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2.xml" ContentType="application/vnd.openxmlformats-officedocument.spreadsheetml.comments+xml"/>
  <Override PartName="/xl/drawings/drawing10.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5.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omments6.xml" ContentType="application/vnd.openxmlformats-officedocument.spreadsheetml.comments+xml"/>
  <Override PartName="/xl/drawings/drawing21.xml" ContentType="application/vnd.openxmlformats-officedocument.drawing+xml"/>
  <Override PartName="/xl/drawings/drawing2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drawings/drawing23.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24.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25.xml" ContentType="application/vnd.openxmlformats-officedocument.drawing+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harts/chart15.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E:\EE.SS. DE GRAU\INFORME DE PRODUCCION\"/>
    </mc:Choice>
  </mc:AlternateContent>
  <xr:revisionPtr revIDLastSave="0" documentId="13_ncr:1_{3BFA0EC5-15CB-44F1-90D5-D6330B4E9A2C}" xr6:coauthVersionLast="45" xr6:coauthVersionMax="45" xr10:uidLastSave="{00000000-0000-0000-0000-000000000000}"/>
  <bookViews>
    <workbookView xWindow="14784" yWindow="60" windowWidth="15588" windowHeight="16440" tabRatio="883" firstSheet="1" activeTab="4" xr2:uid="{00000000-000D-0000-FFFF-FFFF00000000}"/>
  </bookViews>
  <sheets>
    <sheet name="1 Analisis del Ambito" sheetId="28" r:id="rId1"/>
    <sheet name="2 Distancias y Tiempos" sheetId="29" r:id="rId2"/>
    <sheet name="3 Pob x Edad y EESS P1 P2" sheetId="33" r:id="rId3"/>
    <sheet name="4 Estadis ESTRATEG Prod3" sheetId="3" r:id="rId4"/>
    <sheet name="5.2 Prod 1 ATD ATC ESTRAG" sheetId="27" r:id="rId5"/>
    <sheet name="5.1 Prod 2 MORBI ESTRAG" sheetId="4" r:id="rId6"/>
    <sheet name="5.3 PERFIL Epi 1 MR" sheetId="15" r:id="rId7"/>
    <sheet name="6 Estadist REFEREN" sheetId="18" r:id="rId8"/>
    <sheet name="7 Morb REFEREN" sheetId="40" r:id="rId9"/>
    <sheet name="8.1 Pob Urbana y Rural" sheetId="30" r:id="rId10"/>
    <sheet name="No busq ATC" sheetId="31" r:id="rId11"/>
    <sheet name="SIS" sheetId="44" r:id="rId12"/>
    <sheet name="8.2 Pob Ddte" sheetId="32" r:id="rId13"/>
    <sheet name="9 Dda Efect SS Salud P1" sheetId="34" r:id="rId14"/>
    <sheet name="10 Dda Efect SS Salud P2" sheetId="35" r:id="rId15"/>
    <sheet name="11 Dda SS Salud P3" sheetId="36" r:id="rId16"/>
    <sheet name="12 Dda SS Salud Apoy Diag" sheetId="38" r:id="rId17"/>
    <sheet name="13 Prod Historica" sheetId="39" r:id="rId18"/>
    <sheet name="14 Dda Consolidda" sheetId="41" r:id="rId19"/>
    <sheet name="15.1 Cond Lab RH 1" sheetId="8" r:id="rId20"/>
    <sheet name="15.2 Prog RH 2" sheetId="9" r:id="rId21"/>
    <sheet name="15.3 Consolddo y Ota Opt RH" sheetId="26" r:id="rId22"/>
    <sheet name="16.1 Areas Actuales" sheetId="37" r:id="rId23"/>
    <sheet name="16.2 Ota Opt INFRA" sheetId="79" r:id="rId24"/>
    <sheet name="17 Ota Opt EQUIP" sheetId="80" r:id="rId25"/>
    <sheet name="18 Ota Opt y 19 Brecha OD" sheetId="81" r:id="rId26"/>
    <sheet name="20 Plan de PROD" sheetId="42" r:id="rId27"/>
    <sheet name="21 PMF" sheetId="43" r:id="rId28"/>
    <sheet name="Programa RR.HH" sheetId="57" r:id="rId29"/>
    <sheet name="Momento I" sheetId="56" r:id="rId30"/>
    <sheet name="Paso 1.1" sheetId="55" r:id="rId31"/>
    <sheet name="Tiempos" sheetId="53" r:id="rId32"/>
    <sheet name="Paso 1.2" sheetId="54" r:id="rId33"/>
    <sheet name="Paso 1.2 Final" sheetId="52" r:id="rId34"/>
    <sheet name="Paso 1.3.1" sheetId="51" r:id="rId35"/>
    <sheet name="Paso 1.3.2" sheetId="50" r:id="rId36"/>
    <sheet name="Momento II" sheetId="49" r:id="rId37"/>
    <sheet name="Paso 2.1 - 2.2" sheetId="48" r:id="rId38"/>
    <sheet name="Momento III" sheetId="47" r:id="rId39"/>
    <sheet name="Paso 3.1" sheetId="46" r:id="rId40"/>
    <sheet name="Exp Tec Capacitacion" sheetId="88" r:id="rId41"/>
    <sheet name="22. PMA resultante" sheetId="83" r:id="rId42"/>
    <sheet name="23. Costos de Inversion" sheetId="84" r:id="rId43"/>
    <sheet name="24.1 Remun. RR.HH sin PI" sheetId="85" r:id="rId44"/>
    <sheet name="24.2 Remun. RR.HH con PI" sheetId="86" r:id="rId45"/>
    <sheet name="25 Costos OyM SP" sheetId="87" r:id="rId46"/>
    <sheet name="26 Costos OyM CP" sheetId="89" r:id="rId47"/>
    <sheet name="26.1 Insumos CP" sheetId="90" r:id="rId48"/>
    <sheet name="26.2 Bs y Ss" sheetId="91" r:id="rId49"/>
    <sheet name="26.3 Mantto y Repsc EQUIPO" sheetId="92" r:id="rId50"/>
    <sheet name="26.3a Costo PROGRAM de EQUIP" sheetId="93" r:id="rId51"/>
    <sheet name="26.3b Costo EQUI Recup" sheetId="94" r:id="rId52"/>
    <sheet name="26.4 Mantto INFRA" sheetId="95" r:id="rId53"/>
    <sheet name="27 Costos INCREM" sheetId="96" r:id="rId54"/>
    <sheet name="28 Cronograma" sheetId="98" r:id="rId55"/>
    <sheet name="28.1 Cronograma Valorizado" sheetId="101" r:id="rId56"/>
    <sheet name="29 Beneficios" sheetId="99" r:id="rId57"/>
    <sheet name="30 Sensibilidad" sheetId="100" r:id="rId58"/>
    <sheet name="Plan de Implement" sheetId="97" r:id="rId59"/>
    <sheet name="MML" sheetId="102" r:id="rId60"/>
    <sheet name="PIA-PIM" sheetId="105" r:id="rId61"/>
    <sheet name="Sostenibilidad" sheetId="103" r:id="rId62"/>
    <sheet name="Y_G CS Huancarama" sheetId="104" r:id="rId63"/>
    <sheet name="Horizonte" sheetId="106" r:id="rId64"/>
  </sheets>
  <externalReferences>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s>
  <definedNames>
    <definedName name="_xlnm._FilterDatabase" localSheetId="3" hidden="1">'4 Estadis ESTRATEG Prod3'!$E$197:$E$276</definedName>
    <definedName name="_ftn1_10" localSheetId="7">'[1]Sensib. IE-VACSN'!#REF!</definedName>
    <definedName name="_ftn1_10">'[1]Sensib. IE-VACSN'!#REF!</definedName>
    <definedName name="_ftn1_12" localSheetId="7">'[2]Sensib. IE-VACSN'!#REF!</definedName>
    <definedName name="_ftn1_12">'[2]Sensib. IE-VACSN'!#REF!</definedName>
    <definedName name="_ftn2_10" localSheetId="7">'[1]Sensib. IE-VACSN'!#REF!</definedName>
    <definedName name="_ftn2_10">'[1]Sensib. IE-VACSN'!#REF!</definedName>
    <definedName name="_ftn2_12" localSheetId="7">'[2]Sensib. IE-VACSN'!#REF!</definedName>
    <definedName name="_ftn2_12">'[2]Sensib. IE-VACSN'!#REF!</definedName>
    <definedName name="_ftnref2_10" localSheetId="7">'[1]Sensib. IE-VACSN'!#REF!</definedName>
    <definedName name="_ftnref2_10">'[1]Sensib. IE-VACSN'!#REF!</definedName>
    <definedName name="_ftnref2_12" localSheetId="7">'[2]Sensib. IE-VACSN'!#REF!</definedName>
    <definedName name="_ftnref2_12">'[2]Sensib. IE-VACSN'!#REF!</definedName>
    <definedName name="a">#REF!</definedName>
    <definedName name="aa">#REF!</definedName>
    <definedName name="aaa">#REF!</definedName>
    <definedName name="anterior">#REF!</definedName>
    <definedName name="anterior_1">#REF!</definedName>
    <definedName name="anterior_2">#REF!</definedName>
    <definedName name="anterior_3">#REF!</definedName>
    <definedName name="anterior_4">#REF!</definedName>
    <definedName name="anterior_5">#REF!</definedName>
    <definedName name="anterior_6">#REF!</definedName>
    <definedName name="anterior_7">#REF!</definedName>
    <definedName name="anterior_8">#REF!</definedName>
    <definedName name="AÑO">#REF!</definedName>
    <definedName name="Año_0">#REF!</definedName>
    <definedName name="Año_0_1" localSheetId="7">#REF!</definedName>
    <definedName name="Año_0_1">#REF!</definedName>
    <definedName name="Año_0_2" localSheetId="7">#REF!</definedName>
    <definedName name="Año_0_2">#REF!</definedName>
    <definedName name="Año_0_3" localSheetId="7">#REF!</definedName>
    <definedName name="Año_0_3">#REF!</definedName>
    <definedName name="Año_0_4">#REF!</definedName>
    <definedName name="Año_0_5">#REF!</definedName>
    <definedName name="Año_0_6">#REF!</definedName>
    <definedName name="Año_0_7">#REF!</definedName>
    <definedName name="Año_0_8">#REF!</definedName>
    <definedName name="Año_0_9">[3]Demanda!$C$25</definedName>
    <definedName name="AÑO_2" localSheetId="7">#REF!</definedName>
    <definedName name="AÑO_2">#REF!</definedName>
    <definedName name="AÑO_3" localSheetId="7">#REF!</definedName>
    <definedName name="AÑO_3">#REF!</definedName>
    <definedName name="AÑO_4" localSheetId="7">#REF!</definedName>
    <definedName name="AÑO_4">#REF!</definedName>
    <definedName name="AÑO_5" localSheetId="7">#REF!</definedName>
    <definedName name="AÑO_5">#REF!</definedName>
    <definedName name="AÑO_6" localSheetId="7">#REF!</definedName>
    <definedName name="AÑO_6">#REF!</definedName>
    <definedName name="AÑO_7" localSheetId="7">#REF!</definedName>
    <definedName name="AÑO_7">#REF!</definedName>
    <definedName name="Año0">#REF!</definedName>
    <definedName name="_xlnm.Print_Area" localSheetId="27">'21 PMF'!$A$1:$L$107</definedName>
    <definedName name="asas">#REF!</definedName>
    <definedName name="Atenciones">#REF!</definedName>
    <definedName name="Atenciones_3" localSheetId="7">#REF!</definedName>
    <definedName name="Atenciones_3">#REF!</definedName>
    <definedName name="Atenciones_5">#REF!</definedName>
    <definedName name="Atenciones_6">#REF!</definedName>
    <definedName name="Atenciones_7">#REF!</definedName>
    <definedName name="Atenciones_9">[3]Demanda!$P$47</definedName>
    <definedName name="balance">#REF!</definedName>
    <definedName name="balance_1" localSheetId="7">#REF!</definedName>
    <definedName name="balance_1">#REF!</definedName>
    <definedName name="balance_2" localSheetId="7">#REF!</definedName>
    <definedName name="balance_2">#REF!</definedName>
    <definedName name="balance_3" localSheetId="7">#REF!</definedName>
    <definedName name="balance_3">#REF!</definedName>
    <definedName name="balance_7">#REF!</definedName>
    <definedName name="_xlnm.Database">#REF!</definedName>
    <definedName name="CIEX">[4]cie10!$A$2:$B$14183</definedName>
    <definedName name="CIEX_1">[4]cie10!$A$2:$B$14183</definedName>
    <definedName name="CIEX_2">[4]cie10!$A$2:$B$14183</definedName>
    <definedName name="CIEX_3">[4]cie10!$A$2:$B$14183</definedName>
    <definedName name="costri">#REF!</definedName>
    <definedName name="costri_1">#REF!</definedName>
    <definedName name="costri_2">#REF!</definedName>
    <definedName name="costri_3">#REF!</definedName>
    <definedName name="costri_7">#REF!</definedName>
    <definedName name="Dato17">[5]C17_Gra01!$A$2:$C$10</definedName>
    <definedName name="Dato5">[6]C05_Ges03!$A$2:$E$26</definedName>
    <definedName name="dsf">#REF!</definedName>
    <definedName name="eefftri">#REF!</definedName>
    <definedName name="eefftri_1">#REF!</definedName>
    <definedName name="eefftri_2">#REF!</definedName>
    <definedName name="eefftri_3">#REF!</definedName>
    <definedName name="eefftri_7">#REF!</definedName>
    <definedName name="Excel_BuiltIn_Database">#REF!</definedName>
    <definedName name="Excel_BuiltIn_Database_1">#REF!</definedName>
    <definedName name="Excel_BuiltIn_Database_2">#REF!</definedName>
    <definedName name="Excel_BuiltIn_Database_3">#REF!</definedName>
    <definedName name="Excel_BuiltIn_Database_4">#REF!</definedName>
    <definedName name="Excel_BuiltIn_Database_5">#REF!</definedName>
    <definedName name="Excel_BuiltIn_Database_6">#REF!</definedName>
    <definedName name="Excel_BuiltIn_Database_7">#REF!</definedName>
    <definedName name="Excel_BuiltIn_Database_8">#REF!</definedName>
    <definedName name="Excel_BuiltIn_Print_Area_2">#REF!</definedName>
    <definedName name="Excel_BuiltIn_Print_Area_3">#REF!</definedName>
    <definedName name="Excel_BuiltIn_Print_Area_4" localSheetId="7">[1]Requerimiento!#REF!</definedName>
    <definedName name="Excel_BuiltIn_Print_Area_4">[1]Requerimiento!#REF!</definedName>
    <definedName name="IEF">#REF!</definedName>
    <definedName name="Inv">#REF!</definedName>
    <definedName name="Previo">#REF!</definedName>
    <definedName name="Previo_1">#REF!</definedName>
    <definedName name="Previo_2">#REF!</definedName>
    <definedName name="Previo_3">#REF!</definedName>
    <definedName name="Previo_4">#REF!</definedName>
    <definedName name="Previo_5">#REF!</definedName>
    <definedName name="Previo_6">#REF!</definedName>
    <definedName name="Previo_7">#REF!</definedName>
    <definedName name="Previo_8">#REF!</definedName>
    <definedName name="PROVINCIA">#REF!</definedName>
    <definedName name="PROVINCIA_2">#REF!</definedName>
    <definedName name="PROVINCIA_3" localSheetId="7">#REF!</definedName>
    <definedName name="PROVINCIA_3">#REF!</definedName>
    <definedName name="PROVINCIA_4">#REF!</definedName>
    <definedName name="PROVINCIA_5">#REF!</definedName>
    <definedName name="PROVINCIA_6">#REF!</definedName>
    <definedName name="PROVINCIA_7">#REF!</definedName>
    <definedName name="TC">[7]Informacion!$H$26</definedName>
    <definedName name="TCI">[8]Demanda!$C$1</definedName>
    <definedName name="_xlnm.Print_Titles" localSheetId="27">'21 PMF'!$1:$10</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27" i="43" l="1"/>
  <c r="P51" i="33" l="1"/>
  <c r="Q51" i="33"/>
  <c r="AZ338" i="40" l="1"/>
  <c r="AY338" i="40"/>
  <c r="AX338" i="40"/>
  <c r="AW338" i="40"/>
  <c r="AV338" i="40"/>
  <c r="AP338" i="40"/>
  <c r="AO338" i="40"/>
  <c r="AN338" i="40"/>
  <c r="AM338" i="40"/>
  <c r="AL338" i="40"/>
  <c r="AE338" i="40"/>
  <c r="AD338" i="40"/>
  <c r="AC338" i="40"/>
  <c r="AB338" i="40"/>
  <c r="AA338" i="40"/>
  <c r="T338" i="40"/>
  <c r="S338" i="40"/>
  <c r="R338" i="40"/>
  <c r="Q338" i="40"/>
  <c r="P338" i="40"/>
  <c r="O338" i="40"/>
  <c r="I338" i="40"/>
  <c r="H338" i="40"/>
  <c r="G338" i="40"/>
  <c r="F338" i="40"/>
  <c r="E338" i="40"/>
  <c r="AU337" i="40"/>
  <c r="AK337" i="40"/>
  <c r="Z337" i="40"/>
  <c r="O337" i="40"/>
  <c r="D337" i="40"/>
  <c r="AU336" i="40"/>
  <c r="AK336" i="40"/>
  <c r="Z336" i="40"/>
  <c r="O336" i="40"/>
  <c r="D336" i="40"/>
  <c r="AU335" i="40"/>
  <c r="AK335" i="40"/>
  <c r="Z335" i="40"/>
  <c r="O335" i="40"/>
  <c r="D335" i="40"/>
  <c r="AU334" i="40"/>
  <c r="AK334" i="40"/>
  <c r="Z334" i="40"/>
  <c r="O334" i="40"/>
  <c r="D334" i="40"/>
  <c r="AU333" i="40"/>
  <c r="AK333" i="40"/>
  <c r="Z333" i="40"/>
  <c r="O333" i="40"/>
  <c r="D333" i="40"/>
  <c r="AU332" i="40"/>
  <c r="AK332" i="40"/>
  <c r="Z332" i="40"/>
  <c r="O332" i="40"/>
  <c r="D332" i="40"/>
  <c r="AU331" i="40"/>
  <c r="AK331" i="40"/>
  <c r="Z331" i="40"/>
  <c r="O331" i="40"/>
  <c r="D331" i="40"/>
  <c r="AU330" i="40"/>
  <c r="AK330" i="40"/>
  <c r="Z330" i="40"/>
  <c r="O330" i="40"/>
  <c r="D330" i="40"/>
  <c r="AU329" i="40"/>
  <c r="AK329" i="40"/>
  <c r="Z329" i="40"/>
  <c r="O329" i="40"/>
  <c r="D329" i="40"/>
  <c r="AU328" i="40"/>
  <c r="AK328" i="40"/>
  <c r="Z328" i="40"/>
  <c r="O328" i="40"/>
  <c r="D328" i="40"/>
  <c r="AU327" i="40"/>
  <c r="AK327" i="40"/>
  <c r="Z327" i="40"/>
  <c r="O327" i="40"/>
  <c r="D327" i="40"/>
  <c r="AU326" i="40"/>
  <c r="AK326" i="40"/>
  <c r="Z326" i="40"/>
  <c r="O326" i="40"/>
  <c r="D326" i="40"/>
  <c r="AU325" i="40"/>
  <c r="AK325" i="40"/>
  <c r="Z325" i="40"/>
  <c r="O325" i="40"/>
  <c r="D325" i="40"/>
  <c r="AU324" i="40"/>
  <c r="AK324" i="40"/>
  <c r="Z324" i="40"/>
  <c r="O324" i="40"/>
  <c r="D324" i="40"/>
  <c r="AU323" i="40"/>
  <c r="AK323" i="40"/>
  <c r="Z323" i="40"/>
  <c r="O323" i="40"/>
  <c r="D323" i="40"/>
  <c r="AU322" i="40"/>
  <c r="AK322" i="40"/>
  <c r="Z322" i="40"/>
  <c r="O322" i="40"/>
  <c r="D322" i="40"/>
  <c r="AU321" i="40"/>
  <c r="AK321" i="40"/>
  <c r="Z321" i="40"/>
  <c r="O321" i="40"/>
  <c r="D321" i="40"/>
  <c r="AU320" i="40"/>
  <c r="AK320" i="40"/>
  <c r="Z320" i="40"/>
  <c r="O320" i="40"/>
  <c r="D320" i="40"/>
  <c r="AU319" i="40"/>
  <c r="AK319" i="40"/>
  <c r="Z319" i="40"/>
  <c r="O319" i="40"/>
  <c r="D319" i="40"/>
  <c r="AU318" i="40"/>
  <c r="AK318" i="40"/>
  <c r="Z318" i="40"/>
  <c r="O318" i="40"/>
  <c r="D318" i="40"/>
  <c r="AU317" i="40"/>
  <c r="AU338" i="40" s="1"/>
  <c r="AK317" i="40"/>
  <c r="AK338" i="40" s="1"/>
  <c r="Z317" i="40"/>
  <c r="Z338" i="40" s="1"/>
  <c r="O317" i="40"/>
  <c r="D317" i="40"/>
  <c r="D338" i="40" s="1"/>
  <c r="AZ311" i="40"/>
  <c r="AY311" i="40"/>
  <c r="AX311" i="40"/>
  <c r="AW311" i="40"/>
  <c r="AV311" i="40"/>
  <c r="AP311" i="40"/>
  <c r="AO311" i="40"/>
  <c r="AN311" i="40"/>
  <c r="AM311" i="40"/>
  <c r="AL311" i="40"/>
  <c r="AE311" i="40"/>
  <c r="AD311" i="40"/>
  <c r="AC311" i="40"/>
  <c r="AB311" i="40"/>
  <c r="AA311" i="40"/>
  <c r="T311" i="40"/>
  <c r="S311" i="40"/>
  <c r="R311" i="40"/>
  <c r="Q311" i="40"/>
  <c r="P311" i="40"/>
  <c r="I311" i="40"/>
  <c r="H311" i="40"/>
  <c r="G311" i="40"/>
  <c r="F311" i="40"/>
  <c r="E311" i="40"/>
  <c r="AU310" i="40"/>
  <c r="AK310" i="40"/>
  <c r="Z310" i="40"/>
  <c r="O310" i="40"/>
  <c r="D310" i="40"/>
  <c r="AU309" i="40"/>
  <c r="AK309" i="40"/>
  <c r="Z309" i="40"/>
  <c r="O309" i="40"/>
  <c r="D309" i="40"/>
  <c r="AU308" i="40"/>
  <c r="AK308" i="40"/>
  <c r="Z308" i="40"/>
  <c r="O308" i="40"/>
  <c r="D308" i="40"/>
  <c r="AU307" i="40"/>
  <c r="AK307" i="40"/>
  <c r="Z307" i="40"/>
  <c r="O307" i="40"/>
  <c r="D307" i="40"/>
  <c r="AU306" i="40"/>
  <c r="AK306" i="40"/>
  <c r="Z306" i="40"/>
  <c r="O306" i="40"/>
  <c r="D306" i="40"/>
  <c r="AU305" i="40"/>
  <c r="AK305" i="40"/>
  <c r="Z305" i="40"/>
  <c r="O305" i="40"/>
  <c r="D305" i="40"/>
  <c r="AU304" i="40"/>
  <c r="AK304" i="40"/>
  <c r="Z304" i="40"/>
  <c r="O304" i="40"/>
  <c r="D304" i="40"/>
  <c r="AU303" i="40"/>
  <c r="AK303" i="40"/>
  <c r="Z303" i="40"/>
  <c r="O303" i="40"/>
  <c r="D303" i="40"/>
  <c r="AU302" i="40"/>
  <c r="AK302" i="40"/>
  <c r="Z302" i="40"/>
  <c r="O302" i="40"/>
  <c r="D302" i="40"/>
  <c r="AU301" i="40"/>
  <c r="AK301" i="40"/>
  <c r="Z301" i="40"/>
  <c r="O301" i="40"/>
  <c r="D301" i="40"/>
  <c r="AU300" i="40"/>
  <c r="AK300" i="40"/>
  <c r="Z300" i="40"/>
  <c r="O300" i="40"/>
  <c r="D300" i="40"/>
  <c r="AU299" i="40"/>
  <c r="AK299" i="40"/>
  <c r="Z299" i="40"/>
  <c r="O299" i="40"/>
  <c r="D299" i="40"/>
  <c r="AU298" i="40"/>
  <c r="AK298" i="40"/>
  <c r="Z298" i="40"/>
  <c r="O298" i="40"/>
  <c r="D298" i="40"/>
  <c r="AU297" i="40"/>
  <c r="AK297" i="40"/>
  <c r="Z297" i="40"/>
  <c r="O297" i="40"/>
  <c r="D297" i="40"/>
  <c r="AU296" i="40"/>
  <c r="AK296" i="40"/>
  <c r="Z296" i="40"/>
  <c r="O296" i="40"/>
  <c r="D296" i="40"/>
  <c r="AU295" i="40"/>
  <c r="AK295" i="40"/>
  <c r="Z295" i="40"/>
  <c r="O295" i="40"/>
  <c r="D295" i="40"/>
  <c r="D311" i="40" s="1"/>
  <c r="AU294" i="40"/>
  <c r="AK294" i="40"/>
  <c r="Z294" i="40"/>
  <c r="O294" i="40"/>
  <c r="D294" i="40"/>
  <c r="AU293" i="40"/>
  <c r="AK293" i="40"/>
  <c r="Z293" i="40"/>
  <c r="O293" i="40"/>
  <c r="D293" i="40"/>
  <c r="AU292" i="40"/>
  <c r="AK292" i="40"/>
  <c r="Z292" i="40"/>
  <c r="O292" i="40"/>
  <c r="D292" i="40"/>
  <c r="AU291" i="40"/>
  <c r="AU311" i="40" s="1"/>
  <c r="AK291" i="40"/>
  <c r="Z291" i="40"/>
  <c r="O291" i="40"/>
  <c r="D291" i="40"/>
  <c r="AU290" i="40"/>
  <c r="AK290" i="40"/>
  <c r="AK311" i="40" s="1"/>
  <c r="Z290" i="40"/>
  <c r="Z311" i="40" s="1"/>
  <c r="O290" i="40"/>
  <c r="O311" i="40" s="1"/>
  <c r="D290" i="40"/>
  <c r="AZ284" i="40"/>
  <c r="AY284" i="40"/>
  <c r="AX284" i="40"/>
  <c r="AW284" i="40"/>
  <c r="AV284" i="40"/>
  <c r="AP284" i="40"/>
  <c r="AO284" i="40"/>
  <c r="AN284" i="40"/>
  <c r="AM284" i="40"/>
  <c r="AL284" i="40"/>
  <c r="AE284" i="40"/>
  <c r="AD284" i="40"/>
  <c r="AC284" i="40"/>
  <c r="AB284" i="40"/>
  <c r="AA284" i="40"/>
  <c r="T284" i="40"/>
  <c r="S284" i="40"/>
  <c r="R284" i="40"/>
  <c r="Q284" i="40"/>
  <c r="P284" i="40"/>
  <c r="I284" i="40"/>
  <c r="H284" i="40"/>
  <c r="G284" i="40"/>
  <c r="F284" i="40"/>
  <c r="E284" i="40"/>
  <c r="AU283" i="40"/>
  <c r="AK283" i="40"/>
  <c r="Z283" i="40"/>
  <c r="O283" i="40"/>
  <c r="D283" i="40"/>
  <c r="AU282" i="40"/>
  <c r="AK282" i="40"/>
  <c r="Z282" i="40"/>
  <c r="O282" i="40"/>
  <c r="D282" i="40"/>
  <c r="AU281" i="40"/>
  <c r="AK281" i="40"/>
  <c r="Z281" i="40"/>
  <c r="O281" i="40"/>
  <c r="D281" i="40"/>
  <c r="AU280" i="40"/>
  <c r="AK280" i="40"/>
  <c r="Z280" i="40"/>
  <c r="O280" i="40"/>
  <c r="D280" i="40"/>
  <c r="AU279" i="40"/>
  <c r="AK279" i="40"/>
  <c r="Z279" i="40"/>
  <c r="O279" i="40"/>
  <c r="D279" i="40"/>
  <c r="AU278" i="40"/>
  <c r="AK278" i="40"/>
  <c r="Z278" i="40"/>
  <c r="O278" i="40"/>
  <c r="D278" i="40"/>
  <c r="AU277" i="40"/>
  <c r="AK277" i="40"/>
  <c r="Z277" i="40"/>
  <c r="O277" i="40"/>
  <c r="D277" i="40"/>
  <c r="AU276" i="40"/>
  <c r="AK276" i="40"/>
  <c r="Z276" i="40"/>
  <c r="O276" i="40"/>
  <c r="D276" i="40"/>
  <c r="AU275" i="40"/>
  <c r="AK275" i="40"/>
  <c r="Z275" i="40"/>
  <c r="O275" i="40"/>
  <c r="D275" i="40"/>
  <c r="AU274" i="40"/>
  <c r="AK274" i="40"/>
  <c r="Z274" i="40"/>
  <c r="O274" i="40"/>
  <c r="D274" i="40"/>
  <c r="AU273" i="40"/>
  <c r="AK273" i="40"/>
  <c r="Z273" i="40"/>
  <c r="O273" i="40"/>
  <c r="D273" i="40"/>
  <c r="AU272" i="40"/>
  <c r="AK272" i="40"/>
  <c r="Z272" i="40"/>
  <c r="O272" i="40"/>
  <c r="D272" i="40"/>
  <c r="AU271" i="40"/>
  <c r="AK271" i="40"/>
  <c r="Z271" i="40"/>
  <c r="O271" i="40"/>
  <c r="D271" i="40"/>
  <c r="AU270" i="40"/>
  <c r="AK270" i="40"/>
  <c r="Z270" i="40"/>
  <c r="O270" i="40"/>
  <c r="D270" i="40"/>
  <c r="AU269" i="40"/>
  <c r="AK269" i="40"/>
  <c r="Z269" i="40"/>
  <c r="O269" i="40"/>
  <c r="D269" i="40"/>
  <c r="AU268" i="40"/>
  <c r="AK268" i="40"/>
  <c r="Z268" i="40"/>
  <c r="O268" i="40"/>
  <c r="D268" i="40"/>
  <c r="AK267" i="40"/>
  <c r="Z267" i="40"/>
  <c r="O267" i="40"/>
  <c r="D267" i="40"/>
  <c r="AU266" i="40"/>
  <c r="AK266" i="40"/>
  <c r="Z266" i="40"/>
  <c r="O266" i="40"/>
  <c r="D266" i="40"/>
  <c r="AU265" i="40"/>
  <c r="AK265" i="40"/>
  <c r="Z265" i="40"/>
  <c r="Z284" i="40" s="1"/>
  <c r="O265" i="40"/>
  <c r="D265" i="40"/>
  <c r="AU264" i="40"/>
  <c r="AK264" i="40"/>
  <c r="Z264" i="40"/>
  <c r="O264" i="40"/>
  <c r="D264" i="40"/>
  <c r="AU263" i="40"/>
  <c r="AU284" i="40" s="1"/>
  <c r="AK263" i="40"/>
  <c r="AK284" i="40" s="1"/>
  <c r="Z263" i="40"/>
  <c r="O263" i="40"/>
  <c r="O284" i="40" s="1"/>
  <c r="D263" i="40"/>
  <c r="D284" i="40" s="1"/>
  <c r="AZ257" i="40"/>
  <c r="AY257" i="40"/>
  <c r="AX257" i="40"/>
  <c r="AW257" i="40"/>
  <c r="AV257" i="40"/>
  <c r="AP257" i="40"/>
  <c r="AO257" i="40"/>
  <c r="AN257" i="40"/>
  <c r="AM257" i="40"/>
  <c r="AL257" i="40"/>
  <c r="AE257" i="40"/>
  <c r="AD257" i="40"/>
  <c r="AC257" i="40"/>
  <c r="AB257" i="40"/>
  <c r="AA257" i="40"/>
  <c r="T257" i="40"/>
  <c r="S257" i="40"/>
  <c r="R257" i="40"/>
  <c r="Q257" i="40"/>
  <c r="P257" i="40"/>
  <c r="I257" i="40"/>
  <c r="H257" i="40"/>
  <c r="G257" i="40"/>
  <c r="F257" i="40"/>
  <c r="E257" i="40"/>
  <c r="AU256" i="40"/>
  <c r="AK256" i="40"/>
  <c r="Z256" i="40"/>
  <c r="O256" i="40"/>
  <c r="D256" i="40"/>
  <c r="AU255" i="40"/>
  <c r="AK255" i="40"/>
  <c r="Z255" i="40"/>
  <c r="O255" i="40"/>
  <c r="D255" i="40"/>
  <c r="AU254" i="40"/>
  <c r="AK254" i="40"/>
  <c r="Z254" i="40"/>
  <c r="O254" i="40"/>
  <c r="D254" i="40"/>
  <c r="AU253" i="40"/>
  <c r="AK253" i="40"/>
  <c r="Z253" i="40"/>
  <c r="O253" i="40"/>
  <c r="D253" i="40"/>
  <c r="AU252" i="40"/>
  <c r="AK252" i="40"/>
  <c r="Z252" i="40"/>
  <c r="O252" i="40"/>
  <c r="D252" i="40"/>
  <c r="AU251" i="40"/>
  <c r="AK251" i="40"/>
  <c r="Z251" i="40"/>
  <c r="O251" i="40"/>
  <c r="D251" i="40"/>
  <c r="AU250" i="40"/>
  <c r="AK250" i="40"/>
  <c r="Z250" i="40"/>
  <c r="O250" i="40"/>
  <c r="D250" i="40"/>
  <c r="AU249" i="40"/>
  <c r="AK249" i="40"/>
  <c r="Z249" i="40"/>
  <c r="O249" i="40"/>
  <c r="D249" i="40"/>
  <c r="AU248" i="40"/>
  <c r="AK248" i="40"/>
  <c r="Z248" i="40"/>
  <c r="O248" i="40"/>
  <c r="D248" i="40"/>
  <c r="AU247" i="40"/>
  <c r="AK247" i="40"/>
  <c r="Z247" i="40"/>
  <c r="O247" i="40"/>
  <c r="D247" i="40"/>
  <c r="AU246" i="40"/>
  <c r="AK246" i="40"/>
  <c r="Z246" i="40"/>
  <c r="O246" i="40"/>
  <c r="D246" i="40"/>
  <c r="AU245" i="40"/>
  <c r="AK245" i="40"/>
  <c r="Z245" i="40"/>
  <c r="O245" i="40"/>
  <c r="D245" i="40"/>
  <c r="AU244" i="40"/>
  <c r="AK244" i="40"/>
  <c r="Z244" i="40"/>
  <c r="O244" i="40"/>
  <c r="D244" i="40"/>
  <c r="AU243" i="40"/>
  <c r="AK243" i="40"/>
  <c r="Z243" i="40"/>
  <c r="O243" i="40"/>
  <c r="D243" i="40"/>
  <c r="AU242" i="40"/>
  <c r="AK242" i="40"/>
  <c r="Z242" i="40"/>
  <c r="O242" i="40"/>
  <c r="D242" i="40"/>
  <c r="AU241" i="40"/>
  <c r="AK241" i="40"/>
  <c r="Z241" i="40"/>
  <c r="O241" i="40"/>
  <c r="D241" i="40"/>
  <c r="AU240" i="40"/>
  <c r="AK240" i="40"/>
  <c r="Z240" i="40"/>
  <c r="O240" i="40"/>
  <c r="D240" i="40"/>
  <c r="AU239" i="40"/>
  <c r="AK239" i="40"/>
  <c r="Z239" i="40"/>
  <c r="O239" i="40"/>
  <c r="D239" i="40"/>
  <c r="AU238" i="40"/>
  <c r="AK238" i="40"/>
  <c r="Z238" i="40"/>
  <c r="O238" i="40"/>
  <c r="D238" i="40"/>
  <c r="AU237" i="40"/>
  <c r="AK237" i="40"/>
  <c r="Z237" i="40"/>
  <c r="O237" i="40"/>
  <c r="D237" i="40"/>
  <c r="AU236" i="40"/>
  <c r="AU257" i="40" s="1"/>
  <c r="AK236" i="40"/>
  <c r="AK257" i="40" s="1"/>
  <c r="Z236" i="40"/>
  <c r="Z257" i="40" s="1"/>
  <c r="O236" i="40"/>
  <c r="O257" i="40" s="1"/>
  <c r="D236" i="40"/>
  <c r="D257" i="40" s="1"/>
  <c r="AZ227" i="40"/>
  <c r="AY227" i="40"/>
  <c r="AX227" i="40"/>
  <c r="AW227" i="40"/>
  <c r="AV227" i="40"/>
  <c r="AU227" i="40" s="1"/>
  <c r="AP227" i="40"/>
  <c r="AO227" i="40"/>
  <c r="AN227" i="40"/>
  <c r="AM227" i="40"/>
  <c r="AK227" i="40" s="1"/>
  <c r="AL227" i="40"/>
  <c r="AE227" i="40"/>
  <c r="Z227" i="40" s="1"/>
  <c r="AD227" i="40"/>
  <c r="AC227" i="40"/>
  <c r="AB227" i="40"/>
  <c r="AA227" i="40"/>
  <c r="T227" i="40"/>
  <c r="S227" i="40"/>
  <c r="R227" i="40"/>
  <c r="Q227" i="40"/>
  <c r="P227" i="40"/>
  <c r="O227" i="40" s="1"/>
  <c r="I227" i="40"/>
  <c r="H227" i="40"/>
  <c r="G227" i="40"/>
  <c r="F227" i="40"/>
  <c r="E227" i="40"/>
  <c r="AU226" i="40"/>
  <c r="AK226" i="40"/>
  <c r="Z226" i="40"/>
  <c r="O226" i="40"/>
  <c r="D226" i="40"/>
  <c r="AU225" i="40"/>
  <c r="AK225" i="40"/>
  <c r="Z225" i="40"/>
  <c r="O225" i="40"/>
  <c r="D225" i="40"/>
  <c r="AU224" i="40"/>
  <c r="AK224" i="40"/>
  <c r="Z224" i="40"/>
  <c r="O224" i="40"/>
  <c r="D224" i="40"/>
  <c r="AU223" i="40"/>
  <c r="AK223" i="40"/>
  <c r="Z223" i="40"/>
  <c r="O223" i="40"/>
  <c r="D223" i="40"/>
  <c r="AU222" i="40"/>
  <c r="AK222" i="40"/>
  <c r="Z222" i="40"/>
  <c r="O222" i="40"/>
  <c r="D222" i="40"/>
  <c r="AU221" i="40"/>
  <c r="AK221" i="40"/>
  <c r="Z221" i="40"/>
  <c r="O221" i="40"/>
  <c r="D221" i="40"/>
  <c r="AU220" i="40"/>
  <c r="AK220" i="40"/>
  <c r="Z220" i="40"/>
  <c r="O220" i="40"/>
  <c r="D220" i="40"/>
  <c r="AU219" i="40"/>
  <c r="AK219" i="40"/>
  <c r="Z219" i="40"/>
  <c r="O219" i="40"/>
  <c r="D219" i="40"/>
  <c r="AU218" i="40"/>
  <c r="AK218" i="40"/>
  <c r="Z218" i="40"/>
  <c r="O218" i="40"/>
  <c r="D218" i="40"/>
  <c r="AU217" i="40"/>
  <c r="AK217" i="40"/>
  <c r="Z217" i="40"/>
  <c r="O217" i="40"/>
  <c r="D217" i="40"/>
  <c r="AU216" i="40"/>
  <c r="AK216" i="40"/>
  <c r="Z216" i="40"/>
  <c r="O216" i="40"/>
  <c r="D216" i="40"/>
  <c r="AU215" i="40"/>
  <c r="AK215" i="40"/>
  <c r="Z215" i="40"/>
  <c r="O215" i="40"/>
  <c r="D215" i="40"/>
  <c r="AU214" i="40"/>
  <c r="AK214" i="40"/>
  <c r="Z214" i="40"/>
  <c r="O214" i="40"/>
  <c r="D214" i="40"/>
  <c r="AU213" i="40"/>
  <c r="AK213" i="40"/>
  <c r="Z213" i="40"/>
  <c r="O213" i="40"/>
  <c r="D213" i="40"/>
  <c r="AU212" i="40"/>
  <c r="AK212" i="40"/>
  <c r="Z212" i="40"/>
  <c r="O212" i="40"/>
  <c r="D212" i="40"/>
  <c r="AU211" i="40"/>
  <c r="AK211" i="40"/>
  <c r="Z211" i="40"/>
  <c r="O211" i="40"/>
  <c r="D211" i="40"/>
  <c r="AU210" i="40"/>
  <c r="AK210" i="40"/>
  <c r="Z210" i="40"/>
  <c r="O210" i="40"/>
  <c r="D210" i="40"/>
  <c r="AU209" i="40"/>
  <c r="AK209" i="40"/>
  <c r="Z209" i="40"/>
  <c r="O209" i="40"/>
  <c r="D209" i="40"/>
  <c r="AU208" i="40"/>
  <c r="AK208" i="40"/>
  <c r="Z208" i="40"/>
  <c r="O208" i="40"/>
  <c r="D208" i="40"/>
  <c r="AU207" i="40"/>
  <c r="AK207" i="40"/>
  <c r="Z207" i="40"/>
  <c r="O207" i="40"/>
  <c r="D207" i="40"/>
  <c r="AU206" i="40"/>
  <c r="AK206" i="40"/>
  <c r="Z206" i="40"/>
  <c r="O206" i="40"/>
  <c r="D206" i="40"/>
  <c r="D227" i="40" s="1"/>
  <c r="AZ200" i="40"/>
  <c r="AY200" i="40"/>
  <c r="AX200" i="40"/>
  <c r="AW200" i="40"/>
  <c r="AV200" i="40"/>
  <c r="AU200" i="40"/>
  <c r="AP200" i="40"/>
  <c r="AO200" i="40"/>
  <c r="AN200" i="40"/>
  <c r="AM200" i="40"/>
  <c r="AL200" i="40"/>
  <c r="AK200" i="40" s="1"/>
  <c r="AE200" i="40"/>
  <c r="AD200" i="40"/>
  <c r="Z200" i="40" s="1"/>
  <c r="AC200" i="40"/>
  <c r="AB200" i="40"/>
  <c r="AA200" i="40"/>
  <c r="T200" i="40"/>
  <c r="S200" i="40"/>
  <c r="R200" i="40"/>
  <c r="Q200" i="40"/>
  <c r="P200" i="40"/>
  <c r="O200" i="40" s="1"/>
  <c r="I200" i="40"/>
  <c r="H200" i="40"/>
  <c r="G200" i="40"/>
  <c r="F200" i="40"/>
  <c r="E200" i="40"/>
  <c r="AU199" i="40"/>
  <c r="AK199" i="40"/>
  <c r="Z199" i="40"/>
  <c r="O199" i="40"/>
  <c r="D199" i="40"/>
  <c r="AU198" i="40"/>
  <c r="AK198" i="40"/>
  <c r="Z198" i="40"/>
  <c r="O198" i="40"/>
  <c r="D198" i="40"/>
  <c r="AU197" i="40"/>
  <c r="AK197" i="40"/>
  <c r="Z197" i="40"/>
  <c r="O197" i="40"/>
  <c r="D197" i="40"/>
  <c r="AU196" i="40"/>
  <c r="AK196" i="40"/>
  <c r="Z196" i="40"/>
  <c r="O196" i="40"/>
  <c r="D196" i="40"/>
  <c r="AU195" i="40"/>
  <c r="AK195" i="40"/>
  <c r="Z195" i="40"/>
  <c r="O195" i="40"/>
  <c r="D195" i="40"/>
  <c r="AU194" i="40"/>
  <c r="AK194" i="40"/>
  <c r="Z194" i="40"/>
  <c r="O194" i="40"/>
  <c r="D194" i="40"/>
  <c r="AU193" i="40"/>
  <c r="AK193" i="40"/>
  <c r="Z193" i="40"/>
  <c r="O193" i="40"/>
  <c r="D193" i="40"/>
  <c r="AU192" i="40"/>
  <c r="AK192" i="40"/>
  <c r="Z192" i="40"/>
  <c r="O192" i="40"/>
  <c r="D192" i="40"/>
  <c r="AU191" i="40"/>
  <c r="AK191" i="40"/>
  <c r="Z191" i="40"/>
  <c r="O191" i="40"/>
  <c r="D191" i="40"/>
  <c r="AU190" i="40"/>
  <c r="AK190" i="40"/>
  <c r="Z190" i="40"/>
  <c r="O190" i="40"/>
  <c r="D190" i="40"/>
  <c r="AU189" i="40"/>
  <c r="AK189" i="40"/>
  <c r="Z189" i="40"/>
  <c r="O189" i="40"/>
  <c r="D189" i="40"/>
  <c r="AU188" i="40"/>
  <c r="AK188" i="40"/>
  <c r="Z188" i="40"/>
  <c r="O188" i="40"/>
  <c r="D188" i="40"/>
  <c r="AU187" i="40"/>
  <c r="AK187" i="40"/>
  <c r="Z187" i="40"/>
  <c r="O187" i="40"/>
  <c r="D187" i="40"/>
  <c r="AU186" i="40"/>
  <c r="AK186" i="40"/>
  <c r="Z186" i="40"/>
  <c r="O186" i="40"/>
  <c r="D186" i="40"/>
  <c r="AU185" i="40"/>
  <c r="AK185" i="40"/>
  <c r="Z185" i="40"/>
  <c r="O185" i="40"/>
  <c r="D185" i="40"/>
  <c r="AU184" i="40"/>
  <c r="AK184" i="40"/>
  <c r="Z184" i="40"/>
  <c r="O184" i="40"/>
  <c r="D184" i="40"/>
  <c r="D200" i="40" s="1"/>
  <c r="AU183" i="40"/>
  <c r="AK183" i="40"/>
  <c r="Z183" i="40"/>
  <c r="O183" i="40"/>
  <c r="D183" i="40"/>
  <c r="AU182" i="40"/>
  <c r="AK182" i="40"/>
  <c r="Z182" i="40"/>
  <c r="O182" i="40"/>
  <c r="D182" i="40"/>
  <c r="AU181" i="40"/>
  <c r="AK181" i="40"/>
  <c r="Z181" i="40"/>
  <c r="O181" i="40"/>
  <c r="D181" i="40"/>
  <c r="AU180" i="40"/>
  <c r="AK180" i="40"/>
  <c r="Z180" i="40"/>
  <c r="O180" i="40"/>
  <c r="D180" i="40"/>
  <c r="AU179" i="40"/>
  <c r="AK179" i="40"/>
  <c r="Z179" i="40"/>
  <c r="O179" i="40"/>
  <c r="D179" i="40"/>
  <c r="AZ173" i="40"/>
  <c r="AY173" i="40"/>
  <c r="AX173" i="40"/>
  <c r="AW173" i="40"/>
  <c r="AU173" i="40" s="1"/>
  <c r="AV173" i="40"/>
  <c r="AP173" i="40"/>
  <c r="AK173" i="40" s="1"/>
  <c r="AO173" i="40"/>
  <c r="AN173" i="40"/>
  <c r="AM173" i="40"/>
  <c r="AL173" i="40"/>
  <c r="AE173" i="40"/>
  <c r="AD173" i="40"/>
  <c r="AC173" i="40"/>
  <c r="Z173" i="40" s="1"/>
  <c r="AB173" i="40"/>
  <c r="AA173" i="40"/>
  <c r="T173" i="40"/>
  <c r="S173" i="40"/>
  <c r="R173" i="40"/>
  <c r="Q173" i="40"/>
  <c r="P173" i="40"/>
  <c r="I173" i="40"/>
  <c r="H173" i="40"/>
  <c r="G173" i="40"/>
  <c r="F173" i="40"/>
  <c r="E173" i="40"/>
  <c r="AU172" i="40"/>
  <c r="AK172" i="40"/>
  <c r="Z172" i="40"/>
  <c r="O172" i="40"/>
  <c r="D172" i="40"/>
  <c r="AU171" i="40"/>
  <c r="AK171" i="40"/>
  <c r="Z171" i="40"/>
  <c r="O171" i="40"/>
  <c r="D171" i="40"/>
  <c r="AU170" i="40"/>
  <c r="AK170" i="40"/>
  <c r="Z170" i="40"/>
  <c r="O170" i="40"/>
  <c r="D170" i="40"/>
  <c r="AU169" i="40"/>
  <c r="AK169" i="40"/>
  <c r="Z169" i="40"/>
  <c r="O169" i="40"/>
  <c r="D169" i="40"/>
  <c r="AU168" i="40"/>
  <c r="AK168" i="40"/>
  <c r="Z168" i="40"/>
  <c r="O168" i="40"/>
  <c r="D168" i="40"/>
  <c r="AU167" i="40"/>
  <c r="AK167" i="40"/>
  <c r="Z167" i="40"/>
  <c r="O167" i="40"/>
  <c r="D167" i="40"/>
  <c r="AU166" i="40"/>
  <c r="AK166" i="40"/>
  <c r="Z166" i="40"/>
  <c r="O166" i="40"/>
  <c r="D166" i="40"/>
  <c r="AU165" i="40"/>
  <c r="AK165" i="40"/>
  <c r="Z165" i="40"/>
  <c r="O165" i="40"/>
  <c r="D165" i="40"/>
  <c r="AU164" i="40"/>
  <c r="AK164" i="40"/>
  <c r="Z164" i="40"/>
  <c r="O164" i="40"/>
  <c r="D164" i="40"/>
  <c r="AU163" i="40"/>
  <c r="AK163" i="40"/>
  <c r="Z163" i="40"/>
  <c r="O163" i="40"/>
  <c r="D163" i="40"/>
  <c r="AU162" i="40"/>
  <c r="AK162" i="40"/>
  <c r="Z162" i="40"/>
  <c r="O162" i="40"/>
  <c r="D162" i="40"/>
  <c r="AU161" i="40"/>
  <c r="AK161" i="40"/>
  <c r="Z161" i="40"/>
  <c r="O161" i="40"/>
  <c r="D161" i="40"/>
  <c r="AU160" i="40"/>
  <c r="AK160" i="40"/>
  <c r="Z160" i="40"/>
  <c r="O160" i="40"/>
  <c r="D160" i="40"/>
  <c r="AU159" i="40"/>
  <c r="AK159" i="40"/>
  <c r="Z159" i="40"/>
  <c r="O159" i="40"/>
  <c r="D159" i="40"/>
  <c r="AU158" i="40"/>
  <c r="AK158" i="40"/>
  <c r="Z158" i="40"/>
  <c r="O158" i="40"/>
  <c r="D158" i="40"/>
  <c r="AU157" i="40"/>
  <c r="AK157" i="40"/>
  <c r="Z157" i="40"/>
  <c r="O157" i="40"/>
  <c r="D157" i="40"/>
  <c r="AU156" i="40"/>
  <c r="AK156" i="40"/>
  <c r="Z156" i="40"/>
  <c r="O156" i="40"/>
  <c r="D156" i="40"/>
  <c r="AU155" i="40"/>
  <c r="AK155" i="40"/>
  <c r="Z155" i="40"/>
  <c r="O155" i="40"/>
  <c r="D155" i="40"/>
  <c r="AU154" i="40"/>
  <c r="AK154" i="40"/>
  <c r="Z154" i="40"/>
  <c r="O154" i="40"/>
  <c r="D154" i="40"/>
  <c r="AU153" i="40"/>
  <c r="AK153" i="40"/>
  <c r="Z153" i="40"/>
  <c r="O153" i="40"/>
  <c r="D153" i="40"/>
  <c r="AU152" i="40"/>
  <c r="AK152" i="40"/>
  <c r="Z152" i="40"/>
  <c r="O152" i="40"/>
  <c r="O173" i="40" s="1"/>
  <c r="D152" i="40"/>
  <c r="D173" i="40" s="1"/>
  <c r="AZ146" i="40"/>
  <c r="AY146" i="40"/>
  <c r="AX146" i="40"/>
  <c r="AW146" i="40"/>
  <c r="AV146" i="40"/>
  <c r="AU146" i="40" s="1"/>
  <c r="AP146" i="40"/>
  <c r="AO146" i="40"/>
  <c r="AN146" i="40"/>
  <c r="AM146" i="40"/>
  <c r="AL146" i="40"/>
  <c r="AK146" i="40" s="1"/>
  <c r="AE146" i="40"/>
  <c r="AD146" i="40"/>
  <c r="AC146" i="40"/>
  <c r="AB146" i="40"/>
  <c r="AA146" i="40"/>
  <c r="Z146" i="40" s="1"/>
  <c r="T146" i="40"/>
  <c r="S146" i="40"/>
  <c r="R146" i="40"/>
  <c r="Q146" i="40"/>
  <c r="P146" i="40"/>
  <c r="I146" i="40"/>
  <c r="H146" i="40"/>
  <c r="G146" i="40"/>
  <c r="F146" i="40"/>
  <c r="E146" i="40"/>
  <c r="AU145" i="40"/>
  <c r="AK145" i="40"/>
  <c r="Z145" i="40"/>
  <c r="O145" i="40"/>
  <c r="D145" i="40"/>
  <c r="AU144" i="40"/>
  <c r="AK144" i="40"/>
  <c r="Z144" i="40"/>
  <c r="O144" i="40"/>
  <c r="D144" i="40"/>
  <c r="AU143" i="40"/>
  <c r="AK143" i="40"/>
  <c r="Z143" i="40"/>
  <c r="O143" i="40"/>
  <c r="D143" i="40"/>
  <c r="AU142" i="40"/>
  <c r="AK142" i="40"/>
  <c r="Z142" i="40"/>
  <c r="O142" i="40"/>
  <c r="D142" i="40"/>
  <c r="AU141" i="40"/>
  <c r="AK141" i="40"/>
  <c r="Z141" i="40"/>
  <c r="O141" i="40"/>
  <c r="D141" i="40"/>
  <c r="AU140" i="40"/>
  <c r="AK140" i="40"/>
  <c r="Z140" i="40"/>
  <c r="O140" i="40"/>
  <c r="D140" i="40"/>
  <c r="AU139" i="40"/>
  <c r="AK139" i="40"/>
  <c r="Z139" i="40"/>
  <c r="O139" i="40"/>
  <c r="D139" i="40"/>
  <c r="AU138" i="40"/>
  <c r="AK138" i="40"/>
  <c r="Z138" i="40"/>
  <c r="O138" i="40"/>
  <c r="D138" i="40"/>
  <c r="AU137" i="40"/>
  <c r="AK137" i="40"/>
  <c r="Z137" i="40"/>
  <c r="O137" i="40"/>
  <c r="D137" i="40"/>
  <c r="AU136" i="40"/>
  <c r="AK136" i="40"/>
  <c r="Z136" i="40"/>
  <c r="O136" i="40"/>
  <c r="D136" i="40"/>
  <c r="AU135" i="40"/>
  <c r="AK135" i="40"/>
  <c r="Z135" i="40"/>
  <c r="O135" i="40"/>
  <c r="D135" i="40"/>
  <c r="AU134" i="40"/>
  <c r="AK134" i="40"/>
  <c r="Z134" i="40"/>
  <c r="O134" i="40"/>
  <c r="D134" i="40"/>
  <c r="AU133" i="40"/>
  <c r="AK133" i="40"/>
  <c r="Z133" i="40"/>
  <c r="O133" i="40"/>
  <c r="D133" i="40"/>
  <c r="AU132" i="40"/>
  <c r="AK132" i="40"/>
  <c r="Z132" i="40"/>
  <c r="O132" i="40"/>
  <c r="D132" i="40"/>
  <c r="AU131" i="40"/>
  <c r="AK131" i="40"/>
  <c r="Z131" i="40"/>
  <c r="O131" i="40"/>
  <c r="O146" i="40" s="1"/>
  <c r="D131" i="40"/>
  <c r="AU130" i="40"/>
  <c r="AK130" i="40"/>
  <c r="Z130" i="40"/>
  <c r="O130" i="40"/>
  <c r="D130" i="40"/>
  <c r="AU129" i="40"/>
  <c r="AK129" i="40"/>
  <c r="Z129" i="40"/>
  <c r="O129" i="40"/>
  <c r="D129" i="40"/>
  <c r="AU128" i="40"/>
  <c r="AK128" i="40"/>
  <c r="Z128" i="40"/>
  <c r="O128" i="40"/>
  <c r="D128" i="40"/>
  <c r="AU127" i="40"/>
  <c r="AK127" i="40"/>
  <c r="Z127" i="40"/>
  <c r="O127" i="40"/>
  <c r="D127" i="40"/>
  <c r="AU126" i="40"/>
  <c r="AK126" i="40"/>
  <c r="Z126" i="40"/>
  <c r="O126" i="40"/>
  <c r="D126" i="40"/>
  <c r="AU125" i="40"/>
  <c r="AK125" i="40"/>
  <c r="Z125" i="40"/>
  <c r="O125" i="40"/>
  <c r="D125" i="40"/>
  <c r="D146" i="40" s="1"/>
  <c r="AZ116" i="40"/>
  <c r="AY116" i="40"/>
  <c r="AX116" i="40"/>
  <c r="AW116" i="40"/>
  <c r="AV116" i="40"/>
  <c r="AP116" i="40"/>
  <c r="AO116" i="40"/>
  <c r="AN116" i="40"/>
  <c r="AM116" i="40"/>
  <c r="AL116" i="40"/>
  <c r="AE116" i="40"/>
  <c r="AD116" i="40"/>
  <c r="AC116" i="40"/>
  <c r="AB116" i="40"/>
  <c r="AA116" i="40"/>
  <c r="T116" i="40"/>
  <c r="S116" i="40"/>
  <c r="R116" i="40"/>
  <c r="Q116" i="40"/>
  <c r="P116" i="40"/>
  <c r="I116" i="40"/>
  <c r="H116" i="40"/>
  <c r="G116" i="40"/>
  <c r="F116" i="40"/>
  <c r="E116" i="40"/>
  <c r="AU115" i="40"/>
  <c r="AK115" i="40"/>
  <c r="Z115" i="40"/>
  <c r="O115" i="40"/>
  <c r="D115" i="40"/>
  <c r="AU114" i="40"/>
  <c r="AK114" i="40"/>
  <c r="Z114" i="40"/>
  <c r="O114" i="40"/>
  <c r="D114" i="40"/>
  <c r="AU113" i="40"/>
  <c r="AK113" i="40"/>
  <c r="Z113" i="40"/>
  <c r="O113" i="40"/>
  <c r="D113" i="40"/>
  <c r="AU112" i="40"/>
  <c r="AK112" i="40"/>
  <c r="Z112" i="40"/>
  <c r="O112" i="40"/>
  <c r="D112" i="40"/>
  <c r="AU111" i="40"/>
  <c r="AK111" i="40"/>
  <c r="Z111" i="40"/>
  <c r="O111" i="40"/>
  <c r="D111" i="40"/>
  <c r="AU110" i="40"/>
  <c r="AK110" i="40"/>
  <c r="Z110" i="40"/>
  <c r="O110" i="40"/>
  <c r="D110" i="40"/>
  <c r="AU109" i="40"/>
  <c r="AK109" i="40"/>
  <c r="Z109" i="40"/>
  <c r="O109" i="40"/>
  <c r="D109" i="40"/>
  <c r="AU108" i="40"/>
  <c r="AK108" i="40"/>
  <c r="Z108" i="40"/>
  <c r="D108" i="40"/>
  <c r="AU107" i="40"/>
  <c r="AK107" i="40"/>
  <c r="Z107" i="40"/>
  <c r="O107" i="40"/>
  <c r="D107" i="40"/>
  <c r="AU106" i="40"/>
  <c r="AK106" i="40"/>
  <c r="Z106" i="40"/>
  <c r="O106" i="40"/>
  <c r="D106" i="40"/>
  <c r="AU105" i="40"/>
  <c r="AK105" i="40"/>
  <c r="Z105" i="40"/>
  <c r="O105" i="40"/>
  <c r="D105" i="40"/>
  <c r="AU104" i="40"/>
  <c r="AK104" i="40"/>
  <c r="Z104" i="40"/>
  <c r="O104" i="40"/>
  <c r="D104" i="40"/>
  <c r="AU103" i="40"/>
  <c r="AK103" i="40"/>
  <c r="Z103" i="40"/>
  <c r="O103" i="40"/>
  <c r="D103" i="40"/>
  <c r="AU102" i="40"/>
  <c r="AK102" i="40"/>
  <c r="Z102" i="40"/>
  <c r="O102" i="40"/>
  <c r="D102" i="40"/>
  <c r="AU101" i="40"/>
  <c r="AK101" i="40"/>
  <c r="Z101" i="40"/>
  <c r="O101" i="40"/>
  <c r="D101" i="40"/>
  <c r="AU100" i="40"/>
  <c r="AK100" i="40"/>
  <c r="Z100" i="40"/>
  <c r="O100" i="40"/>
  <c r="D100" i="40"/>
  <c r="AU99" i="40"/>
  <c r="AK99" i="40"/>
  <c r="Z99" i="40"/>
  <c r="O99" i="40"/>
  <c r="D99" i="40"/>
  <c r="AU98" i="40"/>
  <c r="AK98" i="40"/>
  <c r="Z98" i="40"/>
  <c r="O98" i="40"/>
  <c r="D98" i="40"/>
  <c r="AU97" i="40"/>
  <c r="AU116" i="40" s="1"/>
  <c r="AK97" i="40"/>
  <c r="Z97" i="40"/>
  <c r="O97" i="40"/>
  <c r="D97" i="40"/>
  <c r="AU96" i="40"/>
  <c r="AK96" i="40"/>
  <c r="Z96" i="40"/>
  <c r="O96" i="40"/>
  <c r="O116" i="40" s="1"/>
  <c r="D96" i="40"/>
  <c r="AU95" i="40"/>
  <c r="AK95" i="40"/>
  <c r="AK116" i="40" s="1"/>
  <c r="Z95" i="40"/>
  <c r="Z116" i="40" s="1"/>
  <c r="O95" i="40"/>
  <c r="D95" i="40"/>
  <c r="D116" i="40" s="1"/>
  <c r="AZ90" i="40"/>
  <c r="AY90" i="40"/>
  <c r="AX90" i="40"/>
  <c r="AW90" i="40"/>
  <c r="AV90" i="40"/>
  <c r="AP90" i="40"/>
  <c r="AO90" i="40"/>
  <c r="AD90" i="40" s="1"/>
  <c r="AN90" i="40"/>
  <c r="AC90" i="40" s="1"/>
  <c r="AM90" i="40"/>
  <c r="AL90" i="40"/>
  <c r="AA90" i="40" s="1"/>
  <c r="AB90" i="40"/>
  <c r="T90" i="40"/>
  <c r="S90" i="40"/>
  <c r="R90" i="40"/>
  <c r="Q90" i="40"/>
  <c r="P90" i="40"/>
  <c r="I90" i="40"/>
  <c r="AE90" i="40" s="1"/>
  <c r="H90" i="40"/>
  <c r="G90" i="40"/>
  <c r="F90" i="40"/>
  <c r="E90" i="40"/>
  <c r="AU89" i="40"/>
  <c r="AK89" i="40"/>
  <c r="Z89" i="40"/>
  <c r="O89" i="40"/>
  <c r="D89" i="40"/>
  <c r="AU88" i="40"/>
  <c r="AK88" i="40"/>
  <c r="Z88" i="40"/>
  <c r="O88" i="40"/>
  <c r="D88" i="40"/>
  <c r="AU87" i="40"/>
  <c r="AK87" i="40"/>
  <c r="Z87" i="40"/>
  <c r="O87" i="40"/>
  <c r="D87" i="40"/>
  <c r="AU86" i="40"/>
  <c r="AK86" i="40"/>
  <c r="Z86" i="40"/>
  <c r="O86" i="40"/>
  <c r="D86" i="40"/>
  <c r="AU85" i="40"/>
  <c r="AK85" i="40"/>
  <c r="Z85" i="40"/>
  <c r="O85" i="40"/>
  <c r="D85" i="40"/>
  <c r="AU84" i="40"/>
  <c r="AK84" i="40"/>
  <c r="Z84" i="40"/>
  <c r="O84" i="40"/>
  <c r="D84" i="40"/>
  <c r="AU83" i="40"/>
  <c r="AK83" i="40"/>
  <c r="Z83" i="40"/>
  <c r="O83" i="40"/>
  <c r="D83" i="40"/>
  <c r="AU82" i="40"/>
  <c r="AK82" i="40"/>
  <c r="Z82" i="40"/>
  <c r="O82" i="40"/>
  <c r="D82" i="40"/>
  <c r="AU81" i="40"/>
  <c r="AK81" i="40"/>
  <c r="Z81" i="40"/>
  <c r="O81" i="40"/>
  <c r="D81" i="40"/>
  <c r="AU80" i="40"/>
  <c r="AK80" i="40"/>
  <c r="Z80" i="40"/>
  <c r="O80" i="40"/>
  <c r="D80" i="40"/>
  <c r="AU79" i="40"/>
  <c r="AK79" i="40"/>
  <c r="Z79" i="40"/>
  <c r="O79" i="40"/>
  <c r="D79" i="40"/>
  <c r="AU78" i="40"/>
  <c r="AK78" i="40"/>
  <c r="Z78" i="40"/>
  <c r="O78" i="40"/>
  <c r="D78" i="40"/>
  <c r="AU77" i="40"/>
  <c r="AK77" i="40"/>
  <c r="Z77" i="40"/>
  <c r="O77" i="40"/>
  <c r="D77" i="40"/>
  <c r="AU76" i="40"/>
  <c r="AK76" i="40"/>
  <c r="Z76" i="40"/>
  <c r="O76" i="40"/>
  <c r="D76" i="40"/>
  <c r="AU75" i="40"/>
  <c r="AK75" i="40"/>
  <c r="Z75" i="40"/>
  <c r="O75" i="40"/>
  <c r="O90" i="40" s="1"/>
  <c r="D75" i="40"/>
  <c r="AU74" i="40"/>
  <c r="AK74" i="40"/>
  <c r="Z74" i="40"/>
  <c r="O74" i="40"/>
  <c r="D74" i="40"/>
  <c r="AU73" i="40"/>
  <c r="AK73" i="40"/>
  <c r="Z73" i="40"/>
  <c r="O73" i="40"/>
  <c r="D73" i="40"/>
  <c r="AU72" i="40"/>
  <c r="AK72" i="40"/>
  <c r="Z72" i="40"/>
  <c r="O72" i="40"/>
  <c r="D72" i="40"/>
  <c r="AU71" i="40"/>
  <c r="AK71" i="40"/>
  <c r="Z71" i="40"/>
  <c r="O71" i="40"/>
  <c r="D71" i="40"/>
  <c r="AU70" i="40"/>
  <c r="AK70" i="40"/>
  <c r="Z70" i="40"/>
  <c r="O70" i="40"/>
  <c r="D70" i="40"/>
  <c r="AU69" i="40"/>
  <c r="AU90" i="40" s="1"/>
  <c r="AK69" i="40"/>
  <c r="AK90" i="40" s="1"/>
  <c r="Z69" i="40"/>
  <c r="O69" i="40"/>
  <c r="D69" i="40"/>
  <c r="D90" i="40" s="1"/>
  <c r="AZ64" i="40"/>
  <c r="AY64" i="40"/>
  <c r="AX64" i="40"/>
  <c r="AW64" i="40"/>
  <c r="AV64" i="40"/>
  <c r="AP64" i="40"/>
  <c r="AO64" i="40"/>
  <c r="AN64" i="40"/>
  <c r="AM64" i="40"/>
  <c r="AL64" i="40"/>
  <c r="AE64" i="40"/>
  <c r="AD64" i="40"/>
  <c r="AC64" i="40"/>
  <c r="AB64" i="40"/>
  <c r="AA64" i="40"/>
  <c r="T64" i="40"/>
  <c r="S64" i="40"/>
  <c r="R64" i="40"/>
  <c r="Q64" i="40"/>
  <c r="P64" i="40"/>
  <c r="I64" i="40"/>
  <c r="H64" i="40"/>
  <c r="G64" i="40"/>
  <c r="F64" i="40"/>
  <c r="E64" i="40"/>
  <c r="AU63" i="40"/>
  <c r="AK63" i="40"/>
  <c r="Z63" i="40"/>
  <c r="O63" i="40"/>
  <c r="D63" i="40"/>
  <c r="AU62" i="40"/>
  <c r="AK62" i="40"/>
  <c r="Z62" i="40"/>
  <c r="O62" i="40"/>
  <c r="D62" i="40"/>
  <c r="AU61" i="40"/>
  <c r="AK61" i="40"/>
  <c r="Z61" i="40"/>
  <c r="O61" i="40"/>
  <c r="D61" i="40"/>
  <c r="AU60" i="40"/>
  <c r="AK60" i="40"/>
  <c r="Z60" i="40"/>
  <c r="O60" i="40"/>
  <c r="D60" i="40"/>
  <c r="AU59" i="40"/>
  <c r="AK59" i="40"/>
  <c r="Z59" i="40"/>
  <c r="O59" i="40"/>
  <c r="D59" i="40"/>
  <c r="AU58" i="40"/>
  <c r="AK58" i="40"/>
  <c r="Z58" i="40"/>
  <c r="O58" i="40"/>
  <c r="D58" i="40"/>
  <c r="AU57" i="40"/>
  <c r="AK57" i="40"/>
  <c r="Z57" i="40"/>
  <c r="O57" i="40"/>
  <c r="D57" i="40"/>
  <c r="AU56" i="40"/>
  <c r="AK56" i="40"/>
  <c r="Z56" i="40"/>
  <c r="O56" i="40"/>
  <c r="D56" i="40"/>
  <c r="AU55" i="40"/>
  <c r="AK55" i="40"/>
  <c r="Z55" i="40"/>
  <c r="O55" i="40"/>
  <c r="D55" i="40"/>
  <c r="AU54" i="40"/>
  <c r="AK54" i="40"/>
  <c r="Z54" i="40"/>
  <c r="O54" i="40"/>
  <c r="D54" i="40"/>
  <c r="AU53" i="40"/>
  <c r="AK53" i="40"/>
  <c r="Z53" i="40"/>
  <c r="O53" i="40"/>
  <c r="D53" i="40"/>
  <c r="AU52" i="40"/>
  <c r="AK52" i="40"/>
  <c r="Z52" i="40"/>
  <c r="O52" i="40"/>
  <c r="D52" i="40"/>
  <c r="AU51" i="40"/>
  <c r="AK51" i="40"/>
  <c r="Z51" i="40"/>
  <c r="O51" i="40"/>
  <c r="D51" i="40"/>
  <c r="AU50" i="40"/>
  <c r="AK50" i="40"/>
  <c r="Z50" i="40"/>
  <c r="O50" i="40"/>
  <c r="D50" i="40"/>
  <c r="AU49" i="40"/>
  <c r="AK49" i="40"/>
  <c r="Z49" i="40"/>
  <c r="O49" i="40"/>
  <c r="D49" i="40"/>
  <c r="AU48" i="40"/>
  <c r="AK48" i="40"/>
  <c r="Z48" i="40"/>
  <c r="O48" i="40"/>
  <c r="D48" i="40"/>
  <c r="AU47" i="40"/>
  <c r="AK47" i="40"/>
  <c r="Z47" i="40"/>
  <c r="O47" i="40"/>
  <c r="D47" i="40"/>
  <c r="AU46" i="40"/>
  <c r="AK46" i="40"/>
  <c r="Z46" i="40"/>
  <c r="O46" i="40"/>
  <c r="D46" i="40"/>
  <c r="AU45" i="40"/>
  <c r="AK45" i="40"/>
  <c r="Z45" i="40"/>
  <c r="O45" i="40"/>
  <c r="D45" i="40"/>
  <c r="AU44" i="40"/>
  <c r="AK44" i="40"/>
  <c r="Z44" i="40"/>
  <c r="O44" i="40"/>
  <c r="D44" i="40"/>
  <c r="AU43" i="40"/>
  <c r="AU64" i="40" s="1"/>
  <c r="AK43" i="40"/>
  <c r="AK64" i="40" s="1"/>
  <c r="Z43" i="40"/>
  <c r="Z64" i="40" s="1"/>
  <c r="O43" i="40"/>
  <c r="O64" i="40" s="1"/>
  <c r="D43" i="40"/>
  <c r="D64" i="40" s="1"/>
  <c r="AZ37" i="40"/>
  <c r="AY37" i="40"/>
  <c r="AX37" i="40"/>
  <c r="AW37" i="40"/>
  <c r="AV37" i="40"/>
  <c r="AP37" i="40"/>
  <c r="AO37" i="40"/>
  <c r="AD37" i="40" s="1"/>
  <c r="AN37" i="40"/>
  <c r="AC37" i="40" s="1"/>
  <c r="AM37" i="40"/>
  <c r="AB37" i="40" s="1"/>
  <c r="AL37" i="40"/>
  <c r="AE37" i="40"/>
  <c r="T37" i="40"/>
  <c r="S37" i="40"/>
  <c r="R37" i="40"/>
  <c r="Q37" i="40"/>
  <c r="P37" i="40"/>
  <c r="I37" i="40"/>
  <c r="H37" i="40"/>
  <c r="G37" i="40"/>
  <c r="F37" i="40"/>
  <c r="E37" i="40"/>
  <c r="AA37" i="40" s="1"/>
  <c r="AK36" i="40"/>
  <c r="Z36" i="40"/>
  <c r="O36" i="40"/>
  <c r="D36" i="40"/>
  <c r="AU35" i="40"/>
  <c r="AK35" i="40"/>
  <c r="Z35" i="40"/>
  <c r="O35" i="40"/>
  <c r="D35" i="40"/>
  <c r="AU34" i="40"/>
  <c r="AK34" i="40"/>
  <c r="Z34" i="40"/>
  <c r="O34" i="40"/>
  <c r="D34" i="40"/>
  <c r="AU33" i="40"/>
  <c r="AK33" i="40"/>
  <c r="Z33" i="40"/>
  <c r="O33" i="40"/>
  <c r="D33" i="40"/>
  <c r="AU32" i="40"/>
  <c r="AK32" i="40"/>
  <c r="Z32" i="40"/>
  <c r="O32" i="40"/>
  <c r="D32" i="40"/>
  <c r="AU31" i="40"/>
  <c r="AK31" i="40"/>
  <c r="Z31" i="40"/>
  <c r="O31" i="40"/>
  <c r="D31" i="40"/>
  <c r="AU30" i="40"/>
  <c r="AK30" i="40"/>
  <c r="Z30" i="40"/>
  <c r="O30" i="40"/>
  <c r="D30" i="40"/>
  <c r="AU29" i="40"/>
  <c r="AK29" i="40"/>
  <c r="Z29" i="40"/>
  <c r="O29" i="40"/>
  <c r="D29" i="40"/>
  <c r="AU28" i="40"/>
  <c r="AK28" i="40"/>
  <c r="Z28" i="40"/>
  <c r="O28" i="40"/>
  <c r="D28" i="40"/>
  <c r="AU27" i="40"/>
  <c r="AK27" i="40"/>
  <c r="Z27" i="40"/>
  <c r="O27" i="40"/>
  <c r="D27" i="40"/>
  <c r="AU26" i="40"/>
  <c r="AK26" i="40"/>
  <c r="Z26" i="40"/>
  <c r="O26" i="40"/>
  <c r="D26" i="40"/>
  <c r="AU25" i="40"/>
  <c r="AK25" i="40"/>
  <c r="Z25" i="40"/>
  <c r="O25" i="40"/>
  <c r="D25" i="40"/>
  <c r="AU24" i="40"/>
  <c r="AK24" i="40"/>
  <c r="Z24" i="40"/>
  <c r="O24" i="40"/>
  <c r="D24" i="40"/>
  <c r="AU23" i="40"/>
  <c r="AK23" i="40"/>
  <c r="Z23" i="40"/>
  <c r="O23" i="40"/>
  <c r="D23" i="40"/>
  <c r="AU22" i="40"/>
  <c r="AK22" i="40"/>
  <c r="Z22" i="40"/>
  <c r="O22" i="40"/>
  <c r="D22" i="40"/>
  <c r="AU21" i="40"/>
  <c r="AK21" i="40"/>
  <c r="Z21" i="40"/>
  <c r="O21" i="40"/>
  <c r="D21" i="40"/>
  <c r="AU20" i="40"/>
  <c r="AK20" i="40"/>
  <c r="Z20" i="40"/>
  <c r="O20" i="40"/>
  <c r="D20" i="40"/>
  <c r="AU19" i="40"/>
  <c r="AK19" i="40"/>
  <c r="Z19" i="40"/>
  <c r="O19" i="40"/>
  <c r="D19" i="40"/>
  <c r="AU18" i="40"/>
  <c r="AK18" i="40"/>
  <c r="Z18" i="40"/>
  <c r="O18" i="40"/>
  <c r="D18" i="40"/>
  <c r="AU17" i="40"/>
  <c r="AK17" i="40"/>
  <c r="Z17" i="40"/>
  <c r="O17" i="40"/>
  <c r="D17" i="40"/>
  <c r="AU16" i="40"/>
  <c r="AU37" i="40" s="1"/>
  <c r="AK16" i="40"/>
  <c r="AK37" i="40" s="1"/>
  <c r="Z16" i="40"/>
  <c r="O16" i="40"/>
  <c r="O37" i="40" s="1"/>
  <c r="D16" i="40"/>
  <c r="D37" i="40" s="1"/>
  <c r="M374" i="18"/>
  <c r="L374" i="18"/>
  <c r="K374" i="18"/>
  <c r="J374" i="18"/>
  <c r="I374" i="18"/>
  <c r="H374" i="18"/>
  <c r="G374" i="18"/>
  <c r="F374" i="18"/>
  <c r="O373" i="18"/>
  <c r="N373" i="18"/>
  <c r="O372" i="18"/>
  <c r="N372" i="18"/>
  <c r="O371" i="18"/>
  <c r="O374" i="18" s="1"/>
  <c r="N371" i="18"/>
  <c r="N374" i="18" s="1"/>
  <c r="H369" i="18"/>
  <c r="J369" i="18" s="1"/>
  <c r="L369" i="18" s="1"/>
  <c r="N369" i="18" s="1"/>
  <c r="I365" i="18"/>
  <c r="H365" i="18"/>
  <c r="E365" i="18"/>
  <c r="G364" i="18"/>
  <c r="G363" i="18"/>
  <c r="G362" i="18"/>
  <c r="G361" i="18"/>
  <c r="G360" i="18"/>
  <c r="G359" i="18"/>
  <c r="G358" i="18"/>
  <c r="G357" i="18"/>
  <c r="G356" i="18"/>
  <c r="G355" i="18"/>
  <c r="G354" i="18"/>
  <c r="G353" i="18"/>
  <c r="G352" i="18"/>
  <c r="G351" i="18"/>
  <c r="G350" i="18"/>
  <c r="G349" i="18"/>
  <c r="G365" i="18" s="1"/>
  <c r="G348" i="18"/>
  <c r="G347" i="18"/>
  <c r="G346" i="18"/>
  <c r="G345" i="18"/>
  <c r="G344" i="18"/>
  <c r="G343" i="18"/>
  <c r="H343" i="18" s="1"/>
  <c r="I343" i="18" s="1"/>
  <c r="F343" i="18"/>
  <c r="H339" i="18"/>
  <c r="G339" i="18"/>
  <c r="F339" i="18"/>
  <c r="E339" i="18"/>
  <c r="H338" i="18"/>
  <c r="G338" i="18"/>
  <c r="F338" i="18"/>
  <c r="E338" i="18"/>
  <c r="P331" i="18"/>
  <c r="Q331" i="18" s="1"/>
  <c r="R331" i="18" s="1"/>
  <c r="S331" i="18" s="1"/>
  <c r="L331" i="18"/>
  <c r="M331" i="18" s="1"/>
  <c r="N331" i="18" s="1"/>
  <c r="K331" i="18"/>
  <c r="F331" i="18"/>
  <c r="G331" i="18" s="1"/>
  <c r="H331" i="18" s="1"/>
  <c r="I331" i="18" s="1"/>
  <c r="N327" i="18"/>
  <c r="O327" i="18" s="1"/>
  <c r="F327" i="18"/>
  <c r="G326" i="18" s="1"/>
  <c r="N326" i="18"/>
  <c r="O326" i="18" s="1"/>
  <c r="N325" i="18"/>
  <c r="G325" i="18"/>
  <c r="N324" i="18"/>
  <c r="G324" i="18"/>
  <c r="N323" i="18"/>
  <c r="N322" i="18"/>
  <c r="O322" i="18" s="1"/>
  <c r="G322" i="18"/>
  <c r="N321" i="18"/>
  <c r="O321" i="18" s="1"/>
  <c r="G321" i="18"/>
  <c r="N320" i="18"/>
  <c r="N319" i="18"/>
  <c r="G319" i="18"/>
  <c r="N318" i="18"/>
  <c r="N328" i="18" s="1"/>
  <c r="G317" i="18"/>
  <c r="W313" i="18"/>
  <c r="V313" i="18"/>
  <c r="O313" i="18"/>
  <c r="N313" i="18"/>
  <c r="F313" i="18"/>
  <c r="G309" i="18" s="1"/>
  <c r="W312" i="18"/>
  <c r="O312" i="18"/>
  <c r="G312" i="18"/>
  <c r="W311" i="18"/>
  <c r="O311" i="18"/>
  <c r="W310" i="18"/>
  <c r="O310" i="18"/>
  <c r="W309" i="18"/>
  <c r="O309" i="18"/>
  <c r="W308" i="18"/>
  <c r="O308" i="18"/>
  <c r="W307" i="18"/>
  <c r="O307" i="18"/>
  <c r="G307" i="18"/>
  <c r="W306" i="18"/>
  <c r="O306" i="18"/>
  <c r="W305" i="18"/>
  <c r="O305" i="18"/>
  <c r="G305" i="18"/>
  <c r="W304" i="18"/>
  <c r="O304" i="18"/>
  <c r="G304" i="18"/>
  <c r="W303" i="18"/>
  <c r="O303" i="18"/>
  <c r="I297" i="18"/>
  <c r="I296" i="18"/>
  <c r="I295" i="18"/>
  <c r="F294" i="18"/>
  <c r="G294" i="18" s="1"/>
  <c r="H294" i="18" s="1"/>
  <c r="I294" i="18" s="1"/>
  <c r="I290" i="18"/>
  <c r="H290" i="18"/>
  <c r="G290" i="18"/>
  <c r="V314" i="18" s="1"/>
  <c r="F290" i="18"/>
  <c r="N314" i="18" s="1"/>
  <c r="E290" i="18"/>
  <c r="F314" i="18" s="1"/>
  <c r="G287" i="18"/>
  <c r="H287" i="18" s="1"/>
  <c r="I287" i="18" s="1"/>
  <c r="F287" i="18"/>
  <c r="Q284" i="18"/>
  <c r="O284" i="18"/>
  <c r="N284" i="18"/>
  <c r="O282" i="18" s="1"/>
  <c r="G284" i="18"/>
  <c r="O283" i="18"/>
  <c r="G283" i="18"/>
  <c r="G282" i="18"/>
  <c r="O281" i="18"/>
  <c r="G281" i="18"/>
  <c r="O280" i="18"/>
  <c r="G280" i="18"/>
  <c r="O279" i="18"/>
  <c r="G279" i="18"/>
  <c r="G278" i="18"/>
  <c r="O277" i="18"/>
  <c r="G277" i="18"/>
  <c r="O276" i="18"/>
  <c r="G276" i="18"/>
  <c r="O275" i="18"/>
  <c r="G275" i="18"/>
  <c r="G274" i="18"/>
  <c r="O273" i="18"/>
  <c r="G273" i="18"/>
  <c r="V269" i="18"/>
  <c r="W261" i="18" s="1"/>
  <c r="O269" i="18"/>
  <c r="N269" i="18"/>
  <c r="O261" i="18" s="1"/>
  <c r="F269" i="18"/>
  <c r="G269" i="18" s="1"/>
  <c r="O268" i="18"/>
  <c r="O267" i="18"/>
  <c r="G267" i="18"/>
  <c r="O266" i="18"/>
  <c r="G266" i="18"/>
  <c r="G265" i="18"/>
  <c r="W264" i="18"/>
  <c r="O264" i="18"/>
  <c r="O263" i="18"/>
  <c r="G263" i="18"/>
  <c r="O262" i="18"/>
  <c r="G262" i="18"/>
  <c r="G261" i="18"/>
  <c r="O260" i="18"/>
  <c r="G260" i="18"/>
  <c r="O259" i="18"/>
  <c r="G259" i="18"/>
  <c r="O258" i="18"/>
  <c r="G258" i="18"/>
  <c r="F246" i="18"/>
  <c r="G246" i="18" s="1"/>
  <c r="H246" i="18" s="1"/>
  <c r="I246" i="18" s="1"/>
  <c r="E242" i="18"/>
  <c r="I233" i="18"/>
  <c r="H233" i="18"/>
  <c r="G233" i="18"/>
  <c r="F233" i="18"/>
  <c r="E233" i="18"/>
  <c r="K232" i="18"/>
  <c r="K231" i="18"/>
  <c r="K230" i="18"/>
  <c r="K229" i="18"/>
  <c r="K228" i="18"/>
  <c r="K227" i="18"/>
  <c r="K226" i="18"/>
  <c r="G225" i="18"/>
  <c r="H225" i="18" s="1"/>
  <c r="I225" i="18" s="1"/>
  <c r="F225" i="18"/>
  <c r="F218" i="18"/>
  <c r="G218" i="18" s="1"/>
  <c r="H218" i="18" s="1"/>
  <c r="I218" i="18" s="1"/>
  <c r="I212" i="18"/>
  <c r="T141" i="18" s="1"/>
  <c r="H212" i="18"/>
  <c r="G212" i="18"/>
  <c r="F212" i="18"/>
  <c r="E212" i="18"/>
  <c r="K209" i="18"/>
  <c r="K208" i="18"/>
  <c r="K207" i="18"/>
  <c r="K206" i="18"/>
  <c r="K205" i="18"/>
  <c r="G204" i="18"/>
  <c r="H204" i="18" s="1"/>
  <c r="I204" i="18" s="1"/>
  <c r="F204" i="18"/>
  <c r="K178" i="18"/>
  <c r="L178" i="18" s="1"/>
  <c r="F177" i="18"/>
  <c r="G177" i="18" s="1"/>
  <c r="H177" i="18" s="1"/>
  <c r="I177" i="18" s="1"/>
  <c r="S172" i="18"/>
  <c r="R172" i="18"/>
  <c r="S171" i="18"/>
  <c r="R171" i="18"/>
  <c r="K170" i="18"/>
  <c r="L170" i="18" s="1"/>
  <c r="M170" i="18" s="1"/>
  <c r="N170" i="18" s="1"/>
  <c r="G170" i="18"/>
  <c r="H170" i="18" s="1"/>
  <c r="I170" i="18" s="1"/>
  <c r="F170" i="18"/>
  <c r="S165" i="18"/>
  <c r="R165" i="18"/>
  <c r="Q165" i="18"/>
  <c r="P165" i="18"/>
  <c r="O165" i="18"/>
  <c r="I165" i="18"/>
  <c r="H165" i="18"/>
  <c r="G165" i="18"/>
  <c r="F165" i="18"/>
  <c r="E165" i="18"/>
  <c r="Q159" i="18"/>
  <c r="R159" i="18" s="1"/>
  <c r="S159" i="18" s="1"/>
  <c r="P159" i="18"/>
  <c r="F159" i="18"/>
  <c r="G159" i="18" s="1"/>
  <c r="H159" i="18" s="1"/>
  <c r="I159" i="18" s="1"/>
  <c r="P156" i="18"/>
  <c r="E156" i="18"/>
  <c r="Q149" i="18"/>
  <c r="R149" i="18" s="1"/>
  <c r="S149" i="18" s="1"/>
  <c r="T149" i="18" s="1"/>
  <c r="F149" i="18"/>
  <c r="G149" i="18" s="1"/>
  <c r="H149" i="18" s="1"/>
  <c r="I149" i="18" s="1"/>
  <c r="S142" i="18"/>
  <c r="P142" i="18"/>
  <c r="O142" i="18"/>
  <c r="R142" i="18" s="1"/>
  <c r="N142" i="18"/>
  <c r="Q142" i="18" s="1"/>
  <c r="S140" i="18"/>
  <c r="R140" i="18"/>
  <c r="P140" i="18"/>
  <c r="O140" i="18"/>
  <c r="N140" i="18"/>
  <c r="Q140" i="18" s="1"/>
  <c r="Q139" i="18"/>
  <c r="P139" i="18"/>
  <c r="S139" i="18" s="1"/>
  <c r="O139" i="18"/>
  <c r="R139" i="18" s="1"/>
  <c r="N139" i="18"/>
  <c r="P138" i="18"/>
  <c r="S138" i="18" s="1"/>
  <c r="O138" i="18"/>
  <c r="R138" i="18" s="1"/>
  <c r="N138" i="18"/>
  <c r="Q138" i="18" s="1"/>
  <c r="P136" i="18"/>
  <c r="S136" i="18" s="1"/>
  <c r="O136" i="18"/>
  <c r="R136" i="18" s="1"/>
  <c r="N136" i="18"/>
  <c r="Q136" i="18" s="1"/>
  <c r="AB135" i="18"/>
  <c r="AA135" i="18"/>
  <c r="Z135" i="18"/>
  <c r="Y135" i="18"/>
  <c r="X135" i="18"/>
  <c r="P135" i="18"/>
  <c r="S135" i="18" s="1"/>
  <c r="O135" i="18"/>
  <c r="R135" i="18" s="1"/>
  <c r="N135" i="18"/>
  <c r="Q135" i="18" s="1"/>
  <c r="P134" i="18"/>
  <c r="S134" i="18" s="1"/>
  <c r="O134" i="18"/>
  <c r="R134" i="18" s="1"/>
  <c r="N134" i="18"/>
  <c r="Q134" i="18" s="1"/>
  <c r="H132" i="18"/>
  <c r="K132" i="18" s="1"/>
  <c r="N132" i="18" s="1"/>
  <c r="Q132" i="18" s="1"/>
  <c r="L124" i="18"/>
  <c r="M124" i="18" s="1"/>
  <c r="H117" i="18"/>
  <c r="I117" i="18" s="1"/>
  <c r="J117" i="18" s="1"/>
  <c r="G117" i="18"/>
  <c r="O111" i="18"/>
  <c r="N111" i="18"/>
  <c r="M111" i="18"/>
  <c r="L111" i="18"/>
  <c r="K111" i="18"/>
  <c r="J111" i="18"/>
  <c r="I111" i="18"/>
  <c r="H111" i="18"/>
  <c r="G111" i="18"/>
  <c r="F111" i="18"/>
  <c r="P108" i="18"/>
  <c r="R107" i="18"/>
  <c r="T107" i="18" s="1"/>
  <c r="P102" i="18"/>
  <c r="H98" i="18"/>
  <c r="J98" i="18" s="1"/>
  <c r="L98" i="18" s="1"/>
  <c r="N98" i="18" s="1"/>
  <c r="AA94" i="18"/>
  <c r="Z94" i="18"/>
  <c r="Y94" i="18"/>
  <c r="X94" i="18"/>
  <c r="F94" i="18"/>
  <c r="AG93" i="18"/>
  <c r="AF93" i="18"/>
  <c r="AE93" i="18"/>
  <c r="AD93" i="18"/>
  <c r="P75" i="18"/>
  <c r="O75" i="18"/>
  <c r="N75" i="18"/>
  <c r="M75" i="18"/>
  <c r="H75" i="18"/>
  <c r="G75" i="18"/>
  <c r="I17" i="18" s="1"/>
  <c r="F75" i="18"/>
  <c r="E75" i="18"/>
  <c r="G17" i="18" s="1"/>
  <c r="Q63" i="18"/>
  <c r="Q75" i="18" s="1"/>
  <c r="I63" i="18"/>
  <c r="I75" i="18" s="1"/>
  <c r="K17" i="18" s="1"/>
  <c r="Q52" i="18"/>
  <c r="I52" i="18"/>
  <c r="Q51" i="18"/>
  <c r="I51" i="18"/>
  <c r="Q26" i="18"/>
  <c r="I26" i="18"/>
  <c r="N24" i="18"/>
  <c r="O24" i="18" s="1"/>
  <c r="P24" i="18" s="1"/>
  <c r="Q24" i="18" s="1"/>
  <c r="F24" i="18"/>
  <c r="G24" i="18" s="1"/>
  <c r="H24" i="18" s="1"/>
  <c r="I24" i="18" s="1"/>
  <c r="J17" i="18"/>
  <c r="H17" i="18"/>
  <c r="H16" i="18"/>
  <c r="I16" i="18" s="1"/>
  <c r="J16" i="18" s="1"/>
  <c r="K16" i="18" s="1"/>
  <c r="E207" i="15"/>
  <c r="F207" i="15" s="1"/>
  <c r="G207" i="15" s="1"/>
  <c r="H207" i="15" s="1"/>
  <c r="E201" i="15"/>
  <c r="F201" i="15" s="1"/>
  <c r="G201" i="15" s="1"/>
  <c r="H201" i="15" s="1"/>
  <c r="E195" i="15"/>
  <c r="F195" i="15" s="1"/>
  <c r="G195" i="15" s="1"/>
  <c r="H195" i="15" s="1"/>
  <c r="H190" i="15"/>
  <c r="G190" i="15"/>
  <c r="F190" i="15"/>
  <c r="E190" i="15"/>
  <c r="D190" i="15"/>
  <c r="F186" i="15"/>
  <c r="G186" i="15" s="1"/>
  <c r="H186" i="15" s="1"/>
  <c r="E186" i="15"/>
  <c r="F181" i="15"/>
  <c r="G181" i="15" s="1"/>
  <c r="H181" i="15" s="1"/>
  <c r="E181" i="15"/>
  <c r="F176" i="15"/>
  <c r="G176" i="15" s="1"/>
  <c r="H176" i="15" s="1"/>
  <c r="E176" i="15"/>
  <c r="H171" i="15"/>
  <c r="G171" i="15"/>
  <c r="F171" i="15"/>
  <c r="E171" i="15"/>
  <c r="D171" i="15"/>
  <c r="E168" i="15"/>
  <c r="F168" i="15" s="1"/>
  <c r="G168" i="15" s="1"/>
  <c r="H168" i="15" s="1"/>
  <c r="G160" i="15"/>
  <c r="H160" i="15" s="1"/>
  <c r="F160" i="15"/>
  <c r="E160" i="15"/>
  <c r="H157" i="15"/>
  <c r="G157" i="15"/>
  <c r="F157" i="15"/>
  <c r="E157" i="15"/>
  <c r="D157" i="15"/>
  <c r="H156" i="15"/>
  <c r="G156" i="15"/>
  <c r="F156" i="15"/>
  <c r="E156" i="15"/>
  <c r="D156" i="15"/>
  <c r="E155" i="15"/>
  <c r="F155" i="15" s="1"/>
  <c r="G155" i="15" s="1"/>
  <c r="H155" i="15" s="1"/>
  <c r="E149" i="15"/>
  <c r="F149" i="15" s="1"/>
  <c r="G149" i="15" s="1"/>
  <c r="H149" i="15" s="1"/>
  <c r="H146" i="15"/>
  <c r="G146" i="15"/>
  <c r="F146" i="15"/>
  <c r="E146" i="15"/>
  <c r="D146" i="15"/>
  <c r="H145" i="15"/>
  <c r="G145" i="15"/>
  <c r="F145" i="15"/>
  <c r="E145" i="15"/>
  <c r="D145" i="15"/>
  <c r="G144" i="15"/>
  <c r="H144" i="15" s="1"/>
  <c r="F144" i="15"/>
  <c r="E144" i="15"/>
  <c r="E139" i="15"/>
  <c r="F139" i="15" s="1"/>
  <c r="G139" i="15" s="1"/>
  <c r="H139" i="15" s="1"/>
  <c r="G134" i="15"/>
  <c r="H134" i="15" s="1"/>
  <c r="F134" i="15"/>
  <c r="E134" i="15"/>
  <c r="E128" i="15"/>
  <c r="F128" i="15" s="1"/>
  <c r="G128" i="15" s="1"/>
  <c r="H128" i="15" s="1"/>
  <c r="E123" i="15"/>
  <c r="F123" i="15" s="1"/>
  <c r="G123" i="15" s="1"/>
  <c r="H123" i="15" s="1"/>
  <c r="AA117" i="15"/>
  <c r="AA119" i="15" s="1"/>
  <c r="Y117" i="15"/>
  <c r="Y119" i="15" s="1"/>
  <c r="O117" i="15"/>
  <c r="O119" i="15" s="1"/>
  <c r="H117" i="15" s="1"/>
  <c r="M117" i="15"/>
  <c r="M119" i="15" s="1"/>
  <c r="K117" i="15"/>
  <c r="K119" i="15" s="1"/>
  <c r="AA116" i="15"/>
  <c r="AB116" i="15" s="1"/>
  <c r="AC116" i="15" s="1"/>
  <c r="Z116" i="15"/>
  <c r="T116" i="15"/>
  <c r="U116" i="15" s="1"/>
  <c r="V116" i="15" s="1"/>
  <c r="S116" i="15"/>
  <c r="M116" i="15"/>
  <c r="N116" i="15" s="1"/>
  <c r="O116" i="15" s="1"/>
  <c r="L116" i="15"/>
  <c r="F116" i="15"/>
  <c r="G116" i="15" s="1"/>
  <c r="H116" i="15" s="1"/>
  <c r="E116" i="15"/>
  <c r="I111" i="15"/>
  <c r="H111" i="15"/>
  <c r="N117" i="15" s="1"/>
  <c r="N119" i="15" s="1"/>
  <c r="G111" i="15"/>
  <c r="F111" i="15"/>
  <c r="L117" i="15" s="1"/>
  <c r="L119" i="15" s="1"/>
  <c r="E111" i="15"/>
  <c r="J109" i="15"/>
  <c r="B109" i="15"/>
  <c r="J108" i="15"/>
  <c r="J111" i="15" s="1"/>
  <c r="F107" i="15"/>
  <c r="G107" i="15" s="1"/>
  <c r="H107" i="15" s="1"/>
  <c r="I107" i="15" s="1"/>
  <c r="I101" i="15"/>
  <c r="AC117" i="15" s="1"/>
  <c r="AC119" i="15" s="1"/>
  <c r="H101" i="15"/>
  <c r="AB117" i="15" s="1"/>
  <c r="AB119" i="15" s="1"/>
  <c r="G101" i="15"/>
  <c r="F101" i="15"/>
  <c r="Z117" i="15" s="1"/>
  <c r="Z119" i="15" s="1"/>
  <c r="E101" i="15"/>
  <c r="J100" i="15"/>
  <c r="B100" i="15"/>
  <c r="J99" i="15"/>
  <c r="J101" i="15" s="1"/>
  <c r="G98" i="15"/>
  <c r="H98" i="15" s="1"/>
  <c r="I98" i="15" s="1"/>
  <c r="F98" i="15"/>
  <c r="I92" i="15"/>
  <c r="V117" i="15" s="1"/>
  <c r="V119" i="15" s="1"/>
  <c r="H92" i="15"/>
  <c r="U117" i="15" s="1"/>
  <c r="U119" i="15" s="1"/>
  <c r="G92" i="15"/>
  <c r="T117" i="15" s="1"/>
  <c r="T119" i="15" s="1"/>
  <c r="F92" i="15"/>
  <c r="S117" i="15" s="1"/>
  <c r="S119" i="15" s="1"/>
  <c r="E92" i="15"/>
  <c r="R117" i="15" s="1"/>
  <c r="R119" i="15" s="1"/>
  <c r="B91" i="15"/>
  <c r="B90" i="15"/>
  <c r="J89" i="15"/>
  <c r="J92" i="15" s="1"/>
  <c r="F88" i="15"/>
  <c r="G88" i="15" s="1"/>
  <c r="H88" i="15" s="1"/>
  <c r="I88" i="15" s="1"/>
  <c r="I82" i="15"/>
  <c r="H82" i="15"/>
  <c r="G82" i="15"/>
  <c r="F82" i="15"/>
  <c r="E82" i="15"/>
  <c r="J76" i="15"/>
  <c r="J75" i="15"/>
  <c r="J74" i="15"/>
  <c r="J73" i="15"/>
  <c r="J72" i="15"/>
  <c r="J82" i="15" s="1"/>
  <c r="G71" i="15"/>
  <c r="H71" i="15" s="1"/>
  <c r="I71" i="15" s="1"/>
  <c r="F71" i="15"/>
  <c r="AX64" i="15"/>
  <c r="AW64" i="15"/>
  <c r="AV64" i="15"/>
  <c r="AU64" i="15"/>
  <c r="AT64" i="15"/>
  <c r="AS64" i="15"/>
  <c r="AM64" i="15"/>
  <c r="AL64" i="15"/>
  <c r="AK64" i="15"/>
  <c r="AJ64" i="15"/>
  <c r="AI64" i="15"/>
  <c r="AC64" i="15"/>
  <c r="AB64" i="15"/>
  <c r="AA64" i="15"/>
  <c r="Z64" i="15"/>
  <c r="AD64" i="15" s="1"/>
  <c r="Y64" i="15"/>
  <c r="S64" i="15"/>
  <c r="R64" i="15"/>
  <c r="Q64" i="15"/>
  <c r="P64" i="15"/>
  <c r="T64" i="15" s="1"/>
  <c r="O64" i="15"/>
  <c r="J64" i="15"/>
  <c r="I64" i="15"/>
  <c r="H64" i="15"/>
  <c r="G64" i="15"/>
  <c r="F64" i="15"/>
  <c r="E64" i="15"/>
  <c r="AX63" i="15"/>
  <c r="AN63" i="15"/>
  <c r="AD63" i="15"/>
  <c r="T63" i="15"/>
  <c r="J63" i="15"/>
  <c r="AX62" i="15"/>
  <c r="AN62" i="15"/>
  <c r="AD62" i="15"/>
  <c r="T62" i="15"/>
  <c r="J62" i="15"/>
  <c r="AX61" i="15"/>
  <c r="AN61" i="15"/>
  <c r="AD61" i="15"/>
  <c r="T61" i="15"/>
  <c r="J61" i="15"/>
  <c r="AX60" i="15"/>
  <c r="AN60" i="15"/>
  <c r="AD60" i="15"/>
  <c r="T60" i="15"/>
  <c r="J60" i="15"/>
  <c r="AX59" i="15"/>
  <c r="AN59" i="15"/>
  <c r="AD59" i="15"/>
  <c r="T59" i="15"/>
  <c r="J59" i="15"/>
  <c r="AX58" i="15"/>
  <c r="AN58" i="15"/>
  <c r="AN64" i="15" s="1"/>
  <c r="AD58" i="15"/>
  <c r="T58" i="15"/>
  <c r="J58" i="15"/>
  <c r="AX57" i="15"/>
  <c r="AN57" i="15"/>
  <c r="AD57" i="15"/>
  <c r="T57" i="15"/>
  <c r="J57" i="15"/>
  <c r="AX56" i="15"/>
  <c r="AN56" i="15"/>
  <c r="AD56" i="15"/>
  <c r="T56" i="15"/>
  <c r="J56" i="15"/>
  <c r="AX55" i="15"/>
  <c r="AN55" i="15"/>
  <c r="AD55" i="15"/>
  <c r="T55" i="15"/>
  <c r="J55" i="15"/>
  <c r="AX54" i="15"/>
  <c r="AN54" i="15"/>
  <c r="AD54" i="15"/>
  <c r="T54" i="15"/>
  <c r="J54" i="15"/>
  <c r="AX53" i="15"/>
  <c r="AN53" i="15"/>
  <c r="AD53" i="15"/>
  <c r="T53" i="15"/>
  <c r="J53" i="15"/>
  <c r="AW45" i="15"/>
  <c r="AV45" i="15"/>
  <c r="AU45" i="15"/>
  <c r="AT45" i="15"/>
  <c r="AS45" i="15"/>
  <c r="AM45" i="15"/>
  <c r="AL45" i="15"/>
  <c r="AK45" i="15"/>
  <c r="AJ45" i="15"/>
  <c r="AI45" i="15"/>
  <c r="AN45" i="15" s="1"/>
  <c r="AC45" i="15"/>
  <c r="AB45" i="15"/>
  <c r="AA45" i="15"/>
  <c r="Z45" i="15"/>
  <c r="Y45" i="15"/>
  <c r="AD45" i="15" s="1"/>
  <c r="S45" i="15"/>
  <c r="R45" i="15"/>
  <c r="Q45" i="15"/>
  <c r="P45" i="15"/>
  <c r="O45" i="15"/>
  <c r="T45" i="15" s="1"/>
  <c r="I45" i="15"/>
  <c r="H45" i="15"/>
  <c r="G45" i="15"/>
  <c r="F45" i="15"/>
  <c r="E45" i="15"/>
  <c r="AX44" i="15"/>
  <c r="AN44" i="15"/>
  <c r="AD44" i="15"/>
  <c r="T44" i="15"/>
  <c r="J44" i="15"/>
  <c r="AX43" i="15"/>
  <c r="AN43" i="15"/>
  <c r="AD43" i="15"/>
  <c r="T43" i="15"/>
  <c r="J43" i="15"/>
  <c r="AX42" i="15"/>
  <c r="AN42" i="15"/>
  <c r="AD42" i="15"/>
  <c r="T42" i="15"/>
  <c r="J42" i="15"/>
  <c r="AX41" i="15"/>
  <c r="AN41" i="15"/>
  <c r="AD41" i="15"/>
  <c r="T41" i="15"/>
  <c r="J41" i="15"/>
  <c r="AX40" i="15"/>
  <c r="AN40" i="15"/>
  <c r="AD40" i="15"/>
  <c r="T40" i="15"/>
  <c r="J40" i="15"/>
  <c r="AX39" i="15"/>
  <c r="AN39" i="15"/>
  <c r="AD39" i="15"/>
  <c r="T39" i="15"/>
  <c r="J39" i="15"/>
  <c r="AX38" i="15"/>
  <c r="AN38" i="15"/>
  <c r="AD38" i="15"/>
  <c r="T38" i="15"/>
  <c r="J38" i="15"/>
  <c r="AX37" i="15"/>
  <c r="AN37" i="15"/>
  <c r="AD37" i="15"/>
  <c r="T37" i="15"/>
  <c r="J37" i="15"/>
  <c r="AX36" i="15"/>
  <c r="AN36" i="15"/>
  <c r="AD36" i="15"/>
  <c r="T36" i="15"/>
  <c r="J36" i="15"/>
  <c r="AX35" i="15"/>
  <c r="AN35" i="15"/>
  <c r="AD35" i="15"/>
  <c r="T35" i="15"/>
  <c r="J35" i="15"/>
  <c r="AX34" i="15"/>
  <c r="AX45" i="15" s="1"/>
  <c r="AN34" i="15"/>
  <c r="AD34" i="15"/>
  <c r="T34" i="15"/>
  <c r="J34" i="15"/>
  <c r="J45" i="15" s="1"/>
  <c r="AW27" i="15"/>
  <c r="AV27" i="15"/>
  <c r="AU27" i="15"/>
  <c r="AT27" i="15"/>
  <c r="AS27" i="15"/>
  <c r="AM27" i="15"/>
  <c r="AL27" i="15"/>
  <c r="AK27" i="15"/>
  <c r="AJ27" i="15"/>
  <c r="AI27" i="15"/>
  <c r="AC27" i="15"/>
  <c r="AB27" i="15"/>
  <c r="AA27" i="15"/>
  <c r="Z27" i="15"/>
  <c r="Y27" i="15"/>
  <c r="S27" i="15"/>
  <c r="R27" i="15"/>
  <c r="Q27" i="15"/>
  <c r="P27" i="15"/>
  <c r="O27" i="15"/>
  <c r="I27" i="15"/>
  <c r="H27" i="15"/>
  <c r="G27" i="15"/>
  <c r="F27" i="15"/>
  <c r="E27" i="15"/>
  <c r="AX26" i="15"/>
  <c r="AN26" i="15"/>
  <c r="AD26" i="15"/>
  <c r="T26" i="15"/>
  <c r="J26" i="15"/>
  <c r="AX25" i="15"/>
  <c r="AN25" i="15"/>
  <c r="AD25" i="15"/>
  <c r="T25" i="15"/>
  <c r="J25" i="15"/>
  <c r="AX24" i="15"/>
  <c r="AN24" i="15"/>
  <c r="AD24" i="15"/>
  <c r="T24" i="15"/>
  <c r="J24" i="15"/>
  <c r="AX23" i="15"/>
  <c r="AN23" i="15"/>
  <c r="AN27" i="15" s="1"/>
  <c r="AD23" i="15"/>
  <c r="T23" i="15"/>
  <c r="J23" i="15"/>
  <c r="AX22" i="15"/>
  <c r="AN22" i="15"/>
  <c r="AD22" i="15"/>
  <c r="T22" i="15"/>
  <c r="J22" i="15"/>
  <c r="AX21" i="15"/>
  <c r="AN21" i="15"/>
  <c r="AD21" i="15"/>
  <c r="T21" i="15"/>
  <c r="J21" i="15"/>
  <c r="AX20" i="15"/>
  <c r="AN20" i="15"/>
  <c r="AD20" i="15"/>
  <c r="AD27" i="15" s="1"/>
  <c r="T20" i="15"/>
  <c r="J20" i="15"/>
  <c r="AX19" i="15"/>
  <c r="AN19" i="15"/>
  <c r="AD19" i="15"/>
  <c r="T19" i="15"/>
  <c r="J19" i="15"/>
  <c r="AX18" i="15"/>
  <c r="AN18" i="15"/>
  <c r="AD18" i="15"/>
  <c r="T18" i="15"/>
  <c r="J18" i="15"/>
  <c r="AX17" i="15"/>
  <c r="AN17" i="15"/>
  <c r="AD17" i="15"/>
  <c r="T17" i="15"/>
  <c r="T27" i="15" s="1"/>
  <c r="J17" i="15"/>
  <c r="AX16" i="15"/>
  <c r="AX27" i="15" s="1"/>
  <c r="AN16" i="15"/>
  <c r="AD16" i="15"/>
  <c r="T16" i="15"/>
  <c r="J16" i="15"/>
  <c r="J27" i="15" s="1"/>
  <c r="Z90" i="40" l="1"/>
  <c r="Z37" i="40"/>
  <c r="O328" i="18"/>
  <c r="N329" i="18"/>
  <c r="O323" i="18"/>
  <c r="G314" i="18"/>
  <c r="L209" i="18"/>
  <c r="O319" i="18"/>
  <c r="O324" i="18"/>
  <c r="O320" i="18"/>
  <c r="O325" i="18"/>
  <c r="K212" i="18"/>
  <c r="L207" i="18" s="1"/>
  <c r="W262" i="18"/>
  <c r="O265" i="18"/>
  <c r="G268" i="18"/>
  <c r="W269" i="18"/>
  <c r="G310" i="18"/>
  <c r="W265" i="18"/>
  <c r="G327" i="18"/>
  <c r="O318" i="18"/>
  <c r="W260" i="18"/>
  <c r="W268" i="18"/>
  <c r="G308" i="18"/>
  <c r="G313" i="18"/>
  <c r="W259" i="18"/>
  <c r="W267" i="18"/>
  <c r="W263" i="18"/>
  <c r="G303" i="18"/>
  <c r="G311" i="18"/>
  <c r="G320" i="18"/>
  <c r="W258" i="18"/>
  <c r="G264" i="18"/>
  <c r="W266" i="18"/>
  <c r="O274" i="18"/>
  <c r="O278" i="18"/>
  <c r="G306" i="18"/>
  <c r="G323" i="18"/>
  <c r="F328" i="18"/>
  <c r="G328" i="18" s="1"/>
  <c r="G318" i="18"/>
  <c r="M11" i="33"/>
  <c r="L208" i="18" l="1"/>
  <c r="L206" i="18"/>
  <c r="T317" i="18"/>
  <c r="L205" i="18"/>
  <c r="BA119" i="4"/>
  <c r="BA118" i="4"/>
  <c r="BA117" i="4"/>
  <c r="BA116" i="4"/>
  <c r="BA115" i="4"/>
  <c r="BA114" i="4"/>
  <c r="BA113" i="4"/>
  <c r="BA112" i="4"/>
  <c r="BA111" i="4"/>
  <c r="BC116" i="4" s="1"/>
  <c r="BA110" i="4"/>
  <c r="BD120" i="4" s="1"/>
  <c r="BA109" i="4"/>
  <c r="S134" i="85"/>
  <c r="BC111" i="4" l="1"/>
  <c r="N453" i="3" l="1"/>
  <c r="J477" i="3" l="1"/>
  <c r="I477" i="3"/>
  <c r="H477" i="3"/>
  <c r="G477" i="3"/>
  <c r="F477" i="3"/>
  <c r="D16" i="106" l="1"/>
  <c r="D17" i="106"/>
  <c r="D18" i="106"/>
  <c r="D19" i="106"/>
  <c r="D20" i="106"/>
  <c r="D21" i="106"/>
  <c r="D22" i="106"/>
  <c r="D23" i="106"/>
  <c r="D24" i="106"/>
  <c r="D15" i="106"/>
  <c r="AV79" i="98" l="1"/>
  <c r="AW79" i="98"/>
  <c r="AX79" i="98"/>
  <c r="AX82" i="98"/>
  <c r="AW83" i="98"/>
  <c r="AX83" i="98"/>
  <c r="AW85" i="98"/>
  <c r="AX85" i="98"/>
  <c r="AY82" i="98"/>
  <c r="AV59" i="98"/>
  <c r="AY42" i="98"/>
  <c r="AV39" i="98"/>
  <c r="AW40" i="98"/>
  <c r="AY40" i="98" s="1"/>
  <c r="AX40" i="98"/>
  <c r="AX41" i="98"/>
  <c r="AY41" i="98" s="1"/>
  <c r="AW42" i="98"/>
  <c r="AX42" i="98"/>
  <c r="AP40" i="98"/>
  <c r="AP41" i="98"/>
  <c r="AP42" i="98"/>
  <c r="AE84" i="98"/>
  <c r="AD84" i="98"/>
  <c r="AX84" i="98" s="1"/>
  <c r="AC84" i="98"/>
  <c r="AB84" i="98"/>
  <c r="AA84" i="98"/>
  <c r="Z84" i="98"/>
  <c r="Y84" i="98"/>
  <c r="X84" i="98"/>
  <c r="W84" i="98"/>
  <c r="V84" i="98"/>
  <c r="U84" i="98"/>
  <c r="T84" i="98"/>
  <c r="AP82" i="98"/>
  <c r="AP83" i="98"/>
  <c r="AP85" i="98"/>
  <c r="AP79" i="98"/>
  <c r="F68" i="84"/>
  <c r="AB62" i="101"/>
  <c r="AC62" i="101" s="1"/>
  <c r="Z62" i="101"/>
  <c r="X62" i="101"/>
  <c r="V62" i="101"/>
  <c r="T62" i="101"/>
  <c r="R62" i="101"/>
  <c r="S62" i="101" s="1"/>
  <c r="P62" i="101"/>
  <c r="N62" i="101"/>
  <c r="AY83" i="98" l="1"/>
  <c r="U62" i="101"/>
  <c r="Y62" i="101"/>
  <c r="AW84" i="98"/>
  <c r="AA62" i="101"/>
  <c r="AY84" i="98"/>
  <c r="O62" i="101"/>
  <c r="AP84" i="98"/>
  <c r="Q62" i="101"/>
  <c r="AY85" i="98"/>
  <c r="AY79" i="98"/>
  <c r="AH62" i="101"/>
  <c r="W62" i="101"/>
  <c r="AI62" i="101" l="1"/>
  <c r="G41" i="84"/>
  <c r="G43" i="84" l="1"/>
  <c r="B51" i="101"/>
  <c r="C51" i="101"/>
  <c r="H51" i="101"/>
  <c r="Z52" i="101" s="1"/>
  <c r="I51" i="101"/>
  <c r="Z51" i="101" s="1"/>
  <c r="I78" i="98"/>
  <c r="N77" i="98"/>
  <c r="M77" i="98"/>
  <c r="L77" i="98"/>
  <c r="K77" i="98"/>
  <c r="J77" i="98"/>
  <c r="I77" i="98"/>
  <c r="H108" i="98"/>
  <c r="G108" i="98"/>
  <c r="F108" i="98"/>
  <c r="O108" i="98"/>
  <c r="P108" i="98"/>
  <c r="Q108" i="98"/>
  <c r="R108" i="98"/>
  <c r="S108" i="98"/>
  <c r="AO131" i="98"/>
  <c r="G66" i="98"/>
  <c r="H66" i="98"/>
  <c r="O66" i="98"/>
  <c r="P66" i="98"/>
  <c r="Q66" i="98"/>
  <c r="R66" i="98"/>
  <c r="S66" i="98"/>
  <c r="AO66" i="98"/>
  <c r="AO67" i="98" s="1"/>
  <c r="E19" i="97"/>
  <c r="E18" i="97"/>
  <c r="AS65" i="98"/>
  <c r="AS64" i="98"/>
  <c r="AS63" i="98"/>
  <c r="AS62" i="98"/>
  <c r="AS61" i="98"/>
  <c r="AS60" i="98"/>
  <c r="AS59" i="98"/>
  <c r="AS58" i="98"/>
  <c r="AS57" i="98"/>
  <c r="AS56" i="98"/>
  <c r="AS37" i="98"/>
  <c r="AS38" i="98"/>
  <c r="AS39" i="98"/>
  <c r="AS40" i="98"/>
  <c r="AS41" i="98"/>
  <c r="AS42" i="98"/>
  <c r="AS43" i="98"/>
  <c r="AS44" i="98"/>
  <c r="AS45" i="98"/>
  <c r="AS36" i="98"/>
  <c r="AP78" i="98" l="1"/>
  <c r="AV78" i="98"/>
  <c r="AY78" i="98" s="1"/>
  <c r="AV77" i="98"/>
  <c r="AY77" i="98" s="1"/>
  <c r="AP77" i="98"/>
  <c r="AH52" i="101"/>
  <c r="AA52" i="101"/>
  <c r="AI52" i="101" s="1"/>
  <c r="AH51" i="101"/>
  <c r="O59" i="84" l="1"/>
  <c r="O58" i="84"/>
  <c r="O57" i="84"/>
  <c r="O56" i="84"/>
  <c r="O55" i="84"/>
  <c r="O50" i="84"/>
  <c r="O52" i="84"/>
  <c r="E107" i="98"/>
  <c r="E105" i="98"/>
  <c r="E106" i="98"/>
  <c r="E100" i="98"/>
  <c r="E99" i="98"/>
  <c r="E98" i="98"/>
  <c r="G53" i="84"/>
  <c r="J99" i="98" l="1"/>
  <c r="N99" i="98"/>
  <c r="K99" i="98"/>
  <c r="I99" i="98"/>
  <c r="L99" i="98"/>
  <c r="M99" i="98"/>
  <c r="K98" i="98"/>
  <c r="L98" i="98"/>
  <c r="N98" i="98"/>
  <c r="M98" i="98"/>
  <c r="I98" i="98"/>
  <c r="J98" i="98"/>
  <c r="U105" i="98"/>
  <c r="Y105" i="98"/>
  <c r="AC105" i="98"/>
  <c r="AC43" i="98" s="1"/>
  <c r="T105" i="98"/>
  <c r="V105" i="98"/>
  <c r="Z105" i="98"/>
  <c r="AD105" i="98"/>
  <c r="AB105" i="98"/>
  <c r="W105" i="98"/>
  <c r="AA105" i="98"/>
  <c r="AE105" i="98"/>
  <c r="AE43" i="98" s="1"/>
  <c r="X105" i="98"/>
  <c r="E37" i="98"/>
  <c r="F17" i="102" s="1"/>
  <c r="AU99" i="98"/>
  <c r="E79" i="98"/>
  <c r="AU79" i="98" s="1"/>
  <c r="AU100" i="98"/>
  <c r="E44" i="98"/>
  <c r="F20" i="102" s="1"/>
  <c r="AU106" i="98"/>
  <c r="E45" i="98"/>
  <c r="AU107" i="98"/>
  <c r="E77" i="98"/>
  <c r="AU77" i="98" s="1"/>
  <c r="AU98" i="98"/>
  <c r="E84" i="98"/>
  <c r="AU84" i="98" s="1"/>
  <c r="AU105" i="98"/>
  <c r="E43" i="98"/>
  <c r="F19" i="102" s="1"/>
  <c r="AN107" i="98"/>
  <c r="AN108" i="98" s="1"/>
  <c r="AM107" i="98"/>
  <c r="AM108" i="98" s="1"/>
  <c r="E86" i="98"/>
  <c r="AU86" i="98" s="1"/>
  <c r="AL107" i="98"/>
  <c r="E78" i="98"/>
  <c r="AU78" i="98" s="1"/>
  <c r="E36" i="98"/>
  <c r="F16" i="102" s="1"/>
  <c r="E38" i="98"/>
  <c r="E85" i="98"/>
  <c r="AU85" i="98" s="1"/>
  <c r="AW105" i="98" l="1"/>
  <c r="E58" i="98"/>
  <c r="AU58" i="98" s="1"/>
  <c r="F18" i="102"/>
  <c r="AP99" i="98"/>
  <c r="AV99" i="98"/>
  <c r="AY99" i="98" s="1"/>
  <c r="AV98" i="98"/>
  <c r="AY98" i="98" s="1"/>
  <c r="E65" i="98"/>
  <c r="F21" i="102"/>
  <c r="AX107" i="98"/>
  <c r="AY107" i="98" s="1"/>
  <c r="AD43" i="98"/>
  <c r="AX43" i="98" s="1"/>
  <c r="AX105" i="98"/>
  <c r="AY105" i="98" s="1"/>
  <c r="J36" i="98"/>
  <c r="K37" i="98"/>
  <c r="M36" i="98"/>
  <c r="M37" i="98"/>
  <c r="N37" i="98"/>
  <c r="AL108" i="98"/>
  <c r="AP107" i="98"/>
  <c r="L36" i="98"/>
  <c r="AP98" i="98"/>
  <c r="K36" i="98"/>
  <c r="N36" i="98"/>
  <c r="L37" i="98"/>
  <c r="J37" i="98"/>
  <c r="AP105" i="98"/>
  <c r="E56" i="98"/>
  <c r="AU56" i="98" s="1"/>
  <c r="E57" i="98"/>
  <c r="AU57" i="98" s="1"/>
  <c r="AU43" i="98"/>
  <c r="E63" i="98"/>
  <c r="AU44" i="98"/>
  <c r="E64" i="98"/>
  <c r="AU45" i="98"/>
  <c r="AU36" i="98"/>
  <c r="AU38" i="98"/>
  <c r="AU37" i="98"/>
  <c r="I61" i="101"/>
  <c r="V61" i="101" s="1"/>
  <c r="I15" i="101"/>
  <c r="I17" i="101"/>
  <c r="I19" i="101"/>
  <c r="I21" i="101"/>
  <c r="I23" i="101"/>
  <c r="I25" i="101"/>
  <c r="I27" i="101"/>
  <c r="I29" i="101"/>
  <c r="I31" i="101"/>
  <c r="I33" i="101"/>
  <c r="I35" i="101"/>
  <c r="I37" i="101"/>
  <c r="I39" i="101"/>
  <c r="I41" i="101"/>
  <c r="I43" i="101"/>
  <c r="I45" i="101"/>
  <c r="I47" i="101"/>
  <c r="I49" i="101"/>
  <c r="I53" i="101"/>
  <c r="I55" i="101"/>
  <c r="I57" i="101"/>
  <c r="V57" i="101" s="1"/>
  <c r="I59" i="101"/>
  <c r="I13" i="101"/>
  <c r="H15" i="101"/>
  <c r="H17" i="101"/>
  <c r="H19" i="101"/>
  <c r="H21" i="101"/>
  <c r="H23" i="101"/>
  <c r="H25" i="101"/>
  <c r="J26" i="101" s="1"/>
  <c r="H27" i="101"/>
  <c r="H29" i="101"/>
  <c r="H31" i="101"/>
  <c r="J32" i="101" s="1"/>
  <c r="H33" i="101"/>
  <c r="H35" i="101"/>
  <c r="L36" i="101" s="1"/>
  <c r="H37" i="101"/>
  <c r="H39" i="101"/>
  <c r="N40" i="101" s="1"/>
  <c r="H41" i="101"/>
  <c r="H43" i="101"/>
  <c r="AB44" i="101" s="1"/>
  <c r="H45" i="101"/>
  <c r="AB46" i="101" s="1"/>
  <c r="H47" i="101"/>
  <c r="H49" i="101"/>
  <c r="H53" i="101"/>
  <c r="H55" i="101"/>
  <c r="H57" i="101"/>
  <c r="V58" i="101" s="1"/>
  <c r="H59" i="101"/>
  <c r="H13" i="101"/>
  <c r="L42" i="101" l="1"/>
  <c r="P42" i="101"/>
  <c r="N42" i="101"/>
  <c r="AB56" i="101"/>
  <c r="AD56" i="101"/>
  <c r="AF56" i="101"/>
  <c r="T22" i="101"/>
  <c r="X22" i="101"/>
  <c r="V22" i="101"/>
  <c r="J14" i="101"/>
  <c r="N14" i="101"/>
  <c r="L14" i="101"/>
  <c r="Z54" i="101"/>
  <c r="AA54" i="101" s="1"/>
  <c r="R54" i="101"/>
  <c r="S54" i="101" s="1"/>
  <c r="J54" i="101"/>
  <c r="L54" i="101"/>
  <c r="M54" i="101" s="1"/>
  <c r="X54" i="101"/>
  <c r="Y54" i="101" s="1"/>
  <c r="P54" i="101"/>
  <c r="Q54" i="101" s="1"/>
  <c r="AB54" i="101"/>
  <c r="AC54" i="101" s="1"/>
  <c r="V54" i="101"/>
  <c r="W54" i="101" s="1"/>
  <c r="N54" i="101"/>
  <c r="O54" i="101" s="1"/>
  <c r="T54" i="101"/>
  <c r="U54" i="101" s="1"/>
  <c r="AC44" i="101"/>
  <c r="AI44" i="101" s="1"/>
  <c r="AH44" i="101"/>
  <c r="AH36" i="101"/>
  <c r="M36" i="101"/>
  <c r="AI36" i="101" s="1"/>
  <c r="R28" i="101"/>
  <c r="X28" i="101"/>
  <c r="Y28" i="101" s="1"/>
  <c r="V28" i="101"/>
  <c r="W28" i="101" s="1"/>
  <c r="T28" i="101"/>
  <c r="U28" i="101" s="1"/>
  <c r="R20" i="101"/>
  <c r="S20" i="101" s="1"/>
  <c r="J20" i="101"/>
  <c r="P20" i="101"/>
  <c r="Q20" i="101" s="1"/>
  <c r="N20" i="101"/>
  <c r="O20" i="101" s="1"/>
  <c r="L20" i="101"/>
  <c r="M20" i="101" s="1"/>
  <c r="AF59" i="101"/>
  <c r="X59" i="101"/>
  <c r="AD59" i="101"/>
  <c r="V59" i="101"/>
  <c r="Z59" i="101"/>
  <c r="AB59" i="101"/>
  <c r="AH46" i="101"/>
  <c r="AC46" i="101"/>
  <c r="AI46" i="101" s="1"/>
  <c r="AB60" i="101"/>
  <c r="AC60" i="101" s="1"/>
  <c r="V60" i="101"/>
  <c r="Z60" i="101"/>
  <c r="AA60" i="101" s="1"/>
  <c r="AF60" i="101"/>
  <c r="AG60" i="101" s="1"/>
  <c r="X60" i="101"/>
  <c r="Y60" i="101" s="1"/>
  <c r="AD60" i="101"/>
  <c r="AE60" i="101" s="1"/>
  <c r="X50" i="101"/>
  <c r="Y50" i="101" s="1"/>
  <c r="V50" i="101"/>
  <c r="W50" i="101" s="1"/>
  <c r="T50" i="101"/>
  <c r="Z50" i="101"/>
  <c r="AA50" i="101" s="1"/>
  <c r="X34" i="101"/>
  <c r="Y34" i="101" s="1"/>
  <c r="R34" i="101"/>
  <c r="V34" i="101"/>
  <c r="W34" i="101" s="1"/>
  <c r="AB34" i="101"/>
  <c r="T34" i="101"/>
  <c r="U34" i="101" s="1"/>
  <c r="Z34" i="101"/>
  <c r="K26" i="101"/>
  <c r="AI26" i="101" s="1"/>
  <c r="AH26" i="101"/>
  <c r="N18" i="101"/>
  <c r="R18" i="101"/>
  <c r="S18" i="101" s="1"/>
  <c r="P18" i="101"/>
  <c r="Q18" i="101" s="1"/>
  <c r="T18" i="101"/>
  <c r="Q42" i="101"/>
  <c r="O42" i="101"/>
  <c r="L38" i="101"/>
  <c r="R30" i="101"/>
  <c r="S30" i="101" s="1"/>
  <c r="J30" i="101"/>
  <c r="P30" i="101"/>
  <c r="Q30" i="101" s="1"/>
  <c r="L30" i="101"/>
  <c r="M30" i="101" s="1"/>
  <c r="V30" i="101"/>
  <c r="W30" i="101" s="1"/>
  <c r="N30" i="101"/>
  <c r="O30" i="101" s="1"/>
  <c r="T30" i="101"/>
  <c r="U30" i="101" s="1"/>
  <c r="W58" i="101"/>
  <c r="AI58" i="101" s="1"/>
  <c r="AH58" i="101"/>
  <c r="AB48" i="101"/>
  <c r="AC48" i="101" s="1"/>
  <c r="T48" i="101"/>
  <c r="Z48" i="101"/>
  <c r="AA48" i="101" s="1"/>
  <c r="X48" i="101"/>
  <c r="Y48" i="101" s="1"/>
  <c r="V48" i="101"/>
  <c r="W48" i="101" s="1"/>
  <c r="O40" i="101"/>
  <c r="AI40" i="101" s="1"/>
  <c r="AH40" i="101"/>
  <c r="K32" i="101"/>
  <c r="AI32" i="101" s="1"/>
  <c r="AH32" i="101"/>
  <c r="R24" i="101"/>
  <c r="S24" i="101" s="1"/>
  <c r="N24" i="101"/>
  <c r="P24" i="101"/>
  <c r="Q24" i="101" s="1"/>
  <c r="L16" i="101"/>
  <c r="N16" i="101"/>
  <c r="O16" i="101" s="1"/>
  <c r="R16" i="101"/>
  <c r="P16" i="101"/>
  <c r="AH57" i="101"/>
  <c r="AD55" i="101"/>
  <c r="AB61" i="101"/>
  <c r="T61" i="101"/>
  <c r="N61" i="101"/>
  <c r="P61" i="101"/>
  <c r="Z61" i="101"/>
  <c r="R61" i="101"/>
  <c r="X61" i="101"/>
  <c r="I12" i="101"/>
  <c r="AB55" i="101"/>
  <c r="AF55" i="101"/>
  <c r="AA34" i="101" l="1"/>
  <c r="Z64" i="101"/>
  <c r="AB80" i="98" s="1"/>
  <c r="O14" i="101"/>
  <c r="N64" i="101"/>
  <c r="V80" i="98" s="1"/>
  <c r="AE59" i="101"/>
  <c r="J64" i="101"/>
  <c r="T80" i="98" s="1"/>
  <c r="AG56" i="101"/>
  <c r="AF64" i="101"/>
  <c r="AE80" i="98" s="1"/>
  <c r="Q16" i="101"/>
  <c r="P64" i="101"/>
  <c r="U18" i="101"/>
  <c r="T64" i="101"/>
  <c r="Y80" i="98" s="1"/>
  <c r="AC34" i="101"/>
  <c r="AB64" i="101"/>
  <c r="AC80" i="98" s="1"/>
  <c r="W22" i="101"/>
  <c r="V64" i="101"/>
  <c r="Z80" i="98" s="1"/>
  <c r="AE56" i="101"/>
  <c r="AD64" i="101"/>
  <c r="AD80" i="98" s="1"/>
  <c r="S16" i="101"/>
  <c r="R64" i="101"/>
  <c r="M14" i="101"/>
  <c r="L64" i="101"/>
  <c r="U80" i="98" s="1"/>
  <c r="Y22" i="101"/>
  <c r="X64" i="101"/>
  <c r="AA80" i="98" s="1"/>
  <c r="S28" i="101"/>
  <c r="AH28" i="101"/>
  <c r="AH54" i="101"/>
  <c r="K54" i="101"/>
  <c r="AI54" i="101" s="1"/>
  <c r="U22" i="101"/>
  <c r="AH22" i="101"/>
  <c r="AH24" i="101"/>
  <c r="O24" i="101"/>
  <c r="AI24" i="101" s="1"/>
  <c r="M42" i="101"/>
  <c r="AI42" i="101" s="1"/>
  <c r="AH42" i="101"/>
  <c r="W60" i="101"/>
  <c r="AI60" i="101" s="1"/>
  <c r="AH60" i="101"/>
  <c r="K14" i="101"/>
  <c r="AI14" i="101" s="1"/>
  <c r="AH14" i="101"/>
  <c r="AH18" i="101"/>
  <c r="O18" i="101"/>
  <c r="AI18" i="101" s="1"/>
  <c r="AD63" i="101"/>
  <c r="AD65" i="101" s="1"/>
  <c r="U48" i="101"/>
  <c r="AI48" i="101" s="1"/>
  <c r="AH48" i="101"/>
  <c r="M38" i="101"/>
  <c r="AI38" i="101" s="1"/>
  <c r="AH38" i="101"/>
  <c r="AH50" i="101"/>
  <c r="U50" i="101"/>
  <c r="AI50" i="101" s="1"/>
  <c r="AG59" i="101"/>
  <c r="AI28" i="101"/>
  <c r="M16" i="101"/>
  <c r="AI16" i="101" s="1"/>
  <c r="AH16" i="101"/>
  <c r="K30" i="101"/>
  <c r="AI30" i="101" s="1"/>
  <c r="AH30" i="101"/>
  <c r="AH34" i="101"/>
  <c r="S34" i="101"/>
  <c r="AI34" i="101" s="1"/>
  <c r="W59" i="101"/>
  <c r="K20" i="101"/>
  <c r="AI20" i="101" s="1"/>
  <c r="AH20" i="101"/>
  <c r="AH56" i="101"/>
  <c r="AC56" i="101"/>
  <c r="AI56" i="101" s="1"/>
  <c r="W57" i="101"/>
  <c r="AI57" i="101" s="1"/>
  <c r="AA51" i="101"/>
  <c r="AI51" i="101" s="1"/>
  <c r="U61" i="101"/>
  <c r="AG55" i="101"/>
  <c r="AF63" i="101"/>
  <c r="AF65" i="101" s="1"/>
  <c r="AA61" i="101"/>
  <c r="AC61" i="101"/>
  <c r="Q61" i="101"/>
  <c r="W61" i="101"/>
  <c r="AA59" i="101"/>
  <c r="AH55" i="101"/>
  <c r="AC55" i="101"/>
  <c r="AC59" i="101"/>
  <c r="Y61" i="101"/>
  <c r="O61" i="101"/>
  <c r="AH61" i="101"/>
  <c r="AE55" i="101"/>
  <c r="Y59" i="101"/>
  <c r="AH59" i="101"/>
  <c r="S61" i="101"/>
  <c r="AI22" i="101" l="1"/>
  <c r="AX80" i="98"/>
  <c r="X80" i="98"/>
  <c r="W80" i="98"/>
  <c r="AH64" i="101"/>
  <c r="AI59" i="101"/>
  <c r="AI61" i="101"/>
  <c r="AI55" i="101"/>
  <c r="AP80" i="98" l="1"/>
  <c r="AW80" i="98"/>
  <c r="AY80" i="98" s="1"/>
  <c r="D374" i="83"/>
  <c r="D373" i="83"/>
  <c r="D372" i="83"/>
  <c r="D371" i="83"/>
  <c r="D370" i="83"/>
  <c r="D369" i="83"/>
  <c r="D368" i="83"/>
  <c r="D367" i="83"/>
  <c r="D366" i="83"/>
  <c r="D365" i="83"/>
  <c r="D364" i="83"/>
  <c r="D363" i="83"/>
  <c r="D362" i="83"/>
  <c r="D361" i="83"/>
  <c r="D360" i="83"/>
  <c r="D359" i="83"/>
  <c r="D358" i="83"/>
  <c r="D357" i="83"/>
  <c r="F344" i="83"/>
  <c r="H337" i="83" s="1"/>
  <c r="G333" i="83"/>
  <c r="F374" i="83" s="1"/>
  <c r="F333" i="83"/>
  <c r="E374" i="83" s="1"/>
  <c r="H330" i="83"/>
  <c r="G326" i="83"/>
  <c r="F373" i="83" s="1"/>
  <c r="F326" i="83"/>
  <c r="E373" i="83" s="1"/>
  <c r="H318" i="83"/>
  <c r="G314" i="83"/>
  <c r="F372" i="83" s="1"/>
  <c r="F314" i="83"/>
  <c r="E372" i="83" s="1"/>
  <c r="H304" i="83"/>
  <c r="G300" i="83"/>
  <c r="F371" i="83" s="1"/>
  <c r="F300" i="83"/>
  <c r="E371" i="83" s="1"/>
  <c r="H297" i="83"/>
  <c r="G293" i="83"/>
  <c r="F370" i="83" s="1"/>
  <c r="F293" i="83"/>
  <c r="E370" i="83" s="1"/>
  <c r="G370" i="83" s="1"/>
  <c r="H285" i="83"/>
  <c r="G281" i="83"/>
  <c r="F369" i="83" s="1"/>
  <c r="F281" i="83"/>
  <c r="E369" i="83" s="1"/>
  <c r="H275" i="83"/>
  <c r="G271" i="83"/>
  <c r="F368" i="83" s="1"/>
  <c r="F271" i="83"/>
  <c r="E368" i="83" s="1"/>
  <c r="H263" i="83"/>
  <c r="G259" i="83"/>
  <c r="F367" i="83" s="1"/>
  <c r="F259" i="83"/>
  <c r="E367" i="83" s="1"/>
  <c r="H254" i="83"/>
  <c r="G250" i="83"/>
  <c r="F366" i="83" s="1"/>
  <c r="F250" i="83"/>
  <c r="E366" i="83" s="1"/>
  <c r="H246" i="83"/>
  <c r="G242" i="83"/>
  <c r="F365" i="83" s="1"/>
  <c r="F242" i="83"/>
  <c r="E365" i="83" s="1"/>
  <c r="H240" i="83"/>
  <c r="G234" i="83"/>
  <c r="F364" i="83" s="1"/>
  <c r="F231" i="83"/>
  <c r="F230" i="83"/>
  <c r="F228" i="83"/>
  <c r="H224" i="83"/>
  <c r="G220" i="83"/>
  <c r="F363" i="83" s="1"/>
  <c r="F220" i="83"/>
  <c r="E363" i="83" s="1"/>
  <c r="G363" i="83" s="1"/>
  <c r="H216" i="83"/>
  <c r="G212" i="83"/>
  <c r="F362" i="83" s="1"/>
  <c r="F212" i="83"/>
  <c r="E362" i="83" s="1"/>
  <c r="H203" i="83"/>
  <c r="G199" i="83"/>
  <c r="F361" i="83" s="1"/>
  <c r="F199" i="83"/>
  <c r="E361" i="83" s="1"/>
  <c r="G361" i="83" s="1"/>
  <c r="H189" i="83"/>
  <c r="G185" i="83"/>
  <c r="F360" i="83" s="1"/>
  <c r="F184" i="83"/>
  <c r="F185" i="83" s="1"/>
  <c r="E360" i="83" s="1"/>
  <c r="H177" i="83"/>
  <c r="G171" i="83"/>
  <c r="F359" i="83" s="1"/>
  <c r="F170" i="83"/>
  <c r="F169" i="83"/>
  <c r="H161" i="83"/>
  <c r="G157" i="83"/>
  <c r="F358" i="83" s="1"/>
  <c r="F157" i="83"/>
  <c r="E358" i="83" s="1"/>
  <c r="G358" i="83" s="1"/>
  <c r="H143" i="83"/>
  <c r="G139" i="83"/>
  <c r="F357" i="83" s="1"/>
  <c r="F124" i="83"/>
  <c r="F139" i="83" s="1"/>
  <c r="E357" i="83" s="1"/>
  <c r="H119" i="83"/>
  <c r="G115" i="83"/>
  <c r="F356" i="83" s="1"/>
  <c r="F114" i="83"/>
  <c r="F113" i="83"/>
  <c r="H108" i="83"/>
  <c r="G104" i="83"/>
  <c r="F105" i="83" s="1"/>
  <c r="F104" i="83"/>
  <c r="E355" i="83" s="1"/>
  <c r="H101" i="83"/>
  <c r="G97" i="83"/>
  <c r="F354" i="83" s="1"/>
  <c r="F97" i="83"/>
  <c r="E354" i="83" s="1"/>
  <c r="H87" i="83"/>
  <c r="G83" i="83"/>
  <c r="F84" i="83" s="1"/>
  <c r="F82" i="83"/>
  <c r="F83" i="83" s="1"/>
  <c r="E353" i="83" s="1"/>
  <c r="H65" i="83"/>
  <c r="G60" i="83"/>
  <c r="F352" i="83" s="1"/>
  <c r="F59" i="83"/>
  <c r="F58" i="83"/>
  <c r="F46" i="83"/>
  <c r="F44" i="83"/>
  <c r="F43" i="83"/>
  <c r="F42" i="83"/>
  <c r="F41" i="83"/>
  <c r="F39" i="83"/>
  <c r="F38" i="83"/>
  <c r="H7" i="83"/>
  <c r="F234" i="83" l="1"/>
  <c r="E364" i="83" s="1"/>
  <c r="G364" i="83" s="1"/>
  <c r="G357" i="83"/>
  <c r="F171" i="83"/>
  <c r="E359" i="83" s="1"/>
  <c r="G359" i="83" s="1"/>
  <c r="G366" i="83"/>
  <c r="G374" i="83"/>
  <c r="F140" i="83"/>
  <c r="G372" i="83"/>
  <c r="F158" i="83"/>
  <c r="G368" i="83"/>
  <c r="F61" i="83"/>
  <c r="F115" i="83"/>
  <c r="E356" i="83" s="1"/>
  <c r="G356" i="83" s="1"/>
  <c r="G360" i="83"/>
  <c r="H346" i="83"/>
  <c r="F60" i="83"/>
  <c r="E352" i="83" s="1"/>
  <c r="E375" i="83" s="1"/>
  <c r="E377" i="83" s="1"/>
  <c r="G367" i="83"/>
  <c r="G371" i="83"/>
  <c r="G354" i="83"/>
  <c r="G362" i="83"/>
  <c r="G365" i="83"/>
  <c r="G369" i="83"/>
  <c r="G373" i="83"/>
  <c r="F355" i="83"/>
  <c r="G355" i="83" s="1"/>
  <c r="F98" i="83"/>
  <c r="F172" i="83"/>
  <c r="F235" i="83"/>
  <c r="F243" i="83"/>
  <c r="F251" i="83"/>
  <c r="F260" i="83"/>
  <c r="F272" i="83"/>
  <c r="F282" i="83"/>
  <c r="F294" i="83"/>
  <c r="F301" i="83"/>
  <c r="F315" i="83"/>
  <c r="F327" i="83"/>
  <c r="F334" i="83"/>
  <c r="F353" i="83"/>
  <c r="F116" i="83"/>
  <c r="F186" i="83"/>
  <c r="F200" i="83"/>
  <c r="F213" i="83"/>
  <c r="F221" i="83"/>
  <c r="F375" i="83" l="1"/>
  <c r="G353" i="83"/>
  <c r="G352" i="83"/>
  <c r="F379" i="83"/>
  <c r="G375" i="83"/>
  <c r="E379" i="83"/>
  <c r="G377" i="83"/>
  <c r="C61" i="101" l="1"/>
  <c r="B61" i="101"/>
  <c r="C15" i="101"/>
  <c r="C17" i="101"/>
  <c r="C19" i="101"/>
  <c r="C21" i="101"/>
  <c r="C23" i="101"/>
  <c r="C25" i="101"/>
  <c r="C27" i="101"/>
  <c r="C29" i="101"/>
  <c r="C31" i="101"/>
  <c r="C33" i="101"/>
  <c r="C35" i="101"/>
  <c r="C37" i="101"/>
  <c r="C39" i="101"/>
  <c r="C41" i="101"/>
  <c r="C43" i="101"/>
  <c r="C45" i="101"/>
  <c r="C47" i="101"/>
  <c r="C49" i="101"/>
  <c r="C53" i="101"/>
  <c r="C55" i="101"/>
  <c r="C57" i="101"/>
  <c r="C13" i="101"/>
  <c r="B59" i="101"/>
  <c r="B55" i="101"/>
  <c r="B57" i="101"/>
  <c r="B15" i="101"/>
  <c r="B17" i="101"/>
  <c r="B19" i="101"/>
  <c r="B21" i="101"/>
  <c r="B23" i="101"/>
  <c r="B25" i="101"/>
  <c r="B27" i="101"/>
  <c r="B29" i="101"/>
  <c r="B31" i="101"/>
  <c r="B33" i="101"/>
  <c r="B35" i="101"/>
  <c r="B37" i="101"/>
  <c r="B39" i="101"/>
  <c r="B41" i="101"/>
  <c r="B43" i="101"/>
  <c r="B45" i="101"/>
  <c r="B47" i="101"/>
  <c r="B49" i="101"/>
  <c r="B53" i="101"/>
  <c r="B13" i="101"/>
  <c r="F34" i="91"/>
  <c r="G34" i="91" s="1"/>
  <c r="I190" i="95"/>
  <c r="J190" i="95" s="1"/>
  <c r="T190" i="95" s="1"/>
  <c r="I189" i="95"/>
  <c r="J189" i="95" s="1"/>
  <c r="W189" i="95" s="1"/>
  <c r="I188" i="95"/>
  <c r="J188" i="95" s="1"/>
  <c r="Z188" i="95" s="1"/>
  <c r="I187" i="95"/>
  <c r="J187" i="95" s="1"/>
  <c r="U187" i="95" s="1"/>
  <c r="I186" i="95"/>
  <c r="J186" i="95" s="1"/>
  <c r="X186" i="95" s="1"/>
  <c r="I185" i="95"/>
  <c r="J185" i="95" s="1"/>
  <c r="S185" i="95" s="1"/>
  <c r="I184" i="95"/>
  <c r="J184" i="95" s="1"/>
  <c r="V184" i="95" s="1"/>
  <c r="I183" i="95"/>
  <c r="J183" i="95" s="1"/>
  <c r="Y183" i="95" s="1"/>
  <c r="I182" i="95"/>
  <c r="J182" i="95" s="1"/>
  <c r="T182" i="95" s="1"/>
  <c r="I181" i="95"/>
  <c r="J181" i="95" s="1"/>
  <c r="W181" i="95" s="1"/>
  <c r="I180" i="95"/>
  <c r="J180" i="95" s="1"/>
  <c r="Z180" i="95" s="1"/>
  <c r="I179" i="95"/>
  <c r="J179" i="95" s="1"/>
  <c r="U179" i="95" s="1"/>
  <c r="I178" i="95"/>
  <c r="J178" i="95" s="1"/>
  <c r="X178" i="95" s="1"/>
  <c r="I175" i="95"/>
  <c r="J175" i="95" s="1"/>
  <c r="X175" i="95" s="1"/>
  <c r="I174" i="95"/>
  <c r="J174" i="95" s="1"/>
  <c r="S174" i="95" s="1"/>
  <c r="I173" i="95"/>
  <c r="J173" i="95" s="1"/>
  <c r="V173" i="95" s="1"/>
  <c r="I172" i="95"/>
  <c r="J172" i="95" s="1"/>
  <c r="Y172" i="95" s="1"/>
  <c r="I171" i="95"/>
  <c r="J171" i="95" s="1"/>
  <c r="T171" i="95" s="1"/>
  <c r="I170" i="95"/>
  <c r="J170" i="95" s="1"/>
  <c r="W170" i="95" s="1"/>
  <c r="I169" i="95"/>
  <c r="J169" i="95" s="1"/>
  <c r="Z169" i="95" s="1"/>
  <c r="I168" i="95"/>
  <c r="J168" i="95" s="1"/>
  <c r="U168" i="95" s="1"/>
  <c r="I167" i="95"/>
  <c r="J167" i="95" s="1"/>
  <c r="X167" i="95" s="1"/>
  <c r="I166" i="95"/>
  <c r="J166" i="95" s="1"/>
  <c r="S166" i="95" s="1"/>
  <c r="I165" i="95"/>
  <c r="J165" i="95" s="1"/>
  <c r="V165" i="95" s="1"/>
  <c r="I164" i="95"/>
  <c r="J164" i="95" s="1"/>
  <c r="Y164" i="95" s="1"/>
  <c r="I163" i="95"/>
  <c r="J163" i="95" s="1"/>
  <c r="T163" i="95" s="1"/>
  <c r="I162" i="95"/>
  <c r="J162" i="95" s="1"/>
  <c r="W162" i="95" s="1"/>
  <c r="AC171" i="95" l="1"/>
  <c r="T179" i="95"/>
  <c r="AA169" i="95"/>
  <c r="AA163" i="95"/>
  <c r="Y175" i="95"/>
  <c r="S175" i="95"/>
  <c r="AA171" i="95"/>
  <c r="U167" i="95"/>
  <c r="AB187" i="95"/>
  <c r="U184" i="95"/>
  <c r="V185" i="95"/>
  <c r="R162" i="95"/>
  <c r="Z174" i="95"/>
  <c r="U171" i="95"/>
  <c r="Z166" i="95"/>
  <c r="R184" i="95"/>
  <c r="T187" i="95"/>
  <c r="T183" i="95"/>
  <c r="V189" i="95"/>
  <c r="AA175" i="95"/>
  <c r="Y173" i="95"/>
  <c r="S171" i="95"/>
  <c r="U165" i="95"/>
  <c r="X189" i="95"/>
  <c r="X185" i="95"/>
  <c r="V181" i="95"/>
  <c r="AB168" i="95"/>
  <c r="W173" i="95"/>
  <c r="Y169" i="95"/>
  <c r="Z187" i="95"/>
  <c r="R170" i="95"/>
  <c r="W175" i="95"/>
  <c r="AC173" i="95"/>
  <c r="U173" i="95"/>
  <c r="Y171" i="95"/>
  <c r="V170" i="95"/>
  <c r="W169" i="95"/>
  <c r="AC167" i="95"/>
  <c r="AC165" i="95"/>
  <c r="S163" i="95"/>
  <c r="AB189" i="95"/>
  <c r="T189" i="95"/>
  <c r="X187" i="95"/>
  <c r="AB185" i="95"/>
  <c r="T185" i="95"/>
  <c r="Z183" i="95"/>
  <c r="Y180" i="95"/>
  <c r="R172" i="95"/>
  <c r="T168" i="95"/>
  <c r="W186" i="95"/>
  <c r="AB183" i="95"/>
  <c r="W178" i="95"/>
  <c r="AC175" i="95"/>
  <c r="U175" i="95"/>
  <c r="AA173" i="95"/>
  <c r="S173" i="95"/>
  <c r="W171" i="95"/>
  <c r="AC169" i="95"/>
  <c r="U169" i="95"/>
  <c r="W167" i="95"/>
  <c r="AA165" i="95"/>
  <c r="V162" i="95"/>
  <c r="Z189" i="95"/>
  <c r="Y188" i="95"/>
  <c r="V187" i="95"/>
  <c r="Z185" i="95"/>
  <c r="AC184" i="95"/>
  <c r="X183" i="95"/>
  <c r="AB179" i="95"/>
  <c r="AA182" i="95"/>
  <c r="S182" i="95"/>
  <c r="R171" i="95"/>
  <c r="R163" i="95"/>
  <c r="V175" i="95"/>
  <c r="Y174" i="95"/>
  <c r="AB173" i="95"/>
  <c r="T173" i="95"/>
  <c r="W172" i="95"/>
  <c r="Z171" i="95"/>
  <c r="AC170" i="95"/>
  <c r="U170" i="95"/>
  <c r="X169" i="95"/>
  <c r="AA168" i="95"/>
  <c r="S168" i="95"/>
  <c r="V167" i="95"/>
  <c r="Y166" i="95"/>
  <c r="AB165" i="95"/>
  <c r="T165" i="95"/>
  <c r="W164" i="95"/>
  <c r="Z163" i="95"/>
  <c r="AC162" i="95"/>
  <c r="U162" i="95"/>
  <c r="R178" i="95"/>
  <c r="R183" i="95"/>
  <c r="Z190" i="95"/>
  <c r="AC189" i="95"/>
  <c r="U189" i="95"/>
  <c r="X188" i="95"/>
  <c r="AA187" i="95"/>
  <c r="S187" i="95"/>
  <c r="V186" i="95"/>
  <c r="Y185" i="95"/>
  <c r="AB184" i="95"/>
  <c r="T184" i="95"/>
  <c r="W183" i="95"/>
  <c r="Z182" i="95"/>
  <c r="AC181" i="95"/>
  <c r="U181" i="95"/>
  <c r="X180" i="95"/>
  <c r="AA179" i="95"/>
  <c r="S179" i="95"/>
  <c r="V178" i="95"/>
  <c r="V172" i="95"/>
  <c r="AB170" i="95"/>
  <c r="Z168" i="95"/>
  <c r="S165" i="95"/>
  <c r="V164" i="95"/>
  <c r="Y163" i="95"/>
  <c r="AB162" i="95"/>
  <c r="T162" i="95"/>
  <c r="R190" i="95"/>
  <c r="R182" i="95"/>
  <c r="Y190" i="95"/>
  <c r="W188" i="95"/>
  <c r="AC186" i="95"/>
  <c r="U186" i="95"/>
  <c r="AA184" i="95"/>
  <c r="S184" i="95"/>
  <c r="V183" i="95"/>
  <c r="Y182" i="95"/>
  <c r="AB181" i="95"/>
  <c r="T181" i="95"/>
  <c r="W180" i="95"/>
  <c r="Z179" i="95"/>
  <c r="AC178" i="95"/>
  <c r="U178" i="95"/>
  <c r="X174" i="95"/>
  <c r="T170" i="95"/>
  <c r="X166" i="95"/>
  <c r="R169" i="95"/>
  <c r="AB175" i="95"/>
  <c r="T175" i="95"/>
  <c r="W174" i="95"/>
  <c r="Z173" i="95"/>
  <c r="AC172" i="95"/>
  <c r="U172" i="95"/>
  <c r="X171" i="95"/>
  <c r="AA170" i="95"/>
  <c r="S170" i="95"/>
  <c r="V169" i="95"/>
  <c r="Y168" i="95"/>
  <c r="AB167" i="95"/>
  <c r="T167" i="95"/>
  <c r="W166" i="95"/>
  <c r="Z165" i="95"/>
  <c r="AC164" i="95"/>
  <c r="U164" i="95"/>
  <c r="X163" i="95"/>
  <c r="AA162" i="95"/>
  <c r="S162" i="95"/>
  <c r="R189" i="95"/>
  <c r="R181" i="95"/>
  <c r="X190" i="95"/>
  <c r="AA189" i="95"/>
  <c r="S189" i="95"/>
  <c r="V188" i="95"/>
  <c r="Y187" i="95"/>
  <c r="AB186" i="95"/>
  <c r="T186" i="95"/>
  <c r="W185" i="95"/>
  <c r="Z184" i="95"/>
  <c r="AC183" i="95"/>
  <c r="U183" i="95"/>
  <c r="X182" i="95"/>
  <c r="AA181" i="95"/>
  <c r="S181" i="95"/>
  <c r="V180" i="95"/>
  <c r="Y179" i="95"/>
  <c r="AB178" i="95"/>
  <c r="T178" i="95"/>
  <c r="AA190" i="95"/>
  <c r="R168" i="95"/>
  <c r="V174" i="95"/>
  <c r="AB172" i="95"/>
  <c r="T172" i="95"/>
  <c r="Z170" i="95"/>
  <c r="AA167" i="95"/>
  <c r="S167" i="95"/>
  <c r="V166" i="95"/>
  <c r="Y165" i="95"/>
  <c r="AB164" i="95"/>
  <c r="T164" i="95"/>
  <c r="W163" i="95"/>
  <c r="Z162" i="95"/>
  <c r="R188" i="95"/>
  <c r="R180" i="95"/>
  <c r="W190" i="95"/>
  <c r="AC188" i="95"/>
  <c r="U188" i="95"/>
  <c r="AA186" i="95"/>
  <c r="S186" i="95"/>
  <c r="Y184" i="95"/>
  <c r="W182" i="95"/>
  <c r="Z181" i="95"/>
  <c r="AC180" i="95"/>
  <c r="U180" i="95"/>
  <c r="X179" i="95"/>
  <c r="AA178" i="95"/>
  <c r="S178" i="95"/>
  <c r="X168" i="95"/>
  <c r="R175" i="95"/>
  <c r="R167" i="95"/>
  <c r="Z175" i="95"/>
  <c r="AC174" i="95"/>
  <c r="U174" i="95"/>
  <c r="X173" i="95"/>
  <c r="AA172" i="95"/>
  <c r="S172" i="95"/>
  <c r="V171" i="95"/>
  <c r="Y170" i="95"/>
  <c r="AB169" i="95"/>
  <c r="T169" i="95"/>
  <c r="W168" i="95"/>
  <c r="Z167" i="95"/>
  <c r="AC166" i="95"/>
  <c r="U166" i="95"/>
  <c r="X165" i="95"/>
  <c r="AA164" i="95"/>
  <c r="S164" i="95"/>
  <c r="V163" i="95"/>
  <c r="Y162" i="95"/>
  <c r="R187" i="95"/>
  <c r="R179" i="95"/>
  <c r="V190" i="95"/>
  <c r="Y189" i="95"/>
  <c r="AB188" i="95"/>
  <c r="T188" i="95"/>
  <c r="W187" i="95"/>
  <c r="Z186" i="95"/>
  <c r="AC185" i="95"/>
  <c r="U185" i="95"/>
  <c r="X184" i="95"/>
  <c r="AA183" i="95"/>
  <c r="S183" i="95"/>
  <c r="V182" i="95"/>
  <c r="Y181" i="95"/>
  <c r="AB180" i="95"/>
  <c r="T180" i="95"/>
  <c r="W179" i="95"/>
  <c r="Z178" i="95"/>
  <c r="X172" i="95"/>
  <c r="S190" i="95"/>
  <c r="R174" i="95"/>
  <c r="T174" i="95"/>
  <c r="Z172" i="95"/>
  <c r="X170" i="95"/>
  <c r="S169" i="95"/>
  <c r="V168" i="95"/>
  <c r="Y167" i="95"/>
  <c r="AB166" i="95"/>
  <c r="T166" i="95"/>
  <c r="W165" i="95"/>
  <c r="Z164" i="95"/>
  <c r="AC163" i="95"/>
  <c r="U163" i="95"/>
  <c r="X162" i="95"/>
  <c r="R186" i="95"/>
  <c r="AC190" i="95"/>
  <c r="U190" i="95"/>
  <c r="AA188" i="95"/>
  <c r="S188" i="95"/>
  <c r="Y186" i="95"/>
  <c r="W184" i="95"/>
  <c r="AC182" i="95"/>
  <c r="U182" i="95"/>
  <c r="X181" i="95"/>
  <c r="AA180" i="95"/>
  <c r="S180" i="95"/>
  <c r="V179" i="95"/>
  <c r="Y178" i="95"/>
  <c r="R164" i="95"/>
  <c r="X164" i="95"/>
  <c r="R166" i="95"/>
  <c r="AB174" i="95"/>
  <c r="R173" i="95"/>
  <c r="R165" i="95"/>
  <c r="AA174" i="95"/>
  <c r="AB171" i="95"/>
  <c r="AC168" i="95"/>
  <c r="AA166" i="95"/>
  <c r="AB163" i="95"/>
  <c r="R185" i="95"/>
  <c r="AB190" i="95"/>
  <c r="AC187" i="95"/>
  <c r="AA185" i="95"/>
  <c r="AB182" i="95"/>
  <c r="AC179" i="95"/>
  <c r="S100" i="95"/>
  <c r="T100" i="95"/>
  <c r="U100" i="95"/>
  <c r="V100" i="95"/>
  <c r="W100" i="95"/>
  <c r="X100" i="95"/>
  <c r="Y100" i="95"/>
  <c r="Z100" i="95"/>
  <c r="AA100" i="95"/>
  <c r="AB100" i="95"/>
  <c r="AC100" i="95"/>
  <c r="S103" i="95"/>
  <c r="T103" i="95"/>
  <c r="U103" i="95"/>
  <c r="V103" i="95"/>
  <c r="W103" i="95"/>
  <c r="X103" i="95"/>
  <c r="Y103" i="95"/>
  <c r="Z103" i="95"/>
  <c r="AA103" i="95"/>
  <c r="AB103" i="95"/>
  <c r="AC103" i="95"/>
  <c r="S104" i="95"/>
  <c r="T104" i="95"/>
  <c r="U104" i="95"/>
  <c r="V104" i="95"/>
  <c r="W104" i="95"/>
  <c r="X104" i="95"/>
  <c r="Y104" i="95"/>
  <c r="Z104" i="95"/>
  <c r="AA104" i="95"/>
  <c r="AB104" i="95"/>
  <c r="AC104" i="95"/>
  <c r="S112" i="95"/>
  <c r="T112" i="95"/>
  <c r="U112" i="95"/>
  <c r="V112" i="95"/>
  <c r="W112" i="95"/>
  <c r="X112" i="95"/>
  <c r="Y112" i="95"/>
  <c r="Z112" i="95"/>
  <c r="AA112" i="95"/>
  <c r="AB112" i="95"/>
  <c r="AC112" i="95"/>
  <c r="S113" i="95"/>
  <c r="T113" i="95"/>
  <c r="U113" i="95"/>
  <c r="V113" i="95"/>
  <c r="W113" i="95"/>
  <c r="X113" i="95"/>
  <c r="Y113" i="95"/>
  <c r="Z113" i="95"/>
  <c r="AA113" i="95"/>
  <c r="AB113" i="95"/>
  <c r="AC113" i="95"/>
  <c r="R103" i="95"/>
  <c r="R104" i="95"/>
  <c r="R112" i="95"/>
  <c r="R113" i="95"/>
  <c r="S125" i="95"/>
  <c r="T125" i="95"/>
  <c r="U125" i="95"/>
  <c r="V125" i="95"/>
  <c r="W125" i="95"/>
  <c r="X125" i="95"/>
  <c r="Y125" i="95"/>
  <c r="Z125" i="95"/>
  <c r="AA125" i="95"/>
  <c r="AB125" i="95"/>
  <c r="AC125" i="95"/>
  <c r="S134" i="95"/>
  <c r="T134" i="95"/>
  <c r="U134" i="95"/>
  <c r="V134" i="95"/>
  <c r="W134" i="95"/>
  <c r="X134" i="95"/>
  <c r="Y134" i="95"/>
  <c r="Z134" i="95"/>
  <c r="AA134" i="95"/>
  <c r="AB134" i="95"/>
  <c r="AC134" i="95"/>
  <c r="R125" i="95"/>
  <c r="R134" i="95"/>
  <c r="I157" i="95"/>
  <c r="J157" i="95" s="1"/>
  <c r="Y157" i="95" s="1"/>
  <c r="I156" i="95"/>
  <c r="J156" i="95" s="1"/>
  <c r="T156" i="95" s="1"/>
  <c r="I155" i="95"/>
  <c r="J155" i="95" s="1"/>
  <c r="W155" i="95" s="1"/>
  <c r="I154" i="95"/>
  <c r="J154" i="95" s="1"/>
  <c r="Z154" i="95" s="1"/>
  <c r="H153" i="95"/>
  <c r="I153" i="95" s="1"/>
  <c r="J153" i="95" s="1"/>
  <c r="U153" i="95" s="1"/>
  <c r="I152" i="95"/>
  <c r="J152" i="95" s="1"/>
  <c r="X152" i="95" s="1"/>
  <c r="I151" i="95"/>
  <c r="J151" i="95" s="1"/>
  <c r="I150" i="95"/>
  <c r="J150" i="95" s="1"/>
  <c r="V150" i="95" s="1"/>
  <c r="I149" i="95"/>
  <c r="J149" i="95" s="1"/>
  <c r="Y149" i="95" s="1"/>
  <c r="H148" i="95"/>
  <c r="I148" i="95" s="1"/>
  <c r="J148" i="95" s="1"/>
  <c r="I147" i="95"/>
  <c r="J147" i="95" s="1"/>
  <c r="W147" i="95" s="1"/>
  <c r="I146" i="95"/>
  <c r="J146" i="95" s="1"/>
  <c r="Z146" i="95" s="1"/>
  <c r="I145" i="95"/>
  <c r="J145" i="95" s="1"/>
  <c r="U145" i="95" s="1"/>
  <c r="I144" i="95"/>
  <c r="J144" i="95" s="1"/>
  <c r="X144" i="95" s="1"/>
  <c r="I140" i="95"/>
  <c r="J140" i="95" s="1"/>
  <c r="U140" i="95" s="1"/>
  <c r="I139" i="95"/>
  <c r="J139" i="95" s="1"/>
  <c r="X139" i="95" s="1"/>
  <c r="I138" i="95"/>
  <c r="J138" i="95" s="1"/>
  <c r="S138" i="95" s="1"/>
  <c r="I137" i="95"/>
  <c r="J137" i="95" s="1"/>
  <c r="V137" i="95" s="1"/>
  <c r="I136" i="95"/>
  <c r="J136" i="95" s="1"/>
  <c r="Y136" i="95" s="1"/>
  <c r="I135" i="95"/>
  <c r="J135" i="95" s="1"/>
  <c r="T135" i="95" s="1"/>
  <c r="I133" i="95"/>
  <c r="J133" i="95" s="1"/>
  <c r="Z133" i="95" s="1"/>
  <c r="I132" i="95"/>
  <c r="J132" i="95" s="1"/>
  <c r="U132" i="95" s="1"/>
  <c r="I131" i="95"/>
  <c r="J131" i="95" s="1"/>
  <c r="X131" i="95" s="1"/>
  <c r="I130" i="95"/>
  <c r="J130" i="95" s="1"/>
  <c r="S130" i="95" s="1"/>
  <c r="I129" i="95"/>
  <c r="J129" i="95" s="1"/>
  <c r="V129" i="95" s="1"/>
  <c r="I128" i="95"/>
  <c r="J128" i="95" s="1"/>
  <c r="Y128" i="95" s="1"/>
  <c r="I127" i="95"/>
  <c r="J127" i="95" s="1"/>
  <c r="T127" i="95" s="1"/>
  <c r="I126" i="95"/>
  <c r="J126" i="95" s="1"/>
  <c r="W126" i="95" s="1"/>
  <c r="I124" i="95"/>
  <c r="J124" i="95" s="1"/>
  <c r="U124" i="95" s="1"/>
  <c r="I123" i="95"/>
  <c r="J123" i="95" s="1"/>
  <c r="X123" i="95" s="1"/>
  <c r="AC139" i="95" l="1"/>
  <c r="AC150" i="95"/>
  <c r="AA135" i="95"/>
  <c r="AC129" i="95"/>
  <c r="Y154" i="95"/>
  <c r="W139" i="95"/>
  <c r="AA127" i="95"/>
  <c r="R155" i="95"/>
  <c r="U150" i="95"/>
  <c r="U137" i="95"/>
  <c r="R147" i="95"/>
  <c r="S137" i="95"/>
  <c r="AB139" i="95"/>
  <c r="X138" i="95"/>
  <c r="AB153" i="95"/>
  <c r="R138" i="95"/>
  <c r="R128" i="95"/>
  <c r="Z139" i="95"/>
  <c r="U139" i="95"/>
  <c r="AC137" i="95"/>
  <c r="X136" i="95"/>
  <c r="AB132" i="95"/>
  <c r="U129" i="95"/>
  <c r="V126" i="95"/>
  <c r="AB124" i="95"/>
  <c r="X157" i="95"/>
  <c r="T153" i="95"/>
  <c r="V147" i="95"/>
  <c r="W144" i="95"/>
  <c r="Z138" i="95"/>
  <c r="Z130" i="95"/>
  <c r="AB145" i="95"/>
  <c r="R130" i="95"/>
  <c r="V139" i="95"/>
  <c r="S135" i="95"/>
  <c r="Y133" i="95"/>
  <c r="S127" i="95"/>
  <c r="T145" i="95"/>
  <c r="R136" i="95"/>
  <c r="Y139" i="95"/>
  <c r="T139" i="95"/>
  <c r="AA137" i="95"/>
  <c r="V136" i="95"/>
  <c r="T132" i="95"/>
  <c r="X128" i="95"/>
  <c r="T124" i="95"/>
  <c r="V155" i="95"/>
  <c r="W152" i="95"/>
  <c r="Y146" i="95"/>
  <c r="S151" i="95"/>
  <c r="AA151" i="95"/>
  <c r="T151" i="95"/>
  <c r="AB151" i="95"/>
  <c r="U151" i="95"/>
  <c r="AC151" i="95"/>
  <c r="Z151" i="95"/>
  <c r="V151" i="95"/>
  <c r="R151" i="95"/>
  <c r="W151" i="95"/>
  <c r="X151" i="95"/>
  <c r="Y151" i="95"/>
  <c r="T148" i="95"/>
  <c r="AB148" i="95"/>
  <c r="R148" i="95"/>
  <c r="S148" i="95"/>
  <c r="U148" i="95"/>
  <c r="AC148" i="95"/>
  <c r="V148" i="95"/>
  <c r="W148" i="95"/>
  <c r="X148" i="95"/>
  <c r="AA148" i="95"/>
  <c r="Y148" i="95"/>
  <c r="Z148" i="95"/>
  <c r="AB140" i="95"/>
  <c r="W131" i="95"/>
  <c r="S156" i="95"/>
  <c r="X149" i="95"/>
  <c r="R137" i="95"/>
  <c r="R129" i="95"/>
  <c r="AA140" i="95"/>
  <c r="S140" i="95"/>
  <c r="Y138" i="95"/>
  <c r="AB137" i="95"/>
  <c r="T137" i="95"/>
  <c r="W136" i="95"/>
  <c r="Z135" i="95"/>
  <c r="X133" i="95"/>
  <c r="AA132" i="95"/>
  <c r="S132" i="95"/>
  <c r="V131" i="95"/>
  <c r="Y130" i="95"/>
  <c r="AB129" i="95"/>
  <c r="T129" i="95"/>
  <c r="W128" i="95"/>
  <c r="Z127" i="95"/>
  <c r="AC126" i="95"/>
  <c r="U126" i="95"/>
  <c r="AA124" i="95"/>
  <c r="S124" i="95"/>
  <c r="V123" i="95"/>
  <c r="R154" i="95"/>
  <c r="R146" i="95"/>
  <c r="W157" i="95"/>
  <c r="Z156" i="95"/>
  <c r="AC155" i="95"/>
  <c r="U155" i="95"/>
  <c r="X154" i="95"/>
  <c r="AA153" i="95"/>
  <c r="S153" i="95"/>
  <c r="V152" i="95"/>
  <c r="AB150" i="95"/>
  <c r="T150" i="95"/>
  <c r="W149" i="95"/>
  <c r="AC147" i="95"/>
  <c r="U147" i="95"/>
  <c r="X146" i="95"/>
  <c r="AA145" i="95"/>
  <c r="S145" i="95"/>
  <c r="V144" i="95"/>
  <c r="Y135" i="95"/>
  <c r="W133" i="95"/>
  <c r="Z132" i="95"/>
  <c r="AC131" i="95"/>
  <c r="U131" i="95"/>
  <c r="X130" i="95"/>
  <c r="AA129" i="95"/>
  <c r="S129" i="95"/>
  <c r="V128" i="95"/>
  <c r="Y127" i="95"/>
  <c r="AB126" i="95"/>
  <c r="T126" i="95"/>
  <c r="Z124" i="95"/>
  <c r="AC123" i="95"/>
  <c r="U123" i="95"/>
  <c r="R153" i="95"/>
  <c r="R145" i="95"/>
  <c r="V157" i="95"/>
  <c r="Y156" i="95"/>
  <c r="AB155" i="95"/>
  <c r="T155" i="95"/>
  <c r="W154" i="95"/>
  <c r="Z153" i="95"/>
  <c r="AC152" i="95"/>
  <c r="U152" i="95"/>
  <c r="AA150" i="95"/>
  <c r="S150" i="95"/>
  <c r="V149" i="95"/>
  <c r="AB147" i="95"/>
  <c r="T147" i="95"/>
  <c r="W146" i="95"/>
  <c r="Z145" i="95"/>
  <c r="AC144" i="95"/>
  <c r="U144" i="95"/>
  <c r="R135" i="95"/>
  <c r="R127" i="95"/>
  <c r="Y140" i="95"/>
  <c r="W138" i="95"/>
  <c r="Z137" i="95"/>
  <c r="AC136" i="95"/>
  <c r="U136" i="95"/>
  <c r="X135" i="95"/>
  <c r="V133" i="95"/>
  <c r="Y132" i="95"/>
  <c r="AB131" i="95"/>
  <c r="T131" i="95"/>
  <c r="W130" i="95"/>
  <c r="Z129" i="95"/>
  <c r="AC128" i="95"/>
  <c r="U128" i="95"/>
  <c r="X127" i="95"/>
  <c r="AA126" i="95"/>
  <c r="S126" i="95"/>
  <c r="Y124" i="95"/>
  <c r="AB123" i="95"/>
  <c r="T123" i="95"/>
  <c r="R152" i="95"/>
  <c r="AC157" i="95"/>
  <c r="U157" i="95"/>
  <c r="X156" i="95"/>
  <c r="AA155" i="95"/>
  <c r="S155" i="95"/>
  <c r="V154" i="95"/>
  <c r="Y153" i="95"/>
  <c r="AB152" i="95"/>
  <c r="T152" i="95"/>
  <c r="Z150" i="95"/>
  <c r="AC149" i="95"/>
  <c r="U149" i="95"/>
  <c r="AA147" i="95"/>
  <c r="S147" i="95"/>
  <c r="V146" i="95"/>
  <c r="Y145" i="95"/>
  <c r="AB144" i="95"/>
  <c r="T144" i="95"/>
  <c r="R126" i="95"/>
  <c r="X140" i="95"/>
  <c r="AA139" i="95"/>
  <c r="S139" i="95"/>
  <c r="V138" i="95"/>
  <c r="Y137" i="95"/>
  <c r="AB136" i="95"/>
  <c r="T136" i="95"/>
  <c r="W135" i="95"/>
  <c r="AC133" i="95"/>
  <c r="U133" i="95"/>
  <c r="X132" i="95"/>
  <c r="AA131" i="95"/>
  <c r="S131" i="95"/>
  <c r="V130" i="95"/>
  <c r="Y129" i="95"/>
  <c r="AB128" i="95"/>
  <c r="T128" i="95"/>
  <c r="W127" i="95"/>
  <c r="Z126" i="95"/>
  <c r="X124" i="95"/>
  <c r="AA123" i="95"/>
  <c r="S123" i="95"/>
  <c r="AB157" i="95"/>
  <c r="T157" i="95"/>
  <c r="W156" i="95"/>
  <c r="Z155" i="95"/>
  <c r="AC154" i="95"/>
  <c r="U154" i="95"/>
  <c r="X153" i="95"/>
  <c r="AA152" i="95"/>
  <c r="S152" i="95"/>
  <c r="Y150" i="95"/>
  <c r="AB149" i="95"/>
  <c r="T149" i="95"/>
  <c r="Z147" i="95"/>
  <c r="AC146" i="95"/>
  <c r="U146" i="95"/>
  <c r="X145" i="95"/>
  <c r="AA144" i="95"/>
  <c r="S144" i="95"/>
  <c r="R133" i="95"/>
  <c r="W140" i="95"/>
  <c r="AC138" i="95"/>
  <c r="U138" i="95"/>
  <c r="X137" i="95"/>
  <c r="AA136" i="95"/>
  <c r="S136" i="95"/>
  <c r="V135" i="95"/>
  <c r="AB133" i="95"/>
  <c r="T133" i="95"/>
  <c r="W132" i="95"/>
  <c r="Z131" i="95"/>
  <c r="AC130" i="95"/>
  <c r="U130" i="95"/>
  <c r="X129" i="95"/>
  <c r="AA128" i="95"/>
  <c r="S128" i="95"/>
  <c r="V127" i="95"/>
  <c r="Y126" i="95"/>
  <c r="W124" i="95"/>
  <c r="Z123" i="95"/>
  <c r="R144" i="95"/>
  <c r="R150" i="95"/>
  <c r="AA157" i="95"/>
  <c r="S157" i="95"/>
  <c r="V156" i="95"/>
  <c r="Y155" i="95"/>
  <c r="AB154" i="95"/>
  <c r="T154" i="95"/>
  <c r="W153" i="95"/>
  <c r="Z152" i="95"/>
  <c r="X150" i="95"/>
  <c r="AA149" i="95"/>
  <c r="S149" i="95"/>
  <c r="Y147" i="95"/>
  <c r="AB146" i="95"/>
  <c r="T146" i="95"/>
  <c r="W145" i="95"/>
  <c r="Z144" i="95"/>
  <c r="Z140" i="95"/>
  <c r="R140" i="95"/>
  <c r="R124" i="95"/>
  <c r="AB138" i="95"/>
  <c r="T138" i="95"/>
  <c r="Z136" i="95"/>
  <c r="AC135" i="95"/>
  <c r="U135" i="95"/>
  <c r="AA133" i="95"/>
  <c r="S133" i="95"/>
  <c r="V132" i="95"/>
  <c r="Y131" i="95"/>
  <c r="AB130" i="95"/>
  <c r="T130" i="95"/>
  <c r="W129" i="95"/>
  <c r="Z128" i="95"/>
  <c r="AC127" i="95"/>
  <c r="U127" i="95"/>
  <c r="X126" i="95"/>
  <c r="V124" i="95"/>
  <c r="Y123" i="95"/>
  <c r="R157" i="95"/>
  <c r="R149" i="95"/>
  <c r="Z157" i="95"/>
  <c r="AC156" i="95"/>
  <c r="U156" i="95"/>
  <c r="X155" i="95"/>
  <c r="AA154" i="95"/>
  <c r="S154" i="95"/>
  <c r="V153" i="95"/>
  <c r="Y152" i="95"/>
  <c r="W150" i="95"/>
  <c r="Z149" i="95"/>
  <c r="X147" i="95"/>
  <c r="AA146" i="95"/>
  <c r="S146" i="95"/>
  <c r="V145" i="95"/>
  <c r="Y144" i="95"/>
  <c r="T140" i="95"/>
  <c r="W123" i="95"/>
  <c r="AA156" i="95"/>
  <c r="R132" i="95"/>
  <c r="V140" i="95"/>
  <c r="W137" i="95"/>
  <c r="R139" i="95"/>
  <c r="R131" i="95"/>
  <c r="AC140" i="95"/>
  <c r="AA138" i="95"/>
  <c r="AB135" i="95"/>
  <c r="AC132" i="95"/>
  <c r="AA130" i="95"/>
  <c r="AB127" i="95"/>
  <c r="AC124" i="95"/>
  <c r="R156" i="95"/>
  <c r="AB156" i="95"/>
  <c r="AC153" i="95"/>
  <c r="AC145" i="95"/>
  <c r="R123" i="95"/>
  <c r="J210" i="95" l="1"/>
  <c r="J208" i="95"/>
  <c r="J206" i="95"/>
  <c r="J204" i="95"/>
  <c r="P202" i="95"/>
  <c r="Q202" i="95" s="1"/>
  <c r="R202" i="95" s="1"/>
  <c r="S202" i="95" s="1"/>
  <c r="T202" i="95" s="1"/>
  <c r="U202" i="95" s="1"/>
  <c r="V202" i="95" s="1"/>
  <c r="W202" i="95" s="1"/>
  <c r="X202" i="95" s="1"/>
  <c r="Y202" i="95" s="1"/>
  <c r="Z202" i="95" s="1"/>
  <c r="AA202" i="95" s="1"/>
  <c r="AB202" i="95" s="1"/>
  <c r="AC202" i="95" s="1"/>
  <c r="Z142" i="95"/>
  <c r="J142" i="95"/>
  <c r="AC121" i="95"/>
  <c r="AA121" i="95"/>
  <c r="Y121" i="95"/>
  <c r="W121" i="95"/>
  <c r="U121" i="95"/>
  <c r="S121" i="95"/>
  <c r="J121" i="95"/>
  <c r="AB121" i="95"/>
  <c r="Z121" i="95"/>
  <c r="X121" i="95"/>
  <c r="V121" i="95"/>
  <c r="T121" i="95"/>
  <c r="R121" i="95"/>
  <c r="I117" i="95"/>
  <c r="J117" i="95" s="1"/>
  <c r="AC117" i="95" s="1"/>
  <c r="AC115" i="95" s="1"/>
  <c r="I111" i="95"/>
  <c r="J111" i="95" s="1"/>
  <c r="J110" i="95"/>
  <c r="I109" i="95"/>
  <c r="J109" i="95" s="1"/>
  <c r="I108" i="95"/>
  <c r="J108" i="95" s="1"/>
  <c r="I107" i="95"/>
  <c r="J107" i="95" s="1"/>
  <c r="I106" i="95"/>
  <c r="J106" i="95" s="1"/>
  <c r="I105" i="95"/>
  <c r="J105" i="95" s="1"/>
  <c r="I102" i="95"/>
  <c r="J102" i="95" s="1"/>
  <c r="J101" i="95"/>
  <c r="R100" i="95"/>
  <c r="I95" i="95"/>
  <c r="J95" i="95" s="1"/>
  <c r="W95" i="95" s="1"/>
  <c r="I94" i="95"/>
  <c r="J94" i="95" s="1"/>
  <c r="I93" i="95"/>
  <c r="J93" i="95" s="1"/>
  <c r="AA93" i="95" s="1"/>
  <c r="I91" i="95"/>
  <c r="J91" i="95" s="1"/>
  <c r="R91" i="95" s="1"/>
  <c r="I90" i="95"/>
  <c r="J90" i="95" s="1"/>
  <c r="AA90" i="95" s="1"/>
  <c r="I89" i="95"/>
  <c r="J89" i="95" s="1"/>
  <c r="AA89" i="95" s="1"/>
  <c r="I88" i="95"/>
  <c r="J88" i="95" s="1"/>
  <c r="AA88" i="95" s="1"/>
  <c r="I86" i="95"/>
  <c r="J86" i="95" s="1"/>
  <c r="I85" i="95"/>
  <c r="J85" i="95" s="1"/>
  <c r="I84" i="95"/>
  <c r="J84" i="95" s="1"/>
  <c r="Z84" i="95" s="1"/>
  <c r="I83" i="95"/>
  <c r="J83" i="95" s="1"/>
  <c r="I82" i="95"/>
  <c r="J82" i="95" s="1"/>
  <c r="AA82" i="95" s="1"/>
  <c r="I81" i="95"/>
  <c r="J81" i="95" s="1"/>
  <c r="AA81" i="95" s="1"/>
  <c r="I80" i="95"/>
  <c r="J80" i="95" s="1"/>
  <c r="I77" i="95"/>
  <c r="J77" i="95" s="1"/>
  <c r="AB77" i="95" s="1"/>
  <c r="I76" i="95"/>
  <c r="J76" i="95" s="1"/>
  <c r="Z76" i="95" s="1"/>
  <c r="I75" i="95"/>
  <c r="J75" i="95" s="1"/>
  <c r="AB75" i="95" s="1"/>
  <c r="AC74" i="95"/>
  <c r="AB74" i="95"/>
  <c r="AA74" i="95"/>
  <c r="Z74" i="95"/>
  <c r="Y74" i="95"/>
  <c r="X74" i="95"/>
  <c r="W74" i="95"/>
  <c r="V74" i="95"/>
  <c r="U74" i="95"/>
  <c r="T74" i="95"/>
  <c r="S74" i="95"/>
  <c r="R74" i="95"/>
  <c r="I73" i="95"/>
  <c r="J73" i="95" s="1"/>
  <c r="Z73" i="95" s="1"/>
  <c r="I72" i="95"/>
  <c r="J72" i="95" s="1"/>
  <c r="AB72" i="95" s="1"/>
  <c r="I71" i="95"/>
  <c r="J71" i="95" s="1"/>
  <c r="Z71" i="95" s="1"/>
  <c r="I70" i="95"/>
  <c r="J70" i="95" s="1"/>
  <c r="AB70" i="95" s="1"/>
  <c r="AC69" i="95"/>
  <c r="AB69" i="95"/>
  <c r="AA69" i="95"/>
  <c r="Z69" i="95"/>
  <c r="Y69" i="95"/>
  <c r="X69" i="95"/>
  <c r="W69" i="95"/>
  <c r="V69" i="95"/>
  <c r="U69" i="95"/>
  <c r="T69" i="95"/>
  <c r="S69" i="95"/>
  <c r="R69" i="95"/>
  <c r="I68" i="95"/>
  <c r="J68" i="95" s="1"/>
  <c r="V68" i="95" s="1"/>
  <c r="I67" i="95"/>
  <c r="J67" i="95" s="1"/>
  <c r="I66" i="95"/>
  <c r="J66" i="95" s="1"/>
  <c r="V66" i="95" s="1"/>
  <c r="I65" i="95"/>
  <c r="J65" i="95" s="1"/>
  <c r="AB65" i="95" s="1"/>
  <c r="U59" i="95"/>
  <c r="Z59" i="95" s="1"/>
  <c r="V58" i="95"/>
  <c r="AB58" i="95" s="1"/>
  <c r="U57" i="95"/>
  <c r="AA57" i="95" s="1"/>
  <c r="AA48" i="95" s="1"/>
  <c r="V56" i="95"/>
  <c r="AB56" i="95" s="1"/>
  <c r="S55" i="95"/>
  <c r="T54" i="95"/>
  <c r="T53" i="95"/>
  <c r="X53" i="95" s="1"/>
  <c r="AB53" i="95" s="1"/>
  <c r="U52" i="95"/>
  <c r="Z52" i="95" s="1"/>
  <c r="S51" i="95"/>
  <c r="V51" i="95" s="1"/>
  <c r="U50" i="95"/>
  <c r="U49" i="95"/>
  <c r="Z49" i="95" s="1"/>
  <c r="AC48" i="95"/>
  <c r="W48" i="95"/>
  <c r="R48" i="95"/>
  <c r="Q48" i="95"/>
  <c r="J48" i="95"/>
  <c r="Q46" i="95"/>
  <c r="R46" i="95" s="1"/>
  <c r="S46" i="95" s="1"/>
  <c r="T46" i="95" s="1"/>
  <c r="U46" i="95" s="1"/>
  <c r="V46" i="95" s="1"/>
  <c r="W46" i="95" s="1"/>
  <c r="X46" i="95" s="1"/>
  <c r="Y46" i="95" s="1"/>
  <c r="Z46" i="95" s="1"/>
  <c r="AA46" i="95" s="1"/>
  <c r="AB46" i="95" s="1"/>
  <c r="AC46" i="95" s="1"/>
  <c r="Q45" i="95"/>
  <c r="R45" i="95" s="1"/>
  <c r="S45" i="95" s="1"/>
  <c r="T45" i="95" s="1"/>
  <c r="U45" i="95" s="1"/>
  <c r="V45" i="95" s="1"/>
  <c r="W45" i="95" s="1"/>
  <c r="X45" i="95" s="1"/>
  <c r="Y45" i="95" s="1"/>
  <c r="Z45" i="95" s="1"/>
  <c r="AA45" i="95" s="1"/>
  <c r="AB45" i="95" s="1"/>
  <c r="AC45" i="95" s="1"/>
  <c r="Q44" i="95"/>
  <c r="R44" i="95" s="1"/>
  <c r="S44" i="95" s="1"/>
  <c r="T44" i="95" s="1"/>
  <c r="U44" i="95" s="1"/>
  <c r="V44" i="95" s="1"/>
  <c r="W44" i="95" s="1"/>
  <c r="X44" i="95" s="1"/>
  <c r="Y44" i="95" s="1"/>
  <c r="Z44" i="95" s="1"/>
  <c r="AA44" i="95" s="1"/>
  <c r="AB44" i="95" s="1"/>
  <c r="AC44" i="95" s="1"/>
  <c r="Q43" i="95"/>
  <c r="R43" i="95" s="1"/>
  <c r="S43" i="95" s="1"/>
  <c r="T43" i="95" s="1"/>
  <c r="U43" i="95" s="1"/>
  <c r="V43" i="95" s="1"/>
  <c r="W43" i="95" s="1"/>
  <c r="X43" i="95" s="1"/>
  <c r="Y43" i="95" s="1"/>
  <c r="Z43" i="95" s="1"/>
  <c r="AA43" i="95" s="1"/>
  <c r="AB43" i="95" s="1"/>
  <c r="AC43" i="95" s="1"/>
  <c r="Q42" i="95"/>
  <c r="R42" i="95" s="1"/>
  <c r="S42" i="95" s="1"/>
  <c r="T42" i="95" s="1"/>
  <c r="U42" i="95" s="1"/>
  <c r="V42" i="95" s="1"/>
  <c r="W42" i="95" s="1"/>
  <c r="X42" i="95" s="1"/>
  <c r="Y42" i="95" s="1"/>
  <c r="Z42" i="95" s="1"/>
  <c r="AA42" i="95" s="1"/>
  <c r="AB42" i="95" s="1"/>
  <c r="AC42" i="95" s="1"/>
  <c r="Q41" i="95"/>
  <c r="R41" i="95" s="1"/>
  <c r="S41" i="95" s="1"/>
  <c r="T41" i="95" s="1"/>
  <c r="U41" i="95" s="1"/>
  <c r="V41" i="95" s="1"/>
  <c r="W41" i="95" s="1"/>
  <c r="X41" i="95" s="1"/>
  <c r="Y41" i="95" s="1"/>
  <c r="Z41" i="95" s="1"/>
  <c r="AA41" i="95" s="1"/>
  <c r="AB41" i="95" s="1"/>
  <c r="AC41" i="95" s="1"/>
  <c r="Q40" i="95"/>
  <c r="R40" i="95" s="1"/>
  <c r="S40" i="95" s="1"/>
  <c r="T40" i="95" s="1"/>
  <c r="U40" i="95" s="1"/>
  <c r="V40" i="95" s="1"/>
  <c r="W40" i="95" s="1"/>
  <c r="X40" i="95" s="1"/>
  <c r="Y40" i="95" s="1"/>
  <c r="Z40" i="95" s="1"/>
  <c r="AA40" i="95" s="1"/>
  <c r="AB40" i="95" s="1"/>
  <c r="AC40" i="95" s="1"/>
  <c r="Q39" i="95"/>
  <c r="R39" i="95" s="1"/>
  <c r="S39" i="95" s="1"/>
  <c r="T39" i="95" s="1"/>
  <c r="U39" i="95" s="1"/>
  <c r="V39" i="95" s="1"/>
  <c r="W39" i="95" s="1"/>
  <c r="X39" i="95" s="1"/>
  <c r="Y39" i="95" s="1"/>
  <c r="Z39" i="95" s="1"/>
  <c r="AA39" i="95" s="1"/>
  <c r="AB39" i="95" s="1"/>
  <c r="AC39" i="95" s="1"/>
  <c r="Q38" i="95"/>
  <c r="Q37" i="95"/>
  <c r="R37" i="95" s="1"/>
  <c r="J36" i="95"/>
  <c r="P35" i="95"/>
  <c r="Q35" i="95" s="1"/>
  <c r="R35" i="95" s="1"/>
  <c r="S35" i="95" s="1"/>
  <c r="T35" i="95" s="1"/>
  <c r="U35" i="95" s="1"/>
  <c r="V35" i="95" s="1"/>
  <c r="W35" i="95" s="1"/>
  <c r="X35" i="95" s="1"/>
  <c r="Y35" i="95" s="1"/>
  <c r="Z35" i="95" s="1"/>
  <c r="AA35" i="95" s="1"/>
  <c r="AB35" i="95" s="1"/>
  <c r="AC35" i="95" s="1"/>
  <c r="D51" i="91"/>
  <c r="F44" i="91"/>
  <c r="D44" i="91"/>
  <c r="J61" i="95" l="1"/>
  <c r="L62" i="95" s="1"/>
  <c r="L203" i="95" s="1"/>
  <c r="U48" i="95"/>
  <c r="T101" i="95"/>
  <c r="AB101" i="95"/>
  <c r="AA101" i="95"/>
  <c r="U101" i="95"/>
  <c r="AC101" i="95"/>
  <c r="V101" i="95"/>
  <c r="W101" i="95"/>
  <c r="S101" i="95"/>
  <c r="X101" i="95"/>
  <c r="Y101" i="95"/>
  <c r="Z101" i="95"/>
  <c r="R101" i="95"/>
  <c r="V111" i="95"/>
  <c r="R111" i="95"/>
  <c r="W111" i="95"/>
  <c r="X111" i="95"/>
  <c r="AC111" i="95"/>
  <c r="Y111" i="95"/>
  <c r="Z111" i="95"/>
  <c r="S111" i="95"/>
  <c r="AA111" i="95"/>
  <c r="U111" i="95"/>
  <c r="T111" i="95"/>
  <c r="AB111" i="95"/>
  <c r="Y102" i="95"/>
  <c r="Z102" i="95"/>
  <c r="X102" i="95"/>
  <c r="S102" i="95"/>
  <c r="AA102" i="95"/>
  <c r="T102" i="95"/>
  <c r="AB102" i="95"/>
  <c r="U102" i="95"/>
  <c r="AC102" i="95"/>
  <c r="V102" i="95"/>
  <c r="R102" i="95"/>
  <c r="W102" i="95"/>
  <c r="X105" i="95"/>
  <c r="Y105" i="95"/>
  <c r="Z105" i="95"/>
  <c r="R105" i="95"/>
  <c r="S105" i="95"/>
  <c r="AA105" i="95"/>
  <c r="T105" i="95"/>
  <c r="AB105" i="95"/>
  <c r="U105" i="95"/>
  <c r="AC105" i="95"/>
  <c r="V105" i="95"/>
  <c r="W105" i="95"/>
  <c r="U106" i="95"/>
  <c r="AC106" i="95"/>
  <c r="T106" i="95"/>
  <c r="V106" i="95"/>
  <c r="W106" i="95"/>
  <c r="X106" i="95"/>
  <c r="R106" i="95"/>
  <c r="Y106" i="95"/>
  <c r="Z106" i="95"/>
  <c r="AB106" i="95"/>
  <c r="S106" i="95"/>
  <c r="AA106" i="95"/>
  <c r="Y110" i="95"/>
  <c r="X110" i="95"/>
  <c r="R110" i="95"/>
  <c r="Z110" i="95"/>
  <c r="S110" i="95"/>
  <c r="AA110" i="95"/>
  <c r="T110" i="95"/>
  <c r="AB110" i="95"/>
  <c r="U110" i="95"/>
  <c r="AC110" i="95"/>
  <c r="V110" i="95"/>
  <c r="W110" i="95"/>
  <c r="Z107" i="95"/>
  <c r="S107" i="95"/>
  <c r="AA107" i="95"/>
  <c r="T107" i="95"/>
  <c r="AB107" i="95"/>
  <c r="U107" i="95"/>
  <c r="AC107" i="95"/>
  <c r="Y107" i="95"/>
  <c r="V107" i="95"/>
  <c r="R107" i="95"/>
  <c r="W107" i="95"/>
  <c r="X107" i="95"/>
  <c r="W108" i="95"/>
  <c r="X108" i="95"/>
  <c r="Y108" i="95"/>
  <c r="Z108" i="95"/>
  <c r="S108" i="95"/>
  <c r="AA108" i="95"/>
  <c r="V108" i="95"/>
  <c r="T108" i="95"/>
  <c r="AB108" i="95"/>
  <c r="R108" i="95"/>
  <c r="U108" i="95"/>
  <c r="AC108" i="95"/>
  <c r="T109" i="95"/>
  <c r="AB109" i="95"/>
  <c r="U109" i="95"/>
  <c r="AC109" i="95"/>
  <c r="S109" i="95"/>
  <c r="V109" i="95"/>
  <c r="W109" i="95"/>
  <c r="X109" i="95"/>
  <c r="Y109" i="95"/>
  <c r="Z109" i="95"/>
  <c r="R109" i="95"/>
  <c r="AA109" i="95"/>
  <c r="Z159" i="95"/>
  <c r="S48" i="95"/>
  <c r="AA66" i="95"/>
  <c r="S142" i="95"/>
  <c r="S159" i="95" s="1"/>
  <c r="W142" i="95"/>
  <c r="W159" i="95" s="1"/>
  <c r="AC94" i="95"/>
  <c r="X67" i="95"/>
  <c r="U67" i="95"/>
  <c r="AC67" i="95"/>
  <c r="Z50" i="95"/>
  <c r="Z48" i="95" s="1"/>
  <c r="X72" i="95"/>
  <c r="X77" i="95"/>
  <c r="U117" i="95"/>
  <c r="U115" i="95" s="1"/>
  <c r="V55" i="95"/>
  <c r="Y55" i="95" s="1"/>
  <c r="AB55" i="95" s="1"/>
  <c r="R68" i="95"/>
  <c r="Y117" i="95"/>
  <c r="Y115" i="95" s="1"/>
  <c r="AA142" i="95"/>
  <c r="AA159" i="95" s="1"/>
  <c r="X70" i="95"/>
  <c r="X75" i="95"/>
  <c r="S66" i="95"/>
  <c r="V71" i="95"/>
  <c r="V73" i="95"/>
  <c r="V76" i="95"/>
  <c r="J161" i="95"/>
  <c r="L209" i="95" s="1"/>
  <c r="J209" i="95" s="1"/>
  <c r="AA85" i="95"/>
  <c r="V85" i="95"/>
  <c r="AC86" i="95"/>
  <c r="W86" i="95"/>
  <c r="T86" i="95"/>
  <c r="J98" i="95"/>
  <c r="V90" i="95"/>
  <c r="T65" i="95"/>
  <c r="X54" i="95"/>
  <c r="AB54" i="95" s="1"/>
  <c r="T48" i="95"/>
  <c r="Q36" i="95"/>
  <c r="Q61" i="95" s="1"/>
  <c r="R38" i="95"/>
  <c r="S38" i="95" s="1"/>
  <c r="T38" i="95" s="1"/>
  <c r="U38" i="95" s="1"/>
  <c r="V38" i="95" s="1"/>
  <c r="W38" i="95" s="1"/>
  <c r="X38" i="95" s="1"/>
  <c r="Y38" i="95" s="1"/>
  <c r="Z38" i="95" s="1"/>
  <c r="AA38" i="95" s="1"/>
  <c r="AB38" i="95" s="1"/>
  <c r="AC38" i="95" s="1"/>
  <c r="AA65" i="95"/>
  <c r="W65" i="95"/>
  <c r="S65" i="95"/>
  <c r="J63" i="95"/>
  <c r="Z65" i="95"/>
  <c r="V65" i="95"/>
  <c r="R65" i="95"/>
  <c r="Y65" i="95"/>
  <c r="X65" i="95"/>
  <c r="AC65" i="95"/>
  <c r="U65" i="95"/>
  <c r="R36" i="95"/>
  <c r="R61" i="95" s="1"/>
  <c r="S37" i="95"/>
  <c r="Y51" i="95"/>
  <c r="AC68" i="95"/>
  <c r="Y68" i="95"/>
  <c r="U68" i="95"/>
  <c r="AB68" i="95"/>
  <c r="X68" i="95"/>
  <c r="T68" i="95"/>
  <c r="AA68" i="95"/>
  <c r="W68" i="95"/>
  <c r="Z68" i="95"/>
  <c r="T95" i="95"/>
  <c r="AC95" i="95"/>
  <c r="Z95" i="95"/>
  <c r="AC66" i="95"/>
  <c r="Y66" i="95"/>
  <c r="U66" i="95"/>
  <c r="AB66" i="95"/>
  <c r="X66" i="95"/>
  <c r="T66" i="95"/>
  <c r="W66" i="95"/>
  <c r="AA67" i="95"/>
  <c r="W67" i="95"/>
  <c r="S67" i="95"/>
  <c r="Z67" i="95"/>
  <c r="V67" i="95"/>
  <c r="R67" i="95"/>
  <c r="Y67" i="95"/>
  <c r="AA70" i="95"/>
  <c r="W70" i="95"/>
  <c r="S70" i="95"/>
  <c r="Z70" i="95"/>
  <c r="V70" i="95"/>
  <c r="R70" i="95"/>
  <c r="AC70" i="95"/>
  <c r="Y70" i="95"/>
  <c r="U70" i="95"/>
  <c r="AC71" i="95"/>
  <c r="Y71" i="95"/>
  <c r="U71" i="95"/>
  <c r="AB71" i="95"/>
  <c r="X71" i="95"/>
  <c r="T71" i="95"/>
  <c r="AA71" i="95"/>
  <c r="W71" i="95"/>
  <c r="S71" i="95"/>
  <c r="AA72" i="95"/>
  <c r="W72" i="95"/>
  <c r="S72" i="95"/>
  <c r="Z72" i="95"/>
  <c r="V72" i="95"/>
  <c r="R72" i="95"/>
  <c r="AC72" i="95"/>
  <c r="Y72" i="95"/>
  <c r="U72" i="95"/>
  <c r="AC73" i="95"/>
  <c r="Y73" i="95"/>
  <c r="U73" i="95"/>
  <c r="AB73" i="95"/>
  <c r="X73" i="95"/>
  <c r="T73" i="95"/>
  <c r="AA73" i="95"/>
  <c r="W73" i="95"/>
  <c r="S73" i="95"/>
  <c r="AA75" i="95"/>
  <c r="W75" i="95"/>
  <c r="S75" i="95"/>
  <c r="Z75" i="95"/>
  <c r="V75" i="95"/>
  <c r="R75" i="95"/>
  <c r="AC75" i="95"/>
  <c r="Y75" i="95"/>
  <c r="U75" i="95"/>
  <c r="AC76" i="95"/>
  <c r="Y76" i="95"/>
  <c r="U76" i="95"/>
  <c r="AB76" i="95"/>
  <c r="X76" i="95"/>
  <c r="T76" i="95"/>
  <c r="AA76" i="95"/>
  <c r="W76" i="95"/>
  <c r="S76" i="95"/>
  <c r="AA77" i="95"/>
  <c r="W77" i="95"/>
  <c r="S77" i="95"/>
  <c r="Z77" i="95"/>
  <c r="V77" i="95"/>
  <c r="R77" i="95"/>
  <c r="AC77" i="95"/>
  <c r="Y77" i="95"/>
  <c r="U77" i="95"/>
  <c r="J78" i="95"/>
  <c r="AA80" i="95"/>
  <c r="AA83" i="95"/>
  <c r="V83" i="95"/>
  <c r="R78" i="95"/>
  <c r="S91" i="95"/>
  <c r="R66" i="95"/>
  <c r="Z66" i="95"/>
  <c r="T67" i="95"/>
  <c r="AB67" i="95"/>
  <c r="S68" i="95"/>
  <c r="T70" i="95"/>
  <c r="R71" i="95"/>
  <c r="T72" i="95"/>
  <c r="R73" i="95"/>
  <c r="T75" i="95"/>
  <c r="R76" i="95"/>
  <c r="T77" i="95"/>
  <c r="W84" i="95"/>
  <c r="T84" i="95"/>
  <c r="AC84" i="95"/>
  <c r="Z94" i="95"/>
  <c r="W94" i="95"/>
  <c r="T94" i="95"/>
  <c r="Z86" i="95"/>
  <c r="AB117" i="95"/>
  <c r="AB115" i="95" s="1"/>
  <c r="X117" i="95"/>
  <c r="X115" i="95" s="1"/>
  <c r="T117" i="95"/>
  <c r="T115" i="95" s="1"/>
  <c r="AA117" i="95"/>
  <c r="AA115" i="95" s="1"/>
  <c r="W117" i="95"/>
  <c r="W115" i="95" s="1"/>
  <c r="S117" i="95"/>
  <c r="S115" i="95" s="1"/>
  <c r="J115" i="95"/>
  <c r="Z117" i="95"/>
  <c r="Z115" i="95" s="1"/>
  <c r="V117" i="95"/>
  <c r="V115" i="95" s="1"/>
  <c r="R117" i="95"/>
  <c r="R115" i="95" s="1"/>
  <c r="J159" i="95"/>
  <c r="T142" i="95"/>
  <c r="T159" i="95" s="1"/>
  <c r="X142" i="95"/>
  <c r="X159" i="95" s="1"/>
  <c r="AB142" i="95"/>
  <c r="AB159" i="95" s="1"/>
  <c r="U142" i="95"/>
  <c r="U159" i="95" s="1"/>
  <c r="Y142" i="95"/>
  <c r="Y159" i="95" s="1"/>
  <c r="AC142" i="95"/>
  <c r="AC159" i="95" s="1"/>
  <c r="J177" i="95"/>
  <c r="J192" i="95" s="1"/>
  <c r="L211" i="95" s="1"/>
  <c r="R142" i="95"/>
  <c r="R159" i="95" s="1"/>
  <c r="V142" i="95"/>
  <c r="V159" i="95" s="1"/>
  <c r="R62" i="95" l="1"/>
  <c r="R204" i="95" s="1"/>
  <c r="R203" i="95" s="1"/>
  <c r="J203" i="95"/>
  <c r="Q62" i="95"/>
  <c r="J119" i="95"/>
  <c r="L120" i="95" s="1"/>
  <c r="J211" i="95"/>
  <c r="V48" i="95"/>
  <c r="AB63" i="95"/>
  <c r="R98" i="95"/>
  <c r="R119" i="95" s="1"/>
  <c r="R120" i="95" s="1"/>
  <c r="W98" i="95"/>
  <c r="W119" i="95" s="1"/>
  <c r="Z98" i="95"/>
  <c r="T98" i="95"/>
  <c r="T119" i="95" s="1"/>
  <c r="X98" i="95"/>
  <c r="X119" i="95" s="1"/>
  <c r="X120" i="95" s="1"/>
  <c r="L160" i="95"/>
  <c r="T160" i="95" s="1"/>
  <c r="L207" i="95"/>
  <c r="L193" i="95"/>
  <c r="AC98" i="95"/>
  <c r="AC119" i="95" s="1"/>
  <c r="AC120" i="95" s="1"/>
  <c r="J96" i="95"/>
  <c r="U98" i="95"/>
  <c r="U119" i="95" s="1"/>
  <c r="S98" i="95"/>
  <c r="S119" i="95" s="1"/>
  <c r="U63" i="95"/>
  <c r="R63" i="95"/>
  <c r="R96" i="95" s="1"/>
  <c r="S63" i="95"/>
  <c r="AB51" i="95"/>
  <c r="AB48" i="95" s="1"/>
  <c r="Y48" i="95"/>
  <c r="R161" i="95"/>
  <c r="AB98" i="95"/>
  <c r="AB119" i="95" s="1"/>
  <c r="V98" i="95"/>
  <c r="V119" i="95" s="1"/>
  <c r="X48" i="95"/>
  <c r="AC63" i="95"/>
  <c r="V63" i="95"/>
  <c r="W63" i="95"/>
  <c r="Y63" i="95"/>
  <c r="Z119" i="95"/>
  <c r="R177" i="95"/>
  <c r="AA98" i="95"/>
  <c r="AA119" i="95" s="1"/>
  <c r="Y98" i="95"/>
  <c r="Y119" i="95" s="1"/>
  <c r="Y120" i="95" s="1"/>
  <c r="T91" i="95"/>
  <c r="U91" i="95" s="1"/>
  <c r="S78" i="95"/>
  <c r="T37" i="95"/>
  <c r="S36" i="95"/>
  <c r="S61" i="95" s="1"/>
  <c r="S62" i="95" s="1"/>
  <c r="S204" i="95" s="1"/>
  <c r="S203" i="95" s="1"/>
  <c r="X63" i="95"/>
  <c r="Z63" i="95"/>
  <c r="AA63" i="95"/>
  <c r="T63" i="95"/>
  <c r="Z120" i="95" l="1"/>
  <c r="W120" i="95"/>
  <c r="AA120" i="95"/>
  <c r="V120" i="95"/>
  <c r="S120" i="95"/>
  <c r="T120" i="95"/>
  <c r="AB120" i="95"/>
  <c r="U120" i="95"/>
  <c r="Z160" i="95"/>
  <c r="Z208" i="95" s="1"/>
  <c r="Z207" i="95" s="1"/>
  <c r="R192" i="95"/>
  <c r="R193" i="95" s="1"/>
  <c r="R212" i="95" s="1"/>
  <c r="R211" i="95" s="1"/>
  <c r="S96" i="95"/>
  <c r="T210" i="95"/>
  <c r="T209" i="95" s="1"/>
  <c r="T208" i="95"/>
  <c r="T207" i="95" s="1"/>
  <c r="Y160" i="95"/>
  <c r="J207" i="95"/>
  <c r="R160" i="95"/>
  <c r="AA160" i="95"/>
  <c r="S160" i="95"/>
  <c r="W160" i="95"/>
  <c r="V160" i="95"/>
  <c r="U160" i="95"/>
  <c r="L97" i="95"/>
  <c r="R97" i="95" s="1"/>
  <c r="R206" i="95" s="1"/>
  <c r="L205" i="95"/>
  <c r="X160" i="95"/>
  <c r="AB160" i="95"/>
  <c r="AC160" i="95"/>
  <c r="S177" i="95"/>
  <c r="U37" i="95"/>
  <c r="T36" i="95"/>
  <c r="T61" i="95" s="1"/>
  <c r="T62" i="95" s="1"/>
  <c r="T204" i="95" s="1"/>
  <c r="T203" i="95" s="1"/>
  <c r="S161" i="95"/>
  <c r="U78" i="95"/>
  <c r="U96" i="95" s="1"/>
  <c r="V91" i="95"/>
  <c r="T78" i="95"/>
  <c r="T96" i="95" s="1"/>
  <c r="J195" i="95"/>
  <c r="U97" i="95" l="1"/>
  <c r="U206" i="95" s="1"/>
  <c r="U205" i="95" s="1"/>
  <c r="Z210" i="95"/>
  <c r="Z209" i="95" s="1"/>
  <c r="R195" i="95"/>
  <c r="T97" i="95"/>
  <c r="T206" i="95" s="1"/>
  <c r="T205" i="95" s="1"/>
  <c r="S97" i="95"/>
  <c r="S206" i="95" s="1"/>
  <c r="S205" i="95" s="1"/>
  <c r="AC210" i="95"/>
  <c r="AC209" i="95" s="1"/>
  <c r="AC208" i="95"/>
  <c r="AC207" i="95" s="1"/>
  <c r="S208" i="95"/>
  <c r="S207" i="95" s="1"/>
  <c r="S210" i="95"/>
  <c r="S209" i="95" s="1"/>
  <c r="R208" i="95"/>
  <c r="R207" i="95" s="1"/>
  <c r="R210" i="95"/>
  <c r="R209" i="95" s="1"/>
  <c r="AB210" i="95"/>
  <c r="AB209" i="95" s="1"/>
  <c r="AB208" i="95"/>
  <c r="AB207" i="95" s="1"/>
  <c r="U210" i="95"/>
  <c r="U209" i="95" s="1"/>
  <c r="U208" i="95"/>
  <c r="U207" i="95" s="1"/>
  <c r="AA208" i="95"/>
  <c r="AA207" i="95" s="1"/>
  <c r="AA210" i="95"/>
  <c r="AA209" i="95" s="1"/>
  <c r="X210" i="95"/>
  <c r="X209" i="95" s="1"/>
  <c r="X208" i="95"/>
  <c r="X207" i="95" s="1"/>
  <c r="V208" i="95"/>
  <c r="V207" i="95" s="1"/>
  <c r="V210" i="95"/>
  <c r="V209" i="95" s="1"/>
  <c r="J205" i="95"/>
  <c r="J213" i="95" s="1"/>
  <c r="R205" i="95"/>
  <c r="W208" i="95"/>
  <c r="W207" i="95" s="1"/>
  <c r="W210" i="95"/>
  <c r="W209" i="95" s="1"/>
  <c r="Y210" i="95"/>
  <c r="Y209" i="95" s="1"/>
  <c r="Y208" i="95"/>
  <c r="Y207" i="95" s="1"/>
  <c r="T177" i="95"/>
  <c r="T161" i="95"/>
  <c r="U36" i="95"/>
  <c r="U61" i="95" s="1"/>
  <c r="U62" i="95" s="1"/>
  <c r="U204" i="95" s="1"/>
  <c r="U203" i="95" s="1"/>
  <c r="V37" i="95"/>
  <c r="W91" i="95"/>
  <c r="V78" i="95"/>
  <c r="V96" i="95" s="1"/>
  <c r="V97" i="95" s="1"/>
  <c r="V206" i="95" s="1"/>
  <c r="V205" i="95" s="1"/>
  <c r="S192" i="95"/>
  <c r="R213" i="95" l="1"/>
  <c r="K15" i="95" s="1"/>
  <c r="T192" i="95"/>
  <c r="X91" i="95"/>
  <c r="W78" i="95"/>
  <c r="W96" i="95" s="1"/>
  <c r="W97" i="95" s="1"/>
  <c r="W206" i="95" s="1"/>
  <c r="W205" i="95" s="1"/>
  <c r="U161" i="95"/>
  <c r="V36" i="95"/>
  <c r="V61" i="95" s="1"/>
  <c r="V62" i="95" s="1"/>
  <c r="V204" i="95" s="1"/>
  <c r="V203" i="95" s="1"/>
  <c r="W37" i="95"/>
  <c r="U177" i="95"/>
  <c r="S195" i="95"/>
  <c r="S193" i="95"/>
  <c r="S212" i="95" s="1"/>
  <c r="S211" i="95" s="1"/>
  <c r="S213" i="95" l="1"/>
  <c r="L15" i="95" s="1"/>
  <c r="X37" i="95"/>
  <c r="W36" i="95"/>
  <c r="W61" i="95" s="1"/>
  <c r="W62" i="95" s="1"/>
  <c r="W204" i="95" s="1"/>
  <c r="W203" i="95" s="1"/>
  <c r="V161" i="95"/>
  <c r="T195" i="95"/>
  <c r="T193" i="95"/>
  <c r="T212" i="95" s="1"/>
  <c r="T211" i="95" s="1"/>
  <c r="U192" i="95"/>
  <c r="V177" i="95"/>
  <c r="Y91" i="95"/>
  <c r="X78" i="95"/>
  <c r="X96" i="95" s="1"/>
  <c r="X97" i="95" s="1"/>
  <c r="X206" i="95" s="1"/>
  <c r="X205" i="95" s="1"/>
  <c r="T213" i="95" l="1"/>
  <c r="M15" i="95" s="1"/>
  <c r="V192" i="95"/>
  <c r="V193" i="95" s="1"/>
  <c r="V212" i="95" s="1"/>
  <c r="V211" i="95" s="1"/>
  <c r="Y37" i="95"/>
  <c r="X36" i="95"/>
  <c r="X61" i="95" s="1"/>
  <c r="X62" i="95" s="1"/>
  <c r="X204" i="95" s="1"/>
  <c r="X203" i="95" s="1"/>
  <c r="Y78" i="95"/>
  <c r="Y96" i="95" s="1"/>
  <c r="Y97" i="95" s="1"/>
  <c r="Y206" i="95" s="1"/>
  <c r="Y205" i="95" s="1"/>
  <c r="Z91" i="95"/>
  <c r="W177" i="95"/>
  <c r="W161" i="95"/>
  <c r="U195" i="95"/>
  <c r="U193" i="95"/>
  <c r="U212" i="95" s="1"/>
  <c r="U211" i="95" s="1"/>
  <c r="U213" i="95" l="1"/>
  <c r="N15" i="95" s="1"/>
  <c r="V213" i="95"/>
  <c r="O15" i="95" s="1"/>
  <c r="W192" i="95"/>
  <c r="W193" i="95" s="1"/>
  <c r="W212" i="95" s="1"/>
  <c r="W211" i="95" s="1"/>
  <c r="V195" i="95"/>
  <c r="X177" i="95"/>
  <c r="Y36" i="95"/>
  <c r="Y61" i="95" s="1"/>
  <c r="Y62" i="95" s="1"/>
  <c r="Y204" i="95" s="1"/>
  <c r="Y203" i="95" s="1"/>
  <c r="Z37" i="95"/>
  <c r="X161" i="95"/>
  <c r="AA91" i="95"/>
  <c r="Z78" i="95"/>
  <c r="Z96" i="95" s="1"/>
  <c r="Z97" i="95" s="1"/>
  <c r="Z206" i="95" s="1"/>
  <c r="Z205" i="95" s="1"/>
  <c r="W213" i="95" l="1"/>
  <c r="P15" i="95" s="1"/>
  <c r="W195" i="95"/>
  <c r="Y161" i="95"/>
  <c r="Z36" i="95"/>
  <c r="Z61" i="95" s="1"/>
  <c r="Z62" i="95" s="1"/>
  <c r="Z204" i="95" s="1"/>
  <c r="Z203" i="95" s="1"/>
  <c r="AA37" i="95"/>
  <c r="AB91" i="95"/>
  <c r="AA78" i="95"/>
  <c r="AA96" i="95" s="1"/>
  <c r="AA97" i="95" s="1"/>
  <c r="AA206" i="95" s="1"/>
  <c r="AA205" i="95" s="1"/>
  <c r="X192" i="95"/>
  <c r="Y177" i="95"/>
  <c r="Y192" i="95" l="1"/>
  <c r="Y195" i="95" s="1"/>
  <c r="X195" i="95"/>
  <c r="X193" i="95"/>
  <c r="X212" i="95" s="1"/>
  <c r="X211" i="95" s="1"/>
  <c r="Z161" i="95"/>
  <c r="Z177" i="95"/>
  <c r="AC91" i="95"/>
  <c r="AC78" i="95" s="1"/>
  <c r="AC96" i="95" s="1"/>
  <c r="AC97" i="95" s="1"/>
  <c r="AC206" i="95" s="1"/>
  <c r="AC205" i="95" s="1"/>
  <c r="AB78" i="95"/>
  <c r="AB96" i="95" s="1"/>
  <c r="AB97" i="95" s="1"/>
  <c r="AB206" i="95" s="1"/>
  <c r="AB205" i="95" s="1"/>
  <c r="AB37" i="95"/>
  <c r="AA36" i="95"/>
  <c r="AA61" i="95" s="1"/>
  <c r="AA62" i="95" s="1"/>
  <c r="AA204" i="95" s="1"/>
  <c r="AA203" i="95" s="1"/>
  <c r="X213" i="95" l="1"/>
  <c r="Q15" i="95" s="1"/>
  <c r="Y193" i="95"/>
  <c r="Y212" i="95" s="1"/>
  <c r="Y211" i="95" s="1"/>
  <c r="AA177" i="95"/>
  <c r="AA161" i="95"/>
  <c r="AC37" i="95"/>
  <c r="AC36" i="95" s="1"/>
  <c r="AC61" i="95" s="1"/>
  <c r="AC62" i="95" s="1"/>
  <c r="AC204" i="95" s="1"/>
  <c r="AC203" i="95" s="1"/>
  <c r="AB36" i="95"/>
  <c r="AB61" i="95" s="1"/>
  <c r="AB62" i="95" s="1"/>
  <c r="AB204" i="95" s="1"/>
  <c r="AB203" i="95" s="1"/>
  <c r="Z192" i="95"/>
  <c r="Y213" i="95" l="1"/>
  <c r="R15" i="95" s="1"/>
  <c r="AB177" i="95"/>
  <c r="AC177" i="95"/>
  <c r="AC161" i="95"/>
  <c r="AB161" i="95"/>
  <c r="Z193" i="95"/>
  <c r="Z212" i="95" s="1"/>
  <c r="Z211" i="95" s="1"/>
  <c r="Z195" i="95"/>
  <c r="AA192" i="95"/>
  <c r="Z213" i="95" l="1"/>
  <c r="S15" i="95" s="1"/>
  <c r="AB192" i="95"/>
  <c r="AB195" i="95" s="1"/>
  <c r="AC192" i="95"/>
  <c r="AC195" i="95" s="1"/>
  <c r="AA195" i="95"/>
  <c r="AA193" i="95"/>
  <c r="AA212" i="95" s="1"/>
  <c r="AA211" i="95" s="1"/>
  <c r="AA213" i="95" l="1"/>
  <c r="T15" i="95" s="1"/>
  <c r="AB193" i="95"/>
  <c r="AB212" i="95" s="1"/>
  <c r="AB211" i="95" s="1"/>
  <c r="AC193" i="95"/>
  <c r="AC212" i="95" s="1"/>
  <c r="AC211" i="95" s="1"/>
  <c r="N57" i="84"/>
  <c r="N53" i="84" s="1"/>
  <c r="N41" i="84"/>
  <c r="O40" i="84"/>
  <c r="P40" i="84" s="1"/>
  <c r="O39" i="84"/>
  <c r="P39" i="84" s="1"/>
  <c r="O38" i="84"/>
  <c r="P38" i="84" s="1"/>
  <c r="O37" i="84"/>
  <c r="P37" i="84" s="1"/>
  <c r="O36" i="84"/>
  <c r="P36" i="84" s="1"/>
  <c r="O35" i="84"/>
  <c r="P35" i="84" s="1"/>
  <c r="O34" i="84"/>
  <c r="P34" i="84" s="1"/>
  <c r="O33" i="84"/>
  <c r="P33" i="84" s="1"/>
  <c r="O32" i="84"/>
  <c r="P32" i="84" s="1"/>
  <c r="O31" i="84"/>
  <c r="P31" i="84" s="1"/>
  <c r="O30" i="84"/>
  <c r="P30" i="84" s="1"/>
  <c r="O29" i="84"/>
  <c r="P29" i="84" s="1"/>
  <c r="O28" i="84"/>
  <c r="P28" i="84" s="1"/>
  <c r="O27" i="84"/>
  <c r="P27" i="84" s="1"/>
  <c r="O26" i="84"/>
  <c r="P26" i="84" s="1"/>
  <c r="O25" i="84"/>
  <c r="P25" i="84" s="1"/>
  <c r="O24" i="84"/>
  <c r="P24" i="84" s="1"/>
  <c r="O23" i="84"/>
  <c r="P23" i="84" s="1"/>
  <c r="O22" i="84"/>
  <c r="P22" i="84" s="1"/>
  <c r="O21" i="84"/>
  <c r="P21" i="84" s="1"/>
  <c r="H239" i="93"/>
  <c r="H240" i="93"/>
  <c r="G241" i="93"/>
  <c r="F241" i="93"/>
  <c r="H197" i="93"/>
  <c r="G198" i="93"/>
  <c r="F198" i="93"/>
  <c r="H132" i="93"/>
  <c r="H133" i="93"/>
  <c r="G134" i="93"/>
  <c r="F134" i="93"/>
  <c r="AC213" i="95" l="1"/>
  <c r="V15" i="95" s="1"/>
  <c r="AB213" i="95"/>
  <c r="U15" i="95" s="1"/>
  <c r="S91" i="33"/>
  <c r="T75" i="33" s="1"/>
  <c r="Q91" i="33"/>
  <c r="R82" i="33" s="1"/>
  <c r="O91" i="33"/>
  <c r="P80" i="33" s="1"/>
  <c r="R81" i="33" l="1"/>
  <c r="T90" i="33"/>
  <c r="T88" i="33"/>
  <c r="T82" i="33"/>
  <c r="T80" i="33"/>
  <c r="P87" i="33"/>
  <c r="R89" i="33"/>
  <c r="P86" i="33"/>
  <c r="P78" i="33"/>
  <c r="R88" i="33"/>
  <c r="R80" i="33"/>
  <c r="T89" i="33"/>
  <c r="T81" i="33"/>
  <c r="P84" i="33"/>
  <c r="P76" i="33"/>
  <c r="R86" i="33"/>
  <c r="R78" i="33"/>
  <c r="T87" i="33"/>
  <c r="T79" i="33"/>
  <c r="P77" i="33"/>
  <c r="P83" i="33"/>
  <c r="R85" i="33"/>
  <c r="R77" i="33"/>
  <c r="T86" i="33"/>
  <c r="T78" i="33"/>
  <c r="P79" i="33"/>
  <c r="P85" i="33"/>
  <c r="P74" i="33"/>
  <c r="P75" i="33"/>
  <c r="P90" i="33"/>
  <c r="P82" i="33"/>
  <c r="R84" i="33"/>
  <c r="R76" i="33"/>
  <c r="T85" i="33"/>
  <c r="T77" i="33"/>
  <c r="R87" i="33"/>
  <c r="P81" i="33"/>
  <c r="R83" i="33"/>
  <c r="T84" i="33"/>
  <c r="T76" i="33"/>
  <c r="R79" i="33"/>
  <c r="P89" i="33"/>
  <c r="R74" i="33"/>
  <c r="R75" i="33"/>
  <c r="P88" i="33"/>
  <c r="R90" i="33"/>
  <c r="T74" i="33"/>
  <c r="T83" i="33"/>
  <c r="C176" i="103"/>
  <c r="T91" i="33" l="1"/>
  <c r="P91" i="33"/>
  <c r="R91" i="33"/>
  <c r="D167" i="103"/>
  <c r="E167" i="103" s="1"/>
  <c r="F167" i="103" s="1"/>
  <c r="G167" i="103" s="1"/>
  <c r="H167" i="103" s="1"/>
  <c r="I167" i="103" s="1"/>
  <c r="J167" i="103" s="1"/>
  <c r="K167" i="103" s="1"/>
  <c r="L167" i="103" s="1"/>
  <c r="M167" i="103" s="1"/>
  <c r="N167" i="103" s="1"/>
  <c r="D166" i="103"/>
  <c r="E166" i="103" s="1"/>
  <c r="F166" i="103" s="1"/>
  <c r="G166" i="103" s="1"/>
  <c r="H166" i="103" s="1"/>
  <c r="I166" i="103" s="1"/>
  <c r="J166" i="103" s="1"/>
  <c r="K166" i="103" s="1"/>
  <c r="L166" i="103" s="1"/>
  <c r="M166" i="103" s="1"/>
  <c r="N166" i="103" s="1"/>
  <c r="G162" i="103"/>
  <c r="F162" i="103"/>
  <c r="E162" i="103"/>
  <c r="D162" i="103"/>
  <c r="C162" i="103"/>
  <c r="G157" i="103"/>
  <c r="F157" i="103"/>
  <c r="E157" i="103"/>
  <c r="D157" i="103"/>
  <c r="G151" i="103"/>
  <c r="F151" i="103"/>
  <c r="E151" i="103"/>
  <c r="D151" i="103"/>
  <c r="C151" i="103"/>
  <c r="G121" i="103"/>
  <c r="F121" i="103"/>
  <c r="E121" i="103"/>
  <c r="D121" i="103"/>
  <c r="C121" i="103"/>
  <c r="G116" i="103"/>
  <c r="F116" i="103"/>
  <c r="E116" i="103"/>
  <c r="D116" i="103"/>
  <c r="C116" i="103"/>
  <c r="K108" i="103"/>
  <c r="I108" i="103"/>
  <c r="G108" i="103"/>
  <c r="E108" i="103"/>
  <c r="C108" i="103"/>
  <c r="K107" i="103"/>
  <c r="I107" i="103"/>
  <c r="G107" i="103"/>
  <c r="E107" i="103"/>
  <c r="C107" i="103"/>
  <c r="G97" i="103"/>
  <c r="F97" i="103"/>
  <c r="E97" i="103"/>
  <c r="D97" i="103"/>
  <c r="C97" i="103"/>
  <c r="G96" i="103"/>
  <c r="F96" i="103"/>
  <c r="E96" i="103"/>
  <c r="D96" i="103"/>
  <c r="C96" i="103"/>
  <c r="G95" i="103"/>
  <c r="F95" i="103"/>
  <c r="E95" i="103"/>
  <c r="D95" i="103"/>
  <c r="C95" i="103"/>
  <c r="G94" i="103"/>
  <c r="F94" i="103"/>
  <c r="E94" i="103"/>
  <c r="D94" i="103"/>
  <c r="C94" i="103"/>
  <c r="G93" i="103"/>
  <c r="F93" i="103"/>
  <c r="E93" i="103"/>
  <c r="D93" i="103"/>
  <c r="C93" i="103"/>
  <c r="G84" i="103"/>
  <c r="F84" i="103"/>
  <c r="E84" i="103"/>
  <c r="D84" i="103"/>
  <c r="C84" i="103"/>
  <c r="G76" i="103"/>
  <c r="F76" i="103"/>
  <c r="E76" i="103"/>
  <c r="D76" i="103"/>
  <c r="C76" i="103"/>
  <c r="G68" i="103"/>
  <c r="F68" i="103"/>
  <c r="E68" i="103"/>
  <c r="D68" i="103"/>
  <c r="C68" i="103"/>
  <c r="G60" i="103"/>
  <c r="F60" i="103"/>
  <c r="E60" i="103"/>
  <c r="D60" i="103"/>
  <c r="C60" i="103"/>
  <c r="G51" i="103"/>
  <c r="F51" i="103"/>
  <c r="E51" i="103"/>
  <c r="D51" i="103"/>
  <c r="C51" i="103"/>
  <c r="G42" i="103"/>
  <c r="F42" i="103"/>
  <c r="E42" i="103"/>
  <c r="D42" i="103"/>
  <c r="C42" i="103"/>
  <c r="G33" i="103"/>
  <c r="F33" i="103"/>
  <c r="E33" i="103"/>
  <c r="D33" i="103"/>
  <c r="C33" i="103"/>
  <c r="G24" i="103"/>
  <c r="F24" i="103"/>
  <c r="E24" i="103"/>
  <c r="D24" i="103"/>
  <c r="C24" i="103"/>
  <c r="G15" i="103"/>
  <c r="F15" i="103"/>
  <c r="E15" i="103"/>
  <c r="D15" i="103"/>
  <c r="C15" i="103"/>
  <c r="G6" i="103"/>
  <c r="F6" i="103"/>
  <c r="E6" i="103"/>
  <c r="D6" i="103"/>
  <c r="C6" i="103"/>
  <c r="K78" i="105"/>
  <c r="L88" i="105" s="1"/>
  <c r="I78" i="105"/>
  <c r="J85" i="105" s="1"/>
  <c r="G78" i="105"/>
  <c r="H86" i="105" s="1"/>
  <c r="E78" i="105"/>
  <c r="F87" i="105" s="1"/>
  <c r="C78" i="105"/>
  <c r="D88" i="105" s="1"/>
  <c r="D43" i="105"/>
  <c r="K36" i="105"/>
  <c r="L46" i="105" s="1"/>
  <c r="I36" i="105"/>
  <c r="J43" i="105" s="1"/>
  <c r="G36" i="105"/>
  <c r="H44" i="105" s="1"/>
  <c r="E36" i="105"/>
  <c r="F45" i="105" s="1"/>
  <c r="C36" i="105"/>
  <c r="D46" i="105" s="1"/>
  <c r="H37" i="105" l="1"/>
  <c r="L43" i="105"/>
  <c r="C98" i="103"/>
  <c r="C122" i="103" s="1"/>
  <c r="E163" i="103"/>
  <c r="F38" i="105"/>
  <c r="J44" i="105"/>
  <c r="F80" i="105"/>
  <c r="D39" i="105"/>
  <c r="H45" i="105"/>
  <c r="J82" i="105"/>
  <c r="L39" i="105"/>
  <c r="F46" i="105"/>
  <c r="F84" i="105"/>
  <c r="J40" i="105"/>
  <c r="J86" i="105"/>
  <c r="G98" i="103"/>
  <c r="G122" i="103" s="1"/>
  <c r="F88" i="105"/>
  <c r="H41" i="105"/>
  <c r="F42" i="105"/>
  <c r="F163" i="103"/>
  <c r="E98" i="103"/>
  <c r="E117" i="103" s="1"/>
  <c r="D98" i="103"/>
  <c r="E109" i="103" s="1"/>
  <c r="E112" i="103" s="1"/>
  <c r="G163" i="103"/>
  <c r="H163" i="103" s="1"/>
  <c r="D176" i="103" s="1"/>
  <c r="F98" i="103"/>
  <c r="I109" i="103" s="1"/>
  <c r="I112" i="103" s="1"/>
  <c r="D163" i="103"/>
  <c r="C117" i="103"/>
  <c r="H79" i="105"/>
  <c r="L81" i="105"/>
  <c r="N36" i="105"/>
  <c r="J37" i="105"/>
  <c r="H38" i="105"/>
  <c r="F39" i="105"/>
  <c r="D40" i="105"/>
  <c r="L40" i="105"/>
  <c r="J41" i="105"/>
  <c r="H42" i="105"/>
  <c r="F43" i="105"/>
  <c r="D44" i="105"/>
  <c r="L44" i="105"/>
  <c r="J45" i="105"/>
  <c r="H46" i="105"/>
  <c r="J79" i="105"/>
  <c r="H80" i="105"/>
  <c r="F81" i="105"/>
  <c r="D82" i="105"/>
  <c r="L82" i="105"/>
  <c r="J83" i="105"/>
  <c r="H84" i="105"/>
  <c r="F85" i="105"/>
  <c r="D86" i="105"/>
  <c r="L86" i="105"/>
  <c r="J87" i="105"/>
  <c r="H88" i="105"/>
  <c r="D81" i="105"/>
  <c r="H83" i="105"/>
  <c r="D37" i="105"/>
  <c r="L37" i="105"/>
  <c r="J38" i="105"/>
  <c r="H39" i="105"/>
  <c r="F40" i="105"/>
  <c r="D41" i="105"/>
  <c r="L41" i="105"/>
  <c r="J42" i="105"/>
  <c r="H43" i="105"/>
  <c r="F44" i="105"/>
  <c r="D45" i="105"/>
  <c r="L45" i="105"/>
  <c r="J46" i="105"/>
  <c r="D79" i="105"/>
  <c r="L79" i="105"/>
  <c r="J80" i="105"/>
  <c r="H81" i="105"/>
  <c r="F82" i="105"/>
  <c r="D83" i="105"/>
  <c r="L83" i="105"/>
  <c r="J84" i="105"/>
  <c r="H85" i="105"/>
  <c r="F86" i="105"/>
  <c r="D87" i="105"/>
  <c r="L87" i="105"/>
  <c r="J88" i="105"/>
  <c r="D85" i="105"/>
  <c r="L85" i="105"/>
  <c r="H87" i="105"/>
  <c r="F37" i="105"/>
  <c r="D38" i="105"/>
  <c r="L38" i="105"/>
  <c r="J39" i="105"/>
  <c r="H40" i="105"/>
  <c r="F41" i="105"/>
  <c r="D42" i="105"/>
  <c r="L42" i="105"/>
  <c r="F79" i="105"/>
  <c r="D80" i="105"/>
  <c r="L80" i="105"/>
  <c r="J81" i="105"/>
  <c r="H82" i="105"/>
  <c r="F83" i="105"/>
  <c r="D84" i="105"/>
  <c r="L84" i="105"/>
  <c r="C109" i="103" l="1"/>
  <c r="C111" i="103" s="1"/>
  <c r="G117" i="103"/>
  <c r="F122" i="103"/>
  <c r="F117" i="103"/>
  <c r="K109" i="103"/>
  <c r="D122" i="103"/>
  <c r="L78" i="105"/>
  <c r="E122" i="103"/>
  <c r="G109" i="103"/>
  <c r="G111" i="103" s="1"/>
  <c r="J78" i="105"/>
  <c r="D117" i="103"/>
  <c r="C112" i="103"/>
  <c r="F110" i="103"/>
  <c r="F109" i="103"/>
  <c r="E176" i="103"/>
  <c r="D109" i="103"/>
  <c r="D110" i="103"/>
  <c r="J110" i="103"/>
  <c r="J109" i="103"/>
  <c r="I111" i="103"/>
  <c r="E111" i="103"/>
  <c r="H109" i="103"/>
  <c r="L109" i="103"/>
  <c r="L110" i="103"/>
  <c r="F78" i="105"/>
  <c r="F36" i="105"/>
  <c r="D78" i="105"/>
  <c r="L36" i="105"/>
  <c r="D36" i="105"/>
  <c r="J36" i="105"/>
  <c r="H36" i="105"/>
  <c r="H78" i="105"/>
  <c r="K111" i="103" l="1"/>
  <c r="K112" i="103"/>
  <c r="C175" i="103" s="1"/>
  <c r="G112" i="103"/>
  <c r="H110" i="103"/>
  <c r="F176" i="103"/>
  <c r="C179" i="103" l="1"/>
  <c r="D175" i="103"/>
  <c r="G176" i="103"/>
  <c r="E175" i="103" l="1"/>
  <c r="D179" i="103"/>
  <c r="H176" i="103"/>
  <c r="F175" i="103" l="1"/>
  <c r="E179" i="103"/>
  <c r="I176" i="103"/>
  <c r="G175" i="103" l="1"/>
  <c r="F179" i="103"/>
  <c r="J176" i="103"/>
  <c r="H175" i="103" l="1"/>
  <c r="G179" i="103"/>
  <c r="K176" i="103"/>
  <c r="I175" i="103" l="1"/>
  <c r="H179" i="103"/>
  <c r="L176" i="103"/>
  <c r="J175" i="103" l="1"/>
  <c r="I179" i="103"/>
  <c r="M176" i="103"/>
  <c r="K175" i="103" l="1"/>
  <c r="J179" i="103"/>
  <c r="N176" i="103"/>
  <c r="L175" i="103" l="1"/>
  <c r="K179" i="103"/>
  <c r="M175" i="103" l="1"/>
  <c r="L179" i="103"/>
  <c r="B101" i="92"/>
  <c r="B102" i="92"/>
  <c r="B103" i="92"/>
  <c r="B104" i="92"/>
  <c r="B105" i="92"/>
  <c r="B106" i="92"/>
  <c r="B107" i="92"/>
  <c r="B108" i="92"/>
  <c r="B100" i="92"/>
  <c r="D36" i="92"/>
  <c r="C36" i="92"/>
  <c r="B33" i="92"/>
  <c r="B34" i="92"/>
  <c r="B35" i="92"/>
  <c r="B36" i="92"/>
  <c r="B37" i="92"/>
  <c r="B61" i="92" s="1"/>
  <c r="B38" i="92"/>
  <c r="B39" i="92"/>
  <c r="B32" i="92"/>
  <c r="N175" i="103" l="1"/>
  <c r="N179" i="103" s="1"/>
  <c r="M179" i="103"/>
  <c r="G41" i="94"/>
  <c r="D39" i="92" s="1"/>
  <c r="F41" i="94"/>
  <c r="E41" i="94"/>
  <c r="C39" i="92" s="1"/>
  <c r="G40" i="94"/>
  <c r="D38" i="92" s="1"/>
  <c r="F40" i="94"/>
  <c r="E40" i="94"/>
  <c r="C38" i="92" s="1"/>
  <c r="G39" i="94"/>
  <c r="D37" i="92" s="1"/>
  <c r="D61" i="92" s="1"/>
  <c r="F39" i="94"/>
  <c r="E39" i="94"/>
  <c r="C37" i="92" s="1"/>
  <c r="G37" i="94"/>
  <c r="D35" i="92" s="1"/>
  <c r="F37" i="94"/>
  <c r="E37" i="94"/>
  <c r="C35" i="92" s="1"/>
  <c r="G36" i="94"/>
  <c r="D34" i="92" s="1"/>
  <c r="F36" i="94"/>
  <c r="E36" i="94"/>
  <c r="C34" i="92" s="1"/>
  <c r="G35" i="94"/>
  <c r="D33" i="92" s="1"/>
  <c r="F35" i="94"/>
  <c r="E35" i="94"/>
  <c r="C33" i="92" s="1"/>
  <c r="G34" i="94"/>
  <c r="D32" i="92" s="1"/>
  <c r="F34" i="94"/>
  <c r="E34" i="94"/>
  <c r="C32" i="92" s="1"/>
  <c r="H162" i="93"/>
  <c r="E458" i="93"/>
  <c r="N24" i="93" s="1"/>
  <c r="G457" i="93"/>
  <c r="G456" i="93" s="1"/>
  <c r="H455" i="93" s="1"/>
  <c r="G453" i="93"/>
  <c r="G452" i="93"/>
  <c r="G451" i="93"/>
  <c r="G450" i="93"/>
  <c r="G449" i="93"/>
  <c r="G448" i="93"/>
  <c r="G447" i="93"/>
  <c r="G446" i="93"/>
  <c r="G445" i="93"/>
  <c r="G444" i="93"/>
  <c r="G427" i="93"/>
  <c r="G426" i="93"/>
  <c r="G425" i="93"/>
  <c r="G424" i="93"/>
  <c r="G423" i="93"/>
  <c r="G419" i="93"/>
  <c r="G418" i="93"/>
  <c r="G417" i="93"/>
  <c r="G416" i="93"/>
  <c r="G412" i="93"/>
  <c r="G411" i="93"/>
  <c r="G410" i="93"/>
  <c r="G409" i="93"/>
  <c r="G408" i="93"/>
  <c r="G407" i="93"/>
  <c r="G406" i="93"/>
  <c r="G405" i="93"/>
  <c r="G404" i="93"/>
  <c r="G403" i="93"/>
  <c r="G402" i="93"/>
  <c r="G401" i="93"/>
  <c r="G400" i="93"/>
  <c r="G399" i="93"/>
  <c r="G398" i="93"/>
  <c r="G397" i="93"/>
  <c r="G396" i="93"/>
  <c r="G395" i="93"/>
  <c r="G394" i="93"/>
  <c r="G393" i="93"/>
  <c r="G392" i="93"/>
  <c r="G391" i="93"/>
  <c r="G390" i="93"/>
  <c r="G386" i="93"/>
  <c r="G385" i="93"/>
  <c r="G384" i="93"/>
  <c r="G380" i="93"/>
  <c r="G379" i="93"/>
  <c r="G378" i="93"/>
  <c r="G377" i="93"/>
  <c r="G376" i="93"/>
  <c r="G375" i="93"/>
  <c r="G371" i="93"/>
  <c r="G370" i="93"/>
  <c r="G369" i="93"/>
  <c r="G368" i="93"/>
  <c r="G367" i="93"/>
  <c r="G366" i="93"/>
  <c r="G362" i="93"/>
  <c r="G361" i="93"/>
  <c r="G360" i="93"/>
  <c r="G359" i="93"/>
  <c r="G358" i="93"/>
  <c r="H357" i="93" s="1"/>
  <c r="G355" i="93"/>
  <c r="G354" i="93"/>
  <c r="G353" i="93"/>
  <c r="G352" i="93"/>
  <c r="H351" i="93" s="1"/>
  <c r="G349" i="93"/>
  <c r="G348" i="93"/>
  <c r="G347" i="93"/>
  <c r="G343" i="93"/>
  <c r="G342" i="93"/>
  <c r="G341" i="93"/>
  <c r="G340" i="93"/>
  <c r="G339" i="93"/>
  <c r="G335" i="93"/>
  <c r="G334" i="93"/>
  <c r="G333" i="93"/>
  <c r="G332" i="93"/>
  <c r="G338" i="93" l="1"/>
  <c r="H337" i="93" s="1"/>
  <c r="C180" i="103"/>
  <c r="G389" i="93"/>
  <c r="H388" i="93" s="1"/>
  <c r="G415" i="93"/>
  <c r="H414" i="93" s="1"/>
  <c r="G331" i="93"/>
  <c r="H330" i="93" s="1"/>
  <c r="G374" i="93"/>
  <c r="H373" i="93" s="1"/>
  <c r="E468" i="93"/>
  <c r="G346" i="93"/>
  <c r="H345" i="93" s="1"/>
  <c r="G422" i="93"/>
  <c r="H421" i="93" s="1"/>
  <c r="G443" i="93"/>
  <c r="H442" i="93" s="1"/>
  <c r="G365" i="93"/>
  <c r="H364" i="93" s="1"/>
  <c r="G383" i="93"/>
  <c r="H382" i="93" s="1"/>
  <c r="G430" i="93"/>
  <c r="H429" i="93" s="1"/>
  <c r="H459" i="93" l="1"/>
  <c r="F41" i="104"/>
  <c r="E41" i="104"/>
  <c r="D41" i="104"/>
  <c r="C41" i="104"/>
  <c r="G40" i="104"/>
  <c r="G39" i="104"/>
  <c r="G38" i="104"/>
  <c r="C17" i="104" s="1"/>
  <c r="G17" i="104" s="1"/>
  <c r="L28" i="104" s="1"/>
  <c r="G37" i="104"/>
  <c r="G36" i="104"/>
  <c r="F30" i="104"/>
  <c r="E30" i="104"/>
  <c r="D30" i="104"/>
  <c r="C30" i="104"/>
  <c r="G29" i="104"/>
  <c r="C9" i="104" s="1"/>
  <c r="G9" i="104" s="1"/>
  <c r="K30" i="104" s="1"/>
  <c r="G28" i="104"/>
  <c r="C8" i="104" s="1"/>
  <c r="G8" i="104" s="1"/>
  <c r="K29" i="104" s="1"/>
  <c r="G27" i="104"/>
  <c r="C7" i="104" s="1"/>
  <c r="G7" i="104" s="1"/>
  <c r="K28" i="104" s="1"/>
  <c r="G26" i="104"/>
  <c r="C6" i="104" s="1"/>
  <c r="G6" i="104" s="1"/>
  <c r="K27" i="104" s="1"/>
  <c r="G25" i="104"/>
  <c r="F20" i="104"/>
  <c r="E20" i="104"/>
  <c r="D20" i="104"/>
  <c r="C19" i="104"/>
  <c r="G19" i="104" s="1"/>
  <c r="L30" i="104" s="1"/>
  <c r="C18" i="104"/>
  <c r="G18" i="104" s="1"/>
  <c r="L29" i="104" s="1"/>
  <c r="C16" i="104"/>
  <c r="G16" i="104" s="1"/>
  <c r="L27" i="104" s="1"/>
  <c r="C15" i="104"/>
  <c r="G15" i="104" s="1"/>
  <c r="L26" i="104" s="1"/>
  <c r="F10" i="104"/>
  <c r="E10" i="104"/>
  <c r="D10" i="104"/>
  <c r="C5" i="104"/>
  <c r="G5" i="104" s="1"/>
  <c r="K26" i="104" s="1"/>
  <c r="G30" i="104" l="1"/>
  <c r="D31" i="104" s="1"/>
  <c r="O24" i="93"/>
  <c r="F462" i="93"/>
  <c r="F464" i="93" s="1"/>
  <c r="H468" i="93" s="1"/>
  <c r="E42" i="104"/>
  <c r="E31" i="104"/>
  <c r="C10" i="104"/>
  <c r="C31" i="104"/>
  <c r="G41" i="104"/>
  <c r="C42" i="104" s="1"/>
  <c r="F31" i="104" l="1"/>
  <c r="G31" i="104" s="1"/>
  <c r="F42" i="104"/>
  <c r="G10" i="104"/>
  <c r="C11" i="104" s="1"/>
  <c r="D42" i="104"/>
  <c r="G42" i="104" s="1"/>
  <c r="C20" i="104"/>
  <c r="J5" i="104" l="1"/>
  <c r="K31" i="104"/>
  <c r="D11" i="104"/>
  <c r="K5" i="104" s="1"/>
  <c r="F11" i="104"/>
  <c r="M5" i="104" s="1"/>
  <c r="E11" i="104"/>
  <c r="L5" i="104" s="1"/>
  <c r="G20" i="104"/>
  <c r="C21" i="104" s="1"/>
  <c r="D21" i="104" l="1"/>
  <c r="K23" i="104" s="1"/>
  <c r="F21" i="104"/>
  <c r="M23" i="104" s="1"/>
  <c r="L31" i="104"/>
  <c r="E21" i="104"/>
  <c r="L23" i="104" s="1"/>
  <c r="G11" i="104"/>
  <c r="J23" i="104"/>
  <c r="G21" i="104" l="1"/>
  <c r="C96" i="100" l="1"/>
  <c r="C97" i="100" s="1"/>
  <c r="C98" i="100" s="1"/>
  <c r="C99" i="100" s="1"/>
  <c r="C100" i="100" s="1"/>
  <c r="C101" i="100" s="1"/>
  <c r="C102" i="100" s="1"/>
  <c r="C103" i="100" s="1"/>
  <c r="C94" i="100"/>
  <c r="C93" i="100" s="1"/>
  <c r="C92" i="100" s="1"/>
  <c r="C91" i="100" s="1"/>
  <c r="C90" i="100" s="1"/>
  <c r="C89" i="100" s="1"/>
  <c r="C88" i="100" s="1"/>
  <c r="C87" i="100" s="1"/>
  <c r="C74" i="100"/>
  <c r="C75" i="100" s="1"/>
  <c r="C76" i="100" s="1"/>
  <c r="C77" i="100" s="1"/>
  <c r="C78" i="100" s="1"/>
  <c r="C79" i="100" s="1"/>
  <c r="C80" i="100" s="1"/>
  <c r="C81" i="100" s="1"/>
  <c r="C72" i="100"/>
  <c r="C71" i="100"/>
  <c r="C70" i="100" s="1"/>
  <c r="C69" i="100" s="1"/>
  <c r="C68" i="100" s="1"/>
  <c r="C67" i="100" s="1"/>
  <c r="C66" i="100" s="1"/>
  <c r="C65" i="100" s="1"/>
  <c r="AB53" i="101"/>
  <c r="Z53" i="101"/>
  <c r="X53" i="101"/>
  <c r="V53" i="101"/>
  <c r="T53" i="101"/>
  <c r="R53" i="101"/>
  <c r="P53" i="101"/>
  <c r="N53" i="101"/>
  <c r="L53" i="101"/>
  <c r="J53" i="101"/>
  <c r="Z49" i="101"/>
  <c r="X49" i="101"/>
  <c r="V49" i="101"/>
  <c r="T49" i="101"/>
  <c r="AB47" i="101"/>
  <c r="Z47" i="101"/>
  <c r="X47" i="101"/>
  <c r="V47" i="101"/>
  <c r="T47" i="101"/>
  <c r="AB45" i="101"/>
  <c r="AH45" i="101" s="1"/>
  <c r="AB43" i="101"/>
  <c r="AH43" i="101" s="1"/>
  <c r="P41" i="101"/>
  <c r="N41" i="101"/>
  <c r="L41" i="101"/>
  <c r="N39" i="101"/>
  <c r="AH39" i="101" s="1"/>
  <c r="L37" i="101"/>
  <c r="AH37" i="101" s="1"/>
  <c r="L35" i="101"/>
  <c r="AH35" i="101" s="1"/>
  <c r="AB33" i="101"/>
  <c r="Z33" i="101"/>
  <c r="X33" i="101"/>
  <c r="V33" i="101"/>
  <c r="T33" i="101"/>
  <c r="R33" i="101"/>
  <c r="J31" i="101"/>
  <c r="AH31" i="101" s="1"/>
  <c r="V29" i="101"/>
  <c r="T29" i="101"/>
  <c r="R29" i="101"/>
  <c r="P29" i="101"/>
  <c r="N29" i="101"/>
  <c r="L29" i="101"/>
  <c r="J29" i="101"/>
  <c r="X27" i="101"/>
  <c r="V27" i="101"/>
  <c r="T27" i="101"/>
  <c r="R27" i="101"/>
  <c r="J25" i="101"/>
  <c r="AH25" i="101" s="1"/>
  <c r="R23" i="101"/>
  <c r="P23" i="101"/>
  <c r="N23" i="101"/>
  <c r="X21" i="101"/>
  <c r="V21" i="101"/>
  <c r="T21" i="101"/>
  <c r="R19" i="101"/>
  <c r="P19" i="101"/>
  <c r="N19" i="101"/>
  <c r="L19" i="101"/>
  <c r="J19" i="101"/>
  <c r="T17" i="101"/>
  <c r="R17" i="101"/>
  <c r="P17" i="101"/>
  <c r="N17" i="101"/>
  <c r="R15" i="101"/>
  <c r="P15" i="101"/>
  <c r="N15" i="101"/>
  <c r="L15" i="101"/>
  <c r="N13" i="101"/>
  <c r="L13" i="101"/>
  <c r="J13" i="101"/>
  <c r="C48" i="99"/>
  <c r="C49" i="99"/>
  <c r="C50" i="99"/>
  <c r="C51" i="99"/>
  <c r="C52" i="99"/>
  <c r="C53" i="99"/>
  <c r="C47" i="99"/>
  <c r="C42" i="99"/>
  <c r="C43" i="99"/>
  <c r="C44" i="99"/>
  <c r="C45" i="99"/>
  <c r="C41" i="99"/>
  <c r="C39" i="99"/>
  <c r="C36" i="99"/>
  <c r="C38" i="99"/>
  <c r="C35" i="99"/>
  <c r="C17" i="99"/>
  <c r="C18" i="99"/>
  <c r="C19" i="99"/>
  <c r="C20" i="99"/>
  <c r="C21" i="99"/>
  <c r="C22" i="99"/>
  <c r="C23" i="99"/>
  <c r="C24" i="99"/>
  <c r="C25" i="99"/>
  <c r="C26" i="99"/>
  <c r="C27" i="99"/>
  <c r="C28" i="99"/>
  <c r="C29" i="99"/>
  <c r="C30" i="99"/>
  <c r="C31" i="99"/>
  <c r="C32" i="99"/>
  <c r="C33" i="99"/>
  <c r="C16" i="99"/>
  <c r="C11" i="99"/>
  <c r="C12" i="99"/>
  <c r="C13" i="99"/>
  <c r="C14" i="99"/>
  <c r="C10" i="99"/>
  <c r="E8" i="99"/>
  <c r="F8" i="99" s="1"/>
  <c r="G8" i="99" s="1"/>
  <c r="H8" i="99" s="1"/>
  <c r="I8" i="99" s="1"/>
  <c r="J8" i="99" s="1"/>
  <c r="K8" i="99" s="1"/>
  <c r="L8" i="99" s="1"/>
  <c r="M8" i="99" s="1"/>
  <c r="N8" i="99" s="1"/>
  <c r="O8" i="99" s="1"/>
  <c r="P8" i="99" s="1"/>
  <c r="Q8" i="99" s="1"/>
  <c r="R8" i="99" s="1"/>
  <c r="S8" i="99" s="1"/>
  <c r="T8" i="99" s="1"/>
  <c r="AE106" i="98"/>
  <c r="AD106" i="98"/>
  <c r="AX106" i="98" s="1"/>
  <c r="AC106" i="98"/>
  <c r="AB106" i="98"/>
  <c r="AA106" i="98"/>
  <c r="Z106" i="98"/>
  <c r="Y106" i="98"/>
  <c r="X106" i="98"/>
  <c r="W106" i="98"/>
  <c r="V106" i="98"/>
  <c r="U106" i="98"/>
  <c r="T106" i="98"/>
  <c r="M100" i="98"/>
  <c r="L100" i="98"/>
  <c r="AV100" i="98" s="1"/>
  <c r="AY100" i="98" s="1"/>
  <c r="I36" i="98"/>
  <c r="AN86" i="98"/>
  <c r="AM86" i="98"/>
  <c r="AL86" i="98"/>
  <c r="AN45" i="98"/>
  <c r="X43" i="98"/>
  <c r="T43" i="98"/>
  <c r="E69" i="97"/>
  <c r="E68" i="97"/>
  <c r="E67" i="97"/>
  <c r="E66" i="97"/>
  <c r="E64" i="97"/>
  <c r="E63" i="97"/>
  <c r="E62" i="97"/>
  <c r="E61" i="97"/>
  <c r="E59" i="97"/>
  <c r="E58" i="97"/>
  <c r="E57" i="97"/>
  <c r="E56" i="97"/>
  <c r="E54" i="97"/>
  <c r="E53" i="97"/>
  <c r="E52" i="97"/>
  <c r="E51" i="97"/>
  <c r="E50" i="97"/>
  <c r="E48" i="97"/>
  <c r="E47" i="97"/>
  <c r="E46" i="97"/>
  <c r="E45" i="97"/>
  <c r="E44" i="97"/>
  <c r="E43" i="97"/>
  <c r="E41" i="97"/>
  <c r="E40" i="97"/>
  <c r="E39" i="97"/>
  <c r="E38" i="97"/>
  <c r="E37" i="97"/>
  <c r="E36" i="97"/>
  <c r="E30" i="97"/>
  <c r="E29" i="97"/>
  <c r="E27" i="97"/>
  <c r="E26" i="97"/>
  <c r="E25" i="97"/>
  <c r="E24" i="97"/>
  <c r="E23" i="97"/>
  <c r="E21" i="97"/>
  <c r="E20" i="97"/>
  <c r="E16" i="97"/>
  <c r="E15" i="97"/>
  <c r="E14" i="97"/>
  <c r="E13" i="97"/>
  <c r="E12" i="97"/>
  <c r="E11" i="97"/>
  <c r="E10" i="97"/>
  <c r="E9" i="97"/>
  <c r="E8" i="97"/>
  <c r="E7" i="97"/>
  <c r="AE5" i="97"/>
  <c r="AF5" i="97" s="1"/>
  <c r="AG5" i="97" s="1"/>
  <c r="AH5" i="97" s="1"/>
  <c r="AI5" i="97" s="1"/>
  <c r="AJ5" i="97" s="1"/>
  <c r="AK5" i="97" s="1"/>
  <c r="AL5" i="97" s="1"/>
  <c r="AM5" i="97" s="1"/>
  <c r="AN5" i="97" s="1"/>
  <c r="AO5" i="97" s="1"/>
  <c r="S5" i="97"/>
  <c r="T5" i="97" s="1"/>
  <c r="U5" i="97" s="1"/>
  <c r="V5" i="97" s="1"/>
  <c r="W5" i="97" s="1"/>
  <c r="X5" i="97" s="1"/>
  <c r="Y5" i="97" s="1"/>
  <c r="Z5" i="97" s="1"/>
  <c r="AA5" i="97" s="1"/>
  <c r="AB5" i="97" s="1"/>
  <c r="AC5" i="97" s="1"/>
  <c r="G5" i="97"/>
  <c r="H5" i="97" s="1"/>
  <c r="I5" i="97" s="1"/>
  <c r="J5" i="97" s="1"/>
  <c r="K5" i="97" s="1"/>
  <c r="L5" i="97" s="1"/>
  <c r="M5" i="97" s="1"/>
  <c r="N5" i="97" s="1"/>
  <c r="O5" i="97" s="1"/>
  <c r="P5" i="97" s="1"/>
  <c r="Q5" i="97" s="1"/>
  <c r="R4" i="97"/>
  <c r="AD4" i="97" s="1"/>
  <c r="E34" i="96"/>
  <c r="F34" i="96" s="1"/>
  <c r="G34" i="96" s="1"/>
  <c r="H34" i="96" s="1"/>
  <c r="I34" i="96" s="1"/>
  <c r="J34" i="96" s="1"/>
  <c r="K34" i="96" s="1"/>
  <c r="L34" i="96" s="1"/>
  <c r="M34" i="96" s="1"/>
  <c r="N34" i="96" s="1"/>
  <c r="O34" i="96" s="1"/>
  <c r="P34" i="96" s="1"/>
  <c r="Q34" i="96" s="1"/>
  <c r="R34" i="96" s="1"/>
  <c r="E33" i="96"/>
  <c r="F33" i="96" s="1"/>
  <c r="G33" i="96" s="1"/>
  <c r="H33" i="96" s="1"/>
  <c r="I33" i="96" s="1"/>
  <c r="J33" i="96" s="1"/>
  <c r="K33" i="96" s="1"/>
  <c r="L33" i="96" s="1"/>
  <c r="M33" i="96" s="1"/>
  <c r="N33" i="96" s="1"/>
  <c r="O33" i="96" s="1"/>
  <c r="P33" i="96" s="1"/>
  <c r="Q33" i="96" s="1"/>
  <c r="R33" i="96" s="1"/>
  <c r="F19" i="96"/>
  <c r="E12" i="96"/>
  <c r="F12" i="96" s="1"/>
  <c r="G12" i="96" s="1"/>
  <c r="H12" i="96" s="1"/>
  <c r="I12" i="96" s="1"/>
  <c r="J12" i="96" s="1"/>
  <c r="K12" i="96" s="1"/>
  <c r="L12" i="96" s="1"/>
  <c r="M12" i="96" s="1"/>
  <c r="N12" i="96" s="1"/>
  <c r="O12" i="96" s="1"/>
  <c r="P12" i="96" s="1"/>
  <c r="Q12" i="96" s="1"/>
  <c r="R12" i="96" s="1"/>
  <c r="E11" i="96"/>
  <c r="F11" i="96" s="1"/>
  <c r="G11" i="96" s="1"/>
  <c r="H11" i="96" s="1"/>
  <c r="I11" i="96" s="1"/>
  <c r="J11" i="96" s="1"/>
  <c r="K11" i="96" s="1"/>
  <c r="L11" i="96" s="1"/>
  <c r="M11" i="96" s="1"/>
  <c r="N11" i="96" s="1"/>
  <c r="O11" i="96" s="1"/>
  <c r="P11" i="96" s="1"/>
  <c r="Q11" i="96" s="1"/>
  <c r="R11" i="96" s="1"/>
  <c r="AW106" i="98" l="1"/>
  <c r="AY106" i="98" s="1"/>
  <c r="AP36" i="98"/>
  <c r="AV36" i="98"/>
  <c r="AY36" i="98" s="1"/>
  <c r="AX86" i="98"/>
  <c r="AY86" i="98" s="1"/>
  <c r="AP106" i="98"/>
  <c r="AP86" i="98"/>
  <c r="AP100" i="98"/>
  <c r="M35" i="101"/>
  <c r="AI35" i="101" s="1"/>
  <c r="L38" i="98"/>
  <c r="V44" i="98"/>
  <c r="Z44" i="98"/>
  <c r="V43" i="98"/>
  <c r="Z43" i="98"/>
  <c r="W44" i="98"/>
  <c r="AA44" i="98"/>
  <c r="W43" i="98"/>
  <c r="AA43" i="98"/>
  <c r="X44" i="98"/>
  <c r="I37" i="98"/>
  <c r="AD44" i="98"/>
  <c r="AX44" i="98" s="1"/>
  <c r="M38" i="98"/>
  <c r="AE44" i="98"/>
  <c r="U44" i="98"/>
  <c r="Y44" i="98"/>
  <c r="AC44" i="98"/>
  <c r="U43" i="98"/>
  <c r="Y43" i="98"/>
  <c r="T44" i="98"/>
  <c r="AB44" i="98"/>
  <c r="AB43" i="98"/>
  <c r="N63" i="101"/>
  <c r="N65" i="101" s="1"/>
  <c r="R63" i="101"/>
  <c r="R65" i="101" s="1"/>
  <c r="T63" i="101"/>
  <c r="T65" i="101" s="1"/>
  <c r="X63" i="101"/>
  <c r="X65" i="101" s="1"/>
  <c r="AH49" i="101"/>
  <c r="AB63" i="101"/>
  <c r="AB65" i="101" s="1"/>
  <c r="Z63" i="101"/>
  <c r="Z65" i="101" s="1"/>
  <c r="J63" i="101"/>
  <c r="J65" i="101" s="1"/>
  <c r="L63" i="101"/>
  <c r="P63" i="101"/>
  <c r="P65" i="101" s="1"/>
  <c r="V63" i="101"/>
  <c r="V65" i="101" s="1"/>
  <c r="AH15" i="101"/>
  <c r="AH17" i="101"/>
  <c r="K19" i="101"/>
  <c r="AH19" i="101"/>
  <c r="O23" i="101"/>
  <c r="AH23" i="101"/>
  <c r="AH27" i="101"/>
  <c r="AH29" i="101"/>
  <c r="AH33" i="101"/>
  <c r="AH53" i="101"/>
  <c r="AH13" i="101"/>
  <c r="AH21" i="101"/>
  <c r="AH41" i="101"/>
  <c r="AH47" i="101"/>
  <c r="K25" i="101"/>
  <c r="AI25" i="101" s="1"/>
  <c r="Q29" i="101"/>
  <c r="S15" i="101"/>
  <c r="K29" i="101"/>
  <c r="M15" i="101"/>
  <c r="Q19" i="101"/>
  <c r="S33" i="101"/>
  <c r="M13" i="101"/>
  <c r="O15" i="101"/>
  <c r="S17" i="101"/>
  <c r="M19" i="101"/>
  <c r="W21" i="101"/>
  <c r="Q23" i="101"/>
  <c r="W27" i="101"/>
  <c r="M29" i="101"/>
  <c r="W29" i="101"/>
  <c r="I63" i="101"/>
  <c r="I65" i="101" s="1"/>
  <c r="S53" i="101"/>
  <c r="AC47" i="101"/>
  <c r="AC43" i="101"/>
  <c r="AI43" i="101" s="1"/>
  <c r="AC53" i="101"/>
  <c r="Y53" i="101"/>
  <c r="U53" i="101"/>
  <c r="Q53" i="101"/>
  <c r="M53" i="101"/>
  <c r="Y49" i="101"/>
  <c r="U49" i="101"/>
  <c r="AA47" i="101"/>
  <c r="W47" i="101"/>
  <c r="AC45" i="101"/>
  <c r="AI45" i="101" s="1"/>
  <c r="Q41" i="101"/>
  <c r="M41" i="101"/>
  <c r="M37" i="101"/>
  <c r="AI37" i="101" s="1"/>
  <c r="AC33" i="101"/>
  <c r="Y33" i="101"/>
  <c r="U33" i="101"/>
  <c r="K31" i="101"/>
  <c r="AI31" i="101" s="1"/>
  <c r="AA53" i="101"/>
  <c r="O53" i="101"/>
  <c r="AA49" i="101"/>
  <c r="Y47" i="101"/>
  <c r="W53" i="101"/>
  <c r="K53" i="101"/>
  <c r="W49" i="101"/>
  <c r="U47" i="101"/>
  <c r="O39" i="101"/>
  <c r="AI39" i="101" s="1"/>
  <c r="O17" i="101"/>
  <c r="U17" i="101"/>
  <c r="S19" i="101"/>
  <c r="S27" i="101"/>
  <c r="Y27" i="101"/>
  <c r="S29" i="101"/>
  <c r="AA33" i="101"/>
  <c r="O41" i="101"/>
  <c r="K13" i="101"/>
  <c r="Q15" i="101"/>
  <c r="Q17" i="101"/>
  <c r="O19" i="101"/>
  <c r="U21" i="101"/>
  <c r="S23" i="101"/>
  <c r="U27" i="101"/>
  <c r="O29" i="101"/>
  <c r="U29" i="101"/>
  <c r="W33" i="101"/>
  <c r="O13" i="101"/>
  <c r="Y21" i="101"/>
  <c r="AL45" i="98"/>
  <c r="AM45" i="98"/>
  <c r="I108" i="98"/>
  <c r="H25" i="95"/>
  <c r="I25" i="95" s="1"/>
  <c r="J25" i="95" s="1"/>
  <c r="K25" i="95" s="1"/>
  <c r="L25" i="95" s="1"/>
  <c r="M25" i="95" s="1"/>
  <c r="N25" i="95" s="1"/>
  <c r="O25" i="95" s="1"/>
  <c r="P25" i="95" s="1"/>
  <c r="Q25" i="95" s="1"/>
  <c r="R25" i="95" s="1"/>
  <c r="S25" i="95" s="1"/>
  <c r="T25" i="95" s="1"/>
  <c r="U25" i="95" s="1"/>
  <c r="V25" i="95" s="1"/>
  <c r="F19" i="95"/>
  <c r="H14" i="95"/>
  <c r="I14" i="95" s="1"/>
  <c r="J14" i="95" s="1"/>
  <c r="K14" i="95" s="1"/>
  <c r="L14" i="95" s="1"/>
  <c r="M14" i="95" s="1"/>
  <c r="N14" i="95" s="1"/>
  <c r="O14" i="95" s="1"/>
  <c r="P14" i="95" s="1"/>
  <c r="Q14" i="95" s="1"/>
  <c r="R14" i="95" s="1"/>
  <c r="S14" i="95" s="1"/>
  <c r="T14" i="95" s="1"/>
  <c r="U14" i="95" s="1"/>
  <c r="V14" i="95" s="1"/>
  <c r="M30" i="94"/>
  <c r="L30" i="94"/>
  <c r="K30" i="94"/>
  <c r="N25" i="93"/>
  <c r="F48" i="84" s="1"/>
  <c r="G314" i="93"/>
  <c r="F314" i="93"/>
  <c r="N14" i="93" s="1"/>
  <c r="C108" i="92" s="1"/>
  <c r="H313" i="93"/>
  <c r="H312" i="93"/>
  <c r="H311" i="93"/>
  <c r="H310" i="93"/>
  <c r="H309" i="93"/>
  <c r="H308" i="93"/>
  <c r="H307" i="93"/>
  <c r="G305" i="93"/>
  <c r="F305" i="93"/>
  <c r="N13" i="93" s="1"/>
  <c r="C107" i="92" s="1"/>
  <c r="C132" i="92" s="1"/>
  <c r="C158" i="92" s="1"/>
  <c r="H304" i="93"/>
  <c r="H303" i="93"/>
  <c r="G301" i="93"/>
  <c r="F301" i="93"/>
  <c r="N12" i="93" s="1"/>
  <c r="C106" i="92" s="1"/>
  <c r="C131" i="92" s="1"/>
  <c r="C157" i="92" s="1"/>
  <c r="H300" i="93"/>
  <c r="H299" i="93"/>
  <c r="H298" i="93"/>
  <c r="H297" i="93"/>
  <c r="H296" i="93"/>
  <c r="H295" i="93"/>
  <c r="H294" i="93"/>
  <c r="H293" i="93"/>
  <c r="H292" i="93"/>
  <c r="H291" i="93"/>
  <c r="H290" i="93"/>
  <c r="H289" i="93"/>
  <c r="H288" i="93"/>
  <c r="H287" i="93"/>
  <c r="H286" i="93"/>
  <c r="H285" i="93"/>
  <c r="H284" i="93"/>
  <c r="H283" i="93"/>
  <c r="H282" i="93"/>
  <c r="H281" i="93"/>
  <c r="H280" i="93"/>
  <c r="H279" i="93"/>
  <c r="H278" i="93"/>
  <c r="H277" i="93"/>
  <c r="H276" i="93"/>
  <c r="H275" i="93"/>
  <c r="H274" i="93"/>
  <c r="H273" i="93"/>
  <c r="H272" i="93"/>
  <c r="H271" i="93"/>
  <c r="H270" i="93"/>
  <c r="H269" i="93"/>
  <c r="H268" i="93"/>
  <c r="H267" i="93"/>
  <c r="H266" i="93"/>
  <c r="H265" i="93"/>
  <c r="H264" i="93"/>
  <c r="H263" i="93"/>
  <c r="H262" i="93"/>
  <c r="H261" i="93"/>
  <c r="H260" i="93"/>
  <c r="H259" i="93"/>
  <c r="H258" i="93"/>
  <c r="H257" i="93"/>
  <c r="H256" i="93"/>
  <c r="H255" i="93"/>
  <c r="H254" i="93"/>
  <c r="H253" i="93"/>
  <c r="H252" i="93"/>
  <c r="H251" i="93"/>
  <c r="H250" i="93"/>
  <c r="H249" i="93"/>
  <c r="H248" i="93"/>
  <c r="H247" i="93"/>
  <c r="H246" i="93"/>
  <c r="H245" i="93"/>
  <c r="H244" i="93"/>
  <c r="H243" i="93"/>
  <c r="H238" i="93"/>
  <c r="H237" i="93"/>
  <c r="H236" i="93"/>
  <c r="H235" i="93"/>
  <c r="H234" i="93"/>
  <c r="H233" i="93"/>
  <c r="H232" i="93"/>
  <c r="H231" i="93"/>
  <c r="H230" i="93"/>
  <c r="H229" i="93"/>
  <c r="H228" i="93"/>
  <c r="H227" i="93"/>
  <c r="H226" i="93"/>
  <c r="H225" i="93"/>
  <c r="H224" i="93"/>
  <c r="H223" i="93"/>
  <c r="H222" i="93"/>
  <c r="H221" i="93"/>
  <c r="H220" i="93"/>
  <c r="H219" i="93"/>
  <c r="H218" i="93"/>
  <c r="H217" i="93"/>
  <c r="H216" i="93"/>
  <c r="H215" i="93"/>
  <c r="H214" i="93"/>
  <c r="H213" i="93"/>
  <c r="H212" i="93"/>
  <c r="H211" i="93"/>
  <c r="H210" i="93"/>
  <c r="H209" i="93"/>
  <c r="H208" i="93"/>
  <c r="H207" i="93"/>
  <c r="H206" i="93"/>
  <c r="H205" i="93"/>
  <c r="H204" i="93"/>
  <c r="H203" i="93"/>
  <c r="H202" i="93"/>
  <c r="H201" i="93"/>
  <c r="H200" i="93"/>
  <c r="H196" i="93"/>
  <c r="H195" i="93"/>
  <c r="H194" i="93"/>
  <c r="H193" i="93"/>
  <c r="H192" i="93"/>
  <c r="H191" i="93"/>
  <c r="H190" i="93"/>
  <c r="H189" i="93"/>
  <c r="H188" i="93"/>
  <c r="H187" i="93"/>
  <c r="H186" i="93"/>
  <c r="H185" i="93"/>
  <c r="H184" i="93"/>
  <c r="H183" i="93"/>
  <c r="H182" i="93"/>
  <c r="H181" i="93"/>
  <c r="H180" i="93"/>
  <c r="H179" i="93"/>
  <c r="H178" i="93"/>
  <c r="H177" i="93"/>
  <c r="H176" i="93"/>
  <c r="G174" i="93"/>
  <c r="F174" i="93"/>
  <c r="N9" i="93" s="1"/>
  <c r="C103" i="92" s="1"/>
  <c r="C127" i="92" s="1"/>
  <c r="C153" i="92" s="1"/>
  <c r="H173" i="93"/>
  <c r="H172" i="93"/>
  <c r="H171" i="93"/>
  <c r="H170" i="93"/>
  <c r="H169" i="93"/>
  <c r="H168" i="93"/>
  <c r="H167" i="93"/>
  <c r="H166" i="93"/>
  <c r="G164" i="93"/>
  <c r="F164" i="93"/>
  <c r="N8" i="93" s="1"/>
  <c r="C102" i="92" s="1"/>
  <c r="C124" i="92" s="1"/>
  <c r="C150" i="92" s="1"/>
  <c r="H163" i="93"/>
  <c r="H161" i="93"/>
  <c r="H160" i="93"/>
  <c r="H159" i="93"/>
  <c r="H158" i="93"/>
  <c r="H157" i="93"/>
  <c r="H156" i="93"/>
  <c r="H155" i="93"/>
  <c r="H154" i="93"/>
  <c r="H153" i="93"/>
  <c r="H152" i="93"/>
  <c r="H151" i="93"/>
  <c r="H150" i="93"/>
  <c r="H149" i="93"/>
  <c r="H148" i="93"/>
  <c r="H147" i="93"/>
  <c r="H146" i="93"/>
  <c r="H145" i="93"/>
  <c r="H144" i="93"/>
  <c r="H143" i="93"/>
  <c r="H142" i="93"/>
  <c r="H141" i="93"/>
  <c r="H140" i="93"/>
  <c r="H139" i="93"/>
  <c r="H138" i="93"/>
  <c r="H137" i="93"/>
  <c r="H136" i="93"/>
  <c r="N7" i="93"/>
  <c r="C101" i="92" s="1"/>
  <c r="C121" i="92" s="1"/>
  <c r="C147" i="92" s="1"/>
  <c r="H131" i="93"/>
  <c r="H130" i="93"/>
  <c r="H129" i="93"/>
  <c r="H128" i="93"/>
  <c r="H127" i="93"/>
  <c r="H126" i="93"/>
  <c r="H125" i="93"/>
  <c r="H124" i="93"/>
  <c r="H123" i="93"/>
  <c r="H122" i="93"/>
  <c r="H121" i="93"/>
  <c r="H120" i="93"/>
  <c r="H119" i="93"/>
  <c r="H118" i="93"/>
  <c r="H117" i="93"/>
  <c r="H116" i="93"/>
  <c r="H115" i="93"/>
  <c r="H114" i="93"/>
  <c r="H113" i="93"/>
  <c r="H112" i="93"/>
  <c r="H111" i="93"/>
  <c r="H110" i="93"/>
  <c r="H109" i="93"/>
  <c r="H108" i="93"/>
  <c r="H107" i="93"/>
  <c r="H106" i="93"/>
  <c r="H105" i="93"/>
  <c r="H104" i="93"/>
  <c r="H103" i="93"/>
  <c r="H102" i="93"/>
  <c r="H101" i="93"/>
  <c r="H100" i="93"/>
  <c r="H99" i="93"/>
  <c r="H98" i="93"/>
  <c r="H97" i="93"/>
  <c r="H96" i="93"/>
  <c r="H95" i="93"/>
  <c r="H94" i="93"/>
  <c r="H93" i="93"/>
  <c r="H92" i="93"/>
  <c r="H91" i="93"/>
  <c r="H90" i="93"/>
  <c r="H89" i="93"/>
  <c r="H88" i="93"/>
  <c r="H87" i="93"/>
  <c r="H86" i="93"/>
  <c r="H85" i="93"/>
  <c r="H84" i="93"/>
  <c r="H83" i="93"/>
  <c r="H82" i="93"/>
  <c r="H81" i="93"/>
  <c r="H80" i="93"/>
  <c r="H79" i="93"/>
  <c r="H78" i="93"/>
  <c r="H77" i="93"/>
  <c r="H76" i="93"/>
  <c r="H75" i="93"/>
  <c r="H74" i="93"/>
  <c r="H73" i="93"/>
  <c r="H72" i="93"/>
  <c r="H71" i="93"/>
  <c r="H70" i="93"/>
  <c r="H69" i="93"/>
  <c r="H68" i="93"/>
  <c r="H67" i="93"/>
  <c r="H66" i="93"/>
  <c r="G64" i="93"/>
  <c r="F64" i="93"/>
  <c r="N6" i="93" s="1"/>
  <c r="C100" i="92" s="1"/>
  <c r="C118" i="92" s="1"/>
  <c r="C144" i="92" s="1"/>
  <c r="H63" i="93"/>
  <c r="H62" i="93"/>
  <c r="H61" i="93"/>
  <c r="H60" i="93"/>
  <c r="H59" i="93"/>
  <c r="H58" i="93"/>
  <c r="H57" i="93"/>
  <c r="H56" i="93"/>
  <c r="H55" i="93"/>
  <c r="H54" i="93"/>
  <c r="H53" i="93"/>
  <c r="H52" i="93"/>
  <c r="H51" i="93"/>
  <c r="H50" i="93"/>
  <c r="H49" i="93"/>
  <c r="H48" i="93"/>
  <c r="H47" i="93"/>
  <c r="H46" i="93"/>
  <c r="H45" i="93"/>
  <c r="H44" i="93"/>
  <c r="H43" i="93"/>
  <c r="H42" i="93"/>
  <c r="H41" i="93"/>
  <c r="H40" i="93"/>
  <c r="H39" i="93"/>
  <c r="H38" i="93"/>
  <c r="H37" i="93"/>
  <c r="H36" i="93"/>
  <c r="H35" i="93"/>
  <c r="H34" i="93"/>
  <c r="H33" i="93"/>
  <c r="H32" i="93"/>
  <c r="H31" i="93"/>
  <c r="H30" i="93"/>
  <c r="H29" i="93"/>
  <c r="H28" i="93"/>
  <c r="H27" i="93"/>
  <c r="H26" i="93"/>
  <c r="H25" i="93"/>
  <c r="H24" i="93"/>
  <c r="H23" i="93"/>
  <c r="H22" i="93"/>
  <c r="H21" i="93"/>
  <c r="H20" i="93"/>
  <c r="H19" i="93"/>
  <c r="H18" i="93"/>
  <c r="H17" i="93"/>
  <c r="H16" i="93"/>
  <c r="H15" i="93"/>
  <c r="H14" i="93"/>
  <c r="H13" i="93"/>
  <c r="H12" i="93"/>
  <c r="N11" i="93"/>
  <c r="C105" i="92" s="1"/>
  <c r="C130" i="92" s="1"/>
  <c r="C156" i="92" s="1"/>
  <c r="H11" i="93"/>
  <c r="N10" i="93"/>
  <c r="C104" i="92" s="1"/>
  <c r="H10" i="93"/>
  <c r="H9" i="93"/>
  <c r="H8" i="93"/>
  <c r="G117" i="92"/>
  <c r="H117" i="92" s="1"/>
  <c r="I117" i="92" s="1"/>
  <c r="J117" i="92" s="1"/>
  <c r="K117" i="92" s="1"/>
  <c r="L117" i="92" s="1"/>
  <c r="M117" i="92" s="1"/>
  <c r="N117" i="92" s="1"/>
  <c r="O117" i="92" s="1"/>
  <c r="P117" i="92" s="1"/>
  <c r="Q117" i="92" s="1"/>
  <c r="R117" i="92" s="1"/>
  <c r="S117" i="92" s="1"/>
  <c r="T117" i="92" s="1"/>
  <c r="G143" i="92"/>
  <c r="H143" i="92" s="1"/>
  <c r="I143" i="92" s="1"/>
  <c r="J143" i="92" s="1"/>
  <c r="K143" i="92" s="1"/>
  <c r="L143" i="92" s="1"/>
  <c r="M143" i="92" s="1"/>
  <c r="N143" i="92" s="1"/>
  <c r="O143" i="92" s="1"/>
  <c r="P143" i="92" s="1"/>
  <c r="Q143" i="92" s="1"/>
  <c r="R143" i="92" s="1"/>
  <c r="S143" i="92" s="1"/>
  <c r="T143" i="92" s="1"/>
  <c r="I74" i="92"/>
  <c r="J74" i="92" s="1"/>
  <c r="K74" i="92" s="1"/>
  <c r="L74" i="92" s="1"/>
  <c r="M74" i="92" s="1"/>
  <c r="N74" i="92" s="1"/>
  <c r="O74" i="92" s="1"/>
  <c r="P74" i="92" s="1"/>
  <c r="Q74" i="92" s="1"/>
  <c r="R74" i="92" s="1"/>
  <c r="S74" i="92" s="1"/>
  <c r="T74" i="92" s="1"/>
  <c r="U74" i="92" s="1"/>
  <c r="V74" i="92" s="1"/>
  <c r="I48" i="92"/>
  <c r="J48" i="92" s="1"/>
  <c r="K48" i="92" s="1"/>
  <c r="L48" i="92" s="1"/>
  <c r="M48" i="92" s="1"/>
  <c r="N48" i="92" s="1"/>
  <c r="O48" i="92" s="1"/>
  <c r="P48" i="92" s="1"/>
  <c r="Q48" i="92" s="1"/>
  <c r="R48" i="92" s="1"/>
  <c r="S48" i="92" s="1"/>
  <c r="T48" i="92" s="1"/>
  <c r="U48" i="92" s="1"/>
  <c r="V48" i="92" s="1"/>
  <c r="R170" i="92"/>
  <c r="P20" i="92" s="1"/>
  <c r="Q170" i="92"/>
  <c r="O20" i="92" s="1"/>
  <c r="P170" i="92"/>
  <c r="M170" i="92"/>
  <c r="K19" i="92" s="1"/>
  <c r="L170" i="92"/>
  <c r="J19" i="92" s="1"/>
  <c r="K170" i="92"/>
  <c r="I20" i="92" s="1"/>
  <c r="I170" i="92"/>
  <c r="H170" i="92"/>
  <c r="F19" i="92" s="1"/>
  <c r="G170" i="92"/>
  <c r="E19" i="92" s="1"/>
  <c r="F170" i="92"/>
  <c r="D20" i="92" s="1"/>
  <c r="T169" i="92"/>
  <c r="M169" i="92"/>
  <c r="K11" i="92" s="1"/>
  <c r="J169" i="92"/>
  <c r="H11" i="92" s="1"/>
  <c r="I169" i="92"/>
  <c r="G11" i="92" s="1"/>
  <c r="G169" i="92"/>
  <c r="E11" i="92" s="1"/>
  <c r="F169" i="92"/>
  <c r="D11" i="92" s="1"/>
  <c r="G167" i="92"/>
  <c r="H167" i="92" s="1"/>
  <c r="I167" i="92" s="1"/>
  <c r="J167" i="92" s="1"/>
  <c r="K167" i="92" s="1"/>
  <c r="L167" i="92" s="1"/>
  <c r="M167" i="92" s="1"/>
  <c r="N167" i="92" s="1"/>
  <c r="O167" i="92" s="1"/>
  <c r="P167" i="92" s="1"/>
  <c r="Q167" i="92" s="1"/>
  <c r="R167" i="92" s="1"/>
  <c r="S167" i="92" s="1"/>
  <c r="T167" i="92" s="1"/>
  <c r="B131" i="92"/>
  <c r="B157" i="92" s="1"/>
  <c r="B130" i="92"/>
  <c r="B156" i="92" s="1"/>
  <c r="S127" i="92"/>
  <c r="R127" i="92"/>
  <c r="Q127" i="92"/>
  <c r="P127" i="92"/>
  <c r="B127" i="92"/>
  <c r="B153" i="92" s="1"/>
  <c r="B124" i="92"/>
  <c r="B150" i="92" s="1"/>
  <c r="B118" i="92"/>
  <c r="B144" i="92" s="1"/>
  <c r="B62" i="92"/>
  <c r="B58" i="92"/>
  <c r="B55" i="92"/>
  <c r="B52" i="92"/>
  <c r="B49" i="92"/>
  <c r="D63" i="92"/>
  <c r="D89" i="92" s="1"/>
  <c r="C63" i="92"/>
  <c r="C89" i="92" s="1"/>
  <c r="D62" i="92"/>
  <c r="D87" i="92" s="1"/>
  <c r="D88" i="92"/>
  <c r="D58" i="92"/>
  <c r="D84" i="92" s="1"/>
  <c r="O84" i="92" s="1"/>
  <c r="C58" i="92"/>
  <c r="C84" i="92" s="1"/>
  <c r="D55" i="92"/>
  <c r="D81" i="92" s="1"/>
  <c r="N81" i="92" s="1"/>
  <c r="C55" i="92"/>
  <c r="C81" i="92" s="1"/>
  <c r="D52" i="92"/>
  <c r="D78" i="92" s="1"/>
  <c r="C52" i="92"/>
  <c r="C78" i="92" s="1"/>
  <c r="N20" i="92"/>
  <c r="G20" i="92"/>
  <c r="N19" i="92"/>
  <c r="G19" i="92"/>
  <c r="E18" i="92"/>
  <c r="F18" i="92" s="1"/>
  <c r="G18" i="92" s="1"/>
  <c r="H18" i="92" s="1"/>
  <c r="I18" i="92" s="1"/>
  <c r="J18" i="92" s="1"/>
  <c r="K18" i="92" s="1"/>
  <c r="L18" i="92" s="1"/>
  <c r="M18" i="92" s="1"/>
  <c r="N18" i="92" s="1"/>
  <c r="O18" i="92" s="1"/>
  <c r="P18" i="92" s="1"/>
  <c r="Q18" i="92" s="1"/>
  <c r="R18" i="92" s="1"/>
  <c r="R11" i="92"/>
  <c r="E9" i="92"/>
  <c r="F9" i="92" s="1"/>
  <c r="G9" i="92" s="1"/>
  <c r="H9" i="92" s="1"/>
  <c r="I9" i="92" s="1"/>
  <c r="J9" i="92" s="1"/>
  <c r="K9" i="92" s="1"/>
  <c r="L9" i="92" s="1"/>
  <c r="M9" i="92" s="1"/>
  <c r="N9" i="92" s="1"/>
  <c r="O9" i="92" s="1"/>
  <c r="P9" i="92" s="1"/>
  <c r="Q9" i="92" s="1"/>
  <c r="R9" i="92" s="1"/>
  <c r="F102" i="91"/>
  <c r="G102" i="91" s="1"/>
  <c r="H93" i="91"/>
  <c r="H94" i="91" s="1"/>
  <c r="H25" i="89" s="1"/>
  <c r="D87" i="91"/>
  <c r="F87" i="91" s="1"/>
  <c r="H24" i="89" s="1"/>
  <c r="D62" i="91"/>
  <c r="D68" i="91" s="1"/>
  <c r="D70" i="91" s="1"/>
  <c r="H34" i="91"/>
  <c r="H23" i="89" s="1"/>
  <c r="E26" i="91"/>
  <c r="F26" i="91" s="1"/>
  <c r="G26" i="91" s="1"/>
  <c r="H26" i="91" s="1"/>
  <c r="I26" i="91" s="1"/>
  <c r="J26" i="91" s="1"/>
  <c r="K26" i="91" s="1"/>
  <c r="L26" i="91" s="1"/>
  <c r="M26" i="91" s="1"/>
  <c r="N26" i="91" s="1"/>
  <c r="O26" i="91" s="1"/>
  <c r="P26" i="91" s="1"/>
  <c r="Q26" i="91" s="1"/>
  <c r="R26" i="91" s="1"/>
  <c r="D22" i="91"/>
  <c r="F20" i="91"/>
  <c r="F27" i="91" s="1"/>
  <c r="E15" i="91"/>
  <c r="F15" i="91" s="1"/>
  <c r="G15" i="91" s="1"/>
  <c r="H15" i="91" s="1"/>
  <c r="I15" i="91" s="1"/>
  <c r="J15" i="91" s="1"/>
  <c r="K15" i="91" s="1"/>
  <c r="L15" i="91" s="1"/>
  <c r="M15" i="91" s="1"/>
  <c r="N15" i="91" s="1"/>
  <c r="O15" i="91" s="1"/>
  <c r="P15" i="91" s="1"/>
  <c r="Q15" i="91" s="1"/>
  <c r="R15" i="91" s="1"/>
  <c r="C161" i="92" l="1"/>
  <c r="AE81" i="98"/>
  <c r="AC81" i="98"/>
  <c r="AD81" i="98"/>
  <c r="AX81" i="98" s="1"/>
  <c r="AB81" i="98"/>
  <c r="AW44" i="98"/>
  <c r="AY44" i="98" s="1"/>
  <c r="AP37" i="98"/>
  <c r="AV37" i="98"/>
  <c r="AY37" i="98" s="1"/>
  <c r="AP43" i="98"/>
  <c r="AP45" i="98"/>
  <c r="AX45" i="98"/>
  <c r="AY45" i="98" s="1"/>
  <c r="AV38" i="98"/>
  <c r="AY38" i="98" s="1"/>
  <c r="AW43" i="98"/>
  <c r="AY43" i="98" s="1"/>
  <c r="AP44" i="98"/>
  <c r="AP38" i="98"/>
  <c r="M48" i="84"/>
  <c r="O75" i="84" s="1"/>
  <c r="F75" i="84"/>
  <c r="U89" i="92"/>
  <c r="L89" i="92"/>
  <c r="S89" i="92"/>
  <c r="J89" i="92"/>
  <c r="R89" i="92"/>
  <c r="I89" i="92"/>
  <c r="O89" i="92"/>
  <c r="T90" i="92"/>
  <c r="P89" i="92"/>
  <c r="H89" i="92"/>
  <c r="N89" i="92"/>
  <c r="M90" i="92"/>
  <c r="V89" i="92"/>
  <c r="M89" i="92"/>
  <c r="J90" i="92"/>
  <c r="T89" i="92"/>
  <c r="K89" i="92"/>
  <c r="G16" i="91"/>
  <c r="H22" i="89"/>
  <c r="AI47" i="101"/>
  <c r="AH63" i="101"/>
  <c r="AH65" i="101" s="1"/>
  <c r="L65" i="101"/>
  <c r="AI13" i="101"/>
  <c r="AI53" i="101"/>
  <c r="AI49" i="101"/>
  <c r="AI23" i="101"/>
  <c r="AI15" i="101"/>
  <c r="AI29" i="101"/>
  <c r="AI19" i="101"/>
  <c r="AI21" i="101"/>
  <c r="AI27" i="101"/>
  <c r="AI41" i="101"/>
  <c r="AI33" i="101"/>
  <c r="AI17" i="101"/>
  <c r="G17" i="91"/>
  <c r="H17" i="91" s="1"/>
  <c r="I17" i="91" s="1"/>
  <c r="J17" i="91" s="1"/>
  <c r="K17" i="91" s="1"/>
  <c r="L17" i="91" s="1"/>
  <c r="M17" i="91" s="1"/>
  <c r="N17" i="91" s="1"/>
  <c r="O17" i="91" s="1"/>
  <c r="P17" i="91" s="1"/>
  <c r="Q17" i="91" s="1"/>
  <c r="R17" i="91" s="1"/>
  <c r="H198" i="93"/>
  <c r="H241" i="93"/>
  <c r="O11" i="93" s="1"/>
  <c r="H134" i="93"/>
  <c r="O7" i="93" s="1"/>
  <c r="P7" i="93" s="1"/>
  <c r="K20" i="92"/>
  <c r="G42" i="94"/>
  <c r="F42" i="94"/>
  <c r="E42" i="94"/>
  <c r="O10" i="93"/>
  <c r="P10" i="93" s="1"/>
  <c r="F315" i="93"/>
  <c r="E467" i="93" s="1"/>
  <c r="E469" i="93" s="1"/>
  <c r="H64" i="93"/>
  <c r="O6" i="93" s="1"/>
  <c r="H174" i="93"/>
  <c r="O9" i="93" s="1"/>
  <c r="H301" i="93"/>
  <c r="O12" i="93" s="1"/>
  <c r="P12" i="93" s="1"/>
  <c r="H164" i="93"/>
  <c r="H305" i="93"/>
  <c r="O13" i="93" s="1"/>
  <c r="H314" i="93"/>
  <c r="O14" i="93" s="1"/>
  <c r="P14" i="93" s="1"/>
  <c r="N15" i="93"/>
  <c r="G315" i="93"/>
  <c r="P19" i="92"/>
  <c r="J20" i="92"/>
  <c r="E20" i="92"/>
  <c r="F20" i="92"/>
  <c r="D19" i="92"/>
  <c r="I19" i="92"/>
  <c r="O19" i="92"/>
  <c r="D40" i="92"/>
  <c r="R84" i="92"/>
  <c r="D49" i="92"/>
  <c r="D75" i="92" s="1"/>
  <c r="T87" i="92"/>
  <c r="O87" i="92"/>
  <c r="P87" i="92"/>
  <c r="S88" i="92"/>
  <c r="H88" i="92"/>
  <c r="T82" i="92"/>
  <c r="Q86" i="92"/>
  <c r="O81" i="92"/>
  <c r="C40" i="92"/>
  <c r="Q83" i="92"/>
  <c r="V86" i="92"/>
  <c r="C49" i="92"/>
  <c r="C75" i="92" s="1"/>
  <c r="C92" i="92" s="1"/>
  <c r="Q80" i="92"/>
  <c r="M79" i="92"/>
  <c r="S78" i="92"/>
  <c r="N78" i="92"/>
  <c r="I78" i="92"/>
  <c r="U79" i="92"/>
  <c r="T78" i="92"/>
  <c r="M78" i="92"/>
  <c r="R79" i="92"/>
  <c r="R78" i="92"/>
  <c r="K78" i="92"/>
  <c r="O78" i="92"/>
  <c r="L80" i="92"/>
  <c r="U88" i="92"/>
  <c r="Q88" i="92"/>
  <c r="M88" i="92"/>
  <c r="I88" i="92"/>
  <c r="R88" i="92"/>
  <c r="L88" i="92"/>
  <c r="V88" i="92"/>
  <c r="P88" i="92"/>
  <c r="K88" i="92"/>
  <c r="P78" i="92"/>
  <c r="C135" i="92"/>
  <c r="U85" i="92"/>
  <c r="U84" i="92"/>
  <c r="P84" i="92"/>
  <c r="K84" i="92"/>
  <c r="L86" i="92"/>
  <c r="T84" i="92"/>
  <c r="N84" i="92"/>
  <c r="H84" i="92"/>
  <c r="R85" i="92"/>
  <c r="S84" i="92"/>
  <c r="M84" i="92"/>
  <c r="P82" i="92"/>
  <c r="U81" i="92"/>
  <c r="P81" i="92"/>
  <c r="L81" i="92"/>
  <c r="H81" i="92"/>
  <c r="M82" i="92"/>
  <c r="S81" i="92"/>
  <c r="M81" i="92"/>
  <c r="J82" i="92"/>
  <c r="R81" i="92"/>
  <c r="K81" i="92"/>
  <c r="H78" i="92"/>
  <c r="U78" i="92"/>
  <c r="I81" i="92"/>
  <c r="T81" i="92"/>
  <c r="I84" i="92"/>
  <c r="J85" i="92"/>
  <c r="I87" i="92"/>
  <c r="N88" i="92"/>
  <c r="V80" i="92"/>
  <c r="J88" i="92"/>
  <c r="T88" i="92"/>
  <c r="C109" i="92"/>
  <c r="V87" i="92"/>
  <c r="R87" i="92"/>
  <c r="N87" i="92"/>
  <c r="J87" i="92"/>
  <c r="S87" i="92"/>
  <c r="M87" i="92"/>
  <c r="H87" i="92"/>
  <c r="Q87" i="92"/>
  <c r="L87" i="92"/>
  <c r="J78" i="92"/>
  <c r="J79" i="92"/>
  <c r="J81" i="92"/>
  <c r="V81" i="92"/>
  <c r="J84" i="92"/>
  <c r="M85" i="92"/>
  <c r="K87" i="92"/>
  <c r="U87" i="92"/>
  <c r="O88" i="92"/>
  <c r="H16" i="91"/>
  <c r="D78" i="91"/>
  <c r="G18" i="91"/>
  <c r="H18" i="91" s="1"/>
  <c r="I18" i="91" s="1"/>
  <c r="J18" i="91" s="1"/>
  <c r="K18" i="91" s="1"/>
  <c r="L18" i="91" s="1"/>
  <c r="M18" i="91" s="1"/>
  <c r="N18" i="91" s="1"/>
  <c r="O18" i="91" s="1"/>
  <c r="P18" i="91" s="1"/>
  <c r="Q18" i="91" s="1"/>
  <c r="R18" i="91" s="1"/>
  <c r="D79" i="91"/>
  <c r="G19" i="91"/>
  <c r="H19" i="91" s="1"/>
  <c r="I19" i="91" s="1"/>
  <c r="J19" i="91" s="1"/>
  <c r="K19" i="91" s="1"/>
  <c r="L19" i="91" s="1"/>
  <c r="M19" i="91" s="1"/>
  <c r="N19" i="91" s="1"/>
  <c r="O19" i="91" s="1"/>
  <c r="P19" i="91" s="1"/>
  <c r="Q19" i="91" s="1"/>
  <c r="R19" i="91" s="1"/>
  <c r="P9" i="93" l="1"/>
  <c r="R9" i="93" s="1"/>
  <c r="D103" i="92" s="1"/>
  <c r="D127" i="92" s="1"/>
  <c r="D153" i="92" s="1"/>
  <c r="AW81" i="98"/>
  <c r="AP81" i="98"/>
  <c r="AY81" i="98"/>
  <c r="D80" i="91"/>
  <c r="P11" i="93"/>
  <c r="R11" i="93" s="1"/>
  <c r="D105" i="92" s="1"/>
  <c r="D130" i="92" s="1"/>
  <c r="D156" i="92" s="1"/>
  <c r="P13" i="93"/>
  <c r="R13" i="93" s="1"/>
  <c r="D107" i="92" s="1"/>
  <c r="D132" i="92" s="1"/>
  <c r="D158" i="92" s="1"/>
  <c r="R10" i="93"/>
  <c r="D104" i="92" s="1"/>
  <c r="R14" i="93"/>
  <c r="D108" i="92" s="1"/>
  <c r="R12" i="93"/>
  <c r="D106" i="92" s="1"/>
  <c r="D131" i="92" s="1"/>
  <c r="D157" i="92" s="1"/>
  <c r="R7" i="93"/>
  <c r="D101" i="92" s="1"/>
  <c r="D121" i="92" s="1"/>
  <c r="D147" i="92" s="1"/>
  <c r="C66" i="92"/>
  <c r="D66" i="92"/>
  <c r="O8" i="93"/>
  <c r="P8" i="93" s="1"/>
  <c r="R8" i="93" s="1"/>
  <c r="D102" i="92" s="1"/>
  <c r="D124" i="92" s="1"/>
  <c r="D150" i="92" s="1"/>
  <c r="H315" i="93"/>
  <c r="Q15" i="93"/>
  <c r="P6" i="93"/>
  <c r="P169" i="92"/>
  <c r="N11" i="92" s="1"/>
  <c r="J170" i="92"/>
  <c r="H20" i="92" s="1"/>
  <c r="Q77" i="92"/>
  <c r="J76" i="92"/>
  <c r="H169" i="92" s="1"/>
  <c r="F11" i="92" s="1"/>
  <c r="S75" i="92"/>
  <c r="N75" i="92"/>
  <c r="J75" i="92"/>
  <c r="M76" i="92"/>
  <c r="R75" i="92"/>
  <c r="L75" i="92"/>
  <c r="V75" i="92"/>
  <c r="P75" i="92"/>
  <c r="K75" i="92"/>
  <c r="D92" i="92"/>
  <c r="U75" i="92"/>
  <c r="I75" i="92"/>
  <c r="T76" i="92"/>
  <c r="T75" i="92"/>
  <c r="H75" i="92"/>
  <c r="O75" i="92"/>
  <c r="P76" i="92"/>
  <c r="N169" i="92" s="1"/>
  <c r="L11" i="92" s="1"/>
  <c r="M75" i="92"/>
  <c r="S169" i="92"/>
  <c r="Q11" i="92" s="1"/>
  <c r="I16" i="91"/>
  <c r="H20" i="91"/>
  <c r="H27" i="91" s="1"/>
  <c r="G20" i="91"/>
  <c r="G27" i="91" s="1"/>
  <c r="H469" i="93" l="1"/>
  <c r="H467" i="93"/>
  <c r="AH66" i="101"/>
  <c r="AH67" i="101" s="1"/>
  <c r="Z66" i="101"/>
  <c r="R66" i="101"/>
  <c r="J66" i="101"/>
  <c r="J67" i="101" s="1"/>
  <c r="X66" i="101"/>
  <c r="V66" i="101"/>
  <c r="AF66" i="101"/>
  <c r="T66" i="101"/>
  <c r="AD66" i="101"/>
  <c r="C8" i="101"/>
  <c r="N66" i="101"/>
  <c r="P66" i="101"/>
  <c r="L66" i="101"/>
  <c r="AB66" i="101"/>
  <c r="S160" i="92"/>
  <c r="R159" i="92"/>
  <c r="Q158" i="92"/>
  <c r="K158" i="92"/>
  <c r="L159" i="92"/>
  <c r="T158" i="92"/>
  <c r="N158" i="92"/>
  <c r="J158" i="92"/>
  <c r="L158" i="92"/>
  <c r="M158" i="92"/>
  <c r="P158" i="92"/>
  <c r="O158" i="92"/>
  <c r="O159" i="92"/>
  <c r="R158" i="92"/>
  <c r="T155" i="92"/>
  <c r="T170" i="92" s="1"/>
  <c r="R19" i="92" s="1"/>
  <c r="Q153" i="92"/>
  <c r="S153" i="92"/>
  <c r="K153" i="92"/>
  <c r="K154" i="92"/>
  <c r="R153" i="92"/>
  <c r="J153" i="92"/>
  <c r="P153" i="92"/>
  <c r="L153" i="92"/>
  <c r="Q154" i="92"/>
  <c r="Q169" i="92" s="1"/>
  <c r="O11" i="92" s="1"/>
  <c r="M153" i="92"/>
  <c r="O153" i="92"/>
  <c r="N155" i="92"/>
  <c r="K156" i="92"/>
  <c r="P156" i="92"/>
  <c r="N156" i="92"/>
  <c r="O156" i="92"/>
  <c r="R156" i="92"/>
  <c r="J156" i="92"/>
  <c r="L156" i="92"/>
  <c r="S156" i="92"/>
  <c r="Q156" i="92"/>
  <c r="M156" i="92"/>
  <c r="T156" i="92"/>
  <c r="K169" i="92"/>
  <c r="I11" i="92" s="1"/>
  <c r="O157" i="92"/>
  <c r="P157" i="92"/>
  <c r="R157" i="92"/>
  <c r="J157" i="92"/>
  <c r="K157" i="92"/>
  <c r="Q157" i="92"/>
  <c r="L157" i="92"/>
  <c r="T157" i="92"/>
  <c r="M157" i="92"/>
  <c r="S157" i="92"/>
  <c r="N157" i="92"/>
  <c r="S152" i="92"/>
  <c r="Q150" i="92"/>
  <c r="O150" i="92"/>
  <c r="P150" i="92"/>
  <c r="M150" i="92"/>
  <c r="N150" i="92"/>
  <c r="J150" i="92"/>
  <c r="R151" i="92"/>
  <c r="L151" i="92"/>
  <c r="R150" i="92"/>
  <c r="K150" i="92"/>
  <c r="O151" i="92"/>
  <c r="L150" i="92"/>
  <c r="T150" i="92"/>
  <c r="M147" i="92"/>
  <c r="R147" i="92"/>
  <c r="J147" i="92"/>
  <c r="L147" i="92"/>
  <c r="N149" i="92"/>
  <c r="K147" i="92"/>
  <c r="S147" i="92"/>
  <c r="T147" i="92"/>
  <c r="O147" i="92"/>
  <c r="P147" i="92"/>
  <c r="S149" i="92"/>
  <c r="Q147" i="92"/>
  <c r="P15" i="93"/>
  <c r="O15" i="93"/>
  <c r="R6" i="93"/>
  <c r="R15" i="93" s="1"/>
  <c r="O25" i="93"/>
  <c r="Q25" i="93"/>
  <c r="P25" i="93"/>
  <c r="H19" i="92"/>
  <c r="R92" i="92"/>
  <c r="O92" i="92"/>
  <c r="G168" i="92"/>
  <c r="I92" i="92"/>
  <c r="P92" i="92"/>
  <c r="I168" i="92"/>
  <c r="K92" i="92"/>
  <c r="F168" i="92"/>
  <c r="D10" i="92" s="1"/>
  <c r="H92" i="92"/>
  <c r="U92" i="92"/>
  <c r="V92" i="92"/>
  <c r="J92" i="92"/>
  <c r="H168" i="92"/>
  <c r="O170" i="92"/>
  <c r="Q92" i="92"/>
  <c r="S92" i="92"/>
  <c r="M92" i="92"/>
  <c r="T92" i="92"/>
  <c r="L92" i="92"/>
  <c r="N92" i="92"/>
  <c r="I20" i="91"/>
  <c r="I27" i="91" s="1"/>
  <c r="J16" i="91"/>
  <c r="S168" i="92" l="1"/>
  <c r="R20" i="92"/>
  <c r="L67" i="101"/>
  <c r="N67" i="101" s="1"/>
  <c r="P67" i="101" s="1"/>
  <c r="R67" i="101" s="1"/>
  <c r="T67" i="101" s="1"/>
  <c r="V67" i="101" s="1"/>
  <c r="X67" i="101" s="1"/>
  <c r="Z67" i="101" s="1"/>
  <c r="AB67" i="101" s="1"/>
  <c r="AD67" i="101" s="1"/>
  <c r="AF67" i="101" s="1"/>
  <c r="N170" i="92"/>
  <c r="T6" i="93"/>
  <c r="D100" i="92"/>
  <c r="R24" i="93"/>
  <c r="R25" i="93" s="1"/>
  <c r="R28" i="93" s="1"/>
  <c r="G48" i="84" s="1"/>
  <c r="N48" i="84" s="1"/>
  <c r="M20" i="92"/>
  <c r="M19" i="92"/>
  <c r="F172" i="92"/>
  <c r="F10" i="92"/>
  <c r="H172" i="92"/>
  <c r="Q10" i="92"/>
  <c r="R29" i="89" s="1"/>
  <c r="I172" i="92"/>
  <c r="G10" i="92"/>
  <c r="H29" i="89" s="1"/>
  <c r="E10" i="92"/>
  <c r="G172" i="92"/>
  <c r="J20" i="91"/>
  <c r="J27" i="91" s="1"/>
  <c r="K16" i="91"/>
  <c r="K26" i="95" l="1"/>
  <c r="H31" i="89"/>
  <c r="L20" i="92"/>
  <c r="L19" i="92"/>
  <c r="D118" i="92"/>
  <c r="D109" i="92"/>
  <c r="E23" i="92"/>
  <c r="E12" i="92"/>
  <c r="G12" i="92"/>
  <c r="G23" i="92"/>
  <c r="Q12" i="92"/>
  <c r="D12" i="92"/>
  <c r="D23" i="92"/>
  <c r="F12" i="92"/>
  <c r="F23" i="92"/>
  <c r="K20" i="91"/>
  <c r="K27" i="91" s="1"/>
  <c r="L16" i="91"/>
  <c r="L26" i="95" l="1"/>
  <c r="I31" i="89"/>
  <c r="M26" i="95"/>
  <c r="J31" i="89"/>
  <c r="D144" i="92"/>
  <c r="D135" i="92"/>
  <c r="L20" i="91"/>
  <c r="L27" i="91" s="1"/>
  <c r="M16" i="91"/>
  <c r="N26" i="95" l="1"/>
  <c r="K31" i="89"/>
  <c r="R144" i="92"/>
  <c r="T144" i="92"/>
  <c r="Q144" i="92"/>
  <c r="J144" i="92"/>
  <c r="M144" i="92"/>
  <c r="N144" i="92"/>
  <c r="S146" i="92"/>
  <c r="D161" i="92"/>
  <c r="O144" i="92"/>
  <c r="L144" i="92"/>
  <c r="L145" i="92"/>
  <c r="L169" i="92" s="1"/>
  <c r="J11" i="92" s="1"/>
  <c r="P144" i="92"/>
  <c r="K144" i="92"/>
  <c r="O145" i="92"/>
  <c r="O169" i="92" s="1"/>
  <c r="M11" i="92" s="1"/>
  <c r="R145" i="92"/>
  <c r="R169" i="92" s="1"/>
  <c r="P11" i="92" s="1"/>
  <c r="M20" i="91"/>
  <c r="M27" i="91" s="1"/>
  <c r="N16" i="91"/>
  <c r="O26" i="95" l="1"/>
  <c r="L31" i="89"/>
  <c r="J161" i="92"/>
  <c r="J168" i="92"/>
  <c r="S161" i="92"/>
  <c r="S170" i="92"/>
  <c r="Q161" i="92"/>
  <c r="Q168" i="92"/>
  <c r="N161" i="92"/>
  <c r="N168" i="92"/>
  <c r="T161" i="92"/>
  <c r="T168" i="92"/>
  <c r="P161" i="92"/>
  <c r="P168" i="92"/>
  <c r="L161" i="92"/>
  <c r="L168" i="92"/>
  <c r="K161" i="92"/>
  <c r="K168" i="92"/>
  <c r="O161" i="92"/>
  <c r="O168" i="92"/>
  <c r="M161" i="92"/>
  <c r="M168" i="92"/>
  <c r="R161" i="92"/>
  <c r="R168" i="92"/>
  <c r="N20" i="91"/>
  <c r="N27" i="91" s="1"/>
  <c r="O16" i="91"/>
  <c r="P26" i="95" l="1"/>
  <c r="M31" i="89"/>
  <c r="K172" i="92"/>
  <c r="I10" i="92"/>
  <c r="P172" i="92"/>
  <c r="N10" i="92"/>
  <c r="N172" i="92"/>
  <c r="L10" i="92"/>
  <c r="Q20" i="92"/>
  <c r="Q19" i="92"/>
  <c r="Q23" i="92" s="1"/>
  <c r="S172" i="92"/>
  <c r="M172" i="92"/>
  <c r="K10" i="92"/>
  <c r="M10" i="92"/>
  <c r="O172" i="92"/>
  <c r="T172" i="92"/>
  <c r="R10" i="92"/>
  <c r="J172" i="92"/>
  <c r="H10" i="92"/>
  <c r="R172" i="92"/>
  <c r="P10" i="92"/>
  <c r="L172" i="92"/>
  <c r="J10" i="92"/>
  <c r="Q172" i="92"/>
  <c r="O10" i="92"/>
  <c r="O20" i="91"/>
  <c r="O27" i="91" s="1"/>
  <c r="P16" i="91"/>
  <c r="Q26" i="95" l="1"/>
  <c r="N31" i="89"/>
  <c r="O29" i="89"/>
  <c r="N12" i="92"/>
  <c r="N23" i="92"/>
  <c r="P29" i="89"/>
  <c r="O12" i="92"/>
  <c r="O23" i="92"/>
  <c r="Q29" i="89"/>
  <c r="P12" i="92"/>
  <c r="P23" i="92"/>
  <c r="S29" i="89"/>
  <c r="R23" i="92"/>
  <c r="R12" i="92"/>
  <c r="L29" i="89"/>
  <c r="K12" i="92"/>
  <c r="K23" i="92"/>
  <c r="M29" i="89"/>
  <c r="L23" i="92"/>
  <c r="L12" i="92"/>
  <c r="J29" i="89"/>
  <c r="I12" i="92"/>
  <c r="I23" i="92"/>
  <c r="N29" i="89"/>
  <c r="M23" i="92"/>
  <c r="M12" i="92"/>
  <c r="K29" i="89"/>
  <c r="J12" i="92"/>
  <c r="J23" i="92"/>
  <c r="I29" i="89"/>
  <c r="H23" i="92"/>
  <c r="H12" i="92"/>
  <c r="P20" i="91"/>
  <c r="P27" i="91" s="1"/>
  <c r="Q16" i="91"/>
  <c r="R26" i="95" l="1"/>
  <c r="O31" i="89"/>
  <c r="Q20" i="91"/>
  <c r="Q27" i="91" s="1"/>
  <c r="R16" i="91"/>
  <c r="R20" i="91" s="1"/>
  <c r="R27" i="91" s="1"/>
  <c r="S26" i="95" l="1"/>
  <c r="P31" i="89"/>
  <c r="T26" i="95" l="1"/>
  <c r="Q31" i="89"/>
  <c r="V26" i="95" l="1"/>
  <c r="S31" i="89"/>
  <c r="U26" i="95"/>
  <c r="R31" i="89"/>
  <c r="C226" i="90"/>
  <c r="C227" i="90"/>
  <c r="C228" i="90"/>
  <c r="C229" i="90"/>
  <c r="C230" i="90"/>
  <c r="C231" i="90"/>
  <c r="C225" i="90"/>
  <c r="C220" i="90"/>
  <c r="C221" i="90"/>
  <c r="C222" i="90"/>
  <c r="C223" i="90"/>
  <c r="C219" i="90"/>
  <c r="C217" i="90"/>
  <c r="C216" i="90"/>
  <c r="C214" i="90"/>
  <c r="C213" i="90"/>
  <c r="C195" i="90"/>
  <c r="C196" i="90"/>
  <c r="C197" i="90"/>
  <c r="C198" i="90"/>
  <c r="C199" i="90"/>
  <c r="C200" i="90"/>
  <c r="C201" i="90"/>
  <c r="C202" i="90"/>
  <c r="C203" i="90"/>
  <c r="C204" i="90"/>
  <c r="C205" i="90"/>
  <c r="C206" i="90"/>
  <c r="C207" i="90"/>
  <c r="C208" i="90"/>
  <c r="C209" i="90"/>
  <c r="C210" i="90"/>
  <c r="C211" i="90"/>
  <c r="C194" i="90"/>
  <c r="C189" i="90"/>
  <c r="C190" i="90"/>
  <c r="C191" i="90"/>
  <c r="C192" i="90"/>
  <c r="C188" i="90"/>
  <c r="D238" i="90"/>
  <c r="E186" i="90"/>
  <c r="F186" i="90" s="1"/>
  <c r="G186" i="90" s="1"/>
  <c r="H186" i="90" s="1"/>
  <c r="I186" i="90" s="1"/>
  <c r="J186" i="90" s="1"/>
  <c r="K186" i="90" s="1"/>
  <c r="L186" i="90" s="1"/>
  <c r="M186" i="90" s="1"/>
  <c r="N186" i="90" s="1"/>
  <c r="O186" i="90" s="1"/>
  <c r="P186" i="90" s="1"/>
  <c r="Q186" i="90" s="1"/>
  <c r="R186" i="90" s="1"/>
  <c r="S186" i="90" s="1"/>
  <c r="T186" i="90" s="1"/>
  <c r="E131" i="90"/>
  <c r="F131" i="90" s="1"/>
  <c r="G131" i="90" s="1"/>
  <c r="H131" i="90" s="1"/>
  <c r="I131" i="90" s="1"/>
  <c r="J131" i="90" s="1"/>
  <c r="K131" i="90" s="1"/>
  <c r="L131" i="90" s="1"/>
  <c r="M131" i="90" s="1"/>
  <c r="N131" i="90" s="1"/>
  <c r="O131" i="90" s="1"/>
  <c r="P131" i="90" s="1"/>
  <c r="Q131" i="90" s="1"/>
  <c r="R131" i="90" s="1"/>
  <c r="S131" i="90" s="1"/>
  <c r="T131" i="90" s="1"/>
  <c r="E78" i="90"/>
  <c r="F78" i="90" s="1"/>
  <c r="G78" i="90" s="1"/>
  <c r="H78" i="90" s="1"/>
  <c r="I78" i="90" s="1"/>
  <c r="J78" i="90" s="1"/>
  <c r="K78" i="90" s="1"/>
  <c r="L78" i="90" s="1"/>
  <c r="M78" i="90" s="1"/>
  <c r="N78" i="90" s="1"/>
  <c r="O78" i="90" s="1"/>
  <c r="P78" i="90" s="1"/>
  <c r="Q78" i="90" s="1"/>
  <c r="R78" i="90" s="1"/>
  <c r="S78" i="90" s="1"/>
  <c r="T78" i="90" s="1"/>
  <c r="AA22" i="90"/>
  <c r="AB22" i="90" s="1"/>
  <c r="AC22" i="90" s="1"/>
  <c r="AD22" i="90" s="1"/>
  <c r="AE22" i="90" s="1"/>
  <c r="AF22" i="90" s="1"/>
  <c r="AG22" i="90" s="1"/>
  <c r="AH22" i="90" s="1"/>
  <c r="AI22" i="90" s="1"/>
  <c r="AJ22" i="90" s="1"/>
  <c r="AK22" i="90" s="1"/>
  <c r="AL22" i="90" s="1"/>
  <c r="AM22" i="90" s="1"/>
  <c r="AN22" i="90" s="1"/>
  <c r="AO22" i="90" s="1"/>
  <c r="AP22" i="90" s="1"/>
  <c r="E22" i="90"/>
  <c r="F22" i="90" s="1"/>
  <c r="G22" i="90" s="1"/>
  <c r="H22" i="90" s="1"/>
  <c r="I22" i="90" s="1"/>
  <c r="J22" i="90" s="1"/>
  <c r="K22" i="90" s="1"/>
  <c r="L22" i="90" s="1"/>
  <c r="M22" i="90" s="1"/>
  <c r="N22" i="90" s="1"/>
  <c r="O22" i="90" s="1"/>
  <c r="P22" i="90" s="1"/>
  <c r="Q22" i="90" s="1"/>
  <c r="R22" i="90" s="1"/>
  <c r="S22" i="90" s="1"/>
  <c r="T22" i="90" s="1"/>
  <c r="E12" i="90"/>
  <c r="F12" i="90" s="1"/>
  <c r="G12" i="90" s="1"/>
  <c r="H12" i="90" s="1"/>
  <c r="I12" i="90" s="1"/>
  <c r="J12" i="90" s="1"/>
  <c r="K12" i="90" s="1"/>
  <c r="L12" i="90" s="1"/>
  <c r="M12" i="90" s="1"/>
  <c r="N12" i="90" s="1"/>
  <c r="O12" i="90" s="1"/>
  <c r="P12" i="90" s="1"/>
  <c r="Q12" i="90" s="1"/>
  <c r="R12" i="90" s="1"/>
  <c r="S12" i="90" s="1"/>
  <c r="T12" i="90" s="1"/>
  <c r="H57" i="89"/>
  <c r="H50" i="89"/>
  <c r="F42" i="89"/>
  <c r="G42" i="89" s="1"/>
  <c r="H42" i="89" s="1"/>
  <c r="I42" i="89" s="1"/>
  <c r="J42" i="89" s="1"/>
  <c r="K42" i="89" s="1"/>
  <c r="L42" i="89" s="1"/>
  <c r="M42" i="89" s="1"/>
  <c r="N42" i="89" s="1"/>
  <c r="O42" i="89" s="1"/>
  <c r="P42" i="89" s="1"/>
  <c r="Q42" i="89" s="1"/>
  <c r="R42" i="89" s="1"/>
  <c r="S42" i="89" s="1"/>
  <c r="F41" i="89"/>
  <c r="G41" i="89" s="1"/>
  <c r="H41" i="89" s="1"/>
  <c r="I41" i="89" s="1"/>
  <c r="J41" i="89" s="1"/>
  <c r="K41" i="89" s="1"/>
  <c r="L41" i="89" s="1"/>
  <c r="M41" i="89" s="1"/>
  <c r="N41" i="89" s="1"/>
  <c r="O41" i="89" s="1"/>
  <c r="P41" i="89" s="1"/>
  <c r="Q41" i="89" s="1"/>
  <c r="R41" i="89" s="1"/>
  <c r="S41" i="89" s="1"/>
  <c r="E37" i="89"/>
  <c r="P59" i="89" s="1"/>
  <c r="E36" i="89"/>
  <c r="Q59" i="89"/>
  <c r="O59" i="89"/>
  <c r="N59" i="89"/>
  <c r="M59" i="89"/>
  <c r="K59" i="89"/>
  <c r="J59" i="89"/>
  <c r="I59" i="89"/>
  <c r="S57" i="89"/>
  <c r="R57" i="89"/>
  <c r="Q57" i="89"/>
  <c r="O57" i="89"/>
  <c r="N57" i="89"/>
  <c r="M57" i="89"/>
  <c r="K57" i="89"/>
  <c r="J57" i="89"/>
  <c r="I57" i="89"/>
  <c r="S28" i="89"/>
  <c r="Q28" i="89"/>
  <c r="P28" i="89"/>
  <c r="O28" i="89"/>
  <c r="N28" i="89"/>
  <c r="M28" i="89"/>
  <c r="L28" i="89"/>
  <c r="K28" i="89"/>
  <c r="J28" i="89"/>
  <c r="I28" i="89"/>
  <c r="H28" i="89"/>
  <c r="I25" i="89"/>
  <c r="I53" i="89" s="1"/>
  <c r="I24" i="89"/>
  <c r="I52" i="89" s="1"/>
  <c r="I23" i="89"/>
  <c r="I51" i="89" s="1"/>
  <c r="I22" i="89"/>
  <c r="H21" i="89"/>
  <c r="F14" i="89"/>
  <c r="G14" i="89" s="1"/>
  <c r="H14" i="89" s="1"/>
  <c r="I14" i="89" s="1"/>
  <c r="J14" i="89" s="1"/>
  <c r="K14" i="89" s="1"/>
  <c r="L14" i="89" s="1"/>
  <c r="M14" i="89" s="1"/>
  <c r="N14" i="89" s="1"/>
  <c r="O14" i="89" s="1"/>
  <c r="P14" i="89" s="1"/>
  <c r="Q14" i="89" s="1"/>
  <c r="R14" i="89" s="1"/>
  <c r="S14" i="89" s="1"/>
  <c r="F13" i="89"/>
  <c r="G13" i="89" s="1"/>
  <c r="H13" i="89" s="1"/>
  <c r="I13" i="89" s="1"/>
  <c r="J13" i="89" s="1"/>
  <c r="K13" i="89" s="1"/>
  <c r="L13" i="89" s="1"/>
  <c r="M13" i="89" s="1"/>
  <c r="N13" i="89" s="1"/>
  <c r="O13" i="89" s="1"/>
  <c r="P13" i="89" s="1"/>
  <c r="Q13" i="89" s="1"/>
  <c r="R13" i="89" s="1"/>
  <c r="S13" i="89" s="1"/>
  <c r="AC32" i="87"/>
  <c r="AB32" i="87"/>
  <c r="AA32" i="87"/>
  <c r="Z32" i="87"/>
  <c r="AD31" i="87"/>
  <c r="AD30" i="87"/>
  <c r="AD29" i="87"/>
  <c r="AD28" i="87"/>
  <c r="AD27" i="87"/>
  <c r="K21" i="87"/>
  <c r="L20" i="87"/>
  <c r="J80" i="87"/>
  <c r="M80" i="87"/>
  <c r="L80" i="87"/>
  <c r="K80" i="87"/>
  <c r="N79" i="87"/>
  <c r="N78" i="87"/>
  <c r="N77" i="87"/>
  <c r="N76" i="87"/>
  <c r="N75" i="87"/>
  <c r="H53" i="89" l="1"/>
  <c r="S59" i="89"/>
  <c r="L57" i="89"/>
  <c r="P57" i="89"/>
  <c r="C171" i="103"/>
  <c r="G18" i="96"/>
  <c r="N171" i="103"/>
  <c r="R18" i="96"/>
  <c r="AD32" i="87"/>
  <c r="Z33" i="87" s="1"/>
  <c r="H171" i="103"/>
  <c r="L18" i="96"/>
  <c r="H59" i="89"/>
  <c r="H56" i="89" s="1"/>
  <c r="G40" i="96" s="1"/>
  <c r="D171" i="103"/>
  <c r="H18" i="96"/>
  <c r="L171" i="103"/>
  <c r="P18" i="96"/>
  <c r="E171" i="103"/>
  <c r="I18" i="96"/>
  <c r="I171" i="103"/>
  <c r="M18" i="96"/>
  <c r="G171" i="103"/>
  <c r="K18" i="96"/>
  <c r="K171" i="103"/>
  <c r="O18" i="96"/>
  <c r="F171" i="103"/>
  <c r="J18" i="96"/>
  <c r="J171" i="103"/>
  <c r="N18" i="96"/>
  <c r="H51" i="89"/>
  <c r="L59" i="89"/>
  <c r="L56" i="89" s="1"/>
  <c r="K40" i="96" s="1"/>
  <c r="R59" i="89"/>
  <c r="R56" i="89" s="1"/>
  <c r="Q40" i="96" s="1"/>
  <c r="H52" i="89"/>
  <c r="K56" i="89"/>
  <c r="J40" i="96" s="1"/>
  <c r="Q56" i="89"/>
  <c r="P40" i="96" s="1"/>
  <c r="R28" i="89"/>
  <c r="I56" i="89"/>
  <c r="H40" i="96" s="1"/>
  <c r="N56" i="89"/>
  <c r="M40" i="96" s="1"/>
  <c r="S56" i="89"/>
  <c r="R40" i="96" s="1"/>
  <c r="P56" i="89"/>
  <c r="O40" i="96" s="1"/>
  <c r="J56" i="89"/>
  <c r="I40" i="96" s="1"/>
  <c r="O56" i="89"/>
  <c r="N40" i="96" s="1"/>
  <c r="M56" i="89"/>
  <c r="L40" i="96" s="1"/>
  <c r="E235" i="90"/>
  <c r="I21" i="89"/>
  <c r="I50" i="89"/>
  <c r="I49" i="89" s="1"/>
  <c r="J22" i="89"/>
  <c r="J23" i="89"/>
  <c r="J24" i="89"/>
  <c r="J25" i="89"/>
  <c r="N80" i="87"/>
  <c r="K81" i="87" s="1"/>
  <c r="AB33" i="87" l="1"/>
  <c r="AA33" i="87"/>
  <c r="AC33" i="87"/>
  <c r="M171" i="103"/>
  <c r="Q18" i="96"/>
  <c r="H49" i="89"/>
  <c r="F235" i="90"/>
  <c r="E238" i="90"/>
  <c r="J52" i="89"/>
  <c r="K24" i="89"/>
  <c r="J51" i="89"/>
  <c r="K23" i="89"/>
  <c r="J50" i="89"/>
  <c r="K22" i="89"/>
  <c r="J21" i="89"/>
  <c r="J53" i="89"/>
  <c r="K25" i="89"/>
  <c r="M81" i="87"/>
  <c r="J81" i="87"/>
  <c r="L81" i="87"/>
  <c r="AD33" i="87" l="1"/>
  <c r="F238" i="90"/>
  <c r="G235" i="90"/>
  <c r="K51" i="89"/>
  <c r="L23" i="89"/>
  <c r="K50" i="89"/>
  <c r="L22" i="89"/>
  <c r="K21" i="89"/>
  <c r="K52" i="89"/>
  <c r="L24" i="89"/>
  <c r="K53" i="89"/>
  <c r="L25" i="89"/>
  <c r="J49" i="89"/>
  <c r="N81" i="87"/>
  <c r="G238" i="90" l="1"/>
  <c r="H235" i="90"/>
  <c r="M22" i="89"/>
  <c r="L21" i="89"/>
  <c r="L50" i="89"/>
  <c r="M24" i="89"/>
  <c r="L52" i="89"/>
  <c r="K49" i="89"/>
  <c r="M23" i="89"/>
  <c r="L51" i="89"/>
  <c r="M25" i="89"/>
  <c r="L53" i="89"/>
  <c r="H238" i="90" l="1"/>
  <c r="I235" i="90"/>
  <c r="M52" i="89"/>
  <c r="N24" i="89"/>
  <c r="M51" i="89"/>
  <c r="N23" i="89"/>
  <c r="L49" i="89"/>
  <c r="M53" i="89"/>
  <c r="N25" i="89"/>
  <c r="M21" i="89"/>
  <c r="M50" i="89"/>
  <c r="N22" i="89"/>
  <c r="M49" i="89" l="1"/>
  <c r="J235" i="90"/>
  <c r="I238" i="90"/>
  <c r="N51" i="89"/>
  <c r="O23" i="89"/>
  <c r="N53" i="89"/>
  <c r="O25" i="89"/>
  <c r="N50" i="89"/>
  <c r="O22" i="89"/>
  <c r="N21" i="89"/>
  <c r="N52" i="89"/>
  <c r="O24" i="89"/>
  <c r="K235" i="90" l="1"/>
  <c r="J238" i="90"/>
  <c r="O50" i="89"/>
  <c r="P22" i="89"/>
  <c r="O21" i="89"/>
  <c r="O51" i="89"/>
  <c r="P23" i="89"/>
  <c r="O53" i="89"/>
  <c r="P25" i="89"/>
  <c r="O52" i="89"/>
  <c r="P24" i="89"/>
  <c r="N49" i="89"/>
  <c r="K238" i="90" l="1"/>
  <c r="L235" i="90"/>
  <c r="Q22" i="89"/>
  <c r="P21" i="89"/>
  <c r="P50" i="89"/>
  <c r="Q25" i="89"/>
  <c r="P53" i="89"/>
  <c r="Q24" i="89"/>
  <c r="P52" i="89"/>
  <c r="Q23" i="89"/>
  <c r="P51" i="89"/>
  <c r="O49" i="89"/>
  <c r="L238" i="90" l="1"/>
  <c r="M235" i="90"/>
  <c r="Q51" i="89"/>
  <c r="R23" i="89"/>
  <c r="Q53" i="89"/>
  <c r="R25" i="89"/>
  <c r="P49" i="89"/>
  <c r="Q52" i="89"/>
  <c r="R24" i="89"/>
  <c r="Q21" i="89"/>
  <c r="Q50" i="89"/>
  <c r="R22" i="89"/>
  <c r="N235" i="90" l="1"/>
  <c r="M238" i="90"/>
  <c r="Q49" i="89"/>
  <c r="R53" i="89"/>
  <c r="S25" i="89"/>
  <c r="S53" i="89" s="1"/>
  <c r="R52" i="89"/>
  <c r="S24" i="89"/>
  <c r="S52" i="89" s="1"/>
  <c r="R51" i="89"/>
  <c r="S23" i="89"/>
  <c r="S51" i="89" s="1"/>
  <c r="R50" i="89"/>
  <c r="S22" i="89"/>
  <c r="R21" i="89"/>
  <c r="R49" i="89" l="1"/>
  <c r="O235" i="90"/>
  <c r="N238" i="90"/>
  <c r="S50" i="89"/>
  <c r="S49" i="89" s="1"/>
  <c r="S21" i="89"/>
  <c r="O238" i="90" l="1"/>
  <c r="P235" i="90"/>
  <c r="P238" i="90" l="1"/>
  <c r="Q235" i="90"/>
  <c r="Q238" i="90" l="1"/>
  <c r="R235" i="90"/>
  <c r="R238" i="90" l="1"/>
  <c r="S235" i="90"/>
  <c r="T235" i="90"/>
  <c r="T238" i="90" l="1"/>
  <c r="S238" i="90"/>
  <c r="M17" i="88" l="1"/>
  <c r="T17" i="88"/>
  <c r="G290" i="88"/>
  <c r="G289" i="88"/>
  <c r="G288" i="88"/>
  <c r="G287" i="88"/>
  <c r="G286" i="88"/>
  <c r="G285" i="88"/>
  <c r="G284" i="88"/>
  <c r="H279" i="88"/>
  <c r="H275" i="88"/>
  <c r="G274" i="88"/>
  <c r="G265" i="88"/>
  <c r="G263" i="88"/>
  <c r="G262" i="88"/>
  <c r="G261" i="88"/>
  <c r="G255" i="88"/>
  <c r="G253" i="88"/>
  <c r="G252" i="88"/>
  <c r="G251" i="88"/>
  <c r="G245" i="88"/>
  <c r="G243" i="88"/>
  <c r="G242" i="88"/>
  <c r="G241" i="88"/>
  <c r="G235" i="88"/>
  <c r="G233" i="88"/>
  <c r="G232" i="88"/>
  <c r="G231" i="88"/>
  <c r="G224" i="88"/>
  <c r="G222" i="88"/>
  <c r="G221" i="88"/>
  <c r="G220" i="88"/>
  <c r="G213" i="88"/>
  <c r="G211" i="88"/>
  <c r="G210" i="88"/>
  <c r="G209" i="88"/>
  <c r="G202" i="88"/>
  <c r="G200" i="88"/>
  <c r="G199" i="88"/>
  <c r="G198" i="88"/>
  <c r="G191" i="88"/>
  <c r="G189" i="88"/>
  <c r="G188" i="88"/>
  <c r="G187" i="88"/>
  <c r="G180" i="88"/>
  <c r="G178" i="88"/>
  <c r="G177" i="88"/>
  <c r="G176" i="88"/>
  <c r="G170" i="88"/>
  <c r="G168" i="88"/>
  <c r="G167" i="88"/>
  <c r="G166" i="88"/>
  <c r="G160" i="88"/>
  <c r="G158" i="88"/>
  <c r="G157" i="88"/>
  <c r="G156" i="88"/>
  <c r="G149" i="88"/>
  <c r="G147" i="88"/>
  <c r="G146" i="88"/>
  <c r="G145" i="88"/>
  <c r="G139" i="88"/>
  <c r="G137" i="88"/>
  <c r="G136" i="88"/>
  <c r="G135" i="88"/>
  <c r="G129" i="88"/>
  <c r="G127" i="88"/>
  <c r="G126" i="88"/>
  <c r="G125" i="88"/>
  <c r="G119" i="88"/>
  <c r="G117" i="88"/>
  <c r="G116" i="88"/>
  <c r="G115" i="88"/>
  <c r="G109" i="88"/>
  <c r="G107" i="88"/>
  <c r="G106" i="88"/>
  <c r="G105" i="88"/>
  <c r="G99" i="88"/>
  <c r="G97" i="88"/>
  <c r="G96" i="88"/>
  <c r="G95" i="88"/>
  <c r="G86" i="88"/>
  <c r="G85" i="88"/>
  <c r="G84" i="88"/>
  <c r="G83" i="88"/>
  <c r="G82" i="88"/>
  <c r="G81" i="88"/>
  <c r="G80" i="88"/>
  <c r="E70" i="88"/>
  <c r="F64" i="88"/>
  <c r="F63" i="88"/>
  <c r="F62" i="88"/>
  <c r="F61" i="88"/>
  <c r="F58" i="88"/>
  <c r="F57" i="88"/>
  <c r="F56" i="88"/>
  <c r="F55" i="88"/>
  <c r="F54" i="88"/>
  <c r="F53" i="88"/>
  <c r="F52" i="88"/>
  <c r="F51" i="88"/>
  <c r="F50" i="88"/>
  <c r="F49" i="88"/>
  <c r="F48" i="88"/>
  <c r="C40" i="88"/>
  <c r="S26" i="88"/>
  <c r="R26" i="88"/>
  <c r="Q26" i="88"/>
  <c r="P26" i="88"/>
  <c r="O26" i="88"/>
  <c r="T25" i="88"/>
  <c r="T24" i="88"/>
  <c r="T23" i="88"/>
  <c r="T22" i="88"/>
  <c r="S19" i="88"/>
  <c r="R19" i="88"/>
  <c r="Q19" i="88"/>
  <c r="P19" i="88"/>
  <c r="O19" i="88"/>
  <c r="O28" i="88" s="1"/>
  <c r="T18" i="88"/>
  <c r="T16" i="88"/>
  <c r="M16" i="88"/>
  <c r="T15" i="88"/>
  <c r="I15" i="88"/>
  <c r="T14" i="88"/>
  <c r="I14" i="88"/>
  <c r="T13" i="88"/>
  <c r="I13" i="88"/>
  <c r="T12" i="88"/>
  <c r="T11" i="88"/>
  <c r="T10" i="88"/>
  <c r="T9" i="88"/>
  <c r="I9" i="88"/>
  <c r="J7" i="88" s="1"/>
  <c r="T8" i="88"/>
  <c r="T7" i="88"/>
  <c r="T6" i="88"/>
  <c r="T5" i="88"/>
  <c r="G52" i="87"/>
  <c r="H52" i="87" s="1"/>
  <c r="I52" i="87" s="1"/>
  <c r="J52" i="87" s="1"/>
  <c r="K52" i="87" s="1"/>
  <c r="L52" i="87" s="1"/>
  <c r="M52" i="87" s="1"/>
  <c r="N52" i="87" s="1"/>
  <c r="O52" i="87" s="1"/>
  <c r="P52" i="87" s="1"/>
  <c r="Q52" i="87" s="1"/>
  <c r="R52" i="87" s="1"/>
  <c r="S52" i="87" s="1"/>
  <c r="T52" i="87" s="1"/>
  <c r="U52" i="87" s="1"/>
  <c r="V52" i="87" s="1"/>
  <c r="I51" i="87"/>
  <c r="J51" i="87" s="1"/>
  <c r="K51" i="87" s="1"/>
  <c r="L51" i="87" s="1"/>
  <c r="M51" i="87" s="1"/>
  <c r="N51" i="87" s="1"/>
  <c r="O51" i="87" s="1"/>
  <c r="P51" i="87" s="1"/>
  <c r="Q51" i="87" s="1"/>
  <c r="R51" i="87" s="1"/>
  <c r="S51" i="87" s="1"/>
  <c r="T51" i="87" s="1"/>
  <c r="U51" i="87" s="1"/>
  <c r="V51" i="87" s="1"/>
  <c r="G45" i="87"/>
  <c r="G44" i="87"/>
  <c r="G26" i="87"/>
  <c r="H26" i="87" s="1"/>
  <c r="I26" i="87" s="1"/>
  <c r="J26" i="87" s="1"/>
  <c r="K26" i="87" s="1"/>
  <c r="L26" i="87" s="1"/>
  <c r="M26" i="87" s="1"/>
  <c r="N26" i="87" s="1"/>
  <c r="O26" i="87" s="1"/>
  <c r="P26" i="87" s="1"/>
  <c r="Q26" i="87" s="1"/>
  <c r="R26" i="87" s="1"/>
  <c r="S26" i="87" s="1"/>
  <c r="T26" i="87" s="1"/>
  <c r="U26" i="87" s="1"/>
  <c r="V26" i="87" s="1"/>
  <c r="I25" i="87"/>
  <c r="J25" i="87" s="1"/>
  <c r="K25" i="87" s="1"/>
  <c r="L25" i="87" s="1"/>
  <c r="M25" i="87" s="1"/>
  <c r="N25" i="87" s="1"/>
  <c r="O25" i="87" s="1"/>
  <c r="P25" i="87" s="1"/>
  <c r="Q25" i="87" s="1"/>
  <c r="R25" i="87" s="1"/>
  <c r="S25" i="87" s="1"/>
  <c r="T25" i="87" s="1"/>
  <c r="U25" i="87" s="1"/>
  <c r="V25" i="87" s="1"/>
  <c r="J21" i="87"/>
  <c r="I21" i="87"/>
  <c r="H21" i="87"/>
  <c r="G21" i="87"/>
  <c r="L19" i="87"/>
  <c r="L18" i="87"/>
  <c r="L17" i="87"/>
  <c r="L16" i="87"/>
  <c r="S28" i="88" l="1"/>
  <c r="P28" i="88"/>
  <c r="Q28" i="88"/>
  <c r="E148" i="88"/>
  <c r="G148" i="88" s="1"/>
  <c r="G87" i="88"/>
  <c r="D29" i="88" s="1"/>
  <c r="G29" i="88" s="1"/>
  <c r="G291" i="88"/>
  <c r="G52" i="84" s="1"/>
  <c r="E212" i="88"/>
  <c r="J12" i="88"/>
  <c r="J16" i="88" s="1"/>
  <c r="T26" i="88"/>
  <c r="E118" i="88"/>
  <c r="E128" i="88"/>
  <c r="E274" i="88"/>
  <c r="E234" i="88"/>
  <c r="R28" i="88"/>
  <c r="E98" i="88"/>
  <c r="E138" i="88"/>
  <c r="T19" i="88"/>
  <c r="E108" i="88"/>
  <c r="L21" i="87"/>
  <c r="N52" i="84" l="1"/>
  <c r="N51" i="84" s="1"/>
  <c r="G51" i="84"/>
  <c r="E104" i="98" s="1"/>
  <c r="AU104" i="98" s="1"/>
  <c r="E59" i="88"/>
  <c r="E214" i="88"/>
  <c r="G214" i="88" s="1"/>
  <c r="G212" i="88"/>
  <c r="E150" i="88"/>
  <c r="G150" i="88" s="1"/>
  <c r="G151" i="88" s="1"/>
  <c r="G53" i="88" s="1"/>
  <c r="E53" i="88"/>
  <c r="K16" i="88"/>
  <c r="K21" i="88" s="1"/>
  <c r="J18" i="88"/>
  <c r="J19" i="88" s="1"/>
  <c r="J20" i="88" s="1"/>
  <c r="J21" i="88" s="1"/>
  <c r="T28" i="88"/>
  <c r="E159" i="88"/>
  <c r="E61" i="88"/>
  <c r="E236" i="88"/>
  <c r="G236" i="88" s="1"/>
  <c r="G234" i="88"/>
  <c r="E51" i="88"/>
  <c r="G128" i="88"/>
  <c r="E130" i="88"/>
  <c r="G130" i="88" s="1"/>
  <c r="E120" i="88"/>
  <c r="G120" i="88" s="1"/>
  <c r="G118" i="88"/>
  <c r="E50" i="88"/>
  <c r="G138" i="88"/>
  <c r="E52" i="88"/>
  <c r="E140" i="88"/>
  <c r="G140" i="88" s="1"/>
  <c r="H274" i="88"/>
  <c r="E276" i="88"/>
  <c r="H276" i="88" s="1"/>
  <c r="T27" i="88"/>
  <c r="E110" i="88"/>
  <c r="G110" i="88" s="1"/>
  <c r="E49" i="88"/>
  <c r="G108" i="88"/>
  <c r="G98" i="88"/>
  <c r="E48" i="88"/>
  <c r="E100" i="88"/>
  <c r="G100" i="88" s="1"/>
  <c r="F39" i="87"/>
  <c r="F35" i="87"/>
  <c r="F38" i="87"/>
  <c r="F34" i="87"/>
  <c r="F33" i="87"/>
  <c r="F32" i="87"/>
  <c r="F36" i="87"/>
  <c r="G141" i="88" l="1"/>
  <c r="G52" i="88" s="1"/>
  <c r="E83" i="98"/>
  <c r="AU83" i="98" s="1"/>
  <c r="AJ104" i="98"/>
  <c r="AJ108" i="98" s="1"/>
  <c r="AI104" i="98"/>
  <c r="AI108" i="98" s="1"/>
  <c r="AG104" i="98"/>
  <c r="E42" i="98"/>
  <c r="F15" i="102" s="1"/>
  <c r="AF104" i="98"/>
  <c r="AE104" i="98"/>
  <c r="AK104" i="98"/>
  <c r="AK108" i="98" s="1"/>
  <c r="AH104" i="98"/>
  <c r="AH108" i="98" s="1"/>
  <c r="AC104" i="98"/>
  <c r="AW104" i="98" s="1"/>
  <c r="AD104" i="98"/>
  <c r="U26" i="88"/>
  <c r="U17" i="88"/>
  <c r="U19" i="88"/>
  <c r="G215" i="88"/>
  <c r="G59" i="88" s="1"/>
  <c r="T20" i="88"/>
  <c r="T29" i="88" s="1"/>
  <c r="G121" i="88"/>
  <c r="G50" i="88" s="1"/>
  <c r="G131" i="88"/>
  <c r="G51" i="88" s="1"/>
  <c r="G101" i="88"/>
  <c r="G48" i="88" s="1"/>
  <c r="E161" i="88"/>
  <c r="G161" i="88" s="1"/>
  <c r="E54" i="88"/>
  <c r="G159" i="88"/>
  <c r="H277" i="88"/>
  <c r="G111" i="88"/>
  <c r="G49" i="88" s="1"/>
  <c r="G237" i="88"/>
  <c r="G61" i="88" s="1"/>
  <c r="E190" i="88"/>
  <c r="E223" i="88"/>
  <c r="P27" i="88"/>
  <c r="E169" i="88"/>
  <c r="E264" i="88"/>
  <c r="E179" i="88"/>
  <c r="E254" i="88"/>
  <c r="O27" i="88"/>
  <c r="U7" i="88"/>
  <c r="S27" i="88"/>
  <c r="E244" i="88"/>
  <c r="U25" i="88"/>
  <c r="U6" i="88"/>
  <c r="E201" i="88"/>
  <c r="U18" i="88"/>
  <c r="R20" i="88"/>
  <c r="U12" i="88"/>
  <c r="U9" i="88"/>
  <c r="U11" i="88"/>
  <c r="P20" i="88"/>
  <c r="U13" i="88"/>
  <c r="U16" i="88"/>
  <c r="Q27" i="88"/>
  <c r="R27" i="88"/>
  <c r="U8" i="88"/>
  <c r="U24" i="88"/>
  <c r="U15" i="88"/>
  <c r="U10" i="88"/>
  <c r="U14" i="88"/>
  <c r="Q20" i="88"/>
  <c r="O20" i="88"/>
  <c r="U5" i="88"/>
  <c r="U23" i="88"/>
  <c r="U22" i="88"/>
  <c r="S20" i="88"/>
  <c r="F58" i="87"/>
  <c r="F61" i="87"/>
  <c r="F59" i="87"/>
  <c r="F65" i="87"/>
  <c r="F60" i="87"/>
  <c r="F62" i="87"/>
  <c r="F64" i="87"/>
  <c r="F31" i="87"/>
  <c r="G32" i="87"/>
  <c r="H32" i="87" s="1"/>
  <c r="I32" i="87" s="1"/>
  <c r="J32" i="87" s="1"/>
  <c r="K32" i="87" s="1"/>
  <c r="L32" i="87" s="1"/>
  <c r="M32" i="87" s="1"/>
  <c r="N32" i="87" s="1"/>
  <c r="O32" i="87" s="1"/>
  <c r="P32" i="87" s="1"/>
  <c r="Q32" i="87" s="1"/>
  <c r="R32" i="87" s="1"/>
  <c r="S32" i="87" s="1"/>
  <c r="T32" i="87" s="1"/>
  <c r="U32" i="87" s="1"/>
  <c r="V32" i="87" s="1"/>
  <c r="G35" i="87"/>
  <c r="H35" i="87" s="1"/>
  <c r="I35" i="87" s="1"/>
  <c r="J35" i="87" s="1"/>
  <c r="K35" i="87" s="1"/>
  <c r="L35" i="87" s="1"/>
  <c r="M35" i="87" s="1"/>
  <c r="N35" i="87" s="1"/>
  <c r="O35" i="87" s="1"/>
  <c r="P35" i="87" s="1"/>
  <c r="Q35" i="87" s="1"/>
  <c r="R35" i="87" s="1"/>
  <c r="S35" i="87" s="1"/>
  <c r="T35" i="87" s="1"/>
  <c r="U35" i="87" s="1"/>
  <c r="V35" i="87" s="1"/>
  <c r="G33" i="87"/>
  <c r="H33" i="87" s="1"/>
  <c r="I33" i="87" s="1"/>
  <c r="J33" i="87" s="1"/>
  <c r="K33" i="87" s="1"/>
  <c r="L33" i="87" s="1"/>
  <c r="M33" i="87" s="1"/>
  <c r="N33" i="87" s="1"/>
  <c r="O33" i="87" s="1"/>
  <c r="P33" i="87" s="1"/>
  <c r="Q33" i="87" s="1"/>
  <c r="R33" i="87" s="1"/>
  <c r="S33" i="87" s="1"/>
  <c r="T33" i="87" s="1"/>
  <c r="U33" i="87" s="1"/>
  <c r="V33" i="87" s="1"/>
  <c r="G39" i="87"/>
  <c r="H39" i="87" s="1"/>
  <c r="I39" i="87" s="1"/>
  <c r="J39" i="87" s="1"/>
  <c r="K39" i="87" s="1"/>
  <c r="L39" i="87" s="1"/>
  <c r="M39" i="87" s="1"/>
  <c r="N39" i="87" s="1"/>
  <c r="O39" i="87" s="1"/>
  <c r="P39" i="87" s="1"/>
  <c r="Q39" i="87" s="1"/>
  <c r="R39" i="87" s="1"/>
  <c r="S39" i="87" s="1"/>
  <c r="T39" i="87" s="1"/>
  <c r="U39" i="87" s="1"/>
  <c r="V39" i="87" s="1"/>
  <c r="G34" i="87"/>
  <c r="H34" i="87" s="1"/>
  <c r="I34" i="87" s="1"/>
  <c r="J34" i="87" s="1"/>
  <c r="K34" i="87" s="1"/>
  <c r="L34" i="87" s="1"/>
  <c r="M34" i="87" s="1"/>
  <c r="N34" i="87" s="1"/>
  <c r="O34" i="87" s="1"/>
  <c r="P34" i="87" s="1"/>
  <c r="Q34" i="87" s="1"/>
  <c r="R34" i="87" s="1"/>
  <c r="S34" i="87" s="1"/>
  <c r="T34" i="87" s="1"/>
  <c r="U34" i="87" s="1"/>
  <c r="V34" i="87" s="1"/>
  <c r="G36" i="87"/>
  <c r="H36" i="87" s="1"/>
  <c r="I36" i="87" s="1"/>
  <c r="J36" i="87" s="1"/>
  <c r="K36" i="87" s="1"/>
  <c r="L36" i="87" s="1"/>
  <c r="M36" i="87" s="1"/>
  <c r="N36" i="87" s="1"/>
  <c r="O36" i="87" s="1"/>
  <c r="P36" i="87" s="1"/>
  <c r="Q36" i="87" s="1"/>
  <c r="R36" i="87" s="1"/>
  <c r="S36" i="87" s="1"/>
  <c r="T36" i="87" s="1"/>
  <c r="U36" i="87" s="1"/>
  <c r="V36" i="87" s="1"/>
  <c r="G38" i="87"/>
  <c r="H38" i="87" s="1"/>
  <c r="I38" i="87" s="1"/>
  <c r="J38" i="87" s="1"/>
  <c r="K38" i="87" s="1"/>
  <c r="L38" i="87" s="1"/>
  <c r="M38" i="87" s="1"/>
  <c r="N38" i="87" s="1"/>
  <c r="O38" i="87" s="1"/>
  <c r="P38" i="87" s="1"/>
  <c r="Q38" i="87" s="1"/>
  <c r="R38" i="87" s="1"/>
  <c r="S38" i="87" s="1"/>
  <c r="T38" i="87" s="1"/>
  <c r="U38" i="87" s="1"/>
  <c r="V38" i="87" s="1"/>
  <c r="F37" i="87"/>
  <c r="G37" i="87" s="1"/>
  <c r="H37" i="87" s="1"/>
  <c r="AX104" i="98" l="1"/>
  <c r="AY104" i="98" s="1"/>
  <c r="I37" i="87"/>
  <c r="D22" i="96"/>
  <c r="AP104" i="98"/>
  <c r="AU42" i="98"/>
  <c r="E62" i="98"/>
  <c r="U28" i="88"/>
  <c r="S29" i="88"/>
  <c r="O29" i="88"/>
  <c r="E55" i="88"/>
  <c r="G169" i="88"/>
  <c r="E171" i="88"/>
  <c r="G171" i="88" s="1"/>
  <c r="Q29" i="88"/>
  <c r="E203" i="88"/>
  <c r="G203" i="88" s="1"/>
  <c r="G201" i="88"/>
  <c r="E58" i="88"/>
  <c r="E246" i="88"/>
  <c r="E62" i="88"/>
  <c r="G244" i="88"/>
  <c r="G254" i="88"/>
  <c r="E256" i="88"/>
  <c r="G256" i="88" s="1"/>
  <c r="E63" i="88"/>
  <c r="G179" i="88"/>
  <c r="E56" i="88"/>
  <c r="E181" i="88"/>
  <c r="G181" i="88" s="1"/>
  <c r="G223" i="88"/>
  <c r="E225" i="88"/>
  <c r="G225" i="88" s="1"/>
  <c r="E60" i="88"/>
  <c r="D41" i="88"/>
  <c r="G70" i="88"/>
  <c r="G71" i="88" s="1"/>
  <c r="P29" i="88"/>
  <c r="R29" i="88"/>
  <c r="G264" i="88"/>
  <c r="E266" i="88"/>
  <c r="G266" i="88" s="1"/>
  <c r="E192" i="88"/>
  <c r="G192" i="88" s="1"/>
  <c r="G190" i="88"/>
  <c r="E57" i="88"/>
  <c r="G162" i="88"/>
  <c r="G54" i="88" s="1"/>
  <c r="F63" i="87"/>
  <c r="F57" i="87"/>
  <c r="G59" i="87"/>
  <c r="H59" i="87" s="1"/>
  <c r="I59" i="87" s="1"/>
  <c r="J59" i="87" s="1"/>
  <c r="K59" i="87" s="1"/>
  <c r="L59" i="87" s="1"/>
  <c r="M59" i="87" s="1"/>
  <c r="N59" i="87" s="1"/>
  <c r="O59" i="87" s="1"/>
  <c r="P59" i="87" s="1"/>
  <c r="Q59" i="87" s="1"/>
  <c r="R59" i="87" s="1"/>
  <c r="S59" i="87" s="1"/>
  <c r="T59" i="87" s="1"/>
  <c r="U59" i="87" s="1"/>
  <c r="V59" i="87" s="1"/>
  <c r="G65" i="87"/>
  <c r="H65" i="87" s="1"/>
  <c r="I65" i="87" s="1"/>
  <c r="J65" i="87" s="1"/>
  <c r="K65" i="87" s="1"/>
  <c r="L65" i="87" s="1"/>
  <c r="M65" i="87" s="1"/>
  <c r="N65" i="87" s="1"/>
  <c r="O65" i="87" s="1"/>
  <c r="P65" i="87" s="1"/>
  <c r="Q65" i="87" s="1"/>
  <c r="R65" i="87" s="1"/>
  <c r="S65" i="87" s="1"/>
  <c r="T65" i="87" s="1"/>
  <c r="U65" i="87" s="1"/>
  <c r="V65" i="87" s="1"/>
  <c r="G61" i="87"/>
  <c r="H61" i="87" s="1"/>
  <c r="I61" i="87" s="1"/>
  <c r="J61" i="87" s="1"/>
  <c r="K61" i="87" s="1"/>
  <c r="L61" i="87" s="1"/>
  <c r="M61" i="87" s="1"/>
  <c r="N61" i="87" s="1"/>
  <c r="O61" i="87" s="1"/>
  <c r="P61" i="87" s="1"/>
  <c r="Q61" i="87" s="1"/>
  <c r="R61" i="87" s="1"/>
  <c r="S61" i="87" s="1"/>
  <c r="T61" i="87" s="1"/>
  <c r="U61" i="87" s="1"/>
  <c r="V61" i="87" s="1"/>
  <c r="G60" i="87"/>
  <c r="H60" i="87" s="1"/>
  <c r="I60" i="87" s="1"/>
  <c r="J60" i="87" s="1"/>
  <c r="K60" i="87" s="1"/>
  <c r="L60" i="87" s="1"/>
  <c r="M60" i="87" s="1"/>
  <c r="N60" i="87" s="1"/>
  <c r="O60" i="87" s="1"/>
  <c r="P60" i="87" s="1"/>
  <c r="Q60" i="87" s="1"/>
  <c r="R60" i="87" s="1"/>
  <c r="S60" i="87" s="1"/>
  <c r="T60" i="87" s="1"/>
  <c r="U60" i="87" s="1"/>
  <c r="V60" i="87" s="1"/>
  <c r="G62" i="87"/>
  <c r="H62" i="87" s="1"/>
  <c r="I62" i="87" s="1"/>
  <c r="J62" i="87" s="1"/>
  <c r="K62" i="87" s="1"/>
  <c r="L62" i="87" s="1"/>
  <c r="M62" i="87" s="1"/>
  <c r="N62" i="87" s="1"/>
  <c r="O62" i="87" s="1"/>
  <c r="P62" i="87" s="1"/>
  <c r="Q62" i="87" s="1"/>
  <c r="R62" i="87" s="1"/>
  <c r="S62" i="87" s="1"/>
  <c r="T62" i="87" s="1"/>
  <c r="U62" i="87" s="1"/>
  <c r="V62" i="87" s="1"/>
  <c r="G64" i="87"/>
  <c r="H64" i="87" s="1"/>
  <c r="I64" i="87" s="1"/>
  <c r="J64" i="87" s="1"/>
  <c r="K64" i="87" s="1"/>
  <c r="L64" i="87" s="1"/>
  <c r="M64" i="87" s="1"/>
  <c r="N64" i="87" s="1"/>
  <c r="O64" i="87" s="1"/>
  <c r="P64" i="87" s="1"/>
  <c r="Q64" i="87" s="1"/>
  <c r="R64" i="87" s="1"/>
  <c r="S64" i="87" s="1"/>
  <c r="T64" i="87" s="1"/>
  <c r="U64" i="87" s="1"/>
  <c r="V64" i="87" s="1"/>
  <c r="G58" i="87"/>
  <c r="H58" i="87" s="1"/>
  <c r="I58" i="87" s="1"/>
  <c r="J58" i="87" s="1"/>
  <c r="K58" i="87" s="1"/>
  <c r="L58" i="87" s="1"/>
  <c r="M58" i="87" s="1"/>
  <c r="N58" i="87" s="1"/>
  <c r="O58" i="87" s="1"/>
  <c r="P58" i="87" s="1"/>
  <c r="Q58" i="87" s="1"/>
  <c r="R58" i="87" s="1"/>
  <c r="S58" i="87" s="1"/>
  <c r="T58" i="87" s="1"/>
  <c r="U58" i="87" s="1"/>
  <c r="V58" i="87" s="1"/>
  <c r="G31" i="87"/>
  <c r="J37" i="87" l="1"/>
  <c r="E22" i="96"/>
  <c r="G182" i="88"/>
  <c r="G56" i="88" s="1"/>
  <c r="G193" i="88"/>
  <c r="G57" i="88" s="1"/>
  <c r="G257" i="88"/>
  <c r="G63" i="88" s="1"/>
  <c r="G204" i="88"/>
  <c r="G58" i="88" s="1"/>
  <c r="G267" i="88"/>
  <c r="G64" i="88" s="1"/>
  <c r="G172" i="88"/>
  <c r="G55" i="88" s="1"/>
  <c r="G226" i="88"/>
  <c r="G60" i="88" s="1"/>
  <c r="E64" i="88"/>
  <c r="G246" i="88"/>
  <c r="G247" i="88" s="1"/>
  <c r="G62" i="88" s="1"/>
  <c r="G63" i="87"/>
  <c r="H63" i="87" s="1"/>
  <c r="H31" i="87"/>
  <c r="I63" i="87" l="1"/>
  <c r="D44" i="96"/>
  <c r="K37" i="87"/>
  <c r="F22" i="96"/>
  <c r="G65" i="88"/>
  <c r="D40" i="88" s="1"/>
  <c r="D42" i="88" s="1"/>
  <c r="I31" i="87"/>
  <c r="G57" i="87"/>
  <c r="L37" i="87" l="1"/>
  <c r="G22" i="96"/>
  <c r="J63" i="87"/>
  <c r="E44" i="96"/>
  <c r="D28" i="88"/>
  <c r="G28" i="88" s="1"/>
  <c r="G30" i="88" s="1"/>
  <c r="G50" i="84"/>
  <c r="D30" i="88"/>
  <c r="H57" i="87"/>
  <c r="J31" i="87"/>
  <c r="K63" i="87" l="1"/>
  <c r="F44" i="96"/>
  <c r="M37" i="87"/>
  <c r="H22" i="96"/>
  <c r="N50" i="84"/>
  <c r="N49" i="84" s="1"/>
  <c r="G49" i="84"/>
  <c r="E103" i="98" s="1"/>
  <c r="AU103" i="98" s="1"/>
  <c r="I57" i="87"/>
  <c r="K31" i="87"/>
  <c r="N37" i="87" l="1"/>
  <c r="I22" i="96"/>
  <c r="L63" i="87"/>
  <c r="G44" i="96"/>
  <c r="E41" i="98"/>
  <c r="F14" i="102" s="1"/>
  <c r="AF103" i="98"/>
  <c r="AF108" i="98" s="1"/>
  <c r="AE103" i="98"/>
  <c r="AG103" i="98"/>
  <c r="AG108" i="98" s="1"/>
  <c r="E82" i="98"/>
  <c r="AU82" i="98" s="1"/>
  <c r="AD103" i="98"/>
  <c r="J57" i="87"/>
  <c r="L31" i="87"/>
  <c r="M63" i="87" l="1"/>
  <c r="H44" i="96"/>
  <c r="AP103" i="98"/>
  <c r="AX103" i="98"/>
  <c r="AY103" i="98" s="1"/>
  <c r="O37" i="87"/>
  <c r="J22" i="96"/>
  <c r="AU41" i="98"/>
  <c r="E61" i="98"/>
  <c r="K57" i="87"/>
  <c r="M31" i="87"/>
  <c r="N63" i="87" l="1"/>
  <c r="I44" i="96"/>
  <c r="P37" i="87"/>
  <c r="K22" i="96"/>
  <c r="L57" i="87"/>
  <c r="N31" i="87"/>
  <c r="Q37" i="87" l="1"/>
  <c r="L22" i="96"/>
  <c r="O63" i="87"/>
  <c r="J44" i="96"/>
  <c r="O31" i="87"/>
  <c r="M57" i="87"/>
  <c r="P63" i="87" l="1"/>
  <c r="K44" i="96"/>
  <c r="R37" i="87"/>
  <c r="M22" i="96"/>
  <c r="N57" i="87"/>
  <c r="P31" i="87"/>
  <c r="S37" i="87" l="1"/>
  <c r="N22" i="96"/>
  <c r="Q63" i="87"/>
  <c r="L44" i="96"/>
  <c r="Q31" i="87"/>
  <c r="O57" i="87"/>
  <c r="R63" i="87" l="1"/>
  <c r="M44" i="96"/>
  <c r="T37" i="87"/>
  <c r="O22" i="96"/>
  <c r="R31" i="87"/>
  <c r="P57" i="87"/>
  <c r="U37" i="87" l="1"/>
  <c r="P22" i="96"/>
  <c r="S63" i="87"/>
  <c r="N44" i="96"/>
  <c r="Q57" i="87"/>
  <c r="S31" i="87"/>
  <c r="T63" i="87" l="1"/>
  <c r="O44" i="96"/>
  <c r="V37" i="87"/>
  <c r="R22" i="96" s="1"/>
  <c r="Q22" i="96"/>
  <c r="R57" i="87"/>
  <c r="T31" i="87"/>
  <c r="U63" i="87" l="1"/>
  <c r="P44" i="96"/>
  <c r="U31" i="87"/>
  <c r="S57" i="87"/>
  <c r="V63" i="87" l="1"/>
  <c r="R44" i="96" s="1"/>
  <c r="Q44" i="96"/>
  <c r="V31" i="87"/>
  <c r="T57" i="87"/>
  <c r="U57" i="87" l="1"/>
  <c r="V57" i="87" l="1"/>
  <c r="C151" i="86" l="1"/>
  <c r="D140" i="86"/>
  <c r="E140" i="86" s="1"/>
  <c r="F140" i="86" s="1"/>
  <c r="G140" i="86" s="1"/>
  <c r="H140" i="86" s="1"/>
  <c r="I140" i="86" s="1"/>
  <c r="J140" i="86" s="1"/>
  <c r="K140" i="86" s="1"/>
  <c r="L140" i="86" s="1"/>
  <c r="M140" i="86" s="1"/>
  <c r="N140" i="86" s="1"/>
  <c r="O140" i="86" s="1"/>
  <c r="P140" i="86" s="1"/>
  <c r="Q140" i="86" s="1"/>
  <c r="D131" i="86"/>
  <c r="E131" i="86" s="1"/>
  <c r="F131" i="86" s="1"/>
  <c r="G131" i="86" s="1"/>
  <c r="H131" i="86" s="1"/>
  <c r="I131" i="86" s="1"/>
  <c r="J131" i="86" s="1"/>
  <c r="K131" i="86" s="1"/>
  <c r="L131" i="86" s="1"/>
  <c r="M131" i="86" s="1"/>
  <c r="N131" i="86" s="1"/>
  <c r="O131" i="86" s="1"/>
  <c r="P131" i="86" s="1"/>
  <c r="Q131" i="86" s="1"/>
  <c r="D70" i="86"/>
  <c r="E70" i="86" s="1"/>
  <c r="F70" i="86" s="1"/>
  <c r="G70" i="86" s="1"/>
  <c r="H70" i="86" s="1"/>
  <c r="I70" i="86" s="1"/>
  <c r="J70" i="86" s="1"/>
  <c r="K70" i="86" s="1"/>
  <c r="L70" i="86" s="1"/>
  <c r="M70" i="86" s="1"/>
  <c r="N70" i="86" s="1"/>
  <c r="O70" i="86" s="1"/>
  <c r="P70" i="86" s="1"/>
  <c r="Q70" i="86" s="1"/>
  <c r="D5" i="86"/>
  <c r="E5" i="86" s="1"/>
  <c r="F5" i="86" s="1"/>
  <c r="G5" i="86" s="1"/>
  <c r="H5" i="86" s="1"/>
  <c r="I5" i="86" s="1"/>
  <c r="J5" i="86" s="1"/>
  <c r="K5" i="86" s="1"/>
  <c r="L5" i="86" s="1"/>
  <c r="M5" i="86" s="1"/>
  <c r="N5" i="86" s="1"/>
  <c r="O5" i="86" s="1"/>
  <c r="P5" i="86" s="1"/>
  <c r="Q5" i="86" s="1"/>
  <c r="F148" i="86"/>
  <c r="C137" i="86" s="1"/>
  <c r="F147" i="86"/>
  <c r="Q133" i="86"/>
  <c r="P133" i="86"/>
  <c r="O133" i="86"/>
  <c r="N133" i="86"/>
  <c r="M133" i="86"/>
  <c r="L133" i="86"/>
  <c r="K133" i="86"/>
  <c r="J133" i="86"/>
  <c r="I133" i="86"/>
  <c r="H133" i="86"/>
  <c r="G133" i="86"/>
  <c r="F133" i="86"/>
  <c r="E133" i="86"/>
  <c r="D133" i="86"/>
  <c r="C133" i="86"/>
  <c r="Q123" i="86"/>
  <c r="P123" i="86"/>
  <c r="O123" i="86"/>
  <c r="N123" i="86"/>
  <c r="M123" i="86"/>
  <c r="L123" i="86"/>
  <c r="K123" i="86"/>
  <c r="J123" i="86"/>
  <c r="I123" i="86"/>
  <c r="H123" i="86"/>
  <c r="G123" i="86"/>
  <c r="F123" i="86"/>
  <c r="E123" i="86"/>
  <c r="D123" i="86"/>
  <c r="C123" i="86"/>
  <c r="Q122" i="86"/>
  <c r="P122" i="86"/>
  <c r="O122" i="86"/>
  <c r="N122" i="86"/>
  <c r="M122" i="86"/>
  <c r="L122" i="86"/>
  <c r="K122" i="86"/>
  <c r="J122" i="86"/>
  <c r="I122" i="86"/>
  <c r="H122" i="86"/>
  <c r="G122" i="86"/>
  <c r="F122" i="86"/>
  <c r="E122" i="86"/>
  <c r="D122" i="86"/>
  <c r="C122" i="86"/>
  <c r="Q117" i="86"/>
  <c r="P117" i="86"/>
  <c r="O117" i="86"/>
  <c r="N117" i="86"/>
  <c r="M117" i="86"/>
  <c r="L117" i="86"/>
  <c r="K117" i="86"/>
  <c r="J117" i="86"/>
  <c r="I117" i="86"/>
  <c r="H117" i="86"/>
  <c r="G117" i="86"/>
  <c r="F117" i="86"/>
  <c r="E117" i="86"/>
  <c r="D117" i="86"/>
  <c r="C117" i="86"/>
  <c r="Q115" i="86"/>
  <c r="P115" i="86"/>
  <c r="O115" i="86"/>
  <c r="N115" i="86"/>
  <c r="M115" i="86"/>
  <c r="L115" i="86"/>
  <c r="K115" i="86"/>
  <c r="J115" i="86"/>
  <c r="I115" i="86"/>
  <c r="H115" i="86"/>
  <c r="G115" i="86"/>
  <c r="F115" i="86"/>
  <c r="E115" i="86"/>
  <c r="D115" i="86"/>
  <c r="C115" i="86"/>
  <c r="Q105" i="86"/>
  <c r="P105" i="86"/>
  <c r="O105" i="86"/>
  <c r="N105" i="86"/>
  <c r="M105" i="86"/>
  <c r="L105" i="86"/>
  <c r="K105" i="86"/>
  <c r="J105" i="86"/>
  <c r="I105" i="86"/>
  <c r="H105" i="86"/>
  <c r="G105" i="86"/>
  <c r="F105" i="86"/>
  <c r="E105" i="86"/>
  <c r="D105" i="86"/>
  <c r="C105" i="86"/>
  <c r="Q104" i="86"/>
  <c r="P104" i="86"/>
  <c r="O104" i="86"/>
  <c r="N104" i="86"/>
  <c r="M104" i="86"/>
  <c r="L104" i="86"/>
  <c r="K104" i="86"/>
  <c r="J104" i="86"/>
  <c r="I104" i="86"/>
  <c r="H104" i="86"/>
  <c r="G104" i="86"/>
  <c r="F104" i="86"/>
  <c r="E104" i="86"/>
  <c r="D104" i="86"/>
  <c r="C104" i="86"/>
  <c r="Q103" i="86"/>
  <c r="P103" i="86"/>
  <c r="O103" i="86"/>
  <c r="N103" i="86"/>
  <c r="M103" i="86"/>
  <c r="L103" i="86"/>
  <c r="K103" i="86"/>
  <c r="J103" i="86"/>
  <c r="I103" i="86"/>
  <c r="H103" i="86"/>
  <c r="G103" i="86"/>
  <c r="F103" i="86"/>
  <c r="E103" i="86"/>
  <c r="D103" i="86"/>
  <c r="C103" i="86"/>
  <c r="Q102" i="86"/>
  <c r="P102" i="86"/>
  <c r="O102" i="86"/>
  <c r="N102" i="86"/>
  <c r="M102" i="86"/>
  <c r="L102" i="86"/>
  <c r="K102" i="86"/>
  <c r="J102" i="86"/>
  <c r="I102" i="86"/>
  <c r="H102" i="86"/>
  <c r="G102" i="86"/>
  <c r="F102" i="86"/>
  <c r="E102" i="86"/>
  <c r="D102" i="86"/>
  <c r="C102" i="86"/>
  <c r="Q101" i="86"/>
  <c r="P101" i="86"/>
  <c r="O101" i="86"/>
  <c r="N101" i="86"/>
  <c r="M101" i="86"/>
  <c r="L101" i="86"/>
  <c r="K101" i="86"/>
  <c r="J101" i="86"/>
  <c r="I101" i="86"/>
  <c r="H101" i="86"/>
  <c r="G101" i="86"/>
  <c r="F101" i="86"/>
  <c r="E101" i="86"/>
  <c r="D101" i="86"/>
  <c r="C101" i="86"/>
  <c r="Q98" i="86"/>
  <c r="P98" i="86"/>
  <c r="O98" i="86"/>
  <c r="N98" i="86"/>
  <c r="M98" i="86"/>
  <c r="L98" i="86"/>
  <c r="K98" i="86"/>
  <c r="J98" i="86"/>
  <c r="I98" i="86"/>
  <c r="H98" i="86"/>
  <c r="G98" i="86"/>
  <c r="F98" i="86"/>
  <c r="E98" i="86"/>
  <c r="D98" i="86"/>
  <c r="C98" i="86"/>
  <c r="Q95" i="86"/>
  <c r="P95" i="86"/>
  <c r="O95" i="86"/>
  <c r="N95" i="86"/>
  <c r="M95" i="86"/>
  <c r="L95" i="86"/>
  <c r="K95" i="86"/>
  <c r="J95" i="86"/>
  <c r="I95" i="86"/>
  <c r="H95" i="86"/>
  <c r="G95" i="86"/>
  <c r="F95" i="86"/>
  <c r="E95" i="86"/>
  <c r="D95" i="86"/>
  <c r="C95" i="86"/>
  <c r="Q92" i="86"/>
  <c r="P92" i="86"/>
  <c r="O92" i="86"/>
  <c r="N92" i="86"/>
  <c r="M92" i="86"/>
  <c r="L92" i="86"/>
  <c r="K92" i="86"/>
  <c r="J92" i="86"/>
  <c r="I92" i="86"/>
  <c r="H92" i="86"/>
  <c r="G92" i="86"/>
  <c r="F92" i="86"/>
  <c r="E92" i="86"/>
  <c r="D92" i="86"/>
  <c r="C92" i="86"/>
  <c r="Q91" i="86"/>
  <c r="P91" i="86"/>
  <c r="O91" i="86"/>
  <c r="N91" i="86"/>
  <c r="M91" i="86"/>
  <c r="L91" i="86"/>
  <c r="K91" i="86"/>
  <c r="J91" i="86"/>
  <c r="I91" i="86"/>
  <c r="H91" i="86"/>
  <c r="G91" i="86"/>
  <c r="F91" i="86"/>
  <c r="E91" i="86"/>
  <c r="D91" i="86"/>
  <c r="C91" i="86"/>
  <c r="Q90" i="86"/>
  <c r="P90" i="86"/>
  <c r="O90" i="86"/>
  <c r="N90" i="86"/>
  <c r="M90" i="86"/>
  <c r="L90" i="86"/>
  <c r="K90" i="86"/>
  <c r="J90" i="86"/>
  <c r="I90" i="86"/>
  <c r="H90" i="86"/>
  <c r="G90" i="86"/>
  <c r="F90" i="86"/>
  <c r="E90" i="86"/>
  <c r="D90" i="86"/>
  <c r="C90" i="86"/>
  <c r="Q89" i="86"/>
  <c r="P89" i="86"/>
  <c r="O89" i="86"/>
  <c r="N89" i="86"/>
  <c r="M89" i="86"/>
  <c r="L89" i="86"/>
  <c r="K89" i="86"/>
  <c r="J89" i="86"/>
  <c r="I89" i="86"/>
  <c r="H89" i="86"/>
  <c r="G89" i="86"/>
  <c r="F89" i="86"/>
  <c r="E89" i="86"/>
  <c r="D89" i="86"/>
  <c r="C89" i="86"/>
  <c r="Q88" i="86"/>
  <c r="P88" i="86"/>
  <c r="O88" i="86"/>
  <c r="N88" i="86"/>
  <c r="M88" i="86"/>
  <c r="L88" i="86"/>
  <c r="K88" i="86"/>
  <c r="J88" i="86"/>
  <c r="I88" i="86"/>
  <c r="H88" i="86"/>
  <c r="G88" i="86"/>
  <c r="F88" i="86"/>
  <c r="E88" i="86"/>
  <c r="D88" i="86"/>
  <c r="C88" i="86"/>
  <c r="Q87" i="86"/>
  <c r="P87" i="86"/>
  <c r="O87" i="86"/>
  <c r="N87" i="86"/>
  <c r="M87" i="86"/>
  <c r="L87" i="86"/>
  <c r="K87" i="86"/>
  <c r="J87" i="86"/>
  <c r="I87" i="86"/>
  <c r="H87" i="86"/>
  <c r="G87" i="86"/>
  <c r="F87" i="86"/>
  <c r="E87" i="86"/>
  <c r="D87" i="86"/>
  <c r="C87" i="86"/>
  <c r="Q86" i="86"/>
  <c r="P86" i="86"/>
  <c r="O86" i="86"/>
  <c r="N86" i="86"/>
  <c r="M86" i="86"/>
  <c r="L86" i="86"/>
  <c r="K86" i="86"/>
  <c r="J86" i="86"/>
  <c r="I86" i="86"/>
  <c r="H86" i="86"/>
  <c r="G86" i="86"/>
  <c r="F86" i="86"/>
  <c r="E86" i="86"/>
  <c r="D86" i="86"/>
  <c r="C86" i="86"/>
  <c r="Q85" i="86"/>
  <c r="P85" i="86"/>
  <c r="O85" i="86"/>
  <c r="N85" i="86"/>
  <c r="M85" i="86"/>
  <c r="L85" i="86"/>
  <c r="K85" i="86"/>
  <c r="J85" i="86"/>
  <c r="I85" i="86"/>
  <c r="H85" i="86"/>
  <c r="G85" i="86"/>
  <c r="F85" i="86"/>
  <c r="E85" i="86"/>
  <c r="D85" i="86"/>
  <c r="C85" i="86"/>
  <c r="Q84" i="86"/>
  <c r="P84" i="86"/>
  <c r="O84" i="86"/>
  <c r="N84" i="86"/>
  <c r="M84" i="86"/>
  <c r="L84" i="86"/>
  <c r="K84" i="86"/>
  <c r="J84" i="86"/>
  <c r="I84" i="86"/>
  <c r="H84" i="86"/>
  <c r="G84" i="86"/>
  <c r="F84" i="86"/>
  <c r="E84" i="86"/>
  <c r="D84" i="86"/>
  <c r="C84" i="86"/>
  <c r="Q83" i="86"/>
  <c r="P83" i="86"/>
  <c r="O83" i="86"/>
  <c r="N83" i="86"/>
  <c r="M83" i="86"/>
  <c r="L83" i="86"/>
  <c r="K83" i="86"/>
  <c r="J83" i="86"/>
  <c r="I83" i="86"/>
  <c r="H83" i="86"/>
  <c r="G83" i="86"/>
  <c r="F83" i="86"/>
  <c r="E83" i="86"/>
  <c r="D83" i="86"/>
  <c r="C83" i="86"/>
  <c r="Q82" i="86"/>
  <c r="P82" i="86"/>
  <c r="O82" i="86"/>
  <c r="N82" i="86"/>
  <c r="M82" i="86"/>
  <c r="L82" i="86"/>
  <c r="K82" i="86"/>
  <c r="J82" i="86"/>
  <c r="I82" i="86"/>
  <c r="H82" i="86"/>
  <c r="G82" i="86"/>
  <c r="F82" i="86"/>
  <c r="E82" i="86"/>
  <c r="D82" i="86"/>
  <c r="C82" i="86"/>
  <c r="Q81" i="86"/>
  <c r="P81" i="86"/>
  <c r="O81" i="86"/>
  <c r="N81" i="86"/>
  <c r="M81" i="86"/>
  <c r="L81" i="86"/>
  <c r="K81" i="86"/>
  <c r="J81" i="86"/>
  <c r="I81" i="86"/>
  <c r="H81" i="86"/>
  <c r="G81" i="86"/>
  <c r="F81" i="86"/>
  <c r="E81" i="86"/>
  <c r="D81" i="86"/>
  <c r="C81" i="86"/>
  <c r="Q80" i="86"/>
  <c r="P80" i="86"/>
  <c r="O80" i="86"/>
  <c r="N80" i="86"/>
  <c r="M80" i="86"/>
  <c r="L80" i="86"/>
  <c r="K80" i="86"/>
  <c r="J80" i="86"/>
  <c r="I80" i="86"/>
  <c r="H80" i="86"/>
  <c r="G80" i="86"/>
  <c r="F80" i="86"/>
  <c r="E80" i="86"/>
  <c r="D80" i="86"/>
  <c r="C80" i="86"/>
  <c r="Q79" i="86"/>
  <c r="P79" i="86"/>
  <c r="O79" i="86"/>
  <c r="N79" i="86"/>
  <c r="M79" i="86"/>
  <c r="L79" i="86"/>
  <c r="K79" i="86"/>
  <c r="J79" i="86"/>
  <c r="I79" i="86"/>
  <c r="H79" i="86"/>
  <c r="G79" i="86"/>
  <c r="F79" i="86"/>
  <c r="E79" i="86"/>
  <c r="D79" i="86"/>
  <c r="C79" i="86"/>
  <c r="Q78" i="86"/>
  <c r="P78" i="86"/>
  <c r="O78" i="86"/>
  <c r="N78" i="86"/>
  <c r="M78" i="86"/>
  <c r="L78" i="86"/>
  <c r="K78" i="86"/>
  <c r="J78" i="86"/>
  <c r="I78" i="86"/>
  <c r="H78" i="86"/>
  <c r="G78" i="86"/>
  <c r="F78" i="86"/>
  <c r="E78" i="86"/>
  <c r="D78" i="86"/>
  <c r="C78" i="86"/>
  <c r="Q77" i="86"/>
  <c r="P77" i="86"/>
  <c r="O77" i="86"/>
  <c r="N77" i="86"/>
  <c r="M77" i="86"/>
  <c r="L77" i="86"/>
  <c r="K77" i="86"/>
  <c r="J77" i="86"/>
  <c r="I77" i="86"/>
  <c r="H77" i="86"/>
  <c r="G77" i="86"/>
  <c r="F77" i="86"/>
  <c r="E77" i="86"/>
  <c r="D77" i="86"/>
  <c r="C77" i="86"/>
  <c r="Q76" i="86"/>
  <c r="P76" i="86"/>
  <c r="O76" i="86"/>
  <c r="N76" i="86"/>
  <c r="M76" i="86"/>
  <c r="L76" i="86"/>
  <c r="K76" i="86"/>
  <c r="J76" i="86"/>
  <c r="I76" i="86"/>
  <c r="H76" i="86"/>
  <c r="G76" i="86"/>
  <c r="F76" i="86"/>
  <c r="E76" i="86"/>
  <c r="D76" i="86"/>
  <c r="C76" i="86"/>
  <c r="Q75" i="86"/>
  <c r="P75" i="86"/>
  <c r="O75" i="86"/>
  <c r="N75" i="86"/>
  <c r="M75" i="86"/>
  <c r="L75" i="86"/>
  <c r="K75" i="86"/>
  <c r="J75" i="86"/>
  <c r="I75" i="86"/>
  <c r="H75" i="86"/>
  <c r="G75" i="86"/>
  <c r="F75" i="86"/>
  <c r="E75" i="86"/>
  <c r="D75" i="86"/>
  <c r="C75" i="86"/>
  <c r="Q74" i="86"/>
  <c r="P74" i="86"/>
  <c r="O74" i="86"/>
  <c r="N74" i="86"/>
  <c r="M74" i="86"/>
  <c r="L74" i="86"/>
  <c r="K74" i="86"/>
  <c r="J74" i="86"/>
  <c r="I74" i="86"/>
  <c r="H74" i="86"/>
  <c r="G74" i="86"/>
  <c r="F74" i="86"/>
  <c r="E74" i="86"/>
  <c r="D74" i="86"/>
  <c r="C74" i="86"/>
  <c r="Q73" i="86"/>
  <c r="P73" i="86"/>
  <c r="O73" i="86"/>
  <c r="N73" i="86"/>
  <c r="M73" i="86"/>
  <c r="L73" i="86"/>
  <c r="K73" i="86"/>
  <c r="J73" i="86"/>
  <c r="I73" i="86"/>
  <c r="H73" i="86"/>
  <c r="G73" i="86"/>
  <c r="F73" i="86"/>
  <c r="E73" i="86"/>
  <c r="D73" i="86"/>
  <c r="C73" i="86"/>
  <c r="Q72" i="86"/>
  <c r="P72" i="86"/>
  <c r="O72" i="86"/>
  <c r="N72" i="86"/>
  <c r="M72" i="86"/>
  <c r="L72" i="86"/>
  <c r="K72" i="86"/>
  <c r="J72" i="86"/>
  <c r="I72" i="86"/>
  <c r="H72" i="86"/>
  <c r="G72" i="86"/>
  <c r="F72" i="86"/>
  <c r="E72" i="86"/>
  <c r="D72" i="86"/>
  <c r="C72" i="86"/>
  <c r="D158" i="85"/>
  <c r="E158" i="85" s="1"/>
  <c r="F158" i="85" s="1"/>
  <c r="G158" i="85" s="1"/>
  <c r="H158" i="85" s="1"/>
  <c r="I158" i="85" s="1"/>
  <c r="J158" i="85" s="1"/>
  <c r="K158" i="85" s="1"/>
  <c r="L158" i="85" s="1"/>
  <c r="M158" i="85" s="1"/>
  <c r="N158" i="85" s="1"/>
  <c r="O158" i="85" s="1"/>
  <c r="P158" i="85" s="1"/>
  <c r="Q158" i="85" s="1"/>
  <c r="D152" i="85"/>
  <c r="E152" i="85" s="1"/>
  <c r="F152" i="85" s="1"/>
  <c r="G152" i="85" s="1"/>
  <c r="H152" i="85" s="1"/>
  <c r="I152" i="85" s="1"/>
  <c r="J152" i="85" s="1"/>
  <c r="K152" i="85" s="1"/>
  <c r="L152" i="85" s="1"/>
  <c r="M152" i="85" s="1"/>
  <c r="N152" i="85" s="1"/>
  <c r="O152" i="85" s="1"/>
  <c r="P152" i="85" s="1"/>
  <c r="Q152" i="85" s="1"/>
  <c r="D133" i="85"/>
  <c r="E133" i="85" s="1"/>
  <c r="F133" i="85" s="1"/>
  <c r="G133" i="85" s="1"/>
  <c r="H133" i="85" s="1"/>
  <c r="I133" i="85" s="1"/>
  <c r="J133" i="85" s="1"/>
  <c r="K133" i="85" s="1"/>
  <c r="L133" i="85" s="1"/>
  <c r="M133" i="85" s="1"/>
  <c r="N133" i="85" s="1"/>
  <c r="O133" i="85" s="1"/>
  <c r="P133" i="85" s="1"/>
  <c r="Q133" i="85" s="1"/>
  <c r="D166" i="85"/>
  <c r="D165" i="85"/>
  <c r="C155" i="85"/>
  <c r="C126" i="85"/>
  <c r="C125" i="85"/>
  <c r="C124" i="85"/>
  <c r="E123" i="85"/>
  <c r="D123" i="85"/>
  <c r="C114" i="85"/>
  <c r="C112" i="85"/>
  <c r="B110" i="85"/>
  <c r="G101" i="85"/>
  <c r="F101" i="85"/>
  <c r="E101" i="85"/>
  <c r="D101" i="85"/>
  <c r="H100" i="85"/>
  <c r="I100" i="85" s="1"/>
  <c r="E126" i="85" s="1"/>
  <c r="H99" i="85"/>
  <c r="I99" i="85" s="1"/>
  <c r="E125" i="85" s="1"/>
  <c r="H98" i="85"/>
  <c r="I98" i="85" s="1"/>
  <c r="E124" i="85" s="1"/>
  <c r="C97" i="85"/>
  <c r="H96" i="85"/>
  <c r="E120" i="85" s="1"/>
  <c r="C96" i="85"/>
  <c r="C120" i="85" s="1"/>
  <c r="H95" i="85"/>
  <c r="C95" i="85"/>
  <c r="C118" i="85" s="1"/>
  <c r="H94" i="85"/>
  <c r="C94" i="85"/>
  <c r="H93" i="85"/>
  <c r="C93" i="85"/>
  <c r="C115" i="85" s="1"/>
  <c r="H92" i="85"/>
  <c r="I92" i="85" s="1"/>
  <c r="E114" i="85" s="1"/>
  <c r="H91" i="85"/>
  <c r="I91" i="85" s="1"/>
  <c r="E113" i="85" s="1"/>
  <c r="H90" i="85"/>
  <c r="I90" i="85" s="1"/>
  <c r="E112" i="85" s="1"/>
  <c r="H89" i="85"/>
  <c r="C89" i="85"/>
  <c r="H88" i="85"/>
  <c r="C88" i="85"/>
  <c r="H87" i="85"/>
  <c r="C87" i="85"/>
  <c r="M78" i="85"/>
  <c r="L78" i="85"/>
  <c r="K78" i="85"/>
  <c r="J78" i="85"/>
  <c r="I78" i="85"/>
  <c r="H78" i="85"/>
  <c r="G78" i="85"/>
  <c r="F78" i="85"/>
  <c r="E78" i="85"/>
  <c r="D78" i="85"/>
  <c r="N77" i="85"/>
  <c r="O77" i="85" s="1"/>
  <c r="D126" i="85" s="1"/>
  <c r="N76" i="85"/>
  <c r="O76" i="85" s="1"/>
  <c r="D125" i="85" s="1"/>
  <c r="N75" i="85"/>
  <c r="O75" i="85" s="1"/>
  <c r="D124" i="85" s="1"/>
  <c r="C74" i="85"/>
  <c r="N73" i="85"/>
  <c r="O73" i="85" s="1"/>
  <c r="D120" i="85" s="1"/>
  <c r="N72" i="85"/>
  <c r="C72" i="85"/>
  <c r="N71" i="85"/>
  <c r="O71" i="85" s="1"/>
  <c r="D118" i="85" s="1"/>
  <c r="N70" i="85"/>
  <c r="C70" i="85"/>
  <c r="N69" i="85"/>
  <c r="C69" i="85"/>
  <c r="N68" i="85"/>
  <c r="O68" i="85" s="1"/>
  <c r="D115" i="85" s="1"/>
  <c r="N67" i="85"/>
  <c r="O67" i="85" s="1"/>
  <c r="D114" i="85" s="1"/>
  <c r="N66" i="85"/>
  <c r="C66" i="85"/>
  <c r="C113" i="85" s="1"/>
  <c r="N65" i="85"/>
  <c r="O65" i="85" s="1"/>
  <c r="D112" i="85" s="1"/>
  <c r="N64" i="85"/>
  <c r="O64" i="85" s="1"/>
  <c r="D111" i="85" s="1"/>
  <c r="N63" i="85"/>
  <c r="O63" i="85" s="1"/>
  <c r="N62" i="85"/>
  <c r="U10" i="86" s="1"/>
  <c r="N71" i="86" s="1"/>
  <c r="C62" i="85"/>
  <c r="N61" i="85"/>
  <c r="O61" i="85" s="1"/>
  <c r="G49" i="85"/>
  <c r="F49" i="85"/>
  <c r="E49" i="85"/>
  <c r="D49" i="85"/>
  <c r="C49" i="85"/>
  <c r="H48" i="85"/>
  <c r="H47" i="85"/>
  <c r="H46" i="85"/>
  <c r="H45" i="85"/>
  <c r="G42" i="85"/>
  <c r="F42" i="85"/>
  <c r="F51" i="85" s="1"/>
  <c r="E42" i="85"/>
  <c r="D42" i="85"/>
  <c r="C42" i="85"/>
  <c r="C51" i="85" s="1"/>
  <c r="H41" i="85"/>
  <c r="H40" i="85"/>
  <c r="H39" i="85"/>
  <c r="H38" i="85"/>
  <c r="H37" i="85"/>
  <c r="H36" i="85"/>
  <c r="H35" i="85"/>
  <c r="H34" i="85"/>
  <c r="H33" i="85"/>
  <c r="H32" i="85"/>
  <c r="H31" i="85"/>
  <c r="H30" i="85"/>
  <c r="H29" i="85"/>
  <c r="H28" i="85"/>
  <c r="H27" i="85"/>
  <c r="H26" i="85"/>
  <c r="H25" i="85"/>
  <c r="H24" i="85"/>
  <c r="H23" i="85"/>
  <c r="H22" i="85"/>
  <c r="H21" i="85"/>
  <c r="H20" i="85"/>
  <c r="H19" i="85"/>
  <c r="H18" i="85"/>
  <c r="H17" i="85"/>
  <c r="H16" i="85"/>
  <c r="H15" i="85"/>
  <c r="H14" i="85"/>
  <c r="H13" i="85"/>
  <c r="H12" i="85"/>
  <c r="H11" i="85"/>
  <c r="H10" i="85"/>
  <c r="H9" i="85"/>
  <c r="H8" i="85"/>
  <c r="H7" i="85"/>
  <c r="G51" i="85" l="1"/>
  <c r="E51" i="85"/>
  <c r="D51" i="85"/>
  <c r="U12" i="86"/>
  <c r="I94" i="86" s="1"/>
  <c r="U17" i="86"/>
  <c r="K113" i="86" s="1"/>
  <c r="K71" i="86"/>
  <c r="L71" i="86"/>
  <c r="G71" i="86"/>
  <c r="O71" i="86"/>
  <c r="C96" i="86"/>
  <c r="D110" i="86"/>
  <c r="C71" i="86"/>
  <c r="D71" i="86"/>
  <c r="H71" i="86"/>
  <c r="P71" i="86"/>
  <c r="E71" i="86"/>
  <c r="I71" i="86"/>
  <c r="M71" i="86"/>
  <c r="Q71" i="86"/>
  <c r="J94" i="86"/>
  <c r="D96" i="86"/>
  <c r="G97" i="86"/>
  <c r="C97" i="86"/>
  <c r="H94" i="86"/>
  <c r="G93" i="86"/>
  <c r="F97" i="86"/>
  <c r="I96" i="86"/>
  <c r="N93" i="86"/>
  <c r="J93" i="86"/>
  <c r="F71" i="86"/>
  <c r="J71" i="86"/>
  <c r="G96" i="86"/>
  <c r="O96" i="86"/>
  <c r="N113" i="86"/>
  <c r="H111" i="86"/>
  <c r="Q108" i="86"/>
  <c r="M113" i="86"/>
  <c r="G111" i="86"/>
  <c r="E109" i="86"/>
  <c r="C107" i="86"/>
  <c r="C112" i="86"/>
  <c r="P109" i="86"/>
  <c r="N107" i="86"/>
  <c r="E93" i="86"/>
  <c r="H96" i="86"/>
  <c r="P96" i="86"/>
  <c r="C113" i="86"/>
  <c r="C117" i="85"/>
  <c r="I89" i="85"/>
  <c r="E111" i="85" s="1"/>
  <c r="I93" i="85"/>
  <c r="E115" i="85" s="1"/>
  <c r="F115" i="85" s="1"/>
  <c r="C139" i="85" s="1"/>
  <c r="O66" i="85"/>
  <c r="D113" i="85" s="1"/>
  <c r="F113" i="85" s="1"/>
  <c r="C137" i="85" s="1"/>
  <c r="F112" i="85"/>
  <c r="C136" i="85" s="1"/>
  <c r="J136" i="85" s="1"/>
  <c r="H49" i="85"/>
  <c r="H101" i="85"/>
  <c r="D127" i="85"/>
  <c r="I88" i="85"/>
  <c r="F111" i="85"/>
  <c r="C135" i="85" s="1"/>
  <c r="D135" i="85" s="1"/>
  <c r="F123" i="85"/>
  <c r="F120" i="85"/>
  <c r="C144" i="85" s="1"/>
  <c r="N144" i="85" s="1"/>
  <c r="F125" i="85"/>
  <c r="H42" i="85"/>
  <c r="H51" i="85" s="1"/>
  <c r="F114" i="85"/>
  <c r="C138" i="85" s="1"/>
  <c r="H138" i="85" s="1"/>
  <c r="I94" i="85"/>
  <c r="E117" i="85" s="1"/>
  <c r="E135" i="85"/>
  <c r="P135" i="85"/>
  <c r="K135" i="85"/>
  <c r="G135" i="85"/>
  <c r="N136" i="85"/>
  <c r="E136" i="85"/>
  <c r="G136" i="85"/>
  <c r="I96" i="85"/>
  <c r="C127" i="85"/>
  <c r="O62" i="85"/>
  <c r="C60" i="85"/>
  <c r="C78" i="85" s="1"/>
  <c r="C119" i="85"/>
  <c r="O72" i="85"/>
  <c r="D119" i="85" s="1"/>
  <c r="F119" i="85" s="1"/>
  <c r="C143" i="85" s="1"/>
  <c r="O70" i="85"/>
  <c r="D117" i="85" s="1"/>
  <c r="F126" i="85"/>
  <c r="N78" i="85"/>
  <c r="I87" i="85"/>
  <c r="C111" i="85"/>
  <c r="E127" i="85"/>
  <c r="C116" i="85"/>
  <c r="O69" i="85"/>
  <c r="D116" i="85" s="1"/>
  <c r="F116" i="85" s="1"/>
  <c r="C140" i="85" s="1"/>
  <c r="F124" i="85"/>
  <c r="C86" i="85"/>
  <c r="C101" i="85" s="1"/>
  <c r="I95" i="85"/>
  <c r="E118" i="85" s="1"/>
  <c r="F118" i="85" s="1"/>
  <c r="C142" i="85" s="1"/>
  <c r="C110" i="85"/>
  <c r="M107" i="86" l="1"/>
  <c r="D109" i="86"/>
  <c r="H113" i="86"/>
  <c r="J110" i="86"/>
  <c r="P107" i="86"/>
  <c r="Q112" i="86"/>
  <c r="J108" i="86"/>
  <c r="H110" i="86"/>
  <c r="Q97" i="86"/>
  <c r="F107" i="86"/>
  <c r="H109" i="86"/>
  <c r="J111" i="86"/>
  <c r="L113" i="86"/>
  <c r="L108" i="86"/>
  <c r="N110" i="86"/>
  <c r="P112" i="86"/>
  <c r="I108" i="86"/>
  <c r="O110" i="86"/>
  <c r="F113" i="86"/>
  <c r="P97" i="86"/>
  <c r="M96" i="86"/>
  <c r="J96" i="86"/>
  <c r="G109" i="86"/>
  <c r="F111" i="86"/>
  <c r="H108" i="86"/>
  <c r="L112" i="86"/>
  <c r="K110" i="86"/>
  <c r="O135" i="85"/>
  <c r="I135" i="85"/>
  <c r="I97" i="86"/>
  <c r="J107" i="86"/>
  <c r="L109" i="86"/>
  <c r="N111" i="86"/>
  <c r="P113" i="86"/>
  <c r="P108" i="86"/>
  <c r="C111" i="86"/>
  <c r="I113" i="86"/>
  <c r="M108" i="86"/>
  <c r="D111" i="86"/>
  <c r="J113" i="86"/>
  <c r="H97" i="86"/>
  <c r="F93" i="86"/>
  <c r="Q96" i="86"/>
  <c r="N96" i="86"/>
  <c r="F108" i="86"/>
  <c r="G113" i="86"/>
  <c r="Q111" i="86"/>
  <c r="E110" i="86"/>
  <c r="I109" i="86"/>
  <c r="F109" i="86"/>
  <c r="J135" i="85"/>
  <c r="P110" i="86"/>
  <c r="N94" i="86"/>
  <c r="G108" i="86"/>
  <c r="I110" i="86"/>
  <c r="K112" i="86"/>
  <c r="K107" i="86"/>
  <c r="M109" i="86"/>
  <c r="O111" i="86"/>
  <c r="D107" i="86"/>
  <c r="J109" i="86"/>
  <c r="P111" i="86"/>
  <c r="M111" i="86"/>
  <c r="M94" i="86"/>
  <c r="C94" i="86"/>
  <c r="K93" i="86"/>
  <c r="K97" i="86"/>
  <c r="Q93" i="86"/>
  <c r="K96" i="86"/>
  <c r="Q94" i="86"/>
  <c r="C108" i="86"/>
  <c r="G107" i="86"/>
  <c r="Q113" i="86"/>
  <c r="N112" i="86"/>
  <c r="H135" i="85"/>
  <c r="O109" i="86"/>
  <c r="F94" i="86"/>
  <c r="F99" i="86" s="1"/>
  <c r="H17" i="89" s="1"/>
  <c r="K108" i="86"/>
  <c r="M110" i="86"/>
  <c r="O112" i="86"/>
  <c r="O107" i="86"/>
  <c r="Q109" i="86"/>
  <c r="D112" i="86"/>
  <c r="H107" i="86"/>
  <c r="N109" i="86"/>
  <c r="E112" i="86"/>
  <c r="L110" i="86"/>
  <c r="E94" i="86"/>
  <c r="E99" i="86" s="1"/>
  <c r="O94" i="86"/>
  <c r="O93" i="86"/>
  <c r="J112" i="86"/>
  <c r="I93" i="86"/>
  <c r="H93" i="86"/>
  <c r="H99" i="86" s="1"/>
  <c r="J17" i="89" s="1"/>
  <c r="G112" i="86"/>
  <c r="K111" i="86"/>
  <c r="L111" i="86"/>
  <c r="E111" i="86"/>
  <c r="L135" i="85"/>
  <c r="N108" i="86"/>
  <c r="M93" i="86"/>
  <c r="O108" i="86"/>
  <c r="Q110" i="86"/>
  <c r="D113" i="86"/>
  <c r="D108" i="86"/>
  <c r="F110" i="86"/>
  <c r="H112" i="86"/>
  <c r="L107" i="86"/>
  <c r="C110" i="86"/>
  <c r="M112" i="86"/>
  <c r="K109" i="86"/>
  <c r="L93" i="86"/>
  <c r="E96" i="86"/>
  <c r="D94" i="86"/>
  <c r="I111" i="86"/>
  <c r="C93" i="86"/>
  <c r="O136" i="85"/>
  <c r="F135" i="85"/>
  <c r="L94" i="86"/>
  <c r="O97" i="86"/>
  <c r="E107" i="86"/>
  <c r="D136" i="85"/>
  <c r="Q136" i="85"/>
  <c r="M135" i="85"/>
  <c r="F136" i="85"/>
  <c r="G94" i="86"/>
  <c r="G99" i="86" s="1"/>
  <c r="I17" i="89" s="1"/>
  <c r="J97" i="86"/>
  <c r="P94" i="86"/>
  <c r="E97" i="86"/>
  <c r="U18" i="86"/>
  <c r="L125" i="86" s="1"/>
  <c r="P136" i="85"/>
  <c r="I136" i="85"/>
  <c r="H136" i="85"/>
  <c r="M136" i="85"/>
  <c r="L136" i="85"/>
  <c r="N135" i="85"/>
  <c r="Q135" i="85"/>
  <c r="K136" i="85"/>
  <c r="E113" i="86"/>
  <c r="E108" i="86"/>
  <c r="G110" i="86"/>
  <c r="I112" i="86"/>
  <c r="I107" i="86"/>
  <c r="D93" i="86"/>
  <c r="K94" i="86"/>
  <c r="K99" i="86" s="1"/>
  <c r="M17" i="89" s="1"/>
  <c r="N97" i="86"/>
  <c r="F96" i="86"/>
  <c r="L96" i="86"/>
  <c r="L99" i="86" s="1"/>
  <c r="N17" i="89" s="1"/>
  <c r="L97" i="86"/>
  <c r="Q107" i="86"/>
  <c r="O113" i="86"/>
  <c r="F112" i="86"/>
  <c r="C109" i="86"/>
  <c r="D97" i="86"/>
  <c r="P93" i="86"/>
  <c r="P99" i="86" s="1"/>
  <c r="R17" i="89" s="1"/>
  <c r="M97" i="86"/>
  <c r="I121" i="86"/>
  <c r="J121" i="86"/>
  <c r="O99" i="86"/>
  <c r="Q17" i="89" s="1"/>
  <c r="O125" i="86"/>
  <c r="L121" i="86"/>
  <c r="M125" i="86"/>
  <c r="N121" i="86"/>
  <c r="C99" i="86"/>
  <c r="K125" i="86"/>
  <c r="M124" i="86"/>
  <c r="O121" i="86"/>
  <c r="P119" i="86"/>
  <c r="P124" i="86"/>
  <c r="J99" i="86"/>
  <c r="L17" i="89" s="1"/>
  <c r="G121" i="86"/>
  <c r="Q99" i="86"/>
  <c r="S17" i="89" s="1"/>
  <c r="M99" i="86"/>
  <c r="O17" i="89" s="1"/>
  <c r="I99" i="86"/>
  <c r="K17" i="89" s="1"/>
  <c r="K137" i="85"/>
  <c r="O137" i="85"/>
  <c r="Q139" i="85"/>
  <c r="E139" i="85"/>
  <c r="D139" i="85"/>
  <c r="K139" i="85"/>
  <c r="G139" i="85"/>
  <c r="K138" i="85"/>
  <c r="K144" i="85"/>
  <c r="L138" i="85"/>
  <c r="J137" i="85"/>
  <c r="H139" i="85"/>
  <c r="O144" i="85"/>
  <c r="N139" i="85"/>
  <c r="L139" i="85"/>
  <c r="M139" i="85"/>
  <c r="J138" i="85"/>
  <c r="I137" i="85"/>
  <c r="O139" i="85"/>
  <c r="I139" i="85"/>
  <c r="F139" i="85"/>
  <c r="J139" i="85"/>
  <c r="P139" i="85"/>
  <c r="M138" i="85"/>
  <c r="L137" i="85"/>
  <c r="E138" i="85"/>
  <c r="I138" i="85"/>
  <c r="P138" i="85"/>
  <c r="H137" i="85"/>
  <c r="F138" i="85"/>
  <c r="Q138" i="85"/>
  <c r="D138" i="85"/>
  <c r="Q144" i="85"/>
  <c r="E137" i="85"/>
  <c r="P137" i="85"/>
  <c r="G137" i="85"/>
  <c r="O138" i="85"/>
  <c r="D137" i="85"/>
  <c r="N137" i="85"/>
  <c r="N138" i="85"/>
  <c r="G138" i="85"/>
  <c r="Q137" i="85"/>
  <c r="M137" i="85"/>
  <c r="F137" i="85"/>
  <c r="D144" i="85"/>
  <c r="E144" i="85"/>
  <c r="F144" i="85"/>
  <c r="F117" i="85"/>
  <c r="C141" i="85" s="1"/>
  <c r="O141" i="85" s="1"/>
  <c r="H144" i="85"/>
  <c r="L144" i="85"/>
  <c r="I144" i="85"/>
  <c r="J144" i="85"/>
  <c r="P144" i="85"/>
  <c r="G144" i="85"/>
  <c r="M144" i="85"/>
  <c r="F127" i="85"/>
  <c r="C146" i="85" s="1"/>
  <c r="Q146" i="85" s="1"/>
  <c r="Q147" i="85" s="1"/>
  <c r="V30" i="87" s="1"/>
  <c r="Q143" i="85"/>
  <c r="M143" i="85"/>
  <c r="I143" i="85"/>
  <c r="E143" i="85"/>
  <c r="P143" i="85"/>
  <c r="L143" i="85"/>
  <c r="H143" i="85"/>
  <c r="D143" i="85"/>
  <c r="N143" i="85"/>
  <c r="F143" i="85"/>
  <c r="K143" i="85"/>
  <c r="J143" i="85"/>
  <c r="O143" i="85"/>
  <c r="G143" i="85"/>
  <c r="C121" i="85"/>
  <c r="C128" i="85" s="1"/>
  <c r="G141" i="85"/>
  <c r="D110" i="85"/>
  <c r="O78" i="85"/>
  <c r="H146" i="85"/>
  <c r="H147" i="85" s="1"/>
  <c r="M30" i="87" s="1"/>
  <c r="E110" i="85"/>
  <c r="E121" i="85" s="1"/>
  <c r="E128" i="85" s="1"/>
  <c r="I101" i="85"/>
  <c r="P142" i="85"/>
  <c r="L142" i="85"/>
  <c r="H142" i="85"/>
  <c r="D142" i="85"/>
  <c r="O142" i="85"/>
  <c r="K142" i="85"/>
  <c r="G142" i="85"/>
  <c r="M142" i="85"/>
  <c r="E142" i="85"/>
  <c r="Q142" i="85"/>
  <c r="J142" i="85"/>
  <c r="I142" i="85"/>
  <c r="N142" i="85"/>
  <c r="F142" i="85"/>
  <c r="N140" i="85"/>
  <c r="J140" i="85"/>
  <c r="F140" i="85"/>
  <c r="Q140" i="85"/>
  <c r="M140" i="85"/>
  <c r="I140" i="85"/>
  <c r="E140" i="85"/>
  <c r="K140" i="85"/>
  <c r="O140" i="85"/>
  <c r="P140" i="85"/>
  <c r="H140" i="85"/>
  <c r="G140" i="85"/>
  <c r="L140" i="85"/>
  <c r="D140" i="85"/>
  <c r="D99" i="86" l="1"/>
  <c r="N99" i="86"/>
  <c r="P17" i="89" s="1"/>
  <c r="Q121" i="86"/>
  <c r="M119" i="86"/>
  <c r="K119" i="86"/>
  <c r="I125" i="86"/>
  <c r="K121" i="86"/>
  <c r="P125" i="86"/>
  <c r="P126" i="86" s="1"/>
  <c r="I119" i="86"/>
  <c r="L124" i="86"/>
  <c r="H125" i="86"/>
  <c r="F125" i="86"/>
  <c r="O124" i="86"/>
  <c r="H124" i="86"/>
  <c r="C125" i="86"/>
  <c r="M121" i="86"/>
  <c r="J124" i="86"/>
  <c r="H121" i="86"/>
  <c r="E124" i="86"/>
  <c r="P121" i="86"/>
  <c r="H119" i="86"/>
  <c r="H126" i="86" s="1"/>
  <c r="J18" i="89" s="1"/>
  <c r="J46" i="89" s="1"/>
  <c r="J44" i="89" s="1"/>
  <c r="L119" i="86"/>
  <c r="C121" i="86"/>
  <c r="Q119" i="86"/>
  <c r="Q126" i="86" s="1"/>
  <c r="S18" i="89" s="1"/>
  <c r="O119" i="86"/>
  <c r="G124" i="86"/>
  <c r="F124" i="86"/>
  <c r="G125" i="86"/>
  <c r="I124" i="86"/>
  <c r="C124" i="86"/>
  <c r="N119" i="86"/>
  <c r="N126" i="86" s="1"/>
  <c r="F119" i="86"/>
  <c r="F121" i="86"/>
  <c r="D121" i="86"/>
  <c r="E119" i="86"/>
  <c r="C119" i="86"/>
  <c r="E125" i="86"/>
  <c r="E121" i="86"/>
  <c r="D124" i="86"/>
  <c r="J119" i="86"/>
  <c r="J126" i="86" s="1"/>
  <c r="D119" i="86"/>
  <c r="J125" i="86"/>
  <c r="D125" i="86"/>
  <c r="N146" i="85"/>
  <c r="N147" i="85" s="1"/>
  <c r="S30" i="87" s="1"/>
  <c r="Q125" i="86"/>
  <c r="N124" i="86"/>
  <c r="G119" i="86"/>
  <c r="G126" i="86" s="1"/>
  <c r="Q124" i="86"/>
  <c r="K124" i="86"/>
  <c r="N125" i="86"/>
  <c r="I45" i="89"/>
  <c r="R45" i="89"/>
  <c r="L45" i="89"/>
  <c r="P146" i="85"/>
  <c r="P147" i="85" s="1"/>
  <c r="U30" i="87" s="1"/>
  <c r="F30" i="87"/>
  <c r="K45" i="89"/>
  <c r="J45" i="89"/>
  <c r="J146" i="85"/>
  <c r="J147" i="85" s="1"/>
  <c r="O30" i="87" s="1"/>
  <c r="O45" i="89"/>
  <c r="L126" i="86"/>
  <c r="P45" i="89"/>
  <c r="H45" i="89"/>
  <c r="Q45" i="89"/>
  <c r="N45" i="89"/>
  <c r="M45" i="89"/>
  <c r="G146" i="85"/>
  <c r="G147" i="85" s="1"/>
  <c r="L30" i="87" s="1"/>
  <c r="S45" i="89"/>
  <c r="I141" i="85"/>
  <c r="D141" i="85"/>
  <c r="L141" i="85"/>
  <c r="F146" i="85"/>
  <c r="F147" i="85" s="1"/>
  <c r="K30" i="87" s="1"/>
  <c r="D146" i="85"/>
  <c r="D147" i="85" s="1"/>
  <c r="I30" i="87" s="1"/>
  <c r="H141" i="85"/>
  <c r="N141" i="85"/>
  <c r="C147" i="85"/>
  <c r="H30" i="87" s="1"/>
  <c r="E146" i="85"/>
  <c r="E147" i="85" s="1"/>
  <c r="J30" i="87" s="1"/>
  <c r="K146" i="85"/>
  <c r="K147" i="85" s="1"/>
  <c r="P30" i="87" s="1"/>
  <c r="L146" i="85"/>
  <c r="L147" i="85" s="1"/>
  <c r="Q30" i="87" s="1"/>
  <c r="E141" i="85"/>
  <c r="Q141" i="85"/>
  <c r="F141" i="85"/>
  <c r="K141" i="85"/>
  <c r="M146" i="85"/>
  <c r="M147" i="85" s="1"/>
  <c r="R30" i="87" s="1"/>
  <c r="I146" i="85"/>
  <c r="I147" i="85" s="1"/>
  <c r="N30" i="87" s="1"/>
  <c r="O146" i="85"/>
  <c r="O147" i="85" s="1"/>
  <c r="T30" i="87" s="1"/>
  <c r="M141" i="85"/>
  <c r="P141" i="85"/>
  <c r="J141" i="85"/>
  <c r="D121" i="85"/>
  <c r="D128" i="85" s="1"/>
  <c r="F110" i="85"/>
  <c r="C126" i="86" l="1"/>
  <c r="C127" i="86" s="1"/>
  <c r="C132" i="86" s="1"/>
  <c r="C141" i="86" s="1"/>
  <c r="J16" i="89"/>
  <c r="I17" i="96" s="1"/>
  <c r="I16" i="96" s="1"/>
  <c r="I19" i="96" s="1"/>
  <c r="D126" i="86"/>
  <c r="D127" i="86" s="1"/>
  <c r="D132" i="86" s="1"/>
  <c r="F126" i="86"/>
  <c r="O126" i="86"/>
  <c r="Q18" i="89" s="1"/>
  <c r="I126" i="86"/>
  <c r="K18" i="89" s="1"/>
  <c r="O127" i="86"/>
  <c r="O132" i="86" s="1"/>
  <c r="O141" i="86" s="1"/>
  <c r="D134" i="86"/>
  <c r="D141" i="86"/>
  <c r="J127" i="86"/>
  <c r="J132" i="86" s="1"/>
  <c r="L18" i="89"/>
  <c r="S46" i="89"/>
  <c r="S44" i="89" s="1"/>
  <c r="S16" i="89"/>
  <c r="R17" i="96" s="1"/>
  <c r="R16" i="96" s="1"/>
  <c r="R19" i="96" s="1"/>
  <c r="K126" i="86"/>
  <c r="M126" i="86"/>
  <c r="H127" i="86"/>
  <c r="H132" i="86" s="1"/>
  <c r="E126" i="86"/>
  <c r="E127" i="86" s="1"/>
  <c r="E132" i="86" s="1"/>
  <c r="E134" i="86" s="1"/>
  <c r="N127" i="86"/>
  <c r="N132" i="86" s="1"/>
  <c r="P18" i="89"/>
  <c r="L127" i="86"/>
  <c r="L132" i="86" s="1"/>
  <c r="N18" i="89"/>
  <c r="G30" i="87"/>
  <c r="F56" i="87"/>
  <c r="G56" i="87" s="1"/>
  <c r="H56" i="87" s="1"/>
  <c r="I56" i="87" s="1"/>
  <c r="J56" i="87" s="1"/>
  <c r="K56" i="87" s="1"/>
  <c r="L56" i="87" s="1"/>
  <c r="M56" i="87" s="1"/>
  <c r="N56" i="87" s="1"/>
  <c r="O56" i="87" s="1"/>
  <c r="P56" i="87" s="1"/>
  <c r="Q56" i="87" s="1"/>
  <c r="R56" i="87" s="1"/>
  <c r="S56" i="87" s="1"/>
  <c r="T56" i="87" s="1"/>
  <c r="U56" i="87" s="1"/>
  <c r="V56" i="87" s="1"/>
  <c r="C134" i="86"/>
  <c r="P127" i="86"/>
  <c r="P132" i="86" s="1"/>
  <c r="R18" i="89"/>
  <c r="F127" i="86"/>
  <c r="F132" i="86" s="1"/>
  <c r="F134" i="86" s="1"/>
  <c r="H18" i="89"/>
  <c r="G127" i="86"/>
  <c r="G132" i="86" s="1"/>
  <c r="G141" i="86" s="1"/>
  <c r="I18" i="89"/>
  <c r="Q127" i="86"/>
  <c r="Q132" i="86" s="1"/>
  <c r="P141" i="86"/>
  <c r="P134" i="86"/>
  <c r="H134" i="86"/>
  <c r="H141" i="86"/>
  <c r="C134" i="85"/>
  <c r="F121" i="85"/>
  <c r="F128" i="85" s="1"/>
  <c r="F141" i="86" l="1"/>
  <c r="K46" i="89"/>
  <c r="K44" i="89" s="1"/>
  <c r="K16" i="89"/>
  <c r="J17" i="96" s="1"/>
  <c r="J16" i="96" s="1"/>
  <c r="J19" i="96" s="1"/>
  <c r="O134" i="86"/>
  <c r="I127" i="86"/>
  <c r="I132" i="86" s="1"/>
  <c r="I134" i="86" s="1"/>
  <c r="L46" i="89"/>
  <c r="L44" i="89" s="1"/>
  <c r="L16" i="89"/>
  <c r="K17" i="96" s="1"/>
  <c r="K16" i="96" s="1"/>
  <c r="K19" i="96" s="1"/>
  <c r="J141" i="86"/>
  <c r="J134" i="86"/>
  <c r="O18" i="89"/>
  <c r="M127" i="86"/>
  <c r="M132" i="86" s="1"/>
  <c r="K127" i="86"/>
  <c r="K132" i="86" s="1"/>
  <c r="M18" i="89"/>
  <c r="E141" i="86"/>
  <c r="Q46" i="89"/>
  <c r="Q44" i="89" s="1"/>
  <c r="Q16" i="89"/>
  <c r="P17" i="96" s="1"/>
  <c r="P16" i="96" s="1"/>
  <c r="P19" i="96" s="1"/>
  <c r="I46" i="89"/>
  <c r="I44" i="89" s="1"/>
  <c r="I16" i="89"/>
  <c r="H17" i="96" s="1"/>
  <c r="H16" i="96" s="1"/>
  <c r="H19" i="96" s="1"/>
  <c r="N46" i="89"/>
  <c r="N44" i="89" s="1"/>
  <c r="N16" i="89"/>
  <c r="M17" i="96" s="1"/>
  <c r="M16" i="96" s="1"/>
  <c r="M19" i="96" s="1"/>
  <c r="G134" i="86"/>
  <c r="Q134" i="86"/>
  <c r="Q141" i="86"/>
  <c r="R46" i="89"/>
  <c r="R44" i="89" s="1"/>
  <c r="R16" i="89"/>
  <c r="Q17" i="96" s="1"/>
  <c r="Q16" i="96" s="1"/>
  <c r="Q19" i="96" s="1"/>
  <c r="L134" i="86"/>
  <c r="L141" i="86"/>
  <c r="P46" i="89"/>
  <c r="P44" i="89" s="1"/>
  <c r="P16" i="89"/>
  <c r="O17" i="96" s="1"/>
  <c r="O16" i="96" s="1"/>
  <c r="O19" i="96" s="1"/>
  <c r="H46" i="89"/>
  <c r="H44" i="89" s="1"/>
  <c r="H16" i="89"/>
  <c r="G17" i="96" s="1"/>
  <c r="G16" i="96" s="1"/>
  <c r="G19" i="96" s="1"/>
  <c r="N141" i="86"/>
  <c r="N134" i="86"/>
  <c r="C145" i="85"/>
  <c r="P134" i="85"/>
  <c r="P145" i="85" s="1"/>
  <c r="L134" i="85"/>
  <c r="L145" i="85" s="1"/>
  <c r="H134" i="85"/>
  <c r="H145" i="85" s="1"/>
  <c r="D134" i="85"/>
  <c r="D145" i="85" s="1"/>
  <c r="O134" i="85"/>
  <c r="O145" i="85" s="1"/>
  <c r="K134" i="85"/>
  <c r="K145" i="85" s="1"/>
  <c r="G134" i="85"/>
  <c r="G145" i="85" s="1"/>
  <c r="M134" i="85"/>
  <c r="M145" i="85" s="1"/>
  <c r="E134" i="85"/>
  <c r="E145" i="85" s="1"/>
  <c r="J134" i="85"/>
  <c r="J145" i="85" s="1"/>
  <c r="N134" i="85"/>
  <c r="N145" i="85" s="1"/>
  <c r="F134" i="85"/>
  <c r="F145" i="85" s="1"/>
  <c r="Q134" i="85"/>
  <c r="Q145" i="85" s="1"/>
  <c r="I134" i="85"/>
  <c r="I145" i="85" s="1"/>
  <c r="I141" i="86" l="1"/>
  <c r="M46" i="89"/>
  <c r="M44" i="89" s="1"/>
  <c r="M16" i="89"/>
  <c r="L17" i="96" s="1"/>
  <c r="L16" i="96" s="1"/>
  <c r="L19" i="96" s="1"/>
  <c r="K141" i="86"/>
  <c r="K134" i="86"/>
  <c r="O46" i="89"/>
  <c r="O44" i="89" s="1"/>
  <c r="O16" i="89"/>
  <c r="N17" i="96" s="1"/>
  <c r="N16" i="96" s="1"/>
  <c r="N19" i="96" s="1"/>
  <c r="M141" i="86"/>
  <c r="M134" i="86"/>
  <c r="K148" i="85"/>
  <c r="P29" i="87"/>
  <c r="P28" i="87" s="1"/>
  <c r="F148" i="85"/>
  <c r="K29" i="87"/>
  <c r="K28" i="87" s="1"/>
  <c r="H148" i="85"/>
  <c r="M29" i="87"/>
  <c r="M28" i="87" s="1"/>
  <c r="I148" i="85"/>
  <c r="N29" i="87"/>
  <c r="N28" i="87" s="1"/>
  <c r="J148" i="85"/>
  <c r="O29" i="87"/>
  <c r="O28" i="87" s="1"/>
  <c r="Q148" i="85"/>
  <c r="V29" i="87"/>
  <c r="V28" i="87" s="1"/>
  <c r="E148" i="85"/>
  <c r="J29" i="87"/>
  <c r="J28" i="87" s="1"/>
  <c r="P148" i="85"/>
  <c r="U29" i="87"/>
  <c r="U28" i="87" s="1"/>
  <c r="N148" i="85"/>
  <c r="S29" i="87"/>
  <c r="S28" i="87" s="1"/>
  <c r="M148" i="85"/>
  <c r="R29" i="87"/>
  <c r="R28" i="87" s="1"/>
  <c r="C148" i="85"/>
  <c r="C153" i="85" s="1"/>
  <c r="Q153" i="85" s="1"/>
  <c r="H29" i="87"/>
  <c r="H28" i="87" s="1"/>
  <c r="F29" i="87"/>
  <c r="O148" i="85"/>
  <c r="T29" i="87"/>
  <c r="T28" i="87" s="1"/>
  <c r="D148" i="85"/>
  <c r="I29" i="87"/>
  <c r="I28" i="87" s="1"/>
  <c r="L148" i="85"/>
  <c r="Q29" i="87"/>
  <c r="Q28" i="87" s="1"/>
  <c r="G148" i="85"/>
  <c r="L29" i="87"/>
  <c r="L28" i="87" s="1"/>
  <c r="D153" i="85"/>
  <c r="G153" i="85"/>
  <c r="O153" i="85"/>
  <c r="N153" i="85"/>
  <c r="F153" i="85"/>
  <c r="M153" i="85" l="1"/>
  <c r="E153" i="85"/>
  <c r="C159" i="85"/>
  <c r="H153" i="85"/>
  <c r="L153" i="85"/>
  <c r="P153" i="85"/>
  <c r="N40" i="87"/>
  <c r="N27" i="87"/>
  <c r="J21" i="96" s="1"/>
  <c r="J20" i="96" s="1"/>
  <c r="J23" i="96" s="1"/>
  <c r="J25" i="96" s="1"/>
  <c r="L27" i="87"/>
  <c r="H21" i="96" s="1"/>
  <c r="H20" i="96" s="1"/>
  <c r="H23" i="96" s="1"/>
  <c r="H25" i="96" s="1"/>
  <c r="L40" i="87"/>
  <c r="H27" i="87"/>
  <c r="D21" i="96" s="1"/>
  <c r="D20" i="96" s="1"/>
  <c r="D23" i="96" s="1"/>
  <c r="H40" i="87"/>
  <c r="M27" i="87"/>
  <c r="I21" i="96" s="1"/>
  <c r="I20" i="96" s="1"/>
  <c r="I23" i="96" s="1"/>
  <c r="I25" i="96" s="1"/>
  <c r="M40" i="87"/>
  <c r="G29" i="87"/>
  <c r="G28" i="87" s="1"/>
  <c r="F28" i="87"/>
  <c r="F55" i="87"/>
  <c r="Q40" i="87"/>
  <c r="Q27" i="87"/>
  <c r="M21" i="96" s="1"/>
  <c r="M20" i="96" s="1"/>
  <c r="M23" i="96" s="1"/>
  <c r="M25" i="96" s="1"/>
  <c r="U40" i="87"/>
  <c r="U27" i="87"/>
  <c r="Q21" i="96" s="1"/>
  <c r="Q20" i="96" s="1"/>
  <c r="Q23" i="96" s="1"/>
  <c r="Q25" i="96" s="1"/>
  <c r="J27" i="87"/>
  <c r="F21" i="96" s="1"/>
  <c r="F20" i="96" s="1"/>
  <c r="F23" i="96" s="1"/>
  <c r="F25" i="96" s="1"/>
  <c r="J40" i="87"/>
  <c r="V40" i="87"/>
  <c r="V27" i="87"/>
  <c r="R21" i="96" s="1"/>
  <c r="R20" i="96" s="1"/>
  <c r="R23" i="96" s="1"/>
  <c r="R25" i="96" s="1"/>
  <c r="K40" i="87"/>
  <c r="K27" i="87"/>
  <c r="G21" i="96" s="1"/>
  <c r="G20" i="96" s="1"/>
  <c r="G23" i="96" s="1"/>
  <c r="G25" i="96" s="1"/>
  <c r="R27" i="87"/>
  <c r="N21" i="96" s="1"/>
  <c r="N20" i="96" s="1"/>
  <c r="N23" i="96" s="1"/>
  <c r="N25" i="96" s="1"/>
  <c r="R40" i="87"/>
  <c r="J153" i="85"/>
  <c r="I153" i="85"/>
  <c r="I40" i="87"/>
  <c r="I27" i="87"/>
  <c r="E21" i="96" s="1"/>
  <c r="E20" i="96" s="1"/>
  <c r="E23" i="96" s="1"/>
  <c r="S27" i="87"/>
  <c r="O21" i="96" s="1"/>
  <c r="O20" i="96" s="1"/>
  <c r="O23" i="96" s="1"/>
  <c r="O25" i="96" s="1"/>
  <c r="S40" i="87"/>
  <c r="O27" i="87"/>
  <c r="K21" i="96" s="1"/>
  <c r="K20" i="96" s="1"/>
  <c r="K23" i="96" s="1"/>
  <c r="K25" i="96" s="1"/>
  <c r="O40" i="87"/>
  <c r="P40" i="87"/>
  <c r="P27" i="87"/>
  <c r="L21" i="96" s="1"/>
  <c r="L20" i="96" s="1"/>
  <c r="L23" i="96" s="1"/>
  <c r="L25" i="96" s="1"/>
  <c r="K153" i="85"/>
  <c r="T40" i="87"/>
  <c r="T27" i="87"/>
  <c r="P21" i="96" s="1"/>
  <c r="P20" i="96" s="1"/>
  <c r="P23" i="96" s="1"/>
  <c r="P25" i="96" s="1"/>
  <c r="O159" i="85"/>
  <c r="K159" i="85"/>
  <c r="G159" i="85"/>
  <c r="N159" i="85"/>
  <c r="J159" i="85"/>
  <c r="F159" i="85"/>
  <c r="M159" i="85"/>
  <c r="E159" i="85"/>
  <c r="Q159" i="85"/>
  <c r="L159" i="85"/>
  <c r="D159" i="85"/>
  <c r="I159" i="85"/>
  <c r="P159" i="85"/>
  <c r="H159" i="85"/>
  <c r="F54" i="87" l="1"/>
  <c r="G55" i="87"/>
  <c r="F40" i="87"/>
  <c r="F27" i="87"/>
  <c r="G40" i="87"/>
  <c r="G27" i="87"/>
  <c r="G86" i="84"/>
  <c r="F86" i="84"/>
  <c r="O86" i="84" s="1"/>
  <c r="E86" i="84"/>
  <c r="N86" i="84" s="1"/>
  <c r="D86" i="84"/>
  <c r="K86" i="84" s="1"/>
  <c r="G85" i="84"/>
  <c r="F85" i="84"/>
  <c r="O85" i="84" s="1"/>
  <c r="E85" i="84"/>
  <c r="N85" i="84" s="1"/>
  <c r="D85" i="84"/>
  <c r="K85" i="84" s="1"/>
  <c r="G84" i="84"/>
  <c r="F84" i="84"/>
  <c r="O84" i="84" s="1"/>
  <c r="E84" i="84"/>
  <c r="N84" i="84" s="1"/>
  <c r="D84" i="84"/>
  <c r="K84" i="84" s="1"/>
  <c r="G83" i="84"/>
  <c r="F83" i="84"/>
  <c r="O83" i="84" s="1"/>
  <c r="E83" i="84"/>
  <c r="N83" i="84" s="1"/>
  <c r="D83" i="84"/>
  <c r="K83" i="84" s="1"/>
  <c r="G82" i="84"/>
  <c r="F82" i="84"/>
  <c r="O82" i="84" s="1"/>
  <c r="E82" i="84"/>
  <c r="N82" i="84" s="1"/>
  <c r="D82" i="84"/>
  <c r="K82" i="84" s="1"/>
  <c r="G81" i="84"/>
  <c r="F81" i="84"/>
  <c r="O81" i="84" s="1"/>
  <c r="E81" i="84"/>
  <c r="N81" i="84" s="1"/>
  <c r="D81" i="84"/>
  <c r="K81" i="84" s="1"/>
  <c r="G80" i="84"/>
  <c r="F80" i="84"/>
  <c r="O80" i="84" s="1"/>
  <c r="E80" i="84"/>
  <c r="N80" i="84" s="1"/>
  <c r="D80" i="84"/>
  <c r="K80" i="84" s="1"/>
  <c r="G79" i="84"/>
  <c r="F79" i="84"/>
  <c r="O79" i="84" s="1"/>
  <c r="E79" i="84"/>
  <c r="N79" i="84" s="1"/>
  <c r="D79" i="84"/>
  <c r="K79" i="84" s="1"/>
  <c r="G87" i="84"/>
  <c r="G75" i="84"/>
  <c r="G76" i="84" s="1"/>
  <c r="P59" i="84"/>
  <c r="E130" i="98" s="1"/>
  <c r="AU130" i="98" s="1"/>
  <c r="P58" i="84"/>
  <c r="P57" i="84"/>
  <c r="P52" i="84"/>
  <c r="P50" i="84"/>
  <c r="P56" i="84"/>
  <c r="P55" i="84"/>
  <c r="O54" i="84"/>
  <c r="P54" i="84" s="1"/>
  <c r="O48" i="84"/>
  <c r="P48" i="84" s="1"/>
  <c r="N47" i="84"/>
  <c r="G47" i="84"/>
  <c r="E102" i="98" s="1"/>
  <c r="N42" i="84"/>
  <c r="G70" i="84"/>
  <c r="O18" i="84"/>
  <c r="P18" i="84" s="1"/>
  <c r="O20" i="84"/>
  <c r="P20" i="84" s="1"/>
  <c r="O19" i="84"/>
  <c r="P19" i="84" s="1"/>
  <c r="O17" i="84"/>
  <c r="P17" i="84" s="1"/>
  <c r="O16" i="84"/>
  <c r="P16" i="84" s="1"/>
  <c r="AU102" i="98" l="1"/>
  <c r="AB102" i="98"/>
  <c r="P53" i="84"/>
  <c r="E121" i="98"/>
  <c r="P82" i="84"/>
  <c r="P49" i="84"/>
  <c r="E126" i="98" s="1"/>
  <c r="P83" i="84"/>
  <c r="P51" i="84"/>
  <c r="E127" i="98" s="1"/>
  <c r="E40" i="98"/>
  <c r="F13" i="102" s="1"/>
  <c r="E81" i="98"/>
  <c r="AU81" i="98" s="1"/>
  <c r="AE102" i="98"/>
  <c r="AD102" i="98"/>
  <c r="AC102" i="98"/>
  <c r="G54" i="87"/>
  <c r="H55" i="87"/>
  <c r="P47" i="84"/>
  <c r="E125" i="98"/>
  <c r="F53" i="87"/>
  <c r="F66" i="87"/>
  <c r="AL130" i="98"/>
  <c r="AM130" i="98"/>
  <c r="AM131" i="98" s="1"/>
  <c r="AN130" i="98"/>
  <c r="AN131" i="98" s="1"/>
  <c r="P85" i="84"/>
  <c r="E129" i="98"/>
  <c r="AU129" i="98" s="1"/>
  <c r="P84" i="84"/>
  <c r="E128" i="98"/>
  <c r="P81" i="84"/>
  <c r="E123" i="98"/>
  <c r="P80" i="84"/>
  <c r="E122" i="98"/>
  <c r="P86" i="84"/>
  <c r="N43" i="84"/>
  <c r="N44" i="84" s="1"/>
  <c r="N45" i="84" s="1"/>
  <c r="N46" i="84" s="1"/>
  <c r="N60" i="84" s="1"/>
  <c r="G42" i="84"/>
  <c r="G68" i="84"/>
  <c r="P41" i="84"/>
  <c r="P79" i="84"/>
  <c r="P75" i="84"/>
  <c r="P76" i="84" s="1"/>
  <c r="AX130" i="98" l="1"/>
  <c r="AY130" i="98" s="1"/>
  <c r="AP102" i="98"/>
  <c r="AX102" i="98"/>
  <c r="AW102" i="98"/>
  <c r="AY102" i="98" s="1"/>
  <c r="G69" i="84"/>
  <c r="G71" i="84" s="1"/>
  <c r="G44" i="84"/>
  <c r="G45" i="84" s="1"/>
  <c r="K121" i="98"/>
  <c r="I121" i="98"/>
  <c r="AV121" i="98" s="1"/>
  <c r="AY121" i="98" s="1"/>
  <c r="J121" i="98"/>
  <c r="L121" i="98"/>
  <c r="N121" i="98"/>
  <c r="M121" i="98"/>
  <c r="M122" i="98"/>
  <c r="J122" i="98"/>
  <c r="N122" i="98"/>
  <c r="L122" i="98"/>
  <c r="K122" i="98"/>
  <c r="I122" i="98"/>
  <c r="AP130" i="98"/>
  <c r="AL131" i="98"/>
  <c r="AU128" i="98"/>
  <c r="V128" i="98"/>
  <c r="Z128" i="98"/>
  <c r="AD128" i="98"/>
  <c r="AX128" i="98" s="1"/>
  <c r="Y128" i="98"/>
  <c r="W128" i="98"/>
  <c r="AA128" i="98"/>
  <c r="AE128" i="98"/>
  <c r="U128" i="98"/>
  <c r="X128" i="98"/>
  <c r="AB128" i="98"/>
  <c r="T128" i="98"/>
  <c r="AC128" i="98"/>
  <c r="AU40" i="98"/>
  <c r="E60" i="98"/>
  <c r="AU60" i="98" s="1"/>
  <c r="AU126" i="98"/>
  <c r="AU64" i="98"/>
  <c r="AU125" i="98"/>
  <c r="AU63" i="98"/>
  <c r="AU123" i="98"/>
  <c r="AU61" i="98"/>
  <c r="AU127" i="98"/>
  <c r="AU65" i="98"/>
  <c r="AU121" i="98"/>
  <c r="AU122" i="98"/>
  <c r="AE129" i="98"/>
  <c r="AB129" i="98"/>
  <c r="V129" i="98"/>
  <c r="W129" i="98"/>
  <c r="X129" i="98"/>
  <c r="Y129" i="98"/>
  <c r="AC129" i="98"/>
  <c r="Z129" i="98"/>
  <c r="AD129" i="98"/>
  <c r="AX129" i="98" s="1"/>
  <c r="AA129" i="98"/>
  <c r="U129" i="98"/>
  <c r="T129" i="98"/>
  <c r="AE125" i="98"/>
  <c r="AC125" i="98"/>
  <c r="AD125" i="98"/>
  <c r="AX125" i="98" s="1"/>
  <c r="AB125" i="98"/>
  <c r="AW125" i="98" s="1"/>
  <c r="AY125" i="98" s="1"/>
  <c r="AE127" i="98"/>
  <c r="AH127" i="98"/>
  <c r="AH131" i="98" s="1"/>
  <c r="AG127" i="98"/>
  <c r="AD127" i="98"/>
  <c r="AJ127" i="98"/>
  <c r="AJ131" i="98" s="1"/>
  <c r="AI127" i="98"/>
  <c r="AI131" i="98" s="1"/>
  <c r="AC127" i="98"/>
  <c r="AW127" i="98" s="1"/>
  <c r="AF127" i="98"/>
  <c r="AK127" i="98"/>
  <c r="AK131" i="98" s="1"/>
  <c r="G53" i="87"/>
  <c r="G66" i="87"/>
  <c r="H54" i="87"/>
  <c r="I55" i="87"/>
  <c r="AG126" i="98"/>
  <c r="AD126" i="98"/>
  <c r="AF126" i="98"/>
  <c r="AF131" i="98" s="1"/>
  <c r="AE126" i="98"/>
  <c r="M123" i="98"/>
  <c r="L123" i="98"/>
  <c r="P42" i="84"/>
  <c r="P69" i="84" s="1"/>
  <c r="P43" i="84"/>
  <c r="P70" i="84" s="1"/>
  <c r="P68" i="84"/>
  <c r="P87" i="84"/>
  <c r="AX126" i="98" l="1"/>
  <c r="AY126" i="98" s="1"/>
  <c r="AY127" i="98"/>
  <c r="AP128" i="98"/>
  <c r="AW128" i="98"/>
  <c r="AY128" i="98" s="1"/>
  <c r="AG131" i="98"/>
  <c r="AP123" i="98"/>
  <c r="AV123" i="98"/>
  <c r="AY123" i="98" s="1"/>
  <c r="AV122" i="98"/>
  <c r="AY122" i="98" s="1"/>
  <c r="AX127" i="98"/>
  <c r="AW129" i="98"/>
  <c r="AY129" i="98" s="1"/>
  <c r="AP126" i="98"/>
  <c r="AP129" i="98"/>
  <c r="AP122" i="98"/>
  <c r="AP127" i="98"/>
  <c r="AP121" i="98"/>
  <c r="AP125" i="98"/>
  <c r="H131" i="98"/>
  <c r="J55" i="87"/>
  <c r="I54" i="87"/>
  <c r="H66" i="87"/>
  <c r="H53" i="87"/>
  <c r="D43" i="96" s="1"/>
  <c r="D42" i="96" s="1"/>
  <c r="D45" i="96" s="1"/>
  <c r="I131" i="98"/>
  <c r="G131" i="98"/>
  <c r="F131" i="98"/>
  <c r="P44" i="84"/>
  <c r="P45" i="84" s="1"/>
  <c r="P72" i="84" s="1"/>
  <c r="G72" i="84"/>
  <c r="G73" i="84" s="1"/>
  <c r="G88" i="84" s="1"/>
  <c r="P71" i="84"/>
  <c r="I66" i="87" l="1"/>
  <c r="I53" i="87"/>
  <c r="E43" i="96" s="1"/>
  <c r="E42" i="96" s="1"/>
  <c r="E45" i="96" s="1"/>
  <c r="K55" i="87"/>
  <c r="J54" i="87"/>
  <c r="G46" i="84"/>
  <c r="P73" i="84"/>
  <c r="P88" i="84" s="1"/>
  <c r="P46" i="84"/>
  <c r="E101" i="98" l="1"/>
  <c r="AU101" i="98" s="1"/>
  <c r="AU108" i="98" s="1"/>
  <c r="G60" i="84"/>
  <c r="J66" i="87"/>
  <c r="J53" i="87"/>
  <c r="F43" i="96" s="1"/>
  <c r="F42" i="96" s="1"/>
  <c r="F45" i="96" s="1"/>
  <c r="L55" i="87"/>
  <c r="K54" i="87"/>
  <c r="E124" i="98"/>
  <c r="P60" i="84"/>
  <c r="S220" i="46"/>
  <c r="R220" i="46"/>
  <c r="Q220" i="46"/>
  <c r="P220" i="46"/>
  <c r="O220" i="46"/>
  <c r="N220" i="46"/>
  <c r="M220" i="46"/>
  <c r="L220" i="46"/>
  <c r="K220" i="46"/>
  <c r="J220" i="46"/>
  <c r="I220" i="46"/>
  <c r="H220" i="46"/>
  <c r="S217" i="46"/>
  <c r="R217" i="46"/>
  <c r="Q217" i="46"/>
  <c r="P217" i="46"/>
  <c r="O217" i="46"/>
  <c r="N217" i="46"/>
  <c r="M217" i="46"/>
  <c r="L217" i="46"/>
  <c r="K217" i="46"/>
  <c r="J217" i="46"/>
  <c r="I217" i="46"/>
  <c r="H217" i="46"/>
  <c r="S213" i="46"/>
  <c r="R213" i="46"/>
  <c r="Q213" i="46"/>
  <c r="P213" i="46"/>
  <c r="O213" i="46"/>
  <c r="N213" i="46"/>
  <c r="M213" i="46"/>
  <c r="L213" i="46"/>
  <c r="K213" i="46"/>
  <c r="J213" i="46"/>
  <c r="I213" i="46"/>
  <c r="H213" i="46"/>
  <c r="N206" i="46"/>
  <c r="S204" i="46"/>
  <c r="R204" i="46"/>
  <c r="Q204" i="46"/>
  <c r="P204" i="46"/>
  <c r="O204" i="46"/>
  <c r="N204" i="46"/>
  <c r="M204" i="46"/>
  <c r="L204" i="46"/>
  <c r="K204" i="46"/>
  <c r="J204" i="46"/>
  <c r="I204" i="46"/>
  <c r="H204" i="46"/>
  <c r="S203" i="46"/>
  <c r="R203" i="46"/>
  <c r="Q203" i="46"/>
  <c r="P203" i="46"/>
  <c r="O203" i="46"/>
  <c r="N203" i="46"/>
  <c r="M203" i="46"/>
  <c r="L203" i="46"/>
  <c r="K203" i="46"/>
  <c r="J203" i="46"/>
  <c r="I203" i="46"/>
  <c r="H203" i="46"/>
  <c r="S202" i="46"/>
  <c r="R202" i="46"/>
  <c r="Q202" i="46"/>
  <c r="P202" i="46"/>
  <c r="O202" i="46"/>
  <c r="N202" i="46"/>
  <c r="M202" i="46"/>
  <c r="L202" i="46"/>
  <c r="K202" i="46"/>
  <c r="J202" i="46"/>
  <c r="I202" i="46"/>
  <c r="H202" i="46"/>
  <c r="S201" i="46"/>
  <c r="R201" i="46"/>
  <c r="Q201" i="46"/>
  <c r="P201" i="46"/>
  <c r="O201" i="46"/>
  <c r="N201" i="46"/>
  <c r="M201" i="46"/>
  <c r="L201" i="46"/>
  <c r="K201" i="46"/>
  <c r="J201" i="46"/>
  <c r="I201" i="46"/>
  <c r="H201" i="46"/>
  <c r="S199" i="46"/>
  <c r="R199" i="46"/>
  <c r="Q199" i="46"/>
  <c r="P199" i="46"/>
  <c r="O199" i="46"/>
  <c r="N199" i="46"/>
  <c r="M199" i="46"/>
  <c r="L199" i="46"/>
  <c r="K199" i="46"/>
  <c r="J199" i="46"/>
  <c r="I199" i="46"/>
  <c r="H199" i="46"/>
  <c r="S198" i="46"/>
  <c r="R198" i="46"/>
  <c r="Q198" i="46"/>
  <c r="P198" i="46"/>
  <c r="O198" i="46"/>
  <c r="N198" i="46"/>
  <c r="M198" i="46"/>
  <c r="L198" i="46"/>
  <c r="K198" i="46"/>
  <c r="J198" i="46"/>
  <c r="I198" i="46"/>
  <c r="H198" i="46"/>
  <c r="S197" i="46"/>
  <c r="R197" i="46"/>
  <c r="Q197" i="46"/>
  <c r="P197" i="46"/>
  <c r="O197" i="46"/>
  <c r="N197" i="46"/>
  <c r="M197" i="46"/>
  <c r="L197" i="46"/>
  <c r="K197" i="46"/>
  <c r="J197" i="46"/>
  <c r="I197" i="46"/>
  <c r="H197" i="46"/>
  <c r="S195" i="46"/>
  <c r="R195" i="46"/>
  <c r="Q195" i="46"/>
  <c r="P195" i="46"/>
  <c r="O195" i="46"/>
  <c r="N195" i="46"/>
  <c r="M195" i="46"/>
  <c r="L195" i="46"/>
  <c r="K195" i="46"/>
  <c r="J195" i="46"/>
  <c r="I195" i="46"/>
  <c r="H195" i="46"/>
  <c r="D39" i="46"/>
  <c r="E39" i="46"/>
  <c r="F39" i="46"/>
  <c r="G39" i="46"/>
  <c r="H39" i="46"/>
  <c r="I39" i="46"/>
  <c r="J39" i="46"/>
  <c r="K39" i="46"/>
  <c r="L39" i="46"/>
  <c r="M39" i="46"/>
  <c r="N39" i="46"/>
  <c r="O39" i="46"/>
  <c r="P39" i="46"/>
  <c r="Q39" i="46"/>
  <c r="R39" i="46"/>
  <c r="S39" i="46"/>
  <c r="D40" i="46"/>
  <c r="E40" i="46"/>
  <c r="F40" i="46"/>
  <c r="G40" i="46"/>
  <c r="H40" i="46"/>
  <c r="I40" i="46"/>
  <c r="J40" i="46"/>
  <c r="K40" i="46"/>
  <c r="L40" i="46"/>
  <c r="M40" i="46"/>
  <c r="N40" i="46"/>
  <c r="O40" i="46"/>
  <c r="P40" i="46"/>
  <c r="Q40" i="46"/>
  <c r="R40" i="46"/>
  <c r="S40" i="46"/>
  <c r="D41" i="46"/>
  <c r="E41" i="46"/>
  <c r="F41" i="46"/>
  <c r="G41" i="46"/>
  <c r="H41" i="46"/>
  <c r="I41" i="46"/>
  <c r="J41" i="46"/>
  <c r="K41" i="46"/>
  <c r="L41" i="46"/>
  <c r="M41" i="46"/>
  <c r="N41" i="46"/>
  <c r="O41" i="46"/>
  <c r="P41" i="46"/>
  <c r="Q41" i="46"/>
  <c r="R41" i="46"/>
  <c r="S41" i="46"/>
  <c r="D42" i="46"/>
  <c r="E42" i="46"/>
  <c r="F42" i="46"/>
  <c r="G42" i="46"/>
  <c r="H42" i="46"/>
  <c r="I42" i="46"/>
  <c r="J42" i="46"/>
  <c r="K42" i="46"/>
  <c r="L42" i="46"/>
  <c r="M42" i="46"/>
  <c r="N42" i="46"/>
  <c r="O42" i="46"/>
  <c r="P42" i="46"/>
  <c r="Q42" i="46"/>
  <c r="R42" i="46"/>
  <c r="S42" i="46"/>
  <c r="C40" i="46"/>
  <c r="C41" i="46"/>
  <c r="C42" i="46"/>
  <c r="C38" i="46"/>
  <c r="D38" i="46"/>
  <c r="E38" i="46"/>
  <c r="F38" i="46"/>
  <c r="G38" i="46"/>
  <c r="C39" i="46"/>
  <c r="C44" i="46"/>
  <c r="D44" i="46"/>
  <c r="E44" i="46"/>
  <c r="F44" i="46"/>
  <c r="G44" i="46"/>
  <c r="C45" i="46"/>
  <c r="D45" i="46"/>
  <c r="E45" i="46"/>
  <c r="F45" i="46"/>
  <c r="G45" i="46"/>
  <c r="C46" i="46"/>
  <c r="D46" i="46"/>
  <c r="E46" i="46"/>
  <c r="F46" i="46"/>
  <c r="G46" i="46"/>
  <c r="C47" i="46"/>
  <c r="D47" i="46"/>
  <c r="E47" i="46"/>
  <c r="F47" i="46"/>
  <c r="G47" i="46"/>
  <c r="C48" i="46"/>
  <c r="D48" i="46"/>
  <c r="E48" i="46"/>
  <c r="F48" i="46"/>
  <c r="G48" i="46"/>
  <c r="C49" i="46"/>
  <c r="D49" i="46"/>
  <c r="E49" i="46"/>
  <c r="F49" i="46"/>
  <c r="G49" i="46"/>
  <c r="C50" i="46"/>
  <c r="D50" i="46"/>
  <c r="E50" i="46"/>
  <c r="F50" i="46"/>
  <c r="G50" i="46"/>
  <c r="C52" i="46"/>
  <c r="D52" i="46"/>
  <c r="E52" i="46"/>
  <c r="F52" i="46"/>
  <c r="G52" i="46"/>
  <c r="C54" i="46"/>
  <c r="D54" i="46"/>
  <c r="E54" i="46"/>
  <c r="F54" i="46"/>
  <c r="G54" i="46"/>
  <c r="C56" i="46"/>
  <c r="D56" i="46"/>
  <c r="E56" i="46"/>
  <c r="F56" i="46"/>
  <c r="G56" i="46"/>
  <c r="C58" i="46"/>
  <c r="D58" i="46"/>
  <c r="E58" i="46"/>
  <c r="F58" i="46"/>
  <c r="G58" i="46"/>
  <c r="C59" i="46"/>
  <c r="D59" i="46"/>
  <c r="E59" i="46"/>
  <c r="F59" i="46"/>
  <c r="G59" i="46"/>
  <c r="C60" i="46"/>
  <c r="D60" i="46"/>
  <c r="E60" i="46"/>
  <c r="F60" i="46"/>
  <c r="G60" i="46"/>
  <c r="C61" i="46"/>
  <c r="D61" i="46"/>
  <c r="E61" i="46"/>
  <c r="F61" i="46"/>
  <c r="G61" i="46"/>
  <c r="C62" i="46"/>
  <c r="D62" i="46"/>
  <c r="E62" i="46"/>
  <c r="F62" i="46"/>
  <c r="G62" i="46"/>
  <c r="H38" i="46"/>
  <c r="I38" i="46"/>
  <c r="J38" i="46"/>
  <c r="K38" i="46"/>
  <c r="L38" i="46"/>
  <c r="M38" i="46"/>
  <c r="N38" i="46"/>
  <c r="O38" i="46"/>
  <c r="P38" i="46"/>
  <c r="Q38" i="46"/>
  <c r="R38" i="46"/>
  <c r="S38" i="46"/>
  <c r="D63" i="46" l="1"/>
  <c r="AU124" i="98"/>
  <c r="AE124" i="98"/>
  <c r="AC124" i="98"/>
  <c r="W124" i="98"/>
  <c r="AA124" i="98"/>
  <c r="AD124" i="98"/>
  <c r="V124" i="98"/>
  <c r="Y124" i="98"/>
  <c r="AB124" i="98"/>
  <c r="AB131" i="98" s="1"/>
  <c r="U124" i="98"/>
  <c r="K131" i="98" s="1"/>
  <c r="T124" i="98"/>
  <c r="Z124" i="98"/>
  <c r="AU131" i="98"/>
  <c r="X124" i="98"/>
  <c r="X131" i="98" s="1"/>
  <c r="E131" i="98"/>
  <c r="K66" i="87"/>
  <c r="K53" i="87"/>
  <c r="G43" i="96" s="1"/>
  <c r="G42" i="96" s="1"/>
  <c r="G45" i="96" s="1"/>
  <c r="F63" i="46"/>
  <c r="L54" i="87"/>
  <c r="M55" i="87"/>
  <c r="E80" i="98"/>
  <c r="E39" i="98"/>
  <c r="AB101" i="98"/>
  <c r="AB108" i="98" s="1"/>
  <c r="T101" i="98"/>
  <c r="AA101" i="98"/>
  <c r="AA108" i="98" s="1"/>
  <c r="Z101" i="98"/>
  <c r="Z108" i="98" s="1"/>
  <c r="E108" i="98"/>
  <c r="Y101" i="98"/>
  <c r="Y108" i="98" s="1"/>
  <c r="X101" i="98"/>
  <c r="X108" i="98" s="1"/>
  <c r="AE101" i="98"/>
  <c r="AE108" i="98" s="1"/>
  <c r="W101" i="98"/>
  <c r="W108" i="98" s="1"/>
  <c r="AD101" i="98"/>
  <c r="V101" i="98"/>
  <c r="AC101" i="98"/>
  <c r="AC108" i="98" s="1"/>
  <c r="U101" i="98"/>
  <c r="E63" i="46"/>
  <c r="G63" i="46"/>
  <c r="C63" i="46"/>
  <c r="AX124" i="98" l="1"/>
  <c r="AX131" i="98" s="1"/>
  <c r="F36" i="96" s="1"/>
  <c r="F35" i="96" s="1"/>
  <c r="F41" i="96" s="1"/>
  <c r="F47" i="96" s="1"/>
  <c r="AW101" i="98"/>
  <c r="AD108" i="98"/>
  <c r="AX101" i="98"/>
  <c r="AX108" i="98" s="1"/>
  <c r="AX132" i="98"/>
  <c r="AW124" i="98"/>
  <c r="E59" i="98"/>
  <c r="AU59" i="98" s="1"/>
  <c r="F12" i="102"/>
  <c r="F22" i="102" s="1"/>
  <c r="AW108" i="98"/>
  <c r="AP101" i="98"/>
  <c r="P131" i="98"/>
  <c r="Z131" i="98"/>
  <c r="Z132" i="98" s="1"/>
  <c r="O131" i="98"/>
  <c r="Y131" i="98"/>
  <c r="Y132" i="98" s="1"/>
  <c r="M131" i="98"/>
  <c r="M132" i="98" s="1"/>
  <c r="W131" i="98"/>
  <c r="W132" i="98" s="1"/>
  <c r="AP124" i="98"/>
  <c r="L131" i="98"/>
  <c r="L132" i="98" s="1"/>
  <c r="V131" i="98"/>
  <c r="V132" i="98" s="1"/>
  <c r="S131" i="98"/>
  <c r="S132" i="98" s="1"/>
  <c r="AC131" i="98"/>
  <c r="AC132" i="98" s="1"/>
  <c r="T131" i="98"/>
  <c r="T132" i="98" s="1"/>
  <c r="AD131" i="98"/>
  <c r="AD132" i="98" s="1"/>
  <c r="U131" i="98"/>
  <c r="AE131" i="98"/>
  <c r="AE132" i="98" s="1"/>
  <c r="Q131" i="98"/>
  <c r="Q132" i="98" s="1"/>
  <c r="AA131" i="98"/>
  <c r="AI109" i="98"/>
  <c r="AM109" i="98"/>
  <c r="AL109" i="98"/>
  <c r="AO109" i="98"/>
  <c r="AF109" i="98"/>
  <c r="AJ109" i="98"/>
  <c r="AN109" i="98"/>
  <c r="AH109" i="98"/>
  <c r="AG109" i="98"/>
  <c r="AK109" i="98"/>
  <c r="AA109" i="98"/>
  <c r="AB109" i="98"/>
  <c r="Y109" i="98"/>
  <c r="Z109" i="98"/>
  <c r="AC109" i="98"/>
  <c r="AE109" i="98"/>
  <c r="AD109" i="98"/>
  <c r="K132" i="98"/>
  <c r="O132" i="98"/>
  <c r="AG132" i="98"/>
  <c r="AL132" i="98"/>
  <c r="P132" i="98"/>
  <c r="AH132" i="98"/>
  <c r="AM132" i="98"/>
  <c r="AI132" i="98"/>
  <c r="AO132" i="98"/>
  <c r="AK132" i="98"/>
  <c r="AN132" i="98"/>
  <c r="AJ132" i="98"/>
  <c r="AF132" i="98"/>
  <c r="AA132" i="98"/>
  <c r="X132" i="98"/>
  <c r="AB132" i="98"/>
  <c r="U132" i="98"/>
  <c r="AU62" i="98"/>
  <c r="E87" i="98"/>
  <c r="AU80" i="98"/>
  <c r="AW47" i="98"/>
  <c r="R131" i="98"/>
  <c r="R132" i="98" s="1"/>
  <c r="E46" i="98"/>
  <c r="C8" i="106" s="1"/>
  <c r="AU39" i="98"/>
  <c r="AU46" i="98" s="1"/>
  <c r="T39" i="98"/>
  <c r="J108" i="98"/>
  <c r="V108" i="98"/>
  <c r="AB39" i="98"/>
  <c r="I132" i="98"/>
  <c r="H132" i="98"/>
  <c r="F132" i="98"/>
  <c r="G132" i="98"/>
  <c r="N131" i="98"/>
  <c r="N132" i="98" s="1"/>
  <c r="V39" i="98"/>
  <c r="L108" i="98"/>
  <c r="AA39" i="98"/>
  <c r="M108" i="98"/>
  <c r="W39" i="98"/>
  <c r="AE39" i="98"/>
  <c r="U108" i="98"/>
  <c r="X39" i="98"/>
  <c r="N108" i="98"/>
  <c r="Y39" i="98"/>
  <c r="N55" i="87"/>
  <c r="M54" i="87"/>
  <c r="T108" i="98"/>
  <c r="AD39" i="98"/>
  <c r="AX39" i="98" s="1"/>
  <c r="U39" i="98"/>
  <c r="K108" i="98"/>
  <c r="H109" i="98"/>
  <c r="G109" i="98"/>
  <c r="F109" i="98"/>
  <c r="X109" i="98"/>
  <c r="W109" i="98"/>
  <c r="I109" i="98"/>
  <c r="L66" i="87"/>
  <c r="L53" i="87"/>
  <c r="H43" i="96" s="1"/>
  <c r="H42" i="96" s="1"/>
  <c r="H45" i="96" s="1"/>
  <c r="J131" i="98"/>
  <c r="J132" i="98" s="1"/>
  <c r="AC39" i="98"/>
  <c r="Z39" i="98"/>
  <c r="D253" i="46"/>
  <c r="D192" i="46"/>
  <c r="D130" i="46"/>
  <c r="D68" i="46"/>
  <c r="D7" i="46"/>
  <c r="D59" i="48"/>
  <c r="D37" i="50"/>
  <c r="D5" i="50"/>
  <c r="H5" i="51"/>
  <c r="I5" i="51" s="1"/>
  <c r="J5" i="51" s="1"/>
  <c r="K5" i="51" s="1"/>
  <c r="L5" i="51" s="1"/>
  <c r="M5" i="51" s="1"/>
  <c r="N5" i="51" s="1"/>
  <c r="O5" i="51" s="1"/>
  <c r="P5" i="51" s="1"/>
  <c r="Q5" i="51" s="1"/>
  <c r="R5" i="51" s="1"/>
  <c r="S5" i="51" s="1"/>
  <c r="T5" i="51" s="1"/>
  <c r="U5" i="51" s="1"/>
  <c r="F6" i="51"/>
  <c r="G6" i="51" s="1"/>
  <c r="H6" i="51" s="1"/>
  <c r="I6" i="51" s="1"/>
  <c r="J6" i="51" s="1"/>
  <c r="K6" i="51" s="1"/>
  <c r="L6" i="51" s="1"/>
  <c r="M6" i="51" s="1"/>
  <c r="N6" i="51" s="1"/>
  <c r="O6" i="51" s="1"/>
  <c r="P6" i="51" s="1"/>
  <c r="Q6" i="51" s="1"/>
  <c r="R6" i="51" s="1"/>
  <c r="S6" i="51" s="1"/>
  <c r="T6" i="51" s="1"/>
  <c r="U6" i="51" s="1"/>
  <c r="AA8" i="41"/>
  <c r="AB8" i="41" s="1"/>
  <c r="AC8" i="41" s="1"/>
  <c r="AD8" i="41" s="1"/>
  <c r="AE8" i="41" s="1"/>
  <c r="AF8" i="41" s="1"/>
  <c r="AG8" i="41" s="1"/>
  <c r="AH8" i="41" s="1"/>
  <c r="AI8" i="41" s="1"/>
  <c r="AJ8" i="41" s="1"/>
  <c r="AK8" i="41" s="1"/>
  <c r="AL8" i="41" s="1"/>
  <c r="AM8" i="41" s="1"/>
  <c r="AN8" i="41" s="1"/>
  <c r="AO8" i="41" s="1"/>
  <c r="AP8" i="41" s="1"/>
  <c r="G13" i="81"/>
  <c r="G14" i="81"/>
  <c r="G15" i="81"/>
  <c r="G16" i="81"/>
  <c r="G17" i="81"/>
  <c r="G18" i="81"/>
  <c r="G19" i="81"/>
  <c r="G21" i="81"/>
  <c r="G23" i="81"/>
  <c r="G28" i="81"/>
  <c r="G30" i="81"/>
  <c r="G31" i="81"/>
  <c r="G32" i="81"/>
  <c r="G34" i="81"/>
  <c r="G35" i="81"/>
  <c r="G36" i="81"/>
  <c r="G37" i="81"/>
  <c r="G38" i="81"/>
  <c r="G40" i="81"/>
  <c r="G41" i="81"/>
  <c r="G42" i="81"/>
  <c r="G43" i="81"/>
  <c r="G44" i="81"/>
  <c r="G46" i="81"/>
  <c r="G48" i="81"/>
  <c r="G49" i="81"/>
  <c r="G50" i="81"/>
  <c r="G51" i="81"/>
  <c r="G52" i="81"/>
  <c r="G53" i="81"/>
  <c r="G54" i="81"/>
  <c r="G12" i="81"/>
  <c r="G7" i="81"/>
  <c r="G8" i="81"/>
  <c r="G9" i="81"/>
  <c r="G10" i="81"/>
  <c r="G6" i="81"/>
  <c r="E142" i="80"/>
  <c r="E143" i="80"/>
  <c r="E141" i="80"/>
  <c r="E149" i="80"/>
  <c r="E148" i="80"/>
  <c r="E147" i="80"/>
  <c r="M100" i="80"/>
  <c r="M99" i="80"/>
  <c r="M98" i="80"/>
  <c r="M97" i="80"/>
  <c r="M96" i="80"/>
  <c r="M95" i="80"/>
  <c r="M94" i="80"/>
  <c r="G94" i="80"/>
  <c r="G96" i="80" s="1"/>
  <c r="M93" i="80"/>
  <c r="N93" i="80" s="1"/>
  <c r="M92" i="80"/>
  <c r="N92" i="80" s="1"/>
  <c r="M91" i="80"/>
  <c r="N91" i="80" s="1"/>
  <c r="M90" i="80"/>
  <c r="N90" i="80" s="1"/>
  <c r="M89" i="80"/>
  <c r="N89" i="80" s="1"/>
  <c r="M88" i="80"/>
  <c r="N88" i="80" s="1"/>
  <c r="M87" i="80"/>
  <c r="N87" i="80" s="1"/>
  <c r="M86" i="80"/>
  <c r="N86" i="80" s="1"/>
  <c r="M85" i="80"/>
  <c r="N85" i="80" s="1"/>
  <c r="M84" i="80"/>
  <c r="N84" i="80" s="1"/>
  <c r="M83" i="80"/>
  <c r="N83" i="80" s="1"/>
  <c r="M82" i="80"/>
  <c r="N82" i="80" s="1"/>
  <c r="M81" i="80"/>
  <c r="N81" i="80" s="1"/>
  <c r="M80" i="80"/>
  <c r="N80" i="80" s="1"/>
  <c r="M79" i="80"/>
  <c r="N79" i="80" s="1"/>
  <c r="M78" i="80"/>
  <c r="N78" i="80" s="1"/>
  <c r="M77" i="80"/>
  <c r="N77" i="80" s="1"/>
  <c r="M76" i="80"/>
  <c r="N76" i="80" s="1"/>
  <c r="M75" i="80"/>
  <c r="N75" i="80" s="1"/>
  <c r="M74" i="80"/>
  <c r="N74" i="80" s="1"/>
  <c r="M73" i="80"/>
  <c r="N73" i="80" s="1"/>
  <c r="M72" i="80"/>
  <c r="N72" i="80" s="1"/>
  <c r="M71" i="80"/>
  <c r="N71" i="80" s="1"/>
  <c r="H130" i="80" s="1"/>
  <c r="G27" i="81" s="1"/>
  <c r="M70" i="80"/>
  <c r="N70" i="80" s="1"/>
  <c r="H129" i="80" s="1"/>
  <c r="M69" i="80"/>
  <c r="N69" i="80" s="1"/>
  <c r="H128" i="80" s="1"/>
  <c r="G25" i="81" s="1"/>
  <c r="M68" i="80"/>
  <c r="N68" i="80" s="1"/>
  <c r="H127" i="80" s="1"/>
  <c r="G24" i="81" s="1"/>
  <c r="M67" i="80"/>
  <c r="N67" i="80" s="1"/>
  <c r="M66" i="80"/>
  <c r="N66" i="80" s="1"/>
  <c r="M65" i="80"/>
  <c r="N65" i="80" s="1"/>
  <c r="M64" i="80"/>
  <c r="N64" i="80" s="1"/>
  <c r="M63" i="80"/>
  <c r="N63" i="80" s="1"/>
  <c r="M62" i="80"/>
  <c r="M61" i="80"/>
  <c r="M60" i="80"/>
  <c r="M59" i="80"/>
  <c r="M58" i="80"/>
  <c r="M57" i="80"/>
  <c r="M56" i="80"/>
  <c r="M55" i="80"/>
  <c r="M54" i="80"/>
  <c r="M53" i="80"/>
  <c r="M52" i="80"/>
  <c r="M51" i="80"/>
  <c r="M50" i="80"/>
  <c r="M49" i="80"/>
  <c r="M48" i="80"/>
  <c r="M47" i="80"/>
  <c r="M46" i="80"/>
  <c r="M45" i="80"/>
  <c r="M44" i="80"/>
  <c r="M43" i="80"/>
  <c r="M42" i="80"/>
  <c r="G43" i="80"/>
  <c r="AY101" i="98" l="1"/>
  <c r="T47" i="98"/>
  <c r="AP131" i="98"/>
  <c r="AP132" i="98" s="1"/>
  <c r="M47" i="98"/>
  <c r="AY124" i="98"/>
  <c r="AW131" i="98"/>
  <c r="L47" i="98"/>
  <c r="V47" i="98"/>
  <c r="AE47" i="98"/>
  <c r="N47" i="98"/>
  <c r="J47" i="98"/>
  <c r="X47" i="98"/>
  <c r="K47" i="98"/>
  <c r="AW39" i="98"/>
  <c r="AY39" i="98" s="1"/>
  <c r="E66" i="98"/>
  <c r="K56" i="98" s="1"/>
  <c r="AX47" i="98"/>
  <c r="AX109" i="98"/>
  <c r="F14" i="96"/>
  <c r="H125" i="80"/>
  <c r="G22" i="81" s="1"/>
  <c r="U47" i="98"/>
  <c r="AU66" i="98"/>
  <c r="AW109" i="98"/>
  <c r="E14" i="96"/>
  <c r="AO47" i="98"/>
  <c r="P47" i="98"/>
  <c r="R47" i="98"/>
  <c r="Q47" i="98"/>
  <c r="S47" i="98"/>
  <c r="O47" i="98"/>
  <c r="G47" i="98"/>
  <c r="H47" i="98"/>
  <c r="AM47" i="98"/>
  <c r="AN47" i="98"/>
  <c r="AL47" i="98"/>
  <c r="I47" i="98"/>
  <c r="AI47" i="98"/>
  <c r="AK47" i="98"/>
  <c r="AJ47" i="98"/>
  <c r="AH47" i="98"/>
  <c r="AG47" i="98"/>
  <c r="AF47" i="98"/>
  <c r="J56" i="98"/>
  <c r="N56" i="98"/>
  <c r="N66" i="98" s="1"/>
  <c r="M56" i="98"/>
  <c r="N57" i="98"/>
  <c r="L56" i="98"/>
  <c r="K57" i="98"/>
  <c r="Z47" i="98"/>
  <c r="AC47" i="98"/>
  <c r="AB47" i="98"/>
  <c r="AP39" i="98"/>
  <c r="AA47" i="98"/>
  <c r="Y47" i="98"/>
  <c r="W47" i="98"/>
  <c r="AD47" i="98"/>
  <c r="AP108" i="98"/>
  <c r="AB59" i="98"/>
  <c r="AD63" i="98"/>
  <c r="AX63" i="98" s="1"/>
  <c r="AE63" i="98"/>
  <c r="V59" i="98"/>
  <c r="AD59" i="98"/>
  <c r="AM65" i="98"/>
  <c r="AM66" i="98" s="1"/>
  <c r="AM67" i="98" s="1"/>
  <c r="AN65" i="98"/>
  <c r="AN66" i="98" s="1"/>
  <c r="AN67" i="98" s="1"/>
  <c r="AA64" i="98"/>
  <c r="AA63" i="98"/>
  <c r="T64" i="98"/>
  <c r="T63" i="98"/>
  <c r="AB63" i="98"/>
  <c r="AE64" i="98"/>
  <c r="Y64" i="98"/>
  <c r="L58" i="98"/>
  <c r="AV58" i="98" s="1"/>
  <c r="AY58" i="98" s="1"/>
  <c r="Z64" i="98"/>
  <c r="Z63" i="98"/>
  <c r="X63" i="98"/>
  <c r="M58" i="98"/>
  <c r="U64" i="98"/>
  <c r="AC64" i="98"/>
  <c r="Y63" i="98"/>
  <c r="W63" i="98"/>
  <c r="X64" i="98"/>
  <c r="V63" i="98"/>
  <c r="U63" i="98"/>
  <c r="AE62" i="98"/>
  <c r="AF62" i="98"/>
  <c r="AD62" i="98"/>
  <c r="AC62" i="98"/>
  <c r="AW62" i="98" s="1"/>
  <c r="AK62" i="98"/>
  <c r="AK66" i="98" s="1"/>
  <c r="AK67" i="98" s="1"/>
  <c r="AJ62" i="98"/>
  <c r="AJ66" i="98" s="1"/>
  <c r="AJ67" i="98" s="1"/>
  <c r="AH62" i="98"/>
  <c r="AH66" i="98" s="1"/>
  <c r="AH67" i="98" s="1"/>
  <c r="AI62" i="98"/>
  <c r="AI66" i="98" s="1"/>
  <c r="AI67" i="98" s="1"/>
  <c r="AG61" i="98"/>
  <c r="AF61" i="98"/>
  <c r="AE61" i="98"/>
  <c r="AD61" i="98"/>
  <c r="AC60" i="98"/>
  <c r="AE60" i="98"/>
  <c r="AB60" i="98"/>
  <c r="X59" i="98"/>
  <c r="Z59" i="98"/>
  <c r="W59" i="98"/>
  <c r="U59" i="98"/>
  <c r="AE59" i="98"/>
  <c r="Y59" i="98"/>
  <c r="T59" i="98"/>
  <c r="C8" i="98"/>
  <c r="F47" i="98"/>
  <c r="G26" i="81"/>
  <c r="D143" i="80"/>
  <c r="O109" i="98"/>
  <c r="S109" i="98"/>
  <c r="Q109" i="98"/>
  <c r="R109" i="98"/>
  <c r="T109" i="98"/>
  <c r="N109" i="98"/>
  <c r="L109" i="98"/>
  <c r="V109" i="98"/>
  <c r="F110" i="98"/>
  <c r="G110" i="98" s="1"/>
  <c r="H110" i="98" s="1"/>
  <c r="I110" i="98" s="1"/>
  <c r="F133" i="98"/>
  <c r="G133" i="98" s="1"/>
  <c r="H133" i="98" s="1"/>
  <c r="I133" i="98" s="1"/>
  <c r="J133" i="98" s="1"/>
  <c r="K133" i="98" s="1"/>
  <c r="L133" i="98" s="1"/>
  <c r="M133" i="98" s="1"/>
  <c r="N133" i="98" s="1"/>
  <c r="O133" i="98" s="1"/>
  <c r="P133" i="98" s="1"/>
  <c r="Q133" i="98" s="1"/>
  <c r="R133" i="98" s="1"/>
  <c r="S133" i="98" s="1"/>
  <c r="T133" i="98" s="1"/>
  <c r="U133" i="98" s="1"/>
  <c r="V133" i="98" s="1"/>
  <c r="W133" i="98" s="1"/>
  <c r="X133" i="98" s="1"/>
  <c r="Y133" i="98" s="1"/>
  <c r="Z133" i="98" s="1"/>
  <c r="AA133" i="98" s="1"/>
  <c r="AB133" i="98" s="1"/>
  <c r="AC133" i="98" s="1"/>
  <c r="AD133" i="98" s="1"/>
  <c r="AE133" i="98" s="1"/>
  <c r="AF133" i="98" s="1"/>
  <c r="AG133" i="98" s="1"/>
  <c r="AH133" i="98" s="1"/>
  <c r="AI133" i="98" s="1"/>
  <c r="AJ133" i="98" s="1"/>
  <c r="AK133" i="98" s="1"/>
  <c r="AL133" i="98" s="1"/>
  <c r="AM133" i="98" s="1"/>
  <c r="AN133" i="98" s="1"/>
  <c r="AO133" i="98" s="1"/>
  <c r="U109" i="98"/>
  <c r="J109" i="98"/>
  <c r="AY131" i="98"/>
  <c r="AV131" i="98"/>
  <c r="M53" i="87"/>
  <c r="I43" i="96" s="1"/>
  <c r="I42" i="96" s="1"/>
  <c r="I45" i="96" s="1"/>
  <c r="M66" i="87"/>
  <c r="AY108" i="98"/>
  <c r="AV108" i="98"/>
  <c r="D14" i="96" s="1"/>
  <c r="K109" i="98"/>
  <c r="O55" i="87"/>
  <c r="N54" i="87"/>
  <c r="P109" i="98"/>
  <c r="M109" i="98"/>
  <c r="G95" i="80"/>
  <c r="N95" i="80" s="1"/>
  <c r="N42" i="80"/>
  <c r="N43" i="80"/>
  <c r="G44" i="80"/>
  <c r="N96" i="80"/>
  <c r="G97" i="80"/>
  <c r="N94" i="80"/>
  <c r="V64" i="98" l="1"/>
  <c r="AA59" i="98"/>
  <c r="L57" i="98"/>
  <c r="J57" i="98"/>
  <c r="AP57" i="98" s="1"/>
  <c r="W64" i="98"/>
  <c r="W66" i="98" s="1"/>
  <c r="W67" i="98" s="1"/>
  <c r="AC59" i="98"/>
  <c r="I56" i="98"/>
  <c r="I66" i="98" s="1"/>
  <c r="I67" i="98" s="1"/>
  <c r="AX61" i="98"/>
  <c r="AY61" i="98" s="1"/>
  <c r="E36" i="96"/>
  <c r="E35" i="96" s="1"/>
  <c r="E41" i="96" s="1"/>
  <c r="E47" i="96" s="1"/>
  <c r="AW132" i="98"/>
  <c r="AV132" i="98"/>
  <c r="AY132" i="98" s="1"/>
  <c r="D36" i="96"/>
  <c r="AX59" i="98"/>
  <c r="AW60" i="98"/>
  <c r="AV56" i="98"/>
  <c r="M57" i="98"/>
  <c r="M66" i="98" s="1"/>
  <c r="M67" i="98" s="1"/>
  <c r="AW59" i="98"/>
  <c r="AD60" i="98"/>
  <c r="AX60" i="98" s="1"/>
  <c r="AG62" i="98"/>
  <c r="AX62" i="98" s="1"/>
  <c r="AY62" i="98" s="1"/>
  <c r="AD64" i="98"/>
  <c r="AX64" i="98" s="1"/>
  <c r="I57" i="98"/>
  <c r="AB64" i="98"/>
  <c r="AW64" i="98" s="1"/>
  <c r="AL65" i="98"/>
  <c r="AX65" i="98" s="1"/>
  <c r="AY65" i="98" s="1"/>
  <c r="AC63" i="98"/>
  <c r="AC66" i="98" s="1"/>
  <c r="AC67" i="98" s="1"/>
  <c r="AP61" i="98"/>
  <c r="F48" i="98"/>
  <c r="AP47" i="98"/>
  <c r="AP59" i="98"/>
  <c r="AP63" i="98"/>
  <c r="AF66" i="98"/>
  <c r="AF67" i="98" s="1"/>
  <c r="AP58" i="98"/>
  <c r="AP56" i="98"/>
  <c r="X66" i="98"/>
  <c r="X67" i="98" s="1"/>
  <c r="AB66" i="98"/>
  <c r="AB67" i="98" s="1"/>
  <c r="T66" i="98"/>
  <c r="J110" i="98"/>
  <c r="K110" i="98" s="1"/>
  <c r="L110" i="98" s="1"/>
  <c r="M110" i="98" s="1"/>
  <c r="N110" i="98" s="1"/>
  <c r="O110" i="98" s="1"/>
  <c r="P110" i="98" s="1"/>
  <c r="Q110" i="98" s="1"/>
  <c r="R110" i="98" s="1"/>
  <c r="S110" i="98" s="1"/>
  <c r="T110" i="98" s="1"/>
  <c r="U110" i="98" s="1"/>
  <c r="V110" i="98" s="1"/>
  <c r="W110" i="98" s="1"/>
  <c r="X110" i="98" s="1"/>
  <c r="Y110" i="98" s="1"/>
  <c r="Z110" i="98" s="1"/>
  <c r="AA110" i="98" s="1"/>
  <c r="AB110" i="98" s="1"/>
  <c r="AC110" i="98" s="1"/>
  <c r="AD110" i="98" s="1"/>
  <c r="AE110" i="98" s="1"/>
  <c r="AF110" i="98" s="1"/>
  <c r="AG110" i="98" s="1"/>
  <c r="AH110" i="98" s="1"/>
  <c r="AI110" i="98" s="1"/>
  <c r="AJ110" i="98" s="1"/>
  <c r="AK110" i="98" s="1"/>
  <c r="AL110" i="98" s="1"/>
  <c r="AM110" i="98" s="1"/>
  <c r="AN110" i="98" s="1"/>
  <c r="AO110" i="98" s="1"/>
  <c r="AP109" i="98"/>
  <c r="AA66" i="98"/>
  <c r="AA67" i="98" s="1"/>
  <c r="Y66" i="98"/>
  <c r="Y67" i="98" s="1"/>
  <c r="Z66" i="98"/>
  <c r="Z67" i="98" s="1"/>
  <c r="U66" i="98"/>
  <c r="U67" i="98" s="1"/>
  <c r="V66" i="98"/>
  <c r="V67" i="98" s="1"/>
  <c r="AE66" i="98"/>
  <c r="AE67" i="98" s="1"/>
  <c r="G67" i="98"/>
  <c r="J66" i="98"/>
  <c r="J67" i="98" s="1"/>
  <c r="L66" i="98"/>
  <c r="L67" i="98" s="1"/>
  <c r="K66" i="98"/>
  <c r="K67" i="98" s="1"/>
  <c r="Q67" i="98"/>
  <c r="S67" i="98"/>
  <c r="P67" i="98"/>
  <c r="R67" i="98"/>
  <c r="O67" i="98"/>
  <c r="H67" i="98"/>
  <c r="T67" i="98"/>
  <c r="N67" i="98"/>
  <c r="F66" i="98"/>
  <c r="F67" i="98" s="1"/>
  <c r="F68" i="98" s="1"/>
  <c r="D13" i="96"/>
  <c r="D19" i="96" s="1"/>
  <c r="D25" i="96" s="1"/>
  <c r="AV47" i="98"/>
  <c r="E13" i="96"/>
  <c r="E19" i="96" s="1"/>
  <c r="E25" i="96" s="1"/>
  <c r="G48" i="98"/>
  <c r="H48" i="98" s="1"/>
  <c r="I48" i="98" s="1"/>
  <c r="J48" i="98" s="1"/>
  <c r="K48" i="98" s="1"/>
  <c r="L48" i="98" s="1"/>
  <c r="M48" i="98" s="1"/>
  <c r="N48" i="98" s="1"/>
  <c r="O48" i="98" s="1"/>
  <c r="P48" i="98" s="1"/>
  <c r="Q48" i="98" s="1"/>
  <c r="R48" i="98" s="1"/>
  <c r="S48" i="98" s="1"/>
  <c r="T48" i="98" s="1"/>
  <c r="U48" i="98" s="1"/>
  <c r="V48" i="98" s="1"/>
  <c r="W48" i="98" s="1"/>
  <c r="X48" i="98" s="1"/>
  <c r="Y48" i="98" s="1"/>
  <c r="Z48" i="98" s="1"/>
  <c r="AA48" i="98" s="1"/>
  <c r="AB48" i="98" s="1"/>
  <c r="AC48" i="98" s="1"/>
  <c r="AD48" i="98" s="1"/>
  <c r="AE48" i="98" s="1"/>
  <c r="AF48" i="98" s="1"/>
  <c r="AG48" i="98" s="1"/>
  <c r="AH48" i="98" s="1"/>
  <c r="AI48" i="98" s="1"/>
  <c r="AJ48" i="98" s="1"/>
  <c r="AK48" i="98" s="1"/>
  <c r="AL48" i="98" s="1"/>
  <c r="AM48" i="98" s="1"/>
  <c r="AN48" i="98" s="1"/>
  <c r="AO48" i="98" s="1"/>
  <c r="AV133" i="98"/>
  <c r="AW133" i="98" s="1"/>
  <c r="AX133" i="98" s="1"/>
  <c r="N66" i="87"/>
  <c r="N53" i="87"/>
  <c r="J43" i="96" s="1"/>
  <c r="J42" i="96" s="1"/>
  <c r="J45" i="96" s="1"/>
  <c r="O54" i="87"/>
  <c r="P55" i="87"/>
  <c r="AV109" i="98"/>
  <c r="AY109" i="98" s="1"/>
  <c r="G98" i="80"/>
  <c r="N97" i="80"/>
  <c r="G45" i="80"/>
  <c r="N44" i="80"/>
  <c r="AG66" i="98" l="1"/>
  <c r="AG67" i="98" s="1"/>
  <c r="AP62" i="98"/>
  <c r="AL66" i="98"/>
  <c r="AL67" i="98" s="1"/>
  <c r="AP64" i="98"/>
  <c r="AP60" i="98"/>
  <c r="G68" i="98"/>
  <c r="AP65" i="98"/>
  <c r="AY56" i="98"/>
  <c r="AY59" i="98"/>
  <c r="AD66" i="98"/>
  <c r="AD67" i="98" s="1"/>
  <c r="AV57" i="98"/>
  <c r="AY57" i="98" s="1"/>
  <c r="AY60" i="98"/>
  <c r="AW63" i="98"/>
  <c r="AY63" i="98" s="1"/>
  <c r="AY64" i="98"/>
  <c r="AX66" i="98"/>
  <c r="AX67" i="98" s="1"/>
  <c r="D35" i="96"/>
  <c r="D55" i="96"/>
  <c r="AV48" i="98"/>
  <c r="AW48" i="98" s="1"/>
  <c r="AY47" i="98"/>
  <c r="H68" i="98"/>
  <c r="I68" i="98" s="1"/>
  <c r="J68" i="98" s="1"/>
  <c r="K68" i="98" s="1"/>
  <c r="L68" i="98" s="1"/>
  <c r="M68" i="98" s="1"/>
  <c r="N68" i="98" s="1"/>
  <c r="O68" i="98" s="1"/>
  <c r="P68" i="98" s="1"/>
  <c r="Q68" i="98" s="1"/>
  <c r="R68" i="98" s="1"/>
  <c r="S68" i="98" s="1"/>
  <c r="T68" i="98" s="1"/>
  <c r="U68" i="98" s="1"/>
  <c r="V68" i="98" s="1"/>
  <c r="W68" i="98" s="1"/>
  <c r="X68" i="98" s="1"/>
  <c r="Y68" i="98" s="1"/>
  <c r="Z68" i="98" s="1"/>
  <c r="AA68" i="98" s="1"/>
  <c r="AB68" i="98" s="1"/>
  <c r="AC68" i="98" s="1"/>
  <c r="AD68" i="98" s="1"/>
  <c r="AE68" i="98" s="1"/>
  <c r="AF68" i="98" s="1"/>
  <c r="AG68" i="98" s="1"/>
  <c r="AH68" i="98" s="1"/>
  <c r="AI68" i="98" s="1"/>
  <c r="AJ68" i="98" s="1"/>
  <c r="AK68" i="98" s="1"/>
  <c r="AL68" i="98" s="1"/>
  <c r="AM68" i="98" s="1"/>
  <c r="AN68" i="98" s="1"/>
  <c r="AO68" i="98" s="1"/>
  <c r="W14" i="96"/>
  <c r="AP66" i="98"/>
  <c r="AP67" i="98" s="1"/>
  <c r="AV110" i="98"/>
  <c r="AW110" i="98" s="1"/>
  <c r="AX110" i="98" s="1"/>
  <c r="P54" i="87"/>
  <c r="Q55" i="87"/>
  <c r="O66" i="87"/>
  <c r="O53" i="87"/>
  <c r="K43" i="96" s="1"/>
  <c r="K42" i="96" s="1"/>
  <c r="K45" i="96" s="1"/>
  <c r="G46" i="80"/>
  <c r="N45" i="80"/>
  <c r="G99" i="80"/>
  <c r="N98" i="80"/>
  <c r="AW66" i="98" l="1"/>
  <c r="AW67" i="98" s="1"/>
  <c r="AV66" i="98"/>
  <c r="E95" i="100"/>
  <c r="D69" i="96"/>
  <c r="D41" i="96"/>
  <c r="D47" i="96" s="1"/>
  <c r="W35" i="96"/>
  <c r="W36" i="96" s="1"/>
  <c r="AV67" i="98"/>
  <c r="AY66" i="98"/>
  <c r="Q54" i="87"/>
  <c r="R55" i="87"/>
  <c r="P66" i="87"/>
  <c r="P53" i="87"/>
  <c r="L43" i="96" s="1"/>
  <c r="L42" i="96" s="1"/>
  <c r="L45" i="96" s="1"/>
  <c r="G100" i="80"/>
  <c r="N100" i="80" s="1"/>
  <c r="N99" i="80"/>
  <c r="H132" i="80" s="1"/>
  <c r="G29" i="81" s="1"/>
  <c r="N46" i="80"/>
  <c r="G47" i="80"/>
  <c r="AY67" i="98" l="1"/>
  <c r="AV68" i="98"/>
  <c r="AW68" i="98" s="1"/>
  <c r="AX68" i="98" s="1"/>
  <c r="Q66" i="87"/>
  <c r="Q53" i="87"/>
  <c r="M43" i="96" s="1"/>
  <c r="M42" i="96" s="1"/>
  <c r="M45" i="96" s="1"/>
  <c r="S55" i="87"/>
  <c r="R54" i="87"/>
  <c r="N47" i="80"/>
  <c r="G48" i="80"/>
  <c r="R66" i="87" l="1"/>
  <c r="R53" i="87"/>
  <c r="N43" i="96" s="1"/>
  <c r="N42" i="96" s="1"/>
  <c r="N45" i="96" s="1"/>
  <c r="T55" i="87"/>
  <c r="S54" i="87"/>
  <c r="G49" i="80"/>
  <c r="N48" i="80"/>
  <c r="S66" i="87" l="1"/>
  <c r="S53" i="87"/>
  <c r="O43" i="96" s="1"/>
  <c r="O42" i="96" s="1"/>
  <c r="O45" i="96" s="1"/>
  <c r="T54" i="87"/>
  <c r="U55" i="87"/>
  <c r="G50" i="80"/>
  <c r="N49" i="80"/>
  <c r="U54" i="87" l="1"/>
  <c r="V55" i="87"/>
  <c r="V54" i="87" s="1"/>
  <c r="T66" i="87"/>
  <c r="T53" i="87"/>
  <c r="P43" i="96" s="1"/>
  <c r="P42" i="96" s="1"/>
  <c r="P45" i="96" s="1"/>
  <c r="N50" i="80"/>
  <c r="G51" i="80"/>
  <c r="V66" i="87" l="1"/>
  <c r="V53" i="87"/>
  <c r="R43" i="96" s="1"/>
  <c r="R42" i="96" s="1"/>
  <c r="R45" i="96" s="1"/>
  <c r="U66" i="87"/>
  <c r="U53" i="87"/>
  <c r="Q43" i="96" s="1"/>
  <c r="Q42" i="96" s="1"/>
  <c r="Q45" i="96" s="1"/>
  <c r="N51" i="80"/>
  <c r="G52" i="80"/>
  <c r="G53" i="80" l="1"/>
  <c r="N52" i="80"/>
  <c r="G54" i="80" l="1"/>
  <c r="N53" i="80"/>
  <c r="N54" i="80" l="1"/>
  <c r="G55" i="80"/>
  <c r="N55" i="80" l="1"/>
  <c r="G56" i="80"/>
  <c r="G57" i="80" l="1"/>
  <c r="N56" i="80"/>
  <c r="G58" i="80" l="1"/>
  <c r="N57" i="80"/>
  <c r="N58" i="80" l="1"/>
  <c r="G59" i="80"/>
  <c r="N59" i="80" l="1"/>
  <c r="G60" i="80"/>
  <c r="G61" i="80" l="1"/>
  <c r="N60" i="80"/>
  <c r="G62" i="80" l="1"/>
  <c r="N62" i="80" s="1"/>
  <c r="H123" i="80" s="1"/>
  <c r="G20" i="81" s="1"/>
  <c r="N61" i="80"/>
  <c r="G236" i="81" l="1"/>
  <c r="H236" i="81"/>
  <c r="I236" i="81"/>
  <c r="J236" i="81"/>
  <c r="K236" i="81"/>
  <c r="L236" i="81"/>
  <c r="M236" i="81"/>
  <c r="N236" i="81"/>
  <c r="O236" i="81"/>
  <c r="P236" i="81"/>
  <c r="Q236" i="81"/>
  <c r="R236" i="81"/>
  <c r="S236" i="81"/>
  <c r="T236" i="81"/>
  <c r="U236" i="81"/>
  <c r="V236" i="81"/>
  <c r="F236" i="81"/>
  <c r="F97" i="81"/>
  <c r="H97" i="81" s="1"/>
  <c r="I97" i="81" s="1"/>
  <c r="J97" i="81" s="1"/>
  <c r="K97" i="81" s="1"/>
  <c r="L97" i="81" s="1"/>
  <c r="M97" i="81" s="1"/>
  <c r="N97" i="81" s="1"/>
  <c r="O97" i="81" s="1"/>
  <c r="P97" i="81" s="1"/>
  <c r="Q97" i="81" s="1"/>
  <c r="R97" i="81" s="1"/>
  <c r="S97" i="81" s="1"/>
  <c r="T97" i="81" s="1"/>
  <c r="U97" i="81" s="1"/>
  <c r="E85" i="81"/>
  <c r="Q40" i="79"/>
  <c r="Q39" i="79"/>
  <c r="H468" i="79"/>
  <c r="H469" i="79" s="1"/>
  <c r="G468" i="79"/>
  <c r="G469" i="79" s="1"/>
  <c r="E468" i="79"/>
  <c r="D472" i="79" s="1"/>
  <c r="C468" i="79"/>
  <c r="H445" i="79"/>
  <c r="H446" i="79" s="1"/>
  <c r="G445" i="79"/>
  <c r="G446" i="79" s="1"/>
  <c r="E445" i="79"/>
  <c r="D449" i="79" s="1"/>
  <c r="H40" i="79"/>
  <c r="G40" i="79"/>
  <c r="F40" i="79"/>
  <c r="G39" i="79"/>
  <c r="H39" i="79"/>
  <c r="F39" i="79"/>
  <c r="E40" i="79"/>
  <c r="E39" i="79"/>
  <c r="N484" i="79"/>
  <c r="M484" i="79"/>
  <c r="L484" i="79"/>
  <c r="N483" i="79"/>
  <c r="M483" i="79"/>
  <c r="L483" i="79"/>
  <c r="N482" i="79"/>
  <c r="M482" i="79"/>
  <c r="L482" i="79"/>
  <c r="N481" i="79"/>
  <c r="M481" i="79"/>
  <c r="L481" i="79"/>
  <c r="N480" i="79"/>
  <c r="M480" i="79"/>
  <c r="L480" i="79"/>
  <c r="N479" i="79"/>
  <c r="M479" i="79"/>
  <c r="L479" i="79"/>
  <c r="N478" i="79"/>
  <c r="M478" i="79"/>
  <c r="L478" i="79"/>
  <c r="N477" i="79"/>
  <c r="M477" i="79"/>
  <c r="L477" i="79"/>
  <c r="N476" i="79"/>
  <c r="M476" i="79"/>
  <c r="L476" i="79"/>
  <c r="F469" i="79"/>
  <c r="N461" i="79"/>
  <c r="M461" i="79"/>
  <c r="L461" i="79"/>
  <c r="N460" i="79"/>
  <c r="M460" i="79"/>
  <c r="L460" i="79"/>
  <c r="N459" i="79"/>
  <c r="M459" i="79"/>
  <c r="L459" i="79"/>
  <c r="N458" i="79"/>
  <c r="M458" i="79"/>
  <c r="L458" i="79"/>
  <c r="N457" i="79"/>
  <c r="M457" i="79"/>
  <c r="L457" i="79"/>
  <c r="N456" i="79"/>
  <c r="M456" i="79"/>
  <c r="L456" i="79"/>
  <c r="N455" i="79"/>
  <c r="M455" i="79"/>
  <c r="L455" i="79"/>
  <c r="N454" i="79"/>
  <c r="M454" i="79"/>
  <c r="L454" i="79"/>
  <c r="N453" i="79"/>
  <c r="M453" i="79"/>
  <c r="L453" i="79"/>
  <c r="F446" i="79"/>
  <c r="I39" i="79" l="1"/>
  <c r="J39" i="79" s="1"/>
  <c r="G97" i="81"/>
  <c r="I40" i="79"/>
  <c r="J40" i="79" s="1"/>
  <c r="L462" i="79"/>
  <c r="L485" i="79"/>
  <c r="M462" i="79"/>
  <c r="M485" i="79"/>
  <c r="I445" i="79"/>
  <c r="J445" i="79" s="1"/>
  <c r="J446" i="79" s="1"/>
  <c r="N462" i="79"/>
  <c r="I468" i="79"/>
  <c r="I469" i="79" s="1"/>
  <c r="N485" i="79"/>
  <c r="K468" i="79" l="1"/>
  <c r="K40" i="79"/>
  <c r="K445" i="79"/>
  <c r="K39" i="79"/>
  <c r="L445" i="79"/>
  <c r="L39" i="79"/>
  <c r="M468" i="79"/>
  <c r="M40" i="79"/>
  <c r="L468" i="79"/>
  <c r="L40" i="79"/>
  <c r="M445" i="79"/>
  <c r="M39" i="79"/>
  <c r="J468" i="79"/>
  <c r="J469" i="79" s="1"/>
  <c r="I446" i="79"/>
  <c r="N468" i="79"/>
  <c r="N445" i="79"/>
  <c r="N39" i="79" l="1"/>
  <c r="O445" i="79"/>
  <c r="R445" i="79" s="1"/>
  <c r="P445" i="79"/>
  <c r="P468" i="79"/>
  <c r="O468" i="79"/>
  <c r="R468" i="79" s="1"/>
  <c r="O39" i="79" l="1"/>
  <c r="R39" i="79" s="1"/>
  <c r="F539" i="79" s="1"/>
  <c r="Q38" i="79"/>
  <c r="Q37" i="79"/>
  <c r="Q34" i="79"/>
  <c r="Q33" i="79"/>
  <c r="Q29" i="79"/>
  <c r="P22" i="79"/>
  <c r="P19" i="79"/>
  <c r="P17" i="79"/>
  <c r="P27" i="79"/>
  <c r="H27" i="79"/>
  <c r="G27" i="79"/>
  <c r="H19" i="37"/>
  <c r="G407" i="79"/>
  <c r="G255" i="79"/>
  <c r="H255" i="79"/>
  <c r="G256" i="79"/>
  <c r="H256" i="79"/>
  <c r="G257" i="79"/>
  <c r="H257" i="79"/>
  <c r="H254" i="79"/>
  <c r="G254" i="79"/>
  <c r="N231" i="79"/>
  <c r="M231" i="79"/>
  <c r="L231" i="79"/>
  <c r="N230" i="79"/>
  <c r="M230" i="79"/>
  <c r="L230" i="79"/>
  <c r="N229" i="79"/>
  <c r="M229" i="79"/>
  <c r="L229" i="79"/>
  <c r="N228" i="79"/>
  <c r="M228" i="79"/>
  <c r="L228" i="79"/>
  <c r="N227" i="79"/>
  <c r="M227" i="79"/>
  <c r="L227" i="79"/>
  <c r="N226" i="79"/>
  <c r="M226" i="79"/>
  <c r="L226" i="79"/>
  <c r="N225" i="79"/>
  <c r="M225" i="79"/>
  <c r="L225" i="79"/>
  <c r="N224" i="79"/>
  <c r="M224" i="79"/>
  <c r="L224" i="79"/>
  <c r="N223" i="79"/>
  <c r="M223" i="79"/>
  <c r="L223" i="79"/>
  <c r="G38" i="79"/>
  <c r="H38" i="79"/>
  <c r="H37" i="79"/>
  <c r="G35" i="79"/>
  <c r="H35" i="79"/>
  <c r="H36" i="79"/>
  <c r="H34" i="79"/>
  <c r="H33" i="79"/>
  <c r="G33" i="79"/>
  <c r="H32" i="79"/>
  <c r="H29" i="79"/>
  <c r="H30" i="79"/>
  <c r="H31" i="79"/>
  <c r="G30" i="79"/>
  <c r="G31" i="79"/>
  <c r="G32" i="79"/>
  <c r="G29" i="79"/>
  <c r="H22" i="79"/>
  <c r="H21" i="79"/>
  <c r="F38" i="79"/>
  <c r="F37" i="79"/>
  <c r="E38" i="79"/>
  <c r="E37" i="79"/>
  <c r="F35" i="79"/>
  <c r="F36" i="79"/>
  <c r="F34" i="79"/>
  <c r="E35" i="79"/>
  <c r="E36" i="79"/>
  <c r="E34" i="79"/>
  <c r="F33" i="79"/>
  <c r="E33" i="79"/>
  <c r="F30" i="79"/>
  <c r="F31" i="79"/>
  <c r="F32" i="79"/>
  <c r="F29" i="79"/>
  <c r="E30" i="79"/>
  <c r="E31" i="79"/>
  <c r="E32" i="79"/>
  <c r="E29" i="79"/>
  <c r="E407" i="79"/>
  <c r="D426" i="79" s="1"/>
  <c r="E406" i="79"/>
  <c r="D411" i="79" s="1"/>
  <c r="E351" i="79"/>
  <c r="D371" i="79" s="1"/>
  <c r="E352" i="79"/>
  <c r="D386" i="79" s="1"/>
  <c r="E350" i="79"/>
  <c r="D356" i="79" s="1"/>
  <c r="C350" i="79"/>
  <c r="E326" i="79"/>
  <c r="N272" i="79"/>
  <c r="M272" i="79"/>
  <c r="L272" i="79"/>
  <c r="N271" i="79"/>
  <c r="M271" i="79"/>
  <c r="L271" i="79"/>
  <c r="N270" i="79"/>
  <c r="M270" i="79"/>
  <c r="L270" i="79"/>
  <c r="N269" i="79"/>
  <c r="M269" i="79"/>
  <c r="L269" i="79"/>
  <c r="N268" i="79"/>
  <c r="M268" i="79"/>
  <c r="L268" i="79"/>
  <c r="N267" i="79"/>
  <c r="M267" i="79"/>
  <c r="L267" i="79"/>
  <c r="N266" i="79"/>
  <c r="M266" i="79"/>
  <c r="L266" i="79"/>
  <c r="N265" i="79"/>
  <c r="M265" i="79"/>
  <c r="L265" i="79"/>
  <c r="N264" i="79"/>
  <c r="M264" i="79"/>
  <c r="L264" i="79"/>
  <c r="F255" i="79"/>
  <c r="F256" i="79"/>
  <c r="F257" i="79"/>
  <c r="F254" i="79"/>
  <c r="E255" i="79"/>
  <c r="D275" i="79" s="1"/>
  <c r="E256" i="79"/>
  <c r="D290" i="79" s="1"/>
  <c r="E257" i="79"/>
  <c r="D305" i="79" s="1"/>
  <c r="E254" i="79"/>
  <c r="D260" i="79" s="1"/>
  <c r="N154" i="79"/>
  <c r="M154" i="79"/>
  <c r="L154" i="79"/>
  <c r="N153" i="79"/>
  <c r="M153" i="79"/>
  <c r="L153" i="79"/>
  <c r="N152" i="79"/>
  <c r="M152" i="79"/>
  <c r="L152" i="79"/>
  <c r="N151" i="79"/>
  <c r="M151" i="79"/>
  <c r="L151" i="79"/>
  <c r="N150" i="79"/>
  <c r="M150" i="79"/>
  <c r="L150" i="79"/>
  <c r="N149" i="79"/>
  <c r="M149" i="79"/>
  <c r="L149" i="79"/>
  <c r="N148" i="79"/>
  <c r="M148" i="79"/>
  <c r="L148" i="79"/>
  <c r="N147" i="79"/>
  <c r="M147" i="79"/>
  <c r="L147" i="79"/>
  <c r="N146" i="79"/>
  <c r="M146" i="79"/>
  <c r="L146" i="79"/>
  <c r="N110" i="79"/>
  <c r="M110" i="79"/>
  <c r="L110" i="79"/>
  <c r="N109" i="79"/>
  <c r="M109" i="79"/>
  <c r="L109" i="79"/>
  <c r="N108" i="79"/>
  <c r="M108" i="79"/>
  <c r="L108" i="79"/>
  <c r="N107" i="79"/>
  <c r="M107" i="79"/>
  <c r="L107" i="79"/>
  <c r="N106" i="79"/>
  <c r="M106" i="79"/>
  <c r="L106" i="79"/>
  <c r="N105" i="79"/>
  <c r="M105" i="79"/>
  <c r="L105" i="79"/>
  <c r="N104" i="79"/>
  <c r="M104" i="79"/>
  <c r="L104" i="79"/>
  <c r="N103" i="79"/>
  <c r="M103" i="79"/>
  <c r="L103" i="79"/>
  <c r="N102" i="79"/>
  <c r="M102" i="79"/>
  <c r="L102" i="79"/>
  <c r="F41" i="79" l="1"/>
  <c r="I27" i="79"/>
  <c r="J27" i="79" s="1"/>
  <c r="I257" i="79"/>
  <c r="J257" i="79" s="1"/>
  <c r="I38" i="79"/>
  <c r="J38" i="79" s="1"/>
  <c r="M232" i="79"/>
  <c r="L27" i="79" s="1"/>
  <c r="L232" i="79"/>
  <c r="K27" i="79" s="1"/>
  <c r="I29" i="79"/>
  <c r="J29" i="79" s="1"/>
  <c r="N232" i="79"/>
  <c r="M27" i="79" s="1"/>
  <c r="I30" i="79"/>
  <c r="J30" i="79" s="1"/>
  <c r="I33" i="79"/>
  <c r="J33" i="79" s="1"/>
  <c r="I35" i="79"/>
  <c r="J35" i="79" s="1"/>
  <c r="I32" i="79"/>
  <c r="J32" i="79" s="1"/>
  <c r="I31" i="79"/>
  <c r="J31" i="79" s="1"/>
  <c r="L273" i="79"/>
  <c r="M273" i="79"/>
  <c r="N273" i="79"/>
  <c r="L155" i="79"/>
  <c r="K22" i="79" s="1"/>
  <c r="M155" i="79"/>
  <c r="L22" i="79" s="1"/>
  <c r="N155" i="79"/>
  <c r="M22" i="79" s="1"/>
  <c r="L111" i="79"/>
  <c r="K19" i="79" s="1"/>
  <c r="M111" i="79"/>
  <c r="L19" i="79" s="1"/>
  <c r="N111" i="79"/>
  <c r="M19" i="79" s="1"/>
  <c r="N22" i="79" l="1"/>
  <c r="L254" i="79"/>
  <c r="L29" i="79"/>
  <c r="N27" i="79"/>
  <c r="O22" i="79"/>
  <c r="P35" i="79"/>
  <c r="N19" i="79"/>
  <c r="M254" i="79"/>
  <c r="M29" i="79"/>
  <c r="K254" i="79"/>
  <c r="K29" i="79"/>
  <c r="N254" i="79" l="1"/>
  <c r="O27" i="79"/>
  <c r="R27" i="79" s="1"/>
  <c r="F28" i="81" s="1"/>
  <c r="P40" i="79"/>
  <c r="P32" i="79"/>
  <c r="O19" i="79"/>
  <c r="N29" i="79"/>
  <c r="O29" i="79" s="1"/>
  <c r="R29" i="79" s="1"/>
  <c r="P254" i="79"/>
  <c r="R254" i="79" s="1"/>
  <c r="O254" i="79"/>
  <c r="L50" i="33" l="1"/>
  <c r="L49" i="33"/>
  <c r="L51" i="33" l="1"/>
  <c r="D119" i="46" l="1"/>
  <c r="E119" i="46"/>
  <c r="F119" i="46"/>
  <c r="G119" i="46"/>
  <c r="H119" i="46"/>
  <c r="I119" i="46"/>
  <c r="J119" i="46"/>
  <c r="K119" i="46"/>
  <c r="L119" i="46"/>
  <c r="M119" i="46"/>
  <c r="N119" i="46"/>
  <c r="O119" i="46"/>
  <c r="P119" i="46"/>
  <c r="Q119" i="46"/>
  <c r="R119" i="46"/>
  <c r="S119" i="46"/>
  <c r="D120" i="46"/>
  <c r="E120" i="46"/>
  <c r="F120" i="46"/>
  <c r="G120" i="46"/>
  <c r="H120" i="46"/>
  <c r="I120" i="46"/>
  <c r="J120" i="46"/>
  <c r="K120" i="46"/>
  <c r="L120" i="46"/>
  <c r="M120" i="46"/>
  <c r="N120" i="46"/>
  <c r="O120" i="46"/>
  <c r="P120" i="46"/>
  <c r="Q120" i="46"/>
  <c r="R120" i="46"/>
  <c r="S120" i="46"/>
  <c r="D121" i="46"/>
  <c r="E121" i="46"/>
  <c r="F121" i="46"/>
  <c r="G121" i="46"/>
  <c r="H121" i="46"/>
  <c r="I121" i="46"/>
  <c r="J121" i="46"/>
  <c r="K121" i="46"/>
  <c r="L121" i="46"/>
  <c r="M121" i="46"/>
  <c r="N121" i="46"/>
  <c r="O121" i="46"/>
  <c r="P121" i="46"/>
  <c r="Q121" i="46"/>
  <c r="R121" i="46"/>
  <c r="S121" i="46"/>
  <c r="D122" i="46"/>
  <c r="E122" i="46"/>
  <c r="F122" i="46"/>
  <c r="G122" i="46"/>
  <c r="H122" i="46"/>
  <c r="I122" i="46"/>
  <c r="J122" i="46"/>
  <c r="K122" i="46"/>
  <c r="L122" i="46"/>
  <c r="M122" i="46"/>
  <c r="N122" i="46"/>
  <c r="O122" i="46"/>
  <c r="P122" i="46"/>
  <c r="Q122" i="46"/>
  <c r="R122" i="46"/>
  <c r="S122" i="46"/>
  <c r="D117" i="46"/>
  <c r="E117" i="46"/>
  <c r="F117" i="46"/>
  <c r="G117" i="46"/>
  <c r="H117" i="46"/>
  <c r="I117" i="46"/>
  <c r="J117" i="46"/>
  <c r="K117" i="46"/>
  <c r="L117" i="46"/>
  <c r="M117" i="46"/>
  <c r="N117" i="46"/>
  <c r="O117" i="46"/>
  <c r="P117" i="46"/>
  <c r="Q117" i="46"/>
  <c r="R117" i="46"/>
  <c r="S117" i="46"/>
  <c r="D115" i="46"/>
  <c r="E115" i="46"/>
  <c r="F115" i="46"/>
  <c r="G115" i="46"/>
  <c r="H115" i="46"/>
  <c r="I115" i="46"/>
  <c r="J115" i="46"/>
  <c r="K115" i="46"/>
  <c r="L115" i="46"/>
  <c r="M115" i="46"/>
  <c r="N115" i="46"/>
  <c r="O115" i="46"/>
  <c r="P115" i="46"/>
  <c r="Q115" i="46"/>
  <c r="R115" i="46"/>
  <c r="S115" i="46"/>
  <c r="D113" i="46"/>
  <c r="E113" i="46"/>
  <c r="F113" i="46"/>
  <c r="G113" i="46"/>
  <c r="H113" i="46"/>
  <c r="I113" i="46"/>
  <c r="J113" i="46"/>
  <c r="K113" i="46"/>
  <c r="L113" i="46"/>
  <c r="M113" i="46"/>
  <c r="N113" i="46"/>
  <c r="O113" i="46"/>
  <c r="P113" i="46"/>
  <c r="Q113" i="46"/>
  <c r="R113" i="46"/>
  <c r="S113" i="46"/>
  <c r="D105" i="46"/>
  <c r="E105" i="46"/>
  <c r="F105" i="46"/>
  <c r="G105" i="46"/>
  <c r="H105" i="46"/>
  <c r="I105" i="46"/>
  <c r="J105" i="46"/>
  <c r="K105" i="46"/>
  <c r="L105" i="46"/>
  <c r="M105" i="46"/>
  <c r="N105" i="46"/>
  <c r="O105" i="46"/>
  <c r="P105" i="46"/>
  <c r="Q105" i="46"/>
  <c r="R105" i="46"/>
  <c r="S105" i="46"/>
  <c r="D106" i="46"/>
  <c r="E106" i="46"/>
  <c r="F106" i="46"/>
  <c r="G106" i="46"/>
  <c r="H106" i="46"/>
  <c r="I106" i="46"/>
  <c r="J106" i="46"/>
  <c r="K106" i="46"/>
  <c r="L106" i="46"/>
  <c r="M106" i="46"/>
  <c r="N106" i="46"/>
  <c r="O106" i="46"/>
  <c r="P106" i="46"/>
  <c r="Q106" i="46"/>
  <c r="R106" i="46"/>
  <c r="S106" i="46"/>
  <c r="D107" i="46"/>
  <c r="E107" i="46"/>
  <c r="F107" i="46"/>
  <c r="G107" i="46"/>
  <c r="H107" i="46"/>
  <c r="I107" i="46"/>
  <c r="J107" i="46"/>
  <c r="K107" i="46"/>
  <c r="L107" i="46"/>
  <c r="M107" i="46"/>
  <c r="N107" i="46"/>
  <c r="O107" i="46"/>
  <c r="P107" i="46"/>
  <c r="Q107" i="46"/>
  <c r="R107" i="46"/>
  <c r="S107" i="46"/>
  <c r="D108" i="46"/>
  <c r="E108" i="46"/>
  <c r="F108" i="46"/>
  <c r="G108" i="46"/>
  <c r="H108" i="46"/>
  <c r="I108" i="46"/>
  <c r="J108" i="46"/>
  <c r="K108" i="46"/>
  <c r="L108" i="46"/>
  <c r="M108" i="46"/>
  <c r="N108" i="46"/>
  <c r="O108" i="46"/>
  <c r="P108" i="46"/>
  <c r="Q108" i="46"/>
  <c r="R108" i="46"/>
  <c r="S108" i="46"/>
  <c r="D109" i="46"/>
  <c r="E109" i="46"/>
  <c r="F109" i="46"/>
  <c r="G109" i="46"/>
  <c r="H109" i="46"/>
  <c r="I109" i="46"/>
  <c r="J109" i="46"/>
  <c r="K109" i="46"/>
  <c r="L109" i="46"/>
  <c r="M109" i="46"/>
  <c r="N109" i="46"/>
  <c r="O109" i="46"/>
  <c r="P109" i="46"/>
  <c r="Q109" i="46"/>
  <c r="R109" i="46"/>
  <c r="S109" i="46"/>
  <c r="D110" i="46"/>
  <c r="E110" i="46"/>
  <c r="F110" i="46"/>
  <c r="G110" i="46"/>
  <c r="H110" i="46"/>
  <c r="I110" i="46"/>
  <c r="J110" i="46"/>
  <c r="K110" i="46"/>
  <c r="L110" i="46"/>
  <c r="M110" i="46"/>
  <c r="N110" i="46"/>
  <c r="O110" i="46"/>
  <c r="P110" i="46"/>
  <c r="Q110" i="46"/>
  <c r="R110" i="46"/>
  <c r="S110" i="46"/>
  <c r="D111" i="46"/>
  <c r="E111" i="46"/>
  <c r="F111" i="46"/>
  <c r="G111" i="46"/>
  <c r="H111" i="46"/>
  <c r="I111" i="46"/>
  <c r="J111" i="46"/>
  <c r="K111" i="46"/>
  <c r="L111" i="46"/>
  <c r="M111" i="46"/>
  <c r="N111" i="46"/>
  <c r="O111" i="46"/>
  <c r="P111" i="46"/>
  <c r="Q111" i="46"/>
  <c r="R111" i="46"/>
  <c r="S111" i="46"/>
  <c r="D99" i="46"/>
  <c r="E99" i="46"/>
  <c r="F99" i="46"/>
  <c r="G99" i="46"/>
  <c r="H99" i="46"/>
  <c r="I99" i="46"/>
  <c r="J99" i="46"/>
  <c r="K99" i="46"/>
  <c r="L99" i="46"/>
  <c r="M99" i="46"/>
  <c r="N99" i="46"/>
  <c r="O99" i="46"/>
  <c r="P99" i="46"/>
  <c r="Q99" i="46"/>
  <c r="R99" i="46"/>
  <c r="S99" i="46"/>
  <c r="D100" i="46"/>
  <c r="E100" i="46"/>
  <c r="F100" i="46"/>
  <c r="G100" i="46"/>
  <c r="H100" i="46"/>
  <c r="I100" i="46"/>
  <c r="J100" i="46"/>
  <c r="K100" i="46"/>
  <c r="L100" i="46"/>
  <c r="M100" i="46"/>
  <c r="N100" i="46"/>
  <c r="O100" i="46"/>
  <c r="P100" i="46"/>
  <c r="Q100" i="46"/>
  <c r="R100" i="46"/>
  <c r="S100" i="46"/>
  <c r="D101" i="46"/>
  <c r="E101" i="46"/>
  <c r="F101" i="46"/>
  <c r="G101" i="46"/>
  <c r="H101" i="46"/>
  <c r="I101" i="46"/>
  <c r="J101" i="46"/>
  <c r="K101" i="46"/>
  <c r="L101" i="46"/>
  <c r="M101" i="46"/>
  <c r="N101" i="46"/>
  <c r="O101" i="46"/>
  <c r="P101" i="46"/>
  <c r="Q101" i="46"/>
  <c r="R101" i="46"/>
  <c r="S101" i="46"/>
  <c r="D102" i="46"/>
  <c r="E102" i="46"/>
  <c r="F102" i="46"/>
  <c r="G102" i="46"/>
  <c r="H102" i="46"/>
  <c r="I102" i="46"/>
  <c r="J102" i="46"/>
  <c r="K102" i="46"/>
  <c r="L102" i="46"/>
  <c r="M102" i="46"/>
  <c r="N102" i="46"/>
  <c r="O102" i="46"/>
  <c r="P102" i="46"/>
  <c r="Q102" i="46"/>
  <c r="R102" i="46"/>
  <c r="S102" i="46"/>
  <c r="D103" i="46"/>
  <c r="E103" i="46"/>
  <c r="F103" i="46"/>
  <c r="G103" i="46"/>
  <c r="H103" i="46"/>
  <c r="I103" i="46"/>
  <c r="J103" i="46"/>
  <c r="K103" i="46"/>
  <c r="L103" i="46"/>
  <c r="M103" i="46"/>
  <c r="N103" i="46"/>
  <c r="O103" i="46"/>
  <c r="P103" i="46"/>
  <c r="Q103" i="46"/>
  <c r="R103" i="46"/>
  <c r="S103" i="46"/>
  <c r="C99" i="46"/>
  <c r="C100" i="46"/>
  <c r="C101" i="46"/>
  <c r="C102" i="46"/>
  <c r="C103" i="46"/>
  <c r="C105" i="46"/>
  <c r="C106" i="46"/>
  <c r="C107" i="46"/>
  <c r="C108" i="46"/>
  <c r="C109" i="46"/>
  <c r="C110" i="46"/>
  <c r="C111" i="46"/>
  <c r="C113" i="46"/>
  <c r="C115" i="46"/>
  <c r="C117" i="46"/>
  <c r="C119" i="46"/>
  <c r="C120" i="46"/>
  <c r="C121" i="46"/>
  <c r="C122" i="46"/>
  <c r="A35" i="46"/>
  <c r="H61" i="46"/>
  <c r="I61" i="46"/>
  <c r="J61" i="46"/>
  <c r="K61" i="46"/>
  <c r="L61" i="46"/>
  <c r="M61" i="46"/>
  <c r="N61" i="46"/>
  <c r="O61" i="46"/>
  <c r="P61" i="46"/>
  <c r="Q61" i="46"/>
  <c r="R61" i="46"/>
  <c r="S61" i="46"/>
  <c r="H58" i="46"/>
  <c r="I58" i="46"/>
  <c r="J58" i="46"/>
  <c r="K58" i="46"/>
  <c r="L58" i="46"/>
  <c r="M58" i="46"/>
  <c r="N58" i="46"/>
  <c r="O58" i="46"/>
  <c r="P58" i="46"/>
  <c r="Q58" i="46"/>
  <c r="R58" i="46"/>
  <c r="S58" i="46"/>
  <c r="H59" i="46"/>
  <c r="I59" i="46"/>
  <c r="J59" i="46"/>
  <c r="K59" i="46"/>
  <c r="L59" i="46"/>
  <c r="M59" i="46"/>
  <c r="N59" i="46"/>
  <c r="O59" i="46"/>
  <c r="P59" i="46"/>
  <c r="Q59" i="46"/>
  <c r="R59" i="46"/>
  <c r="S59" i="46"/>
  <c r="H60" i="46"/>
  <c r="I60" i="46"/>
  <c r="J60" i="46"/>
  <c r="K60" i="46"/>
  <c r="L60" i="46"/>
  <c r="M60" i="46"/>
  <c r="N60" i="46"/>
  <c r="O60" i="46"/>
  <c r="P60" i="46"/>
  <c r="Q60" i="46"/>
  <c r="R60" i="46"/>
  <c r="S60" i="46"/>
  <c r="H62" i="46"/>
  <c r="I62" i="46"/>
  <c r="J62" i="46"/>
  <c r="K62" i="46"/>
  <c r="L62" i="46"/>
  <c r="M62" i="46"/>
  <c r="N62" i="46"/>
  <c r="O62" i="46"/>
  <c r="P62" i="46"/>
  <c r="Q62" i="46"/>
  <c r="R62" i="46"/>
  <c r="S62" i="46"/>
  <c r="H47" i="46"/>
  <c r="I47" i="46"/>
  <c r="J47" i="46"/>
  <c r="K47" i="46"/>
  <c r="L47" i="46"/>
  <c r="M47" i="46"/>
  <c r="N47" i="46"/>
  <c r="O47" i="46"/>
  <c r="P47" i="46"/>
  <c r="Q47" i="46"/>
  <c r="R47" i="46"/>
  <c r="S47" i="46"/>
  <c r="H48" i="46"/>
  <c r="I48" i="46"/>
  <c r="J48" i="46"/>
  <c r="K48" i="46"/>
  <c r="L48" i="46"/>
  <c r="M48" i="46"/>
  <c r="N48" i="46"/>
  <c r="O48" i="46"/>
  <c r="P48" i="46"/>
  <c r="Q48" i="46"/>
  <c r="R48" i="46"/>
  <c r="S48" i="46"/>
  <c r="H49" i="46"/>
  <c r="I49" i="46"/>
  <c r="J49" i="46"/>
  <c r="K49" i="46"/>
  <c r="L49" i="46"/>
  <c r="M49" i="46"/>
  <c r="N49" i="46"/>
  <c r="O49" i="46"/>
  <c r="P49" i="46"/>
  <c r="Q49" i="46"/>
  <c r="R49" i="46"/>
  <c r="S49" i="46"/>
  <c r="H50" i="46"/>
  <c r="I50" i="46"/>
  <c r="J50" i="46"/>
  <c r="K50" i="46"/>
  <c r="L50" i="46"/>
  <c r="M50" i="46"/>
  <c r="N50" i="46"/>
  <c r="O50" i="46"/>
  <c r="P50" i="46"/>
  <c r="Q50" i="46"/>
  <c r="R50" i="46"/>
  <c r="S50" i="46"/>
  <c r="H44" i="46"/>
  <c r="I44" i="46"/>
  <c r="J44" i="46"/>
  <c r="K44" i="46"/>
  <c r="L44" i="46"/>
  <c r="M44" i="46"/>
  <c r="N44" i="46"/>
  <c r="O44" i="46"/>
  <c r="P44" i="46"/>
  <c r="Q44" i="46"/>
  <c r="R44" i="46"/>
  <c r="S44" i="46"/>
  <c r="J303" i="3" l="1"/>
  <c r="BA139" i="4"/>
  <c r="N26" i="32" l="1"/>
  <c r="Z26" i="32" l="1"/>
  <c r="H56" i="46" l="1"/>
  <c r="I56" i="46"/>
  <c r="J56" i="46"/>
  <c r="K56" i="46"/>
  <c r="L56" i="46"/>
  <c r="M56" i="46"/>
  <c r="N56" i="46"/>
  <c r="O56" i="46"/>
  <c r="P56" i="46"/>
  <c r="Q56" i="46"/>
  <c r="R56" i="46"/>
  <c r="S56" i="46"/>
  <c r="H54" i="46"/>
  <c r="I54" i="46"/>
  <c r="J54" i="46"/>
  <c r="K54" i="46"/>
  <c r="L54" i="46"/>
  <c r="M54" i="46"/>
  <c r="N54" i="46"/>
  <c r="O54" i="46"/>
  <c r="P54" i="46"/>
  <c r="Q54" i="46"/>
  <c r="R54" i="46"/>
  <c r="S54" i="46"/>
  <c r="H52" i="46"/>
  <c r="I52" i="46"/>
  <c r="J52" i="46"/>
  <c r="K52" i="46"/>
  <c r="L52" i="46"/>
  <c r="M52" i="46"/>
  <c r="N52" i="46"/>
  <c r="O52" i="46"/>
  <c r="P52" i="46"/>
  <c r="Q52" i="46"/>
  <c r="R52" i="46"/>
  <c r="S52" i="46"/>
  <c r="H45" i="46"/>
  <c r="I45" i="46"/>
  <c r="J45" i="46"/>
  <c r="K45" i="46"/>
  <c r="L45" i="46"/>
  <c r="M45" i="46"/>
  <c r="N45" i="46"/>
  <c r="O45" i="46"/>
  <c r="P45" i="46"/>
  <c r="Q45" i="46"/>
  <c r="R45" i="46"/>
  <c r="S45" i="46"/>
  <c r="H46" i="46"/>
  <c r="I46" i="46"/>
  <c r="J46" i="46"/>
  <c r="K46" i="46"/>
  <c r="L46" i="46"/>
  <c r="M46" i="46"/>
  <c r="N46" i="46"/>
  <c r="O46" i="46"/>
  <c r="P46" i="46"/>
  <c r="Q46" i="46"/>
  <c r="R46" i="46"/>
  <c r="S46" i="46"/>
  <c r="H40" i="48" l="1"/>
  <c r="H39" i="48"/>
  <c r="H38" i="48"/>
  <c r="H37" i="48"/>
  <c r="H36" i="48"/>
  <c r="H35" i="48"/>
  <c r="H34" i="48"/>
  <c r="H33" i="48"/>
  <c r="H32" i="48"/>
  <c r="H31" i="48"/>
  <c r="H30" i="48"/>
  <c r="H29" i="48"/>
  <c r="H28" i="48"/>
  <c r="H27" i="48"/>
  <c r="C72" i="48" s="1"/>
  <c r="C81" i="46" s="1"/>
  <c r="H26" i="48"/>
  <c r="H25" i="48"/>
  <c r="H24" i="48"/>
  <c r="H23" i="48"/>
  <c r="H22" i="48"/>
  <c r="H21" i="48"/>
  <c r="H20" i="48"/>
  <c r="H19" i="48"/>
  <c r="H18" i="48"/>
  <c r="H17" i="48"/>
  <c r="H16" i="48"/>
  <c r="H15" i="48"/>
  <c r="H14" i="48"/>
  <c r="H9" i="48"/>
  <c r="C60" i="48" s="1"/>
  <c r="C69" i="46" s="1"/>
  <c r="H50" i="48"/>
  <c r="H49" i="48"/>
  <c r="H48" i="48"/>
  <c r="P105" i="53" l="1"/>
  <c r="L370" i="3" l="1"/>
  <c r="I292" i="35" s="1"/>
  <c r="S104" i="3" l="1"/>
  <c r="AB156" i="4" l="1"/>
  <c r="AC156" i="4"/>
  <c r="AA156" i="4"/>
  <c r="AF156" i="4" l="1"/>
  <c r="I156" i="4"/>
  <c r="H156" i="4"/>
  <c r="G156" i="4"/>
  <c r="F156" i="4"/>
  <c r="E156" i="4"/>
  <c r="AW138" i="4" l="1"/>
  <c r="AV138" i="4"/>
  <c r="AB138" i="4" l="1"/>
  <c r="AA138" i="4"/>
  <c r="AF138" i="4" l="1"/>
  <c r="Q138" i="4"/>
  <c r="P138" i="4"/>
  <c r="U138" i="4" l="1"/>
  <c r="F138" i="4"/>
  <c r="E138" i="4"/>
  <c r="M30" i="35" l="1"/>
  <c r="L261" i="35" l="1"/>
  <c r="F172" i="9" l="1"/>
  <c r="L297" i="9"/>
  <c r="L294" i="9"/>
  <c r="F250" i="9"/>
  <c r="F252" i="9" s="1"/>
  <c r="G250" i="9"/>
  <c r="G252" i="9" s="1"/>
  <c r="H250" i="9"/>
  <c r="H252" i="9" s="1"/>
  <c r="I250" i="9"/>
  <c r="I252" i="9" s="1"/>
  <c r="J250" i="9"/>
  <c r="J252" i="9" s="1"/>
  <c r="L248" i="9"/>
  <c r="L250" i="9" s="1"/>
  <c r="L252" i="9" s="1"/>
  <c r="F245" i="9"/>
  <c r="G245" i="9"/>
  <c r="H245" i="9"/>
  <c r="H247" i="9" s="1"/>
  <c r="I245" i="9"/>
  <c r="J245" i="9"/>
  <c r="L243" i="9"/>
  <c r="L245" i="9" s="1"/>
  <c r="J242" i="9"/>
  <c r="I242" i="9"/>
  <c r="H242" i="9"/>
  <c r="G242" i="9"/>
  <c r="G247" i="9" s="1"/>
  <c r="F242" i="9"/>
  <c r="E242" i="9"/>
  <c r="L240" i="9"/>
  <c r="L242" i="9" s="1"/>
  <c r="K240" i="9"/>
  <c r="K242" i="9" s="1"/>
  <c r="F213" i="9"/>
  <c r="G213" i="9"/>
  <c r="H213" i="9"/>
  <c r="I213" i="9"/>
  <c r="J213" i="9"/>
  <c r="L211" i="9"/>
  <c r="N211" i="9" s="1"/>
  <c r="N213" i="9" s="1"/>
  <c r="F210" i="9"/>
  <c r="G210" i="9"/>
  <c r="H210" i="9"/>
  <c r="I210" i="9"/>
  <c r="J210" i="9"/>
  <c r="L208" i="9"/>
  <c r="L210" i="9" s="1"/>
  <c r="F164" i="9"/>
  <c r="G164" i="9"/>
  <c r="H164" i="9"/>
  <c r="I164" i="9"/>
  <c r="J164" i="9"/>
  <c r="L162" i="9"/>
  <c r="L164" i="9" s="1"/>
  <c r="F161" i="9"/>
  <c r="G161" i="9"/>
  <c r="H161" i="9"/>
  <c r="I161" i="9"/>
  <c r="J161" i="9"/>
  <c r="L159" i="9"/>
  <c r="L161" i="9" s="1"/>
  <c r="F129" i="9"/>
  <c r="G129" i="9"/>
  <c r="H129" i="9"/>
  <c r="I129" i="9"/>
  <c r="J129" i="9"/>
  <c r="L127" i="9"/>
  <c r="N127" i="9" s="1"/>
  <c r="N129" i="9" s="1"/>
  <c r="F118" i="9"/>
  <c r="G118" i="9"/>
  <c r="H118" i="9"/>
  <c r="I118" i="9"/>
  <c r="J118" i="9"/>
  <c r="L116" i="9"/>
  <c r="N116" i="9" s="1"/>
  <c r="N118" i="9" s="1"/>
  <c r="F115" i="9"/>
  <c r="G115" i="9"/>
  <c r="H115" i="9"/>
  <c r="I115" i="9"/>
  <c r="J115" i="9"/>
  <c r="L114" i="9"/>
  <c r="N114" i="9" s="1"/>
  <c r="L113" i="9"/>
  <c r="N113" i="9" s="1"/>
  <c r="K113" i="9"/>
  <c r="M113" i="9" s="1"/>
  <c r="K110" i="9"/>
  <c r="M110" i="9" s="1"/>
  <c r="F36" i="9"/>
  <c r="G36" i="9"/>
  <c r="H36" i="9"/>
  <c r="I36" i="9"/>
  <c r="J36" i="9"/>
  <c r="L34" i="9"/>
  <c r="N34" i="9" s="1"/>
  <c r="N36" i="9" s="1"/>
  <c r="F33" i="9"/>
  <c r="G33" i="9"/>
  <c r="H33" i="9"/>
  <c r="I33" i="9"/>
  <c r="J33" i="9"/>
  <c r="L31" i="9"/>
  <c r="L33" i="9" s="1"/>
  <c r="K31" i="9"/>
  <c r="L28" i="9"/>
  <c r="L30" i="9" s="1"/>
  <c r="F30" i="9"/>
  <c r="G30" i="9"/>
  <c r="H30" i="9"/>
  <c r="I30" i="9"/>
  <c r="J30" i="9"/>
  <c r="J38" i="9" s="1"/>
  <c r="P8" i="8"/>
  <c r="J120" i="9" l="1"/>
  <c r="H218" i="9"/>
  <c r="G218" i="9"/>
  <c r="I38" i="9"/>
  <c r="H120" i="9"/>
  <c r="J169" i="9"/>
  <c r="F218" i="9"/>
  <c r="F120" i="9"/>
  <c r="F169" i="9"/>
  <c r="N31" i="9"/>
  <c r="N33" i="9" s="1"/>
  <c r="L36" i="9"/>
  <c r="L38" i="9" s="1"/>
  <c r="G169" i="9"/>
  <c r="H38" i="9"/>
  <c r="G38" i="9"/>
  <c r="L129" i="9"/>
  <c r="I218" i="9"/>
  <c r="I247" i="9"/>
  <c r="N162" i="9"/>
  <c r="N164" i="9" s="1"/>
  <c r="J218" i="9"/>
  <c r="I169" i="9"/>
  <c r="F247" i="9"/>
  <c r="H169" i="9"/>
  <c r="F38" i="9"/>
  <c r="L118" i="9"/>
  <c r="J247" i="9"/>
  <c r="L247" i="9"/>
  <c r="N243" i="9"/>
  <c r="N245" i="9" s="1"/>
  <c r="L115" i="9"/>
  <c r="L169" i="9"/>
  <c r="N159" i="9"/>
  <c r="N161" i="9" s="1"/>
  <c r="M240" i="9"/>
  <c r="M242" i="9" s="1"/>
  <c r="N115" i="9"/>
  <c r="N120" i="9" s="1"/>
  <c r="I23" i="26" s="1"/>
  <c r="N240" i="9"/>
  <c r="N242" i="9" s="1"/>
  <c r="N248" i="9"/>
  <c r="N250" i="9" s="1"/>
  <c r="N252" i="9" s="1"/>
  <c r="R21" i="26" s="1"/>
  <c r="N28" i="9"/>
  <c r="N30" i="9" s="1"/>
  <c r="L213" i="9"/>
  <c r="L218" i="9" s="1"/>
  <c r="N208" i="9"/>
  <c r="N210" i="9" s="1"/>
  <c r="N218" i="9" s="1"/>
  <c r="L23" i="26" s="1"/>
  <c r="N38" i="9" l="1"/>
  <c r="F23" i="26" s="1"/>
  <c r="L120" i="9"/>
  <c r="N169" i="9"/>
  <c r="O23" i="26" s="1"/>
  <c r="N247" i="9"/>
  <c r="R23" i="26" s="1"/>
  <c r="AA23" i="26" l="1"/>
  <c r="I37" i="39"/>
  <c r="G311" i="3" l="1"/>
  <c r="H42" i="36" s="1"/>
  <c r="F8" i="39"/>
  <c r="G8" i="39" s="1"/>
  <c r="H8" i="39" s="1"/>
  <c r="P38" i="30" l="1"/>
  <c r="P37" i="30"/>
  <c r="P33" i="30"/>
  <c r="P32" i="30"/>
  <c r="P31" i="30" l="1"/>
  <c r="G50" i="30" l="1"/>
  <c r="D11" i="32" s="1"/>
  <c r="B50" i="32" s="1"/>
  <c r="J37" i="39" l="1"/>
  <c r="O412" i="3" l="1"/>
  <c r="BA32" i="33" l="1"/>
  <c r="AY32" i="33"/>
  <c r="AX32" i="33"/>
  <c r="AW32" i="33"/>
  <c r="AV32" i="33"/>
  <c r="AU32" i="33"/>
  <c r="AT32" i="33"/>
  <c r="O67" i="33" s="1"/>
  <c r="AS32" i="33"/>
  <c r="O66" i="33" s="1"/>
  <c r="AR32" i="33"/>
  <c r="O65" i="33" s="1"/>
  <c r="AQ32" i="33"/>
  <c r="O64" i="33" s="1"/>
  <c r="AP32" i="33"/>
  <c r="O63" i="33" s="1"/>
  <c r="AO32" i="33"/>
  <c r="O62" i="33" s="1"/>
  <c r="AN32" i="33"/>
  <c r="O61" i="33" s="1"/>
  <c r="AM32" i="33"/>
  <c r="O60" i="33" s="1"/>
  <c r="AL32" i="33"/>
  <c r="O59" i="33" s="1"/>
  <c r="AK32" i="33"/>
  <c r="O58" i="33" s="1"/>
  <c r="AJ32" i="33"/>
  <c r="O57" i="33" s="1"/>
  <c r="AI32" i="33"/>
  <c r="O56" i="33" s="1"/>
  <c r="AH32" i="33"/>
  <c r="O55" i="33" s="1"/>
  <c r="AG32" i="33"/>
  <c r="AF32" i="33"/>
  <c r="AE32" i="33"/>
  <c r="AD32" i="33"/>
  <c r="AC32" i="33"/>
  <c r="AB32" i="33"/>
  <c r="AA32" i="33"/>
  <c r="Z32" i="33"/>
  <c r="Y32" i="33"/>
  <c r="X32" i="33"/>
  <c r="W32" i="33"/>
  <c r="V32" i="33"/>
  <c r="U32" i="33"/>
  <c r="T32" i="33"/>
  <c r="S32" i="33"/>
  <c r="R32" i="33"/>
  <c r="Q32" i="33"/>
  <c r="P32" i="33"/>
  <c r="O32" i="33"/>
  <c r="N32" i="33"/>
  <c r="AH31" i="33"/>
  <c r="N31" i="33"/>
  <c r="J50" i="33" l="1"/>
  <c r="K50" i="33" s="1"/>
  <c r="O54" i="33"/>
  <c r="O53" i="33"/>
  <c r="O51" i="33"/>
  <c r="O52" i="33"/>
  <c r="AZ32" i="33"/>
  <c r="M32" i="33"/>
  <c r="O68" i="33" l="1"/>
  <c r="F81" i="35"/>
  <c r="E81" i="35"/>
  <c r="I46" i="33"/>
  <c r="E253" i="46"/>
  <c r="F253" i="46" s="1"/>
  <c r="G253" i="46" s="1"/>
  <c r="H253" i="46" s="1"/>
  <c r="I253" i="46" s="1"/>
  <c r="J253" i="46" s="1"/>
  <c r="K253" i="46" s="1"/>
  <c r="L253" i="46" s="1"/>
  <c r="M253" i="46" s="1"/>
  <c r="N253" i="46" s="1"/>
  <c r="O253" i="46" s="1"/>
  <c r="P253" i="46" s="1"/>
  <c r="Q253" i="46" s="1"/>
  <c r="R253" i="46" s="1"/>
  <c r="S253" i="46" s="1"/>
  <c r="F252" i="46"/>
  <c r="G252" i="46" s="1"/>
  <c r="H252" i="46" s="1"/>
  <c r="I252" i="46" s="1"/>
  <c r="J252" i="46" s="1"/>
  <c r="K252" i="46" s="1"/>
  <c r="L252" i="46" s="1"/>
  <c r="M252" i="46" s="1"/>
  <c r="N252" i="46" s="1"/>
  <c r="O252" i="46" s="1"/>
  <c r="P252" i="46" s="1"/>
  <c r="Q252" i="46" s="1"/>
  <c r="R252" i="46" s="1"/>
  <c r="S252" i="46" s="1"/>
  <c r="E192" i="46"/>
  <c r="F192" i="46" s="1"/>
  <c r="G192" i="46" s="1"/>
  <c r="H192" i="46" s="1"/>
  <c r="I192" i="46" s="1"/>
  <c r="J192" i="46" s="1"/>
  <c r="K192" i="46" s="1"/>
  <c r="L192" i="46" s="1"/>
  <c r="M192" i="46" s="1"/>
  <c r="N192" i="46" s="1"/>
  <c r="O192" i="46" s="1"/>
  <c r="P192" i="46" s="1"/>
  <c r="Q192" i="46" s="1"/>
  <c r="R192" i="46" s="1"/>
  <c r="S192" i="46" s="1"/>
  <c r="F191" i="46"/>
  <c r="G191" i="46" s="1"/>
  <c r="H191" i="46" s="1"/>
  <c r="I191" i="46" s="1"/>
  <c r="J191" i="46" s="1"/>
  <c r="K191" i="46" s="1"/>
  <c r="L191" i="46" s="1"/>
  <c r="M191" i="46" s="1"/>
  <c r="N191" i="46" s="1"/>
  <c r="O191" i="46" s="1"/>
  <c r="P191" i="46" s="1"/>
  <c r="Q191" i="46" s="1"/>
  <c r="R191" i="46" s="1"/>
  <c r="S191" i="46" s="1"/>
  <c r="B173" i="46"/>
  <c r="B235" i="46" s="1"/>
  <c r="B296" i="46" s="1"/>
  <c r="B172" i="46"/>
  <c r="B234" i="46" s="1"/>
  <c r="B295" i="46" s="1"/>
  <c r="B171" i="46"/>
  <c r="B233" i="46" s="1"/>
  <c r="B294" i="46" s="1"/>
  <c r="B170" i="46"/>
  <c r="B232" i="46" s="1"/>
  <c r="B293" i="46" s="1"/>
  <c r="B169" i="46"/>
  <c r="B231" i="46" s="1"/>
  <c r="B292" i="46" s="1"/>
  <c r="B168" i="46"/>
  <c r="B230" i="46" s="1"/>
  <c r="B291" i="46" s="1"/>
  <c r="B167" i="46"/>
  <c r="B229" i="46" s="1"/>
  <c r="B290" i="46" s="1"/>
  <c r="E130" i="46"/>
  <c r="F130" i="46" s="1"/>
  <c r="G130" i="46" s="1"/>
  <c r="H130" i="46" s="1"/>
  <c r="I130" i="46" s="1"/>
  <c r="J130" i="46" s="1"/>
  <c r="K130" i="46" s="1"/>
  <c r="L130" i="46" s="1"/>
  <c r="M130" i="46" s="1"/>
  <c r="N130" i="46" s="1"/>
  <c r="O130" i="46" s="1"/>
  <c r="P130" i="46" s="1"/>
  <c r="Q130" i="46" s="1"/>
  <c r="R130" i="46" s="1"/>
  <c r="S130" i="46" s="1"/>
  <c r="F129" i="46"/>
  <c r="G129" i="46" s="1"/>
  <c r="H129" i="46" s="1"/>
  <c r="I129" i="46" s="1"/>
  <c r="J129" i="46" s="1"/>
  <c r="K129" i="46" s="1"/>
  <c r="L129" i="46" s="1"/>
  <c r="M129" i="46" s="1"/>
  <c r="N129" i="46" s="1"/>
  <c r="O129" i="46" s="1"/>
  <c r="P129" i="46" s="1"/>
  <c r="Q129" i="46" s="1"/>
  <c r="R129" i="46" s="1"/>
  <c r="S129" i="46" s="1"/>
  <c r="E68" i="46"/>
  <c r="F68" i="46" s="1"/>
  <c r="G68" i="46" s="1"/>
  <c r="H68" i="46" s="1"/>
  <c r="I68" i="46" s="1"/>
  <c r="J68" i="46" s="1"/>
  <c r="K68" i="46" s="1"/>
  <c r="L68" i="46" s="1"/>
  <c r="M68" i="46" s="1"/>
  <c r="N68" i="46" s="1"/>
  <c r="O68" i="46" s="1"/>
  <c r="P68" i="46" s="1"/>
  <c r="Q68" i="46" s="1"/>
  <c r="R68" i="46" s="1"/>
  <c r="S68" i="46" s="1"/>
  <c r="F67" i="46"/>
  <c r="G67" i="46" s="1"/>
  <c r="H67" i="46" s="1"/>
  <c r="I67" i="46" s="1"/>
  <c r="J67" i="46" s="1"/>
  <c r="K67" i="46" s="1"/>
  <c r="L67" i="46" s="1"/>
  <c r="M67" i="46" s="1"/>
  <c r="N67" i="46" s="1"/>
  <c r="O67" i="46" s="1"/>
  <c r="P67" i="46" s="1"/>
  <c r="Q67" i="46" s="1"/>
  <c r="R67" i="46" s="1"/>
  <c r="S67" i="46" s="1"/>
  <c r="S247" i="46"/>
  <c r="R247" i="46"/>
  <c r="Q247" i="46"/>
  <c r="P247" i="46"/>
  <c r="O247" i="46"/>
  <c r="N247" i="46"/>
  <c r="M247" i="46"/>
  <c r="L247" i="46"/>
  <c r="K247" i="46"/>
  <c r="J247" i="46"/>
  <c r="I247" i="46"/>
  <c r="H247" i="46"/>
  <c r="G247" i="46"/>
  <c r="F247" i="46"/>
  <c r="E247" i="46"/>
  <c r="D247" i="46"/>
  <c r="C247" i="46"/>
  <c r="S246" i="46"/>
  <c r="S307" i="46" s="1"/>
  <c r="R246" i="46"/>
  <c r="Q246" i="46"/>
  <c r="Q307" i="46" s="1"/>
  <c r="P246" i="46"/>
  <c r="O246" i="46"/>
  <c r="N246" i="46"/>
  <c r="M246" i="46"/>
  <c r="L246" i="46"/>
  <c r="K246" i="46"/>
  <c r="K307" i="46" s="1"/>
  <c r="J246" i="46"/>
  <c r="I246" i="46"/>
  <c r="I307" i="46" s="1"/>
  <c r="H246" i="46"/>
  <c r="G246" i="46"/>
  <c r="F246" i="46"/>
  <c r="E246" i="46"/>
  <c r="D246" i="46"/>
  <c r="C246" i="46"/>
  <c r="C307" i="46" s="1"/>
  <c r="S245" i="46"/>
  <c r="R245" i="46"/>
  <c r="R306" i="46" s="1"/>
  <c r="Q245" i="46"/>
  <c r="P245" i="46"/>
  <c r="O245" i="46"/>
  <c r="N245" i="46"/>
  <c r="M245" i="46"/>
  <c r="L245" i="46"/>
  <c r="L306" i="46" s="1"/>
  <c r="K245" i="46"/>
  <c r="J245" i="46"/>
  <c r="J306" i="46" s="1"/>
  <c r="I245" i="46"/>
  <c r="H245" i="46"/>
  <c r="G245" i="46"/>
  <c r="F245" i="46"/>
  <c r="E245" i="46"/>
  <c r="D245" i="46"/>
  <c r="D306" i="46" s="1"/>
  <c r="C245" i="46"/>
  <c r="S244" i="46"/>
  <c r="S305" i="46" s="1"/>
  <c r="R244" i="46"/>
  <c r="Q244" i="46"/>
  <c r="P244" i="46"/>
  <c r="O244" i="46"/>
  <c r="N244" i="46"/>
  <c r="M244" i="46"/>
  <c r="M305" i="46" s="1"/>
  <c r="L244" i="46"/>
  <c r="K244" i="46"/>
  <c r="K305" i="46" s="1"/>
  <c r="J244" i="46"/>
  <c r="I244" i="46"/>
  <c r="H244" i="46"/>
  <c r="G244" i="46"/>
  <c r="F244" i="46"/>
  <c r="E244" i="46"/>
  <c r="E305" i="46" s="1"/>
  <c r="D244" i="46"/>
  <c r="C244" i="46"/>
  <c r="C305" i="46" s="1"/>
  <c r="S243" i="46"/>
  <c r="R243" i="46"/>
  <c r="Q243" i="46"/>
  <c r="P243" i="46"/>
  <c r="O243" i="46"/>
  <c r="N243" i="46"/>
  <c r="N304" i="46" s="1"/>
  <c r="M243" i="46"/>
  <c r="L243" i="46"/>
  <c r="L304" i="46" s="1"/>
  <c r="K243" i="46"/>
  <c r="J243" i="46"/>
  <c r="I243" i="46"/>
  <c r="H243" i="46"/>
  <c r="G243" i="46"/>
  <c r="F243" i="46"/>
  <c r="F304" i="46" s="1"/>
  <c r="E243" i="46"/>
  <c r="D243" i="46"/>
  <c r="D304" i="46" s="1"/>
  <c r="C243" i="46"/>
  <c r="S241" i="46"/>
  <c r="R241" i="46"/>
  <c r="Q241" i="46"/>
  <c r="P241" i="46"/>
  <c r="O241" i="46"/>
  <c r="O302" i="46" s="1"/>
  <c r="N241" i="46"/>
  <c r="M241" i="46"/>
  <c r="M302" i="46" s="1"/>
  <c r="L241" i="46"/>
  <c r="K241" i="46"/>
  <c r="J241" i="46"/>
  <c r="I241" i="46"/>
  <c r="H241" i="46"/>
  <c r="G241" i="46"/>
  <c r="G302" i="46" s="1"/>
  <c r="F241" i="46"/>
  <c r="E241" i="46"/>
  <c r="E302" i="46" s="1"/>
  <c r="D241" i="46"/>
  <c r="C241" i="46"/>
  <c r="S239" i="46"/>
  <c r="R239" i="46"/>
  <c r="Q239" i="46"/>
  <c r="P239" i="46"/>
  <c r="P300" i="46" s="1"/>
  <c r="O239" i="46"/>
  <c r="N239" i="46"/>
  <c r="N300" i="46" s="1"/>
  <c r="M239" i="46"/>
  <c r="L239" i="46"/>
  <c r="K239" i="46"/>
  <c r="J239" i="46"/>
  <c r="I239" i="46"/>
  <c r="H239" i="46"/>
  <c r="H300" i="46" s="1"/>
  <c r="G239" i="46"/>
  <c r="F239" i="46"/>
  <c r="F300" i="46" s="1"/>
  <c r="D239" i="46"/>
  <c r="C239" i="46"/>
  <c r="S237" i="46"/>
  <c r="R237" i="46"/>
  <c r="Q237" i="46"/>
  <c r="Q298" i="46" s="1"/>
  <c r="P237" i="46"/>
  <c r="O237" i="46"/>
  <c r="O298" i="46" s="1"/>
  <c r="N237" i="46"/>
  <c r="M237" i="46"/>
  <c r="L237" i="46"/>
  <c r="K237" i="46"/>
  <c r="J237" i="46"/>
  <c r="I237" i="46"/>
  <c r="I298" i="46" s="1"/>
  <c r="H237" i="46"/>
  <c r="G237" i="46"/>
  <c r="G298" i="46" s="1"/>
  <c r="F237" i="46"/>
  <c r="E237" i="46"/>
  <c r="D237" i="46"/>
  <c r="C237" i="46"/>
  <c r="S235" i="46"/>
  <c r="R235" i="46"/>
  <c r="R296" i="46" s="1"/>
  <c r="Q235" i="46"/>
  <c r="P235" i="46"/>
  <c r="P296" i="46" s="1"/>
  <c r="O235" i="46"/>
  <c r="N235" i="46"/>
  <c r="M235" i="46"/>
  <c r="L235" i="46"/>
  <c r="K235" i="46"/>
  <c r="J235" i="46"/>
  <c r="J296" i="46" s="1"/>
  <c r="I235" i="46"/>
  <c r="H235" i="46"/>
  <c r="H296" i="46" s="1"/>
  <c r="G235" i="46"/>
  <c r="F235" i="46"/>
  <c r="E235" i="46"/>
  <c r="D235" i="46"/>
  <c r="C235" i="46"/>
  <c r="S234" i="46"/>
  <c r="S295" i="46" s="1"/>
  <c r="R234" i="46"/>
  <c r="Q234" i="46"/>
  <c r="Q295" i="46" s="1"/>
  <c r="P234" i="46"/>
  <c r="O234" i="46"/>
  <c r="N234" i="46"/>
  <c r="M234" i="46"/>
  <c r="L234" i="46"/>
  <c r="K234" i="46"/>
  <c r="K295" i="46" s="1"/>
  <c r="J234" i="46"/>
  <c r="I234" i="46"/>
  <c r="I295" i="46" s="1"/>
  <c r="H234" i="46"/>
  <c r="G234" i="46"/>
  <c r="F234" i="46"/>
  <c r="E234" i="46"/>
  <c r="D234" i="46"/>
  <c r="C234" i="46"/>
  <c r="C295" i="46" s="1"/>
  <c r="S233" i="46"/>
  <c r="R233" i="46"/>
  <c r="R294" i="46" s="1"/>
  <c r="Q233" i="46"/>
  <c r="P233" i="46"/>
  <c r="O233" i="46"/>
  <c r="N233" i="46"/>
  <c r="M233" i="46"/>
  <c r="L233" i="46"/>
  <c r="L294" i="46" s="1"/>
  <c r="K233" i="46"/>
  <c r="J233" i="46"/>
  <c r="J294" i="46" s="1"/>
  <c r="I233" i="46"/>
  <c r="H233" i="46"/>
  <c r="G233" i="46"/>
  <c r="F233" i="46"/>
  <c r="E233" i="46"/>
  <c r="D233" i="46"/>
  <c r="D294" i="46" s="1"/>
  <c r="C233" i="46"/>
  <c r="S232" i="46"/>
  <c r="S293" i="46" s="1"/>
  <c r="R232" i="46"/>
  <c r="Q232" i="46"/>
  <c r="P232" i="46"/>
  <c r="O232" i="46"/>
  <c r="N232" i="46"/>
  <c r="M232" i="46"/>
  <c r="M293" i="46" s="1"/>
  <c r="L232" i="46"/>
  <c r="K232" i="46"/>
  <c r="K293" i="46" s="1"/>
  <c r="J232" i="46"/>
  <c r="I232" i="46"/>
  <c r="H232" i="46"/>
  <c r="G232" i="46"/>
  <c r="F232" i="46"/>
  <c r="E232" i="46"/>
  <c r="E293" i="46" s="1"/>
  <c r="D232" i="46"/>
  <c r="C232" i="46"/>
  <c r="C293" i="46" s="1"/>
  <c r="S231" i="46"/>
  <c r="R231" i="46"/>
  <c r="Q231" i="46"/>
  <c r="P231" i="46"/>
  <c r="O231" i="46"/>
  <c r="N231" i="46"/>
  <c r="N292" i="46" s="1"/>
  <c r="M231" i="46"/>
  <c r="L231" i="46"/>
  <c r="L292" i="46" s="1"/>
  <c r="K231" i="46"/>
  <c r="J231" i="46"/>
  <c r="I231" i="46"/>
  <c r="H231" i="46"/>
  <c r="G231" i="46"/>
  <c r="F231" i="46"/>
  <c r="F292" i="46" s="1"/>
  <c r="E231" i="46"/>
  <c r="D231" i="46"/>
  <c r="D292" i="46" s="1"/>
  <c r="C231" i="46"/>
  <c r="S230" i="46"/>
  <c r="R230" i="46"/>
  <c r="Q230" i="46"/>
  <c r="P230" i="46"/>
  <c r="O230" i="46"/>
  <c r="O291" i="46" s="1"/>
  <c r="N230" i="46"/>
  <c r="M230" i="46"/>
  <c r="M291" i="46" s="1"/>
  <c r="L230" i="46"/>
  <c r="K230" i="46"/>
  <c r="J230" i="46"/>
  <c r="I230" i="46"/>
  <c r="H230" i="46"/>
  <c r="G230" i="46"/>
  <c r="G291" i="46" s="1"/>
  <c r="F230" i="46"/>
  <c r="E230" i="46"/>
  <c r="E291" i="46" s="1"/>
  <c r="D230" i="46"/>
  <c r="C230" i="46"/>
  <c r="S229" i="46"/>
  <c r="R229" i="46"/>
  <c r="Q229" i="46"/>
  <c r="P229" i="46"/>
  <c r="P290" i="46" s="1"/>
  <c r="O229" i="46"/>
  <c r="N229" i="46"/>
  <c r="N290" i="46" s="1"/>
  <c r="M229" i="46"/>
  <c r="L229" i="46"/>
  <c r="K229" i="46"/>
  <c r="J229" i="46"/>
  <c r="I229" i="46"/>
  <c r="H229" i="46"/>
  <c r="H290" i="46" s="1"/>
  <c r="G229" i="46"/>
  <c r="F229" i="46"/>
  <c r="F290" i="46" s="1"/>
  <c r="E229" i="46"/>
  <c r="D229" i="46"/>
  <c r="C229" i="46"/>
  <c r="S227" i="46"/>
  <c r="R227" i="46"/>
  <c r="Q227" i="46"/>
  <c r="Q288" i="46" s="1"/>
  <c r="P227" i="46"/>
  <c r="O227" i="46"/>
  <c r="O288" i="46" s="1"/>
  <c r="N227" i="46"/>
  <c r="M227" i="46"/>
  <c r="L227" i="46"/>
  <c r="K227" i="46"/>
  <c r="J227" i="46"/>
  <c r="I227" i="46"/>
  <c r="I288" i="46" s="1"/>
  <c r="H227" i="46"/>
  <c r="G227" i="46"/>
  <c r="G288" i="46" s="1"/>
  <c r="F227" i="46"/>
  <c r="E227" i="46"/>
  <c r="D227" i="46"/>
  <c r="C227" i="46"/>
  <c r="S226" i="46"/>
  <c r="R226" i="46"/>
  <c r="R287" i="46" s="1"/>
  <c r="Q226" i="46"/>
  <c r="P226" i="46"/>
  <c r="P287" i="46" s="1"/>
  <c r="O226" i="46"/>
  <c r="N226" i="46"/>
  <c r="M226" i="46"/>
  <c r="L226" i="46"/>
  <c r="K226" i="46"/>
  <c r="J226" i="46"/>
  <c r="J287" i="46" s="1"/>
  <c r="I226" i="46"/>
  <c r="H226" i="46"/>
  <c r="H287" i="46" s="1"/>
  <c r="G226" i="46"/>
  <c r="F226" i="46"/>
  <c r="E226" i="46"/>
  <c r="D226" i="46"/>
  <c r="C226" i="46"/>
  <c r="S225" i="46"/>
  <c r="S286" i="46" s="1"/>
  <c r="R225" i="46"/>
  <c r="Q225" i="46"/>
  <c r="Q286" i="46" s="1"/>
  <c r="P225" i="46"/>
  <c r="O225" i="46"/>
  <c r="N225" i="46"/>
  <c r="M225" i="46"/>
  <c r="L225" i="46"/>
  <c r="K225" i="46"/>
  <c r="K286" i="46" s="1"/>
  <c r="J225" i="46"/>
  <c r="I225" i="46"/>
  <c r="I286" i="46" s="1"/>
  <c r="H225" i="46"/>
  <c r="G225" i="46"/>
  <c r="F225" i="46"/>
  <c r="E225" i="46"/>
  <c r="D225" i="46"/>
  <c r="C225" i="46"/>
  <c r="S224" i="46"/>
  <c r="R224" i="46"/>
  <c r="R285" i="46" s="1"/>
  <c r="Q224" i="46"/>
  <c r="P224" i="46"/>
  <c r="O224" i="46"/>
  <c r="N224" i="46"/>
  <c r="M224" i="46"/>
  <c r="L224" i="46"/>
  <c r="K224" i="46"/>
  <c r="J224" i="46"/>
  <c r="J285" i="46" s="1"/>
  <c r="I224" i="46"/>
  <c r="H224" i="46"/>
  <c r="G224" i="46"/>
  <c r="F224" i="46"/>
  <c r="E224" i="46"/>
  <c r="D224" i="46"/>
  <c r="C224" i="46"/>
  <c r="S223" i="46"/>
  <c r="Q223" i="46"/>
  <c r="P223" i="46"/>
  <c r="O223" i="46"/>
  <c r="N223" i="46"/>
  <c r="L223" i="46"/>
  <c r="I223" i="46"/>
  <c r="H223" i="46"/>
  <c r="G223" i="46"/>
  <c r="F223" i="46"/>
  <c r="D223" i="46"/>
  <c r="G213" i="46"/>
  <c r="F213" i="46"/>
  <c r="E213" i="46"/>
  <c r="D213" i="46"/>
  <c r="C213" i="46"/>
  <c r="G195" i="46"/>
  <c r="F195" i="46"/>
  <c r="E195" i="46"/>
  <c r="D195" i="46"/>
  <c r="C195" i="46"/>
  <c r="E7" i="46"/>
  <c r="F7" i="46" s="1"/>
  <c r="G7" i="46" s="1"/>
  <c r="H7" i="46" s="1"/>
  <c r="I7" i="46" s="1"/>
  <c r="J7" i="46" s="1"/>
  <c r="K7" i="46" s="1"/>
  <c r="L7" i="46" s="1"/>
  <c r="M7" i="46" s="1"/>
  <c r="N7" i="46" s="1"/>
  <c r="O7" i="46" s="1"/>
  <c r="P7" i="46" s="1"/>
  <c r="Q7" i="46" s="1"/>
  <c r="R7" i="46" s="1"/>
  <c r="S7" i="46" s="1"/>
  <c r="F6" i="46"/>
  <c r="G6" i="46" s="1"/>
  <c r="H6" i="46" s="1"/>
  <c r="I6" i="46" s="1"/>
  <c r="J6" i="46" s="1"/>
  <c r="K6" i="46" s="1"/>
  <c r="L6" i="46" s="1"/>
  <c r="M6" i="46" s="1"/>
  <c r="N6" i="46" s="1"/>
  <c r="O6" i="46" s="1"/>
  <c r="P6" i="46" s="1"/>
  <c r="Q6" i="46" s="1"/>
  <c r="R6" i="46" s="1"/>
  <c r="S6" i="46" s="1"/>
  <c r="S114" i="48"/>
  <c r="S123" i="46" s="1"/>
  <c r="R114" i="48"/>
  <c r="Q114" i="48"/>
  <c r="Q123" i="46" s="1"/>
  <c r="P114" i="48"/>
  <c r="P123" i="46" s="1"/>
  <c r="O114" i="48"/>
  <c r="O123" i="46" s="1"/>
  <c r="N114" i="48"/>
  <c r="N123" i="46" s="1"/>
  <c r="M114" i="48"/>
  <c r="M123" i="46" s="1"/>
  <c r="L114" i="48"/>
  <c r="L123" i="46" s="1"/>
  <c r="K114" i="48"/>
  <c r="K123" i="46" s="1"/>
  <c r="J114" i="48"/>
  <c r="J123" i="46" s="1"/>
  <c r="I114" i="48"/>
  <c r="I123" i="46" s="1"/>
  <c r="H114" i="48"/>
  <c r="H123" i="46" s="1"/>
  <c r="G114" i="48"/>
  <c r="G123" i="46" s="1"/>
  <c r="F114" i="48"/>
  <c r="F123" i="46" s="1"/>
  <c r="E114" i="48"/>
  <c r="E123" i="46" s="1"/>
  <c r="D114" i="48"/>
  <c r="D123" i="46" s="1"/>
  <c r="C114" i="48"/>
  <c r="C123" i="46" s="1"/>
  <c r="N80" i="48"/>
  <c r="N89" i="46" s="1"/>
  <c r="N151" i="46" s="1"/>
  <c r="R76" i="48"/>
  <c r="R85" i="46" s="1"/>
  <c r="P70" i="48"/>
  <c r="P79" i="46" s="1"/>
  <c r="N70" i="48"/>
  <c r="N79" i="46" s="1"/>
  <c r="N141" i="46" s="1"/>
  <c r="S65" i="48"/>
  <c r="S74" i="46" s="1"/>
  <c r="S136" i="46" s="1"/>
  <c r="M65" i="48"/>
  <c r="M74" i="46" s="1"/>
  <c r="K65" i="48"/>
  <c r="K74" i="46" s="1"/>
  <c r="K136" i="46" s="1"/>
  <c r="E65" i="48"/>
  <c r="E74" i="46" s="1"/>
  <c r="E59" i="48"/>
  <c r="F59" i="48" s="1"/>
  <c r="G59" i="48" s="1"/>
  <c r="H59" i="48" s="1"/>
  <c r="I59" i="48" s="1"/>
  <c r="J59" i="48" s="1"/>
  <c r="K59" i="48" s="1"/>
  <c r="L59" i="48" s="1"/>
  <c r="M59" i="48" s="1"/>
  <c r="N59" i="48" s="1"/>
  <c r="O59" i="48" s="1"/>
  <c r="P59" i="48" s="1"/>
  <c r="Q59" i="48" s="1"/>
  <c r="R59" i="48" s="1"/>
  <c r="S59" i="48" s="1"/>
  <c r="F58" i="48"/>
  <c r="G58" i="48" s="1"/>
  <c r="H58" i="48" s="1"/>
  <c r="I58" i="48" s="1"/>
  <c r="J58" i="48" s="1"/>
  <c r="K58" i="48" s="1"/>
  <c r="L58" i="48" s="1"/>
  <c r="M58" i="48" s="1"/>
  <c r="N58" i="48" s="1"/>
  <c r="O58" i="48" s="1"/>
  <c r="P58" i="48" s="1"/>
  <c r="Q58" i="48" s="1"/>
  <c r="R58" i="48" s="1"/>
  <c r="S58" i="48" s="1"/>
  <c r="G51" i="48"/>
  <c r="F51" i="48"/>
  <c r="E51" i="48"/>
  <c r="D51" i="48"/>
  <c r="C51" i="48"/>
  <c r="H47" i="48"/>
  <c r="G44" i="48"/>
  <c r="F44" i="48"/>
  <c r="E44" i="48"/>
  <c r="D44" i="48"/>
  <c r="C44" i="48"/>
  <c r="H43" i="48"/>
  <c r="L87" i="48" s="1"/>
  <c r="L96" i="46" s="1"/>
  <c r="L158" i="46" s="1"/>
  <c r="H42" i="48"/>
  <c r="M86" i="48" s="1"/>
  <c r="M95" i="46" s="1"/>
  <c r="H41" i="48"/>
  <c r="N85" i="48"/>
  <c r="N94" i="46" s="1"/>
  <c r="O84" i="48"/>
  <c r="O93" i="46" s="1"/>
  <c r="P83" i="48"/>
  <c r="P92" i="46" s="1"/>
  <c r="Q82" i="48"/>
  <c r="Q91" i="46" s="1"/>
  <c r="S80" i="48"/>
  <c r="S89" i="46" s="1"/>
  <c r="S151" i="46" s="1"/>
  <c r="L79" i="48"/>
  <c r="L88" i="46" s="1"/>
  <c r="M78" i="48"/>
  <c r="M87" i="46" s="1"/>
  <c r="N77" i="48"/>
  <c r="N86" i="46" s="1"/>
  <c r="O76" i="48"/>
  <c r="O85" i="46" s="1"/>
  <c r="P75" i="48"/>
  <c r="P84" i="46" s="1"/>
  <c r="Q74" i="48"/>
  <c r="Q83" i="46" s="1"/>
  <c r="S72" i="48"/>
  <c r="S81" i="46" s="1"/>
  <c r="L71" i="48"/>
  <c r="L80" i="46" s="1"/>
  <c r="L142" i="46" s="1"/>
  <c r="M70" i="48"/>
  <c r="M79" i="46" s="1"/>
  <c r="M141" i="46" s="1"/>
  <c r="N69" i="48"/>
  <c r="N78" i="46" s="1"/>
  <c r="N140" i="46" s="1"/>
  <c r="P67" i="48"/>
  <c r="P76" i="46" s="1"/>
  <c r="Q66" i="48"/>
  <c r="Q75" i="46" s="1"/>
  <c r="Q137" i="46" s="1"/>
  <c r="R65" i="48"/>
  <c r="R74" i="46" s="1"/>
  <c r="R136" i="46" s="1"/>
  <c r="S64" i="48"/>
  <c r="S73" i="46" s="1"/>
  <c r="S135" i="46" s="1"/>
  <c r="L63" i="48"/>
  <c r="L72" i="46" s="1"/>
  <c r="H13" i="48"/>
  <c r="H12" i="48"/>
  <c r="H11" i="48"/>
  <c r="M62" i="48" s="1"/>
  <c r="M71" i="46" s="1"/>
  <c r="H10" i="48"/>
  <c r="N61" i="48" s="1"/>
  <c r="N70" i="46" s="1"/>
  <c r="S95" i="50"/>
  <c r="R95" i="50"/>
  <c r="Q95" i="50"/>
  <c r="P95" i="50"/>
  <c r="O95" i="50"/>
  <c r="N95" i="50"/>
  <c r="M95" i="50"/>
  <c r="L95" i="50"/>
  <c r="K95" i="50"/>
  <c r="J95" i="50"/>
  <c r="I95" i="50"/>
  <c r="H95" i="50"/>
  <c r="G95" i="50"/>
  <c r="F95" i="50"/>
  <c r="E95" i="50"/>
  <c r="D95" i="50"/>
  <c r="C95" i="50"/>
  <c r="E37" i="50"/>
  <c r="F37" i="50" s="1"/>
  <c r="G37" i="50" s="1"/>
  <c r="H37" i="50" s="1"/>
  <c r="I37" i="50" s="1"/>
  <c r="J37" i="50" s="1"/>
  <c r="K37" i="50" s="1"/>
  <c r="L37" i="50" s="1"/>
  <c r="M37" i="50" s="1"/>
  <c r="N37" i="50" s="1"/>
  <c r="O37" i="50" s="1"/>
  <c r="P37" i="50" s="1"/>
  <c r="Q37" i="50" s="1"/>
  <c r="R37" i="50" s="1"/>
  <c r="S37" i="50" s="1"/>
  <c r="F36" i="50"/>
  <c r="G36" i="50" s="1"/>
  <c r="H36" i="50" s="1"/>
  <c r="I36" i="50" s="1"/>
  <c r="J36" i="50" s="1"/>
  <c r="K36" i="50" s="1"/>
  <c r="L36" i="50" s="1"/>
  <c r="M36" i="50" s="1"/>
  <c r="N36" i="50" s="1"/>
  <c r="O36" i="50" s="1"/>
  <c r="P36" i="50" s="1"/>
  <c r="Q36" i="50" s="1"/>
  <c r="R36" i="50" s="1"/>
  <c r="S36" i="50" s="1"/>
  <c r="E5" i="50"/>
  <c r="F5" i="50" s="1"/>
  <c r="G5" i="50" s="1"/>
  <c r="H5" i="50" s="1"/>
  <c r="I5" i="50" s="1"/>
  <c r="J5" i="50" s="1"/>
  <c r="K5" i="50" s="1"/>
  <c r="L5" i="50" s="1"/>
  <c r="M5" i="50" s="1"/>
  <c r="N5" i="50" s="1"/>
  <c r="O5" i="50" s="1"/>
  <c r="P5" i="50" s="1"/>
  <c r="Q5" i="50" s="1"/>
  <c r="R5" i="50" s="1"/>
  <c r="S5" i="50" s="1"/>
  <c r="F4" i="50"/>
  <c r="G4" i="50" s="1"/>
  <c r="H4" i="50" s="1"/>
  <c r="I4" i="50" s="1"/>
  <c r="J4" i="50" s="1"/>
  <c r="K4" i="50" s="1"/>
  <c r="L4" i="50" s="1"/>
  <c r="M4" i="50" s="1"/>
  <c r="N4" i="50" s="1"/>
  <c r="O4" i="50" s="1"/>
  <c r="P4" i="50" s="1"/>
  <c r="Q4" i="50" s="1"/>
  <c r="R4" i="50" s="1"/>
  <c r="S4" i="50" s="1"/>
  <c r="C71" i="51"/>
  <c r="C70" i="51"/>
  <c r="C69" i="51"/>
  <c r="C68" i="51"/>
  <c r="C67" i="51"/>
  <c r="C66" i="51"/>
  <c r="C65" i="51"/>
  <c r="C64" i="51"/>
  <c r="C63" i="51"/>
  <c r="C62" i="51"/>
  <c r="C61" i="51"/>
  <c r="C60" i="51"/>
  <c r="C59" i="51"/>
  <c r="C58" i="51"/>
  <c r="C57" i="51"/>
  <c r="C56" i="51"/>
  <c r="C55" i="51"/>
  <c r="C54" i="51"/>
  <c r="C53" i="51"/>
  <c r="C52" i="51"/>
  <c r="C51" i="51"/>
  <c r="C50" i="51"/>
  <c r="C49" i="51"/>
  <c r="C48" i="51"/>
  <c r="C47" i="51"/>
  <c r="C46" i="51"/>
  <c r="C45" i="51"/>
  <c r="C44" i="51"/>
  <c r="C43" i="51"/>
  <c r="C42" i="51"/>
  <c r="C41" i="51"/>
  <c r="F40" i="51"/>
  <c r="G40" i="51" s="1"/>
  <c r="H40" i="51" s="1"/>
  <c r="I40" i="51" s="1"/>
  <c r="J40" i="51" s="1"/>
  <c r="K40" i="51" s="1"/>
  <c r="L40" i="51" s="1"/>
  <c r="M40" i="51" s="1"/>
  <c r="N40" i="51" s="1"/>
  <c r="O40" i="51" s="1"/>
  <c r="P40" i="51" s="1"/>
  <c r="Q40" i="51" s="1"/>
  <c r="R40" i="51" s="1"/>
  <c r="S40" i="51" s="1"/>
  <c r="T40" i="51" s="1"/>
  <c r="U40" i="51" s="1"/>
  <c r="H39" i="51"/>
  <c r="I39" i="51" s="1"/>
  <c r="J39" i="51" s="1"/>
  <c r="K39" i="51" s="1"/>
  <c r="L39" i="51" s="1"/>
  <c r="M39" i="51" s="1"/>
  <c r="N39" i="51" s="1"/>
  <c r="O39" i="51" s="1"/>
  <c r="P39" i="51" s="1"/>
  <c r="Q39" i="51" s="1"/>
  <c r="R39" i="51" s="1"/>
  <c r="S39" i="51" s="1"/>
  <c r="T39" i="51" s="1"/>
  <c r="U39" i="51" s="1"/>
  <c r="D5" i="52"/>
  <c r="E5" i="52" s="1"/>
  <c r="F5" i="52" s="1"/>
  <c r="G5" i="52" s="1"/>
  <c r="H5" i="52" s="1"/>
  <c r="I5" i="52" s="1"/>
  <c r="J5" i="52" s="1"/>
  <c r="K5" i="52" s="1"/>
  <c r="L5" i="52" s="1"/>
  <c r="M5" i="52" s="1"/>
  <c r="N5" i="52" s="1"/>
  <c r="O5" i="52" s="1"/>
  <c r="P5" i="52" s="1"/>
  <c r="Q5" i="52" s="1"/>
  <c r="R5" i="52" s="1"/>
  <c r="S5" i="52" s="1"/>
  <c r="F4" i="52"/>
  <c r="G4" i="52" s="1"/>
  <c r="H4" i="52" s="1"/>
  <c r="I4" i="52" s="1"/>
  <c r="J4" i="52" s="1"/>
  <c r="K4" i="52" s="1"/>
  <c r="L4" i="52" s="1"/>
  <c r="M4" i="52" s="1"/>
  <c r="N4" i="52" s="1"/>
  <c r="O4" i="52" s="1"/>
  <c r="P4" i="52" s="1"/>
  <c r="Q4" i="52" s="1"/>
  <c r="R4" i="52" s="1"/>
  <c r="S4" i="52" s="1"/>
  <c r="VK186" i="54"/>
  <c r="VJ186" i="54"/>
  <c r="VI186" i="54"/>
  <c r="VH186" i="54"/>
  <c r="VG186" i="54"/>
  <c r="VF186" i="54"/>
  <c r="VE186" i="54"/>
  <c r="VD186" i="54"/>
  <c r="VC186" i="54"/>
  <c r="VB186" i="54"/>
  <c r="VA186" i="54"/>
  <c r="UZ186" i="54"/>
  <c r="UY186" i="54"/>
  <c r="UX186" i="54"/>
  <c r="UW186" i="54"/>
  <c r="UV186" i="54"/>
  <c r="UU186" i="54"/>
  <c r="UT186" i="54"/>
  <c r="US186" i="54"/>
  <c r="UR186" i="54"/>
  <c r="UQ186" i="54"/>
  <c r="UP186" i="54"/>
  <c r="UO186" i="54"/>
  <c r="UN186" i="54"/>
  <c r="UM186" i="54"/>
  <c r="UL186" i="54"/>
  <c r="UK186" i="54"/>
  <c r="UJ186" i="54"/>
  <c r="UI186" i="54"/>
  <c r="UH186" i="54"/>
  <c r="UG186" i="54"/>
  <c r="UF186" i="54"/>
  <c r="UE186" i="54"/>
  <c r="UD186" i="54"/>
  <c r="UC186" i="54"/>
  <c r="UB186" i="54"/>
  <c r="UA186" i="54"/>
  <c r="TZ186" i="54"/>
  <c r="TY186" i="54"/>
  <c r="TX186" i="54"/>
  <c r="TW186" i="54"/>
  <c r="TV186" i="54"/>
  <c r="TU186" i="54"/>
  <c r="TT186" i="54"/>
  <c r="TS186" i="54"/>
  <c r="TR186" i="54"/>
  <c r="TQ186" i="54"/>
  <c r="TP186" i="54"/>
  <c r="TO186" i="54"/>
  <c r="TN186" i="54"/>
  <c r="TM186" i="54"/>
  <c r="TL186" i="54"/>
  <c r="TK186" i="54"/>
  <c r="TJ186" i="54"/>
  <c r="TI186" i="54"/>
  <c r="TH186" i="54"/>
  <c r="TG186" i="54"/>
  <c r="TF186" i="54"/>
  <c r="TE186" i="54"/>
  <c r="TD186" i="54"/>
  <c r="TC186" i="54"/>
  <c r="TB186" i="54"/>
  <c r="TA186" i="54"/>
  <c r="SZ186" i="54"/>
  <c r="SY186" i="54"/>
  <c r="SX186" i="54"/>
  <c r="SW186" i="54"/>
  <c r="SV186" i="54"/>
  <c r="SU186" i="54"/>
  <c r="ST186" i="54"/>
  <c r="SS186" i="54"/>
  <c r="SR186" i="54"/>
  <c r="SQ186" i="54"/>
  <c r="SP186" i="54"/>
  <c r="SO186" i="54"/>
  <c r="SN186" i="54"/>
  <c r="SM186" i="54"/>
  <c r="SL186" i="54"/>
  <c r="SK186" i="54"/>
  <c r="SJ186" i="54"/>
  <c r="SI186" i="54"/>
  <c r="SH186" i="54"/>
  <c r="SG186" i="54"/>
  <c r="SF186" i="54"/>
  <c r="SE186" i="54"/>
  <c r="SD186" i="54"/>
  <c r="SC186" i="54"/>
  <c r="SB186" i="54"/>
  <c r="SA186" i="54"/>
  <c r="RZ186" i="54"/>
  <c r="RY186" i="54"/>
  <c r="RX186" i="54"/>
  <c r="RW186" i="54"/>
  <c r="RV186" i="54"/>
  <c r="RU186" i="54"/>
  <c r="RT186" i="54"/>
  <c r="RS186" i="54"/>
  <c r="RR186" i="54"/>
  <c r="RQ186" i="54"/>
  <c r="RP186" i="54"/>
  <c r="RO186" i="54"/>
  <c r="RN186" i="54"/>
  <c r="RM186" i="54"/>
  <c r="RL186" i="54"/>
  <c r="RK186" i="54"/>
  <c r="RJ186" i="54"/>
  <c r="RI186" i="54"/>
  <c r="RH186" i="54"/>
  <c r="RG186" i="54"/>
  <c r="RF186" i="54"/>
  <c r="RE186" i="54"/>
  <c r="RD186" i="54"/>
  <c r="RC186" i="54"/>
  <c r="RB186" i="54"/>
  <c r="RA186" i="54"/>
  <c r="QZ186" i="54"/>
  <c r="QY186" i="54"/>
  <c r="QX186" i="54"/>
  <c r="QW186" i="54"/>
  <c r="QV186" i="54"/>
  <c r="QU186" i="54"/>
  <c r="QT186" i="54"/>
  <c r="QS186" i="54"/>
  <c r="QR186" i="54"/>
  <c r="QQ186" i="54"/>
  <c r="QP186" i="54"/>
  <c r="QO186" i="54"/>
  <c r="QN186" i="54"/>
  <c r="QM186" i="54"/>
  <c r="QL186" i="54"/>
  <c r="QK186" i="54"/>
  <c r="QJ186" i="54"/>
  <c r="QI186" i="54"/>
  <c r="QH186" i="54"/>
  <c r="QG186" i="54"/>
  <c r="QF186" i="54"/>
  <c r="QE186" i="54"/>
  <c r="QD186" i="54"/>
  <c r="QC186" i="54"/>
  <c r="QB186" i="54"/>
  <c r="QA186" i="54"/>
  <c r="PZ186" i="54"/>
  <c r="PY186" i="54"/>
  <c r="PX186" i="54"/>
  <c r="PW186" i="54"/>
  <c r="PV186" i="54"/>
  <c r="PU186" i="54"/>
  <c r="PT186" i="54"/>
  <c r="PS186" i="54"/>
  <c r="PR186" i="54"/>
  <c r="PQ186" i="54"/>
  <c r="PP186" i="54"/>
  <c r="PO186" i="54"/>
  <c r="PN186" i="54"/>
  <c r="PM186" i="54"/>
  <c r="PL186" i="54"/>
  <c r="PK186" i="54"/>
  <c r="PJ186" i="54"/>
  <c r="PI186" i="54"/>
  <c r="PH186" i="54"/>
  <c r="PG186" i="54"/>
  <c r="PF186" i="54"/>
  <c r="PE186" i="54"/>
  <c r="PD186" i="54"/>
  <c r="PC186" i="54"/>
  <c r="PB186" i="54"/>
  <c r="PA186" i="54"/>
  <c r="OZ186" i="54"/>
  <c r="OY186" i="54"/>
  <c r="OX186" i="54"/>
  <c r="OW186" i="54"/>
  <c r="OV186" i="54"/>
  <c r="OU186" i="54"/>
  <c r="OT186" i="54"/>
  <c r="OS186" i="54"/>
  <c r="OR186" i="54"/>
  <c r="OQ186" i="54"/>
  <c r="OP186" i="54"/>
  <c r="OO186" i="54"/>
  <c r="ON186" i="54"/>
  <c r="OM186" i="54"/>
  <c r="OL186" i="54"/>
  <c r="OK186" i="54"/>
  <c r="OJ186" i="54"/>
  <c r="OI186" i="54"/>
  <c r="OH186" i="54"/>
  <c r="OG186" i="54"/>
  <c r="OF186" i="54"/>
  <c r="OE186" i="54"/>
  <c r="OD186" i="54"/>
  <c r="OC186" i="54"/>
  <c r="OB186" i="54"/>
  <c r="OA186" i="54"/>
  <c r="NZ186" i="54"/>
  <c r="NY186" i="54"/>
  <c r="NX186" i="54"/>
  <c r="NW186" i="54"/>
  <c r="NV186" i="54"/>
  <c r="NU186" i="54"/>
  <c r="NT186" i="54"/>
  <c r="NS186" i="54"/>
  <c r="NR186" i="54"/>
  <c r="NQ186" i="54"/>
  <c r="NP186" i="54"/>
  <c r="MX186" i="54"/>
  <c r="MW186" i="54"/>
  <c r="MV186" i="54"/>
  <c r="MU186" i="54"/>
  <c r="MT186" i="54"/>
  <c r="MS186" i="54"/>
  <c r="MR186" i="54"/>
  <c r="MQ186" i="54"/>
  <c r="MP186" i="54"/>
  <c r="MO186" i="54"/>
  <c r="MN186" i="54"/>
  <c r="MM186" i="54"/>
  <c r="ML186" i="54"/>
  <c r="MK186" i="54"/>
  <c r="MJ186" i="54"/>
  <c r="MI186" i="54"/>
  <c r="MH186" i="54"/>
  <c r="MG186" i="54"/>
  <c r="MF186" i="54"/>
  <c r="ME186" i="54"/>
  <c r="MD186" i="54"/>
  <c r="MC186" i="54"/>
  <c r="MB186" i="54"/>
  <c r="MA186" i="54"/>
  <c r="LZ186" i="54"/>
  <c r="LY186" i="54"/>
  <c r="LX186" i="54"/>
  <c r="LW186" i="54"/>
  <c r="LV186" i="54"/>
  <c r="LU186" i="54"/>
  <c r="LT186" i="54"/>
  <c r="LS186" i="54"/>
  <c r="LR186" i="54"/>
  <c r="LQ186" i="54"/>
  <c r="LP186" i="54"/>
  <c r="LO186" i="54"/>
  <c r="LN186" i="54"/>
  <c r="LM186" i="54"/>
  <c r="LL186" i="54"/>
  <c r="LK186" i="54"/>
  <c r="LJ186" i="54"/>
  <c r="LI186" i="54"/>
  <c r="LH186" i="54"/>
  <c r="LG186" i="54"/>
  <c r="LF186" i="54"/>
  <c r="LE186" i="54"/>
  <c r="LD186" i="54"/>
  <c r="LC186" i="54"/>
  <c r="LB186" i="54"/>
  <c r="LA186" i="54"/>
  <c r="KZ186" i="54"/>
  <c r="KY186" i="54"/>
  <c r="KX186" i="54"/>
  <c r="KW186" i="54"/>
  <c r="KV186" i="54"/>
  <c r="KU186" i="54"/>
  <c r="KT186" i="54"/>
  <c r="KS186" i="54"/>
  <c r="KR186" i="54"/>
  <c r="KQ186" i="54"/>
  <c r="KP186" i="54"/>
  <c r="KO186" i="54"/>
  <c r="KN186" i="54"/>
  <c r="KM186" i="54"/>
  <c r="KL186" i="54"/>
  <c r="KK186" i="54"/>
  <c r="KJ186" i="54"/>
  <c r="KI186" i="54"/>
  <c r="JQ186" i="54"/>
  <c r="JP186" i="54"/>
  <c r="JO186" i="54"/>
  <c r="JN186" i="54"/>
  <c r="JM186" i="54"/>
  <c r="JL186" i="54"/>
  <c r="JK186" i="54"/>
  <c r="JJ186" i="54"/>
  <c r="JI186" i="54"/>
  <c r="JH186" i="54"/>
  <c r="JG186" i="54"/>
  <c r="JF186" i="54"/>
  <c r="JE186" i="54"/>
  <c r="JD186" i="54"/>
  <c r="JC186" i="54"/>
  <c r="JB186" i="54"/>
  <c r="JA186" i="54"/>
  <c r="IZ186" i="54"/>
  <c r="IY186" i="54"/>
  <c r="IX186" i="54"/>
  <c r="IW186" i="54"/>
  <c r="IV186" i="54"/>
  <c r="IU186" i="54"/>
  <c r="IT186" i="54"/>
  <c r="IS186" i="54"/>
  <c r="IR186" i="54"/>
  <c r="IQ186" i="54"/>
  <c r="IP186" i="54"/>
  <c r="IO186" i="54"/>
  <c r="IN186" i="54"/>
  <c r="IM186" i="54"/>
  <c r="IL186" i="54"/>
  <c r="IK186" i="54"/>
  <c r="IJ186" i="54"/>
  <c r="II186" i="54"/>
  <c r="IH186" i="54"/>
  <c r="IG186" i="54"/>
  <c r="IF186" i="54"/>
  <c r="IE186" i="54"/>
  <c r="ID186" i="54"/>
  <c r="IC186" i="54"/>
  <c r="IB186" i="54"/>
  <c r="IA186" i="54"/>
  <c r="HZ186" i="54"/>
  <c r="HY186" i="54"/>
  <c r="HX186" i="54"/>
  <c r="HW186" i="54"/>
  <c r="HV186" i="54"/>
  <c r="HU186" i="54"/>
  <c r="HT186" i="54"/>
  <c r="HS186" i="54"/>
  <c r="HR186" i="54"/>
  <c r="HQ186" i="54"/>
  <c r="HP186" i="54"/>
  <c r="HO186" i="54"/>
  <c r="HN186" i="54"/>
  <c r="HM186" i="54"/>
  <c r="HL186" i="54"/>
  <c r="HK186" i="54"/>
  <c r="HJ186" i="54"/>
  <c r="HI186" i="54"/>
  <c r="HH186" i="54"/>
  <c r="HG186" i="54"/>
  <c r="HF186" i="54"/>
  <c r="HE186" i="54"/>
  <c r="HD186" i="54"/>
  <c r="HC186" i="54"/>
  <c r="HB186" i="54"/>
  <c r="HA186" i="54"/>
  <c r="GZ186" i="54"/>
  <c r="GY186" i="54"/>
  <c r="GX186" i="54"/>
  <c r="GW186" i="54"/>
  <c r="GV186" i="54"/>
  <c r="GU186" i="54"/>
  <c r="GT186" i="54"/>
  <c r="GS186" i="54"/>
  <c r="GR186" i="54"/>
  <c r="GQ186" i="54"/>
  <c r="GP186" i="54"/>
  <c r="GO186" i="54"/>
  <c r="GN186" i="54"/>
  <c r="GM186" i="54"/>
  <c r="GL186" i="54"/>
  <c r="GK186" i="54"/>
  <c r="GJ186" i="54"/>
  <c r="GI186" i="54"/>
  <c r="GH186" i="54"/>
  <c r="GG186" i="54"/>
  <c r="GF186" i="54"/>
  <c r="GE186" i="54"/>
  <c r="GD186" i="54"/>
  <c r="GC186" i="54"/>
  <c r="GB186" i="54"/>
  <c r="GA186" i="54"/>
  <c r="FZ186" i="54"/>
  <c r="FY186" i="54"/>
  <c r="FX186" i="54"/>
  <c r="FW186" i="54"/>
  <c r="FV186" i="54"/>
  <c r="FU186" i="54"/>
  <c r="FT186" i="54"/>
  <c r="FS186" i="54"/>
  <c r="FR186" i="54"/>
  <c r="FQ186" i="54"/>
  <c r="FP186" i="54"/>
  <c r="FO186" i="54"/>
  <c r="FN186" i="54"/>
  <c r="FM186" i="54"/>
  <c r="FL186" i="54"/>
  <c r="FK186" i="54"/>
  <c r="FJ186" i="54"/>
  <c r="FI186" i="54"/>
  <c r="FH186" i="54"/>
  <c r="FG186" i="54"/>
  <c r="FF186" i="54"/>
  <c r="FE186" i="54"/>
  <c r="FD186" i="54"/>
  <c r="FC186" i="54"/>
  <c r="FB186" i="54"/>
  <c r="FA186" i="54"/>
  <c r="EZ186" i="54"/>
  <c r="EY186" i="54"/>
  <c r="EX186" i="54"/>
  <c r="EW186" i="54"/>
  <c r="EV186" i="54"/>
  <c r="EU186" i="54"/>
  <c r="ET186" i="54"/>
  <c r="ES186" i="54"/>
  <c r="ER186" i="54"/>
  <c r="EQ186" i="54"/>
  <c r="EP186" i="54"/>
  <c r="EO186" i="54"/>
  <c r="EN186" i="54"/>
  <c r="EM186" i="54"/>
  <c r="EL186" i="54"/>
  <c r="EK186" i="54"/>
  <c r="EJ186" i="54"/>
  <c r="EI186" i="54"/>
  <c r="EH186" i="54"/>
  <c r="EG186" i="54"/>
  <c r="EF186" i="54"/>
  <c r="EE186" i="54"/>
  <c r="ED186" i="54"/>
  <c r="EC186" i="54"/>
  <c r="EB186" i="54"/>
  <c r="EA186" i="54"/>
  <c r="DZ186" i="54"/>
  <c r="DY186" i="54"/>
  <c r="DX186" i="54"/>
  <c r="DW186" i="54"/>
  <c r="DV186" i="54"/>
  <c r="DU186" i="54"/>
  <c r="DT186" i="54"/>
  <c r="DS186" i="54"/>
  <c r="DR186" i="54"/>
  <c r="DQ186" i="54"/>
  <c r="DP186" i="54"/>
  <c r="DO186" i="54"/>
  <c r="DN186" i="54"/>
  <c r="DM186" i="54"/>
  <c r="DL186" i="54"/>
  <c r="DK186" i="54"/>
  <c r="DJ186" i="54"/>
  <c r="DI186" i="54"/>
  <c r="DH186" i="54"/>
  <c r="DG186" i="54"/>
  <c r="DF186" i="54"/>
  <c r="DE186" i="54"/>
  <c r="DD186" i="54"/>
  <c r="DC186" i="54"/>
  <c r="DB186" i="54"/>
  <c r="DA186" i="54"/>
  <c r="CZ186" i="54"/>
  <c r="CY186" i="54"/>
  <c r="CX186" i="54"/>
  <c r="CW186" i="54"/>
  <c r="CV186" i="54"/>
  <c r="CU186" i="54"/>
  <c r="CT186" i="54"/>
  <c r="CS186" i="54"/>
  <c r="CR186" i="54"/>
  <c r="CQ186" i="54"/>
  <c r="CP186" i="54"/>
  <c r="CO186" i="54"/>
  <c r="CN186" i="54"/>
  <c r="CM186" i="54"/>
  <c r="CL186" i="54"/>
  <c r="CK186" i="54"/>
  <c r="CJ186" i="54"/>
  <c r="CI186" i="54"/>
  <c r="CH186" i="54"/>
  <c r="CG186" i="54"/>
  <c r="CF186" i="54"/>
  <c r="CE186" i="54"/>
  <c r="CD186" i="54"/>
  <c r="CC186" i="54"/>
  <c r="CB186" i="54"/>
  <c r="CA186" i="54"/>
  <c r="BZ186" i="54"/>
  <c r="BY186" i="54"/>
  <c r="BX186" i="54"/>
  <c r="BW186" i="54"/>
  <c r="BV186" i="54"/>
  <c r="BU186" i="54"/>
  <c r="BT186" i="54"/>
  <c r="BS186" i="54"/>
  <c r="BR186" i="54"/>
  <c r="BQ186" i="54"/>
  <c r="BP186" i="54"/>
  <c r="BO186" i="54"/>
  <c r="BN186" i="54"/>
  <c r="BM186" i="54"/>
  <c r="BL186" i="54"/>
  <c r="BK186" i="54"/>
  <c r="BJ186" i="54"/>
  <c r="BI186" i="54"/>
  <c r="BH186" i="54"/>
  <c r="BG186" i="54"/>
  <c r="BF186" i="54"/>
  <c r="BE186" i="54"/>
  <c r="BD186" i="54"/>
  <c r="BC186" i="54"/>
  <c r="BB186" i="54"/>
  <c r="BA186" i="54"/>
  <c r="AZ186" i="54"/>
  <c r="AY186" i="54"/>
  <c r="AX186" i="54"/>
  <c r="AW186" i="54"/>
  <c r="AV186" i="54"/>
  <c r="AU186" i="54"/>
  <c r="AT186" i="54"/>
  <c r="AS186" i="54"/>
  <c r="AR186" i="54"/>
  <c r="AQ186" i="54"/>
  <c r="AP186" i="54"/>
  <c r="AO186" i="54"/>
  <c r="AN186" i="54"/>
  <c r="AM186" i="54"/>
  <c r="AL186" i="54"/>
  <c r="AK186" i="54"/>
  <c r="AJ186" i="54"/>
  <c r="AI186" i="54"/>
  <c r="AH186" i="54"/>
  <c r="AG186" i="54"/>
  <c r="AF186" i="54"/>
  <c r="AE186" i="54"/>
  <c r="AD186" i="54"/>
  <c r="AC186" i="54"/>
  <c r="AB186" i="54"/>
  <c r="AA186" i="54"/>
  <c r="Z186" i="54"/>
  <c r="Y186" i="54"/>
  <c r="X186" i="54"/>
  <c r="W186" i="54"/>
  <c r="V186" i="54"/>
  <c r="U186" i="54"/>
  <c r="T186" i="54"/>
  <c r="S186" i="54"/>
  <c r="R186" i="54"/>
  <c r="Q186" i="54"/>
  <c r="P186" i="54"/>
  <c r="O186" i="54"/>
  <c r="N186" i="54"/>
  <c r="M186" i="54"/>
  <c r="L186" i="54"/>
  <c r="K186" i="54"/>
  <c r="J186" i="54"/>
  <c r="I186" i="54"/>
  <c r="H186" i="54"/>
  <c r="G186" i="54"/>
  <c r="F186" i="54"/>
  <c r="VK179" i="54"/>
  <c r="VJ179" i="54"/>
  <c r="VI179" i="54"/>
  <c r="VH179" i="54"/>
  <c r="VG179" i="54"/>
  <c r="VF179" i="54"/>
  <c r="VE179" i="54"/>
  <c r="VD179" i="54"/>
  <c r="VC179" i="54"/>
  <c r="VB179" i="54"/>
  <c r="VA179" i="54"/>
  <c r="UZ179" i="54"/>
  <c r="UY179" i="54"/>
  <c r="UX179" i="54"/>
  <c r="UW179" i="54"/>
  <c r="UV179" i="54"/>
  <c r="UU179" i="54"/>
  <c r="UT179" i="54"/>
  <c r="US179" i="54"/>
  <c r="UR179" i="54"/>
  <c r="UQ179" i="54"/>
  <c r="UP179" i="54"/>
  <c r="UO179" i="54"/>
  <c r="UN179" i="54"/>
  <c r="UM179" i="54"/>
  <c r="UL179" i="54"/>
  <c r="UK179" i="54"/>
  <c r="UJ179" i="54"/>
  <c r="UI179" i="54"/>
  <c r="UH179" i="54"/>
  <c r="UG179" i="54"/>
  <c r="UF179" i="54"/>
  <c r="UE179" i="54"/>
  <c r="UD179" i="54"/>
  <c r="UC179" i="54"/>
  <c r="UB179" i="54"/>
  <c r="UA179" i="54"/>
  <c r="TZ179" i="54"/>
  <c r="TY179" i="54"/>
  <c r="TX179" i="54"/>
  <c r="TW179" i="54"/>
  <c r="TV179" i="54"/>
  <c r="TU179" i="54"/>
  <c r="TT179" i="54"/>
  <c r="TS179" i="54"/>
  <c r="TR179" i="54"/>
  <c r="TQ179" i="54"/>
  <c r="TP179" i="54"/>
  <c r="TO179" i="54"/>
  <c r="TN179" i="54"/>
  <c r="TM179" i="54"/>
  <c r="TL179" i="54"/>
  <c r="TK179" i="54"/>
  <c r="TJ179" i="54"/>
  <c r="TI179" i="54"/>
  <c r="TH179" i="54"/>
  <c r="TG179" i="54"/>
  <c r="TF179" i="54"/>
  <c r="TE179" i="54"/>
  <c r="TD179" i="54"/>
  <c r="TC179" i="54"/>
  <c r="TB179" i="54"/>
  <c r="TA179" i="54"/>
  <c r="SZ179" i="54"/>
  <c r="SY179" i="54"/>
  <c r="SX179" i="54"/>
  <c r="SW179" i="54"/>
  <c r="SV179" i="54"/>
  <c r="SU179" i="54"/>
  <c r="ST179" i="54"/>
  <c r="SS179" i="54"/>
  <c r="SR179" i="54"/>
  <c r="SQ179" i="54"/>
  <c r="SP179" i="54"/>
  <c r="SO179" i="54"/>
  <c r="SN179" i="54"/>
  <c r="SM179" i="54"/>
  <c r="SL179" i="54"/>
  <c r="SK179" i="54"/>
  <c r="SJ179" i="54"/>
  <c r="SI179" i="54"/>
  <c r="SH179" i="54"/>
  <c r="SG179" i="54"/>
  <c r="SF179" i="54"/>
  <c r="SE179" i="54"/>
  <c r="SD179" i="54"/>
  <c r="SC179" i="54"/>
  <c r="SB179" i="54"/>
  <c r="SA179" i="54"/>
  <c r="RZ179" i="54"/>
  <c r="RY179" i="54"/>
  <c r="RX179" i="54"/>
  <c r="RW179" i="54"/>
  <c r="RV179" i="54"/>
  <c r="RU179" i="54"/>
  <c r="RT179" i="54"/>
  <c r="RS179" i="54"/>
  <c r="RR179" i="54"/>
  <c r="RQ179" i="54"/>
  <c r="RP179" i="54"/>
  <c r="RO179" i="54"/>
  <c r="RN179" i="54"/>
  <c r="RM179" i="54"/>
  <c r="RL179" i="54"/>
  <c r="RK179" i="54"/>
  <c r="RJ179" i="54"/>
  <c r="RI179" i="54"/>
  <c r="RH179" i="54"/>
  <c r="RG179" i="54"/>
  <c r="RF179" i="54"/>
  <c r="RE179" i="54"/>
  <c r="RD179" i="54"/>
  <c r="RC179" i="54"/>
  <c r="RB179" i="54"/>
  <c r="RA179" i="54"/>
  <c r="QZ179" i="54"/>
  <c r="QY179" i="54"/>
  <c r="QX179" i="54"/>
  <c r="QW179" i="54"/>
  <c r="QV179" i="54"/>
  <c r="QU179" i="54"/>
  <c r="QT179" i="54"/>
  <c r="QS179" i="54"/>
  <c r="QR179" i="54"/>
  <c r="QQ179" i="54"/>
  <c r="QP179" i="54"/>
  <c r="QO179" i="54"/>
  <c r="QN179" i="54"/>
  <c r="QM179" i="54"/>
  <c r="QL179" i="54"/>
  <c r="QK179" i="54"/>
  <c r="QJ179" i="54"/>
  <c r="QI179" i="54"/>
  <c r="QH179" i="54"/>
  <c r="QG179" i="54"/>
  <c r="QF179" i="54"/>
  <c r="QE179" i="54"/>
  <c r="QD179" i="54"/>
  <c r="QC179" i="54"/>
  <c r="QB179" i="54"/>
  <c r="QA179" i="54"/>
  <c r="PZ179" i="54"/>
  <c r="PY179" i="54"/>
  <c r="PX179" i="54"/>
  <c r="PW179" i="54"/>
  <c r="PV179" i="54"/>
  <c r="PU179" i="54"/>
  <c r="PT179" i="54"/>
  <c r="PS179" i="54"/>
  <c r="PR179" i="54"/>
  <c r="PQ179" i="54"/>
  <c r="PP179" i="54"/>
  <c r="PO179" i="54"/>
  <c r="PN179" i="54"/>
  <c r="PM179" i="54"/>
  <c r="PL179" i="54"/>
  <c r="PK179" i="54"/>
  <c r="PJ179" i="54"/>
  <c r="PI179" i="54"/>
  <c r="PH179" i="54"/>
  <c r="PG179" i="54"/>
  <c r="PF179" i="54"/>
  <c r="PE179" i="54"/>
  <c r="PD179" i="54"/>
  <c r="PC179" i="54"/>
  <c r="PB179" i="54"/>
  <c r="PA179" i="54"/>
  <c r="OZ179" i="54"/>
  <c r="OY179" i="54"/>
  <c r="OX179" i="54"/>
  <c r="OW179" i="54"/>
  <c r="OV179" i="54"/>
  <c r="OU179" i="54"/>
  <c r="OT179" i="54"/>
  <c r="OS179" i="54"/>
  <c r="OR179" i="54"/>
  <c r="OQ179" i="54"/>
  <c r="OP179" i="54"/>
  <c r="OO179" i="54"/>
  <c r="ON179" i="54"/>
  <c r="OM179" i="54"/>
  <c r="OL179" i="54"/>
  <c r="OK179" i="54"/>
  <c r="OJ179" i="54"/>
  <c r="OI179" i="54"/>
  <c r="OH179" i="54"/>
  <c r="OG179" i="54"/>
  <c r="OF179" i="54"/>
  <c r="OE179" i="54"/>
  <c r="OD179" i="54"/>
  <c r="OC179" i="54"/>
  <c r="OB179" i="54"/>
  <c r="OA179" i="54"/>
  <c r="NZ179" i="54"/>
  <c r="NY179" i="54"/>
  <c r="NX179" i="54"/>
  <c r="NW179" i="54"/>
  <c r="NV179" i="54"/>
  <c r="NU179" i="54"/>
  <c r="NT179" i="54"/>
  <c r="NS179" i="54"/>
  <c r="NR179" i="54"/>
  <c r="NQ179" i="54"/>
  <c r="NP179" i="54"/>
  <c r="NO179" i="54"/>
  <c r="NN179" i="54"/>
  <c r="NM179" i="54"/>
  <c r="NL179" i="54"/>
  <c r="NK179" i="54"/>
  <c r="NJ179" i="54"/>
  <c r="NI179" i="54"/>
  <c r="NH179" i="54"/>
  <c r="NG179" i="54"/>
  <c r="NF179" i="54"/>
  <c r="NE179" i="54"/>
  <c r="ND179" i="54"/>
  <c r="NC179" i="54"/>
  <c r="NB179" i="54"/>
  <c r="NA179" i="54"/>
  <c r="MZ179" i="54"/>
  <c r="MY179" i="54"/>
  <c r="MX179" i="54"/>
  <c r="MW179" i="54"/>
  <c r="MV179" i="54"/>
  <c r="MU179" i="54"/>
  <c r="MT179" i="54"/>
  <c r="MS179" i="54"/>
  <c r="MR179" i="54"/>
  <c r="MQ179" i="54"/>
  <c r="MP179" i="54"/>
  <c r="MO179" i="54"/>
  <c r="MN179" i="54"/>
  <c r="MM179" i="54"/>
  <c r="ML179" i="54"/>
  <c r="MK179" i="54"/>
  <c r="MJ179" i="54"/>
  <c r="MI179" i="54"/>
  <c r="MH179" i="54"/>
  <c r="MG179" i="54"/>
  <c r="MF179" i="54"/>
  <c r="ME179" i="54"/>
  <c r="MD179" i="54"/>
  <c r="MC179" i="54"/>
  <c r="MB179" i="54"/>
  <c r="MA179" i="54"/>
  <c r="LZ179" i="54"/>
  <c r="LY179" i="54"/>
  <c r="LX179" i="54"/>
  <c r="LW179" i="54"/>
  <c r="LV179" i="54"/>
  <c r="LU179" i="54"/>
  <c r="LT179" i="54"/>
  <c r="LS179" i="54"/>
  <c r="LR179" i="54"/>
  <c r="LQ179" i="54"/>
  <c r="LP179" i="54"/>
  <c r="LO179" i="54"/>
  <c r="LN179" i="54"/>
  <c r="LM179" i="54"/>
  <c r="LL179" i="54"/>
  <c r="LK179" i="54"/>
  <c r="LJ179" i="54"/>
  <c r="LI179" i="54"/>
  <c r="LH179" i="54"/>
  <c r="LG179" i="54"/>
  <c r="LF179" i="54"/>
  <c r="LE179" i="54"/>
  <c r="LD179" i="54"/>
  <c r="LC179" i="54"/>
  <c r="LB179" i="54"/>
  <c r="LA179" i="54"/>
  <c r="KZ179" i="54"/>
  <c r="KY179" i="54"/>
  <c r="KX179" i="54"/>
  <c r="KW179" i="54"/>
  <c r="KV179" i="54"/>
  <c r="KU179" i="54"/>
  <c r="KT179" i="54"/>
  <c r="KS179" i="54"/>
  <c r="KR179" i="54"/>
  <c r="KQ179" i="54"/>
  <c r="KP179" i="54"/>
  <c r="KO179" i="54"/>
  <c r="KN179" i="54"/>
  <c r="KM179" i="54"/>
  <c r="KL179" i="54"/>
  <c r="KK179" i="54"/>
  <c r="KJ179" i="54"/>
  <c r="KI179" i="54"/>
  <c r="KH179" i="54"/>
  <c r="KG179" i="54"/>
  <c r="KF179" i="54"/>
  <c r="KE179" i="54"/>
  <c r="KD179" i="54"/>
  <c r="KC179" i="54"/>
  <c r="KB179" i="54"/>
  <c r="KA179" i="54"/>
  <c r="JZ179" i="54"/>
  <c r="JY179" i="54"/>
  <c r="JX179" i="54"/>
  <c r="JW179" i="54"/>
  <c r="JV179" i="54"/>
  <c r="JU179" i="54"/>
  <c r="JT179" i="54"/>
  <c r="JS179" i="54"/>
  <c r="JR179" i="54"/>
  <c r="JQ179" i="54"/>
  <c r="JP179" i="54"/>
  <c r="JO179" i="54"/>
  <c r="JN179" i="54"/>
  <c r="JM179" i="54"/>
  <c r="JL179" i="54"/>
  <c r="JK179" i="54"/>
  <c r="JJ179" i="54"/>
  <c r="JI179" i="54"/>
  <c r="JH179" i="54"/>
  <c r="JG179" i="54"/>
  <c r="JF179" i="54"/>
  <c r="JE179" i="54"/>
  <c r="JD179" i="54"/>
  <c r="JC179" i="54"/>
  <c r="JB179" i="54"/>
  <c r="JA179" i="54"/>
  <c r="IZ179" i="54"/>
  <c r="IY179" i="54"/>
  <c r="IX179" i="54"/>
  <c r="IW179" i="54"/>
  <c r="IV179" i="54"/>
  <c r="IU179" i="54"/>
  <c r="IT179" i="54"/>
  <c r="IS179" i="54"/>
  <c r="IR179" i="54"/>
  <c r="IQ179" i="54"/>
  <c r="IP179" i="54"/>
  <c r="IO179" i="54"/>
  <c r="IN179" i="54"/>
  <c r="IM179" i="54"/>
  <c r="IL179" i="54"/>
  <c r="IK179" i="54"/>
  <c r="IJ179" i="54"/>
  <c r="II179" i="54"/>
  <c r="IH179" i="54"/>
  <c r="IG179" i="54"/>
  <c r="IF179" i="54"/>
  <c r="IE179" i="54"/>
  <c r="ID179" i="54"/>
  <c r="IC179" i="54"/>
  <c r="IB179" i="54"/>
  <c r="IA179" i="54"/>
  <c r="HZ179" i="54"/>
  <c r="HY179" i="54"/>
  <c r="HX179" i="54"/>
  <c r="HW179" i="54"/>
  <c r="HV179" i="54"/>
  <c r="HU179" i="54"/>
  <c r="HT179" i="54"/>
  <c r="HS179" i="54"/>
  <c r="HR179" i="54"/>
  <c r="HQ179" i="54"/>
  <c r="HP179" i="54"/>
  <c r="HO179" i="54"/>
  <c r="HN179" i="54"/>
  <c r="HM179" i="54"/>
  <c r="HL179" i="54"/>
  <c r="HK179" i="54"/>
  <c r="HJ179" i="54"/>
  <c r="HI179" i="54"/>
  <c r="HH179" i="54"/>
  <c r="HG179" i="54"/>
  <c r="HF179" i="54"/>
  <c r="HE179" i="54"/>
  <c r="HD179" i="54"/>
  <c r="HC179" i="54"/>
  <c r="HB179" i="54"/>
  <c r="HA179" i="54"/>
  <c r="GZ179" i="54"/>
  <c r="GY179" i="54"/>
  <c r="GX179" i="54"/>
  <c r="GW179" i="54"/>
  <c r="GV179" i="54"/>
  <c r="GU179" i="54"/>
  <c r="GT179" i="54"/>
  <c r="GS179" i="54"/>
  <c r="GR179" i="54"/>
  <c r="GQ179" i="54"/>
  <c r="GP179" i="54"/>
  <c r="GO179" i="54"/>
  <c r="GN179" i="54"/>
  <c r="GM179" i="54"/>
  <c r="GL179" i="54"/>
  <c r="GK179" i="54"/>
  <c r="GJ179" i="54"/>
  <c r="GI179" i="54"/>
  <c r="GH179" i="54"/>
  <c r="GG179" i="54"/>
  <c r="GF179" i="54"/>
  <c r="GE179" i="54"/>
  <c r="GD179" i="54"/>
  <c r="GC179" i="54"/>
  <c r="GB179" i="54"/>
  <c r="GA179" i="54"/>
  <c r="FZ179" i="54"/>
  <c r="FY179" i="54"/>
  <c r="FX179" i="54"/>
  <c r="FW179" i="54"/>
  <c r="FV179" i="54"/>
  <c r="FU179" i="54"/>
  <c r="FT179" i="54"/>
  <c r="FS179" i="54"/>
  <c r="FR179" i="54"/>
  <c r="FQ179" i="54"/>
  <c r="FP179" i="54"/>
  <c r="FO179" i="54"/>
  <c r="FN179" i="54"/>
  <c r="FM179" i="54"/>
  <c r="FL179" i="54"/>
  <c r="FK179" i="54"/>
  <c r="FJ179" i="54"/>
  <c r="FI179" i="54"/>
  <c r="FH179" i="54"/>
  <c r="FG179" i="54"/>
  <c r="FF179" i="54"/>
  <c r="FE179" i="54"/>
  <c r="FD179" i="54"/>
  <c r="FC179" i="54"/>
  <c r="FB179" i="54"/>
  <c r="FA179" i="54"/>
  <c r="EZ179" i="54"/>
  <c r="EY179" i="54"/>
  <c r="EX179" i="54"/>
  <c r="EW179" i="54"/>
  <c r="EV179" i="54"/>
  <c r="EU179" i="54"/>
  <c r="ET179" i="54"/>
  <c r="ES179" i="54"/>
  <c r="ER179" i="54"/>
  <c r="EQ179" i="54"/>
  <c r="EP179" i="54"/>
  <c r="EO179" i="54"/>
  <c r="EN179" i="54"/>
  <c r="EM179" i="54"/>
  <c r="EL179" i="54"/>
  <c r="EK179" i="54"/>
  <c r="EJ179" i="54"/>
  <c r="EI179" i="54"/>
  <c r="EH179" i="54"/>
  <c r="EG179" i="54"/>
  <c r="EF179" i="54"/>
  <c r="EE179" i="54"/>
  <c r="ED179" i="54"/>
  <c r="EC179" i="54"/>
  <c r="EB179" i="54"/>
  <c r="EA179" i="54"/>
  <c r="DZ179" i="54"/>
  <c r="DY179" i="54"/>
  <c r="DX179" i="54"/>
  <c r="DW179" i="54"/>
  <c r="DV179" i="54"/>
  <c r="DU179" i="54"/>
  <c r="DT179" i="54"/>
  <c r="DS179" i="54"/>
  <c r="DR179" i="54"/>
  <c r="DQ179" i="54"/>
  <c r="DP179" i="54"/>
  <c r="DO179" i="54"/>
  <c r="DN179" i="54"/>
  <c r="DM179" i="54"/>
  <c r="DL179" i="54"/>
  <c r="DK179" i="54"/>
  <c r="DJ179" i="54"/>
  <c r="DI179" i="54"/>
  <c r="DH179" i="54"/>
  <c r="DG179" i="54"/>
  <c r="DF179" i="54"/>
  <c r="DE179" i="54"/>
  <c r="DD179" i="54"/>
  <c r="DC179" i="54"/>
  <c r="DB179" i="54"/>
  <c r="DA179" i="54"/>
  <c r="CZ179" i="54"/>
  <c r="CY179" i="54"/>
  <c r="CX179" i="54"/>
  <c r="CW179" i="54"/>
  <c r="CV179" i="54"/>
  <c r="CU179" i="54"/>
  <c r="CT179" i="54"/>
  <c r="CS179" i="54"/>
  <c r="CR179" i="54"/>
  <c r="CQ179" i="54"/>
  <c r="CP179" i="54"/>
  <c r="CO179" i="54"/>
  <c r="CN179" i="54"/>
  <c r="CM179" i="54"/>
  <c r="CL179" i="54"/>
  <c r="CK179" i="54"/>
  <c r="CJ179" i="54"/>
  <c r="CI179" i="54"/>
  <c r="CH179" i="54"/>
  <c r="CG179" i="54"/>
  <c r="CF179" i="54"/>
  <c r="CE179" i="54"/>
  <c r="CD179" i="54"/>
  <c r="CC179" i="54"/>
  <c r="CB179" i="54"/>
  <c r="CA179" i="54"/>
  <c r="BZ179" i="54"/>
  <c r="BY179" i="54"/>
  <c r="BX179" i="54"/>
  <c r="BW179" i="54"/>
  <c r="BV179" i="54"/>
  <c r="BU179" i="54"/>
  <c r="BT179" i="54"/>
  <c r="BS179" i="54"/>
  <c r="BR179" i="54"/>
  <c r="BQ179" i="54"/>
  <c r="BP179" i="54"/>
  <c r="BO179" i="54"/>
  <c r="BN179" i="54"/>
  <c r="BM179" i="54"/>
  <c r="BL179" i="54"/>
  <c r="BK179" i="54"/>
  <c r="BJ179" i="54"/>
  <c r="BI179" i="54"/>
  <c r="BH179" i="54"/>
  <c r="BG179" i="54"/>
  <c r="BF179" i="54"/>
  <c r="BE179" i="54"/>
  <c r="BD179" i="54"/>
  <c r="BC179" i="54"/>
  <c r="BB179" i="54"/>
  <c r="BA179" i="54"/>
  <c r="AZ179" i="54"/>
  <c r="AY179" i="54"/>
  <c r="AX179" i="54"/>
  <c r="AW179" i="54"/>
  <c r="AV179" i="54"/>
  <c r="AU179" i="54"/>
  <c r="AT179" i="54"/>
  <c r="AS179" i="54"/>
  <c r="AR179" i="54"/>
  <c r="AQ179" i="54"/>
  <c r="AP179" i="54"/>
  <c r="AO179" i="54"/>
  <c r="AN179" i="54"/>
  <c r="AM179" i="54"/>
  <c r="AL179" i="54"/>
  <c r="AK179" i="54"/>
  <c r="AJ179" i="54"/>
  <c r="AI179" i="54"/>
  <c r="AH179" i="54"/>
  <c r="AG179" i="54"/>
  <c r="AF179" i="54"/>
  <c r="AE179" i="54"/>
  <c r="AD179" i="54"/>
  <c r="AC179" i="54"/>
  <c r="AB179" i="54"/>
  <c r="AA179" i="54"/>
  <c r="Z179" i="54"/>
  <c r="Y179" i="54"/>
  <c r="X179" i="54"/>
  <c r="W179" i="54"/>
  <c r="V179" i="54"/>
  <c r="U179" i="54"/>
  <c r="T179" i="54"/>
  <c r="S179" i="54"/>
  <c r="R179" i="54"/>
  <c r="Q179" i="54"/>
  <c r="P179" i="54"/>
  <c r="O179" i="54"/>
  <c r="N179" i="54"/>
  <c r="M179" i="54"/>
  <c r="L179" i="54"/>
  <c r="K179" i="54"/>
  <c r="J179" i="54"/>
  <c r="I179" i="54"/>
  <c r="H179" i="54"/>
  <c r="G179" i="54"/>
  <c r="F179" i="54"/>
  <c r="VK178" i="54"/>
  <c r="VJ178" i="54"/>
  <c r="VI178" i="54"/>
  <c r="VH178" i="54"/>
  <c r="VG178" i="54"/>
  <c r="VF178" i="54"/>
  <c r="VE178" i="54"/>
  <c r="VD178" i="54"/>
  <c r="VC178" i="54"/>
  <c r="VB178" i="54"/>
  <c r="VA178" i="54"/>
  <c r="UZ178" i="54"/>
  <c r="UY178" i="54"/>
  <c r="UX178" i="54"/>
  <c r="UW178" i="54"/>
  <c r="UV178" i="54"/>
  <c r="UU178" i="54"/>
  <c r="UT178" i="54"/>
  <c r="US178" i="54"/>
  <c r="UR178" i="54"/>
  <c r="UQ178" i="54"/>
  <c r="UP178" i="54"/>
  <c r="UO178" i="54"/>
  <c r="UN178" i="54"/>
  <c r="UM178" i="54"/>
  <c r="UL178" i="54"/>
  <c r="UK178" i="54"/>
  <c r="UJ178" i="54"/>
  <c r="UI178" i="54"/>
  <c r="UH178" i="54"/>
  <c r="UG178" i="54"/>
  <c r="UF178" i="54"/>
  <c r="UE178" i="54"/>
  <c r="UD178" i="54"/>
  <c r="UC178" i="54"/>
  <c r="UB178" i="54"/>
  <c r="UA178" i="54"/>
  <c r="TZ178" i="54"/>
  <c r="TY178" i="54"/>
  <c r="TX178" i="54"/>
  <c r="TW178" i="54"/>
  <c r="TV178" i="54"/>
  <c r="TU178" i="54"/>
  <c r="TT178" i="54"/>
  <c r="TS178" i="54"/>
  <c r="TR178" i="54"/>
  <c r="TQ178" i="54"/>
  <c r="TP178" i="54"/>
  <c r="TO178" i="54"/>
  <c r="TN178" i="54"/>
  <c r="TM178" i="54"/>
  <c r="SD178" i="54"/>
  <c r="SD180" i="54" s="1"/>
  <c r="SC178" i="54"/>
  <c r="SC180" i="54" s="1"/>
  <c r="SB178" i="54"/>
  <c r="SB180" i="54" s="1"/>
  <c r="SA178" i="54"/>
  <c r="SA180" i="54" s="1"/>
  <c r="RZ178" i="54"/>
  <c r="RZ180" i="54" s="1"/>
  <c r="RY178" i="54"/>
  <c r="RX178" i="54"/>
  <c r="RX180" i="54" s="1"/>
  <c r="RW178" i="54"/>
  <c r="RW180" i="54" s="1"/>
  <c r="RV178" i="54"/>
  <c r="RV180" i="54" s="1"/>
  <c r="RU178" i="54"/>
  <c r="RT178" i="54"/>
  <c r="RT180" i="54" s="1"/>
  <c r="RS178" i="54"/>
  <c r="RS180" i="54" s="1"/>
  <c r="RR178" i="54"/>
  <c r="RQ178" i="54"/>
  <c r="RP178" i="54"/>
  <c r="RP180" i="54" s="1"/>
  <c r="RO178" i="54"/>
  <c r="RO180" i="54" s="1"/>
  <c r="RN178" i="54"/>
  <c r="RM178" i="54"/>
  <c r="RM180" i="54" s="1"/>
  <c r="RL178" i="54"/>
  <c r="RL180" i="54" s="1"/>
  <c r="RK178" i="54"/>
  <c r="RK180" i="54" s="1"/>
  <c r="RJ178" i="54"/>
  <c r="RJ180" i="54" s="1"/>
  <c r="RI178" i="54"/>
  <c r="RH178" i="54"/>
  <c r="RH180" i="54" s="1"/>
  <c r="RG178" i="54"/>
  <c r="RG180" i="54" s="1"/>
  <c r="RF178" i="54"/>
  <c r="RF180" i="54" s="1"/>
  <c r="RE178" i="54"/>
  <c r="RD178" i="54"/>
  <c r="RD180" i="54" s="1"/>
  <c r="RC178" i="54"/>
  <c r="RC180" i="54" s="1"/>
  <c r="RB178" i="54"/>
  <c r="RB180" i="54" s="1"/>
  <c r="RA178" i="54"/>
  <c r="QZ178" i="54"/>
  <c r="QZ180" i="54" s="1"/>
  <c r="QY178" i="54"/>
  <c r="QY180" i="54" s="1"/>
  <c r="QX178" i="54"/>
  <c r="QX180" i="54" s="1"/>
  <c r="QW178" i="54"/>
  <c r="QV178" i="54"/>
  <c r="QV180" i="54" s="1"/>
  <c r="QU178" i="54"/>
  <c r="QU180" i="54" s="1"/>
  <c r="QT178" i="54"/>
  <c r="QT180" i="54" s="1"/>
  <c r="QS178" i="54"/>
  <c r="QR178" i="54"/>
  <c r="QR180" i="54" s="1"/>
  <c r="QQ178" i="54"/>
  <c r="QQ180" i="54" s="1"/>
  <c r="QP178" i="54"/>
  <c r="QP180" i="54" s="1"/>
  <c r="QO178" i="54"/>
  <c r="QN178" i="54"/>
  <c r="QN180" i="54" s="1"/>
  <c r="QM178" i="54"/>
  <c r="QM180" i="54" s="1"/>
  <c r="QL178" i="54"/>
  <c r="QL180" i="54" s="1"/>
  <c r="QK178" i="54"/>
  <c r="QJ178" i="54"/>
  <c r="QJ180" i="54" s="1"/>
  <c r="QI178" i="54"/>
  <c r="QI180" i="54" s="1"/>
  <c r="QH178" i="54"/>
  <c r="QH180" i="54" s="1"/>
  <c r="QG178" i="54"/>
  <c r="QG180" i="54" s="1"/>
  <c r="QF178" i="54"/>
  <c r="QF180" i="54" s="1"/>
  <c r="QE178" i="54"/>
  <c r="QE180" i="54" s="1"/>
  <c r="QD178" i="54"/>
  <c r="QD180" i="54" s="1"/>
  <c r="QC178" i="54"/>
  <c r="QB178" i="54"/>
  <c r="QB180" i="54" s="1"/>
  <c r="QA178" i="54"/>
  <c r="QA180" i="54" s="1"/>
  <c r="PZ178" i="54"/>
  <c r="PZ180" i="54" s="1"/>
  <c r="PY178" i="54"/>
  <c r="PX178" i="54"/>
  <c r="PX180" i="54" s="1"/>
  <c r="PW178" i="54"/>
  <c r="PW180" i="54" s="1"/>
  <c r="PV178" i="54"/>
  <c r="PV180" i="54" s="1"/>
  <c r="PU178" i="54"/>
  <c r="PT178" i="54"/>
  <c r="PT180" i="54" s="1"/>
  <c r="PS178" i="54"/>
  <c r="PS180" i="54" s="1"/>
  <c r="PR178" i="54"/>
  <c r="PR180" i="54" s="1"/>
  <c r="PQ178" i="54"/>
  <c r="PQ180" i="54" s="1"/>
  <c r="PP178" i="54"/>
  <c r="PP180" i="54" s="1"/>
  <c r="PO178" i="54"/>
  <c r="PO180" i="54" s="1"/>
  <c r="PN178" i="54"/>
  <c r="PN180" i="54" s="1"/>
  <c r="PM178" i="54"/>
  <c r="PL178" i="54"/>
  <c r="PL180" i="54" s="1"/>
  <c r="PK178" i="54"/>
  <c r="PK180" i="54" s="1"/>
  <c r="PJ178" i="54"/>
  <c r="PJ180" i="54" s="1"/>
  <c r="PI178" i="54"/>
  <c r="PH178" i="54"/>
  <c r="PH180" i="54" s="1"/>
  <c r="PG178" i="54"/>
  <c r="PG180" i="54" s="1"/>
  <c r="PF178" i="54"/>
  <c r="PE178" i="54"/>
  <c r="PD178" i="54"/>
  <c r="PD180" i="54" s="1"/>
  <c r="PC178" i="54"/>
  <c r="PC180" i="54" s="1"/>
  <c r="PB178" i="54"/>
  <c r="PA178" i="54"/>
  <c r="PA180" i="54" s="1"/>
  <c r="OZ178" i="54"/>
  <c r="OZ180" i="54" s="1"/>
  <c r="OY178" i="54"/>
  <c r="OY180" i="54" s="1"/>
  <c r="OX178" i="54"/>
  <c r="OX180" i="54" s="1"/>
  <c r="OW178" i="54"/>
  <c r="OV178" i="54"/>
  <c r="OV180" i="54" s="1"/>
  <c r="OU178" i="54"/>
  <c r="OU180" i="54" s="1"/>
  <c r="OT178" i="54"/>
  <c r="OT180" i="54" s="1"/>
  <c r="OS178" i="54"/>
  <c r="OR178" i="54"/>
  <c r="OR180" i="54" s="1"/>
  <c r="OQ178" i="54"/>
  <c r="OQ180" i="54" s="1"/>
  <c r="OP178" i="54"/>
  <c r="OP180" i="54" s="1"/>
  <c r="OO178" i="54"/>
  <c r="ON178" i="54"/>
  <c r="ON180" i="54" s="1"/>
  <c r="OM178" i="54"/>
  <c r="OM180" i="54" s="1"/>
  <c r="OL178" i="54"/>
  <c r="OL180" i="54" s="1"/>
  <c r="OK178" i="54"/>
  <c r="OJ178" i="54"/>
  <c r="OJ180" i="54" s="1"/>
  <c r="OI178" i="54"/>
  <c r="OI180" i="54" s="1"/>
  <c r="OH178" i="54"/>
  <c r="OH180" i="54" s="1"/>
  <c r="OG178" i="54"/>
  <c r="OF178" i="54"/>
  <c r="OF180" i="54" s="1"/>
  <c r="OE178" i="54"/>
  <c r="OE180" i="54" s="1"/>
  <c r="OD178" i="54"/>
  <c r="OD180" i="54" s="1"/>
  <c r="OC178" i="54"/>
  <c r="OB178" i="54"/>
  <c r="OB180" i="54" s="1"/>
  <c r="OA178" i="54"/>
  <c r="OA180" i="54" s="1"/>
  <c r="NZ178" i="54"/>
  <c r="NZ180" i="54" s="1"/>
  <c r="NY178" i="54"/>
  <c r="NX178" i="54"/>
  <c r="NX180" i="54" s="1"/>
  <c r="NW178" i="54"/>
  <c r="NW180" i="54" s="1"/>
  <c r="NV178" i="54"/>
  <c r="NV180" i="54" s="1"/>
  <c r="NU178" i="54"/>
  <c r="NU180" i="54" s="1"/>
  <c r="NT178" i="54"/>
  <c r="NT180" i="54" s="1"/>
  <c r="NS178" i="54"/>
  <c r="NS180" i="54" s="1"/>
  <c r="NR178" i="54"/>
  <c r="NR180" i="54" s="1"/>
  <c r="NQ178" i="54"/>
  <c r="NP178" i="54"/>
  <c r="NP180" i="54" s="1"/>
  <c r="NO178" i="54"/>
  <c r="NO180" i="54" s="1"/>
  <c r="NN178" i="54"/>
  <c r="NN180" i="54" s="1"/>
  <c r="NM178" i="54"/>
  <c r="NL178" i="54"/>
  <c r="NL180" i="54" s="1"/>
  <c r="NK178" i="54"/>
  <c r="NK180" i="54" s="1"/>
  <c r="NJ178" i="54"/>
  <c r="NJ180" i="54" s="1"/>
  <c r="NI178" i="54"/>
  <c r="NH178" i="54"/>
  <c r="NH180" i="54" s="1"/>
  <c r="NG178" i="54"/>
  <c r="NG180" i="54" s="1"/>
  <c r="NF178" i="54"/>
  <c r="NF180" i="54" s="1"/>
  <c r="NE178" i="54"/>
  <c r="NE180" i="54" s="1"/>
  <c r="ND178" i="54"/>
  <c r="ND180" i="54" s="1"/>
  <c r="NC178" i="54"/>
  <c r="NC180" i="54" s="1"/>
  <c r="NB178" i="54"/>
  <c r="NB180" i="54" s="1"/>
  <c r="NA178" i="54"/>
  <c r="MZ178" i="54"/>
  <c r="MZ180" i="54" s="1"/>
  <c r="MY178" i="54"/>
  <c r="MY180" i="54" s="1"/>
  <c r="MX178" i="54"/>
  <c r="MX180" i="54" s="1"/>
  <c r="MW178" i="54"/>
  <c r="MV178" i="54"/>
  <c r="MV180" i="54" s="1"/>
  <c r="MU178" i="54"/>
  <c r="MU180" i="54" s="1"/>
  <c r="MT178" i="54"/>
  <c r="MS178" i="54"/>
  <c r="MR178" i="54"/>
  <c r="MR180" i="54" s="1"/>
  <c r="MQ178" i="54"/>
  <c r="MQ180" i="54" s="1"/>
  <c r="MP178" i="54"/>
  <c r="MO178" i="54"/>
  <c r="MO180" i="54" s="1"/>
  <c r="MN178" i="54"/>
  <c r="MN180" i="54" s="1"/>
  <c r="MM178" i="54"/>
  <c r="MM180" i="54" s="1"/>
  <c r="ML178" i="54"/>
  <c r="ML180" i="54" s="1"/>
  <c r="MK178" i="54"/>
  <c r="MJ178" i="54"/>
  <c r="MJ180" i="54" s="1"/>
  <c r="MI178" i="54"/>
  <c r="MI180" i="54" s="1"/>
  <c r="MH178" i="54"/>
  <c r="MH180" i="54" s="1"/>
  <c r="MG178" i="54"/>
  <c r="MF178" i="54"/>
  <c r="MF180" i="54" s="1"/>
  <c r="ME178" i="54"/>
  <c r="ME180" i="54" s="1"/>
  <c r="MD178" i="54"/>
  <c r="MD180" i="54" s="1"/>
  <c r="MC178" i="54"/>
  <c r="MB178" i="54"/>
  <c r="MB180" i="54" s="1"/>
  <c r="MA178" i="54"/>
  <c r="MA180" i="54" s="1"/>
  <c r="LZ178" i="54"/>
  <c r="LZ180" i="54" s="1"/>
  <c r="LY178" i="54"/>
  <c r="LX178" i="54"/>
  <c r="LX180" i="54" s="1"/>
  <c r="LW178" i="54"/>
  <c r="LW180" i="54" s="1"/>
  <c r="LV178" i="54"/>
  <c r="LV180" i="54" s="1"/>
  <c r="LU178" i="54"/>
  <c r="LT178" i="54"/>
  <c r="LT180" i="54" s="1"/>
  <c r="LS178" i="54"/>
  <c r="LS180" i="54" s="1"/>
  <c r="LR178" i="54"/>
  <c r="LR180" i="54" s="1"/>
  <c r="LQ178" i="54"/>
  <c r="LP178" i="54"/>
  <c r="LP180" i="54" s="1"/>
  <c r="LO178" i="54"/>
  <c r="LO180" i="54" s="1"/>
  <c r="LN178" i="54"/>
  <c r="LN180" i="54" s="1"/>
  <c r="LM178" i="54"/>
  <c r="LL178" i="54"/>
  <c r="LL180" i="54" s="1"/>
  <c r="LK178" i="54"/>
  <c r="LK180" i="54" s="1"/>
  <c r="LJ178" i="54"/>
  <c r="LJ180" i="54" s="1"/>
  <c r="LI178" i="54"/>
  <c r="LI180" i="54" s="1"/>
  <c r="LH178" i="54"/>
  <c r="LH180" i="54" s="1"/>
  <c r="LG178" i="54"/>
  <c r="LG180" i="54" s="1"/>
  <c r="LF178" i="54"/>
  <c r="LF180" i="54" s="1"/>
  <c r="LE178" i="54"/>
  <c r="LD178" i="54"/>
  <c r="LD180" i="54" s="1"/>
  <c r="LC178" i="54"/>
  <c r="LC180" i="54" s="1"/>
  <c r="LB178" i="54"/>
  <c r="LB180" i="54" s="1"/>
  <c r="LA178" i="54"/>
  <c r="KZ178" i="54"/>
  <c r="KZ180" i="54" s="1"/>
  <c r="KY178" i="54"/>
  <c r="KY180" i="54" s="1"/>
  <c r="KX178" i="54"/>
  <c r="KX180" i="54" s="1"/>
  <c r="KW178" i="54"/>
  <c r="KV178" i="54"/>
  <c r="KV180" i="54" s="1"/>
  <c r="KU178" i="54"/>
  <c r="KU180" i="54" s="1"/>
  <c r="KT178" i="54"/>
  <c r="KT180" i="54" s="1"/>
  <c r="KS178" i="54"/>
  <c r="KS180" i="54" s="1"/>
  <c r="KR178" i="54"/>
  <c r="KR180" i="54" s="1"/>
  <c r="KQ178" i="54"/>
  <c r="KQ180" i="54" s="1"/>
  <c r="KP178" i="54"/>
  <c r="KP180" i="54" s="1"/>
  <c r="KO178" i="54"/>
  <c r="KN178" i="54"/>
  <c r="KN180" i="54" s="1"/>
  <c r="KM178" i="54"/>
  <c r="KM180" i="54" s="1"/>
  <c r="KL178" i="54"/>
  <c r="KL180" i="54" s="1"/>
  <c r="KK178" i="54"/>
  <c r="KJ178" i="54"/>
  <c r="KJ180" i="54" s="1"/>
  <c r="KI178" i="54"/>
  <c r="KI180" i="54" s="1"/>
  <c r="KH178" i="54"/>
  <c r="KG178" i="54"/>
  <c r="KF178" i="54"/>
  <c r="KF180" i="54" s="1"/>
  <c r="KE178" i="54"/>
  <c r="KE180" i="54" s="1"/>
  <c r="KD178" i="54"/>
  <c r="KC178" i="54"/>
  <c r="KC180" i="54" s="1"/>
  <c r="KB178" i="54"/>
  <c r="KB180" i="54" s="1"/>
  <c r="KA178" i="54"/>
  <c r="KA180" i="54" s="1"/>
  <c r="JZ178" i="54"/>
  <c r="JZ180" i="54" s="1"/>
  <c r="JY178" i="54"/>
  <c r="JX178" i="54"/>
  <c r="JX180" i="54" s="1"/>
  <c r="JW178" i="54"/>
  <c r="JW180" i="54" s="1"/>
  <c r="JV178" i="54"/>
  <c r="JV180" i="54" s="1"/>
  <c r="JU178" i="54"/>
  <c r="JT178" i="54"/>
  <c r="JT180" i="54" s="1"/>
  <c r="JS178" i="54"/>
  <c r="JS180" i="54" s="1"/>
  <c r="JR178" i="54"/>
  <c r="JR180" i="54" s="1"/>
  <c r="JQ178" i="54"/>
  <c r="JP178" i="54"/>
  <c r="JP180" i="54" s="1"/>
  <c r="JO178" i="54"/>
  <c r="JO180" i="54" s="1"/>
  <c r="JN178" i="54"/>
  <c r="JN180" i="54" s="1"/>
  <c r="JM178" i="54"/>
  <c r="JL178" i="54"/>
  <c r="JL180" i="54" s="1"/>
  <c r="JK178" i="54"/>
  <c r="JK180" i="54" s="1"/>
  <c r="JJ178" i="54"/>
  <c r="JJ180" i="54" s="1"/>
  <c r="JI178" i="54"/>
  <c r="JH178" i="54"/>
  <c r="JH180" i="54" s="1"/>
  <c r="JG178" i="54"/>
  <c r="JG180" i="54" s="1"/>
  <c r="JF178" i="54"/>
  <c r="JF180" i="54" s="1"/>
  <c r="JE178" i="54"/>
  <c r="JD178" i="54"/>
  <c r="JD180" i="54" s="1"/>
  <c r="JC178" i="54"/>
  <c r="JC180" i="54" s="1"/>
  <c r="JB178" i="54"/>
  <c r="JB180" i="54" s="1"/>
  <c r="JA178" i="54"/>
  <c r="IZ178" i="54"/>
  <c r="IZ180" i="54" s="1"/>
  <c r="IY178" i="54"/>
  <c r="IY180" i="54" s="1"/>
  <c r="IX178" i="54"/>
  <c r="IX180" i="54" s="1"/>
  <c r="IW178" i="54"/>
  <c r="IW180" i="54" s="1"/>
  <c r="IV178" i="54"/>
  <c r="IV180" i="54" s="1"/>
  <c r="IU178" i="54"/>
  <c r="IU180" i="54" s="1"/>
  <c r="IT178" i="54"/>
  <c r="IT180" i="54" s="1"/>
  <c r="IS178" i="54"/>
  <c r="IR178" i="54"/>
  <c r="IR180" i="54" s="1"/>
  <c r="IQ178" i="54"/>
  <c r="IQ180" i="54" s="1"/>
  <c r="IP178" i="54"/>
  <c r="IP180" i="54" s="1"/>
  <c r="IO178" i="54"/>
  <c r="IN178" i="54"/>
  <c r="IN180" i="54" s="1"/>
  <c r="IM178" i="54"/>
  <c r="IM180" i="54" s="1"/>
  <c r="IL178" i="54"/>
  <c r="IL180" i="54" s="1"/>
  <c r="IK178" i="54"/>
  <c r="IJ178" i="54"/>
  <c r="IJ180" i="54" s="1"/>
  <c r="II178" i="54"/>
  <c r="II180" i="54" s="1"/>
  <c r="IH178" i="54"/>
  <c r="IH180" i="54" s="1"/>
  <c r="IG178" i="54"/>
  <c r="IG180" i="54" s="1"/>
  <c r="IF178" i="54"/>
  <c r="IF180" i="54" s="1"/>
  <c r="IE178" i="54"/>
  <c r="IE180" i="54" s="1"/>
  <c r="ID178" i="54"/>
  <c r="ID180" i="54" s="1"/>
  <c r="IC178" i="54"/>
  <c r="IB178" i="54"/>
  <c r="IB180" i="54" s="1"/>
  <c r="IA178" i="54"/>
  <c r="IA180" i="54" s="1"/>
  <c r="HZ178" i="54"/>
  <c r="HZ180" i="54" s="1"/>
  <c r="HY178" i="54"/>
  <c r="HX178" i="54"/>
  <c r="HX180" i="54" s="1"/>
  <c r="HW178" i="54"/>
  <c r="HW180" i="54" s="1"/>
  <c r="HV178" i="54"/>
  <c r="HU178" i="54"/>
  <c r="HT178" i="54"/>
  <c r="HT180" i="54" s="1"/>
  <c r="HS178" i="54"/>
  <c r="HS180" i="54" s="1"/>
  <c r="HR178" i="54"/>
  <c r="HQ178" i="54"/>
  <c r="HQ180" i="54" s="1"/>
  <c r="HP178" i="54"/>
  <c r="HP180" i="54" s="1"/>
  <c r="HO178" i="54"/>
  <c r="HO180" i="54" s="1"/>
  <c r="HN178" i="54"/>
  <c r="HN180" i="54" s="1"/>
  <c r="HM178" i="54"/>
  <c r="HL178" i="54"/>
  <c r="HL180" i="54" s="1"/>
  <c r="HK178" i="54"/>
  <c r="HK180" i="54" s="1"/>
  <c r="HJ178" i="54"/>
  <c r="HJ180" i="54" s="1"/>
  <c r="HI178" i="54"/>
  <c r="HH178" i="54"/>
  <c r="HH180" i="54" s="1"/>
  <c r="HG178" i="54"/>
  <c r="HG180" i="54" s="1"/>
  <c r="HF178" i="54"/>
  <c r="HF180" i="54" s="1"/>
  <c r="HE178" i="54"/>
  <c r="HD178" i="54"/>
  <c r="HD180" i="54" s="1"/>
  <c r="HC178" i="54"/>
  <c r="HC180" i="54" s="1"/>
  <c r="HB178" i="54"/>
  <c r="HB180" i="54" s="1"/>
  <c r="HA178" i="54"/>
  <c r="GZ178" i="54"/>
  <c r="GZ180" i="54" s="1"/>
  <c r="GY178" i="54"/>
  <c r="GY180" i="54" s="1"/>
  <c r="GX178" i="54"/>
  <c r="GX180" i="54" s="1"/>
  <c r="GW178" i="54"/>
  <c r="GV178" i="54"/>
  <c r="GV180" i="54" s="1"/>
  <c r="GU178" i="54"/>
  <c r="GU180" i="54" s="1"/>
  <c r="GT178" i="54"/>
  <c r="GT180" i="54" s="1"/>
  <c r="GS178" i="54"/>
  <c r="GR178" i="54"/>
  <c r="GR180" i="54" s="1"/>
  <c r="GQ178" i="54"/>
  <c r="GQ180" i="54" s="1"/>
  <c r="GP178" i="54"/>
  <c r="GP180" i="54" s="1"/>
  <c r="GO178" i="54"/>
  <c r="GN178" i="54"/>
  <c r="GN180" i="54" s="1"/>
  <c r="GM178" i="54"/>
  <c r="GM180" i="54" s="1"/>
  <c r="GL178" i="54"/>
  <c r="GL180" i="54" s="1"/>
  <c r="GK178" i="54"/>
  <c r="GJ178" i="54"/>
  <c r="GJ180" i="54" s="1"/>
  <c r="GI178" i="54"/>
  <c r="GI180" i="54" s="1"/>
  <c r="GH178" i="54"/>
  <c r="GH180" i="54" s="1"/>
  <c r="GG178" i="54"/>
  <c r="GF178" i="54"/>
  <c r="GF180" i="54" s="1"/>
  <c r="GE178" i="54"/>
  <c r="GE180" i="54" s="1"/>
  <c r="GD178" i="54"/>
  <c r="GD180" i="54" s="1"/>
  <c r="GC178" i="54"/>
  <c r="GB178" i="54"/>
  <c r="GB180" i="54" s="1"/>
  <c r="GA178" i="54"/>
  <c r="GA180" i="54" s="1"/>
  <c r="FZ178" i="54"/>
  <c r="FZ180" i="54" s="1"/>
  <c r="FY178" i="54"/>
  <c r="FX178" i="54"/>
  <c r="FX180" i="54" s="1"/>
  <c r="FW178" i="54"/>
  <c r="FW180" i="54" s="1"/>
  <c r="FV178" i="54"/>
  <c r="FV180" i="54" s="1"/>
  <c r="FU178" i="54"/>
  <c r="FT178" i="54"/>
  <c r="FT180" i="54" s="1"/>
  <c r="FS178" i="54"/>
  <c r="FS180" i="54" s="1"/>
  <c r="FR178" i="54"/>
  <c r="FR180" i="54" s="1"/>
  <c r="FQ178" i="54"/>
  <c r="FP178" i="54"/>
  <c r="FP180" i="54" s="1"/>
  <c r="FO178" i="54"/>
  <c r="FO180" i="54" s="1"/>
  <c r="FN178" i="54"/>
  <c r="FN180" i="54" s="1"/>
  <c r="FM178" i="54"/>
  <c r="FL178" i="54"/>
  <c r="FL180" i="54" s="1"/>
  <c r="FK178" i="54"/>
  <c r="FK180" i="54" s="1"/>
  <c r="FJ178" i="54"/>
  <c r="FJ180" i="54" s="1"/>
  <c r="FI178" i="54"/>
  <c r="FH178" i="54"/>
  <c r="FH180" i="54" s="1"/>
  <c r="FG178" i="54"/>
  <c r="FG180" i="54" s="1"/>
  <c r="FF178" i="54"/>
  <c r="FF180" i="54" s="1"/>
  <c r="FE178" i="54"/>
  <c r="FD178" i="54"/>
  <c r="FD180" i="54" s="1"/>
  <c r="FC178" i="54"/>
  <c r="FC180" i="54" s="1"/>
  <c r="FB178" i="54"/>
  <c r="FB180" i="54" s="1"/>
  <c r="FA178" i="54"/>
  <c r="EZ178" i="54"/>
  <c r="EZ180" i="54" s="1"/>
  <c r="EY178" i="54"/>
  <c r="EY180" i="54" s="1"/>
  <c r="EX178" i="54"/>
  <c r="EX180" i="54" s="1"/>
  <c r="EW178" i="54"/>
  <c r="EV178" i="54"/>
  <c r="EV180" i="54" s="1"/>
  <c r="EU178" i="54"/>
  <c r="EU180" i="54" s="1"/>
  <c r="ET178" i="54"/>
  <c r="ET180" i="54" s="1"/>
  <c r="ES178" i="54"/>
  <c r="ER178" i="54"/>
  <c r="ER180" i="54" s="1"/>
  <c r="EQ178" i="54"/>
  <c r="EQ180" i="54" s="1"/>
  <c r="EP178" i="54"/>
  <c r="EP180" i="54" s="1"/>
  <c r="EO178" i="54"/>
  <c r="EN178" i="54"/>
  <c r="EN180" i="54" s="1"/>
  <c r="EM178" i="54"/>
  <c r="EM180" i="54" s="1"/>
  <c r="EL178" i="54"/>
  <c r="EL180" i="54" s="1"/>
  <c r="EK178" i="54"/>
  <c r="EJ178" i="54"/>
  <c r="EJ180" i="54" s="1"/>
  <c r="EI178" i="54"/>
  <c r="EI180" i="54" s="1"/>
  <c r="EH178" i="54"/>
  <c r="EH180" i="54" s="1"/>
  <c r="EG178" i="54"/>
  <c r="EF178" i="54"/>
  <c r="EF180" i="54" s="1"/>
  <c r="EE178" i="54"/>
  <c r="EE180" i="54" s="1"/>
  <c r="ED178" i="54"/>
  <c r="ED180" i="54" s="1"/>
  <c r="EC178" i="54"/>
  <c r="EB178" i="54"/>
  <c r="EB180" i="54" s="1"/>
  <c r="EA178" i="54"/>
  <c r="EA180" i="54" s="1"/>
  <c r="DZ178" i="54"/>
  <c r="DZ180" i="54" s="1"/>
  <c r="DY178" i="54"/>
  <c r="DX178" i="54"/>
  <c r="DX180" i="54" s="1"/>
  <c r="DW178" i="54"/>
  <c r="DW180" i="54" s="1"/>
  <c r="DV178" i="54"/>
  <c r="DV180" i="54" s="1"/>
  <c r="DU178" i="54"/>
  <c r="DT178" i="54"/>
  <c r="DT180" i="54" s="1"/>
  <c r="DS178" i="54"/>
  <c r="DS180" i="54" s="1"/>
  <c r="DR178" i="54"/>
  <c r="DR180" i="54" s="1"/>
  <c r="DQ178" i="54"/>
  <c r="DP178" i="54"/>
  <c r="DP180" i="54" s="1"/>
  <c r="DO178" i="54"/>
  <c r="DO180" i="54" s="1"/>
  <c r="DN178" i="54"/>
  <c r="DN180" i="54" s="1"/>
  <c r="DM178" i="54"/>
  <c r="DL178" i="54"/>
  <c r="DL180" i="54" s="1"/>
  <c r="DK178" i="54"/>
  <c r="DK180" i="54" s="1"/>
  <c r="DJ178" i="54"/>
  <c r="DJ180" i="54" s="1"/>
  <c r="DI178" i="54"/>
  <c r="DH178" i="54"/>
  <c r="DH180" i="54" s="1"/>
  <c r="DG178" i="54"/>
  <c r="DG180" i="54" s="1"/>
  <c r="DF178" i="54"/>
  <c r="DF180" i="54" s="1"/>
  <c r="DE178" i="54"/>
  <c r="DD178" i="54"/>
  <c r="DD180" i="54" s="1"/>
  <c r="DC178" i="54"/>
  <c r="DC180" i="54" s="1"/>
  <c r="DB178" i="54"/>
  <c r="DB180" i="54" s="1"/>
  <c r="DA178" i="54"/>
  <c r="CZ178" i="54"/>
  <c r="CZ180" i="54" s="1"/>
  <c r="CY178" i="54"/>
  <c r="CY180" i="54" s="1"/>
  <c r="CX178" i="54"/>
  <c r="CX180" i="54" s="1"/>
  <c r="CW178" i="54"/>
  <c r="CV178" i="54"/>
  <c r="CV180" i="54" s="1"/>
  <c r="CU178" i="54"/>
  <c r="CU180" i="54" s="1"/>
  <c r="CT178" i="54"/>
  <c r="CT180" i="54" s="1"/>
  <c r="CS178" i="54"/>
  <c r="CR178" i="54"/>
  <c r="CR180" i="54" s="1"/>
  <c r="CQ178" i="54"/>
  <c r="CQ180" i="54" s="1"/>
  <c r="CP178" i="54"/>
  <c r="CP180" i="54" s="1"/>
  <c r="CO178" i="54"/>
  <c r="CN178" i="54"/>
  <c r="CN180" i="54" s="1"/>
  <c r="CM178" i="54"/>
  <c r="CM180" i="54" s="1"/>
  <c r="CL178" i="54"/>
  <c r="CL180" i="54" s="1"/>
  <c r="CK178" i="54"/>
  <c r="CJ178" i="54"/>
  <c r="CJ180" i="54" s="1"/>
  <c r="CI178" i="54"/>
  <c r="CI180" i="54" s="1"/>
  <c r="CH178" i="54"/>
  <c r="CH180" i="54" s="1"/>
  <c r="CG178" i="54"/>
  <c r="CF178" i="54"/>
  <c r="CF180" i="54" s="1"/>
  <c r="CE178" i="54"/>
  <c r="CE180" i="54" s="1"/>
  <c r="CD178" i="54"/>
  <c r="CD180" i="54" s="1"/>
  <c r="CC178" i="54"/>
  <c r="CB178" i="54"/>
  <c r="CB180" i="54" s="1"/>
  <c r="CA178" i="54"/>
  <c r="CA180" i="54" s="1"/>
  <c r="BZ178" i="54"/>
  <c r="BZ180" i="54" s="1"/>
  <c r="BY178" i="54"/>
  <c r="BX178" i="54"/>
  <c r="BX180" i="54" s="1"/>
  <c r="BW178" i="54"/>
  <c r="BW180" i="54" s="1"/>
  <c r="BV178" i="54"/>
  <c r="BV180" i="54" s="1"/>
  <c r="BU178" i="54"/>
  <c r="BT178" i="54"/>
  <c r="BT180" i="54" s="1"/>
  <c r="BS178" i="54"/>
  <c r="BS180" i="54" s="1"/>
  <c r="BR178" i="54"/>
  <c r="BR180" i="54" s="1"/>
  <c r="BQ178" i="54"/>
  <c r="BP178" i="54"/>
  <c r="BP180" i="54" s="1"/>
  <c r="BO178" i="54"/>
  <c r="BO180" i="54" s="1"/>
  <c r="BN178" i="54"/>
  <c r="BN180" i="54" s="1"/>
  <c r="BM178" i="54"/>
  <c r="BL178" i="54"/>
  <c r="BL180" i="54" s="1"/>
  <c r="BK178" i="54"/>
  <c r="BK180" i="54" s="1"/>
  <c r="BJ178" i="54"/>
  <c r="BJ180" i="54" s="1"/>
  <c r="BI178" i="54"/>
  <c r="BH178" i="54"/>
  <c r="BH180" i="54" s="1"/>
  <c r="BG178" i="54"/>
  <c r="BG180" i="54" s="1"/>
  <c r="BF178" i="54"/>
  <c r="BF180" i="54" s="1"/>
  <c r="BE178" i="54"/>
  <c r="BD178" i="54"/>
  <c r="BD180" i="54" s="1"/>
  <c r="BC178" i="54"/>
  <c r="BC180" i="54" s="1"/>
  <c r="BB178" i="54"/>
  <c r="BB180" i="54" s="1"/>
  <c r="BA178" i="54"/>
  <c r="AZ178" i="54"/>
  <c r="AZ180" i="54" s="1"/>
  <c r="AY178" i="54"/>
  <c r="AY180" i="54" s="1"/>
  <c r="AX178" i="54"/>
  <c r="AX180" i="54" s="1"/>
  <c r="AW178" i="54"/>
  <c r="AV178" i="54"/>
  <c r="AV180" i="54" s="1"/>
  <c r="AU178" i="54"/>
  <c r="AU180" i="54" s="1"/>
  <c r="AT178" i="54"/>
  <c r="AT180" i="54" s="1"/>
  <c r="AS178" i="54"/>
  <c r="AR178" i="54"/>
  <c r="AR180" i="54" s="1"/>
  <c r="AQ178" i="54"/>
  <c r="AQ180" i="54" s="1"/>
  <c r="AP178" i="54"/>
  <c r="AP180" i="54" s="1"/>
  <c r="AO178" i="54"/>
  <c r="AN178" i="54"/>
  <c r="AN180" i="54" s="1"/>
  <c r="AM178" i="54"/>
  <c r="AM180" i="54" s="1"/>
  <c r="AL178" i="54"/>
  <c r="AL180" i="54" s="1"/>
  <c r="AK178" i="54"/>
  <c r="AJ178" i="54"/>
  <c r="AJ180" i="54" s="1"/>
  <c r="AI178" i="54"/>
  <c r="AI180" i="54" s="1"/>
  <c r="AH178" i="54"/>
  <c r="AH180" i="54" s="1"/>
  <c r="AG178" i="54"/>
  <c r="AF178" i="54"/>
  <c r="AF180" i="54" s="1"/>
  <c r="AE178" i="54"/>
  <c r="AE180" i="54" s="1"/>
  <c r="AD178" i="54"/>
  <c r="AD180" i="54" s="1"/>
  <c r="AC178" i="54"/>
  <c r="AB178" i="54"/>
  <c r="AB180" i="54" s="1"/>
  <c r="AA178" i="54"/>
  <c r="AA180" i="54" s="1"/>
  <c r="Z178" i="54"/>
  <c r="Z180" i="54" s="1"/>
  <c r="Y178" i="54"/>
  <c r="X178" i="54"/>
  <c r="X180" i="54" s="1"/>
  <c r="W178" i="54"/>
  <c r="W180" i="54" s="1"/>
  <c r="V178" i="54"/>
  <c r="V180" i="54" s="1"/>
  <c r="U178" i="54"/>
  <c r="T178" i="54"/>
  <c r="T180" i="54" s="1"/>
  <c r="S178" i="54"/>
  <c r="S180" i="54" s="1"/>
  <c r="R178" i="54"/>
  <c r="R180" i="54" s="1"/>
  <c r="Q178" i="54"/>
  <c r="P178" i="54"/>
  <c r="P180" i="54" s="1"/>
  <c r="O178" i="54"/>
  <c r="O180" i="54" s="1"/>
  <c r="N178" i="54"/>
  <c r="N180" i="54" s="1"/>
  <c r="M178" i="54"/>
  <c r="L178" i="54"/>
  <c r="L180" i="54" s="1"/>
  <c r="K178" i="54"/>
  <c r="K180" i="54" s="1"/>
  <c r="J178" i="54"/>
  <c r="J180" i="54" s="1"/>
  <c r="I178" i="54"/>
  <c r="H178" i="54"/>
  <c r="H180" i="54" s="1"/>
  <c r="G178" i="54"/>
  <c r="G180" i="54" s="1"/>
  <c r="F178" i="54"/>
  <c r="F180" i="54" s="1"/>
  <c r="NO174" i="54"/>
  <c r="NN174" i="54"/>
  <c r="NM174" i="54"/>
  <c r="NL174" i="54"/>
  <c r="NK174" i="54"/>
  <c r="NJ174" i="54"/>
  <c r="NI174" i="54"/>
  <c r="NH174" i="54"/>
  <c r="NG174" i="54"/>
  <c r="NF174" i="54"/>
  <c r="NE174" i="54"/>
  <c r="ND174" i="54"/>
  <c r="NC174" i="54"/>
  <c r="NB174" i="54"/>
  <c r="MZ174" i="54"/>
  <c r="MY174" i="54"/>
  <c r="VK173" i="54"/>
  <c r="VJ173" i="54"/>
  <c r="VI173" i="54"/>
  <c r="VH173" i="54"/>
  <c r="VG173" i="54"/>
  <c r="VF173" i="54"/>
  <c r="VE173" i="54"/>
  <c r="VD173" i="54"/>
  <c r="VC173" i="54"/>
  <c r="VB173" i="54"/>
  <c r="VA173" i="54"/>
  <c r="UZ173" i="54"/>
  <c r="UY173" i="54"/>
  <c r="UX173" i="54"/>
  <c r="UW173" i="54"/>
  <c r="UV173" i="54"/>
  <c r="UU173" i="54"/>
  <c r="UT173" i="54"/>
  <c r="US173" i="54"/>
  <c r="UR173" i="54"/>
  <c r="UQ173" i="54"/>
  <c r="UP173" i="54"/>
  <c r="UO173" i="54"/>
  <c r="UN173" i="54"/>
  <c r="UM173" i="54"/>
  <c r="UL173" i="54"/>
  <c r="UK173" i="54"/>
  <c r="UJ173" i="54"/>
  <c r="UI173" i="54"/>
  <c r="UH173" i="54"/>
  <c r="UG173" i="54"/>
  <c r="UF173" i="54"/>
  <c r="UE173" i="54"/>
  <c r="UD173" i="54"/>
  <c r="UC173" i="54"/>
  <c r="UB173" i="54"/>
  <c r="UA173" i="54"/>
  <c r="TZ173" i="54"/>
  <c r="TY173" i="54"/>
  <c r="TX173" i="54"/>
  <c r="TW173" i="54"/>
  <c r="TV173" i="54"/>
  <c r="TU173" i="54"/>
  <c r="TT173" i="54"/>
  <c r="TS173" i="54"/>
  <c r="TR173" i="54"/>
  <c r="TQ173" i="54"/>
  <c r="TP173" i="54"/>
  <c r="TO173" i="54"/>
  <c r="TN173" i="54"/>
  <c r="TM173" i="54"/>
  <c r="TL173" i="54"/>
  <c r="TK173" i="54"/>
  <c r="TJ173" i="54"/>
  <c r="TI173" i="54"/>
  <c r="TH173" i="54"/>
  <c r="TG173" i="54"/>
  <c r="TF173" i="54"/>
  <c r="TE173" i="54"/>
  <c r="TD173" i="54"/>
  <c r="TC173" i="54"/>
  <c r="TB173" i="54"/>
  <c r="TA173" i="54"/>
  <c r="SZ173" i="54"/>
  <c r="SY173" i="54"/>
  <c r="SX173" i="54"/>
  <c r="SW173" i="54"/>
  <c r="SV173" i="54"/>
  <c r="SU173" i="54"/>
  <c r="ST173" i="54"/>
  <c r="SS173" i="54"/>
  <c r="SR173" i="54"/>
  <c r="SQ173" i="54"/>
  <c r="SP173" i="54"/>
  <c r="SO173" i="54"/>
  <c r="SN173" i="54"/>
  <c r="SM173" i="54"/>
  <c r="SL173" i="54"/>
  <c r="SK173" i="54"/>
  <c r="SJ173" i="54"/>
  <c r="SI173" i="54"/>
  <c r="SH173" i="54"/>
  <c r="SG173" i="54"/>
  <c r="SF173" i="54"/>
  <c r="SE173" i="54"/>
  <c r="SD173" i="54"/>
  <c r="SC173" i="54"/>
  <c r="SB173" i="54"/>
  <c r="SA173" i="54"/>
  <c r="RZ173" i="54"/>
  <c r="RY173" i="54"/>
  <c r="RX173" i="54"/>
  <c r="RW173" i="54"/>
  <c r="RV173" i="54"/>
  <c r="RU173" i="54"/>
  <c r="RT173" i="54"/>
  <c r="RS173" i="54"/>
  <c r="RR173" i="54"/>
  <c r="RQ173" i="54"/>
  <c r="RP173" i="54"/>
  <c r="RO173" i="54"/>
  <c r="RN173" i="54"/>
  <c r="RM173" i="54"/>
  <c r="RL173" i="54"/>
  <c r="RK173" i="54"/>
  <c r="RJ173" i="54"/>
  <c r="RI173" i="54"/>
  <c r="RH173" i="54"/>
  <c r="RG173" i="54"/>
  <c r="RF173" i="54"/>
  <c r="RE173" i="54"/>
  <c r="RD173" i="54"/>
  <c r="RC173" i="54"/>
  <c r="RB173" i="54"/>
  <c r="RA173" i="54"/>
  <c r="QZ173" i="54"/>
  <c r="QY173" i="54"/>
  <c r="QX173" i="54"/>
  <c r="QW173" i="54"/>
  <c r="QV173" i="54"/>
  <c r="QU173" i="54"/>
  <c r="QT173" i="54"/>
  <c r="QS173" i="54"/>
  <c r="QR173" i="54"/>
  <c r="QQ173" i="54"/>
  <c r="QP173" i="54"/>
  <c r="QO173" i="54"/>
  <c r="QN173" i="54"/>
  <c r="QM173" i="54"/>
  <c r="QL173" i="54"/>
  <c r="QK173" i="54"/>
  <c r="QJ173" i="54"/>
  <c r="QI173" i="54"/>
  <c r="QH173" i="54"/>
  <c r="QG173" i="54"/>
  <c r="QF173" i="54"/>
  <c r="QE173" i="54"/>
  <c r="QD173" i="54"/>
  <c r="QC173" i="54"/>
  <c r="QB173" i="54"/>
  <c r="QA173" i="54"/>
  <c r="PZ173" i="54"/>
  <c r="PY173" i="54"/>
  <c r="PX173" i="54"/>
  <c r="PW173" i="54"/>
  <c r="PV173" i="54"/>
  <c r="PU173" i="54"/>
  <c r="PT173" i="54"/>
  <c r="PS173" i="54"/>
  <c r="PR173" i="54"/>
  <c r="PQ173" i="54"/>
  <c r="PP173" i="54"/>
  <c r="PO173" i="54"/>
  <c r="PN173" i="54"/>
  <c r="PM173" i="54"/>
  <c r="PL173" i="54"/>
  <c r="PK173" i="54"/>
  <c r="PJ173" i="54"/>
  <c r="PI173" i="54"/>
  <c r="PH173" i="54"/>
  <c r="PG173" i="54"/>
  <c r="PF173" i="54"/>
  <c r="PE173" i="54"/>
  <c r="PD173" i="54"/>
  <c r="PC173" i="54"/>
  <c r="PB173" i="54"/>
  <c r="PA173" i="54"/>
  <c r="OZ173" i="54"/>
  <c r="OY173" i="54"/>
  <c r="OX173" i="54"/>
  <c r="OW173" i="54"/>
  <c r="OV173" i="54"/>
  <c r="OU173" i="54"/>
  <c r="OT173" i="54"/>
  <c r="OS173" i="54"/>
  <c r="OR173" i="54"/>
  <c r="OQ173" i="54"/>
  <c r="OP173" i="54"/>
  <c r="OO173" i="54"/>
  <c r="ON173" i="54"/>
  <c r="OM173" i="54"/>
  <c r="OL173" i="54"/>
  <c r="OK173" i="54"/>
  <c r="OJ173" i="54"/>
  <c r="OI173" i="54"/>
  <c r="OH173" i="54"/>
  <c r="OG173" i="54"/>
  <c r="OF173" i="54"/>
  <c r="OE173" i="54"/>
  <c r="OD173" i="54"/>
  <c r="OC173" i="54"/>
  <c r="OB173" i="54"/>
  <c r="OA173" i="54"/>
  <c r="NZ173" i="54"/>
  <c r="NY173" i="54"/>
  <c r="NX173" i="54"/>
  <c r="NW173" i="54"/>
  <c r="NV173" i="54"/>
  <c r="NU173" i="54"/>
  <c r="NT173" i="54"/>
  <c r="NS173" i="54"/>
  <c r="NR173" i="54"/>
  <c r="NQ173" i="54"/>
  <c r="NP173" i="54"/>
  <c r="NO173" i="54"/>
  <c r="NN173" i="54"/>
  <c r="NM173" i="54"/>
  <c r="NL173" i="54"/>
  <c r="NK173" i="54"/>
  <c r="NJ173" i="54"/>
  <c r="NI173" i="54"/>
  <c r="NH173" i="54"/>
  <c r="NG173" i="54"/>
  <c r="NF173" i="54"/>
  <c r="NE173" i="54"/>
  <c r="ND173" i="54"/>
  <c r="NC173" i="54"/>
  <c r="NB173" i="54"/>
  <c r="NA173" i="54"/>
  <c r="MZ173" i="54"/>
  <c r="MY173" i="54"/>
  <c r="MX173" i="54"/>
  <c r="MW173" i="54"/>
  <c r="MV173" i="54"/>
  <c r="MU173" i="54"/>
  <c r="MT173" i="54"/>
  <c r="MS173" i="54"/>
  <c r="MR173" i="54"/>
  <c r="MQ173" i="54"/>
  <c r="MP173" i="54"/>
  <c r="MO173" i="54"/>
  <c r="MN173" i="54"/>
  <c r="MM173" i="54"/>
  <c r="ML173" i="54"/>
  <c r="MK173" i="54"/>
  <c r="MJ173" i="54"/>
  <c r="MI173" i="54"/>
  <c r="MH173" i="54"/>
  <c r="MG173" i="54"/>
  <c r="MF173" i="54"/>
  <c r="ME173" i="54"/>
  <c r="MD173" i="54"/>
  <c r="MC173" i="54"/>
  <c r="MB173" i="54"/>
  <c r="MA173" i="54"/>
  <c r="LZ173" i="54"/>
  <c r="LY173" i="54"/>
  <c r="LX173" i="54"/>
  <c r="LW173" i="54"/>
  <c r="LV173" i="54"/>
  <c r="LU173" i="54"/>
  <c r="LT173" i="54"/>
  <c r="LS173" i="54"/>
  <c r="LR173" i="54"/>
  <c r="LQ173" i="54"/>
  <c r="LP173" i="54"/>
  <c r="LO173" i="54"/>
  <c r="LN173" i="54"/>
  <c r="LM173" i="54"/>
  <c r="LL173" i="54"/>
  <c r="LK173" i="54"/>
  <c r="LJ173" i="54"/>
  <c r="LI173" i="54"/>
  <c r="LH173" i="54"/>
  <c r="LG173" i="54"/>
  <c r="LF173" i="54"/>
  <c r="LE173" i="54"/>
  <c r="LD173" i="54"/>
  <c r="LC173" i="54"/>
  <c r="LB173" i="54"/>
  <c r="LA173" i="54"/>
  <c r="KZ173" i="54"/>
  <c r="KY173" i="54"/>
  <c r="KX173" i="54"/>
  <c r="KW173" i="54"/>
  <c r="KV173" i="54"/>
  <c r="KU173" i="54"/>
  <c r="KT173" i="54"/>
  <c r="KS173" i="54"/>
  <c r="KR173" i="54"/>
  <c r="KQ173" i="54"/>
  <c r="KP173" i="54"/>
  <c r="KO173" i="54"/>
  <c r="KN173" i="54"/>
  <c r="KM173" i="54"/>
  <c r="KL173" i="54"/>
  <c r="KK173" i="54"/>
  <c r="KJ173" i="54"/>
  <c r="KI173" i="54"/>
  <c r="KH173" i="54"/>
  <c r="KG173" i="54"/>
  <c r="KF173" i="54"/>
  <c r="KE173" i="54"/>
  <c r="KD173" i="54"/>
  <c r="KC173" i="54"/>
  <c r="KB173" i="54"/>
  <c r="KA173" i="54"/>
  <c r="JZ173" i="54"/>
  <c r="JY173" i="54"/>
  <c r="JX173" i="54"/>
  <c r="JW173" i="54"/>
  <c r="JV173" i="54"/>
  <c r="JU173" i="54"/>
  <c r="JT173" i="54"/>
  <c r="JS173" i="54"/>
  <c r="JR173" i="54"/>
  <c r="JQ173" i="54"/>
  <c r="JP173" i="54"/>
  <c r="JO173" i="54"/>
  <c r="JN173" i="54"/>
  <c r="JM173" i="54"/>
  <c r="JL173" i="54"/>
  <c r="JK173" i="54"/>
  <c r="JJ173" i="54"/>
  <c r="JI173" i="54"/>
  <c r="JH173" i="54"/>
  <c r="JG173" i="54"/>
  <c r="JF173" i="54"/>
  <c r="JE173" i="54"/>
  <c r="JD173" i="54"/>
  <c r="JC173" i="54"/>
  <c r="JB173" i="54"/>
  <c r="JA173" i="54"/>
  <c r="IZ173" i="54"/>
  <c r="IY173" i="54"/>
  <c r="IX173" i="54"/>
  <c r="IW173" i="54"/>
  <c r="IV173" i="54"/>
  <c r="IU173" i="54"/>
  <c r="IT173" i="54"/>
  <c r="IS173" i="54"/>
  <c r="IR173" i="54"/>
  <c r="IQ173" i="54"/>
  <c r="IP173" i="54"/>
  <c r="IO173" i="54"/>
  <c r="IN173" i="54"/>
  <c r="IM173" i="54"/>
  <c r="IL173" i="54"/>
  <c r="IK173" i="54"/>
  <c r="IJ173" i="54"/>
  <c r="II173" i="54"/>
  <c r="IH173" i="54"/>
  <c r="IG173" i="54"/>
  <c r="IF173" i="54"/>
  <c r="IE173" i="54"/>
  <c r="ID173" i="54"/>
  <c r="IC173" i="54"/>
  <c r="IB173" i="54"/>
  <c r="IA173" i="54"/>
  <c r="HZ173" i="54"/>
  <c r="HY173" i="54"/>
  <c r="HX173" i="54"/>
  <c r="HW173" i="54"/>
  <c r="HV173" i="54"/>
  <c r="HU173" i="54"/>
  <c r="HT173" i="54"/>
  <c r="HS173" i="54"/>
  <c r="HR173" i="54"/>
  <c r="HQ173" i="54"/>
  <c r="HP173" i="54"/>
  <c r="HO173" i="54"/>
  <c r="HN173" i="54"/>
  <c r="HM173" i="54"/>
  <c r="HL173" i="54"/>
  <c r="HK173" i="54"/>
  <c r="HJ173" i="54"/>
  <c r="HI173" i="54"/>
  <c r="HH173" i="54"/>
  <c r="HG173" i="54"/>
  <c r="HF173" i="54"/>
  <c r="HE173" i="54"/>
  <c r="HD173" i="54"/>
  <c r="HC173" i="54"/>
  <c r="HB173" i="54"/>
  <c r="HA173" i="54"/>
  <c r="GZ173" i="54"/>
  <c r="GY173" i="54"/>
  <c r="GX173" i="54"/>
  <c r="GW173" i="54"/>
  <c r="GV173" i="54"/>
  <c r="GU173" i="54"/>
  <c r="GT173" i="54"/>
  <c r="GS173" i="54"/>
  <c r="GR173" i="54"/>
  <c r="GQ173" i="54"/>
  <c r="GP173" i="54"/>
  <c r="GO173" i="54"/>
  <c r="GN173" i="54"/>
  <c r="GM173" i="54"/>
  <c r="GL173" i="54"/>
  <c r="GK173" i="54"/>
  <c r="GJ173" i="54"/>
  <c r="GI173" i="54"/>
  <c r="GH173" i="54"/>
  <c r="GG173" i="54"/>
  <c r="GF173" i="54"/>
  <c r="GE173" i="54"/>
  <c r="GD173" i="54"/>
  <c r="GC173" i="54"/>
  <c r="GB173" i="54"/>
  <c r="GA173" i="54"/>
  <c r="FZ173" i="54"/>
  <c r="FY173" i="54"/>
  <c r="FX173" i="54"/>
  <c r="FW173" i="54"/>
  <c r="FV173" i="54"/>
  <c r="FU173" i="54"/>
  <c r="FT173" i="54"/>
  <c r="FS173" i="54"/>
  <c r="FR173" i="54"/>
  <c r="FQ173" i="54"/>
  <c r="FP173" i="54"/>
  <c r="FO173" i="54"/>
  <c r="FN173" i="54"/>
  <c r="FM173" i="54"/>
  <c r="FL173" i="54"/>
  <c r="FK173" i="54"/>
  <c r="FJ173" i="54"/>
  <c r="FI173" i="54"/>
  <c r="FH173" i="54"/>
  <c r="FG173" i="54"/>
  <c r="FF173" i="54"/>
  <c r="FE173" i="54"/>
  <c r="FD173" i="54"/>
  <c r="FC173" i="54"/>
  <c r="FB173" i="54"/>
  <c r="FA173" i="54"/>
  <c r="EZ173" i="54"/>
  <c r="EY173" i="54"/>
  <c r="EX173" i="54"/>
  <c r="EW173" i="54"/>
  <c r="EV173" i="54"/>
  <c r="EU173" i="54"/>
  <c r="ET173" i="54"/>
  <c r="ES173" i="54"/>
  <c r="ER173" i="54"/>
  <c r="EQ173" i="54"/>
  <c r="EP173" i="54"/>
  <c r="EO173" i="54"/>
  <c r="EN173" i="54"/>
  <c r="EM173" i="54"/>
  <c r="EL173" i="54"/>
  <c r="EK173" i="54"/>
  <c r="EJ173" i="54"/>
  <c r="EI173" i="54"/>
  <c r="EH173" i="54"/>
  <c r="EG173" i="54"/>
  <c r="EF173" i="54"/>
  <c r="EE173" i="54"/>
  <c r="ED173" i="54"/>
  <c r="EC173" i="54"/>
  <c r="EB173" i="54"/>
  <c r="EA173" i="54"/>
  <c r="DZ173" i="54"/>
  <c r="DY173" i="54"/>
  <c r="DX173" i="54"/>
  <c r="DW173" i="54"/>
  <c r="DV173" i="54"/>
  <c r="DU173" i="54"/>
  <c r="DT173" i="54"/>
  <c r="DS173" i="54"/>
  <c r="DR173" i="54"/>
  <c r="DQ173" i="54"/>
  <c r="DP173" i="54"/>
  <c r="DO173" i="54"/>
  <c r="DN173" i="54"/>
  <c r="DM173" i="54"/>
  <c r="DL173" i="54"/>
  <c r="DK173" i="54"/>
  <c r="DJ173" i="54"/>
  <c r="DI173" i="54"/>
  <c r="DH173" i="54"/>
  <c r="DG173" i="54"/>
  <c r="DF173" i="54"/>
  <c r="DE173" i="54"/>
  <c r="DD173" i="54"/>
  <c r="DC173" i="54"/>
  <c r="DB173" i="54"/>
  <c r="DA173" i="54"/>
  <c r="CZ173" i="54"/>
  <c r="CY173" i="54"/>
  <c r="CX173" i="54"/>
  <c r="CW173" i="54"/>
  <c r="CV173" i="54"/>
  <c r="CU173" i="54"/>
  <c r="CT173" i="54"/>
  <c r="CS173" i="54"/>
  <c r="CR173" i="54"/>
  <c r="CQ173" i="54"/>
  <c r="CP173" i="54"/>
  <c r="CO173" i="54"/>
  <c r="CN173" i="54"/>
  <c r="CM173" i="54"/>
  <c r="CL173" i="54"/>
  <c r="CK173" i="54"/>
  <c r="CJ173" i="54"/>
  <c r="CI173" i="54"/>
  <c r="CH173" i="54"/>
  <c r="CG173" i="54"/>
  <c r="CF173" i="54"/>
  <c r="CE173" i="54"/>
  <c r="CD173" i="54"/>
  <c r="CC173" i="54"/>
  <c r="CB173" i="54"/>
  <c r="CA173" i="54"/>
  <c r="BZ173" i="54"/>
  <c r="BY173" i="54"/>
  <c r="BX173" i="54"/>
  <c r="BW173" i="54"/>
  <c r="BV173" i="54"/>
  <c r="BU173" i="54"/>
  <c r="BT173" i="54"/>
  <c r="BS173" i="54"/>
  <c r="BR173" i="54"/>
  <c r="BQ173" i="54"/>
  <c r="BP173" i="54"/>
  <c r="BO173" i="54"/>
  <c r="BN173" i="54"/>
  <c r="BM173" i="54"/>
  <c r="BL173" i="54"/>
  <c r="BK173" i="54"/>
  <c r="BJ173" i="54"/>
  <c r="BI173" i="54"/>
  <c r="BH173" i="54"/>
  <c r="BG173" i="54"/>
  <c r="BF173" i="54"/>
  <c r="BE173" i="54"/>
  <c r="BD173" i="54"/>
  <c r="BC173" i="54"/>
  <c r="BB173" i="54"/>
  <c r="BA173" i="54"/>
  <c r="AZ173" i="54"/>
  <c r="AY173" i="54"/>
  <c r="AX173" i="54"/>
  <c r="AW173" i="54"/>
  <c r="AV173" i="54"/>
  <c r="AU173" i="54"/>
  <c r="AT173" i="54"/>
  <c r="AS173" i="54"/>
  <c r="AR173" i="54"/>
  <c r="AQ173" i="54"/>
  <c r="AP173" i="54"/>
  <c r="AO173" i="54"/>
  <c r="AN173" i="54"/>
  <c r="AM173" i="54"/>
  <c r="AL173" i="54"/>
  <c r="AK173" i="54"/>
  <c r="AJ173" i="54"/>
  <c r="AI173" i="54"/>
  <c r="AH173" i="54"/>
  <c r="AG173" i="54"/>
  <c r="AF173" i="54"/>
  <c r="AE173" i="54"/>
  <c r="AD173" i="54"/>
  <c r="AC173" i="54"/>
  <c r="AB173" i="54"/>
  <c r="AA173" i="54"/>
  <c r="Z173" i="54"/>
  <c r="Y173" i="54"/>
  <c r="X173" i="54"/>
  <c r="W173" i="54"/>
  <c r="V173" i="54"/>
  <c r="U173" i="54"/>
  <c r="T173" i="54"/>
  <c r="S173" i="54"/>
  <c r="R173" i="54"/>
  <c r="Q173" i="54"/>
  <c r="P173" i="54"/>
  <c r="O173" i="54"/>
  <c r="N173" i="54"/>
  <c r="M173" i="54"/>
  <c r="L173" i="54"/>
  <c r="K173" i="54"/>
  <c r="J173" i="54"/>
  <c r="I173" i="54"/>
  <c r="H173" i="54"/>
  <c r="G173" i="54"/>
  <c r="F173" i="54"/>
  <c r="VK170" i="54"/>
  <c r="VJ170" i="54"/>
  <c r="VI170" i="54"/>
  <c r="VH170" i="54"/>
  <c r="VG170" i="54"/>
  <c r="VF170" i="54"/>
  <c r="VE170" i="54"/>
  <c r="VD170" i="54"/>
  <c r="VC170" i="54"/>
  <c r="VB170" i="54"/>
  <c r="VA170" i="54"/>
  <c r="UZ170" i="54"/>
  <c r="UY170" i="54"/>
  <c r="UX170" i="54"/>
  <c r="UW170" i="54"/>
  <c r="UV170" i="54"/>
  <c r="UU170" i="54"/>
  <c r="UT170" i="54"/>
  <c r="US170" i="54"/>
  <c r="UR170" i="54"/>
  <c r="UQ170" i="54"/>
  <c r="UP170" i="54"/>
  <c r="UO170" i="54"/>
  <c r="UN170" i="54"/>
  <c r="UM170" i="54"/>
  <c r="UL170" i="54"/>
  <c r="UK170" i="54"/>
  <c r="UJ170" i="54"/>
  <c r="UI170" i="54"/>
  <c r="UH170" i="54"/>
  <c r="UG170" i="54"/>
  <c r="UF170" i="54"/>
  <c r="UE170" i="54"/>
  <c r="UD170" i="54"/>
  <c r="UC170" i="54"/>
  <c r="UB170" i="54"/>
  <c r="UA170" i="54"/>
  <c r="TZ170" i="54"/>
  <c r="TY170" i="54"/>
  <c r="TX170" i="54"/>
  <c r="TW170" i="54"/>
  <c r="TV170" i="54"/>
  <c r="TU170" i="54"/>
  <c r="TT170" i="54"/>
  <c r="TS170" i="54"/>
  <c r="TR170" i="54"/>
  <c r="TQ170" i="54"/>
  <c r="TP170" i="54"/>
  <c r="TO170" i="54"/>
  <c r="TN170" i="54"/>
  <c r="TM170" i="54"/>
  <c r="TL170" i="54"/>
  <c r="TK170" i="54"/>
  <c r="TJ170" i="54"/>
  <c r="TI170" i="54"/>
  <c r="TH170" i="54"/>
  <c r="TG170" i="54"/>
  <c r="TF170" i="54"/>
  <c r="TE170" i="54"/>
  <c r="TD170" i="54"/>
  <c r="TC170" i="54"/>
  <c r="TB170" i="54"/>
  <c r="TA170" i="54"/>
  <c r="SZ170" i="54"/>
  <c r="SY170" i="54"/>
  <c r="SX170" i="54"/>
  <c r="SW170" i="54"/>
  <c r="SV170" i="54"/>
  <c r="SU170" i="54"/>
  <c r="ST170" i="54"/>
  <c r="SS170" i="54"/>
  <c r="SR170" i="54"/>
  <c r="SQ170" i="54"/>
  <c r="SP170" i="54"/>
  <c r="SO170" i="54"/>
  <c r="SN170" i="54"/>
  <c r="SM170" i="54"/>
  <c r="SL170" i="54"/>
  <c r="SK170" i="54"/>
  <c r="SJ170" i="54"/>
  <c r="SI170" i="54"/>
  <c r="SH170" i="54"/>
  <c r="SG170" i="54"/>
  <c r="SF170" i="54"/>
  <c r="SE170" i="54"/>
  <c r="SD170" i="54"/>
  <c r="SC170" i="54"/>
  <c r="SB170" i="54"/>
  <c r="SA170" i="54"/>
  <c r="RZ170" i="54"/>
  <c r="RY170" i="54"/>
  <c r="RX170" i="54"/>
  <c r="RW170" i="54"/>
  <c r="RV170" i="54"/>
  <c r="RU170" i="54"/>
  <c r="RT170" i="54"/>
  <c r="RS170" i="54"/>
  <c r="RR170" i="54"/>
  <c r="RQ170" i="54"/>
  <c r="RP170" i="54"/>
  <c r="RO170" i="54"/>
  <c r="RN170" i="54"/>
  <c r="RM170" i="54"/>
  <c r="RL170" i="54"/>
  <c r="RK170" i="54"/>
  <c r="RJ170" i="54"/>
  <c r="RI170" i="54"/>
  <c r="RH170" i="54"/>
  <c r="RG170" i="54"/>
  <c r="RF170" i="54"/>
  <c r="RE170" i="54"/>
  <c r="RD170" i="54"/>
  <c r="RC170" i="54"/>
  <c r="RB170" i="54"/>
  <c r="RA170" i="54"/>
  <c r="QZ170" i="54"/>
  <c r="QY170" i="54"/>
  <c r="QX170" i="54"/>
  <c r="QW170" i="54"/>
  <c r="QV170" i="54"/>
  <c r="QU170" i="54"/>
  <c r="QT170" i="54"/>
  <c r="QS170" i="54"/>
  <c r="QR170" i="54"/>
  <c r="QQ170" i="54"/>
  <c r="QP170" i="54"/>
  <c r="QO170" i="54"/>
  <c r="QN170" i="54"/>
  <c r="QM170" i="54"/>
  <c r="QL170" i="54"/>
  <c r="QK170" i="54"/>
  <c r="QJ170" i="54"/>
  <c r="QI170" i="54"/>
  <c r="QH170" i="54"/>
  <c r="QG170" i="54"/>
  <c r="QF170" i="54"/>
  <c r="QE170" i="54"/>
  <c r="QD170" i="54"/>
  <c r="QC170" i="54"/>
  <c r="QB170" i="54"/>
  <c r="QA170" i="54"/>
  <c r="PZ170" i="54"/>
  <c r="PY170" i="54"/>
  <c r="PX170" i="54"/>
  <c r="PW170" i="54"/>
  <c r="PV170" i="54"/>
  <c r="PU170" i="54"/>
  <c r="PT170" i="54"/>
  <c r="PS170" i="54"/>
  <c r="PR170" i="54"/>
  <c r="PQ170" i="54"/>
  <c r="PP170" i="54"/>
  <c r="PO170" i="54"/>
  <c r="PN170" i="54"/>
  <c r="PM170" i="54"/>
  <c r="PL170" i="54"/>
  <c r="PK170" i="54"/>
  <c r="PJ170" i="54"/>
  <c r="PI170" i="54"/>
  <c r="PH170" i="54"/>
  <c r="PG170" i="54"/>
  <c r="PF170" i="54"/>
  <c r="PE170" i="54"/>
  <c r="PD170" i="54"/>
  <c r="PC170" i="54"/>
  <c r="PB170" i="54"/>
  <c r="PA170" i="54"/>
  <c r="OZ170" i="54"/>
  <c r="OY170" i="54"/>
  <c r="OX170" i="54"/>
  <c r="OW170" i="54"/>
  <c r="OV170" i="54"/>
  <c r="OU170" i="54"/>
  <c r="OT170" i="54"/>
  <c r="OS170" i="54"/>
  <c r="OR170" i="54"/>
  <c r="OQ170" i="54"/>
  <c r="OP170" i="54"/>
  <c r="OO170" i="54"/>
  <c r="ON170" i="54"/>
  <c r="OM170" i="54"/>
  <c r="OL170" i="54"/>
  <c r="OK170" i="54"/>
  <c r="OJ170" i="54"/>
  <c r="OI170" i="54"/>
  <c r="OH170" i="54"/>
  <c r="OG170" i="54"/>
  <c r="OF170" i="54"/>
  <c r="OE170" i="54"/>
  <c r="OD170" i="54"/>
  <c r="OC170" i="54"/>
  <c r="OB170" i="54"/>
  <c r="OA170" i="54"/>
  <c r="NZ170" i="54"/>
  <c r="NY170" i="54"/>
  <c r="NX170" i="54"/>
  <c r="NW170" i="54"/>
  <c r="NV170" i="54"/>
  <c r="NU170" i="54"/>
  <c r="NT170" i="54"/>
  <c r="NS170" i="54"/>
  <c r="NR170" i="54"/>
  <c r="NQ170" i="54"/>
  <c r="NP170" i="54"/>
  <c r="NO170" i="54"/>
  <c r="NN170" i="54"/>
  <c r="NM170" i="54"/>
  <c r="NL170" i="54"/>
  <c r="NK170" i="54"/>
  <c r="NJ170" i="54"/>
  <c r="NI170" i="54"/>
  <c r="NH170" i="54"/>
  <c r="NG170" i="54"/>
  <c r="NF170" i="54"/>
  <c r="NE170" i="54"/>
  <c r="ND170" i="54"/>
  <c r="NC170" i="54"/>
  <c r="NB170" i="54"/>
  <c r="NA170" i="54"/>
  <c r="MZ170" i="54"/>
  <c r="MY170" i="54"/>
  <c r="MX170" i="54"/>
  <c r="MW170" i="54"/>
  <c r="MV170" i="54"/>
  <c r="MU170" i="54"/>
  <c r="MT170" i="54"/>
  <c r="MS170" i="54"/>
  <c r="MR170" i="54"/>
  <c r="MQ170" i="54"/>
  <c r="MP170" i="54"/>
  <c r="MO170" i="54"/>
  <c r="MN170" i="54"/>
  <c r="MM170" i="54"/>
  <c r="ML170" i="54"/>
  <c r="MK170" i="54"/>
  <c r="MJ170" i="54"/>
  <c r="MI170" i="54"/>
  <c r="MH170" i="54"/>
  <c r="MG170" i="54"/>
  <c r="MF170" i="54"/>
  <c r="ME170" i="54"/>
  <c r="MD170" i="54"/>
  <c r="MC170" i="54"/>
  <c r="MB170" i="54"/>
  <c r="MA170" i="54"/>
  <c r="LZ170" i="54"/>
  <c r="LY170" i="54"/>
  <c r="LX170" i="54"/>
  <c r="LW170" i="54"/>
  <c r="LV170" i="54"/>
  <c r="LU170" i="54"/>
  <c r="LT170" i="54"/>
  <c r="LS170" i="54"/>
  <c r="LR170" i="54"/>
  <c r="LQ170" i="54"/>
  <c r="LP170" i="54"/>
  <c r="LO170" i="54"/>
  <c r="LN170" i="54"/>
  <c r="LM170" i="54"/>
  <c r="LL170" i="54"/>
  <c r="LK170" i="54"/>
  <c r="LJ170" i="54"/>
  <c r="LI170" i="54"/>
  <c r="LH170" i="54"/>
  <c r="LG170" i="54"/>
  <c r="LF170" i="54"/>
  <c r="LE170" i="54"/>
  <c r="LD170" i="54"/>
  <c r="LC170" i="54"/>
  <c r="LB170" i="54"/>
  <c r="LA170" i="54"/>
  <c r="KZ170" i="54"/>
  <c r="KY170" i="54"/>
  <c r="KX170" i="54"/>
  <c r="KW170" i="54"/>
  <c r="KV170" i="54"/>
  <c r="KU170" i="54"/>
  <c r="KT170" i="54"/>
  <c r="KS170" i="54"/>
  <c r="KR170" i="54"/>
  <c r="KQ170" i="54"/>
  <c r="KP170" i="54"/>
  <c r="KO170" i="54"/>
  <c r="KN170" i="54"/>
  <c r="KM170" i="54"/>
  <c r="KL170" i="54"/>
  <c r="KK170" i="54"/>
  <c r="KJ170" i="54"/>
  <c r="KI170" i="54"/>
  <c r="KH170" i="54"/>
  <c r="KG170" i="54"/>
  <c r="KF170" i="54"/>
  <c r="KE170" i="54"/>
  <c r="KD170" i="54"/>
  <c r="KC170" i="54"/>
  <c r="KB170" i="54"/>
  <c r="KA170" i="54"/>
  <c r="JZ170" i="54"/>
  <c r="JY170" i="54"/>
  <c r="JX170" i="54"/>
  <c r="JW170" i="54"/>
  <c r="JV170" i="54"/>
  <c r="JU170" i="54"/>
  <c r="JT170" i="54"/>
  <c r="JS170" i="54"/>
  <c r="JR170" i="54"/>
  <c r="JQ170" i="54"/>
  <c r="JP170" i="54"/>
  <c r="JO170" i="54"/>
  <c r="JN170" i="54"/>
  <c r="JM170" i="54"/>
  <c r="JL170" i="54"/>
  <c r="JK170" i="54"/>
  <c r="JJ170" i="54"/>
  <c r="JI170" i="54"/>
  <c r="JH170" i="54"/>
  <c r="JG170" i="54"/>
  <c r="JF170" i="54"/>
  <c r="JE170" i="54"/>
  <c r="JD170" i="54"/>
  <c r="JC170" i="54"/>
  <c r="JB170" i="54"/>
  <c r="JA170" i="54"/>
  <c r="IZ170" i="54"/>
  <c r="IY170" i="54"/>
  <c r="IX170" i="54"/>
  <c r="IW170" i="54"/>
  <c r="IV170" i="54"/>
  <c r="IU170" i="54"/>
  <c r="IT170" i="54"/>
  <c r="IS170" i="54"/>
  <c r="IR170" i="54"/>
  <c r="IQ170" i="54"/>
  <c r="IP170" i="54"/>
  <c r="IO170" i="54"/>
  <c r="IN170" i="54"/>
  <c r="IM170" i="54"/>
  <c r="IL170" i="54"/>
  <c r="IK170" i="54"/>
  <c r="IJ170" i="54"/>
  <c r="II170" i="54"/>
  <c r="IH170" i="54"/>
  <c r="IG170" i="54"/>
  <c r="IF170" i="54"/>
  <c r="IE170" i="54"/>
  <c r="ID170" i="54"/>
  <c r="IC170" i="54"/>
  <c r="IB170" i="54"/>
  <c r="IA170" i="54"/>
  <c r="HZ170" i="54"/>
  <c r="HY170" i="54"/>
  <c r="HX170" i="54"/>
  <c r="HW170" i="54"/>
  <c r="HV170" i="54"/>
  <c r="HU170" i="54"/>
  <c r="HT170" i="54"/>
  <c r="HS170" i="54"/>
  <c r="HR170" i="54"/>
  <c r="HQ170" i="54"/>
  <c r="HP170" i="54"/>
  <c r="HO170" i="54"/>
  <c r="HN170" i="54"/>
  <c r="HM170" i="54"/>
  <c r="HL170" i="54"/>
  <c r="HK170" i="54"/>
  <c r="HJ170" i="54"/>
  <c r="HI170" i="54"/>
  <c r="HH170" i="54"/>
  <c r="HG170" i="54"/>
  <c r="HF170" i="54"/>
  <c r="HE170" i="54"/>
  <c r="HD170" i="54"/>
  <c r="HC170" i="54"/>
  <c r="HB170" i="54"/>
  <c r="HA170" i="54"/>
  <c r="GZ170" i="54"/>
  <c r="GY170" i="54"/>
  <c r="GX170" i="54"/>
  <c r="GW170" i="54"/>
  <c r="GV170" i="54"/>
  <c r="GU170" i="54"/>
  <c r="GT170" i="54"/>
  <c r="GS170" i="54"/>
  <c r="GR170" i="54"/>
  <c r="GQ170" i="54"/>
  <c r="GP170" i="54"/>
  <c r="GO170" i="54"/>
  <c r="GN170" i="54"/>
  <c r="GM170" i="54"/>
  <c r="GL170" i="54"/>
  <c r="GK170" i="54"/>
  <c r="GJ170" i="54"/>
  <c r="GI170" i="54"/>
  <c r="GH170" i="54"/>
  <c r="GG170" i="54"/>
  <c r="GF170" i="54"/>
  <c r="GE170" i="54"/>
  <c r="GD170" i="54"/>
  <c r="GC170" i="54"/>
  <c r="GB170" i="54"/>
  <c r="GA170" i="54"/>
  <c r="FZ170" i="54"/>
  <c r="FY170" i="54"/>
  <c r="FX170" i="54"/>
  <c r="FW170" i="54"/>
  <c r="FV170" i="54"/>
  <c r="FU170" i="54"/>
  <c r="FT170" i="54"/>
  <c r="FS170" i="54"/>
  <c r="FR170" i="54"/>
  <c r="FQ170" i="54"/>
  <c r="FP170" i="54"/>
  <c r="FO170" i="54"/>
  <c r="FN170" i="54"/>
  <c r="FM170" i="54"/>
  <c r="FL170" i="54"/>
  <c r="FK170" i="54"/>
  <c r="FJ170" i="54"/>
  <c r="FI170" i="54"/>
  <c r="FH170" i="54"/>
  <c r="FG170" i="54"/>
  <c r="FF170" i="54"/>
  <c r="FE170" i="54"/>
  <c r="FD170" i="54"/>
  <c r="FC170" i="54"/>
  <c r="FB170" i="54"/>
  <c r="FA170" i="54"/>
  <c r="EZ170" i="54"/>
  <c r="EY170" i="54"/>
  <c r="EX170" i="54"/>
  <c r="EW170" i="54"/>
  <c r="EV170" i="54"/>
  <c r="EU170" i="54"/>
  <c r="ET170" i="54"/>
  <c r="ES170" i="54"/>
  <c r="ER170" i="54"/>
  <c r="EQ170" i="54"/>
  <c r="EP170" i="54"/>
  <c r="EO170" i="54"/>
  <c r="EN170" i="54"/>
  <c r="EM170" i="54"/>
  <c r="EL170" i="54"/>
  <c r="EK170" i="54"/>
  <c r="EJ170" i="54"/>
  <c r="EI170" i="54"/>
  <c r="EH170" i="54"/>
  <c r="EG170" i="54"/>
  <c r="EF170" i="54"/>
  <c r="EE170" i="54"/>
  <c r="ED170" i="54"/>
  <c r="EC170" i="54"/>
  <c r="EB170" i="54"/>
  <c r="EA170" i="54"/>
  <c r="DZ170" i="54"/>
  <c r="DY170" i="54"/>
  <c r="DX170" i="54"/>
  <c r="DW170" i="54"/>
  <c r="DV170" i="54"/>
  <c r="DU170" i="54"/>
  <c r="DT170" i="54"/>
  <c r="DS170" i="54"/>
  <c r="DR170" i="54"/>
  <c r="DQ170" i="54"/>
  <c r="DP170" i="54"/>
  <c r="DO170" i="54"/>
  <c r="DN170" i="54"/>
  <c r="DM170" i="54"/>
  <c r="DL170" i="54"/>
  <c r="DK170" i="54"/>
  <c r="DJ170" i="54"/>
  <c r="DI170" i="54"/>
  <c r="DH170" i="54"/>
  <c r="DG170" i="54"/>
  <c r="DF170" i="54"/>
  <c r="DE170" i="54"/>
  <c r="DD170" i="54"/>
  <c r="DC170" i="54"/>
  <c r="DB170" i="54"/>
  <c r="DA170" i="54"/>
  <c r="CZ170" i="54"/>
  <c r="CY170" i="54"/>
  <c r="CX170" i="54"/>
  <c r="CW170" i="54"/>
  <c r="CV170" i="54"/>
  <c r="CU170" i="54"/>
  <c r="CT170" i="54"/>
  <c r="CS170" i="54"/>
  <c r="CR170" i="54"/>
  <c r="CQ170" i="54"/>
  <c r="CP170" i="54"/>
  <c r="CO170" i="54"/>
  <c r="CN170" i="54"/>
  <c r="CM170" i="54"/>
  <c r="CL170" i="54"/>
  <c r="CK170" i="54"/>
  <c r="CJ170" i="54"/>
  <c r="CI170" i="54"/>
  <c r="CH170" i="54"/>
  <c r="CG170" i="54"/>
  <c r="CF170" i="54"/>
  <c r="CE170" i="54"/>
  <c r="CD170" i="54"/>
  <c r="CC170" i="54"/>
  <c r="CB170" i="54"/>
  <c r="CA170" i="54"/>
  <c r="BZ170" i="54"/>
  <c r="BY170" i="54"/>
  <c r="BX170" i="54"/>
  <c r="BW170" i="54"/>
  <c r="BV170" i="54"/>
  <c r="BU170" i="54"/>
  <c r="BT170" i="54"/>
  <c r="BS170" i="54"/>
  <c r="BR170" i="54"/>
  <c r="BQ170" i="54"/>
  <c r="BP170" i="54"/>
  <c r="BO170" i="54"/>
  <c r="BN170" i="54"/>
  <c r="BM170" i="54"/>
  <c r="BL170" i="54"/>
  <c r="BK170" i="54"/>
  <c r="BJ170" i="54"/>
  <c r="BI170" i="54"/>
  <c r="BH170" i="54"/>
  <c r="BG170" i="54"/>
  <c r="BF170" i="54"/>
  <c r="BE170" i="54"/>
  <c r="BD170" i="54"/>
  <c r="BC170" i="54"/>
  <c r="BB170" i="54"/>
  <c r="BA170" i="54"/>
  <c r="AZ170" i="54"/>
  <c r="AY170" i="54"/>
  <c r="AX170" i="54"/>
  <c r="AW170" i="54"/>
  <c r="AV170" i="54"/>
  <c r="AU170" i="54"/>
  <c r="AT170" i="54"/>
  <c r="AS170" i="54"/>
  <c r="AR170" i="54"/>
  <c r="AQ170" i="54"/>
  <c r="AP170" i="54"/>
  <c r="AO170" i="54"/>
  <c r="AN170" i="54"/>
  <c r="AM170" i="54"/>
  <c r="AL170" i="54"/>
  <c r="AK170" i="54"/>
  <c r="AJ170" i="54"/>
  <c r="AI170" i="54"/>
  <c r="AH170" i="54"/>
  <c r="AG170" i="54"/>
  <c r="AF170" i="54"/>
  <c r="AE170" i="54"/>
  <c r="AD170" i="54"/>
  <c r="AC170" i="54"/>
  <c r="AB170" i="54"/>
  <c r="AA170" i="54"/>
  <c r="Z170" i="54"/>
  <c r="Y170" i="54"/>
  <c r="X170" i="54"/>
  <c r="W170" i="54"/>
  <c r="V170" i="54"/>
  <c r="U170" i="54"/>
  <c r="T170" i="54"/>
  <c r="S170" i="54"/>
  <c r="R170" i="54"/>
  <c r="Q170" i="54"/>
  <c r="P170" i="54"/>
  <c r="O170" i="54"/>
  <c r="N170" i="54"/>
  <c r="M170" i="54"/>
  <c r="L170" i="54"/>
  <c r="K170" i="54"/>
  <c r="J170" i="54"/>
  <c r="I170" i="54"/>
  <c r="H170" i="54"/>
  <c r="G170" i="54"/>
  <c r="F170" i="54"/>
  <c r="VK164" i="54"/>
  <c r="VJ164" i="54"/>
  <c r="VI164" i="54"/>
  <c r="VH164" i="54"/>
  <c r="VG164" i="54"/>
  <c r="VF164" i="54"/>
  <c r="VE164" i="54"/>
  <c r="VD164" i="54"/>
  <c r="VC164" i="54"/>
  <c r="VB164" i="54"/>
  <c r="VA164" i="54"/>
  <c r="UZ164" i="54"/>
  <c r="UY164" i="54"/>
  <c r="UX164" i="54"/>
  <c r="UW164" i="54"/>
  <c r="UV164" i="54"/>
  <c r="UU164" i="54"/>
  <c r="UT164" i="54"/>
  <c r="US164" i="54"/>
  <c r="UR164" i="54"/>
  <c r="UQ164" i="54"/>
  <c r="UP164" i="54"/>
  <c r="UO164" i="54"/>
  <c r="UN164" i="54"/>
  <c r="UM164" i="54"/>
  <c r="UL164" i="54"/>
  <c r="UK164" i="54"/>
  <c r="UJ164" i="54"/>
  <c r="UI164" i="54"/>
  <c r="UH164" i="54"/>
  <c r="UG164" i="54"/>
  <c r="UF164" i="54"/>
  <c r="UE164" i="54"/>
  <c r="UD164" i="54"/>
  <c r="UC164" i="54"/>
  <c r="UB164" i="54"/>
  <c r="UA164" i="54"/>
  <c r="TZ164" i="54"/>
  <c r="TY164" i="54"/>
  <c r="TX164" i="54"/>
  <c r="TW164" i="54"/>
  <c r="TV164" i="54"/>
  <c r="TU164" i="54"/>
  <c r="TT164" i="54"/>
  <c r="TS164" i="54"/>
  <c r="TR164" i="54"/>
  <c r="TQ164" i="54"/>
  <c r="TP164" i="54"/>
  <c r="TO164" i="54"/>
  <c r="TN164" i="54"/>
  <c r="TM164" i="54"/>
  <c r="TL164" i="54"/>
  <c r="TK164" i="54"/>
  <c r="TJ164" i="54"/>
  <c r="TI164" i="54"/>
  <c r="TH164" i="54"/>
  <c r="TG164" i="54"/>
  <c r="TF164" i="54"/>
  <c r="TE164" i="54"/>
  <c r="TD164" i="54"/>
  <c r="TC164" i="54"/>
  <c r="TB164" i="54"/>
  <c r="TA164" i="54"/>
  <c r="SZ164" i="54"/>
  <c r="SY164" i="54"/>
  <c r="SX164" i="54"/>
  <c r="SW164" i="54"/>
  <c r="SV164" i="54"/>
  <c r="SU164" i="54"/>
  <c r="ST164" i="54"/>
  <c r="SS164" i="54"/>
  <c r="SR164" i="54"/>
  <c r="SQ164" i="54"/>
  <c r="SP164" i="54"/>
  <c r="SO164" i="54"/>
  <c r="SN164" i="54"/>
  <c r="SM164" i="54"/>
  <c r="SL164" i="54"/>
  <c r="SK164" i="54"/>
  <c r="SJ164" i="54"/>
  <c r="SI164" i="54"/>
  <c r="SH164" i="54"/>
  <c r="SG164" i="54"/>
  <c r="SF164" i="54"/>
  <c r="SE164" i="54"/>
  <c r="SD164" i="54"/>
  <c r="SC164" i="54"/>
  <c r="SB164" i="54"/>
  <c r="SA164" i="54"/>
  <c r="RZ164" i="54"/>
  <c r="RY164" i="54"/>
  <c r="RX164" i="54"/>
  <c r="RW164" i="54"/>
  <c r="RV164" i="54"/>
  <c r="RU164" i="54"/>
  <c r="RT164" i="54"/>
  <c r="RS164" i="54"/>
  <c r="RR164" i="54"/>
  <c r="RQ164" i="54"/>
  <c r="RP164" i="54"/>
  <c r="RO164" i="54"/>
  <c r="RN164" i="54"/>
  <c r="RM164" i="54"/>
  <c r="RL164" i="54"/>
  <c r="RK164" i="54"/>
  <c r="RJ164" i="54"/>
  <c r="RI164" i="54"/>
  <c r="RH164" i="54"/>
  <c r="RG164" i="54"/>
  <c r="RF164" i="54"/>
  <c r="RE164" i="54"/>
  <c r="RD164" i="54"/>
  <c r="RC164" i="54"/>
  <c r="RB164" i="54"/>
  <c r="RA164" i="54"/>
  <c r="QZ164" i="54"/>
  <c r="QY164" i="54"/>
  <c r="QX164" i="54"/>
  <c r="QW164" i="54"/>
  <c r="QV164" i="54"/>
  <c r="QU164" i="54"/>
  <c r="QT164" i="54"/>
  <c r="QS164" i="54"/>
  <c r="QR164" i="54"/>
  <c r="QQ164" i="54"/>
  <c r="QP164" i="54"/>
  <c r="QO164" i="54"/>
  <c r="QN164" i="54"/>
  <c r="QM164" i="54"/>
  <c r="QL164" i="54"/>
  <c r="QK164" i="54"/>
  <c r="QJ164" i="54"/>
  <c r="QI164" i="54"/>
  <c r="QH164" i="54"/>
  <c r="QG164" i="54"/>
  <c r="QF164" i="54"/>
  <c r="QE164" i="54"/>
  <c r="QD164" i="54"/>
  <c r="QC164" i="54"/>
  <c r="QB164" i="54"/>
  <c r="QA164" i="54"/>
  <c r="PZ164" i="54"/>
  <c r="PY164" i="54"/>
  <c r="PX164" i="54"/>
  <c r="PW164" i="54"/>
  <c r="PV164" i="54"/>
  <c r="PU164" i="54"/>
  <c r="PT164" i="54"/>
  <c r="PS164" i="54"/>
  <c r="PR164" i="54"/>
  <c r="PQ164" i="54"/>
  <c r="PP164" i="54"/>
  <c r="PO164" i="54"/>
  <c r="PN164" i="54"/>
  <c r="PM164" i="54"/>
  <c r="PL164" i="54"/>
  <c r="PK164" i="54"/>
  <c r="PJ164" i="54"/>
  <c r="PI164" i="54"/>
  <c r="PH164" i="54"/>
  <c r="PG164" i="54"/>
  <c r="PF164" i="54"/>
  <c r="PE164" i="54"/>
  <c r="PD164" i="54"/>
  <c r="PC164" i="54"/>
  <c r="PB164" i="54"/>
  <c r="PA164" i="54"/>
  <c r="OZ164" i="54"/>
  <c r="OY164" i="54"/>
  <c r="OX164" i="54"/>
  <c r="OW164" i="54"/>
  <c r="OV164" i="54"/>
  <c r="OU164" i="54"/>
  <c r="OT164" i="54"/>
  <c r="OS164" i="54"/>
  <c r="OR164" i="54"/>
  <c r="OQ164" i="54"/>
  <c r="OP164" i="54"/>
  <c r="OO164" i="54"/>
  <c r="ON164" i="54"/>
  <c r="OM164" i="54"/>
  <c r="OL164" i="54"/>
  <c r="OK164" i="54"/>
  <c r="OJ164" i="54"/>
  <c r="OI164" i="54"/>
  <c r="OH164" i="54"/>
  <c r="OG164" i="54"/>
  <c r="OF164" i="54"/>
  <c r="OE164" i="54"/>
  <c r="OD164" i="54"/>
  <c r="OC164" i="54"/>
  <c r="OB164" i="54"/>
  <c r="OA164" i="54"/>
  <c r="NZ164" i="54"/>
  <c r="NY164" i="54"/>
  <c r="NX164" i="54"/>
  <c r="NW164" i="54"/>
  <c r="NV164" i="54"/>
  <c r="NU164" i="54"/>
  <c r="NT164" i="54"/>
  <c r="NS164" i="54"/>
  <c r="NR164" i="54"/>
  <c r="NQ164" i="54"/>
  <c r="NP164" i="54"/>
  <c r="MX164" i="54"/>
  <c r="MW164" i="54"/>
  <c r="MV164" i="54"/>
  <c r="MU164" i="54"/>
  <c r="MT164" i="54"/>
  <c r="MS164" i="54"/>
  <c r="MR164" i="54"/>
  <c r="MQ164" i="54"/>
  <c r="MP164" i="54"/>
  <c r="MO164" i="54"/>
  <c r="MN164" i="54"/>
  <c r="MM164" i="54"/>
  <c r="ML164" i="54"/>
  <c r="MK164" i="54"/>
  <c r="MJ164" i="54"/>
  <c r="MI164" i="54"/>
  <c r="MH164" i="54"/>
  <c r="MG164" i="54"/>
  <c r="MF164" i="54"/>
  <c r="ME164" i="54"/>
  <c r="MD164" i="54"/>
  <c r="MC164" i="54"/>
  <c r="MB164" i="54"/>
  <c r="MA164" i="54"/>
  <c r="LZ164" i="54"/>
  <c r="LY164" i="54"/>
  <c r="LX164" i="54"/>
  <c r="LW164" i="54"/>
  <c r="LV164" i="54"/>
  <c r="LU164" i="54"/>
  <c r="LT164" i="54"/>
  <c r="LS164" i="54"/>
  <c r="LR164" i="54"/>
  <c r="LQ164" i="54"/>
  <c r="LP164" i="54"/>
  <c r="LO164" i="54"/>
  <c r="LN164" i="54"/>
  <c r="LM164" i="54"/>
  <c r="LL164" i="54"/>
  <c r="LK164" i="54"/>
  <c r="LJ164" i="54"/>
  <c r="LI164" i="54"/>
  <c r="LH164" i="54"/>
  <c r="LG164" i="54"/>
  <c r="LF164" i="54"/>
  <c r="LE164" i="54"/>
  <c r="LD164" i="54"/>
  <c r="LC164" i="54"/>
  <c r="LB164" i="54"/>
  <c r="LA164" i="54"/>
  <c r="KZ164" i="54"/>
  <c r="KY164" i="54"/>
  <c r="KX164" i="54"/>
  <c r="KW164" i="54"/>
  <c r="KV164" i="54"/>
  <c r="KU164" i="54"/>
  <c r="KT164" i="54"/>
  <c r="KS164" i="54"/>
  <c r="KR164" i="54"/>
  <c r="KQ164" i="54"/>
  <c r="KP164" i="54"/>
  <c r="KO164" i="54"/>
  <c r="KN164" i="54"/>
  <c r="KM164" i="54"/>
  <c r="KL164" i="54"/>
  <c r="KK164" i="54"/>
  <c r="KJ164" i="54"/>
  <c r="KI164" i="54"/>
  <c r="KH164" i="54"/>
  <c r="KG164" i="54"/>
  <c r="KF164" i="54"/>
  <c r="KE164" i="54"/>
  <c r="KD164" i="54"/>
  <c r="KC164" i="54"/>
  <c r="KB164" i="54"/>
  <c r="KA164" i="54"/>
  <c r="JZ164" i="54"/>
  <c r="JY164" i="54"/>
  <c r="JX164" i="54"/>
  <c r="JW164" i="54"/>
  <c r="JV164" i="54"/>
  <c r="JU164" i="54"/>
  <c r="JT164" i="54"/>
  <c r="JS164" i="54"/>
  <c r="JR164" i="54"/>
  <c r="JQ164" i="54"/>
  <c r="JP164" i="54"/>
  <c r="JO164" i="54"/>
  <c r="JN164" i="54"/>
  <c r="JM164" i="54"/>
  <c r="JL164" i="54"/>
  <c r="JK164" i="54"/>
  <c r="JJ164" i="54"/>
  <c r="JI164" i="54"/>
  <c r="JH164" i="54"/>
  <c r="JG164" i="54"/>
  <c r="JF164" i="54"/>
  <c r="JE164" i="54"/>
  <c r="JD164" i="54"/>
  <c r="JC164" i="54"/>
  <c r="JB164" i="54"/>
  <c r="JA164" i="54"/>
  <c r="IZ164" i="54"/>
  <c r="IY164" i="54"/>
  <c r="IX164" i="54"/>
  <c r="IW164" i="54"/>
  <c r="IV164" i="54"/>
  <c r="IU164" i="54"/>
  <c r="IT164" i="54"/>
  <c r="IS164" i="54"/>
  <c r="IR164" i="54"/>
  <c r="IQ164" i="54"/>
  <c r="IP164" i="54"/>
  <c r="IO164" i="54"/>
  <c r="IN164" i="54"/>
  <c r="IM164" i="54"/>
  <c r="IL164" i="54"/>
  <c r="IK164" i="54"/>
  <c r="IJ164" i="54"/>
  <c r="II164" i="54"/>
  <c r="IH164" i="54"/>
  <c r="IG164" i="54"/>
  <c r="IF164" i="54"/>
  <c r="IE164" i="54"/>
  <c r="ID164" i="54"/>
  <c r="IC164" i="54"/>
  <c r="IB164" i="54"/>
  <c r="IA164" i="54"/>
  <c r="HZ164" i="54"/>
  <c r="HY164" i="54"/>
  <c r="HX164" i="54"/>
  <c r="HW164" i="54"/>
  <c r="HV164" i="54"/>
  <c r="HU164" i="54"/>
  <c r="HT164" i="54"/>
  <c r="HS164" i="54"/>
  <c r="HR164" i="54"/>
  <c r="HQ164" i="54"/>
  <c r="HP164" i="54"/>
  <c r="HO164" i="54"/>
  <c r="HN164" i="54"/>
  <c r="HM164" i="54"/>
  <c r="HL164" i="54"/>
  <c r="HK164" i="54"/>
  <c r="HJ164" i="54"/>
  <c r="HI164" i="54"/>
  <c r="HH164" i="54"/>
  <c r="HG164" i="54"/>
  <c r="HF164" i="54"/>
  <c r="HE164" i="54"/>
  <c r="HD164" i="54"/>
  <c r="HC164" i="54"/>
  <c r="HB164" i="54"/>
  <c r="HA164" i="54"/>
  <c r="GZ164" i="54"/>
  <c r="GY164" i="54"/>
  <c r="GX164" i="54"/>
  <c r="GW164" i="54"/>
  <c r="GV164" i="54"/>
  <c r="GU164" i="54"/>
  <c r="GT164" i="54"/>
  <c r="GS164" i="54"/>
  <c r="GR164" i="54"/>
  <c r="GQ164" i="54"/>
  <c r="GP164" i="54"/>
  <c r="GO164" i="54"/>
  <c r="GN164" i="54"/>
  <c r="GM164" i="54"/>
  <c r="GL164" i="54"/>
  <c r="GK164" i="54"/>
  <c r="GJ164" i="54"/>
  <c r="GI164" i="54"/>
  <c r="GH164" i="54"/>
  <c r="GG164" i="54"/>
  <c r="GF164" i="54"/>
  <c r="GE164" i="54"/>
  <c r="GD164" i="54"/>
  <c r="GC164" i="54"/>
  <c r="GB164" i="54"/>
  <c r="GA164" i="54"/>
  <c r="FZ164" i="54"/>
  <c r="FY164" i="54"/>
  <c r="FX164" i="54"/>
  <c r="FW164" i="54"/>
  <c r="FV164" i="54"/>
  <c r="FU164" i="54"/>
  <c r="FT164" i="54"/>
  <c r="FS164" i="54"/>
  <c r="FR164" i="54"/>
  <c r="FQ164" i="54"/>
  <c r="FP164" i="54"/>
  <c r="FO164" i="54"/>
  <c r="FN164" i="54"/>
  <c r="FM164" i="54"/>
  <c r="FL164" i="54"/>
  <c r="FK164" i="54"/>
  <c r="FJ164" i="54"/>
  <c r="FI164" i="54"/>
  <c r="FH164" i="54"/>
  <c r="FG164" i="54"/>
  <c r="FF164" i="54"/>
  <c r="FE164" i="54"/>
  <c r="FD164" i="54"/>
  <c r="FC164" i="54"/>
  <c r="FB164" i="54"/>
  <c r="FA164" i="54"/>
  <c r="EZ164" i="54"/>
  <c r="EY164" i="54"/>
  <c r="EX164" i="54"/>
  <c r="EW164" i="54"/>
  <c r="EV164" i="54"/>
  <c r="EU164" i="54"/>
  <c r="ET164" i="54"/>
  <c r="ES164" i="54"/>
  <c r="ER164" i="54"/>
  <c r="EQ164" i="54"/>
  <c r="EP164" i="54"/>
  <c r="EO164" i="54"/>
  <c r="EN164" i="54"/>
  <c r="EM164" i="54"/>
  <c r="EL164" i="54"/>
  <c r="EK164" i="54"/>
  <c r="EJ164" i="54"/>
  <c r="EI164" i="54"/>
  <c r="EH164" i="54"/>
  <c r="EG164" i="54"/>
  <c r="EF164" i="54"/>
  <c r="EE164" i="54"/>
  <c r="ED164" i="54"/>
  <c r="EC164" i="54"/>
  <c r="EB164" i="54"/>
  <c r="EA164" i="54"/>
  <c r="DZ164" i="54"/>
  <c r="DY164" i="54"/>
  <c r="DX164" i="54"/>
  <c r="DW164" i="54"/>
  <c r="DV164" i="54"/>
  <c r="DU164" i="54"/>
  <c r="DT164" i="54"/>
  <c r="DS164" i="54"/>
  <c r="DR164" i="54"/>
  <c r="DQ164" i="54"/>
  <c r="DP164" i="54"/>
  <c r="DO164" i="54"/>
  <c r="DN164" i="54"/>
  <c r="DM164" i="54"/>
  <c r="DL164" i="54"/>
  <c r="DK164" i="54"/>
  <c r="DJ164" i="54"/>
  <c r="DI164" i="54"/>
  <c r="DH164" i="54"/>
  <c r="DG164" i="54"/>
  <c r="DF164" i="54"/>
  <c r="DE164" i="54"/>
  <c r="DD164" i="54"/>
  <c r="DC164" i="54"/>
  <c r="DB164" i="54"/>
  <c r="DA164" i="54"/>
  <c r="CZ164" i="54"/>
  <c r="CY164" i="54"/>
  <c r="CX164" i="54"/>
  <c r="CW164" i="54"/>
  <c r="CV164" i="54"/>
  <c r="CU164" i="54"/>
  <c r="CT164" i="54"/>
  <c r="CS164" i="54"/>
  <c r="CR164" i="54"/>
  <c r="CQ164" i="54"/>
  <c r="CP164" i="54"/>
  <c r="CO164" i="54"/>
  <c r="CN164" i="54"/>
  <c r="CM164" i="54"/>
  <c r="CL164" i="54"/>
  <c r="CK164" i="54"/>
  <c r="CJ164" i="54"/>
  <c r="CI164" i="54"/>
  <c r="CH164" i="54"/>
  <c r="CG164" i="54"/>
  <c r="CF164" i="54"/>
  <c r="CE164" i="54"/>
  <c r="CD164" i="54"/>
  <c r="CC164" i="54"/>
  <c r="CB164" i="54"/>
  <c r="CA164" i="54"/>
  <c r="BZ164" i="54"/>
  <c r="BY164" i="54"/>
  <c r="BX164" i="54"/>
  <c r="BW164" i="54"/>
  <c r="BV164" i="54"/>
  <c r="BU164" i="54"/>
  <c r="BT164" i="54"/>
  <c r="BS164" i="54"/>
  <c r="BR164" i="54"/>
  <c r="BQ164" i="54"/>
  <c r="BP164" i="54"/>
  <c r="BO164" i="54"/>
  <c r="BN164" i="54"/>
  <c r="BM164" i="54"/>
  <c r="BL164" i="54"/>
  <c r="BK164" i="54"/>
  <c r="BJ164" i="54"/>
  <c r="BI164" i="54"/>
  <c r="BH164" i="54"/>
  <c r="BG164" i="54"/>
  <c r="BF164" i="54"/>
  <c r="BE164" i="54"/>
  <c r="BD164" i="54"/>
  <c r="BC164" i="54"/>
  <c r="BB164" i="54"/>
  <c r="BA164" i="54"/>
  <c r="AZ164" i="54"/>
  <c r="AY164" i="54"/>
  <c r="AX164" i="54"/>
  <c r="AW164" i="54"/>
  <c r="AV164" i="54"/>
  <c r="AU164" i="54"/>
  <c r="AT164" i="54"/>
  <c r="AS164" i="54"/>
  <c r="AR164" i="54"/>
  <c r="AQ164" i="54"/>
  <c r="AP164" i="54"/>
  <c r="AO164" i="54"/>
  <c r="AN164" i="54"/>
  <c r="AM164" i="54"/>
  <c r="AL164" i="54"/>
  <c r="AK164" i="54"/>
  <c r="AJ164" i="54"/>
  <c r="AI164" i="54"/>
  <c r="AH164" i="54"/>
  <c r="AG164" i="54"/>
  <c r="AF164" i="54"/>
  <c r="AE164" i="54"/>
  <c r="AD164" i="54"/>
  <c r="AC164" i="54"/>
  <c r="AB164" i="54"/>
  <c r="AA164" i="54"/>
  <c r="Z164" i="54"/>
  <c r="Y164" i="54"/>
  <c r="X164" i="54"/>
  <c r="W164" i="54"/>
  <c r="V164" i="54"/>
  <c r="U164" i="54"/>
  <c r="T164" i="54"/>
  <c r="S164" i="54"/>
  <c r="R164" i="54"/>
  <c r="Q164" i="54"/>
  <c r="P164" i="54"/>
  <c r="O164" i="54"/>
  <c r="N164" i="54"/>
  <c r="M164" i="54"/>
  <c r="L164" i="54"/>
  <c r="K164" i="54"/>
  <c r="J164" i="54"/>
  <c r="I164" i="54"/>
  <c r="H164" i="54"/>
  <c r="G164" i="54"/>
  <c r="F164" i="54"/>
  <c r="VK160" i="54"/>
  <c r="VJ160" i="54"/>
  <c r="VI160" i="54"/>
  <c r="VH160" i="54"/>
  <c r="VG160" i="54"/>
  <c r="VF160" i="54"/>
  <c r="VE160" i="54"/>
  <c r="VD160" i="54"/>
  <c r="VC160" i="54"/>
  <c r="VB160" i="54"/>
  <c r="VA160" i="54"/>
  <c r="UZ160" i="54"/>
  <c r="UY160" i="54"/>
  <c r="UX160" i="54"/>
  <c r="UW160" i="54"/>
  <c r="UV160" i="54"/>
  <c r="UU160" i="54"/>
  <c r="UT160" i="54"/>
  <c r="US160" i="54"/>
  <c r="UR160" i="54"/>
  <c r="UQ160" i="54"/>
  <c r="UP160" i="54"/>
  <c r="UO160" i="54"/>
  <c r="UN160" i="54"/>
  <c r="UM160" i="54"/>
  <c r="UL160" i="54"/>
  <c r="UK160" i="54"/>
  <c r="UJ160" i="54"/>
  <c r="UI160" i="54"/>
  <c r="UH160" i="54"/>
  <c r="UG160" i="54"/>
  <c r="UF160" i="54"/>
  <c r="UE160" i="54"/>
  <c r="UD160" i="54"/>
  <c r="UC160" i="54"/>
  <c r="UB160" i="54"/>
  <c r="UA160" i="54"/>
  <c r="TZ160" i="54"/>
  <c r="TY160" i="54"/>
  <c r="TX160" i="54"/>
  <c r="TW160" i="54"/>
  <c r="TV160" i="54"/>
  <c r="TU160" i="54"/>
  <c r="TT160" i="54"/>
  <c r="TS160" i="54"/>
  <c r="TR160" i="54"/>
  <c r="TQ160" i="54"/>
  <c r="TP160" i="54"/>
  <c r="TO160" i="54"/>
  <c r="TN160" i="54"/>
  <c r="TM160" i="54"/>
  <c r="TL160" i="54"/>
  <c r="TK160" i="54"/>
  <c r="TJ160" i="54"/>
  <c r="TI160" i="54"/>
  <c r="TH160" i="54"/>
  <c r="TG160" i="54"/>
  <c r="TF160" i="54"/>
  <c r="TE160" i="54"/>
  <c r="TD160" i="54"/>
  <c r="TC160" i="54"/>
  <c r="TB160" i="54"/>
  <c r="TA160" i="54"/>
  <c r="SZ160" i="54"/>
  <c r="SY160" i="54"/>
  <c r="SX160" i="54"/>
  <c r="SW160" i="54"/>
  <c r="SV160" i="54"/>
  <c r="SU160" i="54"/>
  <c r="ST160" i="54"/>
  <c r="SS160" i="54"/>
  <c r="SR160" i="54"/>
  <c r="SQ160" i="54"/>
  <c r="SP160" i="54"/>
  <c r="SO160" i="54"/>
  <c r="SN160" i="54"/>
  <c r="SM160" i="54"/>
  <c r="SL160" i="54"/>
  <c r="SK160" i="54"/>
  <c r="SJ160" i="54"/>
  <c r="SI160" i="54"/>
  <c r="SH160" i="54"/>
  <c r="SG160" i="54"/>
  <c r="SF160" i="54"/>
  <c r="SE160" i="54"/>
  <c r="SD160" i="54"/>
  <c r="SC160" i="54"/>
  <c r="SB160" i="54"/>
  <c r="SA160" i="54"/>
  <c r="RZ160" i="54"/>
  <c r="RY160" i="54"/>
  <c r="RX160" i="54"/>
  <c r="RW160" i="54"/>
  <c r="RV160" i="54"/>
  <c r="RU160" i="54"/>
  <c r="RT160" i="54"/>
  <c r="RS160" i="54"/>
  <c r="RR160" i="54"/>
  <c r="RQ160" i="54"/>
  <c r="RP160" i="54"/>
  <c r="RO160" i="54"/>
  <c r="RN160" i="54"/>
  <c r="RM160" i="54"/>
  <c r="RL160" i="54"/>
  <c r="RK160" i="54"/>
  <c r="RJ160" i="54"/>
  <c r="RI160" i="54"/>
  <c r="RH160" i="54"/>
  <c r="RG160" i="54"/>
  <c r="RF160" i="54"/>
  <c r="RE160" i="54"/>
  <c r="RD160" i="54"/>
  <c r="RC160" i="54"/>
  <c r="RB160" i="54"/>
  <c r="RA160" i="54"/>
  <c r="QZ160" i="54"/>
  <c r="QY160" i="54"/>
  <c r="QX160" i="54"/>
  <c r="QW160" i="54"/>
  <c r="QV160" i="54"/>
  <c r="QU160" i="54"/>
  <c r="QT160" i="54"/>
  <c r="QS160" i="54"/>
  <c r="QR160" i="54"/>
  <c r="QQ160" i="54"/>
  <c r="QP160" i="54"/>
  <c r="QO160" i="54"/>
  <c r="QN160" i="54"/>
  <c r="QM160" i="54"/>
  <c r="QL160" i="54"/>
  <c r="QK160" i="54"/>
  <c r="QJ160" i="54"/>
  <c r="QI160" i="54"/>
  <c r="QH160" i="54"/>
  <c r="QG160" i="54"/>
  <c r="QF160" i="54"/>
  <c r="QE160" i="54"/>
  <c r="QD160" i="54"/>
  <c r="QC160" i="54"/>
  <c r="QB160" i="54"/>
  <c r="QA160" i="54"/>
  <c r="PZ160" i="54"/>
  <c r="PY160" i="54"/>
  <c r="PX160" i="54"/>
  <c r="PW160" i="54"/>
  <c r="PV160" i="54"/>
  <c r="PU160" i="54"/>
  <c r="PT160" i="54"/>
  <c r="PS160" i="54"/>
  <c r="PR160" i="54"/>
  <c r="PQ160" i="54"/>
  <c r="PP160" i="54"/>
  <c r="PO160" i="54"/>
  <c r="PN160" i="54"/>
  <c r="PM160" i="54"/>
  <c r="PL160" i="54"/>
  <c r="PK160" i="54"/>
  <c r="PJ160" i="54"/>
  <c r="PI160" i="54"/>
  <c r="PH160" i="54"/>
  <c r="PG160" i="54"/>
  <c r="PF160" i="54"/>
  <c r="PE160" i="54"/>
  <c r="PD160" i="54"/>
  <c r="PC160" i="54"/>
  <c r="PB160" i="54"/>
  <c r="PA160" i="54"/>
  <c r="OZ160" i="54"/>
  <c r="OY160" i="54"/>
  <c r="OX160" i="54"/>
  <c r="OW160" i="54"/>
  <c r="OV160" i="54"/>
  <c r="OU160" i="54"/>
  <c r="OT160" i="54"/>
  <c r="OS160" i="54"/>
  <c r="OR160" i="54"/>
  <c r="OQ160" i="54"/>
  <c r="OP160" i="54"/>
  <c r="OO160" i="54"/>
  <c r="ON160" i="54"/>
  <c r="OM160" i="54"/>
  <c r="OL160" i="54"/>
  <c r="OK160" i="54"/>
  <c r="OJ160" i="54"/>
  <c r="OI160" i="54"/>
  <c r="OH160" i="54"/>
  <c r="OG160" i="54"/>
  <c r="OF160" i="54"/>
  <c r="OE160" i="54"/>
  <c r="OD160" i="54"/>
  <c r="OC160" i="54"/>
  <c r="OB160" i="54"/>
  <c r="OA160" i="54"/>
  <c r="NZ160" i="54"/>
  <c r="NY160" i="54"/>
  <c r="NX160" i="54"/>
  <c r="NW160" i="54"/>
  <c r="NV160" i="54"/>
  <c r="NU160" i="54"/>
  <c r="NT160" i="54"/>
  <c r="NS160" i="54"/>
  <c r="NR160" i="54"/>
  <c r="NQ160" i="54"/>
  <c r="NP160" i="54"/>
  <c r="MX160" i="54"/>
  <c r="MW160" i="54"/>
  <c r="MV160" i="54"/>
  <c r="MU160" i="54"/>
  <c r="MT160" i="54"/>
  <c r="MS160" i="54"/>
  <c r="MR160" i="54"/>
  <c r="MQ160" i="54"/>
  <c r="MP160" i="54"/>
  <c r="MO160" i="54"/>
  <c r="MN160" i="54"/>
  <c r="MM160" i="54"/>
  <c r="ML160" i="54"/>
  <c r="MK160" i="54"/>
  <c r="MJ160" i="54"/>
  <c r="MI160" i="54"/>
  <c r="MH160" i="54"/>
  <c r="MG160" i="54"/>
  <c r="MF160" i="54"/>
  <c r="ME160" i="54"/>
  <c r="MD160" i="54"/>
  <c r="MC160" i="54"/>
  <c r="MB160" i="54"/>
  <c r="MA160" i="54"/>
  <c r="LZ160" i="54"/>
  <c r="LY160" i="54"/>
  <c r="LX160" i="54"/>
  <c r="LW160" i="54"/>
  <c r="LV160" i="54"/>
  <c r="LU160" i="54"/>
  <c r="LT160" i="54"/>
  <c r="LS160" i="54"/>
  <c r="LR160" i="54"/>
  <c r="LQ160" i="54"/>
  <c r="LP160" i="54"/>
  <c r="LO160" i="54"/>
  <c r="LN160" i="54"/>
  <c r="LM160" i="54"/>
  <c r="LL160" i="54"/>
  <c r="LK160" i="54"/>
  <c r="LJ160" i="54"/>
  <c r="LI160" i="54"/>
  <c r="LH160" i="54"/>
  <c r="LG160" i="54"/>
  <c r="LF160" i="54"/>
  <c r="LE160" i="54"/>
  <c r="LD160" i="54"/>
  <c r="LC160" i="54"/>
  <c r="LB160" i="54"/>
  <c r="LA160" i="54"/>
  <c r="KZ160" i="54"/>
  <c r="KH160" i="54"/>
  <c r="KG160" i="54"/>
  <c r="KF160" i="54"/>
  <c r="KE160" i="54"/>
  <c r="KD160" i="54"/>
  <c r="KC160" i="54"/>
  <c r="KB160" i="54"/>
  <c r="KA160" i="54"/>
  <c r="JZ160" i="54"/>
  <c r="JY160" i="54"/>
  <c r="JX160" i="54"/>
  <c r="JW160" i="54"/>
  <c r="JV160" i="54"/>
  <c r="JU160" i="54"/>
  <c r="JT160" i="54"/>
  <c r="JS160" i="54"/>
  <c r="JR160" i="54"/>
  <c r="JQ160" i="54"/>
  <c r="JP160" i="54"/>
  <c r="JO160" i="54"/>
  <c r="JN160" i="54"/>
  <c r="JM160" i="54"/>
  <c r="JL160" i="54"/>
  <c r="JK160" i="54"/>
  <c r="JJ160" i="54"/>
  <c r="JI160" i="54"/>
  <c r="JH160" i="54"/>
  <c r="JG160" i="54"/>
  <c r="JF160" i="54"/>
  <c r="JE160" i="54"/>
  <c r="JD160" i="54"/>
  <c r="JC160" i="54"/>
  <c r="JB160" i="54"/>
  <c r="JA160" i="54"/>
  <c r="IZ160" i="54"/>
  <c r="IY160" i="54"/>
  <c r="IX160" i="54"/>
  <c r="IW160" i="54"/>
  <c r="IV160" i="54"/>
  <c r="IU160" i="54"/>
  <c r="IT160" i="54"/>
  <c r="IS160" i="54"/>
  <c r="IR160" i="54"/>
  <c r="IQ160" i="54"/>
  <c r="IP160" i="54"/>
  <c r="IO160" i="54"/>
  <c r="IN160" i="54"/>
  <c r="IM160" i="54"/>
  <c r="IL160" i="54"/>
  <c r="IK160" i="54"/>
  <c r="IJ160" i="54"/>
  <c r="II160" i="54"/>
  <c r="IH160" i="54"/>
  <c r="IG160" i="54"/>
  <c r="IF160" i="54"/>
  <c r="IE160" i="54"/>
  <c r="ID160" i="54"/>
  <c r="IC160" i="54"/>
  <c r="IB160" i="54"/>
  <c r="IA160" i="54"/>
  <c r="HZ160" i="54"/>
  <c r="HY160" i="54"/>
  <c r="HX160" i="54"/>
  <c r="HW160" i="54"/>
  <c r="HV160" i="54"/>
  <c r="HU160" i="54"/>
  <c r="HT160" i="54"/>
  <c r="HS160" i="54"/>
  <c r="HR160" i="54"/>
  <c r="HQ160" i="54"/>
  <c r="HP160" i="54"/>
  <c r="HO160" i="54"/>
  <c r="HN160" i="54"/>
  <c r="HM160" i="54"/>
  <c r="HL160" i="54"/>
  <c r="HK160" i="54"/>
  <c r="HJ160" i="54"/>
  <c r="HI160" i="54"/>
  <c r="HH160" i="54"/>
  <c r="HG160" i="54"/>
  <c r="HF160" i="54"/>
  <c r="HE160" i="54"/>
  <c r="HD160" i="54"/>
  <c r="HC160" i="54"/>
  <c r="HB160" i="54"/>
  <c r="HA160" i="54"/>
  <c r="GZ160" i="54"/>
  <c r="GY160" i="54"/>
  <c r="GX160" i="54"/>
  <c r="GW160" i="54"/>
  <c r="GV160" i="54"/>
  <c r="GU160" i="54"/>
  <c r="GT160" i="54"/>
  <c r="GS160" i="54"/>
  <c r="GR160" i="54"/>
  <c r="GQ160" i="54"/>
  <c r="GP160" i="54"/>
  <c r="GO160" i="54"/>
  <c r="GN160" i="54"/>
  <c r="GM160" i="54"/>
  <c r="GL160" i="54"/>
  <c r="GK160" i="54"/>
  <c r="GJ160" i="54"/>
  <c r="GI160" i="54"/>
  <c r="GH160" i="54"/>
  <c r="GG160" i="54"/>
  <c r="GF160" i="54"/>
  <c r="GE160" i="54"/>
  <c r="GD160" i="54"/>
  <c r="GC160" i="54"/>
  <c r="GB160" i="54"/>
  <c r="GA160" i="54"/>
  <c r="FZ160" i="54"/>
  <c r="FY160" i="54"/>
  <c r="FX160" i="54"/>
  <c r="FW160" i="54"/>
  <c r="FV160" i="54"/>
  <c r="FU160" i="54"/>
  <c r="FT160" i="54"/>
  <c r="FS160" i="54"/>
  <c r="FR160" i="54"/>
  <c r="FQ160" i="54"/>
  <c r="FP160" i="54"/>
  <c r="FO160" i="54"/>
  <c r="FN160" i="54"/>
  <c r="FM160" i="54"/>
  <c r="FL160" i="54"/>
  <c r="FK160" i="54"/>
  <c r="FJ160" i="54"/>
  <c r="FI160" i="54"/>
  <c r="FH160" i="54"/>
  <c r="FG160" i="54"/>
  <c r="FF160" i="54"/>
  <c r="FE160" i="54"/>
  <c r="FD160" i="54"/>
  <c r="FC160" i="54"/>
  <c r="FB160" i="54"/>
  <c r="FA160" i="54"/>
  <c r="EZ160" i="54"/>
  <c r="EY160" i="54"/>
  <c r="EX160" i="54"/>
  <c r="EW160" i="54"/>
  <c r="EV160" i="54"/>
  <c r="EU160" i="54"/>
  <c r="ET160" i="54"/>
  <c r="ES160" i="54"/>
  <c r="ER160" i="54"/>
  <c r="EQ160" i="54"/>
  <c r="EP160" i="54"/>
  <c r="EO160" i="54"/>
  <c r="EN160" i="54"/>
  <c r="EM160" i="54"/>
  <c r="EL160" i="54"/>
  <c r="EK160" i="54"/>
  <c r="EJ160" i="54"/>
  <c r="EI160" i="54"/>
  <c r="EH160" i="54"/>
  <c r="EG160" i="54"/>
  <c r="EF160" i="54"/>
  <c r="EE160" i="54"/>
  <c r="ED160" i="54"/>
  <c r="EC160" i="54"/>
  <c r="EB160" i="54"/>
  <c r="EA160" i="54"/>
  <c r="DZ160" i="54"/>
  <c r="DY160" i="54"/>
  <c r="DX160" i="54"/>
  <c r="DW160" i="54"/>
  <c r="DV160" i="54"/>
  <c r="DU160" i="54"/>
  <c r="DT160" i="54"/>
  <c r="DS160" i="54"/>
  <c r="DR160" i="54"/>
  <c r="DQ160" i="54"/>
  <c r="DP160" i="54"/>
  <c r="DO160" i="54"/>
  <c r="DN160" i="54"/>
  <c r="DM160" i="54"/>
  <c r="DL160" i="54"/>
  <c r="DK160" i="54"/>
  <c r="DJ160" i="54"/>
  <c r="DI160" i="54"/>
  <c r="DH160" i="54"/>
  <c r="DG160" i="54"/>
  <c r="DF160" i="54"/>
  <c r="DE160" i="54"/>
  <c r="DD160" i="54"/>
  <c r="DC160" i="54"/>
  <c r="DB160" i="54"/>
  <c r="DA160" i="54"/>
  <c r="CZ160" i="54"/>
  <c r="CY160" i="54"/>
  <c r="CX160" i="54"/>
  <c r="CW160" i="54"/>
  <c r="CV160" i="54"/>
  <c r="CU160" i="54"/>
  <c r="CT160" i="54"/>
  <c r="CS160" i="54"/>
  <c r="CR160" i="54"/>
  <c r="CQ160" i="54"/>
  <c r="CP160" i="54"/>
  <c r="CO160" i="54"/>
  <c r="CN160" i="54"/>
  <c r="CM160" i="54"/>
  <c r="BU160" i="54"/>
  <c r="BT160" i="54"/>
  <c r="BS160" i="54"/>
  <c r="BR160" i="54"/>
  <c r="BQ160" i="54"/>
  <c r="BP160" i="54"/>
  <c r="BO160" i="54"/>
  <c r="BN160" i="54"/>
  <c r="BM160" i="54"/>
  <c r="BL160" i="54"/>
  <c r="BK160" i="54"/>
  <c r="BJ160" i="54"/>
  <c r="BI160" i="54"/>
  <c r="BH160" i="54"/>
  <c r="BG160" i="54"/>
  <c r="BF160" i="54"/>
  <c r="BE160" i="54"/>
  <c r="BD160" i="54"/>
  <c r="BC160" i="54"/>
  <c r="BB160" i="54"/>
  <c r="BA160" i="54"/>
  <c r="AZ160" i="54"/>
  <c r="AY160" i="54"/>
  <c r="AX160" i="54"/>
  <c r="AW160" i="54"/>
  <c r="AV160" i="54"/>
  <c r="AU160" i="54"/>
  <c r="AT160" i="54"/>
  <c r="AS160" i="54"/>
  <c r="AR160" i="54"/>
  <c r="AQ160" i="54"/>
  <c r="AP160" i="54"/>
  <c r="AO160" i="54"/>
  <c r="AM160" i="54"/>
  <c r="AL160" i="54"/>
  <c r="AK160" i="54"/>
  <c r="AJ160" i="54"/>
  <c r="AI160" i="54"/>
  <c r="AH160" i="54"/>
  <c r="AG160" i="54"/>
  <c r="AF160" i="54"/>
  <c r="AE160" i="54"/>
  <c r="AD160" i="54"/>
  <c r="AC160" i="54"/>
  <c r="AB160" i="54"/>
  <c r="AA160" i="54"/>
  <c r="Z160" i="54"/>
  <c r="Y160" i="54"/>
  <c r="X160" i="54"/>
  <c r="W160" i="54"/>
  <c r="VK153" i="54"/>
  <c r="VJ153" i="54"/>
  <c r="VI153" i="54"/>
  <c r="VH153" i="54"/>
  <c r="VG153" i="54"/>
  <c r="VF153" i="54"/>
  <c r="VE153" i="54"/>
  <c r="VD153" i="54"/>
  <c r="VC153" i="54"/>
  <c r="VB153" i="54"/>
  <c r="VA153" i="54"/>
  <c r="UZ153" i="54"/>
  <c r="UY153" i="54"/>
  <c r="UX153" i="54"/>
  <c r="UW153" i="54"/>
  <c r="UV153" i="54"/>
  <c r="UU153" i="54"/>
  <c r="UT153" i="54"/>
  <c r="US153" i="54"/>
  <c r="UR153" i="54"/>
  <c r="UQ153" i="54"/>
  <c r="UP153" i="54"/>
  <c r="UO153" i="54"/>
  <c r="UN153" i="54"/>
  <c r="UM153" i="54"/>
  <c r="UL153" i="54"/>
  <c r="UK153" i="54"/>
  <c r="UJ153" i="54"/>
  <c r="UI153" i="54"/>
  <c r="UH153" i="54"/>
  <c r="UG153" i="54"/>
  <c r="UF153" i="54"/>
  <c r="UE153" i="54"/>
  <c r="UD153" i="54"/>
  <c r="UC153" i="54"/>
  <c r="UB153" i="54"/>
  <c r="UA153" i="54"/>
  <c r="TZ153" i="54"/>
  <c r="TY153" i="54"/>
  <c r="TX153" i="54"/>
  <c r="TW153" i="54"/>
  <c r="TV153" i="54"/>
  <c r="TU153" i="54"/>
  <c r="TT153" i="54"/>
  <c r="TS153" i="54"/>
  <c r="TR153" i="54"/>
  <c r="TQ153" i="54"/>
  <c r="TP153" i="54"/>
  <c r="TO153" i="54"/>
  <c r="TN153" i="54"/>
  <c r="TM153" i="54"/>
  <c r="TL153" i="54"/>
  <c r="TK153" i="54"/>
  <c r="TJ153" i="54"/>
  <c r="TI153" i="54"/>
  <c r="TH153" i="54"/>
  <c r="TG153" i="54"/>
  <c r="TF153" i="54"/>
  <c r="TE153" i="54"/>
  <c r="TD153" i="54"/>
  <c r="TC153" i="54"/>
  <c r="TB153" i="54"/>
  <c r="TA153" i="54"/>
  <c r="SZ153" i="54"/>
  <c r="SY153" i="54"/>
  <c r="SX153" i="54"/>
  <c r="SW153" i="54"/>
  <c r="SV153" i="54"/>
  <c r="SU153" i="54"/>
  <c r="ST153" i="54"/>
  <c r="SS153" i="54"/>
  <c r="SR153" i="54"/>
  <c r="SQ153" i="54"/>
  <c r="SP153" i="54"/>
  <c r="SO153" i="54"/>
  <c r="SN153" i="54"/>
  <c r="SM153" i="54"/>
  <c r="SL153" i="54"/>
  <c r="SK153" i="54"/>
  <c r="SJ153" i="54"/>
  <c r="SI153" i="54"/>
  <c r="SH153" i="54"/>
  <c r="SG153" i="54"/>
  <c r="SF153" i="54"/>
  <c r="SE153" i="54"/>
  <c r="SD153" i="54"/>
  <c r="SC153" i="54"/>
  <c r="SB153" i="54"/>
  <c r="SA153" i="54"/>
  <c r="RZ153" i="54"/>
  <c r="RY153" i="54"/>
  <c r="RX153" i="54"/>
  <c r="RW153" i="54"/>
  <c r="RV153" i="54"/>
  <c r="RU153" i="54"/>
  <c r="RT153" i="54"/>
  <c r="RS153" i="54"/>
  <c r="RR153" i="54"/>
  <c r="RQ153" i="54"/>
  <c r="RP153" i="54"/>
  <c r="RO153" i="54"/>
  <c r="RN153" i="54"/>
  <c r="RM153" i="54"/>
  <c r="RL153" i="54"/>
  <c r="RK153" i="54"/>
  <c r="RJ153" i="54"/>
  <c r="RI153" i="54"/>
  <c r="RH153" i="54"/>
  <c r="RG153" i="54"/>
  <c r="RF153" i="54"/>
  <c r="RE153" i="54"/>
  <c r="RD153" i="54"/>
  <c r="RC153" i="54"/>
  <c r="RB153" i="54"/>
  <c r="RA153" i="54"/>
  <c r="QZ153" i="54"/>
  <c r="QY153" i="54"/>
  <c r="QX153" i="54"/>
  <c r="QW153" i="54"/>
  <c r="QV153" i="54"/>
  <c r="QU153" i="54"/>
  <c r="QT153" i="54"/>
  <c r="QS153" i="54"/>
  <c r="QR153" i="54"/>
  <c r="QQ153" i="54"/>
  <c r="QP153" i="54"/>
  <c r="QO153" i="54"/>
  <c r="QN153" i="54"/>
  <c r="QM153" i="54"/>
  <c r="QL153" i="54"/>
  <c r="QK153" i="54"/>
  <c r="QJ153" i="54"/>
  <c r="QI153" i="54"/>
  <c r="QH153" i="54"/>
  <c r="QG153" i="54"/>
  <c r="QF153" i="54"/>
  <c r="QE153" i="54"/>
  <c r="QD153" i="54"/>
  <c r="QC153" i="54"/>
  <c r="QB153" i="54"/>
  <c r="QA153" i="54"/>
  <c r="PZ153" i="54"/>
  <c r="PY153" i="54"/>
  <c r="PX153" i="54"/>
  <c r="PW153" i="54"/>
  <c r="PV153" i="54"/>
  <c r="PU153" i="54"/>
  <c r="PT153" i="54"/>
  <c r="PS153" i="54"/>
  <c r="PR153" i="54"/>
  <c r="PQ153" i="54"/>
  <c r="PP153" i="54"/>
  <c r="PO153" i="54"/>
  <c r="PN153" i="54"/>
  <c r="PM153" i="54"/>
  <c r="PL153" i="54"/>
  <c r="PK153" i="54"/>
  <c r="PJ153" i="54"/>
  <c r="PI153" i="54"/>
  <c r="PH153" i="54"/>
  <c r="PG153" i="54"/>
  <c r="PF153" i="54"/>
  <c r="PE153" i="54"/>
  <c r="PD153" i="54"/>
  <c r="PC153" i="54"/>
  <c r="PB153" i="54"/>
  <c r="PA153" i="54"/>
  <c r="OZ153" i="54"/>
  <c r="OY153" i="54"/>
  <c r="OX153" i="54"/>
  <c r="OW153" i="54"/>
  <c r="OV153" i="54"/>
  <c r="OU153" i="54"/>
  <c r="OT153" i="54"/>
  <c r="OS153" i="54"/>
  <c r="OR153" i="54"/>
  <c r="OQ153" i="54"/>
  <c r="OP153" i="54"/>
  <c r="OO153" i="54"/>
  <c r="ON153" i="54"/>
  <c r="OM153" i="54"/>
  <c r="OL153" i="54"/>
  <c r="OK153" i="54"/>
  <c r="OJ153" i="54"/>
  <c r="OI153" i="54"/>
  <c r="OH153" i="54"/>
  <c r="OG153" i="54"/>
  <c r="OF153" i="54"/>
  <c r="OE153" i="54"/>
  <c r="OD153" i="54"/>
  <c r="OC153" i="54"/>
  <c r="OB153" i="54"/>
  <c r="OA153" i="54"/>
  <c r="NZ153" i="54"/>
  <c r="NY153" i="54"/>
  <c r="NX153" i="54"/>
  <c r="NW153" i="54"/>
  <c r="NV153" i="54"/>
  <c r="NU153" i="54"/>
  <c r="NT153" i="54"/>
  <c r="NS153" i="54"/>
  <c r="NR153" i="54"/>
  <c r="NQ153" i="54"/>
  <c r="NP153" i="54"/>
  <c r="NO153" i="54"/>
  <c r="NN153" i="54"/>
  <c r="NM153" i="54"/>
  <c r="NL153" i="54"/>
  <c r="NK153" i="54"/>
  <c r="NJ153" i="54"/>
  <c r="NI153" i="54"/>
  <c r="NH153" i="54"/>
  <c r="NG153" i="54"/>
  <c r="NF153" i="54"/>
  <c r="NE153" i="54"/>
  <c r="ND153" i="54"/>
  <c r="NC153" i="54"/>
  <c r="NB153" i="54"/>
  <c r="NA153" i="54"/>
  <c r="MZ153" i="54"/>
  <c r="MY153" i="54"/>
  <c r="MX153" i="54"/>
  <c r="MW153" i="54"/>
  <c r="MV153" i="54"/>
  <c r="MU153" i="54"/>
  <c r="MT153" i="54"/>
  <c r="MS153" i="54"/>
  <c r="MR153" i="54"/>
  <c r="MQ153" i="54"/>
  <c r="MP153" i="54"/>
  <c r="MO153" i="54"/>
  <c r="MN153" i="54"/>
  <c r="MM153" i="54"/>
  <c r="ML153" i="54"/>
  <c r="MK153" i="54"/>
  <c r="MJ153" i="54"/>
  <c r="MI153" i="54"/>
  <c r="MH153" i="54"/>
  <c r="MG153" i="54"/>
  <c r="MF153" i="54"/>
  <c r="ME153" i="54"/>
  <c r="MD153" i="54"/>
  <c r="MC153" i="54"/>
  <c r="MB153" i="54"/>
  <c r="MA153" i="54"/>
  <c r="LZ153" i="54"/>
  <c r="LY153" i="54"/>
  <c r="LX153" i="54"/>
  <c r="LW153" i="54"/>
  <c r="LV153" i="54"/>
  <c r="LU153" i="54"/>
  <c r="LT153" i="54"/>
  <c r="LS153" i="54"/>
  <c r="LR153" i="54"/>
  <c r="LQ153" i="54"/>
  <c r="LP153" i="54"/>
  <c r="LO153" i="54"/>
  <c r="LN153" i="54"/>
  <c r="LM153" i="54"/>
  <c r="LL153" i="54"/>
  <c r="LK153" i="54"/>
  <c r="LJ153" i="54"/>
  <c r="LI153" i="54"/>
  <c r="LH153" i="54"/>
  <c r="LG153" i="54"/>
  <c r="LF153" i="54"/>
  <c r="LE153" i="54"/>
  <c r="LD153" i="54"/>
  <c r="LC153" i="54"/>
  <c r="LB153" i="54"/>
  <c r="LA153" i="54"/>
  <c r="KZ153" i="54"/>
  <c r="KY153" i="54"/>
  <c r="KX153" i="54"/>
  <c r="KW153" i="54"/>
  <c r="KV153" i="54"/>
  <c r="KU153" i="54"/>
  <c r="KT153" i="54"/>
  <c r="KS153" i="54"/>
  <c r="KR153" i="54"/>
  <c r="KQ153" i="54"/>
  <c r="KP153" i="54"/>
  <c r="KO153" i="54"/>
  <c r="KN153" i="54"/>
  <c r="KM153" i="54"/>
  <c r="KL153" i="54"/>
  <c r="KK153" i="54"/>
  <c r="KJ153" i="54"/>
  <c r="KI153" i="54"/>
  <c r="KH153" i="54"/>
  <c r="KG153" i="54"/>
  <c r="KF153" i="54"/>
  <c r="KE153" i="54"/>
  <c r="KD153" i="54"/>
  <c r="KC153" i="54"/>
  <c r="KB153" i="54"/>
  <c r="KA153" i="54"/>
  <c r="JZ153" i="54"/>
  <c r="JY153" i="54"/>
  <c r="JX153" i="54"/>
  <c r="JW153" i="54"/>
  <c r="JV153" i="54"/>
  <c r="JU153" i="54"/>
  <c r="JT153" i="54"/>
  <c r="JS153" i="54"/>
  <c r="JR153" i="54"/>
  <c r="JQ153" i="54"/>
  <c r="JP153" i="54"/>
  <c r="JO153" i="54"/>
  <c r="JN153" i="54"/>
  <c r="JM153" i="54"/>
  <c r="JL153" i="54"/>
  <c r="JK153" i="54"/>
  <c r="JJ153" i="54"/>
  <c r="JI153" i="54"/>
  <c r="JH153" i="54"/>
  <c r="JG153" i="54"/>
  <c r="JF153" i="54"/>
  <c r="JE153" i="54"/>
  <c r="JD153" i="54"/>
  <c r="JC153" i="54"/>
  <c r="JB153" i="54"/>
  <c r="JA153" i="54"/>
  <c r="IZ153" i="54"/>
  <c r="IY153" i="54"/>
  <c r="IX153" i="54"/>
  <c r="IW153" i="54"/>
  <c r="IV153" i="54"/>
  <c r="IU153" i="54"/>
  <c r="IT153" i="54"/>
  <c r="IS153" i="54"/>
  <c r="IR153" i="54"/>
  <c r="IQ153" i="54"/>
  <c r="IP153" i="54"/>
  <c r="IO153" i="54"/>
  <c r="IN153" i="54"/>
  <c r="IM153" i="54"/>
  <c r="IL153" i="54"/>
  <c r="IK153" i="54"/>
  <c r="IJ153" i="54"/>
  <c r="II153" i="54"/>
  <c r="IH153" i="54"/>
  <c r="IG153" i="54"/>
  <c r="IF153" i="54"/>
  <c r="IE153" i="54"/>
  <c r="ID153" i="54"/>
  <c r="IC153" i="54"/>
  <c r="IB153" i="54"/>
  <c r="IA153" i="54"/>
  <c r="HZ153" i="54"/>
  <c r="HY153" i="54"/>
  <c r="HX153" i="54"/>
  <c r="HW153" i="54"/>
  <c r="HV153" i="54"/>
  <c r="HU153" i="54"/>
  <c r="HT153" i="54"/>
  <c r="HS153" i="54"/>
  <c r="HR153" i="54"/>
  <c r="HQ153" i="54"/>
  <c r="HP153" i="54"/>
  <c r="HO153" i="54"/>
  <c r="HN153" i="54"/>
  <c r="HM153" i="54"/>
  <c r="HL153" i="54"/>
  <c r="HK153" i="54"/>
  <c r="HJ153" i="54"/>
  <c r="HI153" i="54"/>
  <c r="HH153" i="54"/>
  <c r="HG153" i="54"/>
  <c r="HF153" i="54"/>
  <c r="HE153" i="54"/>
  <c r="HD153" i="54"/>
  <c r="HC153" i="54"/>
  <c r="HB153" i="54"/>
  <c r="HA153" i="54"/>
  <c r="GZ153" i="54"/>
  <c r="GY153" i="54"/>
  <c r="GX153" i="54"/>
  <c r="GW153" i="54"/>
  <c r="GV153" i="54"/>
  <c r="GU153" i="54"/>
  <c r="GT153" i="54"/>
  <c r="GS153" i="54"/>
  <c r="GR153" i="54"/>
  <c r="GQ153" i="54"/>
  <c r="GP153" i="54"/>
  <c r="GO153" i="54"/>
  <c r="GN153" i="54"/>
  <c r="GM153" i="54"/>
  <c r="GL153" i="54"/>
  <c r="GK153" i="54"/>
  <c r="GJ153" i="54"/>
  <c r="GI153" i="54"/>
  <c r="GH153" i="54"/>
  <c r="GG153" i="54"/>
  <c r="GF153" i="54"/>
  <c r="GE153" i="54"/>
  <c r="GD153" i="54"/>
  <c r="GC153" i="54"/>
  <c r="GB153" i="54"/>
  <c r="GA153" i="54"/>
  <c r="FZ153" i="54"/>
  <c r="FY153" i="54"/>
  <c r="FX153" i="54"/>
  <c r="FW153" i="54"/>
  <c r="FV153" i="54"/>
  <c r="FU153" i="54"/>
  <c r="FT153" i="54"/>
  <c r="FS153" i="54"/>
  <c r="FR153" i="54"/>
  <c r="FQ153" i="54"/>
  <c r="FP153" i="54"/>
  <c r="FO153" i="54"/>
  <c r="FN153" i="54"/>
  <c r="FM153" i="54"/>
  <c r="FL153" i="54"/>
  <c r="FK153" i="54"/>
  <c r="FJ153" i="54"/>
  <c r="FI153" i="54"/>
  <c r="FH153" i="54"/>
  <c r="FG153" i="54"/>
  <c r="FF153" i="54"/>
  <c r="FE153" i="54"/>
  <c r="FD153" i="54"/>
  <c r="FC153" i="54"/>
  <c r="FB153" i="54"/>
  <c r="FA153" i="54"/>
  <c r="EZ153" i="54"/>
  <c r="EY153" i="54"/>
  <c r="EX153" i="54"/>
  <c r="EW153" i="54"/>
  <c r="EV153" i="54"/>
  <c r="EU153" i="54"/>
  <c r="ET153" i="54"/>
  <c r="ES153" i="54"/>
  <c r="ER153" i="54"/>
  <c r="EQ153" i="54"/>
  <c r="EP153" i="54"/>
  <c r="EO153" i="54"/>
  <c r="EN153" i="54"/>
  <c r="EM153" i="54"/>
  <c r="EL153" i="54"/>
  <c r="EK153" i="54"/>
  <c r="EJ153" i="54"/>
  <c r="EI153" i="54"/>
  <c r="EH153" i="54"/>
  <c r="EG153" i="54"/>
  <c r="EF153" i="54"/>
  <c r="EE153" i="54"/>
  <c r="ED153" i="54"/>
  <c r="EC153" i="54"/>
  <c r="EB153" i="54"/>
  <c r="EA153" i="54"/>
  <c r="DZ153" i="54"/>
  <c r="DY153" i="54"/>
  <c r="DX153" i="54"/>
  <c r="DW153" i="54"/>
  <c r="DV153" i="54"/>
  <c r="DU153" i="54"/>
  <c r="DT153" i="54"/>
  <c r="DS153" i="54"/>
  <c r="DR153" i="54"/>
  <c r="DQ153" i="54"/>
  <c r="DP153" i="54"/>
  <c r="DO153" i="54"/>
  <c r="DN153" i="54"/>
  <c r="DM153" i="54"/>
  <c r="DL153" i="54"/>
  <c r="DK153" i="54"/>
  <c r="DJ153" i="54"/>
  <c r="DI153" i="54"/>
  <c r="DH153" i="54"/>
  <c r="DG153" i="54"/>
  <c r="DF153" i="54"/>
  <c r="DE153" i="54"/>
  <c r="DD153" i="54"/>
  <c r="DC153" i="54"/>
  <c r="DB153" i="54"/>
  <c r="DA153" i="54"/>
  <c r="CZ153" i="54"/>
  <c r="CY153" i="54"/>
  <c r="CX153" i="54"/>
  <c r="CW153" i="54"/>
  <c r="CV153" i="54"/>
  <c r="CU153" i="54"/>
  <c r="CT153" i="54"/>
  <c r="CS153" i="54"/>
  <c r="CR153" i="54"/>
  <c r="CQ153" i="54"/>
  <c r="CP153" i="54"/>
  <c r="CO153" i="54"/>
  <c r="CN153" i="54"/>
  <c r="CM153" i="54"/>
  <c r="CL153" i="54"/>
  <c r="CK153" i="54"/>
  <c r="CJ153" i="54"/>
  <c r="CI153" i="54"/>
  <c r="CH153" i="54"/>
  <c r="CG153" i="54"/>
  <c r="CF153" i="54"/>
  <c r="CE153" i="54"/>
  <c r="CD153" i="54"/>
  <c r="CC153" i="54"/>
  <c r="CB153" i="54"/>
  <c r="CA153" i="54"/>
  <c r="BZ153" i="54"/>
  <c r="BY153" i="54"/>
  <c r="BX153" i="54"/>
  <c r="BW153" i="54"/>
  <c r="BV153" i="54"/>
  <c r="BU153" i="54"/>
  <c r="BT153" i="54"/>
  <c r="BS153" i="54"/>
  <c r="BR153" i="54"/>
  <c r="BQ153" i="54"/>
  <c r="BP153" i="54"/>
  <c r="BO153" i="54"/>
  <c r="BN153" i="54"/>
  <c r="BM153" i="54"/>
  <c r="BL153" i="54"/>
  <c r="BK153" i="54"/>
  <c r="BJ153" i="54"/>
  <c r="BI153" i="54"/>
  <c r="BH153" i="54"/>
  <c r="BG153" i="54"/>
  <c r="BF153" i="54"/>
  <c r="BE153" i="54"/>
  <c r="BD153" i="54"/>
  <c r="BC153" i="54"/>
  <c r="BB153" i="54"/>
  <c r="BA153" i="54"/>
  <c r="AZ153" i="54"/>
  <c r="AY153" i="54"/>
  <c r="AX153" i="54"/>
  <c r="AW153" i="54"/>
  <c r="AV153" i="54"/>
  <c r="AU153" i="54"/>
  <c r="AT153" i="54"/>
  <c r="AS153" i="54"/>
  <c r="AR153" i="54"/>
  <c r="AQ153" i="54"/>
  <c r="AP153" i="54"/>
  <c r="AO153" i="54"/>
  <c r="AN153" i="54"/>
  <c r="AM153" i="54"/>
  <c r="AL153" i="54"/>
  <c r="AK153" i="54"/>
  <c r="AJ153" i="54"/>
  <c r="AI153" i="54"/>
  <c r="AH153" i="54"/>
  <c r="AG153" i="54"/>
  <c r="AF153" i="54"/>
  <c r="AE153" i="54"/>
  <c r="AD153" i="54"/>
  <c r="AC153" i="54"/>
  <c r="AB153" i="54"/>
  <c r="AA153" i="54"/>
  <c r="Z153" i="54"/>
  <c r="Y153" i="54"/>
  <c r="X153" i="54"/>
  <c r="W153" i="54"/>
  <c r="V153" i="54"/>
  <c r="U153" i="54"/>
  <c r="T153" i="54"/>
  <c r="S153" i="54"/>
  <c r="R153" i="54"/>
  <c r="Q153" i="54"/>
  <c r="P153" i="54"/>
  <c r="O153" i="54"/>
  <c r="N153" i="54"/>
  <c r="M153" i="54"/>
  <c r="L153" i="54"/>
  <c r="K153" i="54"/>
  <c r="J153" i="54"/>
  <c r="I153" i="54"/>
  <c r="H153" i="54"/>
  <c r="G153" i="54"/>
  <c r="F153" i="54"/>
  <c r="UT152" i="54"/>
  <c r="US152" i="54"/>
  <c r="UR152" i="54"/>
  <c r="UQ152" i="54"/>
  <c r="UP152" i="54"/>
  <c r="UO152" i="54"/>
  <c r="UN152" i="54"/>
  <c r="UM152" i="54"/>
  <c r="UL152" i="54"/>
  <c r="UK152" i="54"/>
  <c r="UJ152" i="54"/>
  <c r="UI152" i="54"/>
  <c r="UH152" i="54"/>
  <c r="UG152" i="54"/>
  <c r="UF152" i="54"/>
  <c r="UE152" i="54"/>
  <c r="UD152" i="54"/>
  <c r="UC152" i="54"/>
  <c r="UB152" i="54"/>
  <c r="UA152" i="54"/>
  <c r="TZ152" i="54"/>
  <c r="TY152" i="54"/>
  <c r="TX152" i="54"/>
  <c r="TW152" i="54"/>
  <c r="TV152" i="54"/>
  <c r="TU152" i="54"/>
  <c r="TT152" i="54"/>
  <c r="TS152" i="54"/>
  <c r="TR152" i="54"/>
  <c r="TQ152" i="54"/>
  <c r="TP152" i="54"/>
  <c r="TO152" i="54"/>
  <c r="TN152" i="54"/>
  <c r="TM152" i="54"/>
  <c r="TL152" i="54"/>
  <c r="TK152" i="54"/>
  <c r="TJ152" i="54"/>
  <c r="TI152" i="54"/>
  <c r="TH152" i="54"/>
  <c r="TG152" i="54"/>
  <c r="TF152" i="54"/>
  <c r="TE152" i="54"/>
  <c r="TD152" i="54"/>
  <c r="TC152" i="54"/>
  <c r="TB152" i="54"/>
  <c r="TA152" i="54"/>
  <c r="SZ152" i="54"/>
  <c r="SY152" i="54"/>
  <c r="SX152" i="54"/>
  <c r="SW152" i="54"/>
  <c r="SV152" i="54"/>
  <c r="SU152" i="54"/>
  <c r="ST152" i="54"/>
  <c r="SS152" i="54"/>
  <c r="SR152" i="54"/>
  <c r="SQ152" i="54"/>
  <c r="SP152" i="54"/>
  <c r="SO152" i="54"/>
  <c r="SN152" i="54"/>
  <c r="SM152" i="54"/>
  <c r="SL152" i="54"/>
  <c r="SK152" i="54"/>
  <c r="SJ152" i="54"/>
  <c r="SI152" i="54"/>
  <c r="SH152" i="54"/>
  <c r="SG152" i="54"/>
  <c r="SF152" i="54"/>
  <c r="SE152" i="54"/>
  <c r="SD152" i="54"/>
  <c r="SC152" i="54"/>
  <c r="SB152" i="54"/>
  <c r="SA152" i="54"/>
  <c r="RZ152" i="54"/>
  <c r="RY152" i="54"/>
  <c r="RX152" i="54"/>
  <c r="RW152" i="54"/>
  <c r="RV152" i="54"/>
  <c r="RU152" i="54"/>
  <c r="RT152" i="54"/>
  <c r="RS152" i="54"/>
  <c r="RR152" i="54"/>
  <c r="RQ152" i="54"/>
  <c r="RP152" i="54"/>
  <c r="RO152" i="54"/>
  <c r="RN152" i="54"/>
  <c r="RM152" i="54"/>
  <c r="RL152" i="54"/>
  <c r="RK152" i="54"/>
  <c r="RJ152" i="54"/>
  <c r="RI152" i="54"/>
  <c r="RH152" i="54"/>
  <c r="RG152" i="54"/>
  <c r="RF152" i="54"/>
  <c r="RE152" i="54"/>
  <c r="RD152" i="54"/>
  <c r="RC152" i="54"/>
  <c r="RB152" i="54"/>
  <c r="RA152" i="54"/>
  <c r="QZ152" i="54"/>
  <c r="QY152" i="54"/>
  <c r="QX152" i="54"/>
  <c r="QW152" i="54"/>
  <c r="QV152" i="54"/>
  <c r="QU152" i="54"/>
  <c r="QT152" i="54"/>
  <c r="QS152" i="54"/>
  <c r="QR152" i="54"/>
  <c r="QQ152" i="54"/>
  <c r="QP152" i="54"/>
  <c r="QO152" i="54"/>
  <c r="QN152" i="54"/>
  <c r="QM152" i="54"/>
  <c r="QL152" i="54"/>
  <c r="QK152" i="54"/>
  <c r="QJ152" i="54"/>
  <c r="QI152" i="54"/>
  <c r="QH152" i="54"/>
  <c r="QG152" i="54"/>
  <c r="QF152" i="54"/>
  <c r="QE152" i="54"/>
  <c r="QD152" i="54"/>
  <c r="QC152" i="54"/>
  <c r="QB152" i="54"/>
  <c r="QA152" i="54"/>
  <c r="PZ152" i="54"/>
  <c r="PY152" i="54"/>
  <c r="PX152" i="54"/>
  <c r="PW152" i="54"/>
  <c r="PV152" i="54"/>
  <c r="PU152" i="54"/>
  <c r="PT152" i="54"/>
  <c r="PS152" i="54"/>
  <c r="PR152" i="54"/>
  <c r="PQ152" i="54"/>
  <c r="PP152" i="54"/>
  <c r="PO152" i="54"/>
  <c r="PN152" i="54"/>
  <c r="PM152" i="54"/>
  <c r="PL152" i="54"/>
  <c r="PK152" i="54"/>
  <c r="PJ152" i="54"/>
  <c r="PI152" i="54"/>
  <c r="PH152" i="54"/>
  <c r="PG152" i="54"/>
  <c r="PF152" i="54"/>
  <c r="PE152" i="54"/>
  <c r="PD152" i="54"/>
  <c r="PC152" i="54"/>
  <c r="PB152" i="54"/>
  <c r="PA152" i="54"/>
  <c r="OZ152" i="54"/>
  <c r="OY152" i="54"/>
  <c r="OX152" i="54"/>
  <c r="OF152" i="54"/>
  <c r="OE152" i="54"/>
  <c r="OE154" i="54" s="1"/>
  <c r="OD152" i="54"/>
  <c r="OD154" i="54" s="1"/>
  <c r="OC152" i="54"/>
  <c r="OC154" i="54" s="1"/>
  <c r="OB152" i="54"/>
  <c r="OB154" i="54" s="1"/>
  <c r="OA152" i="54"/>
  <c r="NZ152" i="54"/>
  <c r="NZ154" i="54" s="1"/>
  <c r="NY152" i="54"/>
  <c r="NY154" i="54" s="1"/>
  <c r="NX152" i="54"/>
  <c r="NW152" i="54"/>
  <c r="NW154" i="54" s="1"/>
  <c r="NV152" i="54"/>
  <c r="NV154" i="54" s="1"/>
  <c r="NU152" i="54"/>
  <c r="NU154" i="54" s="1"/>
  <c r="NT152" i="54"/>
  <c r="NT154" i="54" s="1"/>
  <c r="NS152" i="54"/>
  <c r="NS154" i="54" s="1"/>
  <c r="NR152" i="54"/>
  <c r="NR154" i="54" s="1"/>
  <c r="NQ152" i="54"/>
  <c r="NQ154" i="54" s="1"/>
  <c r="NP152" i="54"/>
  <c r="NP154" i="54" s="1"/>
  <c r="MX152" i="54"/>
  <c r="MW152" i="54"/>
  <c r="MV152" i="54"/>
  <c r="MU152" i="54"/>
  <c r="MT152" i="54"/>
  <c r="MS152" i="54"/>
  <c r="MR152" i="54"/>
  <c r="MQ152" i="54"/>
  <c r="MP152" i="54"/>
  <c r="MO152" i="54"/>
  <c r="MN152" i="54"/>
  <c r="MM152" i="54"/>
  <c r="ML152" i="54"/>
  <c r="MK152" i="54"/>
  <c r="MJ152" i="54"/>
  <c r="MI152" i="54"/>
  <c r="MH152" i="54"/>
  <c r="MG152" i="54"/>
  <c r="MF152" i="54"/>
  <c r="ME152" i="54"/>
  <c r="MD152" i="54"/>
  <c r="MC152" i="54"/>
  <c r="MC154" i="54" s="1"/>
  <c r="MB152" i="54"/>
  <c r="MA152" i="54"/>
  <c r="LZ152" i="54"/>
  <c r="LY152" i="54"/>
  <c r="LX152" i="54"/>
  <c r="LW152" i="54"/>
  <c r="LV152" i="54"/>
  <c r="LU152" i="54"/>
  <c r="LT152" i="54"/>
  <c r="LS152" i="54"/>
  <c r="LR152" i="54"/>
  <c r="LQ152" i="54"/>
  <c r="LP152" i="54"/>
  <c r="LO152" i="54"/>
  <c r="LN152" i="54"/>
  <c r="LM152" i="54"/>
  <c r="LM154" i="54" s="1"/>
  <c r="LL152" i="54"/>
  <c r="LK152" i="54"/>
  <c r="LJ152" i="54"/>
  <c r="LI152" i="54"/>
  <c r="LH152" i="54"/>
  <c r="LG152" i="54"/>
  <c r="LG154" i="54" s="1"/>
  <c r="LF152" i="54"/>
  <c r="LE152" i="54"/>
  <c r="LE154" i="54" s="1"/>
  <c r="LD152" i="54"/>
  <c r="LC152" i="54"/>
  <c r="LB152" i="54"/>
  <c r="LA152" i="54"/>
  <c r="KZ152" i="54"/>
  <c r="KY152" i="54"/>
  <c r="KX152" i="54"/>
  <c r="KW152" i="54"/>
  <c r="KV152" i="54"/>
  <c r="KU152" i="54"/>
  <c r="KT152" i="54"/>
  <c r="KS152" i="54"/>
  <c r="KR152" i="54"/>
  <c r="KQ152" i="54"/>
  <c r="KP152" i="54"/>
  <c r="KO152" i="54"/>
  <c r="KN152" i="54"/>
  <c r="KM152" i="54"/>
  <c r="KL152" i="54"/>
  <c r="KK152" i="54"/>
  <c r="KJ152" i="54"/>
  <c r="KI152" i="54"/>
  <c r="KH152" i="54"/>
  <c r="KG152" i="54"/>
  <c r="KF152" i="54"/>
  <c r="KE152" i="54"/>
  <c r="KD152" i="54"/>
  <c r="KC152" i="54"/>
  <c r="KB152" i="54"/>
  <c r="KA152" i="54"/>
  <c r="JZ152" i="54"/>
  <c r="JY152" i="54"/>
  <c r="JX152" i="54"/>
  <c r="JW152" i="54"/>
  <c r="JV152" i="54"/>
  <c r="JU152" i="54"/>
  <c r="JT152" i="54"/>
  <c r="JS152" i="54"/>
  <c r="JR152" i="54"/>
  <c r="IZ152" i="54"/>
  <c r="IY152" i="54"/>
  <c r="IX152" i="54"/>
  <c r="IW152" i="54"/>
  <c r="IV152" i="54"/>
  <c r="IU152" i="54"/>
  <c r="IT152" i="54"/>
  <c r="IS152" i="54"/>
  <c r="IR152" i="54"/>
  <c r="IQ152" i="54"/>
  <c r="IP152" i="54"/>
  <c r="IO152" i="54"/>
  <c r="IN152" i="54"/>
  <c r="IM152" i="54"/>
  <c r="IL152" i="54"/>
  <c r="IK152" i="54"/>
  <c r="IJ152" i="54"/>
  <c r="II152" i="54"/>
  <c r="IH152" i="54"/>
  <c r="IG152" i="54"/>
  <c r="IF152" i="54"/>
  <c r="IE152" i="54"/>
  <c r="ID152" i="54"/>
  <c r="IC152" i="54"/>
  <c r="IB152" i="54"/>
  <c r="IA152" i="54"/>
  <c r="HZ152" i="54"/>
  <c r="HY152" i="54"/>
  <c r="HX152" i="54"/>
  <c r="HW152" i="54"/>
  <c r="HV152" i="54"/>
  <c r="HU152" i="54"/>
  <c r="HT152" i="54"/>
  <c r="HS152" i="54"/>
  <c r="HR152" i="54"/>
  <c r="HQ152" i="54"/>
  <c r="HP152" i="54"/>
  <c r="HO152" i="54"/>
  <c r="HN152" i="54"/>
  <c r="HM152" i="54"/>
  <c r="HL152" i="54"/>
  <c r="HK152" i="54"/>
  <c r="HJ152" i="54"/>
  <c r="HI152" i="54"/>
  <c r="HH152" i="54"/>
  <c r="HG152" i="54"/>
  <c r="HF152" i="54"/>
  <c r="HE152" i="54"/>
  <c r="HD152" i="54"/>
  <c r="HC152" i="54"/>
  <c r="HB152" i="54"/>
  <c r="HA152" i="54"/>
  <c r="GZ152" i="54"/>
  <c r="GY152" i="54"/>
  <c r="GX152" i="54"/>
  <c r="GW152" i="54"/>
  <c r="GV152" i="54"/>
  <c r="GU152" i="54"/>
  <c r="GT152" i="54"/>
  <c r="GS152" i="54"/>
  <c r="GR152" i="54"/>
  <c r="GQ152" i="54"/>
  <c r="GP152" i="54"/>
  <c r="GO152" i="54"/>
  <c r="GN152" i="54"/>
  <c r="GM152" i="54"/>
  <c r="GL152" i="54"/>
  <c r="GK152" i="54"/>
  <c r="GJ152" i="54"/>
  <c r="GI152" i="54"/>
  <c r="GH152" i="54"/>
  <c r="GG152" i="54"/>
  <c r="GF152" i="54"/>
  <c r="GE152" i="54"/>
  <c r="GD152" i="54"/>
  <c r="GC152" i="54"/>
  <c r="GB152" i="54"/>
  <c r="GA152" i="54"/>
  <c r="FZ152" i="54"/>
  <c r="FY152" i="54"/>
  <c r="FX152" i="54"/>
  <c r="FW152" i="54"/>
  <c r="FV152" i="54"/>
  <c r="FU152" i="54"/>
  <c r="FT152" i="54"/>
  <c r="FS152" i="54"/>
  <c r="FR152" i="54"/>
  <c r="FQ152" i="54"/>
  <c r="FP152" i="54"/>
  <c r="FO152" i="54"/>
  <c r="FN152" i="54"/>
  <c r="FM152" i="54"/>
  <c r="FL152" i="54"/>
  <c r="FK152" i="54"/>
  <c r="FJ152" i="54"/>
  <c r="FI152" i="54"/>
  <c r="FH152" i="54"/>
  <c r="FG152" i="54"/>
  <c r="FF152" i="54"/>
  <c r="FE152" i="54"/>
  <c r="FD152" i="54"/>
  <c r="FC152" i="54"/>
  <c r="FB152" i="54"/>
  <c r="FA152" i="54"/>
  <c r="EZ152" i="54"/>
  <c r="EY152" i="54"/>
  <c r="EX152" i="54"/>
  <c r="EW152" i="54"/>
  <c r="EV152" i="54"/>
  <c r="EU152" i="54"/>
  <c r="ET152" i="54"/>
  <c r="ES152" i="54"/>
  <c r="ER152" i="54"/>
  <c r="EQ152" i="54"/>
  <c r="EP152" i="54"/>
  <c r="EO152" i="54"/>
  <c r="EN152" i="54"/>
  <c r="EM152" i="54"/>
  <c r="EL152" i="54"/>
  <c r="EK152" i="54"/>
  <c r="EJ152" i="54"/>
  <c r="EI152" i="54"/>
  <c r="EH152" i="54"/>
  <c r="EG152" i="54"/>
  <c r="EF152" i="54"/>
  <c r="EE152" i="54"/>
  <c r="ED152" i="54"/>
  <c r="EC152" i="54"/>
  <c r="EB152" i="54"/>
  <c r="EA152" i="54"/>
  <c r="DZ152" i="54"/>
  <c r="DY152" i="54"/>
  <c r="DX152" i="54"/>
  <c r="DW152" i="54"/>
  <c r="DV152" i="54"/>
  <c r="DU152" i="54"/>
  <c r="DT152" i="54"/>
  <c r="DS152" i="54"/>
  <c r="DR152" i="54"/>
  <c r="DQ152" i="54"/>
  <c r="DP152" i="54"/>
  <c r="DO152" i="54"/>
  <c r="DN152" i="54"/>
  <c r="DM152" i="54"/>
  <c r="DL152" i="54"/>
  <c r="DK152" i="54"/>
  <c r="DJ152" i="54"/>
  <c r="DI152" i="54"/>
  <c r="DH152" i="54"/>
  <c r="DG152" i="54"/>
  <c r="DF152" i="54"/>
  <c r="DE152" i="54"/>
  <c r="DD152" i="54"/>
  <c r="DC152" i="54"/>
  <c r="DB152" i="54"/>
  <c r="DA152" i="54"/>
  <c r="CZ152" i="54"/>
  <c r="CY152" i="54"/>
  <c r="CX152" i="54"/>
  <c r="CW152" i="54"/>
  <c r="CV152" i="54"/>
  <c r="CU152" i="54"/>
  <c r="CT152" i="54"/>
  <c r="CS152" i="54"/>
  <c r="CR152" i="54"/>
  <c r="CQ152" i="54"/>
  <c r="CP152" i="54"/>
  <c r="CO152" i="54"/>
  <c r="CN152" i="54"/>
  <c r="CM152" i="54"/>
  <c r="CL152" i="54"/>
  <c r="CK152" i="54"/>
  <c r="CJ152" i="54"/>
  <c r="CI152" i="54"/>
  <c r="CH152" i="54"/>
  <c r="CG152" i="54"/>
  <c r="CF152" i="54"/>
  <c r="CE152" i="54"/>
  <c r="CD152" i="54"/>
  <c r="CC152" i="54"/>
  <c r="CB152" i="54"/>
  <c r="CA152" i="54"/>
  <c r="BZ152" i="54"/>
  <c r="BY152" i="54"/>
  <c r="BX152" i="54"/>
  <c r="BW152" i="54"/>
  <c r="BV152" i="54"/>
  <c r="BU152" i="54"/>
  <c r="BT152" i="54"/>
  <c r="BS152" i="54"/>
  <c r="BR152" i="54"/>
  <c r="BQ152" i="54"/>
  <c r="BP152" i="54"/>
  <c r="BO152" i="54"/>
  <c r="BN152" i="54"/>
  <c r="BM152" i="54"/>
  <c r="BL152" i="54"/>
  <c r="BK152" i="54"/>
  <c r="BJ152" i="54"/>
  <c r="BI152" i="54"/>
  <c r="BH152" i="54"/>
  <c r="BG152" i="54"/>
  <c r="BF152" i="54"/>
  <c r="BE152" i="54"/>
  <c r="BD152" i="54"/>
  <c r="BC152" i="54"/>
  <c r="BB152" i="54"/>
  <c r="BA152" i="54"/>
  <c r="AZ152" i="54"/>
  <c r="AY152" i="54"/>
  <c r="AX152" i="54"/>
  <c r="AW152" i="54"/>
  <c r="AV152" i="54"/>
  <c r="AU152" i="54"/>
  <c r="AT152" i="54"/>
  <c r="AS152" i="54"/>
  <c r="AR152" i="54"/>
  <c r="AQ152" i="54"/>
  <c r="AP152" i="54"/>
  <c r="AO152" i="54"/>
  <c r="AN152" i="54"/>
  <c r="AM152" i="54"/>
  <c r="AL152" i="54"/>
  <c r="AK152" i="54"/>
  <c r="AJ152" i="54"/>
  <c r="AI152" i="54"/>
  <c r="AH152" i="54"/>
  <c r="AG152" i="54"/>
  <c r="AF152" i="54"/>
  <c r="AE152" i="54"/>
  <c r="AD152" i="54"/>
  <c r="AC152" i="54"/>
  <c r="AB152" i="54"/>
  <c r="AA152" i="54"/>
  <c r="Z152" i="54"/>
  <c r="Y152" i="54"/>
  <c r="X152" i="54"/>
  <c r="W152" i="54"/>
  <c r="V152" i="54"/>
  <c r="U152" i="54"/>
  <c r="T152" i="54"/>
  <c r="S152" i="54"/>
  <c r="R152" i="54"/>
  <c r="Q152" i="54"/>
  <c r="P152" i="54"/>
  <c r="O152" i="54"/>
  <c r="N152" i="54"/>
  <c r="M152" i="54"/>
  <c r="L152" i="54"/>
  <c r="K152" i="54"/>
  <c r="J152" i="54"/>
  <c r="I152" i="54"/>
  <c r="H152" i="54"/>
  <c r="G152" i="54"/>
  <c r="F152" i="54"/>
  <c r="VK145" i="54"/>
  <c r="VJ145" i="54"/>
  <c r="VI145" i="54"/>
  <c r="VH145" i="54"/>
  <c r="VG145" i="54"/>
  <c r="VF145" i="54"/>
  <c r="VE145" i="54"/>
  <c r="VD145" i="54"/>
  <c r="VC145" i="54"/>
  <c r="VB145" i="54"/>
  <c r="VA145" i="54"/>
  <c r="UZ145" i="54"/>
  <c r="UY145" i="54"/>
  <c r="UX145" i="54"/>
  <c r="UW145" i="54"/>
  <c r="UV145" i="54"/>
  <c r="UU145" i="54"/>
  <c r="UT145" i="54"/>
  <c r="US145" i="54"/>
  <c r="UR145" i="54"/>
  <c r="UQ145" i="54"/>
  <c r="UP145" i="54"/>
  <c r="UO145" i="54"/>
  <c r="UN145" i="54"/>
  <c r="UM145" i="54"/>
  <c r="UL145" i="54"/>
  <c r="UK145" i="54"/>
  <c r="UJ145" i="54"/>
  <c r="UI145" i="54"/>
  <c r="UH145" i="54"/>
  <c r="UG145" i="54"/>
  <c r="UF145" i="54"/>
  <c r="UE145" i="54"/>
  <c r="UD145" i="54"/>
  <c r="UC145" i="54"/>
  <c r="UB145" i="54"/>
  <c r="UA145" i="54"/>
  <c r="TZ145" i="54"/>
  <c r="TY145" i="54"/>
  <c r="TX145" i="54"/>
  <c r="TW145" i="54"/>
  <c r="TV145" i="54"/>
  <c r="TU145" i="54"/>
  <c r="TT145" i="54"/>
  <c r="TS145" i="54"/>
  <c r="TR145" i="54"/>
  <c r="TQ145" i="54"/>
  <c r="TP145" i="54"/>
  <c r="TO145" i="54"/>
  <c r="TN145" i="54"/>
  <c r="TM145" i="54"/>
  <c r="TL145" i="54"/>
  <c r="TK145" i="54"/>
  <c r="TJ145" i="54"/>
  <c r="TI145" i="54"/>
  <c r="TH145" i="54"/>
  <c r="TG145" i="54"/>
  <c r="TF145" i="54"/>
  <c r="TE145" i="54"/>
  <c r="TD145" i="54"/>
  <c r="TC145" i="54"/>
  <c r="TB145" i="54"/>
  <c r="TA145" i="54"/>
  <c r="SZ145" i="54"/>
  <c r="SY145" i="54"/>
  <c r="SX145" i="54"/>
  <c r="SW145" i="54"/>
  <c r="SV145" i="54"/>
  <c r="SU145" i="54"/>
  <c r="ST145" i="54"/>
  <c r="SS145" i="54"/>
  <c r="SR145" i="54"/>
  <c r="SQ145" i="54"/>
  <c r="SP145" i="54"/>
  <c r="SO145" i="54"/>
  <c r="SN145" i="54"/>
  <c r="SM145" i="54"/>
  <c r="SL145" i="54"/>
  <c r="SK145" i="54"/>
  <c r="SJ145" i="54"/>
  <c r="SI145" i="54"/>
  <c r="SH145" i="54"/>
  <c r="SG145" i="54"/>
  <c r="SF145" i="54"/>
  <c r="SE145" i="54"/>
  <c r="SD145" i="54"/>
  <c r="SC145" i="54"/>
  <c r="SB145" i="54"/>
  <c r="SA145" i="54"/>
  <c r="RZ145" i="54"/>
  <c r="RY145" i="54"/>
  <c r="RX145" i="54"/>
  <c r="RW145" i="54"/>
  <c r="RV145" i="54"/>
  <c r="RU145" i="54"/>
  <c r="RT145" i="54"/>
  <c r="RS145" i="54"/>
  <c r="RR145" i="54"/>
  <c r="RQ145" i="54"/>
  <c r="RP145" i="54"/>
  <c r="RO145" i="54"/>
  <c r="RN145" i="54"/>
  <c r="RM145" i="54"/>
  <c r="RL145" i="54"/>
  <c r="RK145" i="54"/>
  <c r="RJ145" i="54"/>
  <c r="RI145" i="54"/>
  <c r="RH145" i="54"/>
  <c r="RG145" i="54"/>
  <c r="RF145" i="54"/>
  <c r="RE145" i="54"/>
  <c r="RD145" i="54"/>
  <c r="RC145" i="54"/>
  <c r="RB145" i="54"/>
  <c r="RA145" i="54"/>
  <c r="QZ145" i="54"/>
  <c r="QY145" i="54"/>
  <c r="QX145" i="54"/>
  <c r="QW145" i="54"/>
  <c r="QV145" i="54"/>
  <c r="QU145" i="54"/>
  <c r="QT145" i="54"/>
  <c r="QS145" i="54"/>
  <c r="QR145" i="54"/>
  <c r="QQ145" i="54"/>
  <c r="QP145" i="54"/>
  <c r="QO145" i="54"/>
  <c r="QN145" i="54"/>
  <c r="QM145" i="54"/>
  <c r="QL145" i="54"/>
  <c r="QK145" i="54"/>
  <c r="QJ145" i="54"/>
  <c r="QI145" i="54"/>
  <c r="QH145" i="54"/>
  <c r="QG145" i="54"/>
  <c r="QF145" i="54"/>
  <c r="QE145" i="54"/>
  <c r="QD145" i="54"/>
  <c r="QC145" i="54"/>
  <c r="QB145" i="54"/>
  <c r="QA145" i="54"/>
  <c r="PZ145" i="54"/>
  <c r="PY145" i="54"/>
  <c r="PX145" i="54"/>
  <c r="PW145" i="54"/>
  <c r="PV145" i="54"/>
  <c r="PU145" i="54"/>
  <c r="PT145" i="54"/>
  <c r="PS145" i="54"/>
  <c r="PR145" i="54"/>
  <c r="PQ145" i="54"/>
  <c r="PP145" i="54"/>
  <c r="PO145" i="54"/>
  <c r="PN145" i="54"/>
  <c r="PM145" i="54"/>
  <c r="PL145" i="54"/>
  <c r="PK145" i="54"/>
  <c r="PJ145" i="54"/>
  <c r="PI145" i="54"/>
  <c r="PH145" i="54"/>
  <c r="PG145" i="54"/>
  <c r="PF145" i="54"/>
  <c r="PE145" i="54"/>
  <c r="PD145" i="54"/>
  <c r="PC145" i="54"/>
  <c r="PB145" i="54"/>
  <c r="PA145" i="54"/>
  <c r="OZ145" i="54"/>
  <c r="OY145" i="54"/>
  <c r="OX145" i="54"/>
  <c r="OW145" i="54"/>
  <c r="OV145" i="54"/>
  <c r="OU145" i="54"/>
  <c r="OT145" i="54"/>
  <c r="OS145" i="54"/>
  <c r="OR145" i="54"/>
  <c r="OQ145" i="54"/>
  <c r="OP145" i="54"/>
  <c r="OO145" i="54"/>
  <c r="ON145" i="54"/>
  <c r="OM145" i="54"/>
  <c r="OL145" i="54"/>
  <c r="OK145" i="54"/>
  <c r="OJ145" i="54"/>
  <c r="OI145" i="54"/>
  <c r="OH145" i="54"/>
  <c r="OG145" i="54"/>
  <c r="OF145" i="54"/>
  <c r="OE145" i="54"/>
  <c r="OD145" i="54"/>
  <c r="OC145" i="54"/>
  <c r="OB145" i="54"/>
  <c r="OA145" i="54"/>
  <c r="NZ145" i="54"/>
  <c r="NY145" i="54"/>
  <c r="NX145" i="54"/>
  <c r="NW145" i="54"/>
  <c r="NV145" i="54"/>
  <c r="NU145" i="54"/>
  <c r="NT145" i="54"/>
  <c r="NS145" i="54"/>
  <c r="NR145" i="54"/>
  <c r="NQ145" i="54"/>
  <c r="NP145" i="54"/>
  <c r="NO145" i="54"/>
  <c r="NN145" i="54"/>
  <c r="NM145" i="54"/>
  <c r="NL145" i="54"/>
  <c r="NK145" i="54"/>
  <c r="NJ145" i="54"/>
  <c r="NI145" i="54"/>
  <c r="NH145" i="54"/>
  <c r="NG145" i="54"/>
  <c r="NF145" i="54"/>
  <c r="NE145" i="54"/>
  <c r="ND145" i="54"/>
  <c r="NC145" i="54"/>
  <c r="NB145" i="54"/>
  <c r="NA145" i="54"/>
  <c r="MZ145" i="54"/>
  <c r="MY145" i="54"/>
  <c r="MX145" i="54"/>
  <c r="MW145" i="54"/>
  <c r="MV145" i="54"/>
  <c r="MU145" i="54"/>
  <c r="MT145" i="54"/>
  <c r="MS145" i="54"/>
  <c r="MR145" i="54"/>
  <c r="MQ145" i="54"/>
  <c r="MP145" i="54"/>
  <c r="MO145" i="54"/>
  <c r="MN145" i="54"/>
  <c r="MM145" i="54"/>
  <c r="ML145" i="54"/>
  <c r="MK145" i="54"/>
  <c r="MJ145" i="54"/>
  <c r="MI145" i="54"/>
  <c r="MH145" i="54"/>
  <c r="MG145" i="54"/>
  <c r="MF145" i="54"/>
  <c r="ME145" i="54"/>
  <c r="MD145" i="54"/>
  <c r="MC145" i="54"/>
  <c r="MB145" i="54"/>
  <c r="MA145" i="54"/>
  <c r="LZ145" i="54"/>
  <c r="LY145" i="54"/>
  <c r="LX145" i="54"/>
  <c r="LW145" i="54"/>
  <c r="LV145" i="54"/>
  <c r="LU145" i="54"/>
  <c r="LT145" i="54"/>
  <c r="LS145" i="54"/>
  <c r="LR145" i="54"/>
  <c r="LQ145" i="54"/>
  <c r="LP145" i="54"/>
  <c r="LO145" i="54"/>
  <c r="LN145" i="54"/>
  <c r="LM145" i="54"/>
  <c r="LL145" i="54"/>
  <c r="LK145" i="54"/>
  <c r="LJ145" i="54"/>
  <c r="LI145" i="54"/>
  <c r="LH145" i="54"/>
  <c r="LG145" i="54"/>
  <c r="LF145" i="54"/>
  <c r="LE145" i="54"/>
  <c r="LD145" i="54"/>
  <c r="LC145" i="54"/>
  <c r="LB145" i="54"/>
  <c r="LA145" i="54"/>
  <c r="KZ145" i="54"/>
  <c r="KY145" i="54"/>
  <c r="KX145" i="54"/>
  <c r="KW145" i="54"/>
  <c r="KV145" i="54"/>
  <c r="KU145" i="54"/>
  <c r="KT145" i="54"/>
  <c r="KS145" i="54"/>
  <c r="KR145" i="54"/>
  <c r="KQ145" i="54"/>
  <c r="KP145" i="54"/>
  <c r="KO145" i="54"/>
  <c r="KN145" i="54"/>
  <c r="KM145" i="54"/>
  <c r="KL145" i="54"/>
  <c r="KK145" i="54"/>
  <c r="KJ145" i="54"/>
  <c r="KI145" i="54"/>
  <c r="KH145" i="54"/>
  <c r="KG145" i="54"/>
  <c r="KF145" i="54"/>
  <c r="KE145" i="54"/>
  <c r="KD145" i="54"/>
  <c r="KC145" i="54"/>
  <c r="KB145" i="54"/>
  <c r="KA145" i="54"/>
  <c r="JZ145" i="54"/>
  <c r="JY145" i="54"/>
  <c r="JX145" i="54"/>
  <c r="JW145" i="54"/>
  <c r="JV145" i="54"/>
  <c r="JU145" i="54"/>
  <c r="JT145" i="54"/>
  <c r="JS145" i="54"/>
  <c r="JR145" i="54"/>
  <c r="JQ145" i="54"/>
  <c r="JP145" i="54"/>
  <c r="JO145" i="54"/>
  <c r="JN145" i="54"/>
  <c r="JM145" i="54"/>
  <c r="JL145" i="54"/>
  <c r="JK145" i="54"/>
  <c r="JJ145" i="54"/>
  <c r="JI145" i="54"/>
  <c r="JH145" i="54"/>
  <c r="JG145" i="54"/>
  <c r="JF145" i="54"/>
  <c r="JE145" i="54"/>
  <c r="JD145" i="54"/>
  <c r="JC145" i="54"/>
  <c r="JB145" i="54"/>
  <c r="JA145" i="54"/>
  <c r="IZ145" i="54"/>
  <c r="IY145" i="54"/>
  <c r="IX145" i="54"/>
  <c r="IW145" i="54"/>
  <c r="IV145" i="54"/>
  <c r="IU145" i="54"/>
  <c r="IT145" i="54"/>
  <c r="IS145" i="54"/>
  <c r="IR145" i="54"/>
  <c r="IQ145" i="54"/>
  <c r="IP145" i="54"/>
  <c r="IO145" i="54"/>
  <c r="IN145" i="54"/>
  <c r="IM145" i="54"/>
  <c r="IL145" i="54"/>
  <c r="IK145" i="54"/>
  <c r="IJ145" i="54"/>
  <c r="II145" i="54"/>
  <c r="IH145" i="54"/>
  <c r="IG145" i="54"/>
  <c r="IF145" i="54"/>
  <c r="IE145" i="54"/>
  <c r="ID145" i="54"/>
  <c r="IC145" i="54"/>
  <c r="IB145" i="54"/>
  <c r="IA145" i="54"/>
  <c r="HZ145" i="54"/>
  <c r="HY145" i="54"/>
  <c r="HX145" i="54"/>
  <c r="HW145" i="54"/>
  <c r="HV145" i="54"/>
  <c r="HU145" i="54"/>
  <c r="HT145" i="54"/>
  <c r="HS145" i="54"/>
  <c r="HR145" i="54"/>
  <c r="HQ145" i="54"/>
  <c r="HP145" i="54"/>
  <c r="HO145" i="54"/>
  <c r="HN145" i="54"/>
  <c r="HM145" i="54"/>
  <c r="HL145" i="54"/>
  <c r="HK145" i="54"/>
  <c r="HJ145" i="54"/>
  <c r="HI145" i="54"/>
  <c r="HH145" i="54"/>
  <c r="HG145" i="54"/>
  <c r="HF145" i="54"/>
  <c r="HE145" i="54"/>
  <c r="HD145" i="54"/>
  <c r="HC145" i="54"/>
  <c r="HB145" i="54"/>
  <c r="HA145" i="54"/>
  <c r="GZ145" i="54"/>
  <c r="GY145" i="54"/>
  <c r="GX145" i="54"/>
  <c r="GW145" i="54"/>
  <c r="GV145" i="54"/>
  <c r="GU145" i="54"/>
  <c r="GT145" i="54"/>
  <c r="GS145" i="54"/>
  <c r="GR145" i="54"/>
  <c r="GQ145" i="54"/>
  <c r="GP145" i="54"/>
  <c r="GO145" i="54"/>
  <c r="GN145" i="54"/>
  <c r="GM145" i="54"/>
  <c r="GL145" i="54"/>
  <c r="GK145" i="54"/>
  <c r="GJ145" i="54"/>
  <c r="GI145" i="54"/>
  <c r="GH145" i="54"/>
  <c r="GG145" i="54"/>
  <c r="GF145" i="54"/>
  <c r="GE145" i="54"/>
  <c r="GD145" i="54"/>
  <c r="GC145" i="54"/>
  <c r="GB145" i="54"/>
  <c r="GA145" i="54"/>
  <c r="FZ145" i="54"/>
  <c r="FY145" i="54"/>
  <c r="FX145" i="54"/>
  <c r="FW145" i="54"/>
  <c r="FV145" i="54"/>
  <c r="FU145" i="54"/>
  <c r="FT145" i="54"/>
  <c r="FS145" i="54"/>
  <c r="FR145" i="54"/>
  <c r="FQ145" i="54"/>
  <c r="FP145" i="54"/>
  <c r="FO145" i="54"/>
  <c r="FN145" i="54"/>
  <c r="FM145" i="54"/>
  <c r="FL145" i="54"/>
  <c r="FK145" i="54"/>
  <c r="FJ145" i="54"/>
  <c r="FI145" i="54"/>
  <c r="FH145" i="54"/>
  <c r="FG145" i="54"/>
  <c r="FF145" i="54"/>
  <c r="FE145" i="54"/>
  <c r="FD145" i="54"/>
  <c r="FC145" i="54"/>
  <c r="FB145" i="54"/>
  <c r="FA145" i="54"/>
  <c r="EZ145" i="54"/>
  <c r="EY145" i="54"/>
  <c r="EX145" i="54"/>
  <c r="EW145" i="54"/>
  <c r="EV145" i="54"/>
  <c r="EU145" i="54"/>
  <c r="ET145" i="54"/>
  <c r="ES145" i="54"/>
  <c r="ER145" i="54"/>
  <c r="EQ145" i="54"/>
  <c r="EP145" i="54"/>
  <c r="EO145" i="54"/>
  <c r="EN145" i="54"/>
  <c r="EM145" i="54"/>
  <c r="EL145" i="54"/>
  <c r="EK145" i="54"/>
  <c r="EJ145" i="54"/>
  <c r="EI145" i="54"/>
  <c r="EH145" i="54"/>
  <c r="EG145" i="54"/>
  <c r="EF145" i="54"/>
  <c r="EE145" i="54"/>
  <c r="ED145" i="54"/>
  <c r="EC145" i="54"/>
  <c r="EB145" i="54"/>
  <c r="EA145" i="54"/>
  <c r="DZ145" i="54"/>
  <c r="DY145" i="54"/>
  <c r="DX145" i="54"/>
  <c r="DW145" i="54"/>
  <c r="DV145" i="54"/>
  <c r="DU145" i="54"/>
  <c r="DT145" i="54"/>
  <c r="DS145" i="54"/>
  <c r="DR145" i="54"/>
  <c r="DQ145" i="54"/>
  <c r="DP145" i="54"/>
  <c r="DO145" i="54"/>
  <c r="DN145" i="54"/>
  <c r="DM145" i="54"/>
  <c r="DL145" i="54"/>
  <c r="DK145" i="54"/>
  <c r="DJ145" i="54"/>
  <c r="DI145" i="54"/>
  <c r="DH145" i="54"/>
  <c r="DG145" i="54"/>
  <c r="DF145" i="54"/>
  <c r="DE145" i="54"/>
  <c r="DD145" i="54"/>
  <c r="DC145" i="54"/>
  <c r="DB145" i="54"/>
  <c r="DA145" i="54"/>
  <c r="CZ145" i="54"/>
  <c r="CY145" i="54"/>
  <c r="CX145" i="54"/>
  <c r="CW145" i="54"/>
  <c r="CV145" i="54"/>
  <c r="CU145" i="54"/>
  <c r="CT145" i="54"/>
  <c r="CS145" i="54"/>
  <c r="CR145" i="54"/>
  <c r="CQ145" i="54"/>
  <c r="CP145" i="54"/>
  <c r="CO145" i="54"/>
  <c r="CN145" i="54"/>
  <c r="CM145" i="54"/>
  <c r="CL145" i="54"/>
  <c r="CK145" i="54"/>
  <c r="CJ145" i="54"/>
  <c r="CI145" i="54"/>
  <c r="CH145" i="54"/>
  <c r="CG145" i="54"/>
  <c r="CF145" i="54"/>
  <c r="CE145" i="54"/>
  <c r="CD145" i="54"/>
  <c r="CC145" i="54"/>
  <c r="CB145" i="54"/>
  <c r="CA145" i="54"/>
  <c r="BZ145" i="54"/>
  <c r="BY145" i="54"/>
  <c r="BX145" i="54"/>
  <c r="BW145" i="54"/>
  <c r="BV145" i="54"/>
  <c r="BU145" i="54"/>
  <c r="BT145" i="54"/>
  <c r="BS145" i="54"/>
  <c r="BR145" i="54"/>
  <c r="BQ145" i="54"/>
  <c r="BP145" i="54"/>
  <c r="BO145" i="54"/>
  <c r="BN145" i="54"/>
  <c r="BM145" i="54"/>
  <c r="BL145" i="54"/>
  <c r="BK145" i="54"/>
  <c r="BJ145" i="54"/>
  <c r="BI145" i="54"/>
  <c r="BH145" i="54"/>
  <c r="BG145" i="54"/>
  <c r="BF145" i="54"/>
  <c r="BE145" i="54"/>
  <c r="BD145" i="54"/>
  <c r="BC145" i="54"/>
  <c r="BB145" i="54"/>
  <c r="BA145" i="54"/>
  <c r="AZ145" i="54"/>
  <c r="AY145" i="54"/>
  <c r="AX145" i="54"/>
  <c r="AW145" i="54"/>
  <c r="AV145" i="54"/>
  <c r="AU145" i="54"/>
  <c r="AT145" i="54"/>
  <c r="AS145" i="54"/>
  <c r="AR145" i="54"/>
  <c r="AQ145" i="54"/>
  <c r="AP145" i="54"/>
  <c r="AO145" i="54"/>
  <c r="AN145" i="54"/>
  <c r="AM145" i="54"/>
  <c r="AL145" i="54"/>
  <c r="AK145" i="54"/>
  <c r="AJ145" i="54"/>
  <c r="AI145" i="54"/>
  <c r="AH145" i="54"/>
  <c r="AG145" i="54"/>
  <c r="AF145" i="54"/>
  <c r="AE145" i="54"/>
  <c r="AD145" i="54"/>
  <c r="AC145" i="54"/>
  <c r="AB145" i="54"/>
  <c r="AA145" i="54"/>
  <c r="Z145" i="54"/>
  <c r="Y145" i="54"/>
  <c r="X145" i="54"/>
  <c r="W145" i="54"/>
  <c r="V145" i="54"/>
  <c r="U145" i="54"/>
  <c r="T145" i="54"/>
  <c r="S145" i="54"/>
  <c r="R145" i="54"/>
  <c r="Q145" i="54"/>
  <c r="P145" i="54"/>
  <c r="O145" i="54"/>
  <c r="N145" i="54"/>
  <c r="M145" i="54"/>
  <c r="L145" i="54"/>
  <c r="K145" i="54"/>
  <c r="J145" i="54"/>
  <c r="I145" i="54"/>
  <c r="H145" i="54"/>
  <c r="G145" i="54"/>
  <c r="F145" i="54"/>
  <c r="VK144" i="54"/>
  <c r="VJ144" i="54"/>
  <c r="VI144" i="54"/>
  <c r="VH144" i="54"/>
  <c r="VG144" i="54"/>
  <c r="VF144" i="54"/>
  <c r="VE144" i="54"/>
  <c r="VD144" i="54"/>
  <c r="VC144" i="54"/>
  <c r="VB144" i="54"/>
  <c r="VA144" i="54"/>
  <c r="UZ144" i="54"/>
  <c r="UY144" i="54"/>
  <c r="UX144" i="54"/>
  <c r="UW144" i="54"/>
  <c r="UV144" i="54"/>
  <c r="UU144" i="54"/>
  <c r="UC144" i="54"/>
  <c r="UB144" i="54"/>
  <c r="UA144" i="54"/>
  <c r="TZ144" i="54"/>
  <c r="TY144" i="54"/>
  <c r="TX144" i="54"/>
  <c r="TW144" i="54"/>
  <c r="TV144" i="54"/>
  <c r="TU144" i="54"/>
  <c r="TT144" i="54"/>
  <c r="TS144" i="54"/>
  <c r="TR144" i="54"/>
  <c r="TQ144" i="54"/>
  <c r="TP144" i="54"/>
  <c r="TO144" i="54"/>
  <c r="TN144" i="54"/>
  <c r="TM144" i="54"/>
  <c r="TL144" i="54"/>
  <c r="TK144" i="54"/>
  <c r="TJ144" i="54"/>
  <c r="TI144" i="54"/>
  <c r="TH144" i="54"/>
  <c r="TG144" i="54"/>
  <c r="TF144" i="54"/>
  <c r="TE144" i="54"/>
  <c r="TD144" i="54"/>
  <c r="TC144" i="54"/>
  <c r="TB144" i="54"/>
  <c r="TA144" i="54"/>
  <c r="SZ144" i="54"/>
  <c r="SY144" i="54"/>
  <c r="SX144" i="54"/>
  <c r="SW144" i="54"/>
  <c r="SV144" i="54"/>
  <c r="SU144" i="54"/>
  <c r="ST144" i="54"/>
  <c r="SS144" i="54"/>
  <c r="SR144" i="54"/>
  <c r="SQ144" i="54"/>
  <c r="SP144" i="54"/>
  <c r="SO144" i="54"/>
  <c r="SN144" i="54"/>
  <c r="SM144" i="54"/>
  <c r="SL144" i="54"/>
  <c r="SK144" i="54"/>
  <c r="SJ144" i="54"/>
  <c r="SI144" i="54"/>
  <c r="SH144" i="54"/>
  <c r="SG144" i="54"/>
  <c r="SF144" i="54"/>
  <c r="SE144" i="54"/>
  <c r="RM144" i="54"/>
  <c r="RM146" i="54" s="1"/>
  <c r="RL144" i="54"/>
  <c r="RK144" i="54"/>
  <c r="RK146" i="54" s="1"/>
  <c r="RJ144" i="54"/>
  <c r="RI144" i="54"/>
  <c r="RI146" i="54" s="1"/>
  <c r="RH144" i="54"/>
  <c r="RH146" i="54" s="1"/>
  <c r="RG144" i="54"/>
  <c r="RG146" i="54" s="1"/>
  <c r="RF144" i="54"/>
  <c r="RF146" i="54" s="1"/>
  <c r="RE144" i="54"/>
  <c r="RE146" i="54" s="1"/>
  <c r="RD144" i="54"/>
  <c r="RC144" i="54"/>
  <c r="RC146" i="54" s="1"/>
  <c r="RB144" i="54"/>
  <c r="RA144" i="54"/>
  <c r="RA146" i="54" s="1"/>
  <c r="QZ144" i="54"/>
  <c r="QY144" i="54"/>
  <c r="QY146" i="54" s="1"/>
  <c r="QX144" i="54"/>
  <c r="QW144" i="54"/>
  <c r="QW146" i="54" s="1"/>
  <c r="QV144" i="54"/>
  <c r="QV146" i="54" s="1"/>
  <c r="QU144" i="54"/>
  <c r="QU146" i="54" s="1"/>
  <c r="QT144" i="54"/>
  <c r="QS144" i="54"/>
  <c r="QS146" i="54" s="1"/>
  <c r="QR144" i="54"/>
  <c r="QQ144" i="54"/>
  <c r="QQ146" i="54" s="1"/>
  <c r="QP144" i="54"/>
  <c r="QO144" i="54"/>
  <c r="QO146" i="54" s="1"/>
  <c r="QN144" i="54"/>
  <c r="QN146" i="54" s="1"/>
  <c r="QM144" i="54"/>
  <c r="QM146" i="54" s="1"/>
  <c r="QL144" i="54"/>
  <c r="QK144" i="54"/>
  <c r="QK146" i="54" s="1"/>
  <c r="QJ144" i="54"/>
  <c r="QI144" i="54"/>
  <c r="QI146" i="54" s="1"/>
  <c r="QH144" i="54"/>
  <c r="QG144" i="54"/>
  <c r="QG146" i="54" s="1"/>
  <c r="QF144" i="54"/>
  <c r="QE144" i="54"/>
  <c r="QE146" i="54" s="1"/>
  <c r="QD144" i="54"/>
  <c r="QC144" i="54"/>
  <c r="QC146" i="54" s="1"/>
  <c r="QB144" i="54"/>
  <c r="QA144" i="54"/>
  <c r="QA146" i="54" s="1"/>
  <c r="PZ144" i="54"/>
  <c r="PY144" i="54"/>
  <c r="PY146" i="54" s="1"/>
  <c r="PX144" i="54"/>
  <c r="PW144" i="54"/>
  <c r="PW146" i="54" s="1"/>
  <c r="PV144" i="54"/>
  <c r="PU144" i="54"/>
  <c r="PU146" i="54" s="1"/>
  <c r="PT144" i="54"/>
  <c r="PT146" i="54" s="1"/>
  <c r="PS144" i="54"/>
  <c r="PS146" i="54" s="1"/>
  <c r="PR144" i="54"/>
  <c r="PQ144" i="54"/>
  <c r="PQ146" i="54" s="1"/>
  <c r="PP144" i="54"/>
  <c r="PO144" i="54"/>
  <c r="PO146" i="54" s="1"/>
  <c r="PN144" i="54"/>
  <c r="PM144" i="54"/>
  <c r="PM146" i="54" s="1"/>
  <c r="PL144" i="54"/>
  <c r="PK144" i="54"/>
  <c r="PK146" i="54" s="1"/>
  <c r="PJ144" i="54"/>
  <c r="PI144" i="54"/>
  <c r="PH144" i="54"/>
  <c r="PG144" i="54"/>
  <c r="PG146" i="54" s="1"/>
  <c r="PF144" i="54"/>
  <c r="PE144" i="54"/>
  <c r="PE146" i="54" s="1"/>
  <c r="PD144" i="54"/>
  <c r="PD146" i="54" s="1"/>
  <c r="PC144" i="54"/>
  <c r="PC146" i="54" s="1"/>
  <c r="PB144" i="54"/>
  <c r="PA144" i="54"/>
  <c r="PA146" i="54" s="1"/>
  <c r="OZ144" i="54"/>
  <c r="OY144" i="54"/>
  <c r="OY146" i="54" s="1"/>
  <c r="OX144" i="54"/>
  <c r="OW144" i="54"/>
  <c r="OW146" i="54" s="1"/>
  <c r="OV144" i="54"/>
  <c r="OU144" i="54"/>
  <c r="OU146" i="54" s="1"/>
  <c r="OT144" i="54"/>
  <c r="OS144" i="54"/>
  <c r="OS146" i="54" s="1"/>
  <c r="OR144" i="54"/>
  <c r="OQ144" i="54"/>
  <c r="OQ146" i="54" s="1"/>
  <c r="OP144" i="54"/>
  <c r="OO144" i="54"/>
  <c r="OO146" i="54" s="1"/>
  <c r="ON144" i="54"/>
  <c r="OM144" i="54"/>
  <c r="OM146" i="54" s="1"/>
  <c r="OL144" i="54"/>
  <c r="OK144" i="54"/>
  <c r="OK146" i="54" s="1"/>
  <c r="OJ144" i="54"/>
  <c r="OI144" i="54"/>
  <c r="OI146" i="54" s="1"/>
  <c r="OH144" i="54"/>
  <c r="OG144" i="54"/>
  <c r="OG146" i="54" s="1"/>
  <c r="NO144" i="54"/>
  <c r="NN144" i="54"/>
  <c r="NM144" i="54"/>
  <c r="NL144" i="54"/>
  <c r="NK144" i="54"/>
  <c r="NK146" i="54" s="1"/>
  <c r="NJ144" i="54"/>
  <c r="NI144" i="54"/>
  <c r="NH144" i="54"/>
  <c r="NG144" i="54"/>
  <c r="NF144" i="54"/>
  <c r="NE144" i="54"/>
  <c r="ND144" i="54"/>
  <c r="NC144" i="54"/>
  <c r="NC146" i="54" s="1"/>
  <c r="NB144" i="54"/>
  <c r="NA144" i="54"/>
  <c r="MZ144" i="54"/>
  <c r="MY144" i="54"/>
  <c r="MX144" i="54"/>
  <c r="MW144" i="54"/>
  <c r="MV144" i="54"/>
  <c r="MU144" i="54"/>
  <c r="MU146" i="54" s="1"/>
  <c r="MT144" i="54"/>
  <c r="MS144" i="54"/>
  <c r="MR144" i="54"/>
  <c r="MQ144" i="54"/>
  <c r="MP144" i="54"/>
  <c r="MO144" i="54"/>
  <c r="MN144" i="54"/>
  <c r="MM144" i="54"/>
  <c r="MM146" i="54" s="1"/>
  <c r="ML144" i="54"/>
  <c r="MK144" i="54"/>
  <c r="MJ144" i="54"/>
  <c r="MI144" i="54"/>
  <c r="MH144" i="54"/>
  <c r="MG144" i="54"/>
  <c r="MF144" i="54"/>
  <c r="ME144" i="54"/>
  <c r="ME146" i="54" s="1"/>
  <c r="MD144" i="54"/>
  <c r="MC144" i="54"/>
  <c r="MB144" i="54"/>
  <c r="MA144" i="54"/>
  <c r="LZ144" i="54"/>
  <c r="LY144" i="54"/>
  <c r="LX144" i="54"/>
  <c r="LW144" i="54"/>
  <c r="LW146" i="54" s="1"/>
  <c r="LV144" i="54"/>
  <c r="LU144" i="54"/>
  <c r="LT144" i="54"/>
  <c r="LS144" i="54"/>
  <c r="LR144" i="54"/>
  <c r="LQ144" i="54"/>
  <c r="LP144" i="54"/>
  <c r="LO144" i="54"/>
  <c r="LO146" i="54" s="1"/>
  <c r="LN144" i="54"/>
  <c r="LM144" i="54"/>
  <c r="LL144" i="54"/>
  <c r="LK144" i="54"/>
  <c r="LJ144" i="54"/>
  <c r="LI144" i="54"/>
  <c r="LH144" i="54"/>
  <c r="LG144" i="54"/>
  <c r="LG146" i="54" s="1"/>
  <c r="LF144" i="54"/>
  <c r="LE144" i="54"/>
  <c r="LD144" i="54"/>
  <c r="LC144" i="54"/>
  <c r="LB144" i="54"/>
  <c r="LA144" i="54"/>
  <c r="KZ144" i="54"/>
  <c r="KY144" i="54"/>
  <c r="KY146" i="54" s="1"/>
  <c r="KX144" i="54"/>
  <c r="KW144" i="54"/>
  <c r="KV144" i="54"/>
  <c r="KU144" i="54"/>
  <c r="KT144" i="54"/>
  <c r="KS144" i="54"/>
  <c r="KR144" i="54"/>
  <c r="KQ144" i="54"/>
  <c r="KQ146" i="54" s="1"/>
  <c r="KP144" i="54"/>
  <c r="KO144" i="54"/>
  <c r="KN144" i="54"/>
  <c r="KM144" i="54"/>
  <c r="KL144" i="54"/>
  <c r="KK144" i="54"/>
  <c r="KJ144" i="54"/>
  <c r="KI144" i="54"/>
  <c r="KI146" i="54" s="1"/>
  <c r="KH144" i="54"/>
  <c r="KG144" i="54"/>
  <c r="KF144" i="54"/>
  <c r="KE144" i="54"/>
  <c r="KD144" i="54"/>
  <c r="KC144" i="54"/>
  <c r="KB144" i="54"/>
  <c r="KA144" i="54"/>
  <c r="KA146" i="54" s="1"/>
  <c r="JZ144" i="54"/>
  <c r="JY144" i="54"/>
  <c r="JX144" i="54"/>
  <c r="JW144" i="54"/>
  <c r="JV144" i="54"/>
  <c r="JU144" i="54"/>
  <c r="JT144" i="54"/>
  <c r="JS144" i="54"/>
  <c r="JS146" i="54" s="1"/>
  <c r="JR144" i="54"/>
  <c r="JQ144" i="54"/>
  <c r="JP144" i="54"/>
  <c r="JO144" i="54"/>
  <c r="JN144" i="54"/>
  <c r="JM144" i="54"/>
  <c r="JL144" i="54"/>
  <c r="JK144" i="54"/>
  <c r="JK146" i="54" s="1"/>
  <c r="JJ144" i="54"/>
  <c r="JI144" i="54"/>
  <c r="JH144" i="54"/>
  <c r="JG144" i="54"/>
  <c r="JF144" i="54"/>
  <c r="JE144" i="54"/>
  <c r="JD144" i="54"/>
  <c r="JC144" i="54"/>
  <c r="JC146" i="54" s="1"/>
  <c r="JB144" i="54"/>
  <c r="JA144" i="54"/>
  <c r="IZ144" i="54"/>
  <c r="IY144" i="54"/>
  <c r="IX144" i="54"/>
  <c r="IW144" i="54"/>
  <c r="IV144" i="54"/>
  <c r="IU144" i="54"/>
  <c r="IU146" i="54" s="1"/>
  <c r="IT144" i="54"/>
  <c r="IS144" i="54"/>
  <c r="IR144" i="54"/>
  <c r="IQ144" i="54"/>
  <c r="IP144" i="54"/>
  <c r="IO144" i="54"/>
  <c r="IN144" i="54"/>
  <c r="IM144" i="54"/>
  <c r="IM146" i="54" s="1"/>
  <c r="IL144" i="54"/>
  <c r="IK144" i="54"/>
  <c r="IJ144" i="54"/>
  <c r="II144" i="54"/>
  <c r="IH144" i="54"/>
  <c r="IG144" i="54"/>
  <c r="IF144" i="54"/>
  <c r="IE144" i="54"/>
  <c r="IE146" i="54" s="1"/>
  <c r="ID144" i="54"/>
  <c r="IC144" i="54"/>
  <c r="IB144" i="54"/>
  <c r="IA144" i="54"/>
  <c r="HZ144" i="54"/>
  <c r="HY144" i="54"/>
  <c r="HX144" i="54"/>
  <c r="HW144" i="54"/>
  <c r="HW146" i="54" s="1"/>
  <c r="HV144" i="54"/>
  <c r="HU144" i="54"/>
  <c r="HT144" i="54"/>
  <c r="HS144" i="54"/>
  <c r="HR144" i="54"/>
  <c r="HQ144" i="54"/>
  <c r="HP144" i="54"/>
  <c r="HO144" i="54"/>
  <c r="HO146" i="54" s="1"/>
  <c r="HN144" i="54"/>
  <c r="HM144" i="54"/>
  <c r="HL144" i="54"/>
  <c r="HK144" i="54"/>
  <c r="HJ144" i="54"/>
  <c r="HI144" i="54"/>
  <c r="HH144" i="54"/>
  <c r="HG144" i="54"/>
  <c r="HG146" i="54" s="1"/>
  <c r="HF144" i="54"/>
  <c r="HE144" i="54"/>
  <c r="HD144" i="54"/>
  <c r="HC144" i="54"/>
  <c r="HB144" i="54"/>
  <c r="HA144" i="54"/>
  <c r="GZ144" i="54"/>
  <c r="GY144" i="54"/>
  <c r="GY146" i="54" s="1"/>
  <c r="GX144" i="54"/>
  <c r="GW144" i="54"/>
  <c r="GV144" i="54"/>
  <c r="GU144" i="54"/>
  <c r="GT144" i="54"/>
  <c r="GS144" i="54"/>
  <c r="GR144" i="54"/>
  <c r="GQ144" i="54"/>
  <c r="GQ146" i="54" s="1"/>
  <c r="GP144" i="54"/>
  <c r="GO144" i="54"/>
  <c r="GN144" i="54"/>
  <c r="GM144" i="54"/>
  <c r="GL144" i="54"/>
  <c r="GK144" i="54"/>
  <c r="GJ144" i="54"/>
  <c r="GI144" i="54"/>
  <c r="GI146" i="54" s="1"/>
  <c r="GH144" i="54"/>
  <c r="GG144" i="54"/>
  <c r="GF144" i="54"/>
  <c r="GE144" i="54"/>
  <c r="GD144" i="54"/>
  <c r="GC144" i="54"/>
  <c r="GB144" i="54"/>
  <c r="GA144" i="54"/>
  <c r="GA146" i="54" s="1"/>
  <c r="FZ144" i="54"/>
  <c r="FY144" i="54"/>
  <c r="FX144" i="54"/>
  <c r="FW144" i="54"/>
  <c r="FV144" i="54"/>
  <c r="FU144" i="54"/>
  <c r="FT144" i="54"/>
  <c r="FS144" i="54"/>
  <c r="FS146" i="54" s="1"/>
  <c r="FR144" i="54"/>
  <c r="FQ144" i="54"/>
  <c r="FP144" i="54"/>
  <c r="FO144" i="54"/>
  <c r="FN144" i="54"/>
  <c r="FM144" i="54"/>
  <c r="FL144" i="54"/>
  <c r="FK144" i="54"/>
  <c r="FK146" i="54" s="1"/>
  <c r="FJ144" i="54"/>
  <c r="FI144" i="54"/>
  <c r="FH144" i="54"/>
  <c r="FG144" i="54"/>
  <c r="FF144" i="54"/>
  <c r="FE144" i="54"/>
  <c r="FD144" i="54"/>
  <c r="FC144" i="54"/>
  <c r="FC146" i="54" s="1"/>
  <c r="FB144" i="54"/>
  <c r="FA144" i="54"/>
  <c r="EZ144" i="54"/>
  <c r="EY144" i="54"/>
  <c r="EX144" i="54"/>
  <c r="EW144" i="54"/>
  <c r="EV144" i="54"/>
  <c r="EU144" i="54"/>
  <c r="EU146" i="54" s="1"/>
  <c r="ET144" i="54"/>
  <c r="ES144" i="54"/>
  <c r="ER144" i="54"/>
  <c r="EQ144" i="54"/>
  <c r="EP144" i="54"/>
  <c r="EO144" i="54"/>
  <c r="EN144" i="54"/>
  <c r="EM144" i="54"/>
  <c r="EM146" i="54" s="1"/>
  <c r="EL144" i="54"/>
  <c r="EK144" i="54"/>
  <c r="EJ144" i="54"/>
  <c r="EI144" i="54"/>
  <c r="EH144" i="54"/>
  <c r="EG144" i="54"/>
  <c r="EF144" i="54"/>
  <c r="EE144" i="54"/>
  <c r="EE146" i="54" s="1"/>
  <c r="ED144" i="54"/>
  <c r="EC144" i="54"/>
  <c r="EB144" i="54"/>
  <c r="EA144" i="54"/>
  <c r="DZ144" i="54"/>
  <c r="DY144" i="54"/>
  <c r="DX144" i="54"/>
  <c r="DW144" i="54"/>
  <c r="DW146" i="54" s="1"/>
  <c r="DV144" i="54"/>
  <c r="DU144" i="54"/>
  <c r="DT144" i="54"/>
  <c r="DS144" i="54"/>
  <c r="DR144" i="54"/>
  <c r="DQ144" i="54"/>
  <c r="DP144" i="54"/>
  <c r="DO144" i="54"/>
  <c r="DO146" i="54" s="1"/>
  <c r="DN144" i="54"/>
  <c r="DM144" i="54"/>
  <c r="DL144" i="54"/>
  <c r="DK144" i="54"/>
  <c r="DJ144" i="54"/>
  <c r="DI144" i="54"/>
  <c r="DH144" i="54"/>
  <c r="DG144" i="54"/>
  <c r="DG146" i="54" s="1"/>
  <c r="DF144" i="54"/>
  <c r="DE144" i="54"/>
  <c r="DD144" i="54"/>
  <c r="DC144" i="54"/>
  <c r="DB144" i="54"/>
  <c r="DA144" i="54"/>
  <c r="CZ144" i="54"/>
  <c r="CY144" i="54"/>
  <c r="CY146" i="54" s="1"/>
  <c r="CX144" i="54"/>
  <c r="CW144" i="54"/>
  <c r="CV144" i="54"/>
  <c r="CU144" i="54"/>
  <c r="CT144" i="54"/>
  <c r="CS144" i="54"/>
  <c r="CR144" i="54"/>
  <c r="CQ144" i="54"/>
  <c r="CQ146" i="54" s="1"/>
  <c r="CP144" i="54"/>
  <c r="CO144" i="54"/>
  <c r="CN144" i="54"/>
  <c r="CM144" i="54"/>
  <c r="CL144" i="54"/>
  <c r="CK144" i="54"/>
  <c r="CJ144" i="54"/>
  <c r="CI144" i="54"/>
  <c r="CI146" i="54" s="1"/>
  <c r="CH144" i="54"/>
  <c r="CG144" i="54"/>
  <c r="CF144" i="54"/>
  <c r="CE144" i="54"/>
  <c r="CD144" i="54"/>
  <c r="CC144" i="54"/>
  <c r="CB144" i="54"/>
  <c r="CA144" i="54"/>
  <c r="CA146" i="54" s="1"/>
  <c r="BZ144" i="54"/>
  <c r="BY144" i="54"/>
  <c r="BX144" i="54"/>
  <c r="BW144" i="54"/>
  <c r="BV144" i="54"/>
  <c r="BU144" i="54"/>
  <c r="BT144" i="54"/>
  <c r="BS144" i="54"/>
  <c r="BS146" i="54" s="1"/>
  <c r="BR144" i="54"/>
  <c r="BQ144" i="54"/>
  <c r="BP144" i="54"/>
  <c r="BO144" i="54"/>
  <c r="BN144" i="54"/>
  <c r="BM144" i="54"/>
  <c r="BL144" i="54"/>
  <c r="BK144" i="54"/>
  <c r="BK146" i="54" s="1"/>
  <c r="BJ144" i="54"/>
  <c r="BI144" i="54"/>
  <c r="BH144" i="54"/>
  <c r="BG144" i="54"/>
  <c r="BF144" i="54"/>
  <c r="BE144" i="54"/>
  <c r="BD144" i="54"/>
  <c r="BC144" i="54"/>
  <c r="BC146" i="54" s="1"/>
  <c r="BB144" i="54"/>
  <c r="BA144" i="54"/>
  <c r="AZ144" i="54"/>
  <c r="AY144" i="54"/>
  <c r="AX144" i="54"/>
  <c r="AW144" i="54"/>
  <c r="AV144" i="54"/>
  <c r="AU144" i="54"/>
  <c r="AU146" i="54" s="1"/>
  <c r="AT144" i="54"/>
  <c r="AS144" i="54"/>
  <c r="AR144" i="54"/>
  <c r="AQ144" i="54"/>
  <c r="AP144" i="54"/>
  <c r="AO144" i="54"/>
  <c r="AN144" i="54"/>
  <c r="AM144" i="54"/>
  <c r="AM146" i="54" s="1"/>
  <c r="AL144" i="54"/>
  <c r="AK144" i="54"/>
  <c r="AJ144" i="54"/>
  <c r="AI144" i="54"/>
  <c r="AH144" i="54"/>
  <c r="AG144" i="54"/>
  <c r="AF144" i="54"/>
  <c r="AE144" i="54"/>
  <c r="AE146" i="54" s="1"/>
  <c r="AD144" i="54"/>
  <c r="AC144" i="54"/>
  <c r="AB144" i="54"/>
  <c r="AA144" i="54"/>
  <c r="Z144" i="54"/>
  <c r="Y144" i="54"/>
  <c r="X144" i="54"/>
  <c r="W144" i="54"/>
  <c r="W146" i="54" s="1"/>
  <c r="V144" i="54"/>
  <c r="U144" i="54"/>
  <c r="T144" i="54"/>
  <c r="S144" i="54"/>
  <c r="R144" i="54"/>
  <c r="Q144" i="54"/>
  <c r="P144" i="54"/>
  <c r="O144" i="54"/>
  <c r="O146" i="54" s="1"/>
  <c r="N144" i="54"/>
  <c r="M144" i="54"/>
  <c r="L144" i="54"/>
  <c r="K144" i="54"/>
  <c r="J144" i="54"/>
  <c r="I144" i="54"/>
  <c r="H144" i="54"/>
  <c r="G144" i="54"/>
  <c r="G146" i="54" s="1"/>
  <c r="F144" i="54"/>
  <c r="VK132" i="54"/>
  <c r="VJ132" i="54"/>
  <c r="VI132" i="54"/>
  <c r="VH132" i="54"/>
  <c r="VG132" i="54"/>
  <c r="VF132" i="54"/>
  <c r="VE132" i="54"/>
  <c r="VD132" i="54"/>
  <c r="VC132" i="54"/>
  <c r="VB132" i="54"/>
  <c r="VA132" i="54"/>
  <c r="UZ132" i="54"/>
  <c r="UY132" i="54"/>
  <c r="UX132" i="54"/>
  <c r="UW132" i="54"/>
  <c r="UV132" i="54"/>
  <c r="UU132" i="54"/>
  <c r="UT132" i="54"/>
  <c r="US132" i="54"/>
  <c r="UR132" i="54"/>
  <c r="UQ132" i="54"/>
  <c r="UP132" i="54"/>
  <c r="UO132" i="54"/>
  <c r="UN132" i="54"/>
  <c r="UM132" i="54"/>
  <c r="UL132" i="54"/>
  <c r="UK132" i="54"/>
  <c r="UJ132" i="54"/>
  <c r="UI132" i="54"/>
  <c r="UH132" i="54"/>
  <c r="UG132" i="54"/>
  <c r="UF132" i="54"/>
  <c r="UE132" i="54"/>
  <c r="UD132" i="54"/>
  <c r="UC132" i="54"/>
  <c r="UB132" i="54"/>
  <c r="UA132" i="54"/>
  <c r="TZ132" i="54"/>
  <c r="TY132" i="54"/>
  <c r="TX132" i="54"/>
  <c r="TW132" i="54"/>
  <c r="TV132" i="54"/>
  <c r="TU132" i="54"/>
  <c r="TT132" i="54"/>
  <c r="TS132" i="54"/>
  <c r="TR132" i="54"/>
  <c r="TQ132" i="54"/>
  <c r="TP132" i="54"/>
  <c r="TO132" i="54"/>
  <c r="TN132" i="54"/>
  <c r="TM132" i="54"/>
  <c r="TL132" i="54"/>
  <c r="TK132" i="54"/>
  <c r="TJ132" i="54"/>
  <c r="TI132" i="54"/>
  <c r="TH132" i="54"/>
  <c r="TG132" i="54"/>
  <c r="TF132" i="54"/>
  <c r="TE132" i="54"/>
  <c r="TD132" i="54"/>
  <c r="TC132" i="54"/>
  <c r="TB132" i="54"/>
  <c r="TA132" i="54"/>
  <c r="SZ132" i="54"/>
  <c r="SY132" i="54"/>
  <c r="SX132" i="54"/>
  <c r="SW132" i="54"/>
  <c r="SV132" i="54"/>
  <c r="SU132" i="54"/>
  <c r="ST132" i="54"/>
  <c r="SS132" i="54"/>
  <c r="SR132" i="54"/>
  <c r="SQ132" i="54"/>
  <c r="SP132" i="54"/>
  <c r="SO132" i="54"/>
  <c r="SN132" i="54"/>
  <c r="SM132" i="54"/>
  <c r="SL132" i="54"/>
  <c r="SK132" i="54"/>
  <c r="SJ132" i="54"/>
  <c r="SI132" i="54"/>
  <c r="SH132" i="54"/>
  <c r="SG132" i="54"/>
  <c r="SF132" i="54"/>
  <c r="SE132" i="54"/>
  <c r="SD132" i="54"/>
  <c r="SC132" i="54"/>
  <c r="SB132" i="54"/>
  <c r="SA132" i="54"/>
  <c r="RZ132" i="54"/>
  <c r="RY132" i="54"/>
  <c r="RX132" i="54"/>
  <c r="RW132" i="54"/>
  <c r="RV132" i="54"/>
  <c r="RU132" i="54"/>
  <c r="RT132" i="54"/>
  <c r="RS132" i="54"/>
  <c r="RR132" i="54"/>
  <c r="RQ132" i="54"/>
  <c r="RP132" i="54"/>
  <c r="RO132" i="54"/>
  <c r="RN132" i="54"/>
  <c r="RM132" i="54"/>
  <c r="RL132" i="54"/>
  <c r="RK132" i="54"/>
  <c r="RJ132" i="54"/>
  <c r="RI132" i="54"/>
  <c r="RH132" i="54"/>
  <c r="RG132" i="54"/>
  <c r="RF132" i="54"/>
  <c r="RE132" i="54"/>
  <c r="RD132" i="54"/>
  <c r="RC132" i="54"/>
  <c r="RB132" i="54"/>
  <c r="RA132" i="54"/>
  <c r="QZ132" i="54"/>
  <c r="QY132" i="54"/>
  <c r="QX132" i="54"/>
  <c r="QW132" i="54"/>
  <c r="QV132" i="54"/>
  <c r="QU132" i="54"/>
  <c r="QT132" i="54"/>
  <c r="QS132" i="54"/>
  <c r="QR132" i="54"/>
  <c r="QQ132" i="54"/>
  <c r="QP132" i="54"/>
  <c r="QO132" i="54"/>
  <c r="QN132" i="54"/>
  <c r="QM132" i="54"/>
  <c r="QL132" i="54"/>
  <c r="QK132" i="54"/>
  <c r="QJ132" i="54"/>
  <c r="QI132" i="54"/>
  <c r="QH132" i="54"/>
  <c r="QG132" i="54"/>
  <c r="QF132" i="54"/>
  <c r="QE132" i="54"/>
  <c r="QD132" i="54"/>
  <c r="QC132" i="54"/>
  <c r="QB132" i="54"/>
  <c r="QA132" i="54"/>
  <c r="PZ132" i="54"/>
  <c r="PY132" i="54"/>
  <c r="PX132" i="54"/>
  <c r="PW132" i="54"/>
  <c r="PV132" i="54"/>
  <c r="PU132" i="54"/>
  <c r="PT132" i="54"/>
  <c r="PS132" i="54"/>
  <c r="PR132" i="54"/>
  <c r="PQ132" i="54"/>
  <c r="PP132" i="54"/>
  <c r="PO132" i="54"/>
  <c r="PN132" i="54"/>
  <c r="PM132" i="54"/>
  <c r="PL132" i="54"/>
  <c r="PK132" i="54"/>
  <c r="PJ132" i="54"/>
  <c r="PI132" i="54"/>
  <c r="PH132" i="54"/>
  <c r="PG132" i="54"/>
  <c r="PF132" i="54"/>
  <c r="PE132" i="54"/>
  <c r="PD132" i="54"/>
  <c r="PC132" i="54"/>
  <c r="PB132" i="54"/>
  <c r="PA132" i="54"/>
  <c r="OZ132" i="54"/>
  <c r="OY132" i="54"/>
  <c r="OX132" i="54"/>
  <c r="OW132" i="54"/>
  <c r="OV132" i="54"/>
  <c r="OU132" i="54"/>
  <c r="OT132" i="54"/>
  <c r="OS132" i="54"/>
  <c r="OR132" i="54"/>
  <c r="OQ132" i="54"/>
  <c r="OP132" i="54"/>
  <c r="OO132" i="54"/>
  <c r="ON132" i="54"/>
  <c r="OM132" i="54"/>
  <c r="OL132" i="54"/>
  <c r="OK132" i="54"/>
  <c r="OJ132" i="54"/>
  <c r="OI132" i="54"/>
  <c r="OH132" i="54"/>
  <c r="OG132" i="54"/>
  <c r="OF132" i="54"/>
  <c r="OE132" i="54"/>
  <c r="OD132" i="54"/>
  <c r="OC132" i="54"/>
  <c r="OB132" i="54"/>
  <c r="OA132" i="54"/>
  <c r="NZ132" i="54"/>
  <c r="NY132" i="54"/>
  <c r="NX132" i="54"/>
  <c r="NW132" i="54"/>
  <c r="NV132" i="54"/>
  <c r="NU132" i="54"/>
  <c r="NT132" i="54"/>
  <c r="NS132" i="54"/>
  <c r="NR132" i="54"/>
  <c r="NQ132" i="54"/>
  <c r="NP132" i="54"/>
  <c r="NO132" i="54"/>
  <c r="NN132" i="54"/>
  <c r="NM132" i="54"/>
  <c r="NL132" i="54"/>
  <c r="NK132" i="54"/>
  <c r="NJ132" i="54"/>
  <c r="NI132" i="54"/>
  <c r="NH132" i="54"/>
  <c r="NG132" i="54"/>
  <c r="NF132" i="54"/>
  <c r="NE132" i="54"/>
  <c r="ND132" i="54"/>
  <c r="NC132" i="54"/>
  <c r="NB132" i="54"/>
  <c r="NA132" i="54"/>
  <c r="MZ132" i="54"/>
  <c r="MY132" i="54"/>
  <c r="MX132" i="54"/>
  <c r="MW132" i="54"/>
  <c r="MV132" i="54"/>
  <c r="MU132" i="54"/>
  <c r="MT132" i="54"/>
  <c r="MS132" i="54"/>
  <c r="MR132" i="54"/>
  <c r="MQ132" i="54"/>
  <c r="MP132" i="54"/>
  <c r="MO132" i="54"/>
  <c r="MN132" i="54"/>
  <c r="MM132" i="54"/>
  <c r="ML132" i="54"/>
  <c r="MK132" i="54"/>
  <c r="MJ132" i="54"/>
  <c r="MI132" i="54"/>
  <c r="MH132" i="54"/>
  <c r="MG132" i="54"/>
  <c r="MF132" i="54"/>
  <c r="ME132" i="54"/>
  <c r="MD132" i="54"/>
  <c r="MC132" i="54"/>
  <c r="MB132" i="54"/>
  <c r="MA132" i="54"/>
  <c r="LZ132" i="54"/>
  <c r="LY132" i="54"/>
  <c r="LX132" i="54"/>
  <c r="LW132" i="54"/>
  <c r="LV132" i="54"/>
  <c r="LU132" i="54"/>
  <c r="LT132" i="54"/>
  <c r="LS132" i="54"/>
  <c r="LR132" i="54"/>
  <c r="LQ132" i="54"/>
  <c r="LP132" i="54"/>
  <c r="LO132" i="54"/>
  <c r="LN132" i="54"/>
  <c r="LM132" i="54"/>
  <c r="LL132" i="54"/>
  <c r="LK132" i="54"/>
  <c r="LJ132" i="54"/>
  <c r="LI132" i="54"/>
  <c r="LH132" i="54"/>
  <c r="LG132" i="54"/>
  <c r="LF132" i="54"/>
  <c r="LE132" i="54"/>
  <c r="LD132" i="54"/>
  <c r="LC132" i="54"/>
  <c r="LB132" i="54"/>
  <c r="LA132" i="54"/>
  <c r="KZ132" i="54"/>
  <c r="KY132" i="54"/>
  <c r="KX132" i="54"/>
  <c r="KW132" i="54"/>
  <c r="KV132" i="54"/>
  <c r="KU132" i="54"/>
  <c r="KT132" i="54"/>
  <c r="KS132" i="54"/>
  <c r="KR132" i="54"/>
  <c r="KQ132" i="54"/>
  <c r="KP132" i="54"/>
  <c r="KO132" i="54"/>
  <c r="KN132" i="54"/>
  <c r="KM132" i="54"/>
  <c r="KL132" i="54"/>
  <c r="KK132" i="54"/>
  <c r="KJ132" i="54"/>
  <c r="KI132" i="54"/>
  <c r="KH132" i="54"/>
  <c r="KG132" i="54"/>
  <c r="KF132" i="54"/>
  <c r="KE132" i="54"/>
  <c r="KD132" i="54"/>
  <c r="KC132" i="54"/>
  <c r="KB132" i="54"/>
  <c r="KA132" i="54"/>
  <c r="JZ132" i="54"/>
  <c r="JY132" i="54"/>
  <c r="JX132" i="54"/>
  <c r="JW132" i="54"/>
  <c r="JV132" i="54"/>
  <c r="JU132" i="54"/>
  <c r="JT132" i="54"/>
  <c r="JS132" i="54"/>
  <c r="JR132" i="54"/>
  <c r="JQ132" i="54"/>
  <c r="JP132" i="54"/>
  <c r="JO132" i="54"/>
  <c r="JN132" i="54"/>
  <c r="JM132" i="54"/>
  <c r="JL132" i="54"/>
  <c r="JK132" i="54"/>
  <c r="JJ132" i="54"/>
  <c r="JI132" i="54"/>
  <c r="JH132" i="54"/>
  <c r="JG132" i="54"/>
  <c r="JF132" i="54"/>
  <c r="JE132" i="54"/>
  <c r="JD132" i="54"/>
  <c r="JC132" i="54"/>
  <c r="JB132" i="54"/>
  <c r="JA132" i="54"/>
  <c r="IZ132" i="54"/>
  <c r="IY132" i="54"/>
  <c r="IX132" i="54"/>
  <c r="IW132" i="54"/>
  <c r="IV132" i="54"/>
  <c r="IU132" i="54"/>
  <c r="IT132" i="54"/>
  <c r="IS132" i="54"/>
  <c r="IR132" i="54"/>
  <c r="IQ132" i="54"/>
  <c r="IP132" i="54"/>
  <c r="IO132" i="54"/>
  <c r="IN132" i="54"/>
  <c r="IM132" i="54"/>
  <c r="IL132" i="54"/>
  <c r="IK132" i="54"/>
  <c r="IJ132" i="54"/>
  <c r="II132" i="54"/>
  <c r="IH132" i="54"/>
  <c r="IG132" i="54"/>
  <c r="IF132" i="54"/>
  <c r="IE132" i="54"/>
  <c r="ID132" i="54"/>
  <c r="IC132" i="54"/>
  <c r="IB132" i="54"/>
  <c r="IA132" i="54"/>
  <c r="HZ132" i="54"/>
  <c r="HY132" i="54"/>
  <c r="HX132" i="54"/>
  <c r="HW132" i="54"/>
  <c r="HV132" i="54"/>
  <c r="HU132" i="54"/>
  <c r="HT132" i="54"/>
  <c r="HS132" i="54"/>
  <c r="HR132" i="54"/>
  <c r="HQ132" i="54"/>
  <c r="HP132" i="54"/>
  <c r="HO132" i="54"/>
  <c r="HN132" i="54"/>
  <c r="HM132" i="54"/>
  <c r="HL132" i="54"/>
  <c r="HK132" i="54"/>
  <c r="HJ132" i="54"/>
  <c r="HI132" i="54"/>
  <c r="HH132" i="54"/>
  <c r="HG132" i="54"/>
  <c r="HF132" i="54"/>
  <c r="HE132" i="54"/>
  <c r="HD132" i="54"/>
  <c r="HC132" i="54"/>
  <c r="HB132" i="54"/>
  <c r="HA132" i="54"/>
  <c r="GZ132" i="54"/>
  <c r="GY132" i="54"/>
  <c r="GX132" i="54"/>
  <c r="GW132" i="54"/>
  <c r="GV132" i="54"/>
  <c r="GU132" i="54"/>
  <c r="GT132" i="54"/>
  <c r="GS132" i="54"/>
  <c r="GR132" i="54"/>
  <c r="GQ132" i="54"/>
  <c r="GP132" i="54"/>
  <c r="GO132" i="54"/>
  <c r="GN132" i="54"/>
  <c r="GM132" i="54"/>
  <c r="GL132" i="54"/>
  <c r="GK132" i="54"/>
  <c r="GJ132" i="54"/>
  <c r="GI132" i="54"/>
  <c r="GH132" i="54"/>
  <c r="GG132" i="54"/>
  <c r="GF132" i="54"/>
  <c r="GE132" i="54"/>
  <c r="GD132" i="54"/>
  <c r="GC132" i="54"/>
  <c r="GB132" i="54"/>
  <c r="GA132" i="54"/>
  <c r="FZ132" i="54"/>
  <c r="FY132" i="54"/>
  <c r="FX132" i="54"/>
  <c r="FW132" i="54"/>
  <c r="FV132" i="54"/>
  <c r="FU132" i="54"/>
  <c r="FT132" i="54"/>
  <c r="FS132" i="54"/>
  <c r="FR132" i="54"/>
  <c r="FQ132" i="54"/>
  <c r="FP132" i="54"/>
  <c r="FO132" i="54"/>
  <c r="FN132" i="54"/>
  <c r="FM132" i="54"/>
  <c r="FL132" i="54"/>
  <c r="FK132" i="54"/>
  <c r="FJ132" i="54"/>
  <c r="FI132" i="54"/>
  <c r="FH132" i="54"/>
  <c r="FG132" i="54"/>
  <c r="FF132" i="54"/>
  <c r="FE132" i="54"/>
  <c r="FD132" i="54"/>
  <c r="FC132" i="54"/>
  <c r="FB132" i="54"/>
  <c r="FA132" i="54"/>
  <c r="EZ132" i="54"/>
  <c r="EY132" i="54"/>
  <c r="EX132" i="54"/>
  <c r="EW132" i="54"/>
  <c r="EV132" i="54"/>
  <c r="EU132" i="54"/>
  <c r="ET132" i="54"/>
  <c r="ES132" i="54"/>
  <c r="ER132" i="54"/>
  <c r="EQ132" i="54"/>
  <c r="EP132" i="54"/>
  <c r="EO132" i="54"/>
  <c r="EN132" i="54"/>
  <c r="EM132" i="54"/>
  <c r="EL132" i="54"/>
  <c r="EK132" i="54"/>
  <c r="EJ132" i="54"/>
  <c r="EI132" i="54"/>
  <c r="EH132" i="54"/>
  <c r="EG132" i="54"/>
  <c r="EF132" i="54"/>
  <c r="EE132" i="54"/>
  <c r="ED132" i="54"/>
  <c r="EC132" i="54"/>
  <c r="EB132" i="54"/>
  <c r="EA132" i="54"/>
  <c r="DZ132" i="54"/>
  <c r="DY132" i="54"/>
  <c r="DX132" i="54"/>
  <c r="DW132" i="54"/>
  <c r="DV132" i="54"/>
  <c r="DU132" i="54"/>
  <c r="DT132" i="54"/>
  <c r="DS132" i="54"/>
  <c r="DR132" i="54"/>
  <c r="DQ132" i="54"/>
  <c r="DP132" i="54"/>
  <c r="DO132" i="54"/>
  <c r="DN132" i="54"/>
  <c r="DM132" i="54"/>
  <c r="DL132" i="54"/>
  <c r="DK132" i="54"/>
  <c r="DJ132" i="54"/>
  <c r="DI132" i="54"/>
  <c r="DH132" i="54"/>
  <c r="DG132" i="54"/>
  <c r="DF132" i="54"/>
  <c r="DE132" i="54"/>
  <c r="DD132" i="54"/>
  <c r="DC132" i="54"/>
  <c r="DB132" i="54"/>
  <c r="DA132" i="54"/>
  <c r="CZ132" i="54"/>
  <c r="CY132" i="54"/>
  <c r="CX132" i="54"/>
  <c r="CW132" i="54"/>
  <c r="CV132" i="54"/>
  <c r="CU132" i="54"/>
  <c r="CT132" i="54"/>
  <c r="CS132" i="54"/>
  <c r="CR132" i="54"/>
  <c r="CQ132" i="54"/>
  <c r="CP132" i="54"/>
  <c r="CO132" i="54"/>
  <c r="CN132" i="54"/>
  <c r="CM132" i="54"/>
  <c r="CL132" i="54"/>
  <c r="CK132" i="54"/>
  <c r="CJ132" i="54"/>
  <c r="CI132" i="54"/>
  <c r="CH132" i="54"/>
  <c r="CG132" i="54"/>
  <c r="CF132" i="54"/>
  <c r="CE132" i="54"/>
  <c r="CD132" i="54"/>
  <c r="CC132" i="54"/>
  <c r="CB132" i="54"/>
  <c r="CA132" i="54"/>
  <c r="BZ132" i="54"/>
  <c r="BY132" i="54"/>
  <c r="BX132" i="54"/>
  <c r="BW132" i="54"/>
  <c r="BV132" i="54"/>
  <c r="BU132" i="54"/>
  <c r="BT132" i="54"/>
  <c r="BS132" i="54"/>
  <c r="BR132" i="54"/>
  <c r="BQ132" i="54"/>
  <c r="BP132" i="54"/>
  <c r="BO132" i="54"/>
  <c r="BN132" i="54"/>
  <c r="BM132" i="54"/>
  <c r="BL132" i="54"/>
  <c r="BK132" i="54"/>
  <c r="BJ132" i="54"/>
  <c r="BI132" i="54"/>
  <c r="BH132" i="54"/>
  <c r="BG132" i="54"/>
  <c r="BF132" i="54"/>
  <c r="BE132" i="54"/>
  <c r="BD132" i="54"/>
  <c r="BC132" i="54"/>
  <c r="BB132" i="54"/>
  <c r="BA132" i="54"/>
  <c r="AZ132" i="54"/>
  <c r="AY132" i="54"/>
  <c r="AX132" i="54"/>
  <c r="AW132" i="54"/>
  <c r="AV132" i="54"/>
  <c r="AU132" i="54"/>
  <c r="AT132" i="54"/>
  <c r="AS132" i="54"/>
  <c r="AR132" i="54"/>
  <c r="AQ132" i="54"/>
  <c r="AP132" i="54"/>
  <c r="AO132" i="54"/>
  <c r="AN132" i="54"/>
  <c r="AM132" i="54"/>
  <c r="AL132" i="54"/>
  <c r="AK132" i="54"/>
  <c r="AJ132" i="54"/>
  <c r="AI132" i="54"/>
  <c r="AH132" i="54"/>
  <c r="AG132" i="54"/>
  <c r="AF132" i="54"/>
  <c r="AE132" i="54"/>
  <c r="AD132" i="54"/>
  <c r="AC132" i="54"/>
  <c r="AB132" i="54"/>
  <c r="AA132" i="54"/>
  <c r="Z132" i="54"/>
  <c r="Y132" i="54"/>
  <c r="X132" i="54"/>
  <c r="W132" i="54"/>
  <c r="V132" i="54"/>
  <c r="U132" i="54"/>
  <c r="T132" i="54"/>
  <c r="S132" i="54"/>
  <c r="R132" i="54"/>
  <c r="Q132" i="54"/>
  <c r="P132" i="54"/>
  <c r="O132" i="54"/>
  <c r="N132" i="54"/>
  <c r="M132" i="54"/>
  <c r="L132" i="54"/>
  <c r="K132" i="54"/>
  <c r="J132" i="54"/>
  <c r="I132" i="54"/>
  <c r="H132" i="54"/>
  <c r="G132" i="54"/>
  <c r="F132" i="54"/>
  <c r="VK131" i="54"/>
  <c r="VJ131" i="54"/>
  <c r="VI131" i="54"/>
  <c r="VH131" i="54"/>
  <c r="VG131" i="54"/>
  <c r="VF131" i="54"/>
  <c r="VE131" i="54"/>
  <c r="VD131" i="54"/>
  <c r="VC131" i="54"/>
  <c r="VB131" i="54"/>
  <c r="VA131" i="54"/>
  <c r="UZ131" i="54"/>
  <c r="UY131" i="54"/>
  <c r="UX131" i="54"/>
  <c r="UW131" i="54"/>
  <c r="UV131" i="54"/>
  <c r="UU131" i="54"/>
  <c r="UT131" i="54"/>
  <c r="US131" i="54"/>
  <c r="UR131" i="54"/>
  <c r="UQ131" i="54"/>
  <c r="UP131" i="54"/>
  <c r="UO131" i="54"/>
  <c r="UN131" i="54"/>
  <c r="UM131" i="54"/>
  <c r="UL131" i="54"/>
  <c r="UK131" i="54"/>
  <c r="UJ131" i="54"/>
  <c r="UI131" i="54"/>
  <c r="UH131" i="54"/>
  <c r="UG131" i="54"/>
  <c r="UF131" i="54"/>
  <c r="UE131" i="54"/>
  <c r="UD131" i="54"/>
  <c r="UC131" i="54"/>
  <c r="UB131" i="54"/>
  <c r="UA131" i="54"/>
  <c r="TZ131" i="54"/>
  <c r="TY131" i="54"/>
  <c r="TX131" i="54"/>
  <c r="TW131" i="54"/>
  <c r="TV131" i="54"/>
  <c r="TU131" i="54"/>
  <c r="TT131" i="54"/>
  <c r="TS131" i="54"/>
  <c r="TR131" i="54"/>
  <c r="TQ131" i="54"/>
  <c r="TP131" i="54"/>
  <c r="TO131" i="54"/>
  <c r="TN131" i="54"/>
  <c r="TM131" i="54"/>
  <c r="TL131" i="54"/>
  <c r="TK131" i="54"/>
  <c r="TJ131" i="54"/>
  <c r="TI131" i="54"/>
  <c r="TH131" i="54"/>
  <c r="TG131" i="54"/>
  <c r="TF131" i="54"/>
  <c r="TE131" i="54"/>
  <c r="TD131" i="54"/>
  <c r="TC131" i="54"/>
  <c r="TB131" i="54"/>
  <c r="TA131" i="54"/>
  <c r="SZ131" i="54"/>
  <c r="SY131" i="54"/>
  <c r="SX131" i="54"/>
  <c r="SW131" i="54"/>
  <c r="SV131" i="54"/>
  <c r="SU131" i="54"/>
  <c r="ST131" i="54"/>
  <c r="SS131" i="54"/>
  <c r="SR131" i="54"/>
  <c r="SQ131" i="54"/>
  <c r="SP131" i="54"/>
  <c r="SO131" i="54"/>
  <c r="SN131" i="54"/>
  <c r="SM131" i="54"/>
  <c r="SL131" i="54"/>
  <c r="SK131" i="54"/>
  <c r="SJ131" i="54"/>
  <c r="SI131" i="54"/>
  <c r="SH131" i="54"/>
  <c r="SG131" i="54"/>
  <c r="SF131" i="54"/>
  <c r="SE131" i="54"/>
  <c r="SD131" i="54"/>
  <c r="SC131" i="54"/>
  <c r="SB131" i="54"/>
  <c r="SA131" i="54"/>
  <c r="RZ131" i="54"/>
  <c r="RY131" i="54"/>
  <c r="RX131" i="54"/>
  <c r="RW131" i="54"/>
  <c r="RV131" i="54"/>
  <c r="RU131" i="54"/>
  <c r="RT131" i="54"/>
  <c r="RS131" i="54"/>
  <c r="RR131" i="54"/>
  <c r="RQ131" i="54"/>
  <c r="RP131" i="54"/>
  <c r="RO131" i="54"/>
  <c r="RN131" i="54"/>
  <c r="RM131" i="54"/>
  <c r="RL131" i="54"/>
  <c r="RK131" i="54"/>
  <c r="RJ131" i="54"/>
  <c r="RI131" i="54"/>
  <c r="RH131" i="54"/>
  <c r="RG131" i="54"/>
  <c r="RF131" i="54"/>
  <c r="RE131" i="54"/>
  <c r="RD131" i="54"/>
  <c r="RC131" i="54"/>
  <c r="RB131" i="54"/>
  <c r="RA131" i="54"/>
  <c r="QZ131" i="54"/>
  <c r="QY131" i="54"/>
  <c r="QX131" i="54"/>
  <c r="QW131" i="54"/>
  <c r="QV131" i="54"/>
  <c r="QU131" i="54"/>
  <c r="QT131" i="54"/>
  <c r="QS131" i="54"/>
  <c r="QR131" i="54"/>
  <c r="QQ131" i="54"/>
  <c r="QP131" i="54"/>
  <c r="QO131" i="54"/>
  <c r="QN131" i="54"/>
  <c r="QM131" i="54"/>
  <c r="QL131" i="54"/>
  <c r="QK131" i="54"/>
  <c r="QJ131" i="54"/>
  <c r="QI131" i="54"/>
  <c r="QH131" i="54"/>
  <c r="QG131" i="54"/>
  <c r="QF131" i="54"/>
  <c r="QE131" i="54"/>
  <c r="QD131" i="54"/>
  <c r="QC131" i="54"/>
  <c r="QB131" i="54"/>
  <c r="QA131" i="54"/>
  <c r="PZ131" i="54"/>
  <c r="PY131" i="54"/>
  <c r="PX131" i="54"/>
  <c r="PW131" i="54"/>
  <c r="PV131" i="54"/>
  <c r="PU131" i="54"/>
  <c r="PT131" i="54"/>
  <c r="PS131" i="54"/>
  <c r="PR131" i="54"/>
  <c r="PQ131" i="54"/>
  <c r="PP131" i="54"/>
  <c r="PO131" i="54"/>
  <c r="PN131" i="54"/>
  <c r="PM131" i="54"/>
  <c r="PL131" i="54"/>
  <c r="PK131" i="54"/>
  <c r="PJ131" i="54"/>
  <c r="PI131" i="54"/>
  <c r="PH131" i="54"/>
  <c r="PG131" i="54"/>
  <c r="PF131" i="54"/>
  <c r="PE131" i="54"/>
  <c r="PD131" i="54"/>
  <c r="PC131" i="54"/>
  <c r="PB131" i="54"/>
  <c r="PA131" i="54"/>
  <c r="OZ131" i="54"/>
  <c r="OY131" i="54"/>
  <c r="OX131" i="54"/>
  <c r="OW131" i="54"/>
  <c r="OV131" i="54"/>
  <c r="OU131" i="54"/>
  <c r="OT131" i="54"/>
  <c r="OS131" i="54"/>
  <c r="OR131" i="54"/>
  <c r="OQ131" i="54"/>
  <c r="OP131" i="54"/>
  <c r="OO131" i="54"/>
  <c r="ON131" i="54"/>
  <c r="OM131" i="54"/>
  <c r="OL131" i="54"/>
  <c r="OK131" i="54"/>
  <c r="OJ131" i="54"/>
  <c r="OI131" i="54"/>
  <c r="OH131" i="54"/>
  <c r="OG131" i="54"/>
  <c r="OF131" i="54"/>
  <c r="OE131" i="54"/>
  <c r="OD131" i="54"/>
  <c r="OC131" i="54"/>
  <c r="OB131" i="54"/>
  <c r="OA131" i="54"/>
  <c r="NZ131" i="54"/>
  <c r="NY131" i="54"/>
  <c r="NX131" i="54"/>
  <c r="NW131" i="54"/>
  <c r="NV131" i="54"/>
  <c r="NU131" i="54"/>
  <c r="NT131" i="54"/>
  <c r="NS131" i="54"/>
  <c r="NR131" i="54"/>
  <c r="NQ131" i="54"/>
  <c r="NP131" i="54"/>
  <c r="MX131" i="54"/>
  <c r="MW131" i="54"/>
  <c r="MV131" i="54"/>
  <c r="MU131" i="54"/>
  <c r="MT131" i="54"/>
  <c r="MS131" i="54"/>
  <c r="MR131" i="54"/>
  <c r="MQ131" i="54"/>
  <c r="MP131" i="54"/>
  <c r="MO131" i="54"/>
  <c r="MN131" i="54"/>
  <c r="MM131" i="54"/>
  <c r="ML131" i="54"/>
  <c r="MK131" i="54"/>
  <c r="MJ131" i="54"/>
  <c r="MI131" i="54"/>
  <c r="MH131" i="54"/>
  <c r="MG131" i="54"/>
  <c r="MF131" i="54"/>
  <c r="ME131" i="54"/>
  <c r="MD131" i="54"/>
  <c r="MC131" i="54"/>
  <c r="MB131" i="54"/>
  <c r="MA131" i="54"/>
  <c r="LZ131" i="54"/>
  <c r="LY131" i="54"/>
  <c r="LX131" i="54"/>
  <c r="LW131" i="54"/>
  <c r="LV131" i="54"/>
  <c r="LU131" i="54"/>
  <c r="LT131" i="54"/>
  <c r="LS131" i="54"/>
  <c r="LR131" i="54"/>
  <c r="LQ131" i="54"/>
  <c r="LP131" i="54"/>
  <c r="LO131" i="54"/>
  <c r="LN131" i="54"/>
  <c r="LM131" i="54"/>
  <c r="LL131" i="54"/>
  <c r="LK131" i="54"/>
  <c r="LJ131" i="54"/>
  <c r="LI131" i="54"/>
  <c r="LH131" i="54"/>
  <c r="LG131" i="54"/>
  <c r="LF131" i="54"/>
  <c r="LE131" i="54"/>
  <c r="LD131" i="54"/>
  <c r="LC131" i="54"/>
  <c r="LB131" i="54"/>
  <c r="LA131" i="54"/>
  <c r="KZ131" i="54"/>
  <c r="BU131" i="54"/>
  <c r="BT131" i="54"/>
  <c r="BS131" i="54"/>
  <c r="BR131" i="54"/>
  <c r="BQ131" i="54"/>
  <c r="BP131" i="54"/>
  <c r="BO131" i="54"/>
  <c r="BN131" i="54"/>
  <c r="BM131" i="54"/>
  <c r="BL131" i="54"/>
  <c r="BK131" i="54"/>
  <c r="BJ131" i="54"/>
  <c r="BI131" i="54"/>
  <c r="BH131" i="54"/>
  <c r="BG131" i="54"/>
  <c r="BF131" i="54"/>
  <c r="BE131" i="54"/>
  <c r="AM131" i="54"/>
  <c r="AL131" i="54"/>
  <c r="AK131" i="54"/>
  <c r="AJ131" i="54"/>
  <c r="AI131" i="54"/>
  <c r="AH131" i="54"/>
  <c r="AG131" i="54"/>
  <c r="AF131" i="54"/>
  <c r="AE131" i="54"/>
  <c r="AD131" i="54"/>
  <c r="AC131" i="54"/>
  <c r="AB131" i="54"/>
  <c r="AA131" i="54"/>
  <c r="Z131" i="54"/>
  <c r="Y131" i="54"/>
  <c r="X131" i="54"/>
  <c r="W131" i="54"/>
  <c r="VK117" i="54"/>
  <c r="VK118" i="54" s="1"/>
  <c r="VJ117" i="54"/>
  <c r="VJ118" i="54" s="1"/>
  <c r="VI117" i="54"/>
  <c r="VI118" i="54" s="1"/>
  <c r="VH117" i="54"/>
  <c r="VH118" i="54" s="1"/>
  <c r="VG117" i="54"/>
  <c r="VG118" i="54" s="1"/>
  <c r="VF117" i="54"/>
  <c r="VF118" i="54" s="1"/>
  <c r="VE117" i="54"/>
  <c r="VE118" i="54" s="1"/>
  <c r="VD117" i="54"/>
  <c r="VD118" i="54" s="1"/>
  <c r="VC117" i="54"/>
  <c r="VC118" i="54" s="1"/>
  <c r="VB117" i="54"/>
  <c r="VB118" i="54" s="1"/>
  <c r="VA117" i="54"/>
  <c r="VA118" i="54" s="1"/>
  <c r="UZ117" i="54"/>
  <c r="UZ118" i="54" s="1"/>
  <c r="UY117" i="54"/>
  <c r="UY118" i="54" s="1"/>
  <c r="UX117" i="54"/>
  <c r="UX118" i="54" s="1"/>
  <c r="UW117" i="54"/>
  <c r="UW118" i="54" s="1"/>
  <c r="UV117" i="54"/>
  <c r="UV118" i="54" s="1"/>
  <c r="UU117" i="54"/>
  <c r="UU118" i="54" s="1"/>
  <c r="UT117" i="54"/>
  <c r="UT118" i="54" s="1"/>
  <c r="US117" i="54"/>
  <c r="US118" i="54" s="1"/>
  <c r="UR117" i="54"/>
  <c r="UR118" i="54" s="1"/>
  <c r="UQ117" i="54"/>
  <c r="UQ118" i="54" s="1"/>
  <c r="UP117" i="54"/>
  <c r="UP118" i="54" s="1"/>
  <c r="UO117" i="54"/>
  <c r="UO118" i="54" s="1"/>
  <c r="UN117" i="54"/>
  <c r="UN118" i="54" s="1"/>
  <c r="UM117" i="54"/>
  <c r="UM118" i="54" s="1"/>
  <c r="UL117" i="54"/>
  <c r="UL118" i="54" s="1"/>
  <c r="UK117" i="54"/>
  <c r="UK118" i="54" s="1"/>
  <c r="UJ117" i="54"/>
  <c r="UJ118" i="54" s="1"/>
  <c r="UI117" i="54"/>
  <c r="UI118" i="54" s="1"/>
  <c r="UH117" i="54"/>
  <c r="UH118" i="54" s="1"/>
  <c r="UG117" i="54"/>
  <c r="UG118" i="54" s="1"/>
  <c r="UF117" i="54"/>
  <c r="UF118" i="54" s="1"/>
  <c r="UE117" i="54"/>
  <c r="UE118" i="54" s="1"/>
  <c r="UD117" i="54"/>
  <c r="UD118" i="54" s="1"/>
  <c r="UC117" i="54"/>
  <c r="UC118" i="54" s="1"/>
  <c r="UB117" i="54"/>
  <c r="UB118" i="54" s="1"/>
  <c r="UA117" i="54"/>
  <c r="UA118" i="54" s="1"/>
  <c r="TZ117" i="54"/>
  <c r="TZ118" i="54" s="1"/>
  <c r="TY117" i="54"/>
  <c r="TY118" i="54" s="1"/>
  <c r="TX117" i="54"/>
  <c r="TX118" i="54" s="1"/>
  <c r="TW117" i="54"/>
  <c r="TW118" i="54" s="1"/>
  <c r="TV117" i="54"/>
  <c r="TV118" i="54" s="1"/>
  <c r="TU117" i="54"/>
  <c r="TU118" i="54" s="1"/>
  <c r="TT117" i="54"/>
  <c r="TT118" i="54" s="1"/>
  <c r="TS117" i="54"/>
  <c r="TS118" i="54" s="1"/>
  <c r="TR117" i="54"/>
  <c r="TR118" i="54" s="1"/>
  <c r="TQ117" i="54"/>
  <c r="TQ118" i="54" s="1"/>
  <c r="TP117" i="54"/>
  <c r="TP118" i="54" s="1"/>
  <c r="TO117" i="54"/>
  <c r="TO118" i="54" s="1"/>
  <c r="TN117" i="54"/>
  <c r="TN118" i="54" s="1"/>
  <c r="TM117" i="54"/>
  <c r="TM118" i="54" s="1"/>
  <c r="TL117" i="54"/>
  <c r="TL118" i="54" s="1"/>
  <c r="TK117" i="54"/>
  <c r="TK118" i="54" s="1"/>
  <c r="TJ117" i="54"/>
  <c r="TJ118" i="54" s="1"/>
  <c r="TI117" i="54"/>
  <c r="TI118" i="54" s="1"/>
  <c r="TH117" i="54"/>
  <c r="TH118" i="54" s="1"/>
  <c r="TG117" i="54"/>
  <c r="TG118" i="54" s="1"/>
  <c r="TF117" i="54"/>
  <c r="TF118" i="54" s="1"/>
  <c r="TE117" i="54"/>
  <c r="TE118" i="54" s="1"/>
  <c r="TD117" i="54"/>
  <c r="TD118" i="54" s="1"/>
  <c r="TC117" i="54"/>
  <c r="TC118" i="54" s="1"/>
  <c r="TB117" i="54"/>
  <c r="TB118" i="54" s="1"/>
  <c r="TA117" i="54"/>
  <c r="TA118" i="54" s="1"/>
  <c r="SZ117" i="54"/>
  <c r="SZ118" i="54" s="1"/>
  <c r="SY117" i="54"/>
  <c r="SY118" i="54" s="1"/>
  <c r="SX117" i="54"/>
  <c r="SX118" i="54" s="1"/>
  <c r="SW117" i="54"/>
  <c r="SW118" i="54" s="1"/>
  <c r="SV117" i="54"/>
  <c r="SV118" i="54" s="1"/>
  <c r="SU117" i="54"/>
  <c r="SU118" i="54" s="1"/>
  <c r="ST117" i="54"/>
  <c r="ST118" i="54" s="1"/>
  <c r="SS117" i="54"/>
  <c r="SS118" i="54" s="1"/>
  <c r="SR117" i="54"/>
  <c r="SR118" i="54" s="1"/>
  <c r="SQ117" i="54"/>
  <c r="SQ118" i="54" s="1"/>
  <c r="SP117" i="54"/>
  <c r="SP118" i="54" s="1"/>
  <c r="SO117" i="54"/>
  <c r="SO118" i="54" s="1"/>
  <c r="SN117" i="54"/>
  <c r="SN118" i="54" s="1"/>
  <c r="SM117" i="54"/>
  <c r="SM118" i="54" s="1"/>
  <c r="SL117" i="54"/>
  <c r="SL118" i="54" s="1"/>
  <c r="SK117" i="54"/>
  <c r="SK118" i="54" s="1"/>
  <c r="SJ117" i="54"/>
  <c r="SJ118" i="54" s="1"/>
  <c r="SI117" i="54"/>
  <c r="SI118" i="54" s="1"/>
  <c r="SH117" i="54"/>
  <c r="SH118" i="54" s="1"/>
  <c r="SG117" i="54"/>
  <c r="SG118" i="54" s="1"/>
  <c r="SF117" i="54"/>
  <c r="SF118" i="54" s="1"/>
  <c r="SE117" i="54"/>
  <c r="SE118" i="54" s="1"/>
  <c r="SD117" i="54"/>
  <c r="SD118" i="54" s="1"/>
  <c r="SC117" i="54"/>
  <c r="SC118" i="54" s="1"/>
  <c r="SB117" i="54"/>
  <c r="SB118" i="54" s="1"/>
  <c r="SA117" i="54"/>
  <c r="SA118" i="54" s="1"/>
  <c r="RZ117" i="54"/>
  <c r="RZ118" i="54" s="1"/>
  <c r="RY117" i="54"/>
  <c r="RY118" i="54" s="1"/>
  <c r="RX117" i="54"/>
  <c r="RX118" i="54" s="1"/>
  <c r="RW117" i="54"/>
  <c r="RW118" i="54" s="1"/>
  <c r="RV117" i="54"/>
  <c r="RV118" i="54" s="1"/>
  <c r="RU117" i="54"/>
  <c r="RU118" i="54" s="1"/>
  <c r="RT117" i="54"/>
  <c r="RT118" i="54" s="1"/>
  <c r="RS117" i="54"/>
  <c r="RS118" i="54" s="1"/>
  <c r="RR117" i="54"/>
  <c r="RR118" i="54" s="1"/>
  <c r="RQ117" i="54"/>
  <c r="RQ118" i="54" s="1"/>
  <c r="RP117" i="54"/>
  <c r="RP118" i="54" s="1"/>
  <c r="RO117" i="54"/>
  <c r="RO118" i="54" s="1"/>
  <c r="RN117" i="54"/>
  <c r="RN118" i="54" s="1"/>
  <c r="RM117" i="54"/>
  <c r="RM118" i="54" s="1"/>
  <c r="RL117" i="54"/>
  <c r="RL118" i="54" s="1"/>
  <c r="RK117" i="54"/>
  <c r="RK118" i="54" s="1"/>
  <c r="RJ117" i="54"/>
  <c r="RJ118" i="54" s="1"/>
  <c r="RI117" i="54"/>
  <c r="RI118" i="54" s="1"/>
  <c r="RH117" i="54"/>
  <c r="RH118" i="54" s="1"/>
  <c r="RG117" i="54"/>
  <c r="RG118" i="54" s="1"/>
  <c r="RF117" i="54"/>
  <c r="RF118" i="54" s="1"/>
  <c r="RE117" i="54"/>
  <c r="RE118" i="54" s="1"/>
  <c r="RD117" i="54"/>
  <c r="RD118" i="54" s="1"/>
  <c r="RC117" i="54"/>
  <c r="RC118" i="54" s="1"/>
  <c r="RB117" i="54"/>
  <c r="RB118" i="54" s="1"/>
  <c r="RA117" i="54"/>
  <c r="RA118" i="54" s="1"/>
  <c r="QZ117" i="54"/>
  <c r="QZ118" i="54" s="1"/>
  <c r="QY117" i="54"/>
  <c r="QY118" i="54" s="1"/>
  <c r="QX117" i="54"/>
  <c r="QX118" i="54" s="1"/>
  <c r="QW117" i="54"/>
  <c r="QW118" i="54" s="1"/>
  <c r="QV117" i="54"/>
  <c r="QV118" i="54" s="1"/>
  <c r="QU117" i="54"/>
  <c r="QU118" i="54" s="1"/>
  <c r="QT117" i="54"/>
  <c r="QT118" i="54" s="1"/>
  <c r="QS117" i="54"/>
  <c r="QS118" i="54" s="1"/>
  <c r="QR117" i="54"/>
  <c r="QR118" i="54" s="1"/>
  <c r="QQ117" i="54"/>
  <c r="QQ118" i="54" s="1"/>
  <c r="QP117" i="54"/>
  <c r="QP118" i="54" s="1"/>
  <c r="QO117" i="54"/>
  <c r="QO118" i="54" s="1"/>
  <c r="QN117" i="54"/>
  <c r="QN118" i="54" s="1"/>
  <c r="QM117" i="54"/>
  <c r="QM118" i="54" s="1"/>
  <c r="QL117" i="54"/>
  <c r="QL118" i="54" s="1"/>
  <c r="QK117" i="54"/>
  <c r="QK118" i="54" s="1"/>
  <c r="QJ117" i="54"/>
  <c r="QJ118" i="54" s="1"/>
  <c r="QI117" i="54"/>
  <c r="QI118" i="54" s="1"/>
  <c r="QH117" i="54"/>
  <c r="QH118" i="54" s="1"/>
  <c r="QG117" i="54"/>
  <c r="QG118" i="54" s="1"/>
  <c r="QF117" i="54"/>
  <c r="QF118" i="54" s="1"/>
  <c r="QE117" i="54"/>
  <c r="QE118" i="54" s="1"/>
  <c r="QD117" i="54"/>
  <c r="QD118" i="54" s="1"/>
  <c r="QC117" i="54"/>
  <c r="QC118" i="54" s="1"/>
  <c r="QB117" i="54"/>
  <c r="QB118" i="54" s="1"/>
  <c r="QA117" i="54"/>
  <c r="QA118" i="54" s="1"/>
  <c r="PZ117" i="54"/>
  <c r="PZ118" i="54" s="1"/>
  <c r="PY117" i="54"/>
  <c r="PY118" i="54" s="1"/>
  <c r="PX117" i="54"/>
  <c r="PX118" i="54" s="1"/>
  <c r="PW117" i="54"/>
  <c r="PW118" i="54" s="1"/>
  <c r="PV117" i="54"/>
  <c r="PV118" i="54" s="1"/>
  <c r="PU117" i="54"/>
  <c r="PU118" i="54" s="1"/>
  <c r="PT117" i="54"/>
  <c r="PT118" i="54" s="1"/>
  <c r="PS117" i="54"/>
  <c r="PS118" i="54" s="1"/>
  <c r="PR117" i="54"/>
  <c r="PR118" i="54" s="1"/>
  <c r="PQ117" i="54"/>
  <c r="PQ118" i="54" s="1"/>
  <c r="PP117" i="54"/>
  <c r="PP118" i="54" s="1"/>
  <c r="PO117" i="54"/>
  <c r="PO118" i="54" s="1"/>
  <c r="PN117" i="54"/>
  <c r="PN118" i="54" s="1"/>
  <c r="PM117" i="54"/>
  <c r="PM118" i="54" s="1"/>
  <c r="PL117" i="54"/>
  <c r="PL118" i="54" s="1"/>
  <c r="PK117" i="54"/>
  <c r="PK118" i="54" s="1"/>
  <c r="PJ117" i="54"/>
  <c r="PJ118" i="54" s="1"/>
  <c r="PI117" i="54"/>
  <c r="PI118" i="54" s="1"/>
  <c r="PH117" i="54"/>
  <c r="PH118" i="54" s="1"/>
  <c r="PG117" i="54"/>
  <c r="PG118" i="54" s="1"/>
  <c r="PF117" i="54"/>
  <c r="PF118" i="54" s="1"/>
  <c r="PE117" i="54"/>
  <c r="PE118" i="54" s="1"/>
  <c r="PD117" i="54"/>
  <c r="PD118" i="54" s="1"/>
  <c r="PC117" i="54"/>
  <c r="PC118" i="54" s="1"/>
  <c r="PB117" i="54"/>
  <c r="PB118" i="54" s="1"/>
  <c r="PA117" i="54"/>
  <c r="PA118" i="54" s="1"/>
  <c r="OZ117" i="54"/>
  <c r="OZ118" i="54" s="1"/>
  <c r="OY117" i="54"/>
  <c r="OY118" i="54" s="1"/>
  <c r="OX117" i="54"/>
  <c r="OX118" i="54" s="1"/>
  <c r="OW117" i="54"/>
  <c r="OW118" i="54" s="1"/>
  <c r="OV117" i="54"/>
  <c r="OV118" i="54" s="1"/>
  <c r="OU117" i="54"/>
  <c r="OU118" i="54" s="1"/>
  <c r="OT117" i="54"/>
  <c r="OT118" i="54" s="1"/>
  <c r="OS117" i="54"/>
  <c r="OS118" i="54" s="1"/>
  <c r="OR117" i="54"/>
  <c r="OR118" i="54" s="1"/>
  <c r="OQ117" i="54"/>
  <c r="OQ118" i="54" s="1"/>
  <c r="OP117" i="54"/>
  <c r="OP118" i="54" s="1"/>
  <c r="OO117" i="54"/>
  <c r="OO118" i="54" s="1"/>
  <c r="ON117" i="54"/>
  <c r="ON118" i="54" s="1"/>
  <c r="OM117" i="54"/>
  <c r="OM118" i="54" s="1"/>
  <c r="OL117" i="54"/>
  <c r="OL118" i="54" s="1"/>
  <c r="OK117" i="54"/>
  <c r="OK118" i="54" s="1"/>
  <c r="OJ117" i="54"/>
  <c r="OJ118" i="54" s="1"/>
  <c r="OI117" i="54"/>
  <c r="OI118" i="54" s="1"/>
  <c r="OH117" i="54"/>
  <c r="OH118" i="54" s="1"/>
  <c r="OG117" i="54"/>
  <c r="OG118" i="54" s="1"/>
  <c r="OF117" i="54"/>
  <c r="OF118" i="54" s="1"/>
  <c r="OE117" i="54"/>
  <c r="OE118" i="54" s="1"/>
  <c r="OD117" i="54"/>
  <c r="OD118" i="54" s="1"/>
  <c r="OC117" i="54"/>
  <c r="OC118" i="54" s="1"/>
  <c r="OB117" i="54"/>
  <c r="OB118" i="54" s="1"/>
  <c r="OA117" i="54"/>
  <c r="OA118" i="54" s="1"/>
  <c r="NZ117" i="54"/>
  <c r="NZ118" i="54" s="1"/>
  <c r="NY117" i="54"/>
  <c r="NY118" i="54" s="1"/>
  <c r="NX117" i="54"/>
  <c r="NX118" i="54" s="1"/>
  <c r="NW117" i="54"/>
  <c r="NW118" i="54" s="1"/>
  <c r="NV117" i="54"/>
  <c r="NV118" i="54" s="1"/>
  <c r="NU117" i="54"/>
  <c r="NU118" i="54" s="1"/>
  <c r="NT117" i="54"/>
  <c r="NT118" i="54" s="1"/>
  <c r="NS117" i="54"/>
  <c r="NS118" i="54" s="1"/>
  <c r="NR117" i="54"/>
  <c r="NR118" i="54" s="1"/>
  <c r="NQ117" i="54"/>
  <c r="NQ118" i="54" s="1"/>
  <c r="NP117" i="54"/>
  <c r="NP118" i="54" s="1"/>
  <c r="NO117" i="54"/>
  <c r="NO118" i="54" s="1"/>
  <c r="NN117" i="54"/>
  <c r="NN118" i="54" s="1"/>
  <c r="NM117" i="54"/>
  <c r="NM118" i="54" s="1"/>
  <c r="NL117" i="54"/>
  <c r="NL118" i="54" s="1"/>
  <c r="NK117" i="54"/>
  <c r="NK118" i="54" s="1"/>
  <c r="NJ117" i="54"/>
  <c r="NJ118" i="54" s="1"/>
  <c r="NI117" i="54"/>
  <c r="NI118" i="54" s="1"/>
  <c r="NH117" i="54"/>
  <c r="NH118" i="54" s="1"/>
  <c r="NG117" i="54"/>
  <c r="NG118" i="54" s="1"/>
  <c r="NF117" i="54"/>
  <c r="NF118" i="54" s="1"/>
  <c r="NE117" i="54"/>
  <c r="NE118" i="54" s="1"/>
  <c r="ND117" i="54"/>
  <c r="ND118" i="54" s="1"/>
  <c r="NC117" i="54"/>
  <c r="NC118" i="54" s="1"/>
  <c r="NB117" i="54"/>
  <c r="NB118" i="54" s="1"/>
  <c r="NA117" i="54"/>
  <c r="NA118" i="54" s="1"/>
  <c r="MZ117" i="54"/>
  <c r="MZ118" i="54" s="1"/>
  <c r="MY117" i="54"/>
  <c r="MY118" i="54" s="1"/>
  <c r="MX117" i="54"/>
  <c r="MX118" i="54" s="1"/>
  <c r="MW117" i="54"/>
  <c r="MW118" i="54" s="1"/>
  <c r="MV117" i="54"/>
  <c r="MV118" i="54" s="1"/>
  <c r="MU117" i="54"/>
  <c r="MU118" i="54" s="1"/>
  <c r="MT117" i="54"/>
  <c r="MT118" i="54" s="1"/>
  <c r="MS117" i="54"/>
  <c r="MS118" i="54" s="1"/>
  <c r="MR117" i="54"/>
  <c r="MR118" i="54" s="1"/>
  <c r="MQ117" i="54"/>
  <c r="MQ118" i="54" s="1"/>
  <c r="MP117" i="54"/>
  <c r="MP118" i="54" s="1"/>
  <c r="MO117" i="54"/>
  <c r="MO118" i="54" s="1"/>
  <c r="MN117" i="54"/>
  <c r="MN118" i="54" s="1"/>
  <c r="MM117" i="54"/>
  <c r="MM118" i="54" s="1"/>
  <c r="ML117" i="54"/>
  <c r="ML118" i="54" s="1"/>
  <c r="MK117" i="54"/>
  <c r="MK118" i="54" s="1"/>
  <c r="MJ117" i="54"/>
  <c r="MJ118" i="54" s="1"/>
  <c r="MI117" i="54"/>
  <c r="MI118" i="54" s="1"/>
  <c r="MH117" i="54"/>
  <c r="MH118" i="54" s="1"/>
  <c r="MG117" i="54"/>
  <c r="MG118" i="54" s="1"/>
  <c r="MF117" i="54"/>
  <c r="MF118" i="54" s="1"/>
  <c r="ME117" i="54"/>
  <c r="ME118" i="54" s="1"/>
  <c r="MD117" i="54"/>
  <c r="MD118" i="54" s="1"/>
  <c r="MC117" i="54"/>
  <c r="MC118" i="54" s="1"/>
  <c r="MB117" i="54"/>
  <c r="MB118" i="54" s="1"/>
  <c r="MA117" i="54"/>
  <c r="MA118" i="54" s="1"/>
  <c r="LZ117" i="54"/>
  <c r="LZ118" i="54" s="1"/>
  <c r="LY117" i="54"/>
  <c r="LY118" i="54" s="1"/>
  <c r="LX117" i="54"/>
  <c r="LX118" i="54" s="1"/>
  <c r="LW117" i="54"/>
  <c r="LW118" i="54" s="1"/>
  <c r="LV117" i="54"/>
  <c r="LV118" i="54" s="1"/>
  <c r="LU117" i="54"/>
  <c r="LU118" i="54" s="1"/>
  <c r="LT117" i="54"/>
  <c r="LT118" i="54" s="1"/>
  <c r="LS117" i="54"/>
  <c r="LS118" i="54" s="1"/>
  <c r="LR117" i="54"/>
  <c r="LR118" i="54" s="1"/>
  <c r="LQ117" i="54"/>
  <c r="LQ118" i="54" s="1"/>
  <c r="LP117" i="54"/>
  <c r="LP118" i="54" s="1"/>
  <c r="LO117" i="54"/>
  <c r="LO118" i="54" s="1"/>
  <c r="LN117" i="54"/>
  <c r="LN118" i="54" s="1"/>
  <c r="LM117" i="54"/>
  <c r="LM118" i="54" s="1"/>
  <c r="LL117" i="54"/>
  <c r="LL118" i="54" s="1"/>
  <c r="LK117" i="54"/>
  <c r="LK118" i="54" s="1"/>
  <c r="LJ117" i="54"/>
  <c r="LJ118" i="54" s="1"/>
  <c r="LI117" i="54"/>
  <c r="LI118" i="54" s="1"/>
  <c r="LH117" i="54"/>
  <c r="LH118" i="54" s="1"/>
  <c r="LG117" i="54"/>
  <c r="LG118" i="54" s="1"/>
  <c r="LF117" i="54"/>
  <c r="LF118" i="54" s="1"/>
  <c r="LE117" i="54"/>
  <c r="LE118" i="54" s="1"/>
  <c r="LD117" i="54"/>
  <c r="LD118" i="54" s="1"/>
  <c r="LC117" i="54"/>
  <c r="LC118" i="54" s="1"/>
  <c r="LB117" i="54"/>
  <c r="LB118" i="54" s="1"/>
  <c r="LA117" i="54"/>
  <c r="LA118" i="54" s="1"/>
  <c r="KZ117" i="54"/>
  <c r="KZ118" i="54" s="1"/>
  <c r="KY117" i="54"/>
  <c r="KY118" i="54" s="1"/>
  <c r="KX117" i="54"/>
  <c r="KX118" i="54" s="1"/>
  <c r="KW117" i="54"/>
  <c r="KW118" i="54" s="1"/>
  <c r="KV117" i="54"/>
  <c r="KV118" i="54" s="1"/>
  <c r="KU117" i="54"/>
  <c r="KU118" i="54" s="1"/>
  <c r="KT117" i="54"/>
  <c r="KT118" i="54" s="1"/>
  <c r="KS117" i="54"/>
  <c r="KS118" i="54" s="1"/>
  <c r="KR117" i="54"/>
  <c r="KR118" i="54" s="1"/>
  <c r="KQ117" i="54"/>
  <c r="KQ118" i="54" s="1"/>
  <c r="KP117" i="54"/>
  <c r="KP118" i="54" s="1"/>
  <c r="KO117" i="54"/>
  <c r="KO118" i="54" s="1"/>
  <c r="KN117" i="54"/>
  <c r="KN118" i="54" s="1"/>
  <c r="KM117" i="54"/>
  <c r="KM118" i="54" s="1"/>
  <c r="KL117" i="54"/>
  <c r="KL118" i="54" s="1"/>
  <c r="KK117" i="54"/>
  <c r="KK118" i="54" s="1"/>
  <c r="KJ117" i="54"/>
  <c r="KJ118" i="54" s="1"/>
  <c r="KI117" i="54"/>
  <c r="KI118" i="54" s="1"/>
  <c r="KH117" i="54"/>
  <c r="KH118" i="54" s="1"/>
  <c r="KG117" i="54"/>
  <c r="KG118" i="54" s="1"/>
  <c r="KF117" i="54"/>
  <c r="KF118" i="54" s="1"/>
  <c r="KE117" i="54"/>
  <c r="KE118" i="54" s="1"/>
  <c r="KD117" i="54"/>
  <c r="KD118" i="54" s="1"/>
  <c r="KC117" i="54"/>
  <c r="KC118" i="54" s="1"/>
  <c r="KB117" i="54"/>
  <c r="KB118" i="54" s="1"/>
  <c r="KA117" i="54"/>
  <c r="KA118" i="54" s="1"/>
  <c r="JZ117" i="54"/>
  <c r="JZ118" i="54" s="1"/>
  <c r="JY117" i="54"/>
  <c r="JY118" i="54" s="1"/>
  <c r="JX117" i="54"/>
  <c r="JX118" i="54" s="1"/>
  <c r="JW117" i="54"/>
  <c r="JW118" i="54" s="1"/>
  <c r="JV117" i="54"/>
  <c r="JV118" i="54" s="1"/>
  <c r="JU117" i="54"/>
  <c r="JU118" i="54" s="1"/>
  <c r="JT117" i="54"/>
  <c r="JT118" i="54" s="1"/>
  <c r="JS117" i="54"/>
  <c r="JS118" i="54" s="1"/>
  <c r="JR117" i="54"/>
  <c r="JR118" i="54" s="1"/>
  <c r="JQ117" i="54"/>
  <c r="JQ118" i="54" s="1"/>
  <c r="JP117" i="54"/>
  <c r="JP118" i="54" s="1"/>
  <c r="JO117" i="54"/>
  <c r="JO118" i="54" s="1"/>
  <c r="JN117" i="54"/>
  <c r="JN118" i="54" s="1"/>
  <c r="JM117" i="54"/>
  <c r="JM118" i="54" s="1"/>
  <c r="JL117" i="54"/>
  <c r="JL118" i="54" s="1"/>
  <c r="JK117" i="54"/>
  <c r="JK118" i="54" s="1"/>
  <c r="JJ117" i="54"/>
  <c r="JJ118" i="54" s="1"/>
  <c r="JI117" i="54"/>
  <c r="JI118" i="54" s="1"/>
  <c r="JH117" i="54"/>
  <c r="JH118" i="54" s="1"/>
  <c r="JG117" i="54"/>
  <c r="JG118" i="54" s="1"/>
  <c r="JF117" i="54"/>
  <c r="JF118" i="54" s="1"/>
  <c r="JE117" i="54"/>
  <c r="JE118" i="54" s="1"/>
  <c r="JD117" i="54"/>
  <c r="JD118" i="54" s="1"/>
  <c r="JC117" i="54"/>
  <c r="JC118" i="54" s="1"/>
  <c r="JB117" i="54"/>
  <c r="JB118" i="54" s="1"/>
  <c r="JA117" i="54"/>
  <c r="JA118" i="54" s="1"/>
  <c r="IZ117" i="54"/>
  <c r="IZ118" i="54" s="1"/>
  <c r="IY117" i="54"/>
  <c r="IY118" i="54" s="1"/>
  <c r="IX117" i="54"/>
  <c r="IX118" i="54" s="1"/>
  <c r="IW117" i="54"/>
  <c r="IW118" i="54" s="1"/>
  <c r="IV117" i="54"/>
  <c r="IV118" i="54" s="1"/>
  <c r="IU117" i="54"/>
  <c r="IU118" i="54" s="1"/>
  <c r="IT117" i="54"/>
  <c r="IT118" i="54" s="1"/>
  <c r="IS117" i="54"/>
  <c r="IS118" i="54" s="1"/>
  <c r="IR117" i="54"/>
  <c r="IR118" i="54" s="1"/>
  <c r="IQ117" i="54"/>
  <c r="IQ118" i="54" s="1"/>
  <c r="IP117" i="54"/>
  <c r="IP118" i="54" s="1"/>
  <c r="IO117" i="54"/>
  <c r="IO118" i="54" s="1"/>
  <c r="IN117" i="54"/>
  <c r="IN118" i="54" s="1"/>
  <c r="IM117" i="54"/>
  <c r="IM118" i="54" s="1"/>
  <c r="IL117" i="54"/>
  <c r="IL118" i="54" s="1"/>
  <c r="IK117" i="54"/>
  <c r="IK118" i="54" s="1"/>
  <c r="IJ117" i="54"/>
  <c r="IJ118" i="54" s="1"/>
  <c r="II117" i="54"/>
  <c r="II118" i="54" s="1"/>
  <c r="IH117" i="54"/>
  <c r="IH118" i="54" s="1"/>
  <c r="IG117" i="54"/>
  <c r="IG118" i="54" s="1"/>
  <c r="IF117" i="54"/>
  <c r="IF118" i="54" s="1"/>
  <c r="IE117" i="54"/>
  <c r="IE118" i="54" s="1"/>
  <c r="ID117" i="54"/>
  <c r="ID118" i="54" s="1"/>
  <c r="IC117" i="54"/>
  <c r="IC118" i="54" s="1"/>
  <c r="IB117" i="54"/>
  <c r="IB118" i="54" s="1"/>
  <c r="IA117" i="54"/>
  <c r="IA118" i="54" s="1"/>
  <c r="HZ117" i="54"/>
  <c r="HZ118" i="54" s="1"/>
  <c r="HY117" i="54"/>
  <c r="HY118" i="54" s="1"/>
  <c r="HX117" i="54"/>
  <c r="HX118" i="54" s="1"/>
  <c r="HW117" i="54"/>
  <c r="HW118" i="54" s="1"/>
  <c r="HV117" i="54"/>
  <c r="HV118" i="54" s="1"/>
  <c r="HU117" i="54"/>
  <c r="HU118" i="54" s="1"/>
  <c r="HT117" i="54"/>
  <c r="HT118" i="54" s="1"/>
  <c r="HS117" i="54"/>
  <c r="HS118" i="54" s="1"/>
  <c r="HR117" i="54"/>
  <c r="HR118" i="54" s="1"/>
  <c r="HQ117" i="54"/>
  <c r="HQ118" i="54" s="1"/>
  <c r="HP117" i="54"/>
  <c r="HP118" i="54" s="1"/>
  <c r="HO117" i="54"/>
  <c r="HO118" i="54" s="1"/>
  <c r="HN117" i="54"/>
  <c r="HN118" i="54" s="1"/>
  <c r="HM117" i="54"/>
  <c r="HM118" i="54" s="1"/>
  <c r="HL117" i="54"/>
  <c r="HL118" i="54" s="1"/>
  <c r="HK117" i="54"/>
  <c r="HK118" i="54" s="1"/>
  <c r="HJ117" i="54"/>
  <c r="HJ118" i="54" s="1"/>
  <c r="HI117" i="54"/>
  <c r="HI118" i="54" s="1"/>
  <c r="HH117" i="54"/>
  <c r="HH118" i="54" s="1"/>
  <c r="HG117" i="54"/>
  <c r="HG118" i="54" s="1"/>
  <c r="HF117" i="54"/>
  <c r="HF118" i="54" s="1"/>
  <c r="HE117" i="54"/>
  <c r="HE118" i="54" s="1"/>
  <c r="HD117" i="54"/>
  <c r="HD118" i="54" s="1"/>
  <c r="HC117" i="54"/>
  <c r="HC118" i="54" s="1"/>
  <c r="HB117" i="54"/>
  <c r="HB118" i="54" s="1"/>
  <c r="HA117" i="54"/>
  <c r="HA118" i="54" s="1"/>
  <c r="GZ117" i="54"/>
  <c r="GZ118" i="54" s="1"/>
  <c r="GY117" i="54"/>
  <c r="GY118" i="54" s="1"/>
  <c r="GX117" i="54"/>
  <c r="GX118" i="54" s="1"/>
  <c r="GW117" i="54"/>
  <c r="GW118" i="54" s="1"/>
  <c r="GV117" i="54"/>
  <c r="GV118" i="54" s="1"/>
  <c r="GU117" i="54"/>
  <c r="GU118" i="54" s="1"/>
  <c r="GT117" i="54"/>
  <c r="GT118" i="54" s="1"/>
  <c r="GS117" i="54"/>
  <c r="GS118" i="54" s="1"/>
  <c r="GR117" i="54"/>
  <c r="GR118" i="54" s="1"/>
  <c r="GQ117" i="54"/>
  <c r="GQ118" i="54" s="1"/>
  <c r="GP117" i="54"/>
  <c r="GP118" i="54" s="1"/>
  <c r="GO117" i="54"/>
  <c r="GO118" i="54" s="1"/>
  <c r="GN117" i="54"/>
  <c r="GN118" i="54" s="1"/>
  <c r="GM117" i="54"/>
  <c r="GM118" i="54" s="1"/>
  <c r="GL117" i="54"/>
  <c r="GL118" i="54" s="1"/>
  <c r="GK117" i="54"/>
  <c r="GK118" i="54" s="1"/>
  <c r="GJ117" i="54"/>
  <c r="GJ118" i="54" s="1"/>
  <c r="GI117" i="54"/>
  <c r="GI118" i="54" s="1"/>
  <c r="GH117" i="54"/>
  <c r="GH118" i="54" s="1"/>
  <c r="GG117" i="54"/>
  <c r="GG118" i="54" s="1"/>
  <c r="GF117" i="54"/>
  <c r="GF118" i="54" s="1"/>
  <c r="GE117" i="54"/>
  <c r="GE118" i="54" s="1"/>
  <c r="GD117" i="54"/>
  <c r="GD118" i="54" s="1"/>
  <c r="GC117" i="54"/>
  <c r="GC118" i="54" s="1"/>
  <c r="GB117" i="54"/>
  <c r="GB118" i="54" s="1"/>
  <c r="GA117" i="54"/>
  <c r="GA118" i="54" s="1"/>
  <c r="FZ117" i="54"/>
  <c r="FZ118" i="54" s="1"/>
  <c r="FY117" i="54"/>
  <c r="FY118" i="54" s="1"/>
  <c r="FX117" i="54"/>
  <c r="FX118" i="54" s="1"/>
  <c r="FW117" i="54"/>
  <c r="FW118" i="54" s="1"/>
  <c r="FV117" i="54"/>
  <c r="FV118" i="54" s="1"/>
  <c r="FU117" i="54"/>
  <c r="FU118" i="54" s="1"/>
  <c r="FT117" i="54"/>
  <c r="FT118" i="54" s="1"/>
  <c r="FS117" i="54"/>
  <c r="FS118" i="54" s="1"/>
  <c r="FR117" i="54"/>
  <c r="FR118" i="54" s="1"/>
  <c r="FQ117" i="54"/>
  <c r="FQ118" i="54" s="1"/>
  <c r="FP117" i="54"/>
  <c r="FP118" i="54" s="1"/>
  <c r="FO117" i="54"/>
  <c r="FO118" i="54" s="1"/>
  <c r="FN117" i="54"/>
  <c r="FN118" i="54" s="1"/>
  <c r="FM117" i="54"/>
  <c r="FM118" i="54" s="1"/>
  <c r="FL117" i="54"/>
  <c r="FL118" i="54" s="1"/>
  <c r="FK117" i="54"/>
  <c r="FK118" i="54" s="1"/>
  <c r="FJ117" i="54"/>
  <c r="FJ118" i="54" s="1"/>
  <c r="FI117" i="54"/>
  <c r="FI118" i="54" s="1"/>
  <c r="FH117" i="54"/>
  <c r="FH118" i="54" s="1"/>
  <c r="FG117" i="54"/>
  <c r="FG118" i="54" s="1"/>
  <c r="FF117" i="54"/>
  <c r="FF118" i="54" s="1"/>
  <c r="FE117" i="54"/>
  <c r="FE118" i="54" s="1"/>
  <c r="FD117" i="54"/>
  <c r="FD118" i="54" s="1"/>
  <c r="FC117" i="54"/>
  <c r="FC118" i="54" s="1"/>
  <c r="FB117" i="54"/>
  <c r="FB118" i="54" s="1"/>
  <c r="FA117" i="54"/>
  <c r="FA118" i="54" s="1"/>
  <c r="EZ117" i="54"/>
  <c r="EZ118" i="54" s="1"/>
  <c r="EY117" i="54"/>
  <c r="EY118" i="54" s="1"/>
  <c r="EX117" i="54"/>
  <c r="EX118" i="54" s="1"/>
  <c r="EW117" i="54"/>
  <c r="EW118" i="54" s="1"/>
  <c r="EV117" i="54"/>
  <c r="EV118" i="54" s="1"/>
  <c r="EU117" i="54"/>
  <c r="EU118" i="54" s="1"/>
  <c r="ET117" i="54"/>
  <c r="ET118" i="54" s="1"/>
  <c r="ES117" i="54"/>
  <c r="ES118" i="54" s="1"/>
  <c r="ER117" i="54"/>
  <c r="ER118" i="54" s="1"/>
  <c r="EQ117" i="54"/>
  <c r="EQ118" i="54" s="1"/>
  <c r="EP117" i="54"/>
  <c r="EP118" i="54" s="1"/>
  <c r="EO117" i="54"/>
  <c r="EO118" i="54" s="1"/>
  <c r="EN117" i="54"/>
  <c r="EN118" i="54" s="1"/>
  <c r="EM117" i="54"/>
  <c r="EM118" i="54" s="1"/>
  <c r="EL117" i="54"/>
  <c r="EL118" i="54" s="1"/>
  <c r="EK117" i="54"/>
  <c r="EK118" i="54" s="1"/>
  <c r="EJ117" i="54"/>
  <c r="EJ118" i="54" s="1"/>
  <c r="EI117" i="54"/>
  <c r="EI118" i="54" s="1"/>
  <c r="EH117" i="54"/>
  <c r="EH118" i="54" s="1"/>
  <c r="EG117" i="54"/>
  <c r="EG118" i="54" s="1"/>
  <c r="EF117" i="54"/>
  <c r="EF118" i="54" s="1"/>
  <c r="EE117" i="54"/>
  <c r="EE118" i="54" s="1"/>
  <c r="ED117" i="54"/>
  <c r="ED118" i="54" s="1"/>
  <c r="EC117" i="54"/>
  <c r="EC118" i="54" s="1"/>
  <c r="EB117" i="54"/>
  <c r="EB118" i="54" s="1"/>
  <c r="EA117" i="54"/>
  <c r="EA118" i="54" s="1"/>
  <c r="DZ117" i="54"/>
  <c r="DZ118" i="54" s="1"/>
  <c r="DY117" i="54"/>
  <c r="DY118" i="54" s="1"/>
  <c r="DX117" i="54"/>
  <c r="DX118" i="54" s="1"/>
  <c r="DW117" i="54"/>
  <c r="DW118" i="54" s="1"/>
  <c r="DV117" i="54"/>
  <c r="DV118" i="54" s="1"/>
  <c r="DU117" i="54"/>
  <c r="DU118" i="54" s="1"/>
  <c r="DT117" i="54"/>
  <c r="DT118" i="54" s="1"/>
  <c r="DS117" i="54"/>
  <c r="DS118" i="54" s="1"/>
  <c r="DR117" i="54"/>
  <c r="DR118" i="54" s="1"/>
  <c r="DQ117" i="54"/>
  <c r="DQ118" i="54" s="1"/>
  <c r="DP117" i="54"/>
  <c r="DP118" i="54" s="1"/>
  <c r="DO117" i="54"/>
  <c r="DO118" i="54" s="1"/>
  <c r="DN117" i="54"/>
  <c r="DN118" i="54" s="1"/>
  <c r="DM117" i="54"/>
  <c r="DM118" i="54" s="1"/>
  <c r="DL117" i="54"/>
  <c r="DL118" i="54" s="1"/>
  <c r="DK117" i="54"/>
  <c r="DK118" i="54" s="1"/>
  <c r="DJ117" i="54"/>
  <c r="DJ118" i="54" s="1"/>
  <c r="DI117" i="54"/>
  <c r="DI118" i="54" s="1"/>
  <c r="DH117" i="54"/>
  <c r="DH118" i="54" s="1"/>
  <c r="DG117" i="54"/>
  <c r="DG118" i="54" s="1"/>
  <c r="DF117" i="54"/>
  <c r="DF118" i="54" s="1"/>
  <c r="DE117" i="54"/>
  <c r="DE118" i="54" s="1"/>
  <c r="DD117" i="54"/>
  <c r="DD118" i="54" s="1"/>
  <c r="DC117" i="54"/>
  <c r="DC118" i="54" s="1"/>
  <c r="DB117" i="54"/>
  <c r="DB118" i="54" s="1"/>
  <c r="DA117" i="54"/>
  <c r="DA118" i="54" s="1"/>
  <c r="CZ117" i="54"/>
  <c r="CZ118" i="54" s="1"/>
  <c r="CY117" i="54"/>
  <c r="CY118" i="54" s="1"/>
  <c r="CX117" i="54"/>
  <c r="CX118" i="54" s="1"/>
  <c r="CW117" i="54"/>
  <c r="CW118" i="54" s="1"/>
  <c r="CV117" i="54"/>
  <c r="CV118" i="54" s="1"/>
  <c r="CU117" i="54"/>
  <c r="CU118" i="54" s="1"/>
  <c r="CT117" i="54"/>
  <c r="CT118" i="54" s="1"/>
  <c r="CS117" i="54"/>
  <c r="CS118" i="54" s="1"/>
  <c r="CR117" i="54"/>
  <c r="CR118" i="54" s="1"/>
  <c r="CQ117" i="54"/>
  <c r="CQ118" i="54" s="1"/>
  <c r="CP117" i="54"/>
  <c r="CP118" i="54" s="1"/>
  <c r="CO117" i="54"/>
  <c r="CO118" i="54" s="1"/>
  <c r="CN117" i="54"/>
  <c r="CN118" i="54" s="1"/>
  <c r="CM117" i="54"/>
  <c r="CM118" i="54" s="1"/>
  <c r="CL117" i="54"/>
  <c r="CL118" i="54" s="1"/>
  <c r="CK117" i="54"/>
  <c r="CK118" i="54" s="1"/>
  <c r="CJ117" i="54"/>
  <c r="CJ118" i="54" s="1"/>
  <c r="CI117" i="54"/>
  <c r="CI118" i="54" s="1"/>
  <c r="CH117" i="54"/>
  <c r="CH118" i="54" s="1"/>
  <c r="CG117" i="54"/>
  <c r="CG118" i="54" s="1"/>
  <c r="CF117" i="54"/>
  <c r="CF118" i="54" s="1"/>
  <c r="CE117" i="54"/>
  <c r="CE118" i="54" s="1"/>
  <c r="CD117" i="54"/>
  <c r="CD118" i="54" s="1"/>
  <c r="CC117" i="54"/>
  <c r="CC118" i="54" s="1"/>
  <c r="CB117" i="54"/>
  <c r="CB118" i="54" s="1"/>
  <c r="CA117" i="54"/>
  <c r="CA118" i="54" s="1"/>
  <c r="BZ117" i="54"/>
  <c r="BZ118" i="54" s="1"/>
  <c r="BY117" i="54"/>
  <c r="BY118" i="54" s="1"/>
  <c r="BX117" i="54"/>
  <c r="BX118" i="54" s="1"/>
  <c r="BW117" i="54"/>
  <c r="BW118" i="54" s="1"/>
  <c r="BV117" i="54"/>
  <c r="BV118" i="54" s="1"/>
  <c r="BU117" i="54"/>
  <c r="BU118" i="54" s="1"/>
  <c r="BT117" i="54"/>
  <c r="BT118" i="54" s="1"/>
  <c r="BS117" i="54"/>
  <c r="BS118" i="54" s="1"/>
  <c r="BR117" i="54"/>
  <c r="BR118" i="54" s="1"/>
  <c r="BQ117" i="54"/>
  <c r="BQ118" i="54" s="1"/>
  <c r="BP117" i="54"/>
  <c r="BP118" i="54" s="1"/>
  <c r="BO117" i="54"/>
  <c r="BO118" i="54" s="1"/>
  <c r="BN117" i="54"/>
  <c r="BN118" i="54" s="1"/>
  <c r="BM117" i="54"/>
  <c r="BM118" i="54" s="1"/>
  <c r="BL117" i="54"/>
  <c r="BL118" i="54" s="1"/>
  <c r="BK117" i="54"/>
  <c r="BK118" i="54" s="1"/>
  <c r="BJ117" i="54"/>
  <c r="BJ118" i="54" s="1"/>
  <c r="BI117" i="54"/>
  <c r="BI118" i="54" s="1"/>
  <c r="BH117" i="54"/>
  <c r="BH118" i="54" s="1"/>
  <c r="BG117" i="54"/>
  <c r="BG118" i="54" s="1"/>
  <c r="BF117" i="54"/>
  <c r="BF118" i="54" s="1"/>
  <c r="BE117" i="54"/>
  <c r="BE118" i="54" s="1"/>
  <c r="BD117" i="54"/>
  <c r="BD118" i="54" s="1"/>
  <c r="BC117" i="54"/>
  <c r="BC118" i="54" s="1"/>
  <c r="BB117" i="54"/>
  <c r="BB118" i="54" s="1"/>
  <c r="BA117" i="54"/>
  <c r="BA118" i="54" s="1"/>
  <c r="AZ117" i="54"/>
  <c r="AZ118" i="54" s="1"/>
  <c r="AY117" i="54"/>
  <c r="AY118" i="54" s="1"/>
  <c r="AX117" i="54"/>
  <c r="AX118" i="54" s="1"/>
  <c r="AW117" i="54"/>
  <c r="AW118" i="54" s="1"/>
  <c r="AV117" i="54"/>
  <c r="AV118" i="54" s="1"/>
  <c r="AU117" i="54"/>
  <c r="AU118" i="54" s="1"/>
  <c r="AT117" i="54"/>
  <c r="AT118" i="54" s="1"/>
  <c r="AS117" i="54"/>
  <c r="AS118" i="54" s="1"/>
  <c r="AR117" i="54"/>
  <c r="AR118" i="54" s="1"/>
  <c r="AQ117" i="54"/>
  <c r="AQ118" i="54" s="1"/>
  <c r="AP117" i="54"/>
  <c r="AP118" i="54" s="1"/>
  <c r="AO117" i="54"/>
  <c r="AO118" i="54" s="1"/>
  <c r="AN117" i="54"/>
  <c r="AN118" i="54" s="1"/>
  <c r="AM117" i="54"/>
  <c r="AM118" i="54" s="1"/>
  <c r="AL117" i="54"/>
  <c r="AL118" i="54" s="1"/>
  <c r="AK117" i="54"/>
  <c r="AK118" i="54" s="1"/>
  <c r="AJ117" i="54"/>
  <c r="AJ118" i="54" s="1"/>
  <c r="AI117" i="54"/>
  <c r="AI118" i="54" s="1"/>
  <c r="AH117" i="54"/>
  <c r="AH118" i="54" s="1"/>
  <c r="AG117" i="54"/>
  <c r="AG118" i="54" s="1"/>
  <c r="AF117" i="54"/>
  <c r="AF118" i="54" s="1"/>
  <c r="AE117" i="54"/>
  <c r="AE118" i="54" s="1"/>
  <c r="AD117" i="54"/>
  <c r="AD118" i="54" s="1"/>
  <c r="AC117" i="54"/>
  <c r="AC118" i="54" s="1"/>
  <c r="AB117" i="54"/>
  <c r="AB118" i="54" s="1"/>
  <c r="AA117" i="54"/>
  <c r="AA118" i="54" s="1"/>
  <c r="Z117" i="54"/>
  <c r="Z118" i="54" s="1"/>
  <c r="Y117" i="54"/>
  <c r="Y118" i="54" s="1"/>
  <c r="X117" i="54"/>
  <c r="X118" i="54" s="1"/>
  <c r="W117" i="54"/>
  <c r="W118" i="54" s="1"/>
  <c r="V117" i="54"/>
  <c r="V118" i="54" s="1"/>
  <c r="U117" i="54"/>
  <c r="U118" i="54" s="1"/>
  <c r="T117" i="54"/>
  <c r="T118" i="54" s="1"/>
  <c r="S117" i="54"/>
  <c r="S118" i="54" s="1"/>
  <c r="R117" i="54"/>
  <c r="R118" i="54" s="1"/>
  <c r="Q117" i="54"/>
  <c r="Q118" i="54" s="1"/>
  <c r="P117" i="54"/>
  <c r="P118" i="54" s="1"/>
  <c r="O117" i="54"/>
  <c r="O118" i="54" s="1"/>
  <c r="N117" i="54"/>
  <c r="N118" i="54" s="1"/>
  <c r="M117" i="54"/>
  <c r="M118" i="54" s="1"/>
  <c r="L117" i="54"/>
  <c r="L118" i="54" s="1"/>
  <c r="K117" i="54"/>
  <c r="K118" i="54" s="1"/>
  <c r="J117" i="54"/>
  <c r="J118" i="54" s="1"/>
  <c r="I117" i="54"/>
  <c r="I118" i="54" s="1"/>
  <c r="H117" i="54"/>
  <c r="H118" i="54" s="1"/>
  <c r="G117" i="54"/>
  <c r="G118" i="54" s="1"/>
  <c r="F117" i="54"/>
  <c r="F118" i="54" s="1"/>
  <c r="VK105" i="54"/>
  <c r="VJ105" i="54"/>
  <c r="VI105" i="54"/>
  <c r="VH105" i="54"/>
  <c r="VG105" i="54"/>
  <c r="VF105" i="54"/>
  <c r="VE105" i="54"/>
  <c r="VD105" i="54"/>
  <c r="VC105" i="54"/>
  <c r="VB105" i="54"/>
  <c r="VA105" i="54"/>
  <c r="UZ105" i="54"/>
  <c r="UY105" i="54"/>
  <c r="UX105" i="54"/>
  <c r="UW105" i="54"/>
  <c r="UV105" i="54"/>
  <c r="UU105" i="54"/>
  <c r="UT105" i="54"/>
  <c r="US105" i="54"/>
  <c r="UR105" i="54"/>
  <c r="UQ105" i="54"/>
  <c r="UP105" i="54"/>
  <c r="UO105" i="54"/>
  <c r="UN105" i="54"/>
  <c r="UM105" i="54"/>
  <c r="UL105" i="54"/>
  <c r="UK105" i="54"/>
  <c r="UJ105" i="54"/>
  <c r="UI105" i="54"/>
  <c r="UH105" i="54"/>
  <c r="UG105" i="54"/>
  <c r="UF105" i="54"/>
  <c r="UE105" i="54"/>
  <c r="UD105" i="54"/>
  <c r="UC105" i="54"/>
  <c r="UB105" i="54"/>
  <c r="UA105" i="54"/>
  <c r="TZ105" i="54"/>
  <c r="TY105" i="54"/>
  <c r="TX105" i="54"/>
  <c r="TW105" i="54"/>
  <c r="TV105" i="54"/>
  <c r="TU105" i="54"/>
  <c r="TT105" i="54"/>
  <c r="TS105" i="54"/>
  <c r="TR105" i="54"/>
  <c r="TQ105" i="54"/>
  <c r="TP105" i="54"/>
  <c r="TO105" i="54"/>
  <c r="TN105" i="54"/>
  <c r="TM105" i="54"/>
  <c r="TL105" i="54"/>
  <c r="TK105" i="54"/>
  <c r="TJ105" i="54"/>
  <c r="TI105" i="54"/>
  <c r="TH105" i="54"/>
  <c r="TG105" i="54"/>
  <c r="TF105" i="54"/>
  <c r="TE105" i="54"/>
  <c r="TD105" i="54"/>
  <c r="TC105" i="54"/>
  <c r="TB105" i="54"/>
  <c r="TA105" i="54"/>
  <c r="SZ105" i="54"/>
  <c r="SY105" i="54"/>
  <c r="SX105" i="54"/>
  <c r="SW105" i="54"/>
  <c r="SV105" i="54"/>
  <c r="SU105" i="54"/>
  <c r="ST105" i="54"/>
  <c r="SS105" i="54"/>
  <c r="SR105" i="54"/>
  <c r="SQ105" i="54"/>
  <c r="SP105" i="54"/>
  <c r="SO105" i="54"/>
  <c r="SN105" i="54"/>
  <c r="SM105" i="54"/>
  <c r="SL105" i="54"/>
  <c r="SK105" i="54"/>
  <c r="SJ105" i="54"/>
  <c r="SI105" i="54"/>
  <c r="SH105" i="54"/>
  <c r="SG105" i="54"/>
  <c r="SF105" i="54"/>
  <c r="SE105" i="54"/>
  <c r="SD105" i="54"/>
  <c r="SC105" i="54"/>
  <c r="SB105" i="54"/>
  <c r="SA105" i="54"/>
  <c r="RZ105" i="54"/>
  <c r="RY105" i="54"/>
  <c r="RX105" i="54"/>
  <c r="RW105" i="54"/>
  <c r="RV105" i="54"/>
  <c r="RU105" i="54"/>
  <c r="RT105" i="54"/>
  <c r="RS105" i="54"/>
  <c r="RR105" i="54"/>
  <c r="RQ105" i="54"/>
  <c r="RP105" i="54"/>
  <c r="RO105" i="54"/>
  <c r="RN105" i="54"/>
  <c r="RM105" i="54"/>
  <c r="RL105" i="54"/>
  <c r="RK105" i="54"/>
  <c r="RJ105" i="54"/>
  <c r="RI105" i="54"/>
  <c r="RH105" i="54"/>
  <c r="RG105" i="54"/>
  <c r="RF105" i="54"/>
  <c r="RE105" i="54"/>
  <c r="RD105" i="54"/>
  <c r="RC105" i="54"/>
  <c r="RB105" i="54"/>
  <c r="RA105" i="54"/>
  <c r="QZ105" i="54"/>
  <c r="QY105" i="54"/>
  <c r="QX105" i="54"/>
  <c r="QW105" i="54"/>
  <c r="QV105" i="54"/>
  <c r="QU105" i="54"/>
  <c r="QT105" i="54"/>
  <c r="QS105" i="54"/>
  <c r="QR105" i="54"/>
  <c r="QQ105" i="54"/>
  <c r="QP105" i="54"/>
  <c r="QO105" i="54"/>
  <c r="QN105" i="54"/>
  <c r="QM105" i="54"/>
  <c r="QL105" i="54"/>
  <c r="QK105" i="54"/>
  <c r="QJ105" i="54"/>
  <c r="QI105" i="54"/>
  <c r="QH105" i="54"/>
  <c r="QG105" i="54"/>
  <c r="QF105" i="54"/>
  <c r="QE105" i="54"/>
  <c r="QD105" i="54"/>
  <c r="QC105" i="54"/>
  <c r="QB105" i="54"/>
  <c r="QA105" i="54"/>
  <c r="PZ105" i="54"/>
  <c r="PY105" i="54"/>
  <c r="PX105" i="54"/>
  <c r="PW105" i="54"/>
  <c r="PV105" i="54"/>
  <c r="PU105" i="54"/>
  <c r="PT105" i="54"/>
  <c r="PS105" i="54"/>
  <c r="PR105" i="54"/>
  <c r="PQ105" i="54"/>
  <c r="PP105" i="54"/>
  <c r="PO105" i="54"/>
  <c r="PN105" i="54"/>
  <c r="PM105" i="54"/>
  <c r="PL105" i="54"/>
  <c r="PK105" i="54"/>
  <c r="PJ105" i="54"/>
  <c r="PI105" i="54"/>
  <c r="PH105" i="54"/>
  <c r="PG105" i="54"/>
  <c r="PF105" i="54"/>
  <c r="PE105" i="54"/>
  <c r="PD105" i="54"/>
  <c r="PC105" i="54"/>
  <c r="PB105" i="54"/>
  <c r="PA105" i="54"/>
  <c r="OZ105" i="54"/>
  <c r="OY105" i="54"/>
  <c r="OX105" i="54"/>
  <c r="OW105" i="54"/>
  <c r="OV105" i="54"/>
  <c r="OU105" i="54"/>
  <c r="OT105" i="54"/>
  <c r="OS105" i="54"/>
  <c r="OR105" i="54"/>
  <c r="OQ105" i="54"/>
  <c r="OP105" i="54"/>
  <c r="OO105" i="54"/>
  <c r="ON105" i="54"/>
  <c r="OM105" i="54"/>
  <c r="OL105" i="54"/>
  <c r="OK105" i="54"/>
  <c r="OJ105" i="54"/>
  <c r="OI105" i="54"/>
  <c r="OH105" i="54"/>
  <c r="OG105" i="54"/>
  <c r="OF105" i="54"/>
  <c r="OE105" i="54"/>
  <c r="OD105" i="54"/>
  <c r="OC105" i="54"/>
  <c r="OB105" i="54"/>
  <c r="OA105" i="54"/>
  <c r="NZ105" i="54"/>
  <c r="NY105" i="54"/>
  <c r="NX105" i="54"/>
  <c r="NW105" i="54"/>
  <c r="NV105" i="54"/>
  <c r="NU105" i="54"/>
  <c r="NT105" i="54"/>
  <c r="NS105" i="54"/>
  <c r="NR105" i="54"/>
  <c r="NQ105" i="54"/>
  <c r="NP105" i="54"/>
  <c r="NO105" i="54"/>
  <c r="NN105" i="54"/>
  <c r="NM105" i="54"/>
  <c r="NL105" i="54"/>
  <c r="NK105" i="54"/>
  <c r="NJ105" i="54"/>
  <c r="NI105" i="54"/>
  <c r="NH105" i="54"/>
  <c r="NG105" i="54"/>
  <c r="NF105" i="54"/>
  <c r="NE105" i="54"/>
  <c r="ND105" i="54"/>
  <c r="NC105" i="54"/>
  <c r="NB105" i="54"/>
  <c r="NA105" i="54"/>
  <c r="MZ105" i="54"/>
  <c r="MY105" i="54"/>
  <c r="MX105" i="54"/>
  <c r="MW105" i="54"/>
  <c r="MV105" i="54"/>
  <c r="MU105" i="54"/>
  <c r="MT105" i="54"/>
  <c r="MS105" i="54"/>
  <c r="MR105" i="54"/>
  <c r="MQ105" i="54"/>
  <c r="MP105" i="54"/>
  <c r="MO105" i="54"/>
  <c r="MN105" i="54"/>
  <c r="MM105" i="54"/>
  <c r="ML105" i="54"/>
  <c r="MK105" i="54"/>
  <c r="MJ105" i="54"/>
  <c r="MI105" i="54"/>
  <c r="MH105" i="54"/>
  <c r="MG105" i="54"/>
  <c r="MF105" i="54"/>
  <c r="ME105" i="54"/>
  <c r="MD105" i="54"/>
  <c r="MC105" i="54"/>
  <c r="MB105" i="54"/>
  <c r="MA105" i="54"/>
  <c r="LZ105" i="54"/>
  <c r="LY105" i="54"/>
  <c r="LX105" i="54"/>
  <c r="LW105" i="54"/>
  <c r="LV105" i="54"/>
  <c r="LU105" i="54"/>
  <c r="LT105" i="54"/>
  <c r="LS105" i="54"/>
  <c r="LR105" i="54"/>
  <c r="LQ105" i="54"/>
  <c r="LP105" i="54"/>
  <c r="LO105" i="54"/>
  <c r="LN105" i="54"/>
  <c r="LM105" i="54"/>
  <c r="LL105" i="54"/>
  <c r="LK105" i="54"/>
  <c r="LJ105" i="54"/>
  <c r="LI105" i="54"/>
  <c r="LH105" i="54"/>
  <c r="LG105" i="54"/>
  <c r="LF105" i="54"/>
  <c r="LE105" i="54"/>
  <c r="LD105" i="54"/>
  <c r="LC105" i="54"/>
  <c r="LB105" i="54"/>
  <c r="LA105" i="54"/>
  <c r="KZ105" i="54"/>
  <c r="KY105" i="54"/>
  <c r="KX105" i="54"/>
  <c r="KW105" i="54"/>
  <c r="KV105" i="54"/>
  <c r="KU105" i="54"/>
  <c r="KT105" i="54"/>
  <c r="KS105" i="54"/>
  <c r="KR105" i="54"/>
  <c r="KQ105" i="54"/>
  <c r="KP105" i="54"/>
  <c r="KO105" i="54"/>
  <c r="KN105" i="54"/>
  <c r="KM105" i="54"/>
  <c r="KL105" i="54"/>
  <c r="KK105" i="54"/>
  <c r="KJ105" i="54"/>
  <c r="KI105" i="54"/>
  <c r="KH105" i="54"/>
  <c r="KG105" i="54"/>
  <c r="KF105" i="54"/>
  <c r="KE105" i="54"/>
  <c r="KD105" i="54"/>
  <c r="KC105" i="54"/>
  <c r="KB105" i="54"/>
  <c r="KA105" i="54"/>
  <c r="JZ105" i="54"/>
  <c r="JY105" i="54"/>
  <c r="JX105" i="54"/>
  <c r="JW105" i="54"/>
  <c r="JV105" i="54"/>
  <c r="JU105" i="54"/>
  <c r="JT105" i="54"/>
  <c r="JS105" i="54"/>
  <c r="JR105" i="54"/>
  <c r="JQ105" i="54"/>
  <c r="JP105" i="54"/>
  <c r="JO105" i="54"/>
  <c r="JN105" i="54"/>
  <c r="JM105" i="54"/>
  <c r="JL105" i="54"/>
  <c r="JK105" i="54"/>
  <c r="JJ105" i="54"/>
  <c r="JI105" i="54"/>
  <c r="JH105" i="54"/>
  <c r="JG105" i="54"/>
  <c r="JF105" i="54"/>
  <c r="JE105" i="54"/>
  <c r="JD105" i="54"/>
  <c r="JC105" i="54"/>
  <c r="JB105" i="54"/>
  <c r="JA105" i="54"/>
  <c r="IZ105" i="54"/>
  <c r="IY105" i="54"/>
  <c r="IX105" i="54"/>
  <c r="IW105" i="54"/>
  <c r="IV105" i="54"/>
  <c r="IU105" i="54"/>
  <c r="IT105" i="54"/>
  <c r="IS105" i="54"/>
  <c r="IR105" i="54"/>
  <c r="IQ105" i="54"/>
  <c r="IP105" i="54"/>
  <c r="IO105" i="54"/>
  <c r="IN105" i="54"/>
  <c r="IM105" i="54"/>
  <c r="IL105" i="54"/>
  <c r="IK105" i="54"/>
  <c r="IJ105" i="54"/>
  <c r="II105" i="54"/>
  <c r="IH105" i="54"/>
  <c r="IG105" i="54"/>
  <c r="IF105" i="54"/>
  <c r="IE105" i="54"/>
  <c r="ID105" i="54"/>
  <c r="IC105" i="54"/>
  <c r="IB105" i="54"/>
  <c r="IA105" i="54"/>
  <c r="HZ105" i="54"/>
  <c r="HY105" i="54"/>
  <c r="HX105" i="54"/>
  <c r="HW105" i="54"/>
  <c r="HV105" i="54"/>
  <c r="HU105" i="54"/>
  <c r="HT105" i="54"/>
  <c r="HS105" i="54"/>
  <c r="HR105" i="54"/>
  <c r="HQ105" i="54"/>
  <c r="HP105" i="54"/>
  <c r="HO105" i="54"/>
  <c r="HN105" i="54"/>
  <c r="HM105" i="54"/>
  <c r="HL105" i="54"/>
  <c r="HK105" i="54"/>
  <c r="HJ105" i="54"/>
  <c r="HI105" i="54"/>
  <c r="HH105" i="54"/>
  <c r="HG105" i="54"/>
  <c r="HF105" i="54"/>
  <c r="HE105" i="54"/>
  <c r="HD105" i="54"/>
  <c r="HC105" i="54"/>
  <c r="HB105" i="54"/>
  <c r="HA105" i="54"/>
  <c r="GZ105" i="54"/>
  <c r="GY105" i="54"/>
  <c r="GX105" i="54"/>
  <c r="GW105" i="54"/>
  <c r="GV105" i="54"/>
  <c r="GU105" i="54"/>
  <c r="GT105" i="54"/>
  <c r="GS105" i="54"/>
  <c r="GR105" i="54"/>
  <c r="GQ105" i="54"/>
  <c r="GP105" i="54"/>
  <c r="GO105" i="54"/>
  <c r="GN105" i="54"/>
  <c r="GM105" i="54"/>
  <c r="GL105" i="54"/>
  <c r="GK105" i="54"/>
  <c r="GJ105" i="54"/>
  <c r="GI105" i="54"/>
  <c r="GH105" i="54"/>
  <c r="GG105" i="54"/>
  <c r="GF105" i="54"/>
  <c r="GE105" i="54"/>
  <c r="GD105" i="54"/>
  <c r="GC105" i="54"/>
  <c r="GB105" i="54"/>
  <c r="GA105" i="54"/>
  <c r="FZ105" i="54"/>
  <c r="FY105" i="54"/>
  <c r="FX105" i="54"/>
  <c r="FW105" i="54"/>
  <c r="FV105" i="54"/>
  <c r="FU105" i="54"/>
  <c r="FT105" i="54"/>
  <c r="FS105" i="54"/>
  <c r="FR105" i="54"/>
  <c r="FQ105" i="54"/>
  <c r="FP105" i="54"/>
  <c r="FO105" i="54"/>
  <c r="FN105" i="54"/>
  <c r="FM105" i="54"/>
  <c r="FL105" i="54"/>
  <c r="FK105" i="54"/>
  <c r="FJ105" i="54"/>
  <c r="FI105" i="54"/>
  <c r="FH105" i="54"/>
  <c r="FG105" i="54"/>
  <c r="FF105" i="54"/>
  <c r="FE105" i="54"/>
  <c r="FD105" i="54"/>
  <c r="FC105" i="54"/>
  <c r="FB105" i="54"/>
  <c r="FA105" i="54"/>
  <c r="EZ105" i="54"/>
  <c r="EY105" i="54"/>
  <c r="EX105" i="54"/>
  <c r="EW105" i="54"/>
  <c r="EV105" i="54"/>
  <c r="EU105" i="54"/>
  <c r="ET105" i="54"/>
  <c r="ES105" i="54"/>
  <c r="ER105" i="54"/>
  <c r="EQ105" i="54"/>
  <c r="EP105" i="54"/>
  <c r="EO105" i="54"/>
  <c r="EN105" i="54"/>
  <c r="EM105" i="54"/>
  <c r="EL105" i="54"/>
  <c r="EK105" i="54"/>
  <c r="EJ105" i="54"/>
  <c r="EI105" i="54"/>
  <c r="EH105" i="54"/>
  <c r="EG105" i="54"/>
  <c r="EF105" i="54"/>
  <c r="EE105" i="54"/>
  <c r="ED105" i="54"/>
  <c r="EC105" i="54"/>
  <c r="EB105" i="54"/>
  <c r="EA105" i="54"/>
  <c r="DZ105" i="54"/>
  <c r="DY105" i="54"/>
  <c r="DX105" i="54"/>
  <c r="DW105" i="54"/>
  <c r="DV105" i="54"/>
  <c r="DU105" i="54"/>
  <c r="DT105" i="54"/>
  <c r="DS105" i="54"/>
  <c r="DR105" i="54"/>
  <c r="DQ105" i="54"/>
  <c r="DP105" i="54"/>
  <c r="DO105" i="54"/>
  <c r="DN105" i="54"/>
  <c r="DM105" i="54"/>
  <c r="DL105" i="54"/>
  <c r="DK105" i="54"/>
  <c r="DJ105" i="54"/>
  <c r="DI105" i="54"/>
  <c r="DH105" i="54"/>
  <c r="DG105" i="54"/>
  <c r="DF105" i="54"/>
  <c r="DE105" i="54"/>
  <c r="DD105" i="54"/>
  <c r="DC105" i="54"/>
  <c r="DB105" i="54"/>
  <c r="DA105" i="54"/>
  <c r="CZ105" i="54"/>
  <c r="CY105" i="54"/>
  <c r="CX105" i="54"/>
  <c r="CW105" i="54"/>
  <c r="CV105" i="54"/>
  <c r="CU105" i="54"/>
  <c r="CT105" i="54"/>
  <c r="CS105" i="54"/>
  <c r="CR105" i="54"/>
  <c r="CQ105" i="54"/>
  <c r="CP105" i="54"/>
  <c r="CO105" i="54"/>
  <c r="CN105" i="54"/>
  <c r="CM105" i="54"/>
  <c r="CL105" i="54"/>
  <c r="CK105" i="54"/>
  <c r="CJ105" i="54"/>
  <c r="CI105" i="54"/>
  <c r="CH105" i="54"/>
  <c r="CG105" i="54"/>
  <c r="CF105" i="54"/>
  <c r="CE105" i="54"/>
  <c r="CD105" i="54"/>
  <c r="CC105" i="54"/>
  <c r="CB105" i="54"/>
  <c r="CA105" i="54"/>
  <c r="BZ105" i="54"/>
  <c r="BY105" i="54"/>
  <c r="BX105" i="54"/>
  <c r="BW105" i="54"/>
  <c r="BV105" i="54"/>
  <c r="BU105" i="54"/>
  <c r="BT105" i="54"/>
  <c r="BS105" i="54"/>
  <c r="BR105" i="54"/>
  <c r="BQ105" i="54"/>
  <c r="BP105" i="54"/>
  <c r="BO105" i="54"/>
  <c r="BN105" i="54"/>
  <c r="BM105" i="54"/>
  <c r="BL105" i="54"/>
  <c r="BK105" i="54"/>
  <c r="BJ105" i="54"/>
  <c r="BI105" i="54"/>
  <c r="BH105" i="54"/>
  <c r="BG105" i="54"/>
  <c r="BF105" i="54"/>
  <c r="BE105" i="54"/>
  <c r="BD105" i="54"/>
  <c r="BC105" i="54"/>
  <c r="BB105" i="54"/>
  <c r="BA105" i="54"/>
  <c r="AZ105" i="54"/>
  <c r="AY105" i="54"/>
  <c r="AX105" i="54"/>
  <c r="AW105" i="54"/>
  <c r="AV105" i="54"/>
  <c r="AU105" i="54"/>
  <c r="AT105" i="54"/>
  <c r="AS105" i="54"/>
  <c r="AR105" i="54"/>
  <c r="AQ105" i="54"/>
  <c r="AP105" i="54"/>
  <c r="AO105" i="54"/>
  <c r="AN105" i="54"/>
  <c r="AM105" i="54"/>
  <c r="AL105" i="54"/>
  <c r="AK105" i="54"/>
  <c r="AJ105" i="54"/>
  <c r="AI105" i="54"/>
  <c r="AH105" i="54"/>
  <c r="AG105" i="54"/>
  <c r="AF105" i="54"/>
  <c r="AE105" i="54"/>
  <c r="AD105" i="54"/>
  <c r="AC105" i="54"/>
  <c r="AB105" i="54"/>
  <c r="AA105" i="54"/>
  <c r="Z105" i="54"/>
  <c r="Y105" i="54"/>
  <c r="X105" i="54"/>
  <c r="W105" i="54"/>
  <c r="V105" i="54"/>
  <c r="U105" i="54"/>
  <c r="T105" i="54"/>
  <c r="S105" i="54"/>
  <c r="R105" i="54"/>
  <c r="Q105" i="54"/>
  <c r="P105" i="54"/>
  <c r="O105" i="54"/>
  <c r="N105" i="54"/>
  <c r="M105" i="54"/>
  <c r="L105" i="54"/>
  <c r="K105" i="54"/>
  <c r="J105" i="54"/>
  <c r="I105" i="54"/>
  <c r="H105" i="54"/>
  <c r="G105" i="54"/>
  <c r="F105" i="54"/>
  <c r="VK104" i="54"/>
  <c r="VJ104" i="54"/>
  <c r="VI104" i="54"/>
  <c r="VH104" i="54"/>
  <c r="VG104" i="54"/>
  <c r="VF104" i="54"/>
  <c r="VE104" i="54"/>
  <c r="VD104" i="54"/>
  <c r="VC104" i="54"/>
  <c r="VB104" i="54"/>
  <c r="VA104" i="54"/>
  <c r="UZ104" i="54"/>
  <c r="UY104" i="54"/>
  <c r="UX104" i="54"/>
  <c r="UW104" i="54"/>
  <c r="UV104" i="54"/>
  <c r="UU104" i="54"/>
  <c r="UT104" i="54"/>
  <c r="US104" i="54"/>
  <c r="UR104" i="54"/>
  <c r="UQ104" i="54"/>
  <c r="UP104" i="54"/>
  <c r="UO104" i="54"/>
  <c r="UN104" i="54"/>
  <c r="UM104" i="54"/>
  <c r="UL104" i="54"/>
  <c r="UK104" i="54"/>
  <c r="UJ104" i="54"/>
  <c r="UI104" i="54"/>
  <c r="UH104" i="54"/>
  <c r="UG104" i="54"/>
  <c r="UF104" i="54"/>
  <c r="UE104" i="54"/>
  <c r="UD104" i="54"/>
  <c r="UC104" i="54"/>
  <c r="UB104" i="54"/>
  <c r="UA104" i="54"/>
  <c r="TZ104" i="54"/>
  <c r="TY104" i="54"/>
  <c r="TX104" i="54"/>
  <c r="TW104" i="54"/>
  <c r="TV104" i="54"/>
  <c r="TU104" i="54"/>
  <c r="TT104" i="54"/>
  <c r="TS104" i="54"/>
  <c r="TR104" i="54"/>
  <c r="TQ104" i="54"/>
  <c r="TP104" i="54"/>
  <c r="TO104" i="54"/>
  <c r="TN104" i="54"/>
  <c r="TM104" i="54"/>
  <c r="TL104" i="54"/>
  <c r="TK104" i="54"/>
  <c r="TJ104" i="54"/>
  <c r="TI104" i="54"/>
  <c r="TH104" i="54"/>
  <c r="TG104" i="54"/>
  <c r="TF104" i="54"/>
  <c r="TE104" i="54"/>
  <c r="TD104" i="54"/>
  <c r="TC104" i="54"/>
  <c r="TB104" i="54"/>
  <c r="TA104" i="54"/>
  <c r="SZ104" i="54"/>
  <c r="SY104" i="54"/>
  <c r="SX104" i="54"/>
  <c r="SW104" i="54"/>
  <c r="SV104" i="54"/>
  <c r="SU104" i="54"/>
  <c r="ST104" i="54"/>
  <c r="SS104" i="54"/>
  <c r="SR104" i="54"/>
  <c r="SQ104" i="54"/>
  <c r="SP104" i="54"/>
  <c r="SO104" i="54"/>
  <c r="SN104" i="54"/>
  <c r="SM104" i="54"/>
  <c r="SL104" i="54"/>
  <c r="SK104" i="54"/>
  <c r="SJ104" i="54"/>
  <c r="SI104" i="54"/>
  <c r="SH104" i="54"/>
  <c r="SG104" i="54"/>
  <c r="SF104" i="54"/>
  <c r="SE104" i="54"/>
  <c r="SD104" i="54"/>
  <c r="SC104" i="54"/>
  <c r="SB104" i="54"/>
  <c r="SA104" i="54"/>
  <c r="RZ104" i="54"/>
  <c r="RY104" i="54"/>
  <c r="RX104" i="54"/>
  <c r="RW104" i="54"/>
  <c r="RV104" i="54"/>
  <c r="RU104" i="54"/>
  <c r="RT104" i="54"/>
  <c r="RS104" i="54"/>
  <c r="RR104" i="54"/>
  <c r="RQ104" i="54"/>
  <c r="RP104" i="54"/>
  <c r="RO104" i="54"/>
  <c r="RN104" i="54"/>
  <c r="RM104" i="54"/>
  <c r="RL104" i="54"/>
  <c r="RK104" i="54"/>
  <c r="RJ104" i="54"/>
  <c r="RI104" i="54"/>
  <c r="RH104" i="54"/>
  <c r="RG104" i="54"/>
  <c r="RF104" i="54"/>
  <c r="RE104" i="54"/>
  <c r="RD104" i="54"/>
  <c r="RC104" i="54"/>
  <c r="RB104" i="54"/>
  <c r="RA104" i="54"/>
  <c r="QZ104" i="54"/>
  <c r="QY104" i="54"/>
  <c r="QX104" i="54"/>
  <c r="QW104" i="54"/>
  <c r="QV104" i="54"/>
  <c r="QU104" i="54"/>
  <c r="QT104" i="54"/>
  <c r="QS104" i="54"/>
  <c r="QR104" i="54"/>
  <c r="QQ104" i="54"/>
  <c r="QP104" i="54"/>
  <c r="QO104" i="54"/>
  <c r="QN104" i="54"/>
  <c r="QM104" i="54"/>
  <c r="QL104" i="54"/>
  <c r="QK104" i="54"/>
  <c r="QJ104" i="54"/>
  <c r="QI104" i="54"/>
  <c r="QH104" i="54"/>
  <c r="QG104" i="54"/>
  <c r="QF104" i="54"/>
  <c r="QE104" i="54"/>
  <c r="QD104" i="54"/>
  <c r="QC104" i="54"/>
  <c r="QB104" i="54"/>
  <c r="QA104" i="54"/>
  <c r="PZ104" i="54"/>
  <c r="PY104" i="54"/>
  <c r="PX104" i="54"/>
  <c r="PW104" i="54"/>
  <c r="PV104" i="54"/>
  <c r="PU104" i="54"/>
  <c r="PT104" i="54"/>
  <c r="PS104" i="54"/>
  <c r="PR104" i="54"/>
  <c r="PQ104" i="54"/>
  <c r="PP104" i="54"/>
  <c r="PO104" i="54"/>
  <c r="PN104" i="54"/>
  <c r="PM104" i="54"/>
  <c r="PL104" i="54"/>
  <c r="PK104" i="54"/>
  <c r="PJ104" i="54"/>
  <c r="PI104" i="54"/>
  <c r="PH104" i="54"/>
  <c r="PG104" i="54"/>
  <c r="PF104" i="54"/>
  <c r="PE104" i="54"/>
  <c r="PD104" i="54"/>
  <c r="PC104" i="54"/>
  <c r="PB104" i="54"/>
  <c r="PA104" i="54"/>
  <c r="OZ104" i="54"/>
  <c r="OY104" i="54"/>
  <c r="OX104" i="54"/>
  <c r="OW104" i="54"/>
  <c r="OV104" i="54"/>
  <c r="OU104" i="54"/>
  <c r="OT104" i="54"/>
  <c r="OS104" i="54"/>
  <c r="OR104" i="54"/>
  <c r="OQ104" i="54"/>
  <c r="OP104" i="54"/>
  <c r="OO104" i="54"/>
  <c r="ON104" i="54"/>
  <c r="OM104" i="54"/>
  <c r="OL104" i="54"/>
  <c r="OK104" i="54"/>
  <c r="OJ104" i="54"/>
  <c r="OI104" i="54"/>
  <c r="OH104" i="54"/>
  <c r="OG104" i="54"/>
  <c r="OF104" i="54"/>
  <c r="OE104" i="54"/>
  <c r="OD104" i="54"/>
  <c r="OC104" i="54"/>
  <c r="OB104" i="54"/>
  <c r="OA104" i="54"/>
  <c r="NZ104" i="54"/>
  <c r="NY104" i="54"/>
  <c r="NX104" i="54"/>
  <c r="NW104" i="54"/>
  <c r="NV104" i="54"/>
  <c r="NU104" i="54"/>
  <c r="NT104" i="54"/>
  <c r="NS104" i="54"/>
  <c r="NR104" i="54"/>
  <c r="NQ104" i="54"/>
  <c r="NP104" i="54"/>
  <c r="MX104" i="54"/>
  <c r="MW104" i="54"/>
  <c r="MV104" i="54"/>
  <c r="MU104" i="54"/>
  <c r="MT104" i="54"/>
  <c r="MS104" i="54"/>
  <c r="MR104" i="54"/>
  <c r="MQ104" i="54"/>
  <c r="MP104" i="54"/>
  <c r="MO104" i="54"/>
  <c r="MN104" i="54"/>
  <c r="MM104" i="54"/>
  <c r="ML104" i="54"/>
  <c r="MK104" i="54"/>
  <c r="MJ104" i="54"/>
  <c r="MI104" i="54"/>
  <c r="MH104" i="54"/>
  <c r="MG104" i="54"/>
  <c r="MF104" i="54"/>
  <c r="ME104" i="54"/>
  <c r="MD104" i="54"/>
  <c r="MC104" i="54"/>
  <c r="MB104" i="54"/>
  <c r="MA104" i="54"/>
  <c r="LZ104" i="54"/>
  <c r="LY104" i="54"/>
  <c r="LX104" i="54"/>
  <c r="LW104" i="54"/>
  <c r="LV104" i="54"/>
  <c r="LU104" i="54"/>
  <c r="LT104" i="54"/>
  <c r="LS104" i="54"/>
  <c r="LR104" i="54"/>
  <c r="LQ104" i="54"/>
  <c r="LP104" i="54"/>
  <c r="LO104" i="54"/>
  <c r="LN104" i="54"/>
  <c r="LM104" i="54"/>
  <c r="LL104" i="54"/>
  <c r="LK104" i="54"/>
  <c r="LJ104" i="54"/>
  <c r="LI104" i="54"/>
  <c r="LH104" i="54"/>
  <c r="LG104" i="54"/>
  <c r="LF104" i="54"/>
  <c r="LE104" i="54"/>
  <c r="LD104" i="54"/>
  <c r="LC104" i="54"/>
  <c r="LB104" i="54"/>
  <c r="LA104" i="54"/>
  <c r="KZ104" i="54"/>
  <c r="KH104" i="54"/>
  <c r="KG104" i="54"/>
  <c r="KG106" i="54" s="1"/>
  <c r="KF104" i="54"/>
  <c r="KF106" i="54" s="1"/>
  <c r="KE104" i="54"/>
  <c r="KE106" i="54" s="1"/>
  <c r="KD104" i="54"/>
  <c r="KC104" i="54"/>
  <c r="KC106" i="54" s="1"/>
  <c r="KB104" i="54"/>
  <c r="KA104" i="54"/>
  <c r="JZ104" i="54"/>
  <c r="JY104" i="54"/>
  <c r="JY106" i="54" s="1"/>
  <c r="JX104" i="54"/>
  <c r="JX106" i="54" s="1"/>
  <c r="JW104" i="54"/>
  <c r="JW106" i="54" s="1"/>
  <c r="JV104" i="54"/>
  <c r="JU104" i="54"/>
  <c r="JU106" i="54" s="1"/>
  <c r="JT104" i="54"/>
  <c r="JS104" i="54"/>
  <c r="JR104" i="54"/>
  <c r="JQ104" i="54"/>
  <c r="JQ106" i="54" s="1"/>
  <c r="JP104" i="54"/>
  <c r="JP106" i="54" s="1"/>
  <c r="JO104" i="54"/>
  <c r="JO106" i="54" s="1"/>
  <c r="JN104" i="54"/>
  <c r="JN106" i="54" s="1"/>
  <c r="JM104" i="54"/>
  <c r="JM106" i="54" s="1"/>
  <c r="JL104" i="54"/>
  <c r="JK104" i="54"/>
  <c r="JJ104" i="54"/>
  <c r="JI104" i="54"/>
  <c r="JI106" i="54" s="1"/>
  <c r="JH104" i="54"/>
  <c r="JH106" i="54" s="1"/>
  <c r="JG104" i="54"/>
  <c r="JG106" i="54" s="1"/>
  <c r="JF104" i="54"/>
  <c r="JE104" i="54"/>
  <c r="JE106" i="54" s="1"/>
  <c r="JD104" i="54"/>
  <c r="JC104" i="54"/>
  <c r="JB104" i="54"/>
  <c r="JA104" i="54"/>
  <c r="JA106" i="54" s="1"/>
  <c r="BU104" i="54"/>
  <c r="BT104" i="54"/>
  <c r="BS104" i="54"/>
  <c r="BR104" i="54"/>
  <c r="BQ104" i="54"/>
  <c r="BP104" i="54"/>
  <c r="BO104" i="54"/>
  <c r="BN104" i="54"/>
  <c r="BM104" i="54"/>
  <c r="BL104" i="54"/>
  <c r="BK104" i="54"/>
  <c r="BJ104" i="54"/>
  <c r="BI104" i="54"/>
  <c r="BH104" i="54"/>
  <c r="BG104" i="54"/>
  <c r="BF104" i="54"/>
  <c r="BE104" i="54"/>
  <c r="BD104" i="54"/>
  <c r="BC104" i="54"/>
  <c r="BB104" i="54"/>
  <c r="BA104" i="54"/>
  <c r="AZ104" i="54"/>
  <c r="AY104" i="54"/>
  <c r="AX104" i="54"/>
  <c r="AW104" i="54"/>
  <c r="AV104" i="54"/>
  <c r="AU104" i="54"/>
  <c r="AT104" i="54"/>
  <c r="AS104" i="54"/>
  <c r="AR104" i="54"/>
  <c r="AQ104" i="54"/>
  <c r="AP104" i="54"/>
  <c r="AO104" i="54"/>
  <c r="AN104" i="54"/>
  <c r="AM104" i="54"/>
  <c r="AL104" i="54"/>
  <c r="AK104" i="54"/>
  <c r="AJ104" i="54"/>
  <c r="AI104" i="54"/>
  <c r="AH104" i="54"/>
  <c r="AG104" i="54"/>
  <c r="AF104" i="54"/>
  <c r="AE104" i="54"/>
  <c r="AD104" i="54"/>
  <c r="AC104" i="54"/>
  <c r="AB104" i="54"/>
  <c r="AA104" i="54"/>
  <c r="Z104" i="54"/>
  <c r="Y104" i="54"/>
  <c r="X104" i="54"/>
  <c r="W104" i="54"/>
  <c r="VK97" i="54"/>
  <c r="VK98" i="54" s="1"/>
  <c r="VJ97" i="54"/>
  <c r="VJ98" i="54" s="1"/>
  <c r="VI97" i="54"/>
  <c r="VI98" i="54" s="1"/>
  <c r="VH97" i="54"/>
  <c r="VH98" i="54" s="1"/>
  <c r="VG97" i="54"/>
  <c r="VG98" i="54" s="1"/>
  <c r="VF97" i="54"/>
  <c r="VF98" i="54" s="1"/>
  <c r="VE97" i="54"/>
  <c r="VE98" i="54" s="1"/>
  <c r="VD97" i="54"/>
  <c r="VD98" i="54" s="1"/>
  <c r="VC97" i="54"/>
  <c r="VC98" i="54" s="1"/>
  <c r="VB97" i="54"/>
  <c r="VB98" i="54" s="1"/>
  <c r="VA97" i="54"/>
  <c r="VA98" i="54" s="1"/>
  <c r="UZ97" i="54"/>
  <c r="UZ98" i="54" s="1"/>
  <c r="UY97" i="54"/>
  <c r="UY98" i="54" s="1"/>
  <c r="UX97" i="54"/>
  <c r="UX98" i="54" s="1"/>
  <c r="UW97" i="54"/>
  <c r="UW98" i="54" s="1"/>
  <c r="UV97" i="54"/>
  <c r="UV98" i="54" s="1"/>
  <c r="UU97" i="54"/>
  <c r="UU98" i="54" s="1"/>
  <c r="UT97" i="54"/>
  <c r="UT98" i="54" s="1"/>
  <c r="US97" i="54"/>
  <c r="US98" i="54" s="1"/>
  <c r="UR97" i="54"/>
  <c r="UR98" i="54" s="1"/>
  <c r="UQ97" i="54"/>
  <c r="UQ98" i="54" s="1"/>
  <c r="UP97" i="54"/>
  <c r="UP98" i="54" s="1"/>
  <c r="UO97" i="54"/>
  <c r="UO98" i="54" s="1"/>
  <c r="UN97" i="54"/>
  <c r="UN98" i="54" s="1"/>
  <c r="UM97" i="54"/>
  <c r="UM98" i="54" s="1"/>
  <c r="UL97" i="54"/>
  <c r="UL98" i="54" s="1"/>
  <c r="UK97" i="54"/>
  <c r="UK98" i="54" s="1"/>
  <c r="UJ97" i="54"/>
  <c r="UJ98" i="54" s="1"/>
  <c r="UI97" i="54"/>
  <c r="UI98" i="54" s="1"/>
  <c r="UH97" i="54"/>
  <c r="UH98" i="54" s="1"/>
  <c r="UG97" i="54"/>
  <c r="UG98" i="54" s="1"/>
  <c r="UF97" i="54"/>
  <c r="UF98" i="54" s="1"/>
  <c r="UE97" i="54"/>
  <c r="UE98" i="54" s="1"/>
  <c r="UD97" i="54"/>
  <c r="UD98" i="54" s="1"/>
  <c r="UC97" i="54"/>
  <c r="UC98" i="54" s="1"/>
  <c r="UB97" i="54"/>
  <c r="UB98" i="54" s="1"/>
  <c r="UA97" i="54"/>
  <c r="UA98" i="54" s="1"/>
  <c r="TZ97" i="54"/>
  <c r="TZ98" i="54" s="1"/>
  <c r="TY97" i="54"/>
  <c r="TY98" i="54" s="1"/>
  <c r="TX97" i="54"/>
  <c r="TX98" i="54" s="1"/>
  <c r="TW97" i="54"/>
  <c r="TW98" i="54" s="1"/>
  <c r="TV97" i="54"/>
  <c r="TV98" i="54" s="1"/>
  <c r="TU97" i="54"/>
  <c r="TU98" i="54" s="1"/>
  <c r="TT97" i="54"/>
  <c r="TT98" i="54" s="1"/>
  <c r="TS97" i="54"/>
  <c r="TS98" i="54" s="1"/>
  <c r="TR97" i="54"/>
  <c r="TR98" i="54" s="1"/>
  <c r="TQ97" i="54"/>
  <c r="TQ98" i="54" s="1"/>
  <c r="TP97" i="54"/>
  <c r="TP98" i="54" s="1"/>
  <c r="TO97" i="54"/>
  <c r="TO98" i="54" s="1"/>
  <c r="TN97" i="54"/>
  <c r="TN98" i="54" s="1"/>
  <c r="TM97" i="54"/>
  <c r="TM98" i="54" s="1"/>
  <c r="TL97" i="54"/>
  <c r="TL98" i="54" s="1"/>
  <c r="TK97" i="54"/>
  <c r="TK98" i="54" s="1"/>
  <c r="TJ97" i="54"/>
  <c r="TJ98" i="54" s="1"/>
  <c r="TI97" i="54"/>
  <c r="TI98" i="54" s="1"/>
  <c r="TH97" i="54"/>
  <c r="TH98" i="54" s="1"/>
  <c r="TG97" i="54"/>
  <c r="TG98" i="54" s="1"/>
  <c r="TF97" i="54"/>
  <c r="TF98" i="54" s="1"/>
  <c r="TE97" i="54"/>
  <c r="TE98" i="54" s="1"/>
  <c r="TD97" i="54"/>
  <c r="TD98" i="54" s="1"/>
  <c r="TC97" i="54"/>
  <c r="TC98" i="54" s="1"/>
  <c r="TB97" i="54"/>
  <c r="TB98" i="54" s="1"/>
  <c r="TA97" i="54"/>
  <c r="TA98" i="54" s="1"/>
  <c r="SZ97" i="54"/>
  <c r="SZ98" i="54" s="1"/>
  <c r="SY97" i="54"/>
  <c r="SY98" i="54" s="1"/>
  <c r="SX97" i="54"/>
  <c r="SX98" i="54" s="1"/>
  <c r="SW97" i="54"/>
  <c r="SW98" i="54" s="1"/>
  <c r="SV97" i="54"/>
  <c r="SV98" i="54" s="1"/>
  <c r="SU97" i="54"/>
  <c r="SU98" i="54" s="1"/>
  <c r="ST97" i="54"/>
  <c r="ST98" i="54" s="1"/>
  <c r="SS97" i="54"/>
  <c r="SS98" i="54" s="1"/>
  <c r="SR97" i="54"/>
  <c r="SR98" i="54" s="1"/>
  <c r="SQ97" i="54"/>
  <c r="SQ98" i="54" s="1"/>
  <c r="SP97" i="54"/>
  <c r="SP98" i="54" s="1"/>
  <c r="SO97" i="54"/>
  <c r="SO98" i="54" s="1"/>
  <c r="SN97" i="54"/>
  <c r="SN98" i="54" s="1"/>
  <c r="SM97" i="54"/>
  <c r="SM98" i="54" s="1"/>
  <c r="SL97" i="54"/>
  <c r="SL98" i="54" s="1"/>
  <c r="SK97" i="54"/>
  <c r="SK98" i="54" s="1"/>
  <c r="SJ97" i="54"/>
  <c r="SJ98" i="54" s="1"/>
  <c r="SI97" i="54"/>
  <c r="SI98" i="54" s="1"/>
  <c r="SH97" i="54"/>
  <c r="SH98" i="54" s="1"/>
  <c r="SG97" i="54"/>
  <c r="SG98" i="54" s="1"/>
  <c r="SF97" i="54"/>
  <c r="SF98" i="54" s="1"/>
  <c r="SE97" i="54"/>
  <c r="SE98" i="54" s="1"/>
  <c r="SD97" i="54"/>
  <c r="SD98" i="54" s="1"/>
  <c r="SC97" i="54"/>
  <c r="SC98" i="54" s="1"/>
  <c r="SB97" i="54"/>
  <c r="SB98" i="54" s="1"/>
  <c r="SA97" i="54"/>
  <c r="SA98" i="54" s="1"/>
  <c r="RZ97" i="54"/>
  <c r="RZ98" i="54" s="1"/>
  <c r="RY97" i="54"/>
  <c r="RY98" i="54" s="1"/>
  <c r="RX97" i="54"/>
  <c r="RX98" i="54" s="1"/>
  <c r="RW97" i="54"/>
  <c r="RW98" i="54" s="1"/>
  <c r="RV97" i="54"/>
  <c r="RV98" i="54" s="1"/>
  <c r="RU97" i="54"/>
  <c r="RU98" i="54" s="1"/>
  <c r="RT97" i="54"/>
  <c r="RT98" i="54" s="1"/>
  <c r="RS97" i="54"/>
  <c r="RS98" i="54" s="1"/>
  <c r="RR97" i="54"/>
  <c r="RR98" i="54" s="1"/>
  <c r="RQ97" i="54"/>
  <c r="RQ98" i="54" s="1"/>
  <c r="RP97" i="54"/>
  <c r="RP98" i="54" s="1"/>
  <c r="RO97" i="54"/>
  <c r="RO98" i="54" s="1"/>
  <c r="RN97" i="54"/>
  <c r="RN98" i="54" s="1"/>
  <c r="RM97" i="54"/>
  <c r="RM98" i="54" s="1"/>
  <c r="RL97" i="54"/>
  <c r="RL98" i="54" s="1"/>
  <c r="RK97" i="54"/>
  <c r="RK98" i="54" s="1"/>
  <c r="RJ97" i="54"/>
  <c r="RJ98" i="54" s="1"/>
  <c r="RI97" i="54"/>
  <c r="RI98" i="54" s="1"/>
  <c r="RH97" i="54"/>
  <c r="RH98" i="54" s="1"/>
  <c r="RG97" i="54"/>
  <c r="RG98" i="54" s="1"/>
  <c r="RF97" i="54"/>
  <c r="RF98" i="54" s="1"/>
  <c r="RE97" i="54"/>
  <c r="RE98" i="54" s="1"/>
  <c r="RD97" i="54"/>
  <c r="RD98" i="54" s="1"/>
  <c r="RC97" i="54"/>
  <c r="RC98" i="54" s="1"/>
  <c r="RB97" i="54"/>
  <c r="RB98" i="54" s="1"/>
  <c r="RA97" i="54"/>
  <c r="RA98" i="54" s="1"/>
  <c r="QZ97" i="54"/>
  <c r="QZ98" i="54" s="1"/>
  <c r="QY97" i="54"/>
  <c r="QY98" i="54" s="1"/>
  <c r="QX97" i="54"/>
  <c r="QX98" i="54" s="1"/>
  <c r="QW97" i="54"/>
  <c r="QW98" i="54" s="1"/>
  <c r="QV97" i="54"/>
  <c r="QV98" i="54" s="1"/>
  <c r="QU97" i="54"/>
  <c r="QU98" i="54" s="1"/>
  <c r="QT97" i="54"/>
  <c r="QT98" i="54" s="1"/>
  <c r="QS97" i="54"/>
  <c r="QS98" i="54" s="1"/>
  <c r="QR97" i="54"/>
  <c r="QR98" i="54" s="1"/>
  <c r="QQ97" i="54"/>
  <c r="QQ98" i="54" s="1"/>
  <c r="QP97" i="54"/>
  <c r="QP98" i="54" s="1"/>
  <c r="QO97" i="54"/>
  <c r="QO98" i="54" s="1"/>
  <c r="QN97" i="54"/>
  <c r="QN98" i="54" s="1"/>
  <c r="QM97" i="54"/>
  <c r="QM98" i="54" s="1"/>
  <c r="QL97" i="54"/>
  <c r="QL98" i="54" s="1"/>
  <c r="QK97" i="54"/>
  <c r="QK98" i="54" s="1"/>
  <c r="QJ97" i="54"/>
  <c r="QJ98" i="54" s="1"/>
  <c r="QI97" i="54"/>
  <c r="QI98" i="54" s="1"/>
  <c r="QH97" i="54"/>
  <c r="QH98" i="54" s="1"/>
  <c r="QG97" i="54"/>
  <c r="QG98" i="54" s="1"/>
  <c r="QF97" i="54"/>
  <c r="QF98" i="54" s="1"/>
  <c r="QE97" i="54"/>
  <c r="QE98" i="54" s="1"/>
  <c r="QD97" i="54"/>
  <c r="QD98" i="54" s="1"/>
  <c r="QC97" i="54"/>
  <c r="QC98" i="54" s="1"/>
  <c r="QB97" i="54"/>
  <c r="QB98" i="54" s="1"/>
  <c r="QA97" i="54"/>
  <c r="QA98" i="54" s="1"/>
  <c r="PZ97" i="54"/>
  <c r="PZ98" i="54" s="1"/>
  <c r="PY97" i="54"/>
  <c r="PY98" i="54" s="1"/>
  <c r="PX97" i="54"/>
  <c r="PX98" i="54" s="1"/>
  <c r="PW97" i="54"/>
  <c r="PW98" i="54" s="1"/>
  <c r="PV97" i="54"/>
  <c r="PV98" i="54" s="1"/>
  <c r="PU97" i="54"/>
  <c r="PU98" i="54" s="1"/>
  <c r="PT97" i="54"/>
  <c r="PT98" i="54" s="1"/>
  <c r="PS97" i="54"/>
  <c r="PS98" i="54" s="1"/>
  <c r="PR97" i="54"/>
  <c r="PR98" i="54" s="1"/>
  <c r="PQ97" i="54"/>
  <c r="PQ98" i="54" s="1"/>
  <c r="PP97" i="54"/>
  <c r="PP98" i="54" s="1"/>
  <c r="PO97" i="54"/>
  <c r="PO98" i="54" s="1"/>
  <c r="PN97" i="54"/>
  <c r="PN98" i="54" s="1"/>
  <c r="PM97" i="54"/>
  <c r="PM98" i="54" s="1"/>
  <c r="PL97" i="54"/>
  <c r="PL98" i="54" s="1"/>
  <c r="PK97" i="54"/>
  <c r="PK98" i="54" s="1"/>
  <c r="PJ97" i="54"/>
  <c r="PJ98" i="54" s="1"/>
  <c r="PI97" i="54"/>
  <c r="PI98" i="54" s="1"/>
  <c r="PH97" i="54"/>
  <c r="PH98" i="54" s="1"/>
  <c r="PG97" i="54"/>
  <c r="PG98" i="54" s="1"/>
  <c r="PF97" i="54"/>
  <c r="PF98" i="54" s="1"/>
  <c r="PE97" i="54"/>
  <c r="PE98" i="54" s="1"/>
  <c r="PD97" i="54"/>
  <c r="PD98" i="54" s="1"/>
  <c r="PC97" i="54"/>
  <c r="PC98" i="54" s="1"/>
  <c r="PB97" i="54"/>
  <c r="PB98" i="54" s="1"/>
  <c r="PA97" i="54"/>
  <c r="PA98" i="54" s="1"/>
  <c r="OZ97" i="54"/>
  <c r="OZ98" i="54" s="1"/>
  <c r="OY97" i="54"/>
  <c r="OY98" i="54" s="1"/>
  <c r="OX97" i="54"/>
  <c r="OX98" i="54" s="1"/>
  <c r="OW97" i="54"/>
  <c r="OW98" i="54" s="1"/>
  <c r="OV97" i="54"/>
  <c r="OV98" i="54" s="1"/>
  <c r="OU97" i="54"/>
  <c r="OU98" i="54" s="1"/>
  <c r="OT97" i="54"/>
  <c r="OT98" i="54" s="1"/>
  <c r="OS97" i="54"/>
  <c r="OS98" i="54" s="1"/>
  <c r="OR97" i="54"/>
  <c r="OR98" i="54" s="1"/>
  <c r="OQ97" i="54"/>
  <c r="OQ98" i="54" s="1"/>
  <c r="OP97" i="54"/>
  <c r="OP98" i="54" s="1"/>
  <c r="OO97" i="54"/>
  <c r="OO98" i="54" s="1"/>
  <c r="ON97" i="54"/>
  <c r="ON98" i="54" s="1"/>
  <c r="OM97" i="54"/>
  <c r="OM98" i="54" s="1"/>
  <c r="OL97" i="54"/>
  <c r="OL98" i="54" s="1"/>
  <c r="OK97" i="54"/>
  <c r="OK98" i="54" s="1"/>
  <c r="OJ97" i="54"/>
  <c r="OJ98" i="54" s="1"/>
  <c r="OI97" i="54"/>
  <c r="OI98" i="54" s="1"/>
  <c r="OH97" i="54"/>
  <c r="OH98" i="54" s="1"/>
  <c r="OG97" i="54"/>
  <c r="OG98" i="54" s="1"/>
  <c r="OF97" i="54"/>
  <c r="OF98" i="54" s="1"/>
  <c r="OE97" i="54"/>
  <c r="OE98" i="54" s="1"/>
  <c r="OD97" i="54"/>
  <c r="OD98" i="54" s="1"/>
  <c r="OC97" i="54"/>
  <c r="OC98" i="54" s="1"/>
  <c r="OB97" i="54"/>
  <c r="OB98" i="54" s="1"/>
  <c r="OA97" i="54"/>
  <c r="OA98" i="54" s="1"/>
  <c r="NZ97" i="54"/>
  <c r="NZ98" i="54" s="1"/>
  <c r="NY97" i="54"/>
  <c r="NY98" i="54" s="1"/>
  <c r="NX97" i="54"/>
  <c r="NX98" i="54" s="1"/>
  <c r="NW97" i="54"/>
  <c r="NW98" i="54" s="1"/>
  <c r="NV97" i="54"/>
  <c r="NV98" i="54" s="1"/>
  <c r="NU97" i="54"/>
  <c r="NU98" i="54" s="1"/>
  <c r="NT97" i="54"/>
  <c r="NT98" i="54" s="1"/>
  <c r="NS97" i="54"/>
  <c r="NS98" i="54" s="1"/>
  <c r="NR97" i="54"/>
  <c r="NR98" i="54" s="1"/>
  <c r="NQ97" i="54"/>
  <c r="NQ98" i="54" s="1"/>
  <c r="NP97" i="54"/>
  <c r="NP98" i="54" s="1"/>
  <c r="NO97" i="54"/>
  <c r="NO98" i="54" s="1"/>
  <c r="NN97" i="54"/>
  <c r="NN98" i="54" s="1"/>
  <c r="NM97" i="54"/>
  <c r="NM98" i="54" s="1"/>
  <c r="NL97" i="54"/>
  <c r="NL98" i="54" s="1"/>
  <c r="NK97" i="54"/>
  <c r="NK98" i="54" s="1"/>
  <c r="NJ97" i="54"/>
  <c r="NJ98" i="54" s="1"/>
  <c r="NI97" i="54"/>
  <c r="NI98" i="54" s="1"/>
  <c r="NH97" i="54"/>
  <c r="NH98" i="54" s="1"/>
  <c r="NG97" i="54"/>
  <c r="NG98" i="54" s="1"/>
  <c r="NF97" i="54"/>
  <c r="NF98" i="54" s="1"/>
  <c r="NE97" i="54"/>
  <c r="NE98" i="54" s="1"/>
  <c r="ND97" i="54"/>
  <c r="ND98" i="54" s="1"/>
  <c r="NC97" i="54"/>
  <c r="NC98" i="54" s="1"/>
  <c r="NB97" i="54"/>
  <c r="NB98" i="54" s="1"/>
  <c r="NA97" i="54"/>
  <c r="NA98" i="54" s="1"/>
  <c r="MZ97" i="54"/>
  <c r="MZ98" i="54" s="1"/>
  <c r="MY97" i="54"/>
  <c r="MY98" i="54" s="1"/>
  <c r="MX97" i="54"/>
  <c r="MX98" i="54" s="1"/>
  <c r="MW97" i="54"/>
  <c r="MW98" i="54" s="1"/>
  <c r="MV97" i="54"/>
  <c r="MV98" i="54" s="1"/>
  <c r="MU97" i="54"/>
  <c r="MU98" i="54" s="1"/>
  <c r="MT97" i="54"/>
  <c r="MT98" i="54" s="1"/>
  <c r="MS97" i="54"/>
  <c r="MS98" i="54" s="1"/>
  <c r="MR97" i="54"/>
  <c r="MR98" i="54" s="1"/>
  <c r="MQ97" i="54"/>
  <c r="MQ98" i="54" s="1"/>
  <c r="MP97" i="54"/>
  <c r="MP98" i="54" s="1"/>
  <c r="MO97" i="54"/>
  <c r="MO98" i="54" s="1"/>
  <c r="MN97" i="54"/>
  <c r="MN98" i="54" s="1"/>
  <c r="MM97" i="54"/>
  <c r="MM98" i="54" s="1"/>
  <c r="ML97" i="54"/>
  <c r="ML98" i="54" s="1"/>
  <c r="MK97" i="54"/>
  <c r="MK98" i="54" s="1"/>
  <c r="MJ97" i="54"/>
  <c r="MJ98" i="54" s="1"/>
  <c r="MI97" i="54"/>
  <c r="MI98" i="54" s="1"/>
  <c r="MH97" i="54"/>
  <c r="MH98" i="54" s="1"/>
  <c r="MG97" i="54"/>
  <c r="MG98" i="54" s="1"/>
  <c r="MF97" i="54"/>
  <c r="MF98" i="54" s="1"/>
  <c r="ME97" i="54"/>
  <c r="ME98" i="54" s="1"/>
  <c r="MD97" i="54"/>
  <c r="MD98" i="54" s="1"/>
  <c r="MC97" i="54"/>
  <c r="MC98" i="54" s="1"/>
  <c r="MB97" i="54"/>
  <c r="MB98" i="54" s="1"/>
  <c r="MA97" i="54"/>
  <c r="MA98" i="54" s="1"/>
  <c r="LZ97" i="54"/>
  <c r="LZ98" i="54" s="1"/>
  <c r="LY97" i="54"/>
  <c r="LY98" i="54" s="1"/>
  <c r="LX97" i="54"/>
  <c r="LX98" i="54" s="1"/>
  <c r="LW97" i="54"/>
  <c r="LW98" i="54" s="1"/>
  <c r="LV97" i="54"/>
  <c r="LV98" i="54" s="1"/>
  <c r="LU97" i="54"/>
  <c r="LU98" i="54" s="1"/>
  <c r="LT97" i="54"/>
  <c r="LT98" i="54" s="1"/>
  <c r="LS97" i="54"/>
  <c r="LS98" i="54" s="1"/>
  <c r="LR97" i="54"/>
  <c r="LR98" i="54" s="1"/>
  <c r="LQ97" i="54"/>
  <c r="LQ98" i="54" s="1"/>
  <c r="LP97" i="54"/>
  <c r="LP98" i="54" s="1"/>
  <c r="LO97" i="54"/>
  <c r="LO98" i="54" s="1"/>
  <c r="LN97" i="54"/>
  <c r="LN98" i="54" s="1"/>
  <c r="LM97" i="54"/>
  <c r="LM98" i="54" s="1"/>
  <c r="LL97" i="54"/>
  <c r="LL98" i="54" s="1"/>
  <c r="LK97" i="54"/>
  <c r="LK98" i="54" s="1"/>
  <c r="LJ97" i="54"/>
  <c r="LJ98" i="54" s="1"/>
  <c r="LI97" i="54"/>
  <c r="LI98" i="54" s="1"/>
  <c r="LH97" i="54"/>
  <c r="LH98" i="54" s="1"/>
  <c r="LG97" i="54"/>
  <c r="LG98" i="54" s="1"/>
  <c r="LF97" i="54"/>
  <c r="LF98" i="54" s="1"/>
  <c r="LE97" i="54"/>
  <c r="LE98" i="54" s="1"/>
  <c r="LD97" i="54"/>
  <c r="LD98" i="54" s="1"/>
  <c r="LC97" i="54"/>
  <c r="LC98" i="54" s="1"/>
  <c r="LB97" i="54"/>
  <c r="LB98" i="54" s="1"/>
  <c r="LA97" i="54"/>
  <c r="LA98" i="54" s="1"/>
  <c r="KZ97" i="54"/>
  <c r="KZ98" i="54" s="1"/>
  <c r="KY97" i="54"/>
  <c r="KY98" i="54" s="1"/>
  <c r="KX97" i="54"/>
  <c r="KX98" i="54" s="1"/>
  <c r="KW97" i="54"/>
  <c r="KW98" i="54" s="1"/>
  <c r="KV97" i="54"/>
  <c r="KV98" i="54" s="1"/>
  <c r="KU97" i="54"/>
  <c r="KU98" i="54" s="1"/>
  <c r="KT97" i="54"/>
  <c r="KT98" i="54" s="1"/>
  <c r="KS97" i="54"/>
  <c r="KS98" i="54" s="1"/>
  <c r="KR97" i="54"/>
  <c r="KR98" i="54" s="1"/>
  <c r="KQ97" i="54"/>
  <c r="KQ98" i="54" s="1"/>
  <c r="KP97" i="54"/>
  <c r="KP98" i="54" s="1"/>
  <c r="KO97" i="54"/>
  <c r="KO98" i="54" s="1"/>
  <c r="KN97" i="54"/>
  <c r="KN98" i="54" s="1"/>
  <c r="KM97" i="54"/>
  <c r="KM98" i="54" s="1"/>
  <c r="KL97" i="54"/>
  <c r="KL98" i="54" s="1"/>
  <c r="KK97" i="54"/>
  <c r="KK98" i="54" s="1"/>
  <c r="KJ97" i="54"/>
  <c r="KJ98" i="54" s="1"/>
  <c r="KI97" i="54"/>
  <c r="KI98" i="54" s="1"/>
  <c r="KH97" i="54"/>
  <c r="KH98" i="54" s="1"/>
  <c r="KG97" i="54"/>
  <c r="KG98" i="54" s="1"/>
  <c r="KF97" i="54"/>
  <c r="KF98" i="54" s="1"/>
  <c r="KE97" i="54"/>
  <c r="KE98" i="54" s="1"/>
  <c r="KD97" i="54"/>
  <c r="KD98" i="54" s="1"/>
  <c r="KC97" i="54"/>
  <c r="KC98" i="54" s="1"/>
  <c r="KB97" i="54"/>
  <c r="KB98" i="54" s="1"/>
  <c r="KA97" i="54"/>
  <c r="KA98" i="54" s="1"/>
  <c r="JZ97" i="54"/>
  <c r="JZ98" i="54" s="1"/>
  <c r="JY97" i="54"/>
  <c r="JY98" i="54" s="1"/>
  <c r="JX97" i="54"/>
  <c r="JX98" i="54" s="1"/>
  <c r="JW97" i="54"/>
  <c r="JW98" i="54" s="1"/>
  <c r="JV97" i="54"/>
  <c r="JV98" i="54" s="1"/>
  <c r="JU97" i="54"/>
  <c r="JU98" i="54" s="1"/>
  <c r="JT97" i="54"/>
  <c r="JT98" i="54" s="1"/>
  <c r="JS97" i="54"/>
  <c r="JS98" i="54" s="1"/>
  <c r="JR97" i="54"/>
  <c r="JR98" i="54" s="1"/>
  <c r="JQ97" i="54"/>
  <c r="JQ98" i="54" s="1"/>
  <c r="JP97" i="54"/>
  <c r="JP98" i="54" s="1"/>
  <c r="JO97" i="54"/>
  <c r="JO98" i="54" s="1"/>
  <c r="JN97" i="54"/>
  <c r="JN98" i="54" s="1"/>
  <c r="JM97" i="54"/>
  <c r="JM98" i="54" s="1"/>
  <c r="JL97" i="54"/>
  <c r="JL98" i="54" s="1"/>
  <c r="JK97" i="54"/>
  <c r="JK98" i="54" s="1"/>
  <c r="JJ97" i="54"/>
  <c r="JJ98" i="54" s="1"/>
  <c r="JI97" i="54"/>
  <c r="JI98" i="54" s="1"/>
  <c r="JH97" i="54"/>
  <c r="JH98" i="54" s="1"/>
  <c r="JG97" i="54"/>
  <c r="JG98" i="54" s="1"/>
  <c r="JF97" i="54"/>
  <c r="JF98" i="54" s="1"/>
  <c r="JE97" i="54"/>
  <c r="JE98" i="54" s="1"/>
  <c r="JD97" i="54"/>
  <c r="JD98" i="54" s="1"/>
  <c r="JC97" i="54"/>
  <c r="JC98" i="54" s="1"/>
  <c r="JB97" i="54"/>
  <c r="JB98" i="54" s="1"/>
  <c r="JA97" i="54"/>
  <c r="JA98" i="54" s="1"/>
  <c r="IZ97" i="54"/>
  <c r="IZ98" i="54" s="1"/>
  <c r="IY97" i="54"/>
  <c r="IY98" i="54" s="1"/>
  <c r="IX97" i="54"/>
  <c r="IX98" i="54" s="1"/>
  <c r="IW97" i="54"/>
  <c r="IW98" i="54" s="1"/>
  <c r="IV97" i="54"/>
  <c r="IV98" i="54" s="1"/>
  <c r="IU97" i="54"/>
  <c r="IU98" i="54" s="1"/>
  <c r="IT97" i="54"/>
  <c r="IT98" i="54" s="1"/>
  <c r="IS97" i="54"/>
  <c r="IS98" i="54" s="1"/>
  <c r="IR97" i="54"/>
  <c r="IR98" i="54" s="1"/>
  <c r="IQ97" i="54"/>
  <c r="IQ98" i="54" s="1"/>
  <c r="IP97" i="54"/>
  <c r="IP98" i="54" s="1"/>
  <c r="IO97" i="54"/>
  <c r="IO98" i="54" s="1"/>
  <c r="IN97" i="54"/>
  <c r="IN98" i="54" s="1"/>
  <c r="IM97" i="54"/>
  <c r="IM98" i="54" s="1"/>
  <c r="IL97" i="54"/>
  <c r="IL98" i="54" s="1"/>
  <c r="IK97" i="54"/>
  <c r="IK98" i="54" s="1"/>
  <c r="IJ97" i="54"/>
  <c r="IJ98" i="54" s="1"/>
  <c r="II97" i="54"/>
  <c r="II98" i="54" s="1"/>
  <c r="IH97" i="54"/>
  <c r="IH98" i="54" s="1"/>
  <c r="IG97" i="54"/>
  <c r="IG98" i="54" s="1"/>
  <c r="IF97" i="54"/>
  <c r="IF98" i="54" s="1"/>
  <c r="IE97" i="54"/>
  <c r="IE98" i="54" s="1"/>
  <c r="ID97" i="54"/>
  <c r="ID98" i="54" s="1"/>
  <c r="IC97" i="54"/>
  <c r="IC98" i="54" s="1"/>
  <c r="IB97" i="54"/>
  <c r="IB98" i="54" s="1"/>
  <c r="IA97" i="54"/>
  <c r="IA98" i="54" s="1"/>
  <c r="HZ97" i="54"/>
  <c r="HZ98" i="54" s="1"/>
  <c r="HY97" i="54"/>
  <c r="HY98" i="54" s="1"/>
  <c r="HX97" i="54"/>
  <c r="HX98" i="54" s="1"/>
  <c r="HW97" i="54"/>
  <c r="HW98" i="54" s="1"/>
  <c r="HV97" i="54"/>
  <c r="HV98" i="54" s="1"/>
  <c r="HU97" i="54"/>
  <c r="HU98" i="54" s="1"/>
  <c r="HT97" i="54"/>
  <c r="HT98" i="54" s="1"/>
  <c r="HS97" i="54"/>
  <c r="HS98" i="54" s="1"/>
  <c r="HR97" i="54"/>
  <c r="HR98" i="54" s="1"/>
  <c r="HQ97" i="54"/>
  <c r="HQ98" i="54" s="1"/>
  <c r="HP97" i="54"/>
  <c r="HP98" i="54" s="1"/>
  <c r="HO97" i="54"/>
  <c r="HO98" i="54" s="1"/>
  <c r="HN97" i="54"/>
  <c r="HN98" i="54" s="1"/>
  <c r="HM97" i="54"/>
  <c r="HM98" i="54" s="1"/>
  <c r="HL97" i="54"/>
  <c r="HL98" i="54" s="1"/>
  <c r="HK97" i="54"/>
  <c r="HK98" i="54" s="1"/>
  <c r="HJ97" i="54"/>
  <c r="HJ98" i="54" s="1"/>
  <c r="HI97" i="54"/>
  <c r="HI98" i="54" s="1"/>
  <c r="HH97" i="54"/>
  <c r="HH98" i="54" s="1"/>
  <c r="HG97" i="54"/>
  <c r="HG98" i="54" s="1"/>
  <c r="HF97" i="54"/>
  <c r="HF98" i="54" s="1"/>
  <c r="HE97" i="54"/>
  <c r="HE98" i="54" s="1"/>
  <c r="HD97" i="54"/>
  <c r="HD98" i="54" s="1"/>
  <c r="HC97" i="54"/>
  <c r="HC98" i="54" s="1"/>
  <c r="HB97" i="54"/>
  <c r="HB98" i="54" s="1"/>
  <c r="HA97" i="54"/>
  <c r="HA98" i="54" s="1"/>
  <c r="GZ97" i="54"/>
  <c r="GZ98" i="54" s="1"/>
  <c r="GY97" i="54"/>
  <c r="GY98" i="54" s="1"/>
  <c r="GX97" i="54"/>
  <c r="GX98" i="54" s="1"/>
  <c r="GW97" i="54"/>
  <c r="GW98" i="54" s="1"/>
  <c r="GV97" i="54"/>
  <c r="GV98" i="54" s="1"/>
  <c r="GU97" i="54"/>
  <c r="GU98" i="54" s="1"/>
  <c r="GT97" i="54"/>
  <c r="GT98" i="54" s="1"/>
  <c r="GS97" i="54"/>
  <c r="GS98" i="54" s="1"/>
  <c r="GR97" i="54"/>
  <c r="GR98" i="54" s="1"/>
  <c r="GQ97" i="54"/>
  <c r="GQ98" i="54" s="1"/>
  <c r="GP97" i="54"/>
  <c r="GP98" i="54" s="1"/>
  <c r="GO97" i="54"/>
  <c r="GO98" i="54" s="1"/>
  <c r="GN97" i="54"/>
  <c r="GN98" i="54" s="1"/>
  <c r="GM97" i="54"/>
  <c r="GM98" i="54" s="1"/>
  <c r="GL97" i="54"/>
  <c r="GL98" i="54" s="1"/>
  <c r="GK97" i="54"/>
  <c r="GK98" i="54" s="1"/>
  <c r="GJ97" i="54"/>
  <c r="GJ98" i="54" s="1"/>
  <c r="GI97" i="54"/>
  <c r="GI98" i="54" s="1"/>
  <c r="GH97" i="54"/>
  <c r="GH98" i="54" s="1"/>
  <c r="GG97" i="54"/>
  <c r="GG98" i="54" s="1"/>
  <c r="GF97" i="54"/>
  <c r="GF98" i="54" s="1"/>
  <c r="GE97" i="54"/>
  <c r="GE98" i="54" s="1"/>
  <c r="GD97" i="54"/>
  <c r="GD98" i="54" s="1"/>
  <c r="GC97" i="54"/>
  <c r="GC98" i="54" s="1"/>
  <c r="GB97" i="54"/>
  <c r="GB98" i="54" s="1"/>
  <c r="GA97" i="54"/>
  <c r="GA98" i="54" s="1"/>
  <c r="FZ97" i="54"/>
  <c r="FZ98" i="54" s="1"/>
  <c r="FY97" i="54"/>
  <c r="FY98" i="54" s="1"/>
  <c r="FX97" i="54"/>
  <c r="FX98" i="54" s="1"/>
  <c r="FW97" i="54"/>
  <c r="FW98" i="54" s="1"/>
  <c r="FV97" i="54"/>
  <c r="FV98" i="54" s="1"/>
  <c r="FU97" i="54"/>
  <c r="FU98" i="54" s="1"/>
  <c r="FT97" i="54"/>
  <c r="FT98" i="54" s="1"/>
  <c r="FS97" i="54"/>
  <c r="FS98" i="54" s="1"/>
  <c r="FR97" i="54"/>
  <c r="FR98" i="54" s="1"/>
  <c r="FQ97" i="54"/>
  <c r="FQ98" i="54" s="1"/>
  <c r="FP97" i="54"/>
  <c r="FP98" i="54" s="1"/>
  <c r="FO97" i="54"/>
  <c r="FO98" i="54" s="1"/>
  <c r="FN97" i="54"/>
  <c r="FN98" i="54" s="1"/>
  <c r="FM97" i="54"/>
  <c r="FM98" i="54" s="1"/>
  <c r="FL97" i="54"/>
  <c r="FL98" i="54" s="1"/>
  <c r="FK97" i="54"/>
  <c r="FK98" i="54" s="1"/>
  <c r="FJ97" i="54"/>
  <c r="FJ98" i="54" s="1"/>
  <c r="FI97" i="54"/>
  <c r="FI98" i="54" s="1"/>
  <c r="FH97" i="54"/>
  <c r="FH98" i="54" s="1"/>
  <c r="FG97" i="54"/>
  <c r="FG98" i="54" s="1"/>
  <c r="FF97" i="54"/>
  <c r="FF98" i="54" s="1"/>
  <c r="FE97" i="54"/>
  <c r="FE98" i="54" s="1"/>
  <c r="FD97" i="54"/>
  <c r="FD98" i="54" s="1"/>
  <c r="FC97" i="54"/>
  <c r="FC98" i="54" s="1"/>
  <c r="FB97" i="54"/>
  <c r="FB98" i="54" s="1"/>
  <c r="FA97" i="54"/>
  <c r="FA98" i="54" s="1"/>
  <c r="EZ97" i="54"/>
  <c r="EZ98" i="54" s="1"/>
  <c r="EY97" i="54"/>
  <c r="EY98" i="54" s="1"/>
  <c r="EX97" i="54"/>
  <c r="EX98" i="54" s="1"/>
  <c r="EW97" i="54"/>
  <c r="EW98" i="54" s="1"/>
  <c r="EV97" i="54"/>
  <c r="EV98" i="54" s="1"/>
  <c r="EU97" i="54"/>
  <c r="EU98" i="54" s="1"/>
  <c r="ET97" i="54"/>
  <c r="ET98" i="54" s="1"/>
  <c r="ES97" i="54"/>
  <c r="ES98" i="54" s="1"/>
  <c r="ER97" i="54"/>
  <c r="ER98" i="54" s="1"/>
  <c r="EQ97" i="54"/>
  <c r="EQ98" i="54" s="1"/>
  <c r="EP97" i="54"/>
  <c r="EP98" i="54" s="1"/>
  <c r="EO97" i="54"/>
  <c r="EO98" i="54" s="1"/>
  <c r="EN97" i="54"/>
  <c r="EN98" i="54" s="1"/>
  <c r="EM97" i="54"/>
  <c r="EM98" i="54" s="1"/>
  <c r="EL97" i="54"/>
  <c r="EL98" i="54" s="1"/>
  <c r="EK97" i="54"/>
  <c r="EK98" i="54" s="1"/>
  <c r="EJ97" i="54"/>
  <c r="EJ98" i="54" s="1"/>
  <c r="EI97" i="54"/>
  <c r="EI98" i="54" s="1"/>
  <c r="EH97" i="54"/>
  <c r="EH98" i="54" s="1"/>
  <c r="EG97" i="54"/>
  <c r="EG98" i="54" s="1"/>
  <c r="EF97" i="54"/>
  <c r="EF98" i="54" s="1"/>
  <c r="EE97" i="54"/>
  <c r="EE98" i="54" s="1"/>
  <c r="ED97" i="54"/>
  <c r="ED98" i="54" s="1"/>
  <c r="EC97" i="54"/>
  <c r="EC98" i="54" s="1"/>
  <c r="EB97" i="54"/>
  <c r="EB98" i="54" s="1"/>
  <c r="EA97" i="54"/>
  <c r="EA98" i="54" s="1"/>
  <c r="DZ97" i="54"/>
  <c r="DZ98" i="54" s="1"/>
  <c r="DY97" i="54"/>
  <c r="DY98" i="54" s="1"/>
  <c r="DX97" i="54"/>
  <c r="DX98" i="54" s="1"/>
  <c r="DW97" i="54"/>
  <c r="DW98" i="54" s="1"/>
  <c r="DV97" i="54"/>
  <c r="DV98" i="54" s="1"/>
  <c r="DU97" i="54"/>
  <c r="DU98" i="54" s="1"/>
  <c r="DT97" i="54"/>
  <c r="DT98" i="54" s="1"/>
  <c r="DS97" i="54"/>
  <c r="DS98" i="54" s="1"/>
  <c r="DR97" i="54"/>
  <c r="DR98" i="54" s="1"/>
  <c r="DQ97" i="54"/>
  <c r="DQ98" i="54" s="1"/>
  <c r="DP97" i="54"/>
  <c r="DP98" i="54" s="1"/>
  <c r="DO97" i="54"/>
  <c r="DO98" i="54" s="1"/>
  <c r="DN97" i="54"/>
  <c r="DN98" i="54" s="1"/>
  <c r="DM97" i="54"/>
  <c r="DM98" i="54" s="1"/>
  <c r="DL97" i="54"/>
  <c r="DL98" i="54" s="1"/>
  <c r="DK97" i="54"/>
  <c r="DK98" i="54" s="1"/>
  <c r="DJ97" i="54"/>
  <c r="DJ98" i="54" s="1"/>
  <c r="DI97" i="54"/>
  <c r="DI98" i="54" s="1"/>
  <c r="DH97" i="54"/>
  <c r="DH98" i="54" s="1"/>
  <c r="DG97" i="54"/>
  <c r="DG98" i="54" s="1"/>
  <c r="DF97" i="54"/>
  <c r="DF98" i="54" s="1"/>
  <c r="DE97" i="54"/>
  <c r="DE98" i="54" s="1"/>
  <c r="DD97" i="54"/>
  <c r="DD98" i="54" s="1"/>
  <c r="DC97" i="54"/>
  <c r="DC98" i="54" s="1"/>
  <c r="DB97" i="54"/>
  <c r="DB98" i="54" s="1"/>
  <c r="DA97" i="54"/>
  <c r="DA98" i="54" s="1"/>
  <c r="CZ97" i="54"/>
  <c r="CZ98" i="54" s="1"/>
  <c r="CY97" i="54"/>
  <c r="CY98" i="54" s="1"/>
  <c r="CX97" i="54"/>
  <c r="CX98" i="54" s="1"/>
  <c r="CW97" i="54"/>
  <c r="CW98" i="54" s="1"/>
  <c r="CV97" i="54"/>
  <c r="CV98" i="54" s="1"/>
  <c r="CU97" i="54"/>
  <c r="CU98" i="54" s="1"/>
  <c r="CT97" i="54"/>
  <c r="CT98" i="54" s="1"/>
  <c r="CS97" i="54"/>
  <c r="CS98" i="54" s="1"/>
  <c r="CR97" i="54"/>
  <c r="CR98" i="54" s="1"/>
  <c r="CQ97" i="54"/>
  <c r="CQ98" i="54" s="1"/>
  <c r="CP97" i="54"/>
  <c r="CP98" i="54" s="1"/>
  <c r="CO97" i="54"/>
  <c r="CO98" i="54" s="1"/>
  <c r="CN97" i="54"/>
  <c r="CN98" i="54" s="1"/>
  <c r="CM97" i="54"/>
  <c r="CM98" i="54" s="1"/>
  <c r="CL97" i="54"/>
  <c r="CL98" i="54" s="1"/>
  <c r="CK97" i="54"/>
  <c r="CK98" i="54" s="1"/>
  <c r="CJ97" i="54"/>
  <c r="CJ98" i="54" s="1"/>
  <c r="CI97" i="54"/>
  <c r="CI98" i="54" s="1"/>
  <c r="CH97" i="54"/>
  <c r="CH98" i="54" s="1"/>
  <c r="CG97" i="54"/>
  <c r="CG98" i="54" s="1"/>
  <c r="CF97" i="54"/>
  <c r="CF98" i="54" s="1"/>
  <c r="CE97" i="54"/>
  <c r="CE98" i="54" s="1"/>
  <c r="CD97" i="54"/>
  <c r="CD98" i="54" s="1"/>
  <c r="CC97" i="54"/>
  <c r="CC98" i="54" s="1"/>
  <c r="CB97" i="54"/>
  <c r="CB98" i="54" s="1"/>
  <c r="CA97" i="54"/>
  <c r="CA98" i="54" s="1"/>
  <c r="BZ97" i="54"/>
  <c r="BZ98" i="54" s="1"/>
  <c r="BY97" i="54"/>
  <c r="BY98" i="54" s="1"/>
  <c r="BX97" i="54"/>
  <c r="BX98" i="54" s="1"/>
  <c r="BW97" i="54"/>
  <c r="BW98" i="54" s="1"/>
  <c r="BV97" i="54"/>
  <c r="BV98" i="54" s="1"/>
  <c r="BU97" i="54"/>
  <c r="BU98" i="54" s="1"/>
  <c r="BT97" i="54"/>
  <c r="BT98" i="54" s="1"/>
  <c r="BS97" i="54"/>
  <c r="BS98" i="54" s="1"/>
  <c r="BR97" i="54"/>
  <c r="BR98" i="54" s="1"/>
  <c r="BQ97" i="54"/>
  <c r="BQ98" i="54" s="1"/>
  <c r="BP97" i="54"/>
  <c r="BP98" i="54" s="1"/>
  <c r="BO97" i="54"/>
  <c r="BO98" i="54" s="1"/>
  <c r="BN97" i="54"/>
  <c r="BN98" i="54" s="1"/>
  <c r="BM97" i="54"/>
  <c r="BM98" i="54" s="1"/>
  <c r="BL97" i="54"/>
  <c r="BL98" i="54" s="1"/>
  <c r="BK97" i="54"/>
  <c r="BK98" i="54" s="1"/>
  <c r="BJ97" i="54"/>
  <c r="BJ98" i="54" s="1"/>
  <c r="BI97" i="54"/>
  <c r="BI98" i="54" s="1"/>
  <c r="BH97" i="54"/>
  <c r="BH98" i="54" s="1"/>
  <c r="BG97" i="54"/>
  <c r="BG98" i="54" s="1"/>
  <c r="BF97" i="54"/>
  <c r="BF98" i="54" s="1"/>
  <c r="BE97" i="54"/>
  <c r="BE98" i="54" s="1"/>
  <c r="BD97" i="54"/>
  <c r="BD98" i="54" s="1"/>
  <c r="BC97" i="54"/>
  <c r="BC98" i="54" s="1"/>
  <c r="BB97" i="54"/>
  <c r="BB98" i="54" s="1"/>
  <c r="BA97" i="54"/>
  <c r="BA98" i="54" s="1"/>
  <c r="AZ97" i="54"/>
  <c r="AZ98" i="54" s="1"/>
  <c r="AY97" i="54"/>
  <c r="AY98" i="54" s="1"/>
  <c r="AX97" i="54"/>
  <c r="AX98" i="54" s="1"/>
  <c r="AW97" i="54"/>
  <c r="AW98" i="54" s="1"/>
  <c r="AV97" i="54"/>
  <c r="AV98" i="54" s="1"/>
  <c r="AU97" i="54"/>
  <c r="AU98" i="54" s="1"/>
  <c r="AT97" i="54"/>
  <c r="AT98" i="54" s="1"/>
  <c r="AS97" i="54"/>
  <c r="AS98" i="54" s="1"/>
  <c r="AR97" i="54"/>
  <c r="AR98" i="54" s="1"/>
  <c r="AQ97" i="54"/>
  <c r="AQ98" i="54" s="1"/>
  <c r="AP97" i="54"/>
  <c r="AP98" i="54" s="1"/>
  <c r="AO97" i="54"/>
  <c r="AO98" i="54" s="1"/>
  <c r="AN97" i="54"/>
  <c r="AN98" i="54" s="1"/>
  <c r="AM97" i="54"/>
  <c r="AM98" i="54" s="1"/>
  <c r="AL97" i="54"/>
  <c r="AL98" i="54" s="1"/>
  <c r="AK97" i="54"/>
  <c r="AK98" i="54" s="1"/>
  <c r="AJ97" i="54"/>
  <c r="AJ98" i="54" s="1"/>
  <c r="AI97" i="54"/>
  <c r="AI98" i="54" s="1"/>
  <c r="AH97" i="54"/>
  <c r="AH98" i="54" s="1"/>
  <c r="AG97" i="54"/>
  <c r="AG98" i="54" s="1"/>
  <c r="AF97" i="54"/>
  <c r="AF98" i="54" s="1"/>
  <c r="AE97" i="54"/>
  <c r="AE98" i="54" s="1"/>
  <c r="AD97" i="54"/>
  <c r="AD98" i="54" s="1"/>
  <c r="AC97" i="54"/>
  <c r="AC98" i="54" s="1"/>
  <c r="AB97" i="54"/>
  <c r="AB98" i="54" s="1"/>
  <c r="AA97" i="54"/>
  <c r="AA98" i="54" s="1"/>
  <c r="Z97" i="54"/>
  <c r="Z98" i="54" s="1"/>
  <c r="Y97" i="54"/>
  <c r="Y98" i="54" s="1"/>
  <c r="X97" i="54"/>
  <c r="X98" i="54" s="1"/>
  <c r="W97" i="54"/>
  <c r="W98" i="54" s="1"/>
  <c r="V97" i="54"/>
  <c r="V98" i="54" s="1"/>
  <c r="U97" i="54"/>
  <c r="U98" i="54" s="1"/>
  <c r="T97" i="54"/>
  <c r="T98" i="54" s="1"/>
  <c r="S97" i="54"/>
  <c r="S98" i="54" s="1"/>
  <c r="R97" i="54"/>
  <c r="R98" i="54" s="1"/>
  <c r="Q97" i="54"/>
  <c r="Q98" i="54" s="1"/>
  <c r="P97" i="54"/>
  <c r="P98" i="54" s="1"/>
  <c r="O97" i="54"/>
  <c r="O98" i="54" s="1"/>
  <c r="N97" i="54"/>
  <c r="N98" i="54" s="1"/>
  <c r="M97" i="54"/>
  <c r="M98" i="54" s="1"/>
  <c r="L97" i="54"/>
  <c r="L98" i="54" s="1"/>
  <c r="K97" i="54"/>
  <c r="K98" i="54" s="1"/>
  <c r="J97" i="54"/>
  <c r="J98" i="54" s="1"/>
  <c r="I97" i="54"/>
  <c r="I98" i="54" s="1"/>
  <c r="H97" i="54"/>
  <c r="H98" i="54" s="1"/>
  <c r="G97" i="54"/>
  <c r="G98" i="54" s="1"/>
  <c r="F97" i="54"/>
  <c r="F98" i="54" s="1"/>
  <c r="VK93" i="54"/>
  <c r="VJ93" i="54"/>
  <c r="VI93" i="54"/>
  <c r="VH93" i="54"/>
  <c r="VG93" i="54"/>
  <c r="VF93" i="54"/>
  <c r="VE93" i="54"/>
  <c r="VD93" i="54"/>
  <c r="VC93" i="54"/>
  <c r="VB93" i="54"/>
  <c r="VA93" i="54"/>
  <c r="UZ93" i="54"/>
  <c r="UY93" i="54"/>
  <c r="UX93" i="54"/>
  <c r="UW93" i="54"/>
  <c r="UV93" i="54"/>
  <c r="UU93" i="54"/>
  <c r="UT93" i="54"/>
  <c r="US93" i="54"/>
  <c r="UR93" i="54"/>
  <c r="UQ93" i="54"/>
  <c r="UP93" i="54"/>
  <c r="UO93" i="54"/>
  <c r="UN93" i="54"/>
  <c r="UM93" i="54"/>
  <c r="UL93" i="54"/>
  <c r="UK93" i="54"/>
  <c r="UJ93" i="54"/>
  <c r="UI93" i="54"/>
  <c r="UH93" i="54"/>
  <c r="UG93" i="54"/>
  <c r="UF93" i="54"/>
  <c r="UE93" i="54"/>
  <c r="UD93" i="54"/>
  <c r="UC93" i="54"/>
  <c r="UB93" i="54"/>
  <c r="UA93" i="54"/>
  <c r="TZ93" i="54"/>
  <c r="TY93" i="54"/>
  <c r="TX93" i="54"/>
  <c r="TW93" i="54"/>
  <c r="TV93" i="54"/>
  <c r="TU93" i="54"/>
  <c r="TT93" i="54"/>
  <c r="TS93" i="54"/>
  <c r="TR93" i="54"/>
  <c r="TQ93" i="54"/>
  <c r="TP93" i="54"/>
  <c r="TO93" i="54"/>
  <c r="TN93" i="54"/>
  <c r="TM93" i="54"/>
  <c r="TL93" i="54"/>
  <c r="TK93" i="54"/>
  <c r="TJ93" i="54"/>
  <c r="TI93" i="54"/>
  <c r="TH93" i="54"/>
  <c r="TG93" i="54"/>
  <c r="TF93" i="54"/>
  <c r="TE93" i="54"/>
  <c r="TD93" i="54"/>
  <c r="TC93" i="54"/>
  <c r="TB93" i="54"/>
  <c r="TA93" i="54"/>
  <c r="SZ93" i="54"/>
  <c r="SY93" i="54"/>
  <c r="SX93" i="54"/>
  <c r="SW93" i="54"/>
  <c r="SV93" i="54"/>
  <c r="SU93" i="54"/>
  <c r="ST93" i="54"/>
  <c r="SS93" i="54"/>
  <c r="SR93" i="54"/>
  <c r="SQ93" i="54"/>
  <c r="SP93" i="54"/>
  <c r="SO93" i="54"/>
  <c r="SN93" i="54"/>
  <c r="SM93" i="54"/>
  <c r="SL93" i="54"/>
  <c r="SK93" i="54"/>
  <c r="SJ93" i="54"/>
  <c r="SI93" i="54"/>
  <c r="SH93" i="54"/>
  <c r="SG93" i="54"/>
  <c r="SF93" i="54"/>
  <c r="SE93" i="54"/>
  <c r="SD93" i="54"/>
  <c r="SC93" i="54"/>
  <c r="SB93" i="54"/>
  <c r="SA93" i="54"/>
  <c r="RZ93" i="54"/>
  <c r="RY93" i="54"/>
  <c r="RX93" i="54"/>
  <c r="RW93" i="54"/>
  <c r="RV93" i="54"/>
  <c r="RU93" i="54"/>
  <c r="RT93" i="54"/>
  <c r="RS93" i="54"/>
  <c r="RR93" i="54"/>
  <c r="RQ93" i="54"/>
  <c r="RP93" i="54"/>
  <c r="RO93" i="54"/>
  <c r="RN93" i="54"/>
  <c r="RM93" i="54"/>
  <c r="RL93" i="54"/>
  <c r="RK93" i="54"/>
  <c r="RJ93" i="54"/>
  <c r="RI93" i="54"/>
  <c r="RH93" i="54"/>
  <c r="RG93" i="54"/>
  <c r="RF93" i="54"/>
  <c r="RE93" i="54"/>
  <c r="RD93" i="54"/>
  <c r="RC93" i="54"/>
  <c r="RB93" i="54"/>
  <c r="RA93" i="54"/>
  <c r="QZ93" i="54"/>
  <c r="QY93" i="54"/>
  <c r="QX93" i="54"/>
  <c r="QW93" i="54"/>
  <c r="QV93" i="54"/>
  <c r="QU93" i="54"/>
  <c r="QT93" i="54"/>
  <c r="QS93" i="54"/>
  <c r="QR93" i="54"/>
  <c r="QQ93" i="54"/>
  <c r="QP93" i="54"/>
  <c r="QO93" i="54"/>
  <c r="QN93" i="54"/>
  <c r="QM93" i="54"/>
  <c r="QL93" i="54"/>
  <c r="QK93" i="54"/>
  <c r="QJ93" i="54"/>
  <c r="QI93" i="54"/>
  <c r="QH93" i="54"/>
  <c r="QG93" i="54"/>
  <c r="QF93" i="54"/>
  <c r="QE93" i="54"/>
  <c r="QD93" i="54"/>
  <c r="QC93" i="54"/>
  <c r="QB93" i="54"/>
  <c r="QA93" i="54"/>
  <c r="PZ93" i="54"/>
  <c r="PY93" i="54"/>
  <c r="PX93" i="54"/>
  <c r="PW93" i="54"/>
  <c r="PV93" i="54"/>
  <c r="PU93" i="54"/>
  <c r="PT93" i="54"/>
  <c r="PS93" i="54"/>
  <c r="PR93" i="54"/>
  <c r="PQ93" i="54"/>
  <c r="PP93" i="54"/>
  <c r="PO93" i="54"/>
  <c r="PN93" i="54"/>
  <c r="PM93" i="54"/>
  <c r="PL93" i="54"/>
  <c r="PK93" i="54"/>
  <c r="PJ93" i="54"/>
  <c r="PI93" i="54"/>
  <c r="PH93" i="54"/>
  <c r="PG93" i="54"/>
  <c r="PF93" i="54"/>
  <c r="PE93" i="54"/>
  <c r="PD93" i="54"/>
  <c r="PC93" i="54"/>
  <c r="PB93" i="54"/>
  <c r="PA93" i="54"/>
  <c r="OZ93" i="54"/>
  <c r="OY93" i="54"/>
  <c r="OX93" i="54"/>
  <c r="OW93" i="54"/>
  <c r="OV93" i="54"/>
  <c r="OU93" i="54"/>
  <c r="OT93" i="54"/>
  <c r="OS93" i="54"/>
  <c r="OR93" i="54"/>
  <c r="OQ93" i="54"/>
  <c r="OP93" i="54"/>
  <c r="OO93" i="54"/>
  <c r="ON93" i="54"/>
  <c r="OM93" i="54"/>
  <c r="OL93" i="54"/>
  <c r="OK93" i="54"/>
  <c r="OJ93" i="54"/>
  <c r="OI93" i="54"/>
  <c r="OH93" i="54"/>
  <c r="OG93" i="54"/>
  <c r="OF93" i="54"/>
  <c r="OE93" i="54"/>
  <c r="OD93" i="54"/>
  <c r="OC93" i="54"/>
  <c r="OB93" i="54"/>
  <c r="OA93" i="54"/>
  <c r="NZ93" i="54"/>
  <c r="NY93" i="54"/>
  <c r="NX93" i="54"/>
  <c r="NW93" i="54"/>
  <c r="NV93" i="54"/>
  <c r="NU93" i="54"/>
  <c r="NT93" i="54"/>
  <c r="NS93" i="54"/>
  <c r="NR93" i="54"/>
  <c r="NQ93" i="54"/>
  <c r="NP93" i="54"/>
  <c r="NO93" i="54"/>
  <c r="NN93" i="54"/>
  <c r="NM93" i="54"/>
  <c r="NL93" i="54"/>
  <c r="NK93" i="54"/>
  <c r="NJ93" i="54"/>
  <c r="NI93" i="54"/>
  <c r="NH93" i="54"/>
  <c r="NG93" i="54"/>
  <c r="NF93" i="54"/>
  <c r="NE93" i="54"/>
  <c r="ND93" i="54"/>
  <c r="NC93" i="54"/>
  <c r="NB93" i="54"/>
  <c r="NA93" i="54"/>
  <c r="MZ93" i="54"/>
  <c r="MY93" i="54"/>
  <c r="MX93" i="54"/>
  <c r="MW93" i="54"/>
  <c r="MV93" i="54"/>
  <c r="MU93" i="54"/>
  <c r="MT93" i="54"/>
  <c r="MS93" i="54"/>
  <c r="MR93" i="54"/>
  <c r="MQ93" i="54"/>
  <c r="MP93" i="54"/>
  <c r="MO93" i="54"/>
  <c r="MN93" i="54"/>
  <c r="MM93" i="54"/>
  <c r="ML93" i="54"/>
  <c r="MK93" i="54"/>
  <c r="MJ93" i="54"/>
  <c r="MI93" i="54"/>
  <c r="MH93" i="54"/>
  <c r="MG93" i="54"/>
  <c r="MF93" i="54"/>
  <c r="ME93" i="54"/>
  <c r="MD93" i="54"/>
  <c r="MC93" i="54"/>
  <c r="MB93" i="54"/>
  <c r="MA93" i="54"/>
  <c r="LZ93" i="54"/>
  <c r="LY93" i="54"/>
  <c r="LX93" i="54"/>
  <c r="LW93" i="54"/>
  <c r="LV93" i="54"/>
  <c r="LU93" i="54"/>
  <c r="LT93" i="54"/>
  <c r="LS93" i="54"/>
  <c r="LR93" i="54"/>
  <c r="LQ93" i="54"/>
  <c r="LP93" i="54"/>
  <c r="LO93" i="54"/>
  <c r="LN93" i="54"/>
  <c r="LM93" i="54"/>
  <c r="LL93" i="54"/>
  <c r="LK93" i="54"/>
  <c r="LJ93" i="54"/>
  <c r="LI93" i="54"/>
  <c r="LH93" i="54"/>
  <c r="LG93" i="54"/>
  <c r="LF93" i="54"/>
  <c r="LE93" i="54"/>
  <c r="LD93" i="54"/>
  <c r="LC93" i="54"/>
  <c r="LB93" i="54"/>
  <c r="LA93" i="54"/>
  <c r="KZ93" i="54"/>
  <c r="KY93" i="54"/>
  <c r="KX93" i="54"/>
  <c r="KW93" i="54"/>
  <c r="KV93" i="54"/>
  <c r="KU93" i="54"/>
  <c r="KT93" i="54"/>
  <c r="KS93" i="54"/>
  <c r="KR93" i="54"/>
  <c r="KQ93" i="54"/>
  <c r="KP93" i="54"/>
  <c r="KO93" i="54"/>
  <c r="KN93" i="54"/>
  <c r="KM93" i="54"/>
  <c r="KL93" i="54"/>
  <c r="KK93" i="54"/>
  <c r="KJ93" i="54"/>
  <c r="KI93" i="54"/>
  <c r="KH93" i="54"/>
  <c r="KG93" i="54"/>
  <c r="KF93" i="54"/>
  <c r="KE93" i="54"/>
  <c r="KD93" i="54"/>
  <c r="KC93" i="54"/>
  <c r="KB93" i="54"/>
  <c r="KA93" i="54"/>
  <c r="JZ93" i="54"/>
  <c r="JY93" i="54"/>
  <c r="JX93" i="54"/>
  <c r="JW93" i="54"/>
  <c r="JV93" i="54"/>
  <c r="JU93" i="54"/>
  <c r="JT93" i="54"/>
  <c r="JS93" i="54"/>
  <c r="JR93" i="54"/>
  <c r="JQ93" i="54"/>
  <c r="JP93" i="54"/>
  <c r="JO93" i="54"/>
  <c r="JN93" i="54"/>
  <c r="JM93" i="54"/>
  <c r="JL93" i="54"/>
  <c r="JK93" i="54"/>
  <c r="JJ93" i="54"/>
  <c r="JI93" i="54"/>
  <c r="JH93" i="54"/>
  <c r="JG93" i="54"/>
  <c r="JF93" i="54"/>
  <c r="JE93" i="54"/>
  <c r="JD93" i="54"/>
  <c r="JC93" i="54"/>
  <c r="JB93" i="54"/>
  <c r="JA93" i="54"/>
  <c r="IZ93" i="54"/>
  <c r="IY93" i="54"/>
  <c r="IX93" i="54"/>
  <c r="IW93" i="54"/>
  <c r="IV93" i="54"/>
  <c r="IU93" i="54"/>
  <c r="IT93" i="54"/>
  <c r="IS93" i="54"/>
  <c r="IR93" i="54"/>
  <c r="IQ93" i="54"/>
  <c r="IP93" i="54"/>
  <c r="IO93" i="54"/>
  <c r="IN93" i="54"/>
  <c r="IM93" i="54"/>
  <c r="IL93" i="54"/>
  <c r="IK93" i="54"/>
  <c r="IJ93" i="54"/>
  <c r="II93" i="54"/>
  <c r="IH93" i="54"/>
  <c r="IG93" i="54"/>
  <c r="IF93" i="54"/>
  <c r="IE93" i="54"/>
  <c r="ID93" i="54"/>
  <c r="IC93" i="54"/>
  <c r="IB93" i="54"/>
  <c r="IA93" i="54"/>
  <c r="HZ93" i="54"/>
  <c r="HY93" i="54"/>
  <c r="HX93" i="54"/>
  <c r="HW93" i="54"/>
  <c r="HV93" i="54"/>
  <c r="HU93" i="54"/>
  <c r="HT93" i="54"/>
  <c r="HS93" i="54"/>
  <c r="HR93" i="54"/>
  <c r="HQ93" i="54"/>
  <c r="HP93" i="54"/>
  <c r="HO93" i="54"/>
  <c r="HN93" i="54"/>
  <c r="HM93" i="54"/>
  <c r="HL93" i="54"/>
  <c r="HK93" i="54"/>
  <c r="HJ93" i="54"/>
  <c r="HI93" i="54"/>
  <c r="HH93" i="54"/>
  <c r="HG93" i="54"/>
  <c r="HF93" i="54"/>
  <c r="HE93" i="54"/>
  <c r="HD93" i="54"/>
  <c r="HC93" i="54"/>
  <c r="HB93" i="54"/>
  <c r="HA93" i="54"/>
  <c r="GZ93" i="54"/>
  <c r="GY93" i="54"/>
  <c r="GX93" i="54"/>
  <c r="GW93" i="54"/>
  <c r="GV93" i="54"/>
  <c r="GU93" i="54"/>
  <c r="GT93" i="54"/>
  <c r="GS93" i="54"/>
  <c r="GR93" i="54"/>
  <c r="GQ93" i="54"/>
  <c r="GP93" i="54"/>
  <c r="GO93" i="54"/>
  <c r="GN93" i="54"/>
  <c r="GM93" i="54"/>
  <c r="GL93" i="54"/>
  <c r="GK93" i="54"/>
  <c r="GJ93" i="54"/>
  <c r="GI93" i="54"/>
  <c r="GH93" i="54"/>
  <c r="GG93" i="54"/>
  <c r="GF93" i="54"/>
  <c r="GE93" i="54"/>
  <c r="GD93" i="54"/>
  <c r="GC93" i="54"/>
  <c r="GB93" i="54"/>
  <c r="GA93" i="54"/>
  <c r="FZ93" i="54"/>
  <c r="FY93" i="54"/>
  <c r="FX93" i="54"/>
  <c r="FW93" i="54"/>
  <c r="FV93" i="54"/>
  <c r="FU93" i="54"/>
  <c r="FT93" i="54"/>
  <c r="FS93" i="54"/>
  <c r="FR93" i="54"/>
  <c r="FQ93" i="54"/>
  <c r="FP93" i="54"/>
  <c r="FO93" i="54"/>
  <c r="FN93" i="54"/>
  <c r="FM93" i="54"/>
  <c r="FL93" i="54"/>
  <c r="FK93" i="54"/>
  <c r="FJ93" i="54"/>
  <c r="FI93" i="54"/>
  <c r="FH93" i="54"/>
  <c r="FG93" i="54"/>
  <c r="FF93" i="54"/>
  <c r="FE93" i="54"/>
  <c r="FD93" i="54"/>
  <c r="FC93" i="54"/>
  <c r="FB93" i="54"/>
  <c r="FA93" i="54"/>
  <c r="EZ93" i="54"/>
  <c r="EY93" i="54"/>
  <c r="EX93" i="54"/>
  <c r="EW93" i="54"/>
  <c r="EV93" i="54"/>
  <c r="EU93" i="54"/>
  <c r="ET93" i="54"/>
  <c r="ES93" i="54"/>
  <c r="ER93" i="54"/>
  <c r="EQ93" i="54"/>
  <c r="EP93" i="54"/>
  <c r="EO93" i="54"/>
  <c r="EN93" i="54"/>
  <c r="EM93" i="54"/>
  <c r="EL93" i="54"/>
  <c r="EK93" i="54"/>
  <c r="EJ93" i="54"/>
  <c r="EI93" i="54"/>
  <c r="EH93" i="54"/>
  <c r="EG93" i="54"/>
  <c r="EF93" i="54"/>
  <c r="EE93" i="54"/>
  <c r="ED93" i="54"/>
  <c r="EC93" i="54"/>
  <c r="EB93" i="54"/>
  <c r="EA93" i="54"/>
  <c r="DZ93" i="54"/>
  <c r="DY93" i="54"/>
  <c r="DX93" i="54"/>
  <c r="DW93" i="54"/>
  <c r="DV93" i="54"/>
  <c r="DU93" i="54"/>
  <c r="DT93" i="54"/>
  <c r="DS93" i="54"/>
  <c r="DR93" i="54"/>
  <c r="DQ93" i="54"/>
  <c r="DP93" i="54"/>
  <c r="DO93" i="54"/>
  <c r="DN93" i="54"/>
  <c r="DM93" i="54"/>
  <c r="DL93" i="54"/>
  <c r="DK93" i="54"/>
  <c r="DJ93" i="54"/>
  <c r="DI93" i="54"/>
  <c r="DH93" i="54"/>
  <c r="DG93" i="54"/>
  <c r="DF93" i="54"/>
  <c r="DE93" i="54"/>
  <c r="DD93" i="54"/>
  <c r="DC93" i="54"/>
  <c r="DB93" i="54"/>
  <c r="DA93" i="54"/>
  <c r="CZ93" i="54"/>
  <c r="CY93" i="54"/>
  <c r="CX93" i="54"/>
  <c r="CW93" i="54"/>
  <c r="CV93" i="54"/>
  <c r="CU93" i="54"/>
  <c r="CT93" i="54"/>
  <c r="CS93" i="54"/>
  <c r="CR93" i="54"/>
  <c r="CQ93" i="54"/>
  <c r="CP93" i="54"/>
  <c r="CO93" i="54"/>
  <c r="CN93" i="54"/>
  <c r="CM93" i="54"/>
  <c r="CL93" i="54"/>
  <c r="CK93" i="54"/>
  <c r="CJ93" i="54"/>
  <c r="CI93" i="54"/>
  <c r="CH93" i="54"/>
  <c r="CG93" i="54"/>
  <c r="CF93" i="54"/>
  <c r="CE93" i="54"/>
  <c r="CD93" i="54"/>
  <c r="CC93" i="54"/>
  <c r="CB93" i="54"/>
  <c r="CA93" i="54"/>
  <c r="BZ93" i="54"/>
  <c r="BY93" i="54"/>
  <c r="BX93" i="54"/>
  <c r="BW93" i="54"/>
  <c r="BV93" i="54"/>
  <c r="BU93" i="54"/>
  <c r="BT93" i="54"/>
  <c r="BS93" i="54"/>
  <c r="BR93" i="54"/>
  <c r="BQ93" i="54"/>
  <c r="BP93" i="54"/>
  <c r="BO93" i="54"/>
  <c r="BN93" i="54"/>
  <c r="BM93" i="54"/>
  <c r="BL93" i="54"/>
  <c r="BK93" i="54"/>
  <c r="BJ93" i="54"/>
  <c r="BI93" i="54"/>
  <c r="BH93" i="54"/>
  <c r="BG93" i="54"/>
  <c r="BF93" i="54"/>
  <c r="BE93" i="54"/>
  <c r="BD93" i="54"/>
  <c r="BC93" i="54"/>
  <c r="BB93" i="54"/>
  <c r="BA93" i="54"/>
  <c r="AZ93" i="54"/>
  <c r="AY93" i="54"/>
  <c r="AX93" i="54"/>
  <c r="AW93" i="54"/>
  <c r="AV93" i="54"/>
  <c r="AU93" i="54"/>
  <c r="AT93" i="54"/>
  <c r="AS93" i="54"/>
  <c r="AR93" i="54"/>
  <c r="AQ93" i="54"/>
  <c r="AP93" i="54"/>
  <c r="AO93" i="54"/>
  <c r="AN93" i="54"/>
  <c r="AM93" i="54"/>
  <c r="AL93" i="54"/>
  <c r="AK93" i="54"/>
  <c r="AJ93" i="54"/>
  <c r="AI93" i="54"/>
  <c r="AH93" i="54"/>
  <c r="AG93" i="54"/>
  <c r="AF93" i="54"/>
  <c r="AE93" i="54"/>
  <c r="AD93" i="54"/>
  <c r="AC93" i="54"/>
  <c r="AB93" i="54"/>
  <c r="AA93" i="54"/>
  <c r="Z93" i="54"/>
  <c r="Y93" i="54"/>
  <c r="X93" i="54"/>
  <c r="W93" i="54"/>
  <c r="V93" i="54"/>
  <c r="U93" i="54"/>
  <c r="T93" i="54"/>
  <c r="S93" i="54"/>
  <c r="R93" i="54"/>
  <c r="Q93" i="54"/>
  <c r="P93" i="54"/>
  <c r="O93" i="54"/>
  <c r="N93" i="54"/>
  <c r="M93" i="54"/>
  <c r="L93" i="54"/>
  <c r="K93" i="54"/>
  <c r="J93" i="54"/>
  <c r="I93" i="54"/>
  <c r="H93" i="54"/>
  <c r="G93" i="54"/>
  <c r="F93" i="54"/>
  <c r="VK92" i="54"/>
  <c r="VJ92" i="54"/>
  <c r="VI92" i="54"/>
  <c r="VH92" i="54"/>
  <c r="VG92" i="54"/>
  <c r="VG94" i="54" s="1"/>
  <c r="VG77" i="54" s="1"/>
  <c r="VF92" i="54"/>
  <c r="VE92" i="54"/>
  <c r="VD92" i="54"/>
  <c r="VC92" i="54"/>
  <c r="VB92" i="54"/>
  <c r="VA92" i="54"/>
  <c r="UZ92" i="54"/>
  <c r="UY92" i="54"/>
  <c r="UY94" i="54" s="1"/>
  <c r="UY77" i="54" s="1"/>
  <c r="UX92" i="54"/>
  <c r="UW92" i="54"/>
  <c r="UV92" i="54"/>
  <c r="UU92" i="54"/>
  <c r="UT92" i="54"/>
  <c r="US92" i="54"/>
  <c r="UR92" i="54"/>
  <c r="UQ92" i="54"/>
  <c r="UP92" i="54"/>
  <c r="UO92" i="54"/>
  <c r="UN92" i="54"/>
  <c r="UM92" i="54"/>
  <c r="UL92" i="54"/>
  <c r="UK92" i="54"/>
  <c r="UJ92" i="54"/>
  <c r="UI92" i="54"/>
  <c r="UI94" i="54" s="1"/>
  <c r="UI77" i="54" s="1"/>
  <c r="UH92" i="54"/>
  <c r="UG92" i="54"/>
  <c r="UF92" i="54"/>
  <c r="UE92" i="54"/>
  <c r="UD92" i="54"/>
  <c r="UC92" i="54"/>
  <c r="UB92" i="54"/>
  <c r="UA92" i="54"/>
  <c r="UA94" i="54" s="1"/>
  <c r="UA77" i="54" s="1"/>
  <c r="TZ92" i="54"/>
  <c r="TY92" i="54"/>
  <c r="TX92" i="54"/>
  <c r="TW92" i="54"/>
  <c r="TV92" i="54"/>
  <c r="TU92" i="54"/>
  <c r="TT92" i="54"/>
  <c r="TS92" i="54"/>
  <c r="TS94" i="54" s="1"/>
  <c r="TS77" i="54" s="1"/>
  <c r="TR92" i="54"/>
  <c r="TQ92" i="54"/>
  <c r="TP92" i="54"/>
  <c r="TO92" i="54"/>
  <c r="TN92" i="54"/>
  <c r="TM92" i="54"/>
  <c r="TL92" i="54"/>
  <c r="TK92" i="54"/>
  <c r="TK94" i="54" s="1"/>
  <c r="TK77" i="54" s="1"/>
  <c r="TJ92" i="54"/>
  <c r="TI92" i="54"/>
  <c r="TH92" i="54"/>
  <c r="TG92" i="54"/>
  <c r="TF92" i="54"/>
  <c r="TE92" i="54"/>
  <c r="TD92" i="54"/>
  <c r="TC92" i="54"/>
  <c r="TC94" i="54" s="1"/>
  <c r="TC77" i="54" s="1"/>
  <c r="TB92" i="54"/>
  <c r="TA92" i="54"/>
  <c r="SZ92" i="54"/>
  <c r="SY92" i="54"/>
  <c r="SX92" i="54"/>
  <c r="SW92" i="54"/>
  <c r="SV92" i="54"/>
  <c r="SU92" i="54"/>
  <c r="ST92" i="54"/>
  <c r="SS92" i="54"/>
  <c r="SR92" i="54"/>
  <c r="SQ92" i="54"/>
  <c r="SP92" i="54"/>
  <c r="SO92" i="54"/>
  <c r="SN92" i="54"/>
  <c r="SM92" i="54"/>
  <c r="SM94" i="54" s="1"/>
  <c r="SM77" i="54" s="1"/>
  <c r="SL92" i="54"/>
  <c r="SK92" i="54"/>
  <c r="SJ92" i="54"/>
  <c r="SI92" i="54"/>
  <c r="SH92" i="54"/>
  <c r="SG92" i="54"/>
  <c r="SF92" i="54"/>
  <c r="SE92" i="54"/>
  <c r="SD92" i="54"/>
  <c r="SC92" i="54"/>
  <c r="SB92" i="54"/>
  <c r="SA92" i="54"/>
  <c r="RZ92" i="54"/>
  <c r="RY92" i="54"/>
  <c r="RX92" i="54"/>
  <c r="RW92" i="54"/>
  <c r="RV92" i="54"/>
  <c r="RU92" i="54"/>
  <c r="RT92" i="54"/>
  <c r="RS92" i="54"/>
  <c r="RR92" i="54"/>
  <c r="RQ92" i="54"/>
  <c r="RP92" i="54"/>
  <c r="RO92" i="54"/>
  <c r="RN92" i="54"/>
  <c r="RM92" i="54"/>
  <c r="RL92" i="54"/>
  <c r="RK92" i="54"/>
  <c r="RJ92" i="54"/>
  <c r="RI92" i="54"/>
  <c r="RH92" i="54"/>
  <c r="RG92" i="54"/>
  <c r="RF92" i="54"/>
  <c r="RE92" i="54"/>
  <c r="RD92" i="54"/>
  <c r="RC92" i="54"/>
  <c r="RB92" i="54"/>
  <c r="RA92" i="54"/>
  <c r="QZ92" i="54"/>
  <c r="QY92" i="54"/>
  <c r="QX92" i="54"/>
  <c r="QW92" i="54"/>
  <c r="QV92" i="54"/>
  <c r="QU92" i="54"/>
  <c r="QT92" i="54"/>
  <c r="QS92" i="54"/>
  <c r="QR92" i="54"/>
  <c r="QQ92" i="54"/>
  <c r="QP92" i="54"/>
  <c r="QO92" i="54"/>
  <c r="QN92" i="54"/>
  <c r="QM92" i="54"/>
  <c r="QL92" i="54"/>
  <c r="QK92" i="54"/>
  <c r="QJ92" i="54"/>
  <c r="QI92" i="54"/>
  <c r="QH92" i="54"/>
  <c r="QG92" i="54"/>
  <c r="QF92" i="54"/>
  <c r="QE92" i="54"/>
  <c r="QD92" i="54"/>
  <c r="QC92" i="54"/>
  <c r="QB92" i="54"/>
  <c r="QA92" i="54"/>
  <c r="PZ92" i="54"/>
  <c r="PY92" i="54"/>
  <c r="PX92" i="54"/>
  <c r="PW92" i="54"/>
  <c r="PV92" i="54"/>
  <c r="PU92" i="54"/>
  <c r="PT92" i="54"/>
  <c r="PS92" i="54"/>
  <c r="PR92" i="54"/>
  <c r="PQ92" i="54"/>
  <c r="PP92" i="54"/>
  <c r="PO92" i="54"/>
  <c r="PN92" i="54"/>
  <c r="PM92" i="54"/>
  <c r="PL92" i="54"/>
  <c r="PK92" i="54"/>
  <c r="PJ92" i="54"/>
  <c r="PI92" i="54"/>
  <c r="PH92" i="54"/>
  <c r="PG92" i="54"/>
  <c r="PF92" i="54"/>
  <c r="PE92" i="54"/>
  <c r="PD92" i="54"/>
  <c r="PC92" i="54"/>
  <c r="PB92" i="54"/>
  <c r="PA92" i="54"/>
  <c r="OZ92" i="54"/>
  <c r="OY92" i="54"/>
  <c r="OX92" i="54"/>
  <c r="OW92" i="54"/>
  <c r="OV92" i="54"/>
  <c r="OU92" i="54"/>
  <c r="OT92" i="54"/>
  <c r="OS92" i="54"/>
  <c r="OR92" i="54"/>
  <c r="OQ92" i="54"/>
  <c r="OP92" i="54"/>
  <c r="OO92" i="54"/>
  <c r="ON92" i="54"/>
  <c r="OM92" i="54"/>
  <c r="OL92" i="54"/>
  <c r="OK92" i="54"/>
  <c r="OJ92" i="54"/>
  <c r="OI92" i="54"/>
  <c r="OH92" i="54"/>
  <c r="OG92" i="54"/>
  <c r="OF92" i="54"/>
  <c r="OE92" i="54"/>
  <c r="OD92" i="54"/>
  <c r="OC92" i="54"/>
  <c r="OB92" i="54"/>
  <c r="OA92" i="54"/>
  <c r="NZ92" i="54"/>
  <c r="NY92" i="54"/>
  <c r="NX92" i="54"/>
  <c r="NW92" i="54"/>
  <c r="NV92" i="54"/>
  <c r="NU92" i="54"/>
  <c r="NT92" i="54"/>
  <c r="NS92" i="54"/>
  <c r="NR92" i="54"/>
  <c r="NQ92" i="54"/>
  <c r="NP92" i="54"/>
  <c r="MX92" i="54"/>
  <c r="MW92" i="54"/>
  <c r="MV92" i="54"/>
  <c r="MU92" i="54"/>
  <c r="MT92" i="54"/>
  <c r="MS92" i="54"/>
  <c r="MR92" i="54"/>
  <c r="MQ92" i="54"/>
  <c r="MP92" i="54"/>
  <c r="MO92" i="54"/>
  <c r="MN92" i="54"/>
  <c r="MM92" i="54"/>
  <c r="ML92" i="54"/>
  <c r="MK92" i="54"/>
  <c r="MJ92" i="54"/>
  <c r="MI92" i="54"/>
  <c r="MH92" i="54"/>
  <c r="MG92" i="54"/>
  <c r="MF92" i="54"/>
  <c r="ME92" i="54"/>
  <c r="MD92" i="54"/>
  <c r="MC92" i="54"/>
  <c r="MB92" i="54"/>
  <c r="MA92" i="54"/>
  <c r="LZ92" i="54"/>
  <c r="LY92" i="54"/>
  <c r="LX92" i="54"/>
  <c r="LW92" i="54"/>
  <c r="LV92" i="54"/>
  <c r="LU92" i="54"/>
  <c r="LT92" i="54"/>
  <c r="LS92" i="54"/>
  <c r="LR92" i="54"/>
  <c r="LQ92" i="54"/>
  <c r="LP92" i="54"/>
  <c r="LO92" i="54"/>
  <c r="LN92" i="54"/>
  <c r="LM92" i="54"/>
  <c r="LL92" i="54"/>
  <c r="LK92" i="54"/>
  <c r="LJ92" i="54"/>
  <c r="LI92" i="54"/>
  <c r="LH92" i="54"/>
  <c r="LG92" i="54"/>
  <c r="LF92" i="54"/>
  <c r="LE92" i="54"/>
  <c r="LD92" i="54"/>
  <c r="LC92" i="54"/>
  <c r="LB92" i="54"/>
  <c r="LA92" i="54"/>
  <c r="KZ92" i="54"/>
  <c r="JQ92" i="54"/>
  <c r="JP92" i="54"/>
  <c r="JO92" i="54"/>
  <c r="JN92" i="54"/>
  <c r="JM92" i="54"/>
  <c r="JL92" i="54"/>
  <c r="JK92" i="54"/>
  <c r="JJ92" i="54"/>
  <c r="JI92" i="54"/>
  <c r="JH92" i="54"/>
  <c r="JG92" i="54"/>
  <c r="JF92" i="54"/>
  <c r="JE92" i="54"/>
  <c r="JD92" i="54"/>
  <c r="JC92" i="54"/>
  <c r="JB92" i="54"/>
  <c r="JA92" i="54"/>
  <c r="IZ92" i="54"/>
  <c r="IY92" i="54"/>
  <c r="IX92" i="54"/>
  <c r="IW92" i="54"/>
  <c r="IV92" i="54"/>
  <c r="IU92" i="54"/>
  <c r="IT92" i="54"/>
  <c r="IS92" i="54"/>
  <c r="IR92" i="54"/>
  <c r="IQ92" i="54"/>
  <c r="IP92" i="54"/>
  <c r="IO92" i="54"/>
  <c r="IN92" i="54"/>
  <c r="IM92" i="54"/>
  <c r="IL92" i="54"/>
  <c r="IK92" i="54"/>
  <c r="IJ92" i="54"/>
  <c r="II92" i="54"/>
  <c r="IH92" i="54"/>
  <c r="IG92" i="54"/>
  <c r="IF92" i="54"/>
  <c r="IE92" i="54"/>
  <c r="ID92" i="54"/>
  <c r="IC92" i="54"/>
  <c r="IB92" i="54"/>
  <c r="IA92" i="54"/>
  <c r="HZ92" i="54"/>
  <c r="HY92" i="54"/>
  <c r="HX92" i="54"/>
  <c r="HW92" i="54"/>
  <c r="HV92" i="54"/>
  <c r="HU92" i="54"/>
  <c r="HT92" i="54"/>
  <c r="HS92" i="54"/>
  <c r="HR92" i="54"/>
  <c r="HQ92" i="54"/>
  <c r="HP92" i="54"/>
  <c r="HO92" i="54"/>
  <c r="HN92" i="54"/>
  <c r="HM92" i="54"/>
  <c r="HL92" i="54"/>
  <c r="HK92" i="54"/>
  <c r="HJ92" i="54"/>
  <c r="HI92" i="54"/>
  <c r="HH92" i="54"/>
  <c r="HG92" i="54"/>
  <c r="HF92" i="54"/>
  <c r="HE92" i="54"/>
  <c r="HD92" i="54"/>
  <c r="HC92" i="54"/>
  <c r="HB92" i="54"/>
  <c r="HA92" i="54"/>
  <c r="GZ92" i="54"/>
  <c r="GY92" i="54"/>
  <c r="GX92" i="54"/>
  <c r="GW92" i="54"/>
  <c r="GV92" i="54"/>
  <c r="GU92" i="54"/>
  <c r="GT92" i="54"/>
  <c r="GS92" i="54"/>
  <c r="GR92" i="54"/>
  <c r="GQ92" i="54"/>
  <c r="GP92" i="54"/>
  <c r="GO92" i="54"/>
  <c r="GN92" i="54"/>
  <c r="GM92" i="54"/>
  <c r="GL92" i="54"/>
  <c r="GK92" i="54"/>
  <c r="GJ92" i="54"/>
  <c r="GI92" i="54"/>
  <c r="GH92" i="54"/>
  <c r="GG92" i="54"/>
  <c r="GF92" i="54"/>
  <c r="GE92" i="54"/>
  <c r="GD92" i="54"/>
  <c r="GC92" i="54"/>
  <c r="GB92" i="54"/>
  <c r="GA92" i="54"/>
  <c r="FZ92" i="54"/>
  <c r="FY92" i="54"/>
  <c r="FX92" i="54"/>
  <c r="FW92" i="54"/>
  <c r="FV92" i="54"/>
  <c r="FU92" i="54"/>
  <c r="FT92" i="54"/>
  <c r="FS92" i="54"/>
  <c r="FR92" i="54"/>
  <c r="FQ92" i="54"/>
  <c r="FP92" i="54"/>
  <c r="FO92" i="54"/>
  <c r="FN92" i="54"/>
  <c r="FM92" i="54"/>
  <c r="FL92" i="54"/>
  <c r="FK92" i="54"/>
  <c r="FJ92" i="54"/>
  <c r="FI92" i="54"/>
  <c r="FH92" i="54"/>
  <c r="FG92" i="54"/>
  <c r="FF92" i="54"/>
  <c r="FE92" i="54"/>
  <c r="FD92" i="54"/>
  <c r="FC92" i="54"/>
  <c r="FB92" i="54"/>
  <c r="FA92" i="54"/>
  <c r="EZ92" i="54"/>
  <c r="EY92" i="54"/>
  <c r="EX92" i="54"/>
  <c r="EW92" i="54"/>
  <c r="EV92" i="54"/>
  <c r="EU92" i="54"/>
  <c r="ET92" i="54"/>
  <c r="ES92" i="54"/>
  <c r="ER92" i="54"/>
  <c r="EQ92" i="54"/>
  <c r="EP92" i="54"/>
  <c r="EO92" i="54"/>
  <c r="EN92" i="54"/>
  <c r="EM92" i="54"/>
  <c r="EL92" i="54"/>
  <c r="EK92" i="54"/>
  <c r="EJ92" i="54"/>
  <c r="EI92" i="54"/>
  <c r="EH92" i="54"/>
  <c r="EG92" i="54"/>
  <c r="EF92" i="54"/>
  <c r="EE92" i="54"/>
  <c r="ED92" i="54"/>
  <c r="EC92" i="54"/>
  <c r="EB92" i="54"/>
  <c r="EA92" i="54"/>
  <c r="DZ92" i="54"/>
  <c r="DY92" i="54"/>
  <c r="DX92" i="54"/>
  <c r="DW92" i="54"/>
  <c r="DV92" i="54"/>
  <c r="DU92" i="54"/>
  <c r="DT92" i="54"/>
  <c r="DS92" i="54"/>
  <c r="DR92" i="54"/>
  <c r="DQ92" i="54"/>
  <c r="DP92" i="54"/>
  <c r="DO92" i="54"/>
  <c r="DN92" i="54"/>
  <c r="DM92" i="54"/>
  <c r="DL92" i="54"/>
  <c r="DK92" i="54"/>
  <c r="DJ92" i="54"/>
  <c r="DI92" i="54"/>
  <c r="DH92" i="54"/>
  <c r="DG92" i="54"/>
  <c r="DF92" i="54"/>
  <c r="DE92" i="54"/>
  <c r="DD92" i="54"/>
  <c r="DC92" i="54"/>
  <c r="DB92" i="54"/>
  <c r="DA92" i="54"/>
  <c r="CZ92" i="54"/>
  <c r="CY92" i="54"/>
  <c r="CX92" i="54"/>
  <c r="CW92" i="54"/>
  <c r="CV92" i="54"/>
  <c r="CU92" i="54"/>
  <c r="CT92" i="54"/>
  <c r="CS92" i="54"/>
  <c r="CR92" i="54"/>
  <c r="CQ92" i="54"/>
  <c r="CP92" i="54"/>
  <c r="CO92" i="54"/>
  <c r="CN92" i="54"/>
  <c r="CM92" i="54"/>
  <c r="BU92" i="54"/>
  <c r="BT92" i="54"/>
  <c r="BS92" i="54"/>
  <c r="BR92" i="54"/>
  <c r="BQ92" i="54"/>
  <c r="BP92" i="54"/>
  <c r="BO92" i="54"/>
  <c r="BN92" i="54"/>
  <c r="BM92" i="54"/>
  <c r="BL92" i="54"/>
  <c r="BK92" i="54"/>
  <c r="BJ92" i="54"/>
  <c r="BI92" i="54"/>
  <c r="BH92" i="54"/>
  <c r="BG92" i="54"/>
  <c r="BF92" i="54"/>
  <c r="BE92" i="54"/>
  <c r="AM92" i="54"/>
  <c r="AL92" i="54"/>
  <c r="AK92" i="54"/>
  <c r="AJ92" i="54"/>
  <c r="AI92" i="54"/>
  <c r="AH92" i="54"/>
  <c r="AG92" i="54"/>
  <c r="AF92" i="54"/>
  <c r="AE92" i="54"/>
  <c r="AD92" i="54"/>
  <c r="AC92" i="54"/>
  <c r="AB92" i="54"/>
  <c r="AA92" i="54"/>
  <c r="Z92" i="54"/>
  <c r="Y92" i="54"/>
  <c r="X92" i="54"/>
  <c r="W92" i="54"/>
  <c r="VK76" i="54"/>
  <c r="VJ76" i="54"/>
  <c r="VI76" i="54"/>
  <c r="VH76" i="54"/>
  <c r="VG76" i="54"/>
  <c r="VF76" i="54"/>
  <c r="VE76" i="54"/>
  <c r="VD76" i="54"/>
  <c r="VC76" i="54"/>
  <c r="VB76" i="54"/>
  <c r="VA76" i="54"/>
  <c r="UZ76" i="54"/>
  <c r="UY76" i="54"/>
  <c r="UX76" i="54"/>
  <c r="UW76" i="54"/>
  <c r="UV76" i="54"/>
  <c r="UU76" i="54"/>
  <c r="UT76" i="54"/>
  <c r="US76" i="54"/>
  <c r="UR76" i="54"/>
  <c r="UQ76" i="54"/>
  <c r="UP76" i="54"/>
  <c r="UO76" i="54"/>
  <c r="UN76" i="54"/>
  <c r="UM76" i="54"/>
  <c r="UL76" i="54"/>
  <c r="UK76" i="54"/>
  <c r="UJ76" i="54"/>
  <c r="UI76" i="54"/>
  <c r="UH76" i="54"/>
  <c r="UG76" i="54"/>
  <c r="UF76" i="54"/>
  <c r="UE76" i="54"/>
  <c r="UD76" i="54"/>
  <c r="UC76" i="54"/>
  <c r="UB76" i="54"/>
  <c r="UA76" i="54"/>
  <c r="TZ76" i="54"/>
  <c r="TY76" i="54"/>
  <c r="TX76" i="54"/>
  <c r="TW76" i="54"/>
  <c r="TV76" i="54"/>
  <c r="TU76" i="54"/>
  <c r="TT76" i="54"/>
  <c r="TS76" i="54"/>
  <c r="TR76" i="54"/>
  <c r="TQ76" i="54"/>
  <c r="TP76" i="54"/>
  <c r="TO76" i="54"/>
  <c r="TN76" i="54"/>
  <c r="TM76" i="54"/>
  <c r="TL76" i="54"/>
  <c r="TK76" i="54"/>
  <c r="TJ76" i="54"/>
  <c r="TI76" i="54"/>
  <c r="TH76" i="54"/>
  <c r="TG76" i="54"/>
  <c r="TF76" i="54"/>
  <c r="TE76" i="54"/>
  <c r="TD76" i="54"/>
  <c r="TC76" i="54"/>
  <c r="TB76" i="54"/>
  <c r="TA76" i="54"/>
  <c r="SZ76" i="54"/>
  <c r="SY76" i="54"/>
  <c r="SX76" i="54"/>
  <c r="SW76" i="54"/>
  <c r="SV76" i="54"/>
  <c r="SU76" i="54"/>
  <c r="ST76" i="54"/>
  <c r="SS76" i="54"/>
  <c r="SR76" i="54"/>
  <c r="SQ76" i="54"/>
  <c r="SP76" i="54"/>
  <c r="SO76" i="54"/>
  <c r="SN76" i="54"/>
  <c r="SM76" i="54"/>
  <c r="SL76" i="54"/>
  <c r="SK76" i="54"/>
  <c r="SJ76" i="54"/>
  <c r="SI76" i="54"/>
  <c r="SH76" i="54"/>
  <c r="SG76" i="54"/>
  <c r="SF76" i="54"/>
  <c r="SE76" i="54"/>
  <c r="RM76" i="54"/>
  <c r="RL76" i="54"/>
  <c r="RK76" i="54"/>
  <c r="RJ76" i="54"/>
  <c r="RI76" i="54"/>
  <c r="RH76" i="54"/>
  <c r="RG76" i="54"/>
  <c r="RF76" i="54"/>
  <c r="RE76" i="54"/>
  <c r="RD76" i="54"/>
  <c r="RC76" i="54"/>
  <c r="RB76" i="54"/>
  <c r="RA76" i="54"/>
  <c r="QZ76" i="54"/>
  <c r="QY76" i="54"/>
  <c r="QX76" i="54"/>
  <c r="QW76" i="54"/>
  <c r="QV76" i="54"/>
  <c r="QU76" i="54"/>
  <c r="QT76" i="54"/>
  <c r="QS76" i="54"/>
  <c r="QR76" i="54"/>
  <c r="QQ76" i="54"/>
  <c r="QP76" i="54"/>
  <c r="QO76" i="54"/>
  <c r="QN76" i="54"/>
  <c r="QM76" i="54"/>
  <c r="QL76" i="54"/>
  <c r="QK76" i="54"/>
  <c r="QJ76" i="54"/>
  <c r="QI76" i="54"/>
  <c r="QH76" i="54"/>
  <c r="QG76" i="54"/>
  <c r="QF76" i="54"/>
  <c r="QE76" i="54"/>
  <c r="QD76" i="54"/>
  <c r="QC76" i="54"/>
  <c r="QB76" i="54"/>
  <c r="QA76" i="54"/>
  <c r="PZ76" i="54"/>
  <c r="PY76" i="54"/>
  <c r="PX76" i="54"/>
  <c r="PW76" i="54"/>
  <c r="PV76" i="54"/>
  <c r="PU76" i="54"/>
  <c r="PT76" i="54"/>
  <c r="PS76" i="54"/>
  <c r="PR76" i="54"/>
  <c r="PQ76" i="54"/>
  <c r="PP76" i="54"/>
  <c r="PO76" i="54"/>
  <c r="PN76" i="54"/>
  <c r="PM76" i="54"/>
  <c r="PL76" i="54"/>
  <c r="PK76" i="54"/>
  <c r="PJ76" i="54"/>
  <c r="PI76" i="54"/>
  <c r="PH76" i="54"/>
  <c r="PG76" i="54"/>
  <c r="PF76" i="54"/>
  <c r="PE76" i="54"/>
  <c r="PD76" i="54"/>
  <c r="PC76" i="54"/>
  <c r="PB76" i="54"/>
  <c r="PA76" i="54"/>
  <c r="OZ76" i="54"/>
  <c r="OY76" i="54"/>
  <c r="OX76" i="54"/>
  <c r="OW76" i="54"/>
  <c r="OV76" i="54"/>
  <c r="OU76" i="54"/>
  <c r="OT76" i="54"/>
  <c r="OS76" i="54"/>
  <c r="OR76" i="54"/>
  <c r="OQ76" i="54"/>
  <c r="OP76" i="54"/>
  <c r="OO76" i="54"/>
  <c r="ON76" i="54"/>
  <c r="OM76" i="54"/>
  <c r="OL76" i="54"/>
  <c r="OK76" i="54"/>
  <c r="OJ76" i="54"/>
  <c r="OI76" i="54"/>
  <c r="OH76" i="54"/>
  <c r="OG76" i="54"/>
  <c r="OF76" i="54"/>
  <c r="OE76" i="54"/>
  <c r="OD76" i="54"/>
  <c r="OC76" i="54"/>
  <c r="OB76" i="54"/>
  <c r="OA76" i="54"/>
  <c r="NZ76" i="54"/>
  <c r="NY76" i="54"/>
  <c r="NX76" i="54"/>
  <c r="NW76" i="54"/>
  <c r="NV76" i="54"/>
  <c r="NU76" i="54"/>
  <c r="NT76" i="54"/>
  <c r="NS76" i="54"/>
  <c r="NR76" i="54"/>
  <c r="NQ76" i="54"/>
  <c r="NP76" i="54"/>
  <c r="JQ76" i="54"/>
  <c r="JP76" i="54"/>
  <c r="JO76" i="54"/>
  <c r="JN76" i="54"/>
  <c r="JM76" i="54"/>
  <c r="JL76" i="54"/>
  <c r="JK76" i="54"/>
  <c r="JJ76" i="54"/>
  <c r="JI76" i="54"/>
  <c r="JH76" i="54"/>
  <c r="JG76" i="54"/>
  <c r="JF76" i="54"/>
  <c r="JE76" i="54"/>
  <c r="JD76" i="54"/>
  <c r="JC76" i="54"/>
  <c r="JB76" i="54"/>
  <c r="JA76" i="54"/>
  <c r="BU76" i="54"/>
  <c r="BT76" i="54"/>
  <c r="BS76" i="54"/>
  <c r="BR76" i="54"/>
  <c r="BQ76" i="54"/>
  <c r="BP76" i="54"/>
  <c r="BO76" i="54"/>
  <c r="BN76" i="54"/>
  <c r="BM76" i="54"/>
  <c r="BL76" i="54"/>
  <c r="BK76" i="54"/>
  <c r="BJ76" i="54"/>
  <c r="BI76" i="54"/>
  <c r="BH76" i="54"/>
  <c r="BG76" i="54"/>
  <c r="BF76" i="54"/>
  <c r="BE76" i="54"/>
  <c r="AM76" i="54"/>
  <c r="AL76" i="54"/>
  <c r="AK76" i="54"/>
  <c r="AJ76" i="54"/>
  <c r="AI76" i="54"/>
  <c r="AH76" i="54"/>
  <c r="AG76" i="54"/>
  <c r="AF76" i="54"/>
  <c r="AE76" i="54"/>
  <c r="AD76" i="54"/>
  <c r="AC76" i="54"/>
  <c r="AB76" i="54"/>
  <c r="AA76" i="54"/>
  <c r="Z76" i="54"/>
  <c r="Y76" i="54"/>
  <c r="X76" i="54"/>
  <c r="W76" i="54"/>
  <c r="VK69" i="54"/>
  <c r="VJ69" i="54"/>
  <c r="VI69" i="54"/>
  <c r="VH69" i="54"/>
  <c r="VG69" i="54"/>
  <c r="VF69" i="54"/>
  <c r="VE69" i="54"/>
  <c r="VD69" i="54"/>
  <c r="VC69" i="54"/>
  <c r="VB69" i="54"/>
  <c r="VA69" i="54"/>
  <c r="UZ69" i="54"/>
  <c r="UY69" i="54"/>
  <c r="UX69" i="54"/>
  <c r="UW69" i="54"/>
  <c r="UV69" i="54"/>
  <c r="UU69" i="54"/>
  <c r="UT69" i="54"/>
  <c r="US69" i="54"/>
  <c r="UR69" i="54"/>
  <c r="UQ69" i="54"/>
  <c r="UP69" i="54"/>
  <c r="UO69" i="54"/>
  <c r="UN69" i="54"/>
  <c r="UM69" i="54"/>
  <c r="UL69" i="54"/>
  <c r="UK69" i="54"/>
  <c r="UJ69" i="54"/>
  <c r="UI69" i="54"/>
  <c r="UH69" i="54"/>
  <c r="UG69" i="54"/>
  <c r="UF69" i="54"/>
  <c r="UE69" i="54"/>
  <c r="UD69" i="54"/>
  <c r="UC69" i="54"/>
  <c r="UB69" i="54"/>
  <c r="UA69" i="54"/>
  <c r="TZ69" i="54"/>
  <c r="TY69" i="54"/>
  <c r="TX69" i="54"/>
  <c r="TW69" i="54"/>
  <c r="TV69" i="54"/>
  <c r="TU69" i="54"/>
  <c r="TT69" i="54"/>
  <c r="TS69" i="54"/>
  <c r="TR69" i="54"/>
  <c r="TQ69" i="54"/>
  <c r="TP69" i="54"/>
  <c r="TO69" i="54"/>
  <c r="TN69" i="54"/>
  <c r="TM69" i="54"/>
  <c r="TL69" i="54"/>
  <c r="TK69" i="54"/>
  <c r="TJ69" i="54"/>
  <c r="TI69" i="54"/>
  <c r="TH69" i="54"/>
  <c r="TG69" i="54"/>
  <c r="TF69" i="54"/>
  <c r="TE69" i="54"/>
  <c r="TD69" i="54"/>
  <c r="TC69" i="54"/>
  <c r="TB69" i="54"/>
  <c r="TA69" i="54"/>
  <c r="SZ69" i="54"/>
  <c r="SY69" i="54"/>
  <c r="SX69" i="54"/>
  <c r="SW69" i="54"/>
  <c r="SV69" i="54"/>
  <c r="SU69" i="54"/>
  <c r="ST69" i="54"/>
  <c r="SS69" i="54"/>
  <c r="SR69" i="54"/>
  <c r="SQ69" i="54"/>
  <c r="SP69" i="54"/>
  <c r="SO69" i="54"/>
  <c r="SN69" i="54"/>
  <c r="SM69" i="54"/>
  <c r="SL69" i="54"/>
  <c r="SK69" i="54"/>
  <c r="SJ69" i="54"/>
  <c r="SI69" i="54"/>
  <c r="SH69" i="54"/>
  <c r="SG69" i="54"/>
  <c r="SF69" i="54"/>
  <c r="SE69" i="54"/>
  <c r="SD69" i="54"/>
  <c r="SC69" i="54"/>
  <c r="SB69" i="54"/>
  <c r="SA69" i="54"/>
  <c r="RZ69" i="54"/>
  <c r="RY69" i="54"/>
  <c r="RX69" i="54"/>
  <c r="RW69" i="54"/>
  <c r="RV69" i="54"/>
  <c r="RU69" i="54"/>
  <c r="RT69" i="54"/>
  <c r="RS69" i="54"/>
  <c r="RR69" i="54"/>
  <c r="RQ69" i="54"/>
  <c r="RP69" i="54"/>
  <c r="RO69" i="54"/>
  <c r="RN69" i="54"/>
  <c r="RM69" i="54"/>
  <c r="RL69" i="54"/>
  <c r="RK69" i="54"/>
  <c r="RJ69" i="54"/>
  <c r="RI69" i="54"/>
  <c r="RH69" i="54"/>
  <c r="RG69" i="54"/>
  <c r="RF69" i="54"/>
  <c r="RE69" i="54"/>
  <c r="RD69" i="54"/>
  <c r="RC69" i="54"/>
  <c r="RB69" i="54"/>
  <c r="RA69" i="54"/>
  <c r="QZ69" i="54"/>
  <c r="QY69" i="54"/>
  <c r="QX69" i="54"/>
  <c r="QW69" i="54"/>
  <c r="QV69" i="54"/>
  <c r="QU69" i="54"/>
  <c r="QT69" i="54"/>
  <c r="QS69" i="54"/>
  <c r="QR69" i="54"/>
  <c r="QQ69" i="54"/>
  <c r="QP69" i="54"/>
  <c r="QO69" i="54"/>
  <c r="QN69" i="54"/>
  <c r="QM69" i="54"/>
  <c r="QL69" i="54"/>
  <c r="QK69" i="54"/>
  <c r="QJ69" i="54"/>
  <c r="QI69" i="54"/>
  <c r="QH69" i="54"/>
  <c r="QG69" i="54"/>
  <c r="QF69" i="54"/>
  <c r="QE69" i="54"/>
  <c r="QD69" i="54"/>
  <c r="QC69" i="54"/>
  <c r="QB69" i="54"/>
  <c r="QA69" i="54"/>
  <c r="PZ69" i="54"/>
  <c r="PY69" i="54"/>
  <c r="PX69" i="54"/>
  <c r="PW69" i="54"/>
  <c r="PV69" i="54"/>
  <c r="PU69" i="54"/>
  <c r="PT69" i="54"/>
  <c r="PS69" i="54"/>
  <c r="PR69" i="54"/>
  <c r="PQ69" i="54"/>
  <c r="PP69" i="54"/>
  <c r="PO69" i="54"/>
  <c r="PN69" i="54"/>
  <c r="PM69" i="54"/>
  <c r="PL69" i="54"/>
  <c r="PK69" i="54"/>
  <c r="PJ69" i="54"/>
  <c r="PI69" i="54"/>
  <c r="PH69" i="54"/>
  <c r="PG69" i="54"/>
  <c r="PF69" i="54"/>
  <c r="PE69" i="54"/>
  <c r="PD69" i="54"/>
  <c r="PC69" i="54"/>
  <c r="PB69" i="54"/>
  <c r="PA69" i="54"/>
  <c r="OZ69" i="54"/>
  <c r="OY69" i="54"/>
  <c r="OX69" i="54"/>
  <c r="OW69" i="54"/>
  <c r="OV69" i="54"/>
  <c r="OU69" i="54"/>
  <c r="OT69" i="54"/>
  <c r="OS69" i="54"/>
  <c r="OR69" i="54"/>
  <c r="OQ69" i="54"/>
  <c r="OP69" i="54"/>
  <c r="OO69" i="54"/>
  <c r="ON69" i="54"/>
  <c r="OM69" i="54"/>
  <c r="OL69" i="54"/>
  <c r="OK69" i="54"/>
  <c r="OJ69" i="54"/>
  <c r="OI69" i="54"/>
  <c r="OH69" i="54"/>
  <c r="OG69" i="54"/>
  <c r="OF69" i="54"/>
  <c r="OE69" i="54"/>
  <c r="OD69" i="54"/>
  <c r="OC69" i="54"/>
  <c r="OB69" i="54"/>
  <c r="OA69" i="54"/>
  <c r="NZ69" i="54"/>
  <c r="NY69" i="54"/>
  <c r="NX69" i="54"/>
  <c r="NW69" i="54"/>
  <c r="NV69" i="54"/>
  <c r="NU69" i="54"/>
  <c r="NT69" i="54"/>
  <c r="NS69" i="54"/>
  <c r="NR69" i="54"/>
  <c r="NQ69" i="54"/>
  <c r="NP69" i="54"/>
  <c r="BU69" i="54"/>
  <c r="BT69" i="54"/>
  <c r="BS69" i="54"/>
  <c r="BR69" i="54"/>
  <c r="BQ69" i="54"/>
  <c r="BP69" i="54"/>
  <c r="BO69" i="54"/>
  <c r="BN69" i="54"/>
  <c r="BM69" i="54"/>
  <c r="BL69" i="54"/>
  <c r="BK69" i="54"/>
  <c r="BJ69" i="54"/>
  <c r="BI69" i="54"/>
  <c r="BH69" i="54"/>
  <c r="BG69" i="54"/>
  <c r="BF69" i="54"/>
  <c r="BE69" i="54"/>
  <c r="AM69" i="54"/>
  <c r="AL69" i="54"/>
  <c r="AK69" i="54"/>
  <c r="AJ69" i="54"/>
  <c r="AI69" i="54"/>
  <c r="AH69" i="54"/>
  <c r="AG69" i="54"/>
  <c r="AF69" i="54"/>
  <c r="AE69" i="54"/>
  <c r="AD69" i="54"/>
  <c r="AC69" i="54"/>
  <c r="AB69" i="54"/>
  <c r="AA69" i="54"/>
  <c r="Z69" i="54"/>
  <c r="Y69" i="54"/>
  <c r="X69" i="54"/>
  <c r="W69" i="54"/>
  <c r="UX7" i="54"/>
  <c r="UY7" i="54" s="1"/>
  <c r="UZ7" i="54" s="1"/>
  <c r="VA7" i="54" s="1"/>
  <c r="VB7" i="54" s="1"/>
  <c r="VC7" i="54" s="1"/>
  <c r="VD7" i="54" s="1"/>
  <c r="VE7" i="54" s="1"/>
  <c r="VF7" i="54" s="1"/>
  <c r="VG7" i="54" s="1"/>
  <c r="VH7" i="54" s="1"/>
  <c r="VI7" i="54" s="1"/>
  <c r="VJ7" i="54" s="1"/>
  <c r="VK7" i="54" s="1"/>
  <c r="UG7" i="54"/>
  <c r="UH7" i="54" s="1"/>
  <c r="UI7" i="54" s="1"/>
  <c r="UJ7" i="54" s="1"/>
  <c r="UK7" i="54" s="1"/>
  <c r="UL7" i="54" s="1"/>
  <c r="UM7" i="54" s="1"/>
  <c r="UN7" i="54" s="1"/>
  <c r="UO7" i="54" s="1"/>
  <c r="UP7" i="54" s="1"/>
  <c r="UQ7" i="54" s="1"/>
  <c r="UR7" i="54" s="1"/>
  <c r="US7" i="54" s="1"/>
  <c r="UT7" i="54" s="1"/>
  <c r="TP7" i="54"/>
  <c r="TQ7" i="54" s="1"/>
  <c r="TR7" i="54" s="1"/>
  <c r="TS7" i="54" s="1"/>
  <c r="TT7" i="54" s="1"/>
  <c r="TU7" i="54" s="1"/>
  <c r="TV7" i="54" s="1"/>
  <c r="TW7" i="54" s="1"/>
  <c r="TX7" i="54" s="1"/>
  <c r="TY7" i="54" s="1"/>
  <c r="TZ7" i="54" s="1"/>
  <c r="UA7" i="54" s="1"/>
  <c r="UB7" i="54" s="1"/>
  <c r="UC7" i="54" s="1"/>
  <c r="SY7" i="54"/>
  <c r="SZ7" i="54" s="1"/>
  <c r="TA7" i="54" s="1"/>
  <c r="TB7" i="54" s="1"/>
  <c r="TC7" i="54" s="1"/>
  <c r="TD7" i="54" s="1"/>
  <c r="TE7" i="54" s="1"/>
  <c r="TF7" i="54" s="1"/>
  <c r="TG7" i="54" s="1"/>
  <c r="TH7" i="54" s="1"/>
  <c r="TI7" i="54" s="1"/>
  <c r="TJ7" i="54" s="1"/>
  <c r="TK7" i="54" s="1"/>
  <c r="TL7" i="54" s="1"/>
  <c r="SH7" i="54"/>
  <c r="SI7" i="54" s="1"/>
  <c r="SJ7" i="54" s="1"/>
  <c r="SK7" i="54" s="1"/>
  <c r="SL7" i="54" s="1"/>
  <c r="SM7" i="54" s="1"/>
  <c r="SN7" i="54" s="1"/>
  <c r="SO7" i="54" s="1"/>
  <c r="SP7" i="54" s="1"/>
  <c r="SQ7" i="54" s="1"/>
  <c r="SR7" i="54" s="1"/>
  <c r="SS7" i="54" s="1"/>
  <c r="ST7" i="54" s="1"/>
  <c r="SU7" i="54" s="1"/>
  <c r="RQ7" i="54"/>
  <c r="RR7" i="54" s="1"/>
  <c r="RS7" i="54" s="1"/>
  <c r="RT7" i="54" s="1"/>
  <c r="RU7" i="54" s="1"/>
  <c r="RV7" i="54" s="1"/>
  <c r="RW7" i="54" s="1"/>
  <c r="RX7" i="54" s="1"/>
  <c r="RY7" i="54" s="1"/>
  <c r="RZ7" i="54" s="1"/>
  <c r="SA7" i="54" s="1"/>
  <c r="SB7" i="54" s="1"/>
  <c r="SC7" i="54" s="1"/>
  <c r="SD7" i="54" s="1"/>
  <c r="QZ7" i="54"/>
  <c r="RA7" i="54" s="1"/>
  <c r="RB7" i="54" s="1"/>
  <c r="RC7" i="54" s="1"/>
  <c r="RD7" i="54" s="1"/>
  <c r="RE7" i="54" s="1"/>
  <c r="RF7" i="54" s="1"/>
  <c r="RG7" i="54" s="1"/>
  <c r="RH7" i="54" s="1"/>
  <c r="RI7" i="54" s="1"/>
  <c r="RJ7" i="54" s="1"/>
  <c r="RK7" i="54" s="1"/>
  <c r="RL7" i="54" s="1"/>
  <c r="RM7" i="54" s="1"/>
  <c r="QI7" i="54"/>
  <c r="QJ7" i="54" s="1"/>
  <c r="QK7" i="54" s="1"/>
  <c r="QL7" i="54" s="1"/>
  <c r="QM7" i="54" s="1"/>
  <c r="QN7" i="54" s="1"/>
  <c r="QO7" i="54" s="1"/>
  <c r="QP7" i="54" s="1"/>
  <c r="QQ7" i="54" s="1"/>
  <c r="QR7" i="54" s="1"/>
  <c r="QS7" i="54" s="1"/>
  <c r="QT7" i="54" s="1"/>
  <c r="QU7" i="54" s="1"/>
  <c r="QV7" i="54" s="1"/>
  <c r="PR7" i="54"/>
  <c r="PS7" i="54" s="1"/>
  <c r="PT7" i="54" s="1"/>
  <c r="PU7" i="54" s="1"/>
  <c r="PV7" i="54" s="1"/>
  <c r="PW7" i="54" s="1"/>
  <c r="PX7" i="54" s="1"/>
  <c r="PY7" i="54" s="1"/>
  <c r="PZ7" i="54" s="1"/>
  <c r="QA7" i="54" s="1"/>
  <c r="QB7" i="54" s="1"/>
  <c r="QC7" i="54" s="1"/>
  <c r="QD7" i="54" s="1"/>
  <c r="QE7" i="54" s="1"/>
  <c r="PA7" i="54"/>
  <c r="PB7" i="54" s="1"/>
  <c r="PC7" i="54" s="1"/>
  <c r="PD7" i="54" s="1"/>
  <c r="PE7" i="54" s="1"/>
  <c r="PF7" i="54" s="1"/>
  <c r="PG7" i="54" s="1"/>
  <c r="PH7" i="54" s="1"/>
  <c r="PI7" i="54" s="1"/>
  <c r="PJ7" i="54" s="1"/>
  <c r="PK7" i="54" s="1"/>
  <c r="PL7" i="54" s="1"/>
  <c r="PM7" i="54" s="1"/>
  <c r="PN7" i="54" s="1"/>
  <c r="OJ7" i="54"/>
  <c r="OK7" i="54" s="1"/>
  <c r="OL7" i="54" s="1"/>
  <c r="OM7" i="54" s="1"/>
  <c r="ON7" i="54" s="1"/>
  <c r="OO7" i="54" s="1"/>
  <c r="OP7" i="54" s="1"/>
  <c r="OQ7" i="54" s="1"/>
  <c r="OR7" i="54" s="1"/>
  <c r="OS7" i="54" s="1"/>
  <c r="OT7" i="54" s="1"/>
  <c r="OU7" i="54" s="1"/>
  <c r="OV7" i="54" s="1"/>
  <c r="OW7" i="54" s="1"/>
  <c r="NS7" i="54"/>
  <c r="NT7" i="54" s="1"/>
  <c r="NU7" i="54" s="1"/>
  <c r="NV7" i="54" s="1"/>
  <c r="NW7" i="54" s="1"/>
  <c r="NX7" i="54" s="1"/>
  <c r="NY7" i="54" s="1"/>
  <c r="NZ7" i="54" s="1"/>
  <c r="OA7" i="54" s="1"/>
  <c r="OB7" i="54" s="1"/>
  <c r="OC7" i="54" s="1"/>
  <c r="OD7" i="54" s="1"/>
  <c r="OE7" i="54" s="1"/>
  <c r="OF7" i="54" s="1"/>
  <c r="NB7" i="54"/>
  <c r="NC7" i="54" s="1"/>
  <c r="ND7" i="54" s="1"/>
  <c r="NE7" i="54" s="1"/>
  <c r="NF7" i="54" s="1"/>
  <c r="NG7" i="54" s="1"/>
  <c r="NH7" i="54" s="1"/>
  <c r="NI7" i="54" s="1"/>
  <c r="NJ7" i="54" s="1"/>
  <c r="NK7" i="54" s="1"/>
  <c r="NL7" i="54" s="1"/>
  <c r="NM7" i="54" s="1"/>
  <c r="NN7" i="54" s="1"/>
  <c r="NO7" i="54" s="1"/>
  <c r="MK7" i="54"/>
  <c r="ML7" i="54" s="1"/>
  <c r="MM7" i="54" s="1"/>
  <c r="MN7" i="54" s="1"/>
  <c r="MO7" i="54" s="1"/>
  <c r="MP7" i="54" s="1"/>
  <c r="MQ7" i="54" s="1"/>
  <c r="MR7" i="54" s="1"/>
  <c r="MS7" i="54" s="1"/>
  <c r="MT7" i="54" s="1"/>
  <c r="MU7" i="54" s="1"/>
  <c r="MV7" i="54" s="1"/>
  <c r="MW7" i="54" s="1"/>
  <c r="MX7" i="54" s="1"/>
  <c r="LT7" i="54"/>
  <c r="LU7" i="54" s="1"/>
  <c r="LV7" i="54" s="1"/>
  <c r="LW7" i="54" s="1"/>
  <c r="LX7" i="54" s="1"/>
  <c r="LY7" i="54" s="1"/>
  <c r="LZ7" i="54" s="1"/>
  <c r="MA7" i="54" s="1"/>
  <c r="MB7" i="54" s="1"/>
  <c r="MC7" i="54" s="1"/>
  <c r="MD7" i="54" s="1"/>
  <c r="ME7" i="54" s="1"/>
  <c r="MF7" i="54" s="1"/>
  <c r="MG7" i="54" s="1"/>
  <c r="LC7" i="54"/>
  <c r="LD7" i="54" s="1"/>
  <c r="LE7" i="54" s="1"/>
  <c r="LF7" i="54" s="1"/>
  <c r="LG7" i="54" s="1"/>
  <c r="LH7" i="54" s="1"/>
  <c r="LI7" i="54" s="1"/>
  <c r="LJ7" i="54" s="1"/>
  <c r="LK7" i="54" s="1"/>
  <c r="LL7" i="54" s="1"/>
  <c r="LM7" i="54" s="1"/>
  <c r="LN7" i="54" s="1"/>
  <c r="LO7" i="54" s="1"/>
  <c r="LP7" i="54" s="1"/>
  <c r="KL7" i="54"/>
  <c r="KM7" i="54" s="1"/>
  <c r="KN7" i="54" s="1"/>
  <c r="KO7" i="54" s="1"/>
  <c r="KP7" i="54" s="1"/>
  <c r="KQ7" i="54" s="1"/>
  <c r="KR7" i="54" s="1"/>
  <c r="KS7" i="54" s="1"/>
  <c r="KT7" i="54" s="1"/>
  <c r="KU7" i="54" s="1"/>
  <c r="KV7" i="54" s="1"/>
  <c r="KW7" i="54" s="1"/>
  <c r="KX7" i="54" s="1"/>
  <c r="KY7" i="54" s="1"/>
  <c r="JU7" i="54"/>
  <c r="JV7" i="54" s="1"/>
  <c r="JW7" i="54" s="1"/>
  <c r="JX7" i="54" s="1"/>
  <c r="JY7" i="54" s="1"/>
  <c r="JZ7" i="54" s="1"/>
  <c r="KA7" i="54" s="1"/>
  <c r="KB7" i="54" s="1"/>
  <c r="KC7" i="54" s="1"/>
  <c r="KD7" i="54" s="1"/>
  <c r="KE7" i="54" s="1"/>
  <c r="KF7" i="54" s="1"/>
  <c r="KG7" i="54" s="1"/>
  <c r="KH7" i="54" s="1"/>
  <c r="JD7" i="54"/>
  <c r="JE7" i="54" s="1"/>
  <c r="JF7" i="54" s="1"/>
  <c r="JG7" i="54" s="1"/>
  <c r="JH7" i="54" s="1"/>
  <c r="JI7" i="54" s="1"/>
  <c r="JJ7" i="54" s="1"/>
  <c r="JK7" i="54" s="1"/>
  <c r="JL7" i="54" s="1"/>
  <c r="JM7" i="54" s="1"/>
  <c r="JN7" i="54" s="1"/>
  <c r="JO7" i="54" s="1"/>
  <c r="JP7" i="54" s="1"/>
  <c r="JQ7" i="54" s="1"/>
  <c r="IM7" i="54"/>
  <c r="IN7" i="54" s="1"/>
  <c r="IO7" i="54" s="1"/>
  <c r="IP7" i="54" s="1"/>
  <c r="IQ7" i="54" s="1"/>
  <c r="IR7" i="54" s="1"/>
  <c r="IS7" i="54" s="1"/>
  <c r="IT7" i="54" s="1"/>
  <c r="IU7" i="54" s="1"/>
  <c r="IV7" i="54" s="1"/>
  <c r="IW7" i="54" s="1"/>
  <c r="IX7" i="54" s="1"/>
  <c r="IY7" i="54" s="1"/>
  <c r="IZ7" i="54" s="1"/>
  <c r="HV7" i="54"/>
  <c r="HW7" i="54" s="1"/>
  <c r="HX7" i="54" s="1"/>
  <c r="HY7" i="54" s="1"/>
  <c r="HZ7" i="54" s="1"/>
  <c r="IA7" i="54" s="1"/>
  <c r="IB7" i="54" s="1"/>
  <c r="IC7" i="54" s="1"/>
  <c r="ID7" i="54" s="1"/>
  <c r="IE7" i="54" s="1"/>
  <c r="IF7" i="54" s="1"/>
  <c r="IG7" i="54" s="1"/>
  <c r="IH7" i="54" s="1"/>
  <c r="II7" i="54" s="1"/>
  <c r="HE7" i="54"/>
  <c r="HF7" i="54" s="1"/>
  <c r="HG7" i="54" s="1"/>
  <c r="HH7" i="54" s="1"/>
  <c r="HI7" i="54" s="1"/>
  <c r="HJ7" i="54" s="1"/>
  <c r="HK7" i="54" s="1"/>
  <c r="HL7" i="54" s="1"/>
  <c r="HM7" i="54" s="1"/>
  <c r="HN7" i="54" s="1"/>
  <c r="HO7" i="54" s="1"/>
  <c r="HP7" i="54" s="1"/>
  <c r="HQ7" i="54" s="1"/>
  <c r="HR7" i="54" s="1"/>
  <c r="GN7" i="54"/>
  <c r="GO7" i="54" s="1"/>
  <c r="GP7" i="54" s="1"/>
  <c r="GQ7" i="54" s="1"/>
  <c r="GR7" i="54" s="1"/>
  <c r="GS7" i="54" s="1"/>
  <c r="GT7" i="54" s="1"/>
  <c r="GU7" i="54" s="1"/>
  <c r="GV7" i="54" s="1"/>
  <c r="GW7" i="54" s="1"/>
  <c r="GX7" i="54" s="1"/>
  <c r="GY7" i="54" s="1"/>
  <c r="GZ7" i="54" s="1"/>
  <c r="HA7" i="54" s="1"/>
  <c r="FW7" i="54"/>
  <c r="FX7" i="54" s="1"/>
  <c r="FY7" i="54" s="1"/>
  <c r="FZ7" i="54" s="1"/>
  <c r="GA7" i="54" s="1"/>
  <c r="GB7" i="54" s="1"/>
  <c r="GC7" i="54" s="1"/>
  <c r="GD7" i="54" s="1"/>
  <c r="GE7" i="54" s="1"/>
  <c r="GF7" i="54" s="1"/>
  <c r="GG7" i="54" s="1"/>
  <c r="GH7" i="54" s="1"/>
  <c r="GI7" i="54" s="1"/>
  <c r="GJ7" i="54" s="1"/>
  <c r="FF7" i="54"/>
  <c r="FG7" i="54" s="1"/>
  <c r="FH7" i="54" s="1"/>
  <c r="FI7" i="54" s="1"/>
  <c r="FJ7" i="54" s="1"/>
  <c r="FK7" i="54" s="1"/>
  <c r="FL7" i="54" s="1"/>
  <c r="FM7" i="54" s="1"/>
  <c r="FN7" i="54" s="1"/>
  <c r="FO7" i="54" s="1"/>
  <c r="FP7" i="54" s="1"/>
  <c r="FQ7" i="54" s="1"/>
  <c r="FR7" i="54" s="1"/>
  <c r="FS7" i="54" s="1"/>
  <c r="EO7" i="54"/>
  <c r="EP7" i="54" s="1"/>
  <c r="EQ7" i="54" s="1"/>
  <c r="ER7" i="54" s="1"/>
  <c r="ES7" i="54" s="1"/>
  <c r="ET7" i="54" s="1"/>
  <c r="EU7" i="54" s="1"/>
  <c r="EV7" i="54" s="1"/>
  <c r="EW7" i="54" s="1"/>
  <c r="EX7" i="54" s="1"/>
  <c r="EY7" i="54" s="1"/>
  <c r="EZ7" i="54" s="1"/>
  <c r="FA7" i="54" s="1"/>
  <c r="FB7" i="54" s="1"/>
  <c r="DX7" i="54"/>
  <c r="DY7" i="54" s="1"/>
  <c r="DZ7" i="54" s="1"/>
  <c r="EA7" i="54" s="1"/>
  <c r="EB7" i="54" s="1"/>
  <c r="EC7" i="54" s="1"/>
  <c r="ED7" i="54" s="1"/>
  <c r="EE7" i="54" s="1"/>
  <c r="EF7" i="54" s="1"/>
  <c r="EG7" i="54" s="1"/>
  <c r="EH7" i="54" s="1"/>
  <c r="EI7" i="54" s="1"/>
  <c r="EJ7" i="54" s="1"/>
  <c r="EK7" i="54" s="1"/>
  <c r="DG7" i="54"/>
  <c r="DH7" i="54" s="1"/>
  <c r="DI7" i="54" s="1"/>
  <c r="DJ7" i="54" s="1"/>
  <c r="DK7" i="54" s="1"/>
  <c r="DL7" i="54" s="1"/>
  <c r="DM7" i="54" s="1"/>
  <c r="DN7" i="54" s="1"/>
  <c r="DO7" i="54" s="1"/>
  <c r="DP7" i="54" s="1"/>
  <c r="DQ7" i="54" s="1"/>
  <c r="DR7" i="54" s="1"/>
  <c r="DS7" i="54" s="1"/>
  <c r="DT7" i="54" s="1"/>
  <c r="CP7" i="54"/>
  <c r="CQ7" i="54" s="1"/>
  <c r="CR7" i="54" s="1"/>
  <c r="CS7" i="54" s="1"/>
  <c r="CT7" i="54" s="1"/>
  <c r="CU7" i="54" s="1"/>
  <c r="CV7" i="54" s="1"/>
  <c r="CW7" i="54" s="1"/>
  <c r="CX7" i="54" s="1"/>
  <c r="CY7" i="54" s="1"/>
  <c r="CZ7" i="54" s="1"/>
  <c r="DA7" i="54" s="1"/>
  <c r="DB7" i="54" s="1"/>
  <c r="DC7" i="54" s="1"/>
  <c r="BY7" i="54"/>
  <c r="BZ7" i="54" s="1"/>
  <c r="CA7" i="54" s="1"/>
  <c r="CB7" i="54" s="1"/>
  <c r="CC7" i="54" s="1"/>
  <c r="CD7" i="54" s="1"/>
  <c r="CE7" i="54" s="1"/>
  <c r="CF7" i="54" s="1"/>
  <c r="CG7" i="54" s="1"/>
  <c r="CH7" i="54" s="1"/>
  <c r="CI7" i="54" s="1"/>
  <c r="CJ7" i="54" s="1"/>
  <c r="CK7" i="54" s="1"/>
  <c r="CL7" i="54" s="1"/>
  <c r="BH7" i="54"/>
  <c r="BI7" i="54" s="1"/>
  <c r="BJ7" i="54" s="1"/>
  <c r="BK7" i="54" s="1"/>
  <c r="BL7" i="54" s="1"/>
  <c r="BM7" i="54" s="1"/>
  <c r="BN7" i="54" s="1"/>
  <c r="BO7" i="54" s="1"/>
  <c r="BP7" i="54" s="1"/>
  <c r="BQ7" i="54" s="1"/>
  <c r="BR7" i="54" s="1"/>
  <c r="BS7" i="54" s="1"/>
  <c r="BT7" i="54" s="1"/>
  <c r="BU7" i="54" s="1"/>
  <c r="AQ7" i="54"/>
  <c r="AR7" i="54" s="1"/>
  <c r="AS7" i="54" s="1"/>
  <c r="AT7" i="54" s="1"/>
  <c r="AU7" i="54" s="1"/>
  <c r="AV7" i="54" s="1"/>
  <c r="AW7" i="54" s="1"/>
  <c r="AX7" i="54" s="1"/>
  <c r="AY7" i="54" s="1"/>
  <c r="AZ7" i="54" s="1"/>
  <c r="BA7" i="54" s="1"/>
  <c r="BB7" i="54" s="1"/>
  <c r="BC7" i="54" s="1"/>
  <c r="BD7" i="54" s="1"/>
  <c r="Z7" i="54"/>
  <c r="AA7" i="54" s="1"/>
  <c r="AB7" i="54" s="1"/>
  <c r="AC7" i="54" s="1"/>
  <c r="AD7" i="54" s="1"/>
  <c r="AE7" i="54" s="1"/>
  <c r="AF7" i="54" s="1"/>
  <c r="AG7" i="54" s="1"/>
  <c r="AH7" i="54" s="1"/>
  <c r="AI7" i="54" s="1"/>
  <c r="AJ7" i="54" s="1"/>
  <c r="AK7" i="54" s="1"/>
  <c r="AL7" i="54" s="1"/>
  <c r="AM7" i="54" s="1"/>
  <c r="I7" i="54"/>
  <c r="J7" i="54" s="1"/>
  <c r="K7" i="54" s="1"/>
  <c r="L7" i="54" s="1"/>
  <c r="M7" i="54" s="1"/>
  <c r="N7" i="54" s="1"/>
  <c r="O7" i="54" s="1"/>
  <c r="P7" i="54" s="1"/>
  <c r="Q7" i="54" s="1"/>
  <c r="R7" i="54" s="1"/>
  <c r="S7" i="54" s="1"/>
  <c r="T7" i="54" s="1"/>
  <c r="U7" i="54" s="1"/>
  <c r="V7" i="54" s="1"/>
  <c r="H295" i="53"/>
  <c r="J295" i="53" s="1"/>
  <c r="H294" i="53"/>
  <c r="J294" i="53" s="1"/>
  <c r="H287" i="53"/>
  <c r="J287" i="53" s="1"/>
  <c r="H286" i="53"/>
  <c r="J286" i="53" s="1"/>
  <c r="I275" i="53"/>
  <c r="I257" i="53"/>
  <c r="F257" i="53"/>
  <c r="E257" i="53"/>
  <c r="I256" i="53"/>
  <c r="F256" i="53"/>
  <c r="E256" i="53"/>
  <c r="H250" i="53"/>
  <c r="J219" i="53"/>
  <c r="F219" i="53"/>
  <c r="D219" i="53"/>
  <c r="J213" i="53"/>
  <c r="F213" i="53"/>
  <c r="D213" i="53"/>
  <c r="J207" i="53"/>
  <c r="H207" i="53"/>
  <c r="D207" i="53"/>
  <c r="J201" i="53"/>
  <c r="F201" i="53"/>
  <c r="D201" i="53"/>
  <c r="M199" i="53"/>
  <c r="M203" i="53" s="1"/>
  <c r="H133" i="53"/>
  <c r="L125" i="53"/>
  <c r="H125" i="53"/>
  <c r="H124" i="53"/>
  <c r="H123" i="53"/>
  <c r="H122" i="53"/>
  <c r="L121" i="53"/>
  <c r="H121" i="53"/>
  <c r="L120" i="53"/>
  <c r="H120" i="53"/>
  <c r="L119" i="53"/>
  <c r="H119" i="53"/>
  <c r="L118" i="53"/>
  <c r="H118" i="53"/>
  <c r="L117" i="53"/>
  <c r="H117" i="53"/>
  <c r="L116" i="53"/>
  <c r="H116" i="53"/>
  <c r="L115" i="53"/>
  <c r="H115" i="53"/>
  <c r="L114" i="53"/>
  <c r="H114" i="53"/>
  <c r="L113" i="53"/>
  <c r="H113" i="53"/>
  <c r="L112" i="53"/>
  <c r="H112" i="53"/>
  <c r="L111" i="53"/>
  <c r="H111" i="53"/>
  <c r="L110" i="53"/>
  <c r="H110" i="53"/>
  <c r="L109" i="53"/>
  <c r="H109" i="53"/>
  <c r="L108" i="53"/>
  <c r="H108" i="53"/>
  <c r="L107" i="53"/>
  <c r="H107" i="53"/>
  <c r="L106" i="53"/>
  <c r="H106" i="53"/>
  <c r="H105" i="53"/>
  <c r="G104" i="53"/>
  <c r="H104" i="53" s="1"/>
  <c r="T103" i="53"/>
  <c r="L103" i="53"/>
  <c r="H103" i="53"/>
  <c r="T102" i="53"/>
  <c r="L102" i="53"/>
  <c r="H102" i="53"/>
  <c r="T101" i="53"/>
  <c r="L101" i="53"/>
  <c r="H101" i="53"/>
  <c r="T100" i="53"/>
  <c r="L100" i="53"/>
  <c r="H100" i="53"/>
  <c r="H99" i="53"/>
  <c r="H98" i="53"/>
  <c r="H97" i="53"/>
  <c r="H96" i="53"/>
  <c r="T95" i="53"/>
  <c r="L95" i="53"/>
  <c r="H95" i="53"/>
  <c r="H94" i="53"/>
  <c r="H93" i="53"/>
  <c r="H92" i="53"/>
  <c r="H91" i="53"/>
  <c r="H90" i="53"/>
  <c r="H89" i="53"/>
  <c r="H88" i="53"/>
  <c r="H87" i="53"/>
  <c r="L86" i="53"/>
  <c r="G86" i="53"/>
  <c r="H86" i="53" s="1"/>
  <c r="P85" i="53"/>
  <c r="L85" i="53"/>
  <c r="H85" i="53"/>
  <c r="P84" i="53"/>
  <c r="L84" i="53"/>
  <c r="H84" i="53"/>
  <c r="P83" i="53"/>
  <c r="L83" i="53"/>
  <c r="H83" i="53"/>
  <c r="P82" i="53"/>
  <c r="L82" i="53"/>
  <c r="G82" i="53"/>
  <c r="H82" i="53" s="1"/>
  <c r="H81" i="53"/>
  <c r="P80" i="53"/>
  <c r="L80" i="53"/>
  <c r="H80" i="53"/>
  <c r="H79" i="53"/>
  <c r="P78" i="53"/>
  <c r="L78" i="53"/>
  <c r="H78" i="53"/>
  <c r="H77" i="53"/>
  <c r="T76" i="53"/>
  <c r="L76" i="53"/>
  <c r="H76" i="53"/>
  <c r="H75" i="53"/>
  <c r="P74" i="53"/>
  <c r="L74" i="53"/>
  <c r="H74" i="53"/>
  <c r="H73" i="53"/>
  <c r="P72" i="53"/>
  <c r="L72" i="53"/>
  <c r="H72" i="53"/>
  <c r="H71" i="53"/>
  <c r="P70" i="53"/>
  <c r="L70" i="53"/>
  <c r="H70" i="53"/>
  <c r="L69" i="53"/>
  <c r="H69" i="53"/>
  <c r="L68" i="53"/>
  <c r="H68" i="53"/>
  <c r="H67" i="53"/>
  <c r="H66" i="53"/>
  <c r="H65" i="53"/>
  <c r="H64" i="53"/>
  <c r="K63" i="53"/>
  <c r="L63" i="53" s="1"/>
  <c r="H63" i="53"/>
  <c r="K62" i="53"/>
  <c r="L62" i="53" s="1"/>
  <c r="H62" i="53"/>
  <c r="K61" i="53"/>
  <c r="O61" i="53" s="1"/>
  <c r="P61" i="53" s="1"/>
  <c r="H61" i="53"/>
  <c r="K60" i="53"/>
  <c r="L60" i="53" s="1"/>
  <c r="H60" i="53"/>
  <c r="K59" i="53"/>
  <c r="H59" i="53"/>
  <c r="K58" i="53"/>
  <c r="L58" i="53" s="1"/>
  <c r="H58" i="53"/>
  <c r="K57" i="53"/>
  <c r="L57" i="53" s="1"/>
  <c r="H57" i="53"/>
  <c r="K56" i="53"/>
  <c r="L56" i="53" s="1"/>
  <c r="H56" i="53"/>
  <c r="K55" i="53"/>
  <c r="L55" i="53" s="1"/>
  <c r="H55" i="53"/>
  <c r="K54" i="53"/>
  <c r="L54" i="53" s="1"/>
  <c r="H54" i="53"/>
  <c r="K53" i="53"/>
  <c r="L53" i="53" s="1"/>
  <c r="H53" i="53"/>
  <c r="K52" i="53"/>
  <c r="L52" i="53" s="1"/>
  <c r="H52" i="53"/>
  <c r="K51" i="53"/>
  <c r="L51" i="53" s="1"/>
  <c r="H51" i="53"/>
  <c r="K50" i="53"/>
  <c r="O50" i="53" s="1"/>
  <c r="P50" i="53" s="1"/>
  <c r="H50" i="53"/>
  <c r="K49" i="53"/>
  <c r="O49" i="53" s="1"/>
  <c r="P49" i="53" s="1"/>
  <c r="H49" i="53"/>
  <c r="K48" i="53"/>
  <c r="L48" i="53" s="1"/>
  <c r="H48" i="53"/>
  <c r="K47" i="53"/>
  <c r="L47" i="53" s="1"/>
  <c r="H47" i="53"/>
  <c r="K46" i="53"/>
  <c r="L46" i="53" s="1"/>
  <c r="H46" i="53"/>
  <c r="K45" i="53"/>
  <c r="L45" i="53" s="1"/>
  <c r="H45" i="53"/>
  <c r="K44" i="53"/>
  <c r="L44" i="53" s="1"/>
  <c r="H44" i="53"/>
  <c r="K43" i="53"/>
  <c r="L43" i="53" s="1"/>
  <c r="H43" i="53"/>
  <c r="K42" i="53"/>
  <c r="L42" i="53" s="1"/>
  <c r="H42" i="53"/>
  <c r="K41" i="53"/>
  <c r="L41" i="53" s="1"/>
  <c r="H41" i="53"/>
  <c r="K40" i="53"/>
  <c r="L40" i="53" s="1"/>
  <c r="H40" i="53"/>
  <c r="K39" i="53"/>
  <c r="L39" i="53" s="1"/>
  <c r="H39" i="53"/>
  <c r="K38" i="53"/>
  <c r="L38" i="53" s="1"/>
  <c r="H38" i="53"/>
  <c r="K37" i="53"/>
  <c r="L37" i="53" s="1"/>
  <c r="H37" i="53"/>
  <c r="K36" i="53"/>
  <c r="L36" i="53" s="1"/>
  <c r="H36" i="53"/>
  <c r="K35" i="53"/>
  <c r="L35" i="53" s="1"/>
  <c r="H35" i="53"/>
  <c r="K34" i="53"/>
  <c r="L34" i="53" s="1"/>
  <c r="H34" i="53"/>
  <c r="K33" i="53"/>
  <c r="L33" i="53" s="1"/>
  <c r="H33" i="53"/>
  <c r="K32" i="53"/>
  <c r="L32" i="53" s="1"/>
  <c r="H32" i="53"/>
  <c r="K31" i="53"/>
  <c r="L31" i="53" s="1"/>
  <c r="H31" i="53"/>
  <c r="K30" i="53"/>
  <c r="L30" i="53" s="1"/>
  <c r="H30" i="53"/>
  <c r="H29" i="53"/>
  <c r="H28" i="53"/>
  <c r="K27" i="53"/>
  <c r="L27" i="53" s="1"/>
  <c r="H27" i="53"/>
  <c r="K26" i="53"/>
  <c r="L26" i="53" s="1"/>
  <c r="H26" i="53"/>
  <c r="K25" i="53"/>
  <c r="L25" i="53" s="1"/>
  <c r="H25" i="53"/>
  <c r="K24" i="53"/>
  <c r="L24" i="53" s="1"/>
  <c r="H24" i="53"/>
  <c r="K23" i="53"/>
  <c r="L23" i="53" s="1"/>
  <c r="H23" i="53"/>
  <c r="K22" i="53"/>
  <c r="L22" i="53" s="1"/>
  <c r="H22" i="53"/>
  <c r="K21" i="53"/>
  <c r="L21" i="53" s="1"/>
  <c r="H21" i="53"/>
  <c r="K20" i="53"/>
  <c r="L20" i="53" s="1"/>
  <c r="H20" i="53"/>
  <c r="K19" i="53"/>
  <c r="L19" i="53" s="1"/>
  <c r="H19" i="53"/>
  <c r="K18" i="53"/>
  <c r="L18" i="53" s="1"/>
  <c r="H18" i="53"/>
  <c r="K17" i="53"/>
  <c r="L17" i="53" s="1"/>
  <c r="H17" i="53"/>
  <c r="K16" i="53"/>
  <c r="L16" i="53" s="1"/>
  <c r="H16" i="53"/>
  <c r="K15" i="53"/>
  <c r="L15" i="53" s="1"/>
  <c r="H15" i="53"/>
  <c r="K14" i="53"/>
  <c r="L14" i="53" s="1"/>
  <c r="H14" i="53"/>
  <c r="K13" i="53"/>
  <c r="L13" i="53" s="1"/>
  <c r="H13" i="53"/>
  <c r="K12" i="53"/>
  <c r="L12" i="53" s="1"/>
  <c r="H12" i="53"/>
  <c r="K11" i="53"/>
  <c r="L11" i="53" s="1"/>
  <c r="K10" i="53"/>
  <c r="L10" i="53" s="1"/>
  <c r="H10" i="53"/>
  <c r="K9" i="53"/>
  <c r="L9" i="53" s="1"/>
  <c r="H9" i="53"/>
  <c r="K8" i="53"/>
  <c r="L8" i="53" s="1"/>
  <c r="H8" i="53"/>
  <c r="K7" i="53"/>
  <c r="L7" i="53" s="1"/>
  <c r="H7" i="53"/>
  <c r="K6" i="53"/>
  <c r="L6" i="53" s="1"/>
  <c r="H6" i="53"/>
  <c r="K5" i="53"/>
  <c r="L5" i="53" s="1"/>
  <c r="H5" i="53"/>
  <c r="F5" i="55"/>
  <c r="G5" i="55" s="1"/>
  <c r="H5" i="55" s="1"/>
  <c r="I5" i="55" s="1"/>
  <c r="J5" i="55" s="1"/>
  <c r="K5" i="55" s="1"/>
  <c r="L5" i="55" s="1"/>
  <c r="M5" i="55" s="1"/>
  <c r="N5" i="55" s="1"/>
  <c r="O5" i="55" s="1"/>
  <c r="P5" i="55" s="1"/>
  <c r="Q5" i="55" s="1"/>
  <c r="R5" i="55" s="1"/>
  <c r="S5" i="55" s="1"/>
  <c r="T5" i="55" s="1"/>
  <c r="U5" i="55" s="1"/>
  <c r="H4" i="55"/>
  <c r="I4" i="55" s="1"/>
  <c r="J4" i="55" s="1"/>
  <c r="K4" i="55" s="1"/>
  <c r="L4" i="55" s="1"/>
  <c r="M4" i="55" s="1"/>
  <c r="N4" i="55" s="1"/>
  <c r="O4" i="55" s="1"/>
  <c r="P4" i="55" s="1"/>
  <c r="Q4" i="55" s="1"/>
  <c r="R4" i="55" s="1"/>
  <c r="S4" i="55" s="1"/>
  <c r="T4" i="55" s="1"/>
  <c r="U4" i="55" s="1"/>
  <c r="S92" i="42"/>
  <c r="R92" i="42"/>
  <c r="Q92" i="42"/>
  <c r="S90" i="42"/>
  <c r="R90" i="42"/>
  <c r="Q90" i="42"/>
  <c r="S88" i="42"/>
  <c r="R88" i="42"/>
  <c r="Q88" i="42"/>
  <c r="C88" i="42"/>
  <c r="S86" i="42"/>
  <c r="R86" i="42"/>
  <c r="Q86" i="42"/>
  <c r="S84" i="42"/>
  <c r="R84" i="42"/>
  <c r="Q84" i="42"/>
  <c r="S82" i="42"/>
  <c r="R82" i="42"/>
  <c r="Q82" i="42"/>
  <c r="S80" i="42"/>
  <c r="R80" i="42"/>
  <c r="Q80" i="42"/>
  <c r="S77" i="42"/>
  <c r="R77" i="42"/>
  <c r="Q77" i="42"/>
  <c r="S75" i="42"/>
  <c r="R75" i="42"/>
  <c r="Q75" i="42"/>
  <c r="S73" i="42"/>
  <c r="R73" i="42"/>
  <c r="Q73" i="42"/>
  <c r="S71" i="42"/>
  <c r="R71" i="42"/>
  <c r="Q71" i="42"/>
  <c r="S69" i="42"/>
  <c r="R69" i="42"/>
  <c r="Q69" i="42"/>
  <c r="S66" i="42"/>
  <c r="R66" i="42"/>
  <c r="Q66" i="42"/>
  <c r="S64" i="42"/>
  <c r="R64" i="42"/>
  <c r="Q64" i="42"/>
  <c r="S59" i="42"/>
  <c r="R59" i="42"/>
  <c r="Q59" i="42"/>
  <c r="S56" i="42"/>
  <c r="R56" i="42"/>
  <c r="Q56" i="42"/>
  <c r="S54" i="42"/>
  <c r="R54" i="42"/>
  <c r="Q54" i="42"/>
  <c r="C54" i="42"/>
  <c r="S52" i="42"/>
  <c r="R52" i="42"/>
  <c r="Q52" i="42"/>
  <c r="S50" i="42"/>
  <c r="R50" i="42"/>
  <c r="Q50" i="42"/>
  <c r="S48" i="42"/>
  <c r="R48" i="42"/>
  <c r="Q48" i="42"/>
  <c r="S46" i="42"/>
  <c r="R46" i="42"/>
  <c r="Q46" i="42"/>
  <c r="S44" i="42"/>
  <c r="R44" i="42"/>
  <c r="Q44" i="42"/>
  <c r="S42" i="42"/>
  <c r="R42" i="42"/>
  <c r="Q42" i="42"/>
  <c r="S40" i="42"/>
  <c r="R40" i="42"/>
  <c r="Q40" i="42"/>
  <c r="S38" i="42"/>
  <c r="R38" i="42"/>
  <c r="Q38" i="42"/>
  <c r="S36" i="42"/>
  <c r="R36" i="42"/>
  <c r="Q36" i="42"/>
  <c r="S34" i="42"/>
  <c r="R34" i="42"/>
  <c r="Q34" i="42"/>
  <c r="S32" i="42"/>
  <c r="R32" i="42"/>
  <c r="Q32" i="42"/>
  <c r="S30" i="42"/>
  <c r="R30" i="42"/>
  <c r="Q30" i="42"/>
  <c r="S28" i="42"/>
  <c r="R28" i="42"/>
  <c r="Q28" i="42"/>
  <c r="S26" i="42"/>
  <c r="R26" i="42"/>
  <c r="Q26" i="42"/>
  <c r="S24" i="42"/>
  <c r="R24" i="42"/>
  <c r="Q24" i="42"/>
  <c r="C24" i="42"/>
  <c r="S22" i="42"/>
  <c r="R22" i="42"/>
  <c r="Q22" i="42"/>
  <c r="S19" i="42"/>
  <c r="R19" i="42"/>
  <c r="Q19" i="42"/>
  <c r="S17" i="42"/>
  <c r="R17" i="42"/>
  <c r="Q17" i="42"/>
  <c r="S15" i="42"/>
  <c r="R15" i="42"/>
  <c r="Q15" i="42"/>
  <c r="S13" i="42"/>
  <c r="R13" i="42"/>
  <c r="Q13" i="42"/>
  <c r="S11" i="42"/>
  <c r="R11" i="42"/>
  <c r="Q11" i="42"/>
  <c r="C11" i="42"/>
  <c r="D8" i="42"/>
  <c r="E8" i="42" s="1"/>
  <c r="F8" i="42" s="1"/>
  <c r="G8" i="42" s="1"/>
  <c r="H8" i="42" s="1"/>
  <c r="I8" i="42" s="1"/>
  <c r="J8" i="42" s="1"/>
  <c r="K8" i="42" s="1"/>
  <c r="L8" i="42" s="1"/>
  <c r="M8" i="42" s="1"/>
  <c r="N8" i="42" s="1"/>
  <c r="O8" i="42" s="1"/>
  <c r="P8" i="42" s="1"/>
  <c r="Q8" i="42" s="1"/>
  <c r="R8" i="42" s="1"/>
  <c r="S8" i="42" s="1"/>
  <c r="F100" i="81"/>
  <c r="H100" i="81" s="1"/>
  <c r="I100" i="81" s="1"/>
  <c r="J100" i="81" s="1"/>
  <c r="K100" i="81" s="1"/>
  <c r="L100" i="81" s="1"/>
  <c r="M100" i="81" s="1"/>
  <c r="N100" i="81" s="1"/>
  <c r="O100" i="81" s="1"/>
  <c r="P100" i="81" s="1"/>
  <c r="Q100" i="81" s="1"/>
  <c r="R100" i="81" s="1"/>
  <c r="S100" i="81" s="1"/>
  <c r="T100" i="81" s="1"/>
  <c r="U100" i="81" s="1"/>
  <c r="F96" i="81"/>
  <c r="H96" i="81" s="1"/>
  <c r="I96" i="81" s="1"/>
  <c r="J96" i="81" s="1"/>
  <c r="K96" i="81" s="1"/>
  <c r="L96" i="81" s="1"/>
  <c r="M96" i="81" s="1"/>
  <c r="N96" i="81" s="1"/>
  <c r="O96" i="81" s="1"/>
  <c r="P96" i="81" s="1"/>
  <c r="Q96" i="81" s="1"/>
  <c r="R96" i="81" s="1"/>
  <c r="S96" i="81" s="1"/>
  <c r="T96" i="81" s="1"/>
  <c r="U96" i="81" s="1"/>
  <c r="F95" i="81"/>
  <c r="G95" i="81" s="1"/>
  <c r="G94" i="81"/>
  <c r="F91" i="81"/>
  <c r="G91" i="81" s="1"/>
  <c r="F90" i="81"/>
  <c r="H90" i="81" s="1"/>
  <c r="I90" i="81" s="1"/>
  <c r="J90" i="81" s="1"/>
  <c r="K90" i="81" s="1"/>
  <c r="L90" i="81" s="1"/>
  <c r="M90" i="81" s="1"/>
  <c r="N90" i="81" s="1"/>
  <c r="O90" i="81" s="1"/>
  <c r="P90" i="81" s="1"/>
  <c r="Q90" i="81" s="1"/>
  <c r="R90" i="81" s="1"/>
  <c r="S90" i="81" s="1"/>
  <c r="T90" i="81" s="1"/>
  <c r="U90" i="81" s="1"/>
  <c r="F88" i="81"/>
  <c r="H88" i="81" s="1"/>
  <c r="I88" i="81" s="1"/>
  <c r="J88" i="81" s="1"/>
  <c r="K88" i="81" s="1"/>
  <c r="L88" i="81" s="1"/>
  <c r="M88" i="81" s="1"/>
  <c r="N88" i="81" s="1"/>
  <c r="O88" i="81" s="1"/>
  <c r="P88" i="81" s="1"/>
  <c r="Q88" i="81" s="1"/>
  <c r="R88" i="81" s="1"/>
  <c r="S88" i="81" s="1"/>
  <c r="T88" i="81" s="1"/>
  <c r="U88" i="81" s="1"/>
  <c r="F87" i="81"/>
  <c r="H87" i="81" s="1"/>
  <c r="I87" i="81" s="1"/>
  <c r="J87" i="81" s="1"/>
  <c r="K87" i="81" s="1"/>
  <c r="L87" i="81" s="1"/>
  <c r="M87" i="81" s="1"/>
  <c r="N87" i="81" s="1"/>
  <c r="O87" i="81" s="1"/>
  <c r="P87" i="81" s="1"/>
  <c r="Q87" i="81" s="1"/>
  <c r="R87" i="81" s="1"/>
  <c r="S87" i="81" s="1"/>
  <c r="T87" i="81" s="1"/>
  <c r="U87" i="81" s="1"/>
  <c r="F85" i="81"/>
  <c r="G83" i="81"/>
  <c r="G82" i="81"/>
  <c r="G81" i="81"/>
  <c r="G80" i="81"/>
  <c r="G79" i="81"/>
  <c r="G78" i="81"/>
  <c r="G77" i="81"/>
  <c r="G76" i="81"/>
  <c r="G75" i="81"/>
  <c r="G74" i="81"/>
  <c r="G73" i="81"/>
  <c r="G72" i="81"/>
  <c r="G71" i="81"/>
  <c r="G70" i="81"/>
  <c r="U69" i="81"/>
  <c r="T69" i="81"/>
  <c r="S69" i="81"/>
  <c r="R69" i="81"/>
  <c r="Q69" i="81"/>
  <c r="P69" i="81"/>
  <c r="O69" i="81"/>
  <c r="N69" i="81"/>
  <c r="M69" i="81"/>
  <c r="L69" i="81"/>
  <c r="K69" i="81"/>
  <c r="J69" i="81"/>
  <c r="I69" i="81"/>
  <c r="H69" i="81"/>
  <c r="G69" i="81"/>
  <c r="F69" i="81"/>
  <c r="F65" i="81"/>
  <c r="H65" i="81" s="1"/>
  <c r="I65" i="81" s="1"/>
  <c r="J65" i="81" s="1"/>
  <c r="K65" i="81" s="1"/>
  <c r="L65" i="81" s="1"/>
  <c r="M65" i="81" s="1"/>
  <c r="N65" i="81" s="1"/>
  <c r="O65" i="81" s="1"/>
  <c r="P65" i="81" s="1"/>
  <c r="Q65" i="81" s="1"/>
  <c r="R65" i="81" s="1"/>
  <c r="S65" i="81" s="1"/>
  <c r="T65" i="81" s="1"/>
  <c r="U65" i="81" s="1"/>
  <c r="F64" i="81"/>
  <c r="G64" i="81" s="1"/>
  <c r="F63" i="81"/>
  <c r="H63" i="81" s="1"/>
  <c r="I63" i="81" s="1"/>
  <c r="J63" i="81" s="1"/>
  <c r="K63" i="81" s="1"/>
  <c r="L63" i="81" s="1"/>
  <c r="M63" i="81" s="1"/>
  <c r="N63" i="81" s="1"/>
  <c r="O63" i="81" s="1"/>
  <c r="P63" i="81" s="1"/>
  <c r="Q63" i="81" s="1"/>
  <c r="R63" i="81" s="1"/>
  <c r="S63" i="81" s="1"/>
  <c r="T63" i="81" s="1"/>
  <c r="U63" i="81" s="1"/>
  <c r="F62" i="81"/>
  <c r="H62" i="81" s="1"/>
  <c r="I62" i="81" s="1"/>
  <c r="J62" i="81" s="1"/>
  <c r="K62" i="81" s="1"/>
  <c r="L62" i="81" s="1"/>
  <c r="M62" i="81" s="1"/>
  <c r="N62" i="81" s="1"/>
  <c r="O62" i="81" s="1"/>
  <c r="P62" i="81" s="1"/>
  <c r="Q62" i="81" s="1"/>
  <c r="R62" i="81" s="1"/>
  <c r="S62" i="81" s="1"/>
  <c r="T62" i="81" s="1"/>
  <c r="U62" i="81" s="1"/>
  <c r="E10" i="81"/>
  <c r="E9" i="81"/>
  <c r="E8" i="81"/>
  <c r="E7" i="81"/>
  <c r="N438" i="79"/>
  <c r="M438" i="79"/>
  <c r="L438" i="79"/>
  <c r="N437" i="79"/>
  <c r="M437" i="79"/>
  <c r="L437" i="79"/>
  <c r="N436" i="79"/>
  <c r="M436" i="79"/>
  <c r="L436" i="79"/>
  <c r="N435" i="79"/>
  <c r="M435" i="79"/>
  <c r="L435" i="79"/>
  <c r="N434" i="79"/>
  <c r="M434" i="79"/>
  <c r="L434" i="79"/>
  <c r="N433" i="79"/>
  <c r="M433" i="79"/>
  <c r="L433" i="79"/>
  <c r="N432" i="79"/>
  <c r="M432" i="79"/>
  <c r="L432" i="79"/>
  <c r="N431" i="79"/>
  <c r="M431" i="79"/>
  <c r="L431" i="79"/>
  <c r="N430" i="79"/>
  <c r="M430" i="79"/>
  <c r="L430" i="79"/>
  <c r="N423" i="79"/>
  <c r="M423" i="79"/>
  <c r="L423" i="79"/>
  <c r="N422" i="79"/>
  <c r="M422" i="79"/>
  <c r="L422" i="79"/>
  <c r="N421" i="79"/>
  <c r="M421" i="79"/>
  <c r="L421" i="79"/>
  <c r="N420" i="79"/>
  <c r="M420" i="79"/>
  <c r="L420" i="79"/>
  <c r="N419" i="79"/>
  <c r="M419" i="79"/>
  <c r="L419" i="79"/>
  <c r="N418" i="79"/>
  <c r="M418" i="79"/>
  <c r="L418" i="79"/>
  <c r="N417" i="79"/>
  <c r="M417" i="79"/>
  <c r="L417" i="79"/>
  <c r="N416" i="79"/>
  <c r="M416" i="79"/>
  <c r="L416" i="79"/>
  <c r="N415" i="79"/>
  <c r="M415" i="79"/>
  <c r="L415" i="79"/>
  <c r="F408" i="79"/>
  <c r="I407" i="79"/>
  <c r="J407" i="79" s="1"/>
  <c r="H406" i="79"/>
  <c r="N398" i="79"/>
  <c r="M398" i="79"/>
  <c r="L398" i="79"/>
  <c r="N397" i="79"/>
  <c r="M397" i="79"/>
  <c r="L397" i="79"/>
  <c r="N396" i="79"/>
  <c r="M396" i="79"/>
  <c r="L396" i="79"/>
  <c r="N395" i="79"/>
  <c r="M395" i="79"/>
  <c r="L395" i="79"/>
  <c r="N394" i="79"/>
  <c r="M394" i="79"/>
  <c r="L394" i="79"/>
  <c r="N393" i="79"/>
  <c r="M393" i="79"/>
  <c r="L393" i="79"/>
  <c r="N392" i="79"/>
  <c r="M392" i="79"/>
  <c r="L392" i="79"/>
  <c r="N391" i="79"/>
  <c r="M391" i="79"/>
  <c r="L391" i="79"/>
  <c r="N390" i="79"/>
  <c r="M390" i="79"/>
  <c r="L390" i="79"/>
  <c r="N383" i="79"/>
  <c r="M383" i="79"/>
  <c r="L383" i="79"/>
  <c r="N382" i="79"/>
  <c r="M382" i="79"/>
  <c r="L382" i="79"/>
  <c r="N381" i="79"/>
  <c r="M381" i="79"/>
  <c r="L381" i="79"/>
  <c r="N380" i="79"/>
  <c r="M380" i="79"/>
  <c r="L380" i="79"/>
  <c r="N379" i="79"/>
  <c r="M379" i="79"/>
  <c r="L379" i="79"/>
  <c r="N378" i="79"/>
  <c r="M378" i="79"/>
  <c r="L378" i="79"/>
  <c r="N377" i="79"/>
  <c r="M377" i="79"/>
  <c r="L377" i="79"/>
  <c r="N376" i="79"/>
  <c r="M376" i="79"/>
  <c r="L376" i="79"/>
  <c r="N375" i="79"/>
  <c r="M375" i="79"/>
  <c r="L375" i="79"/>
  <c r="N368" i="79"/>
  <c r="M368" i="79"/>
  <c r="L368" i="79"/>
  <c r="N367" i="79"/>
  <c r="M367" i="79"/>
  <c r="L367" i="79"/>
  <c r="N366" i="79"/>
  <c r="M366" i="79"/>
  <c r="L366" i="79"/>
  <c r="N365" i="79"/>
  <c r="M365" i="79"/>
  <c r="L365" i="79"/>
  <c r="N364" i="79"/>
  <c r="M364" i="79"/>
  <c r="L364" i="79"/>
  <c r="N363" i="79"/>
  <c r="M363" i="79"/>
  <c r="L363" i="79"/>
  <c r="N362" i="79"/>
  <c r="M362" i="79"/>
  <c r="L362" i="79"/>
  <c r="N361" i="79"/>
  <c r="M361" i="79"/>
  <c r="L361" i="79"/>
  <c r="N360" i="79"/>
  <c r="M360" i="79"/>
  <c r="L360" i="79"/>
  <c r="H353" i="79"/>
  <c r="F353" i="79"/>
  <c r="G351" i="79"/>
  <c r="I351" i="79" s="1"/>
  <c r="J351" i="79" s="1"/>
  <c r="N342" i="79"/>
  <c r="M342" i="79"/>
  <c r="L342" i="79"/>
  <c r="N341" i="79"/>
  <c r="M341" i="79"/>
  <c r="L341" i="79"/>
  <c r="N340" i="79"/>
  <c r="M340" i="79"/>
  <c r="L340" i="79"/>
  <c r="N339" i="79"/>
  <c r="M339" i="79"/>
  <c r="L339" i="79"/>
  <c r="N338" i="79"/>
  <c r="M338" i="79"/>
  <c r="L338" i="79"/>
  <c r="N337" i="79"/>
  <c r="M337" i="79"/>
  <c r="L337" i="79"/>
  <c r="N336" i="79"/>
  <c r="M336" i="79"/>
  <c r="L336" i="79"/>
  <c r="N335" i="79"/>
  <c r="M335" i="79"/>
  <c r="L335" i="79"/>
  <c r="N334" i="79"/>
  <c r="M334" i="79"/>
  <c r="L334" i="79"/>
  <c r="F327" i="79"/>
  <c r="H326" i="79"/>
  <c r="H327" i="79" s="1"/>
  <c r="G326" i="79"/>
  <c r="G327" i="79" s="1"/>
  <c r="N317" i="79"/>
  <c r="M317" i="79"/>
  <c r="L317" i="79"/>
  <c r="N316" i="79"/>
  <c r="M316" i="79"/>
  <c r="L316" i="79"/>
  <c r="N315" i="79"/>
  <c r="M315" i="79"/>
  <c r="L315" i="79"/>
  <c r="N314" i="79"/>
  <c r="M314" i="79"/>
  <c r="L314" i="79"/>
  <c r="N313" i="79"/>
  <c r="M313" i="79"/>
  <c r="L313" i="79"/>
  <c r="N312" i="79"/>
  <c r="M312" i="79"/>
  <c r="L312" i="79"/>
  <c r="N311" i="79"/>
  <c r="M311" i="79"/>
  <c r="L311" i="79"/>
  <c r="N310" i="79"/>
  <c r="M310" i="79"/>
  <c r="L310" i="79"/>
  <c r="N309" i="79"/>
  <c r="M309" i="79"/>
  <c r="L309" i="79"/>
  <c r="N302" i="79"/>
  <c r="M302" i="79"/>
  <c r="L302" i="79"/>
  <c r="N301" i="79"/>
  <c r="M301" i="79"/>
  <c r="L301" i="79"/>
  <c r="N300" i="79"/>
  <c r="M300" i="79"/>
  <c r="L300" i="79"/>
  <c r="N299" i="79"/>
  <c r="M299" i="79"/>
  <c r="L299" i="79"/>
  <c r="N298" i="79"/>
  <c r="M298" i="79"/>
  <c r="L298" i="79"/>
  <c r="N297" i="79"/>
  <c r="M297" i="79"/>
  <c r="L297" i="79"/>
  <c r="N296" i="79"/>
  <c r="M296" i="79"/>
  <c r="L296" i="79"/>
  <c r="N295" i="79"/>
  <c r="M295" i="79"/>
  <c r="L295" i="79"/>
  <c r="N294" i="79"/>
  <c r="M294" i="79"/>
  <c r="L294" i="79"/>
  <c r="N287" i="79"/>
  <c r="M287" i="79"/>
  <c r="L287" i="79"/>
  <c r="N286" i="79"/>
  <c r="M286" i="79"/>
  <c r="L286" i="79"/>
  <c r="N285" i="79"/>
  <c r="M285" i="79"/>
  <c r="L285" i="79"/>
  <c r="N284" i="79"/>
  <c r="M284" i="79"/>
  <c r="L284" i="79"/>
  <c r="N283" i="79"/>
  <c r="M283" i="79"/>
  <c r="L283" i="79"/>
  <c r="N282" i="79"/>
  <c r="M282" i="79"/>
  <c r="L282" i="79"/>
  <c r="N281" i="79"/>
  <c r="M281" i="79"/>
  <c r="L281" i="79"/>
  <c r="N280" i="79"/>
  <c r="M280" i="79"/>
  <c r="L280" i="79"/>
  <c r="N279" i="79"/>
  <c r="M279" i="79"/>
  <c r="L279" i="79"/>
  <c r="F258" i="79"/>
  <c r="H258" i="79"/>
  <c r="G258" i="79"/>
  <c r="N246" i="79"/>
  <c r="M246" i="79"/>
  <c r="L246" i="79"/>
  <c r="N245" i="79"/>
  <c r="M245" i="79"/>
  <c r="L245" i="79"/>
  <c r="N244" i="79"/>
  <c r="M244" i="79"/>
  <c r="L244" i="79"/>
  <c r="N243" i="79"/>
  <c r="M243" i="79"/>
  <c r="L243" i="79"/>
  <c r="N242" i="79"/>
  <c r="M242" i="79"/>
  <c r="L242" i="79"/>
  <c r="N241" i="79"/>
  <c r="M241" i="79"/>
  <c r="L241" i="79"/>
  <c r="N240" i="79"/>
  <c r="M240" i="79"/>
  <c r="L240" i="79"/>
  <c r="N239" i="79"/>
  <c r="M239" i="79"/>
  <c r="L239" i="79"/>
  <c r="N238" i="79"/>
  <c r="M238" i="79"/>
  <c r="L238" i="79"/>
  <c r="N216" i="79"/>
  <c r="M216" i="79"/>
  <c r="L216" i="79"/>
  <c r="N215" i="79"/>
  <c r="M215" i="79"/>
  <c r="L215" i="79"/>
  <c r="N214" i="79"/>
  <c r="M214" i="79"/>
  <c r="L214" i="79"/>
  <c r="N213" i="79"/>
  <c r="M213" i="79"/>
  <c r="L213" i="79"/>
  <c r="N212" i="79"/>
  <c r="M212" i="79"/>
  <c r="L212" i="79"/>
  <c r="N211" i="79"/>
  <c r="M211" i="79"/>
  <c r="L211" i="79"/>
  <c r="N210" i="79"/>
  <c r="M210" i="79"/>
  <c r="L210" i="79"/>
  <c r="N209" i="79"/>
  <c r="M209" i="79"/>
  <c r="L209" i="79"/>
  <c r="N208" i="79"/>
  <c r="M208" i="79"/>
  <c r="L208" i="79"/>
  <c r="N200" i="79"/>
  <c r="M200" i="79"/>
  <c r="L200" i="79"/>
  <c r="N199" i="79"/>
  <c r="M199" i="79"/>
  <c r="L199" i="79"/>
  <c r="N198" i="79"/>
  <c r="M198" i="79"/>
  <c r="L198" i="79"/>
  <c r="N197" i="79"/>
  <c r="M197" i="79"/>
  <c r="L197" i="79"/>
  <c r="N196" i="79"/>
  <c r="M196" i="79"/>
  <c r="L196" i="79"/>
  <c r="N195" i="79"/>
  <c r="M195" i="79"/>
  <c r="L195" i="79"/>
  <c r="N194" i="79"/>
  <c r="M194" i="79"/>
  <c r="L194" i="79"/>
  <c r="N193" i="79"/>
  <c r="M193" i="79"/>
  <c r="L193" i="79"/>
  <c r="N192" i="79"/>
  <c r="M192" i="79"/>
  <c r="L192" i="79"/>
  <c r="N185" i="79"/>
  <c r="M185" i="79"/>
  <c r="L185" i="79"/>
  <c r="N184" i="79"/>
  <c r="M184" i="79"/>
  <c r="L184" i="79"/>
  <c r="N183" i="79"/>
  <c r="M183" i="79"/>
  <c r="L183" i="79"/>
  <c r="N182" i="79"/>
  <c r="M182" i="79"/>
  <c r="L182" i="79"/>
  <c r="N181" i="79"/>
  <c r="M181" i="79"/>
  <c r="L181" i="79"/>
  <c r="N180" i="79"/>
  <c r="M180" i="79"/>
  <c r="L180" i="79"/>
  <c r="N179" i="79"/>
  <c r="M179" i="79"/>
  <c r="L179" i="79"/>
  <c r="N178" i="79"/>
  <c r="M178" i="79"/>
  <c r="L178" i="79"/>
  <c r="N177" i="79"/>
  <c r="M177" i="79"/>
  <c r="L177" i="79"/>
  <c r="N169" i="79"/>
  <c r="M169" i="79"/>
  <c r="L169" i="79"/>
  <c r="N168" i="79"/>
  <c r="M168" i="79"/>
  <c r="L168" i="79"/>
  <c r="N167" i="79"/>
  <c r="M167" i="79"/>
  <c r="L167" i="79"/>
  <c r="N166" i="79"/>
  <c r="M166" i="79"/>
  <c r="L166" i="79"/>
  <c r="N165" i="79"/>
  <c r="M165" i="79"/>
  <c r="L165" i="79"/>
  <c r="N164" i="79"/>
  <c r="M164" i="79"/>
  <c r="L164" i="79"/>
  <c r="N163" i="79"/>
  <c r="M163" i="79"/>
  <c r="L163" i="79"/>
  <c r="N162" i="79"/>
  <c r="M162" i="79"/>
  <c r="L162" i="79"/>
  <c r="N161" i="79"/>
  <c r="M161" i="79"/>
  <c r="L161" i="79"/>
  <c r="N139" i="79"/>
  <c r="M139" i="79"/>
  <c r="L139" i="79"/>
  <c r="N138" i="79"/>
  <c r="M138" i="79"/>
  <c r="L138" i="79"/>
  <c r="N137" i="79"/>
  <c r="M137" i="79"/>
  <c r="L137" i="79"/>
  <c r="N136" i="79"/>
  <c r="M136" i="79"/>
  <c r="L136" i="79"/>
  <c r="N135" i="79"/>
  <c r="M135" i="79"/>
  <c r="L135" i="79"/>
  <c r="N134" i="79"/>
  <c r="M134" i="79"/>
  <c r="L134" i="79"/>
  <c r="N133" i="79"/>
  <c r="M133" i="79"/>
  <c r="L133" i="79"/>
  <c r="N132" i="79"/>
  <c r="M132" i="79"/>
  <c r="L132" i="79"/>
  <c r="N131" i="79"/>
  <c r="M131" i="79"/>
  <c r="L131" i="79"/>
  <c r="N124" i="79"/>
  <c r="M124" i="79"/>
  <c r="L124" i="79"/>
  <c r="N123" i="79"/>
  <c r="M123" i="79"/>
  <c r="L123" i="79"/>
  <c r="N122" i="79"/>
  <c r="M122" i="79"/>
  <c r="L122" i="79"/>
  <c r="N121" i="79"/>
  <c r="M121" i="79"/>
  <c r="L121" i="79"/>
  <c r="N120" i="79"/>
  <c r="M120" i="79"/>
  <c r="L120" i="79"/>
  <c r="N119" i="79"/>
  <c r="M119" i="79"/>
  <c r="L119" i="79"/>
  <c r="N118" i="79"/>
  <c r="M118" i="79"/>
  <c r="L118" i="79"/>
  <c r="N117" i="79"/>
  <c r="M117" i="79"/>
  <c r="L117" i="79"/>
  <c r="N116" i="79"/>
  <c r="M116" i="79"/>
  <c r="L116" i="79"/>
  <c r="N96" i="79"/>
  <c r="M96" i="79"/>
  <c r="L96" i="79"/>
  <c r="N95" i="79"/>
  <c r="M95" i="79"/>
  <c r="L95" i="79"/>
  <c r="N94" i="79"/>
  <c r="M94" i="79"/>
  <c r="L94" i="79"/>
  <c r="N93" i="79"/>
  <c r="M93" i="79"/>
  <c r="L93" i="79"/>
  <c r="N92" i="79"/>
  <c r="M92" i="79"/>
  <c r="L92" i="79"/>
  <c r="N91" i="79"/>
  <c r="M91" i="79"/>
  <c r="L91" i="79"/>
  <c r="N90" i="79"/>
  <c r="M90" i="79"/>
  <c r="L90" i="79"/>
  <c r="N89" i="79"/>
  <c r="M89" i="79"/>
  <c r="L89" i="79"/>
  <c r="N88" i="79"/>
  <c r="M88" i="79"/>
  <c r="L88" i="79"/>
  <c r="N81" i="79"/>
  <c r="M81" i="79"/>
  <c r="L81" i="79"/>
  <c r="N80" i="79"/>
  <c r="M80" i="79"/>
  <c r="L80" i="79"/>
  <c r="N79" i="79"/>
  <c r="M79" i="79"/>
  <c r="L79" i="79"/>
  <c r="N78" i="79"/>
  <c r="M78" i="79"/>
  <c r="L78" i="79"/>
  <c r="N77" i="79"/>
  <c r="M77" i="79"/>
  <c r="L77" i="79"/>
  <c r="N76" i="79"/>
  <c r="M76" i="79"/>
  <c r="L76" i="79"/>
  <c r="N75" i="79"/>
  <c r="M75" i="79"/>
  <c r="L75" i="79"/>
  <c r="N74" i="79"/>
  <c r="M74" i="79"/>
  <c r="L74" i="79"/>
  <c r="N73" i="79"/>
  <c r="M73" i="79"/>
  <c r="L73" i="79"/>
  <c r="N66" i="79"/>
  <c r="M66" i="79"/>
  <c r="L66" i="79"/>
  <c r="N65" i="79"/>
  <c r="M65" i="79"/>
  <c r="L65" i="79"/>
  <c r="N64" i="79"/>
  <c r="M64" i="79"/>
  <c r="L64" i="79"/>
  <c r="N63" i="79"/>
  <c r="M63" i="79"/>
  <c r="L63" i="79"/>
  <c r="N62" i="79"/>
  <c r="M62" i="79"/>
  <c r="L62" i="79"/>
  <c r="N61" i="79"/>
  <c r="M61" i="79"/>
  <c r="L61" i="79"/>
  <c r="N60" i="79"/>
  <c r="M60" i="79"/>
  <c r="L60" i="79"/>
  <c r="N59" i="79"/>
  <c r="M59" i="79"/>
  <c r="L59" i="79"/>
  <c r="N58" i="79"/>
  <c r="M58" i="79"/>
  <c r="L58" i="79"/>
  <c r="P28" i="79"/>
  <c r="H28" i="79"/>
  <c r="G28" i="79"/>
  <c r="E28" i="79"/>
  <c r="P26" i="79"/>
  <c r="H26" i="79"/>
  <c r="G26" i="79"/>
  <c r="E26" i="79"/>
  <c r="P25" i="79"/>
  <c r="H25" i="79"/>
  <c r="G25" i="79"/>
  <c r="E25" i="79"/>
  <c r="P24" i="79"/>
  <c r="H24" i="79"/>
  <c r="G24" i="79"/>
  <c r="E24" i="79"/>
  <c r="P23" i="79"/>
  <c r="H23" i="79"/>
  <c r="G23" i="79"/>
  <c r="E23" i="79"/>
  <c r="G22" i="79"/>
  <c r="I22" i="79" s="1"/>
  <c r="J22" i="79" s="1"/>
  <c r="R22" i="79" s="1"/>
  <c r="F508" i="79" s="1"/>
  <c r="P21" i="79"/>
  <c r="G21" i="79"/>
  <c r="I21" i="79" s="1"/>
  <c r="J21" i="79" s="1"/>
  <c r="E21" i="79"/>
  <c r="P20" i="79"/>
  <c r="H20" i="79"/>
  <c r="G20" i="79"/>
  <c r="E20" i="79"/>
  <c r="H19" i="79"/>
  <c r="G19" i="79"/>
  <c r="P18" i="79"/>
  <c r="H18" i="79"/>
  <c r="H17" i="79"/>
  <c r="G17" i="79"/>
  <c r="E17" i="79"/>
  <c r="P16" i="79"/>
  <c r="H16" i="79"/>
  <c r="G16" i="79"/>
  <c r="E16" i="79"/>
  <c r="F111" i="37"/>
  <c r="D111" i="37"/>
  <c r="F110" i="37"/>
  <c r="E110" i="37"/>
  <c r="D110" i="37"/>
  <c r="F109" i="37"/>
  <c r="E109" i="37"/>
  <c r="D109" i="37"/>
  <c r="F108" i="37"/>
  <c r="E108" i="37"/>
  <c r="D108" i="37"/>
  <c r="F107" i="37"/>
  <c r="E107" i="37"/>
  <c r="D107" i="37"/>
  <c r="F106" i="37"/>
  <c r="E106" i="37"/>
  <c r="D106" i="37"/>
  <c r="F105" i="37"/>
  <c r="E105" i="37"/>
  <c r="D105" i="37"/>
  <c r="F104" i="37"/>
  <c r="E104" i="37"/>
  <c r="D104" i="37"/>
  <c r="F103" i="37"/>
  <c r="E103" i="37"/>
  <c r="D103" i="37"/>
  <c r="F102" i="37"/>
  <c r="D102" i="37"/>
  <c r="F101" i="37"/>
  <c r="E101" i="37"/>
  <c r="D101" i="37"/>
  <c r="F100" i="37"/>
  <c r="D100" i="37"/>
  <c r="F99" i="37"/>
  <c r="D99" i="37"/>
  <c r="F98" i="37"/>
  <c r="E98" i="37"/>
  <c r="D98" i="37"/>
  <c r="F97" i="37"/>
  <c r="E97" i="37"/>
  <c r="F96" i="37"/>
  <c r="E96" i="37"/>
  <c r="D96" i="37"/>
  <c r="F95" i="37"/>
  <c r="E95" i="37"/>
  <c r="D95" i="37"/>
  <c r="F94" i="37"/>
  <c r="D94" i="37"/>
  <c r="G93" i="37"/>
  <c r="F93" i="37"/>
  <c r="E93" i="37"/>
  <c r="G88" i="37"/>
  <c r="H87" i="37"/>
  <c r="H86" i="37"/>
  <c r="F85" i="37"/>
  <c r="E111" i="37" s="1"/>
  <c r="H84" i="37"/>
  <c r="H83" i="37"/>
  <c r="H82" i="37"/>
  <c r="H81" i="37"/>
  <c r="H79" i="37"/>
  <c r="G110" i="37" s="1"/>
  <c r="H77" i="37"/>
  <c r="G109" i="37" s="1"/>
  <c r="H75" i="37"/>
  <c r="G108" i="37" s="1"/>
  <c r="H73" i="37"/>
  <c r="H72" i="37"/>
  <c r="H70" i="37"/>
  <c r="G106" i="37" s="1"/>
  <c r="H68" i="37"/>
  <c r="G105" i="37" s="1"/>
  <c r="H66" i="37"/>
  <c r="G104" i="37" s="1"/>
  <c r="H64" i="37"/>
  <c r="G103" i="37" s="1"/>
  <c r="H62" i="37"/>
  <c r="H61" i="37"/>
  <c r="F60" i="37"/>
  <c r="E102" i="37" s="1"/>
  <c r="H59" i="37"/>
  <c r="H58" i="37"/>
  <c r="H56" i="37"/>
  <c r="G101" i="37" s="1"/>
  <c r="H52" i="37"/>
  <c r="H51" i="37"/>
  <c r="H50" i="37"/>
  <c r="F49" i="37"/>
  <c r="H47" i="37"/>
  <c r="H46" i="37"/>
  <c r="H45" i="37"/>
  <c r="F44" i="37"/>
  <c r="H43" i="37"/>
  <c r="F42" i="37"/>
  <c r="H40" i="37"/>
  <c r="G98" i="37" s="1"/>
  <c r="H38" i="37"/>
  <c r="G97" i="37" s="1"/>
  <c r="H36" i="37"/>
  <c r="H35" i="37"/>
  <c r="H33" i="37"/>
  <c r="H32" i="37"/>
  <c r="H31" i="37"/>
  <c r="H30" i="37"/>
  <c r="H28" i="37"/>
  <c r="H27" i="37"/>
  <c r="H26" i="37"/>
  <c r="H25" i="37"/>
  <c r="H24" i="37"/>
  <c r="H23" i="37"/>
  <c r="H22" i="37"/>
  <c r="H21" i="37"/>
  <c r="H20" i="37"/>
  <c r="H18" i="37"/>
  <c r="H17" i="37"/>
  <c r="H16" i="37"/>
  <c r="H15" i="37"/>
  <c r="H14" i="37"/>
  <c r="H13" i="37"/>
  <c r="H12" i="37"/>
  <c r="H11" i="37"/>
  <c r="F10" i="37"/>
  <c r="G18" i="79" s="1"/>
  <c r="H9" i="37"/>
  <c r="H8" i="37"/>
  <c r="F138" i="26"/>
  <c r="I138" i="26" s="1"/>
  <c r="H131" i="26"/>
  <c r="F131" i="26"/>
  <c r="H129" i="26"/>
  <c r="F129" i="26"/>
  <c r="H123" i="26"/>
  <c r="F123" i="26"/>
  <c r="H121" i="26"/>
  <c r="F121" i="26"/>
  <c r="H115" i="26"/>
  <c r="F115" i="26"/>
  <c r="H113" i="26"/>
  <c r="F113" i="26"/>
  <c r="H111" i="26"/>
  <c r="F111" i="26"/>
  <c r="O109" i="26"/>
  <c r="P109" i="26" s="1"/>
  <c r="H109" i="26"/>
  <c r="F109" i="26"/>
  <c r="H107" i="26"/>
  <c r="F107" i="26"/>
  <c r="H106" i="26"/>
  <c r="F106" i="26"/>
  <c r="H105" i="26"/>
  <c r="F105" i="26"/>
  <c r="H104" i="26"/>
  <c r="F104" i="26"/>
  <c r="H103" i="26"/>
  <c r="F103" i="26"/>
  <c r="H102" i="26"/>
  <c r="F102" i="26"/>
  <c r="H101" i="26"/>
  <c r="F101" i="26"/>
  <c r="H100" i="26"/>
  <c r="F100" i="26"/>
  <c r="F93" i="26"/>
  <c r="F91" i="26"/>
  <c r="F89" i="26"/>
  <c r="O88" i="26"/>
  <c r="F87" i="26"/>
  <c r="F86" i="26"/>
  <c r="F85" i="26"/>
  <c r="H79" i="26"/>
  <c r="F79" i="26"/>
  <c r="H77" i="26"/>
  <c r="F77" i="26"/>
  <c r="H71" i="26"/>
  <c r="F71" i="26"/>
  <c r="H69" i="26"/>
  <c r="F69" i="26"/>
  <c r="H63" i="26"/>
  <c r="F63" i="26"/>
  <c r="H61" i="26"/>
  <c r="F61" i="26"/>
  <c r="H59" i="26"/>
  <c r="F59" i="26"/>
  <c r="H57" i="26"/>
  <c r="F57" i="26"/>
  <c r="H55" i="26"/>
  <c r="F55" i="26"/>
  <c r="H43" i="26"/>
  <c r="E43" i="26"/>
  <c r="G43" i="26" s="1"/>
  <c r="I340" i="9"/>
  <c r="G340" i="9"/>
  <c r="E340" i="9"/>
  <c r="K339" i="9"/>
  <c r="M339" i="9" s="1"/>
  <c r="K338" i="9"/>
  <c r="M338" i="9" s="1"/>
  <c r="I337" i="9"/>
  <c r="G337" i="9"/>
  <c r="E337" i="9"/>
  <c r="K336" i="9"/>
  <c r="M336" i="9" s="1"/>
  <c r="K335" i="9"/>
  <c r="M335" i="9" s="1"/>
  <c r="I334" i="9"/>
  <c r="G334" i="9"/>
  <c r="E334" i="9"/>
  <c r="K333" i="9"/>
  <c r="M333" i="9" s="1"/>
  <c r="K332" i="9"/>
  <c r="M332" i="9" s="1"/>
  <c r="K328" i="9"/>
  <c r="M328" i="9" s="1"/>
  <c r="K327" i="9"/>
  <c r="M327" i="9" s="1"/>
  <c r="K325" i="9"/>
  <c r="M325" i="9" s="1"/>
  <c r="K324" i="9"/>
  <c r="M324" i="9" s="1"/>
  <c r="K322" i="9"/>
  <c r="M322" i="9" s="1"/>
  <c r="K321" i="9"/>
  <c r="M321" i="9" s="1"/>
  <c r="L299" i="9"/>
  <c r="J299" i="9"/>
  <c r="H299" i="9"/>
  <c r="F299" i="9"/>
  <c r="N298" i="9"/>
  <c r="N297" i="9"/>
  <c r="L296" i="9"/>
  <c r="J296" i="9"/>
  <c r="H296" i="9"/>
  <c r="F296" i="9"/>
  <c r="N295" i="9"/>
  <c r="N294" i="9"/>
  <c r="E287" i="9"/>
  <c r="K284" i="9"/>
  <c r="M284" i="9" s="1"/>
  <c r="K283" i="9"/>
  <c r="M283" i="9" s="1"/>
  <c r="K279" i="9"/>
  <c r="M279" i="9" s="1"/>
  <c r="K278" i="9"/>
  <c r="M278" i="9" s="1"/>
  <c r="I275" i="9"/>
  <c r="I277" i="9" s="1"/>
  <c r="G275" i="9"/>
  <c r="G277" i="9" s="1"/>
  <c r="E275" i="9"/>
  <c r="E277" i="9" s="1"/>
  <c r="K274" i="9"/>
  <c r="M274" i="9" s="1"/>
  <c r="K273" i="9"/>
  <c r="M273" i="9" s="1"/>
  <c r="I270" i="9"/>
  <c r="G270" i="9"/>
  <c r="E270" i="9"/>
  <c r="K269" i="9"/>
  <c r="M269" i="9" s="1"/>
  <c r="K268" i="9"/>
  <c r="M268" i="9" s="1"/>
  <c r="I265" i="9"/>
  <c r="G265" i="9"/>
  <c r="E265" i="9"/>
  <c r="K264" i="9"/>
  <c r="M264" i="9" s="1"/>
  <c r="K263" i="9"/>
  <c r="M263" i="9" s="1"/>
  <c r="I260" i="9"/>
  <c r="I262" i="9" s="1"/>
  <c r="G260" i="9"/>
  <c r="G262" i="9" s="1"/>
  <c r="E260" i="9"/>
  <c r="E262" i="9" s="1"/>
  <c r="K259" i="9"/>
  <c r="M259" i="9" s="1"/>
  <c r="K258" i="9"/>
  <c r="M258" i="9" s="1"/>
  <c r="I255" i="9"/>
  <c r="I257" i="9" s="1"/>
  <c r="G255" i="9"/>
  <c r="G257" i="9" s="1"/>
  <c r="E255" i="9"/>
  <c r="E257" i="9" s="1"/>
  <c r="K254" i="9"/>
  <c r="M254" i="9" s="1"/>
  <c r="K253" i="9"/>
  <c r="M253" i="9" s="1"/>
  <c r="E250" i="9"/>
  <c r="E252" i="9" s="1"/>
  <c r="K248" i="9"/>
  <c r="E245" i="9"/>
  <c r="E247" i="9" s="1"/>
  <c r="K243" i="9"/>
  <c r="I237" i="9"/>
  <c r="I239" i="9" s="1"/>
  <c r="G237" i="9"/>
  <c r="G239" i="9" s="1"/>
  <c r="E237" i="9"/>
  <c r="E239" i="9" s="1"/>
  <c r="K236" i="9"/>
  <c r="M236" i="9" s="1"/>
  <c r="K235" i="9"/>
  <c r="M235" i="9" s="1"/>
  <c r="K226" i="9"/>
  <c r="M226" i="9" s="1"/>
  <c r="K225" i="9"/>
  <c r="M225" i="9" s="1"/>
  <c r="I224" i="9"/>
  <c r="G224" i="9"/>
  <c r="E224" i="9"/>
  <c r="K222" i="9"/>
  <c r="M222" i="9" s="1"/>
  <c r="I221" i="9"/>
  <c r="G221" i="9"/>
  <c r="E221" i="9"/>
  <c r="K219" i="9"/>
  <c r="M219" i="9" s="1"/>
  <c r="K215" i="9"/>
  <c r="M215" i="9" s="1"/>
  <c r="K214" i="9"/>
  <c r="M214" i="9" s="1"/>
  <c r="E213" i="9"/>
  <c r="K211" i="9"/>
  <c r="E210" i="9"/>
  <c r="K208" i="9"/>
  <c r="K204" i="9"/>
  <c r="M204" i="9" s="1"/>
  <c r="K203" i="9"/>
  <c r="M203" i="9" s="1"/>
  <c r="I202" i="9"/>
  <c r="G202" i="9"/>
  <c r="E202" i="9"/>
  <c r="K200" i="9"/>
  <c r="M200" i="9" s="1"/>
  <c r="I199" i="9"/>
  <c r="G199" i="9"/>
  <c r="E199" i="9"/>
  <c r="K197" i="9"/>
  <c r="M197" i="9" s="1"/>
  <c r="K188" i="9"/>
  <c r="M188" i="9" s="1"/>
  <c r="K187" i="9"/>
  <c r="M187" i="9" s="1"/>
  <c r="I186" i="9"/>
  <c r="G186" i="9"/>
  <c r="E186" i="9"/>
  <c r="K184" i="9"/>
  <c r="M184" i="9" s="1"/>
  <c r="M186" i="9" s="1"/>
  <c r="I183" i="9"/>
  <c r="G183" i="9"/>
  <c r="E183" i="9"/>
  <c r="K181" i="9"/>
  <c r="M181" i="9" s="1"/>
  <c r="K177" i="9"/>
  <c r="M177" i="9" s="1"/>
  <c r="K176" i="9"/>
  <c r="M176" i="9" s="1"/>
  <c r="J175" i="9"/>
  <c r="I175" i="9"/>
  <c r="H175" i="9"/>
  <c r="G175" i="9"/>
  <c r="F175" i="9"/>
  <c r="F180" i="9" s="1"/>
  <c r="E175" i="9"/>
  <c r="L173" i="9"/>
  <c r="N173" i="9" s="1"/>
  <c r="K173" i="9"/>
  <c r="M173" i="9" s="1"/>
  <c r="J172" i="9"/>
  <c r="I172" i="9"/>
  <c r="H172" i="9"/>
  <c r="G172" i="9"/>
  <c r="E172" i="9"/>
  <c r="L170" i="9"/>
  <c r="N170" i="9" s="1"/>
  <c r="K170" i="9"/>
  <c r="M170" i="9" s="1"/>
  <c r="K166" i="9"/>
  <c r="M166" i="9" s="1"/>
  <c r="K165" i="9"/>
  <c r="M165" i="9" s="1"/>
  <c r="E164" i="9"/>
  <c r="K162" i="9"/>
  <c r="E161" i="9"/>
  <c r="K159" i="9"/>
  <c r="K155" i="9"/>
  <c r="M155" i="9" s="1"/>
  <c r="K154" i="9"/>
  <c r="M154" i="9" s="1"/>
  <c r="I153" i="9"/>
  <c r="G153" i="9"/>
  <c r="E153" i="9"/>
  <c r="K151" i="9"/>
  <c r="M151" i="9" s="1"/>
  <c r="I150" i="9"/>
  <c r="G150" i="9"/>
  <c r="E150" i="9"/>
  <c r="K148" i="9"/>
  <c r="M148" i="9" s="1"/>
  <c r="I140" i="9"/>
  <c r="G140" i="9"/>
  <c r="E140" i="9"/>
  <c r="K139" i="9"/>
  <c r="M139" i="9" s="1"/>
  <c r="K138" i="9"/>
  <c r="M138" i="9" s="1"/>
  <c r="I137" i="9"/>
  <c r="G137" i="9"/>
  <c r="E137" i="9"/>
  <c r="K135" i="9"/>
  <c r="M135" i="9" s="1"/>
  <c r="I134" i="9"/>
  <c r="G134" i="9"/>
  <c r="E134" i="9"/>
  <c r="K133" i="9"/>
  <c r="M133" i="9" s="1"/>
  <c r="K132" i="9"/>
  <c r="M132" i="9" s="1"/>
  <c r="E129" i="9"/>
  <c r="K127" i="9"/>
  <c r="M127" i="9" s="1"/>
  <c r="J126" i="9"/>
  <c r="J131" i="9" s="1"/>
  <c r="I126" i="9"/>
  <c r="I131" i="9" s="1"/>
  <c r="H126" i="9"/>
  <c r="H131" i="9" s="1"/>
  <c r="G126" i="9"/>
  <c r="G131" i="9" s="1"/>
  <c r="F126" i="9"/>
  <c r="F131" i="9" s="1"/>
  <c r="E126" i="9"/>
  <c r="L124" i="9"/>
  <c r="N124" i="9" s="1"/>
  <c r="K124" i="9"/>
  <c r="M124" i="9" s="1"/>
  <c r="L122" i="9"/>
  <c r="N122" i="9" s="1"/>
  <c r="K122" i="9"/>
  <c r="M122" i="9" s="1"/>
  <c r="L121" i="9"/>
  <c r="N121" i="9" s="1"/>
  <c r="K121" i="9"/>
  <c r="M121" i="9" s="1"/>
  <c r="E118" i="9"/>
  <c r="K116" i="9"/>
  <c r="M116" i="9" s="1"/>
  <c r="E115" i="9"/>
  <c r="K114" i="9"/>
  <c r="M114" i="9" s="1"/>
  <c r="I112" i="9"/>
  <c r="I120" i="9" s="1"/>
  <c r="G112" i="9"/>
  <c r="G120" i="9" s="1"/>
  <c r="E112" i="9"/>
  <c r="K111" i="9"/>
  <c r="M111" i="9" s="1"/>
  <c r="I107" i="9"/>
  <c r="G107" i="9"/>
  <c r="E107" i="9"/>
  <c r="K106" i="9"/>
  <c r="M106" i="9" s="1"/>
  <c r="K105" i="9"/>
  <c r="M105" i="9" s="1"/>
  <c r="I104" i="9"/>
  <c r="G104" i="9"/>
  <c r="E104" i="9"/>
  <c r="K103" i="9"/>
  <c r="M103" i="9" s="1"/>
  <c r="K102" i="9"/>
  <c r="M102" i="9" s="1"/>
  <c r="I101" i="9"/>
  <c r="G101" i="9"/>
  <c r="E101" i="9"/>
  <c r="K100" i="9"/>
  <c r="M100" i="9" s="1"/>
  <c r="K99" i="9"/>
  <c r="M99" i="9" s="1"/>
  <c r="I91" i="9"/>
  <c r="G91" i="9"/>
  <c r="E91" i="9"/>
  <c r="K90" i="9"/>
  <c r="M90" i="9" s="1"/>
  <c r="K89" i="9"/>
  <c r="M89" i="9" s="1"/>
  <c r="I88" i="9"/>
  <c r="G88" i="9"/>
  <c r="E88" i="9"/>
  <c r="K87" i="9"/>
  <c r="M87" i="9" s="1"/>
  <c r="K86" i="9"/>
  <c r="M86" i="9" s="1"/>
  <c r="I85" i="9"/>
  <c r="G85" i="9"/>
  <c r="E85" i="9"/>
  <c r="K84" i="9"/>
  <c r="M84" i="9" s="1"/>
  <c r="K83" i="9"/>
  <c r="M83" i="9" s="1"/>
  <c r="K79" i="9"/>
  <c r="M79" i="9" s="1"/>
  <c r="K78" i="9"/>
  <c r="M78" i="9" s="1"/>
  <c r="K76" i="9"/>
  <c r="M76" i="9" s="1"/>
  <c r="K75" i="9"/>
  <c r="M75" i="9" s="1"/>
  <c r="K73" i="9"/>
  <c r="M73" i="9" s="1"/>
  <c r="K72" i="9"/>
  <c r="M72" i="9" s="1"/>
  <c r="I69" i="9"/>
  <c r="G69" i="9"/>
  <c r="E69" i="9"/>
  <c r="K68" i="9"/>
  <c r="M68" i="9" s="1"/>
  <c r="K67" i="9"/>
  <c r="M67" i="9" s="1"/>
  <c r="I66" i="9"/>
  <c r="G66" i="9"/>
  <c r="E66" i="9"/>
  <c r="K65" i="9"/>
  <c r="M65" i="9" s="1"/>
  <c r="K64" i="9"/>
  <c r="M64" i="9" s="1"/>
  <c r="I63" i="9"/>
  <c r="G63" i="9"/>
  <c r="E63" i="9"/>
  <c r="K62" i="9"/>
  <c r="M62" i="9" s="1"/>
  <c r="K61" i="9"/>
  <c r="M61" i="9" s="1"/>
  <c r="I58" i="9"/>
  <c r="G58" i="9"/>
  <c r="E58" i="9"/>
  <c r="M57" i="9"/>
  <c r="M56" i="9"/>
  <c r="M54" i="9"/>
  <c r="M53" i="9"/>
  <c r="I52" i="9"/>
  <c r="G52" i="9"/>
  <c r="E52" i="9"/>
  <c r="M51" i="9"/>
  <c r="K50" i="9"/>
  <c r="M50" i="9" s="1"/>
  <c r="I47" i="9"/>
  <c r="G47" i="9"/>
  <c r="E47" i="9"/>
  <c r="K46" i="9"/>
  <c r="M46" i="9" s="1"/>
  <c r="K45" i="9"/>
  <c r="M45" i="9" s="1"/>
  <c r="J44" i="9"/>
  <c r="I44" i="9"/>
  <c r="H44" i="9"/>
  <c r="G44" i="9"/>
  <c r="F44" i="9"/>
  <c r="E44" i="9"/>
  <c r="L43" i="9"/>
  <c r="N43" i="9" s="1"/>
  <c r="K43" i="9"/>
  <c r="M43" i="9" s="1"/>
  <c r="L42" i="9"/>
  <c r="N42" i="9" s="1"/>
  <c r="K42" i="9"/>
  <c r="M42" i="9" s="1"/>
  <c r="J41" i="9"/>
  <c r="I41" i="9"/>
  <c r="H41" i="9"/>
  <c r="G41" i="9"/>
  <c r="F41" i="9"/>
  <c r="E41" i="9"/>
  <c r="L40" i="9"/>
  <c r="N40" i="9" s="1"/>
  <c r="K40" i="9"/>
  <c r="M40" i="9" s="1"/>
  <c r="L39" i="9"/>
  <c r="N39" i="9" s="1"/>
  <c r="K39" i="9"/>
  <c r="M39" i="9" s="1"/>
  <c r="E36" i="9"/>
  <c r="K35" i="9"/>
  <c r="M35" i="9" s="1"/>
  <c r="K34" i="9"/>
  <c r="E33" i="9"/>
  <c r="K32" i="9"/>
  <c r="M31" i="9"/>
  <c r="E30" i="9"/>
  <c r="K29" i="9"/>
  <c r="M29" i="9" s="1"/>
  <c r="K28" i="9"/>
  <c r="I25" i="9"/>
  <c r="G25" i="9"/>
  <c r="E25" i="9"/>
  <c r="K24" i="9"/>
  <c r="M24" i="9" s="1"/>
  <c r="K23" i="9"/>
  <c r="M23" i="9" s="1"/>
  <c r="I22" i="9"/>
  <c r="G22" i="9"/>
  <c r="E22" i="9"/>
  <c r="K21" i="9"/>
  <c r="M21" i="9" s="1"/>
  <c r="K20" i="9"/>
  <c r="M20" i="9" s="1"/>
  <c r="I19" i="9"/>
  <c r="G19" i="9"/>
  <c r="E19" i="9"/>
  <c r="K18" i="9"/>
  <c r="M18" i="9" s="1"/>
  <c r="K17" i="9"/>
  <c r="M17" i="9" s="1"/>
  <c r="X54" i="8"/>
  <c r="W54" i="8"/>
  <c r="V54" i="8"/>
  <c r="U54" i="8"/>
  <c r="Y53" i="8"/>
  <c r="Y52" i="8"/>
  <c r="F52" i="8"/>
  <c r="E52" i="8"/>
  <c r="D52" i="8"/>
  <c r="C52" i="8"/>
  <c r="Y51" i="8"/>
  <c r="G51" i="8"/>
  <c r="Y50" i="8"/>
  <c r="G50" i="8"/>
  <c r="P49" i="8"/>
  <c r="O49" i="8"/>
  <c r="N49" i="8"/>
  <c r="M49" i="8"/>
  <c r="L49" i="8"/>
  <c r="G49" i="8"/>
  <c r="G48" i="8"/>
  <c r="X47" i="8"/>
  <c r="W47" i="8"/>
  <c r="V47" i="8"/>
  <c r="U47" i="8"/>
  <c r="Y46" i="8"/>
  <c r="Y45" i="8"/>
  <c r="F45" i="8"/>
  <c r="E45" i="8"/>
  <c r="D45" i="8"/>
  <c r="C45" i="8"/>
  <c r="Y44" i="8"/>
  <c r="G44" i="8"/>
  <c r="Y43" i="8"/>
  <c r="G43" i="8"/>
  <c r="Y42" i="8"/>
  <c r="P42" i="8"/>
  <c r="O42" i="8"/>
  <c r="N42" i="8"/>
  <c r="M42" i="8"/>
  <c r="L42" i="8"/>
  <c r="G42" i="8"/>
  <c r="Y41" i="8"/>
  <c r="G41" i="8"/>
  <c r="Y40" i="8"/>
  <c r="G40" i="8"/>
  <c r="Y39" i="8"/>
  <c r="G39" i="8"/>
  <c r="Y38" i="8"/>
  <c r="G38" i="8"/>
  <c r="Y37" i="8"/>
  <c r="G37" i="8"/>
  <c r="Y36" i="8"/>
  <c r="G36" i="8"/>
  <c r="Y35" i="8"/>
  <c r="G35" i="8"/>
  <c r="Y34" i="8"/>
  <c r="G34" i="8"/>
  <c r="Y33" i="8"/>
  <c r="G33" i="8"/>
  <c r="Y32" i="8"/>
  <c r="G32" i="8"/>
  <c r="Y31" i="8"/>
  <c r="G31" i="8"/>
  <c r="Y30" i="8"/>
  <c r="G30" i="8"/>
  <c r="Y29" i="8"/>
  <c r="G29" i="8"/>
  <c r="Y28" i="8"/>
  <c r="G28" i="8"/>
  <c r="Y27" i="8"/>
  <c r="G27" i="8"/>
  <c r="Y26" i="8"/>
  <c r="G26" i="8"/>
  <c r="Y25" i="8"/>
  <c r="G25" i="8"/>
  <c r="Y24" i="8"/>
  <c r="G24" i="8"/>
  <c r="Y23" i="8"/>
  <c r="G23" i="8"/>
  <c r="Y22" i="8"/>
  <c r="G22" i="8"/>
  <c r="Y21" i="8"/>
  <c r="G21" i="8"/>
  <c r="Y20" i="8"/>
  <c r="G20" i="8"/>
  <c r="Y19" i="8"/>
  <c r="G19" i="8"/>
  <c r="Y18" i="8"/>
  <c r="G18" i="8"/>
  <c r="Y17" i="8"/>
  <c r="G17" i="8"/>
  <c r="Y16" i="8"/>
  <c r="G16" i="8"/>
  <c r="Y15" i="8"/>
  <c r="G15" i="8"/>
  <c r="G14" i="8"/>
  <c r="G13" i="8"/>
  <c r="AR51" i="41"/>
  <c r="AA51" i="41" s="1"/>
  <c r="D88" i="42" s="1"/>
  <c r="AR32" i="41"/>
  <c r="AA32" i="41" s="1"/>
  <c r="AR17" i="41"/>
  <c r="AA17" i="41" s="1"/>
  <c r="AR10" i="41"/>
  <c r="AA10" i="41" s="1"/>
  <c r="D11" i="42" s="1"/>
  <c r="F8" i="41"/>
  <c r="G8" i="41" s="1"/>
  <c r="H8" i="41" s="1"/>
  <c r="I8" i="41" s="1"/>
  <c r="J8" i="41" s="1"/>
  <c r="K8" i="41" s="1"/>
  <c r="L8" i="41" s="1"/>
  <c r="M8" i="41" s="1"/>
  <c r="N8" i="41" s="1"/>
  <c r="O8" i="41" s="1"/>
  <c r="P8" i="41" s="1"/>
  <c r="Q8" i="41" s="1"/>
  <c r="R8" i="41" s="1"/>
  <c r="S8" i="41" s="1"/>
  <c r="T8" i="41" s="1"/>
  <c r="U8" i="41" s="1"/>
  <c r="I54" i="39"/>
  <c r="H54" i="39"/>
  <c r="G54" i="39"/>
  <c r="F54" i="39"/>
  <c r="E54" i="39"/>
  <c r="I51" i="39"/>
  <c r="H51" i="39"/>
  <c r="G51" i="39"/>
  <c r="F51" i="39"/>
  <c r="E51" i="39"/>
  <c r="J50" i="39"/>
  <c r="X49" i="41" s="1"/>
  <c r="J49" i="39"/>
  <c r="X48" i="41" s="1"/>
  <c r="I48" i="39"/>
  <c r="H48" i="39"/>
  <c r="G48" i="39"/>
  <c r="F48" i="39"/>
  <c r="E48" i="39"/>
  <c r="I45" i="39"/>
  <c r="H45" i="39"/>
  <c r="G45" i="39"/>
  <c r="F45" i="39"/>
  <c r="E45" i="39"/>
  <c r="I40" i="39"/>
  <c r="H40" i="39"/>
  <c r="G40" i="39"/>
  <c r="F40" i="39"/>
  <c r="E40" i="39"/>
  <c r="I39" i="39"/>
  <c r="H39" i="39"/>
  <c r="G39" i="39"/>
  <c r="F39" i="39"/>
  <c r="E39" i="39"/>
  <c r="X36" i="41"/>
  <c r="E36" i="39"/>
  <c r="I34" i="39"/>
  <c r="H34" i="39"/>
  <c r="G34" i="39"/>
  <c r="F34" i="39"/>
  <c r="E34" i="39"/>
  <c r="I32" i="39"/>
  <c r="H32" i="39"/>
  <c r="G32" i="39"/>
  <c r="F32" i="39"/>
  <c r="E32" i="39"/>
  <c r="I31" i="39"/>
  <c r="H31" i="39"/>
  <c r="G31" i="39"/>
  <c r="F31" i="39"/>
  <c r="E31" i="39"/>
  <c r="I28" i="39"/>
  <c r="H28" i="39"/>
  <c r="G28" i="39"/>
  <c r="F28" i="39"/>
  <c r="E28" i="39"/>
  <c r="I27" i="39"/>
  <c r="H27" i="39"/>
  <c r="G27" i="39"/>
  <c r="F27" i="39"/>
  <c r="E27" i="39"/>
  <c r="I26" i="39"/>
  <c r="H26" i="39"/>
  <c r="G26" i="39"/>
  <c r="F26" i="39"/>
  <c r="E26" i="39"/>
  <c r="I24" i="39"/>
  <c r="H24" i="39"/>
  <c r="G24" i="39"/>
  <c r="F24" i="39"/>
  <c r="E24" i="39"/>
  <c r="I23" i="39"/>
  <c r="H23" i="39"/>
  <c r="G23" i="39"/>
  <c r="F23" i="39"/>
  <c r="E23" i="39"/>
  <c r="I22" i="39"/>
  <c r="H22" i="39"/>
  <c r="G22" i="39"/>
  <c r="F22" i="39"/>
  <c r="E22" i="39"/>
  <c r="I21" i="39"/>
  <c r="H21" i="39"/>
  <c r="G21" i="39"/>
  <c r="F21" i="39"/>
  <c r="E21" i="39"/>
  <c r="I20" i="39"/>
  <c r="H20" i="39"/>
  <c r="G20" i="39"/>
  <c r="F20" i="39"/>
  <c r="E20" i="39"/>
  <c r="I19" i="39"/>
  <c r="H19" i="39"/>
  <c r="G19" i="39"/>
  <c r="F19" i="39"/>
  <c r="E19" i="39"/>
  <c r="I18" i="39"/>
  <c r="H18" i="39"/>
  <c r="G18" i="39"/>
  <c r="F18" i="39"/>
  <c r="E18" i="39"/>
  <c r="I17" i="39"/>
  <c r="H17" i="39"/>
  <c r="G17" i="39"/>
  <c r="F17" i="39"/>
  <c r="E17" i="39"/>
  <c r="I16" i="39"/>
  <c r="H16" i="39"/>
  <c r="G16" i="39"/>
  <c r="F16" i="39"/>
  <c r="E16" i="39"/>
  <c r="J14" i="39"/>
  <c r="X14" i="41" s="1"/>
  <c r="I13" i="39"/>
  <c r="H13" i="39"/>
  <c r="G13" i="39"/>
  <c r="F13" i="39"/>
  <c r="E13" i="39"/>
  <c r="I12" i="39"/>
  <c r="H12" i="39"/>
  <c r="G12" i="39"/>
  <c r="F12" i="39"/>
  <c r="E12" i="39"/>
  <c r="I11" i="39"/>
  <c r="H11" i="39"/>
  <c r="G11" i="39"/>
  <c r="F11" i="39"/>
  <c r="E11" i="39"/>
  <c r="I10" i="39"/>
  <c r="H10" i="39"/>
  <c r="G10" i="39"/>
  <c r="F10" i="39"/>
  <c r="E10" i="39"/>
  <c r="I8" i="39"/>
  <c r="D156" i="38"/>
  <c r="D157" i="38" s="1"/>
  <c r="D158" i="38" s="1"/>
  <c r="D159" i="38" s="1"/>
  <c r="D160" i="38" s="1"/>
  <c r="D161" i="38" s="1"/>
  <c r="D162" i="38" s="1"/>
  <c r="D163" i="38" s="1"/>
  <c r="D164" i="38" s="1"/>
  <c r="D165" i="38" s="1"/>
  <c r="D166" i="38" s="1"/>
  <c r="D167" i="38" s="1"/>
  <c r="D168" i="38" s="1"/>
  <c r="D169" i="38" s="1"/>
  <c r="D170" i="38" s="1"/>
  <c r="D171" i="38" s="1"/>
  <c r="D132" i="38"/>
  <c r="D133" i="38" s="1"/>
  <c r="D134" i="38" s="1"/>
  <c r="D135" i="38" s="1"/>
  <c r="D136" i="38" s="1"/>
  <c r="D137" i="38" s="1"/>
  <c r="D138" i="38" s="1"/>
  <c r="D139" i="38" s="1"/>
  <c r="D140" i="38" s="1"/>
  <c r="D141" i="38" s="1"/>
  <c r="D142" i="38" s="1"/>
  <c r="D143" i="38" s="1"/>
  <c r="D144" i="38" s="1"/>
  <c r="D145" i="38" s="1"/>
  <c r="D146" i="38" s="1"/>
  <c r="D147" i="38" s="1"/>
  <c r="D107" i="38"/>
  <c r="D108" i="38" s="1"/>
  <c r="D109" i="38" s="1"/>
  <c r="D110" i="38" s="1"/>
  <c r="D111" i="38" s="1"/>
  <c r="D112" i="38" s="1"/>
  <c r="D113" i="38" s="1"/>
  <c r="D114" i="38" s="1"/>
  <c r="D115" i="38" s="1"/>
  <c r="D116" i="38" s="1"/>
  <c r="D117" i="38" s="1"/>
  <c r="D118" i="38" s="1"/>
  <c r="D119" i="38" s="1"/>
  <c r="D120" i="38" s="1"/>
  <c r="D121" i="38" s="1"/>
  <c r="D122" i="38" s="1"/>
  <c r="H105" i="38"/>
  <c r="G105" i="38"/>
  <c r="F105" i="38"/>
  <c r="D80" i="38"/>
  <c r="D81" i="38" s="1"/>
  <c r="D82" i="38" s="1"/>
  <c r="D83" i="38" s="1"/>
  <c r="D84" i="38" s="1"/>
  <c r="D85" i="38" s="1"/>
  <c r="D86" i="38" s="1"/>
  <c r="D87" i="38" s="1"/>
  <c r="D88" i="38" s="1"/>
  <c r="D89" i="38" s="1"/>
  <c r="D90" i="38" s="1"/>
  <c r="D91" i="38" s="1"/>
  <c r="D92" i="38" s="1"/>
  <c r="D93" i="38" s="1"/>
  <c r="D94" i="38" s="1"/>
  <c r="D95" i="38" s="1"/>
  <c r="D51" i="38"/>
  <c r="D52" i="38" s="1"/>
  <c r="D53" i="38" s="1"/>
  <c r="D54" i="38" s="1"/>
  <c r="D55" i="38" s="1"/>
  <c r="D56" i="38" s="1"/>
  <c r="D57" i="38" s="1"/>
  <c r="D58" i="38" s="1"/>
  <c r="D59" i="38" s="1"/>
  <c r="D60" i="38" s="1"/>
  <c r="D61" i="38" s="1"/>
  <c r="D62" i="38" s="1"/>
  <c r="D63" i="38" s="1"/>
  <c r="D64" i="38" s="1"/>
  <c r="D65" i="38" s="1"/>
  <c r="D66" i="38" s="1"/>
  <c r="D23" i="38"/>
  <c r="D24" i="38" s="1"/>
  <c r="D25" i="38" s="1"/>
  <c r="D26" i="38" s="1"/>
  <c r="D27" i="38" s="1"/>
  <c r="D28" i="38" s="1"/>
  <c r="D29" i="38" s="1"/>
  <c r="D30" i="38" s="1"/>
  <c r="D31" i="38" s="1"/>
  <c r="D32" i="38" s="1"/>
  <c r="D33" i="38" s="1"/>
  <c r="D34" i="38" s="1"/>
  <c r="D35" i="38" s="1"/>
  <c r="D36" i="38" s="1"/>
  <c r="D37" i="38" s="1"/>
  <c r="D38" i="38" s="1"/>
  <c r="G44" i="36"/>
  <c r="G45" i="36" s="1"/>
  <c r="G46" i="36" s="1"/>
  <c r="G47" i="36" s="1"/>
  <c r="G48" i="36" s="1"/>
  <c r="G49" i="36" s="1"/>
  <c r="G50" i="36" s="1"/>
  <c r="G51" i="36" s="1"/>
  <c r="G52" i="36" s="1"/>
  <c r="G53" i="36" s="1"/>
  <c r="G54" i="36" s="1"/>
  <c r="G55" i="36" s="1"/>
  <c r="G56" i="36" s="1"/>
  <c r="G57" i="36" s="1"/>
  <c r="G58" i="36" s="1"/>
  <c r="G59" i="36" s="1"/>
  <c r="C44" i="36"/>
  <c r="C45" i="36" s="1"/>
  <c r="C46" i="36" s="1"/>
  <c r="C47" i="36" s="1"/>
  <c r="C48" i="36" s="1"/>
  <c r="C49" i="36" s="1"/>
  <c r="C50" i="36" s="1"/>
  <c r="C51" i="36" s="1"/>
  <c r="C52" i="36" s="1"/>
  <c r="C53" i="36" s="1"/>
  <c r="C54" i="36" s="1"/>
  <c r="C55" i="36" s="1"/>
  <c r="C56" i="36" s="1"/>
  <c r="C57" i="36" s="1"/>
  <c r="C58" i="36" s="1"/>
  <c r="C59" i="36" s="1"/>
  <c r="C18" i="36"/>
  <c r="C19" i="36" s="1"/>
  <c r="C20" i="36" s="1"/>
  <c r="C21" i="36" s="1"/>
  <c r="C22" i="36" s="1"/>
  <c r="C23" i="36" s="1"/>
  <c r="C24" i="36" s="1"/>
  <c r="C25" i="36" s="1"/>
  <c r="C26" i="36" s="1"/>
  <c r="C27" i="36" s="1"/>
  <c r="C28" i="36" s="1"/>
  <c r="C29" i="36" s="1"/>
  <c r="C30" i="36" s="1"/>
  <c r="C31" i="36" s="1"/>
  <c r="C32" i="36" s="1"/>
  <c r="C33" i="36" s="1"/>
  <c r="N248" i="44"/>
  <c r="L248" i="44"/>
  <c r="K248" i="44"/>
  <c r="I248" i="44"/>
  <c r="G248" i="44"/>
  <c r="F248" i="44"/>
  <c r="N247" i="44"/>
  <c r="L247" i="44"/>
  <c r="K247" i="44"/>
  <c r="I247" i="44"/>
  <c r="G247" i="44"/>
  <c r="F247" i="44"/>
  <c r="N246" i="44"/>
  <c r="L246" i="44"/>
  <c r="K246" i="44"/>
  <c r="I246" i="44"/>
  <c r="G246" i="44"/>
  <c r="F246" i="44"/>
  <c r="N245" i="44"/>
  <c r="L245" i="44"/>
  <c r="K245" i="44"/>
  <c r="I245" i="44"/>
  <c r="G245" i="44"/>
  <c r="F245" i="44"/>
  <c r="N244" i="44"/>
  <c r="L244" i="44"/>
  <c r="K244" i="44"/>
  <c r="I244" i="44"/>
  <c r="G244" i="44"/>
  <c r="F244" i="44"/>
  <c r="N243" i="44"/>
  <c r="L243" i="44"/>
  <c r="K243" i="44"/>
  <c r="I243" i="44"/>
  <c r="G243" i="44"/>
  <c r="F243" i="44"/>
  <c r="N242" i="44"/>
  <c r="L242" i="44"/>
  <c r="K242" i="44"/>
  <c r="I242" i="44"/>
  <c r="G242" i="44"/>
  <c r="F242" i="44"/>
  <c r="N241" i="44"/>
  <c r="L241" i="44"/>
  <c r="K241" i="44"/>
  <c r="I241" i="44"/>
  <c r="G241" i="44"/>
  <c r="F241" i="44"/>
  <c r="N240" i="44"/>
  <c r="L240" i="44"/>
  <c r="K240" i="44"/>
  <c r="I240" i="44"/>
  <c r="G240" i="44"/>
  <c r="F240" i="44"/>
  <c r="D239" i="44"/>
  <c r="N238" i="44"/>
  <c r="L238" i="44"/>
  <c r="K238" i="44"/>
  <c r="I238" i="44"/>
  <c r="G238" i="44"/>
  <c r="F238" i="44"/>
  <c r="N237" i="44"/>
  <c r="L237" i="44"/>
  <c r="K237" i="44"/>
  <c r="I237" i="44"/>
  <c r="G237" i="44"/>
  <c r="F237" i="44"/>
  <c r="N236" i="44"/>
  <c r="L236" i="44"/>
  <c r="K236" i="44"/>
  <c r="I236" i="44"/>
  <c r="G236" i="44"/>
  <c r="F236" i="44"/>
  <c r="N235" i="44"/>
  <c r="L235" i="44"/>
  <c r="K235" i="44"/>
  <c r="I235" i="44"/>
  <c r="G235" i="44"/>
  <c r="F235" i="44"/>
  <c r="N234" i="44"/>
  <c r="L234" i="44"/>
  <c r="K234" i="44"/>
  <c r="I234" i="44"/>
  <c r="G234" i="44"/>
  <c r="F234" i="44"/>
  <c r="N233" i="44"/>
  <c r="L233" i="44"/>
  <c r="K233" i="44"/>
  <c r="I233" i="44"/>
  <c r="G233" i="44"/>
  <c r="F233" i="44"/>
  <c r="N232" i="44"/>
  <c r="L232" i="44"/>
  <c r="K232" i="44"/>
  <c r="I232" i="44"/>
  <c r="G232" i="44"/>
  <c r="F232" i="44"/>
  <c r="N231" i="44"/>
  <c r="L231" i="44"/>
  <c r="K231" i="44"/>
  <c r="I231" i="44"/>
  <c r="G231" i="44"/>
  <c r="F231" i="44"/>
  <c r="N230" i="44"/>
  <c r="L230" i="44"/>
  <c r="K230" i="44"/>
  <c r="I230" i="44"/>
  <c r="G230" i="44"/>
  <c r="F230" i="44"/>
  <c r="N229" i="44"/>
  <c r="L229" i="44"/>
  <c r="K229" i="44"/>
  <c r="I229" i="44"/>
  <c r="G229" i="44"/>
  <c r="F229" i="44"/>
  <c r="N228" i="44"/>
  <c r="L228" i="44"/>
  <c r="K228" i="44"/>
  <c r="I228" i="44"/>
  <c r="G228" i="44"/>
  <c r="F228" i="44"/>
  <c r="N227" i="44"/>
  <c r="L227" i="44"/>
  <c r="K227" i="44"/>
  <c r="I227" i="44"/>
  <c r="G227" i="44"/>
  <c r="F227" i="44"/>
  <c r="N226" i="44"/>
  <c r="L226" i="44"/>
  <c r="K226" i="44"/>
  <c r="I226" i="44"/>
  <c r="G226" i="44"/>
  <c r="F226" i="44"/>
  <c r="N225" i="44"/>
  <c r="L225" i="44"/>
  <c r="K225" i="44"/>
  <c r="I225" i="44"/>
  <c r="G225" i="44"/>
  <c r="F225" i="44"/>
  <c r="N224" i="44"/>
  <c r="L224" i="44"/>
  <c r="K224" i="44"/>
  <c r="I224" i="44"/>
  <c r="G224" i="44"/>
  <c r="F224" i="44"/>
  <c r="N223" i="44"/>
  <c r="L223" i="44"/>
  <c r="K223" i="44"/>
  <c r="I223" i="44"/>
  <c r="G223" i="44"/>
  <c r="F223" i="44"/>
  <c r="N222" i="44"/>
  <c r="L222" i="44"/>
  <c r="K222" i="44"/>
  <c r="I222" i="44"/>
  <c r="G222" i="44"/>
  <c r="F222" i="44"/>
  <c r="N221" i="44"/>
  <c r="L221" i="44"/>
  <c r="K221" i="44"/>
  <c r="I221" i="44"/>
  <c r="G221" i="44"/>
  <c r="F221" i="44"/>
  <c r="N220" i="44"/>
  <c r="L220" i="44"/>
  <c r="K220" i="44"/>
  <c r="I220" i="44"/>
  <c r="G220" i="44"/>
  <c r="F220" i="44"/>
  <c r="N219" i="44"/>
  <c r="L219" i="44"/>
  <c r="K219" i="44"/>
  <c r="I219" i="44"/>
  <c r="G219" i="44"/>
  <c r="F219" i="44"/>
  <c r="N218" i="44"/>
  <c r="L218" i="44"/>
  <c r="K218" i="44"/>
  <c r="I218" i="44"/>
  <c r="G218" i="44"/>
  <c r="F218" i="44"/>
  <c r="N217" i="44"/>
  <c r="L217" i="44"/>
  <c r="K217" i="44"/>
  <c r="I217" i="44"/>
  <c r="G217" i="44"/>
  <c r="F217" i="44"/>
  <c r="N216" i="44"/>
  <c r="L216" i="44"/>
  <c r="K216" i="44"/>
  <c r="I216" i="44"/>
  <c r="G216" i="44"/>
  <c r="F216" i="44"/>
  <c r="N215" i="44"/>
  <c r="L215" i="44"/>
  <c r="K215" i="44"/>
  <c r="I215" i="44"/>
  <c r="G215" i="44"/>
  <c r="F215" i="44"/>
  <c r="N214" i="44"/>
  <c r="L214" i="44"/>
  <c r="K214" i="44"/>
  <c r="I214" i="44"/>
  <c r="G214" i="44"/>
  <c r="F214" i="44"/>
  <c r="N213" i="44"/>
  <c r="L213" i="44"/>
  <c r="K213" i="44"/>
  <c r="I213" i="44"/>
  <c r="G213" i="44"/>
  <c r="F213" i="44"/>
  <c r="N212" i="44"/>
  <c r="L212" i="44"/>
  <c r="K212" i="44"/>
  <c r="I212" i="44"/>
  <c r="G212" i="44"/>
  <c r="F212" i="44"/>
  <c r="N211" i="44"/>
  <c r="L211" i="44"/>
  <c r="K211" i="44"/>
  <c r="I211" i="44"/>
  <c r="G211" i="44"/>
  <c r="F211" i="44"/>
  <c r="N210" i="44"/>
  <c r="L210" i="44"/>
  <c r="K210" i="44"/>
  <c r="I210" i="44"/>
  <c r="G210" i="44"/>
  <c r="F210" i="44"/>
  <c r="N209" i="44"/>
  <c r="L209" i="44"/>
  <c r="K209" i="44"/>
  <c r="I209" i="44"/>
  <c r="G209" i="44"/>
  <c r="F209" i="44"/>
  <c r="N208" i="44"/>
  <c r="L208" i="44"/>
  <c r="K208" i="44"/>
  <c r="I208" i="44"/>
  <c r="G208" i="44"/>
  <c r="F208" i="44"/>
  <c r="N207" i="44"/>
  <c r="L207" i="44"/>
  <c r="K207" i="44"/>
  <c r="I207" i="44"/>
  <c r="G207" i="44"/>
  <c r="F207" i="44"/>
  <c r="N206" i="44"/>
  <c r="L206" i="44"/>
  <c r="K206" i="44"/>
  <c r="I206" i="44"/>
  <c r="G206" i="44"/>
  <c r="F206" i="44"/>
  <c r="N205" i="44"/>
  <c r="L205" i="44"/>
  <c r="K205" i="44"/>
  <c r="I205" i="44"/>
  <c r="G205" i="44"/>
  <c r="F205" i="44"/>
  <c r="N203" i="44"/>
  <c r="L203" i="44"/>
  <c r="K203" i="44"/>
  <c r="I203" i="44"/>
  <c r="G203" i="44"/>
  <c r="F203" i="44"/>
  <c r="N202" i="44"/>
  <c r="L202" i="44"/>
  <c r="K202" i="44"/>
  <c r="I202" i="44"/>
  <c r="G202" i="44"/>
  <c r="F202" i="44"/>
  <c r="N201" i="44"/>
  <c r="L201" i="44"/>
  <c r="K201" i="44"/>
  <c r="I201" i="44"/>
  <c r="G201" i="44"/>
  <c r="F201" i="44"/>
  <c r="N200" i="44"/>
  <c r="L200" i="44"/>
  <c r="K200" i="44"/>
  <c r="I200" i="44"/>
  <c r="G200" i="44"/>
  <c r="F200" i="44"/>
  <c r="D199" i="44"/>
  <c r="N198" i="44"/>
  <c r="L198" i="44"/>
  <c r="K198" i="44"/>
  <c r="I198" i="44"/>
  <c r="G198" i="44"/>
  <c r="F198" i="44"/>
  <c r="N197" i="44"/>
  <c r="L197" i="44"/>
  <c r="K197" i="44"/>
  <c r="I197" i="44"/>
  <c r="G197" i="44"/>
  <c r="F197" i="44"/>
  <c r="N196" i="44"/>
  <c r="L196" i="44"/>
  <c r="K196" i="44"/>
  <c r="I196" i="44"/>
  <c r="G196" i="44"/>
  <c r="F196" i="44"/>
  <c r="N195" i="44"/>
  <c r="L195" i="44"/>
  <c r="K195" i="44"/>
  <c r="I195" i="44"/>
  <c r="G195" i="44"/>
  <c r="F195" i="44"/>
  <c r="N194" i="44"/>
  <c r="L194" i="44"/>
  <c r="K194" i="44"/>
  <c r="I194" i="44"/>
  <c r="G194" i="44"/>
  <c r="F194" i="44"/>
  <c r="N193" i="44"/>
  <c r="L193" i="44"/>
  <c r="K193" i="44"/>
  <c r="I193" i="44"/>
  <c r="G193" i="44"/>
  <c r="F193" i="44"/>
  <c r="N192" i="44"/>
  <c r="L192" i="44"/>
  <c r="K192" i="44"/>
  <c r="I192" i="44"/>
  <c r="G192" i="44"/>
  <c r="F192" i="44"/>
  <c r="N191" i="44"/>
  <c r="L191" i="44"/>
  <c r="K191" i="44"/>
  <c r="I191" i="44"/>
  <c r="G191" i="44"/>
  <c r="F191" i="44"/>
  <c r="N190" i="44"/>
  <c r="L190" i="44"/>
  <c r="K190" i="44"/>
  <c r="I190" i="44"/>
  <c r="G190" i="44"/>
  <c r="F190" i="44"/>
  <c r="N189" i="44"/>
  <c r="L189" i="44"/>
  <c r="K189" i="44"/>
  <c r="I189" i="44"/>
  <c r="G189" i="44"/>
  <c r="F189" i="44"/>
  <c r="D188" i="44"/>
  <c r="N187" i="44"/>
  <c r="L187" i="44"/>
  <c r="K187" i="44"/>
  <c r="I187" i="44"/>
  <c r="G187" i="44"/>
  <c r="F187" i="44"/>
  <c r="N186" i="44"/>
  <c r="L186" i="44"/>
  <c r="K186" i="44"/>
  <c r="I186" i="44"/>
  <c r="G186" i="44"/>
  <c r="F186" i="44"/>
  <c r="N185" i="44"/>
  <c r="L185" i="44"/>
  <c r="K185" i="44"/>
  <c r="I185" i="44"/>
  <c r="G185" i="44"/>
  <c r="F185" i="44"/>
  <c r="N184" i="44"/>
  <c r="L184" i="44"/>
  <c r="K184" i="44"/>
  <c r="I184" i="44"/>
  <c r="G184" i="44"/>
  <c r="F184" i="44"/>
  <c r="N183" i="44"/>
  <c r="L183" i="44"/>
  <c r="K183" i="44"/>
  <c r="I183" i="44"/>
  <c r="G183" i="44"/>
  <c r="F183" i="44"/>
  <c r="N182" i="44"/>
  <c r="L182" i="44"/>
  <c r="K182" i="44"/>
  <c r="I182" i="44"/>
  <c r="G182" i="44"/>
  <c r="F182" i="44"/>
  <c r="N181" i="44"/>
  <c r="L181" i="44"/>
  <c r="K181" i="44"/>
  <c r="I181" i="44"/>
  <c r="G181" i="44"/>
  <c r="F181" i="44"/>
  <c r="N180" i="44"/>
  <c r="L180" i="44"/>
  <c r="K180" i="44"/>
  <c r="I180" i="44"/>
  <c r="G180" i="44"/>
  <c r="F180" i="44"/>
  <c r="N179" i="44"/>
  <c r="L179" i="44"/>
  <c r="K179" i="44"/>
  <c r="I179" i="44"/>
  <c r="G179" i="44"/>
  <c r="F179" i="44"/>
  <c r="N178" i="44"/>
  <c r="L178" i="44"/>
  <c r="K178" i="44"/>
  <c r="I178" i="44"/>
  <c r="G178" i="44"/>
  <c r="F178" i="44"/>
  <c r="N177" i="44"/>
  <c r="L177" i="44"/>
  <c r="K177" i="44"/>
  <c r="I177" i="44"/>
  <c r="G177" i="44"/>
  <c r="F177" i="44"/>
  <c r="N176" i="44"/>
  <c r="L176" i="44"/>
  <c r="K176" i="44"/>
  <c r="I176" i="44"/>
  <c r="G176" i="44"/>
  <c r="F176" i="44"/>
  <c r="N175" i="44"/>
  <c r="L175" i="44"/>
  <c r="K175" i="44"/>
  <c r="I175" i="44"/>
  <c r="G175" i="44"/>
  <c r="F175" i="44"/>
  <c r="N174" i="44"/>
  <c r="L174" i="44"/>
  <c r="K174" i="44"/>
  <c r="I174" i="44"/>
  <c r="G174" i="44"/>
  <c r="F174" i="44"/>
  <c r="N173" i="44"/>
  <c r="L173" i="44"/>
  <c r="K173" i="44"/>
  <c r="I173" i="44"/>
  <c r="G173" i="44"/>
  <c r="F173" i="44"/>
  <c r="N172" i="44"/>
  <c r="L172" i="44"/>
  <c r="K172" i="44"/>
  <c r="I172" i="44"/>
  <c r="G172" i="44"/>
  <c r="F172" i="44"/>
  <c r="N171" i="44"/>
  <c r="L171" i="44"/>
  <c r="K171" i="44"/>
  <c r="I171" i="44"/>
  <c r="G171" i="44"/>
  <c r="F171" i="44"/>
  <c r="N170" i="44"/>
  <c r="L170" i="44"/>
  <c r="K170" i="44"/>
  <c r="I170" i="44"/>
  <c r="G170" i="44"/>
  <c r="F170" i="44"/>
  <c r="N169" i="44"/>
  <c r="L169" i="44"/>
  <c r="K169" i="44"/>
  <c r="I169" i="44"/>
  <c r="G169" i="44"/>
  <c r="F169" i="44"/>
  <c r="N168" i="44"/>
  <c r="L168" i="44"/>
  <c r="K168" i="44"/>
  <c r="I168" i="44"/>
  <c r="G168" i="44"/>
  <c r="F168" i="44"/>
  <c r="N167" i="44"/>
  <c r="L167" i="44"/>
  <c r="K167" i="44"/>
  <c r="I167" i="44"/>
  <c r="G167" i="44"/>
  <c r="F167" i="44"/>
  <c r="N166" i="44"/>
  <c r="L166" i="44"/>
  <c r="K166" i="44"/>
  <c r="I166" i="44"/>
  <c r="G166" i="44"/>
  <c r="F166" i="44"/>
  <c r="N165" i="44"/>
  <c r="L165" i="44"/>
  <c r="K165" i="44"/>
  <c r="I165" i="44"/>
  <c r="G165" i="44"/>
  <c r="F165" i="44"/>
  <c r="N164" i="44"/>
  <c r="L164" i="44"/>
  <c r="K164" i="44"/>
  <c r="I164" i="44"/>
  <c r="G164" i="44"/>
  <c r="F164" i="44"/>
  <c r="N163" i="44"/>
  <c r="L163" i="44"/>
  <c r="K163" i="44"/>
  <c r="I163" i="44"/>
  <c r="G163" i="44"/>
  <c r="F163" i="44"/>
  <c r="N162" i="44"/>
  <c r="L162" i="44"/>
  <c r="K162" i="44"/>
  <c r="I162" i="44"/>
  <c r="G162" i="44"/>
  <c r="F162" i="44"/>
  <c r="N161" i="44"/>
  <c r="L161" i="44"/>
  <c r="K161" i="44"/>
  <c r="I161" i="44"/>
  <c r="G161" i="44"/>
  <c r="F161" i="44"/>
  <c r="N160" i="44"/>
  <c r="L160" i="44"/>
  <c r="K160" i="44"/>
  <c r="I160" i="44"/>
  <c r="G160" i="44"/>
  <c r="F160" i="44"/>
  <c r="N159" i="44"/>
  <c r="L159" i="44"/>
  <c r="K159" i="44"/>
  <c r="I159" i="44"/>
  <c r="G159" i="44"/>
  <c r="F159" i="44"/>
  <c r="N158" i="44"/>
  <c r="L158" i="44"/>
  <c r="K158" i="44"/>
  <c r="I158" i="44"/>
  <c r="G158" i="44"/>
  <c r="F158" i="44"/>
  <c r="N157" i="44"/>
  <c r="L157" i="44"/>
  <c r="K157" i="44"/>
  <c r="I157" i="44"/>
  <c r="G157" i="44"/>
  <c r="F157" i="44"/>
  <c r="N156" i="44"/>
  <c r="L156" i="44"/>
  <c r="K156" i="44"/>
  <c r="I156" i="44"/>
  <c r="G156" i="44"/>
  <c r="F156" i="44"/>
  <c r="N155" i="44"/>
  <c r="L155" i="44"/>
  <c r="K155" i="44"/>
  <c r="I155" i="44"/>
  <c r="G155" i="44"/>
  <c r="F155" i="44"/>
  <c r="N154" i="44"/>
  <c r="L154" i="44"/>
  <c r="K154" i="44"/>
  <c r="I154" i="44"/>
  <c r="G154" i="44"/>
  <c r="F154" i="44"/>
  <c r="N153" i="44"/>
  <c r="L153" i="44"/>
  <c r="K153" i="44"/>
  <c r="I153" i="44"/>
  <c r="G153" i="44"/>
  <c r="F153" i="44"/>
  <c r="N152" i="44"/>
  <c r="L152" i="44"/>
  <c r="K152" i="44"/>
  <c r="I152" i="44"/>
  <c r="G152" i="44"/>
  <c r="F152" i="44"/>
  <c r="N151" i="44"/>
  <c r="L151" i="44"/>
  <c r="K151" i="44"/>
  <c r="I151" i="44"/>
  <c r="G151" i="44"/>
  <c r="F151" i="44"/>
  <c r="N150" i="44"/>
  <c r="L150" i="44"/>
  <c r="K150" i="44"/>
  <c r="I150" i="44"/>
  <c r="G150" i="44"/>
  <c r="F150" i="44"/>
  <c r="N149" i="44"/>
  <c r="L149" i="44"/>
  <c r="K149" i="44"/>
  <c r="I149" i="44"/>
  <c r="G149" i="44"/>
  <c r="F149" i="44"/>
  <c r="N148" i="44"/>
  <c r="L148" i="44"/>
  <c r="K148" i="44"/>
  <c r="I148" i="44"/>
  <c r="G148" i="44"/>
  <c r="F148" i="44"/>
  <c r="N147" i="44"/>
  <c r="L147" i="44"/>
  <c r="K147" i="44"/>
  <c r="I147" i="44"/>
  <c r="G147" i="44"/>
  <c r="F147" i="44"/>
  <c r="N146" i="44"/>
  <c r="L146" i="44"/>
  <c r="K146" i="44"/>
  <c r="I146" i="44"/>
  <c r="G146" i="44"/>
  <c r="F146" i="44"/>
  <c r="N145" i="44"/>
  <c r="L145" i="44"/>
  <c r="K145" i="44"/>
  <c r="I145" i="44"/>
  <c r="G145" i="44"/>
  <c r="F145" i="44"/>
  <c r="N144" i="44"/>
  <c r="L144" i="44"/>
  <c r="K144" i="44"/>
  <c r="I144" i="44"/>
  <c r="G144" i="44"/>
  <c r="F144" i="44"/>
  <c r="N143" i="44"/>
  <c r="L143" i="44"/>
  <c r="K143" i="44"/>
  <c r="I143" i="44"/>
  <c r="G143" i="44"/>
  <c r="F143" i="44"/>
  <c r="N142" i="44"/>
  <c r="L142" i="44"/>
  <c r="K142" i="44"/>
  <c r="I142" i="44"/>
  <c r="G142" i="44"/>
  <c r="F142" i="44"/>
  <c r="N141" i="44"/>
  <c r="L141" i="44"/>
  <c r="K141" i="44"/>
  <c r="I141" i="44"/>
  <c r="G141" i="44"/>
  <c r="F141" i="44"/>
  <c r="N140" i="44"/>
  <c r="L140" i="44"/>
  <c r="K140" i="44"/>
  <c r="I140" i="44"/>
  <c r="G140" i="44"/>
  <c r="F140" i="44"/>
  <c r="N139" i="44"/>
  <c r="L139" i="44"/>
  <c r="K139" i="44"/>
  <c r="I139" i="44"/>
  <c r="G139" i="44"/>
  <c r="F139" i="44"/>
  <c r="N138" i="44"/>
  <c r="L138" i="44"/>
  <c r="K138" i="44"/>
  <c r="I138" i="44"/>
  <c r="G138" i="44"/>
  <c r="F138" i="44"/>
  <c r="N137" i="44"/>
  <c r="L137" i="44"/>
  <c r="K137" i="44"/>
  <c r="I137" i="44"/>
  <c r="G137" i="44"/>
  <c r="F137" i="44"/>
  <c r="N136" i="44"/>
  <c r="L136" i="44"/>
  <c r="K136" i="44"/>
  <c r="I136" i="44"/>
  <c r="G136" i="44"/>
  <c r="F136" i="44"/>
  <c r="N135" i="44"/>
  <c r="L135" i="44"/>
  <c r="K135" i="44"/>
  <c r="I135" i="44"/>
  <c r="G135" i="44"/>
  <c r="F135" i="44"/>
  <c r="N134" i="44"/>
  <c r="L134" i="44"/>
  <c r="K134" i="44"/>
  <c r="I134" i="44"/>
  <c r="G134" i="44"/>
  <c r="F134" i="44"/>
  <c r="N133" i="44"/>
  <c r="L133" i="44"/>
  <c r="K133" i="44"/>
  <c r="I133" i="44"/>
  <c r="G133" i="44"/>
  <c r="F133" i="44"/>
  <c r="N132" i="44"/>
  <c r="L132" i="44"/>
  <c r="K132" i="44"/>
  <c r="I132" i="44"/>
  <c r="G132" i="44"/>
  <c r="F132" i="44"/>
  <c r="N131" i="44"/>
  <c r="L131" i="44"/>
  <c r="K131" i="44"/>
  <c r="I131" i="44"/>
  <c r="G131" i="44"/>
  <c r="F131" i="44"/>
  <c r="N130" i="44"/>
  <c r="L130" i="44"/>
  <c r="K130" i="44"/>
  <c r="I130" i="44"/>
  <c r="G130" i="44"/>
  <c r="F130" i="44"/>
  <c r="N129" i="44"/>
  <c r="L129" i="44"/>
  <c r="K129" i="44"/>
  <c r="I129" i="44"/>
  <c r="G129" i="44"/>
  <c r="F129" i="44"/>
  <c r="N128" i="44"/>
  <c r="L128" i="44"/>
  <c r="K128" i="44"/>
  <c r="I128" i="44"/>
  <c r="G128" i="44"/>
  <c r="F128" i="44"/>
  <c r="N127" i="44"/>
  <c r="L127" i="44"/>
  <c r="K127" i="44"/>
  <c r="I127" i="44"/>
  <c r="G127" i="44"/>
  <c r="F127" i="44"/>
  <c r="N126" i="44"/>
  <c r="L126" i="44"/>
  <c r="K126" i="44"/>
  <c r="I126" i="44"/>
  <c r="G126" i="44"/>
  <c r="F126" i="44"/>
  <c r="N125" i="44"/>
  <c r="L125" i="44"/>
  <c r="K125" i="44"/>
  <c r="I125" i="44"/>
  <c r="G125" i="44"/>
  <c r="F125" i="44"/>
  <c r="N124" i="44"/>
  <c r="L124" i="44"/>
  <c r="K124" i="44"/>
  <c r="I124" i="44"/>
  <c r="G124" i="44"/>
  <c r="F124" i="44"/>
  <c r="N123" i="44"/>
  <c r="L123" i="44"/>
  <c r="K123" i="44"/>
  <c r="I123" i="44"/>
  <c r="G123" i="44"/>
  <c r="F123" i="44"/>
  <c r="N122" i="44"/>
  <c r="L122" i="44"/>
  <c r="K122" i="44"/>
  <c r="I122" i="44"/>
  <c r="G122" i="44"/>
  <c r="F122" i="44"/>
  <c r="N121" i="44"/>
  <c r="L121" i="44"/>
  <c r="K121" i="44"/>
  <c r="I121" i="44"/>
  <c r="G121" i="44"/>
  <c r="F121" i="44"/>
  <c r="N120" i="44"/>
  <c r="L120" i="44"/>
  <c r="K120" i="44"/>
  <c r="I120" i="44"/>
  <c r="G120" i="44"/>
  <c r="F120" i="44"/>
  <c r="N119" i="44"/>
  <c r="L119" i="44"/>
  <c r="K119" i="44"/>
  <c r="I119" i="44"/>
  <c r="G119" i="44"/>
  <c r="F119" i="44"/>
  <c r="N118" i="44"/>
  <c r="L118" i="44"/>
  <c r="K118" i="44"/>
  <c r="I118" i="44"/>
  <c r="G118" i="44"/>
  <c r="F118" i="44"/>
  <c r="N117" i="44"/>
  <c r="L117" i="44"/>
  <c r="K117" i="44"/>
  <c r="I117" i="44"/>
  <c r="G117" i="44"/>
  <c r="F117" i="44"/>
  <c r="N116" i="44"/>
  <c r="L116" i="44"/>
  <c r="K116" i="44"/>
  <c r="I116" i="44"/>
  <c r="G116" i="44"/>
  <c r="F116" i="44"/>
  <c r="N115" i="44"/>
  <c r="L115" i="44"/>
  <c r="K115" i="44"/>
  <c r="I115" i="44"/>
  <c r="G115" i="44"/>
  <c r="F115" i="44"/>
  <c r="N114" i="44"/>
  <c r="L114" i="44"/>
  <c r="K114" i="44"/>
  <c r="I114" i="44"/>
  <c r="G114" i="44"/>
  <c r="F114" i="44"/>
  <c r="N113" i="44"/>
  <c r="L113" i="44"/>
  <c r="K113" i="44"/>
  <c r="I113" i="44"/>
  <c r="G113" i="44"/>
  <c r="F113" i="44"/>
  <c r="N112" i="44"/>
  <c r="L112" i="44"/>
  <c r="K112" i="44"/>
  <c r="I112" i="44"/>
  <c r="G112" i="44"/>
  <c r="F112" i="44"/>
  <c r="N111" i="44"/>
  <c r="L111" i="44"/>
  <c r="K111" i="44"/>
  <c r="I111" i="44"/>
  <c r="G111" i="44"/>
  <c r="F111" i="44"/>
  <c r="N110" i="44"/>
  <c r="L110" i="44"/>
  <c r="K110" i="44"/>
  <c r="I110" i="44"/>
  <c r="G110" i="44"/>
  <c r="F110" i="44"/>
  <c r="N109" i="44"/>
  <c r="L109" i="44"/>
  <c r="K109" i="44"/>
  <c r="I109" i="44"/>
  <c r="G109" i="44"/>
  <c r="F109" i="44"/>
  <c r="N108" i="44"/>
  <c r="L108" i="44"/>
  <c r="K108" i="44"/>
  <c r="I108" i="44"/>
  <c r="G108" i="44"/>
  <c r="F108" i="44"/>
  <c r="N107" i="44"/>
  <c r="L107" i="44"/>
  <c r="K107" i="44"/>
  <c r="I107" i="44"/>
  <c r="G107" i="44"/>
  <c r="F107" i="44"/>
  <c r="N106" i="44"/>
  <c r="L106" i="44"/>
  <c r="K106" i="44"/>
  <c r="I106" i="44"/>
  <c r="G106" i="44"/>
  <c r="F106" i="44"/>
  <c r="N105" i="44"/>
  <c r="L105" i="44"/>
  <c r="K105" i="44"/>
  <c r="I105" i="44"/>
  <c r="G105" i="44"/>
  <c r="F105" i="44"/>
  <c r="N104" i="44"/>
  <c r="L104" i="44"/>
  <c r="K104" i="44"/>
  <c r="I104" i="44"/>
  <c r="G104" i="44"/>
  <c r="F104" i="44"/>
  <c r="N103" i="44"/>
  <c r="L103" i="44"/>
  <c r="K103" i="44"/>
  <c r="I103" i="44"/>
  <c r="G103" i="44"/>
  <c r="F103" i="44"/>
  <c r="N102" i="44"/>
  <c r="L102" i="44"/>
  <c r="K102" i="44"/>
  <c r="I102" i="44"/>
  <c r="G102" i="44"/>
  <c r="F102" i="44"/>
  <c r="N101" i="44"/>
  <c r="L101" i="44"/>
  <c r="K101" i="44"/>
  <c r="I101" i="44"/>
  <c r="G101" i="44"/>
  <c r="F101" i="44"/>
  <c r="N100" i="44"/>
  <c r="L100" i="44"/>
  <c r="K100" i="44"/>
  <c r="I100" i="44"/>
  <c r="G100" i="44"/>
  <c r="F100" i="44"/>
  <c r="N99" i="44"/>
  <c r="L99" i="44"/>
  <c r="K99" i="44"/>
  <c r="I99" i="44"/>
  <c r="G99" i="44"/>
  <c r="F99" i="44"/>
  <c r="N98" i="44"/>
  <c r="L98" i="44"/>
  <c r="K98" i="44"/>
  <c r="I98" i="44"/>
  <c r="G98" i="44"/>
  <c r="F98" i="44"/>
  <c r="N97" i="44"/>
  <c r="L97" i="44"/>
  <c r="K97" i="44"/>
  <c r="I97" i="44"/>
  <c r="G97" i="44"/>
  <c r="F97" i="44"/>
  <c r="N96" i="44"/>
  <c r="L96" i="44"/>
  <c r="K96" i="44"/>
  <c r="I96" i="44"/>
  <c r="G96" i="44"/>
  <c r="F96" i="44"/>
  <c r="N95" i="44"/>
  <c r="L95" i="44"/>
  <c r="K95" i="44"/>
  <c r="I95" i="44"/>
  <c r="G95" i="44"/>
  <c r="F95" i="44"/>
  <c r="N94" i="44"/>
  <c r="L94" i="44"/>
  <c r="K94" i="44"/>
  <c r="I94" i="44"/>
  <c r="G94" i="44"/>
  <c r="F94" i="44"/>
  <c r="N93" i="44"/>
  <c r="L93" i="44"/>
  <c r="K93" i="44"/>
  <c r="I93" i="44"/>
  <c r="G93" i="44"/>
  <c r="F93" i="44"/>
  <c r="N92" i="44"/>
  <c r="L92" i="44"/>
  <c r="K92" i="44"/>
  <c r="I92" i="44"/>
  <c r="G92" i="44"/>
  <c r="F92" i="44"/>
  <c r="N91" i="44"/>
  <c r="L91" i="44"/>
  <c r="K91" i="44"/>
  <c r="I91" i="44"/>
  <c r="G91" i="44"/>
  <c r="F91" i="44"/>
  <c r="N90" i="44"/>
  <c r="L90" i="44"/>
  <c r="K90" i="44"/>
  <c r="I90" i="44"/>
  <c r="G90" i="44"/>
  <c r="F90" i="44"/>
  <c r="N89" i="44"/>
  <c r="L89" i="44"/>
  <c r="K89" i="44"/>
  <c r="I89" i="44"/>
  <c r="G89" i="44"/>
  <c r="F89" i="44"/>
  <c r="N88" i="44"/>
  <c r="L88" i="44"/>
  <c r="K88" i="44"/>
  <c r="I88" i="44"/>
  <c r="G88" i="44"/>
  <c r="F88" i="44"/>
  <c r="N87" i="44"/>
  <c r="L87" i="44"/>
  <c r="K87" i="44"/>
  <c r="I87" i="44"/>
  <c r="G87" i="44"/>
  <c r="F87" i="44"/>
  <c r="N86" i="44"/>
  <c r="L86" i="44"/>
  <c r="K86" i="44"/>
  <c r="I86" i="44"/>
  <c r="G86" i="44"/>
  <c r="F86" i="44"/>
  <c r="N85" i="44"/>
  <c r="L85" i="44"/>
  <c r="K85" i="44"/>
  <c r="I85" i="44"/>
  <c r="G85" i="44"/>
  <c r="F85" i="44"/>
  <c r="N84" i="44"/>
  <c r="L84" i="44"/>
  <c r="K84" i="44"/>
  <c r="I84" i="44"/>
  <c r="G84" i="44"/>
  <c r="F84" i="44"/>
  <c r="N83" i="44"/>
  <c r="L83" i="44"/>
  <c r="K83" i="44"/>
  <c r="I83" i="44"/>
  <c r="G83" i="44"/>
  <c r="F83" i="44"/>
  <c r="N82" i="44"/>
  <c r="L82" i="44"/>
  <c r="K82" i="44"/>
  <c r="I82" i="44"/>
  <c r="G82" i="44"/>
  <c r="F82" i="44"/>
  <c r="N81" i="44"/>
  <c r="L81" i="44"/>
  <c r="K81" i="44"/>
  <c r="I81" i="44"/>
  <c r="G81" i="44"/>
  <c r="F81" i="44"/>
  <c r="N80" i="44"/>
  <c r="L80" i="44"/>
  <c r="K80" i="44"/>
  <c r="I80" i="44"/>
  <c r="G80" i="44"/>
  <c r="F80" i="44"/>
  <c r="N79" i="44"/>
  <c r="L79" i="44"/>
  <c r="K79" i="44"/>
  <c r="I79" i="44"/>
  <c r="G79" i="44"/>
  <c r="F79" i="44"/>
  <c r="N78" i="44"/>
  <c r="L78" i="44"/>
  <c r="K78" i="44"/>
  <c r="I78" i="44"/>
  <c r="G78" i="44"/>
  <c r="F78" i="44"/>
  <c r="N77" i="44"/>
  <c r="L77" i="44"/>
  <c r="K77" i="44"/>
  <c r="I77" i="44"/>
  <c r="G77" i="44"/>
  <c r="F77" i="44"/>
  <c r="N76" i="44"/>
  <c r="L76" i="44"/>
  <c r="K76" i="44"/>
  <c r="I76" i="44"/>
  <c r="G76" i="44"/>
  <c r="F76" i="44"/>
  <c r="N75" i="44"/>
  <c r="L75" i="44"/>
  <c r="K75" i="44"/>
  <c r="I75" i="44"/>
  <c r="G75" i="44"/>
  <c r="F75" i="44"/>
  <c r="N74" i="44"/>
  <c r="L74" i="44"/>
  <c r="K74" i="44"/>
  <c r="I74" i="44"/>
  <c r="G74" i="44"/>
  <c r="F74" i="44"/>
  <c r="N73" i="44"/>
  <c r="L73" i="44"/>
  <c r="K73" i="44"/>
  <c r="I73" i="44"/>
  <c r="G73" i="44"/>
  <c r="F73" i="44"/>
  <c r="N72" i="44"/>
  <c r="L72" i="44"/>
  <c r="K72" i="44"/>
  <c r="I72" i="44"/>
  <c r="G72" i="44"/>
  <c r="F72" i="44"/>
  <c r="D71" i="44"/>
  <c r="N70" i="44"/>
  <c r="L70" i="44"/>
  <c r="K70" i="44"/>
  <c r="I70" i="44"/>
  <c r="G70" i="44"/>
  <c r="F70" i="44"/>
  <c r="N69" i="44"/>
  <c r="L69" i="44"/>
  <c r="K69" i="44"/>
  <c r="I69" i="44"/>
  <c r="G69" i="44"/>
  <c r="F69" i="44"/>
  <c r="N68" i="44"/>
  <c r="L68" i="44"/>
  <c r="K68" i="44"/>
  <c r="I68" i="44"/>
  <c r="G68" i="44"/>
  <c r="F68" i="44"/>
  <c r="N67" i="44"/>
  <c r="L67" i="44"/>
  <c r="K67" i="44"/>
  <c r="I67" i="44"/>
  <c r="G67" i="44"/>
  <c r="F67" i="44"/>
  <c r="N66" i="44"/>
  <c r="L66" i="44"/>
  <c r="K66" i="44"/>
  <c r="I66" i="44"/>
  <c r="G66" i="44"/>
  <c r="F66" i="44"/>
  <c r="D65" i="44"/>
  <c r="N64" i="44"/>
  <c r="L64" i="44"/>
  <c r="K64" i="44"/>
  <c r="I64" i="44"/>
  <c r="G64" i="44"/>
  <c r="F64" i="44"/>
  <c r="N63" i="44"/>
  <c r="L63" i="44"/>
  <c r="K63" i="44"/>
  <c r="I63" i="44"/>
  <c r="G63" i="44"/>
  <c r="F63" i="44"/>
  <c r="N62" i="44"/>
  <c r="L62" i="44"/>
  <c r="K62" i="44"/>
  <c r="I62" i="44"/>
  <c r="G62" i="44"/>
  <c r="F62" i="44"/>
  <c r="N61" i="44"/>
  <c r="L61" i="44"/>
  <c r="K61" i="44"/>
  <c r="I61" i="44"/>
  <c r="G61" i="44"/>
  <c r="F61" i="44"/>
  <c r="N60" i="44"/>
  <c r="L60" i="44"/>
  <c r="K60" i="44"/>
  <c r="I60" i="44"/>
  <c r="G60" i="44"/>
  <c r="F60" i="44"/>
  <c r="N59" i="44"/>
  <c r="L59" i="44"/>
  <c r="K59" i="44"/>
  <c r="I59" i="44"/>
  <c r="G59" i="44"/>
  <c r="F59" i="44"/>
  <c r="N58" i="44"/>
  <c r="L58" i="44"/>
  <c r="K58" i="44"/>
  <c r="I58" i="44"/>
  <c r="G58" i="44"/>
  <c r="F58" i="44"/>
  <c r="N57" i="44"/>
  <c r="L57" i="44"/>
  <c r="K57" i="44"/>
  <c r="I57" i="44"/>
  <c r="G57" i="44"/>
  <c r="F57" i="44"/>
  <c r="N56" i="44"/>
  <c r="L56" i="44"/>
  <c r="K56" i="44"/>
  <c r="I56" i="44"/>
  <c r="G56" i="44"/>
  <c r="F56" i="44"/>
  <c r="N55" i="44"/>
  <c r="L55" i="44"/>
  <c r="K55" i="44"/>
  <c r="I55" i="44"/>
  <c r="G55" i="44"/>
  <c r="F55" i="44"/>
  <c r="N54" i="44"/>
  <c r="L54" i="44"/>
  <c r="K54" i="44"/>
  <c r="I54" i="44"/>
  <c r="G54" i="44"/>
  <c r="F54" i="44"/>
  <c r="N53" i="44"/>
  <c r="L53" i="44"/>
  <c r="K53" i="44"/>
  <c r="I53" i="44"/>
  <c r="G53" i="44"/>
  <c r="F53" i="44"/>
  <c r="N52" i="44"/>
  <c r="L52" i="44"/>
  <c r="K52" i="44"/>
  <c r="I52" i="44"/>
  <c r="G52" i="44"/>
  <c r="F52" i="44"/>
  <c r="N51" i="44"/>
  <c r="L51" i="44"/>
  <c r="K51" i="44"/>
  <c r="I51" i="44"/>
  <c r="G51" i="44"/>
  <c r="F51" i="44"/>
  <c r="N50" i="44"/>
  <c r="L50" i="44"/>
  <c r="K50" i="44"/>
  <c r="I50" i="44"/>
  <c r="G50" i="44"/>
  <c r="F50" i="44"/>
  <c r="N49" i="44"/>
  <c r="L49" i="44"/>
  <c r="K49" i="44"/>
  <c r="I49" i="44"/>
  <c r="G49" i="44"/>
  <c r="F49" i="44"/>
  <c r="N48" i="44"/>
  <c r="L48" i="44"/>
  <c r="K48" i="44"/>
  <c r="I48" i="44"/>
  <c r="G48" i="44"/>
  <c r="F48" i="44"/>
  <c r="N47" i="44"/>
  <c r="L47" i="44"/>
  <c r="K47" i="44"/>
  <c r="I47" i="44"/>
  <c r="G47" i="44"/>
  <c r="F47" i="44"/>
  <c r="N46" i="44"/>
  <c r="L46" i="44"/>
  <c r="K46" i="44"/>
  <c r="I46" i="44"/>
  <c r="G46" i="44"/>
  <c r="F46" i="44"/>
  <c r="N45" i="44"/>
  <c r="L45" i="44"/>
  <c r="K45" i="44"/>
  <c r="I45" i="44"/>
  <c r="G45" i="44"/>
  <c r="F45" i="44"/>
  <c r="N44" i="44"/>
  <c r="L44" i="44"/>
  <c r="K44" i="44"/>
  <c r="I44" i="44"/>
  <c r="G44" i="44"/>
  <c r="F44" i="44"/>
  <c r="N43" i="44"/>
  <c r="L43" i="44"/>
  <c r="K43" i="44"/>
  <c r="I43" i="44"/>
  <c r="G43" i="44"/>
  <c r="F43" i="44"/>
  <c r="N42" i="44"/>
  <c r="L42" i="44"/>
  <c r="K42" i="44"/>
  <c r="I42" i="44"/>
  <c r="G42" i="44"/>
  <c r="F42" i="44"/>
  <c r="N41" i="44"/>
  <c r="L41" i="44"/>
  <c r="K41" i="44"/>
  <c r="I41" i="44"/>
  <c r="G41" i="44"/>
  <c r="F41" i="44"/>
  <c r="N40" i="44"/>
  <c r="L40" i="44"/>
  <c r="K40" i="44"/>
  <c r="I40" i="44"/>
  <c r="G40" i="44"/>
  <c r="F40" i="44"/>
  <c r="N39" i="44"/>
  <c r="L39" i="44"/>
  <c r="K39" i="44"/>
  <c r="I39" i="44"/>
  <c r="G39" i="44"/>
  <c r="F39" i="44"/>
  <c r="D38" i="44"/>
  <c r="N37" i="44"/>
  <c r="L37" i="44"/>
  <c r="K37" i="44"/>
  <c r="I37" i="44"/>
  <c r="G37" i="44"/>
  <c r="F37" i="44"/>
  <c r="N36" i="44"/>
  <c r="L36" i="44"/>
  <c r="K36" i="44"/>
  <c r="I36" i="44"/>
  <c r="G36" i="44"/>
  <c r="F36" i="44"/>
  <c r="N35" i="44"/>
  <c r="L35" i="44"/>
  <c r="K35" i="44"/>
  <c r="I35" i="44"/>
  <c r="G35" i="44"/>
  <c r="F35" i="44"/>
  <c r="N34" i="44"/>
  <c r="L34" i="44"/>
  <c r="K34" i="44"/>
  <c r="I34" i="44"/>
  <c r="G34" i="44"/>
  <c r="F34" i="44"/>
  <c r="N33" i="44"/>
  <c r="L33" i="44"/>
  <c r="K33" i="44"/>
  <c r="I33" i="44"/>
  <c r="G33" i="44"/>
  <c r="F33" i="44"/>
  <c r="N32" i="44"/>
  <c r="L32" i="44"/>
  <c r="K32" i="44"/>
  <c r="I32" i="44"/>
  <c r="G32" i="44"/>
  <c r="F32" i="44"/>
  <c r="N31" i="44"/>
  <c r="L31" i="44"/>
  <c r="K31" i="44"/>
  <c r="I31" i="44"/>
  <c r="G31" i="44"/>
  <c r="F31" i="44"/>
  <c r="N30" i="44"/>
  <c r="L30" i="44"/>
  <c r="K30" i="44"/>
  <c r="I30" i="44"/>
  <c r="G30" i="44"/>
  <c r="F30" i="44"/>
  <c r="N29" i="44"/>
  <c r="L29" i="44"/>
  <c r="K29" i="44"/>
  <c r="I29" i="44"/>
  <c r="G29" i="44"/>
  <c r="F29" i="44"/>
  <c r="N28" i="44"/>
  <c r="L28" i="44"/>
  <c r="K28" i="44"/>
  <c r="I28" i="44"/>
  <c r="G28" i="44"/>
  <c r="F28" i="44"/>
  <c r="D27" i="44"/>
  <c r="N26" i="44"/>
  <c r="L26" i="44"/>
  <c r="K26" i="44"/>
  <c r="I26" i="44"/>
  <c r="G26" i="44"/>
  <c r="F26" i="44"/>
  <c r="N25" i="44"/>
  <c r="L25" i="44"/>
  <c r="K25" i="44"/>
  <c r="I25" i="44"/>
  <c r="G25" i="44"/>
  <c r="F25" i="44"/>
  <c r="N24" i="44"/>
  <c r="L24" i="44"/>
  <c r="K24" i="44"/>
  <c r="I24" i="44"/>
  <c r="G24" i="44"/>
  <c r="F24" i="44"/>
  <c r="N23" i="44"/>
  <c r="L23" i="44"/>
  <c r="K23" i="44"/>
  <c r="I23" i="44"/>
  <c r="G23" i="44"/>
  <c r="F23" i="44"/>
  <c r="N22" i="44"/>
  <c r="L22" i="44"/>
  <c r="K22" i="44"/>
  <c r="I22" i="44"/>
  <c r="G22" i="44"/>
  <c r="F22" i="44"/>
  <c r="N21" i="44"/>
  <c r="L21" i="44"/>
  <c r="K21" i="44"/>
  <c r="I21" i="44"/>
  <c r="G21" i="44"/>
  <c r="F21" i="44"/>
  <c r="N20" i="44"/>
  <c r="L20" i="44"/>
  <c r="K20" i="44"/>
  <c r="I20" i="44"/>
  <c r="G20" i="44"/>
  <c r="F20" i="44"/>
  <c r="N19" i="44"/>
  <c r="L19" i="44"/>
  <c r="K19" i="44"/>
  <c r="I19" i="44"/>
  <c r="G19" i="44"/>
  <c r="F19" i="44"/>
  <c r="N18" i="44"/>
  <c r="L18" i="44"/>
  <c r="K18" i="44"/>
  <c r="I18" i="44"/>
  <c r="G18" i="44"/>
  <c r="F18" i="44"/>
  <c r="N17" i="44"/>
  <c r="L17" i="44"/>
  <c r="K17" i="44"/>
  <c r="I17" i="44"/>
  <c r="G17" i="44"/>
  <c r="F17" i="44"/>
  <c r="N16" i="44"/>
  <c r="L16" i="44"/>
  <c r="K16" i="44"/>
  <c r="I16" i="44"/>
  <c r="G16" i="44"/>
  <c r="F16" i="44"/>
  <c r="N15" i="44"/>
  <c r="L15" i="44"/>
  <c r="K15" i="44"/>
  <c r="I15" i="44"/>
  <c r="G15" i="44"/>
  <c r="F15" i="44"/>
  <c r="N14" i="44"/>
  <c r="L14" i="44"/>
  <c r="K14" i="44"/>
  <c r="I14" i="44"/>
  <c r="G14" i="44"/>
  <c r="F14" i="44"/>
  <c r="N13" i="44"/>
  <c r="L13" i="44"/>
  <c r="K13" i="44"/>
  <c r="I13" i="44"/>
  <c r="G13" i="44"/>
  <c r="F13" i="44"/>
  <c r="N12" i="44"/>
  <c r="L12" i="44"/>
  <c r="K12" i="44"/>
  <c r="I12" i="44"/>
  <c r="G12" i="44"/>
  <c r="F12" i="44"/>
  <c r="N11" i="44"/>
  <c r="L11" i="44"/>
  <c r="K11" i="44"/>
  <c r="I11" i="44"/>
  <c r="G11" i="44"/>
  <c r="F11" i="44"/>
  <c r="N10" i="44"/>
  <c r="L10" i="44"/>
  <c r="K10" i="44"/>
  <c r="I10" i="44"/>
  <c r="G10" i="44"/>
  <c r="F10" i="44"/>
  <c r="N9" i="44"/>
  <c r="L9" i="44"/>
  <c r="K9" i="44"/>
  <c r="I9" i="44"/>
  <c r="G9" i="44"/>
  <c r="F9" i="44"/>
  <c r="B294" i="35"/>
  <c r="B295" i="35" s="1"/>
  <c r="B296" i="35" s="1"/>
  <c r="B297" i="35" s="1"/>
  <c r="B298" i="35" s="1"/>
  <c r="B299" i="35" s="1"/>
  <c r="B300" i="35" s="1"/>
  <c r="B301" i="35" s="1"/>
  <c r="B302" i="35" s="1"/>
  <c r="B303" i="35" s="1"/>
  <c r="B304" i="35" s="1"/>
  <c r="B305" i="35" s="1"/>
  <c r="B306" i="35" s="1"/>
  <c r="B307" i="35" s="1"/>
  <c r="B308" i="35" s="1"/>
  <c r="B309" i="35" s="1"/>
  <c r="B268" i="35"/>
  <c r="B269" i="35" s="1"/>
  <c r="B270" i="35" s="1"/>
  <c r="B271" i="35" s="1"/>
  <c r="B272" i="35" s="1"/>
  <c r="B273" i="35" s="1"/>
  <c r="B274" i="35" s="1"/>
  <c r="B275" i="35" s="1"/>
  <c r="B276" i="35" s="1"/>
  <c r="B277" i="35" s="1"/>
  <c r="B278" i="35" s="1"/>
  <c r="B279" i="35" s="1"/>
  <c r="B280" i="35" s="1"/>
  <c r="B281" i="35" s="1"/>
  <c r="B282" i="35" s="1"/>
  <c r="B283" i="35" s="1"/>
  <c r="B241" i="35"/>
  <c r="B242" i="35" s="1"/>
  <c r="B243" i="35" s="1"/>
  <c r="B244" i="35" s="1"/>
  <c r="B245" i="35" s="1"/>
  <c r="B246" i="35" s="1"/>
  <c r="B247" i="35" s="1"/>
  <c r="B248" i="35" s="1"/>
  <c r="B249" i="35" s="1"/>
  <c r="B250" i="35" s="1"/>
  <c r="B251" i="35" s="1"/>
  <c r="B252" i="35" s="1"/>
  <c r="B253" i="35" s="1"/>
  <c r="B254" i="35" s="1"/>
  <c r="B255" i="35" s="1"/>
  <c r="B256" i="35" s="1"/>
  <c r="B212" i="35"/>
  <c r="B213" i="35" s="1"/>
  <c r="B214" i="35" s="1"/>
  <c r="B215" i="35" s="1"/>
  <c r="B216" i="35" s="1"/>
  <c r="B217" i="35" s="1"/>
  <c r="B218" i="35" s="1"/>
  <c r="B219" i="35" s="1"/>
  <c r="B220" i="35" s="1"/>
  <c r="B221" i="35" s="1"/>
  <c r="B222" i="35" s="1"/>
  <c r="B223" i="35" s="1"/>
  <c r="B224" i="35" s="1"/>
  <c r="B225" i="35" s="1"/>
  <c r="B226" i="35" s="1"/>
  <c r="B227" i="35" s="1"/>
  <c r="B180" i="35"/>
  <c r="B181" i="35" s="1"/>
  <c r="B182" i="35" s="1"/>
  <c r="B183" i="35" s="1"/>
  <c r="B184" i="35" s="1"/>
  <c r="B185" i="35" s="1"/>
  <c r="B186" i="35" s="1"/>
  <c r="B187" i="35" s="1"/>
  <c r="B188" i="35" s="1"/>
  <c r="B189" i="35" s="1"/>
  <c r="B190" i="35" s="1"/>
  <c r="B191" i="35" s="1"/>
  <c r="B192" i="35" s="1"/>
  <c r="B193" i="35" s="1"/>
  <c r="B194" i="35" s="1"/>
  <c r="B195" i="35" s="1"/>
  <c r="B152" i="35"/>
  <c r="B153" i="35" s="1"/>
  <c r="B154" i="35" s="1"/>
  <c r="B155" i="35" s="1"/>
  <c r="B156" i="35" s="1"/>
  <c r="B157" i="35" s="1"/>
  <c r="B158" i="35" s="1"/>
  <c r="B159" i="35" s="1"/>
  <c r="B160" i="35" s="1"/>
  <c r="B161" i="35" s="1"/>
  <c r="B162" i="35" s="1"/>
  <c r="B163" i="35" s="1"/>
  <c r="B164" i="35" s="1"/>
  <c r="B165" i="35" s="1"/>
  <c r="B166" i="35" s="1"/>
  <c r="B167" i="35" s="1"/>
  <c r="B123" i="35"/>
  <c r="B124" i="35" s="1"/>
  <c r="B125" i="35" s="1"/>
  <c r="B126" i="35" s="1"/>
  <c r="B127" i="35" s="1"/>
  <c r="B128" i="35" s="1"/>
  <c r="B129" i="35" s="1"/>
  <c r="B130" i="35" s="1"/>
  <c r="B131" i="35" s="1"/>
  <c r="B132" i="35" s="1"/>
  <c r="B133" i="35" s="1"/>
  <c r="B134" i="35" s="1"/>
  <c r="B135" i="35" s="1"/>
  <c r="B136" i="35" s="1"/>
  <c r="B137" i="35" s="1"/>
  <c r="B138" i="35" s="1"/>
  <c r="B93" i="35"/>
  <c r="B94" i="35" s="1"/>
  <c r="B95" i="35" s="1"/>
  <c r="B96" i="35" s="1"/>
  <c r="B97" i="35" s="1"/>
  <c r="B98" i="35" s="1"/>
  <c r="B99" i="35" s="1"/>
  <c r="B100" i="35" s="1"/>
  <c r="B101" i="35" s="1"/>
  <c r="B102" i="35" s="1"/>
  <c r="B103" i="35" s="1"/>
  <c r="B104" i="35" s="1"/>
  <c r="B105" i="35" s="1"/>
  <c r="B106" i="35" s="1"/>
  <c r="B107" i="35" s="1"/>
  <c r="B108" i="35" s="1"/>
  <c r="U59" i="35"/>
  <c r="U60" i="35" s="1"/>
  <c r="U61" i="35" s="1"/>
  <c r="U62" i="35" s="1"/>
  <c r="U63" i="35" s="1"/>
  <c r="U64" i="35" s="1"/>
  <c r="U65" i="35" s="1"/>
  <c r="U66" i="35" s="1"/>
  <c r="U67" i="35" s="1"/>
  <c r="U68" i="35" s="1"/>
  <c r="U69" i="35" s="1"/>
  <c r="U70" i="35" s="1"/>
  <c r="U71" i="35" s="1"/>
  <c r="U72" i="35" s="1"/>
  <c r="U73" i="35" s="1"/>
  <c r="U74" i="35" s="1"/>
  <c r="B59" i="35"/>
  <c r="B60" i="35" s="1"/>
  <c r="B61" i="35" s="1"/>
  <c r="B62" i="35" s="1"/>
  <c r="B63" i="35" s="1"/>
  <c r="B64" i="35" s="1"/>
  <c r="B65" i="35" s="1"/>
  <c r="B66" i="35" s="1"/>
  <c r="B67" i="35" s="1"/>
  <c r="B68" i="35" s="1"/>
  <c r="B69" i="35" s="1"/>
  <c r="B70" i="35" s="1"/>
  <c r="B71" i="35" s="1"/>
  <c r="B72" i="35" s="1"/>
  <c r="B73" i="35" s="1"/>
  <c r="B74" i="35" s="1"/>
  <c r="K58" i="35"/>
  <c r="K59" i="35" s="1"/>
  <c r="K60" i="35" s="1"/>
  <c r="K61" i="35" s="1"/>
  <c r="K62" i="35" s="1"/>
  <c r="K63" i="35" s="1"/>
  <c r="K64" i="35" s="1"/>
  <c r="K65" i="35" s="1"/>
  <c r="K66" i="35" s="1"/>
  <c r="K67" i="35" s="1"/>
  <c r="K68" i="35" s="1"/>
  <c r="K69" i="35" s="1"/>
  <c r="K70" i="35" s="1"/>
  <c r="K71" i="35" s="1"/>
  <c r="K72" i="35" s="1"/>
  <c r="K73" i="35" s="1"/>
  <c r="AD56" i="35"/>
  <c r="AD57" i="35" s="1"/>
  <c r="AD58" i="35" s="1"/>
  <c r="AD59" i="35" s="1"/>
  <c r="AD60" i="35" s="1"/>
  <c r="AD61" i="35" s="1"/>
  <c r="AD62" i="35" s="1"/>
  <c r="AD63" i="35" s="1"/>
  <c r="AD64" i="35" s="1"/>
  <c r="AD65" i="35" s="1"/>
  <c r="AD66" i="35" s="1"/>
  <c r="AD67" i="35" s="1"/>
  <c r="AD68" i="35" s="1"/>
  <c r="AD69" i="35" s="1"/>
  <c r="AD70" i="35" s="1"/>
  <c r="AD71" i="35" s="1"/>
  <c r="AF32" i="35"/>
  <c r="AF33" i="35" s="1"/>
  <c r="AF34" i="35" s="1"/>
  <c r="AF35" i="35" s="1"/>
  <c r="AF36" i="35" s="1"/>
  <c r="AF37" i="35" s="1"/>
  <c r="AF38" i="35" s="1"/>
  <c r="AF39" i="35" s="1"/>
  <c r="AF40" i="35" s="1"/>
  <c r="AF41" i="35" s="1"/>
  <c r="AF42" i="35" s="1"/>
  <c r="AF43" i="35" s="1"/>
  <c r="AF44" i="35" s="1"/>
  <c r="AF45" i="35" s="1"/>
  <c r="AF46" i="35" s="1"/>
  <c r="AF47" i="35" s="1"/>
  <c r="V32" i="35"/>
  <c r="V33" i="35" s="1"/>
  <c r="V34" i="35" s="1"/>
  <c r="V35" i="35" s="1"/>
  <c r="V36" i="35" s="1"/>
  <c r="V37" i="35" s="1"/>
  <c r="V38" i="35" s="1"/>
  <c r="V39" i="35" s="1"/>
  <c r="V40" i="35" s="1"/>
  <c r="V41" i="35" s="1"/>
  <c r="V42" i="35" s="1"/>
  <c r="V43" i="35" s="1"/>
  <c r="V44" i="35" s="1"/>
  <c r="V45" i="35" s="1"/>
  <c r="V46" i="35" s="1"/>
  <c r="V47" i="35" s="1"/>
  <c r="O32" i="35"/>
  <c r="O33" i="35" s="1"/>
  <c r="O34" i="35" s="1"/>
  <c r="O35" i="35" s="1"/>
  <c r="O36" i="35" s="1"/>
  <c r="O37" i="35" s="1"/>
  <c r="O38" i="35" s="1"/>
  <c r="O39" i="35" s="1"/>
  <c r="O40" i="35" s="1"/>
  <c r="O41" i="35" s="1"/>
  <c r="O42" i="35" s="1"/>
  <c r="O43" i="35" s="1"/>
  <c r="O44" i="35" s="1"/>
  <c r="O45" i="35" s="1"/>
  <c r="O46" i="35" s="1"/>
  <c r="O47" i="35" s="1"/>
  <c r="I32" i="35"/>
  <c r="I33" i="35" s="1"/>
  <c r="I34" i="35" s="1"/>
  <c r="I35" i="35" s="1"/>
  <c r="I36" i="35" s="1"/>
  <c r="I37" i="35" s="1"/>
  <c r="I38" i="35" s="1"/>
  <c r="I39" i="35" s="1"/>
  <c r="I40" i="35" s="1"/>
  <c r="I41" i="35" s="1"/>
  <c r="I42" i="35" s="1"/>
  <c r="I43" i="35" s="1"/>
  <c r="I44" i="35" s="1"/>
  <c r="I45" i="35" s="1"/>
  <c r="I46" i="35" s="1"/>
  <c r="I47" i="35" s="1"/>
  <c r="C32" i="35"/>
  <c r="C33" i="35" s="1"/>
  <c r="C34" i="35" s="1"/>
  <c r="C35" i="35" s="1"/>
  <c r="C36" i="35" s="1"/>
  <c r="C37" i="35" s="1"/>
  <c r="C38" i="35" s="1"/>
  <c r="C39" i="35" s="1"/>
  <c r="C40" i="35" s="1"/>
  <c r="C41" i="35" s="1"/>
  <c r="C42" i="35" s="1"/>
  <c r="C43" i="35" s="1"/>
  <c r="C44" i="35" s="1"/>
  <c r="C45" i="35" s="1"/>
  <c r="C46" i="35" s="1"/>
  <c r="C47" i="35" s="1"/>
  <c r="X30" i="35"/>
  <c r="R30" i="35"/>
  <c r="B153" i="34"/>
  <c r="B154" i="34" s="1"/>
  <c r="B155" i="34" s="1"/>
  <c r="B156" i="34" s="1"/>
  <c r="B157" i="34" s="1"/>
  <c r="B158" i="34" s="1"/>
  <c r="B159" i="34" s="1"/>
  <c r="B160" i="34" s="1"/>
  <c r="B161" i="34" s="1"/>
  <c r="B162" i="34" s="1"/>
  <c r="B163" i="34" s="1"/>
  <c r="B164" i="34" s="1"/>
  <c r="B165" i="34" s="1"/>
  <c r="B166" i="34" s="1"/>
  <c r="B167" i="34" s="1"/>
  <c r="B168" i="34" s="1"/>
  <c r="J139" i="34"/>
  <c r="B119" i="34"/>
  <c r="B120" i="34" s="1"/>
  <c r="B121" i="34" s="1"/>
  <c r="B122" i="34" s="1"/>
  <c r="B123" i="34" s="1"/>
  <c r="B124" i="34" s="1"/>
  <c r="B125" i="34" s="1"/>
  <c r="B126" i="34" s="1"/>
  <c r="B127" i="34" s="1"/>
  <c r="B128" i="34" s="1"/>
  <c r="B129" i="34" s="1"/>
  <c r="B130" i="34" s="1"/>
  <c r="B131" i="34" s="1"/>
  <c r="B132" i="34" s="1"/>
  <c r="B133" i="34" s="1"/>
  <c r="B134" i="34" s="1"/>
  <c r="Q91" i="34"/>
  <c r="Q92" i="34" s="1"/>
  <c r="Q93" i="34" s="1"/>
  <c r="Q94" i="34" s="1"/>
  <c r="Q95" i="34" s="1"/>
  <c r="Q96" i="34" s="1"/>
  <c r="Q97" i="34" s="1"/>
  <c r="Q98" i="34" s="1"/>
  <c r="Q99" i="34" s="1"/>
  <c r="Q100" i="34" s="1"/>
  <c r="Q101" i="34" s="1"/>
  <c r="Q102" i="34" s="1"/>
  <c r="Q103" i="34" s="1"/>
  <c r="Q104" i="34" s="1"/>
  <c r="Q105" i="34" s="1"/>
  <c r="Q106" i="34" s="1"/>
  <c r="B91" i="34"/>
  <c r="B92" i="34" s="1"/>
  <c r="B93" i="34" s="1"/>
  <c r="B94" i="34" s="1"/>
  <c r="B95" i="34" s="1"/>
  <c r="B96" i="34" s="1"/>
  <c r="B97" i="34" s="1"/>
  <c r="B98" i="34" s="1"/>
  <c r="B99" i="34" s="1"/>
  <c r="B100" i="34" s="1"/>
  <c r="B101" i="34" s="1"/>
  <c r="B102" i="34" s="1"/>
  <c r="B103" i="34" s="1"/>
  <c r="B104" i="34" s="1"/>
  <c r="B105" i="34" s="1"/>
  <c r="B106" i="34" s="1"/>
  <c r="B62" i="34"/>
  <c r="B63" i="34" s="1"/>
  <c r="B64" i="34" s="1"/>
  <c r="B65" i="34" s="1"/>
  <c r="B66" i="34" s="1"/>
  <c r="B67" i="34" s="1"/>
  <c r="B68" i="34" s="1"/>
  <c r="B69" i="34" s="1"/>
  <c r="B70" i="34" s="1"/>
  <c r="B71" i="34" s="1"/>
  <c r="B72" i="34" s="1"/>
  <c r="B73" i="34" s="1"/>
  <c r="B74" i="34" s="1"/>
  <c r="B75" i="34" s="1"/>
  <c r="B76" i="34" s="1"/>
  <c r="B77" i="34" s="1"/>
  <c r="E48" i="34"/>
  <c r="F48" i="34" s="1"/>
  <c r="B22" i="34"/>
  <c r="B23" i="34" s="1"/>
  <c r="B24" i="34" s="1"/>
  <c r="B25" i="34" s="1"/>
  <c r="B26" i="34" s="1"/>
  <c r="B27" i="34" s="1"/>
  <c r="B28" i="34" s="1"/>
  <c r="B29" i="34" s="1"/>
  <c r="B30" i="34" s="1"/>
  <c r="B31" i="34" s="1"/>
  <c r="B32" i="34" s="1"/>
  <c r="B33" i="34" s="1"/>
  <c r="B34" i="34" s="1"/>
  <c r="B35" i="34" s="1"/>
  <c r="B36" i="34" s="1"/>
  <c r="B37" i="34" s="1"/>
  <c r="E20" i="34"/>
  <c r="F99" i="32"/>
  <c r="B100" i="32" s="1"/>
  <c r="G98" i="32"/>
  <c r="Y75" i="32"/>
  <c r="Y76" i="32" s="1"/>
  <c r="Y77" i="32" s="1"/>
  <c r="Y78" i="32" s="1"/>
  <c r="Y79" i="32" s="1"/>
  <c r="Y80" i="32" s="1"/>
  <c r="Y81" i="32" s="1"/>
  <c r="Y82" i="32" s="1"/>
  <c r="Y83" i="32" s="1"/>
  <c r="Y84" i="32" s="1"/>
  <c r="Y85" i="32" s="1"/>
  <c r="Y86" i="32" s="1"/>
  <c r="Y87" i="32" s="1"/>
  <c r="Y88" i="32" s="1"/>
  <c r="Y89" i="32" s="1"/>
  <c r="Y90" i="32" s="1"/>
  <c r="M75" i="32"/>
  <c r="M76" i="32" s="1"/>
  <c r="M77" i="32" s="1"/>
  <c r="M78" i="32" s="1"/>
  <c r="M79" i="32" s="1"/>
  <c r="M80" i="32" s="1"/>
  <c r="M81" i="32" s="1"/>
  <c r="M82" i="32" s="1"/>
  <c r="M83" i="32" s="1"/>
  <c r="M84" i="32" s="1"/>
  <c r="M85" i="32" s="1"/>
  <c r="M86" i="32" s="1"/>
  <c r="M87" i="32" s="1"/>
  <c r="M88" i="32" s="1"/>
  <c r="M89" i="32" s="1"/>
  <c r="M90" i="32" s="1"/>
  <c r="A75" i="32"/>
  <c r="F100" i="32" s="1"/>
  <c r="B101" i="32" s="1"/>
  <c r="Y54" i="32"/>
  <c r="Y55" i="32" s="1"/>
  <c r="Y56" i="32" s="1"/>
  <c r="Y57" i="32" s="1"/>
  <c r="Y58" i="32" s="1"/>
  <c r="Y59" i="32" s="1"/>
  <c r="Y60" i="32" s="1"/>
  <c r="Y61" i="32" s="1"/>
  <c r="Y62" i="32" s="1"/>
  <c r="Y63" i="32" s="1"/>
  <c r="Y64" i="32" s="1"/>
  <c r="Y65" i="32" s="1"/>
  <c r="Y66" i="32" s="1"/>
  <c r="Y67" i="32" s="1"/>
  <c r="Y68" i="32" s="1"/>
  <c r="Y69" i="32" s="1"/>
  <c r="M54" i="32"/>
  <c r="M55" i="32" s="1"/>
  <c r="M56" i="32" s="1"/>
  <c r="M57" i="32" s="1"/>
  <c r="M58" i="32" s="1"/>
  <c r="M59" i="32" s="1"/>
  <c r="M60" i="32" s="1"/>
  <c r="M61" i="32" s="1"/>
  <c r="M62" i="32" s="1"/>
  <c r="M63" i="32" s="1"/>
  <c r="M64" i="32" s="1"/>
  <c r="M65" i="32" s="1"/>
  <c r="M66" i="32" s="1"/>
  <c r="M67" i="32" s="1"/>
  <c r="M68" i="32" s="1"/>
  <c r="M69" i="32" s="1"/>
  <c r="A54" i="32"/>
  <c r="A55" i="32" s="1"/>
  <c r="A56" i="32" s="1"/>
  <c r="A57" i="32" s="1"/>
  <c r="A58" i="32" s="1"/>
  <c r="A59" i="32" s="1"/>
  <c r="A60" i="32" s="1"/>
  <c r="A61" i="32" s="1"/>
  <c r="A62" i="32" s="1"/>
  <c r="A63" i="32" s="1"/>
  <c r="A64" i="32" s="1"/>
  <c r="A65" i="32" s="1"/>
  <c r="A66" i="32" s="1"/>
  <c r="A67" i="32" s="1"/>
  <c r="A68" i="32" s="1"/>
  <c r="A69" i="32" s="1"/>
  <c r="Z32" i="32"/>
  <c r="Z23" i="32"/>
  <c r="N23" i="32"/>
  <c r="Z33" i="32"/>
  <c r="Z38" i="32" s="1"/>
  <c r="N33" i="32"/>
  <c r="N38" i="32" s="1"/>
  <c r="O98" i="31"/>
  <c r="O97" i="31"/>
  <c r="O96" i="31"/>
  <c r="O95" i="31"/>
  <c r="O94" i="31"/>
  <c r="O93" i="31"/>
  <c r="O92" i="31"/>
  <c r="O91" i="31"/>
  <c r="O90" i="31"/>
  <c r="O89" i="31"/>
  <c r="O88" i="31"/>
  <c r="O87" i="31"/>
  <c r="O86" i="31"/>
  <c r="O85" i="31"/>
  <c r="O84" i="31"/>
  <c r="O83" i="31"/>
  <c r="O82" i="31"/>
  <c r="O81" i="31"/>
  <c r="O80" i="31"/>
  <c r="O79" i="31"/>
  <c r="O78" i="31"/>
  <c r="O77" i="31"/>
  <c r="O76" i="31"/>
  <c r="O75" i="31"/>
  <c r="O74" i="31"/>
  <c r="O73" i="31"/>
  <c r="O72" i="31"/>
  <c r="P64" i="31"/>
  <c r="P62" i="31"/>
  <c r="P61" i="31"/>
  <c r="P60" i="31"/>
  <c r="P59" i="31"/>
  <c r="P58" i="31"/>
  <c r="P57" i="31"/>
  <c r="P56" i="31"/>
  <c r="P55" i="31"/>
  <c r="P54" i="31"/>
  <c r="P53" i="31"/>
  <c r="P52" i="31"/>
  <c r="P51" i="31"/>
  <c r="P50" i="31"/>
  <c r="P49" i="31"/>
  <c r="P48" i="31"/>
  <c r="P47" i="31"/>
  <c r="P46" i="31"/>
  <c r="P45" i="31"/>
  <c r="P43" i="31"/>
  <c r="P42" i="31"/>
  <c r="P41" i="31"/>
  <c r="P40" i="31"/>
  <c r="O40" i="31"/>
  <c r="AD50" i="32" s="1"/>
  <c r="P39" i="31"/>
  <c r="P38" i="31"/>
  <c r="P30" i="31"/>
  <c r="O30" i="31"/>
  <c r="R50" i="32" s="1"/>
  <c r="P28" i="31"/>
  <c r="P27" i="31"/>
  <c r="P26" i="31"/>
  <c r="P25" i="31"/>
  <c r="P24" i="31"/>
  <c r="P23" i="31"/>
  <c r="P22" i="31"/>
  <c r="P21" i="31"/>
  <c r="P20" i="31"/>
  <c r="P19" i="31"/>
  <c r="P18" i="31"/>
  <c r="P17" i="31"/>
  <c r="P16" i="31"/>
  <c r="P15" i="31"/>
  <c r="P14" i="31"/>
  <c r="P13" i="31"/>
  <c r="P12" i="31"/>
  <c r="P11" i="31"/>
  <c r="P10" i="31"/>
  <c r="P9" i="31"/>
  <c r="P8" i="31"/>
  <c r="P7" i="31"/>
  <c r="P6" i="31"/>
  <c r="O6" i="31"/>
  <c r="P5" i="31"/>
  <c r="P4" i="31"/>
  <c r="G58" i="30"/>
  <c r="G56" i="30"/>
  <c r="L15" i="30"/>
  <c r="H15" i="30"/>
  <c r="G15" i="30"/>
  <c r="F15" i="30"/>
  <c r="L13" i="30"/>
  <c r="H13" i="30"/>
  <c r="G13" i="30"/>
  <c r="F13" i="30"/>
  <c r="L11" i="30"/>
  <c r="H11" i="30"/>
  <c r="G11" i="30"/>
  <c r="F11" i="30"/>
  <c r="L9" i="30"/>
  <c r="H9" i="30"/>
  <c r="G9" i="30"/>
  <c r="F9" i="30"/>
  <c r="L7" i="30"/>
  <c r="H7" i="30"/>
  <c r="G7" i="30"/>
  <c r="F7" i="30"/>
  <c r="AZ311" i="4"/>
  <c r="AY311" i="4"/>
  <c r="AX311" i="4"/>
  <c r="AW311" i="4"/>
  <c r="AV311" i="4"/>
  <c r="AP311" i="4"/>
  <c r="AO311" i="4"/>
  <c r="AN311" i="4"/>
  <c r="AM311" i="4"/>
  <c r="AL311" i="4"/>
  <c r="AE311" i="4"/>
  <c r="AD311" i="4"/>
  <c r="AC311" i="4"/>
  <c r="AB311" i="4"/>
  <c r="AA311" i="4"/>
  <c r="T311" i="4"/>
  <c r="S311" i="4"/>
  <c r="R311" i="4"/>
  <c r="Q311" i="4"/>
  <c r="P311" i="4"/>
  <c r="I311" i="4"/>
  <c r="H311" i="4"/>
  <c r="G311" i="4"/>
  <c r="F311" i="4"/>
  <c r="E311" i="4"/>
  <c r="AZ294" i="4"/>
  <c r="AY294" i="4"/>
  <c r="AX294" i="4"/>
  <c r="AW294" i="4"/>
  <c r="AV294" i="4"/>
  <c r="AP294" i="4"/>
  <c r="AO294" i="4"/>
  <c r="AN294" i="4"/>
  <c r="AM294" i="4"/>
  <c r="AL294" i="4"/>
  <c r="AE294" i="4"/>
  <c r="AD294" i="4"/>
  <c r="AC294" i="4"/>
  <c r="AB294" i="4"/>
  <c r="AA294" i="4"/>
  <c r="T294" i="4"/>
  <c r="S294" i="4"/>
  <c r="R294" i="4"/>
  <c r="Q294" i="4"/>
  <c r="P294" i="4"/>
  <c r="I294" i="4"/>
  <c r="H294" i="4"/>
  <c r="G294" i="4"/>
  <c r="F294" i="4"/>
  <c r="E294" i="4"/>
  <c r="AZ277" i="4"/>
  <c r="AY277" i="4"/>
  <c r="AX277" i="4"/>
  <c r="AW277" i="4"/>
  <c r="AV277" i="4"/>
  <c r="AP277" i="4"/>
  <c r="AO277" i="4"/>
  <c r="AN277" i="4"/>
  <c r="AM277" i="4"/>
  <c r="AL277" i="4"/>
  <c r="AE277" i="4"/>
  <c r="AD277" i="4"/>
  <c r="AC277" i="4"/>
  <c r="AB277" i="4"/>
  <c r="AA277" i="4"/>
  <c r="T277" i="4"/>
  <c r="S277" i="4"/>
  <c r="R277" i="4"/>
  <c r="Q277" i="4"/>
  <c r="P277" i="4"/>
  <c r="I277" i="4"/>
  <c r="H277" i="4"/>
  <c r="G277" i="4"/>
  <c r="F277" i="4"/>
  <c r="E277" i="4"/>
  <c r="AZ236" i="4"/>
  <c r="AY236" i="4"/>
  <c r="AX236" i="4"/>
  <c r="AW236" i="4"/>
  <c r="AV236" i="4"/>
  <c r="AP236" i="4"/>
  <c r="AO236" i="4"/>
  <c r="AN236" i="4"/>
  <c r="AM236" i="4"/>
  <c r="AL236" i="4"/>
  <c r="AE236" i="4"/>
  <c r="AD236" i="4"/>
  <c r="AC236" i="4"/>
  <c r="AB236" i="4"/>
  <c r="AA236" i="4"/>
  <c r="T236" i="4"/>
  <c r="S236" i="4"/>
  <c r="R236" i="4"/>
  <c r="Q236" i="4"/>
  <c r="P236" i="4"/>
  <c r="I236" i="4"/>
  <c r="H236" i="4"/>
  <c r="G236" i="4"/>
  <c r="F236" i="4"/>
  <c r="E236" i="4"/>
  <c r="AZ219" i="4"/>
  <c r="AY219" i="4"/>
  <c r="AX219" i="4"/>
  <c r="AW219" i="4"/>
  <c r="AV219" i="4"/>
  <c r="AP219" i="4"/>
  <c r="AO219" i="4"/>
  <c r="AN219" i="4"/>
  <c r="AM219" i="4"/>
  <c r="AL219" i="4"/>
  <c r="AE219" i="4"/>
  <c r="AD219" i="4"/>
  <c r="AC219" i="4"/>
  <c r="AB219" i="4"/>
  <c r="AA219" i="4"/>
  <c r="T219" i="4"/>
  <c r="S219" i="4"/>
  <c r="R219" i="4"/>
  <c r="Q219" i="4"/>
  <c r="P219" i="4"/>
  <c r="I219" i="4"/>
  <c r="H219" i="4"/>
  <c r="G219" i="4"/>
  <c r="F219" i="4"/>
  <c r="E219" i="4"/>
  <c r="AZ202" i="4"/>
  <c r="AY202" i="4"/>
  <c r="AX202" i="4"/>
  <c r="AW202" i="4"/>
  <c r="AV202" i="4"/>
  <c r="AP202" i="4"/>
  <c r="AO202" i="4"/>
  <c r="AN202" i="4"/>
  <c r="AM202" i="4"/>
  <c r="AL202" i="4"/>
  <c r="AE202" i="4"/>
  <c r="AD202" i="4"/>
  <c r="AC202" i="4"/>
  <c r="AB202" i="4"/>
  <c r="AA202" i="4"/>
  <c r="T202" i="4"/>
  <c r="S202" i="4"/>
  <c r="R202" i="4"/>
  <c r="Q202" i="4"/>
  <c r="P202" i="4"/>
  <c r="I202" i="4"/>
  <c r="H202" i="4"/>
  <c r="G202" i="4"/>
  <c r="F202" i="4"/>
  <c r="E202" i="4"/>
  <c r="AS168" i="4"/>
  <c r="AS169" i="4" s="1"/>
  <c r="AS170" i="4" s="1"/>
  <c r="AS171" i="4" s="1"/>
  <c r="AS172" i="4" s="1"/>
  <c r="AS173" i="4" s="1"/>
  <c r="AS174" i="4" s="1"/>
  <c r="AS175" i="4" s="1"/>
  <c r="AS176" i="4" s="1"/>
  <c r="AI168" i="4"/>
  <c r="AI169" i="4" s="1"/>
  <c r="AI170" i="4" s="1"/>
  <c r="AI171" i="4" s="1"/>
  <c r="AI172" i="4" s="1"/>
  <c r="AI173" i="4" s="1"/>
  <c r="AI174" i="4" s="1"/>
  <c r="AI175" i="4" s="1"/>
  <c r="AI176" i="4" s="1"/>
  <c r="X168" i="4"/>
  <c r="X169" i="4" s="1"/>
  <c r="X170" i="4" s="1"/>
  <c r="X171" i="4" s="1"/>
  <c r="X172" i="4" s="1"/>
  <c r="X173" i="4" s="1"/>
  <c r="X174" i="4" s="1"/>
  <c r="X175" i="4" s="1"/>
  <c r="X176" i="4" s="1"/>
  <c r="M168" i="4"/>
  <c r="M169" i="4" s="1"/>
  <c r="M170" i="4" s="1"/>
  <c r="M171" i="4" s="1"/>
  <c r="M172" i="4" s="1"/>
  <c r="M173" i="4" s="1"/>
  <c r="M174" i="4" s="1"/>
  <c r="M175" i="4" s="1"/>
  <c r="M176" i="4" s="1"/>
  <c r="B168" i="4"/>
  <c r="B169" i="4" s="1"/>
  <c r="B170" i="4" s="1"/>
  <c r="B171" i="4" s="1"/>
  <c r="B172" i="4" s="1"/>
  <c r="B173" i="4" s="1"/>
  <c r="B174" i="4" s="1"/>
  <c r="B175" i="4" s="1"/>
  <c r="B176" i="4" s="1"/>
  <c r="AZ156" i="4"/>
  <c r="AY156" i="4"/>
  <c r="AX156" i="4"/>
  <c r="AW156" i="4"/>
  <c r="AV156" i="4"/>
  <c r="AP156" i="4"/>
  <c r="AO156" i="4"/>
  <c r="AN156" i="4"/>
  <c r="AM156" i="4"/>
  <c r="AL156" i="4"/>
  <c r="AE156" i="4"/>
  <c r="AD156" i="4"/>
  <c r="T156" i="4"/>
  <c r="S156" i="4"/>
  <c r="R156" i="4"/>
  <c r="Q156" i="4"/>
  <c r="P156" i="4"/>
  <c r="J156" i="4"/>
  <c r="AZ138" i="4"/>
  <c r="AY138" i="4"/>
  <c r="AX138" i="4"/>
  <c r="AP138" i="4"/>
  <c r="AO138" i="4"/>
  <c r="AN138" i="4"/>
  <c r="AM138" i="4"/>
  <c r="AL138" i="4"/>
  <c r="AE138" i="4"/>
  <c r="AD138" i="4"/>
  <c r="AC138" i="4"/>
  <c r="T138" i="4"/>
  <c r="S138" i="4"/>
  <c r="R138" i="4"/>
  <c r="I138" i="4"/>
  <c r="H138" i="4"/>
  <c r="G138" i="4"/>
  <c r="AZ120" i="4"/>
  <c r="AY120" i="4"/>
  <c r="AX120" i="4"/>
  <c r="AW120" i="4"/>
  <c r="AV120" i="4"/>
  <c r="AP120" i="4"/>
  <c r="AO120" i="4"/>
  <c r="AN120" i="4"/>
  <c r="AM120" i="4"/>
  <c r="AL120" i="4"/>
  <c r="AE120" i="4"/>
  <c r="AD120" i="4"/>
  <c r="AC120" i="4"/>
  <c r="AB120" i="4"/>
  <c r="AA120" i="4"/>
  <c r="T120" i="4"/>
  <c r="S120" i="4"/>
  <c r="R120" i="4"/>
  <c r="Q120" i="4"/>
  <c r="P120" i="4"/>
  <c r="I120" i="4"/>
  <c r="H120" i="4"/>
  <c r="G120" i="4"/>
  <c r="F120" i="4"/>
  <c r="E120" i="4"/>
  <c r="I97" i="4"/>
  <c r="H97" i="4"/>
  <c r="G97" i="4"/>
  <c r="F97" i="4"/>
  <c r="E97" i="4"/>
  <c r="J96" i="4"/>
  <c r="J95" i="4"/>
  <c r="J94" i="4"/>
  <c r="J93" i="4"/>
  <c r="J92" i="4"/>
  <c r="J91" i="4"/>
  <c r="J90" i="4"/>
  <c r="J89" i="4"/>
  <c r="J88" i="4"/>
  <c r="J87" i="4"/>
  <c r="B87" i="4"/>
  <c r="B88" i="4" s="1"/>
  <c r="B89" i="4" s="1"/>
  <c r="B90" i="4" s="1"/>
  <c r="B91" i="4" s="1"/>
  <c r="B92" i="4" s="1"/>
  <c r="B93" i="4" s="1"/>
  <c r="B94" i="4" s="1"/>
  <c r="B95" i="4" s="1"/>
  <c r="J86" i="4"/>
  <c r="I80" i="4"/>
  <c r="H80" i="4"/>
  <c r="G80" i="4"/>
  <c r="F80" i="4"/>
  <c r="E80" i="4"/>
  <c r="J79" i="4"/>
  <c r="J78" i="4"/>
  <c r="J77" i="4"/>
  <c r="J76" i="4"/>
  <c r="J75" i="4"/>
  <c r="J74" i="4"/>
  <c r="J73" i="4"/>
  <c r="J72" i="4"/>
  <c r="J71" i="4"/>
  <c r="J70" i="4"/>
  <c r="B70" i="4"/>
  <c r="B71" i="4" s="1"/>
  <c r="B72" i="4" s="1"/>
  <c r="B73" i="4" s="1"/>
  <c r="B74" i="4" s="1"/>
  <c r="B75" i="4" s="1"/>
  <c r="B76" i="4" s="1"/>
  <c r="B77" i="4" s="1"/>
  <c r="B78" i="4" s="1"/>
  <c r="J69" i="4"/>
  <c r="I63" i="4"/>
  <c r="H63" i="4"/>
  <c r="G63" i="4"/>
  <c r="F63" i="4"/>
  <c r="E63" i="4"/>
  <c r="J62" i="4"/>
  <c r="J61" i="4"/>
  <c r="J60" i="4"/>
  <c r="J59" i="4"/>
  <c r="J58" i="4"/>
  <c r="J57" i="4"/>
  <c r="J56" i="4"/>
  <c r="J55" i="4"/>
  <c r="J54" i="4"/>
  <c r="J53" i="4"/>
  <c r="B53" i="4"/>
  <c r="B54" i="4" s="1"/>
  <c r="B55" i="4" s="1"/>
  <c r="B56" i="4" s="1"/>
  <c r="B57" i="4" s="1"/>
  <c r="B58" i="4" s="1"/>
  <c r="B59" i="4" s="1"/>
  <c r="B60" i="4" s="1"/>
  <c r="B61" i="4" s="1"/>
  <c r="J52" i="4"/>
  <c r="I46" i="4"/>
  <c r="H46" i="4"/>
  <c r="G46" i="4"/>
  <c r="F46" i="4"/>
  <c r="E46" i="4"/>
  <c r="J45" i="4"/>
  <c r="J44" i="4"/>
  <c r="J43" i="4"/>
  <c r="J42" i="4"/>
  <c r="J41" i="4"/>
  <c r="J40" i="4"/>
  <c r="J39" i="4"/>
  <c r="J38" i="4"/>
  <c r="J37" i="4"/>
  <c r="J36" i="4"/>
  <c r="B36" i="4"/>
  <c r="B37" i="4" s="1"/>
  <c r="B38" i="4" s="1"/>
  <c r="B39" i="4" s="1"/>
  <c r="B40" i="4" s="1"/>
  <c r="B41" i="4" s="1"/>
  <c r="B42" i="4" s="1"/>
  <c r="B43" i="4" s="1"/>
  <c r="B44" i="4" s="1"/>
  <c r="J35" i="4"/>
  <c r="B32" i="4"/>
  <c r="B49" i="4" s="1"/>
  <c r="B66" i="4" s="1"/>
  <c r="B83" i="4" s="1"/>
  <c r="I26" i="4"/>
  <c r="H26" i="4"/>
  <c r="G26" i="4"/>
  <c r="F26" i="4"/>
  <c r="E26" i="4"/>
  <c r="J25" i="4"/>
  <c r="J24" i="4"/>
  <c r="J23" i="4"/>
  <c r="J22" i="4"/>
  <c r="J21" i="4"/>
  <c r="J20" i="4"/>
  <c r="J19" i="4"/>
  <c r="J18" i="4"/>
  <c r="J17" i="4"/>
  <c r="J16" i="4"/>
  <c r="J15" i="4"/>
  <c r="B15" i="4"/>
  <c r="B16" i="4" s="1"/>
  <c r="B17" i="4" s="1"/>
  <c r="B18" i="4" s="1"/>
  <c r="B19" i="4" s="1"/>
  <c r="B20" i="4" s="1"/>
  <c r="B21" i="4" s="1"/>
  <c r="B22" i="4" s="1"/>
  <c r="B23" i="4" s="1"/>
  <c r="B24" i="4" s="1"/>
  <c r="J14" i="4"/>
  <c r="G474" i="3"/>
  <c r="H474" i="3" s="1"/>
  <c r="I474" i="3" s="1"/>
  <c r="J474" i="3" s="1"/>
  <c r="J472" i="3"/>
  <c r="I472" i="3"/>
  <c r="H472" i="3"/>
  <c r="G472" i="3"/>
  <c r="F472" i="3"/>
  <c r="G469" i="3"/>
  <c r="H469" i="3" s="1"/>
  <c r="I469" i="3" s="1"/>
  <c r="J469" i="3" s="1"/>
  <c r="J467" i="3"/>
  <c r="I467" i="3"/>
  <c r="H467" i="3"/>
  <c r="G467" i="3"/>
  <c r="F467" i="3"/>
  <c r="G464" i="3"/>
  <c r="H464" i="3" s="1"/>
  <c r="I464" i="3" s="1"/>
  <c r="J464" i="3" s="1"/>
  <c r="J459" i="3"/>
  <c r="I459" i="3"/>
  <c r="H459" i="3"/>
  <c r="G459" i="3"/>
  <c r="F459" i="3"/>
  <c r="AQ454" i="3"/>
  <c r="AN453" i="3"/>
  <c r="AO453" i="3" s="1"/>
  <c r="AP453" i="3" s="1"/>
  <c r="AQ453" i="3" s="1"/>
  <c r="N450" i="3"/>
  <c r="O450" i="3" s="1"/>
  <c r="D450" i="3"/>
  <c r="D451" i="3" s="1"/>
  <c r="D452" i="3" s="1"/>
  <c r="D453" i="3" s="1"/>
  <c r="D454" i="3" s="1"/>
  <c r="D455" i="3" s="1"/>
  <c r="D456" i="3" s="1"/>
  <c r="D457" i="3" s="1"/>
  <c r="D458" i="3" s="1"/>
  <c r="AQ449" i="3"/>
  <c r="AN448" i="3"/>
  <c r="AO448" i="3" s="1"/>
  <c r="AP448" i="3" s="1"/>
  <c r="AQ448" i="3" s="1"/>
  <c r="G448" i="3"/>
  <c r="H448" i="3" s="1"/>
  <c r="I448" i="3" s="1"/>
  <c r="J448" i="3" s="1"/>
  <c r="M444" i="3"/>
  <c r="N444" i="3" s="1"/>
  <c r="O444" i="3" s="1"/>
  <c r="P444" i="3" s="1"/>
  <c r="G444" i="3"/>
  <c r="H444" i="3" s="1"/>
  <c r="I444" i="3" s="1"/>
  <c r="J444" i="3" s="1"/>
  <c r="AN443" i="3"/>
  <c r="AO443" i="3" s="1"/>
  <c r="AP443" i="3" s="1"/>
  <c r="AQ443" i="3" s="1"/>
  <c r="AQ439" i="3"/>
  <c r="S439" i="3"/>
  <c r="T439" i="3" s="1"/>
  <c r="U439" i="3" s="1"/>
  <c r="V439" i="3" s="1"/>
  <c r="M439" i="3"/>
  <c r="N439" i="3" s="1"/>
  <c r="O439" i="3" s="1"/>
  <c r="P439" i="3" s="1"/>
  <c r="G439" i="3"/>
  <c r="H439" i="3" s="1"/>
  <c r="I439" i="3" s="1"/>
  <c r="J439" i="3" s="1"/>
  <c r="AN438" i="3"/>
  <c r="AO438" i="3" s="1"/>
  <c r="AP438" i="3" s="1"/>
  <c r="AQ438" i="3" s="1"/>
  <c r="I429" i="3"/>
  <c r="K429" i="3" s="1"/>
  <c r="M429" i="3" s="1"/>
  <c r="O429" i="3" s="1"/>
  <c r="G426" i="3"/>
  <c r="J425" i="3" s="1"/>
  <c r="H292" i="35" s="1"/>
  <c r="H46" i="39"/>
  <c r="G412" i="3"/>
  <c r="G46" i="39" s="1"/>
  <c r="O398" i="3"/>
  <c r="F46" i="39" s="1"/>
  <c r="G398" i="3"/>
  <c r="H398" i="3" s="1"/>
  <c r="D389" i="3"/>
  <c r="D390" i="3" s="1"/>
  <c r="D391" i="3" s="1"/>
  <c r="D392" i="3" s="1"/>
  <c r="D393" i="3" s="1"/>
  <c r="D394" i="3" s="1"/>
  <c r="D395" i="3" s="1"/>
  <c r="G379" i="3"/>
  <c r="H379" i="3" s="1"/>
  <c r="I379" i="3" s="1"/>
  <c r="J379" i="3" s="1"/>
  <c r="J376" i="3"/>
  <c r="L374" i="3" s="1"/>
  <c r="I376" i="3"/>
  <c r="H376" i="3"/>
  <c r="G376" i="3"/>
  <c r="F376" i="3"/>
  <c r="G373" i="3"/>
  <c r="H373" i="3" s="1"/>
  <c r="I373" i="3" s="1"/>
  <c r="J373" i="3" s="1"/>
  <c r="G370" i="3"/>
  <c r="H370" i="3" s="1"/>
  <c r="I370" i="3" s="1"/>
  <c r="J370" i="3" s="1"/>
  <c r="G366" i="3"/>
  <c r="H362" i="3" s="1"/>
  <c r="O352" i="3"/>
  <c r="P347" i="3" s="1"/>
  <c r="G352" i="3"/>
  <c r="H351" i="3" s="1"/>
  <c r="O338" i="3"/>
  <c r="P330" i="3" s="1"/>
  <c r="G338" i="3"/>
  <c r="H337" i="3" s="1"/>
  <c r="G316" i="3"/>
  <c r="H316" i="3" s="1"/>
  <c r="I316" i="3" s="1"/>
  <c r="J316" i="3" s="1"/>
  <c r="K316" i="3" s="1"/>
  <c r="F312" i="3"/>
  <c r="I303" i="3"/>
  <c r="H303" i="3"/>
  <c r="G303" i="3"/>
  <c r="F303" i="3"/>
  <c r="G298" i="3"/>
  <c r="H298" i="3" s="1"/>
  <c r="I298" i="3" s="1"/>
  <c r="J298" i="3" s="1"/>
  <c r="G291" i="3"/>
  <c r="H291" i="3" s="1"/>
  <c r="I291" i="3" s="1"/>
  <c r="J291" i="3" s="1"/>
  <c r="J288" i="3"/>
  <c r="I288" i="3"/>
  <c r="H36" i="39" s="1"/>
  <c r="H288" i="3"/>
  <c r="G36" i="39" s="1"/>
  <c r="G288" i="3"/>
  <c r="F36" i="39" s="1"/>
  <c r="F288" i="3"/>
  <c r="G280" i="3"/>
  <c r="H280" i="3" s="1"/>
  <c r="I280" i="3" s="1"/>
  <c r="J280" i="3" s="1"/>
  <c r="J273" i="3"/>
  <c r="I53" i="39" s="1"/>
  <c r="I273" i="3"/>
  <c r="H53" i="39" s="1"/>
  <c r="H273" i="3"/>
  <c r="G53" i="39" s="1"/>
  <c r="G273" i="3"/>
  <c r="F53" i="39" s="1"/>
  <c r="F273" i="3"/>
  <c r="E33" i="39" s="1"/>
  <c r="G197" i="3"/>
  <c r="H197" i="3" s="1"/>
  <c r="I197" i="3" s="1"/>
  <c r="J197" i="3" s="1"/>
  <c r="S192" i="3"/>
  <c r="R192" i="3"/>
  <c r="Q192" i="3"/>
  <c r="P192" i="3"/>
  <c r="O192" i="3"/>
  <c r="K192" i="3"/>
  <c r="J192" i="3"/>
  <c r="I192" i="3"/>
  <c r="H192" i="3"/>
  <c r="G192" i="3"/>
  <c r="O187" i="3"/>
  <c r="P187" i="3" s="1"/>
  <c r="Q187" i="3" s="1"/>
  <c r="R187" i="3" s="1"/>
  <c r="S187" i="3" s="1"/>
  <c r="G187" i="3"/>
  <c r="H187" i="3" s="1"/>
  <c r="I187" i="3" s="1"/>
  <c r="J187" i="3" s="1"/>
  <c r="K187" i="3" s="1"/>
  <c r="P177" i="3"/>
  <c r="Q177" i="3" s="1"/>
  <c r="R177" i="3" s="1"/>
  <c r="S177" i="3" s="1"/>
  <c r="T177" i="3" s="1"/>
  <c r="G177" i="3"/>
  <c r="H177" i="3" s="1"/>
  <c r="I177" i="3" s="1"/>
  <c r="J177" i="3" s="1"/>
  <c r="K177" i="3" s="1"/>
  <c r="U162" i="3"/>
  <c r="I159" i="3"/>
  <c r="L159" i="3" s="1"/>
  <c r="O159" i="3" s="1"/>
  <c r="R159" i="3" s="1"/>
  <c r="H145" i="3"/>
  <c r="I145" i="3" s="1"/>
  <c r="J145" i="3" s="1"/>
  <c r="K145" i="3" s="1"/>
  <c r="L145" i="3" s="1"/>
  <c r="I126" i="3"/>
  <c r="K126" i="3" s="1"/>
  <c r="M126" i="3" s="1"/>
  <c r="O126" i="3" s="1"/>
  <c r="Q126" i="3" s="1"/>
  <c r="O118" i="3"/>
  <c r="P118" i="3" s="1"/>
  <c r="Q118" i="3" s="1"/>
  <c r="R118" i="3" s="1"/>
  <c r="H118" i="3"/>
  <c r="I118" i="3" s="1"/>
  <c r="J118" i="3" s="1"/>
  <c r="K118" i="3" s="1"/>
  <c r="L113" i="3"/>
  <c r="L112" i="3"/>
  <c r="L111" i="3"/>
  <c r="Q41" i="39" s="1"/>
  <c r="S106" i="3"/>
  <c r="L106" i="3"/>
  <c r="S105" i="3"/>
  <c r="L105" i="3"/>
  <c r="P41" i="39"/>
  <c r="L104" i="3"/>
  <c r="O41" i="39" s="1"/>
  <c r="S98" i="3"/>
  <c r="L98" i="3"/>
  <c r="S97" i="3"/>
  <c r="L97" i="3"/>
  <c r="S96" i="3"/>
  <c r="N41" i="39" s="1"/>
  <c r="L96" i="3"/>
  <c r="M41" i="39" s="1"/>
  <c r="AE86" i="3"/>
  <c r="J274" i="3" s="1"/>
  <c r="AD86" i="3"/>
  <c r="AC86" i="3"/>
  <c r="AB86" i="3"/>
  <c r="AA86" i="3"/>
  <c r="AE85" i="3"/>
  <c r="AD85" i="3"/>
  <c r="AC85" i="3"/>
  <c r="AB85" i="3"/>
  <c r="AA85" i="3"/>
  <c r="AE84" i="3"/>
  <c r="AD84" i="3"/>
  <c r="AC84" i="3"/>
  <c r="AB84" i="3"/>
  <c r="AA84" i="3"/>
  <c r="AE83" i="3"/>
  <c r="AD83" i="3"/>
  <c r="AC83" i="3"/>
  <c r="AB83" i="3"/>
  <c r="AA83" i="3"/>
  <c r="AE82" i="3"/>
  <c r="AD82" i="3"/>
  <c r="AC82" i="3"/>
  <c r="AB82" i="3"/>
  <c r="AA82" i="3"/>
  <c r="AE81" i="3"/>
  <c r="AD81" i="3"/>
  <c r="AC81" i="3"/>
  <c r="AB81" i="3"/>
  <c r="AA81" i="3"/>
  <c r="AE80" i="3"/>
  <c r="AD80" i="3"/>
  <c r="AC80" i="3"/>
  <c r="AB80" i="3"/>
  <c r="AA80" i="3"/>
  <c r="AE79" i="3"/>
  <c r="AD79" i="3"/>
  <c r="AC79" i="3"/>
  <c r="AB79" i="3"/>
  <c r="AA79" i="3"/>
  <c r="AE78" i="3"/>
  <c r="AD78" i="3"/>
  <c r="AC78" i="3"/>
  <c r="AB78" i="3"/>
  <c r="AA78" i="3"/>
  <c r="AE77" i="3"/>
  <c r="AD77" i="3"/>
  <c r="AC77" i="3"/>
  <c r="AB77" i="3"/>
  <c r="AA77" i="3"/>
  <c r="AE76" i="3"/>
  <c r="AD76" i="3"/>
  <c r="AC76" i="3"/>
  <c r="AB76" i="3"/>
  <c r="AA76" i="3"/>
  <c r="U75" i="3"/>
  <c r="T75" i="3"/>
  <c r="S75" i="3"/>
  <c r="R75" i="3"/>
  <c r="Q75" i="3"/>
  <c r="K75" i="3"/>
  <c r="J75" i="3"/>
  <c r="I75" i="3"/>
  <c r="H75" i="3"/>
  <c r="G75" i="3"/>
  <c r="AE74" i="3"/>
  <c r="AD74" i="3"/>
  <c r="AC74" i="3"/>
  <c r="AB74" i="3"/>
  <c r="AA74" i="3"/>
  <c r="AE73" i="3"/>
  <c r="AD73" i="3"/>
  <c r="AC73" i="3"/>
  <c r="AB73" i="3"/>
  <c r="AA73" i="3"/>
  <c r="AE72" i="3"/>
  <c r="AD72" i="3"/>
  <c r="AC72" i="3"/>
  <c r="AB72" i="3"/>
  <c r="AA72" i="3"/>
  <c r="AE71" i="3"/>
  <c r="AD71" i="3"/>
  <c r="AC71" i="3"/>
  <c r="AB71" i="3"/>
  <c r="AA71" i="3"/>
  <c r="AE69" i="3"/>
  <c r="AD69" i="3"/>
  <c r="AC69" i="3"/>
  <c r="AB69" i="3"/>
  <c r="AA69" i="3"/>
  <c r="AE68" i="3"/>
  <c r="AD68" i="3"/>
  <c r="AC68" i="3"/>
  <c r="AB68" i="3"/>
  <c r="AA68" i="3"/>
  <c r="AE67" i="3"/>
  <c r="AD67" i="3"/>
  <c r="AC67" i="3"/>
  <c r="AB67" i="3"/>
  <c r="AA67" i="3"/>
  <c r="U65" i="3"/>
  <c r="T65" i="3"/>
  <c r="S65" i="3"/>
  <c r="R65" i="3"/>
  <c r="Q65" i="3"/>
  <c r="K65" i="3"/>
  <c r="L66" i="3" s="1"/>
  <c r="J65" i="3"/>
  <c r="I65" i="3"/>
  <c r="H65" i="3"/>
  <c r="G65" i="3"/>
  <c r="AE46" i="3"/>
  <c r="AD46" i="3"/>
  <c r="AC46" i="3"/>
  <c r="AB46" i="3"/>
  <c r="AA46" i="3"/>
  <c r="U45" i="3"/>
  <c r="T45" i="3"/>
  <c r="S45" i="3"/>
  <c r="R45" i="3"/>
  <c r="Q45" i="3"/>
  <c r="J45" i="3"/>
  <c r="K17" i="3" s="1"/>
  <c r="I45" i="3"/>
  <c r="H45" i="3"/>
  <c r="G45" i="3"/>
  <c r="H17" i="3" s="1"/>
  <c r="AA43" i="3"/>
  <c r="AB43" i="3" s="1"/>
  <c r="AC43" i="3" s="1"/>
  <c r="AD43" i="3" s="1"/>
  <c r="AE43" i="3" s="1"/>
  <c r="Q43" i="3"/>
  <c r="R43" i="3" s="1"/>
  <c r="S43" i="3" s="1"/>
  <c r="T43" i="3" s="1"/>
  <c r="U43" i="3" s="1"/>
  <c r="G43" i="3"/>
  <c r="H43" i="3" s="1"/>
  <c r="I43" i="3" s="1"/>
  <c r="J43" i="3" s="1"/>
  <c r="K43" i="3" s="1"/>
  <c r="H38" i="3"/>
  <c r="I36" i="3" s="1"/>
  <c r="Q26" i="3"/>
  <c r="P26" i="3"/>
  <c r="O26" i="3"/>
  <c r="N26" i="3"/>
  <c r="M26" i="3"/>
  <c r="R25" i="3"/>
  <c r="T25" i="3" s="1"/>
  <c r="R24" i="3"/>
  <c r="D24" i="3"/>
  <c r="D25" i="3" s="1"/>
  <c r="D26" i="3" s="1"/>
  <c r="D27" i="3" s="1"/>
  <c r="D28" i="3" s="1"/>
  <c r="D29" i="3" s="1"/>
  <c r="D30" i="3" s="1"/>
  <c r="D31" i="3" s="1"/>
  <c r="D32" i="3" s="1"/>
  <c r="D33" i="3" s="1"/>
  <c r="D34" i="3" s="1"/>
  <c r="D35" i="3" s="1"/>
  <c r="D36" i="3" s="1"/>
  <c r="I15" i="3"/>
  <c r="J15" i="3" s="1"/>
  <c r="K15" i="3" s="1"/>
  <c r="L15" i="3" s="1"/>
  <c r="C240" i="35"/>
  <c r="C241" i="35" s="1"/>
  <c r="C242" i="35" s="1"/>
  <c r="C243" i="35" s="1"/>
  <c r="C244" i="35" s="1"/>
  <c r="C245" i="35" s="1"/>
  <c r="C246" i="35" s="1"/>
  <c r="C247" i="35" s="1"/>
  <c r="C248" i="35" s="1"/>
  <c r="C249" i="35" s="1"/>
  <c r="C250" i="35" s="1"/>
  <c r="C251" i="35" s="1"/>
  <c r="C252" i="35" s="1"/>
  <c r="C253" i="35" s="1"/>
  <c r="C254" i="35" s="1"/>
  <c r="C255" i="35" s="1"/>
  <c r="C256" i="35" s="1"/>
  <c r="AJ55" i="35"/>
  <c r="AJ56" i="35" s="1"/>
  <c r="AJ57" i="35" s="1"/>
  <c r="AJ58" i="35" s="1"/>
  <c r="AJ59" i="35" s="1"/>
  <c r="AJ60" i="35" s="1"/>
  <c r="AJ61" i="35" s="1"/>
  <c r="AJ62" i="35" s="1"/>
  <c r="AJ63" i="35" s="1"/>
  <c r="AJ64" i="35" s="1"/>
  <c r="AJ65" i="35" s="1"/>
  <c r="AJ66" i="35" s="1"/>
  <c r="AJ67" i="35" s="1"/>
  <c r="AJ68" i="35" s="1"/>
  <c r="AJ69" i="35" s="1"/>
  <c r="AJ70" i="35" s="1"/>
  <c r="AJ71" i="35" s="1"/>
  <c r="F211" i="35"/>
  <c r="F212" i="35" s="1"/>
  <c r="F213" i="35" s="1"/>
  <c r="F214" i="35" s="1"/>
  <c r="F215" i="35" s="1"/>
  <c r="F216" i="35" s="1"/>
  <c r="F217" i="35" s="1"/>
  <c r="F218" i="35" s="1"/>
  <c r="F219" i="35" s="1"/>
  <c r="F220" i="35" s="1"/>
  <c r="F221" i="35" s="1"/>
  <c r="F222" i="35" s="1"/>
  <c r="F223" i="35" s="1"/>
  <c r="F224" i="35" s="1"/>
  <c r="F225" i="35" s="1"/>
  <c r="F226" i="35" s="1"/>
  <c r="F227" i="35" s="1"/>
  <c r="BA31" i="33"/>
  <c r="AZ31" i="33"/>
  <c r="AY31" i="33"/>
  <c r="AX31" i="33"/>
  <c r="AW31" i="33"/>
  <c r="AV31" i="33"/>
  <c r="E47" i="34" s="1"/>
  <c r="AU31" i="33"/>
  <c r="E118" i="34" s="1"/>
  <c r="E119" i="34" s="1"/>
  <c r="E120" i="34" s="1"/>
  <c r="E121" i="34" s="1"/>
  <c r="E122" i="34" s="1"/>
  <c r="E123" i="34" s="1"/>
  <c r="E124" i="34" s="1"/>
  <c r="E125" i="34" s="1"/>
  <c r="E126" i="34" s="1"/>
  <c r="E127" i="34" s="1"/>
  <c r="E128" i="34" s="1"/>
  <c r="E129" i="34" s="1"/>
  <c r="E130" i="34" s="1"/>
  <c r="E131" i="34" s="1"/>
  <c r="E132" i="34" s="1"/>
  <c r="E133" i="34" s="1"/>
  <c r="E134" i="34" s="1"/>
  <c r="AT31" i="33"/>
  <c r="AH55" i="35" s="1"/>
  <c r="AH56" i="35" s="1"/>
  <c r="AH57" i="35" s="1"/>
  <c r="AH58" i="35" s="1"/>
  <c r="AH59" i="35" s="1"/>
  <c r="AH60" i="35" s="1"/>
  <c r="AH61" i="35" s="1"/>
  <c r="AH62" i="35" s="1"/>
  <c r="AH63" i="35" s="1"/>
  <c r="AH64" i="35" s="1"/>
  <c r="AH65" i="35" s="1"/>
  <c r="AH66" i="35" s="1"/>
  <c r="AH67" i="35" s="1"/>
  <c r="AH68" i="35" s="1"/>
  <c r="AH69" i="35" s="1"/>
  <c r="AH70" i="35" s="1"/>
  <c r="AH71" i="35" s="1"/>
  <c r="AS31" i="33"/>
  <c r="AR31" i="33"/>
  <c r="AQ31" i="33"/>
  <c r="AP31" i="33"/>
  <c r="AO31" i="33"/>
  <c r="AN31" i="33"/>
  <c r="AM31" i="33"/>
  <c r="AL31" i="33"/>
  <c r="AK31" i="33"/>
  <c r="AJ31" i="33"/>
  <c r="AI31" i="33"/>
  <c r="AG31" i="33"/>
  <c r="AF31" i="33"/>
  <c r="AE31" i="33"/>
  <c r="AD31" i="33"/>
  <c r="AC31" i="33"/>
  <c r="AB31" i="33"/>
  <c r="AA31" i="33"/>
  <c r="Z31" i="33"/>
  <c r="Y31" i="33"/>
  <c r="X31" i="33"/>
  <c r="W31" i="33"/>
  <c r="V31" i="33"/>
  <c r="U31" i="33"/>
  <c r="T31" i="33"/>
  <c r="S31" i="33"/>
  <c r="R31" i="33"/>
  <c r="E52" i="34" s="1"/>
  <c r="Q31" i="33"/>
  <c r="P31" i="33"/>
  <c r="O31" i="33"/>
  <c r="M10" i="33"/>
  <c r="J49" i="33" s="1"/>
  <c r="AZ139" i="4" l="1"/>
  <c r="AZ140" i="4" s="1"/>
  <c r="N454" i="3"/>
  <c r="D149" i="35"/>
  <c r="I102" i="26"/>
  <c r="BK94" i="54"/>
  <c r="BS94" i="54"/>
  <c r="J146" i="54"/>
  <c r="R146" i="54"/>
  <c r="AX146" i="54"/>
  <c r="CT146" i="54"/>
  <c r="GT146" i="54"/>
  <c r="JV146" i="54"/>
  <c r="LR146" i="54"/>
  <c r="MX146" i="54"/>
  <c r="KD154" i="54"/>
  <c r="KL154" i="54"/>
  <c r="KT154" i="54"/>
  <c r="LB154" i="54"/>
  <c r="LJ154" i="54"/>
  <c r="LR154" i="54"/>
  <c r="MP154" i="54"/>
  <c r="MX154" i="54"/>
  <c r="LD94" i="54"/>
  <c r="MJ94" i="54"/>
  <c r="LG133" i="54"/>
  <c r="LO133" i="54"/>
  <c r="LW133" i="54"/>
  <c r="ME133" i="54"/>
  <c r="MM133" i="54"/>
  <c r="MU133" i="54"/>
  <c r="UW146" i="54"/>
  <c r="VE146" i="54"/>
  <c r="JR154" i="54"/>
  <c r="JZ154" i="54"/>
  <c r="KH154" i="54"/>
  <c r="KP154" i="54"/>
  <c r="KX154" i="54"/>
  <c r="LF154" i="54"/>
  <c r="LN154" i="54"/>
  <c r="LV154" i="54"/>
  <c r="MD154" i="54"/>
  <c r="ML154" i="54"/>
  <c r="MT154" i="54"/>
  <c r="BH94" i="54"/>
  <c r="BP94" i="54"/>
  <c r="AA133" i="54"/>
  <c r="AI133" i="54"/>
  <c r="NW133" i="54"/>
  <c r="OE133" i="54"/>
  <c r="OM133" i="54"/>
  <c r="OU133" i="54"/>
  <c r="PC133" i="54"/>
  <c r="PK133" i="54"/>
  <c r="PS133" i="54"/>
  <c r="QA133" i="54"/>
  <c r="QI133" i="54"/>
  <c r="QQ133" i="54"/>
  <c r="QY133" i="54"/>
  <c r="RG133" i="54"/>
  <c r="RO133" i="54"/>
  <c r="RW133" i="54"/>
  <c r="SE133" i="54"/>
  <c r="SM133" i="54"/>
  <c r="SU133" i="54"/>
  <c r="TC133" i="54"/>
  <c r="TK133" i="54"/>
  <c r="TS133" i="54"/>
  <c r="UA133" i="54"/>
  <c r="UI133" i="54"/>
  <c r="UQ133" i="54"/>
  <c r="UY133" i="54"/>
  <c r="VG133" i="54"/>
  <c r="F154" i="54"/>
  <c r="N154" i="54"/>
  <c r="V154" i="54"/>
  <c r="AD154" i="54"/>
  <c r="AL154" i="54"/>
  <c r="AT154" i="54"/>
  <c r="BB154" i="54"/>
  <c r="BJ154" i="54"/>
  <c r="BR154" i="54"/>
  <c r="BZ154" i="54"/>
  <c r="CH154" i="54"/>
  <c r="CP154" i="54"/>
  <c r="CX154" i="54"/>
  <c r="DF154" i="54"/>
  <c r="DN154" i="54"/>
  <c r="DV154" i="54"/>
  <c r="ED154" i="54"/>
  <c r="EL154" i="54"/>
  <c r="ET154" i="54"/>
  <c r="FB154" i="54"/>
  <c r="FJ154" i="54"/>
  <c r="FR154" i="54"/>
  <c r="FZ154" i="54"/>
  <c r="GH154" i="54"/>
  <c r="GP154" i="54"/>
  <c r="GX154" i="54"/>
  <c r="HF154" i="54"/>
  <c r="HN154" i="54"/>
  <c r="HV154" i="54"/>
  <c r="ID154" i="54"/>
  <c r="IL154" i="54"/>
  <c r="IT154" i="54"/>
  <c r="P264" i="46"/>
  <c r="P141" i="46"/>
  <c r="CQ94" i="54"/>
  <c r="CY94" i="54"/>
  <c r="DG94" i="54"/>
  <c r="DO94" i="54"/>
  <c r="DW94" i="54"/>
  <c r="EE94" i="54"/>
  <c r="EM94" i="54"/>
  <c r="EU94" i="54"/>
  <c r="FC94" i="54"/>
  <c r="FK94" i="54"/>
  <c r="FS94" i="54"/>
  <c r="GA94" i="54"/>
  <c r="GI94" i="54"/>
  <c r="GQ94" i="54"/>
  <c r="GY94" i="54"/>
  <c r="HG94" i="54"/>
  <c r="HO94" i="54"/>
  <c r="HW94" i="54"/>
  <c r="IE94" i="54"/>
  <c r="IM94" i="54"/>
  <c r="IU94" i="54"/>
  <c r="JC94" i="54"/>
  <c r="JK94" i="54"/>
  <c r="JU154" i="54"/>
  <c r="KC154" i="54"/>
  <c r="KK154" i="54"/>
  <c r="KS154" i="54"/>
  <c r="LA154" i="54"/>
  <c r="LI154" i="54"/>
  <c r="LQ154" i="54"/>
  <c r="LY154" i="54"/>
  <c r="MG154" i="54"/>
  <c r="MO154" i="54"/>
  <c r="MW154" i="54"/>
  <c r="O278" i="46"/>
  <c r="O155" i="46"/>
  <c r="OC94" i="54"/>
  <c r="OC77" i="54" s="1"/>
  <c r="RU94" i="54"/>
  <c r="RU77" i="54" s="1"/>
  <c r="UO94" i="54"/>
  <c r="UO77" i="54" s="1"/>
  <c r="E100" i="37"/>
  <c r="G37" i="79"/>
  <c r="I37" i="79" s="1"/>
  <c r="J37" i="79" s="1"/>
  <c r="H41" i="79"/>
  <c r="W94" i="54"/>
  <c r="AE94" i="54"/>
  <c r="AM94" i="54"/>
  <c r="E259" i="46"/>
  <c r="E136" i="46"/>
  <c r="G350" i="79"/>
  <c r="G34" i="79"/>
  <c r="I34" i="79" s="1"/>
  <c r="J34" i="79" s="1"/>
  <c r="M259" i="46"/>
  <c r="M136" i="46"/>
  <c r="N50" i="34"/>
  <c r="H44" i="37"/>
  <c r="G36" i="79"/>
  <c r="I36" i="79" s="1"/>
  <c r="J36" i="79" s="1"/>
  <c r="TA154" i="54"/>
  <c r="G90" i="34"/>
  <c r="G91" i="34" s="1"/>
  <c r="G92" i="34" s="1"/>
  <c r="G93" i="34" s="1"/>
  <c r="G94" i="34" s="1"/>
  <c r="G95" i="34" s="1"/>
  <c r="G96" i="34" s="1"/>
  <c r="G97" i="34" s="1"/>
  <c r="G98" i="34" s="1"/>
  <c r="G99" i="34" s="1"/>
  <c r="G100" i="34" s="1"/>
  <c r="G101" i="34" s="1"/>
  <c r="G102" i="34" s="1"/>
  <c r="G103" i="34" s="1"/>
  <c r="G104" i="34" s="1"/>
  <c r="G105" i="34" s="1"/>
  <c r="G106" i="34" s="1"/>
  <c r="N51" i="34"/>
  <c r="E51" i="34"/>
  <c r="N52" i="34"/>
  <c r="I152" i="34"/>
  <c r="M256" i="46"/>
  <c r="N82" i="79"/>
  <c r="M17" i="79" s="1"/>
  <c r="L82" i="79"/>
  <c r="K17" i="79" s="1"/>
  <c r="M82" i="79"/>
  <c r="L17" i="79" s="1"/>
  <c r="D9" i="30"/>
  <c r="D6" i="32" s="1"/>
  <c r="JW154" i="54"/>
  <c r="KE154" i="54"/>
  <c r="KM154" i="54"/>
  <c r="KU154" i="54"/>
  <c r="LC154" i="54"/>
  <c r="LK154" i="54"/>
  <c r="LS154" i="54"/>
  <c r="MA154" i="54"/>
  <c r="MI154" i="54"/>
  <c r="MQ154" i="54"/>
  <c r="OB133" i="54"/>
  <c r="PH133" i="54"/>
  <c r="QN133" i="54"/>
  <c r="QV133" i="54"/>
  <c r="RD133" i="54"/>
  <c r="SJ133" i="54"/>
  <c r="SR133" i="54"/>
  <c r="SZ133" i="54"/>
  <c r="TX133" i="54"/>
  <c r="UV133" i="54"/>
  <c r="VC146" i="54"/>
  <c r="LD154" i="54"/>
  <c r="LT154" i="54"/>
  <c r="LE106" i="54"/>
  <c r="LM106" i="54"/>
  <c r="LU106" i="54"/>
  <c r="MC106" i="54"/>
  <c r="MK106" i="54"/>
  <c r="MS106" i="54"/>
  <c r="OZ154" i="54"/>
  <c r="PH154" i="54"/>
  <c r="PP154" i="54"/>
  <c r="PX154" i="54"/>
  <c r="QF154" i="54"/>
  <c r="QN154" i="54"/>
  <c r="QV154" i="54"/>
  <c r="RD154" i="54"/>
  <c r="RL154" i="54"/>
  <c r="RT154" i="54"/>
  <c r="SB154" i="54"/>
  <c r="SJ154" i="54"/>
  <c r="SR154" i="54"/>
  <c r="SZ154" i="54"/>
  <c r="TH154" i="54"/>
  <c r="TP154" i="54"/>
  <c r="TX154" i="54"/>
  <c r="UF154" i="54"/>
  <c r="UN154" i="54"/>
  <c r="BD267" i="4"/>
  <c r="LC133" i="54"/>
  <c r="LK133" i="54"/>
  <c r="LS133" i="54"/>
  <c r="MA133" i="54"/>
  <c r="MI133" i="54"/>
  <c r="MQ133" i="54"/>
  <c r="TB146" i="54"/>
  <c r="JT154" i="54"/>
  <c r="KB154" i="54"/>
  <c r="KJ154" i="54"/>
  <c r="KR154" i="54"/>
  <c r="KZ154" i="54"/>
  <c r="LH154" i="54"/>
  <c r="LP154" i="54"/>
  <c r="LX154" i="54"/>
  <c r="MF154" i="54"/>
  <c r="MN154" i="54"/>
  <c r="MV154" i="54"/>
  <c r="K49" i="33"/>
  <c r="K51" i="33" s="1"/>
  <c r="J51" i="33"/>
  <c r="S274" i="46"/>
  <c r="AC106" i="54"/>
  <c r="AK106" i="54"/>
  <c r="AS106" i="54"/>
  <c r="BA106" i="54"/>
  <c r="BI106" i="54"/>
  <c r="BQ106" i="54"/>
  <c r="LA106" i="54"/>
  <c r="LI106" i="54"/>
  <c r="LQ106" i="54"/>
  <c r="LY106" i="54"/>
  <c r="MG106" i="54"/>
  <c r="MO106" i="54"/>
  <c r="MW106" i="54"/>
  <c r="PR106" i="54"/>
  <c r="SD106" i="54"/>
  <c r="SL106" i="54"/>
  <c r="TJ106" i="54"/>
  <c r="TR106" i="54"/>
  <c r="UP106" i="54"/>
  <c r="UX106" i="54"/>
  <c r="AC133" i="54"/>
  <c r="AK133" i="54"/>
  <c r="US133" i="54"/>
  <c r="NW106" i="54"/>
  <c r="OE106" i="54"/>
  <c r="OM106" i="54"/>
  <c r="OU106" i="54"/>
  <c r="PC106" i="54"/>
  <c r="PK106" i="54"/>
  <c r="PS106" i="54"/>
  <c r="QA106" i="54"/>
  <c r="QI106" i="54"/>
  <c r="QQ106" i="54"/>
  <c r="QY106" i="54"/>
  <c r="RG106" i="54"/>
  <c r="RO106" i="54"/>
  <c r="RW106" i="54"/>
  <c r="SE106" i="54"/>
  <c r="SM106" i="54"/>
  <c r="SU106" i="54"/>
  <c r="TC106" i="54"/>
  <c r="TK106" i="54"/>
  <c r="TS106" i="54"/>
  <c r="UA106" i="54"/>
  <c r="UI106" i="54"/>
  <c r="UQ106" i="54"/>
  <c r="UY106" i="54"/>
  <c r="VG106" i="54"/>
  <c r="BD192" i="4"/>
  <c r="BC192" i="4" s="1"/>
  <c r="F49" i="38" s="1"/>
  <c r="H42" i="37"/>
  <c r="G99" i="37" s="1"/>
  <c r="NP94" i="54"/>
  <c r="NP77" i="54" s="1"/>
  <c r="NX94" i="54"/>
  <c r="NX77" i="54" s="1"/>
  <c r="ON94" i="54"/>
  <c r="ON77" i="54" s="1"/>
  <c r="OV94" i="54"/>
  <c r="OV77" i="54" s="1"/>
  <c r="PD94" i="54"/>
  <c r="PD77" i="54" s="1"/>
  <c r="PL94" i="54"/>
  <c r="PL77" i="54" s="1"/>
  <c r="PT94" i="54"/>
  <c r="PT77" i="54" s="1"/>
  <c r="QB94" i="54"/>
  <c r="QB77" i="54" s="1"/>
  <c r="QR94" i="54"/>
  <c r="QR77" i="54" s="1"/>
  <c r="QZ94" i="54"/>
  <c r="QZ77" i="54" s="1"/>
  <c r="RH94" i="54"/>
  <c r="RH77" i="54" s="1"/>
  <c r="RP94" i="54"/>
  <c r="RP77" i="54" s="1"/>
  <c r="RX94" i="54"/>
  <c r="RX77" i="54" s="1"/>
  <c r="SN94" i="54"/>
  <c r="SN77" i="54" s="1"/>
  <c r="TD94" i="54"/>
  <c r="TD77" i="54" s="1"/>
  <c r="LC106" i="54"/>
  <c r="LK106" i="54"/>
  <c r="LS106" i="54"/>
  <c r="MA106" i="54"/>
  <c r="MI106" i="54"/>
  <c r="MQ106" i="54"/>
  <c r="K146" i="54"/>
  <c r="S146" i="54"/>
  <c r="AA146" i="54"/>
  <c r="AI146" i="54"/>
  <c r="AQ146" i="54"/>
  <c r="AY146" i="54"/>
  <c r="BG146" i="54"/>
  <c r="BO146" i="54"/>
  <c r="BW146" i="54"/>
  <c r="CE146" i="54"/>
  <c r="CM146" i="54"/>
  <c r="CU146" i="54"/>
  <c r="DC146" i="54"/>
  <c r="DK146" i="54"/>
  <c r="DS146" i="54"/>
  <c r="EA146" i="54"/>
  <c r="EI146" i="54"/>
  <c r="EQ146" i="54"/>
  <c r="EY146" i="54"/>
  <c r="FG146" i="54"/>
  <c r="FO146" i="54"/>
  <c r="FW146" i="54"/>
  <c r="GE146" i="54"/>
  <c r="GM146" i="54"/>
  <c r="GU146" i="54"/>
  <c r="HC146" i="54"/>
  <c r="HK146" i="54"/>
  <c r="HS146" i="54"/>
  <c r="IA146" i="54"/>
  <c r="II146" i="54"/>
  <c r="IQ146" i="54"/>
  <c r="IY146" i="54"/>
  <c r="JG146" i="54"/>
  <c r="JO146" i="54"/>
  <c r="JW146" i="54"/>
  <c r="KE146" i="54"/>
  <c r="KM146" i="54"/>
  <c r="KU146" i="54"/>
  <c r="LC146" i="54"/>
  <c r="LK146" i="54"/>
  <c r="LS146" i="54"/>
  <c r="MA146" i="54"/>
  <c r="MI146" i="54"/>
  <c r="MQ146" i="54"/>
  <c r="MY146" i="54"/>
  <c r="NG146" i="54"/>
  <c r="NO146" i="54"/>
  <c r="J154" i="54"/>
  <c r="AH154" i="54"/>
  <c r="AP154" i="54"/>
  <c r="AX154" i="54"/>
  <c r="BF154" i="54"/>
  <c r="BN154" i="54"/>
  <c r="BV154" i="54"/>
  <c r="CT154" i="54"/>
  <c r="DB154" i="54"/>
  <c r="DJ154" i="54"/>
  <c r="DR154" i="54"/>
  <c r="DZ154" i="54"/>
  <c r="EH154" i="54"/>
  <c r="FF154" i="54"/>
  <c r="FN154" i="54"/>
  <c r="FV154" i="54"/>
  <c r="GD154" i="54"/>
  <c r="GL154" i="54"/>
  <c r="GT154" i="54"/>
  <c r="HR154" i="54"/>
  <c r="HZ154" i="54"/>
  <c r="IH154" i="54"/>
  <c r="IP154" i="54"/>
  <c r="IX154" i="54"/>
  <c r="PD154" i="54"/>
  <c r="PL154" i="54"/>
  <c r="PT154" i="54"/>
  <c r="QB154" i="54"/>
  <c r="QJ154" i="54"/>
  <c r="QR154" i="54"/>
  <c r="QZ154" i="54"/>
  <c r="I104" i="26"/>
  <c r="Y106" i="54"/>
  <c r="AG106" i="54"/>
  <c r="AO106" i="54"/>
  <c r="AW106" i="54"/>
  <c r="BE106" i="54"/>
  <c r="BM106" i="54"/>
  <c r="BU106" i="54"/>
  <c r="R115" i="48"/>
  <c r="R123" i="46"/>
  <c r="H308" i="46"/>
  <c r="P308" i="46"/>
  <c r="I101" i="26"/>
  <c r="AD187" i="54"/>
  <c r="AL187" i="54"/>
  <c r="BK187" i="54"/>
  <c r="BS187" i="54"/>
  <c r="CN94" i="54"/>
  <c r="CV94" i="54"/>
  <c r="DD94" i="54"/>
  <c r="DL94" i="54"/>
  <c r="DT94" i="54"/>
  <c r="EB94" i="54"/>
  <c r="EJ94" i="54"/>
  <c r="ER94" i="54"/>
  <c r="EZ94" i="54"/>
  <c r="FH94" i="54"/>
  <c r="FP94" i="54"/>
  <c r="FX94" i="54"/>
  <c r="GF94" i="54"/>
  <c r="GN94" i="54"/>
  <c r="GV94" i="54"/>
  <c r="HD94" i="54"/>
  <c r="HL94" i="54"/>
  <c r="HT94" i="54"/>
  <c r="IB94" i="54"/>
  <c r="IJ94" i="54"/>
  <c r="IR94" i="54"/>
  <c r="IZ94" i="54"/>
  <c r="JH94" i="54"/>
  <c r="JP94" i="54"/>
  <c r="F146" i="54"/>
  <c r="N146" i="54"/>
  <c r="V146" i="54"/>
  <c r="AD146" i="54"/>
  <c r="AL146" i="54"/>
  <c r="AT146" i="54"/>
  <c r="BB146" i="54"/>
  <c r="BJ146" i="54"/>
  <c r="BR146" i="54"/>
  <c r="BZ146" i="54"/>
  <c r="CH146" i="54"/>
  <c r="CP146" i="54"/>
  <c r="CX146" i="54"/>
  <c r="DF146" i="54"/>
  <c r="DN146" i="54"/>
  <c r="DV146" i="54"/>
  <c r="ED146" i="54"/>
  <c r="EL146" i="54"/>
  <c r="AA106" i="54"/>
  <c r="AI106" i="54"/>
  <c r="AQ106" i="54"/>
  <c r="AY106" i="54"/>
  <c r="BG106" i="54"/>
  <c r="BO106" i="54"/>
  <c r="J308" i="46"/>
  <c r="R308" i="46"/>
  <c r="BA140" i="4"/>
  <c r="E229" i="9"/>
  <c r="H64" i="81"/>
  <c r="I64" i="81" s="1"/>
  <c r="J64" i="81" s="1"/>
  <c r="K64" i="81" s="1"/>
  <c r="L64" i="81" s="1"/>
  <c r="M64" i="81" s="1"/>
  <c r="N64" i="81" s="1"/>
  <c r="O64" i="81" s="1"/>
  <c r="P64" i="81" s="1"/>
  <c r="Q64" i="81" s="1"/>
  <c r="R64" i="81" s="1"/>
  <c r="S64" i="81" s="1"/>
  <c r="T64" i="81" s="1"/>
  <c r="U64" i="81" s="1"/>
  <c r="AB94" i="54"/>
  <c r="AJ94" i="54"/>
  <c r="BI133" i="54"/>
  <c r="BQ133" i="54"/>
  <c r="P146" i="54"/>
  <c r="AF146" i="54"/>
  <c r="BL146" i="54"/>
  <c r="BT146" i="54"/>
  <c r="CB146" i="54"/>
  <c r="CR146" i="54"/>
  <c r="DP146" i="54"/>
  <c r="DX146" i="54"/>
  <c r="EV146" i="54"/>
  <c r="GB146" i="54"/>
  <c r="GJ146" i="54"/>
  <c r="GZ146" i="54"/>
  <c r="KZ146" i="54"/>
  <c r="LX146" i="54"/>
  <c r="MF146" i="54"/>
  <c r="NL146" i="54"/>
  <c r="O154" i="54"/>
  <c r="BC154" i="54"/>
  <c r="BK154" i="54"/>
  <c r="BS154" i="54"/>
  <c r="CQ154" i="54"/>
  <c r="DW154" i="54"/>
  <c r="EM154" i="54"/>
  <c r="GI154" i="54"/>
  <c r="GQ154" i="54"/>
  <c r="HO154" i="54"/>
  <c r="IU154" i="54"/>
  <c r="TN180" i="54"/>
  <c r="TV180" i="54"/>
  <c r="UL180" i="54"/>
  <c r="UT180" i="54"/>
  <c r="VB180" i="54"/>
  <c r="VJ180" i="54"/>
  <c r="W106" i="54"/>
  <c r="AE106" i="54"/>
  <c r="AM106" i="54"/>
  <c r="AU106" i="54"/>
  <c r="BC106" i="54"/>
  <c r="BK106" i="54"/>
  <c r="BS106" i="54"/>
  <c r="NX106" i="54"/>
  <c r="LE133" i="54"/>
  <c r="LM133" i="54"/>
  <c r="LU133" i="54"/>
  <c r="MC133" i="54"/>
  <c r="MK133" i="54"/>
  <c r="MS133" i="54"/>
  <c r="LL133" i="54"/>
  <c r="MJ133" i="54"/>
  <c r="MR133" i="54"/>
  <c r="G310" i="3"/>
  <c r="H311" i="3"/>
  <c r="E42" i="36" s="1"/>
  <c r="L50" i="53"/>
  <c r="BJ187" i="54"/>
  <c r="BR187" i="54"/>
  <c r="BL106" i="54"/>
  <c r="NQ106" i="54"/>
  <c r="NY106" i="54"/>
  <c r="OG106" i="54"/>
  <c r="OO106" i="54"/>
  <c r="OW106" i="54"/>
  <c r="PE106" i="54"/>
  <c r="PM106" i="54"/>
  <c r="PU106" i="54"/>
  <c r="QC106" i="54"/>
  <c r="QK106" i="54"/>
  <c r="QS106" i="54"/>
  <c r="RA106" i="54"/>
  <c r="RI106" i="54"/>
  <c r="RQ106" i="54"/>
  <c r="RY106" i="54"/>
  <c r="SG106" i="54"/>
  <c r="SO106" i="54"/>
  <c r="SW106" i="54"/>
  <c r="TE106" i="54"/>
  <c r="TM106" i="54"/>
  <c r="TU106" i="54"/>
  <c r="UC106" i="54"/>
  <c r="UK106" i="54"/>
  <c r="US106" i="54"/>
  <c r="VA106" i="54"/>
  <c r="VI106" i="54"/>
  <c r="CO94" i="54"/>
  <c r="CW94" i="54"/>
  <c r="DE94" i="54"/>
  <c r="DM94" i="54"/>
  <c r="DU94" i="54"/>
  <c r="EC94" i="54"/>
  <c r="EK94" i="54"/>
  <c r="ES94" i="54"/>
  <c r="FA94" i="54"/>
  <c r="FI94" i="54"/>
  <c r="FQ94" i="54"/>
  <c r="FY94" i="54"/>
  <c r="GG94" i="54"/>
  <c r="GO94" i="54"/>
  <c r="GW94" i="54"/>
  <c r="HE94" i="54"/>
  <c r="HM94" i="54"/>
  <c r="HU94" i="54"/>
  <c r="IC94" i="54"/>
  <c r="IK94" i="54"/>
  <c r="IS94" i="54"/>
  <c r="JA94" i="54"/>
  <c r="JI94" i="54"/>
  <c r="JQ94" i="54"/>
  <c r="AB146" i="54"/>
  <c r="AJ146" i="54"/>
  <c r="BH146" i="54"/>
  <c r="BP146" i="54"/>
  <c r="CV146" i="54"/>
  <c r="DD146" i="54"/>
  <c r="DL146" i="54"/>
  <c r="DT146" i="54"/>
  <c r="EZ146" i="54"/>
  <c r="FX146" i="54"/>
  <c r="GF146" i="54"/>
  <c r="HT146" i="54"/>
  <c r="IR146" i="54"/>
  <c r="MZ146" i="54"/>
  <c r="I256" i="79"/>
  <c r="J256" i="79" s="1"/>
  <c r="BI94" i="54"/>
  <c r="BQ94" i="54"/>
  <c r="BG133" i="54"/>
  <c r="BO133" i="54"/>
  <c r="NV133" i="54"/>
  <c r="OD133" i="54"/>
  <c r="OL133" i="54"/>
  <c r="OT133" i="54"/>
  <c r="PB133" i="54"/>
  <c r="PJ133" i="54"/>
  <c r="PR133" i="54"/>
  <c r="PZ133" i="54"/>
  <c r="QH133" i="54"/>
  <c r="QP133" i="54"/>
  <c r="QX133" i="54"/>
  <c r="RF133" i="54"/>
  <c r="RN133" i="54"/>
  <c r="RV133" i="54"/>
  <c r="SD133" i="54"/>
  <c r="SL133" i="54"/>
  <c r="ST133" i="54"/>
  <c r="TB133" i="54"/>
  <c r="TJ133" i="54"/>
  <c r="TR133" i="54"/>
  <c r="TZ133" i="54"/>
  <c r="UH133" i="54"/>
  <c r="UP133" i="54"/>
  <c r="UX133" i="54"/>
  <c r="VF133" i="54"/>
  <c r="M146" i="54"/>
  <c r="U146" i="54"/>
  <c r="AC146" i="54"/>
  <c r="AK146" i="54"/>
  <c r="AS146" i="54"/>
  <c r="BA146" i="54"/>
  <c r="BI146" i="54"/>
  <c r="BQ146" i="54"/>
  <c r="BY146" i="54"/>
  <c r="CG146" i="54"/>
  <c r="E110" i="3"/>
  <c r="AC94" i="54"/>
  <c r="AK94" i="54"/>
  <c r="AB106" i="54"/>
  <c r="AJ106" i="54"/>
  <c r="AR106" i="54"/>
  <c r="AZ106" i="54"/>
  <c r="BH106" i="54"/>
  <c r="BP106" i="54"/>
  <c r="LY94" i="54"/>
  <c r="MW94" i="54"/>
  <c r="G118" i="34"/>
  <c r="G119" i="34" s="1"/>
  <c r="G120" i="34" s="1"/>
  <c r="G121" i="34" s="1"/>
  <c r="G122" i="34" s="1"/>
  <c r="G123" i="34" s="1"/>
  <c r="G124" i="34" s="1"/>
  <c r="G125" i="34" s="1"/>
  <c r="G126" i="34" s="1"/>
  <c r="G127" i="34" s="1"/>
  <c r="G128" i="34" s="1"/>
  <c r="G129" i="34" s="1"/>
  <c r="G130" i="34" s="1"/>
  <c r="G131" i="34" s="1"/>
  <c r="G132" i="34" s="1"/>
  <c r="G133" i="34" s="1"/>
  <c r="G134" i="34" s="1"/>
  <c r="I106" i="26"/>
  <c r="I16" i="79"/>
  <c r="J16" i="79" s="1"/>
  <c r="I19" i="79"/>
  <c r="J19" i="79" s="1"/>
  <c r="R19" i="79" s="1"/>
  <c r="F538" i="79" s="1"/>
  <c r="AA187" i="54"/>
  <c r="AI187" i="54"/>
  <c r="OX187" i="54"/>
  <c r="PF187" i="54"/>
  <c r="PN187" i="54"/>
  <c r="PV187" i="54"/>
  <c r="QD187" i="54"/>
  <c r="QL187" i="54"/>
  <c r="QT187" i="54"/>
  <c r="RB187" i="54"/>
  <c r="RJ187" i="54"/>
  <c r="TN187" i="54"/>
  <c r="TV187" i="54"/>
  <c r="UB146" i="54"/>
  <c r="CO146" i="54"/>
  <c r="CW146" i="54"/>
  <c r="DE146" i="54"/>
  <c r="DM146" i="54"/>
  <c r="DU146" i="54"/>
  <c r="EC146" i="54"/>
  <c r="EK146" i="54"/>
  <c r="ES146" i="54"/>
  <c r="FA146" i="54"/>
  <c r="FI146" i="54"/>
  <c r="FQ146" i="54"/>
  <c r="FY146" i="54"/>
  <c r="GG146" i="54"/>
  <c r="GO146" i="54"/>
  <c r="GW146" i="54"/>
  <c r="HE146" i="54"/>
  <c r="HM146" i="54"/>
  <c r="HU146" i="54"/>
  <c r="IC146" i="54"/>
  <c r="IK146" i="54"/>
  <c r="IS146" i="54"/>
  <c r="JA146" i="54"/>
  <c r="JI146" i="54"/>
  <c r="JQ146" i="54"/>
  <c r="JY146" i="54"/>
  <c r="KG146" i="54"/>
  <c r="KO146" i="54"/>
  <c r="KW146" i="54"/>
  <c r="LE146" i="54"/>
  <c r="LM146" i="54"/>
  <c r="LU146" i="54"/>
  <c r="MC146" i="54"/>
  <c r="MK146" i="54"/>
  <c r="MS146" i="54"/>
  <c r="NA146" i="54"/>
  <c r="NI146" i="54"/>
  <c r="L154" i="54"/>
  <c r="AZ154" i="54"/>
  <c r="BH154" i="54"/>
  <c r="BX154" i="54"/>
  <c r="DL154" i="54"/>
  <c r="DT154" i="54"/>
  <c r="FX154" i="54"/>
  <c r="GV154" i="54"/>
  <c r="OX154" i="54"/>
  <c r="PF154" i="54"/>
  <c r="PN154" i="54"/>
  <c r="PV154" i="54"/>
  <c r="QD154" i="54"/>
  <c r="QL154" i="54"/>
  <c r="QT154" i="54"/>
  <c r="RB154" i="54"/>
  <c r="RJ154" i="54"/>
  <c r="RR154" i="54"/>
  <c r="RZ154" i="54"/>
  <c r="SH154" i="54"/>
  <c r="SP154" i="54"/>
  <c r="SX154" i="54"/>
  <c r="TF154" i="54"/>
  <c r="TN154" i="54"/>
  <c r="TV154" i="54"/>
  <c r="UD154" i="54"/>
  <c r="UL154" i="54"/>
  <c r="UT154" i="54"/>
  <c r="I146" i="54"/>
  <c r="Q146" i="54"/>
  <c r="Y146" i="54"/>
  <c r="AO146" i="54"/>
  <c r="AW146" i="54"/>
  <c r="BE146" i="54"/>
  <c r="BM146" i="54"/>
  <c r="BU146" i="54"/>
  <c r="CK146" i="54"/>
  <c r="CS146" i="54"/>
  <c r="DA146" i="54"/>
  <c r="DI146" i="54"/>
  <c r="DQ146" i="54"/>
  <c r="DY146" i="54"/>
  <c r="EG146" i="54"/>
  <c r="EO146" i="54"/>
  <c r="EW146" i="54"/>
  <c r="FE146" i="54"/>
  <c r="FU146" i="54"/>
  <c r="GC146" i="54"/>
  <c r="GK146" i="54"/>
  <c r="GS146" i="54"/>
  <c r="HA146" i="54"/>
  <c r="HI146" i="54"/>
  <c r="HQ146" i="54"/>
  <c r="IG146" i="54"/>
  <c r="IO146" i="54"/>
  <c r="IW146" i="54"/>
  <c r="JE146" i="54"/>
  <c r="JM146" i="54"/>
  <c r="JU146" i="54"/>
  <c r="KC146" i="54"/>
  <c r="KS146" i="54"/>
  <c r="LA146" i="54"/>
  <c r="LQ146" i="54"/>
  <c r="MG146" i="54"/>
  <c r="NE146" i="54"/>
  <c r="NM146" i="54"/>
  <c r="H154" i="54"/>
  <c r="P154" i="54"/>
  <c r="X154" i="54"/>
  <c r="AF154" i="54"/>
  <c r="AN154" i="54"/>
  <c r="AV154" i="54"/>
  <c r="BD154" i="54"/>
  <c r="BL154" i="54"/>
  <c r="BT154" i="54"/>
  <c r="CB154" i="54"/>
  <c r="CJ154" i="54"/>
  <c r="CR154" i="54"/>
  <c r="CZ154" i="54"/>
  <c r="DH154" i="54"/>
  <c r="DP154" i="54"/>
  <c r="DX154" i="54"/>
  <c r="EF154" i="54"/>
  <c r="EN154" i="54"/>
  <c r="EV154" i="54"/>
  <c r="FD154" i="54"/>
  <c r="FL154" i="54"/>
  <c r="FT154" i="54"/>
  <c r="GB154" i="54"/>
  <c r="GJ154" i="54"/>
  <c r="GR154" i="54"/>
  <c r="GZ154" i="54"/>
  <c r="HH154" i="54"/>
  <c r="HP154" i="54"/>
  <c r="HX154" i="54"/>
  <c r="IF154" i="54"/>
  <c r="IN154" i="54"/>
  <c r="IV154" i="54"/>
  <c r="PB154" i="54"/>
  <c r="PJ154" i="54"/>
  <c r="PR154" i="54"/>
  <c r="PZ154" i="54"/>
  <c r="QP154" i="54"/>
  <c r="QX154" i="54"/>
  <c r="RF154" i="54"/>
  <c r="RV154" i="54"/>
  <c r="SD154" i="54"/>
  <c r="SL154" i="54"/>
  <c r="TB154" i="54"/>
  <c r="TJ154" i="54"/>
  <c r="TR154" i="54"/>
  <c r="UH154" i="54"/>
  <c r="UP154" i="54"/>
  <c r="U34" i="44"/>
  <c r="U37" i="44"/>
  <c r="F200" i="35" s="1"/>
  <c r="V34" i="44"/>
  <c r="V37" i="44"/>
  <c r="F201" i="35" s="1"/>
  <c r="N274" i="46"/>
  <c r="I300" i="46"/>
  <c r="Q300" i="46"/>
  <c r="H302" i="46"/>
  <c r="P302" i="46"/>
  <c r="G304" i="46"/>
  <c r="O304" i="46"/>
  <c r="F305" i="46"/>
  <c r="N305" i="46"/>
  <c r="E306" i="46"/>
  <c r="M306" i="46"/>
  <c r="D307" i="46"/>
  <c r="L307" i="46"/>
  <c r="C308" i="46"/>
  <c r="K308" i="46"/>
  <c r="S308" i="46"/>
  <c r="E285" i="46"/>
  <c r="M285" i="46"/>
  <c r="D286" i="46"/>
  <c r="L286" i="46"/>
  <c r="C287" i="46"/>
  <c r="K287" i="46"/>
  <c r="S287" i="46"/>
  <c r="J288" i="46"/>
  <c r="R288" i="46"/>
  <c r="I290" i="46"/>
  <c r="Q290" i="46"/>
  <c r="H291" i="46"/>
  <c r="P291" i="46"/>
  <c r="G292" i="46"/>
  <c r="O292" i="46"/>
  <c r="F293" i="46"/>
  <c r="N293" i="46"/>
  <c r="E294" i="46"/>
  <c r="M294" i="46"/>
  <c r="D295" i="46"/>
  <c r="L295" i="46"/>
  <c r="C296" i="46"/>
  <c r="K296" i="46"/>
  <c r="S296" i="46"/>
  <c r="J298" i="46"/>
  <c r="R298" i="46"/>
  <c r="CP130" i="54"/>
  <c r="CP131" i="54" s="1"/>
  <c r="CP133" i="54" s="1"/>
  <c r="CX130" i="54"/>
  <c r="CX131" i="54" s="1"/>
  <c r="CX133" i="54" s="1"/>
  <c r="DF130" i="54"/>
  <c r="DF131" i="54" s="1"/>
  <c r="DF133" i="54" s="1"/>
  <c r="DN130" i="54"/>
  <c r="DN131" i="54" s="1"/>
  <c r="DN133" i="54" s="1"/>
  <c r="DV130" i="54"/>
  <c r="DV131" i="54" s="1"/>
  <c r="DV133" i="54" s="1"/>
  <c r="ED130" i="54"/>
  <c r="ED131" i="54" s="1"/>
  <c r="ED133" i="54" s="1"/>
  <c r="EL130" i="54"/>
  <c r="EL131" i="54" s="1"/>
  <c r="EL133" i="54" s="1"/>
  <c r="ET130" i="54"/>
  <c r="ET131" i="54" s="1"/>
  <c r="ET133" i="54" s="1"/>
  <c r="FB130" i="54"/>
  <c r="FB131" i="54" s="1"/>
  <c r="FB133" i="54" s="1"/>
  <c r="FJ130" i="54"/>
  <c r="FJ131" i="54" s="1"/>
  <c r="FJ133" i="54" s="1"/>
  <c r="FR130" i="54"/>
  <c r="FR131" i="54" s="1"/>
  <c r="FR133" i="54" s="1"/>
  <c r="FZ130" i="54"/>
  <c r="FZ131" i="54" s="1"/>
  <c r="FZ133" i="54" s="1"/>
  <c r="GH130" i="54"/>
  <c r="GH131" i="54" s="1"/>
  <c r="GH133" i="54" s="1"/>
  <c r="GP130" i="54"/>
  <c r="GP131" i="54" s="1"/>
  <c r="GP133" i="54" s="1"/>
  <c r="GX130" i="54"/>
  <c r="GX131" i="54" s="1"/>
  <c r="GX133" i="54" s="1"/>
  <c r="HF130" i="54"/>
  <c r="HF131" i="54" s="1"/>
  <c r="HF133" i="54" s="1"/>
  <c r="HN130" i="54"/>
  <c r="HN131" i="54" s="1"/>
  <c r="HN133" i="54" s="1"/>
  <c r="HV130" i="54"/>
  <c r="HV131" i="54" s="1"/>
  <c r="HV133" i="54" s="1"/>
  <c r="ID130" i="54"/>
  <c r="ID131" i="54" s="1"/>
  <c r="ID133" i="54" s="1"/>
  <c r="IL130" i="54"/>
  <c r="IL131" i="54" s="1"/>
  <c r="IL133" i="54" s="1"/>
  <c r="IT130" i="54"/>
  <c r="IT131" i="54" s="1"/>
  <c r="IT133" i="54" s="1"/>
  <c r="JB130" i="54"/>
  <c r="JB131" i="54" s="1"/>
  <c r="JB133" i="54" s="1"/>
  <c r="JJ130" i="54"/>
  <c r="JJ131" i="54" s="1"/>
  <c r="JJ133" i="54" s="1"/>
  <c r="CQ130" i="54"/>
  <c r="CQ131" i="54" s="1"/>
  <c r="CQ133" i="54" s="1"/>
  <c r="CY130" i="54"/>
  <c r="CY131" i="54" s="1"/>
  <c r="CY133" i="54" s="1"/>
  <c r="DG130" i="54"/>
  <c r="DG131" i="54" s="1"/>
  <c r="DG133" i="54" s="1"/>
  <c r="DO130" i="54"/>
  <c r="DO131" i="54" s="1"/>
  <c r="DO133" i="54" s="1"/>
  <c r="DW130" i="54"/>
  <c r="DW131" i="54" s="1"/>
  <c r="DW133" i="54" s="1"/>
  <c r="EE130" i="54"/>
  <c r="EE131" i="54" s="1"/>
  <c r="EE133" i="54" s="1"/>
  <c r="EM130" i="54"/>
  <c r="EM131" i="54" s="1"/>
  <c r="EM133" i="54" s="1"/>
  <c r="EU130" i="54"/>
  <c r="EU131" i="54" s="1"/>
  <c r="EU133" i="54" s="1"/>
  <c r="FC130" i="54"/>
  <c r="FC131" i="54" s="1"/>
  <c r="FC133" i="54" s="1"/>
  <c r="FK130" i="54"/>
  <c r="FK131" i="54" s="1"/>
  <c r="FK133" i="54" s="1"/>
  <c r="FS130" i="54"/>
  <c r="FS131" i="54" s="1"/>
  <c r="FS133" i="54" s="1"/>
  <c r="GA130" i="54"/>
  <c r="GA131" i="54" s="1"/>
  <c r="GA133" i="54" s="1"/>
  <c r="GI130" i="54"/>
  <c r="GI131" i="54" s="1"/>
  <c r="GI133" i="54" s="1"/>
  <c r="GQ130" i="54"/>
  <c r="GQ131" i="54" s="1"/>
  <c r="GQ133" i="54" s="1"/>
  <c r="GY130" i="54"/>
  <c r="GY131" i="54" s="1"/>
  <c r="GY133" i="54" s="1"/>
  <c r="HG130" i="54"/>
  <c r="HG131" i="54" s="1"/>
  <c r="HG133" i="54" s="1"/>
  <c r="HO130" i="54"/>
  <c r="HO131" i="54" s="1"/>
  <c r="HO133" i="54" s="1"/>
  <c r="HW130" i="54"/>
  <c r="HW131" i="54" s="1"/>
  <c r="HW133" i="54" s="1"/>
  <c r="IE130" i="54"/>
  <c r="IE131" i="54" s="1"/>
  <c r="IE133" i="54" s="1"/>
  <c r="IM130" i="54"/>
  <c r="IM131" i="54" s="1"/>
  <c r="IM133" i="54" s="1"/>
  <c r="IU130" i="54"/>
  <c r="IU131" i="54" s="1"/>
  <c r="IU133" i="54" s="1"/>
  <c r="JC130" i="54"/>
  <c r="JC131" i="54" s="1"/>
  <c r="JC133" i="54" s="1"/>
  <c r="JK130" i="54"/>
  <c r="JK131" i="54" s="1"/>
  <c r="JK133" i="54" s="1"/>
  <c r="CR130" i="54"/>
  <c r="CR131" i="54" s="1"/>
  <c r="CR133" i="54" s="1"/>
  <c r="CZ130" i="54"/>
  <c r="CZ131" i="54" s="1"/>
  <c r="CZ133" i="54" s="1"/>
  <c r="DH130" i="54"/>
  <c r="DH131" i="54" s="1"/>
  <c r="DH133" i="54" s="1"/>
  <c r="DP130" i="54"/>
  <c r="DP131" i="54" s="1"/>
  <c r="DP133" i="54" s="1"/>
  <c r="DX130" i="54"/>
  <c r="DX131" i="54" s="1"/>
  <c r="DX133" i="54" s="1"/>
  <c r="EF130" i="54"/>
  <c r="EF131" i="54" s="1"/>
  <c r="EF133" i="54" s="1"/>
  <c r="EN130" i="54"/>
  <c r="EN131" i="54" s="1"/>
  <c r="EN133" i="54" s="1"/>
  <c r="EV130" i="54"/>
  <c r="EV131" i="54" s="1"/>
  <c r="EV133" i="54" s="1"/>
  <c r="FD130" i="54"/>
  <c r="FD131" i="54" s="1"/>
  <c r="FD133" i="54" s="1"/>
  <c r="FL130" i="54"/>
  <c r="FL131" i="54" s="1"/>
  <c r="FL133" i="54" s="1"/>
  <c r="FT130" i="54"/>
  <c r="FT131" i="54" s="1"/>
  <c r="FT133" i="54" s="1"/>
  <c r="GB130" i="54"/>
  <c r="GB131" i="54" s="1"/>
  <c r="GB133" i="54" s="1"/>
  <c r="GJ130" i="54"/>
  <c r="GJ131" i="54" s="1"/>
  <c r="GJ133" i="54" s="1"/>
  <c r="GR130" i="54"/>
  <c r="GR131" i="54" s="1"/>
  <c r="GR133" i="54" s="1"/>
  <c r="GZ130" i="54"/>
  <c r="GZ131" i="54" s="1"/>
  <c r="GZ133" i="54" s="1"/>
  <c r="HH130" i="54"/>
  <c r="HH131" i="54" s="1"/>
  <c r="HH133" i="54" s="1"/>
  <c r="HP130" i="54"/>
  <c r="HP131" i="54" s="1"/>
  <c r="HP133" i="54" s="1"/>
  <c r="HX130" i="54"/>
  <c r="HX131" i="54" s="1"/>
  <c r="HX133" i="54" s="1"/>
  <c r="IF130" i="54"/>
  <c r="IF131" i="54" s="1"/>
  <c r="IF133" i="54" s="1"/>
  <c r="IN130" i="54"/>
  <c r="IN131" i="54" s="1"/>
  <c r="IV130" i="54"/>
  <c r="IV131" i="54" s="1"/>
  <c r="IV133" i="54" s="1"/>
  <c r="JD130" i="54"/>
  <c r="JD131" i="54" s="1"/>
  <c r="JD133" i="54" s="1"/>
  <c r="JL130" i="54"/>
  <c r="JL131" i="54" s="1"/>
  <c r="JL133" i="54" s="1"/>
  <c r="CS130" i="54"/>
  <c r="CS131" i="54" s="1"/>
  <c r="CS133" i="54" s="1"/>
  <c r="DA130" i="54"/>
  <c r="DA131" i="54" s="1"/>
  <c r="DI130" i="54"/>
  <c r="DI131" i="54" s="1"/>
  <c r="DQ130" i="54"/>
  <c r="DQ131" i="54" s="1"/>
  <c r="DY130" i="54"/>
  <c r="DY131" i="54" s="1"/>
  <c r="EG130" i="54"/>
  <c r="EG131" i="54" s="1"/>
  <c r="EG133" i="54" s="1"/>
  <c r="EO130" i="54"/>
  <c r="EO131" i="54" s="1"/>
  <c r="EO133" i="54" s="1"/>
  <c r="EW130" i="54"/>
  <c r="EW131" i="54" s="1"/>
  <c r="EW133" i="54" s="1"/>
  <c r="FE130" i="54"/>
  <c r="FE131" i="54" s="1"/>
  <c r="FE133" i="54" s="1"/>
  <c r="FM130" i="54"/>
  <c r="FM131" i="54" s="1"/>
  <c r="FU130" i="54"/>
  <c r="FU131" i="54" s="1"/>
  <c r="GC130" i="54"/>
  <c r="GC131" i="54" s="1"/>
  <c r="GK130" i="54"/>
  <c r="GK131" i="54" s="1"/>
  <c r="GS130" i="54"/>
  <c r="GS131" i="54" s="1"/>
  <c r="HA130" i="54"/>
  <c r="HA131" i="54" s="1"/>
  <c r="HA133" i="54" s="1"/>
  <c r="HI130" i="54"/>
  <c r="HI131" i="54" s="1"/>
  <c r="HI133" i="54" s="1"/>
  <c r="HQ130" i="54"/>
  <c r="HQ131" i="54" s="1"/>
  <c r="HQ133" i="54" s="1"/>
  <c r="HY130" i="54"/>
  <c r="HY131" i="54" s="1"/>
  <c r="IG130" i="54"/>
  <c r="IG131" i="54" s="1"/>
  <c r="IO130" i="54"/>
  <c r="IO131" i="54" s="1"/>
  <c r="IW130" i="54"/>
  <c r="IW131" i="54" s="1"/>
  <c r="JE130" i="54"/>
  <c r="JE131" i="54" s="1"/>
  <c r="JE133" i="54" s="1"/>
  <c r="JM130" i="54"/>
  <c r="JM131" i="54" s="1"/>
  <c r="CT130" i="54"/>
  <c r="CT131" i="54" s="1"/>
  <c r="CT133" i="54" s="1"/>
  <c r="DB130" i="54"/>
  <c r="DB131" i="54" s="1"/>
  <c r="DB133" i="54" s="1"/>
  <c r="DJ130" i="54"/>
  <c r="DJ131" i="54" s="1"/>
  <c r="DJ133" i="54" s="1"/>
  <c r="DR130" i="54"/>
  <c r="DR131" i="54" s="1"/>
  <c r="DR133" i="54" s="1"/>
  <c r="DZ130" i="54"/>
  <c r="DZ131" i="54" s="1"/>
  <c r="DZ133" i="54" s="1"/>
  <c r="EH130" i="54"/>
  <c r="EH131" i="54" s="1"/>
  <c r="EH133" i="54" s="1"/>
  <c r="EP130" i="54"/>
  <c r="EP131" i="54" s="1"/>
  <c r="EP133" i="54" s="1"/>
  <c r="EX130" i="54"/>
  <c r="EX131" i="54" s="1"/>
  <c r="EX133" i="54" s="1"/>
  <c r="FF130" i="54"/>
  <c r="FF131" i="54" s="1"/>
  <c r="FF133" i="54" s="1"/>
  <c r="FN130" i="54"/>
  <c r="FN131" i="54" s="1"/>
  <c r="FN133" i="54" s="1"/>
  <c r="FV130" i="54"/>
  <c r="FV131" i="54" s="1"/>
  <c r="FV133" i="54" s="1"/>
  <c r="GD130" i="54"/>
  <c r="GD131" i="54" s="1"/>
  <c r="GD133" i="54" s="1"/>
  <c r="GL130" i="54"/>
  <c r="GL131" i="54" s="1"/>
  <c r="GL133" i="54" s="1"/>
  <c r="GT130" i="54"/>
  <c r="GT131" i="54" s="1"/>
  <c r="GT133" i="54" s="1"/>
  <c r="HB130" i="54"/>
  <c r="HB131" i="54" s="1"/>
  <c r="HB133" i="54" s="1"/>
  <c r="HJ130" i="54"/>
  <c r="HJ131" i="54" s="1"/>
  <c r="HJ133" i="54" s="1"/>
  <c r="HR130" i="54"/>
  <c r="HR131" i="54" s="1"/>
  <c r="HR133" i="54" s="1"/>
  <c r="HZ130" i="54"/>
  <c r="HZ131" i="54" s="1"/>
  <c r="HZ133" i="54" s="1"/>
  <c r="IH130" i="54"/>
  <c r="IH131" i="54" s="1"/>
  <c r="IH133" i="54" s="1"/>
  <c r="IP130" i="54"/>
  <c r="IP131" i="54" s="1"/>
  <c r="IP133" i="54" s="1"/>
  <c r="IX130" i="54"/>
  <c r="IX131" i="54" s="1"/>
  <c r="IX133" i="54" s="1"/>
  <c r="JF130" i="54"/>
  <c r="JF131" i="54" s="1"/>
  <c r="JF133" i="54" s="1"/>
  <c r="JN130" i="54"/>
  <c r="JN131" i="54" s="1"/>
  <c r="JN133" i="54" s="1"/>
  <c r="CM130" i="54"/>
  <c r="CM131" i="54" s="1"/>
  <c r="CM133" i="54" s="1"/>
  <c r="CU130" i="54"/>
  <c r="CU131" i="54" s="1"/>
  <c r="CU133" i="54" s="1"/>
  <c r="DC130" i="54"/>
  <c r="DC131" i="54" s="1"/>
  <c r="DC133" i="54" s="1"/>
  <c r="DK130" i="54"/>
  <c r="DK131" i="54" s="1"/>
  <c r="DK133" i="54" s="1"/>
  <c r="DS130" i="54"/>
  <c r="DS131" i="54" s="1"/>
  <c r="DS133" i="54" s="1"/>
  <c r="EA130" i="54"/>
  <c r="EA131" i="54" s="1"/>
  <c r="EA133" i="54" s="1"/>
  <c r="EI130" i="54"/>
  <c r="EI131" i="54" s="1"/>
  <c r="EI133" i="54" s="1"/>
  <c r="EQ130" i="54"/>
  <c r="EQ131" i="54" s="1"/>
  <c r="EQ133" i="54" s="1"/>
  <c r="EY130" i="54"/>
  <c r="EY131" i="54" s="1"/>
  <c r="EY133" i="54" s="1"/>
  <c r="FG130" i="54"/>
  <c r="FG131" i="54" s="1"/>
  <c r="FG133" i="54" s="1"/>
  <c r="FO130" i="54"/>
  <c r="FO131" i="54" s="1"/>
  <c r="FO133" i="54" s="1"/>
  <c r="FW130" i="54"/>
  <c r="FW131" i="54" s="1"/>
  <c r="FW133" i="54" s="1"/>
  <c r="GE130" i="54"/>
  <c r="GE131" i="54" s="1"/>
  <c r="GE133" i="54" s="1"/>
  <c r="GM130" i="54"/>
  <c r="GM131" i="54" s="1"/>
  <c r="GM133" i="54" s="1"/>
  <c r="GU130" i="54"/>
  <c r="GU131" i="54" s="1"/>
  <c r="GU133" i="54" s="1"/>
  <c r="HC130" i="54"/>
  <c r="HC131" i="54" s="1"/>
  <c r="HC133" i="54" s="1"/>
  <c r="HK130" i="54"/>
  <c r="HK131" i="54" s="1"/>
  <c r="HK133" i="54" s="1"/>
  <c r="HS130" i="54"/>
  <c r="HS131" i="54" s="1"/>
  <c r="HS133" i="54" s="1"/>
  <c r="IA130" i="54"/>
  <c r="IA131" i="54" s="1"/>
  <c r="IA133" i="54" s="1"/>
  <c r="II130" i="54"/>
  <c r="II131" i="54" s="1"/>
  <c r="II133" i="54" s="1"/>
  <c r="IQ130" i="54"/>
  <c r="IQ131" i="54" s="1"/>
  <c r="IQ133" i="54" s="1"/>
  <c r="IY130" i="54"/>
  <c r="IY131" i="54" s="1"/>
  <c r="JG130" i="54"/>
  <c r="JG131" i="54" s="1"/>
  <c r="JO130" i="54"/>
  <c r="JO131" i="54" s="1"/>
  <c r="JO133" i="54" s="1"/>
  <c r="DL130" i="54"/>
  <c r="DL131" i="54" s="1"/>
  <c r="DL133" i="54" s="1"/>
  <c r="ER130" i="54"/>
  <c r="ER131" i="54" s="1"/>
  <c r="ER133" i="54" s="1"/>
  <c r="FX130" i="54"/>
  <c r="FX131" i="54" s="1"/>
  <c r="FX133" i="54" s="1"/>
  <c r="HD130" i="54"/>
  <c r="HD131" i="54" s="1"/>
  <c r="HD133" i="54" s="1"/>
  <c r="IJ130" i="54"/>
  <c r="IJ131" i="54" s="1"/>
  <c r="IJ133" i="54" s="1"/>
  <c r="JP130" i="54"/>
  <c r="JP131" i="54" s="1"/>
  <c r="JP133" i="54" s="1"/>
  <c r="DM130" i="54"/>
  <c r="DM131" i="54" s="1"/>
  <c r="DM133" i="54" s="1"/>
  <c r="ES130" i="54"/>
  <c r="ES131" i="54" s="1"/>
  <c r="ES133" i="54" s="1"/>
  <c r="FY130" i="54"/>
  <c r="FY131" i="54" s="1"/>
  <c r="FY133" i="54" s="1"/>
  <c r="HE130" i="54"/>
  <c r="HE131" i="54" s="1"/>
  <c r="HE133" i="54" s="1"/>
  <c r="IK130" i="54"/>
  <c r="IK131" i="54" s="1"/>
  <c r="IK133" i="54" s="1"/>
  <c r="JQ130" i="54"/>
  <c r="JQ131" i="54" s="1"/>
  <c r="JQ133" i="54" s="1"/>
  <c r="CN130" i="54"/>
  <c r="CN131" i="54" s="1"/>
  <c r="CN133" i="54" s="1"/>
  <c r="DT130" i="54"/>
  <c r="DT131" i="54" s="1"/>
  <c r="DT133" i="54" s="1"/>
  <c r="EZ130" i="54"/>
  <c r="EZ131" i="54" s="1"/>
  <c r="EZ133" i="54" s="1"/>
  <c r="GF130" i="54"/>
  <c r="GF131" i="54" s="1"/>
  <c r="GF133" i="54" s="1"/>
  <c r="HL130" i="54"/>
  <c r="HL131" i="54" s="1"/>
  <c r="HL133" i="54" s="1"/>
  <c r="IR130" i="54"/>
  <c r="IR131" i="54" s="1"/>
  <c r="IR133" i="54" s="1"/>
  <c r="EJ130" i="54"/>
  <c r="EJ131" i="54" s="1"/>
  <c r="EJ133" i="54" s="1"/>
  <c r="CO130" i="54"/>
  <c r="CO131" i="54" s="1"/>
  <c r="CO133" i="54" s="1"/>
  <c r="DU130" i="54"/>
  <c r="DU131" i="54" s="1"/>
  <c r="DU133" i="54" s="1"/>
  <c r="FA130" i="54"/>
  <c r="FA131" i="54" s="1"/>
  <c r="FA133" i="54" s="1"/>
  <c r="GG130" i="54"/>
  <c r="GG131" i="54" s="1"/>
  <c r="GG133" i="54" s="1"/>
  <c r="HM130" i="54"/>
  <c r="HM131" i="54" s="1"/>
  <c r="HM133" i="54" s="1"/>
  <c r="IS130" i="54"/>
  <c r="IS131" i="54" s="1"/>
  <c r="IS133" i="54" s="1"/>
  <c r="CV130" i="54"/>
  <c r="CV131" i="54" s="1"/>
  <c r="CV133" i="54" s="1"/>
  <c r="EB130" i="54"/>
  <c r="EB131" i="54" s="1"/>
  <c r="EB133" i="54" s="1"/>
  <c r="FH130" i="54"/>
  <c r="FH131" i="54" s="1"/>
  <c r="FH133" i="54" s="1"/>
  <c r="GN130" i="54"/>
  <c r="GN131" i="54" s="1"/>
  <c r="GN133" i="54" s="1"/>
  <c r="HT130" i="54"/>
  <c r="HT131" i="54" s="1"/>
  <c r="HT133" i="54" s="1"/>
  <c r="IZ130" i="54"/>
  <c r="IZ131" i="54" s="1"/>
  <c r="IZ133" i="54" s="1"/>
  <c r="FP130" i="54"/>
  <c r="FP131" i="54" s="1"/>
  <c r="FP133" i="54" s="1"/>
  <c r="CW130" i="54"/>
  <c r="CW131" i="54" s="1"/>
  <c r="CW133" i="54" s="1"/>
  <c r="EC130" i="54"/>
  <c r="EC131" i="54" s="1"/>
  <c r="EC133" i="54" s="1"/>
  <c r="FI130" i="54"/>
  <c r="FI131" i="54" s="1"/>
  <c r="FI133" i="54" s="1"/>
  <c r="GO130" i="54"/>
  <c r="GO131" i="54" s="1"/>
  <c r="GO133" i="54" s="1"/>
  <c r="HU130" i="54"/>
  <c r="HU131" i="54" s="1"/>
  <c r="HU133" i="54" s="1"/>
  <c r="JA130" i="54"/>
  <c r="JA131" i="54" s="1"/>
  <c r="JA133" i="54" s="1"/>
  <c r="DD130" i="54"/>
  <c r="DD131" i="54" s="1"/>
  <c r="DD133" i="54" s="1"/>
  <c r="GV130" i="54"/>
  <c r="GV131" i="54" s="1"/>
  <c r="GV133" i="54" s="1"/>
  <c r="EK130" i="54"/>
  <c r="EK131" i="54" s="1"/>
  <c r="EK133" i="54" s="1"/>
  <c r="DE130" i="54"/>
  <c r="DE131" i="54" s="1"/>
  <c r="DE133" i="54" s="1"/>
  <c r="FQ130" i="54"/>
  <c r="FQ131" i="54" s="1"/>
  <c r="FQ133" i="54" s="1"/>
  <c r="GW130" i="54"/>
  <c r="GW131" i="54" s="1"/>
  <c r="GW133" i="54" s="1"/>
  <c r="IB130" i="54"/>
  <c r="IB131" i="54" s="1"/>
  <c r="IB133" i="54" s="1"/>
  <c r="IC130" i="54"/>
  <c r="IC131" i="54" s="1"/>
  <c r="IC133" i="54" s="1"/>
  <c r="JH130" i="54"/>
  <c r="JH131" i="54" s="1"/>
  <c r="JH133" i="54" s="1"/>
  <c r="JI130" i="54"/>
  <c r="JI131" i="54" s="1"/>
  <c r="JI133" i="54" s="1"/>
  <c r="DH32" i="54"/>
  <c r="DH69" i="54" s="1"/>
  <c r="DP32" i="54"/>
  <c r="DP69" i="54" s="1"/>
  <c r="DX32" i="54"/>
  <c r="DX69" i="54" s="1"/>
  <c r="EF32" i="54"/>
  <c r="EF69" i="54" s="1"/>
  <c r="EN32" i="54"/>
  <c r="EN69" i="54" s="1"/>
  <c r="EV32" i="54"/>
  <c r="EV69" i="54" s="1"/>
  <c r="FD32" i="54"/>
  <c r="FD69" i="54" s="1"/>
  <c r="DF32" i="54"/>
  <c r="DF69" i="54" s="1"/>
  <c r="DO32" i="54"/>
  <c r="DO69" i="54" s="1"/>
  <c r="DY32" i="54"/>
  <c r="DY69" i="54" s="1"/>
  <c r="EH32" i="54"/>
  <c r="EH69" i="54" s="1"/>
  <c r="EQ32" i="54"/>
  <c r="EQ69" i="54" s="1"/>
  <c r="EZ32" i="54"/>
  <c r="EZ69" i="54" s="1"/>
  <c r="FI32" i="54"/>
  <c r="FI69" i="54" s="1"/>
  <c r="FQ32" i="54"/>
  <c r="FQ69" i="54" s="1"/>
  <c r="FY32" i="54"/>
  <c r="FY69" i="54" s="1"/>
  <c r="GG32" i="54"/>
  <c r="GG69" i="54" s="1"/>
  <c r="GO32" i="54"/>
  <c r="GO69" i="54" s="1"/>
  <c r="GW32" i="54"/>
  <c r="GW69" i="54" s="1"/>
  <c r="HE32" i="54"/>
  <c r="HE69" i="54" s="1"/>
  <c r="HM32" i="54"/>
  <c r="HM69" i="54" s="1"/>
  <c r="HU32" i="54"/>
  <c r="HU69" i="54" s="1"/>
  <c r="IC32" i="54"/>
  <c r="IC69" i="54" s="1"/>
  <c r="IK32" i="54"/>
  <c r="IK69" i="54" s="1"/>
  <c r="IS32" i="54"/>
  <c r="IS69" i="54" s="1"/>
  <c r="JA32" i="54"/>
  <c r="JA69" i="54" s="1"/>
  <c r="JI32" i="54"/>
  <c r="JI69" i="54" s="1"/>
  <c r="JQ32" i="54"/>
  <c r="JQ69" i="54" s="1"/>
  <c r="JY32" i="54"/>
  <c r="KG32" i="54"/>
  <c r="HV32" i="54"/>
  <c r="HV69" i="54" s="1"/>
  <c r="IT32" i="54"/>
  <c r="IT69" i="54" s="1"/>
  <c r="JJ32" i="54"/>
  <c r="JJ69" i="54" s="1"/>
  <c r="JR32" i="54"/>
  <c r="KH32" i="54"/>
  <c r="DG32" i="54"/>
  <c r="DG69" i="54" s="1"/>
  <c r="DQ32" i="54"/>
  <c r="DQ69" i="54" s="1"/>
  <c r="DZ32" i="54"/>
  <c r="DZ69" i="54" s="1"/>
  <c r="EI32" i="54"/>
  <c r="EI69" i="54" s="1"/>
  <c r="ER32" i="54"/>
  <c r="ER69" i="54" s="1"/>
  <c r="FA32" i="54"/>
  <c r="FA69" i="54" s="1"/>
  <c r="FJ32" i="54"/>
  <c r="FJ69" i="54" s="1"/>
  <c r="FR32" i="54"/>
  <c r="FR69" i="54" s="1"/>
  <c r="FZ32" i="54"/>
  <c r="FZ69" i="54" s="1"/>
  <c r="GH32" i="54"/>
  <c r="GH69" i="54" s="1"/>
  <c r="GP32" i="54"/>
  <c r="GP69" i="54" s="1"/>
  <c r="GX32" i="54"/>
  <c r="GX69" i="54" s="1"/>
  <c r="HF32" i="54"/>
  <c r="HF69" i="54" s="1"/>
  <c r="HN32" i="54"/>
  <c r="HN69" i="54" s="1"/>
  <c r="ID32" i="54"/>
  <c r="ID69" i="54" s="1"/>
  <c r="IL32" i="54"/>
  <c r="IL69" i="54" s="1"/>
  <c r="JB32" i="54"/>
  <c r="JB69" i="54" s="1"/>
  <c r="JZ32" i="54"/>
  <c r="DI32" i="54"/>
  <c r="DI69" i="54" s="1"/>
  <c r="DR32" i="54"/>
  <c r="DR69" i="54" s="1"/>
  <c r="EA32" i="54"/>
  <c r="EA69" i="54" s="1"/>
  <c r="EJ32" i="54"/>
  <c r="EJ69" i="54" s="1"/>
  <c r="ES32" i="54"/>
  <c r="ES69" i="54" s="1"/>
  <c r="FB32" i="54"/>
  <c r="FB69" i="54" s="1"/>
  <c r="FK32" i="54"/>
  <c r="FK69" i="54" s="1"/>
  <c r="FS32" i="54"/>
  <c r="FS69" i="54" s="1"/>
  <c r="GA32" i="54"/>
  <c r="GA69" i="54" s="1"/>
  <c r="GI32" i="54"/>
  <c r="GI69" i="54" s="1"/>
  <c r="GQ32" i="54"/>
  <c r="GQ69" i="54" s="1"/>
  <c r="GY32" i="54"/>
  <c r="GY69" i="54" s="1"/>
  <c r="HG32" i="54"/>
  <c r="HG69" i="54" s="1"/>
  <c r="HO32" i="54"/>
  <c r="HO69" i="54" s="1"/>
  <c r="HW32" i="54"/>
  <c r="HW69" i="54" s="1"/>
  <c r="IE32" i="54"/>
  <c r="IE69" i="54" s="1"/>
  <c r="IM32" i="54"/>
  <c r="IM69" i="54" s="1"/>
  <c r="IU32" i="54"/>
  <c r="IU69" i="54" s="1"/>
  <c r="JC32" i="54"/>
  <c r="JC69" i="54" s="1"/>
  <c r="JK32" i="54"/>
  <c r="JK69" i="54" s="1"/>
  <c r="JS32" i="54"/>
  <c r="KA32" i="54"/>
  <c r="DJ32" i="54"/>
  <c r="DJ69" i="54" s="1"/>
  <c r="DS32" i="54"/>
  <c r="DS69" i="54" s="1"/>
  <c r="EB32" i="54"/>
  <c r="EB69" i="54" s="1"/>
  <c r="EK32" i="54"/>
  <c r="EK69" i="54" s="1"/>
  <c r="ET32" i="54"/>
  <c r="ET69" i="54" s="1"/>
  <c r="FC32" i="54"/>
  <c r="FC69" i="54" s="1"/>
  <c r="FL32" i="54"/>
  <c r="FL69" i="54" s="1"/>
  <c r="FT32" i="54"/>
  <c r="FT69" i="54" s="1"/>
  <c r="GB32" i="54"/>
  <c r="GB69" i="54" s="1"/>
  <c r="GJ32" i="54"/>
  <c r="GJ69" i="54" s="1"/>
  <c r="GR32" i="54"/>
  <c r="GR69" i="54" s="1"/>
  <c r="GZ32" i="54"/>
  <c r="GZ69" i="54" s="1"/>
  <c r="HH32" i="54"/>
  <c r="HH69" i="54" s="1"/>
  <c r="HP32" i="54"/>
  <c r="HP69" i="54" s="1"/>
  <c r="HX32" i="54"/>
  <c r="HX69" i="54" s="1"/>
  <c r="IF32" i="54"/>
  <c r="IF69" i="54" s="1"/>
  <c r="IN32" i="54"/>
  <c r="IN69" i="54" s="1"/>
  <c r="IV32" i="54"/>
  <c r="IV69" i="54" s="1"/>
  <c r="JD32" i="54"/>
  <c r="JD69" i="54" s="1"/>
  <c r="JL32" i="54"/>
  <c r="JL69" i="54" s="1"/>
  <c r="JT32" i="54"/>
  <c r="KB32" i="54"/>
  <c r="DK32" i="54"/>
  <c r="DK69" i="54" s="1"/>
  <c r="DT32" i="54"/>
  <c r="DT69" i="54" s="1"/>
  <c r="EC32" i="54"/>
  <c r="EC69" i="54" s="1"/>
  <c r="EL32" i="54"/>
  <c r="EL69" i="54" s="1"/>
  <c r="EU32" i="54"/>
  <c r="EU69" i="54" s="1"/>
  <c r="FE32" i="54"/>
  <c r="FE69" i="54" s="1"/>
  <c r="FM32" i="54"/>
  <c r="FM69" i="54" s="1"/>
  <c r="FU32" i="54"/>
  <c r="FU69" i="54" s="1"/>
  <c r="GC32" i="54"/>
  <c r="GC69" i="54" s="1"/>
  <c r="GK32" i="54"/>
  <c r="GK69" i="54" s="1"/>
  <c r="GS32" i="54"/>
  <c r="GS69" i="54" s="1"/>
  <c r="HA32" i="54"/>
  <c r="HA69" i="54" s="1"/>
  <c r="HI32" i="54"/>
  <c r="HI69" i="54" s="1"/>
  <c r="HQ32" i="54"/>
  <c r="HQ69" i="54" s="1"/>
  <c r="HY32" i="54"/>
  <c r="HY69" i="54" s="1"/>
  <c r="IG32" i="54"/>
  <c r="IG69" i="54" s="1"/>
  <c r="IO32" i="54"/>
  <c r="IO69" i="54" s="1"/>
  <c r="IW32" i="54"/>
  <c r="IW69" i="54" s="1"/>
  <c r="JE32" i="54"/>
  <c r="JE69" i="54" s="1"/>
  <c r="JM32" i="54"/>
  <c r="JM69" i="54" s="1"/>
  <c r="JU32" i="54"/>
  <c r="KC32" i="54"/>
  <c r="DL32" i="54"/>
  <c r="DL69" i="54" s="1"/>
  <c r="DU32" i="54"/>
  <c r="DU69" i="54" s="1"/>
  <c r="ED32" i="54"/>
  <c r="ED69" i="54" s="1"/>
  <c r="EM32" i="54"/>
  <c r="EM69" i="54" s="1"/>
  <c r="EW32" i="54"/>
  <c r="EW69" i="54" s="1"/>
  <c r="FF32" i="54"/>
  <c r="FF69" i="54" s="1"/>
  <c r="FN32" i="54"/>
  <c r="FN69" i="54" s="1"/>
  <c r="FV32" i="54"/>
  <c r="FV69" i="54" s="1"/>
  <c r="GD32" i="54"/>
  <c r="GD69" i="54" s="1"/>
  <c r="GL32" i="54"/>
  <c r="GL69" i="54" s="1"/>
  <c r="GT32" i="54"/>
  <c r="GT69" i="54" s="1"/>
  <c r="HB32" i="54"/>
  <c r="HB69" i="54" s="1"/>
  <c r="HJ32" i="54"/>
  <c r="HJ69" i="54" s="1"/>
  <c r="HR32" i="54"/>
  <c r="HR69" i="54" s="1"/>
  <c r="HZ32" i="54"/>
  <c r="HZ69" i="54" s="1"/>
  <c r="IH32" i="54"/>
  <c r="IH69" i="54" s="1"/>
  <c r="IP32" i="54"/>
  <c r="IP69" i="54" s="1"/>
  <c r="IX32" i="54"/>
  <c r="IX69" i="54" s="1"/>
  <c r="JF32" i="54"/>
  <c r="JF69" i="54" s="1"/>
  <c r="JN32" i="54"/>
  <c r="JN69" i="54" s="1"/>
  <c r="JV32" i="54"/>
  <c r="KD32" i="54"/>
  <c r="EG32" i="54"/>
  <c r="EG69" i="54" s="1"/>
  <c r="FP32" i="54"/>
  <c r="FP69" i="54" s="1"/>
  <c r="GV32" i="54"/>
  <c r="GV69" i="54" s="1"/>
  <c r="IB32" i="54"/>
  <c r="IB69" i="54" s="1"/>
  <c r="JH32" i="54"/>
  <c r="JH69" i="54" s="1"/>
  <c r="HK32" i="54"/>
  <c r="HK69" i="54" s="1"/>
  <c r="DD32" i="54"/>
  <c r="DD69" i="54" s="1"/>
  <c r="EO32" i="54"/>
  <c r="EO69" i="54" s="1"/>
  <c r="FW32" i="54"/>
  <c r="FW69" i="54" s="1"/>
  <c r="HC32" i="54"/>
  <c r="HC69" i="54" s="1"/>
  <c r="II32" i="54"/>
  <c r="II69" i="54" s="1"/>
  <c r="JO32" i="54"/>
  <c r="JO69" i="54" s="1"/>
  <c r="DM32" i="54"/>
  <c r="DM69" i="54" s="1"/>
  <c r="IQ32" i="54"/>
  <c r="IQ69" i="54" s="1"/>
  <c r="KF32" i="54"/>
  <c r="GU32" i="54"/>
  <c r="GU69" i="54" s="1"/>
  <c r="DE32" i="54"/>
  <c r="DE69" i="54" s="1"/>
  <c r="EP32" i="54"/>
  <c r="EP69" i="54" s="1"/>
  <c r="FX32" i="54"/>
  <c r="FX69" i="54" s="1"/>
  <c r="HD32" i="54"/>
  <c r="HD69" i="54" s="1"/>
  <c r="IJ32" i="54"/>
  <c r="IJ69" i="54" s="1"/>
  <c r="JP32" i="54"/>
  <c r="JP69" i="54" s="1"/>
  <c r="GE32" i="54"/>
  <c r="GE69" i="54" s="1"/>
  <c r="EX32" i="54"/>
  <c r="EX69" i="54" s="1"/>
  <c r="JW32" i="54"/>
  <c r="IZ32" i="54"/>
  <c r="IZ69" i="54" s="1"/>
  <c r="FO32" i="54"/>
  <c r="FO69" i="54" s="1"/>
  <c r="DN32" i="54"/>
  <c r="DN69" i="54" s="1"/>
  <c r="EY32" i="54"/>
  <c r="EY69" i="54" s="1"/>
  <c r="GF32" i="54"/>
  <c r="GF69" i="54" s="1"/>
  <c r="HL32" i="54"/>
  <c r="HL69" i="54" s="1"/>
  <c r="IR32" i="54"/>
  <c r="IR69" i="54" s="1"/>
  <c r="JX32" i="54"/>
  <c r="IA32" i="54"/>
  <c r="IA69" i="54" s="1"/>
  <c r="DV32" i="54"/>
  <c r="DV69" i="54" s="1"/>
  <c r="FG32" i="54"/>
  <c r="FG69" i="54" s="1"/>
  <c r="GM32" i="54"/>
  <c r="GM69" i="54" s="1"/>
  <c r="HS32" i="54"/>
  <c r="HS69" i="54" s="1"/>
  <c r="IY32" i="54"/>
  <c r="IY69" i="54" s="1"/>
  <c r="KE32" i="54"/>
  <c r="DW32" i="54"/>
  <c r="DW69" i="54" s="1"/>
  <c r="FH32" i="54"/>
  <c r="FH69" i="54" s="1"/>
  <c r="GN32" i="54"/>
  <c r="GN69" i="54" s="1"/>
  <c r="HT32" i="54"/>
  <c r="HT69" i="54" s="1"/>
  <c r="EE32" i="54"/>
  <c r="EE69" i="54" s="1"/>
  <c r="JG32" i="54"/>
  <c r="JG69" i="54" s="1"/>
  <c r="DJ74" i="54"/>
  <c r="DJ76" i="54" s="1"/>
  <c r="DR74" i="54"/>
  <c r="DR76" i="54" s="1"/>
  <c r="DZ74" i="54"/>
  <c r="DZ76" i="54" s="1"/>
  <c r="EH74" i="54"/>
  <c r="EH76" i="54" s="1"/>
  <c r="EP74" i="54"/>
  <c r="EP76" i="54" s="1"/>
  <c r="EX74" i="54"/>
  <c r="EX76" i="54" s="1"/>
  <c r="FF74" i="54"/>
  <c r="FF76" i="54" s="1"/>
  <c r="FN74" i="54"/>
  <c r="FN76" i="54" s="1"/>
  <c r="FV74" i="54"/>
  <c r="FV76" i="54" s="1"/>
  <c r="GD74" i="54"/>
  <c r="GD76" i="54" s="1"/>
  <c r="GL74" i="54"/>
  <c r="GL76" i="54" s="1"/>
  <c r="GT74" i="54"/>
  <c r="GT76" i="54" s="1"/>
  <c r="HB74" i="54"/>
  <c r="HB76" i="54" s="1"/>
  <c r="HJ74" i="54"/>
  <c r="HJ76" i="54" s="1"/>
  <c r="HR74" i="54"/>
  <c r="HR76" i="54" s="1"/>
  <c r="HZ74" i="54"/>
  <c r="HZ76" i="54" s="1"/>
  <c r="IH74" i="54"/>
  <c r="IH76" i="54" s="1"/>
  <c r="IP74" i="54"/>
  <c r="IP76" i="54" s="1"/>
  <c r="IX74" i="54"/>
  <c r="IX76" i="54" s="1"/>
  <c r="DK74" i="54"/>
  <c r="DK76" i="54" s="1"/>
  <c r="DS74" i="54"/>
  <c r="DS76" i="54" s="1"/>
  <c r="EA74" i="54"/>
  <c r="EA76" i="54" s="1"/>
  <c r="EI74" i="54"/>
  <c r="EI76" i="54" s="1"/>
  <c r="EQ74" i="54"/>
  <c r="EQ76" i="54" s="1"/>
  <c r="EY74" i="54"/>
  <c r="EY76" i="54" s="1"/>
  <c r="FG74" i="54"/>
  <c r="FG76" i="54" s="1"/>
  <c r="FO74" i="54"/>
  <c r="FO76" i="54" s="1"/>
  <c r="FW74" i="54"/>
  <c r="FW76" i="54" s="1"/>
  <c r="GE74" i="54"/>
  <c r="GE76" i="54" s="1"/>
  <c r="GM74" i="54"/>
  <c r="GM76" i="54" s="1"/>
  <c r="GU74" i="54"/>
  <c r="GU76" i="54" s="1"/>
  <c r="DD74" i="54"/>
  <c r="DD76" i="54" s="1"/>
  <c r="DL74" i="54"/>
  <c r="DL76" i="54" s="1"/>
  <c r="DT74" i="54"/>
  <c r="DT76" i="54" s="1"/>
  <c r="EB74" i="54"/>
  <c r="EB76" i="54" s="1"/>
  <c r="EJ74" i="54"/>
  <c r="EJ76" i="54" s="1"/>
  <c r="ER74" i="54"/>
  <c r="ER76" i="54" s="1"/>
  <c r="EZ74" i="54"/>
  <c r="EZ76" i="54" s="1"/>
  <c r="FH74" i="54"/>
  <c r="FH76" i="54" s="1"/>
  <c r="FP74" i="54"/>
  <c r="FP76" i="54" s="1"/>
  <c r="FX74" i="54"/>
  <c r="FX76" i="54" s="1"/>
  <c r="GF74" i="54"/>
  <c r="GF76" i="54" s="1"/>
  <c r="DE74" i="54"/>
  <c r="DE76" i="54" s="1"/>
  <c r="DM74" i="54"/>
  <c r="DM76" i="54" s="1"/>
  <c r="DU74" i="54"/>
  <c r="DU76" i="54" s="1"/>
  <c r="EC74" i="54"/>
  <c r="EC76" i="54" s="1"/>
  <c r="EK74" i="54"/>
  <c r="EK76" i="54" s="1"/>
  <c r="ES74" i="54"/>
  <c r="ES76" i="54" s="1"/>
  <c r="FA74" i="54"/>
  <c r="FA76" i="54" s="1"/>
  <c r="FI74" i="54"/>
  <c r="FI76" i="54" s="1"/>
  <c r="FQ74" i="54"/>
  <c r="FQ76" i="54" s="1"/>
  <c r="FY74" i="54"/>
  <c r="FY76" i="54" s="1"/>
  <c r="GG74" i="54"/>
  <c r="GG76" i="54" s="1"/>
  <c r="GO74" i="54"/>
  <c r="GO76" i="54" s="1"/>
  <c r="DF74" i="54"/>
  <c r="DF76" i="54" s="1"/>
  <c r="DN74" i="54"/>
  <c r="DN76" i="54" s="1"/>
  <c r="DV74" i="54"/>
  <c r="DV76" i="54" s="1"/>
  <c r="ED74" i="54"/>
  <c r="ED76" i="54" s="1"/>
  <c r="EL74" i="54"/>
  <c r="EL76" i="54" s="1"/>
  <c r="ET74" i="54"/>
  <c r="ET76" i="54" s="1"/>
  <c r="FB74" i="54"/>
  <c r="FB76" i="54" s="1"/>
  <c r="FJ74" i="54"/>
  <c r="FJ76" i="54" s="1"/>
  <c r="FR74" i="54"/>
  <c r="FR76" i="54" s="1"/>
  <c r="FZ74" i="54"/>
  <c r="FZ76" i="54" s="1"/>
  <c r="GH74" i="54"/>
  <c r="GH76" i="54" s="1"/>
  <c r="GP74" i="54"/>
  <c r="GP76" i="54" s="1"/>
  <c r="GX74" i="54"/>
  <c r="GX76" i="54" s="1"/>
  <c r="DG74" i="54"/>
  <c r="DG76" i="54" s="1"/>
  <c r="DO74" i="54"/>
  <c r="DO76" i="54" s="1"/>
  <c r="DW74" i="54"/>
  <c r="DW76" i="54" s="1"/>
  <c r="EE74" i="54"/>
  <c r="EE76" i="54" s="1"/>
  <c r="EM74" i="54"/>
  <c r="EM76" i="54" s="1"/>
  <c r="EU74" i="54"/>
  <c r="EU76" i="54" s="1"/>
  <c r="FC74" i="54"/>
  <c r="FC76" i="54" s="1"/>
  <c r="FK74" i="54"/>
  <c r="FK76" i="54" s="1"/>
  <c r="FS74" i="54"/>
  <c r="FS76" i="54" s="1"/>
  <c r="GA74" i="54"/>
  <c r="GA76" i="54" s="1"/>
  <c r="GI74" i="54"/>
  <c r="GI76" i="54" s="1"/>
  <c r="DX74" i="54"/>
  <c r="DX76" i="54" s="1"/>
  <c r="FD74" i="54"/>
  <c r="FD76" i="54" s="1"/>
  <c r="GJ74" i="54"/>
  <c r="GJ76" i="54" s="1"/>
  <c r="GY74" i="54"/>
  <c r="GY76" i="54" s="1"/>
  <c r="HH74" i="54"/>
  <c r="HH76" i="54" s="1"/>
  <c r="HQ74" i="54"/>
  <c r="HQ76" i="54" s="1"/>
  <c r="IA74" i="54"/>
  <c r="IA76" i="54" s="1"/>
  <c r="IJ74" i="54"/>
  <c r="IJ76" i="54" s="1"/>
  <c r="IS74" i="54"/>
  <c r="IS76" i="54" s="1"/>
  <c r="DY74" i="54"/>
  <c r="DY76" i="54" s="1"/>
  <c r="FE74" i="54"/>
  <c r="FE76" i="54" s="1"/>
  <c r="GK74" i="54"/>
  <c r="GK76" i="54" s="1"/>
  <c r="GZ74" i="54"/>
  <c r="GZ76" i="54" s="1"/>
  <c r="HI74" i="54"/>
  <c r="HI76" i="54" s="1"/>
  <c r="HS74" i="54"/>
  <c r="HS76" i="54" s="1"/>
  <c r="IB74" i="54"/>
  <c r="IB76" i="54" s="1"/>
  <c r="IK74" i="54"/>
  <c r="IK76" i="54" s="1"/>
  <c r="IT74" i="54"/>
  <c r="IT76" i="54" s="1"/>
  <c r="EF74" i="54"/>
  <c r="EF76" i="54" s="1"/>
  <c r="FL74" i="54"/>
  <c r="FL76" i="54" s="1"/>
  <c r="GN74" i="54"/>
  <c r="GN76" i="54" s="1"/>
  <c r="HA74" i="54"/>
  <c r="HA76" i="54" s="1"/>
  <c r="HK74" i="54"/>
  <c r="HK76" i="54" s="1"/>
  <c r="HK187" i="54" s="1"/>
  <c r="HT74" i="54"/>
  <c r="HT76" i="54" s="1"/>
  <c r="IC74" i="54"/>
  <c r="IC76" i="54" s="1"/>
  <c r="IL74" i="54"/>
  <c r="IL76" i="54" s="1"/>
  <c r="IU74" i="54"/>
  <c r="IU76" i="54" s="1"/>
  <c r="EG74" i="54"/>
  <c r="EG76" i="54" s="1"/>
  <c r="FM74" i="54"/>
  <c r="FM76" i="54" s="1"/>
  <c r="GQ74" i="54"/>
  <c r="GQ76" i="54" s="1"/>
  <c r="HC74" i="54"/>
  <c r="HC76" i="54" s="1"/>
  <c r="HL74" i="54"/>
  <c r="HL76" i="54" s="1"/>
  <c r="HU74" i="54"/>
  <c r="HU76" i="54" s="1"/>
  <c r="ID74" i="54"/>
  <c r="ID76" i="54" s="1"/>
  <c r="IM74" i="54"/>
  <c r="IM76" i="54" s="1"/>
  <c r="IV74" i="54"/>
  <c r="IV76" i="54" s="1"/>
  <c r="DH74" i="54"/>
  <c r="DH76" i="54" s="1"/>
  <c r="EN74" i="54"/>
  <c r="EN76" i="54" s="1"/>
  <c r="FT74" i="54"/>
  <c r="FT76" i="54" s="1"/>
  <c r="GR74" i="54"/>
  <c r="GR76" i="54" s="1"/>
  <c r="HD74" i="54"/>
  <c r="HD76" i="54" s="1"/>
  <c r="HM74" i="54"/>
  <c r="HM76" i="54" s="1"/>
  <c r="HV74" i="54"/>
  <c r="HV76" i="54" s="1"/>
  <c r="IE74" i="54"/>
  <c r="IE76" i="54" s="1"/>
  <c r="IN74" i="54"/>
  <c r="IN76" i="54" s="1"/>
  <c r="IW74" i="54"/>
  <c r="IW76" i="54" s="1"/>
  <c r="DI74" i="54"/>
  <c r="DI76" i="54" s="1"/>
  <c r="EO74" i="54"/>
  <c r="EO76" i="54" s="1"/>
  <c r="FU74" i="54"/>
  <c r="FU76" i="54" s="1"/>
  <c r="GS74" i="54"/>
  <c r="GS76" i="54" s="1"/>
  <c r="HE74" i="54"/>
  <c r="HE76" i="54" s="1"/>
  <c r="HN74" i="54"/>
  <c r="HN76" i="54" s="1"/>
  <c r="HW74" i="54"/>
  <c r="HW76" i="54" s="1"/>
  <c r="IF74" i="54"/>
  <c r="IF76" i="54" s="1"/>
  <c r="IO74" i="54"/>
  <c r="IO76" i="54" s="1"/>
  <c r="IY74" i="54"/>
  <c r="IY76" i="54" s="1"/>
  <c r="GC74" i="54"/>
  <c r="GC76" i="54" s="1"/>
  <c r="HY74" i="54"/>
  <c r="HY76" i="54" s="1"/>
  <c r="GV74" i="54"/>
  <c r="GV76" i="54" s="1"/>
  <c r="IG74" i="54"/>
  <c r="IG76" i="54" s="1"/>
  <c r="GB74" i="54"/>
  <c r="GB76" i="54" s="1"/>
  <c r="GW74" i="54"/>
  <c r="GW76" i="54" s="1"/>
  <c r="II74" i="54"/>
  <c r="II76" i="54" s="1"/>
  <c r="DP74" i="54"/>
  <c r="DP76" i="54" s="1"/>
  <c r="HF74" i="54"/>
  <c r="HF76" i="54" s="1"/>
  <c r="IQ74" i="54"/>
  <c r="IQ76" i="54" s="1"/>
  <c r="DQ74" i="54"/>
  <c r="DQ76" i="54" s="1"/>
  <c r="HG74" i="54"/>
  <c r="HG76" i="54" s="1"/>
  <c r="IR74" i="54"/>
  <c r="IR76" i="54" s="1"/>
  <c r="HX74" i="54"/>
  <c r="HX76" i="54" s="1"/>
  <c r="EV74" i="54"/>
  <c r="EV76" i="54" s="1"/>
  <c r="HO74" i="54"/>
  <c r="HO76" i="54" s="1"/>
  <c r="IZ74" i="54"/>
  <c r="IZ76" i="54" s="1"/>
  <c r="EW74" i="54"/>
  <c r="EW76" i="54" s="1"/>
  <c r="HP74" i="54"/>
  <c r="HP76" i="54" s="1"/>
  <c r="CM104" i="54"/>
  <c r="CM106" i="54" s="1"/>
  <c r="CU104" i="54"/>
  <c r="CU106" i="54" s="1"/>
  <c r="DC104" i="54"/>
  <c r="DC106" i="54" s="1"/>
  <c r="DK100" i="54"/>
  <c r="DK104" i="54" s="1"/>
  <c r="DK106" i="54" s="1"/>
  <c r="DS100" i="54"/>
  <c r="DS104" i="54" s="1"/>
  <c r="DS106" i="54" s="1"/>
  <c r="EA100" i="54"/>
  <c r="EA104" i="54" s="1"/>
  <c r="EA106" i="54" s="1"/>
  <c r="EI100" i="54"/>
  <c r="EI104" i="54" s="1"/>
  <c r="EI106" i="54" s="1"/>
  <c r="EQ100" i="54"/>
  <c r="EQ104" i="54" s="1"/>
  <c r="EQ106" i="54" s="1"/>
  <c r="EY100" i="54"/>
  <c r="EY104" i="54" s="1"/>
  <c r="EY106" i="54" s="1"/>
  <c r="FG100" i="54"/>
  <c r="FG104" i="54" s="1"/>
  <c r="FG106" i="54" s="1"/>
  <c r="FO100" i="54"/>
  <c r="FO104" i="54" s="1"/>
  <c r="FO106" i="54" s="1"/>
  <c r="FW100" i="54"/>
  <c r="FW104" i="54" s="1"/>
  <c r="FW106" i="54" s="1"/>
  <c r="GE100" i="54"/>
  <c r="GE104" i="54" s="1"/>
  <c r="GE106" i="54" s="1"/>
  <c r="GM100" i="54"/>
  <c r="GM104" i="54" s="1"/>
  <c r="GM106" i="54" s="1"/>
  <c r="GU100" i="54"/>
  <c r="GU104" i="54" s="1"/>
  <c r="GU106" i="54" s="1"/>
  <c r="HC100" i="54"/>
  <c r="HC104" i="54" s="1"/>
  <c r="HC106" i="54" s="1"/>
  <c r="HK100" i="54"/>
  <c r="HK104" i="54" s="1"/>
  <c r="HK106" i="54" s="1"/>
  <c r="HS100" i="54"/>
  <c r="HS104" i="54" s="1"/>
  <c r="HS106" i="54" s="1"/>
  <c r="IA100" i="54"/>
  <c r="IA104" i="54" s="1"/>
  <c r="IA106" i="54" s="1"/>
  <c r="II100" i="54"/>
  <c r="II104" i="54" s="1"/>
  <c r="II106" i="54" s="1"/>
  <c r="IQ100" i="54"/>
  <c r="IQ104" i="54" s="1"/>
  <c r="IQ106" i="54" s="1"/>
  <c r="IY100" i="54"/>
  <c r="IY104" i="54" s="1"/>
  <c r="IY106" i="54" s="1"/>
  <c r="CN104" i="54"/>
  <c r="CN106" i="54" s="1"/>
  <c r="CV104" i="54"/>
  <c r="CV106" i="54" s="1"/>
  <c r="DD100" i="54"/>
  <c r="DD104" i="54" s="1"/>
  <c r="DD106" i="54" s="1"/>
  <c r="DL100" i="54"/>
  <c r="DL104" i="54" s="1"/>
  <c r="DL106" i="54" s="1"/>
  <c r="DT100" i="54"/>
  <c r="DT104" i="54" s="1"/>
  <c r="DT106" i="54" s="1"/>
  <c r="EB100" i="54"/>
  <c r="EB104" i="54" s="1"/>
  <c r="EB106" i="54" s="1"/>
  <c r="EJ100" i="54"/>
  <c r="EJ104" i="54" s="1"/>
  <c r="EJ106" i="54" s="1"/>
  <c r="ER100" i="54"/>
  <c r="ER104" i="54" s="1"/>
  <c r="ER106" i="54" s="1"/>
  <c r="EZ100" i="54"/>
  <c r="EZ104" i="54" s="1"/>
  <c r="EZ106" i="54" s="1"/>
  <c r="FH100" i="54"/>
  <c r="FH104" i="54" s="1"/>
  <c r="FH106" i="54" s="1"/>
  <c r="FP100" i="54"/>
  <c r="FP104" i="54" s="1"/>
  <c r="FP106" i="54" s="1"/>
  <c r="FX100" i="54"/>
  <c r="FX104" i="54" s="1"/>
  <c r="FX106" i="54" s="1"/>
  <c r="GF100" i="54"/>
  <c r="GF104" i="54" s="1"/>
  <c r="GF106" i="54" s="1"/>
  <c r="GN100" i="54"/>
  <c r="GN104" i="54" s="1"/>
  <c r="GN106" i="54" s="1"/>
  <c r="GV100" i="54"/>
  <c r="GV104" i="54" s="1"/>
  <c r="GV106" i="54" s="1"/>
  <c r="HD100" i="54"/>
  <c r="HD104" i="54" s="1"/>
  <c r="HD106" i="54" s="1"/>
  <c r="HL100" i="54"/>
  <c r="HL104" i="54" s="1"/>
  <c r="HL106" i="54" s="1"/>
  <c r="HT100" i="54"/>
  <c r="HT104" i="54" s="1"/>
  <c r="HT106" i="54" s="1"/>
  <c r="IB100" i="54"/>
  <c r="IB104" i="54" s="1"/>
  <c r="IB106" i="54" s="1"/>
  <c r="IJ100" i="54"/>
  <c r="IJ104" i="54" s="1"/>
  <c r="IJ106" i="54" s="1"/>
  <c r="IR100" i="54"/>
  <c r="IR104" i="54" s="1"/>
  <c r="IR106" i="54" s="1"/>
  <c r="IZ100" i="54"/>
  <c r="IZ104" i="54" s="1"/>
  <c r="IZ106" i="54" s="1"/>
  <c r="CO104" i="54"/>
  <c r="CO106" i="54" s="1"/>
  <c r="CW104" i="54"/>
  <c r="CW106" i="54" s="1"/>
  <c r="DE100" i="54"/>
  <c r="DE104" i="54" s="1"/>
  <c r="DE106" i="54" s="1"/>
  <c r="DM100" i="54"/>
  <c r="DM104" i="54" s="1"/>
  <c r="DM106" i="54" s="1"/>
  <c r="DU100" i="54"/>
  <c r="DU104" i="54" s="1"/>
  <c r="DU106" i="54" s="1"/>
  <c r="EC100" i="54"/>
  <c r="EC104" i="54" s="1"/>
  <c r="EC106" i="54" s="1"/>
  <c r="EK100" i="54"/>
  <c r="EK104" i="54" s="1"/>
  <c r="EK106" i="54" s="1"/>
  <c r="ES100" i="54"/>
  <c r="ES104" i="54" s="1"/>
  <c r="ES106" i="54" s="1"/>
  <c r="FA100" i="54"/>
  <c r="FA104" i="54" s="1"/>
  <c r="FA106" i="54" s="1"/>
  <c r="FI100" i="54"/>
  <c r="FI104" i="54" s="1"/>
  <c r="FI106" i="54" s="1"/>
  <c r="FQ100" i="54"/>
  <c r="FQ104" i="54" s="1"/>
  <c r="FQ106" i="54" s="1"/>
  <c r="FY100" i="54"/>
  <c r="FY104" i="54" s="1"/>
  <c r="FY106" i="54" s="1"/>
  <c r="GG100" i="54"/>
  <c r="GG104" i="54" s="1"/>
  <c r="GG106" i="54" s="1"/>
  <c r="GO100" i="54"/>
  <c r="GO104" i="54" s="1"/>
  <c r="GO106" i="54" s="1"/>
  <c r="GW100" i="54"/>
  <c r="GW104" i="54" s="1"/>
  <c r="GW106" i="54" s="1"/>
  <c r="HE100" i="54"/>
  <c r="HE104" i="54" s="1"/>
  <c r="HE106" i="54" s="1"/>
  <c r="HM100" i="54"/>
  <c r="HM104" i="54" s="1"/>
  <c r="HM106" i="54" s="1"/>
  <c r="HU100" i="54"/>
  <c r="HU104" i="54" s="1"/>
  <c r="HU106" i="54" s="1"/>
  <c r="IC100" i="54"/>
  <c r="IC104" i="54" s="1"/>
  <c r="IC106" i="54" s="1"/>
  <c r="IK100" i="54"/>
  <c r="IK104" i="54" s="1"/>
  <c r="IK106" i="54" s="1"/>
  <c r="IS100" i="54"/>
  <c r="IS104" i="54" s="1"/>
  <c r="IS106" i="54" s="1"/>
  <c r="CP104" i="54"/>
  <c r="CX104" i="54"/>
  <c r="CX106" i="54" s="1"/>
  <c r="DF100" i="54"/>
  <c r="DF104" i="54" s="1"/>
  <c r="DF106" i="54" s="1"/>
  <c r="DN100" i="54"/>
  <c r="DN104" i="54" s="1"/>
  <c r="DN106" i="54" s="1"/>
  <c r="DV100" i="54"/>
  <c r="DV104" i="54" s="1"/>
  <c r="DV106" i="54" s="1"/>
  <c r="ED100" i="54"/>
  <c r="ED104" i="54" s="1"/>
  <c r="ED106" i="54" s="1"/>
  <c r="EL100" i="54"/>
  <c r="EL104" i="54" s="1"/>
  <c r="EL106" i="54" s="1"/>
  <c r="ET100" i="54"/>
  <c r="ET104" i="54" s="1"/>
  <c r="FB100" i="54"/>
  <c r="FB104" i="54" s="1"/>
  <c r="FJ100" i="54"/>
  <c r="FJ104" i="54" s="1"/>
  <c r="FJ106" i="54" s="1"/>
  <c r="FR100" i="54"/>
  <c r="FR104" i="54" s="1"/>
  <c r="FR106" i="54" s="1"/>
  <c r="FZ100" i="54"/>
  <c r="FZ104" i="54" s="1"/>
  <c r="GH100" i="54"/>
  <c r="GH104" i="54" s="1"/>
  <c r="GH187" i="54" s="1"/>
  <c r="GP100" i="54"/>
  <c r="GP104" i="54" s="1"/>
  <c r="GP106" i="54" s="1"/>
  <c r="GX100" i="54"/>
  <c r="GX104" i="54" s="1"/>
  <c r="HF100" i="54"/>
  <c r="HF104" i="54" s="1"/>
  <c r="HN100" i="54"/>
  <c r="HN104" i="54" s="1"/>
  <c r="HV100" i="54"/>
  <c r="HV104" i="54" s="1"/>
  <c r="HV106" i="54" s="1"/>
  <c r="ID100" i="54"/>
  <c r="ID104" i="54" s="1"/>
  <c r="ID106" i="54" s="1"/>
  <c r="IL100" i="54"/>
  <c r="IL104" i="54" s="1"/>
  <c r="IT100" i="54"/>
  <c r="IT104" i="54" s="1"/>
  <c r="CQ104" i="54"/>
  <c r="CQ106" i="54" s="1"/>
  <c r="CY104" i="54"/>
  <c r="CY106" i="54" s="1"/>
  <c r="DG100" i="54"/>
  <c r="DG104" i="54" s="1"/>
  <c r="DO100" i="54"/>
  <c r="DO104" i="54" s="1"/>
  <c r="DW100" i="54"/>
  <c r="DW104" i="54" s="1"/>
  <c r="EE100" i="54"/>
  <c r="EE104" i="54" s="1"/>
  <c r="EE106" i="54" s="1"/>
  <c r="EM100" i="54"/>
  <c r="EM104" i="54" s="1"/>
  <c r="EM106" i="54" s="1"/>
  <c r="EU100" i="54"/>
  <c r="EU104" i="54" s="1"/>
  <c r="EU106" i="54" s="1"/>
  <c r="FC100" i="54"/>
  <c r="FC104" i="54" s="1"/>
  <c r="FC106" i="54" s="1"/>
  <c r="FK100" i="54"/>
  <c r="FK104" i="54" s="1"/>
  <c r="FS100" i="54"/>
  <c r="FS104" i="54" s="1"/>
  <c r="GA100" i="54"/>
  <c r="GA104" i="54" s="1"/>
  <c r="GI100" i="54"/>
  <c r="GI104" i="54" s="1"/>
  <c r="GI106" i="54" s="1"/>
  <c r="GQ100" i="54"/>
  <c r="GQ104" i="54" s="1"/>
  <c r="GQ106" i="54" s="1"/>
  <c r="GY100" i="54"/>
  <c r="GY104" i="54" s="1"/>
  <c r="GY106" i="54" s="1"/>
  <c r="HG100" i="54"/>
  <c r="HG104" i="54" s="1"/>
  <c r="HG106" i="54" s="1"/>
  <c r="HO100" i="54"/>
  <c r="HO104" i="54" s="1"/>
  <c r="HO106" i="54" s="1"/>
  <c r="HW100" i="54"/>
  <c r="HW104" i="54" s="1"/>
  <c r="IE100" i="54"/>
  <c r="IE104" i="54" s="1"/>
  <c r="IM100" i="54"/>
  <c r="IM104" i="54" s="1"/>
  <c r="IU100" i="54"/>
  <c r="IU104" i="54" s="1"/>
  <c r="IU106" i="54" s="1"/>
  <c r="CR104" i="54"/>
  <c r="CR106" i="54" s="1"/>
  <c r="CZ104" i="54"/>
  <c r="CZ106" i="54" s="1"/>
  <c r="DH100" i="54"/>
  <c r="DH104" i="54" s="1"/>
  <c r="DH106" i="54" s="1"/>
  <c r="DP100" i="54"/>
  <c r="DP104" i="54" s="1"/>
  <c r="DP106" i="54" s="1"/>
  <c r="DX100" i="54"/>
  <c r="DX104" i="54" s="1"/>
  <c r="EF100" i="54"/>
  <c r="EF104" i="54" s="1"/>
  <c r="EN100" i="54"/>
  <c r="EN104" i="54" s="1"/>
  <c r="EV100" i="54"/>
  <c r="EV104" i="54" s="1"/>
  <c r="EV106" i="54" s="1"/>
  <c r="FD100" i="54"/>
  <c r="FD104" i="54" s="1"/>
  <c r="FD106" i="54" s="1"/>
  <c r="FL100" i="54"/>
  <c r="FL104" i="54" s="1"/>
  <c r="FT100" i="54"/>
  <c r="FT104" i="54" s="1"/>
  <c r="FT106" i="54" s="1"/>
  <c r="GB100" i="54"/>
  <c r="GB104" i="54" s="1"/>
  <c r="GJ100" i="54"/>
  <c r="GJ104" i="54" s="1"/>
  <c r="GJ106" i="54" s="1"/>
  <c r="GR100" i="54"/>
  <c r="GR104" i="54" s="1"/>
  <c r="GZ100" i="54"/>
  <c r="GZ104" i="54" s="1"/>
  <c r="HH100" i="54"/>
  <c r="HH104" i="54" s="1"/>
  <c r="HP100" i="54"/>
  <c r="HP104" i="54" s="1"/>
  <c r="HP106" i="54" s="1"/>
  <c r="HX100" i="54"/>
  <c r="HX104" i="54" s="1"/>
  <c r="HX106" i="54" s="1"/>
  <c r="IF100" i="54"/>
  <c r="IF104" i="54" s="1"/>
  <c r="IN100" i="54"/>
  <c r="IN104" i="54" s="1"/>
  <c r="IN106" i="54" s="1"/>
  <c r="IV100" i="54"/>
  <c r="IV104" i="54" s="1"/>
  <c r="IV106" i="54" s="1"/>
  <c r="DQ100" i="54"/>
  <c r="DQ104" i="54" s="1"/>
  <c r="DQ106" i="54" s="1"/>
  <c r="EW100" i="54"/>
  <c r="EW104" i="54" s="1"/>
  <c r="EW106" i="54" s="1"/>
  <c r="GC100" i="54"/>
  <c r="GC104" i="54" s="1"/>
  <c r="GC106" i="54" s="1"/>
  <c r="HI100" i="54"/>
  <c r="HI104" i="54" s="1"/>
  <c r="HI106" i="54" s="1"/>
  <c r="IO100" i="54"/>
  <c r="IO104" i="54" s="1"/>
  <c r="IO106" i="54" s="1"/>
  <c r="DR100" i="54"/>
  <c r="DR104" i="54" s="1"/>
  <c r="DR106" i="54" s="1"/>
  <c r="EX100" i="54"/>
  <c r="EX104" i="54" s="1"/>
  <c r="EX187" i="54" s="1"/>
  <c r="GD100" i="54"/>
  <c r="GD104" i="54" s="1"/>
  <c r="GD106" i="54" s="1"/>
  <c r="HJ100" i="54"/>
  <c r="HJ104" i="54" s="1"/>
  <c r="IP100" i="54"/>
  <c r="IP104" i="54" s="1"/>
  <c r="CS104" i="54"/>
  <c r="CS106" i="54" s="1"/>
  <c r="DY100" i="54"/>
  <c r="DY104" i="54" s="1"/>
  <c r="DY106" i="54" s="1"/>
  <c r="FE100" i="54"/>
  <c r="FE104" i="54" s="1"/>
  <c r="FE106" i="54" s="1"/>
  <c r="GK100" i="54"/>
  <c r="GK104" i="54" s="1"/>
  <c r="GK106" i="54" s="1"/>
  <c r="HQ100" i="54"/>
  <c r="HQ104" i="54" s="1"/>
  <c r="HQ106" i="54" s="1"/>
  <c r="IW100" i="54"/>
  <c r="IW104" i="54" s="1"/>
  <c r="IW106" i="54" s="1"/>
  <c r="CT104" i="54"/>
  <c r="DZ100" i="54"/>
  <c r="DZ104" i="54" s="1"/>
  <c r="FF100" i="54"/>
  <c r="FF104" i="54" s="1"/>
  <c r="GL100" i="54"/>
  <c r="GL104" i="54" s="1"/>
  <c r="GL106" i="54" s="1"/>
  <c r="HR100" i="54"/>
  <c r="HR104" i="54" s="1"/>
  <c r="HR106" i="54" s="1"/>
  <c r="IX100" i="54"/>
  <c r="IX104" i="54" s="1"/>
  <c r="IX106" i="54" s="1"/>
  <c r="DA104" i="54"/>
  <c r="DA106" i="54" s="1"/>
  <c r="EG100" i="54"/>
  <c r="EG104" i="54" s="1"/>
  <c r="EG106" i="54" s="1"/>
  <c r="FM100" i="54"/>
  <c r="FM104" i="54" s="1"/>
  <c r="FM106" i="54" s="1"/>
  <c r="GS100" i="54"/>
  <c r="GS104" i="54" s="1"/>
  <c r="GS106" i="54" s="1"/>
  <c r="HY100" i="54"/>
  <c r="HY104" i="54" s="1"/>
  <c r="HY106" i="54" s="1"/>
  <c r="DB104" i="54"/>
  <c r="DB106" i="54" s="1"/>
  <c r="EH100" i="54"/>
  <c r="EH104" i="54" s="1"/>
  <c r="EH106" i="54" s="1"/>
  <c r="FN100" i="54"/>
  <c r="FN104" i="54" s="1"/>
  <c r="GT100" i="54"/>
  <c r="GT104" i="54" s="1"/>
  <c r="GT106" i="54" s="1"/>
  <c r="HZ100" i="54"/>
  <c r="HZ104" i="54" s="1"/>
  <c r="DJ100" i="54"/>
  <c r="DJ104" i="54" s="1"/>
  <c r="DJ106" i="54" s="1"/>
  <c r="IH100" i="54"/>
  <c r="IH104" i="54" s="1"/>
  <c r="IH106" i="54" s="1"/>
  <c r="EO100" i="54"/>
  <c r="EO104" i="54" s="1"/>
  <c r="EO106" i="54" s="1"/>
  <c r="EP100" i="54"/>
  <c r="EP104" i="54" s="1"/>
  <c r="EP106" i="54" s="1"/>
  <c r="IG100" i="54"/>
  <c r="IG104" i="54" s="1"/>
  <c r="IG106" i="54" s="1"/>
  <c r="FU100" i="54"/>
  <c r="FU104" i="54" s="1"/>
  <c r="FU106" i="54" s="1"/>
  <c r="FV100" i="54"/>
  <c r="FV104" i="54" s="1"/>
  <c r="FV106" i="54" s="1"/>
  <c r="HA100" i="54"/>
  <c r="HA104" i="54" s="1"/>
  <c r="HA106" i="54" s="1"/>
  <c r="DI100" i="54"/>
  <c r="DI104" i="54" s="1"/>
  <c r="DI106" i="54" s="1"/>
  <c r="HB100" i="54"/>
  <c r="HB104" i="54" s="1"/>
  <c r="HB106" i="54" s="1"/>
  <c r="H95" i="81"/>
  <c r="I95" i="81" s="1"/>
  <c r="J95" i="81" s="1"/>
  <c r="K95" i="81" s="1"/>
  <c r="L95" i="81" s="1"/>
  <c r="M95" i="81" s="1"/>
  <c r="N95" i="81" s="1"/>
  <c r="O95" i="81" s="1"/>
  <c r="P95" i="81" s="1"/>
  <c r="Q95" i="81" s="1"/>
  <c r="R95" i="81" s="1"/>
  <c r="S95" i="81" s="1"/>
  <c r="T95" i="81" s="1"/>
  <c r="U95" i="81" s="1"/>
  <c r="I20" i="79"/>
  <c r="J20" i="79" s="1"/>
  <c r="J288" i="53"/>
  <c r="TQ94" i="54"/>
  <c r="TQ77" i="54" s="1"/>
  <c r="LA94" i="54"/>
  <c r="SK146" i="54"/>
  <c r="SS146" i="54"/>
  <c r="TA146" i="54"/>
  <c r="TI146" i="54"/>
  <c r="TQ146" i="54"/>
  <c r="TY146" i="54"/>
  <c r="BI154" i="54"/>
  <c r="BQ154" i="54"/>
  <c r="CG154" i="54"/>
  <c r="DU154" i="54"/>
  <c r="ES154" i="54"/>
  <c r="GO154" i="54"/>
  <c r="HE154" i="54"/>
  <c r="IS154" i="54"/>
  <c r="SE146" i="54"/>
  <c r="SM146" i="54"/>
  <c r="SU146" i="54"/>
  <c r="TC146" i="54"/>
  <c r="TK146" i="54"/>
  <c r="TS146" i="54"/>
  <c r="UA146" i="54"/>
  <c r="LX133" i="54"/>
  <c r="I154" i="54"/>
  <c r="Q154" i="54"/>
  <c r="Y154" i="54"/>
  <c r="AG154" i="54"/>
  <c r="AO154" i="54"/>
  <c r="AW154" i="54"/>
  <c r="BE154" i="54"/>
  <c r="BM154" i="54"/>
  <c r="BU154" i="54"/>
  <c r="CC154" i="54"/>
  <c r="CK154" i="54"/>
  <c r="CS154" i="54"/>
  <c r="DA154" i="54"/>
  <c r="DI154" i="54"/>
  <c r="DQ154" i="54"/>
  <c r="DY154" i="54"/>
  <c r="EG154" i="54"/>
  <c r="EO154" i="54"/>
  <c r="EW154" i="54"/>
  <c r="FE154" i="54"/>
  <c r="FM154" i="54"/>
  <c r="FU154" i="54"/>
  <c r="GC154" i="54"/>
  <c r="GK154" i="54"/>
  <c r="GS154" i="54"/>
  <c r="HA154" i="54"/>
  <c r="HI154" i="54"/>
  <c r="HQ154" i="54"/>
  <c r="HY154" i="54"/>
  <c r="IG154" i="54"/>
  <c r="IO154" i="54"/>
  <c r="IW154" i="54"/>
  <c r="LB133" i="54"/>
  <c r="LJ133" i="54"/>
  <c r="LR133" i="54"/>
  <c r="LZ133" i="54"/>
  <c r="MH133" i="54"/>
  <c r="MP133" i="54"/>
  <c r="MX133" i="54"/>
  <c r="K154" i="54"/>
  <c r="S154" i="54"/>
  <c r="AA154" i="54"/>
  <c r="AI154" i="54"/>
  <c r="AQ154" i="54"/>
  <c r="AY154" i="54"/>
  <c r="BG154" i="54"/>
  <c r="BO154" i="54"/>
  <c r="BW154" i="54"/>
  <c r="CE154" i="54"/>
  <c r="CM154" i="54"/>
  <c r="CU154" i="54"/>
  <c r="DC154" i="54"/>
  <c r="DK154" i="54"/>
  <c r="DS154" i="54"/>
  <c r="EA154" i="54"/>
  <c r="EI154" i="54"/>
  <c r="EQ154" i="54"/>
  <c r="EY154" i="54"/>
  <c r="FG154" i="54"/>
  <c r="FO154" i="54"/>
  <c r="FW154" i="54"/>
  <c r="GE154" i="54"/>
  <c r="GM154" i="54"/>
  <c r="GU154" i="54"/>
  <c r="HC154" i="54"/>
  <c r="HK154" i="54"/>
  <c r="HS154" i="54"/>
  <c r="IA154" i="54"/>
  <c r="II154" i="54"/>
  <c r="IQ154" i="54"/>
  <c r="IY154" i="54"/>
  <c r="TS180" i="54"/>
  <c r="UA180" i="54"/>
  <c r="UI180" i="54"/>
  <c r="UQ180" i="54"/>
  <c r="UY180" i="54"/>
  <c r="VG180" i="54"/>
  <c r="H44" i="48"/>
  <c r="TT180" i="54"/>
  <c r="UB180" i="54"/>
  <c r="UJ180" i="54"/>
  <c r="UR180" i="54"/>
  <c r="UZ180" i="54"/>
  <c r="VH180" i="54"/>
  <c r="TZ180" i="54"/>
  <c r="E62" i="48"/>
  <c r="E71" i="46" s="1"/>
  <c r="E256" i="46" s="1"/>
  <c r="F78" i="48"/>
  <c r="F87" i="46" s="1"/>
  <c r="G77" i="48"/>
  <c r="G86" i="46" s="1"/>
  <c r="I77" i="48"/>
  <c r="I86" i="46" s="1"/>
  <c r="O60" i="48"/>
  <c r="O69" i="46" s="1"/>
  <c r="H60" i="48"/>
  <c r="H69" i="46" s="1"/>
  <c r="J60" i="48"/>
  <c r="J69" i="46" s="1"/>
  <c r="R60" i="48"/>
  <c r="R69" i="46" s="1"/>
  <c r="NS133" i="54"/>
  <c r="OA133" i="54"/>
  <c r="OI133" i="54"/>
  <c r="OQ133" i="54"/>
  <c r="OY133" i="54"/>
  <c r="PG133" i="54"/>
  <c r="PO133" i="54"/>
  <c r="PW133" i="54"/>
  <c r="QE133" i="54"/>
  <c r="QM133" i="54"/>
  <c r="QU133" i="54"/>
  <c r="RC133" i="54"/>
  <c r="RK133" i="54"/>
  <c r="RS133" i="54"/>
  <c r="SA133" i="54"/>
  <c r="SI133" i="54"/>
  <c r="SQ133" i="54"/>
  <c r="SY133" i="54"/>
  <c r="TG133" i="54"/>
  <c r="TO133" i="54"/>
  <c r="TW133" i="54"/>
  <c r="UE133" i="54"/>
  <c r="UM133" i="54"/>
  <c r="UU133" i="54"/>
  <c r="VC133" i="54"/>
  <c r="VK133" i="54"/>
  <c r="SI146" i="54"/>
  <c r="SY146" i="54"/>
  <c r="TG146" i="54"/>
  <c r="UV146" i="54"/>
  <c r="VD146" i="54"/>
  <c r="UH180" i="54"/>
  <c r="VF180" i="54"/>
  <c r="Y94" i="54"/>
  <c r="AG94" i="54"/>
  <c r="BE94" i="54"/>
  <c r="BM94" i="54"/>
  <c r="BU94" i="54"/>
  <c r="CS94" i="54"/>
  <c r="DI94" i="54"/>
  <c r="DQ94" i="54"/>
  <c r="DY94" i="54"/>
  <c r="EG94" i="54"/>
  <c r="EO94" i="54"/>
  <c r="EW94" i="54"/>
  <c r="FE94" i="54"/>
  <c r="FM94" i="54"/>
  <c r="FU94" i="54"/>
  <c r="GC94" i="54"/>
  <c r="GS94" i="54"/>
  <c r="HA94" i="54"/>
  <c r="IG94" i="54"/>
  <c r="IO94" i="54"/>
  <c r="IW94" i="54"/>
  <c r="JE94" i="54"/>
  <c r="JM94" i="54"/>
  <c r="DA94" i="54"/>
  <c r="DS187" i="54"/>
  <c r="Z94" i="54"/>
  <c r="AH94" i="54"/>
  <c r="BF94" i="54"/>
  <c r="BN94" i="54"/>
  <c r="CT94" i="54"/>
  <c r="DB94" i="54"/>
  <c r="DJ94" i="54"/>
  <c r="DR94" i="54"/>
  <c r="DZ94" i="54"/>
  <c r="EH94" i="54"/>
  <c r="EP94" i="54"/>
  <c r="EX94" i="54"/>
  <c r="FF94" i="54"/>
  <c r="FN94" i="54"/>
  <c r="FV94" i="54"/>
  <c r="GD94" i="54"/>
  <c r="GL94" i="54"/>
  <c r="GT94" i="54"/>
  <c r="HB94" i="54"/>
  <c r="HJ94" i="54"/>
  <c r="HR94" i="54"/>
  <c r="HZ94" i="54"/>
  <c r="IH94" i="54"/>
  <c r="IP94" i="54"/>
  <c r="IX94" i="54"/>
  <c r="JF94" i="54"/>
  <c r="JN94" i="54"/>
  <c r="PI154" i="54"/>
  <c r="QO154" i="54"/>
  <c r="QW154" i="54"/>
  <c r="RE154" i="54"/>
  <c r="RM154" i="54"/>
  <c r="RU154" i="54"/>
  <c r="SS154" i="54"/>
  <c r="TQ154" i="54"/>
  <c r="TY154" i="54"/>
  <c r="UG154" i="54"/>
  <c r="GK94" i="54"/>
  <c r="BF187" i="54"/>
  <c r="BN187" i="54"/>
  <c r="X133" i="54"/>
  <c r="AF133" i="54"/>
  <c r="BL133" i="54"/>
  <c r="BT133" i="54"/>
  <c r="NU133" i="54"/>
  <c r="OS133" i="54"/>
  <c r="PA133" i="54"/>
  <c r="PI133" i="54"/>
  <c r="PQ133" i="54"/>
  <c r="QG133" i="54"/>
  <c r="RE133" i="54"/>
  <c r="RM133" i="54"/>
  <c r="TA133" i="54"/>
  <c r="TI133" i="54"/>
  <c r="TY133" i="54"/>
  <c r="UG133" i="54"/>
  <c r="VE133" i="54"/>
  <c r="DJ187" i="54"/>
  <c r="HQ94" i="54"/>
  <c r="TG94" i="54"/>
  <c r="TG77" i="54" s="1"/>
  <c r="UE94" i="54"/>
  <c r="UE77" i="54" s="1"/>
  <c r="QT106" i="54"/>
  <c r="TF106" i="54"/>
  <c r="MB106" i="54"/>
  <c r="RP106" i="54"/>
  <c r="RW154" i="54"/>
  <c r="HI94" i="54"/>
  <c r="EL187" i="54"/>
  <c r="HN187" i="54"/>
  <c r="LG94" i="54"/>
  <c r="LO94" i="54"/>
  <c r="LW94" i="54"/>
  <c r="ME94" i="54"/>
  <c r="MM94" i="54"/>
  <c r="MU94" i="54"/>
  <c r="SG146" i="54"/>
  <c r="SO146" i="54"/>
  <c r="SW146" i="54"/>
  <c r="TE146" i="54"/>
  <c r="TM146" i="54"/>
  <c r="TU146" i="54"/>
  <c r="UC146" i="54"/>
  <c r="SF146" i="54"/>
  <c r="SV146" i="54"/>
  <c r="TT146" i="54"/>
  <c r="PU154" i="54"/>
  <c r="RA154" i="54"/>
  <c r="TM154" i="54"/>
  <c r="US154" i="54"/>
  <c r="HY94" i="54"/>
  <c r="FK187" i="54"/>
  <c r="HW187" i="54"/>
  <c r="F285" i="46"/>
  <c r="N285" i="46"/>
  <c r="E286" i="46"/>
  <c r="M286" i="46"/>
  <c r="D287" i="46"/>
  <c r="L287" i="46"/>
  <c r="C288" i="46"/>
  <c r="K288" i="46"/>
  <c r="S288" i="46"/>
  <c r="J290" i="46"/>
  <c r="R290" i="46"/>
  <c r="I291" i="46"/>
  <c r="Q291" i="46"/>
  <c r="H292" i="46"/>
  <c r="P292" i="46"/>
  <c r="G293" i="46"/>
  <c r="O293" i="46"/>
  <c r="F294" i="46"/>
  <c r="N294" i="46"/>
  <c r="E295" i="46"/>
  <c r="M295" i="46"/>
  <c r="D296" i="46"/>
  <c r="L296" i="46"/>
  <c r="C298" i="46"/>
  <c r="K298" i="46"/>
  <c r="S298" i="46"/>
  <c r="J300" i="46"/>
  <c r="R300" i="46"/>
  <c r="I302" i="46"/>
  <c r="Q302" i="46"/>
  <c r="H304" i="46"/>
  <c r="P304" i="46"/>
  <c r="G305" i="46"/>
  <c r="O305" i="46"/>
  <c r="F306" i="46"/>
  <c r="N306" i="46"/>
  <c r="E307" i="46"/>
  <c r="M307" i="46"/>
  <c r="D308" i="46"/>
  <c r="L308" i="46"/>
  <c r="H52" i="39"/>
  <c r="G96" i="81"/>
  <c r="M399" i="79"/>
  <c r="G256" i="53"/>
  <c r="J256" i="53" s="1"/>
  <c r="K256" i="53" s="1"/>
  <c r="J296" i="53"/>
  <c r="PC187" i="54"/>
  <c r="PK187" i="54"/>
  <c r="PS187" i="54"/>
  <c r="QA187" i="54"/>
  <c r="QI187" i="54"/>
  <c r="QQ187" i="54"/>
  <c r="QY187" i="54"/>
  <c r="RG187" i="54"/>
  <c r="TS187" i="54"/>
  <c r="UA187" i="54"/>
  <c r="LQ94" i="54"/>
  <c r="PI94" i="54"/>
  <c r="PI77" i="54" s="1"/>
  <c r="G37" i="30"/>
  <c r="TT187" i="54"/>
  <c r="UB187" i="54"/>
  <c r="NV94" i="54"/>
  <c r="NV77" i="54" s="1"/>
  <c r="OD94" i="54"/>
  <c r="OD77" i="54" s="1"/>
  <c r="OL94" i="54"/>
  <c r="OL77" i="54" s="1"/>
  <c r="OT94" i="54"/>
  <c r="OT77" i="54" s="1"/>
  <c r="PB94" i="54"/>
  <c r="PB77" i="54" s="1"/>
  <c r="PJ94" i="54"/>
  <c r="PJ77" i="54" s="1"/>
  <c r="PR94" i="54"/>
  <c r="PR77" i="54" s="1"/>
  <c r="PZ94" i="54"/>
  <c r="PZ77" i="54" s="1"/>
  <c r="QH94" i="54"/>
  <c r="QH77" i="54" s="1"/>
  <c r="QP94" i="54"/>
  <c r="QP77" i="54" s="1"/>
  <c r="QX94" i="54"/>
  <c r="QX77" i="54" s="1"/>
  <c r="RF94" i="54"/>
  <c r="RF77" i="54" s="1"/>
  <c r="RN94" i="54"/>
  <c r="RN77" i="54" s="1"/>
  <c r="RV94" i="54"/>
  <c r="RV77" i="54" s="1"/>
  <c r="SD94" i="54"/>
  <c r="SD77" i="54" s="1"/>
  <c r="SL94" i="54"/>
  <c r="SL77" i="54" s="1"/>
  <c r="ST94" i="54"/>
  <c r="ST77" i="54" s="1"/>
  <c r="TB94" i="54"/>
  <c r="TB77" i="54" s="1"/>
  <c r="TJ94" i="54"/>
  <c r="TJ77" i="54" s="1"/>
  <c r="TR94" i="54"/>
  <c r="TR77" i="54" s="1"/>
  <c r="TZ94" i="54"/>
  <c r="TZ77" i="54" s="1"/>
  <c r="UH94" i="54"/>
  <c r="UH77" i="54" s="1"/>
  <c r="UP94" i="54"/>
  <c r="UP77" i="54" s="1"/>
  <c r="UX94" i="54"/>
  <c r="UX77" i="54" s="1"/>
  <c r="VF94" i="54"/>
  <c r="VF77" i="54" s="1"/>
  <c r="M31" i="33"/>
  <c r="K194" i="3"/>
  <c r="AH30" i="35" s="1"/>
  <c r="C292" i="35"/>
  <c r="G41" i="30"/>
  <c r="E180" i="9"/>
  <c r="N125" i="79"/>
  <c r="M20" i="79" s="1"/>
  <c r="M201" i="79"/>
  <c r="L25" i="79" s="1"/>
  <c r="G63" i="81"/>
  <c r="G257" i="53"/>
  <c r="J257" i="53" s="1"/>
  <c r="K257" i="53" s="1"/>
  <c r="M243" i="9"/>
  <c r="M245" i="9" s="1"/>
  <c r="M247" i="9" s="1"/>
  <c r="K245" i="9"/>
  <c r="K247" i="9" s="1"/>
  <c r="AF202" i="4"/>
  <c r="OY187" i="54"/>
  <c r="PG187" i="54"/>
  <c r="PO187" i="54"/>
  <c r="PW187" i="54"/>
  <c r="QE187" i="54"/>
  <c r="QM187" i="54"/>
  <c r="QU187" i="54"/>
  <c r="RC187" i="54"/>
  <c r="RK187" i="54"/>
  <c r="TO187" i="54"/>
  <c r="TW187" i="54"/>
  <c r="LE94" i="54"/>
  <c r="LM94" i="54"/>
  <c r="LU94" i="54"/>
  <c r="D11" i="30"/>
  <c r="M11" i="30" s="1"/>
  <c r="H10" i="81"/>
  <c r="OF94" i="54"/>
  <c r="OF77" i="54" s="1"/>
  <c r="QJ94" i="54"/>
  <c r="QJ77" i="54" s="1"/>
  <c r="SF94" i="54"/>
  <c r="SF77" i="54" s="1"/>
  <c r="UR94" i="54"/>
  <c r="UR77" i="54" s="1"/>
  <c r="HL146" i="54"/>
  <c r="MR146" i="54"/>
  <c r="NH146" i="54"/>
  <c r="OV146" i="54"/>
  <c r="PL146" i="54"/>
  <c r="MC94" i="54"/>
  <c r="MK94" i="54"/>
  <c r="MS94" i="54"/>
  <c r="NQ94" i="54"/>
  <c r="NQ77" i="54" s="1"/>
  <c r="NY94" i="54"/>
  <c r="NY77" i="54" s="1"/>
  <c r="OG94" i="54"/>
  <c r="OG77" i="54" s="1"/>
  <c r="OO94" i="54"/>
  <c r="OO77" i="54" s="1"/>
  <c r="OW94" i="54"/>
  <c r="OW77" i="54" s="1"/>
  <c r="PE94" i="54"/>
  <c r="PE77" i="54" s="1"/>
  <c r="PM94" i="54"/>
  <c r="PM77" i="54" s="1"/>
  <c r="PU94" i="54"/>
  <c r="PU77" i="54" s="1"/>
  <c r="QC94" i="54"/>
  <c r="QC77" i="54" s="1"/>
  <c r="QK94" i="54"/>
  <c r="QK77" i="54" s="1"/>
  <c r="QS94" i="54"/>
  <c r="QS77" i="54" s="1"/>
  <c r="RA94" i="54"/>
  <c r="RA77" i="54" s="1"/>
  <c r="RI94" i="54"/>
  <c r="RI77" i="54" s="1"/>
  <c r="RQ94" i="54"/>
  <c r="RQ77" i="54" s="1"/>
  <c r="RY94" i="54"/>
  <c r="RY77" i="54" s="1"/>
  <c r="SG94" i="54"/>
  <c r="SG77" i="54" s="1"/>
  <c r="SO94" i="54"/>
  <c r="SO77" i="54" s="1"/>
  <c r="SW94" i="54"/>
  <c r="SW77" i="54" s="1"/>
  <c r="TE94" i="54"/>
  <c r="TE77" i="54" s="1"/>
  <c r="TM94" i="54"/>
  <c r="TM77" i="54" s="1"/>
  <c r="TU94" i="54"/>
  <c r="TU77" i="54" s="1"/>
  <c r="UC94" i="54"/>
  <c r="UC77" i="54" s="1"/>
  <c r="UK94" i="54"/>
  <c r="UK77" i="54" s="1"/>
  <c r="US94" i="54"/>
  <c r="US77" i="54" s="1"/>
  <c r="VA94" i="54"/>
  <c r="VA77" i="54" s="1"/>
  <c r="VI94" i="54"/>
  <c r="VI77" i="54" s="1"/>
  <c r="AA94" i="54"/>
  <c r="AI94" i="54"/>
  <c r="BG94" i="54"/>
  <c r="BO94" i="54"/>
  <c r="CM94" i="54"/>
  <c r="CU94" i="54"/>
  <c r="DC94" i="54"/>
  <c r="DK94" i="54"/>
  <c r="DS94" i="54"/>
  <c r="EA94" i="54"/>
  <c r="EI94" i="54"/>
  <c r="EQ94" i="54"/>
  <c r="EY94" i="54"/>
  <c r="FG94" i="54"/>
  <c r="FO94" i="54"/>
  <c r="FW94" i="54"/>
  <c r="GE94" i="54"/>
  <c r="GM94" i="54"/>
  <c r="GU94" i="54"/>
  <c r="HC94" i="54"/>
  <c r="HK94" i="54"/>
  <c r="HS94" i="54"/>
  <c r="IA94" i="54"/>
  <c r="II94" i="54"/>
  <c r="IQ94" i="54"/>
  <c r="IY94" i="54"/>
  <c r="JG94" i="54"/>
  <c r="JO94" i="54"/>
  <c r="NW94" i="54"/>
  <c r="NW77" i="54" s="1"/>
  <c r="OE94" i="54"/>
  <c r="OE77" i="54" s="1"/>
  <c r="OM94" i="54"/>
  <c r="OM77" i="54" s="1"/>
  <c r="OU94" i="54"/>
  <c r="OU77" i="54" s="1"/>
  <c r="PC94" i="54"/>
  <c r="PC77" i="54" s="1"/>
  <c r="PK94" i="54"/>
  <c r="PK77" i="54" s="1"/>
  <c r="PS94" i="54"/>
  <c r="PS77" i="54" s="1"/>
  <c r="LI94" i="54"/>
  <c r="MG94" i="54"/>
  <c r="MO94" i="54"/>
  <c r="QO94" i="54"/>
  <c r="QO77" i="54" s="1"/>
  <c r="KZ106" i="54"/>
  <c r="LH106" i="54"/>
  <c r="LP106" i="54"/>
  <c r="LX106" i="54"/>
  <c r="MF106" i="54"/>
  <c r="MN106" i="54"/>
  <c r="MV106" i="54"/>
  <c r="NU106" i="54"/>
  <c r="OC106" i="54"/>
  <c r="OK106" i="54"/>
  <c r="OS106" i="54"/>
  <c r="PA106" i="54"/>
  <c r="PI106" i="54"/>
  <c r="PQ106" i="54"/>
  <c r="PY106" i="54"/>
  <c r="QG106" i="54"/>
  <c r="QO106" i="54"/>
  <c r="QW106" i="54"/>
  <c r="RE106" i="54"/>
  <c r="RM106" i="54"/>
  <c r="RU106" i="54"/>
  <c r="SC106" i="54"/>
  <c r="SK106" i="54"/>
  <c r="SS106" i="54"/>
  <c r="TA106" i="54"/>
  <c r="TI106" i="54"/>
  <c r="TQ106" i="54"/>
  <c r="TY106" i="54"/>
  <c r="UG106" i="54"/>
  <c r="UO106" i="54"/>
  <c r="UW106" i="54"/>
  <c r="VE106" i="54"/>
  <c r="NR133" i="54"/>
  <c r="NZ133" i="54"/>
  <c r="OH133" i="54"/>
  <c r="OP133" i="54"/>
  <c r="OX133" i="54"/>
  <c r="PF133" i="54"/>
  <c r="PN133" i="54"/>
  <c r="PV133" i="54"/>
  <c r="QD133" i="54"/>
  <c r="QL133" i="54"/>
  <c r="QT133" i="54"/>
  <c r="RB133" i="54"/>
  <c r="RJ133" i="54"/>
  <c r="RR133" i="54"/>
  <c r="NT106" i="54"/>
  <c r="OB106" i="54"/>
  <c r="OJ106" i="54"/>
  <c r="OR106" i="54"/>
  <c r="OZ106" i="54"/>
  <c r="PH106" i="54"/>
  <c r="PP106" i="54"/>
  <c r="PX106" i="54"/>
  <c r="QF106" i="54"/>
  <c r="QN106" i="54"/>
  <c r="QV106" i="54"/>
  <c r="RD106" i="54"/>
  <c r="RL106" i="54"/>
  <c r="RT106" i="54"/>
  <c r="SB106" i="54"/>
  <c r="SJ106" i="54"/>
  <c r="SR106" i="54"/>
  <c r="SZ106" i="54"/>
  <c r="TH106" i="54"/>
  <c r="TP106" i="54"/>
  <c r="TX106" i="54"/>
  <c r="UF106" i="54"/>
  <c r="UN106" i="54"/>
  <c r="UV106" i="54"/>
  <c r="VD106" i="54"/>
  <c r="NR106" i="54"/>
  <c r="OH106" i="54"/>
  <c r="OX106" i="54"/>
  <c r="PN106" i="54"/>
  <c r="QD106" i="54"/>
  <c r="RJ106" i="54"/>
  <c r="RZ106" i="54"/>
  <c r="SP106" i="54"/>
  <c r="TV106" i="54"/>
  <c r="UL106" i="54"/>
  <c r="VB106" i="54"/>
  <c r="LD133" i="54"/>
  <c r="MB133" i="54"/>
  <c r="NQ133" i="54"/>
  <c r="NY133" i="54"/>
  <c r="OG133" i="54"/>
  <c r="OO133" i="54"/>
  <c r="OW133" i="54"/>
  <c r="PE133" i="54"/>
  <c r="PM133" i="54"/>
  <c r="PU133" i="54"/>
  <c r="QC133" i="54"/>
  <c r="QK133" i="54"/>
  <c r="QS133" i="54"/>
  <c r="RA133" i="54"/>
  <c r="RI133" i="54"/>
  <c r="RQ133" i="54"/>
  <c r="RY133" i="54"/>
  <c r="SG133" i="54"/>
  <c r="SO133" i="54"/>
  <c r="SW133" i="54"/>
  <c r="TE133" i="54"/>
  <c r="TM133" i="54"/>
  <c r="TU133" i="54"/>
  <c r="UC133" i="54"/>
  <c r="UK133" i="54"/>
  <c r="VA133" i="54"/>
  <c r="VI133" i="54"/>
  <c r="VA146" i="54"/>
  <c r="VI146" i="54"/>
  <c r="R68" i="48"/>
  <c r="R77" i="46" s="1"/>
  <c r="H68" i="48"/>
  <c r="H77" i="46" s="1"/>
  <c r="H139" i="46" s="1"/>
  <c r="R73" i="48"/>
  <c r="R82" i="46" s="1"/>
  <c r="M73" i="48"/>
  <c r="M82" i="46" s="1"/>
  <c r="E73" i="48"/>
  <c r="E82" i="46" s="1"/>
  <c r="R81" i="48"/>
  <c r="R90" i="46" s="1"/>
  <c r="S81" i="48"/>
  <c r="S90" i="46" s="1"/>
  <c r="C53" i="48"/>
  <c r="NP106" i="54"/>
  <c r="OF106" i="54"/>
  <c r="ON106" i="54"/>
  <c r="OV106" i="54"/>
  <c r="PD106" i="54"/>
  <c r="PL106" i="54"/>
  <c r="PT106" i="54"/>
  <c r="QB106" i="54"/>
  <c r="QJ106" i="54"/>
  <c r="QR106" i="54"/>
  <c r="QZ106" i="54"/>
  <c r="RH106" i="54"/>
  <c r="RX106" i="54"/>
  <c r="SF106" i="54"/>
  <c r="SN106" i="54"/>
  <c r="SV106" i="54"/>
  <c r="TD106" i="54"/>
  <c r="TL106" i="54"/>
  <c r="TT106" i="54"/>
  <c r="UB106" i="54"/>
  <c r="UJ106" i="54"/>
  <c r="UR106" i="54"/>
  <c r="UZ106" i="54"/>
  <c r="VH106" i="54"/>
  <c r="UU146" i="54"/>
  <c r="VK146" i="54"/>
  <c r="LD106" i="54"/>
  <c r="LL106" i="54"/>
  <c r="LT106" i="54"/>
  <c r="MJ106" i="54"/>
  <c r="MR106" i="54"/>
  <c r="W133" i="54"/>
  <c r="AE133" i="54"/>
  <c r="AM133" i="54"/>
  <c r="BK133" i="54"/>
  <c r="BS133" i="54"/>
  <c r="KZ133" i="54"/>
  <c r="LH133" i="54"/>
  <c r="MF133" i="54"/>
  <c r="MN133" i="54"/>
  <c r="LP146" i="54"/>
  <c r="OJ146" i="54"/>
  <c r="OR146" i="54"/>
  <c r="PX146" i="54"/>
  <c r="PK154" i="54"/>
  <c r="SM154" i="54"/>
  <c r="TC154" i="54"/>
  <c r="TS154" i="54"/>
  <c r="UI154" i="54"/>
  <c r="NX133" i="54"/>
  <c r="OF133" i="54"/>
  <c r="ON133" i="54"/>
  <c r="PL133" i="54"/>
  <c r="QB133" i="54"/>
  <c r="QJ133" i="54"/>
  <c r="RX133" i="54"/>
  <c r="SF133" i="54"/>
  <c r="SN133" i="54"/>
  <c r="TT133" i="54"/>
  <c r="UB133" i="54"/>
  <c r="UJ133" i="54"/>
  <c r="UZ133" i="54"/>
  <c r="VH133" i="54"/>
  <c r="UZ146" i="54"/>
  <c r="VH146" i="54"/>
  <c r="Z146" i="54"/>
  <c r="AH146" i="54"/>
  <c r="BF146" i="54"/>
  <c r="BN146" i="54"/>
  <c r="BV146" i="54"/>
  <c r="CD146" i="54"/>
  <c r="CL146" i="54"/>
  <c r="DB146" i="54"/>
  <c r="DR146" i="54"/>
  <c r="DZ146" i="54"/>
  <c r="EH146" i="54"/>
  <c r="EP146" i="54"/>
  <c r="EX146" i="54"/>
  <c r="FF146" i="54"/>
  <c r="FN146" i="54"/>
  <c r="FV146" i="54"/>
  <c r="GD146" i="54"/>
  <c r="GL146" i="54"/>
  <c r="HB146" i="54"/>
  <c r="HR146" i="54"/>
  <c r="HZ146" i="54"/>
  <c r="IH146" i="54"/>
  <c r="PC154" i="54"/>
  <c r="PS154" i="54"/>
  <c r="QA154" i="54"/>
  <c r="QI154" i="54"/>
  <c r="QQ154" i="54"/>
  <c r="QY154" i="54"/>
  <c r="RG154" i="54"/>
  <c r="RO154" i="54"/>
  <c r="SE154" i="54"/>
  <c r="SU154" i="54"/>
  <c r="TK154" i="54"/>
  <c r="UA154" i="54"/>
  <c r="UQ154" i="54"/>
  <c r="TQ180" i="54"/>
  <c r="TY180" i="54"/>
  <c r="UG180" i="54"/>
  <c r="UW180" i="54"/>
  <c r="VE180" i="54"/>
  <c r="E53" i="48"/>
  <c r="L72" i="48"/>
  <c r="L81" i="46" s="1"/>
  <c r="Q83" i="48"/>
  <c r="Q92" i="46" s="1"/>
  <c r="J84" i="48"/>
  <c r="J93" i="46" s="1"/>
  <c r="J155" i="46" s="1"/>
  <c r="TM180" i="54"/>
  <c r="UC180" i="54"/>
  <c r="UK180" i="54"/>
  <c r="US180" i="54"/>
  <c r="VA180" i="54"/>
  <c r="VI180" i="54"/>
  <c r="N62" i="48"/>
  <c r="N71" i="46" s="1"/>
  <c r="C67" i="48"/>
  <c r="C76" i="46" s="1"/>
  <c r="H78" i="48"/>
  <c r="H87" i="46" s="1"/>
  <c r="O85" i="48"/>
  <c r="O94" i="46" s="1"/>
  <c r="IP146" i="54"/>
  <c r="IX146" i="54"/>
  <c r="JF146" i="54"/>
  <c r="KD146" i="54"/>
  <c r="KL146" i="54"/>
  <c r="KT146" i="54"/>
  <c r="LB146" i="54"/>
  <c r="LJ146" i="54"/>
  <c r="LZ146" i="54"/>
  <c r="MH146" i="54"/>
  <c r="MP146" i="54"/>
  <c r="NF146" i="54"/>
  <c r="NN146" i="54"/>
  <c r="OL146" i="54"/>
  <c r="OT146" i="54"/>
  <c r="PB146" i="54"/>
  <c r="PJ146" i="54"/>
  <c r="PR146" i="54"/>
  <c r="PZ146" i="54"/>
  <c r="QH146" i="54"/>
  <c r="QP146" i="54"/>
  <c r="QX146" i="54"/>
  <c r="SL146" i="54"/>
  <c r="ST146" i="54"/>
  <c r="TJ146" i="54"/>
  <c r="UX146" i="54"/>
  <c r="VF146" i="54"/>
  <c r="H51" i="48"/>
  <c r="G63" i="48"/>
  <c r="G72" i="46" s="1"/>
  <c r="I67" i="48"/>
  <c r="I76" i="46" s="1"/>
  <c r="J74" i="48"/>
  <c r="J83" i="46" s="1"/>
  <c r="N78" i="48"/>
  <c r="N87" i="46" s="1"/>
  <c r="Q85" i="48"/>
  <c r="Q94" i="46" s="1"/>
  <c r="TO180" i="54"/>
  <c r="TW180" i="54"/>
  <c r="UE180" i="54"/>
  <c r="UM180" i="54"/>
  <c r="UU180" i="54"/>
  <c r="VC180" i="54"/>
  <c r="VK180" i="54"/>
  <c r="L64" i="48"/>
  <c r="L73" i="46" s="1"/>
  <c r="K67" i="48"/>
  <c r="K76" i="46" s="1"/>
  <c r="C75" i="48"/>
  <c r="C84" i="46" s="1"/>
  <c r="P78" i="48"/>
  <c r="P87" i="46" s="1"/>
  <c r="M87" i="48"/>
  <c r="M96" i="46" s="1"/>
  <c r="H285" i="46"/>
  <c r="P285" i="46"/>
  <c r="G286" i="46"/>
  <c r="O286" i="46"/>
  <c r="F287" i="46"/>
  <c r="N287" i="46"/>
  <c r="E288" i="46"/>
  <c r="M288" i="46"/>
  <c r="D290" i="46"/>
  <c r="L290" i="46"/>
  <c r="C291" i="46"/>
  <c r="K291" i="46"/>
  <c r="S291" i="46"/>
  <c r="J292" i="46"/>
  <c r="R292" i="46"/>
  <c r="I293" i="46"/>
  <c r="Q293" i="46"/>
  <c r="H294" i="46"/>
  <c r="P294" i="46"/>
  <c r="G295" i="46"/>
  <c r="O295" i="46"/>
  <c r="F296" i="46"/>
  <c r="N296" i="46"/>
  <c r="E298" i="46"/>
  <c r="M298" i="46"/>
  <c r="D300" i="46"/>
  <c r="L300" i="46"/>
  <c r="C302" i="46"/>
  <c r="K302" i="46"/>
  <c r="S302" i="46"/>
  <c r="J304" i="46"/>
  <c r="R304" i="46"/>
  <c r="I305" i="46"/>
  <c r="Q305" i="46"/>
  <c r="H306" i="46"/>
  <c r="P306" i="46"/>
  <c r="G307" i="46"/>
  <c r="O307" i="46"/>
  <c r="F308" i="46"/>
  <c r="N308" i="46"/>
  <c r="PA154" i="54"/>
  <c r="PQ154" i="54"/>
  <c r="PY154" i="54"/>
  <c r="SC154" i="54"/>
  <c r="TI154" i="54"/>
  <c r="TP180" i="54"/>
  <c r="TX180" i="54"/>
  <c r="UF180" i="54"/>
  <c r="UN180" i="54"/>
  <c r="UV180" i="54"/>
  <c r="VD180" i="54"/>
  <c r="C65" i="48"/>
  <c r="C74" i="46" s="1"/>
  <c r="C136" i="46" s="1"/>
  <c r="H76" i="48"/>
  <c r="H85" i="46" s="1"/>
  <c r="D80" i="48"/>
  <c r="D89" i="46" s="1"/>
  <c r="U219" i="4"/>
  <c r="J219" i="4"/>
  <c r="AQ219" i="4"/>
  <c r="BA236" i="4"/>
  <c r="AQ138" i="4"/>
  <c r="J138" i="4"/>
  <c r="AF219" i="4"/>
  <c r="BA156" i="4"/>
  <c r="BB157" i="4" s="1"/>
  <c r="BB158" i="4" s="1"/>
  <c r="Q30" i="35" s="1"/>
  <c r="AF294" i="4"/>
  <c r="J63" i="4"/>
  <c r="U311" i="4"/>
  <c r="BA311" i="4"/>
  <c r="M415" i="3"/>
  <c r="P102" i="26"/>
  <c r="P103" i="26"/>
  <c r="P107" i="26"/>
  <c r="M248" i="9"/>
  <c r="M250" i="9" s="1"/>
  <c r="M252" i="9" s="1"/>
  <c r="Q21" i="26" s="1"/>
  <c r="S21" i="26" s="1"/>
  <c r="K250" i="9"/>
  <c r="K252" i="9" s="1"/>
  <c r="J304" i="9"/>
  <c r="M159" i="9"/>
  <c r="M161" i="9" s="1"/>
  <c r="K161" i="9"/>
  <c r="M28" i="9"/>
  <c r="M30" i="9" s="1"/>
  <c r="K30" i="9"/>
  <c r="M162" i="9"/>
  <c r="M164" i="9" s="1"/>
  <c r="K164" i="9"/>
  <c r="M208" i="9"/>
  <c r="M210" i="9" s="1"/>
  <c r="K210" i="9"/>
  <c r="M32" i="9"/>
  <c r="M33" i="9" s="1"/>
  <c r="K33" i="9"/>
  <c r="M211" i="9"/>
  <c r="M213" i="9" s="1"/>
  <c r="K213" i="9"/>
  <c r="M34" i="9"/>
  <c r="M36" i="9" s="1"/>
  <c r="K36" i="9"/>
  <c r="P51" i="8"/>
  <c r="P43" i="8" s="1"/>
  <c r="O51" i="8"/>
  <c r="O43" i="8" s="1"/>
  <c r="E54" i="8"/>
  <c r="C54" i="8"/>
  <c r="W56" i="8"/>
  <c r="U56" i="8"/>
  <c r="P345" i="3"/>
  <c r="S87" i="3"/>
  <c r="R26" i="3"/>
  <c r="N28" i="3" s="1"/>
  <c r="N29" i="3" s="1"/>
  <c r="P349" i="3"/>
  <c r="P350" i="3"/>
  <c r="P342" i="3"/>
  <c r="R87" i="3"/>
  <c r="L17" i="3"/>
  <c r="H87" i="3"/>
  <c r="I16" i="3" s="1"/>
  <c r="AB75" i="3"/>
  <c r="U87" i="3"/>
  <c r="O274" i="3" s="1"/>
  <c r="E16" i="36" s="1"/>
  <c r="I87" i="3"/>
  <c r="J16" i="3" s="1"/>
  <c r="AC75" i="3"/>
  <c r="I29" i="3"/>
  <c r="I30" i="3"/>
  <c r="I26" i="3"/>
  <c r="I37" i="3"/>
  <c r="D285" i="46"/>
  <c r="L285" i="46"/>
  <c r="C286" i="46"/>
  <c r="I285" i="46"/>
  <c r="Q285" i="46"/>
  <c r="H286" i="46"/>
  <c r="P286" i="46"/>
  <c r="G287" i="46"/>
  <c r="O287" i="46"/>
  <c r="F288" i="46"/>
  <c r="N288" i="46"/>
  <c r="E290" i="46"/>
  <c r="M290" i="46"/>
  <c r="D291" i="46"/>
  <c r="L291" i="46"/>
  <c r="C292" i="46"/>
  <c r="K292" i="46"/>
  <c r="S292" i="46"/>
  <c r="J293" i="46"/>
  <c r="R293" i="46"/>
  <c r="I294" i="46"/>
  <c r="Q294" i="46"/>
  <c r="H295" i="46"/>
  <c r="P295" i="46"/>
  <c r="G296" i="46"/>
  <c r="O296" i="46"/>
  <c r="F298" i="46"/>
  <c r="N298" i="46"/>
  <c r="M300" i="46"/>
  <c r="D302" i="46"/>
  <c r="L302" i="46"/>
  <c r="C304" i="46"/>
  <c r="K304" i="46"/>
  <c r="S304" i="46"/>
  <c r="J305" i="46"/>
  <c r="R305" i="46"/>
  <c r="I306" i="46"/>
  <c r="Q306" i="46"/>
  <c r="H307" i="46"/>
  <c r="P307" i="46"/>
  <c r="G308" i="46"/>
  <c r="O308" i="46"/>
  <c r="K205" i="9"/>
  <c r="T87" i="3"/>
  <c r="P344" i="3"/>
  <c r="J120" i="4"/>
  <c r="BA277" i="4"/>
  <c r="AQ277" i="4"/>
  <c r="AQ294" i="4"/>
  <c r="J311" i="4"/>
  <c r="AQ311" i="4"/>
  <c r="N51" i="8"/>
  <c r="N50" i="8" s="1"/>
  <c r="I100" i="26"/>
  <c r="I103" i="26"/>
  <c r="G95" i="37"/>
  <c r="H49" i="37"/>
  <c r="G100" i="37" s="1"/>
  <c r="H60" i="37"/>
  <c r="G102" i="37" s="1"/>
  <c r="G107" i="37"/>
  <c r="I24" i="79"/>
  <c r="J24" i="79" s="1"/>
  <c r="I26" i="79"/>
  <c r="J26" i="79" s="1"/>
  <c r="L140" i="79"/>
  <c r="K21" i="79" s="1"/>
  <c r="L170" i="79"/>
  <c r="K23" i="79" s="1"/>
  <c r="N303" i="79"/>
  <c r="N384" i="79"/>
  <c r="N399" i="79"/>
  <c r="N439" i="79"/>
  <c r="G87" i="81"/>
  <c r="G90" i="81"/>
  <c r="AB51" i="41"/>
  <c r="D54" i="8"/>
  <c r="F112" i="37"/>
  <c r="L67" i="79"/>
  <c r="K16" i="79" s="1"/>
  <c r="M170" i="79"/>
  <c r="L23" i="79" s="1"/>
  <c r="N247" i="79"/>
  <c r="M28" i="79" s="1"/>
  <c r="L318" i="79"/>
  <c r="L343" i="79"/>
  <c r="M369" i="79"/>
  <c r="L399" i="79"/>
  <c r="J97" i="4"/>
  <c r="G52" i="39"/>
  <c r="AQ236" i="4"/>
  <c r="Y47" i="8"/>
  <c r="L97" i="79"/>
  <c r="K18" i="79" s="1"/>
  <c r="N140" i="79"/>
  <c r="M21" i="79" s="1"/>
  <c r="M303" i="79"/>
  <c r="M439" i="79"/>
  <c r="J250" i="53"/>
  <c r="I250" i="53"/>
  <c r="PA187" i="54"/>
  <c r="PI187" i="54"/>
  <c r="PQ187" i="54"/>
  <c r="PY187" i="54"/>
  <c r="QG187" i="54"/>
  <c r="QO187" i="54"/>
  <c r="QW187" i="54"/>
  <c r="RE187" i="54"/>
  <c r="RM187" i="54"/>
  <c r="TQ187" i="54"/>
  <c r="TY187" i="54"/>
  <c r="BA294" i="4"/>
  <c r="BC120" i="4"/>
  <c r="E49" i="38" s="1"/>
  <c r="J87" i="3"/>
  <c r="K16" i="3" s="1"/>
  <c r="J26" i="4"/>
  <c r="AQ120" i="4"/>
  <c r="U202" i="4"/>
  <c r="BA219" i="4"/>
  <c r="J236" i="4"/>
  <c r="F54" i="8"/>
  <c r="M172" i="9"/>
  <c r="I180" i="9"/>
  <c r="P106" i="26"/>
  <c r="F88" i="37"/>
  <c r="I17" i="79"/>
  <c r="J17" i="79" s="1"/>
  <c r="M125" i="79"/>
  <c r="L20" i="79" s="1"/>
  <c r="N201" i="79"/>
  <c r="M25" i="79" s="1"/>
  <c r="L288" i="79"/>
  <c r="N318" i="79"/>
  <c r="N343" i="79"/>
  <c r="L369" i="79"/>
  <c r="L384" i="79"/>
  <c r="L424" i="79"/>
  <c r="G62" i="81"/>
  <c r="G65" i="81"/>
  <c r="L61" i="53"/>
  <c r="U120" i="4"/>
  <c r="AF120" i="4"/>
  <c r="BA202" i="4"/>
  <c r="AD75" i="3"/>
  <c r="AE75" i="3"/>
  <c r="J80" i="4"/>
  <c r="BA120" i="4"/>
  <c r="BD123" i="4"/>
  <c r="BC123" i="4" s="1"/>
  <c r="H78" i="38" s="1"/>
  <c r="F52" i="39"/>
  <c r="J277" i="4"/>
  <c r="I43" i="26"/>
  <c r="G55" i="26" s="1"/>
  <c r="I55" i="26" s="1"/>
  <c r="I107" i="26"/>
  <c r="G96" i="37"/>
  <c r="I23" i="79"/>
  <c r="J23" i="79" s="1"/>
  <c r="I25" i="79"/>
  <c r="J25" i="79" s="1"/>
  <c r="I28" i="79"/>
  <c r="J28" i="79" s="1"/>
  <c r="L217" i="79"/>
  <c r="K26" i="79" s="1"/>
  <c r="L247" i="79"/>
  <c r="K28" i="79" s="1"/>
  <c r="I255" i="79"/>
  <c r="J255" i="79" s="1"/>
  <c r="M288" i="79"/>
  <c r="I326" i="79"/>
  <c r="I327" i="79" s="1"/>
  <c r="M384" i="79"/>
  <c r="H408" i="79"/>
  <c r="M424" i="79"/>
  <c r="G88" i="81"/>
  <c r="L49" i="53"/>
  <c r="V56" i="8"/>
  <c r="J46" i="4"/>
  <c r="U156" i="4"/>
  <c r="AF311" i="4"/>
  <c r="I52" i="39"/>
  <c r="BA138" i="4"/>
  <c r="BB139" i="4" s="1"/>
  <c r="AQ202" i="4"/>
  <c r="AF236" i="4"/>
  <c r="U277" i="4"/>
  <c r="J294" i="4"/>
  <c r="AB10" i="41"/>
  <c r="AC10" i="41" s="1"/>
  <c r="G45" i="8"/>
  <c r="L51" i="8"/>
  <c r="L43" i="8" s="1"/>
  <c r="M67" i="79"/>
  <c r="L16" i="79" s="1"/>
  <c r="L125" i="79"/>
  <c r="K20" i="79" s="1"/>
  <c r="N170" i="79"/>
  <c r="M23" i="79" s="1"/>
  <c r="M247" i="79"/>
  <c r="L28" i="79" s="1"/>
  <c r="N288" i="79"/>
  <c r="M318" i="79"/>
  <c r="M343" i="79"/>
  <c r="N369" i="79"/>
  <c r="N424" i="79"/>
  <c r="H91" i="81"/>
  <c r="I91" i="81" s="1"/>
  <c r="J91" i="81" s="1"/>
  <c r="K91" i="81" s="1"/>
  <c r="L91" i="81" s="1"/>
  <c r="M91" i="81" s="1"/>
  <c r="N91" i="81" s="1"/>
  <c r="O91" i="81" s="1"/>
  <c r="P91" i="81" s="1"/>
  <c r="Q91" i="81" s="1"/>
  <c r="R91" i="81" s="1"/>
  <c r="S91" i="81" s="1"/>
  <c r="T91" i="81" s="1"/>
  <c r="U91" i="81" s="1"/>
  <c r="G100" i="81"/>
  <c r="E52" i="39"/>
  <c r="AQ156" i="4"/>
  <c r="J202" i="4"/>
  <c r="U236" i="4"/>
  <c r="AF277" i="4"/>
  <c r="U294" i="4"/>
  <c r="I105" i="26"/>
  <c r="M140" i="79"/>
  <c r="L21" i="79" s="1"/>
  <c r="L303" i="79"/>
  <c r="L439" i="79"/>
  <c r="AB187" i="54"/>
  <c r="AJ187" i="54"/>
  <c r="X94" i="54"/>
  <c r="AF94" i="54"/>
  <c r="BL94" i="54"/>
  <c r="BT94" i="54"/>
  <c r="CR94" i="54"/>
  <c r="CZ94" i="54"/>
  <c r="DH94" i="54"/>
  <c r="DP94" i="54"/>
  <c r="DX94" i="54"/>
  <c r="EF94" i="54"/>
  <c r="EN94" i="54"/>
  <c r="EV94" i="54"/>
  <c r="FD94" i="54"/>
  <c r="FL94" i="54"/>
  <c r="FT94" i="54"/>
  <c r="GB94" i="54"/>
  <c r="GJ94" i="54"/>
  <c r="GR94" i="54"/>
  <c r="GZ94" i="54"/>
  <c r="HH94" i="54"/>
  <c r="HP94" i="54"/>
  <c r="HX94" i="54"/>
  <c r="IF94" i="54"/>
  <c r="IN94" i="54"/>
  <c r="IV94" i="54"/>
  <c r="JD94" i="54"/>
  <c r="JL94" i="54"/>
  <c r="LB94" i="54"/>
  <c r="LJ94" i="54"/>
  <c r="LR94" i="54"/>
  <c r="LZ94" i="54"/>
  <c r="MH94" i="54"/>
  <c r="MP94" i="54"/>
  <c r="MX94" i="54"/>
  <c r="NU94" i="54"/>
  <c r="NU77" i="54" s="1"/>
  <c r="OK94" i="54"/>
  <c r="OK77" i="54" s="1"/>
  <c r="OS94" i="54"/>
  <c r="OS77" i="54" s="1"/>
  <c r="PA94" i="54"/>
  <c r="PA77" i="54" s="1"/>
  <c r="PQ94" i="54"/>
  <c r="PQ77" i="54" s="1"/>
  <c r="PY94" i="54"/>
  <c r="PY77" i="54" s="1"/>
  <c r="QG94" i="54"/>
  <c r="QG77" i="54" s="1"/>
  <c r="QW94" i="54"/>
  <c r="QW77" i="54" s="1"/>
  <c r="RE94" i="54"/>
  <c r="RE77" i="54" s="1"/>
  <c r="RM94" i="54"/>
  <c r="RM77" i="54" s="1"/>
  <c r="SC94" i="54"/>
  <c r="SC77" i="54" s="1"/>
  <c r="SK94" i="54"/>
  <c r="SK77" i="54" s="1"/>
  <c r="SS94" i="54"/>
  <c r="SS77" i="54" s="1"/>
  <c r="TA94" i="54"/>
  <c r="TA77" i="54" s="1"/>
  <c r="TI94" i="54"/>
  <c r="TI77" i="54" s="1"/>
  <c r="TY94" i="54"/>
  <c r="TY77" i="54" s="1"/>
  <c r="UG94" i="54"/>
  <c r="UG77" i="54" s="1"/>
  <c r="UW94" i="54"/>
  <c r="UW77" i="54" s="1"/>
  <c r="VE94" i="54"/>
  <c r="VE77" i="54" s="1"/>
  <c r="LL94" i="54"/>
  <c r="LT94" i="54"/>
  <c r="MB94" i="54"/>
  <c r="MR94" i="54"/>
  <c r="W187" i="54"/>
  <c r="AE187" i="54"/>
  <c r="AM187" i="54"/>
  <c r="SV94" i="54"/>
  <c r="SV77" i="54" s="1"/>
  <c r="TL94" i="54"/>
  <c r="TL77" i="54" s="1"/>
  <c r="TT94" i="54"/>
  <c r="TT77" i="54" s="1"/>
  <c r="UB94" i="54"/>
  <c r="UB77" i="54" s="1"/>
  <c r="UJ94" i="54"/>
  <c r="UJ77" i="54" s="1"/>
  <c r="UZ94" i="54"/>
  <c r="UZ77" i="54" s="1"/>
  <c r="VH94" i="54"/>
  <c r="VH77" i="54" s="1"/>
  <c r="LC94" i="54"/>
  <c r="LK94" i="54"/>
  <c r="LS94" i="54"/>
  <c r="MA94" i="54"/>
  <c r="MI94" i="54"/>
  <c r="MQ94" i="54"/>
  <c r="FH187" i="54"/>
  <c r="HT187" i="54"/>
  <c r="IB187" i="54"/>
  <c r="PB187" i="54"/>
  <c r="PJ187" i="54"/>
  <c r="PR187" i="54"/>
  <c r="PZ187" i="54"/>
  <c r="QH187" i="54"/>
  <c r="QP187" i="54"/>
  <c r="QX187" i="54"/>
  <c r="RF187" i="54"/>
  <c r="TR187" i="54"/>
  <c r="TZ187" i="54"/>
  <c r="Z187" i="54"/>
  <c r="AH187" i="54"/>
  <c r="BG187" i="54"/>
  <c r="BO187" i="54"/>
  <c r="NT94" i="54"/>
  <c r="NT77" i="54" s="1"/>
  <c r="OB94" i="54"/>
  <c r="OB77" i="54" s="1"/>
  <c r="OJ94" i="54"/>
  <c r="OJ77" i="54" s="1"/>
  <c r="OR94" i="54"/>
  <c r="OR77" i="54" s="1"/>
  <c r="OZ94" i="54"/>
  <c r="OZ77" i="54" s="1"/>
  <c r="PH94" i="54"/>
  <c r="PH77" i="54" s="1"/>
  <c r="PP94" i="54"/>
  <c r="PP77" i="54" s="1"/>
  <c r="PX94" i="54"/>
  <c r="PX77" i="54" s="1"/>
  <c r="QF94" i="54"/>
  <c r="QF77" i="54" s="1"/>
  <c r="QN94" i="54"/>
  <c r="QN77" i="54" s="1"/>
  <c r="QV94" i="54"/>
  <c r="QV77" i="54" s="1"/>
  <c r="RD94" i="54"/>
  <c r="RD77" i="54" s="1"/>
  <c r="RL94" i="54"/>
  <c r="RL77" i="54" s="1"/>
  <c r="RT94" i="54"/>
  <c r="RT77" i="54" s="1"/>
  <c r="SB94" i="54"/>
  <c r="SB77" i="54" s="1"/>
  <c r="SJ94" i="54"/>
  <c r="SJ77" i="54" s="1"/>
  <c r="SR94" i="54"/>
  <c r="SR77" i="54" s="1"/>
  <c r="SZ94" i="54"/>
  <c r="SZ77" i="54" s="1"/>
  <c r="TH94" i="54"/>
  <c r="TH77" i="54" s="1"/>
  <c r="TP94" i="54"/>
  <c r="TP77" i="54" s="1"/>
  <c r="TX94" i="54"/>
  <c r="TX77" i="54" s="1"/>
  <c r="UF94" i="54"/>
  <c r="UF77" i="54" s="1"/>
  <c r="UN94" i="54"/>
  <c r="UN77" i="54" s="1"/>
  <c r="UV94" i="54"/>
  <c r="UV77" i="54" s="1"/>
  <c r="VD94" i="54"/>
  <c r="VD77" i="54" s="1"/>
  <c r="SX94" i="54"/>
  <c r="SX77" i="54" s="1"/>
  <c r="TF94" i="54"/>
  <c r="TF77" i="54" s="1"/>
  <c r="TV94" i="54"/>
  <c r="TV77" i="54" s="1"/>
  <c r="VJ94" i="54"/>
  <c r="VJ77" i="54" s="1"/>
  <c r="AD106" i="54"/>
  <c r="AL106" i="54"/>
  <c r="AT106" i="54"/>
  <c r="BB106" i="54"/>
  <c r="BJ106" i="54"/>
  <c r="BR106" i="54"/>
  <c r="CP106" i="54"/>
  <c r="ET106" i="54"/>
  <c r="FB106" i="54"/>
  <c r="X106" i="54"/>
  <c r="AF106" i="54"/>
  <c r="AN106" i="54"/>
  <c r="AV106" i="54"/>
  <c r="BD106" i="54"/>
  <c r="BT106" i="54"/>
  <c r="DX106" i="54"/>
  <c r="EF106" i="54"/>
  <c r="EN106" i="54"/>
  <c r="FL106" i="54"/>
  <c r="GR106" i="54"/>
  <c r="GZ106" i="54"/>
  <c r="HH106" i="54"/>
  <c r="JD106" i="54"/>
  <c r="JL106" i="54"/>
  <c r="JT106" i="54"/>
  <c r="KB106" i="54"/>
  <c r="QA94" i="54"/>
  <c r="QA77" i="54" s="1"/>
  <c r="QI94" i="54"/>
  <c r="QI77" i="54" s="1"/>
  <c r="QQ94" i="54"/>
  <c r="QQ77" i="54" s="1"/>
  <c r="QY94" i="54"/>
  <c r="QY77" i="54" s="1"/>
  <c r="RG94" i="54"/>
  <c r="RG77" i="54" s="1"/>
  <c r="RO94" i="54"/>
  <c r="RO77" i="54" s="1"/>
  <c r="RW94" i="54"/>
  <c r="RW77" i="54" s="1"/>
  <c r="SE94" i="54"/>
  <c r="SE77" i="54" s="1"/>
  <c r="SU94" i="54"/>
  <c r="SU77" i="54" s="1"/>
  <c r="UQ94" i="54"/>
  <c r="UQ77" i="54" s="1"/>
  <c r="Z106" i="54"/>
  <c r="AH106" i="54"/>
  <c r="AP106" i="54"/>
  <c r="AX106" i="54"/>
  <c r="BF106" i="54"/>
  <c r="BN106" i="54"/>
  <c r="CT106" i="54"/>
  <c r="DZ106" i="54"/>
  <c r="EX106" i="54"/>
  <c r="FF106" i="54"/>
  <c r="HJ106" i="54"/>
  <c r="HZ106" i="54"/>
  <c r="IP106" i="54"/>
  <c r="JF106" i="54"/>
  <c r="JV106" i="54"/>
  <c r="KD106" i="54"/>
  <c r="LZ106" i="54"/>
  <c r="OD106" i="54"/>
  <c r="OL106" i="54"/>
  <c r="PB106" i="54"/>
  <c r="PJ106" i="54"/>
  <c r="QH106" i="54"/>
  <c r="QP106" i="54"/>
  <c r="QX106" i="54"/>
  <c r="RN106" i="54"/>
  <c r="RV106" i="54"/>
  <c r="ST106" i="54"/>
  <c r="TB106" i="54"/>
  <c r="TZ106" i="54"/>
  <c r="UH106" i="54"/>
  <c r="VF106" i="54"/>
  <c r="KZ94" i="54"/>
  <c r="LH94" i="54"/>
  <c r="LP94" i="54"/>
  <c r="LX94" i="54"/>
  <c r="MF94" i="54"/>
  <c r="MN94" i="54"/>
  <c r="MV94" i="54"/>
  <c r="NS94" i="54"/>
  <c r="NS77" i="54" s="1"/>
  <c r="OA94" i="54"/>
  <c r="OA77" i="54" s="1"/>
  <c r="OI94" i="54"/>
  <c r="OI77" i="54" s="1"/>
  <c r="OQ94" i="54"/>
  <c r="OQ77" i="54" s="1"/>
  <c r="OY94" i="54"/>
  <c r="OY77" i="54" s="1"/>
  <c r="PG94" i="54"/>
  <c r="PG77" i="54" s="1"/>
  <c r="PO94" i="54"/>
  <c r="PO77" i="54" s="1"/>
  <c r="PW94" i="54"/>
  <c r="PW77" i="54" s="1"/>
  <c r="QE94" i="54"/>
  <c r="QE77" i="54" s="1"/>
  <c r="QM94" i="54"/>
  <c r="QM77" i="54" s="1"/>
  <c r="QU94" i="54"/>
  <c r="QU77" i="54" s="1"/>
  <c r="RC94" i="54"/>
  <c r="RC77" i="54" s="1"/>
  <c r="RK94" i="54"/>
  <c r="RK77" i="54" s="1"/>
  <c r="RS94" i="54"/>
  <c r="RS77" i="54" s="1"/>
  <c r="SA94" i="54"/>
  <c r="SA77" i="54" s="1"/>
  <c r="SI94" i="54"/>
  <c r="SI77" i="54" s="1"/>
  <c r="SQ94" i="54"/>
  <c r="SQ77" i="54" s="1"/>
  <c r="SY94" i="54"/>
  <c r="SY77" i="54" s="1"/>
  <c r="TO94" i="54"/>
  <c r="TO77" i="54" s="1"/>
  <c r="TW94" i="54"/>
  <c r="TW77" i="54" s="1"/>
  <c r="UM94" i="54"/>
  <c r="UM77" i="54" s="1"/>
  <c r="UU94" i="54"/>
  <c r="UU77" i="54" s="1"/>
  <c r="VC94" i="54"/>
  <c r="VC77" i="54" s="1"/>
  <c r="VK94" i="54"/>
  <c r="VK77" i="54" s="1"/>
  <c r="Y133" i="54"/>
  <c r="AG133" i="54"/>
  <c r="BE133" i="54"/>
  <c r="BM133" i="54"/>
  <c r="BU133" i="54"/>
  <c r="DA133" i="54"/>
  <c r="DI133" i="54"/>
  <c r="DQ133" i="54"/>
  <c r="DY133" i="54"/>
  <c r="FM133" i="54"/>
  <c r="FU133" i="54"/>
  <c r="GC133" i="54"/>
  <c r="GK133" i="54"/>
  <c r="GS133" i="54"/>
  <c r="HY133" i="54"/>
  <c r="IO133" i="54"/>
  <c r="IW133" i="54"/>
  <c r="LA133" i="54"/>
  <c r="LI133" i="54"/>
  <c r="MG133" i="54"/>
  <c r="MO133" i="54"/>
  <c r="MW133" i="54"/>
  <c r="GX106" i="54"/>
  <c r="HF106" i="54"/>
  <c r="HN106" i="54"/>
  <c r="IL106" i="54"/>
  <c r="JB106" i="54"/>
  <c r="JJ106" i="54"/>
  <c r="JR106" i="54"/>
  <c r="JZ106" i="54"/>
  <c r="KH106" i="54"/>
  <c r="LF106" i="54"/>
  <c r="LN106" i="54"/>
  <c r="LV106" i="54"/>
  <c r="MD106" i="54"/>
  <c r="ML106" i="54"/>
  <c r="MT106" i="54"/>
  <c r="NZ106" i="54"/>
  <c r="OP106" i="54"/>
  <c r="PF106" i="54"/>
  <c r="PV106" i="54"/>
  <c r="QL106" i="54"/>
  <c r="RB106" i="54"/>
  <c r="RR106" i="54"/>
  <c r="SH106" i="54"/>
  <c r="SX106" i="54"/>
  <c r="TN106" i="54"/>
  <c r="UD106" i="54"/>
  <c r="UT106" i="54"/>
  <c r="VJ106" i="54"/>
  <c r="DG106" i="54"/>
  <c r="DO106" i="54"/>
  <c r="FK106" i="54"/>
  <c r="FS106" i="54"/>
  <c r="GA106" i="54"/>
  <c r="HW106" i="54"/>
  <c r="IE106" i="54"/>
  <c r="IM106" i="54"/>
  <c r="JC106" i="54"/>
  <c r="JK106" i="54"/>
  <c r="JS106" i="54"/>
  <c r="KA106" i="54"/>
  <c r="LG106" i="54"/>
  <c r="LO106" i="54"/>
  <c r="LW106" i="54"/>
  <c r="ME106" i="54"/>
  <c r="MM106" i="54"/>
  <c r="MU106" i="54"/>
  <c r="NS106" i="54"/>
  <c r="OA106" i="54"/>
  <c r="OI106" i="54"/>
  <c r="OQ106" i="54"/>
  <c r="OY106" i="54"/>
  <c r="PG106" i="54"/>
  <c r="PO106" i="54"/>
  <c r="PW106" i="54"/>
  <c r="QE106" i="54"/>
  <c r="QM106" i="54"/>
  <c r="QU106" i="54"/>
  <c r="RC106" i="54"/>
  <c r="RK106" i="54"/>
  <c r="RS106" i="54"/>
  <c r="SA106" i="54"/>
  <c r="SI106" i="54"/>
  <c r="SQ106" i="54"/>
  <c r="SY106" i="54"/>
  <c r="TG106" i="54"/>
  <c r="TO106" i="54"/>
  <c r="TW106" i="54"/>
  <c r="UE106" i="54"/>
  <c r="UM106" i="54"/>
  <c r="UU106" i="54"/>
  <c r="VC106" i="54"/>
  <c r="VK106" i="54"/>
  <c r="AB133" i="54"/>
  <c r="AJ133" i="54"/>
  <c r="BH133" i="54"/>
  <c r="BP133" i="54"/>
  <c r="LF133" i="54"/>
  <c r="LN133" i="54"/>
  <c r="LV133" i="54"/>
  <c r="MD133" i="54"/>
  <c r="ML133" i="54"/>
  <c r="MT133" i="54"/>
  <c r="AP146" i="54"/>
  <c r="DJ146" i="54"/>
  <c r="HJ146" i="54"/>
  <c r="JN146" i="54"/>
  <c r="TR146" i="54"/>
  <c r="TZ146" i="54"/>
  <c r="AG146" i="54"/>
  <c r="CC146" i="54"/>
  <c r="FM146" i="54"/>
  <c r="HY146" i="54"/>
  <c r="KK146" i="54"/>
  <c r="LI146" i="54"/>
  <c r="LY146" i="54"/>
  <c r="MO146" i="54"/>
  <c r="MW146" i="54"/>
  <c r="PI146" i="54"/>
  <c r="AD133" i="54"/>
  <c r="AL133" i="54"/>
  <c r="BJ133" i="54"/>
  <c r="BR133" i="54"/>
  <c r="L146" i="54"/>
  <c r="T146" i="54"/>
  <c r="AR146" i="54"/>
  <c r="AZ146" i="54"/>
  <c r="BX146" i="54"/>
  <c r="CF146" i="54"/>
  <c r="CN146" i="54"/>
  <c r="EB146" i="54"/>
  <c r="EJ146" i="54"/>
  <c r="ER146" i="54"/>
  <c r="FH146" i="54"/>
  <c r="FP146" i="54"/>
  <c r="GN146" i="54"/>
  <c r="GV146" i="54"/>
  <c r="HD146" i="54"/>
  <c r="IB146" i="54"/>
  <c r="IJ146" i="54"/>
  <c r="IZ146" i="54"/>
  <c r="JH146" i="54"/>
  <c r="JP146" i="54"/>
  <c r="MJ146" i="54"/>
  <c r="QB146" i="54"/>
  <c r="SN146" i="54"/>
  <c r="IN133" i="54"/>
  <c r="NT133" i="54"/>
  <c r="OJ133" i="54"/>
  <c r="OR133" i="54"/>
  <c r="OZ133" i="54"/>
  <c r="PX133" i="54"/>
  <c r="QF133" i="54"/>
  <c r="RL133" i="54"/>
  <c r="TH133" i="54"/>
  <c r="TP133" i="54"/>
  <c r="VD133" i="54"/>
  <c r="U154" i="54"/>
  <c r="Z133" i="54"/>
  <c r="AH133" i="54"/>
  <c r="BF133" i="54"/>
  <c r="BN133" i="54"/>
  <c r="LT133" i="54"/>
  <c r="JG133" i="54"/>
  <c r="H146" i="54"/>
  <c r="X146" i="54"/>
  <c r="AN146" i="54"/>
  <c r="AV146" i="54"/>
  <c r="BD146" i="54"/>
  <c r="CJ146" i="54"/>
  <c r="CZ146" i="54"/>
  <c r="DH146" i="54"/>
  <c r="EF146" i="54"/>
  <c r="EN146" i="54"/>
  <c r="FD146" i="54"/>
  <c r="FL146" i="54"/>
  <c r="FT146" i="54"/>
  <c r="GR146" i="54"/>
  <c r="HH146" i="54"/>
  <c r="HP146" i="54"/>
  <c r="HX146" i="54"/>
  <c r="IF146" i="54"/>
  <c r="IN146" i="54"/>
  <c r="IV146" i="54"/>
  <c r="JD146" i="54"/>
  <c r="JL146" i="54"/>
  <c r="JT146" i="54"/>
  <c r="KB146" i="54"/>
  <c r="KJ146" i="54"/>
  <c r="KR146" i="54"/>
  <c r="LH146" i="54"/>
  <c r="MN146" i="54"/>
  <c r="MV146" i="54"/>
  <c r="ND146" i="54"/>
  <c r="OZ146" i="54"/>
  <c r="PH146" i="54"/>
  <c r="PP146" i="54"/>
  <c r="QF146" i="54"/>
  <c r="RD146" i="54"/>
  <c r="RL146" i="54"/>
  <c r="SJ146" i="54"/>
  <c r="SR146" i="54"/>
  <c r="SZ146" i="54"/>
  <c r="TH146" i="54"/>
  <c r="TP146" i="54"/>
  <c r="TX146" i="54"/>
  <c r="SQ146" i="54"/>
  <c r="RZ133" i="54"/>
  <c r="SH133" i="54"/>
  <c r="SP133" i="54"/>
  <c r="SX133" i="54"/>
  <c r="TF133" i="54"/>
  <c r="TN133" i="54"/>
  <c r="TV133" i="54"/>
  <c r="UD133" i="54"/>
  <c r="UL133" i="54"/>
  <c r="UT133" i="54"/>
  <c r="VB133" i="54"/>
  <c r="VJ133" i="54"/>
  <c r="NP133" i="54"/>
  <c r="OV133" i="54"/>
  <c r="PD133" i="54"/>
  <c r="PT133" i="54"/>
  <c r="RH133" i="54"/>
  <c r="RP133" i="54"/>
  <c r="SV133" i="54"/>
  <c r="UR133" i="54"/>
  <c r="G154" i="54"/>
  <c r="W154" i="54"/>
  <c r="AE154" i="54"/>
  <c r="AM154" i="54"/>
  <c r="AU154" i="54"/>
  <c r="CA154" i="54"/>
  <c r="CI154" i="54"/>
  <c r="CY154" i="54"/>
  <c r="DG154" i="54"/>
  <c r="DO154" i="54"/>
  <c r="EE154" i="54"/>
  <c r="EU154" i="54"/>
  <c r="FC154" i="54"/>
  <c r="FK154" i="54"/>
  <c r="FS154" i="54"/>
  <c r="GA154" i="54"/>
  <c r="GY154" i="54"/>
  <c r="HG154" i="54"/>
  <c r="HW154" i="54"/>
  <c r="IE154" i="54"/>
  <c r="IM154" i="54"/>
  <c r="JS154" i="54"/>
  <c r="KA154" i="54"/>
  <c r="KI154" i="54"/>
  <c r="KQ154" i="54"/>
  <c r="KY154" i="54"/>
  <c r="LO154" i="54"/>
  <c r="LW154" i="54"/>
  <c r="ME154" i="54"/>
  <c r="MM154" i="54"/>
  <c r="MU154" i="54"/>
  <c r="OA154" i="54"/>
  <c r="ET146" i="54"/>
  <c r="FB146" i="54"/>
  <c r="FJ146" i="54"/>
  <c r="FR146" i="54"/>
  <c r="FZ146" i="54"/>
  <c r="GH146" i="54"/>
  <c r="GP146" i="54"/>
  <c r="GX146" i="54"/>
  <c r="HF146" i="54"/>
  <c r="HN146" i="54"/>
  <c r="HV146" i="54"/>
  <c r="ID146" i="54"/>
  <c r="IL146" i="54"/>
  <c r="IT146" i="54"/>
  <c r="JB146" i="54"/>
  <c r="JJ146" i="54"/>
  <c r="JR146" i="54"/>
  <c r="JZ146" i="54"/>
  <c r="KH146" i="54"/>
  <c r="KP146" i="54"/>
  <c r="KX146" i="54"/>
  <c r="LF146" i="54"/>
  <c r="LN146" i="54"/>
  <c r="LV146" i="54"/>
  <c r="MD146" i="54"/>
  <c r="ML146" i="54"/>
  <c r="MT146" i="54"/>
  <c r="NB146" i="54"/>
  <c r="NJ146" i="54"/>
  <c r="OH146" i="54"/>
  <c r="OP146" i="54"/>
  <c r="OX146" i="54"/>
  <c r="PF146" i="54"/>
  <c r="PN146" i="54"/>
  <c r="PV146" i="54"/>
  <c r="QD146" i="54"/>
  <c r="QL146" i="54"/>
  <c r="QT146" i="54"/>
  <c r="RB146" i="54"/>
  <c r="RJ146" i="54"/>
  <c r="QG154" i="54"/>
  <c r="SK154" i="54"/>
  <c r="UO154" i="54"/>
  <c r="R154" i="54"/>
  <c r="Z154" i="54"/>
  <c r="CD154" i="54"/>
  <c r="CL154" i="54"/>
  <c r="EP154" i="54"/>
  <c r="EX154" i="54"/>
  <c r="HB154" i="54"/>
  <c r="HJ154" i="54"/>
  <c r="JV154" i="54"/>
  <c r="LZ154" i="54"/>
  <c r="MH154" i="54"/>
  <c r="QH154" i="54"/>
  <c r="RN154" i="54"/>
  <c r="ST154" i="54"/>
  <c r="TZ154" i="54"/>
  <c r="HR180" i="54"/>
  <c r="KD180" i="54"/>
  <c r="MP180" i="54"/>
  <c r="PB180" i="54"/>
  <c r="RN180" i="54"/>
  <c r="EJ154" i="54"/>
  <c r="GF154" i="54"/>
  <c r="IJ154" i="54"/>
  <c r="IR154" i="54"/>
  <c r="KV154" i="54"/>
  <c r="OF154" i="54"/>
  <c r="EC154" i="54"/>
  <c r="GG154" i="54"/>
  <c r="SG154" i="54"/>
  <c r="JX146" i="54"/>
  <c r="KF146" i="54"/>
  <c r="KN146" i="54"/>
  <c r="KV146" i="54"/>
  <c r="LD146" i="54"/>
  <c r="LL146" i="54"/>
  <c r="LT146" i="54"/>
  <c r="MB146" i="54"/>
  <c r="ON146" i="54"/>
  <c r="QJ146" i="54"/>
  <c r="QR146" i="54"/>
  <c r="QZ146" i="54"/>
  <c r="TD146" i="54"/>
  <c r="TL146" i="54"/>
  <c r="OY154" i="54"/>
  <c r="PG154" i="54"/>
  <c r="PO154" i="54"/>
  <c r="PW154" i="54"/>
  <c r="QE154" i="54"/>
  <c r="QM154" i="54"/>
  <c r="QU154" i="54"/>
  <c r="RC154" i="54"/>
  <c r="RK154" i="54"/>
  <c r="RS154" i="54"/>
  <c r="SA154" i="54"/>
  <c r="SI154" i="54"/>
  <c r="SQ154" i="54"/>
  <c r="SY154" i="54"/>
  <c r="TG154" i="54"/>
  <c r="TO154" i="54"/>
  <c r="TW154" i="54"/>
  <c r="UE154" i="54"/>
  <c r="UM154" i="54"/>
  <c r="I180" i="54"/>
  <c r="Q180" i="54"/>
  <c r="Y180" i="54"/>
  <c r="AG180" i="54"/>
  <c r="AO180" i="54"/>
  <c r="AW180" i="54"/>
  <c r="BE180" i="54"/>
  <c r="BM180" i="54"/>
  <c r="BU180" i="54"/>
  <c r="CC180" i="54"/>
  <c r="CK180" i="54"/>
  <c r="CS180" i="54"/>
  <c r="DA180" i="54"/>
  <c r="DI180" i="54"/>
  <c r="DQ180" i="54"/>
  <c r="DY180" i="54"/>
  <c r="EG180" i="54"/>
  <c r="EO180" i="54"/>
  <c r="EW180" i="54"/>
  <c r="FE180" i="54"/>
  <c r="FM180" i="54"/>
  <c r="FU180" i="54"/>
  <c r="GC180" i="54"/>
  <c r="GK180" i="54"/>
  <c r="GS180" i="54"/>
  <c r="HA180" i="54"/>
  <c r="HI180" i="54"/>
  <c r="HY180" i="54"/>
  <c r="IO180" i="54"/>
  <c r="JE180" i="54"/>
  <c r="JM180" i="54"/>
  <c r="JU180" i="54"/>
  <c r="KK180" i="54"/>
  <c r="LA180" i="54"/>
  <c r="LQ180" i="54"/>
  <c r="LY180" i="54"/>
  <c r="MG180" i="54"/>
  <c r="MW180" i="54"/>
  <c r="NM180" i="54"/>
  <c r="OC180" i="54"/>
  <c r="OK180" i="54"/>
  <c r="OS180" i="54"/>
  <c r="PI180" i="54"/>
  <c r="PY180" i="54"/>
  <c r="QO180" i="54"/>
  <c r="QW180" i="54"/>
  <c r="RE180" i="54"/>
  <c r="RU180" i="54"/>
  <c r="J66" i="48"/>
  <c r="J75" i="46" s="1"/>
  <c r="J137" i="46" s="1"/>
  <c r="G61" i="48"/>
  <c r="G70" i="46" s="1"/>
  <c r="P62" i="48"/>
  <c r="P71" i="46" s="1"/>
  <c r="P256" i="46" s="1"/>
  <c r="N64" i="48"/>
  <c r="N73" i="46" s="1"/>
  <c r="L66" i="48"/>
  <c r="L75" i="46" s="1"/>
  <c r="P68" i="48"/>
  <c r="P77" i="46" s="1"/>
  <c r="P139" i="46" s="1"/>
  <c r="N72" i="48"/>
  <c r="N81" i="46" s="1"/>
  <c r="L74" i="48"/>
  <c r="L83" i="46" s="1"/>
  <c r="J76" i="48"/>
  <c r="J85" i="46" s="1"/>
  <c r="F80" i="48"/>
  <c r="F89" i="46" s="1"/>
  <c r="D82" i="48"/>
  <c r="D91" i="46" s="1"/>
  <c r="S83" i="48"/>
  <c r="S92" i="46" s="1"/>
  <c r="O87" i="48"/>
  <c r="O96" i="46" s="1"/>
  <c r="O158" i="46" s="1"/>
  <c r="I61" i="48"/>
  <c r="I70" i="46" s="1"/>
  <c r="E63" i="48"/>
  <c r="E72" i="46" s="1"/>
  <c r="R66" i="48"/>
  <c r="R75" i="46" s="1"/>
  <c r="G69" i="48"/>
  <c r="G78" i="46" s="1"/>
  <c r="G140" i="46" s="1"/>
  <c r="E71" i="48"/>
  <c r="E80" i="46" s="1"/>
  <c r="E142" i="46" s="1"/>
  <c r="C73" i="48"/>
  <c r="C82" i="46" s="1"/>
  <c r="R74" i="48"/>
  <c r="R83" i="46" s="1"/>
  <c r="P76" i="48"/>
  <c r="P85" i="46" s="1"/>
  <c r="L80" i="48"/>
  <c r="L89" i="46" s="1"/>
  <c r="L151" i="46" s="1"/>
  <c r="J82" i="48"/>
  <c r="J91" i="46" s="1"/>
  <c r="H84" i="48"/>
  <c r="H93" i="46" s="1"/>
  <c r="H155" i="46" s="1"/>
  <c r="F86" i="48"/>
  <c r="F95" i="46" s="1"/>
  <c r="C115" i="48"/>
  <c r="O61" i="48"/>
  <c r="O70" i="46" s="1"/>
  <c r="I69" i="48"/>
  <c r="I78" i="46" s="1"/>
  <c r="G71" i="48"/>
  <c r="G80" i="46" s="1"/>
  <c r="L82" i="48"/>
  <c r="L91" i="46" s="1"/>
  <c r="H86" i="48"/>
  <c r="H95" i="46" s="1"/>
  <c r="E115" i="48"/>
  <c r="RH154" i="54"/>
  <c r="RP154" i="54"/>
  <c r="RX154" i="54"/>
  <c r="SF154" i="54"/>
  <c r="SN154" i="54"/>
  <c r="SV154" i="54"/>
  <c r="TD154" i="54"/>
  <c r="TL154" i="54"/>
  <c r="TT154" i="54"/>
  <c r="UB154" i="54"/>
  <c r="UJ154" i="54"/>
  <c r="UR154" i="54"/>
  <c r="HM180" i="54"/>
  <c r="HU180" i="54"/>
  <c r="JA180" i="54"/>
  <c r="JY180" i="54"/>
  <c r="KG180" i="54"/>
  <c r="LM180" i="54"/>
  <c r="MK180" i="54"/>
  <c r="MS180" i="54"/>
  <c r="NY180" i="54"/>
  <c r="OW180" i="54"/>
  <c r="PE180" i="54"/>
  <c r="QK180" i="54"/>
  <c r="RI180" i="54"/>
  <c r="RQ180" i="54"/>
  <c r="TU180" i="54"/>
  <c r="Q61" i="48"/>
  <c r="Q70" i="46" s="1"/>
  <c r="M63" i="48"/>
  <c r="M72" i="46" s="1"/>
  <c r="O69" i="48"/>
  <c r="O78" i="46" s="1"/>
  <c r="O140" i="46" s="1"/>
  <c r="M71" i="48"/>
  <c r="M80" i="46" s="1"/>
  <c r="K73" i="48"/>
  <c r="K82" i="46" s="1"/>
  <c r="I75" i="48"/>
  <c r="I84" i="46" s="1"/>
  <c r="E79" i="48"/>
  <c r="E88" i="46" s="1"/>
  <c r="C81" i="48"/>
  <c r="C90" i="46" s="1"/>
  <c r="R82" i="48"/>
  <c r="R91" i="46" s="1"/>
  <c r="P84" i="48"/>
  <c r="P93" i="46" s="1"/>
  <c r="N86" i="48"/>
  <c r="N95" i="46" s="1"/>
  <c r="K115" i="48"/>
  <c r="HV180" i="54"/>
  <c r="KH180" i="54"/>
  <c r="MT180" i="54"/>
  <c r="PF180" i="54"/>
  <c r="RR180" i="54"/>
  <c r="UD180" i="54"/>
  <c r="O63" i="48"/>
  <c r="O72" i="46" s="1"/>
  <c r="Q69" i="48"/>
  <c r="Q78" i="46" s="1"/>
  <c r="O71" i="48"/>
  <c r="O80" i="46" s="1"/>
  <c r="K75" i="48"/>
  <c r="K84" i="46" s="1"/>
  <c r="G79" i="48"/>
  <c r="G88" i="46" s="1"/>
  <c r="E81" i="48"/>
  <c r="E90" i="46" s="1"/>
  <c r="C83" i="48"/>
  <c r="C92" i="46" s="1"/>
  <c r="R84" i="48"/>
  <c r="R93" i="46" s="1"/>
  <c r="R155" i="46" s="1"/>
  <c r="P86" i="48"/>
  <c r="P95" i="46" s="1"/>
  <c r="M115" i="48"/>
  <c r="UO180" i="54"/>
  <c r="F62" i="48"/>
  <c r="F71" i="46" s="1"/>
  <c r="F133" i="46" s="1"/>
  <c r="D64" i="48"/>
  <c r="D73" i="46" s="1"/>
  <c r="Q67" i="48"/>
  <c r="Q76" i="46" s="1"/>
  <c r="F70" i="48"/>
  <c r="F79" i="46" s="1"/>
  <c r="F141" i="46" s="1"/>
  <c r="D72" i="48"/>
  <c r="D81" i="46" s="1"/>
  <c r="S73" i="48"/>
  <c r="S82" i="46" s="1"/>
  <c r="Q75" i="48"/>
  <c r="Q84" i="46" s="1"/>
  <c r="O77" i="48"/>
  <c r="O86" i="46" s="1"/>
  <c r="M79" i="48"/>
  <c r="M88" i="46" s="1"/>
  <c r="K81" i="48"/>
  <c r="K90" i="46" s="1"/>
  <c r="I83" i="48"/>
  <c r="I92" i="46" s="1"/>
  <c r="G85" i="48"/>
  <c r="G94" i="46" s="1"/>
  <c r="E87" i="48"/>
  <c r="E96" i="46" s="1"/>
  <c r="E158" i="46" s="1"/>
  <c r="TR180" i="54"/>
  <c r="UP180" i="54"/>
  <c r="UX180" i="54"/>
  <c r="P60" i="48"/>
  <c r="P69" i="46" s="1"/>
  <c r="H62" i="48"/>
  <c r="H71" i="46" s="1"/>
  <c r="F64" i="48"/>
  <c r="F73" i="46" s="1"/>
  <c r="D66" i="48"/>
  <c r="D75" i="46" s="1"/>
  <c r="S67" i="48"/>
  <c r="S76" i="46" s="1"/>
  <c r="H70" i="48"/>
  <c r="H79" i="46" s="1"/>
  <c r="F72" i="48"/>
  <c r="F81" i="46" s="1"/>
  <c r="D74" i="48"/>
  <c r="D83" i="46" s="1"/>
  <c r="S75" i="48"/>
  <c r="S84" i="46" s="1"/>
  <c r="Q77" i="48"/>
  <c r="Q86" i="46" s="1"/>
  <c r="O79" i="48"/>
  <c r="O88" i="46" s="1"/>
  <c r="M81" i="48"/>
  <c r="M90" i="46" s="1"/>
  <c r="K83" i="48"/>
  <c r="K92" i="46" s="1"/>
  <c r="I85" i="48"/>
  <c r="I94" i="46" s="1"/>
  <c r="G87" i="48"/>
  <c r="G96" i="46" s="1"/>
  <c r="M183" i="9"/>
  <c r="M41" i="9"/>
  <c r="E49" i="9"/>
  <c r="I49" i="9"/>
  <c r="M329" i="9"/>
  <c r="M47" i="9"/>
  <c r="G60" i="9"/>
  <c r="M104" i="9"/>
  <c r="M140" i="9"/>
  <c r="N172" i="9"/>
  <c r="I191" i="9"/>
  <c r="I207" i="9"/>
  <c r="K227" i="9"/>
  <c r="K323" i="9"/>
  <c r="N123" i="9"/>
  <c r="L123" i="9"/>
  <c r="E60" i="9"/>
  <c r="K85" i="9"/>
  <c r="M118" i="9"/>
  <c r="K123" i="9"/>
  <c r="M202" i="9"/>
  <c r="K237" i="9"/>
  <c r="K239" i="9" s="1"/>
  <c r="I27" i="9"/>
  <c r="K25" i="9"/>
  <c r="N41" i="9"/>
  <c r="L41" i="9"/>
  <c r="K115" i="9"/>
  <c r="E142" i="9"/>
  <c r="G158" i="9"/>
  <c r="E169" i="9"/>
  <c r="N299" i="9"/>
  <c r="M44" i="9"/>
  <c r="E93" i="9"/>
  <c r="K112" i="9"/>
  <c r="G142" i="9"/>
  <c r="K137" i="9"/>
  <c r="M150" i="9"/>
  <c r="K216" i="9"/>
  <c r="N296" i="9"/>
  <c r="F304" i="9"/>
  <c r="F49" i="9"/>
  <c r="K58" i="9"/>
  <c r="I71" i="9"/>
  <c r="G191" i="9"/>
  <c r="Q23" i="26"/>
  <c r="S23" i="26" s="1"/>
  <c r="K265" i="9"/>
  <c r="G342" i="9"/>
  <c r="M22" i="9"/>
  <c r="H49" i="9"/>
  <c r="I60" i="9"/>
  <c r="M77" i="9"/>
  <c r="K101" i="9"/>
  <c r="E120" i="9"/>
  <c r="K126" i="9"/>
  <c r="M153" i="9"/>
  <c r="K153" i="9"/>
  <c r="L172" i="9"/>
  <c r="H180" i="9"/>
  <c r="K186" i="9"/>
  <c r="E207" i="9"/>
  <c r="I229" i="9"/>
  <c r="L304" i="9"/>
  <c r="I342" i="9"/>
  <c r="M85" i="9"/>
  <c r="L175" i="9"/>
  <c r="K44" i="9"/>
  <c r="K47" i="9"/>
  <c r="K52" i="9"/>
  <c r="M63" i="9"/>
  <c r="K63" i="9"/>
  <c r="K69" i="9"/>
  <c r="I93" i="9"/>
  <c r="M123" i="9"/>
  <c r="K129" i="9"/>
  <c r="E158" i="9"/>
  <c r="G180" i="9"/>
  <c r="M175" i="9"/>
  <c r="K175" i="9"/>
  <c r="K178" i="9"/>
  <c r="K189" i="9"/>
  <c r="G207" i="9"/>
  <c r="E218" i="9"/>
  <c r="M237" i="9"/>
  <c r="M239" i="9" s="1"/>
  <c r="Q16" i="26" s="1"/>
  <c r="S16" i="26" s="1"/>
  <c r="K260" i="9"/>
  <c r="K262" i="9" s="1"/>
  <c r="M265" i="9"/>
  <c r="Q25" i="26" s="1"/>
  <c r="S25" i="26" s="1"/>
  <c r="K280" i="9"/>
  <c r="M326" i="9"/>
  <c r="K329" i="9"/>
  <c r="M340" i="9"/>
  <c r="M107" i="9"/>
  <c r="M134" i="9"/>
  <c r="M80" i="9"/>
  <c r="E27" i="9"/>
  <c r="G71" i="9"/>
  <c r="K74" i="9"/>
  <c r="K77" i="9"/>
  <c r="M101" i="9"/>
  <c r="G109" i="9"/>
  <c r="I109" i="9"/>
  <c r="E109" i="9"/>
  <c r="K140" i="9"/>
  <c r="M189" i="9"/>
  <c r="M255" i="9"/>
  <c r="M257" i="9" s="1"/>
  <c r="Q19" i="26" s="1"/>
  <c r="S19" i="26" s="1"/>
  <c r="K285" i="9"/>
  <c r="E342" i="9"/>
  <c r="G27" i="9"/>
  <c r="E38" i="9"/>
  <c r="K41" i="9"/>
  <c r="J49" i="9"/>
  <c r="K66" i="9"/>
  <c r="K88" i="9"/>
  <c r="M91" i="9"/>
  <c r="M112" i="9"/>
  <c r="N126" i="9"/>
  <c r="L126" i="9"/>
  <c r="I158" i="9"/>
  <c r="K156" i="9"/>
  <c r="K167" i="9"/>
  <c r="K202" i="9"/>
  <c r="M205" i="9"/>
  <c r="M216" i="9"/>
  <c r="G229" i="9"/>
  <c r="M227" i="9"/>
  <c r="K275" i="9"/>
  <c r="K277" i="9" s="1"/>
  <c r="M275" i="9"/>
  <c r="M277" i="9" s="1"/>
  <c r="Q37" i="26" s="1"/>
  <c r="S37" i="26" s="1"/>
  <c r="K22" i="9"/>
  <c r="M25" i="9"/>
  <c r="G49" i="9"/>
  <c r="L44" i="9"/>
  <c r="M74" i="9"/>
  <c r="K118" i="9"/>
  <c r="M137" i="9"/>
  <c r="E191" i="9"/>
  <c r="K224" i="9"/>
  <c r="K255" i="9"/>
  <c r="K257" i="9" s="1"/>
  <c r="H304" i="9"/>
  <c r="K334" i="9"/>
  <c r="K340" i="9"/>
  <c r="J180" i="9"/>
  <c r="M224" i="9"/>
  <c r="M270" i="9"/>
  <c r="Q27" i="26" s="1"/>
  <c r="S27" i="26" s="1"/>
  <c r="L274" i="46"/>
  <c r="F124" i="46"/>
  <c r="N124" i="46"/>
  <c r="E124" i="46"/>
  <c r="C285" i="46"/>
  <c r="G285" i="46"/>
  <c r="K285" i="46"/>
  <c r="O285" i="46"/>
  <c r="S285" i="46"/>
  <c r="F286" i="46"/>
  <c r="J286" i="46"/>
  <c r="N286" i="46"/>
  <c r="R286" i="46"/>
  <c r="E287" i="46"/>
  <c r="I287" i="46"/>
  <c r="M287" i="46"/>
  <c r="Q287" i="46"/>
  <c r="D288" i="46"/>
  <c r="H288" i="46"/>
  <c r="L288" i="46"/>
  <c r="P288" i="46"/>
  <c r="C290" i="46"/>
  <c r="G290" i="46"/>
  <c r="K290" i="46"/>
  <c r="O290" i="46"/>
  <c r="S290" i="46"/>
  <c r="F291" i="46"/>
  <c r="J291" i="46"/>
  <c r="N291" i="46"/>
  <c r="R291" i="46"/>
  <c r="E292" i="46"/>
  <c r="I292" i="46"/>
  <c r="M292" i="46"/>
  <c r="Q292" i="46"/>
  <c r="D293" i="46"/>
  <c r="H293" i="46"/>
  <c r="L293" i="46"/>
  <c r="P293" i="46"/>
  <c r="C294" i="46"/>
  <c r="G294" i="46"/>
  <c r="K294" i="46"/>
  <c r="O294" i="46"/>
  <c r="S294" i="46"/>
  <c r="F295" i="46"/>
  <c r="J295" i="46"/>
  <c r="N295" i="46"/>
  <c r="R295" i="46"/>
  <c r="E296" i="46"/>
  <c r="I296" i="46"/>
  <c r="M296" i="46"/>
  <c r="Q296" i="46"/>
  <c r="D298" i="46"/>
  <c r="H298" i="46"/>
  <c r="L298" i="46"/>
  <c r="P298" i="46"/>
  <c r="C300" i="46"/>
  <c r="G300" i="46"/>
  <c r="K300" i="46"/>
  <c r="O300" i="46"/>
  <c r="S300" i="46"/>
  <c r="F302" i="46"/>
  <c r="J302" i="46"/>
  <c r="N302" i="46"/>
  <c r="R302" i="46"/>
  <c r="E304" i="46"/>
  <c r="I304" i="46"/>
  <c r="M304" i="46"/>
  <c r="Q304" i="46"/>
  <c r="D305" i="46"/>
  <c r="H305" i="46"/>
  <c r="L305" i="46"/>
  <c r="P305" i="46"/>
  <c r="C306" i="46"/>
  <c r="G306" i="46"/>
  <c r="K306" i="46"/>
  <c r="O306" i="46"/>
  <c r="S306" i="46"/>
  <c r="F307" i="46"/>
  <c r="J307" i="46"/>
  <c r="N307" i="46"/>
  <c r="R307" i="46"/>
  <c r="E308" i="46"/>
  <c r="I308" i="46"/>
  <c r="M308" i="46"/>
  <c r="Q308" i="46"/>
  <c r="Z27" i="32"/>
  <c r="D7" i="30"/>
  <c r="I7" i="30" s="1"/>
  <c r="D13" i="30"/>
  <c r="M13" i="30" s="1"/>
  <c r="D15" i="30"/>
  <c r="I11" i="30"/>
  <c r="G59" i="30"/>
  <c r="G60" i="30" s="1"/>
  <c r="G61" i="30" s="1"/>
  <c r="G62" i="30" s="1"/>
  <c r="G63" i="30" s="1"/>
  <c r="G64" i="30" s="1"/>
  <c r="G65" i="30" s="1"/>
  <c r="G66" i="30" s="1"/>
  <c r="G67" i="30" s="1"/>
  <c r="G68" i="30" s="1"/>
  <c r="G69" i="30" s="1"/>
  <c r="G70" i="30" s="1"/>
  <c r="G71" i="30" s="1"/>
  <c r="G72" i="30" s="1"/>
  <c r="G73" i="30" s="1"/>
  <c r="G74" i="30" s="1"/>
  <c r="G75" i="30" s="1"/>
  <c r="G76" i="30" s="1"/>
  <c r="G77" i="30" s="1"/>
  <c r="G78" i="30" s="1"/>
  <c r="G79" i="30" s="1"/>
  <c r="G80" i="30" s="1"/>
  <c r="G81" i="30" s="1"/>
  <c r="G82" i="30" s="1"/>
  <c r="P124" i="46"/>
  <c r="K171" i="46"/>
  <c r="M124" i="46"/>
  <c r="H423" i="3"/>
  <c r="D207" i="44"/>
  <c r="D225" i="44"/>
  <c r="D229" i="44"/>
  <c r="D156" i="44"/>
  <c r="D160" i="44"/>
  <c r="D118" i="44"/>
  <c r="D60" i="44"/>
  <c r="D64" i="44"/>
  <c r="D87" i="44"/>
  <c r="D147" i="44"/>
  <c r="D163" i="44"/>
  <c r="D189" i="44"/>
  <c r="D202" i="44"/>
  <c r="D30" i="44"/>
  <c r="D51" i="44"/>
  <c r="D69" i="44"/>
  <c r="D110" i="44"/>
  <c r="D43" i="44"/>
  <c r="D79" i="44"/>
  <c r="D125" i="44"/>
  <c r="D131" i="44"/>
  <c r="D132" i="44"/>
  <c r="D135" i="44"/>
  <c r="D197" i="44"/>
  <c r="D216" i="44"/>
  <c r="D220" i="44"/>
  <c r="H63" i="46"/>
  <c r="D20" i="44"/>
  <c r="D23" i="44"/>
  <c r="D59" i="44"/>
  <c r="D103" i="44"/>
  <c r="D155" i="44"/>
  <c r="D187" i="44"/>
  <c r="D215" i="44"/>
  <c r="D223" i="44"/>
  <c r="D12" i="44"/>
  <c r="D16" i="44"/>
  <c r="D95" i="44"/>
  <c r="D134" i="44"/>
  <c r="D146" i="44"/>
  <c r="R163" i="46"/>
  <c r="D32" i="44"/>
  <c r="D89" i="44"/>
  <c r="D93" i="44"/>
  <c r="D179" i="44"/>
  <c r="D183" i="44"/>
  <c r="D22" i="44"/>
  <c r="D26" i="44"/>
  <c r="D80" i="44"/>
  <c r="D84" i="44"/>
  <c r="D171" i="44"/>
  <c r="D177" i="44"/>
  <c r="D191" i="44"/>
  <c r="D195" i="44"/>
  <c r="D241" i="44"/>
  <c r="D244" i="44"/>
  <c r="D70" i="44"/>
  <c r="D165" i="44"/>
  <c r="D231" i="44"/>
  <c r="H407" i="3"/>
  <c r="H411" i="3"/>
  <c r="P391" i="3"/>
  <c r="P392" i="3"/>
  <c r="H416" i="3"/>
  <c r="H422" i="3"/>
  <c r="H389" i="3"/>
  <c r="H408" i="3"/>
  <c r="H410" i="3"/>
  <c r="H402" i="3"/>
  <c r="H403" i="3"/>
  <c r="H404" i="3"/>
  <c r="I46" i="39"/>
  <c r="H421" i="3"/>
  <c r="J32" i="39"/>
  <c r="X31" i="41" s="1"/>
  <c r="J34" i="39"/>
  <c r="X33" i="41" s="1"/>
  <c r="J16" i="39"/>
  <c r="X16" i="41" s="1"/>
  <c r="J20" i="39"/>
  <c r="X20" i="41" s="1"/>
  <c r="P348" i="3"/>
  <c r="H391" i="3"/>
  <c r="P397" i="3"/>
  <c r="I23" i="3"/>
  <c r="I31" i="3"/>
  <c r="I38" i="3"/>
  <c r="J21" i="39"/>
  <c r="X21" i="41" s="1"/>
  <c r="J27" i="39"/>
  <c r="X26" i="41" s="1"/>
  <c r="I32" i="3"/>
  <c r="P343" i="3"/>
  <c r="P351" i="3"/>
  <c r="P388" i="3"/>
  <c r="H393" i="3"/>
  <c r="P398" i="3"/>
  <c r="I24" i="3"/>
  <c r="I33" i="3"/>
  <c r="P394" i="3"/>
  <c r="I34" i="3"/>
  <c r="P395" i="3"/>
  <c r="J31" i="39"/>
  <c r="X30" i="41" s="1"/>
  <c r="I25" i="3"/>
  <c r="I27" i="3"/>
  <c r="I35" i="3"/>
  <c r="P346" i="3"/>
  <c r="P352" i="3"/>
  <c r="P389" i="3"/>
  <c r="H396" i="3"/>
  <c r="J17" i="39"/>
  <c r="X17" i="41" s="1"/>
  <c r="I28" i="3"/>
  <c r="Q87" i="3"/>
  <c r="H365" i="3"/>
  <c r="P390" i="3"/>
  <c r="H397" i="3"/>
  <c r="H406" i="3"/>
  <c r="H418" i="3"/>
  <c r="J18" i="39"/>
  <c r="X18" i="41" s="1"/>
  <c r="J12" i="39"/>
  <c r="X12" i="41" s="1"/>
  <c r="J11" i="39"/>
  <c r="X11" i="41" s="1"/>
  <c r="J22" i="39"/>
  <c r="X22" i="41" s="1"/>
  <c r="J23" i="39"/>
  <c r="J48" i="39"/>
  <c r="X47" i="41" s="1"/>
  <c r="J28" i="39"/>
  <c r="X27" i="41" s="1"/>
  <c r="J39" i="39"/>
  <c r="X38" i="41" s="1"/>
  <c r="J54" i="39"/>
  <c r="X53" i="41" s="1"/>
  <c r="J13" i="39"/>
  <c r="X13" i="41" s="1"/>
  <c r="J26" i="39"/>
  <c r="X25" i="41" s="1"/>
  <c r="J10" i="39"/>
  <c r="X10" i="41" s="1"/>
  <c r="J19" i="39"/>
  <c r="X19" i="41" s="1"/>
  <c r="J45" i="39"/>
  <c r="X44" i="41" s="1"/>
  <c r="P408" i="3"/>
  <c r="P412" i="3"/>
  <c r="P404" i="3"/>
  <c r="P409" i="3"/>
  <c r="P403" i="3"/>
  <c r="P405" i="3"/>
  <c r="P410" i="3"/>
  <c r="P406" i="3"/>
  <c r="P402" i="3"/>
  <c r="P411" i="3"/>
  <c r="P407" i="3"/>
  <c r="H344" i="3"/>
  <c r="P338" i="3"/>
  <c r="P328" i="3"/>
  <c r="P329" i="3"/>
  <c r="P331" i="3"/>
  <c r="P336" i="3"/>
  <c r="P334" i="3"/>
  <c r="H350" i="3"/>
  <c r="H346" i="3"/>
  <c r="H342" i="3"/>
  <c r="H352" i="3"/>
  <c r="H348" i="3"/>
  <c r="H356" i="3"/>
  <c r="H357" i="3"/>
  <c r="H358" i="3"/>
  <c r="H360" i="3"/>
  <c r="H361" i="3"/>
  <c r="H363" i="3"/>
  <c r="H364" i="3"/>
  <c r="H336" i="3"/>
  <c r="H328" i="3"/>
  <c r="H330" i="3"/>
  <c r="H338" i="3"/>
  <c r="H332" i="3"/>
  <c r="H334" i="3"/>
  <c r="P337" i="3"/>
  <c r="P332" i="3"/>
  <c r="P333" i="3"/>
  <c r="P335" i="3"/>
  <c r="I36" i="39"/>
  <c r="J36" i="39" s="1"/>
  <c r="X35" i="41" s="1"/>
  <c r="N50" i="32"/>
  <c r="Z50" i="32"/>
  <c r="E25" i="39"/>
  <c r="F25" i="39"/>
  <c r="I25" i="39"/>
  <c r="H25" i="39"/>
  <c r="G25" i="39"/>
  <c r="E29" i="39"/>
  <c r="H29" i="39"/>
  <c r="G29" i="39"/>
  <c r="F29" i="39"/>
  <c r="I29" i="39"/>
  <c r="I17" i="3"/>
  <c r="H359" i="3"/>
  <c r="H366" i="3"/>
  <c r="H395" i="3"/>
  <c r="H405" i="3"/>
  <c r="H409" i="3"/>
  <c r="H425" i="3"/>
  <c r="F33" i="39"/>
  <c r="J17" i="3"/>
  <c r="AA75" i="3"/>
  <c r="K87" i="3"/>
  <c r="H390" i="3"/>
  <c r="D10" i="44"/>
  <c r="D14" i="44"/>
  <c r="D15" i="44"/>
  <c r="D24" i="44"/>
  <c r="D34" i="44"/>
  <c r="D42" i="44"/>
  <c r="D88" i="44"/>
  <c r="D92" i="44"/>
  <c r="D97" i="44"/>
  <c r="D101" i="44"/>
  <c r="D105" i="44"/>
  <c r="D109" i="44"/>
  <c r="D127" i="44"/>
  <c r="D136" i="44"/>
  <c r="D164" i="44"/>
  <c r="D168" i="44"/>
  <c r="D173" i="44"/>
  <c r="D181" i="44"/>
  <c r="D186" i="44"/>
  <c r="D193" i="44"/>
  <c r="D224" i="44"/>
  <c r="D228" i="44"/>
  <c r="D233" i="44"/>
  <c r="D237" i="44"/>
  <c r="D243" i="44"/>
  <c r="D247" i="44"/>
  <c r="G33" i="39"/>
  <c r="D24" i="42"/>
  <c r="AB17" i="41"/>
  <c r="M52" i="9"/>
  <c r="M69" i="9"/>
  <c r="K80" i="9"/>
  <c r="M129" i="9"/>
  <c r="M178" i="9"/>
  <c r="M260" i="9"/>
  <c r="M262" i="9" s="1"/>
  <c r="Q29" i="26" s="1"/>
  <c r="S29" i="26" s="1"/>
  <c r="M334" i="9"/>
  <c r="N67" i="79"/>
  <c r="M16" i="79" s="1"/>
  <c r="L201" i="79"/>
  <c r="K25" i="79" s="1"/>
  <c r="N27" i="32"/>
  <c r="N32" i="32" s="1"/>
  <c r="D18" i="44"/>
  <c r="D28" i="44"/>
  <c r="D33" i="44"/>
  <c r="D39" i="44"/>
  <c r="D50" i="44"/>
  <c r="D96" i="44"/>
  <c r="D100" i="44"/>
  <c r="D106" i="44"/>
  <c r="D113" i="44"/>
  <c r="D117" i="44"/>
  <c r="D126" i="44"/>
  <c r="D130" i="44"/>
  <c r="D138" i="44"/>
  <c r="D139" i="44"/>
  <c r="D142" i="44"/>
  <c r="D172" i="44"/>
  <c r="D176" i="44"/>
  <c r="D185" i="44"/>
  <c r="D192" i="44"/>
  <c r="D196" i="44"/>
  <c r="D201" i="44"/>
  <c r="D232" i="44"/>
  <c r="D236" i="44"/>
  <c r="D242" i="44"/>
  <c r="D246" i="44"/>
  <c r="J24" i="39"/>
  <c r="X23" i="41" s="1"/>
  <c r="H33" i="39"/>
  <c r="AC51" i="41"/>
  <c r="E88" i="42"/>
  <c r="G93" i="9"/>
  <c r="M115" i="9"/>
  <c r="M167" i="9"/>
  <c r="M217" i="79"/>
  <c r="L26" i="79" s="1"/>
  <c r="H331" i="3"/>
  <c r="H335" i="3"/>
  <c r="H345" i="3"/>
  <c r="H349" i="3"/>
  <c r="H388" i="3"/>
  <c r="P393" i="3"/>
  <c r="P396" i="3"/>
  <c r="H417" i="3"/>
  <c r="H426" i="3"/>
  <c r="D13" i="44"/>
  <c r="D17" i="44"/>
  <c r="D37" i="44"/>
  <c r="D47" i="44"/>
  <c r="D68" i="44"/>
  <c r="D74" i="44"/>
  <c r="D78" i="44"/>
  <c r="D114" i="44"/>
  <c r="D121" i="44"/>
  <c r="D143" i="44"/>
  <c r="D150" i="44"/>
  <c r="D154" i="44"/>
  <c r="D180" i="44"/>
  <c r="D184" i="44"/>
  <c r="D210" i="44"/>
  <c r="D214" i="44"/>
  <c r="I33" i="39"/>
  <c r="P50" i="8"/>
  <c r="D21" i="44"/>
  <c r="D25" i="44"/>
  <c r="D31" i="44"/>
  <c r="D36" i="44"/>
  <c r="D41" i="44"/>
  <c r="D46" i="44"/>
  <c r="D55" i="44"/>
  <c r="D58" i="44"/>
  <c r="D75" i="44"/>
  <c r="D82" i="44"/>
  <c r="D86" i="44"/>
  <c r="D108" i="44"/>
  <c r="D122" i="44"/>
  <c r="D137" i="44"/>
  <c r="D145" i="44"/>
  <c r="D151" i="44"/>
  <c r="D158" i="44"/>
  <c r="D190" i="44"/>
  <c r="D194" i="44"/>
  <c r="D200" i="44"/>
  <c r="D206" i="44"/>
  <c r="D211" i="44"/>
  <c r="D218" i="44"/>
  <c r="D222" i="44"/>
  <c r="G89" i="26"/>
  <c r="I89" i="26" s="1"/>
  <c r="G69" i="26"/>
  <c r="I69" i="26" s="1"/>
  <c r="G63" i="26"/>
  <c r="I63" i="26" s="1"/>
  <c r="G57" i="26"/>
  <c r="I57" i="26" s="1"/>
  <c r="G79" i="26"/>
  <c r="I79" i="26" s="1"/>
  <c r="G59" i="26"/>
  <c r="I59" i="26" s="1"/>
  <c r="G61" i="26"/>
  <c r="I61" i="26" s="1"/>
  <c r="G111" i="26"/>
  <c r="I111" i="26" s="1"/>
  <c r="G109" i="26"/>
  <c r="I109" i="26" s="1"/>
  <c r="I18" i="79"/>
  <c r="J18" i="79" s="1"/>
  <c r="M186" i="79"/>
  <c r="L24" i="79" s="1"/>
  <c r="G87" i="3"/>
  <c r="H16" i="3" s="1"/>
  <c r="H394" i="3"/>
  <c r="H419" i="3"/>
  <c r="BC117" i="4"/>
  <c r="D209" i="35" s="1"/>
  <c r="A76" i="32"/>
  <c r="D202" i="35"/>
  <c r="D35" i="44"/>
  <c r="D40" i="44"/>
  <c r="D45" i="44"/>
  <c r="D49" i="44"/>
  <c r="D54" i="44"/>
  <c r="D57" i="44"/>
  <c r="D63" i="44"/>
  <c r="D83" i="44"/>
  <c r="D90" i="44"/>
  <c r="D94" i="44"/>
  <c r="D107" i="44"/>
  <c r="D112" i="44"/>
  <c r="D116" i="44"/>
  <c r="D141" i="44"/>
  <c r="D153" i="44"/>
  <c r="D159" i="44"/>
  <c r="D162" i="44"/>
  <c r="D166" i="44"/>
  <c r="D198" i="44"/>
  <c r="D205" i="44"/>
  <c r="D219" i="44"/>
  <c r="D226" i="44"/>
  <c r="D230" i="44"/>
  <c r="D240" i="44"/>
  <c r="E46" i="39"/>
  <c r="E53" i="39"/>
  <c r="J53" i="39" s="1"/>
  <c r="X52" i="41" s="1"/>
  <c r="M19" i="9"/>
  <c r="N44" i="9"/>
  <c r="M58" i="9"/>
  <c r="M66" i="9"/>
  <c r="K107" i="9"/>
  <c r="M156" i="9"/>
  <c r="K172" i="9"/>
  <c r="N175" i="9"/>
  <c r="N180" i="9" s="1"/>
  <c r="O21" i="26" s="1"/>
  <c r="M199" i="9"/>
  <c r="K270" i="9"/>
  <c r="H10" i="37"/>
  <c r="E94" i="37"/>
  <c r="N186" i="79"/>
  <c r="M24" i="79" s="1"/>
  <c r="H420" i="3"/>
  <c r="D9" i="44"/>
  <c r="D11" i="44"/>
  <c r="D44" i="44"/>
  <c r="D48" i="44"/>
  <c r="D53" i="44"/>
  <c r="D62" i="44"/>
  <c r="D67" i="44"/>
  <c r="D73" i="44"/>
  <c r="D77" i="44"/>
  <c r="D85" i="44"/>
  <c r="D91" i="44"/>
  <c r="D98" i="44"/>
  <c r="D102" i="44"/>
  <c r="D111" i="44"/>
  <c r="D115" i="44"/>
  <c r="D120" i="44"/>
  <c r="D128" i="44"/>
  <c r="D144" i="44"/>
  <c r="D149" i="44"/>
  <c r="D161" i="44"/>
  <c r="D167" i="44"/>
  <c r="D170" i="44"/>
  <c r="D174" i="44"/>
  <c r="D209" i="44"/>
  <c r="D213" i="44"/>
  <c r="D227" i="44"/>
  <c r="D234" i="44"/>
  <c r="D238" i="44"/>
  <c r="D248" i="44"/>
  <c r="J40" i="39"/>
  <c r="X39" i="41" s="1"/>
  <c r="D54" i="42"/>
  <c r="AB32" i="41"/>
  <c r="G52" i="8"/>
  <c r="M88" i="9"/>
  <c r="M93" i="9" s="1"/>
  <c r="E37" i="26" s="1"/>
  <c r="K104" i="9"/>
  <c r="M126" i="9"/>
  <c r="I142" i="9"/>
  <c r="M280" i="9"/>
  <c r="Q35" i="26" s="1"/>
  <c r="S35" i="26" s="1"/>
  <c r="M285" i="9"/>
  <c r="Q33" i="26" s="1"/>
  <c r="S33" i="26" s="1"/>
  <c r="M97" i="79"/>
  <c r="L18" i="79" s="1"/>
  <c r="L186" i="79"/>
  <c r="K24" i="79" s="1"/>
  <c r="N217" i="79"/>
  <c r="M26" i="79" s="1"/>
  <c r="H329" i="3"/>
  <c r="H333" i="3"/>
  <c r="H343" i="3"/>
  <c r="H347" i="3"/>
  <c r="H392" i="3"/>
  <c r="H412" i="3"/>
  <c r="H424" i="3"/>
  <c r="BC267" i="4"/>
  <c r="G49" i="38" s="1"/>
  <c r="D19" i="44"/>
  <c r="D29" i="44"/>
  <c r="D52" i="44"/>
  <c r="D56" i="44"/>
  <c r="D61" i="44"/>
  <c r="D66" i="44"/>
  <c r="D72" i="44"/>
  <c r="D76" i="44"/>
  <c r="D81" i="44"/>
  <c r="D99" i="44"/>
  <c r="D119" i="44"/>
  <c r="D123" i="44"/>
  <c r="D129" i="44"/>
  <c r="D148" i="44"/>
  <c r="D152" i="44"/>
  <c r="D157" i="44"/>
  <c r="D169" i="44"/>
  <c r="D175" i="44"/>
  <c r="D178" i="44"/>
  <c r="D182" i="44"/>
  <c r="D208" i="44"/>
  <c r="D212" i="44"/>
  <c r="D217" i="44"/>
  <c r="D221" i="44"/>
  <c r="D235" i="44"/>
  <c r="D245" i="44"/>
  <c r="J51" i="39"/>
  <c r="X50" i="41" s="1"/>
  <c r="Y54" i="8"/>
  <c r="M55" i="9"/>
  <c r="K91" i="9"/>
  <c r="M221" i="9"/>
  <c r="M323" i="9"/>
  <c r="W27" i="26" s="1"/>
  <c r="M337" i="9"/>
  <c r="P85" i="26"/>
  <c r="P88" i="26"/>
  <c r="P86" i="26"/>
  <c r="P87" i="26"/>
  <c r="I350" i="79"/>
  <c r="N97" i="79"/>
  <c r="M18" i="79" s="1"/>
  <c r="M51" i="8"/>
  <c r="M43" i="8" s="1"/>
  <c r="P101" i="26"/>
  <c r="P105" i="26"/>
  <c r="H85" i="37"/>
  <c r="G111" i="37" s="1"/>
  <c r="G406" i="79"/>
  <c r="K19" i="9"/>
  <c r="E131" i="9"/>
  <c r="K183" i="9"/>
  <c r="K199" i="9"/>
  <c r="K221" i="9"/>
  <c r="K326" i="9"/>
  <c r="K337" i="9"/>
  <c r="I254" i="79"/>
  <c r="G352" i="79"/>
  <c r="I352" i="79" s="1"/>
  <c r="J352" i="79" s="1"/>
  <c r="X56" i="8"/>
  <c r="E71" i="9"/>
  <c r="K134" i="9"/>
  <c r="K150" i="9"/>
  <c r="P104" i="26"/>
  <c r="D141" i="80"/>
  <c r="P108" i="26"/>
  <c r="E99" i="37"/>
  <c r="H8" i="81"/>
  <c r="G85" i="81"/>
  <c r="H85" i="81"/>
  <c r="I85" i="81" s="1"/>
  <c r="J85" i="81" s="1"/>
  <c r="K85" i="81" s="1"/>
  <c r="L85" i="81" s="1"/>
  <c r="M85" i="81" s="1"/>
  <c r="N85" i="81" s="1"/>
  <c r="O85" i="81" s="1"/>
  <c r="P85" i="81" s="1"/>
  <c r="Q85" i="81" s="1"/>
  <c r="R85" i="81" s="1"/>
  <c r="S85" i="81" s="1"/>
  <c r="T85" i="81" s="1"/>
  <c r="U85" i="81" s="1"/>
  <c r="O59" i="53"/>
  <c r="P59" i="53" s="1"/>
  <c r="L59" i="53"/>
  <c r="LF94" i="54"/>
  <c r="LN94" i="54"/>
  <c r="LV94" i="54"/>
  <c r="MD94" i="54"/>
  <c r="ML94" i="54"/>
  <c r="MT94" i="54"/>
  <c r="BH187" i="54"/>
  <c r="BP187" i="54"/>
  <c r="O60" i="53"/>
  <c r="P60" i="53" s="1"/>
  <c r="AD94" i="54"/>
  <c r="AL94" i="54"/>
  <c r="BJ94" i="54"/>
  <c r="BR94" i="54"/>
  <c r="CP94" i="54"/>
  <c r="CX94" i="54"/>
  <c r="DF94" i="54"/>
  <c r="DN94" i="54"/>
  <c r="DV94" i="54"/>
  <c r="ED94" i="54"/>
  <c r="EL94" i="54"/>
  <c r="ET94" i="54"/>
  <c r="FB94" i="54"/>
  <c r="FJ94" i="54"/>
  <c r="FR94" i="54"/>
  <c r="FZ94" i="54"/>
  <c r="GH94" i="54"/>
  <c r="GP94" i="54"/>
  <c r="GX94" i="54"/>
  <c r="HF94" i="54"/>
  <c r="HN94" i="54"/>
  <c r="HV94" i="54"/>
  <c r="ID94" i="54"/>
  <c r="IL94" i="54"/>
  <c r="IT94" i="54"/>
  <c r="JB94" i="54"/>
  <c r="JJ94" i="54"/>
  <c r="PD187" i="54"/>
  <c r="PL187" i="54"/>
  <c r="PT187" i="54"/>
  <c r="QB187" i="54"/>
  <c r="QJ187" i="54"/>
  <c r="QR187" i="54"/>
  <c r="QZ187" i="54"/>
  <c r="RH187" i="54"/>
  <c r="NR94" i="54"/>
  <c r="NR77" i="54" s="1"/>
  <c r="NZ94" i="54"/>
  <c r="NZ77" i="54" s="1"/>
  <c r="OH94" i="54"/>
  <c r="OH77" i="54" s="1"/>
  <c r="OP94" i="54"/>
  <c r="OP77" i="54" s="1"/>
  <c r="OX94" i="54"/>
  <c r="OX77" i="54" s="1"/>
  <c r="PF94" i="54"/>
  <c r="PF77" i="54" s="1"/>
  <c r="PN94" i="54"/>
  <c r="PN77" i="54" s="1"/>
  <c r="PV94" i="54"/>
  <c r="PV77" i="54" s="1"/>
  <c r="QD94" i="54"/>
  <c r="QD77" i="54" s="1"/>
  <c r="QL94" i="54"/>
  <c r="QL77" i="54" s="1"/>
  <c r="QT94" i="54"/>
  <c r="QT77" i="54" s="1"/>
  <c r="RB94" i="54"/>
  <c r="RB77" i="54" s="1"/>
  <c r="RJ94" i="54"/>
  <c r="RJ77" i="54" s="1"/>
  <c r="RR94" i="54"/>
  <c r="RR77" i="54" s="1"/>
  <c r="RZ94" i="54"/>
  <c r="RZ77" i="54" s="1"/>
  <c r="SH94" i="54"/>
  <c r="SH77" i="54" s="1"/>
  <c r="SP94" i="54"/>
  <c r="SP77" i="54" s="1"/>
  <c r="TN94" i="54"/>
  <c r="TN77" i="54" s="1"/>
  <c r="UD94" i="54"/>
  <c r="UD77" i="54" s="1"/>
  <c r="UL94" i="54"/>
  <c r="UL77" i="54" s="1"/>
  <c r="UT94" i="54"/>
  <c r="UT77" i="54" s="1"/>
  <c r="VB94" i="54"/>
  <c r="VB77" i="54" s="1"/>
  <c r="AC187" i="54"/>
  <c r="AK187" i="54"/>
  <c r="BI187" i="54"/>
  <c r="BQ187" i="54"/>
  <c r="FA187" i="54"/>
  <c r="PE187" i="54"/>
  <c r="PM187" i="54"/>
  <c r="PU187" i="54"/>
  <c r="QC187" i="54"/>
  <c r="QK187" i="54"/>
  <c r="QS187" i="54"/>
  <c r="RA187" i="54"/>
  <c r="RI187" i="54"/>
  <c r="TM187" i="54"/>
  <c r="TU187" i="54"/>
  <c r="UC187" i="54"/>
  <c r="X187" i="54"/>
  <c r="AF187" i="54"/>
  <c r="BL187" i="54"/>
  <c r="BT187" i="54"/>
  <c r="EF187" i="54"/>
  <c r="EN187" i="54"/>
  <c r="GJ187" i="54"/>
  <c r="GR187" i="54"/>
  <c r="GZ187" i="54"/>
  <c r="IN187" i="54"/>
  <c r="OZ187" i="54"/>
  <c r="PH187" i="54"/>
  <c r="PP187" i="54"/>
  <c r="PX187" i="54"/>
  <c r="QF187" i="54"/>
  <c r="QN187" i="54"/>
  <c r="QV187" i="54"/>
  <c r="RD187" i="54"/>
  <c r="RL187" i="54"/>
  <c r="TP187" i="54"/>
  <c r="TX187" i="54"/>
  <c r="Y187" i="54"/>
  <c r="AG187" i="54"/>
  <c r="BE187" i="54"/>
  <c r="BM187" i="54"/>
  <c r="BU187" i="54"/>
  <c r="DQ187" i="54"/>
  <c r="FM187" i="54"/>
  <c r="GC187" i="54"/>
  <c r="IG187" i="54"/>
  <c r="LB106" i="54"/>
  <c r="LJ106" i="54"/>
  <c r="LR106" i="54"/>
  <c r="MH106" i="54"/>
  <c r="MP106" i="54"/>
  <c r="MX106" i="54"/>
  <c r="NV106" i="54"/>
  <c r="OT106" i="54"/>
  <c r="PZ106" i="54"/>
  <c r="RF106" i="54"/>
  <c r="OC133" i="54"/>
  <c r="OK133" i="54"/>
  <c r="QO133" i="54"/>
  <c r="QW133" i="54"/>
  <c r="RU133" i="54"/>
  <c r="SS133" i="54"/>
  <c r="TQ133" i="54"/>
  <c r="IG133" i="54"/>
  <c r="JM133" i="54"/>
  <c r="LP133" i="54"/>
  <c r="MV133" i="54"/>
  <c r="IY133" i="54"/>
  <c r="LQ133" i="54"/>
  <c r="LY133" i="54"/>
  <c r="QR133" i="54"/>
  <c r="QZ133" i="54"/>
  <c r="TD133" i="54"/>
  <c r="TL133" i="54"/>
  <c r="PE154" i="54"/>
  <c r="PM154" i="54"/>
  <c r="QC154" i="54"/>
  <c r="QK154" i="54"/>
  <c r="QS154" i="54"/>
  <c r="RI154" i="54"/>
  <c r="RQ154" i="54"/>
  <c r="RY154" i="54"/>
  <c r="SO154" i="54"/>
  <c r="SW154" i="54"/>
  <c r="TE154" i="54"/>
  <c r="TU154" i="54"/>
  <c r="UC154" i="54"/>
  <c r="UK154" i="54"/>
  <c r="PP133" i="54"/>
  <c r="RT133" i="54"/>
  <c r="SB133" i="54"/>
  <c r="UF133" i="54"/>
  <c r="UN133" i="54"/>
  <c r="SH146" i="54"/>
  <c r="SP146" i="54"/>
  <c r="SX146" i="54"/>
  <c r="TF146" i="54"/>
  <c r="TN146" i="54"/>
  <c r="TV146" i="54"/>
  <c r="UY146" i="54"/>
  <c r="VG146" i="54"/>
  <c r="T154" i="54"/>
  <c r="AB154" i="54"/>
  <c r="AJ154" i="54"/>
  <c r="AR154" i="54"/>
  <c r="BP154" i="54"/>
  <c r="CF154" i="54"/>
  <c r="CN154" i="54"/>
  <c r="CV154" i="54"/>
  <c r="DD154" i="54"/>
  <c r="EB154" i="54"/>
  <c r="ER154" i="54"/>
  <c r="EZ154" i="54"/>
  <c r="FH154" i="54"/>
  <c r="FP154" i="54"/>
  <c r="GN154" i="54"/>
  <c r="HD154" i="54"/>
  <c r="HL154" i="54"/>
  <c r="HT154" i="54"/>
  <c r="IB154" i="54"/>
  <c r="IZ154" i="54"/>
  <c r="JX154" i="54"/>
  <c r="KF154" i="54"/>
  <c r="KN154" i="54"/>
  <c r="LL154" i="54"/>
  <c r="MB154" i="54"/>
  <c r="MJ154" i="54"/>
  <c r="MR154" i="54"/>
  <c r="NX154" i="54"/>
  <c r="PY133" i="54"/>
  <c r="SC133" i="54"/>
  <c r="SK133" i="54"/>
  <c r="UO133" i="54"/>
  <c r="UW133" i="54"/>
  <c r="TO146" i="54"/>
  <c r="TW146" i="54"/>
  <c r="M154" i="54"/>
  <c r="AC154" i="54"/>
  <c r="AK154" i="54"/>
  <c r="AS154" i="54"/>
  <c r="BA154" i="54"/>
  <c r="BY154" i="54"/>
  <c r="CO154" i="54"/>
  <c r="CW154" i="54"/>
  <c r="DE154" i="54"/>
  <c r="DM154" i="54"/>
  <c r="EK154" i="54"/>
  <c r="FA154" i="54"/>
  <c r="FI154" i="54"/>
  <c r="FQ154" i="54"/>
  <c r="FY154" i="54"/>
  <c r="GW154" i="54"/>
  <c r="HM154" i="54"/>
  <c r="HU154" i="54"/>
  <c r="IC154" i="54"/>
  <c r="IK154" i="54"/>
  <c r="JY154" i="54"/>
  <c r="KG154" i="54"/>
  <c r="KO154" i="54"/>
  <c r="KW154" i="54"/>
  <c r="LU154" i="54"/>
  <c r="MK154" i="54"/>
  <c r="MS154" i="54"/>
  <c r="VB146" i="54"/>
  <c r="VJ146" i="54"/>
  <c r="M180" i="54"/>
  <c r="U180" i="54"/>
  <c r="AC180" i="54"/>
  <c r="AK180" i="54"/>
  <c r="AS180" i="54"/>
  <c r="BA180" i="54"/>
  <c r="BI180" i="54"/>
  <c r="BQ180" i="54"/>
  <c r="BY180" i="54"/>
  <c r="CG180" i="54"/>
  <c r="CO180" i="54"/>
  <c r="CW180" i="54"/>
  <c r="DE180" i="54"/>
  <c r="DM180" i="54"/>
  <c r="DU180" i="54"/>
  <c r="EC180" i="54"/>
  <c r="EK180" i="54"/>
  <c r="ES180" i="54"/>
  <c r="FA180" i="54"/>
  <c r="FI180" i="54"/>
  <c r="FQ180" i="54"/>
  <c r="FY180" i="54"/>
  <c r="GG180" i="54"/>
  <c r="GO180" i="54"/>
  <c r="GW180" i="54"/>
  <c r="HE180" i="54"/>
  <c r="IC180" i="54"/>
  <c r="IK180" i="54"/>
  <c r="IS180" i="54"/>
  <c r="JI180" i="54"/>
  <c r="JQ180" i="54"/>
  <c r="KO180" i="54"/>
  <c r="KW180" i="54"/>
  <c r="LE180" i="54"/>
  <c r="LU180" i="54"/>
  <c r="MC180" i="54"/>
  <c r="NA180" i="54"/>
  <c r="NI180" i="54"/>
  <c r="NQ180" i="54"/>
  <c r="OG180" i="54"/>
  <c r="OO180" i="54"/>
  <c r="PM180" i="54"/>
  <c r="PU180" i="54"/>
  <c r="QC180" i="54"/>
  <c r="QS180" i="54"/>
  <c r="RA180" i="54"/>
  <c r="RY180" i="54"/>
  <c r="J68" i="48"/>
  <c r="J77" i="46" s="1"/>
  <c r="S63" i="46"/>
  <c r="S115" i="48"/>
  <c r="C223" i="46"/>
  <c r="K223" i="46"/>
  <c r="K63" i="46"/>
  <c r="S284" i="46"/>
  <c r="S248" i="46"/>
  <c r="O68" i="48"/>
  <c r="O77" i="46" s="1"/>
  <c r="O139" i="46" s="1"/>
  <c r="G68" i="48"/>
  <c r="G77" i="46" s="1"/>
  <c r="N68" i="48"/>
  <c r="N77" i="46" s="1"/>
  <c r="F68" i="48"/>
  <c r="F77" i="46" s="1"/>
  <c r="F139" i="46" s="1"/>
  <c r="M68" i="48"/>
  <c r="M77" i="46" s="1"/>
  <c r="M139" i="46" s="1"/>
  <c r="E68" i="48"/>
  <c r="E77" i="46" s="1"/>
  <c r="L68" i="48"/>
  <c r="L77" i="46" s="1"/>
  <c r="L139" i="46" s="1"/>
  <c r="D68" i="48"/>
  <c r="D77" i="46" s="1"/>
  <c r="S68" i="48"/>
  <c r="S77" i="46" s="1"/>
  <c r="S139" i="46" s="1"/>
  <c r="K68" i="48"/>
  <c r="K77" i="46" s="1"/>
  <c r="C68" i="48"/>
  <c r="C77" i="46" s="1"/>
  <c r="Q68" i="48"/>
  <c r="Q77" i="46" s="1"/>
  <c r="Q139" i="46" s="1"/>
  <c r="I68" i="48"/>
  <c r="I77" i="46" s="1"/>
  <c r="I139" i="46" s="1"/>
  <c r="D53" i="48"/>
  <c r="I60" i="48"/>
  <c r="I69" i="46" s="1"/>
  <c r="Q60" i="48"/>
  <c r="Q69" i="46" s="1"/>
  <c r="H61" i="48"/>
  <c r="H70" i="46" s="1"/>
  <c r="P61" i="48"/>
  <c r="P70" i="46" s="1"/>
  <c r="G62" i="48"/>
  <c r="G71" i="46" s="1"/>
  <c r="G133" i="46" s="1"/>
  <c r="O62" i="48"/>
  <c r="O71" i="46" s="1"/>
  <c r="O256" i="46" s="1"/>
  <c r="F63" i="48"/>
  <c r="F72" i="46" s="1"/>
  <c r="N63" i="48"/>
  <c r="N72" i="46" s="1"/>
  <c r="E64" i="48"/>
  <c r="E73" i="46" s="1"/>
  <c r="E135" i="46" s="1"/>
  <c r="M64" i="48"/>
  <c r="M73" i="46" s="1"/>
  <c r="D65" i="48"/>
  <c r="D74" i="46" s="1"/>
  <c r="L65" i="48"/>
  <c r="L74" i="46" s="1"/>
  <c r="C66" i="48"/>
  <c r="C75" i="46" s="1"/>
  <c r="K66" i="48"/>
  <c r="K75" i="46" s="1"/>
  <c r="K137" i="46" s="1"/>
  <c r="S66" i="48"/>
  <c r="S75" i="46" s="1"/>
  <c r="J67" i="48"/>
  <c r="J76" i="46" s="1"/>
  <c r="R67" i="48"/>
  <c r="R76" i="46" s="1"/>
  <c r="H69" i="48"/>
  <c r="H78" i="46" s="1"/>
  <c r="P69" i="48"/>
  <c r="P78" i="46" s="1"/>
  <c r="G70" i="48"/>
  <c r="G79" i="46" s="1"/>
  <c r="O70" i="48"/>
  <c r="O79" i="46" s="1"/>
  <c r="F71" i="48"/>
  <c r="F80" i="46" s="1"/>
  <c r="N71" i="48"/>
  <c r="N80" i="46" s="1"/>
  <c r="E72" i="48"/>
  <c r="E81" i="46" s="1"/>
  <c r="M72" i="48"/>
  <c r="M81" i="46" s="1"/>
  <c r="D73" i="48"/>
  <c r="D82" i="46" s="1"/>
  <c r="L73" i="48"/>
  <c r="L82" i="46" s="1"/>
  <c r="C74" i="48"/>
  <c r="C83" i="46" s="1"/>
  <c r="K74" i="48"/>
  <c r="K83" i="46" s="1"/>
  <c r="S74" i="48"/>
  <c r="S83" i="46" s="1"/>
  <c r="J75" i="48"/>
  <c r="J84" i="46" s="1"/>
  <c r="R75" i="48"/>
  <c r="R84" i="46" s="1"/>
  <c r="I76" i="48"/>
  <c r="I85" i="46" s="1"/>
  <c r="Q76" i="48"/>
  <c r="Q85" i="46" s="1"/>
  <c r="H77" i="48"/>
  <c r="H86" i="46" s="1"/>
  <c r="P77" i="48"/>
  <c r="P86" i="46" s="1"/>
  <c r="G78" i="48"/>
  <c r="G87" i="46" s="1"/>
  <c r="O78" i="48"/>
  <c r="O87" i="46" s="1"/>
  <c r="F79" i="48"/>
  <c r="F88" i="46" s="1"/>
  <c r="N79" i="48"/>
  <c r="N88" i="46" s="1"/>
  <c r="E80" i="48"/>
  <c r="E89" i="46" s="1"/>
  <c r="M80" i="48"/>
  <c r="M89" i="46" s="1"/>
  <c r="D81" i="48"/>
  <c r="D90" i="46" s="1"/>
  <c r="L81" i="48"/>
  <c r="L90" i="46" s="1"/>
  <c r="C82" i="48"/>
  <c r="C91" i="46" s="1"/>
  <c r="K82" i="48"/>
  <c r="K91" i="46" s="1"/>
  <c r="S82" i="48"/>
  <c r="S91" i="46" s="1"/>
  <c r="J83" i="48"/>
  <c r="J92" i="46" s="1"/>
  <c r="R83" i="48"/>
  <c r="R92" i="46" s="1"/>
  <c r="I84" i="48"/>
  <c r="I93" i="46" s="1"/>
  <c r="I155" i="46" s="1"/>
  <c r="Q84" i="48"/>
  <c r="Q93" i="46" s="1"/>
  <c r="Q155" i="46" s="1"/>
  <c r="H85" i="48"/>
  <c r="H94" i="46" s="1"/>
  <c r="P85" i="48"/>
  <c r="P94" i="46" s="1"/>
  <c r="G86" i="48"/>
  <c r="G95" i="46" s="1"/>
  <c r="O86" i="48"/>
  <c r="O95" i="46" s="1"/>
  <c r="F87" i="48"/>
  <c r="F96" i="46" s="1"/>
  <c r="N87" i="48"/>
  <c r="N96" i="46" s="1"/>
  <c r="D115" i="48"/>
  <c r="L115" i="48"/>
  <c r="D284" i="46"/>
  <c r="D248" i="46"/>
  <c r="L284" i="46"/>
  <c r="L248" i="46"/>
  <c r="I63" i="46"/>
  <c r="E161" i="46"/>
  <c r="E223" i="46"/>
  <c r="M223" i="46"/>
  <c r="M63" i="46"/>
  <c r="J165" i="46"/>
  <c r="G169" i="46"/>
  <c r="N170" i="46"/>
  <c r="F53" i="48"/>
  <c r="K60" i="48"/>
  <c r="K69" i="46" s="1"/>
  <c r="S60" i="48"/>
  <c r="S69" i="46" s="1"/>
  <c r="J61" i="48"/>
  <c r="J70" i="46" s="1"/>
  <c r="R61" i="48"/>
  <c r="R70" i="46" s="1"/>
  <c r="I62" i="48"/>
  <c r="I71" i="46" s="1"/>
  <c r="I256" i="46" s="1"/>
  <c r="Q62" i="48"/>
  <c r="Q71" i="46" s="1"/>
  <c r="Q256" i="46" s="1"/>
  <c r="H63" i="48"/>
  <c r="H72" i="46" s="1"/>
  <c r="P63" i="48"/>
  <c r="P72" i="46" s="1"/>
  <c r="G64" i="48"/>
  <c r="G73" i="46" s="1"/>
  <c r="O64" i="48"/>
  <c r="O73" i="46" s="1"/>
  <c r="F65" i="48"/>
  <c r="F74" i="46" s="1"/>
  <c r="F136" i="46" s="1"/>
  <c r="N65" i="48"/>
  <c r="N74" i="46" s="1"/>
  <c r="E66" i="48"/>
  <c r="E75" i="46" s="1"/>
  <c r="M66" i="48"/>
  <c r="M75" i="46" s="1"/>
  <c r="M137" i="46" s="1"/>
  <c r="D67" i="48"/>
  <c r="D76" i="46" s="1"/>
  <c r="L67" i="48"/>
  <c r="L76" i="46" s="1"/>
  <c r="J69" i="48"/>
  <c r="J78" i="46" s="1"/>
  <c r="R69" i="48"/>
  <c r="R78" i="46" s="1"/>
  <c r="R140" i="46" s="1"/>
  <c r="I70" i="48"/>
  <c r="I79" i="46" s="1"/>
  <c r="Q70" i="48"/>
  <c r="Q79" i="46" s="1"/>
  <c r="Q141" i="46" s="1"/>
  <c r="H71" i="48"/>
  <c r="H80" i="46" s="1"/>
  <c r="P71" i="48"/>
  <c r="P80" i="46" s="1"/>
  <c r="G72" i="48"/>
  <c r="G81" i="46" s="1"/>
  <c r="O72" i="48"/>
  <c r="O81" i="46" s="1"/>
  <c r="F73" i="48"/>
  <c r="F82" i="46" s="1"/>
  <c r="N73" i="48"/>
  <c r="N82" i="46" s="1"/>
  <c r="E74" i="48"/>
  <c r="E83" i="46" s="1"/>
  <c r="M74" i="48"/>
  <c r="M83" i="46" s="1"/>
  <c r="D75" i="48"/>
  <c r="D84" i="46" s="1"/>
  <c r="L75" i="48"/>
  <c r="L84" i="46" s="1"/>
  <c r="C76" i="48"/>
  <c r="C85" i="46" s="1"/>
  <c r="K76" i="48"/>
  <c r="K85" i="46" s="1"/>
  <c r="S76" i="48"/>
  <c r="S85" i="46" s="1"/>
  <c r="J77" i="48"/>
  <c r="J86" i="46" s="1"/>
  <c r="R77" i="48"/>
  <c r="R86" i="46" s="1"/>
  <c r="I78" i="48"/>
  <c r="I87" i="46" s="1"/>
  <c r="Q78" i="48"/>
  <c r="Q87" i="46" s="1"/>
  <c r="H79" i="48"/>
  <c r="H88" i="46" s="1"/>
  <c r="P79" i="48"/>
  <c r="P88" i="46" s="1"/>
  <c r="G80" i="48"/>
  <c r="G89" i="46" s="1"/>
  <c r="O80" i="48"/>
  <c r="O89" i="46" s="1"/>
  <c r="O151" i="46" s="1"/>
  <c r="F81" i="48"/>
  <c r="F90" i="46" s="1"/>
  <c r="N81" i="48"/>
  <c r="N90" i="46" s="1"/>
  <c r="E82" i="48"/>
  <c r="E91" i="46" s="1"/>
  <c r="M82" i="48"/>
  <c r="M91" i="46" s="1"/>
  <c r="D83" i="48"/>
  <c r="D92" i="46" s="1"/>
  <c r="L83" i="48"/>
  <c r="L92" i="46" s="1"/>
  <c r="C84" i="48"/>
  <c r="C93" i="46" s="1"/>
  <c r="C278" i="46" s="1"/>
  <c r="K84" i="48"/>
  <c r="K93" i="46" s="1"/>
  <c r="S84" i="48"/>
  <c r="S93" i="46" s="1"/>
  <c r="S155" i="46" s="1"/>
  <c r="J85" i="48"/>
  <c r="J94" i="46" s="1"/>
  <c r="R85" i="48"/>
  <c r="R94" i="46" s="1"/>
  <c r="I86" i="48"/>
  <c r="I95" i="46" s="1"/>
  <c r="Q86" i="48"/>
  <c r="Q95" i="46" s="1"/>
  <c r="H87" i="48"/>
  <c r="H96" i="46" s="1"/>
  <c r="H158" i="46" s="1"/>
  <c r="P87" i="48"/>
  <c r="P96" i="46" s="1"/>
  <c r="F115" i="48"/>
  <c r="N115" i="48"/>
  <c r="F284" i="46"/>
  <c r="F248" i="46"/>
  <c r="N284" i="46"/>
  <c r="N248" i="46"/>
  <c r="L63" i="46"/>
  <c r="R167" i="46"/>
  <c r="G53" i="48"/>
  <c r="D60" i="48"/>
  <c r="D69" i="46" s="1"/>
  <c r="L60" i="48"/>
  <c r="L69" i="46" s="1"/>
  <c r="C61" i="48"/>
  <c r="C70" i="46" s="1"/>
  <c r="K61" i="48"/>
  <c r="K70" i="46" s="1"/>
  <c r="S61" i="48"/>
  <c r="S70" i="46" s="1"/>
  <c r="J62" i="48"/>
  <c r="J71" i="46" s="1"/>
  <c r="J256" i="46" s="1"/>
  <c r="R62" i="48"/>
  <c r="R71" i="46" s="1"/>
  <c r="I63" i="48"/>
  <c r="I72" i="46" s="1"/>
  <c r="Q63" i="48"/>
  <c r="Q72" i="46" s="1"/>
  <c r="H64" i="48"/>
  <c r="H73" i="46" s="1"/>
  <c r="P64" i="48"/>
  <c r="P73" i="46" s="1"/>
  <c r="P135" i="46" s="1"/>
  <c r="G65" i="48"/>
  <c r="G74" i="46" s="1"/>
  <c r="O65" i="48"/>
  <c r="O74" i="46" s="1"/>
  <c r="F66" i="48"/>
  <c r="F75" i="46" s="1"/>
  <c r="N66" i="48"/>
  <c r="N75" i="46" s="1"/>
  <c r="N137" i="46" s="1"/>
  <c r="E67" i="48"/>
  <c r="E76" i="46" s="1"/>
  <c r="M67" i="48"/>
  <c r="M76" i="46" s="1"/>
  <c r="C69" i="48"/>
  <c r="C78" i="46" s="1"/>
  <c r="K69" i="48"/>
  <c r="K78" i="46" s="1"/>
  <c r="K140" i="46" s="1"/>
  <c r="S69" i="48"/>
  <c r="S78" i="46" s="1"/>
  <c r="J70" i="48"/>
  <c r="J79" i="46" s="1"/>
  <c r="R70" i="48"/>
  <c r="R79" i="46" s="1"/>
  <c r="I71" i="48"/>
  <c r="I80" i="46" s="1"/>
  <c r="I142" i="46" s="1"/>
  <c r="Q71" i="48"/>
  <c r="Q80" i="46" s="1"/>
  <c r="H72" i="48"/>
  <c r="H81" i="46" s="1"/>
  <c r="P72" i="48"/>
  <c r="P81" i="46" s="1"/>
  <c r="G73" i="48"/>
  <c r="G82" i="46" s="1"/>
  <c r="O73" i="48"/>
  <c r="O82" i="46" s="1"/>
  <c r="F74" i="48"/>
  <c r="F83" i="46" s="1"/>
  <c r="N74" i="48"/>
  <c r="N83" i="46" s="1"/>
  <c r="E75" i="48"/>
  <c r="E84" i="46" s="1"/>
  <c r="M75" i="48"/>
  <c r="M84" i="46" s="1"/>
  <c r="D76" i="48"/>
  <c r="D85" i="46" s="1"/>
  <c r="L76" i="48"/>
  <c r="L85" i="46" s="1"/>
  <c r="C77" i="48"/>
  <c r="C86" i="46" s="1"/>
  <c r="K77" i="48"/>
  <c r="K86" i="46" s="1"/>
  <c r="S77" i="48"/>
  <c r="S86" i="46" s="1"/>
  <c r="J78" i="48"/>
  <c r="J87" i="46" s="1"/>
  <c r="R78" i="48"/>
  <c r="R87" i="46" s="1"/>
  <c r="I79" i="48"/>
  <c r="I88" i="46" s="1"/>
  <c r="Q79" i="48"/>
  <c r="Q88" i="46" s="1"/>
  <c r="H80" i="48"/>
  <c r="H89" i="46" s="1"/>
  <c r="P80" i="48"/>
  <c r="P89" i="46" s="1"/>
  <c r="G81" i="48"/>
  <c r="G90" i="46" s="1"/>
  <c r="O81" i="48"/>
  <c r="O90" i="46" s="1"/>
  <c r="F82" i="48"/>
  <c r="F91" i="46" s="1"/>
  <c r="N82" i="48"/>
  <c r="N91" i="46" s="1"/>
  <c r="E83" i="48"/>
  <c r="E92" i="46" s="1"/>
  <c r="M83" i="48"/>
  <c r="M92" i="46" s="1"/>
  <c r="D84" i="48"/>
  <c r="D93" i="46" s="1"/>
  <c r="D155" i="46" s="1"/>
  <c r="L84" i="48"/>
  <c r="L93" i="46" s="1"/>
  <c r="C85" i="48"/>
  <c r="C94" i="46" s="1"/>
  <c r="K85" i="48"/>
  <c r="K94" i="46" s="1"/>
  <c r="S85" i="48"/>
  <c r="S94" i="46" s="1"/>
  <c r="J86" i="48"/>
  <c r="J95" i="46" s="1"/>
  <c r="R86" i="48"/>
  <c r="R95" i="46" s="1"/>
  <c r="I87" i="48"/>
  <c r="I96" i="46" s="1"/>
  <c r="I158" i="46" s="1"/>
  <c r="Q87" i="48"/>
  <c r="Q96" i="46" s="1"/>
  <c r="G115" i="48"/>
  <c r="O115" i="48"/>
  <c r="G284" i="46"/>
  <c r="G248" i="46"/>
  <c r="O284" i="46"/>
  <c r="O248" i="46"/>
  <c r="N63" i="46"/>
  <c r="F163" i="46"/>
  <c r="E60" i="48"/>
  <c r="E69" i="46" s="1"/>
  <c r="M60" i="48"/>
  <c r="M69" i="46" s="1"/>
  <c r="D61" i="48"/>
  <c r="D70" i="46" s="1"/>
  <c r="L61" i="48"/>
  <c r="L70" i="46" s="1"/>
  <c r="C62" i="48"/>
  <c r="C71" i="46" s="1"/>
  <c r="C256" i="46" s="1"/>
  <c r="K62" i="48"/>
  <c r="K71" i="46" s="1"/>
  <c r="K256" i="46" s="1"/>
  <c r="S62" i="48"/>
  <c r="S71" i="46" s="1"/>
  <c r="J63" i="48"/>
  <c r="J72" i="46" s="1"/>
  <c r="R63" i="48"/>
  <c r="R72" i="46" s="1"/>
  <c r="I64" i="48"/>
  <c r="I73" i="46" s="1"/>
  <c r="Q64" i="48"/>
  <c r="Q73" i="46" s="1"/>
  <c r="H65" i="48"/>
  <c r="H74" i="46" s="1"/>
  <c r="H136" i="46" s="1"/>
  <c r="P65" i="48"/>
  <c r="P74" i="46" s="1"/>
  <c r="P136" i="46" s="1"/>
  <c r="G66" i="48"/>
  <c r="G75" i="46" s="1"/>
  <c r="G137" i="46" s="1"/>
  <c r="O66" i="48"/>
  <c r="O75" i="46" s="1"/>
  <c r="O137" i="46" s="1"/>
  <c r="F67" i="48"/>
  <c r="F76" i="46" s="1"/>
  <c r="N67" i="48"/>
  <c r="N76" i="46" s="1"/>
  <c r="D69" i="48"/>
  <c r="D78" i="46" s="1"/>
  <c r="D140" i="46" s="1"/>
  <c r="L69" i="48"/>
  <c r="L78" i="46" s="1"/>
  <c r="C70" i="48"/>
  <c r="C79" i="46" s="1"/>
  <c r="C141" i="46" s="1"/>
  <c r="K70" i="48"/>
  <c r="K79" i="46" s="1"/>
  <c r="K141" i="46" s="1"/>
  <c r="S70" i="48"/>
  <c r="S79" i="46" s="1"/>
  <c r="S141" i="46" s="1"/>
  <c r="J71" i="48"/>
  <c r="J80" i="46" s="1"/>
  <c r="R71" i="48"/>
  <c r="R80" i="46" s="1"/>
  <c r="I72" i="48"/>
  <c r="I81" i="46" s="1"/>
  <c r="Q72" i="48"/>
  <c r="Q81" i="46" s="1"/>
  <c r="H73" i="48"/>
  <c r="H82" i="46" s="1"/>
  <c r="P73" i="48"/>
  <c r="P82" i="46" s="1"/>
  <c r="G74" i="48"/>
  <c r="G83" i="46" s="1"/>
  <c r="O74" i="48"/>
  <c r="O83" i="46" s="1"/>
  <c r="F75" i="48"/>
  <c r="F84" i="46" s="1"/>
  <c r="N75" i="48"/>
  <c r="N84" i="46" s="1"/>
  <c r="E76" i="48"/>
  <c r="E85" i="46" s="1"/>
  <c r="M76" i="48"/>
  <c r="M85" i="46" s="1"/>
  <c r="D77" i="48"/>
  <c r="D86" i="46" s="1"/>
  <c r="L77" i="48"/>
  <c r="L86" i="46" s="1"/>
  <c r="C78" i="48"/>
  <c r="C87" i="46" s="1"/>
  <c r="K78" i="48"/>
  <c r="K87" i="46" s="1"/>
  <c r="S78" i="48"/>
  <c r="S87" i="46" s="1"/>
  <c r="J79" i="48"/>
  <c r="J88" i="46" s="1"/>
  <c r="R79" i="48"/>
  <c r="R88" i="46" s="1"/>
  <c r="I80" i="48"/>
  <c r="I89" i="46" s="1"/>
  <c r="Q80" i="48"/>
  <c r="Q89" i="46" s="1"/>
  <c r="Q151" i="46" s="1"/>
  <c r="H81" i="48"/>
  <c r="H90" i="46" s="1"/>
  <c r="P81" i="48"/>
  <c r="P90" i="46" s="1"/>
  <c r="G82" i="48"/>
  <c r="G91" i="46" s="1"/>
  <c r="O82" i="48"/>
  <c r="O91" i="46" s="1"/>
  <c r="F83" i="48"/>
  <c r="F92" i="46" s="1"/>
  <c r="N83" i="48"/>
  <c r="N92" i="46" s="1"/>
  <c r="E84" i="48"/>
  <c r="E93" i="46" s="1"/>
  <c r="M84" i="48"/>
  <c r="M93" i="46" s="1"/>
  <c r="D85" i="48"/>
  <c r="D94" i="46" s="1"/>
  <c r="L85" i="48"/>
  <c r="L94" i="46" s="1"/>
  <c r="C86" i="48"/>
  <c r="C95" i="46" s="1"/>
  <c r="K86" i="48"/>
  <c r="K95" i="46" s="1"/>
  <c r="S86" i="48"/>
  <c r="S95" i="46" s="1"/>
  <c r="J87" i="48"/>
  <c r="J96" i="46" s="1"/>
  <c r="J158" i="46" s="1"/>
  <c r="R87" i="48"/>
  <c r="R96" i="46" s="1"/>
  <c r="H115" i="48"/>
  <c r="P115" i="48"/>
  <c r="H284" i="46"/>
  <c r="H248" i="46"/>
  <c r="P284" i="46"/>
  <c r="P248" i="46"/>
  <c r="O63" i="46"/>
  <c r="E133" i="46"/>
  <c r="S258" i="46"/>
  <c r="R259" i="46"/>
  <c r="Q260" i="46"/>
  <c r="O262" i="46"/>
  <c r="N263" i="46"/>
  <c r="M264" i="46"/>
  <c r="L265" i="46"/>
  <c r="N164" i="46"/>
  <c r="D167" i="46"/>
  <c r="F60" i="48"/>
  <c r="F69" i="46" s="1"/>
  <c r="N60" i="48"/>
  <c r="N69" i="46" s="1"/>
  <c r="E61" i="48"/>
  <c r="E70" i="46" s="1"/>
  <c r="M61" i="48"/>
  <c r="M70" i="46" s="1"/>
  <c r="D62" i="48"/>
  <c r="D71" i="46" s="1"/>
  <c r="D256" i="46" s="1"/>
  <c r="L62" i="48"/>
  <c r="L71" i="46" s="1"/>
  <c r="L256" i="46" s="1"/>
  <c r="C63" i="48"/>
  <c r="C72" i="46" s="1"/>
  <c r="K63" i="48"/>
  <c r="K72" i="46" s="1"/>
  <c r="S63" i="48"/>
  <c r="S72" i="46" s="1"/>
  <c r="J64" i="48"/>
  <c r="J73" i="46" s="1"/>
  <c r="J135" i="46" s="1"/>
  <c r="R64" i="48"/>
  <c r="R73" i="46" s="1"/>
  <c r="R135" i="46" s="1"/>
  <c r="I65" i="48"/>
  <c r="I74" i="46" s="1"/>
  <c r="Q65" i="48"/>
  <c r="Q74" i="46" s="1"/>
  <c r="H66" i="48"/>
  <c r="H75" i="46" s="1"/>
  <c r="P66" i="48"/>
  <c r="P75" i="46" s="1"/>
  <c r="P137" i="46" s="1"/>
  <c r="G67" i="48"/>
  <c r="G76" i="46" s="1"/>
  <c r="O67" i="48"/>
  <c r="O76" i="46" s="1"/>
  <c r="E69" i="48"/>
  <c r="E78" i="46" s="1"/>
  <c r="E140" i="46" s="1"/>
  <c r="M69" i="48"/>
  <c r="M78" i="46" s="1"/>
  <c r="M140" i="46" s="1"/>
  <c r="D70" i="48"/>
  <c r="D79" i="46" s="1"/>
  <c r="L70" i="48"/>
  <c r="L79" i="46" s="1"/>
  <c r="L141" i="46" s="1"/>
  <c r="C71" i="48"/>
  <c r="C80" i="46" s="1"/>
  <c r="K71" i="48"/>
  <c r="K80" i="46" s="1"/>
  <c r="K142" i="46" s="1"/>
  <c r="S71" i="48"/>
  <c r="S80" i="46" s="1"/>
  <c r="S142" i="46" s="1"/>
  <c r="J72" i="48"/>
  <c r="J81" i="46" s="1"/>
  <c r="R72" i="48"/>
  <c r="R81" i="46" s="1"/>
  <c r="I73" i="48"/>
  <c r="I82" i="46" s="1"/>
  <c r="Q73" i="48"/>
  <c r="Q82" i="46" s="1"/>
  <c r="H74" i="48"/>
  <c r="H83" i="46" s="1"/>
  <c r="P74" i="48"/>
  <c r="P83" i="46" s="1"/>
  <c r="G75" i="48"/>
  <c r="G84" i="46" s="1"/>
  <c r="O75" i="48"/>
  <c r="O84" i="46" s="1"/>
  <c r="F76" i="48"/>
  <c r="F85" i="46" s="1"/>
  <c r="N76" i="48"/>
  <c r="N85" i="46" s="1"/>
  <c r="E77" i="48"/>
  <c r="E86" i="46" s="1"/>
  <c r="M77" i="48"/>
  <c r="M86" i="46" s="1"/>
  <c r="D78" i="48"/>
  <c r="D87" i="46" s="1"/>
  <c r="L78" i="48"/>
  <c r="L87" i="46" s="1"/>
  <c r="C79" i="48"/>
  <c r="C88" i="46" s="1"/>
  <c r="K79" i="48"/>
  <c r="K88" i="46" s="1"/>
  <c r="S79" i="48"/>
  <c r="S88" i="46" s="1"/>
  <c r="J80" i="48"/>
  <c r="J89" i="46" s="1"/>
  <c r="J151" i="46" s="1"/>
  <c r="R80" i="48"/>
  <c r="R89" i="46" s="1"/>
  <c r="I81" i="48"/>
  <c r="I90" i="46" s="1"/>
  <c r="Q81" i="48"/>
  <c r="Q90" i="46" s="1"/>
  <c r="H82" i="48"/>
  <c r="H91" i="46" s="1"/>
  <c r="P82" i="48"/>
  <c r="P91" i="46" s="1"/>
  <c r="G83" i="48"/>
  <c r="G92" i="46" s="1"/>
  <c r="O83" i="48"/>
  <c r="O92" i="46" s="1"/>
  <c r="F84" i="48"/>
  <c r="F93" i="46" s="1"/>
  <c r="N84" i="48"/>
  <c r="N93" i="46" s="1"/>
  <c r="N155" i="46" s="1"/>
  <c r="E85" i="48"/>
  <c r="E94" i="46" s="1"/>
  <c r="M85" i="48"/>
  <c r="M94" i="46" s="1"/>
  <c r="D86" i="48"/>
  <c r="D95" i="46" s="1"/>
  <c r="L86" i="48"/>
  <c r="L95" i="46" s="1"/>
  <c r="C87" i="48"/>
  <c r="C96" i="46" s="1"/>
  <c r="K87" i="48"/>
  <c r="K96" i="46" s="1"/>
  <c r="S87" i="48"/>
  <c r="S96" i="46" s="1"/>
  <c r="I115" i="48"/>
  <c r="Q115" i="48"/>
  <c r="I284" i="46"/>
  <c r="I248" i="46"/>
  <c r="Q284" i="46"/>
  <c r="Q248" i="46"/>
  <c r="P63" i="46"/>
  <c r="K259" i="46"/>
  <c r="S259" i="46"/>
  <c r="J260" i="46"/>
  <c r="H262" i="46"/>
  <c r="P262" i="46"/>
  <c r="G263" i="46"/>
  <c r="O263" i="46"/>
  <c r="N264" i="46"/>
  <c r="E265" i="46"/>
  <c r="H278" i="46"/>
  <c r="E281" i="46"/>
  <c r="I162" i="46"/>
  <c r="L168" i="46"/>
  <c r="G173" i="46"/>
  <c r="F175" i="46"/>
  <c r="D179" i="46"/>
  <c r="C181" i="46"/>
  <c r="S181" i="46"/>
  <c r="R182" i="46"/>
  <c r="Q183" i="46"/>
  <c r="P184" i="46"/>
  <c r="G60" i="48"/>
  <c r="G69" i="46" s="1"/>
  <c r="F61" i="48"/>
  <c r="F70" i="46" s="1"/>
  <c r="D63" i="48"/>
  <c r="D72" i="46" s="1"/>
  <c r="C64" i="48"/>
  <c r="C73" i="46" s="1"/>
  <c r="C135" i="46" s="1"/>
  <c r="K64" i="48"/>
  <c r="K73" i="46" s="1"/>
  <c r="K135" i="46" s="1"/>
  <c r="J65" i="48"/>
  <c r="J74" i="46" s="1"/>
  <c r="I66" i="48"/>
  <c r="I75" i="46" s="1"/>
  <c r="I137" i="46" s="1"/>
  <c r="H67" i="48"/>
  <c r="H76" i="46" s="1"/>
  <c r="F69" i="48"/>
  <c r="F78" i="46" s="1"/>
  <c r="F140" i="46" s="1"/>
  <c r="E70" i="48"/>
  <c r="E79" i="46" s="1"/>
  <c r="D71" i="48"/>
  <c r="D80" i="46" s="1"/>
  <c r="K72" i="48"/>
  <c r="K81" i="46" s="1"/>
  <c r="J73" i="48"/>
  <c r="J82" i="46" s="1"/>
  <c r="I74" i="48"/>
  <c r="I83" i="46" s="1"/>
  <c r="H75" i="48"/>
  <c r="H84" i="46" s="1"/>
  <c r="G76" i="48"/>
  <c r="G85" i="46" s="1"/>
  <c r="F77" i="48"/>
  <c r="F86" i="46" s="1"/>
  <c r="E78" i="48"/>
  <c r="E87" i="46" s="1"/>
  <c r="D79" i="48"/>
  <c r="D88" i="46" s="1"/>
  <c r="C80" i="48"/>
  <c r="C89" i="46" s="1"/>
  <c r="C274" i="46" s="1"/>
  <c r="K80" i="48"/>
  <c r="K89" i="46" s="1"/>
  <c r="K151" i="46" s="1"/>
  <c r="J81" i="48"/>
  <c r="J90" i="46" s="1"/>
  <c r="I82" i="48"/>
  <c r="I91" i="46" s="1"/>
  <c r="H83" i="48"/>
  <c r="H92" i="46" s="1"/>
  <c r="G84" i="48"/>
  <c r="G93" i="46" s="1"/>
  <c r="G155" i="46" s="1"/>
  <c r="F85" i="48"/>
  <c r="F94" i="46" s="1"/>
  <c r="E86" i="48"/>
  <c r="E95" i="46" s="1"/>
  <c r="D87" i="48"/>
  <c r="D96" i="46" s="1"/>
  <c r="J115" i="48"/>
  <c r="J223" i="46"/>
  <c r="J63" i="46"/>
  <c r="R223" i="46"/>
  <c r="R63" i="46"/>
  <c r="E239" i="46"/>
  <c r="E300" i="46" s="1"/>
  <c r="E177" i="46"/>
  <c r="Q63" i="46"/>
  <c r="C161" i="46"/>
  <c r="C124" i="46"/>
  <c r="K161" i="46"/>
  <c r="K124" i="46"/>
  <c r="S161" i="46"/>
  <c r="S124" i="46"/>
  <c r="J162" i="46"/>
  <c r="R162" i="46"/>
  <c r="I163" i="46"/>
  <c r="Q163" i="46"/>
  <c r="H164" i="46"/>
  <c r="I172" i="46"/>
  <c r="D278" i="46"/>
  <c r="I281" i="46"/>
  <c r="G161" i="46"/>
  <c r="G124" i="46"/>
  <c r="O161" i="46"/>
  <c r="O124" i="46"/>
  <c r="F162" i="46"/>
  <c r="N162" i="46"/>
  <c r="E163" i="46"/>
  <c r="M163" i="46"/>
  <c r="D164" i="46"/>
  <c r="L164" i="46"/>
  <c r="C165" i="46"/>
  <c r="K165" i="46"/>
  <c r="S165" i="46"/>
  <c r="J167" i="46"/>
  <c r="I168" i="46"/>
  <c r="Q168" i="46"/>
  <c r="H169" i="46"/>
  <c r="P169" i="46"/>
  <c r="G170" i="46"/>
  <c r="O170" i="46"/>
  <c r="F171" i="46"/>
  <c r="N171" i="46"/>
  <c r="E172" i="46"/>
  <c r="M172" i="46"/>
  <c r="D173" i="46"/>
  <c r="L173" i="46"/>
  <c r="C175" i="46"/>
  <c r="K175" i="46"/>
  <c r="S175" i="46"/>
  <c r="J177" i="46"/>
  <c r="R177" i="46"/>
  <c r="I179" i="46"/>
  <c r="Q179" i="46"/>
  <c r="H181" i="46"/>
  <c r="P181" i="46"/>
  <c r="G182" i="46"/>
  <c r="O182" i="46"/>
  <c r="F183" i="46"/>
  <c r="N183" i="46"/>
  <c r="E184" i="46"/>
  <c r="M184" i="46"/>
  <c r="C133" i="46"/>
  <c r="P259" i="46"/>
  <c r="D263" i="46"/>
  <c r="K264" i="46"/>
  <c r="H161" i="46"/>
  <c r="G162" i="46"/>
  <c r="O162" i="46"/>
  <c r="N163" i="46"/>
  <c r="E164" i="46"/>
  <c r="M164" i="46"/>
  <c r="D165" i="46"/>
  <c r="L165" i="46"/>
  <c r="C167" i="46"/>
  <c r="K167" i="46"/>
  <c r="S167" i="46"/>
  <c r="J168" i="46"/>
  <c r="R168" i="46"/>
  <c r="I169" i="46"/>
  <c r="Q169" i="46"/>
  <c r="H170" i="46"/>
  <c r="P170" i="46"/>
  <c r="G171" i="46"/>
  <c r="O171" i="46"/>
  <c r="F172" i="46"/>
  <c r="N172" i="46"/>
  <c r="E173" i="46"/>
  <c r="M173" i="46"/>
  <c r="D175" i="46"/>
  <c r="L175" i="46"/>
  <c r="E185" i="46"/>
  <c r="M185" i="46"/>
  <c r="N278" i="46"/>
  <c r="I161" i="46"/>
  <c r="Q161" i="46"/>
  <c r="H162" i="46"/>
  <c r="P162" i="46"/>
  <c r="G163" i="46"/>
  <c r="O163" i="46"/>
  <c r="F164" i="46"/>
  <c r="E165" i="46"/>
  <c r="M165" i="46"/>
  <c r="L167" i="46"/>
  <c r="C168" i="46"/>
  <c r="K168" i="46"/>
  <c r="S168" i="46"/>
  <c r="J169" i="46"/>
  <c r="R169" i="46"/>
  <c r="I170" i="46"/>
  <c r="Q170" i="46"/>
  <c r="H171" i="46"/>
  <c r="P171" i="46"/>
  <c r="G172" i="46"/>
  <c r="O172" i="46"/>
  <c r="F173" i="46"/>
  <c r="N173" i="46"/>
  <c r="E175" i="46"/>
  <c r="M175" i="46"/>
  <c r="D177" i="46"/>
  <c r="L177" i="46"/>
  <c r="C179" i="46"/>
  <c r="K179" i="46"/>
  <c r="S179" i="46"/>
  <c r="J181" i="46"/>
  <c r="R181" i="46"/>
  <c r="I182" i="46"/>
  <c r="Q182" i="46"/>
  <c r="H183" i="46"/>
  <c r="P183" i="46"/>
  <c r="G184" i="46"/>
  <c r="O184" i="46"/>
  <c r="F185" i="46"/>
  <c r="N185" i="46"/>
  <c r="H124" i="46"/>
  <c r="P161" i="46"/>
  <c r="G278" i="46"/>
  <c r="L281" i="46"/>
  <c r="J161" i="46"/>
  <c r="J124" i="46"/>
  <c r="R124" i="46"/>
  <c r="R161" i="46"/>
  <c r="Q162" i="46"/>
  <c r="H163" i="46"/>
  <c r="P163" i="46"/>
  <c r="G164" i="46"/>
  <c r="O164" i="46"/>
  <c r="F165" i="46"/>
  <c r="N165" i="46"/>
  <c r="E167" i="46"/>
  <c r="M167" i="46"/>
  <c r="D168" i="46"/>
  <c r="C169" i="46"/>
  <c r="K169" i="46"/>
  <c r="S169" i="46"/>
  <c r="J170" i="46"/>
  <c r="R170" i="46"/>
  <c r="I171" i="46"/>
  <c r="Q171" i="46"/>
  <c r="H172" i="46"/>
  <c r="P172" i="46"/>
  <c r="O173" i="46"/>
  <c r="N175" i="46"/>
  <c r="M177" i="46"/>
  <c r="L179" i="46"/>
  <c r="K181" i="46"/>
  <c r="J182" i="46"/>
  <c r="I183" i="46"/>
  <c r="H184" i="46"/>
  <c r="G185" i="46"/>
  <c r="O185" i="46"/>
  <c r="I124" i="46"/>
  <c r="P164" i="46"/>
  <c r="G165" i="46"/>
  <c r="O165" i="46"/>
  <c r="F167" i="46"/>
  <c r="N167" i="46"/>
  <c r="E168" i="46"/>
  <c r="M168" i="46"/>
  <c r="D169" i="46"/>
  <c r="L169" i="46"/>
  <c r="C170" i="46"/>
  <c r="K170" i="46"/>
  <c r="S170" i="46"/>
  <c r="J171" i="46"/>
  <c r="R171" i="46"/>
  <c r="Q172" i="46"/>
  <c r="H173" i="46"/>
  <c r="P173" i="46"/>
  <c r="G175" i="46"/>
  <c r="O175" i="46"/>
  <c r="F177" i="46"/>
  <c r="N177" i="46"/>
  <c r="E179" i="46"/>
  <c r="M179" i="46"/>
  <c r="D181" i="46"/>
  <c r="L181" i="46"/>
  <c r="C182" i="46"/>
  <c r="K182" i="46"/>
  <c r="S182" i="46"/>
  <c r="J183" i="46"/>
  <c r="R183" i="46"/>
  <c r="I184" i="46"/>
  <c r="Q184" i="46"/>
  <c r="I278" i="46"/>
  <c r="Q278" i="46"/>
  <c r="D161" i="46"/>
  <c r="D124" i="46"/>
  <c r="L124" i="46"/>
  <c r="L161" i="46"/>
  <c r="C162" i="46"/>
  <c r="K162" i="46"/>
  <c r="S162" i="46"/>
  <c r="J163" i="46"/>
  <c r="I164" i="46"/>
  <c r="Q164" i="46"/>
  <c r="H165" i="46"/>
  <c r="P165" i="46"/>
  <c r="G167" i="46"/>
  <c r="O167" i="46"/>
  <c r="F168" i="46"/>
  <c r="N168" i="46"/>
  <c r="E169" i="46"/>
  <c r="M169" i="46"/>
  <c r="D170" i="46"/>
  <c r="L170" i="46"/>
  <c r="C171" i="46"/>
  <c r="S171" i="46"/>
  <c r="J172" i="46"/>
  <c r="R172" i="46"/>
  <c r="I173" i="46"/>
  <c r="Q173" i="46"/>
  <c r="H175" i="46"/>
  <c r="P175" i="46"/>
  <c r="G177" i="46"/>
  <c r="O177" i="46"/>
  <c r="F179" i="46"/>
  <c r="N179" i="46"/>
  <c r="E181" i="46"/>
  <c r="M181" i="46"/>
  <c r="D182" i="46"/>
  <c r="L182" i="46"/>
  <c r="C183" i="46"/>
  <c r="K183" i="46"/>
  <c r="S183" i="46"/>
  <c r="J184" i="46"/>
  <c r="R184" i="46"/>
  <c r="I185" i="46"/>
  <c r="Q185" i="46"/>
  <c r="J278" i="46"/>
  <c r="R278" i="46"/>
  <c r="O281" i="46"/>
  <c r="M161" i="46"/>
  <c r="D162" i="46"/>
  <c r="L162" i="46"/>
  <c r="C163" i="46"/>
  <c r="K163" i="46"/>
  <c r="S163" i="46"/>
  <c r="J164" i="46"/>
  <c r="R164" i="46"/>
  <c r="I165" i="46"/>
  <c r="Q165" i="46"/>
  <c r="H167" i="46"/>
  <c r="P167" i="46"/>
  <c r="G168" i="46"/>
  <c r="O168" i="46"/>
  <c r="F169" i="46"/>
  <c r="N169" i="46"/>
  <c r="E170" i="46"/>
  <c r="M170" i="46"/>
  <c r="D171" i="46"/>
  <c r="L171" i="46"/>
  <c r="C172" i="46"/>
  <c r="K172" i="46"/>
  <c r="S172" i="46"/>
  <c r="J173" i="46"/>
  <c r="R173" i="46"/>
  <c r="I175" i="46"/>
  <c r="Q175" i="46"/>
  <c r="H177" i="46"/>
  <c r="P177" i="46"/>
  <c r="G179" i="46"/>
  <c r="O179" i="46"/>
  <c r="F181" i="46"/>
  <c r="N181" i="46"/>
  <c r="E182" i="46"/>
  <c r="M182" i="46"/>
  <c r="D183" i="46"/>
  <c r="L183" i="46"/>
  <c r="C184" i="46"/>
  <c r="K184" i="46"/>
  <c r="S184" i="46"/>
  <c r="J185" i="46"/>
  <c r="R185" i="46"/>
  <c r="S262" i="46"/>
  <c r="S278" i="46"/>
  <c r="F161" i="46"/>
  <c r="N161" i="46"/>
  <c r="E162" i="46"/>
  <c r="M162" i="46"/>
  <c r="D163" i="46"/>
  <c r="L163" i="46"/>
  <c r="C164" i="46"/>
  <c r="K164" i="46"/>
  <c r="S164" i="46"/>
  <c r="R165" i="46"/>
  <c r="I167" i="46"/>
  <c r="Q167" i="46"/>
  <c r="H168" i="46"/>
  <c r="P168" i="46"/>
  <c r="O169" i="46"/>
  <c r="F170" i="46"/>
  <c r="E171" i="46"/>
  <c r="M171" i="46"/>
  <c r="D172" i="46"/>
  <c r="L172" i="46"/>
  <c r="C173" i="46"/>
  <c r="K173" i="46"/>
  <c r="S173" i="46"/>
  <c r="J175" i="46"/>
  <c r="R175" i="46"/>
  <c r="C185" i="46"/>
  <c r="K185" i="46"/>
  <c r="Q124" i="46"/>
  <c r="H185" i="46"/>
  <c r="P185" i="46"/>
  <c r="I177" i="46"/>
  <c r="Q177" i="46"/>
  <c r="H179" i="46"/>
  <c r="P179" i="46"/>
  <c r="G181" i="46"/>
  <c r="O181" i="46"/>
  <c r="F182" i="46"/>
  <c r="N182" i="46"/>
  <c r="E183" i="46"/>
  <c r="M183" i="46"/>
  <c r="D184" i="46"/>
  <c r="L184" i="46"/>
  <c r="S185" i="46"/>
  <c r="D185" i="46"/>
  <c r="L185" i="46"/>
  <c r="C177" i="46"/>
  <c r="K177" i="46"/>
  <c r="S177" i="46"/>
  <c r="J179" i="46"/>
  <c r="R179" i="46"/>
  <c r="I181" i="46"/>
  <c r="Q181" i="46"/>
  <c r="H182" i="46"/>
  <c r="P182" i="46"/>
  <c r="G183" i="46"/>
  <c r="O183" i="46"/>
  <c r="F184" i="46"/>
  <c r="N184" i="46"/>
  <c r="Y58" i="35"/>
  <c r="Y59" i="35" s="1"/>
  <c r="Y60" i="35" s="1"/>
  <c r="Y61" i="35" s="1"/>
  <c r="Y62" i="35" s="1"/>
  <c r="Y63" i="35" s="1"/>
  <c r="Y64" i="35" s="1"/>
  <c r="Y65" i="35" s="1"/>
  <c r="Y66" i="35" s="1"/>
  <c r="Y67" i="35" s="1"/>
  <c r="Y68" i="35" s="1"/>
  <c r="Y69" i="35" s="1"/>
  <c r="Y70" i="35" s="1"/>
  <c r="Y71" i="35" s="1"/>
  <c r="Y72" i="35" s="1"/>
  <c r="Y73" i="35" s="1"/>
  <c r="Y74" i="35" s="1"/>
  <c r="J140" i="34"/>
  <c r="E140" i="34" s="1"/>
  <c r="H179" i="35"/>
  <c r="H180" i="35" s="1"/>
  <c r="H181" i="35" s="1"/>
  <c r="H182" i="35" s="1"/>
  <c r="H183" i="35" s="1"/>
  <c r="H184" i="35" s="1"/>
  <c r="H185" i="35" s="1"/>
  <c r="H186" i="35" s="1"/>
  <c r="H187" i="35" s="1"/>
  <c r="H188" i="35" s="1"/>
  <c r="H189" i="35" s="1"/>
  <c r="H190" i="35" s="1"/>
  <c r="H191" i="35" s="1"/>
  <c r="H192" i="35" s="1"/>
  <c r="H193" i="35" s="1"/>
  <c r="H194" i="35" s="1"/>
  <c r="H195" i="35" s="1"/>
  <c r="D240" i="35"/>
  <c r="E240" i="35" s="1"/>
  <c r="F240" i="35" s="1"/>
  <c r="G240" i="35" s="1"/>
  <c r="G293" i="35" s="1"/>
  <c r="V37" i="33"/>
  <c r="F47" i="34"/>
  <c r="I151" i="34" s="1"/>
  <c r="J47" i="34"/>
  <c r="AF37" i="33"/>
  <c r="F51" i="34"/>
  <c r="I155" i="34" s="1"/>
  <c r="J50" i="34"/>
  <c r="J52" i="34"/>
  <c r="J51" i="34"/>
  <c r="F52" i="34"/>
  <c r="I81" i="35"/>
  <c r="E53" i="34"/>
  <c r="F53" i="34" s="1"/>
  <c r="AE55" i="35"/>
  <c r="AE56" i="35" s="1"/>
  <c r="AE57" i="35" s="1"/>
  <c r="AE58" i="35" s="1"/>
  <c r="AE59" i="35" s="1"/>
  <c r="AE60" i="35" s="1"/>
  <c r="AE61" i="35" s="1"/>
  <c r="AE62" i="35" s="1"/>
  <c r="AE63" i="35" s="1"/>
  <c r="AE64" i="35" s="1"/>
  <c r="AE65" i="35" s="1"/>
  <c r="AE66" i="35" s="1"/>
  <c r="AE67" i="35" s="1"/>
  <c r="AE68" i="35" s="1"/>
  <c r="AE69" i="35" s="1"/>
  <c r="AE70" i="35" s="1"/>
  <c r="AE71" i="35" s="1"/>
  <c r="D203" i="35"/>
  <c r="AR37" i="33"/>
  <c r="AU37" i="33"/>
  <c r="E50" i="34"/>
  <c r="N49" i="34" s="1"/>
  <c r="E151" i="35"/>
  <c r="E152" i="35" s="1"/>
  <c r="E153" i="35" s="1"/>
  <c r="E154" i="35" s="1"/>
  <c r="E155" i="35" s="1"/>
  <c r="E156" i="35" s="1"/>
  <c r="E157" i="35" s="1"/>
  <c r="E158" i="35" s="1"/>
  <c r="E159" i="35" s="1"/>
  <c r="E160" i="35" s="1"/>
  <c r="E161" i="35" s="1"/>
  <c r="E162" i="35" s="1"/>
  <c r="E163" i="35" s="1"/>
  <c r="E164" i="35" s="1"/>
  <c r="E165" i="35" s="1"/>
  <c r="E166" i="35" s="1"/>
  <c r="E167" i="35" s="1"/>
  <c r="J53" i="34"/>
  <c r="E211" i="35"/>
  <c r="E212" i="35" s="1"/>
  <c r="E213" i="35" s="1"/>
  <c r="E214" i="35" s="1"/>
  <c r="E215" i="35" s="1"/>
  <c r="E216" i="35" s="1"/>
  <c r="E217" i="35" s="1"/>
  <c r="E218" i="35" s="1"/>
  <c r="E219" i="35" s="1"/>
  <c r="E220" i="35" s="1"/>
  <c r="E221" i="35" s="1"/>
  <c r="E222" i="35" s="1"/>
  <c r="E223" i="35" s="1"/>
  <c r="E224" i="35" s="1"/>
  <c r="E225" i="35" s="1"/>
  <c r="E226" i="35" s="1"/>
  <c r="E227" i="35" s="1"/>
  <c r="Q37" i="33"/>
  <c r="C90" i="34"/>
  <c r="C91" i="34" s="1"/>
  <c r="C92" i="34" s="1"/>
  <c r="C93" i="34" s="1"/>
  <c r="C94" i="34" s="1"/>
  <c r="C95" i="34" s="1"/>
  <c r="C96" i="34" s="1"/>
  <c r="C97" i="34" s="1"/>
  <c r="C98" i="34" s="1"/>
  <c r="C99" i="34" s="1"/>
  <c r="C100" i="34" s="1"/>
  <c r="C101" i="34" s="1"/>
  <c r="C102" i="34" s="1"/>
  <c r="C103" i="34" s="1"/>
  <c r="C104" i="34" s="1"/>
  <c r="C105" i="34" s="1"/>
  <c r="C106" i="34" s="1"/>
  <c r="G179" i="35"/>
  <c r="G180" i="35" s="1"/>
  <c r="G181" i="35" s="1"/>
  <c r="G182" i="35" s="1"/>
  <c r="G183" i="35" s="1"/>
  <c r="G184" i="35" s="1"/>
  <c r="G185" i="35" s="1"/>
  <c r="G186" i="35" s="1"/>
  <c r="G187" i="35" s="1"/>
  <c r="G188" i="35" s="1"/>
  <c r="G189" i="35" s="1"/>
  <c r="G190" i="35" s="1"/>
  <c r="G191" i="35" s="1"/>
  <c r="G192" i="35" s="1"/>
  <c r="G193" i="35" s="1"/>
  <c r="G194" i="35" s="1"/>
  <c r="G195" i="35" s="1"/>
  <c r="E79" i="38"/>
  <c r="E80" i="38" s="1"/>
  <c r="E81" i="38" s="1"/>
  <c r="E82" i="38" s="1"/>
  <c r="E83" i="38" s="1"/>
  <c r="E84" i="38" s="1"/>
  <c r="E85" i="38" s="1"/>
  <c r="E86" i="38" s="1"/>
  <c r="E87" i="38" s="1"/>
  <c r="E88" i="38" s="1"/>
  <c r="E89" i="38" s="1"/>
  <c r="E90" i="38" s="1"/>
  <c r="E91" i="38" s="1"/>
  <c r="E92" i="38" s="1"/>
  <c r="E93" i="38" s="1"/>
  <c r="E94" i="38" s="1"/>
  <c r="E95" i="38" s="1"/>
  <c r="BA37" i="33"/>
  <c r="E49" i="34"/>
  <c r="N48" i="34" s="1"/>
  <c r="T38" i="33"/>
  <c r="W38" i="33"/>
  <c r="AV38" i="33"/>
  <c r="E106" i="38"/>
  <c r="E107" i="38" s="1"/>
  <c r="E108" i="38" s="1"/>
  <c r="E109" i="38" s="1"/>
  <c r="E110" i="38" s="1"/>
  <c r="E111" i="38" s="1"/>
  <c r="E112" i="38" s="1"/>
  <c r="E113" i="38" s="1"/>
  <c r="E114" i="38" s="1"/>
  <c r="E115" i="38" s="1"/>
  <c r="E116" i="38" s="1"/>
  <c r="E117" i="38" s="1"/>
  <c r="E118" i="38" s="1"/>
  <c r="E119" i="38" s="1"/>
  <c r="E120" i="38" s="1"/>
  <c r="E121" i="38" s="1"/>
  <c r="E122" i="38" s="1"/>
  <c r="S38" i="33"/>
  <c r="L16" i="3" l="1"/>
  <c r="BC112" i="4"/>
  <c r="P450" i="3"/>
  <c r="K178" i="35" s="1"/>
  <c r="IO187" i="54"/>
  <c r="DI187" i="54"/>
  <c r="GG187" i="54"/>
  <c r="DU187" i="54"/>
  <c r="GN187" i="54"/>
  <c r="GD187" i="54"/>
  <c r="EA187" i="54"/>
  <c r="GS187" i="54"/>
  <c r="H281" i="46"/>
  <c r="R263" i="46"/>
  <c r="O260" i="46"/>
  <c r="GB187" i="54"/>
  <c r="I262" i="46"/>
  <c r="K260" i="46"/>
  <c r="L262" i="46"/>
  <c r="EG187" i="54"/>
  <c r="J281" i="46"/>
  <c r="E258" i="46"/>
  <c r="F262" i="46"/>
  <c r="GA187" i="54"/>
  <c r="IV187" i="54"/>
  <c r="F264" i="46"/>
  <c r="M9" i="30"/>
  <c r="G41" i="79"/>
  <c r="Q262" i="46"/>
  <c r="I9" i="30"/>
  <c r="P186" i="46"/>
  <c r="Q186" i="46"/>
  <c r="K186" i="46"/>
  <c r="D265" i="46"/>
  <c r="D142" i="46"/>
  <c r="S281" i="46"/>
  <c r="S158" i="46"/>
  <c r="F278" i="46"/>
  <c r="F155" i="46"/>
  <c r="Q265" i="46"/>
  <c r="Q142" i="46"/>
  <c r="K278" i="46"/>
  <c r="K155" i="46"/>
  <c r="J263" i="46"/>
  <c r="J140" i="46"/>
  <c r="G258" i="46"/>
  <c r="G135" i="46"/>
  <c r="M274" i="46"/>
  <c r="M151" i="46"/>
  <c r="H263" i="46"/>
  <c r="H140" i="46"/>
  <c r="M258" i="46"/>
  <c r="M135" i="46"/>
  <c r="D262" i="46"/>
  <c r="D139" i="46"/>
  <c r="O265" i="46"/>
  <c r="O142" i="46"/>
  <c r="R260" i="46"/>
  <c r="R137" i="46"/>
  <c r="D186" i="46"/>
  <c r="I186" i="46"/>
  <c r="E264" i="46"/>
  <c r="E141" i="46"/>
  <c r="K281" i="46"/>
  <c r="K158" i="46"/>
  <c r="P281" i="46"/>
  <c r="P158" i="46"/>
  <c r="G274" i="46"/>
  <c r="G151" i="46"/>
  <c r="E186" i="46"/>
  <c r="N281" i="46"/>
  <c r="N158" i="46"/>
  <c r="E274" i="46"/>
  <c r="E151" i="46"/>
  <c r="G281" i="46"/>
  <c r="G158" i="46"/>
  <c r="Q263" i="46"/>
  <c r="Q140" i="46"/>
  <c r="M265" i="46"/>
  <c r="M142" i="46"/>
  <c r="M281" i="46"/>
  <c r="M158" i="46"/>
  <c r="HY187" i="54"/>
  <c r="HM187" i="54"/>
  <c r="FD187" i="54"/>
  <c r="DD187" i="54"/>
  <c r="HS187" i="54"/>
  <c r="IW187" i="54"/>
  <c r="GW187" i="54"/>
  <c r="R186" i="46"/>
  <c r="O186" i="46"/>
  <c r="C186" i="46"/>
  <c r="C281" i="46"/>
  <c r="C158" i="46"/>
  <c r="M278" i="46"/>
  <c r="M155" i="46"/>
  <c r="L263" i="46"/>
  <c r="L140" i="46"/>
  <c r="Q258" i="46"/>
  <c r="Q135" i="46"/>
  <c r="R264" i="46"/>
  <c r="R141" i="46"/>
  <c r="F260" i="46"/>
  <c r="F137" i="46"/>
  <c r="F281" i="46"/>
  <c r="F158" i="46"/>
  <c r="E262" i="46"/>
  <c r="E139" i="46"/>
  <c r="H264" i="46"/>
  <c r="H141" i="46"/>
  <c r="M186" i="46"/>
  <c r="R281" i="46"/>
  <c r="R158" i="46"/>
  <c r="E278" i="46"/>
  <c r="E155" i="46"/>
  <c r="I274" i="46"/>
  <c r="I151" i="46"/>
  <c r="I258" i="46"/>
  <c r="I135" i="46"/>
  <c r="J264" i="46"/>
  <c r="J141" i="46"/>
  <c r="O259" i="46"/>
  <c r="O136" i="46"/>
  <c r="P265" i="46"/>
  <c r="P142" i="46"/>
  <c r="N265" i="46"/>
  <c r="N142" i="46"/>
  <c r="S260" i="46"/>
  <c r="S137" i="46"/>
  <c r="P278" i="46"/>
  <c r="P155" i="46"/>
  <c r="G265" i="46"/>
  <c r="G142" i="46"/>
  <c r="L260" i="46"/>
  <c r="L137" i="46"/>
  <c r="D274" i="46"/>
  <c r="D151" i="46"/>
  <c r="N186" i="46"/>
  <c r="G186" i="46"/>
  <c r="C265" i="46"/>
  <c r="C142" i="46"/>
  <c r="H260" i="46"/>
  <c r="H137" i="46"/>
  <c r="S263" i="46"/>
  <c r="S140" i="46"/>
  <c r="G259" i="46"/>
  <c r="G136" i="46"/>
  <c r="H265" i="46"/>
  <c r="H142" i="46"/>
  <c r="E260" i="46"/>
  <c r="E137" i="46"/>
  <c r="F265" i="46"/>
  <c r="F142" i="46"/>
  <c r="D260" i="46"/>
  <c r="D137" i="46"/>
  <c r="I263" i="46"/>
  <c r="I140" i="46"/>
  <c r="N258" i="46"/>
  <c r="N135" i="46"/>
  <c r="R262" i="46"/>
  <c r="R139" i="46"/>
  <c r="F186" i="46"/>
  <c r="J186" i="46"/>
  <c r="H186" i="46"/>
  <c r="J259" i="46"/>
  <c r="J136" i="46"/>
  <c r="Q259" i="46"/>
  <c r="Q136" i="46"/>
  <c r="R265" i="46"/>
  <c r="R142" i="46"/>
  <c r="L278" i="46"/>
  <c r="L155" i="46"/>
  <c r="P274" i="46"/>
  <c r="P151" i="46"/>
  <c r="N259" i="46"/>
  <c r="N136" i="46"/>
  <c r="O264" i="46"/>
  <c r="O141" i="46"/>
  <c r="C260" i="46"/>
  <c r="C137" i="46"/>
  <c r="C262" i="46"/>
  <c r="C139" i="46"/>
  <c r="N262" i="46"/>
  <c r="N139" i="46"/>
  <c r="F258" i="46"/>
  <c r="F135" i="46"/>
  <c r="L258" i="46"/>
  <c r="L135" i="46"/>
  <c r="FS187" i="54"/>
  <c r="DG187" i="54"/>
  <c r="ET187" i="54"/>
  <c r="FW187" i="54"/>
  <c r="EP187" i="54"/>
  <c r="HC187" i="54"/>
  <c r="L186" i="46"/>
  <c r="S186" i="46"/>
  <c r="D264" i="46"/>
  <c r="D141" i="46"/>
  <c r="I259" i="46"/>
  <c r="I136" i="46"/>
  <c r="J265" i="46"/>
  <c r="J142" i="46"/>
  <c r="Q281" i="46"/>
  <c r="Q158" i="46"/>
  <c r="H274" i="46"/>
  <c r="H151" i="46"/>
  <c r="C263" i="46"/>
  <c r="C140" i="46"/>
  <c r="H258" i="46"/>
  <c r="H135" i="46"/>
  <c r="I264" i="46"/>
  <c r="I141" i="46"/>
  <c r="G264" i="46"/>
  <c r="G141" i="46"/>
  <c r="L259" i="46"/>
  <c r="L136" i="46"/>
  <c r="K262" i="46"/>
  <c r="K139" i="46"/>
  <c r="G262" i="46"/>
  <c r="G139" i="46"/>
  <c r="D258" i="46"/>
  <c r="D135" i="46"/>
  <c r="F274" i="46"/>
  <c r="F151" i="46"/>
  <c r="D281" i="46"/>
  <c r="D158" i="46"/>
  <c r="R274" i="46"/>
  <c r="R151" i="46"/>
  <c r="O258" i="46"/>
  <c r="O135" i="46"/>
  <c r="P263" i="46"/>
  <c r="P140" i="46"/>
  <c r="D259" i="46"/>
  <c r="D136" i="46"/>
  <c r="J262" i="46"/>
  <c r="J139" i="46"/>
  <c r="N47" i="34"/>
  <c r="C259" i="46"/>
  <c r="M262" i="46"/>
  <c r="N256" i="46"/>
  <c r="Q264" i="46"/>
  <c r="O50" i="8"/>
  <c r="I260" i="46"/>
  <c r="S265" i="46"/>
  <c r="P260" i="46"/>
  <c r="N97" i="46"/>
  <c r="C258" i="46"/>
  <c r="L264" i="46"/>
  <c r="R258" i="46"/>
  <c r="O97" i="46"/>
  <c r="F259" i="46"/>
  <c r="D142" i="80"/>
  <c r="H28" i="81"/>
  <c r="E84" i="81" s="1"/>
  <c r="F84" i="81" s="1"/>
  <c r="G84" i="81" s="1"/>
  <c r="D144" i="80"/>
  <c r="K255" i="79"/>
  <c r="K30" i="79"/>
  <c r="L256" i="79"/>
  <c r="L31" i="79"/>
  <c r="M256" i="79"/>
  <c r="M31" i="79"/>
  <c r="K407" i="79"/>
  <c r="K38" i="79"/>
  <c r="L326" i="79"/>
  <c r="L33" i="79"/>
  <c r="L406" i="79"/>
  <c r="L37" i="79"/>
  <c r="L255" i="79"/>
  <c r="L30" i="79"/>
  <c r="K350" i="79"/>
  <c r="K34" i="79"/>
  <c r="K326" i="79"/>
  <c r="K33" i="79"/>
  <c r="M407" i="79"/>
  <c r="M38" i="79"/>
  <c r="N17" i="79"/>
  <c r="L350" i="79"/>
  <c r="L34" i="79"/>
  <c r="K256" i="79"/>
  <c r="K31" i="79"/>
  <c r="L257" i="79"/>
  <c r="L32" i="79"/>
  <c r="M326" i="79"/>
  <c r="M33" i="79"/>
  <c r="K257" i="79"/>
  <c r="K32" i="79"/>
  <c r="M352" i="79"/>
  <c r="M36" i="79"/>
  <c r="L352" i="79"/>
  <c r="L36" i="79"/>
  <c r="M350" i="79"/>
  <c r="M34" i="79"/>
  <c r="K351" i="79"/>
  <c r="K35" i="79"/>
  <c r="M406" i="79"/>
  <c r="M37" i="79"/>
  <c r="M255" i="79"/>
  <c r="M30" i="79"/>
  <c r="L351" i="79"/>
  <c r="L35" i="79"/>
  <c r="K406" i="79"/>
  <c r="K37" i="79"/>
  <c r="M257" i="79"/>
  <c r="M32" i="79"/>
  <c r="L407" i="79"/>
  <c r="L38" i="79"/>
  <c r="K352" i="79"/>
  <c r="K36" i="79"/>
  <c r="M351" i="79"/>
  <c r="M35" i="79"/>
  <c r="F97" i="46"/>
  <c r="K265" i="46"/>
  <c r="R97" i="46"/>
  <c r="HH187" i="54"/>
  <c r="P97" i="46"/>
  <c r="FN187" i="54"/>
  <c r="IF187" i="54"/>
  <c r="IT187" i="54"/>
  <c r="IZ187" i="54"/>
  <c r="HF187" i="54"/>
  <c r="FU187" i="54"/>
  <c r="HU187" i="54"/>
  <c r="IC187" i="54"/>
  <c r="IK187" i="54"/>
  <c r="IS187" i="54"/>
  <c r="DX187" i="54"/>
  <c r="FR187" i="54"/>
  <c r="DF187" i="54"/>
  <c r="EK187" i="54"/>
  <c r="FF187" i="54"/>
  <c r="EE187" i="54"/>
  <c r="GM187" i="54"/>
  <c r="EY187" i="54"/>
  <c r="IJ187" i="54"/>
  <c r="DM187" i="54"/>
  <c r="ED187" i="54"/>
  <c r="HX187" i="54"/>
  <c r="FL187" i="54"/>
  <c r="HG187" i="54"/>
  <c r="ES187" i="54"/>
  <c r="ID187" i="54"/>
  <c r="FJ187" i="54"/>
  <c r="GO187" i="54"/>
  <c r="DY187" i="54"/>
  <c r="DP187" i="54"/>
  <c r="Q97" i="46"/>
  <c r="R256" i="46"/>
  <c r="FX187" i="54"/>
  <c r="FC187" i="54"/>
  <c r="IL187" i="54"/>
  <c r="FZ187" i="54"/>
  <c r="HO187" i="54"/>
  <c r="IY187" i="54"/>
  <c r="EO187" i="54"/>
  <c r="HL187" i="54"/>
  <c r="FG187" i="54"/>
  <c r="DN187" i="54"/>
  <c r="HD187" i="54"/>
  <c r="GL187" i="54"/>
  <c r="HP187" i="54"/>
  <c r="GY187" i="54"/>
  <c r="EJ187" i="54"/>
  <c r="DO187" i="54"/>
  <c r="E97" i="46"/>
  <c r="K97" i="46"/>
  <c r="C97" i="46"/>
  <c r="F263" i="46"/>
  <c r="D97" i="46"/>
  <c r="N260" i="46"/>
  <c r="I97" i="46"/>
  <c r="FE187" i="54"/>
  <c r="GB106" i="54"/>
  <c r="EZ187" i="54"/>
  <c r="FP187" i="54"/>
  <c r="FV187" i="54"/>
  <c r="HV187" i="54"/>
  <c r="G260" i="46"/>
  <c r="M263" i="46"/>
  <c r="I265" i="46"/>
  <c r="P258" i="46"/>
  <c r="EB187" i="54"/>
  <c r="H53" i="48"/>
  <c r="FB187" i="54"/>
  <c r="DZ187" i="54"/>
  <c r="S264" i="46"/>
  <c r="M97" i="46"/>
  <c r="K258" i="46"/>
  <c r="D133" i="46"/>
  <c r="L97" i="46"/>
  <c r="J97" i="46"/>
  <c r="GP187" i="54"/>
  <c r="H97" i="46"/>
  <c r="FQ187" i="54"/>
  <c r="S97" i="46"/>
  <c r="K263" i="46"/>
  <c r="HQ187" i="54"/>
  <c r="EV187" i="54"/>
  <c r="IM187" i="54"/>
  <c r="EU187" i="54"/>
  <c r="DV187" i="54"/>
  <c r="EQ187" i="54"/>
  <c r="BB140" i="4"/>
  <c r="K30" i="35" s="1"/>
  <c r="E11" i="30"/>
  <c r="J274" i="46"/>
  <c r="GH106" i="54"/>
  <c r="IF106" i="54"/>
  <c r="C264" i="46"/>
  <c r="H259" i="46"/>
  <c r="E263" i="46"/>
  <c r="J258" i="46"/>
  <c r="G131" i="26"/>
  <c r="I131" i="26" s="1"/>
  <c r="G85" i="26"/>
  <c r="I85" i="26" s="1"/>
  <c r="G87" i="26"/>
  <c r="I87" i="26" s="1"/>
  <c r="N43" i="8"/>
  <c r="N52" i="8" s="1"/>
  <c r="IT106" i="54"/>
  <c r="FZ106" i="54"/>
  <c r="ER187" i="54"/>
  <c r="Q274" i="46"/>
  <c r="N25" i="79"/>
  <c r="C155" i="46"/>
  <c r="F256" i="46"/>
  <c r="EM187" i="54"/>
  <c r="DW187" i="54"/>
  <c r="GQ187" i="54"/>
  <c r="DK187" i="54"/>
  <c r="EH187" i="54"/>
  <c r="IA187" i="54"/>
  <c r="IU187" i="54"/>
  <c r="GI187" i="54"/>
  <c r="DR187" i="54"/>
  <c r="GX187" i="54"/>
  <c r="EI187" i="54"/>
  <c r="G256" i="46"/>
  <c r="G97" i="46"/>
  <c r="EC187" i="54"/>
  <c r="HI187" i="54"/>
  <c r="EW187" i="54"/>
  <c r="FT187" i="54"/>
  <c r="DH187" i="54"/>
  <c r="K158" i="9"/>
  <c r="G86" i="26"/>
  <c r="I86" i="26" s="1"/>
  <c r="G71" i="26"/>
  <c r="I71" i="26" s="1"/>
  <c r="FN106" i="54"/>
  <c r="GV187" i="54"/>
  <c r="S256" i="46"/>
  <c r="GE187" i="54"/>
  <c r="H256" i="46"/>
  <c r="M260" i="46"/>
  <c r="HA187" i="54"/>
  <c r="FY187" i="54"/>
  <c r="G93" i="26"/>
  <c r="I93" i="26" s="1"/>
  <c r="G77" i="26"/>
  <c r="I77" i="26" s="1"/>
  <c r="E11" i="42"/>
  <c r="DL187" i="54"/>
  <c r="G113" i="26"/>
  <c r="I113" i="26" s="1"/>
  <c r="O274" i="46"/>
  <c r="IQ187" i="54"/>
  <c r="K274" i="46"/>
  <c r="HE187" i="54"/>
  <c r="DE187" i="54"/>
  <c r="G123" i="26"/>
  <c r="I123" i="26" s="1"/>
  <c r="C151" i="46"/>
  <c r="GK187" i="54"/>
  <c r="FI187" i="54"/>
  <c r="K191" i="9"/>
  <c r="G129" i="26"/>
  <c r="I129" i="26" s="1"/>
  <c r="DW106" i="54"/>
  <c r="II187" i="54"/>
  <c r="E31" i="33"/>
  <c r="AQ440" i="3" s="1"/>
  <c r="AQ441" i="3" s="1"/>
  <c r="AG441" i="3" s="1"/>
  <c r="GU187" i="54"/>
  <c r="J326" i="79"/>
  <c r="J327" i="79" s="1"/>
  <c r="IR187" i="54"/>
  <c r="GF187" i="54"/>
  <c r="DT187" i="54"/>
  <c r="N23" i="79"/>
  <c r="FO187" i="54"/>
  <c r="H88" i="37"/>
  <c r="IE187" i="54"/>
  <c r="F179" i="35"/>
  <c r="F180" i="35" s="1"/>
  <c r="F181" i="35" s="1"/>
  <c r="F182" i="35" s="1"/>
  <c r="F183" i="35" s="1"/>
  <c r="F184" i="35" s="1"/>
  <c r="F185" i="35" s="1"/>
  <c r="F186" i="35" s="1"/>
  <c r="F187" i="35" s="1"/>
  <c r="F188" i="35" s="1"/>
  <c r="F189" i="35" s="1"/>
  <c r="F190" i="35" s="1"/>
  <c r="F191" i="35" s="1"/>
  <c r="F192" i="35" s="1"/>
  <c r="F193" i="35" s="1"/>
  <c r="F194" i="35" s="1"/>
  <c r="F195" i="35" s="1"/>
  <c r="S34" i="44"/>
  <c r="S37" i="44"/>
  <c r="C179" i="35"/>
  <c r="C180" i="35" s="1"/>
  <c r="C181" i="35" s="1"/>
  <c r="C182" i="35" s="1"/>
  <c r="C183" i="35" s="1"/>
  <c r="C184" i="35" s="1"/>
  <c r="C185" i="35" s="1"/>
  <c r="C186" i="35" s="1"/>
  <c r="C187" i="35" s="1"/>
  <c r="C188" i="35" s="1"/>
  <c r="C189" i="35" s="1"/>
  <c r="C190" i="35" s="1"/>
  <c r="C191" i="35" s="1"/>
  <c r="C192" i="35" s="1"/>
  <c r="C193" i="35" s="1"/>
  <c r="C194" i="35" s="1"/>
  <c r="C195" i="35" s="1"/>
  <c r="BD143" i="4"/>
  <c r="HR187" i="54"/>
  <c r="HJ187" i="54"/>
  <c r="HB187" i="54"/>
  <c r="D241" i="35"/>
  <c r="E241" i="35" s="1"/>
  <c r="F241" i="35" s="1"/>
  <c r="G241" i="35" s="1"/>
  <c r="C268" i="35" s="1"/>
  <c r="D268" i="35" s="1"/>
  <c r="GT187" i="54"/>
  <c r="IX187" i="54"/>
  <c r="N18" i="79"/>
  <c r="IP187" i="54"/>
  <c r="J41" i="79"/>
  <c r="N304" i="9"/>
  <c r="U31" i="26" s="1"/>
  <c r="AA31" i="26" s="1"/>
  <c r="AB31" i="26" s="1"/>
  <c r="AB32" i="26" s="1"/>
  <c r="IH187" i="54"/>
  <c r="HZ187" i="54"/>
  <c r="M7" i="30"/>
  <c r="E7" i="30" s="1"/>
  <c r="N21" i="79"/>
  <c r="G54" i="8"/>
  <c r="H45" i="8" s="1"/>
  <c r="N20" i="79"/>
  <c r="N26" i="79"/>
  <c r="K218" i="9"/>
  <c r="M120" i="9"/>
  <c r="M218" i="9"/>
  <c r="K23" i="26" s="1"/>
  <c r="M23" i="26" s="1"/>
  <c r="L131" i="9"/>
  <c r="N131" i="9"/>
  <c r="I21" i="26" s="1"/>
  <c r="M131" i="9"/>
  <c r="K131" i="9"/>
  <c r="K38" i="9"/>
  <c r="K120" i="9"/>
  <c r="M38" i="9"/>
  <c r="E23" i="26" s="1"/>
  <c r="G23" i="26" s="1"/>
  <c r="K169" i="9"/>
  <c r="M169" i="9"/>
  <c r="N23" i="26" s="1"/>
  <c r="P23" i="26" s="1"/>
  <c r="M207" i="9"/>
  <c r="K16" i="26" s="1"/>
  <c r="M16" i="26" s="1"/>
  <c r="M191" i="9"/>
  <c r="N37" i="26" s="1"/>
  <c r="P37" i="26" s="1"/>
  <c r="M142" i="9"/>
  <c r="H37" i="26" s="1"/>
  <c r="J37" i="26" s="1"/>
  <c r="P52" i="8"/>
  <c r="L50" i="8"/>
  <c r="L52" i="8" s="1"/>
  <c r="J52" i="39"/>
  <c r="X51" i="41" s="1"/>
  <c r="K142" i="9"/>
  <c r="M180" i="9"/>
  <c r="N21" i="26" s="1"/>
  <c r="P21" i="26" s="1"/>
  <c r="K60" i="9"/>
  <c r="M49" i="9"/>
  <c r="E21" i="26" s="1"/>
  <c r="K49" i="9"/>
  <c r="P88" i="48"/>
  <c r="O88" i="48"/>
  <c r="N49" i="9"/>
  <c r="F21" i="26" s="1"/>
  <c r="C267" i="35"/>
  <c r="D267" i="35" s="1"/>
  <c r="J88" i="48"/>
  <c r="G94" i="37"/>
  <c r="G112" i="37" s="1"/>
  <c r="K342" i="9"/>
  <c r="O52" i="8"/>
  <c r="L49" i="9"/>
  <c r="F19" i="26"/>
  <c r="AA19" i="26" s="1"/>
  <c r="D309" i="46"/>
  <c r="I41" i="79"/>
  <c r="M15" i="30"/>
  <c r="P20" i="30"/>
  <c r="P36" i="30" s="1"/>
  <c r="I13" i="30"/>
  <c r="E13" i="30" s="1"/>
  <c r="G91" i="26"/>
  <c r="I91" i="26" s="1"/>
  <c r="G115" i="26"/>
  <c r="I115" i="26" s="1"/>
  <c r="G121" i="26"/>
  <c r="I121" i="26" s="1"/>
  <c r="R88" i="48"/>
  <c r="F309" i="46"/>
  <c r="K93" i="9"/>
  <c r="N24" i="79"/>
  <c r="N16" i="79"/>
  <c r="E9" i="30"/>
  <c r="K71" i="9"/>
  <c r="N28" i="79"/>
  <c r="O28" i="79" s="1"/>
  <c r="R28" i="79" s="1"/>
  <c r="N326" i="79"/>
  <c r="H88" i="48"/>
  <c r="K229" i="9"/>
  <c r="L180" i="9"/>
  <c r="M27" i="9"/>
  <c r="E16" i="26" s="1"/>
  <c r="M109" i="9"/>
  <c r="H16" i="26" s="1"/>
  <c r="J16" i="26" s="1"/>
  <c r="K207" i="9"/>
  <c r="M229" i="9"/>
  <c r="K37" i="26" s="1"/>
  <c r="M37" i="26" s="1"/>
  <c r="T35" i="26"/>
  <c r="V35" i="26" s="1"/>
  <c r="K27" i="9"/>
  <c r="M158" i="9"/>
  <c r="N16" i="26" s="1"/>
  <c r="P16" i="26" s="1"/>
  <c r="M71" i="9"/>
  <c r="E19" i="26" s="1"/>
  <c r="K180" i="9"/>
  <c r="E25" i="26"/>
  <c r="G25" i="26" s="1"/>
  <c r="Z25" i="26" s="1"/>
  <c r="AB25" i="26" s="1"/>
  <c r="H21" i="26"/>
  <c r="K109" i="9"/>
  <c r="I309" i="46"/>
  <c r="H309" i="46"/>
  <c r="G309" i="46"/>
  <c r="S309" i="46"/>
  <c r="N309" i="46"/>
  <c r="L309" i="46"/>
  <c r="Q309" i="46"/>
  <c r="P309" i="46"/>
  <c r="O309" i="46"/>
  <c r="I15" i="30"/>
  <c r="J46" i="39"/>
  <c r="X45" i="41" s="1"/>
  <c r="J25" i="39"/>
  <c r="X24" i="41" s="1"/>
  <c r="J33" i="39"/>
  <c r="X32" i="41" s="1"/>
  <c r="I53" i="48"/>
  <c r="I48" i="48"/>
  <c r="H54" i="48"/>
  <c r="E52" i="48"/>
  <c r="I42" i="48"/>
  <c r="I38" i="48"/>
  <c r="I34" i="48"/>
  <c r="I30" i="48"/>
  <c r="I26" i="48"/>
  <c r="I22" i="48"/>
  <c r="I18" i="48"/>
  <c r="I14" i="48"/>
  <c r="I10" i="48"/>
  <c r="I50" i="48"/>
  <c r="I40" i="48"/>
  <c r="I29" i="48"/>
  <c r="I24" i="48"/>
  <c r="I13" i="48"/>
  <c r="C52" i="48"/>
  <c r="I49" i="48"/>
  <c r="I33" i="48"/>
  <c r="I28" i="48"/>
  <c r="I17" i="48"/>
  <c r="I37" i="48"/>
  <c r="I32" i="48"/>
  <c r="I21" i="48"/>
  <c r="I16" i="48"/>
  <c r="G45" i="48"/>
  <c r="E45" i="48"/>
  <c r="I41" i="48"/>
  <c r="I36" i="48"/>
  <c r="I25" i="48"/>
  <c r="I20" i="48"/>
  <c r="I9" i="48"/>
  <c r="D52" i="48"/>
  <c r="G52" i="48"/>
  <c r="C54" i="48"/>
  <c r="I15" i="48"/>
  <c r="F45" i="48"/>
  <c r="I19" i="48"/>
  <c r="I23" i="48"/>
  <c r="I27" i="48"/>
  <c r="I47" i="48"/>
  <c r="D45" i="48"/>
  <c r="I31" i="48"/>
  <c r="I11" i="48"/>
  <c r="F52" i="48"/>
  <c r="H52" i="48"/>
  <c r="I35" i="48"/>
  <c r="I12" i="48"/>
  <c r="I39" i="48"/>
  <c r="I51" i="48"/>
  <c r="E54" i="48"/>
  <c r="I43" i="48"/>
  <c r="C45" i="48"/>
  <c r="I353" i="79"/>
  <c r="J350" i="79"/>
  <c r="G37" i="26"/>
  <c r="E54" i="42"/>
  <c r="AC32" i="41"/>
  <c r="M60" i="9"/>
  <c r="E29" i="26" s="1"/>
  <c r="D120" i="35"/>
  <c r="M88" i="48"/>
  <c r="M284" i="46"/>
  <c r="M309" i="46" s="1"/>
  <c r="M248" i="46"/>
  <c r="I406" i="79"/>
  <c r="G408" i="79"/>
  <c r="F88" i="48"/>
  <c r="G88" i="48"/>
  <c r="E88" i="48"/>
  <c r="Z27" i="26"/>
  <c r="AB27" i="26" s="1"/>
  <c r="Y27" i="26"/>
  <c r="F88" i="42"/>
  <c r="AD51" i="41"/>
  <c r="R284" i="46"/>
  <c r="R309" i="46" s="1"/>
  <c r="R248" i="46"/>
  <c r="L88" i="48"/>
  <c r="E248" i="46"/>
  <c r="E284" i="46"/>
  <c r="E309" i="46" s="1"/>
  <c r="K248" i="46"/>
  <c r="K284" i="46"/>
  <c r="K309" i="46" s="1"/>
  <c r="I258" i="79"/>
  <c r="J254" i="79"/>
  <c r="G30" i="39"/>
  <c r="F30" i="39"/>
  <c r="E30" i="39"/>
  <c r="I30" i="39"/>
  <c r="H30" i="39"/>
  <c r="D88" i="48"/>
  <c r="S88" i="48"/>
  <c r="E112" i="37"/>
  <c r="M50" i="8"/>
  <c r="M52" i="8" s="1"/>
  <c r="E179" i="35"/>
  <c r="E180" i="35" s="1"/>
  <c r="E181" i="35" s="1"/>
  <c r="E182" i="35" s="1"/>
  <c r="E183" i="35" s="1"/>
  <c r="E184" i="35" s="1"/>
  <c r="E185" i="35" s="1"/>
  <c r="E186" i="35" s="1"/>
  <c r="E187" i="35" s="1"/>
  <c r="E188" i="35" s="1"/>
  <c r="E189" i="35" s="1"/>
  <c r="E190" i="35" s="1"/>
  <c r="E191" i="35" s="1"/>
  <c r="E192" i="35" s="1"/>
  <c r="E193" i="35" s="1"/>
  <c r="E194" i="35" s="1"/>
  <c r="E195" i="35" s="1"/>
  <c r="J284" i="46"/>
  <c r="J309" i="46" s="1"/>
  <c r="J248" i="46"/>
  <c r="G54" i="48"/>
  <c r="K88" i="48"/>
  <c r="Q88" i="48"/>
  <c r="C284" i="46"/>
  <c r="C309" i="46" s="1"/>
  <c r="C248" i="46"/>
  <c r="Y56" i="8"/>
  <c r="Y55" i="8" s="1"/>
  <c r="F101" i="32"/>
  <c r="B102" i="32" s="1"/>
  <c r="A77" i="32"/>
  <c r="I44" i="48"/>
  <c r="H45" i="48"/>
  <c r="C88" i="48"/>
  <c r="I88" i="48"/>
  <c r="G34" i="30"/>
  <c r="F42" i="30" s="1"/>
  <c r="F11" i="42"/>
  <c r="AD10" i="41"/>
  <c r="N88" i="48"/>
  <c r="F54" i="48"/>
  <c r="D54" i="48"/>
  <c r="G353" i="79"/>
  <c r="M342" i="9"/>
  <c r="W33" i="26" s="1"/>
  <c r="E24" i="42"/>
  <c r="AC17" i="41"/>
  <c r="J29" i="39"/>
  <c r="X28" i="41" s="1"/>
  <c r="H293" i="35"/>
  <c r="O37" i="33"/>
  <c r="W37" i="33"/>
  <c r="AS38" i="33"/>
  <c r="D179" i="35"/>
  <c r="D180" i="35" s="1"/>
  <c r="D181" i="35" s="1"/>
  <c r="D182" i="35" s="1"/>
  <c r="D183" i="35" s="1"/>
  <c r="D184" i="35" s="1"/>
  <c r="D185" i="35" s="1"/>
  <c r="D186" i="35" s="1"/>
  <c r="D187" i="35" s="1"/>
  <c r="D188" i="35" s="1"/>
  <c r="D189" i="35" s="1"/>
  <c r="D190" i="35" s="1"/>
  <c r="D191" i="35" s="1"/>
  <c r="D192" i="35" s="1"/>
  <c r="D193" i="35" s="1"/>
  <c r="D194" i="35" s="1"/>
  <c r="D195" i="35" s="1"/>
  <c r="F50" i="34"/>
  <c r="I154" i="34" s="1"/>
  <c r="J49" i="34"/>
  <c r="E89" i="35"/>
  <c r="E92" i="35" s="1"/>
  <c r="E93" i="35" s="1"/>
  <c r="E94" i="35" s="1"/>
  <c r="E95" i="35" s="1"/>
  <c r="E96" i="35" s="1"/>
  <c r="E97" i="35" s="1"/>
  <c r="E98" i="35" s="1"/>
  <c r="E99" i="35" s="1"/>
  <c r="E100" i="35" s="1"/>
  <c r="E101" i="35" s="1"/>
  <c r="E102" i="35" s="1"/>
  <c r="E103" i="35" s="1"/>
  <c r="E104" i="35" s="1"/>
  <c r="E105" i="35" s="1"/>
  <c r="E106" i="35" s="1"/>
  <c r="E107" i="35" s="1"/>
  <c r="E108" i="35" s="1"/>
  <c r="AN38" i="33"/>
  <c r="O38" i="33"/>
  <c r="AK38" i="33"/>
  <c r="E32" i="33"/>
  <c r="C31" i="30" s="1"/>
  <c r="F35" i="30" s="1"/>
  <c r="D118" i="34"/>
  <c r="E90" i="34"/>
  <c r="E91" i="34" s="1"/>
  <c r="E92" i="34" s="1"/>
  <c r="E93" i="34" s="1"/>
  <c r="E94" i="34" s="1"/>
  <c r="E95" i="34" s="1"/>
  <c r="E96" i="34" s="1"/>
  <c r="E97" i="34" s="1"/>
  <c r="E98" i="34" s="1"/>
  <c r="E99" i="34" s="1"/>
  <c r="E100" i="34" s="1"/>
  <c r="E101" i="34" s="1"/>
  <c r="E102" i="34" s="1"/>
  <c r="E103" i="34" s="1"/>
  <c r="E104" i="34" s="1"/>
  <c r="E105" i="34" s="1"/>
  <c r="E106" i="34" s="1"/>
  <c r="D90" i="34"/>
  <c r="R90" i="34"/>
  <c r="S90" i="34" s="1"/>
  <c r="AX37" i="33"/>
  <c r="AW37" i="33"/>
  <c r="X37" i="33"/>
  <c r="AS37" i="33"/>
  <c r="AZ37" i="33"/>
  <c r="I293" i="35"/>
  <c r="C140" i="34"/>
  <c r="B8" i="32"/>
  <c r="D5" i="32" s="1"/>
  <c r="AF38" i="33"/>
  <c r="AT38" i="33"/>
  <c r="AC38" i="33"/>
  <c r="J48" i="34"/>
  <c r="F49" i="34"/>
  <c r="AH37" i="33"/>
  <c r="AO37" i="33"/>
  <c r="AK37" i="33"/>
  <c r="F118" i="34"/>
  <c r="F119" i="34" s="1"/>
  <c r="F120" i="34" s="1"/>
  <c r="F121" i="34" s="1"/>
  <c r="F122" i="34" s="1"/>
  <c r="F123" i="34" s="1"/>
  <c r="F124" i="34" s="1"/>
  <c r="F125" i="34" s="1"/>
  <c r="F126" i="34" s="1"/>
  <c r="F127" i="34" s="1"/>
  <c r="F128" i="34" s="1"/>
  <c r="F129" i="34" s="1"/>
  <c r="F130" i="34" s="1"/>
  <c r="F131" i="34" s="1"/>
  <c r="F132" i="34" s="1"/>
  <c r="F133" i="34" s="1"/>
  <c r="F134" i="34" s="1"/>
  <c r="AX38" i="33"/>
  <c r="X38" i="33"/>
  <c r="AL38" i="33"/>
  <c r="U38" i="33"/>
  <c r="D20" i="34"/>
  <c r="E30" i="35" s="1"/>
  <c r="B7" i="32"/>
  <c r="L57" i="35"/>
  <c r="L58" i="35" s="1"/>
  <c r="L59" i="35" s="1"/>
  <c r="L60" i="35" s="1"/>
  <c r="L61" i="35" s="1"/>
  <c r="L62" i="35" s="1"/>
  <c r="L63" i="35" s="1"/>
  <c r="L64" i="35" s="1"/>
  <c r="L65" i="35" s="1"/>
  <c r="L66" i="35" s="1"/>
  <c r="L67" i="35" s="1"/>
  <c r="L68" i="35" s="1"/>
  <c r="L69" i="35" s="1"/>
  <c r="L70" i="35" s="1"/>
  <c r="L71" i="35" s="1"/>
  <c r="L72" i="35" s="1"/>
  <c r="L73" i="35" s="1"/>
  <c r="I90" i="34"/>
  <c r="I91" i="34" s="1"/>
  <c r="I92" i="34" s="1"/>
  <c r="I93" i="34" s="1"/>
  <c r="I94" i="34" s="1"/>
  <c r="I95" i="34" s="1"/>
  <c r="I96" i="34" s="1"/>
  <c r="I97" i="34" s="1"/>
  <c r="I98" i="34" s="1"/>
  <c r="I99" i="34" s="1"/>
  <c r="I100" i="34" s="1"/>
  <c r="I101" i="34" s="1"/>
  <c r="I102" i="34" s="1"/>
  <c r="I103" i="34" s="1"/>
  <c r="I104" i="34" s="1"/>
  <c r="I105" i="34" s="1"/>
  <c r="I106" i="34" s="1"/>
  <c r="F56" i="35"/>
  <c r="C58" i="35"/>
  <c r="C59" i="35" s="1"/>
  <c r="C60" i="35" s="1"/>
  <c r="C61" i="35" s="1"/>
  <c r="C62" i="35" s="1"/>
  <c r="C63" i="35" s="1"/>
  <c r="C64" i="35" s="1"/>
  <c r="C65" i="35" s="1"/>
  <c r="C66" i="35" s="1"/>
  <c r="C67" i="35" s="1"/>
  <c r="C68" i="35" s="1"/>
  <c r="C69" i="35" s="1"/>
  <c r="C70" i="35" s="1"/>
  <c r="C71" i="35" s="1"/>
  <c r="C72" i="35" s="1"/>
  <c r="C73" i="35" s="1"/>
  <c r="C74" i="35" s="1"/>
  <c r="N37" i="33"/>
  <c r="C30" i="30"/>
  <c r="Z37" i="33"/>
  <c r="AG37" i="33"/>
  <c r="U37" i="33"/>
  <c r="AJ37" i="33"/>
  <c r="AY38" i="33"/>
  <c r="AP38" i="33"/>
  <c r="AO38" i="33"/>
  <c r="P38" i="33"/>
  <c r="AD38" i="33"/>
  <c r="AZ38" i="33"/>
  <c r="Y37" i="33"/>
  <c r="AE37" i="33"/>
  <c r="AQ37" i="33"/>
  <c r="AB37" i="33"/>
  <c r="AW38" i="33"/>
  <c r="Q48" i="33" s="1"/>
  <c r="AQ38" i="33"/>
  <c r="AH38" i="33"/>
  <c r="AG38" i="33"/>
  <c r="AU38" i="33"/>
  <c r="V38" i="33"/>
  <c r="AR38" i="33"/>
  <c r="AP37" i="33"/>
  <c r="AV37" i="33"/>
  <c r="AA37" i="33"/>
  <c r="AC37" i="33"/>
  <c r="T37" i="33"/>
  <c r="H155" i="38"/>
  <c r="AI38" i="33"/>
  <c r="Z38" i="33"/>
  <c r="Y38" i="33"/>
  <c r="AM38" i="33"/>
  <c r="N38" i="33"/>
  <c r="AJ38" i="33"/>
  <c r="R37" i="33"/>
  <c r="P37" i="33"/>
  <c r="AL37" i="33"/>
  <c r="AI37" i="33"/>
  <c r="AY37" i="33"/>
  <c r="AA38" i="33"/>
  <c r="R38" i="33"/>
  <c r="Q38" i="33"/>
  <c r="AE38" i="33"/>
  <c r="BA38" i="33"/>
  <c r="AB38" i="33"/>
  <c r="F79" i="38"/>
  <c r="G79" i="38" s="1"/>
  <c r="AT37" i="33"/>
  <c r="AM37" i="33"/>
  <c r="AN37" i="33"/>
  <c r="AD37" i="33"/>
  <c r="S37" i="33"/>
  <c r="F106" i="38"/>
  <c r="G106" i="38" s="1"/>
  <c r="H106" i="38" s="1"/>
  <c r="I106" i="38" s="1"/>
  <c r="D242" i="35"/>
  <c r="E242" i="35" s="1"/>
  <c r="F242" i="35" s="1"/>
  <c r="G242" i="35" s="1"/>
  <c r="N257" i="79" l="1"/>
  <c r="P257" i="79" s="1"/>
  <c r="R257" i="79" s="1"/>
  <c r="N255" i="79"/>
  <c r="V31" i="26"/>
  <c r="V32" i="26" s="1"/>
  <c r="J138" i="26" s="1"/>
  <c r="K138" i="26" s="1"/>
  <c r="N256" i="79"/>
  <c r="P256" i="79" s="1"/>
  <c r="R256" i="79" s="1"/>
  <c r="N406" i="79"/>
  <c r="N351" i="79"/>
  <c r="O351" i="79" s="1"/>
  <c r="R351" i="79" s="1"/>
  <c r="F526" i="79" s="1"/>
  <c r="N36" i="79"/>
  <c r="O36" i="79" s="1"/>
  <c r="R36" i="79" s="1"/>
  <c r="N352" i="79"/>
  <c r="P352" i="79" s="1"/>
  <c r="N407" i="79"/>
  <c r="O407" i="79" s="1"/>
  <c r="R407" i="79" s="1"/>
  <c r="H30" i="8"/>
  <c r="H52" i="8"/>
  <c r="H55" i="8" s="1"/>
  <c r="H25" i="8"/>
  <c r="H34" i="8"/>
  <c r="H35" i="8"/>
  <c r="E46" i="8"/>
  <c r="H32" i="8"/>
  <c r="H15" i="8"/>
  <c r="E53" i="8"/>
  <c r="H44" i="8"/>
  <c r="G53" i="8"/>
  <c r="H24" i="8"/>
  <c r="H22" i="8"/>
  <c r="H42" i="8"/>
  <c r="H17" i="8"/>
  <c r="H29" i="8"/>
  <c r="H41" i="8"/>
  <c r="C46" i="8"/>
  <c r="H43" i="8"/>
  <c r="H14" i="8"/>
  <c r="H50" i="8"/>
  <c r="H49" i="8"/>
  <c r="H51" i="8"/>
  <c r="H40" i="8"/>
  <c r="H38" i="8"/>
  <c r="H20" i="8"/>
  <c r="H19" i="8"/>
  <c r="H31" i="8"/>
  <c r="G46" i="8"/>
  <c r="H13" i="8"/>
  <c r="H18" i="8"/>
  <c r="H16" i="8"/>
  <c r="F46" i="8"/>
  <c r="H23" i="8"/>
  <c r="H33" i="8"/>
  <c r="H84" i="81"/>
  <c r="I84" i="81" s="1"/>
  <c r="J84" i="81" s="1"/>
  <c r="K84" i="81" s="1"/>
  <c r="L84" i="81" s="1"/>
  <c r="M84" i="81" s="1"/>
  <c r="N84" i="81" s="1"/>
  <c r="O84" i="81" s="1"/>
  <c r="P84" i="81" s="1"/>
  <c r="Q84" i="81" s="1"/>
  <c r="R84" i="81" s="1"/>
  <c r="S84" i="81" s="1"/>
  <c r="T84" i="81" s="1"/>
  <c r="U84" i="81" s="1"/>
  <c r="N37" i="79"/>
  <c r="O37" i="79" s="1"/>
  <c r="R37" i="79" s="1"/>
  <c r="F529" i="79" s="1"/>
  <c r="N30" i="79"/>
  <c r="O30" i="79" s="1"/>
  <c r="R30" i="79" s="1"/>
  <c r="F535" i="79" s="1"/>
  <c r="O26" i="79"/>
  <c r="R26" i="79" s="1"/>
  <c r="P39" i="79"/>
  <c r="N350" i="79"/>
  <c r="O350" i="79" s="1"/>
  <c r="R350" i="79" s="1"/>
  <c r="N31" i="79"/>
  <c r="O31" i="79" s="1"/>
  <c r="R31" i="79" s="1"/>
  <c r="O21" i="79"/>
  <c r="P34" i="79"/>
  <c r="N33" i="79"/>
  <c r="O33" i="79" s="1"/>
  <c r="R33" i="79" s="1"/>
  <c r="F523" i="79" s="1"/>
  <c r="N35" i="79"/>
  <c r="O35" i="79" s="1"/>
  <c r="R35" i="79" s="1"/>
  <c r="N32" i="79"/>
  <c r="O32" i="79" s="1"/>
  <c r="R32" i="79" s="1"/>
  <c r="O17" i="79"/>
  <c r="R17" i="79" s="1"/>
  <c r="P30" i="79"/>
  <c r="O16" i="79"/>
  <c r="R16" i="79" s="1"/>
  <c r="P29" i="79"/>
  <c r="O20" i="79"/>
  <c r="P33" i="79"/>
  <c r="N34" i="79"/>
  <c r="O34" i="79" s="1"/>
  <c r="R34" i="79" s="1"/>
  <c r="F520" i="79"/>
  <c r="O24" i="79"/>
  <c r="P37" i="79"/>
  <c r="O18" i="79"/>
  <c r="R18" i="79" s="1"/>
  <c r="P31" i="79"/>
  <c r="O23" i="79"/>
  <c r="P36" i="79"/>
  <c r="O25" i="79"/>
  <c r="P38" i="79"/>
  <c r="N38" i="79"/>
  <c r="O38" i="79" s="1"/>
  <c r="R38" i="79" s="1"/>
  <c r="F531" i="79" s="1"/>
  <c r="P351" i="79"/>
  <c r="C53" i="8"/>
  <c r="C55" i="8" s="1"/>
  <c r="H28" i="8"/>
  <c r="H36" i="8"/>
  <c r="H27" i="8"/>
  <c r="H48" i="8"/>
  <c r="AQ450" i="3"/>
  <c r="AQ451" i="3" s="1"/>
  <c r="AG446" i="3" s="1"/>
  <c r="Q52" i="33"/>
  <c r="P52" i="33" s="1"/>
  <c r="R52" i="33" s="1"/>
  <c r="P48" i="33"/>
  <c r="Q66" i="33"/>
  <c r="P66" i="33" s="1"/>
  <c r="R66" i="33" s="1"/>
  <c r="Q63" i="33"/>
  <c r="P63" i="33" s="1"/>
  <c r="R63" i="33" s="1"/>
  <c r="Q57" i="33"/>
  <c r="P57" i="33" s="1"/>
  <c r="R57" i="33" s="1"/>
  <c r="Q65" i="33"/>
  <c r="P65" i="33" s="1"/>
  <c r="R65" i="33" s="1"/>
  <c r="Q64" i="33"/>
  <c r="P64" i="33" s="1"/>
  <c r="R64" i="33" s="1"/>
  <c r="Q67" i="33"/>
  <c r="P67" i="33" s="1"/>
  <c r="R67" i="33" s="1"/>
  <c r="Q53" i="33"/>
  <c r="P53" i="33" s="1"/>
  <c r="R53" i="33" s="1"/>
  <c r="Q61" i="33"/>
  <c r="P61" i="33" s="1"/>
  <c r="R61" i="33" s="1"/>
  <c r="Q56" i="33"/>
  <c r="P56" i="33" s="1"/>
  <c r="R56" i="33" s="1"/>
  <c r="Q62" i="33"/>
  <c r="P62" i="33" s="1"/>
  <c r="R62" i="33" s="1"/>
  <c r="Q59" i="33"/>
  <c r="P59" i="33" s="1"/>
  <c r="R59" i="33" s="1"/>
  <c r="Q54" i="33"/>
  <c r="P54" i="33" s="1"/>
  <c r="R54" i="33" s="1"/>
  <c r="Q58" i="33"/>
  <c r="P58" i="33" s="1"/>
  <c r="R58" i="33" s="1"/>
  <c r="Q60" i="33"/>
  <c r="P60" i="33" s="1"/>
  <c r="R60" i="33" s="1"/>
  <c r="Q55" i="33"/>
  <c r="P55" i="33" s="1"/>
  <c r="R55" i="33" s="1"/>
  <c r="AQ445" i="3"/>
  <c r="AQ446" i="3" s="1"/>
  <c r="AI441" i="3" s="1"/>
  <c r="Z35" i="26"/>
  <c r="AB35" i="26" s="1"/>
  <c r="F53" i="8"/>
  <c r="D53" i="8"/>
  <c r="H26" i="8"/>
  <c r="H21" i="8"/>
  <c r="H37" i="8"/>
  <c r="H39" i="8"/>
  <c r="AQ455" i="3"/>
  <c r="AQ456" i="3" s="1"/>
  <c r="AI446" i="3" s="1"/>
  <c r="O352" i="79"/>
  <c r="R352" i="79" s="1"/>
  <c r="E15" i="30"/>
  <c r="G294" i="35"/>
  <c r="J89" i="34"/>
  <c r="J90" i="34" s="1"/>
  <c r="J54" i="34"/>
  <c r="D61" i="34" s="1"/>
  <c r="D62" i="34" s="1"/>
  <c r="D63" i="34" s="1"/>
  <c r="D64" i="34" s="1"/>
  <c r="D65" i="34" s="1"/>
  <c r="D66" i="34" s="1"/>
  <c r="D67" i="34" s="1"/>
  <c r="D68" i="34" s="1"/>
  <c r="D69" i="34" s="1"/>
  <c r="D70" i="34" s="1"/>
  <c r="D71" i="34" s="1"/>
  <c r="D72" i="34" s="1"/>
  <c r="D73" i="34" s="1"/>
  <c r="D74" i="34" s="1"/>
  <c r="D75" i="34" s="1"/>
  <c r="D76" i="34" s="1"/>
  <c r="D77" i="34" s="1"/>
  <c r="N54" i="35"/>
  <c r="N57" i="35" s="1"/>
  <c r="F120" i="35"/>
  <c r="I294" i="35"/>
  <c r="H294" i="35"/>
  <c r="J294" i="35" s="1"/>
  <c r="H156" i="38"/>
  <c r="G16" i="26"/>
  <c r="Z16" i="26"/>
  <c r="AB16" i="26" s="1"/>
  <c r="S17" i="26" s="1"/>
  <c r="J63" i="26" s="1"/>
  <c r="K63" i="26" s="1"/>
  <c r="D46" i="8"/>
  <c r="F292" i="35"/>
  <c r="L44" i="39" s="1"/>
  <c r="D292" i="35"/>
  <c r="L42" i="39" s="1"/>
  <c r="AA21" i="26"/>
  <c r="G21" i="26"/>
  <c r="P255" i="79"/>
  <c r="R255" i="79" s="1"/>
  <c r="F48" i="81" s="1"/>
  <c r="O255" i="79"/>
  <c r="O326" i="79"/>
  <c r="R326" i="79" s="1"/>
  <c r="F34" i="81" s="1"/>
  <c r="P326" i="79"/>
  <c r="P406" i="79"/>
  <c r="O406" i="79"/>
  <c r="G19" i="26"/>
  <c r="H23" i="26"/>
  <c r="J23" i="26" s="1"/>
  <c r="Z37" i="26"/>
  <c r="AB37" i="26" s="1"/>
  <c r="J38" i="26" s="1"/>
  <c r="J123" i="26"/>
  <c r="K123" i="26" s="1"/>
  <c r="Z19" i="26"/>
  <c r="AB19" i="26" s="1"/>
  <c r="S20" i="26" s="1"/>
  <c r="J79" i="26" s="1"/>
  <c r="K79" i="26" s="1"/>
  <c r="J121" i="26"/>
  <c r="J293" i="35"/>
  <c r="J21" i="26"/>
  <c r="Z21" i="26"/>
  <c r="Z33" i="26"/>
  <c r="AB33" i="26" s="1"/>
  <c r="Y33" i="26"/>
  <c r="I408" i="79"/>
  <c r="J406" i="79"/>
  <c r="Z46" i="8"/>
  <c r="Z52" i="8"/>
  <c r="Z41" i="8"/>
  <c r="Z39" i="8"/>
  <c r="Z37" i="8"/>
  <c r="Z35" i="8"/>
  <c r="Z33" i="8"/>
  <c r="Z31" i="8"/>
  <c r="Z29" i="8"/>
  <c r="Z27" i="8"/>
  <c r="Z25" i="8"/>
  <c r="Z23" i="8"/>
  <c r="Z21" i="8"/>
  <c r="Z19" i="8"/>
  <c r="Z17" i="8"/>
  <c r="Z15" i="8"/>
  <c r="Z45" i="8"/>
  <c r="Z44" i="8"/>
  <c r="Y48" i="8"/>
  <c r="Y57" i="8" s="1"/>
  <c r="Z43" i="8"/>
  <c r="V55" i="8"/>
  <c r="Z50" i="8"/>
  <c r="Z40" i="8"/>
  <c r="Z38" i="8"/>
  <c r="Z16" i="8"/>
  <c r="W48" i="8"/>
  <c r="Z20" i="8"/>
  <c r="Z32" i="8"/>
  <c r="Z26" i="8"/>
  <c r="Z36" i="8"/>
  <c r="V48" i="8"/>
  <c r="Z18" i="8"/>
  <c r="Z30" i="8"/>
  <c r="Z34" i="8"/>
  <c r="Z28" i="8"/>
  <c r="U55" i="8"/>
  <c r="W55" i="8"/>
  <c r="Z51" i="8"/>
  <c r="Z42" i="8"/>
  <c r="X55" i="8"/>
  <c r="Z53" i="8"/>
  <c r="U48" i="8"/>
  <c r="X48" i="8"/>
  <c r="Z24" i="8"/>
  <c r="Z22" i="8"/>
  <c r="Z29" i="26"/>
  <c r="AB29" i="26" s="1"/>
  <c r="G29" i="26"/>
  <c r="J139" i="26"/>
  <c r="K139" i="26"/>
  <c r="G88" i="42"/>
  <c r="AE51" i="41"/>
  <c r="F38" i="30"/>
  <c r="F39" i="30" s="1"/>
  <c r="O5" i="32" s="1"/>
  <c r="Q7" i="32" s="1"/>
  <c r="A78" i="32"/>
  <c r="F102" i="32"/>
  <c r="B103" i="32" s="1"/>
  <c r="J131" i="26"/>
  <c r="K131" i="26" s="1"/>
  <c r="J353" i="79"/>
  <c r="G11" i="42"/>
  <c r="AE10" i="41"/>
  <c r="J30" i="39"/>
  <c r="X29" i="41" s="1"/>
  <c r="F24" i="42"/>
  <c r="AD17" i="41"/>
  <c r="F7" i="81"/>
  <c r="J258" i="79"/>
  <c r="F54" i="42"/>
  <c r="AD32" i="41"/>
  <c r="E292" i="35"/>
  <c r="L43" i="39" s="1"/>
  <c r="P54" i="35"/>
  <c r="P57" i="35" s="1"/>
  <c r="O54" i="35"/>
  <c r="O57" i="35" s="1"/>
  <c r="C81" i="35"/>
  <c r="D55" i="35" s="1"/>
  <c r="D58" i="35" s="1"/>
  <c r="E38" i="33"/>
  <c r="C7" i="32"/>
  <c r="E121" i="35"/>
  <c r="I179" i="35"/>
  <c r="I180" i="35" s="1"/>
  <c r="V57" i="35"/>
  <c r="V58" i="35" s="1"/>
  <c r="V59" i="35" s="1"/>
  <c r="V60" i="35" s="1"/>
  <c r="V61" i="35" s="1"/>
  <c r="V62" i="35" s="1"/>
  <c r="V63" i="35" s="1"/>
  <c r="V64" i="35" s="1"/>
  <c r="V65" i="35" s="1"/>
  <c r="V66" i="35" s="1"/>
  <c r="V67" i="35" s="1"/>
  <c r="V68" i="35" s="1"/>
  <c r="V69" i="35" s="1"/>
  <c r="V70" i="35" s="1"/>
  <c r="V71" i="35" s="1"/>
  <c r="V72" i="35" s="1"/>
  <c r="V73" i="35" s="1"/>
  <c r="V74" i="35" s="1"/>
  <c r="Q54" i="35"/>
  <c r="Q57" i="35" s="1"/>
  <c r="F80" i="38"/>
  <c r="G80" i="38" s="1"/>
  <c r="Z56" i="35"/>
  <c r="D30" i="30"/>
  <c r="D119" i="34"/>
  <c r="D91" i="34"/>
  <c r="R91" i="34"/>
  <c r="S91" i="34" s="1"/>
  <c r="F92" i="35"/>
  <c r="G92" i="35"/>
  <c r="H92" i="35" s="1"/>
  <c r="E37" i="33"/>
  <c r="I153" i="34"/>
  <c r="C152" i="34" s="1"/>
  <c r="C153" i="34" s="1"/>
  <c r="C154" i="34" s="1"/>
  <c r="C155" i="34" s="1"/>
  <c r="C156" i="34" s="1"/>
  <c r="C157" i="34" s="1"/>
  <c r="C158" i="34" s="1"/>
  <c r="C159" i="34" s="1"/>
  <c r="C160" i="34" s="1"/>
  <c r="C161" i="34" s="1"/>
  <c r="C162" i="34" s="1"/>
  <c r="C163" i="34" s="1"/>
  <c r="C164" i="34" s="1"/>
  <c r="C165" i="34" s="1"/>
  <c r="C166" i="34" s="1"/>
  <c r="C167" i="34" s="1"/>
  <c r="C168" i="34" s="1"/>
  <c r="C61" i="34"/>
  <c r="F90" i="34"/>
  <c r="H90" i="34" s="1"/>
  <c r="C121" i="35"/>
  <c r="C122" i="35" s="1"/>
  <c r="C123" i="35" s="1"/>
  <c r="C124" i="35" s="1"/>
  <c r="C125" i="35" s="1"/>
  <c r="C126" i="35" s="1"/>
  <c r="C127" i="35" s="1"/>
  <c r="C128" i="35" s="1"/>
  <c r="C129" i="35" s="1"/>
  <c r="C130" i="35" s="1"/>
  <c r="C131" i="35" s="1"/>
  <c r="C132" i="35" s="1"/>
  <c r="C133" i="35" s="1"/>
  <c r="C134" i="35" s="1"/>
  <c r="C135" i="35" s="1"/>
  <c r="C136" i="35" s="1"/>
  <c r="C137" i="35" s="1"/>
  <c r="C138" i="35" s="1"/>
  <c r="F43" i="30"/>
  <c r="AA5" i="32" s="1"/>
  <c r="F58" i="35"/>
  <c r="F59" i="35" s="1"/>
  <c r="F60" i="35" s="1"/>
  <c r="F61" i="35" s="1"/>
  <c r="F62" i="35" s="1"/>
  <c r="F63" i="35" s="1"/>
  <c r="F64" i="35" s="1"/>
  <c r="F65" i="35" s="1"/>
  <c r="F66" i="35" s="1"/>
  <c r="F67" i="35" s="1"/>
  <c r="F68" i="35" s="1"/>
  <c r="F69" i="35" s="1"/>
  <c r="F70" i="35" s="1"/>
  <c r="F71" i="35" s="1"/>
  <c r="F72" i="35" s="1"/>
  <c r="F73" i="35" s="1"/>
  <c r="F74" i="35" s="1"/>
  <c r="E58" i="35"/>
  <c r="E59" i="35" s="1"/>
  <c r="E60" i="35" s="1"/>
  <c r="E61" i="35" s="1"/>
  <c r="E62" i="35" s="1"/>
  <c r="E63" i="35" s="1"/>
  <c r="E64" i="35" s="1"/>
  <c r="E65" i="35" s="1"/>
  <c r="E66" i="35" s="1"/>
  <c r="E67" i="35" s="1"/>
  <c r="E68" i="35" s="1"/>
  <c r="E69" i="35" s="1"/>
  <c r="E70" i="35" s="1"/>
  <c r="E71" i="35" s="1"/>
  <c r="E72" i="35" s="1"/>
  <c r="E73" i="35" s="1"/>
  <c r="E74" i="35" s="1"/>
  <c r="E113" i="35"/>
  <c r="H118" i="34"/>
  <c r="R54" i="35"/>
  <c r="R57" i="35" s="1"/>
  <c r="M54" i="35"/>
  <c r="M57" i="35" s="1"/>
  <c r="F107" i="38"/>
  <c r="G107" i="38" s="1"/>
  <c r="H107" i="38" s="1"/>
  <c r="I107" i="38" s="1"/>
  <c r="D243" i="35"/>
  <c r="E243" i="35" s="1"/>
  <c r="F243" i="35" s="1"/>
  <c r="G243" i="35" s="1"/>
  <c r="G295" i="35"/>
  <c r="C269" i="35"/>
  <c r="D269" i="35" s="1"/>
  <c r="H157" i="38"/>
  <c r="I295" i="35"/>
  <c r="H295" i="35"/>
  <c r="O257" i="79" l="1"/>
  <c r="P407" i="79"/>
  <c r="F530" i="79"/>
  <c r="O256" i="79"/>
  <c r="F517" i="79"/>
  <c r="F27" i="81"/>
  <c r="H27" i="81" s="1"/>
  <c r="E83" i="81" s="1"/>
  <c r="F83" i="81" s="1"/>
  <c r="H83" i="81" s="1"/>
  <c r="I83" i="81" s="1"/>
  <c r="J83" i="81" s="1"/>
  <c r="K83" i="81" s="1"/>
  <c r="L83" i="81" s="1"/>
  <c r="M83" i="81" s="1"/>
  <c r="N83" i="81" s="1"/>
  <c r="O83" i="81" s="1"/>
  <c r="P83" i="81" s="1"/>
  <c r="Q83" i="81" s="1"/>
  <c r="R83" i="81" s="1"/>
  <c r="S83" i="81" s="1"/>
  <c r="T83" i="81" s="1"/>
  <c r="U83" i="81" s="1"/>
  <c r="F536" i="79"/>
  <c r="F500" i="79"/>
  <c r="F537" i="79"/>
  <c r="C62" i="34"/>
  <c r="C63" i="34" s="1"/>
  <c r="C64" i="34" s="1"/>
  <c r="C65" i="34" s="1"/>
  <c r="C66" i="34" s="1"/>
  <c r="C67" i="34" s="1"/>
  <c r="C68" i="34" s="1"/>
  <c r="C69" i="34" s="1"/>
  <c r="C70" i="34" s="1"/>
  <c r="C71" i="34" s="1"/>
  <c r="C72" i="34" s="1"/>
  <c r="C73" i="34" s="1"/>
  <c r="C74" i="34" s="1"/>
  <c r="C75" i="34" s="1"/>
  <c r="C76" i="34" s="1"/>
  <c r="C77" i="34" s="1"/>
  <c r="E61" i="34"/>
  <c r="E55" i="8"/>
  <c r="F55" i="8"/>
  <c r="G55" i="8"/>
  <c r="D55" i="8"/>
  <c r="D147" i="80"/>
  <c r="F37" i="81"/>
  <c r="P350" i="79"/>
  <c r="N40" i="79"/>
  <c r="F24" i="81"/>
  <c r="R23" i="79"/>
  <c r="F510" i="79" s="1"/>
  <c r="R25" i="79"/>
  <c r="F519" i="79" s="1"/>
  <c r="F6" i="81"/>
  <c r="F499" i="79"/>
  <c r="R24" i="79"/>
  <c r="F518" i="79" s="1"/>
  <c r="R20" i="79"/>
  <c r="R21" i="79"/>
  <c r="Q68" i="33"/>
  <c r="D122" i="35"/>
  <c r="D123" i="35" s="1"/>
  <c r="D124" i="35" s="1"/>
  <c r="D125" i="35" s="1"/>
  <c r="D126" i="35" s="1"/>
  <c r="D127" i="35" s="1"/>
  <c r="D128" i="35" s="1"/>
  <c r="D129" i="35" s="1"/>
  <c r="D130" i="35" s="1"/>
  <c r="D131" i="35" s="1"/>
  <c r="D132" i="35" s="1"/>
  <c r="D133" i="35" s="1"/>
  <c r="D134" i="35" s="1"/>
  <c r="D135" i="35" s="1"/>
  <c r="D136" i="35" s="1"/>
  <c r="D137" i="35" s="1"/>
  <c r="D138" i="35" s="1"/>
  <c r="D173" i="26"/>
  <c r="E48" i="81" s="1"/>
  <c r="H48" i="81" s="1"/>
  <c r="AB21" i="26"/>
  <c r="P22" i="26" s="1"/>
  <c r="J91" i="26" s="1"/>
  <c r="K91" i="26" s="1"/>
  <c r="M38" i="26"/>
  <c r="S38" i="26"/>
  <c r="AB38" i="26"/>
  <c r="P17" i="26"/>
  <c r="J61" i="26" s="1"/>
  <c r="K61" i="26" s="1"/>
  <c r="Z23" i="26"/>
  <c r="AB23" i="26" s="1"/>
  <c r="G24" i="26" s="1"/>
  <c r="J100" i="26" s="1"/>
  <c r="M17" i="26"/>
  <c r="J59" i="26" s="1"/>
  <c r="K59" i="26" s="1"/>
  <c r="AB17" i="26"/>
  <c r="G17" i="26"/>
  <c r="J55" i="26" s="1"/>
  <c r="K55" i="26" s="1"/>
  <c r="P38" i="26"/>
  <c r="G38" i="26"/>
  <c r="J17" i="26"/>
  <c r="J57" i="26" s="1"/>
  <c r="K57" i="26" s="1"/>
  <c r="AB20" i="26"/>
  <c r="V57" i="8"/>
  <c r="M43" i="39"/>
  <c r="E43" i="39" s="1"/>
  <c r="P43" i="39"/>
  <c r="H43" i="39" s="1"/>
  <c r="Q43" i="39"/>
  <c r="I43" i="39" s="1"/>
  <c r="N43" i="39"/>
  <c r="F43" i="39" s="1"/>
  <c r="O43" i="39"/>
  <c r="G43" i="39" s="1"/>
  <c r="M44" i="39"/>
  <c r="E44" i="39" s="1"/>
  <c r="Q44" i="39"/>
  <c r="I44" i="39" s="1"/>
  <c r="N44" i="39"/>
  <c r="F44" i="39" s="1"/>
  <c r="O44" i="39"/>
  <c r="G44" i="39" s="1"/>
  <c r="P44" i="39"/>
  <c r="H44" i="39" s="1"/>
  <c r="O42" i="39"/>
  <c r="G42" i="39" s="1"/>
  <c r="Q42" i="39"/>
  <c r="I42" i="39" s="1"/>
  <c r="N42" i="39"/>
  <c r="F42" i="39" s="1"/>
  <c r="M42" i="39"/>
  <c r="E42" i="39" s="1"/>
  <c r="P42" i="39"/>
  <c r="H42" i="39" s="1"/>
  <c r="G20" i="26"/>
  <c r="J77" i="26" s="1"/>
  <c r="K77" i="26" s="1"/>
  <c r="K80" i="26" s="1"/>
  <c r="D158" i="26" s="1"/>
  <c r="E24" i="81" s="1"/>
  <c r="Y34" i="26"/>
  <c r="J129" i="26" s="1"/>
  <c r="K129" i="26" s="1"/>
  <c r="D174" i="26" s="1"/>
  <c r="K121" i="26"/>
  <c r="K124" i="26" s="1"/>
  <c r="D163" i="26" s="1"/>
  <c r="E26" i="81" s="1"/>
  <c r="J124" i="26"/>
  <c r="G30" i="26"/>
  <c r="J69" i="26" s="1"/>
  <c r="K69" i="26" s="1"/>
  <c r="H7" i="81"/>
  <c r="Z47" i="8"/>
  <c r="G54" i="42"/>
  <c r="AE32" i="41"/>
  <c r="AB30" i="26"/>
  <c r="S30" i="26"/>
  <c r="J71" i="26" s="1"/>
  <c r="K71" i="26" s="1"/>
  <c r="J408" i="79"/>
  <c r="R406" i="79"/>
  <c r="F40" i="81" s="1"/>
  <c r="H11" i="42"/>
  <c r="AF10" i="41"/>
  <c r="Z54" i="8"/>
  <c r="H88" i="42"/>
  <c r="AF51" i="41"/>
  <c r="G24" i="42"/>
  <c r="AE17" i="41"/>
  <c r="X57" i="8"/>
  <c r="U57" i="8"/>
  <c r="W57" i="8"/>
  <c r="AB34" i="26"/>
  <c r="S34" i="26"/>
  <c r="A79" i="32"/>
  <c r="F103" i="32"/>
  <c r="B104" i="32" s="1"/>
  <c r="H119" i="34"/>
  <c r="D59" i="35"/>
  <c r="F91" i="34"/>
  <c r="H91" i="34" s="1"/>
  <c r="G58" i="35"/>
  <c r="G93" i="35"/>
  <c r="H93" i="35" s="1"/>
  <c r="F93" i="35"/>
  <c r="N53" i="32"/>
  <c r="O20" i="32"/>
  <c r="O37" i="32"/>
  <c r="D120" i="34"/>
  <c r="H120" i="34" s="1"/>
  <c r="R92" i="34"/>
  <c r="S92" i="34" s="1"/>
  <c r="D92" i="34"/>
  <c r="F81" i="38"/>
  <c r="G81" i="38" s="1"/>
  <c r="M90" i="34"/>
  <c r="K90" i="34"/>
  <c r="L90" i="34" s="1"/>
  <c r="S57" i="35"/>
  <c r="P58" i="35"/>
  <c r="O58" i="35"/>
  <c r="N58" i="35"/>
  <c r="Q58" i="35"/>
  <c r="M58" i="35"/>
  <c r="R58" i="35"/>
  <c r="AA20" i="32"/>
  <c r="AA23" i="32" s="1"/>
  <c r="AA37" i="32"/>
  <c r="AA38" i="32" s="1"/>
  <c r="AA74" i="32" s="1"/>
  <c r="AA75" i="32" s="1"/>
  <c r="AA76" i="32" s="1"/>
  <c r="AA77" i="32" s="1"/>
  <c r="Z53" i="32"/>
  <c r="J91" i="34"/>
  <c r="D152" i="34"/>
  <c r="W58" i="35"/>
  <c r="X58" i="35"/>
  <c r="F108" i="38"/>
  <c r="G108" i="38" s="1"/>
  <c r="H108" i="38" s="1"/>
  <c r="I108" i="38" s="1"/>
  <c r="J295" i="35"/>
  <c r="D244" i="35"/>
  <c r="E244" i="35" s="1"/>
  <c r="F244" i="35" s="1"/>
  <c r="G244" i="35" s="1"/>
  <c r="H158" i="38"/>
  <c r="I296" i="35"/>
  <c r="H296" i="35"/>
  <c r="G296" i="35"/>
  <c r="C270" i="35"/>
  <c r="D270" i="35" s="1"/>
  <c r="I181" i="35"/>
  <c r="O40" i="79" l="1"/>
  <c r="R40" i="79" s="1"/>
  <c r="H24" i="81"/>
  <c r="E80" i="81" s="1"/>
  <c r="F80" i="81" s="1"/>
  <c r="H80" i="81" s="1"/>
  <c r="I80" i="81" s="1"/>
  <c r="J80" i="81" s="1"/>
  <c r="K80" i="81" s="1"/>
  <c r="L80" i="81" s="1"/>
  <c r="M80" i="81" s="1"/>
  <c r="N80" i="81" s="1"/>
  <c r="O80" i="81" s="1"/>
  <c r="P80" i="81" s="1"/>
  <c r="Q80" i="81" s="1"/>
  <c r="R80" i="81" s="1"/>
  <c r="S80" i="81" s="1"/>
  <c r="T80" i="81" s="1"/>
  <c r="U80" i="81" s="1"/>
  <c r="F507" i="79"/>
  <c r="F505" i="79"/>
  <c r="F12" i="81"/>
  <c r="F13" i="81" s="1"/>
  <c r="F514" i="79"/>
  <c r="F25" i="81"/>
  <c r="F26" i="81"/>
  <c r="H26" i="81" s="1"/>
  <c r="E82" i="81" s="1"/>
  <c r="F82" i="81" s="1"/>
  <c r="H82" i="81" s="1"/>
  <c r="I82" i="81" s="1"/>
  <c r="J82" i="81" s="1"/>
  <c r="K82" i="81" s="1"/>
  <c r="L82" i="81" s="1"/>
  <c r="M82" i="81" s="1"/>
  <c r="N82" i="81" s="1"/>
  <c r="O82" i="81" s="1"/>
  <c r="P82" i="81" s="1"/>
  <c r="Q82" i="81" s="1"/>
  <c r="R82" i="81" s="1"/>
  <c r="S82" i="81" s="1"/>
  <c r="T82" i="81" s="1"/>
  <c r="U82" i="81" s="1"/>
  <c r="F502" i="79"/>
  <c r="F506" i="79"/>
  <c r="F9" i="81"/>
  <c r="H9" i="81" s="1"/>
  <c r="F17" i="81"/>
  <c r="F20" i="81" s="1"/>
  <c r="F16" i="81" s="1"/>
  <c r="F19" i="81" s="1"/>
  <c r="H19" i="81" s="1"/>
  <c r="E75" i="81" s="1"/>
  <c r="F75" i="81" s="1"/>
  <c r="H75" i="81" s="1"/>
  <c r="I75" i="81" s="1"/>
  <c r="J75" i="81" s="1"/>
  <c r="K75" i="81" s="1"/>
  <c r="L75" i="81" s="1"/>
  <c r="M75" i="81" s="1"/>
  <c r="N75" i="81" s="1"/>
  <c r="O75" i="81" s="1"/>
  <c r="P75" i="81" s="1"/>
  <c r="Q75" i="81" s="1"/>
  <c r="R75" i="81" s="1"/>
  <c r="S75" i="81" s="1"/>
  <c r="T75" i="81" s="1"/>
  <c r="U75" i="81" s="1"/>
  <c r="P68" i="33"/>
  <c r="R51" i="33"/>
  <c r="K132" i="26"/>
  <c r="E54" i="81" s="1"/>
  <c r="J132" i="26"/>
  <c r="S22" i="26"/>
  <c r="J93" i="26" s="1"/>
  <c r="K93" i="26" s="1"/>
  <c r="AB22" i="26"/>
  <c r="J22" i="26"/>
  <c r="J89" i="26" s="1"/>
  <c r="K89" i="26" s="1"/>
  <c r="D169" i="26"/>
  <c r="E37" i="81" s="1"/>
  <c r="H37" i="81" s="1"/>
  <c r="G22" i="26"/>
  <c r="J85" i="26" s="1"/>
  <c r="J80" i="26"/>
  <c r="J107" i="26"/>
  <c r="K107" i="26" s="1"/>
  <c r="D157" i="26" s="1"/>
  <c r="E15" i="81" s="1"/>
  <c r="H15" i="81" s="1"/>
  <c r="E71" i="81" s="1"/>
  <c r="F71" i="81" s="1"/>
  <c r="H71" i="81" s="1"/>
  <c r="I71" i="81" s="1"/>
  <c r="J71" i="81" s="1"/>
  <c r="K71" i="81" s="1"/>
  <c r="L71" i="81" s="1"/>
  <c r="M71" i="81" s="1"/>
  <c r="N71" i="81" s="1"/>
  <c r="O71" i="81" s="1"/>
  <c r="P71" i="81" s="1"/>
  <c r="Q71" i="81" s="1"/>
  <c r="R71" i="81" s="1"/>
  <c r="S71" i="81" s="1"/>
  <c r="T71" i="81" s="1"/>
  <c r="U71" i="81" s="1"/>
  <c r="J104" i="26"/>
  <c r="K104" i="26" s="1"/>
  <c r="D154" i="26" s="1"/>
  <c r="E18" i="81" s="1"/>
  <c r="H18" i="81" s="1"/>
  <c r="E74" i="81" s="1"/>
  <c r="F74" i="81" s="1"/>
  <c r="H74" i="81" s="1"/>
  <c r="I74" i="81" s="1"/>
  <c r="J74" i="81" s="1"/>
  <c r="K74" i="81" s="1"/>
  <c r="L74" i="81" s="1"/>
  <c r="M74" i="81" s="1"/>
  <c r="N74" i="81" s="1"/>
  <c r="O74" i="81" s="1"/>
  <c r="P74" i="81" s="1"/>
  <c r="Q74" i="81" s="1"/>
  <c r="R74" i="81" s="1"/>
  <c r="S74" i="81" s="1"/>
  <c r="T74" i="81" s="1"/>
  <c r="U74" i="81" s="1"/>
  <c r="J102" i="26"/>
  <c r="K102" i="26" s="1"/>
  <c r="D152" i="26" s="1"/>
  <c r="E17" i="81" s="1"/>
  <c r="J24" i="26"/>
  <c r="J109" i="26" s="1"/>
  <c r="K109" i="26" s="1"/>
  <c r="P24" i="26"/>
  <c r="J113" i="26" s="1"/>
  <c r="K113" i="26" s="1"/>
  <c r="J101" i="26"/>
  <c r="K101" i="26" s="1"/>
  <c r="D151" i="26" s="1"/>
  <c r="E13" i="81" s="1"/>
  <c r="J106" i="26"/>
  <c r="K106" i="26" s="1"/>
  <c r="D156" i="26" s="1"/>
  <c r="E16" i="81" s="1"/>
  <c r="M24" i="26"/>
  <c r="J111" i="26" s="1"/>
  <c r="K111" i="26" s="1"/>
  <c r="D167" i="26" s="1"/>
  <c r="E40" i="81" s="1"/>
  <c r="J105" i="26"/>
  <c r="K105" i="26" s="1"/>
  <c r="D155" i="26" s="1"/>
  <c r="E20" i="81" s="1"/>
  <c r="S24" i="26"/>
  <c r="J103" i="26"/>
  <c r="K103" i="26" s="1"/>
  <c r="D153" i="26" s="1"/>
  <c r="E14" i="81" s="1"/>
  <c r="H14" i="81" s="1"/>
  <c r="E70" i="81" s="1"/>
  <c r="AB24" i="26"/>
  <c r="K64" i="26"/>
  <c r="D144" i="26" s="1"/>
  <c r="E6" i="81" s="1"/>
  <c r="H6" i="81" s="1"/>
  <c r="J64" i="26"/>
  <c r="I55" i="39"/>
  <c r="J43" i="39"/>
  <c r="X42" i="41" s="1"/>
  <c r="J72" i="26"/>
  <c r="G55" i="39"/>
  <c r="F55" i="39"/>
  <c r="H55" i="39"/>
  <c r="J42" i="39"/>
  <c r="X41" i="41" s="1"/>
  <c r="E55" i="39"/>
  <c r="J296" i="35"/>
  <c r="H54" i="42"/>
  <c r="AF32" i="41"/>
  <c r="K100" i="26"/>
  <c r="Z56" i="8"/>
  <c r="J86" i="26"/>
  <c r="K86" i="26" s="1"/>
  <c r="D161" i="26" s="1"/>
  <c r="E22" i="81" s="1"/>
  <c r="F104" i="32"/>
  <c r="B105" i="32" s="1"/>
  <c r="A80" i="32"/>
  <c r="H24" i="42"/>
  <c r="AF17" i="41"/>
  <c r="K72" i="26"/>
  <c r="D159" i="26" s="1"/>
  <c r="E25" i="81" s="1"/>
  <c r="I11" i="42"/>
  <c r="AG10" i="41"/>
  <c r="I88" i="42"/>
  <c r="AG51" i="41"/>
  <c r="J44" i="39"/>
  <c r="X43" i="41" s="1"/>
  <c r="E17" i="41" a="1"/>
  <c r="I17" i="41" s="1"/>
  <c r="N90" i="34"/>
  <c r="O90" i="34"/>
  <c r="S58" i="35"/>
  <c r="C37" i="32"/>
  <c r="O38" i="32"/>
  <c r="M91" i="34"/>
  <c r="K91" i="34"/>
  <c r="L91" i="34" s="1"/>
  <c r="F82" i="38"/>
  <c r="G82" i="38" s="1"/>
  <c r="O23" i="32"/>
  <c r="C20" i="32"/>
  <c r="D153" i="34"/>
  <c r="J92" i="34"/>
  <c r="W59" i="35"/>
  <c r="X59" i="35"/>
  <c r="P59" i="35"/>
  <c r="O59" i="35"/>
  <c r="N59" i="35"/>
  <c r="M59" i="35"/>
  <c r="R59" i="35"/>
  <c r="Q59" i="35"/>
  <c r="B53" i="32"/>
  <c r="O53" i="32"/>
  <c r="N54" i="32"/>
  <c r="F92" i="34"/>
  <c r="H92" i="34" s="1"/>
  <c r="E62" i="34"/>
  <c r="Z54" i="32"/>
  <c r="AA53" i="32"/>
  <c r="AB53" i="32" s="1"/>
  <c r="R93" i="34"/>
  <c r="S93" i="34" s="1"/>
  <c r="D121" i="34"/>
  <c r="H121" i="34" s="1"/>
  <c r="D93" i="34"/>
  <c r="F94" i="35"/>
  <c r="G94" i="35"/>
  <c r="H94" i="35" s="1"/>
  <c r="D60" i="35"/>
  <c r="G60" i="35" s="1"/>
  <c r="G59" i="35"/>
  <c r="AA26" i="32"/>
  <c r="AA32" i="32"/>
  <c r="AA33" i="32" s="1"/>
  <c r="F109" i="38"/>
  <c r="G109" i="38" s="1"/>
  <c r="H109" i="38" s="1"/>
  <c r="I109" i="38" s="1"/>
  <c r="D245" i="35"/>
  <c r="E245" i="35" s="1"/>
  <c r="F245" i="35" s="1"/>
  <c r="G245" i="35" s="1"/>
  <c r="I297" i="35"/>
  <c r="G297" i="35"/>
  <c r="C271" i="35"/>
  <c r="D271" i="35" s="1"/>
  <c r="H297" i="35"/>
  <c r="H159" i="38"/>
  <c r="AA78" i="32"/>
  <c r="I182" i="35"/>
  <c r="F540" i="79" l="1"/>
  <c r="F541" i="79" s="1"/>
  <c r="F54" i="81"/>
  <c r="H54" i="81" s="1"/>
  <c r="E104" i="81" s="1"/>
  <c r="I32" i="55"/>
  <c r="NC35" i="54" s="1"/>
  <c r="H17" i="99"/>
  <c r="H195" i="90"/>
  <c r="H25" i="81"/>
  <c r="E81" i="81" s="1"/>
  <c r="F81" i="81" s="1"/>
  <c r="H81" i="81" s="1"/>
  <c r="I81" i="81" s="1"/>
  <c r="J81" i="81" s="1"/>
  <c r="K81" i="81" s="1"/>
  <c r="L81" i="81" s="1"/>
  <c r="M81" i="81" s="1"/>
  <c r="N81" i="81" s="1"/>
  <c r="O81" i="81" s="1"/>
  <c r="P81" i="81" s="1"/>
  <c r="Q81" i="81" s="1"/>
  <c r="R81" i="81" s="1"/>
  <c r="S81" i="81" s="1"/>
  <c r="T81" i="81" s="1"/>
  <c r="U81" i="81" s="1"/>
  <c r="H13" i="81"/>
  <c r="E69" i="81" s="1"/>
  <c r="H20" i="81"/>
  <c r="E76" i="81" s="1"/>
  <c r="F76" i="81" s="1"/>
  <c r="H76" i="81" s="1"/>
  <c r="I76" i="81" s="1"/>
  <c r="J76" i="81" s="1"/>
  <c r="K76" i="81" s="1"/>
  <c r="L76" i="81" s="1"/>
  <c r="M76" i="81" s="1"/>
  <c r="N76" i="81" s="1"/>
  <c r="O76" i="81" s="1"/>
  <c r="P76" i="81" s="1"/>
  <c r="Q76" i="81" s="1"/>
  <c r="R76" i="81" s="1"/>
  <c r="S76" i="81" s="1"/>
  <c r="T76" i="81" s="1"/>
  <c r="U76" i="81" s="1"/>
  <c r="H16" i="81"/>
  <c r="E72" i="81" s="1"/>
  <c r="F22" i="81"/>
  <c r="F23" i="81" s="1"/>
  <c r="F21" i="81"/>
  <c r="H17" i="81"/>
  <c r="E73" i="81" s="1"/>
  <c r="F73" i="81" s="1"/>
  <c r="H73" i="81" s="1"/>
  <c r="I73" i="81" s="1"/>
  <c r="J73" i="81" s="1"/>
  <c r="K73" i="81" s="1"/>
  <c r="L73" i="81" s="1"/>
  <c r="M73" i="81" s="1"/>
  <c r="N73" i="81" s="1"/>
  <c r="O73" i="81" s="1"/>
  <c r="P73" i="81" s="1"/>
  <c r="Q73" i="81" s="1"/>
  <c r="R73" i="81" s="1"/>
  <c r="S73" i="81" s="1"/>
  <c r="T73" i="81" s="1"/>
  <c r="U73" i="81" s="1"/>
  <c r="AA27" i="32"/>
  <c r="AA44" i="32" s="1"/>
  <c r="Z74" i="32" s="1"/>
  <c r="Z75" i="32" s="1"/>
  <c r="Z76" i="32" s="1"/>
  <c r="Z77" i="32" s="1"/>
  <c r="Z78" i="32" s="1"/>
  <c r="Z79" i="32" s="1"/>
  <c r="Z80" i="32" s="1"/>
  <c r="Z81" i="32" s="1"/>
  <c r="Z82" i="32" s="1"/>
  <c r="Z83" i="32" s="1"/>
  <c r="Z84" i="32" s="1"/>
  <c r="Z85" i="32" s="1"/>
  <c r="Z86" i="32" s="1"/>
  <c r="Z87" i="32" s="1"/>
  <c r="Z88" i="32" s="1"/>
  <c r="Z89" i="32" s="1"/>
  <c r="Z90" i="32" s="1"/>
  <c r="J87" i="26"/>
  <c r="K87" i="26" s="1"/>
  <c r="D162" i="26" s="1"/>
  <c r="E23" i="81" s="1"/>
  <c r="D165" i="26"/>
  <c r="E34" i="81" s="1"/>
  <c r="H34" i="81" s="1"/>
  <c r="J115" i="26"/>
  <c r="K115" i="26" s="1"/>
  <c r="H40" i="81"/>
  <c r="E93" i="81" s="1"/>
  <c r="F93" i="81" s="1"/>
  <c r="H93" i="81" s="1"/>
  <c r="I93" i="81" s="1"/>
  <c r="J93" i="81" s="1"/>
  <c r="K93" i="81" s="1"/>
  <c r="L93" i="81" s="1"/>
  <c r="M93" i="81" s="1"/>
  <c r="N93" i="81" s="1"/>
  <c r="O93" i="81" s="1"/>
  <c r="P93" i="81" s="1"/>
  <c r="Q93" i="81" s="1"/>
  <c r="R93" i="81" s="1"/>
  <c r="S93" i="81" s="1"/>
  <c r="T93" i="81" s="1"/>
  <c r="U93" i="81" s="1"/>
  <c r="J55" i="39"/>
  <c r="I54" i="42"/>
  <c r="AG32" i="41"/>
  <c r="N91" i="34"/>
  <c r="K85" i="26"/>
  <c r="J88" i="42"/>
  <c r="AH51" i="41"/>
  <c r="X56" i="41"/>
  <c r="J11" i="42"/>
  <c r="AH10" i="41"/>
  <c r="AG17" i="41"/>
  <c r="I24" i="42"/>
  <c r="D150" i="26"/>
  <c r="E12" i="81" s="1"/>
  <c r="H12" i="81" s="1"/>
  <c r="E68" i="81" s="1"/>
  <c r="F68" i="81" s="1"/>
  <c r="F105" i="32"/>
  <c r="B106" i="32" s="1"/>
  <c r="A81" i="32"/>
  <c r="N17" i="41"/>
  <c r="J17" i="41"/>
  <c r="E17" i="41"/>
  <c r="K17" i="41"/>
  <c r="L17" i="41"/>
  <c r="H17" i="41"/>
  <c r="R17" i="41"/>
  <c r="S17" i="41"/>
  <c r="T17" i="41"/>
  <c r="P17" i="41"/>
  <c r="M17" i="41"/>
  <c r="F17" i="41"/>
  <c r="O17" i="41"/>
  <c r="G17" i="41"/>
  <c r="U17" i="41"/>
  <c r="Q17" i="41"/>
  <c r="O131" i="81"/>
  <c r="O133" i="81" s="1"/>
  <c r="J131" i="81"/>
  <c r="J133" i="81" s="1"/>
  <c r="G23" i="42"/>
  <c r="C53" i="32"/>
  <c r="P53" i="32"/>
  <c r="Z55" i="32"/>
  <c r="AA54" i="32"/>
  <c r="O32" i="32"/>
  <c r="C23" i="32"/>
  <c r="B23" i="32" s="1"/>
  <c r="O26" i="32"/>
  <c r="O27" i="32" s="1"/>
  <c r="O91" i="34"/>
  <c r="Q60" i="35"/>
  <c r="P60" i="35"/>
  <c r="O60" i="35"/>
  <c r="M60" i="35"/>
  <c r="N60" i="35"/>
  <c r="R60" i="35"/>
  <c r="F83" i="38"/>
  <c r="G83" i="38" s="1"/>
  <c r="F95" i="35"/>
  <c r="G95" i="35"/>
  <c r="H95" i="35" s="1"/>
  <c r="X60" i="35"/>
  <c r="W60" i="35"/>
  <c r="AB74" i="32"/>
  <c r="AB75" i="32" s="1"/>
  <c r="AB76" i="32" s="1"/>
  <c r="AB77" i="32" s="1"/>
  <c r="AA34" i="32"/>
  <c r="AA40" i="32" s="1"/>
  <c r="AA45" i="32" s="1"/>
  <c r="S59" i="35"/>
  <c r="K92" i="34"/>
  <c r="L92" i="34" s="1"/>
  <c r="M92" i="34"/>
  <c r="AC53" i="32"/>
  <c r="AD53" i="32" s="1"/>
  <c r="AD54" i="32" s="1"/>
  <c r="AB54" i="32"/>
  <c r="D122" i="34"/>
  <c r="H122" i="34" s="1"/>
  <c r="R94" i="34"/>
  <c r="S94" i="34" s="1"/>
  <c r="D94" i="34"/>
  <c r="F93" i="34"/>
  <c r="H93" i="34" s="1"/>
  <c r="D154" i="34"/>
  <c r="C38" i="32"/>
  <c r="B38" i="32" s="1"/>
  <c r="O74" i="32"/>
  <c r="E63" i="34"/>
  <c r="J93" i="34"/>
  <c r="D61" i="35"/>
  <c r="G61" i="35" s="1"/>
  <c r="B54" i="32"/>
  <c r="O54" i="32"/>
  <c r="N55" i="32"/>
  <c r="F110" i="38"/>
  <c r="G110" i="38" s="1"/>
  <c r="H110" i="38" s="1"/>
  <c r="I110" i="38" s="1"/>
  <c r="AA79" i="32"/>
  <c r="J297" i="35"/>
  <c r="D246" i="35"/>
  <c r="E246" i="35" s="1"/>
  <c r="F246" i="35" s="1"/>
  <c r="G246" i="35" s="1"/>
  <c r="H160" i="38"/>
  <c r="I298" i="35"/>
  <c r="G298" i="35"/>
  <c r="H298" i="35"/>
  <c r="C272" i="35"/>
  <c r="D272" i="35" s="1"/>
  <c r="I183" i="35"/>
  <c r="JV35" i="54" l="1"/>
  <c r="Q32" i="55"/>
  <c r="NK35" i="54" s="1"/>
  <c r="P17" i="99"/>
  <c r="P195" i="90"/>
  <c r="J17" i="99"/>
  <c r="J195" i="90"/>
  <c r="T17" i="99"/>
  <c r="T195" i="90"/>
  <c r="L17" i="99"/>
  <c r="L195" i="90"/>
  <c r="R32" i="55"/>
  <c r="KE35" i="54" s="1"/>
  <c r="Q17" i="99"/>
  <c r="Q195" i="90"/>
  <c r="D17" i="99"/>
  <c r="D195" i="90"/>
  <c r="H140" i="90"/>
  <c r="H87" i="90"/>
  <c r="F17" i="99"/>
  <c r="F195" i="90"/>
  <c r="P32" i="55"/>
  <c r="NJ35" i="54" s="1"/>
  <c r="O17" i="99"/>
  <c r="O195" i="90"/>
  <c r="G17" i="99"/>
  <c r="G195" i="90"/>
  <c r="I17" i="99"/>
  <c r="I195" i="90"/>
  <c r="E17" i="99"/>
  <c r="E195" i="90"/>
  <c r="R17" i="99"/>
  <c r="R195" i="90"/>
  <c r="N17" i="99"/>
  <c r="N195" i="90"/>
  <c r="S17" i="99"/>
  <c r="S195" i="90"/>
  <c r="L32" i="55"/>
  <c r="JY35" i="54" s="1"/>
  <c r="K17" i="99"/>
  <c r="K195" i="90"/>
  <c r="N32" i="55"/>
  <c r="NH35" i="54" s="1"/>
  <c r="M17" i="99"/>
  <c r="M195" i="90"/>
  <c r="G68" i="81"/>
  <c r="H68" i="81"/>
  <c r="I68" i="81" s="1"/>
  <c r="J68" i="81" s="1"/>
  <c r="K68" i="81" s="1"/>
  <c r="L68" i="81" s="1"/>
  <c r="M68" i="81" s="1"/>
  <c r="N68" i="81" s="1"/>
  <c r="O68" i="81" s="1"/>
  <c r="P68" i="81" s="1"/>
  <c r="Q68" i="81" s="1"/>
  <c r="R68" i="81" s="1"/>
  <c r="S68" i="81" s="1"/>
  <c r="T68" i="81" s="1"/>
  <c r="U68" i="81" s="1"/>
  <c r="H22" i="81"/>
  <c r="E78" i="81" s="1"/>
  <c r="F78" i="81" s="1"/>
  <c r="H78" i="81" s="1"/>
  <c r="I78" i="81" s="1"/>
  <c r="J78" i="81" s="1"/>
  <c r="K78" i="81" s="1"/>
  <c r="L78" i="81" s="1"/>
  <c r="M78" i="81" s="1"/>
  <c r="N78" i="81" s="1"/>
  <c r="O78" i="81" s="1"/>
  <c r="P78" i="81" s="1"/>
  <c r="Q78" i="81" s="1"/>
  <c r="R78" i="81" s="1"/>
  <c r="S78" i="81" s="1"/>
  <c r="T78" i="81" s="1"/>
  <c r="U78" i="81" s="1"/>
  <c r="H23" i="81"/>
  <c r="E79" i="81" s="1"/>
  <c r="F79" i="81" s="1"/>
  <c r="H79" i="81" s="1"/>
  <c r="I79" i="81" s="1"/>
  <c r="J79" i="81" s="1"/>
  <c r="K79" i="81" s="1"/>
  <c r="L79" i="81" s="1"/>
  <c r="M79" i="81" s="1"/>
  <c r="N79" i="81" s="1"/>
  <c r="O79" i="81" s="1"/>
  <c r="P79" i="81" s="1"/>
  <c r="Q79" i="81" s="1"/>
  <c r="R79" i="81" s="1"/>
  <c r="S79" i="81" s="1"/>
  <c r="T79" i="81" s="1"/>
  <c r="U79" i="81" s="1"/>
  <c r="AA46" i="32"/>
  <c r="KC35" i="54"/>
  <c r="NL35" i="54"/>
  <c r="F131" i="81"/>
  <c r="F133" i="81" s="1"/>
  <c r="E32" i="55"/>
  <c r="T131" i="81"/>
  <c r="T133" i="81" s="1"/>
  <c r="S32" i="55"/>
  <c r="K131" i="81"/>
  <c r="K133" i="81" s="1"/>
  <c r="J32" i="55"/>
  <c r="U131" i="81"/>
  <c r="U133" i="81" s="1"/>
  <c r="T32" i="55"/>
  <c r="F23" i="42"/>
  <c r="H32" i="55"/>
  <c r="V131" i="81"/>
  <c r="V133" i="81" s="1"/>
  <c r="U32" i="55"/>
  <c r="P131" i="81"/>
  <c r="P133" i="81" s="1"/>
  <c r="O32" i="55"/>
  <c r="N131" i="81"/>
  <c r="N133" i="81" s="1"/>
  <c r="M32" i="55"/>
  <c r="H131" i="81"/>
  <c r="H133" i="81" s="1"/>
  <c r="G32" i="55"/>
  <c r="G131" i="81"/>
  <c r="G133" i="81" s="1"/>
  <c r="F32" i="55"/>
  <c r="L131" i="81"/>
  <c r="L133" i="81" s="1"/>
  <c r="K32" i="55"/>
  <c r="J94" i="26"/>
  <c r="J116" i="26"/>
  <c r="D171" i="26"/>
  <c r="E46" i="81" s="1"/>
  <c r="H46" i="81" s="1"/>
  <c r="K116" i="26"/>
  <c r="G93" i="81"/>
  <c r="I23" i="42"/>
  <c r="Y17" i="41"/>
  <c r="C23" i="42"/>
  <c r="H23" i="42"/>
  <c r="J24" i="42"/>
  <c r="J23" i="42" s="1"/>
  <c r="AH17" i="41"/>
  <c r="K94" i="26"/>
  <c r="D160" i="26"/>
  <c r="E21" i="81" s="1"/>
  <c r="H21" i="81" s="1"/>
  <c r="E77" i="81" s="1"/>
  <c r="F77" i="81" s="1"/>
  <c r="H77" i="81" s="1"/>
  <c r="I77" i="81" s="1"/>
  <c r="J77" i="81" s="1"/>
  <c r="K77" i="81" s="1"/>
  <c r="L77" i="81" s="1"/>
  <c r="M77" i="81" s="1"/>
  <c r="N77" i="81" s="1"/>
  <c r="O77" i="81" s="1"/>
  <c r="P77" i="81" s="1"/>
  <c r="Q77" i="81" s="1"/>
  <c r="R77" i="81" s="1"/>
  <c r="S77" i="81" s="1"/>
  <c r="T77" i="81" s="1"/>
  <c r="U77" i="81" s="1"/>
  <c r="K88" i="42"/>
  <c r="AI51" i="41"/>
  <c r="A82" i="32"/>
  <c r="F106" i="32"/>
  <c r="B107" i="32" s="1"/>
  <c r="K11" i="42"/>
  <c r="AI10" i="41"/>
  <c r="AH32" i="41"/>
  <c r="J54" i="42"/>
  <c r="M131" i="81"/>
  <c r="M133" i="81" s="1"/>
  <c r="S23" i="42"/>
  <c r="E19" i="43" s="1"/>
  <c r="G19" i="43" s="1"/>
  <c r="Q23" i="42"/>
  <c r="S131" i="81"/>
  <c r="S133" i="81" s="1"/>
  <c r="E23" i="42"/>
  <c r="I131" i="81"/>
  <c r="I133" i="81" s="1"/>
  <c r="D23" i="42"/>
  <c r="R131" i="81"/>
  <c r="R133" i="81" s="1"/>
  <c r="Q131" i="81"/>
  <c r="Q133" i="81" s="1"/>
  <c r="R23" i="42"/>
  <c r="C54" i="32"/>
  <c r="AE54" i="32"/>
  <c r="AF54" i="32" s="1"/>
  <c r="AG54" i="32" s="1"/>
  <c r="AC75" i="32" s="1"/>
  <c r="AD75" i="32" s="1"/>
  <c r="AE75" i="32" s="1"/>
  <c r="AF75" i="32" s="1"/>
  <c r="AG75" i="32" s="1"/>
  <c r="J94" i="34"/>
  <c r="F94" i="34"/>
  <c r="H94" i="34" s="1"/>
  <c r="C26" i="32"/>
  <c r="B26" i="32" s="1"/>
  <c r="M93" i="34"/>
  <c r="K93" i="34"/>
  <c r="L93" i="34" s="1"/>
  <c r="O92" i="34"/>
  <c r="N92" i="34"/>
  <c r="AD55" i="32"/>
  <c r="AD56" i="32" s="1"/>
  <c r="AE53" i="32"/>
  <c r="AF53" i="32" s="1"/>
  <c r="AG53" i="32" s="1"/>
  <c r="AC74" i="32" s="1"/>
  <c r="AD74" i="32" s="1"/>
  <c r="AE74" i="32" s="1"/>
  <c r="AF74" i="32" s="1"/>
  <c r="S60" i="35"/>
  <c r="O33" i="32"/>
  <c r="C32" i="32"/>
  <c r="B32" i="32" s="1"/>
  <c r="N56" i="32"/>
  <c r="O55" i="32"/>
  <c r="B55" i="32"/>
  <c r="E64" i="34"/>
  <c r="F96" i="35"/>
  <c r="G96" i="35"/>
  <c r="H96" i="35" s="1"/>
  <c r="C74" i="32"/>
  <c r="O75" i="32"/>
  <c r="R61" i="35"/>
  <c r="Q61" i="35"/>
  <c r="P61" i="35"/>
  <c r="O61" i="35"/>
  <c r="M61" i="35"/>
  <c r="N61" i="35"/>
  <c r="AA55" i="32"/>
  <c r="Z56" i="32"/>
  <c r="F84" i="38"/>
  <c r="G84" i="38" s="1"/>
  <c r="D123" i="34"/>
  <c r="H123" i="34" s="1"/>
  <c r="R95" i="34"/>
  <c r="S95" i="34" s="1"/>
  <c r="D95" i="34"/>
  <c r="X61" i="35"/>
  <c r="W61" i="35"/>
  <c r="Q53" i="32"/>
  <c r="R53" i="32" s="1"/>
  <c r="P54" i="32"/>
  <c r="D53" i="32"/>
  <c r="E53" i="32" s="1"/>
  <c r="D62" i="35"/>
  <c r="G62" i="35" s="1"/>
  <c r="D155" i="34"/>
  <c r="AC54" i="32"/>
  <c r="AB55" i="32"/>
  <c r="AF53" i="35"/>
  <c r="AF61" i="35" s="1"/>
  <c r="AG53" i="35"/>
  <c r="F111" i="38"/>
  <c r="G111" i="38" s="1"/>
  <c r="H111" i="38" s="1"/>
  <c r="I111" i="38" s="1"/>
  <c r="AA80" i="32"/>
  <c r="D247" i="35"/>
  <c r="E247" i="35" s="1"/>
  <c r="F247" i="35" s="1"/>
  <c r="G247" i="35" s="1"/>
  <c r="G299" i="35"/>
  <c r="I299" i="35"/>
  <c r="C273" i="35"/>
  <c r="D273" i="35" s="1"/>
  <c r="H161" i="38"/>
  <c r="H299" i="35"/>
  <c r="AB78" i="32"/>
  <c r="J298" i="35"/>
  <c r="I184" i="35"/>
  <c r="NF35" i="54" l="1"/>
  <c r="KD35" i="54"/>
  <c r="KA35" i="54"/>
  <c r="H31" i="90"/>
  <c r="AD31" i="90" s="1"/>
  <c r="M140" i="90"/>
  <c r="M87" i="90"/>
  <c r="N140" i="90"/>
  <c r="N87" i="90"/>
  <c r="E140" i="90"/>
  <c r="E87" i="90"/>
  <c r="G140" i="90"/>
  <c r="G87" i="90"/>
  <c r="T140" i="90"/>
  <c r="T87" i="90"/>
  <c r="P140" i="90"/>
  <c r="P87" i="90"/>
  <c r="K140" i="90"/>
  <c r="K87" i="90"/>
  <c r="Q140" i="90"/>
  <c r="Q87" i="90"/>
  <c r="F140" i="90"/>
  <c r="F87" i="90"/>
  <c r="D140" i="90"/>
  <c r="D87" i="90"/>
  <c r="S140" i="90"/>
  <c r="S87" i="90"/>
  <c r="R140" i="90"/>
  <c r="R87" i="90"/>
  <c r="I140" i="90"/>
  <c r="I87" i="90"/>
  <c r="I31" i="90" s="1"/>
  <c r="AE31" i="90" s="1"/>
  <c r="O140" i="90"/>
  <c r="O87" i="90"/>
  <c r="L140" i="90"/>
  <c r="L87" i="90"/>
  <c r="J140" i="90"/>
  <c r="J87" i="90"/>
  <c r="NE35" i="54"/>
  <c r="JX35" i="54"/>
  <c r="NI35" i="54"/>
  <c r="KB35" i="54"/>
  <c r="ND35" i="54"/>
  <c r="JW35" i="54"/>
  <c r="MZ35" i="54"/>
  <c r="JS35" i="54"/>
  <c r="NO35" i="54"/>
  <c r="KH35" i="54"/>
  <c r="NM35" i="54"/>
  <c r="KF35" i="54"/>
  <c r="NA35" i="54"/>
  <c r="JT35" i="54"/>
  <c r="NB35" i="54"/>
  <c r="JU35" i="54"/>
  <c r="MY35" i="54"/>
  <c r="JR35" i="54"/>
  <c r="NG35" i="54"/>
  <c r="JZ35" i="54"/>
  <c r="NN35" i="54"/>
  <c r="KG35" i="54"/>
  <c r="F107" i="32"/>
  <c r="B108" i="32" s="1"/>
  <c r="A83" i="32"/>
  <c r="L88" i="42"/>
  <c r="AJ51" i="41"/>
  <c r="K54" i="42"/>
  <c r="AI32" i="41"/>
  <c r="L11" i="42"/>
  <c r="AJ10" i="41"/>
  <c r="K24" i="42"/>
  <c r="K23" i="42" s="1"/>
  <c r="AI17" i="41"/>
  <c r="AH75" i="32"/>
  <c r="AE55" i="32"/>
  <c r="AF55" i="32" s="1"/>
  <c r="AG55" i="32" s="1"/>
  <c r="AC76" i="32" s="1"/>
  <c r="AD76" i="32" s="1"/>
  <c r="AE76" i="32" s="1"/>
  <c r="AF76" i="32" s="1"/>
  <c r="AH76" i="32" s="1"/>
  <c r="O93" i="34"/>
  <c r="AF56" i="35"/>
  <c r="AF55" i="35"/>
  <c r="AF59" i="35"/>
  <c r="AF60" i="35"/>
  <c r="AF57" i="35"/>
  <c r="AF58" i="35"/>
  <c r="P55" i="32"/>
  <c r="Q54" i="32"/>
  <c r="D54" i="32"/>
  <c r="E54" i="32" s="1"/>
  <c r="P74" i="32"/>
  <c r="C33" i="32"/>
  <c r="B33" i="32" s="1"/>
  <c r="O34" i="32"/>
  <c r="AC55" i="32"/>
  <c r="AB56" i="32"/>
  <c r="S53" i="32"/>
  <c r="R54" i="32"/>
  <c r="O62" i="35"/>
  <c r="N62" i="35"/>
  <c r="M62" i="35"/>
  <c r="R62" i="35"/>
  <c r="Q62" i="35"/>
  <c r="P62" i="35"/>
  <c r="AG74" i="32"/>
  <c r="AH74" i="32"/>
  <c r="R96" i="34"/>
  <c r="S96" i="34" s="1"/>
  <c r="D124" i="34"/>
  <c r="H124" i="34" s="1"/>
  <c r="D96" i="34"/>
  <c r="X62" i="35"/>
  <c r="W62" i="35"/>
  <c r="F85" i="38"/>
  <c r="G85" i="38" s="1"/>
  <c r="E65" i="34"/>
  <c r="AG59" i="35"/>
  <c r="AG56" i="35"/>
  <c r="AG60" i="35"/>
  <c r="AG55" i="35"/>
  <c r="AG57" i="35"/>
  <c r="AG58" i="35"/>
  <c r="AI53" i="35"/>
  <c r="AI55" i="35" s="1"/>
  <c r="AI56" i="35" s="1"/>
  <c r="AI57" i="35" s="1"/>
  <c r="AI58" i="35" s="1"/>
  <c r="AI59" i="35" s="1"/>
  <c r="AI60" i="35" s="1"/>
  <c r="AI61" i="35" s="1"/>
  <c r="AI62" i="35" s="1"/>
  <c r="AI63" i="35" s="1"/>
  <c r="AI64" i="35" s="1"/>
  <c r="AI65" i="35" s="1"/>
  <c r="AI66" i="35" s="1"/>
  <c r="AI67" i="35" s="1"/>
  <c r="AI68" i="35" s="1"/>
  <c r="AI69" i="35" s="1"/>
  <c r="AI70" i="35" s="1"/>
  <c r="AI71" i="35" s="1"/>
  <c r="D156" i="34"/>
  <c r="Z57" i="32"/>
  <c r="AA56" i="32"/>
  <c r="AE56" i="32" s="1"/>
  <c r="F95" i="34"/>
  <c r="H95" i="34" s="1"/>
  <c r="O76" i="32"/>
  <c r="C75" i="32"/>
  <c r="C55" i="32"/>
  <c r="AG61" i="35"/>
  <c r="N57" i="32"/>
  <c r="O56" i="32"/>
  <c r="B56" i="32"/>
  <c r="N93" i="34"/>
  <c r="M94" i="34"/>
  <c r="K94" i="34"/>
  <c r="L94" i="34" s="1"/>
  <c r="C27" i="32"/>
  <c r="B27" i="32" s="1"/>
  <c r="O44" i="32"/>
  <c r="D63" i="35"/>
  <c r="G63" i="35" s="1"/>
  <c r="S61" i="35"/>
  <c r="F97" i="35"/>
  <c r="G97" i="35"/>
  <c r="H97" i="35" s="1"/>
  <c r="J95" i="34"/>
  <c r="F112" i="38"/>
  <c r="G112" i="38" s="1"/>
  <c r="H112" i="38" s="1"/>
  <c r="I112" i="38" s="1"/>
  <c r="AB79" i="32"/>
  <c r="AD57" i="32"/>
  <c r="AG62" i="35"/>
  <c r="AF62" i="35"/>
  <c r="AA81" i="32"/>
  <c r="D248" i="35"/>
  <c r="E248" i="35" s="1"/>
  <c r="F248" i="35" s="1"/>
  <c r="G248" i="35" s="1"/>
  <c r="H162" i="38"/>
  <c r="I300" i="35"/>
  <c r="H300" i="35"/>
  <c r="G300" i="35"/>
  <c r="C274" i="35"/>
  <c r="D274" i="35" s="1"/>
  <c r="J299" i="35"/>
  <c r="I185" i="35"/>
  <c r="F31" i="90" l="1"/>
  <c r="AB31" i="90" s="1"/>
  <c r="T31" i="90"/>
  <c r="AP31" i="90" s="1"/>
  <c r="L31" i="90"/>
  <c r="AH31" i="90" s="1"/>
  <c r="S31" i="90"/>
  <c r="AO31" i="90" s="1"/>
  <c r="K31" i="90"/>
  <c r="AG31" i="90" s="1"/>
  <c r="E31" i="90"/>
  <c r="AA31" i="90" s="1"/>
  <c r="M31" i="90"/>
  <c r="AI31" i="90" s="1"/>
  <c r="J31" i="90"/>
  <c r="AF31" i="90" s="1"/>
  <c r="O31" i="90"/>
  <c r="AK31" i="90" s="1"/>
  <c r="R31" i="90"/>
  <c r="AN31" i="90" s="1"/>
  <c r="D31" i="90"/>
  <c r="Z31" i="90" s="1"/>
  <c r="Q31" i="90"/>
  <c r="AM31" i="90" s="1"/>
  <c r="P31" i="90"/>
  <c r="AL31" i="90" s="1"/>
  <c r="G31" i="90"/>
  <c r="AC31" i="90" s="1"/>
  <c r="N31" i="90"/>
  <c r="AJ31" i="90" s="1"/>
  <c r="AF56" i="32"/>
  <c r="AG56" i="32" s="1"/>
  <c r="AC77" i="32" s="1"/>
  <c r="AD77" i="32" s="1"/>
  <c r="AE77" i="32" s="1"/>
  <c r="AF77" i="32" s="1"/>
  <c r="AG77" i="32" s="1"/>
  <c r="AG76" i="32"/>
  <c r="L54" i="42"/>
  <c r="AJ32" i="41"/>
  <c r="L24" i="42"/>
  <c r="L23" i="42" s="1"/>
  <c r="AJ17" i="41"/>
  <c r="AK10" i="41"/>
  <c r="M11" i="42"/>
  <c r="F108" i="32"/>
  <c r="B109" i="32" s="1"/>
  <c r="A84" i="32"/>
  <c r="AK51" i="41"/>
  <c r="M88" i="42"/>
  <c r="J300" i="35"/>
  <c r="AK61" i="35"/>
  <c r="Z58" i="32"/>
  <c r="AA57" i="32"/>
  <c r="AE57" i="32" s="1"/>
  <c r="S54" i="32"/>
  <c r="R55" i="32"/>
  <c r="J96" i="34"/>
  <c r="D97" i="34"/>
  <c r="R97" i="34"/>
  <c r="S97" i="34" s="1"/>
  <c r="D125" i="34"/>
  <c r="H125" i="34" s="1"/>
  <c r="G53" i="32"/>
  <c r="F53" i="32" s="1"/>
  <c r="T53" i="32"/>
  <c r="Q55" i="32"/>
  <c r="P56" i="32"/>
  <c r="D55" i="32"/>
  <c r="E55" i="32" s="1"/>
  <c r="G98" i="35"/>
  <c r="H98" i="35" s="1"/>
  <c r="F98" i="35"/>
  <c r="N94" i="34"/>
  <c r="O94" i="34"/>
  <c r="D157" i="34"/>
  <c r="E66" i="34"/>
  <c r="O63" i="35"/>
  <c r="M63" i="35"/>
  <c r="N63" i="35"/>
  <c r="R63" i="35"/>
  <c r="Q63" i="35"/>
  <c r="P63" i="35"/>
  <c r="AB57" i="32"/>
  <c r="AC56" i="32"/>
  <c r="AK58" i="35"/>
  <c r="N74" i="32"/>
  <c r="C44" i="32"/>
  <c r="AK57" i="35"/>
  <c r="O77" i="32"/>
  <c r="C76" i="32"/>
  <c r="F86" i="38"/>
  <c r="G86" i="38" s="1"/>
  <c r="O40" i="32"/>
  <c r="C34" i="32"/>
  <c r="B34" i="32" s="1"/>
  <c r="AK60" i="35"/>
  <c r="K95" i="34"/>
  <c r="L95" i="34" s="1"/>
  <c r="M95" i="34"/>
  <c r="F96" i="34"/>
  <c r="H96" i="34" s="1"/>
  <c r="S62" i="35"/>
  <c r="AK59" i="35"/>
  <c r="C56" i="32"/>
  <c r="W63" i="35"/>
  <c r="X63" i="35"/>
  <c r="P75" i="32"/>
  <c r="D74" i="32"/>
  <c r="AK55" i="35"/>
  <c r="D64" i="35"/>
  <c r="G64" i="35" s="1"/>
  <c r="B57" i="32"/>
  <c r="O57" i="32"/>
  <c r="N58" i="32"/>
  <c r="AK56" i="35"/>
  <c r="AK62" i="35"/>
  <c r="F113" i="38"/>
  <c r="G113" i="38" s="1"/>
  <c r="H113" i="38" s="1"/>
  <c r="I113" i="38" s="1"/>
  <c r="AB80" i="32"/>
  <c r="AG63" i="35"/>
  <c r="AF63" i="35"/>
  <c r="AA82" i="32"/>
  <c r="D249" i="35"/>
  <c r="E249" i="35" s="1"/>
  <c r="F249" i="35" s="1"/>
  <c r="G249" i="35" s="1"/>
  <c r="C275" i="35"/>
  <c r="D275" i="35" s="1"/>
  <c r="I301" i="35"/>
  <c r="H163" i="38"/>
  <c r="G301" i="35"/>
  <c r="H301" i="35"/>
  <c r="AD58" i="32"/>
  <c r="I186" i="35"/>
  <c r="AH77" i="32" l="1"/>
  <c r="C57" i="32"/>
  <c r="M54" i="42"/>
  <c r="AK32" i="41"/>
  <c r="AL10" i="41"/>
  <c r="N11" i="42"/>
  <c r="F109" i="32"/>
  <c r="B110" i="32" s="1"/>
  <c r="A85" i="32"/>
  <c r="AL51" i="41"/>
  <c r="N88" i="42"/>
  <c r="M24" i="42"/>
  <c r="M23" i="42" s="1"/>
  <c r="AK17" i="41"/>
  <c r="AF57" i="32"/>
  <c r="AG57" i="32" s="1"/>
  <c r="AC78" i="32" s="1"/>
  <c r="AD78" i="32" s="1"/>
  <c r="AE78" i="32" s="1"/>
  <c r="AF78" i="32" s="1"/>
  <c r="AG78" i="32" s="1"/>
  <c r="J301" i="35"/>
  <c r="F97" i="34"/>
  <c r="H97" i="34" s="1"/>
  <c r="O78" i="32"/>
  <c r="C77" i="32"/>
  <c r="Q64" i="35"/>
  <c r="R64" i="35"/>
  <c r="P64" i="35"/>
  <c r="O64" i="35"/>
  <c r="N64" i="35"/>
  <c r="M64" i="35"/>
  <c r="E67" i="34"/>
  <c r="D98" i="34"/>
  <c r="R98" i="34"/>
  <c r="S98" i="34" s="1"/>
  <c r="D126" i="34"/>
  <c r="H126" i="34" s="1"/>
  <c r="D65" i="35"/>
  <c r="G65" i="35" s="1"/>
  <c r="W64" i="35"/>
  <c r="X64" i="35"/>
  <c r="O95" i="34"/>
  <c r="N95" i="34"/>
  <c r="D158" i="34"/>
  <c r="Q56" i="32"/>
  <c r="P57" i="32"/>
  <c r="D56" i="32"/>
  <c r="E56" i="32" s="1"/>
  <c r="K96" i="34"/>
  <c r="L96" i="34" s="1"/>
  <c r="M96" i="34"/>
  <c r="J97" i="34"/>
  <c r="B74" i="32"/>
  <c r="N75" i="32"/>
  <c r="U53" i="32"/>
  <c r="Q74" i="32" s="1"/>
  <c r="R74" i="32" s="1"/>
  <c r="H53" i="32"/>
  <c r="I53" i="32" s="1"/>
  <c r="R56" i="32"/>
  <c r="S55" i="32"/>
  <c r="C40" i="32"/>
  <c r="O45" i="32"/>
  <c r="S63" i="35"/>
  <c r="G54" i="32"/>
  <c r="F54" i="32" s="1"/>
  <c r="T54" i="32"/>
  <c r="P76" i="32"/>
  <c r="D75" i="32"/>
  <c r="F99" i="35"/>
  <c r="G99" i="35"/>
  <c r="H99" i="35" s="1"/>
  <c r="B58" i="32"/>
  <c r="O58" i="32"/>
  <c r="N59" i="32"/>
  <c r="F87" i="38"/>
  <c r="G87" i="38" s="1"/>
  <c r="AC57" i="32"/>
  <c r="AB58" i="32"/>
  <c r="AA58" i="32"/>
  <c r="AE58" i="32" s="1"/>
  <c r="Z59" i="32"/>
  <c r="F114" i="38"/>
  <c r="G114" i="38" s="1"/>
  <c r="H114" i="38" s="1"/>
  <c r="I114" i="38" s="1"/>
  <c r="AK63" i="35"/>
  <c r="AA83" i="32"/>
  <c r="AB81" i="32"/>
  <c r="H164" i="38"/>
  <c r="I302" i="35"/>
  <c r="G302" i="35"/>
  <c r="C276" i="35"/>
  <c r="D276" i="35" s="1"/>
  <c r="H302" i="35"/>
  <c r="AD59" i="32"/>
  <c r="D250" i="35"/>
  <c r="E250" i="35" s="1"/>
  <c r="F250" i="35" s="1"/>
  <c r="G250" i="35" s="1"/>
  <c r="AG64" i="35"/>
  <c r="AF64" i="35"/>
  <c r="I187" i="35"/>
  <c r="AH78" i="32" l="1"/>
  <c r="O96" i="34"/>
  <c r="O11" i="42"/>
  <c r="AM10" i="41"/>
  <c r="P11" i="42" s="1"/>
  <c r="AF58" i="32"/>
  <c r="AG58" i="32" s="1"/>
  <c r="AC79" i="32" s="1"/>
  <c r="AD79" i="32" s="1"/>
  <c r="AE79" i="32" s="1"/>
  <c r="AF79" i="32" s="1"/>
  <c r="AG79" i="32" s="1"/>
  <c r="N24" i="42"/>
  <c r="N23" i="42" s="1"/>
  <c r="AL17" i="41"/>
  <c r="N54" i="42"/>
  <c r="AL32" i="41"/>
  <c r="O88" i="42"/>
  <c r="AM51" i="41"/>
  <c r="P88" i="42" s="1"/>
  <c r="A86" i="32"/>
  <c r="F110" i="32"/>
  <c r="B111" i="32" s="1"/>
  <c r="AK64" i="35"/>
  <c r="G100" i="35"/>
  <c r="H100" i="35" s="1"/>
  <c r="F100" i="35"/>
  <c r="G55" i="32"/>
  <c r="F55" i="32" s="1"/>
  <c r="T55" i="32"/>
  <c r="D76" i="32"/>
  <c r="P77" i="32"/>
  <c r="R57" i="32"/>
  <c r="S56" i="32"/>
  <c r="N96" i="34"/>
  <c r="D99" i="34"/>
  <c r="R99" i="34"/>
  <c r="S99" i="34" s="1"/>
  <c r="D127" i="34"/>
  <c r="H127" i="34" s="1"/>
  <c r="J98" i="34"/>
  <c r="AA59" i="32"/>
  <c r="AE59" i="32" s="1"/>
  <c r="Z60" i="32"/>
  <c r="B59" i="32"/>
  <c r="O59" i="32"/>
  <c r="N60" i="32"/>
  <c r="X65" i="35"/>
  <c r="W65" i="35"/>
  <c r="C58" i="32"/>
  <c r="H54" i="32"/>
  <c r="I54" i="32" s="1"/>
  <c r="U54" i="32"/>
  <c r="Q75" i="32" s="1"/>
  <c r="R75" i="32" s="1"/>
  <c r="F74" i="32"/>
  <c r="E74" i="32" s="1"/>
  <c r="S74" i="32"/>
  <c r="P58" i="32"/>
  <c r="Q57" i="32"/>
  <c r="D57" i="32"/>
  <c r="E57" i="32" s="1"/>
  <c r="E68" i="34"/>
  <c r="AB59" i="32"/>
  <c r="AC58" i="32"/>
  <c r="N76" i="32"/>
  <c r="B75" i="32"/>
  <c r="D66" i="35"/>
  <c r="G66" i="35" s="1"/>
  <c r="S64" i="35"/>
  <c r="C78" i="32"/>
  <c r="O79" i="32"/>
  <c r="O65" i="35"/>
  <c r="N65" i="35"/>
  <c r="M65" i="35"/>
  <c r="R65" i="35"/>
  <c r="Q65" i="35"/>
  <c r="P65" i="35"/>
  <c r="F98" i="34"/>
  <c r="H98" i="34" s="1"/>
  <c r="F88" i="38"/>
  <c r="G88" i="38" s="1"/>
  <c r="C45" i="32"/>
  <c r="O46" i="32"/>
  <c r="C46" i="32" s="1"/>
  <c r="M97" i="34"/>
  <c r="K97" i="34"/>
  <c r="L97" i="34" s="1"/>
  <c r="D159" i="34"/>
  <c r="F115" i="38"/>
  <c r="G115" i="38" s="1"/>
  <c r="H115" i="38" s="1"/>
  <c r="I115" i="38" s="1"/>
  <c r="AB82" i="32"/>
  <c r="AA84" i="32"/>
  <c r="AD60" i="32"/>
  <c r="D251" i="35"/>
  <c r="E251" i="35" s="1"/>
  <c r="F251" i="35" s="1"/>
  <c r="G251" i="35" s="1"/>
  <c r="J302" i="35"/>
  <c r="AG65" i="35"/>
  <c r="AF65" i="35"/>
  <c r="G303" i="35"/>
  <c r="C277" i="35"/>
  <c r="D277" i="35" s="1"/>
  <c r="H165" i="38"/>
  <c r="I303" i="35"/>
  <c r="H303" i="35"/>
  <c r="I188" i="35"/>
  <c r="AH79" i="32" l="1"/>
  <c r="AF59" i="32"/>
  <c r="AG59" i="32" s="1"/>
  <c r="AC80" i="32" s="1"/>
  <c r="AD80" i="32" s="1"/>
  <c r="AE80" i="32" s="1"/>
  <c r="AF80" i="32" s="1"/>
  <c r="AH80" i="32" s="1"/>
  <c r="C59" i="32"/>
  <c r="O54" i="42"/>
  <c r="AM32" i="41"/>
  <c r="P54" i="42" s="1"/>
  <c r="A87" i="32"/>
  <c r="F111" i="32"/>
  <c r="B112" i="32" s="1"/>
  <c r="O24" i="42"/>
  <c r="O23" i="42" s="1"/>
  <c r="AM17" i="41"/>
  <c r="P24" i="42" s="1"/>
  <c r="P23" i="42" s="1"/>
  <c r="N77" i="32"/>
  <c r="B76" i="32"/>
  <c r="T74" i="32"/>
  <c r="G74" i="32"/>
  <c r="B60" i="32"/>
  <c r="O60" i="32"/>
  <c r="N61" i="32"/>
  <c r="R100" i="34"/>
  <c r="S100" i="34" s="1"/>
  <c r="D128" i="34"/>
  <c r="H128" i="34" s="1"/>
  <c r="D100" i="34"/>
  <c r="D160" i="34"/>
  <c r="O80" i="32"/>
  <c r="C79" i="32"/>
  <c r="AB60" i="32"/>
  <c r="AC59" i="32"/>
  <c r="F75" i="32"/>
  <c r="E75" i="32" s="1"/>
  <c r="S75" i="32"/>
  <c r="F99" i="34"/>
  <c r="H99" i="34" s="1"/>
  <c r="N97" i="34"/>
  <c r="O97" i="34"/>
  <c r="Z61" i="32"/>
  <c r="AA60" i="32"/>
  <c r="AE60" i="32" s="1"/>
  <c r="M66" i="35"/>
  <c r="N66" i="35"/>
  <c r="R66" i="35"/>
  <c r="Q66" i="35"/>
  <c r="P66" i="35"/>
  <c r="O66" i="35"/>
  <c r="E69" i="34"/>
  <c r="T56" i="32"/>
  <c r="G56" i="32"/>
  <c r="F56" i="32" s="1"/>
  <c r="M98" i="34"/>
  <c r="K98" i="34"/>
  <c r="L98" i="34" s="1"/>
  <c r="R58" i="32"/>
  <c r="S57" i="32"/>
  <c r="F101" i="35"/>
  <c r="G101" i="35"/>
  <c r="H101" i="35" s="1"/>
  <c r="D67" i="35"/>
  <c r="G67" i="35" s="1"/>
  <c r="J99" i="34"/>
  <c r="D77" i="32"/>
  <c r="P78" i="32"/>
  <c r="H55" i="32"/>
  <c r="I55" i="32" s="1"/>
  <c r="U55" i="32"/>
  <c r="Q76" i="32" s="1"/>
  <c r="R76" i="32" s="1"/>
  <c r="F89" i="38"/>
  <c r="G89" i="38" s="1"/>
  <c r="S65" i="35"/>
  <c r="P59" i="32"/>
  <c r="D58" i="32"/>
  <c r="E58" i="32" s="1"/>
  <c r="Q58" i="32"/>
  <c r="X66" i="35"/>
  <c r="W66" i="35"/>
  <c r="AK65" i="35"/>
  <c r="F116" i="38"/>
  <c r="G116" i="38" s="1"/>
  <c r="H116" i="38" s="1"/>
  <c r="I116" i="38" s="1"/>
  <c r="AB83" i="32"/>
  <c r="J303" i="35"/>
  <c r="AD61" i="32"/>
  <c r="AG66" i="35"/>
  <c r="AF66" i="35"/>
  <c r="D252" i="35"/>
  <c r="E252" i="35" s="1"/>
  <c r="F252" i="35" s="1"/>
  <c r="G252" i="35" s="1"/>
  <c r="H166" i="38"/>
  <c r="I304" i="35"/>
  <c r="H304" i="35"/>
  <c r="G304" i="35"/>
  <c r="C278" i="35"/>
  <c r="D278" i="35" s="1"/>
  <c r="AA85" i="32"/>
  <c r="I189" i="35"/>
  <c r="AG80" i="32" l="1"/>
  <c r="T23" i="42"/>
  <c r="F112" i="32"/>
  <c r="B113" i="32" s="1"/>
  <c r="A88" i="32"/>
  <c r="C60" i="32"/>
  <c r="D68" i="35"/>
  <c r="G68" i="35" s="1"/>
  <c r="W67" i="35"/>
  <c r="X67" i="35"/>
  <c r="F90" i="38"/>
  <c r="G90" i="38" s="1"/>
  <c r="B61" i="32"/>
  <c r="O61" i="32"/>
  <c r="N62" i="32"/>
  <c r="F76" i="32"/>
  <c r="E76" i="32" s="1"/>
  <c r="S76" i="32"/>
  <c r="U56" i="32"/>
  <c r="Q77" i="32" s="1"/>
  <c r="R77" i="32" s="1"/>
  <c r="H56" i="32"/>
  <c r="I56" i="32" s="1"/>
  <c r="O81" i="32"/>
  <c r="C80" i="32"/>
  <c r="G102" i="35"/>
  <c r="H102" i="35" s="1"/>
  <c r="F102" i="35"/>
  <c r="E70" i="34"/>
  <c r="S66" i="35"/>
  <c r="F100" i="34"/>
  <c r="H100" i="34" s="1"/>
  <c r="D161" i="34"/>
  <c r="AB61" i="32"/>
  <c r="AC60" i="32"/>
  <c r="D78" i="32"/>
  <c r="P79" i="32"/>
  <c r="G57" i="32"/>
  <c r="F57" i="32" s="1"/>
  <c r="T57" i="32"/>
  <c r="G75" i="32"/>
  <c r="T75" i="32"/>
  <c r="H74" i="32"/>
  <c r="G99" i="32" s="1"/>
  <c r="V74" i="32"/>
  <c r="J74" i="32" s="1"/>
  <c r="I99" i="32" s="1"/>
  <c r="D100" i="32" s="1"/>
  <c r="L31" i="35" s="1"/>
  <c r="U74" i="32"/>
  <c r="P60" i="32"/>
  <c r="Q59" i="32"/>
  <c r="D59" i="32"/>
  <c r="E59" i="32" s="1"/>
  <c r="J100" i="34"/>
  <c r="R59" i="32"/>
  <c r="S58" i="32"/>
  <c r="M67" i="35"/>
  <c r="R67" i="35"/>
  <c r="Q67" i="35"/>
  <c r="O67" i="35"/>
  <c r="P67" i="35"/>
  <c r="N67" i="35"/>
  <c r="AF60" i="32"/>
  <c r="AG60" i="32" s="1"/>
  <c r="AC81" i="32" s="1"/>
  <c r="AD81" i="32" s="1"/>
  <c r="AE81" i="32" s="1"/>
  <c r="AF81" i="32" s="1"/>
  <c r="AG81" i="32" s="1"/>
  <c r="K99" i="34"/>
  <c r="L99" i="34" s="1"/>
  <c r="M99" i="34"/>
  <c r="O98" i="34"/>
  <c r="N98" i="34"/>
  <c r="Z62" i="32"/>
  <c r="AA61" i="32"/>
  <c r="AE61" i="32" s="1"/>
  <c r="D129" i="34"/>
  <c r="H129" i="34" s="1"/>
  <c r="D101" i="34"/>
  <c r="R101" i="34"/>
  <c r="S101" i="34" s="1"/>
  <c r="B77" i="32"/>
  <c r="N78" i="32"/>
  <c r="F117" i="38"/>
  <c r="G117" i="38" s="1"/>
  <c r="H117" i="38" s="1"/>
  <c r="I117" i="38" s="1"/>
  <c r="AK66" i="35"/>
  <c r="AA86" i="32"/>
  <c r="D253" i="35"/>
  <c r="E253" i="35" s="1"/>
  <c r="F253" i="35" s="1"/>
  <c r="G253" i="35" s="1"/>
  <c r="I305" i="35"/>
  <c r="G305" i="35"/>
  <c r="C279" i="35"/>
  <c r="D279" i="35" s="1"/>
  <c r="H305" i="35"/>
  <c r="H167" i="38"/>
  <c r="AG67" i="35"/>
  <c r="AF67" i="35"/>
  <c r="AB84" i="32"/>
  <c r="J304" i="35"/>
  <c r="AD62" i="32"/>
  <c r="I190" i="35"/>
  <c r="I74" i="32" l="1"/>
  <c r="H99" i="32" s="1"/>
  <c r="C100" i="32" s="1"/>
  <c r="C151" i="35" s="1"/>
  <c r="T97" i="32"/>
  <c r="T99" i="32" s="1"/>
  <c r="AF61" i="32"/>
  <c r="AG61" i="32" s="1"/>
  <c r="AC82" i="32" s="1"/>
  <c r="AD82" i="32" s="1"/>
  <c r="AE82" i="32" s="1"/>
  <c r="AF82" i="32" s="1"/>
  <c r="AG82" i="32" s="1"/>
  <c r="J305" i="35"/>
  <c r="F113" i="32"/>
  <c r="B114" i="32" s="1"/>
  <c r="A89" i="32"/>
  <c r="AH81" i="32"/>
  <c r="S67" i="35"/>
  <c r="U57" i="32"/>
  <c r="Q78" i="32" s="1"/>
  <c r="R78" i="32" s="1"/>
  <c r="H57" i="32"/>
  <c r="I57" i="32" s="1"/>
  <c r="D102" i="34"/>
  <c r="D130" i="34"/>
  <c r="H130" i="34" s="1"/>
  <c r="R102" i="34"/>
  <c r="S102" i="34" s="1"/>
  <c r="G58" i="32"/>
  <c r="F58" i="32" s="1"/>
  <c r="T58" i="32"/>
  <c r="C21" i="34"/>
  <c r="E21" i="34" s="1"/>
  <c r="O82" i="32"/>
  <c r="C81" i="32"/>
  <c r="N99" i="34"/>
  <c r="O99" i="34"/>
  <c r="R60" i="32"/>
  <c r="S59" i="32"/>
  <c r="P80" i="32"/>
  <c r="D79" i="32"/>
  <c r="F91" i="38"/>
  <c r="G91" i="38" s="1"/>
  <c r="K100" i="34"/>
  <c r="L100" i="34" s="1"/>
  <c r="M100" i="34"/>
  <c r="F77" i="32"/>
  <c r="E77" i="32" s="1"/>
  <c r="S77" i="32"/>
  <c r="Z63" i="32"/>
  <c r="AA62" i="32"/>
  <c r="AE62" i="32" s="1"/>
  <c r="M68" i="35"/>
  <c r="R68" i="35"/>
  <c r="Q68" i="35"/>
  <c r="P68" i="35"/>
  <c r="O68" i="35"/>
  <c r="N68" i="35"/>
  <c r="J101" i="34"/>
  <c r="H75" i="32"/>
  <c r="G100" i="32" s="1"/>
  <c r="U75" i="32"/>
  <c r="I75" i="32" s="1"/>
  <c r="H100" i="32" s="1"/>
  <c r="C101" i="32" s="1"/>
  <c r="V75" i="32"/>
  <c r="J75" i="32" s="1"/>
  <c r="I100" i="32" s="1"/>
  <c r="D101" i="32" s="1"/>
  <c r="E71" i="34"/>
  <c r="G76" i="32"/>
  <c r="T76" i="32"/>
  <c r="F101" i="34"/>
  <c r="H101" i="34" s="1"/>
  <c r="B78" i="32"/>
  <c r="N79" i="32"/>
  <c r="AC61" i="32"/>
  <c r="AB62" i="32"/>
  <c r="G103" i="35"/>
  <c r="H103" i="35" s="1"/>
  <c r="F103" i="35"/>
  <c r="X68" i="35"/>
  <c r="W68" i="35"/>
  <c r="O62" i="32"/>
  <c r="N63" i="32"/>
  <c r="B62" i="32"/>
  <c r="D69" i="35"/>
  <c r="G69" i="35" s="1"/>
  <c r="P61" i="32"/>
  <c r="D60" i="32"/>
  <c r="E60" i="32" s="1"/>
  <c r="Q60" i="32"/>
  <c r="D162" i="34"/>
  <c r="C61" i="32"/>
  <c r="F118" i="38"/>
  <c r="G118" i="38" s="1"/>
  <c r="H118" i="38" s="1"/>
  <c r="I118" i="38" s="1"/>
  <c r="D254" i="35"/>
  <c r="E254" i="35" s="1"/>
  <c r="F254" i="35" s="1"/>
  <c r="G254" i="35" s="1"/>
  <c r="AD63" i="32"/>
  <c r="H168" i="38"/>
  <c r="I306" i="35"/>
  <c r="G306" i="35"/>
  <c r="H306" i="35"/>
  <c r="C280" i="35"/>
  <c r="D280" i="35" s="1"/>
  <c r="AA87" i="32"/>
  <c r="AB85" i="32"/>
  <c r="AG68" i="35"/>
  <c r="AF68" i="35"/>
  <c r="AK67" i="35"/>
  <c r="I191" i="35"/>
  <c r="D21" i="34" l="1"/>
  <c r="E31" i="35" s="1"/>
  <c r="W31" i="35"/>
  <c r="X31" i="35" s="1"/>
  <c r="P31" i="35"/>
  <c r="Q31" i="35" s="1"/>
  <c r="R31" i="35" s="1"/>
  <c r="E155" i="38" s="1"/>
  <c r="C211" i="35"/>
  <c r="D211" i="35" s="1"/>
  <c r="J31" i="35"/>
  <c r="K31" i="35" s="1"/>
  <c r="M31" i="35" s="1"/>
  <c r="D151" i="35"/>
  <c r="C152" i="35"/>
  <c r="C22" i="34"/>
  <c r="E22" i="34" s="1"/>
  <c r="L32" i="35"/>
  <c r="E123" i="35"/>
  <c r="F123" i="35" s="1"/>
  <c r="G123" i="35" s="1"/>
  <c r="Z59" i="35"/>
  <c r="AC31" i="35"/>
  <c r="E122" i="35"/>
  <c r="F122" i="35" s="1"/>
  <c r="G122" i="35" s="1"/>
  <c r="Z58" i="35"/>
  <c r="AA58" i="35" s="1"/>
  <c r="AH82" i="32"/>
  <c r="J179" i="35"/>
  <c r="K179" i="35" s="1"/>
  <c r="L179" i="35" s="1"/>
  <c r="D31" i="35"/>
  <c r="F31" i="35" s="1"/>
  <c r="AF62" i="32"/>
  <c r="AG62" i="32" s="1"/>
  <c r="AC83" i="32" s="1"/>
  <c r="AD83" i="32" s="1"/>
  <c r="AE83" i="32" s="1"/>
  <c r="AF83" i="32" s="1"/>
  <c r="AH83" i="32" s="1"/>
  <c r="A90" i="32"/>
  <c r="F115" i="32" s="1"/>
  <c r="B116" i="32" s="1"/>
  <c r="F114" i="32"/>
  <c r="B115" i="32" s="1"/>
  <c r="J306" i="35"/>
  <c r="C62" i="32"/>
  <c r="U58" i="32"/>
  <c r="Q79" i="32" s="1"/>
  <c r="R79" i="32" s="1"/>
  <c r="H58" i="32"/>
  <c r="I58" i="32" s="1"/>
  <c r="D61" i="32"/>
  <c r="E61" i="32" s="1"/>
  <c r="Q61" i="32"/>
  <c r="P62" i="32"/>
  <c r="E72" i="34"/>
  <c r="O69" i="35"/>
  <c r="N69" i="35"/>
  <c r="M69" i="35"/>
  <c r="R69" i="35"/>
  <c r="Q69" i="35"/>
  <c r="P69" i="35"/>
  <c r="R61" i="32"/>
  <c r="S60" i="32"/>
  <c r="G59" i="32"/>
  <c r="F59" i="32" s="1"/>
  <c r="T59" i="32"/>
  <c r="X69" i="35"/>
  <c r="W69" i="35"/>
  <c r="N80" i="32"/>
  <c r="B79" i="32"/>
  <c r="AC62" i="32"/>
  <c r="AB63" i="32"/>
  <c r="J180" i="35"/>
  <c r="K180" i="35" s="1"/>
  <c r="L180" i="35" s="1"/>
  <c r="W32" i="35"/>
  <c r="X32" i="35" s="1"/>
  <c r="P32" i="35"/>
  <c r="Q32" i="35" s="1"/>
  <c r="R32" i="35" s="1"/>
  <c r="E156" i="38" s="1"/>
  <c r="AC32" i="35"/>
  <c r="J32" i="35"/>
  <c r="K32" i="35" s="1"/>
  <c r="D22" i="34"/>
  <c r="E32" i="35" s="1"/>
  <c r="O100" i="34"/>
  <c r="N100" i="34"/>
  <c r="D131" i="34"/>
  <c r="H131" i="34" s="1"/>
  <c r="R103" i="34"/>
  <c r="S103" i="34" s="1"/>
  <c r="D103" i="34"/>
  <c r="T77" i="32"/>
  <c r="G77" i="32"/>
  <c r="D163" i="34"/>
  <c r="F92" i="38"/>
  <c r="G92" i="38" s="1"/>
  <c r="F102" i="34"/>
  <c r="K101" i="34"/>
  <c r="L101" i="34" s="1"/>
  <c r="M101" i="34"/>
  <c r="S68" i="35"/>
  <c r="O83" i="32"/>
  <c r="C82" i="32"/>
  <c r="O63" i="32"/>
  <c r="N64" i="32"/>
  <c r="B63" i="32"/>
  <c r="D70" i="35"/>
  <c r="G70" i="35" s="1"/>
  <c r="F104" i="35"/>
  <c r="G104" i="35"/>
  <c r="H104" i="35" s="1"/>
  <c r="U76" i="32"/>
  <c r="I76" i="32" s="1"/>
  <c r="H101" i="32" s="1"/>
  <c r="C102" i="32" s="1"/>
  <c r="V76" i="32"/>
  <c r="J76" i="32" s="1"/>
  <c r="I101" i="32" s="1"/>
  <c r="D102" i="32" s="1"/>
  <c r="H76" i="32"/>
  <c r="G101" i="32" s="1"/>
  <c r="J102" i="34"/>
  <c r="Z64" i="32"/>
  <c r="AA63" i="32"/>
  <c r="AE63" i="32" s="1"/>
  <c r="P81" i="32"/>
  <c r="D80" i="32"/>
  <c r="F78" i="32"/>
  <c r="E78" i="32" s="1"/>
  <c r="S78" i="32"/>
  <c r="F119" i="38"/>
  <c r="G119" i="38" s="1"/>
  <c r="H119" i="38" s="1"/>
  <c r="I119" i="38" s="1"/>
  <c r="AB86" i="32"/>
  <c r="AD64" i="32"/>
  <c r="AG69" i="35"/>
  <c r="AF69" i="35"/>
  <c r="D255" i="35"/>
  <c r="E255" i="35" s="1"/>
  <c r="F255" i="35" s="1"/>
  <c r="G255" i="35" s="1"/>
  <c r="D256" i="35"/>
  <c r="E256" i="35" s="1"/>
  <c r="F256" i="35" s="1"/>
  <c r="G256" i="35" s="1"/>
  <c r="AK68" i="35"/>
  <c r="G307" i="35"/>
  <c r="I307" i="35"/>
  <c r="C281" i="35"/>
  <c r="D281" i="35" s="1"/>
  <c r="H169" i="38"/>
  <c r="H307" i="35"/>
  <c r="AA88" i="32"/>
  <c r="I192" i="35"/>
  <c r="D32" i="35" l="1"/>
  <c r="F32" i="35" s="1"/>
  <c r="C212" i="35"/>
  <c r="C213" i="35" s="1"/>
  <c r="C23" i="34"/>
  <c r="D33" i="35" s="1"/>
  <c r="L33" i="35"/>
  <c r="D152" i="35"/>
  <c r="C153" i="35"/>
  <c r="E124" i="35"/>
  <c r="F124" i="35" s="1"/>
  <c r="G124" i="35" s="1"/>
  <c r="Z60" i="35"/>
  <c r="AD31" i="35"/>
  <c r="D17" i="36" s="1"/>
  <c r="D43" i="36" s="1"/>
  <c r="E43" i="36" s="1"/>
  <c r="M32" i="35"/>
  <c r="AG83" i="32"/>
  <c r="J307" i="35"/>
  <c r="AF63" i="32"/>
  <c r="AG63" i="32" s="1"/>
  <c r="AC84" i="32" s="1"/>
  <c r="AD84" i="32" s="1"/>
  <c r="AE84" i="32" s="1"/>
  <c r="AF84" i="32" s="1"/>
  <c r="AH84" i="32" s="1"/>
  <c r="C63" i="32"/>
  <c r="G78" i="32"/>
  <c r="T78" i="32"/>
  <c r="Z65" i="32"/>
  <c r="AA64" i="32"/>
  <c r="AE64" i="32" s="1"/>
  <c r="B64" i="32"/>
  <c r="O64" i="32"/>
  <c r="N65" i="32"/>
  <c r="F103" i="34"/>
  <c r="H103" i="34" s="1"/>
  <c r="D132" i="34"/>
  <c r="H132" i="34" s="1"/>
  <c r="D104" i="34"/>
  <c r="R104" i="34"/>
  <c r="S104" i="34" s="1"/>
  <c r="N81" i="32"/>
  <c r="B80" i="32"/>
  <c r="E73" i="34"/>
  <c r="D71" i="35"/>
  <c r="G71" i="35" s="1"/>
  <c r="X70" i="35"/>
  <c r="W70" i="35"/>
  <c r="K102" i="34"/>
  <c r="L102" i="34" s="1"/>
  <c r="M102" i="34"/>
  <c r="H102" i="34"/>
  <c r="F151" i="35"/>
  <c r="D164" i="34"/>
  <c r="M179" i="35"/>
  <c r="N179" i="35" s="1"/>
  <c r="G211" i="35"/>
  <c r="AB64" i="32"/>
  <c r="AC63" i="32"/>
  <c r="P63" i="32"/>
  <c r="Q62" i="32"/>
  <c r="D62" i="32"/>
  <c r="E62" i="32" s="1"/>
  <c r="C83" i="32"/>
  <c r="O84" i="32"/>
  <c r="U59" i="32"/>
  <c r="Q80" i="32" s="1"/>
  <c r="R80" i="32" s="1"/>
  <c r="H59" i="32"/>
  <c r="I59" i="32" s="1"/>
  <c r="S69" i="35"/>
  <c r="W33" i="35"/>
  <c r="X33" i="35" s="1"/>
  <c r="J181" i="35"/>
  <c r="K181" i="35" s="1"/>
  <c r="L181" i="35" s="1"/>
  <c r="P33" i="35"/>
  <c r="Q33" i="35" s="1"/>
  <c r="R33" i="35" s="1"/>
  <c r="E157" i="38" s="1"/>
  <c r="J33" i="35"/>
  <c r="K33" i="35" s="1"/>
  <c r="AC33" i="35"/>
  <c r="D23" i="34"/>
  <c r="E33" i="35" s="1"/>
  <c r="F93" i="38"/>
  <c r="G93" i="38" s="1"/>
  <c r="H77" i="32"/>
  <c r="G102" i="32" s="1"/>
  <c r="V77" i="32"/>
  <c r="J77" i="32" s="1"/>
  <c r="I102" i="32" s="1"/>
  <c r="D103" i="32" s="1"/>
  <c r="U77" i="32"/>
  <c r="I77" i="32" s="1"/>
  <c r="H102" i="32" s="1"/>
  <c r="C103" i="32" s="1"/>
  <c r="J103" i="34"/>
  <c r="P82" i="32"/>
  <c r="D81" i="32"/>
  <c r="G60" i="32"/>
  <c r="F60" i="32" s="1"/>
  <c r="T60" i="32"/>
  <c r="O70" i="35"/>
  <c r="N70" i="35"/>
  <c r="M70" i="35"/>
  <c r="R70" i="35"/>
  <c r="Q70" i="35"/>
  <c r="P70" i="35"/>
  <c r="F105" i="35"/>
  <c r="G105" i="35"/>
  <c r="H105" i="35" s="1"/>
  <c r="O101" i="34"/>
  <c r="N101" i="34"/>
  <c r="AA59" i="35"/>
  <c r="S61" i="32"/>
  <c r="R62" i="32"/>
  <c r="F79" i="32"/>
  <c r="E79" i="32" s="1"/>
  <c r="S79" i="32"/>
  <c r="F120" i="38"/>
  <c r="G120" i="38" s="1"/>
  <c r="H120" i="38" s="1"/>
  <c r="I120" i="38" s="1"/>
  <c r="AK69" i="35"/>
  <c r="C283" i="35"/>
  <c r="D283" i="35" s="1"/>
  <c r="I309" i="35"/>
  <c r="G309" i="35"/>
  <c r="H171" i="38"/>
  <c r="H309" i="35"/>
  <c r="E38" i="41" a="1"/>
  <c r="H170" i="38"/>
  <c r="I308" i="35"/>
  <c r="H308" i="35"/>
  <c r="G308" i="35"/>
  <c r="C282" i="35"/>
  <c r="D282" i="35" s="1"/>
  <c r="AG70" i="35"/>
  <c r="AF70" i="35"/>
  <c r="AD65" i="32"/>
  <c r="AB87" i="32"/>
  <c r="AA89" i="32"/>
  <c r="I193" i="35"/>
  <c r="D212" i="35" l="1"/>
  <c r="G212" i="35" s="1"/>
  <c r="F33" i="35"/>
  <c r="E23" i="34"/>
  <c r="M33" i="35"/>
  <c r="Z61" i="35"/>
  <c r="E125" i="35"/>
  <c r="F125" i="35" s="1"/>
  <c r="G125" i="35" s="1"/>
  <c r="C154" i="35"/>
  <c r="D153" i="35"/>
  <c r="C24" i="34"/>
  <c r="E24" i="34" s="1"/>
  <c r="L34" i="35"/>
  <c r="C214" i="35"/>
  <c r="D213" i="35"/>
  <c r="AD32" i="35"/>
  <c r="D18" i="36" s="1"/>
  <c r="C293" i="35"/>
  <c r="D293" i="35" s="1"/>
  <c r="C92" i="35"/>
  <c r="D92" i="35" s="1"/>
  <c r="I92" i="35" s="1"/>
  <c r="AG84" i="32"/>
  <c r="AF64" i="32"/>
  <c r="AG64" i="32" s="1"/>
  <c r="AC85" i="32" s="1"/>
  <c r="AD85" i="32" s="1"/>
  <c r="AE85" i="32" s="1"/>
  <c r="AF85" i="32" s="1"/>
  <c r="AH85" i="32" s="1"/>
  <c r="N102" i="34"/>
  <c r="G106" i="35"/>
  <c r="H106" i="35" s="1"/>
  <c r="F106" i="35"/>
  <c r="AB65" i="32"/>
  <c r="AC64" i="32"/>
  <c r="F152" i="35"/>
  <c r="R63" i="32"/>
  <c r="S62" i="32"/>
  <c r="U60" i="32"/>
  <c r="Q81" i="32" s="1"/>
  <c r="R81" i="32" s="1"/>
  <c r="H60" i="32"/>
  <c r="I60" i="32" s="1"/>
  <c r="AC34" i="35"/>
  <c r="P34" i="35"/>
  <c r="Q34" i="35" s="1"/>
  <c r="R34" i="35" s="1"/>
  <c r="E158" i="38" s="1"/>
  <c r="J34" i="35"/>
  <c r="K34" i="35" s="1"/>
  <c r="D24" i="34"/>
  <c r="J182" i="35"/>
  <c r="K182" i="35" s="1"/>
  <c r="L182" i="35" s="1"/>
  <c r="W34" i="35"/>
  <c r="X34" i="35" s="1"/>
  <c r="F80" i="32"/>
  <c r="E80" i="32" s="1"/>
  <c r="S80" i="32"/>
  <c r="Z66" i="32"/>
  <c r="AA65" i="32"/>
  <c r="AE65" i="32" s="1"/>
  <c r="T61" i="32"/>
  <c r="G61" i="32"/>
  <c r="F61" i="32" s="1"/>
  <c r="O71" i="35"/>
  <c r="N71" i="35"/>
  <c r="M71" i="35"/>
  <c r="R71" i="35"/>
  <c r="Q71" i="35"/>
  <c r="P71" i="35"/>
  <c r="C84" i="32"/>
  <c r="O85" i="32"/>
  <c r="E74" i="34"/>
  <c r="AA60" i="35"/>
  <c r="F95" i="38"/>
  <c r="G95" i="38" s="1"/>
  <c r="F94" i="38"/>
  <c r="G94" i="38" s="1"/>
  <c r="M180" i="35"/>
  <c r="N180" i="35" s="1"/>
  <c r="X71" i="35"/>
  <c r="W71" i="35"/>
  <c r="B81" i="32"/>
  <c r="N82" i="32"/>
  <c r="F104" i="34"/>
  <c r="H104" i="34" s="1"/>
  <c r="H78" i="32"/>
  <c r="G103" i="32" s="1"/>
  <c r="U78" i="32"/>
  <c r="I78" i="32" s="1"/>
  <c r="H103" i="32" s="1"/>
  <c r="C104" i="32" s="1"/>
  <c r="V78" i="32"/>
  <c r="J78" i="32" s="1"/>
  <c r="I103" i="32" s="1"/>
  <c r="D104" i="32" s="1"/>
  <c r="P83" i="32"/>
  <c r="D82" i="32"/>
  <c r="D165" i="34"/>
  <c r="B65" i="32"/>
  <c r="N66" i="32"/>
  <c r="O65" i="32"/>
  <c r="S70" i="35"/>
  <c r="M103" i="34"/>
  <c r="K103" i="34"/>
  <c r="L103" i="34" s="1"/>
  <c r="D63" i="32"/>
  <c r="E63" i="32" s="1"/>
  <c r="Q63" i="32"/>
  <c r="P64" i="32"/>
  <c r="C64" i="32"/>
  <c r="G79" i="32"/>
  <c r="T79" i="32"/>
  <c r="J104" i="34"/>
  <c r="D72" i="35"/>
  <c r="G72" i="35" s="1"/>
  <c r="D133" i="34"/>
  <c r="H133" i="34" s="1"/>
  <c r="R105" i="34"/>
  <c r="S105" i="34" s="1"/>
  <c r="D105" i="34"/>
  <c r="O102" i="34"/>
  <c r="AK70" i="35"/>
  <c r="F121" i="38"/>
  <c r="G121" i="38" s="1"/>
  <c r="H121" i="38" s="1"/>
  <c r="I121" i="38" s="1"/>
  <c r="F122" i="38"/>
  <c r="G122" i="38" s="1"/>
  <c r="H122" i="38" s="1"/>
  <c r="I122" i="38" s="1"/>
  <c r="J309" i="35"/>
  <c r="E44" i="41" a="1"/>
  <c r="J308" i="35"/>
  <c r="AG71" i="35"/>
  <c r="AF71" i="35"/>
  <c r="E39" i="41" a="1"/>
  <c r="AB88" i="32"/>
  <c r="AD66" i="32"/>
  <c r="AA90" i="32"/>
  <c r="P38" i="41"/>
  <c r="H38" i="41"/>
  <c r="U38" i="41"/>
  <c r="M38" i="41"/>
  <c r="E38" i="41"/>
  <c r="T38" i="41"/>
  <c r="L38" i="41"/>
  <c r="N38" i="41"/>
  <c r="K38" i="41"/>
  <c r="J38" i="41"/>
  <c r="S38" i="41"/>
  <c r="G38" i="41"/>
  <c r="R38" i="41"/>
  <c r="F38" i="41"/>
  <c r="Q38" i="41"/>
  <c r="I38" i="41"/>
  <c r="O38" i="41"/>
  <c r="I194" i="35"/>
  <c r="O87" i="55" l="1"/>
  <c r="P100" i="54" s="1"/>
  <c r="N38" i="99"/>
  <c r="N216" i="90"/>
  <c r="K87" i="55"/>
  <c r="L100" i="54" s="1"/>
  <c r="L104" i="54" s="1"/>
  <c r="L106" i="54" s="1"/>
  <c r="J38" i="99"/>
  <c r="J216" i="90"/>
  <c r="P87" i="55"/>
  <c r="Q100" i="54" s="1"/>
  <c r="Q104" i="54" s="1"/>
  <c r="Q106" i="54" s="1"/>
  <c r="O38" i="99"/>
  <c r="O216" i="90"/>
  <c r="S87" i="55"/>
  <c r="T100" i="54" s="1"/>
  <c r="R38" i="99"/>
  <c r="R216" i="90"/>
  <c r="U87" i="55"/>
  <c r="V100" i="54" s="1"/>
  <c r="T38" i="99"/>
  <c r="T216" i="90"/>
  <c r="R87" i="55"/>
  <c r="S100" i="54" s="1"/>
  <c r="S104" i="54" s="1"/>
  <c r="S106" i="54" s="1"/>
  <c r="Q38" i="99"/>
  <c r="Q216" i="90"/>
  <c r="Q87" i="55"/>
  <c r="R100" i="54" s="1"/>
  <c r="P38" i="99"/>
  <c r="P216" i="90"/>
  <c r="L87" i="55"/>
  <c r="M100" i="54" s="1"/>
  <c r="K38" i="99"/>
  <c r="K216" i="90"/>
  <c r="F87" i="55"/>
  <c r="G100" i="54" s="1"/>
  <c r="E38" i="99"/>
  <c r="E216" i="90"/>
  <c r="J87" i="55"/>
  <c r="K100" i="54" s="1"/>
  <c r="K104" i="54" s="1"/>
  <c r="K106" i="54" s="1"/>
  <c r="I38" i="99"/>
  <c r="I216" i="90"/>
  <c r="T87" i="55"/>
  <c r="U100" i="54" s="1"/>
  <c r="U104" i="54" s="1"/>
  <c r="U106" i="54" s="1"/>
  <c r="S38" i="99"/>
  <c r="S216" i="90"/>
  <c r="H87" i="55"/>
  <c r="I100" i="54" s="1"/>
  <c r="G38" i="99"/>
  <c r="G216" i="90"/>
  <c r="E87" i="55"/>
  <c r="F100" i="54" s="1"/>
  <c r="D38" i="99"/>
  <c r="D216" i="90"/>
  <c r="I87" i="55"/>
  <c r="J100" i="54" s="1"/>
  <c r="J104" i="54" s="1"/>
  <c r="J106" i="54" s="1"/>
  <c r="H38" i="99"/>
  <c r="H216" i="90"/>
  <c r="G87" i="55"/>
  <c r="H100" i="54" s="1"/>
  <c r="F38" i="99"/>
  <c r="F216" i="90"/>
  <c r="N87" i="55"/>
  <c r="O100" i="54" s="1"/>
  <c r="O104" i="54" s="1"/>
  <c r="O106" i="54" s="1"/>
  <c r="M38" i="99"/>
  <c r="M216" i="90"/>
  <c r="M87" i="55"/>
  <c r="N100" i="54" s="1"/>
  <c r="L38" i="99"/>
  <c r="L216" i="90"/>
  <c r="AD33" i="35"/>
  <c r="D19" i="36" s="1"/>
  <c r="E24" i="38" s="1"/>
  <c r="D34" i="35"/>
  <c r="M34" i="35"/>
  <c r="C25" i="34"/>
  <c r="E25" i="34" s="1"/>
  <c r="L35" i="35"/>
  <c r="Z62" i="35"/>
  <c r="E126" i="35"/>
  <c r="F126" i="35" s="1"/>
  <c r="G126" i="35" s="1"/>
  <c r="C215" i="35"/>
  <c r="D214" i="35"/>
  <c r="C155" i="35"/>
  <c r="D154" i="35"/>
  <c r="NJ101" i="54"/>
  <c r="NI101" i="54"/>
  <c r="KS100" i="54"/>
  <c r="KS101" i="54"/>
  <c r="NI100" i="54"/>
  <c r="CF101" i="54"/>
  <c r="CF104" i="54" s="1"/>
  <c r="CF106" i="54" s="1"/>
  <c r="P104" i="54"/>
  <c r="P106" i="54" s="1"/>
  <c r="NK101" i="54"/>
  <c r="NK100" i="54"/>
  <c r="KU100" i="54"/>
  <c r="KU101" i="54"/>
  <c r="CH101" i="54"/>
  <c r="CH104" i="54" s="1"/>
  <c r="CH106" i="54" s="1"/>
  <c r="R104" i="54"/>
  <c r="R106" i="54" s="1"/>
  <c r="MZ101" i="54"/>
  <c r="MZ100" i="54"/>
  <c r="KJ100" i="54"/>
  <c r="KJ101" i="54"/>
  <c r="BW101" i="54"/>
  <c r="BW104" i="54" s="1"/>
  <c r="BW106" i="54" s="1"/>
  <c r="G104" i="54"/>
  <c r="G106" i="54" s="1"/>
  <c r="NH101" i="54"/>
  <c r="NH100" i="54"/>
  <c r="KR100" i="54"/>
  <c r="KI100" i="54"/>
  <c r="MY101" i="54"/>
  <c r="KI101" i="54"/>
  <c r="MY100" i="54"/>
  <c r="BV101" i="54"/>
  <c r="BV104" i="54" s="1"/>
  <c r="BV106" i="54" s="1"/>
  <c r="F104" i="54"/>
  <c r="F106" i="54" s="1"/>
  <c r="NF101" i="54"/>
  <c r="NF100" i="54"/>
  <c r="KP100" i="54"/>
  <c r="KP101" i="54"/>
  <c r="CC101" i="54"/>
  <c r="CC104" i="54" s="1"/>
  <c r="CC106" i="54" s="1"/>
  <c r="M104" i="54"/>
  <c r="M106" i="54" s="1"/>
  <c r="NA101" i="54"/>
  <c r="NA100" i="54"/>
  <c r="KK100" i="54"/>
  <c r="KK101" i="54"/>
  <c r="BX101" i="54"/>
  <c r="BX104" i="54" s="1"/>
  <c r="BX106" i="54" s="1"/>
  <c r="H104" i="54"/>
  <c r="H106" i="54" s="1"/>
  <c r="NG101" i="54"/>
  <c r="KQ101" i="54"/>
  <c r="KQ100" i="54"/>
  <c r="NG100" i="54"/>
  <c r="CD101" i="54"/>
  <c r="CD104" i="54" s="1"/>
  <c r="CD106" i="54" s="1"/>
  <c r="N104" i="54"/>
  <c r="N106" i="54" s="1"/>
  <c r="NM101" i="54"/>
  <c r="NM100" i="54"/>
  <c r="KW101" i="54"/>
  <c r="KW100" i="54"/>
  <c r="CJ101" i="54"/>
  <c r="CJ104" i="54" s="1"/>
  <c r="CJ106" i="54" s="1"/>
  <c r="T104" i="54"/>
  <c r="T106" i="54" s="1"/>
  <c r="NO100" i="54"/>
  <c r="NO101" i="54"/>
  <c r="KY101" i="54"/>
  <c r="KY100" i="54"/>
  <c r="CL101" i="54"/>
  <c r="CL104" i="54" s="1"/>
  <c r="CL106" i="54" s="1"/>
  <c r="V104" i="54"/>
  <c r="V106" i="54" s="1"/>
  <c r="KN100" i="54"/>
  <c r="NB101" i="54"/>
  <c r="NB100" i="54"/>
  <c r="KL100" i="54"/>
  <c r="KL101" i="54"/>
  <c r="BY101" i="54"/>
  <c r="BY104" i="54" s="1"/>
  <c r="BY106" i="54" s="1"/>
  <c r="I104" i="54"/>
  <c r="I106" i="54" s="1"/>
  <c r="AF65" i="32"/>
  <c r="AG65" i="32" s="1"/>
  <c r="AC86" i="32" s="1"/>
  <c r="AD86" i="32" s="1"/>
  <c r="AE86" i="32" s="1"/>
  <c r="AF86" i="32" s="1"/>
  <c r="AH86" i="32" s="1"/>
  <c r="AG32" i="35"/>
  <c r="AH32" i="35" s="1"/>
  <c r="AI32" i="35" s="1"/>
  <c r="C294" i="35"/>
  <c r="C93" i="35"/>
  <c r="D93" i="35" s="1"/>
  <c r="I93" i="35" s="1"/>
  <c r="AG31" i="35"/>
  <c r="AH31" i="35" s="1"/>
  <c r="AI31" i="35" s="1"/>
  <c r="AG85" i="32"/>
  <c r="E50" i="41" a="1"/>
  <c r="N50" i="41" s="1"/>
  <c r="E51" i="41" a="1"/>
  <c r="T51" i="41" s="1"/>
  <c r="AK71" i="35"/>
  <c r="E22" i="41" s="1" a="1"/>
  <c r="E22" i="41" s="1"/>
  <c r="F105" i="34"/>
  <c r="H105" i="34" s="1"/>
  <c r="F106" i="34"/>
  <c r="U61" i="32"/>
  <c r="Q82" i="32" s="1"/>
  <c r="R82" i="32" s="1"/>
  <c r="H61" i="32"/>
  <c r="I61" i="32" s="1"/>
  <c r="G62" i="32"/>
  <c r="F62" i="32" s="1"/>
  <c r="T62" i="32"/>
  <c r="O103" i="34"/>
  <c r="N103" i="34"/>
  <c r="B82" i="32"/>
  <c r="N83" i="32"/>
  <c r="AA61" i="35"/>
  <c r="O72" i="35"/>
  <c r="R72" i="35"/>
  <c r="N72" i="35"/>
  <c r="M72" i="35"/>
  <c r="Q72" i="35"/>
  <c r="P72" i="35"/>
  <c r="E34" i="35"/>
  <c r="S63" i="32"/>
  <c r="R64" i="32"/>
  <c r="AA66" i="32"/>
  <c r="AE66" i="32" s="1"/>
  <c r="Z67" i="32"/>
  <c r="F153" i="35"/>
  <c r="D83" i="32"/>
  <c r="P84" i="32"/>
  <c r="W72" i="35"/>
  <c r="X72" i="35"/>
  <c r="G213" i="35"/>
  <c r="D73" i="35"/>
  <c r="G73" i="35" s="1"/>
  <c r="D74" i="35"/>
  <c r="G74" i="35" s="1"/>
  <c r="Q64" i="32"/>
  <c r="P65" i="32"/>
  <c r="D64" i="32"/>
  <c r="E64" i="32" s="1"/>
  <c r="C65" i="32"/>
  <c r="E75" i="34"/>
  <c r="S71" i="35"/>
  <c r="J106" i="34"/>
  <c r="J105" i="34"/>
  <c r="N67" i="32"/>
  <c r="O66" i="32"/>
  <c r="B66" i="32"/>
  <c r="AC35" i="35"/>
  <c r="J35" i="35"/>
  <c r="K35" i="35" s="1"/>
  <c r="J183" i="35"/>
  <c r="K183" i="35" s="1"/>
  <c r="L183" i="35" s="1"/>
  <c r="W35" i="35"/>
  <c r="X35" i="35" s="1"/>
  <c r="D25" i="34"/>
  <c r="P35" i="35"/>
  <c r="Q35" i="35" s="1"/>
  <c r="R35" i="35" s="1"/>
  <c r="E159" i="38" s="1"/>
  <c r="G80" i="32"/>
  <c r="T80" i="32"/>
  <c r="AC65" i="32"/>
  <c r="AB66" i="32"/>
  <c r="M104" i="34"/>
  <c r="K104" i="34"/>
  <c r="L104" i="34" s="1"/>
  <c r="M181" i="35"/>
  <c r="N181" i="35" s="1"/>
  <c r="O86" i="32"/>
  <c r="C85" i="32"/>
  <c r="F107" i="35"/>
  <c r="G107" i="35"/>
  <c r="H107" i="35" s="1"/>
  <c r="D134" i="34"/>
  <c r="H134" i="34" s="1"/>
  <c r="E33" i="41" s="1" a="1"/>
  <c r="D106" i="34"/>
  <c r="H106" i="34" s="1"/>
  <c r="R106" i="34"/>
  <c r="S106" i="34" s="1"/>
  <c r="E27" i="41" s="1" a="1"/>
  <c r="U79" i="32"/>
  <c r="I79" i="32" s="1"/>
  <c r="H104" i="32" s="1"/>
  <c r="C105" i="32" s="1"/>
  <c r="H79" i="32"/>
  <c r="G104" i="32" s="1"/>
  <c r="V79" i="32"/>
  <c r="J79" i="32" s="1"/>
  <c r="I104" i="32" s="1"/>
  <c r="D105" i="32" s="1"/>
  <c r="D166" i="34"/>
  <c r="E18" i="36"/>
  <c r="F18" i="36" s="1"/>
  <c r="G156" i="38" s="1"/>
  <c r="D44" i="36"/>
  <c r="E23" i="38"/>
  <c r="F81" i="32"/>
  <c r="E81" i="32" s="1"/>
  <c r="S81" i="32"/>
  <c r="G190" i="81"/>
  <c r="G192" i="81" s="1"/>
  <c r="S190" i="81"/>
  <c r="S192" i="81" s="1"/>
  <c r="F190" i="81"/>
  <c r="F192" i="81" s="1"/>
  <c r="Y38" i="41"/>
  <c r="Z38" i="41" s="1"/>
  <c r="H190" i="81"/>
  <c r="H192" i="81" s="1"/>
  <c r="N190" i="81"/>
  <c r="N192" i="81" s="1"/>
  <c r="Q63" i="42"/>
  <c r="T190" i="81"/>
  <c r="T192" i="81" s="1"/>
  <c r="S63" i="42"/>
  <c r="E58" i="43" s="1"/>
  <c r="G58" i="43" s="1"/>
  <c r="V190" i="81"/>
  <c r="V192" i="81" s="1"/>
  <c r="E45" i="41" a="1"/>
  <c r="R63" i="42"/>
  <c r="U190" i="81"/>
  <c r="U192" i="81" s="1"/>
  <c r="AD67" i="32"/>
  <c r="Q44" i="41"/>
  <c r="I44" i="41"/>
  <c r="P44" i="41"/>
  <c r="H44" i="41"/>
  <c r="N44" i="41"/>
  <c r="F44" i="41"/>
  <c r="U44" i="41"/>
  <c r="M44" i="41"/>
  <c r="E44" i="41"/>
  <c r="O44" i="41"/>
  <c r="L44" i="41"/>
  <c r="K44" i="41"/>
  <c r="G44" i="41"/>
  <c r="T44" i="41"/>
  <c r="S44" i="41"/>
  <c r="R44" i="41"/>
  <c r="J44" i="41"/>
  <c r="K190" i="81"/>
  <c r="K192" i="81" s="1"/>
  <c r="L190" i="81"/>
  <c r="L192" i="81" s="1"/>
  <c r="U39" i="41"/>
  <c r="M39" i="41"/>
  <c r="E39" i="41"/>
  <c r="R39" i="41"/>
  <c r="J39" i="41"/>
  <c r="Q39" i="41"/>
  <c r="I39" i="41"/>
  <c r="P39" i="41"/>
  <c r="O39" i="41"/>
  <c r="N39" i="41"/>
  <c r="K39" i="41"/>
  <c r="H39" i="41"/>
  <c r="T39" i="41"/>
  <c r="G39" i="41"/>
  <c r="L39" i="41"/>
  <c r="S39" i="41"/>
  <c r="F39" i="41"/>
  <c r="I190" i="81"/>
  <c r="I192" i="81" s="1"/>
  <c r="P190" i="81"/>
  <c r="P192" i="81" s="1"/>
  <c r="Q190" i="81"/>
  <c r="Q192" i="81" s="1"/>
  <c r="J190" i="81"/>
  <c r="J192" i="81" s="1"/>
  <c r="O190" i="81"/>
  <c r="O192" i="81" s="1"/>
  <c r="AB89" i="32"/>
  <c r="R190" i="81"/>
  <c r="R192" i="81" s="1"/>
  <c r="M190" i="81"/>
  <c r="M192" i="81" s="1"/>
  <c r="I195" i="35"/>
  <c r="AG86" i="32" l="1"/>
  <c r="D35" i="35"/>
  <c r="NN101" i="54"/>
  <c r="D45" i="36"/>
  <c r="E45" i="36" s="1"/>
  <c r="CK101" i="54"/>
  <c r="CK104" i="54" s="1"/>
  <c r="CK106" i="54" s="1"/>
  <c r="CG101" i="54"/>
  <c r="CG104" i="54" s="1"/>
  <c r="CG106" i="54" s="1"/>
  <c r="KX101" i="54"/>
  <c r="KT101" i="54"/>
  <c r="KT104" i="54" s="1"/>
  <c r="KT106" i="54" s="1"/>
  <c r="KX100" i="54"/>
  <c r="KT100" i="54"/>
  <c r="NN100" i="54"/>
  <c r="NN104" i="54" s="1"/>
  <c r="NN106" i="54" s="1"/>
  <c r="NJ100" i="54"/>
  <c r="CE101" i="54"/>
  <c r="CE104" i="54" s="1"/>
  <c r="CE106" i="54" s="1"/>
  <c r="KR101" i="54"/>
  <c r="CI101" i="54"/>
  <c r="CI104" i="54" s="1"/>
  <c r="CI106" i="54" s="1"/>
  <c r="NL101" i="54"/>
  <c r="KM101" i="54"/>
  <c r="NE100" i="54"/>
  <c r="ND100" i="54"/>
  <c r="KV100" i="54"/>
  <c r="KO101" i="54"/>
  <c r="NC100" i="54"/>
  <c r="C295" i="35"/>
  <c r="E295" i="35" s="1"/>
  <c r="CA101" i="54"/>
  <c r="CA104" i="54" s="1"/>
  <c r="CA106" i="54" s="1"/>
  <c r="ND101" i="54"/>
  <c r="KV101" i="54"/>
  <c r="CB101" i="54"/>
  <c r="CB104" i="54" s="1"/>
  <c r="CB106" i="54" s="1"/>
  <c r="NE101" i="54"/>
  <c r="BZ101" i="54"/>
  <c r="BZ104" i="54" s="1"/>
  <c r="BZ106" i="54" s="1"/>
  <c r="NC101" i="54"/>
  <c r="KN101" i="54"/>
  <c r="NL100" i="54"/>
  <c r="KO100" i="54"/>
  <c r="KM100" i="54"/>
  <c r="KY104" i="54"/>
  <c r="KY106" i="54" s="1"/>
  <c r="NM104" i="54"/>
  <c r="NM106" i="54" s="1"/>
  <c r="NF104" i="54"/>
  <c r="NF106" i="54" s="1"/>
  <c r="MZ104" i="54"/>
  <c r="MZ106" i="54" s="1"/>
  <c r="KS104" i="54"/>
  <c r="KS106" i="54" s="1"/>
  <c r="S109" i="55"/>
  <c r="NM130" i="54" s="1"/>
  <c r="R39" i="99"/>
  <c r="R217" i="90"/>
  <c r="P109" i="55"/>
  <c r="NJ130" i="54" s="1"/>
  <c r="O39" i="99"/>
  <c r="O217" i="90"/>
  <c r="R109" i="55"/>
  <c r="NL130" i="54" s="1"/>
  <c r="Q39" i="99"/>
  <c r="Q217" i="90"/>
  <c r="R44" i="99"/>
  <c r="R222" i="90"/>
  <c r="G109" i="55"/>
  <c r="NA130" i="54" s="1"/>
  <c r="F39" i="99"/>
  <c r="F217" i="90"/>
  <c r="Q109" i="55"/>
  <c r="NK130" i="54" s="1"/>
  <c r="P39" i="99"/>
  <c r="P217" i="90"/>
  <c r="M109" i="55"/>
  <c r="NG130" i="54" s="1"/>
  <c r="L39" i="99"/>
  <c r="L217" i="90"/>
  <c r="I44" i="99"/>
  <c r="I222" i="90"/>
  <c r="F44" i="99"/>
  <c r="F222" i="90"/>
  <c r="D44" i="99"/>
  <c r="D222" i="90"/>
  <c r="M44" i="99"/>
  <c r="M222" i="90"/>
  <c r="P44" i="99"/>
  <c r="P222" i="90"/>
  <c r="F109" i="55"/>
  <c r="MZ130" i="54" s="1"/>
  <c r="E39" i="99"/>
  <c r="E217" i="90"/>
  <c r="T109" i="55"/>
  <c r="NN130" i="54" s="1"/>
  <c r="S39" i="99"/>
  <c r="S217" i="90"/>
  <c r="O109" i="55"/>
  <c r="NI130" i="54" s="1"/>
  <c r="N39" i="99"/>
  <c r="N217" i="90"/>
  <c r="J109" i="55"/>
  <c r="ND130" i="54" s="1"/>
  <c r="I39" i="99"/>
  <c r="I217" i="90"/>
  <c r="U109" i="55"/>
  <c r="NO130" i="54" s="1"/>
  <c r="T39" i="99"/>
  <c r="T217" i="90"/>
  <c r="Q44" i="99"/>
  <c r="Q222" i="90"/>
  <c r="J44" i="99"/>
  <c r="J222" i="90"/>
  <c r="L44" i="99"/>
  <c r="L222" i="90"/>
  <c r="G44" i="99"/>
  <c r="G222" i="90"/>
  <c r="M50" i="99"/>
  <c r="M228" i="90"/>
  <c r="M161" i="90"/>
  <c r="M108" i="90"/>
  <c r="G161" i="90"/>
  <c r="G108" i="90"/>
  <c r="K161" i="90"/>
  <c r="K108" i="90"/>
  <c r="R161" i="90"/>
  <c r="R108" i="90"/>
  <c r="H109" i="55"/>
  <c r="NB130" i="54" s="1"/>
  <c r="G39" i="99"/>
  <c r="G217" i="90"/>
  <c r="E35" i="55"/>
  <c r="MY38" i="54" s="1"/>
  <c r="D22" i="99"/>
  <c r="D200" i="90"/>
  <c r="L161" i="90"/>
  <c r="L108" i="90"/>
  <c r="D161" i="90"/>
  <c r="D108" i="90"/>
  <c r="E161" i="90"/>
  <c r="E108" i="90"/>
  <c r="T161" i="90"/>
  <c r="T108" i="90"/>
  <c r="N161" i="90"/>
  <c r="N108" i="90"/>
  <c r="L109" i="55"/>
  <c r="NF130" i="54" s="1"/>
  <c r="K39" i="99"/>
  <c r="K217" i="90"/>
  <c r="K109" i="55"/>
  <c r="NE130" i="54" s="1"/>
  <c r="J39" i="99"/>
  <c r="J217" i="90"/>
  <c r="I109" i="55"/>
  <c r="NC130" i="54" s="1"/>
  <c r="H39" i="99"/>
  <c r="H217" i="90"/>
  <c r="E109" i="55"/>
  <c r="MY130" i="54" s="1"/>
  <c r="D39" i="99"/>
  <c r="D217" i="90"/>
  <c r="S44" i="99"/>
  <c r="S222" i="90"/>
  <c r="N44" i="99"/>
  <c r="N222" i="90"/>
  <c r="E44" i="99"/>
  <c r="E222" i="90"/>
  <c r="H44" i="99"/>
  <c r="H222" i="90"/>
  <c r="H161" i="90"/>
  <c r="H108" i="90"/>
  <c r="I161" i="90"/>
  <c r="I108" i="90"/>
  <c r="Q161" i="90"/>
  <c r="Q108" i="90"/>
  <c r="J161" i="90"/>
  <c r="J108" i="90"/>
  <c r="K44" i="99"/>
  <c r="K222" i="90"/>
  <c r="T44" i="99"/>
  <c r="T222" i="90"/>
  <c r="O44" i="99"/>
  <c r="O222" i="90"/>
  <c r="N109" i="55"/>
  <c r="NH130" i="54" s="1"/>
  <c r="M39" i="99"/>
  <c r="M217" i="90"/>
  <c r="T128" i="55"/>
  <c r="NN164" i="54" s="1"/>
  <c r="S51" i="99"/>
  <c r="S229" i="90"/>
  <c r="S174" i="90" s="1"/>
  <c r="F161" i="90"/>
  <c r="F108" i="90"/>
  <c r="S161" i="90"/>
  <c r="S108" i="90"/>
  <c r="P161" i="90"/>
  <c r="P108" i="90"/>
  <c r="O161" i="90"/>
  <c r="O108" i="90"/>
  <c r="NA104" i="54"/>
  <c r="NA106" i="54" s="1"/>
  <c r="NH104" i="54"/>
  <c r="NH106" i="54" s="1"/>
  <c r="KI104" i="54"/>
  <c r="KI106" i="54" s="1"/>
  <c r="K294" i="35"/>
  <c r="F23" i="38" s="1"/>
  <c r="E294" i="35"/>
  <c r="E19" i="36"/>
  <c r="F19" i="36" s="1"/>
  <c r="G157" i="38" s="1"/>
  <c r="C94" i="35"/>
  <c r="D94" i="35" s="1"/>
  <c r="I94" i="35" s="1"/>
  <c r="F34" i="35"/>
  <c r="AD34" i="35" s="1"/>
  <c r="C296" i="35" s="1"/>
  <c r="AG33" i="35"/>
  <c r="AH33" i="35" s="1"/>
  <c r="AI33" i="35" s="1"/>
  <c r="M35" i="35"/>
  <c r="C26" i="34"/>
  <c r="E26" i="34" s="1"/>
  <c r="L36" i="35"/>
  <c r="C156" i="35"/>
  <c r="D155" i="35"/>
  <c r="E127" i="35"/>
  <c r="F127" i="35" s="1"/>
  <c r="G127" i="35" s="1"/>
  <c r="Z63" i="35"/>
  <c r="C216" i="35"/>
  <c r="D215" i="35"/>
  <c r="NI104" i="54"/>
  <c r="NI106" i="54" s="1"/>
  <c r="KP104" i="54"/>
  <c r="KP106" i="54" s="1"/>
  <c r="KJ104" i="54"/>
  <c r="KJ106" i="54" s="1"/>
  <c r="MY104" i="54"/>
  <c r="MY106" i="54" s="1"/>
  <c r="AT130" i="54"/>
  <c r="AW130" i="54"/>
  <c r="F38" i="54"/>
  <c r="G130" i="54"/>
  <c r="KC130" i="54"/>
  <c r="KN104" i="54"/>
  <c r="KN106" i="54" s="1"/>
  <c r="NO104" i="54"/>
  <c r="NO106" i="54" s="1"/>
  <c r="KK104" i="54"/>
  <c r="KK106" i="54" s="1"/>
  <c r="KR104" i="54"/>
  <c r="KR106" i="54" s="1"/>
  <c r="JY130" i="54"/>
  <c r="AU130" i="54"/>
  <c r="M130" i="54"/>
  <c r="J130" i="54"/>
  <c r="E50" i="38"/>
  <c r="NG104" i="54"/>
  <c r="NG106" i="54" s="1"/>
  <c r="KH130" i="54"/>
  <c r="BD130" i="54"/>
  <c r="V130" i="54"/>
  <c r="KL104" i="54"/>
  <c r="KL106" i="54" s="1"/>
  <c r="KQ104" i="54"/>
  <c r="KQ106" i="54" s="1"/>
  <c r="KU104" i="54"/>
  <c r="KU106" i="54" s="1"/>
  <c r="JW130" i="54"/>
  <c r="K130" i="54"/>
  <c r="AS130" i="54"/>
  <c r="NB104" i="54"/>
  <c r="NB106" i="54" s="1"/>
  <c r="KW104" i="54"/>
  <c r="KW106" i="54" s="1"/>
  <c r="NK104" i="54"/>
  <c r="NK106" i="54" s="1"/>
  <c r="NJ104" i="54"/>
  <c r="NJ106" i="54" s="1"/>
  <c r="JU130" i="54"/>
  <c r="I130" i="54"/>
  <c r="AQ130" i="54"/>
  <c r="BA130" i="54"/>
  <c r="O222" i="81"/>
  <c r="O224" i="81" s="1"/>
  <c r="N126" i="55"/>
  <c r="E50" i="41"/>
  <c r="Y50" i="41" s="1"/>
  <c r="Z50" i="41" s="1"/>
  <c r="D294" i="35"/>
  <c r="F294" i="35"/>
  <c r="E22" i="38"/>
  <c r="H79" i="38"/>
  <c r="H80" i="38" s="1"/>
  <c r="H81" i="38" s="1"/>
  <c r="H82" i="38" s="1"/>
  <c r="H83" i="38" s="1"/>
  <c r="H84" i="38" s="1"/>
  <c r="H85" i="38" s="1"/>
  <c r="H86" i="38" s="1"/>
  <c r="H87" i="38" s="1"/>
  <c r="H88" i="38" s="1"/>
  <c r="H89" i="38" s="1"/>
  <c r="H90" i="38" s="1"/>
  <c r="H91" i="38" s="1"/>
  <c r="H92" i="38" s="1"/>
  <c r="H93" i="38" s="1"/>
  <c r="H94" i="38" s="1"/>
  <c r="H95" i="38" s="1"/>
  <c r="E17" i="36"/>
  <c r="F17" i="36" s="1"/>
  <c r="G155" i="38" s="1"/>
  <c r="G50" i="38"/>
  <c r="E131" i="38"/>
  <c r="E132" i="38" s="1"/>
  <c r="E133" i="38" s="1"/>
  <c r="E134" i="38" s="1"/>
  <c r="E135" i="38" s="1"/>
  <c r="E136" i="38" s="1"/>
  <c r="E137" i="38" s="1"/>
  <c r="E138" i="38" s="1"/>
  <c r="E139" i="38" s="1"/>
  <c r="E140" i="38" s="1"/>
  <c r="E141" i="38" s="1"/>
  <c r="E142" i="38" s="1"/>
  <c r="E143" i="38" s="1"/>
  <c r="E144" i="38" s="1"/>
  <c r="E145" i="38" s="1"/>
  <c r="E146" i="38" s="1"/>
  <c r="E147" i="38" s="1"/>
  <c r="K293" i="35"/>
  <c r="E293" i="35"/>
  <c r="F293" i="35"/>
  <c r="H50" i="41"/>
  <c r="F50" i="41"/>
  <c r="K50" i="41"/>
  <c r="I50" i="41"/>
  <c r="O50" i="41"/>
  <c r="M50" i="41"/>
  <c r="R50" i="41"/>
  <c r="Q50" i="41"/>
  <c r="P50" i="41"/>
  <c r="J50" i="41"/>
  <c r="S50" i="41"/>
  <c r="G50" i="41"/>
  <c r="U50" i="41"/>
  <c r="N51" i="41"/>
  <c r="L87" i="42" s="1"/>
  <c r="L50" i="41"/>
  <c r="T50" i="41"/>
  <c r="R85" i="42" s="1"/>
  <c r="E52" i="38"/>
  <c r="F22" i="41"/>
  <c r="N22" i="41"/>
  <c r="U22" i="41"/>
  <c r="R51" i="41"/>
  <c r="H51" i="41"/>
  <c r="L51" i="41"/>
  <c r="P51" i="41"/>
  <c r="U51" i="41"/>
  <c r="I51" i="41"/>
  <c r="K51" i="41"/>
  <c r="E51" i="41"/>
  <c r="M51" i="41"/>
  <c r="S51" i="41"/>
  <c r="Q87" i="42" s="1"/>
  <c r="Q51" i="41"/>
  <c r="R225" i="81" s="1"/>
  <c r="R227" i="81" s="1"/>
  <c r="O51" i="41"/>
  <c r="P225" i="81" s="1"/>
  <c r="P227" i="81" s="1"/>
  <c r="F51" i="41"/>
  <c r="J51" i="41"/>
  <c r="G51" i="41"/>
  <c r="E25" i="41" a="1"/>
  <c r="N25" i="41" s="1"/>
  <c r="AF66" i="32"/>
  <c r="AG66" i="32" s="1"/>
  <c r="AC87" i="32" s="1"/>
  <c r="AD87" i="32" s="1"/>
  <c r="AE87" i="32" s="1"/>
  <c r="AF87" i="32" s="1"/>
  <c r="AG87" i="32" s="1"/>
  <c r="E20" i="41" a="1"/>
  <c r="T20" i="41" s="1"/>
  <c r="S22" i="41"/>
  <c r="G22" i="41"/>
  <c r="M22" i="41"/>
  <c r="P22" i="41"/>
  <c r="I22" i="41"/>
  <c r="Q22" i="41"/>
  <c r="J22" i="41"/>
  <c r="R22" i="41"/>
  <c r="K22" i="41"/>
  <c r="L22" i="41"/>
  <c r="O22" i="41"/>
  <c r="T22" i="41"/>
  <c r="H22" i="41"/>
  <c r="S72" i="35"/>
  <c r="C66" i="32"/>
  <c r="E27" i="41"/>
  <c r="H27" i="41"/>
  <c r="G27" i="41"/>
  <c r="Q27" i="41"/>
  <c r="T27" i="41"/>
  <c r="O27" i="41"/>
  <c r="L27" i="41"/>
  <c r="N27" i="41"/>
  <c r="S27" i="41"/>
  <c r="R27" i="41"/>
  <c r="J27" i="41"/>
  <c r="K27" i="41"/>
  <c r="U27" i="41"/>
  <c r="I27" i="41"/>
  <c r="F27" i="41"/>
  <c r="M27" i="41"/>
  <c r="P27" i="41"/>
  <c r="M182" i="35"/>
  <c r="N182" i="35" s="1"/>
  <c r="H62" i="32"/>
  <c r="I62" i="32" s="1"/>
  <c r="U62" i="32"/>
  <c r="Q83" i="32" s="1"/>
  <c r="R83" i="32" s="1"/>
  <c r="E35" i="35"/>
  <c r="F35" i="35" s="1"/>
  <c r="O67" i="32"/>
  <c r="N68" i="32"/>
  <c r="B67" i="32"/>
  <c r="Q65" i="32"/>
  <c r="D65" i="32"/>
  <c r="E65" i="32" s="1"/>
  <c r="P66" i="32"/>
  <c r="F154" i="35"/>
  <c r="K33" i="41"/>
  <c r="H33" i="41"/>
  <c r="R33" i="41"/>
  <c r="J33" i="41"/>
  <c r="O33" i="41"/>
  <c r="T33" i="41"/>
  <c r="G33" i="41"/>
  <c r="I33" i="41"/>
  <c r="Q33" i="41"/>
  <c r="N33" i="41"/>
  <c r="M33" i="41"/>
  <c r="F33" i="41"/>
  <c r="U33" i="41"/>
  <c r="L33" i="41"/>
  <c r="E33" i="41"/>
  <c r="S33" i="41"/>
  <c r="P33" i="41"/>
  <c r="N104" i="34"/>
  <c r="O104" i="34"/>
  <c r="M105" i="34"/>
  <c r="K105" i="34"/>
  <c r="L105" i="34" s="1"/>
  <c r="AA67" i="32"/>
  <c r="AE67" i="32" s="1"/>
  <c r="Z68" i="32"/>
  <c r="R73" i="35"/>
  <c r="Q73" i="35"/>
  <c r="O73" i="35"/>
  <c r="N73" i="35"/>
  <c r="P73" i="35"/>
  <c r="M73" i="35"/>
  <c r="AA62" i="35"/>
  <c r="E51" i="38"/>
  <c r="E44" i="36"/>
  <c r="F108" i="35"/>
  <c r="G108" i="35"/>
  <c r="H108" i="35" s="1"/>
  <c r="K106" i="34"/>
  <c r="L106" i="34" s="1"/>
  <c r="M106" i="34"/>
  <c r="W73" i="35"/>
  <c r="X73" i="35"/>
  <c r="N84" i="32"/>
  <c r="B83" i="32"/>
  <c r="F82" i="32"/>
  <c r="E82" i="32" s="1"/>
  <c r="S82" i="32"/>
  <c r="D167" i="34"/>
  <c r="D168" i="34"/>
  <c r="AB67" i="32"/>
  <c r="AC66" i="32"/>
  <c r="G214" i="35"/>
  <c r="G81" i="32"/>
  <c r="T81" i="32"/>
  <c r="U80" i="32"/>
  <c r="I80" i="32" s="1"/>
  <c r="H105" i="32" s="1"/>
  <c r="C106" i="32" s="1"/>
  <c r="V80" i="32"/>
  <c r="J80" i="32" s="1"/>
  <c r="I105" i="32" s="1"/>
  <c r="D106" i="32" s="1"/>
  <c r="H80" i="32"/>
  <c r="G105" i="32" s="1"/>
  <c r="E76" i="34"/>
  <c r="P85" i="32"/>
  <c r="D84" i="32"/>
  <c r="S64" i="32"/>
  <c r="R65" i="32"/>
  <c r="W36" i="35"/>
  <c r="X36" i="35" s="1"/>
  <c r="AC36" i="35"/>
  <c r="J184" i="35"/>
  <c r="K184" i="35" s="1"/>
  <c r="L184" i="35" s="1"/>
  <c r="J36" i="35"/>
  <c r="K36" i="35" s="1"/>
  <c r="D26" i="34"/>
  <c r="E36" i="35" s="1"/>
  <c r="P36" i="35"/>
  <c r="Q36" i="35" s="1"/>
  <c r="R36" i="35" s="1"/>
  <c r="E160" i="38" s="1"/>
  <c r="O87" i="32"/>
  <c r="C86" i="32"/>
  <c r="G63" i="32"/>
  <c r="F63" i="32" s="1"/>
  <c r="T63" i="32"/>
  <c r="U225" i="81"/>
  <c r="U227" i="81" s="1"/>
  <c r="R87" i="42"/>
  <c r="I193" i="81"/>
  <c r="I195" i="81" s="1"/>
  <c r="S193" i="81"/>
  <c r="S195" i="81" s="1"/>
  <c r="K206" i="81"/>
  <c r="K208" i="81" s="1"/>
  <c r="F206" i="81"/>
  <c r="F208" i="81" s="1"/>
  <c r="Y44" i="41"/>
  <c r="Z44" i="41" s="1"/>
  <c r="R206" i="81"/>
  <c r="R208" i="81" s="1"/>
  <c r="C64" i="42"/>
  <c r="C63" i="42" s="1"/>
  <c r="AR38" i="41"/>
  <c r="AA38" i="41" s="1"/>
  <c r="F193" i="81"/>
  <c r="F195" i="81" s="1"/>
  <c r="Y39" i="41"/>
  <c r="Z39" i="41" s="1"/>
  <c r="S206" i="81"/>
  <c r="S208" i="81" s="1"/>
  <c r="N206" i="81"/>
  <c r="N208" i="81" s="1"/>
  <c r="O45" i="41"/>
  <c r="G45" i="41"/>
  <c r="N45" i="41"/>
  <c r="F45" i="41"/>
  <c r="U45" i="41"/>
  <c r="M45" i="41"/>
  <c r="E45" i="41"/>
  <c r="S45" i="41"/>
  <c r="K45" i="41"/>
  <c r="R45" i="41"/>
  <c r="J45" i="41"/>
  <c r="Q45" i="41"/>
  <c r="I45" i="41"/>
  <c r="T45" i="41"/>
  <c r="L45" i="41"/>
  <c r="H45" i="41"/>
  <c r="P45" i="41"/>
  <c r="O193" i="81"/>
  <c r="O195" i="81" s="1"/>
  <c r="N193" i="81"/>
  <c r="N195" i="81" s="1"/>
  <c r="Q74" i="42"/>
  <c r="T206" i="81"/>
  <c r="T208" i="81" s="1"/>
  <c r="S74" i="42"/>
  <c r="E67" i="43" s="1"/>
  <c r="G67" i="43" s="1"/>
  <c r="V206" i="81"/>
  <c r="V208" i="81" s="1"/>
  <c r="AD68" i="32"/>
  <c r="G193" i="81"/>
  <c r="G195" i="81" s="1"/>
  <c r="P193" i="81"/>
  <c r="P195" i="81" s="1"/>
  <c r="V193" i="81"/>
  <c r="V195" i="81" s="1"/>
  <c r="S65" i="42"/>
  <c r="E62" i="43" s="1"/>
  <c r="R74" i="42"/>
  <c r="U206" i="81"/>
  <c r="U208" i="81" s="1"/>
  <c r="G206" i="81"/>
  <c r="G208" i="81" s="1"/>
  <c r="AB90" i="32"/>
  <c r="Q65" i="42"/>
  <c r="T193" i="81"/>
  <c r="T195" i="81" s="1"/>
  <c r="Q193" i="81"/>
  <c r="Q195" i="81" s="1"/>
  <c r="H206" i="81"/>
  <c r="H208" i="81" s="1"/>
  <c r="O206" i="81"/>
  <c r="O208" i="81" s="1"/>
  <c r="L193" i="81"/>
  <c r="L195" i="81" s="1"/>
  <c r="M193" i="81"/>
  <c r="M195" i="81" s="1"/>
  <c r="J193" i="81"/>
  <c r="J195" i="81" s="1"/>
  <c r="L206" i="81"/>
  <c r="L208" i="81" s="1"/>
  <c r="I206" i="81"/>
  <c r="I208" i="81" s="1"/>
  <c r="H193" i="81"/>
  <c r="H195" i="81" s="1"/>
  <c r="R193" i="81"/>
  <c r="R195" i="81" s="1"/>
  <c r="M206" i="81"/>
  <c r="M208" i="81" s="1"/>
  <c r="Q206" i="81"/>
  <c r="Q208" i="81" s="1"/>
  <c r="G133" i="38"/>
  <c r="F157" i="38"/>
  <c r="I157" i="38" s="1"/>
  <c r="G24" i="38"/>
  <c r="H45" i="36"/>
  <c r="G52" i="38"/>
  <c r="R65" i="42"/>
  <c r="U193" i="81"/>
  <c r="U195" i="81" s="1"/>
  <c r="K193" i="81"/>
  <c r="K195" i="81" s="1"/>
  <c r="P206" i="81"/>
  <c r="P208" i="81" s="1"/>
  <c r="J206" i="81"/>
  <c r="J208" i="81" s="1"/>
  <c r="F146" i="81"/>
  <c r="F148" i="81" s="1"/>
  <c r="Y22" i="41"/>
  <c r="Z22" i="41" s="1"/>
  <c r="E28" i="41" a="1"/>
  <c r="F295" i="35" l="1"/>
  <c r="D295" i="35"/>
  <c r="K295" i="35"/>
  <c r="KO104" i="54"/>
  <c r="KO106" i="54" s="1"/>
  <c r="KX104" i="54"/>
  <c r="KX106" i="54" s="1"/>
  <c r="NL104" i="54"/>
  <c r="NL106" i="54" s="1"/>
  <c r="KA130" i="54"/>
  <c r="U130" i="54"/>
  <c r="BB130" i="54"/>
  <c r="O130" i="54"/>
  <c r="BC130" i="54"/>
  <c r="N130" i="54"/>
  <c r="KG130" i="54"/>
  <c r="AV130" i="54"/>
  <c r="ND104" i="54"/>
  <c r="ND106" i="54" s="1"/>
  <c r="JZ130" i="54"/>
  <c r="S52" i="90"/>
  <c r="AO52" i="90" s="1"/>
  <c r="J52" i="90"/>
  <c r="AF52" i="90" s="1"/>
  <c r="E52" i="90"/>
  <c r="AA52" i="90" s="1"/>
  <c r="G52" i="90"/>
  <c r="AC52" i="90" s="1"/>
  <c r="KM104" i="54"/>
  <c r="KM106" i="54" s="1"/>
  <c r="Q130" i="54"/>
  <c r="P52" i="90"/>
  <c r="AL52" i="90" s="1"/>
  <c r="H52" i="90"/>
  <c r="AD52" i="90" s="1"/>
  <c r="T52" i="90"/>
  <c r="AP52" i="90" s="1"/>
  <c r="K52" i="90"/>
  <c r="AG52" i="90" s="1"/>
  <c r="JR130" i="54"/>
  <c r="H130" i="54"/>
  <c r="AR130" i="54"/>
  <c r="AP130" i="54"/>
  <c r="JT130" i="54"/>
  <c r="JV130" i="54"/>
  <c r="O52" i="90"/>
  <c r="AK52" i="90" s="1"/>
  <c r="I52" i="90"/>
  <c r="AE52" i="90" s="1"/>
  <c r="N52" i="90"/>
  <c r="AJ52" i="90" s="1"/>
  <c r="L52" i="90"/>
  <c r="AH52" i="90" s="1"/>
  <c r="R52" i="90"/>
  <c r="AN52" i="90" s="1"/>
  <c r="AY130" i="54"/>
  <c r="D20" i="36"/>
  <c r="E20" i="36" s="1"/>
  <c r="F20" i="36" s="1"/>
  <c r="G158" i="38" s="1"/>
  <c r="L130" i="54"/>
  <c r="P130" i="54"/>
  <c r="JX130" i="54"/>
  <c r="F52" i="90"/>
  <c r="AB52" i="90" s="1"/>
  <c r="Q52" i="90"/>
  <c r="AM52" i="90" s="1"/>
  <c r="D52" i="90"/>
  <c r="Z52" i="90" s="1"/>
  <c r="M52" i="90"/>
  <c r="AI52" i="90" s="1"/>
  <c r="O225" i="81"/>
  <c r="O227" i="81" s="1"/>
  <c r="U222" i="81"/>
  <c r="U224" i="81" s="1"/>
  <c r="S130" i="54"/>
  <c r="JS130" i="54"/>
  <c r="KE130" i="54"/>
  <c r="KV104" i="54"/>
  <c r="KV106" i="54" s="1"/>
  <c r="AZ130" i="54"/>
  <c r="R130" i="54"/>
  <c r="KD130" i="54"/>
  <c r="AO130" i="54"/>
  <c r="NC104" i="54"/>
  <c r="NC106" i="54" s="1"/>
  <c r="NE104" i="54"/>
  <c r="NE106" i="54" s="1"/>
  <c r="KB130" i="54"/>
  <c r="KF130" i="54"/>
  <c r="AN130" i="54"/>
  <c r="AX130" i="54"/>
  <c r="T130" i="54"/>
  <c r="F130" i="54"/>
  <c r="O45" i="99"/>
  <c r="O223" i="90"/>
  <c r="H45" i="99"/>
  <c r="H223" i="90"/>
  <c r="J45" i="99"/>
  <c r="J223" i="90"/>
  <c r="T45" i="99"/>
  <c r="T223" i="90"/>
  <c r="N45" i="99"/>
  <c r="N223" i="90"/>
  <c r="P70" i="55"/>
  <c r="RY71" i="54" s="1"/>
  <c r="O33" i="99"/>
  <c r="O211" i="90"/>
  <c r="U70" i="55"/>
  <c r="NO71" i="54" s="1"/>
  <c r="T33" i="99"/>
  <c r="T211" i="90"/>
  <c r="Q70" i="55"/>
  <c r="MC75" i="54" s="1"/>
  <c r="P33" i="99"/>
  <c r="P211" i="90"/>
  <c r="O70" i="55"/>
  <c r="RX75" i="54" s="1"/>
  <c r="N33" i="99"/>
  <c r="N211" i="90"/>
  <c r="K70" i="55"/>
  <c r="LW71" i="54" s="1"/>
  <c r="J33" i="99"/>
  <c r="J211" i="90"/>
  <c r="E27" i="99"/>
  <c r="E205" i="90"/>
  <c r="I27" i="99"/>
  <c r="I205" i="90"/>
  <c r="K27" i="99"/>
  <c r="K205" i="90"/>
  <c r="F27" i="99"/>
  <c r="F205" i="90"/>
  <c r="K22" i="99"/>
  <c r="K200" i="90"/>
  <c r="P22" i="99"/>
  <c r="P200" i="90"/>
  <c r="F22" i="99"/>
  <c r="F200" i="90"/>
  <c r="M25" i="99"/>
  <c r="M203" i="90"/>
  <c r="N51" i="99"/>
  <c r="N229" i="90"/>
  <c r="N174" i="90" s="1"/>
  <c r="D51" i="99"/>
  <c r="D229" i="90"/>
  <c r="D174" i="90" s="1"/>
  <c r="O51" i="99"/>
  <c r="O229" i="90"/>
  <c r="O174" i="90" s="1"/>
  <c r="T22" i="99"/>
  <c r="T200" i="90"/>
  <c r="T126" i="55"/>
  <c r="CK157" i="54" s="1"/>
  <c r="CK160" i="54" s="1"/>
  <c r="S50" i="99"/>
  <c r="S228" i="90"/>
  <c r="F50" i="99"/>
  <c r="F228" i="90"/>
  <c r="P50" i="99"/>
  <c r="P228" i="90"/>
  <c r="H50" i="99"/>
  <c r="H228" i="90"/>
  <c r="M162" i="90"/>
  <c r="M109" i="90"/>
  <c r="H162" i="90"/>
  <c r="H109" i="90"/>
  <c r="S162" i="90"/>
  <c r="S109" i="90"/>
  <c r="M167" i="90"/>
  <c r="M114" i="90"/>
  <c r="F167" i="90"/>
  <c r="F114" i="90"/>
  <c r="L162" i="90"/>
  <c r="L109" i="90"/>
  <c r="G45" i="99"/>
  <c r="G223" i="90"/>
  <c r="P45" i="99"/>
  <c r="P223" i="90"/>
  <c r="R45" i="99"/>
  <c r="R223" i="90"/>
  <c r="E45" i="99"/>
  <c r="E223" i="90"/>
  <c r="S70" i="55"/>
  <c r="MV74" i="54" s="1"/>
  <c r="R33" i="99"/>
  <c r="R211" i="90"/>
  <c r="F70" i="55"/>
  <c r="MZ74" i="54" s="1"/>
  <c r="E33" i="99"/>
  <c r="E211" i="90"/>
  <c r="I70" i="55"/>
  <c r="NC71" i="54" s="1"/>
  <c r="H33" i="99"/>
  <c r="H211" i="90"/>
  <c r="J70" i="55"/>
  <c r="ND75" i="54" s="1"/>
  <c r="I33" i="99"/>
  <c r="I211" i="90"/>
  <c r="H27" i="99"/>
  <c r="H205" i="90"/>
  <c r="Q27" i="99"/>
  <c r="Q205" i="90"/>
  <c r="N27" i="99"/>
  <c r="N205" i="90"/>
  <c r="G27" i="99"/>
  <c r="G205" i="90"/>
  <c r="G22" i="99"/>
  <c r="G200" i="90"/>
  <c r="J22" i="99"/>
  <c r="J200" i="90"/>
  <c r="H22" i="99"/>
  <c r="H200" i="90"/>
  <c r="R22" i="99"/>
  <c r="R200" i="90"/>
  <c r="F51" i="99"/>
  <c r="F229" i="90"/>
  <c r="F174" i="90" s="1"/>
  <c r="P51" i="99"/>
  <c r="P229" i="90"/>
  <c r="P174" i="90" s="1"/>
  <c r="J51" i="99"/>
  <c r="J229" i="90"/>
  <c r="J174" i="90" s="1"/>
  <c r="L128" i="55"/>
  <c r="NF164" i="54" s="1"/>
  <c r="K51" i="99"/>
  <c r="K229" i="90"/>
  <c r="K174" i="90" s="1"/>
  <c r="M22" i="99"/>
  <c r="M200" i="90"/>
  <c r="K50" i="99"/>
  <c r="K228" i="90"/>
  <c r="S126" i="55"/>
  <c r="CJ157" i="54" s="1"/>
  <c r="CJ160" i="54" s="1"/>
  <c r="R50" i="99"/>
  <c r="R228" i="90"/>
  <c r="Q50" i="99"/>
  <c r="Q228" i="90"/>
  <c r="J50" i="99"/>
  <c r="J228" i="90"/>
  <c r="T167" i="90"/>
  <c r="T114" i="90"/>
  <c r="H167" i="90"/>
  <c r="H114" i="90"/>
  <c r="N167" i="90"/>
  <c r="N114" i="90"/>
  <c r="D162" i="90"/>
  <c r="D109" i="90"/>
  <c r="M173" i="90"/>
  <c r="M120" i="90"/>
  <c r="L167" i="90"/>
  <c r="L114" i="90"/>
  <c r="Q167" i="90"/>
  <c r="Q114" i="90"/>
  <c r="N162" i="90"/>
  <c r="N109" i="90"/>
  <c r="R167" i="90"/>
  <c r="R114" i="90"/>
  <c r="R162" i="90"/>
  <c r="R109" i="90"/>
  <c r="K45" i="99"/>
  <c r="K223" i="90"/>
  <c r="I45" i="99"/>
  <c r="I223" i="90"/>
  <c r="D45" i="99"/>
  <c r="D223" i="90"/>
  <c r="M45" i="99"/>
  <c r="M223" i="90"/>
  <c r="E70" i="55"/>
  <c r="KZ71" i="54" s="1"/>
  <c r="D33" i="99"/>
  <c r="D211" i="90"/>
  <c r="M70" i="55"/>
  <c r="MP75" i="54" s="1"/>
  <c r="L33" i="99"/>
  <c r="L211" i="90"/>
  <c r="G70" i="55"/>
  <c r="NA71" i="54" s="1"/>
  <c r="F33" i="99"/>
  <c r="F211" i="90"/>
  <c r="R70" i="55"/>
  <c r="NL71" i="54" s="1"/>
  <c r="Q33" i="99"/>
  <c r="Q211" i="90"/>
  <c r="O27" i="99"/>
  <c r="O205" i="90"/>
  <c r="U45" i="55"/>
  <c r="T27" i="99"/>
  <c r="T205" i="90"/>
  <c r="S45" i="55"/>
  <c r="NM48" i="54" s="1"/>
  <c r="R27" i="99"/>
  <c r="R205" i="90"/>
  <c r="T45" i="55"/>
  <c r="S27" i="99"/>
  <c r="S205" i="90"/>
  <c r="E45" i="55"/>
  <c r="MY48" i="54" s="1"/>
  <c r="D27" i="99"/>
  <c r="D205" i="90"/>
  <c r="S22" i="99"/>
  <c r="S200" i="90"/>
  <c r="Q22" i="99"/>
  <c r="Q200" i="90"/>
  <c r="O22" i="99"/>
  <c r="O200" i="90"/>
  <c r="T38" i="55"/>
  <c r="NN41" i="54" s="1"/>
  <c r="S20" i="99"/>
  <c r="S198" i="90"/>
  <c r="I51" i="99"/>
  <c r="I229" i="90"/>
  <c r="I174" i="90" s="1"/>
  <c r="R51" i="99"/>
  <c r="R229" i="90"/>
  <c r="R174" i="90" s="1"/>
  <c r="H51" i="99"/>
  <c r="H229" i="90"/>
  <c r="H174" i="90" s="1"/>
  <c r="G51" i="99"/>
  <c r="G229" i="90"/>
  <c r="G174" i="90" s="1"/>
  <c r="F35" i="55"/>
  <c r="MZ38" i="54" s="1"/>
  <c r="E22" i="99"/>
  <c r="E200" i="90"/>
  <c r="N128" i="55"/>
  <c r="NH164" i="54" s="1"/>
  <c r="M51" i="99"/>
  <c r="M229" i="90"/>
  <c r="M174" i="90" s="1"/>
  <c r="I50" i="99"/>
  <c r="I228" i="90"/>
  <c r="L50" i="99"/>
  <c r="L228" i="90"/>
  <c r="E50" i="99"/>
  <c r="E228" i="90"/>
  <c r="E126" i="55"/>
  <c r="BV157" i="54" s="1"/>
  <c r="BV160" i="54" s="1"/>
  <c r="D50" i="99"/>
  <c r="D228" i="90"/>
  <c r="K162" i="90"/>
  <c r="K109" i="90"/>
  <c r="G162" i="90"/>
  <c r="G109" i="90"/>
  <c r="I162" i="90"/>
  <c r="I109" i="90"/>
  <c r="P167" i="90"/>
  <c r="P114" i="90"/>
  <c r="D167" i="90"/>
  <c r="D114" i="90"/>
  <c r="I167" i="90"/>
  <c r="I114" i="90"/>
  <c r="F162" i="90"/>
  <c r="F109" i="90"/>
  <c r="O162" i="90"/>
  <c r="O109" i="90"/>
  <c r="S45" i="99"/>
  <c r="S223" i="90"/>
  <c r="Q45" i="99"/>
  <c r="Q223" i="90"/>
  <c r="L45" i="99"/>
  <c r="L223" i="90"/>
  <c r="F45" i="99"/>
  <c r="F223" i="90"/>
  <c r="L70" i="55"/>
  <c r="NF74" i="54" s="1"/>
  <c r="K33" i="99"/>
  <c r="K211" i="90"/>
  <c r="N70" i="55"/>
  <c r="NH74" i="54" s="1"/>
  <c r="M33" i="99"/>
  <c r="M211" i="90"/>
  <c r="T70" i="55"/>
  <c r="MW75" i="54" s="1"/>
  <c r="S33" i="99"/>
  <c r="S211" i="90"/>
  <c r="H70" i="55"/>
  <c r="NB74" i="54" s="1"/>
  <c r="G33" i="99"/>
  <c r="G211" i="90"/>
  <c r="L27" i="99"/>
  <c r="L205" i="90"/>
  <c r="J27" i="99"/>
  <c r="J205" i="90"/>
  <c r="M27" i="99"/>
  <c r="M205" i="90"/>
  <c r="P27" i="99"/>
  <c r="P205" i="90"/>
  <c r="N22" i="99"/>
  <c r="N200" i="90"/>
  <c r="I22" i="99"/>
  <c r="I200" i="90"/>
  <c r="L22" i="99"/>
  <c r="L200" i="90"/>
  <c r="E51" i="99"/>
  <c r="E229" i="90"/>
  <c r="E174" i="90" s="1"/>
  <c r="L51" i="99"/>
  <c r="L229" i="90"/>
  <c r="L174" i="90" s="1"/>
  <c r="T51" i="99"/>
  <c r="T229" i="90"/>
  <c r="T174" i="90" s="1"/>
  <c r="Q51" i="99"/>
  <c r="Q229" i="90"/>
  <c r="Q174" i="90" s="1"/>
  <c r="T50" i="99"/>
  <c r="T228" i="90"/>
  <c r="O50" i="99"/>
  <c r="O228" i="90"/>
  <c r="N50" i="99"/>
  <c r="N228" i="90"/>
  <c r="G50" i="99"/>
  <c r="G228" i="90"/>
  <c r="O167" i="90"/>
  <c r="O114" i="90"/>
  <c r="K167" i="90"/>
  <c r="K114" i="90"/>
  <c r="E167" i="90"/>
  <c r="E114" i="90"/>
  <c r="S167" i="90"/>
  <c r="S114" i="90"/>
  <c r="J162" i="90"/>
  <c r="J109" i="90"/>
  <c r="D145" i="90"/>
  <c r="D92" i="90"/>
  <c r="G167" i="90"/>
  <c r="G114" i="90"/>
  <c r="J167" i="90"/>
  <c r="J114" i="90"/>
  <c r="T162" i="90"/>
  <c r="T109" i="90"/>
  <c r="E162" i="90"/>
  <c r="E109" i="90"/>
  <c r="P162" i="90"/>
  <c r="P109" i="90"/>
  <c r="Q162" i="90"/>
  <c r="Q109" i="90"/>
  <c r="AD35" i="35"/>
  <c r="C297" i="35" s="1"/>
  <c r="F51" i="38"/>
  <c r="F132" i="38"/>
  <c r="D36" i="35"/>
  <c r="F36" i="35" s="1"/>
  <c r="AG34" i="35"/>
  <c r="AH34" i="35" s="1"/>
  <c r="AI34" i="35" s="1"/>
  <c r="C95" i="35"/>
  <c r="D95" i="35" s="1"/>
  <c r="I95" i="35" s="1"/>
  <c r="M36" i="35"/>
  <c r="J87" i="42"/>
  <c r="M225" i="81"/>
  <c r="M227" i="81" s="1"/>
  <c r="T222" i="81"/>
  <c r="T224" i="81" s="1"/>
  <c r="Q85" i="42"/>
  <c r="C27" i="34"/>
  <c r="E27" i="34" s="1"/>
  <c r="L37" i="35"/>
  <c r="C217" i="35"/>
  <c r="D216" i="35"/>
  <c r="C157" i="35"/>
  <c r="D156" i="35"/>
  <c r="E128" i="35"/>
  <c r="F128" i="35" s="1"/>
  <c r="G128" i="35" s="1"/>
  <c r="Z64" i="35"/>
  <c r="NJ71" i="54"/>
  <c r="NJ75" i="54"/>
  <c r="MB75" i="54"/>
  <c r="MS74" i="54"/>
  <c r="KC75" i="54"/>
  <c r="KC71" i="54"/>
  <c r="CX74" i="54"/>
  <c r="CX73" i="54"/>
  <c r="NK74" i="54"/>
  <c r="RZ71" i="54"/>
  <c r="LL75" i="54"/>
  <c r="RZ75" i="54"/>
  <c r="KU71" i="54"/>
  <c r="KD71" i="54"/>
  <c r="LL74" i="54"/>
  <c r="RZ74" i="54"/>
  <c r="KU75" i="54"/>
  <c r="CY73" i="54"/>
  <c r="CH75" i="54"/>
  <c r="AZ74" i="54"/>
  <c r="R75" i="54"/>
  <c r="CY74" i="54"/>
  <c r="LW75" i="54"/>
  <c r="KO74" i="54"/>
  <c r="CS75" i="54"/>
  <c r="AT74" i="54"/>
  <c r="CQ74" i="54"/>
  <c r="NO48" i="54"/>
  <c r="KY48" i="54"/>
  <c r="RN71" i="54"/>
  <c r="MY75" i="54"/>
  <c r="LQ71" i="54"/>
  <c r="KI75" i="54"/>
  <c r="JR71" i="54"/>
  <c r="BV75" i="54"/>
  <c r="CM74" i="54"/>
  <c r="RP71" i="54"/>
  <c r="LB74" i="54"/>
  <c r="KK74" i="54"/>
  <c r="H74" i="54"/>
  <c r="F222" i="81"/>
  <c r="F224" i="81" s="1"/>
  <c r="G146" i="81"/>
  <c r="G148" i="81" s="1"/>
  <c r="JY74" i="54"/>
  <c r="NN71" i="54"/>
  <c r="MF71" i="54"/>
  <c r="NN48" i="54"/>
  <c r="KX48" i="54"/>
  <c r="NI71" i="54"/>
  <c r="MR71" i="54"/>
  <c r="CF74" i="54"/>
  <c r="AX74" i="54"/>
  <c r="SB71" i="54"/>
  <c r="SB75" i="54"/>
  <c r="LN74" i="54"/>
  <c r="T75" i="54"/>
  <c r="LA71" i="54"/>
  <c r="MZ75" i="54"/>
  <c r="JS74" i="54"/>
  <c r="LA74" i="54"/>
  <c r="JS75" i="54"/>
  <c r="CN75" i="54"/>
  <c r="G75" i="54"/>
  <c r="MD75" i="54"/>
  <c r="KV71" i="54"/>
  <c r="BA75" i="54"/>
  <c r="H87" i="42"/>
  <c r="J128" i="55"/>
  <c r="ND164" i="54" s="1"/>
  <c r="K222" i="81"/>
  <c r="K224" i="81" s="1"/>
  <c r="J126" i="55"/>
  <c r="M87" i="42"/>
  <c r="O128" i="55"/>
  <c r="NI164" i="54" s="1"/>
  <c r="N87" i="42"/>
  <c r="P128" i="55"/>
  <c r="NJ164" i="54" s="1"/>
  <c r="KX160" i="54"/>
  <c r="R222" i="81"/>
  <c r="R224" i="81" s="1"/>
  <c r="Q126" i="55"/>
  <c r="G87" i="42"/>
  <c r="I128" i="55"/>
  <c r="NC164" i="54" s="1"/>
  <c r="O87" i="42"/>
  <c r="Q128" i="55"/>
  <c r="NK164" i="54" s="1"/>
  <c r="M222" i="81"/>
  <c r="M224" i="81" s="1"/>
  <c r="L126" i="55"/>
  <c r="S222" i="81"/>
  <c r="S224" i="81" s="1"/>
  <c r="R126" i="55"/>
  <c r="G222" i="81"/>
  <c r="G224" i="81" s="1"/>
  <c r="F126" i="55"/>
  <c r="I222" i="81"/>
  <c r="I224" i="81" s="1"/>
  <c r="H126" i="55"/>
  <c r="T225" i="81"/>
  <c r="T227" i="81" s="1"/>
  <c r="S128" i="55"/>
  <c r="NM164" i="54" s="1"/>
  <c r="F87" i="42"/>
  <c r="H128" i="55"/>
  <c r="NB164" i="54" s="1"/>
  <c r="N222" i="81"/>
  <c r="N224" i="81" s="1"/>
  <c r="M126" i="55"/>
  <c r="V225" i="81"/>
  <c r="V227" i="81" s="1"/>
  <c r="U128" i="55"/>
  <c r="NO164" i="54" s="1"/>
  <c r="N225" i="81"/>
  <c r="N227" i="81" s="1"/>
  <c r="M128" i="55"/>
  <c r="NG164" i="54" s="1"/>
  <c r="P87" i="42"/>
  <c r="R128" i="55"/>
  <c r="NL164" i="54" s="1"/>
  <c r="S85" i="42"/>
  <c r="E74" i="43" s="1"/>
  <c r="G74" i="43" s="1"/>
  <c r="U126" i="55"/>
  <c r="P222" i="81"/>
  <c r="P224" i="81" s="1"/>
  <c r="O126" i="55"/>
  <c r="KI160" i="54"/>
  <c r="Q222" i="81"/>
  <c r="Q224" i="81" s="1"/>
  <c r="P126" i="55"/>
  <c r="C87" i="42"/>
  <c r="E128" i="55"/>
  <c r="MY164" i="54" s="1"/>
  <c r="H222" i="81"/>
  <c r="H224" i="81" s="1"/>
  <c r="G126" i="55"/>
  <c r="J222" i="81"/>
  <c r="J224" i="81" s="1"/>
  <c r="I126" i="55"/>
  <c r="KR160" i="54"/>
  <c r="CE157" i="54"/>
  <c r="CE160" i="54" s="1"/>
  <c r="D87" i="42"/>
  <c r="F128" i="55"/>
  <c r="MZ164" i="54" s="1"/>
  <c r="E87" i="42"/>
  <c r="G128" i="55"/>
  <c r="NA164" i="54" s="1"/>
  <c r="I87" i="42"/>
  <c r="K128" i="55"/>
  <c r="NE164" i="54" s="1"/>
  <c r="KW160" i="54"/>
  <c r="L222" i="81"/>
  <c r="L224" i="81" s="1"/>
  <c r="K126" i="55"/>
  <c r="G161" i="81"/>
  <c r="G163" i="81" s="1"/>
  <c r="F45" i="55"/>
  <c r="M161" i="81"/>
  <c r="M163" i="81" s="1"/>
  <c r="L45" i="55"/>
  <c r="M146" i="81"/>
  <c r="M148" i="81" s="1"/>
  <c r="L35" i="55"/>
  <c r="H146" i="81"/>
  <c r="H148" i="81" s="1"/>
  <c r="G35" i="55"/>
  <c r="O155" i="81"/>
  <c r="O157" i="81" s="1"/>
  <c r="N43" i="55"/>
  <c r="V146" i="81"/>
  <c r="V148" i="81" s="1"/>
  <c r="U35" i="55"/>
  <c r="J161" i="81"/>
  <c r="J163" i="81" s="1"/>
  <c r="I45" i="55"/>
  <c r="P161" i="81"/>
  <c r="P163" i="81" s="1"/>
  <c r="O45" i="55"/>
  <c r="L146" i="81"/>
  <c r="L148" i="81" s="1"/>
  <c r="K35" i="55"/>
  <c r="Q33" i="42"/>
  <c r="S35" i="55"/>
  <c r="O146" i="81"/>
  <c r="O148" i="81" s="1"/>
  <c r="N35" i="55"/>
  <c r="L161" i="81"/>
  <c r="L163" i="81" s="1"/>
  <c r="K45" i="55"/>
  <c r="K161" i="81"/>
  <c r="K163" i="81" s="1"/>
  <c r="J45" i="55"/>
  <c r="H161" i="81"/>
  <c r="H163" i="81" s="1"/>
  <c r="G45" i="55"/>
  <c r="R146" i="81"/>
  <c r="R148" i="81" s="1"/>
  <c r="Q35" i="55"/>
  <c r="S146" i="81"/>
  <c r="S148" i="81" s="1"/>
  <c r="R35" i="55"/>
  <c r="J225" i="81"/>
  <c r="J227" i="81" s="1"/>
  <c r="S161" i="81"/>
  <c r="S163" i="81" s="1"/>
  <c r="R45" i="55"/>
  <c r="I161" i="81"/>
  <c r="I163" i="81" s="1"/>
  <c r="H45" i="55"/>
  <c r="I146" i="81"/>
  <c r="I148" i="81" s="1"/>
  <c r="H35" i="55"/>
  <c r="J146" i="81"/>
  <c r="J148" i="81" s="1"/>
  <c r="I35" i="55"/>
  <c r="R161" i="81"/>
  <c r="R163" i="81" s="1"/>
  <c r="Q45" i="55"/>
  <c r="K146" i="81"/>
  <c r="K148" i="81" s="1"/>
  <c r="J35" i="55"/>
  <c r="Q161" i="81"/>
  <c r="Q163" i="81" s="1"/>
  <c r="P45" i="55"/>
  <c r="R33" i="42"/>
  <c r="T35" i="55"/>
  <c r="Q146" i="81"/>
  <c r="Q148" i="81" s="1"/>
  <c r="P35" i="55"/>
  <c r="N161" i="81"/>
  <c r="N163" i="81" s="1"/>
  <c r="M45" i="55"/>
  <c r="O161" i="81"/>
  <c r="O163" i="81" s="1"/>
  <c r="N45" i="55"/>
  <c r="P146" i="81"/>
  <c r="P148" i="81" s="1"/>
  <c r="O35" i="55"/>
  <c r="N146" i="81"/>
  <c r="N148" i="81" s="1"/>
  <c r="M35" i="55"/>
  <c r="H43" i="36"/>
  <c r="F155" i="38"/>
  <c r="I155" i="38" s="1"/>
  <c r="I79" i="38"/>
  <c r="J79" i="38" s="1"/>
  <c r="G22" i="38"/>
  <c r="G131" i="38"/>
  <c r="F131" i="38"/>
  <c r="F50" i="38"/>
  <c r="H50" i="38" s="1"/>
  <c r="F22" i="38"/>
  <c r="S225" i="81"/>
  <c r="S227" i="81" s="1"/>
  <c r="T146" i="81"/>
  <c r="T148" i="81" s="1"/>
  <c r="K87" i="42"/>
  <c r="U25" i="41"/>
  <c r="L225" i="81"/>
  <c r="L227" i="81" s="1"/>
  <c r="H225" i="81"/>
  <c r="H227" i="81" s="1"/>
  <c r="V222" i="81"/>
  <c r="V224" i="81" s="1"/>
  <c r="S33" i="42"/>
  <c r="E24" i="43" s="1"/>
  <c r="G24" i="43" s="1"/>
  <c r="G225" i="81"/>
  <c r="G227" i="81" s="1"/>
  <c r="U146" i="81"/>
  <c r="U148" i="81" s="1"/>
  <c r="AH87" i="32"/>
  <c r="I225" i="81"/>
  <c r="I227" i="81" s="1"/>
  <c r="K225" i="81"/>
  <c r="K227" i="81" s="1"/>
  <c r="S87" i="42"/>
  <c r="E76" i="43" s="1"/>
  <c r="G76" i="43" s="1"/>
  <c r="AF67" i="32"/>
  <c r="AG67" i="32" s="1"/>
  <c r="AC88" i="32" s="1"/>
  <c r="AD88" i="32" s="1"/>
  <c r="AE88" i="32" s="1"/>
  <c r="AF88" i="32" s="1"/>
  <c r="AH88" i="32" s="1"/>
  <c r="Y51" i="41"/>
  <c r="P25" i="41"/>
  <c r="Q25" i="41"/>
  <c r="L25" i="41"/>
  <c r="F225" i="81"/>
  <c r="F227" i="81" s="1"/>
  <c r="Q225" i="81"/>
  <c r="Q227" i="81" s="1"/>
  <c r="E25" i="41"/>
  <c r="S25" i="41"/>
  <c r="F25" i="41"/>
  <c r="J25" i="41"/>
  <c r="I25" i="41"/>
  <c r="H25" i="41"/>
  <c r="R25" i="41"/>
  <c r="G25" i="41"/>
  <c r="O25" i="41"/>
  <c r="M25" i="41"/>
  <c r="T25" i="41"/>
  <c r="K25" i="41"/>
  <c r="G20" i="41"/>
  <c r="L20" i="41"/>
  <c r="I20" i="41"/>
  <c r="Q20" i="41"/>
  <c r="N20" i="41"/>
  <c r="E20" i="41"/>
  <c r="K20" i="41"/>
  <c r="S20" i="41"/>
  <c r="J20" i="41"/>
  <c r="M20" i="41"/>
  <c r="O20" i="41"/>
  <c r="U20" i="41"/>
  <c r="H20" i="41"/>
  <c r="F20" i="41"/>
  <c r="P20" i="41"/>
  <c r="R20" i="41"/>
  <c r="F133" i="38"/>
  <c r="H133" i="38" s="1"/>
  <c r="F52" i="38"/>
  <c r="H52" i="38" s="1"/>
  <c r="F24" i="38"/>
  <c r="H24" i="38" s="1"/>
  <c r="N106" i="34"/>
  <c r="H44" i="36"/>
  <c r="G23" i="38"/>
  <c r="H23" i="38" s="1"/>
  <c r="G51" i="38"/>
  <c r="F156" i="38"/>
  <c r="I156" i="38" s="1"/>
  <c r="G132" i="38"/>
  <c r="H132" i="38" s="1"/>
  <c r="E77" i="34"/>
  <c r="E16" i="41" a="1"/>
  <c r="N179" i="81"/>
  <c r="N181" i="81" s="1"/>
  <c r="S179" i="81"/>
  <c r="S181" i="81" s="1"/>
  <c r="F296" i="35"/>
  <c r="D296" i="35"/>
  <c r="K296" i="35"/>
  <c r="E296" i="35"/>
  <c r="O68" i="32"/>
  <c r="N69" i="32"/>
  <c r="B68" i="32"/>
  <c r="M183" i="35"/>
  <c r="N183" i="35" s="1"/>
  <c r="U140" i="81"/>
  <c r="U142" i="81" s="1"/>
  <c r="R29" i="42"/>
  <c r="G179" i="81"/>
  <c r="G181" i="81" s="1"/>
  <c r="K179" i="81"/>
  <c r="K181" i="81" s="1"/>
  <c r="G82" i="32"/>
  <c r="T82" i="32"/>
  <c r="O106" i="34"/>
  <c r="AA68" i="32"/>
  <c r="AE68" i="32" s="1"/>
  <c r="Z69" i="32"/>
  <c r="AA69" i="32" s="1"/>
  <c r="O179" i="81"/>
  <c r="O181" i="81" s="1"/>
  <c r="I179" i="81"/>
  <c r="I181" i="81" s="1"/>
  <c r="D46" i="36"/>
  <c r="C67" i="32"/>
  <c r="AA63" i="35"/>
  <c r="Q179" i="81"/>
  <c r="Q181" i="81" s="1"/>
  <c r="R179" i="81"/>
  <c r="R181" i="81" s="1"/>
  <c r="L179" i="81"/>
  <c r="L181" i="81" s="1"/>
  <c r="F155" i="35"/>
  <c r="T161" i="81"/>
  <c r="T163" i="81" s="1"/>
  <c r="Q43" i="42"/>
  <c r="Y27" i="41"/>
  <c r="Z27" i="41" s="1"/>
  <c r="F161" i="81"/>
  <c r="F163" i="81" s="1"/>
  <c r="H63" i="32"/>
  <c r="I63" i="32" s="1"/>
  <c r="U63" i="32"/>
  <c r="Q84" i="32" s="1"/>
  <c r="R84" i="32" s="1"/>
  <c r="R66" i="32"/>
  <c r="S65" i="32"/>
  <c r="J185" i="35"/>
  <c r="K185" i="35" s="1"/>
  <c r="L185" i="35" s="1"/>
  <c r="J37" i="35"/>
  <c r="K37" i="35" s="1"/>
  <c r="AC37" i="35"/>
  <c r="D27" i="34"/>
  <c r="E37" i="35" s="1"/>
  <c r="P37" i="35"/>
  <c r="Q37" i="35" s="1"/>
  <c r="R37" i="35" s="1"/>
  <c r="E161" i="38" s="1"/>
  <c r="W37" i="35"/>
  <c r="X37" i="35" s="1"/>
  <c r="AB68" i="32"/>
  <c r="AC67" i="32"/>
  <c r="S73" i="35"/>
  <c r="E24" i="41" s="1" a="1"/>
  <c r="T179" i="81"/>
  <c r="T181" i="81" s="1"/>
  <c r="Q55" i="42"/>
  <c r="J179" i="81"/>
  <c r="J181" i="81" s="1"/>
  <c r="G64" i="32"/>
  <c r="F64" i="32" s="1"/>
  <c r="T64" i="32"/>
  <c r="H81" i="32"/>
  <c r="G106" i="32" s="1"/>
  <c r="V81" i="32"/>
  <c r="J81" i="32" s="1"/>
  <c r="I106" i="32" s="1"/>
  <c r="D107" i="32" s="1"/>
  <c r="U81" i="32"/>
  <c r="I81" i="32" s="1"/>
  <c r="H106" i="32" s="1"/>
  <c r="C107" i="32" s="1"/>
  <c r="E18" i="41" a="1"/>
  <c r="N85" i="32"/>
  <c r="B84" i="32"/>
  <c r="F179" i="81"/>
  <c r="F181" i="81" s="1"/>
  <c r="Y33" i="41"/>
  <c r="Z33" i="41" s="1"/>
  <c r="H179" i="81"/>
  <c r="H181" i="81" s="1"/>
  <c r="P67" i="32"/>
  <c r="Q66" i="32"/>
  <c r="D66" i="32"/>
  <c r="E66" i="32" s="1"/>
  <c r="F83" i="32"/>
  <c r="E83" i="32" s="1"/>
  <c r="S83" i="32"/>
  <c r="G215" i="35"/>
  <c r="M179" i="81"/>
  <c r="M181" i="81" s="1"/>
  <c r="R55" i="42"/>
  <c r="U179" i="81"/>
  <c r="U181" i="81" s="1"/>
  <c r="O88" i="32"/>
  <c r="C87" i="32"/>
  <c r="P86" i="32"/>
  <c r="D85" i="32"/>
  <c r="W74" i="35"/>
  <c r="X74" i="35"/>
  <c r="N105" i="34"/>
  <c r="O105" i="34"/>
  <c r="V179" i="81"/>
  <c r="V181" i="81" s="1"/>
  <c r="S55" i="42"/>
  <c r="E49" i="43" s="1"/>
  <c r="P179" i="81"/>
  <c r="P181" i="81" s="1"/>
  <c r="C86" i="42"/>
  <c r="C85" i="42" s="1"/>
  <c r="AR50" i="41"/>
  <c r="AA50" i="41" s="1"/>
  <c r="S43" i="42"/>
  <c r="E28" i="43" s="1"/>
  <c r="V161" i="81"/>
  <c r="V163" i="81" s="1"/>
  <c r="R43" i="42"/>
  <c r="U161" i="81"/>
  <c r="U163" i="81" s="1"/>
  <c r="D64" i="42"/>
  <c r="D63" i="42" s="1"/>
  <c r="AB38" i="41"/>
  <c r="AD69" i="32"/>
  <c r="R209" i="81"/>
  <c r="R211" i="81" s="1"/>
  <c r="G209" i="81"/>
  <c r="G211" i="81" s="1"/>
  <c r="K209" i="81"/>
  <c r="K211" i="81" s="1"/>
  <c r="O209" i="81"/>
  <c r="O211" i="81" s="1"/>
  <c r="C34" i="42"/>
  <c r="C33" i="42" s="1"/>
  <c r="AR22" i="41"/>
  <c r="AA22" i="41" s="1"/>
  <c r="S209" i="81"/>
  <c r="S211" i="81" s="1"/>
  <c r="H209" i="81"/>
  <c r="H211" i="81" s="1"/>
  <c r="C75" i="42"/>
  <c r="C74" i="42" s="1"/>
  <c r="AR44" i="41"/>
  <c r="AA44" i="41" s="1"/>
  <c r="Q209" i="81"/>
  <c r="Q211" i="81" s="1"/>
  <c r="L209" i="81"/>
  <c r="L211" i="81" s="1"/>
  <c r="P209" i="81"/>
  <c r="P211" i="81" s="1"/>
  <c r="I209" i="81"/>
  <c r="I211" i="81" s="1"/>
  <c r="Q76" i="42"/>
  <c r="T209" i="81"/>
  <c r="T211" i="81" s="1"/>
  <c r="M209" i="81"/>
  <c r="M211" i="81" s="1"/>
  <c r="F209" i="81"/>
  <c r="F211" i="81" s="1"/>
  <c r="Y45" i="41"/>
  <c r="Z45" i="41" s="1"/>
  <c r="C66" i="42"/>
  <c r="C65" i="42" s="1"/>
  <c r="AR39" i="41"/>
  <c r="AA39" i="41" s="1"/>
  <c r="U209" i="81"/>
  <c r="U211" i="81" s="1"/>
  <c r="R76" i="42"/>
  <c r="N209" i="81"/>
  <c r="N211" i="81" s="1"/>
  <c r="J209" i="81"/>
  <c r="J211" i="81" s="1"/>
  <c r="S76" i="42"/>
  <c r="E69" i="43" s="1"/>
  <c r="G69" i="43" s="1"/>
  <c r="V209" i="81"/>
  <c r="V211" i="81" s="1"/>
  <c r="P28" i="41"/>
  <c r="H28" i="41"/>
  <c r="O28" i="41"/>
  <c r="G28" i="41"/>
  <c r="R28" i="41"/>
  <c r="N28" i="41"/>
  <c r="F28" i="41"/>
  <c r="J28" i="41"/>
  <c r="U28" i="41"/>
  <c r="M28" i="41"/>
  <c r="E28" i="41"/>
  <c r="T28" i="41"/>
  <c r="L28" i="41"/>
  <c r="S28" i="41"/>
  <c r="K28" i="41"/>
  <c r="Q28" i="41"/>
  <c r="I28" i="41"/>
  <c r="H75" i="54" l="1"/>
  <c r="JT74" i="54"/>
  <c r="BZ74" i="54"/>
  <c r="M74" i="54"/>
  <c r="BX75" i="54"/>
  <c r="LS75" i="54"/>
  <c r="KM71" i="54"/>
  <c r="CT75" i="54"/>
  <c r="CO75" i="54"/>
  <c r="NA75" i="54"/>
  <c r="RR75" i="54"/>
  <c r="MT75" i="54"/>
  <c r="RU71" i="54"/>
  <c r="JT75" i="54"/>
  <c r="LB75" i="54"/>
  <c r="KK71" i="54"/>
  <c r="NA74" i="54"/>
  <c r="NK71" i="54"/>
  <c r="MJ71" i="54"/>
  <c r="E25" i="38"/>
  <c r="BB75" i="54"/>
  <c r="RT75" i="54"/>
  <c r="T74" i="54"/>
  <c r="SB74" i="54"/>
  <c r="KF74" i="54"/>
  <c r="MV75" i="54"/>
  <c r="KH74" i="54"/>
  <c r="L72" i="54"/>
  <c r="CB75" i="54"/>
  <c r="JX75" i="54"/>
  <c r="NE75" i="54"/>
  <c r="MV71" i="54"/>
  <c r="MV76" i="54" s="1"/>
  <c r="KO75" i="54"/>
  <c r="DA73" i="54"/>
  <c r="KW71" i="54"/>
  <c r="LN75" i="54"/>
  <c r="NM74" i="54"/>
  <c r="CB74" i="54"/>
  <c r="RT74" i="54"/>
  <c r="JX74" i="54"/>
  <c r="MN74" i="54"/>
  <c r="DA74" i="54"/>
  <c r="KF71" i="54"/>
  <c r="ME71" i="54"/>
  <c r="L75" i="54"/>
  <c r="LF74" i="54"/>
  <c r="LF71" i="54"/>
  <c r="MN75" i="54"/>
  <c r="L74" i="54"/>
  <c r="CD74" i="54"/>
  <c r="CJ74" i="54"/>
  <c r="CJ76" i="54" s="1"/>
  <c r="CJ75" i="54"/>
  <c r="KF75" i="54"/>
  <c r="NM75" i="54"/>
  <c r="AT75" i="54"/>
  <c r="MN71" i="54"/>
  <c r="MN76" i="54" s="1"/>
  <c r="LF75" i="54"/>
  <c r="RT71" i="54"/>
  <c r="LN71" i="54"/>
  <c r="T72" i="54"/>
  <c r="DA75" i="54"/>
  <c r="KW74" i="54"/>
  <c r="ME75" i="54"/>
  <c r="CS73" i="54"/>
  <c r="CS76" i="54" s="1"/>
  <c r="JX71" i="54"/>
  <c r="NE71" i="54"/>
  <c r="NE74" i="54"/>
  <c r="NM71" i="54"/>
  <c r="LW74" i="54"/>
  <c r="BB74" i="54"/>
  <c r="ME74" i="54"/>
  <c r="KW75" i="54"/>
  <c r="RQ74" i="54"/>
  <c r="CS74" i="54"/>
  <c r="KO71" i="54"/>
  <c r="AU75" i="54"/>
  <c r="KP74" i="54"/>
  <c r="ML71" i="54"/>
  <c r="AS74" i="54"/>
  <c r="M75" i="54"/>
  <c r="LG71" i="54"/>
  <c r="BZ75" i="54"/>
  <c r="BZ76" i="54" s="1"/>
  <c r="JV74" i="54"/>
  <c r="RS74" i="54"/>
  <c r="CC75" i="54"/>
  <c r="MO75" i="54"/>
  <c r="CQ75" i="54"/>
  <c r="ML75" i="54"/>
  <c r="RS71" i="54"/>
  <c r="CV75" i="54"/>
  <c r="RS75" i="54"/>
  <c r="KA71" i="54"/>
  <c r="LG74" i="54"/>
  <c r="LX75" i="54"/>
  <c r="KM75" i="54"/>
  <c r="LD75" i="54"/>
  <c r="LZ71" i="54"/>
  <c r="MO71" i="54"/>
  <c r="RU75" i="54"/>
  <c r="LU74" i="54"/>
  <c r="NC75" i="54"/>
  <c r="KP71" i="54"/>
  <c r="LD74" i="54"/>
  <c r="NC74" i="54"/>
  <c r="C96" i="35"/>
  <c r="D96" i="35" s="1"/>
  <c r="I96" i="35" s="1"/>
  <c r="D21" i="36"/>
  <c r="E21" i="36" s="1"/>
  <c r="F21" i="36" s="1"/>
  <c r="G159" i="38" s="1"/>
  <c r="AG35" i="35"/>
  <c r="AH35" i="35" s="1"/>
  <c r="AI35" i="35" s="1"/>
  <c r="KV75" i="54"/>
  <c r="MR74" i="54"/>
  <c r="S74" i="54"/>
  <c r="KE71" i="54"/>
  <c r="MU75" i="54"/>
  <c r="NL74" i="54"/>
  <c r="CW75" i="54"/>
  <c r="RX74" i="54"/>
  <c r="LJ71" i="54"/>
  <c r="LO75" i="54"/>
  <c r="CM73" i="54"/>
  <c r="KI74" i="54"/>
  <c r="MY74" i="54"/>
  <c r="MY71" i="54"/>
  <c r="Q75" i="54"/>
  <c r="KT75" i="54"/>
  <c r="KC74" i="54"/>
  <c r="MB71" i="54"/>
  <c r="S75" i="54"/>
  <c r="KW48" i="54"/>
  <c r="CZ75" i="54"/>
  <c r="CZ74" i="54"/>
  <c r="KE75" i="54"/>
  <c r="LM75" i="54"/>
  <c r="P74" i="54"/>
  <c r="KS71" i="54"/>
  <c r="LJ74" i="54"/>
  <c r="MR75" i="54"/>
  <c r="MR76" i="54" s="1"/>
  <c r="U72" i="54"/>
  <c r="BV74" i="54"/>
  <c r="CM75" i="54"/>
  <c r="MH71" i="54"/>
  <c r="LQ75" i="54"/>
  <c r="CG75" i="54"/>
  <c r="MB74" i="54"/>
  <c r="MS75" i="54"/>
  <c r="NJ74" i="54"/>
  <c r="CZ73" i="54"/>
  <c r="LM71" i="54"/>
  <c r="KB75" i="54"/>
  <c r="CI74" i="54"/>
  <c r="MD74" i="54"/>
  <c r="KV74" i="54"/>
  <c r="SA71" i="54"/>
  <c r="P75" i="54"/>
  <c r="KS74" i="54"/>
  <c r="KB74" i="54"/>
  <c r="NI74" i="54"/>
  <c r="DB73" i="54"/>
  <c r="F72" i="54"/>
  <c r="AN75" i="54"/>
  <c r="LQ74" i="54"/>
  <c r="LQ76" i="54" s="1"/>
  <c r="MH74" i="54"/>
  <c r="KX41" i="54"/>
  <c r="CX75" i="54"/>
  <c r="CX76" i="54" s="1"/>
  <c r="RY74" i="54"/>
  <c r="LK75" i="54"/>
  <c r="S72" i="54"/>
  <c r="SA74" i="54"/>
  <c r="KE74" i="54"/>
  <c r="MD71" i="54"/>
  <c r="MD76" i="54" s="1"/>
  <c r="CW73" i="54"/>
  <c r="KS75" i="54"/>
  <c r="NI75" i="54"/>
  <c r="LJ75" i="54"/>
  <c r="DB75" i="54"/>
  <c r="AN74" i="54"/>
  <c r="KI71" i="54"/>
  <c r="KI76" i="54" s="1"/>
  <c r="RN74" i="54"/>
  <c r="MH75" i="54"/>
  <c r="AY74" i="54"/>
  <c r="CG74" i="54"/>
  <c r="KT74" i="54"/>
  <c r="RY75" i="54"/>
  <c r="AX75" i="54"/>
  <c r="BA74" i="54"/>
  <c r="BA76" i="54" s="1"/>
  <c r="LM74" i="54"/>
  <c r="SA75" i="54"/>
  <c r="NL75" i="54"/>
  <c r="NL76" i="54" s="1"/>
  <c r="CW74" i="54"/>
  <c r="KB71" i="54"/>
  <c r="MA71" i="54"/>
  <c r="RX71" i="54"/>
  <c r="KX74" i="54"/>
  <c r="F74" i="54"/>
  <c r="KZ74" i="54"/>
  <c r="JR74" i="54"/>
  <c r="JR76" i="54" s="1"/>
  <c r="RN75" i="54"/>
  <c r="Q74" i="54"/>
  <c r="AY75" i="54"/>
  <c r="LK74" i="54"/>
  <c r="LK71" i="54"/>
  <c r="LK76" i="54" s="1"/>
  <c r="P72" i="54"/>
  <c r="P76" i="54" s="1"/>
  <c r="CI75" i="54"/>
  <c r="MU71" i="54"/>
  <c r="MU74" i="54"/>
  <c r="CF75" i="54"/>
  <c r="MA74" i="54"/>
  <c r="MA75" i="54"/>
  <c r="KG75" i="54"/>
  <c r="F75" i="54"/>
  <c r="JR75" i="54"/>
  <c r="KZ75" i="54"/>
  <c r="KZ76" i="54" s="1"/>
  <c r="Q72" i="54"/>
  <c r="KT71" i="54"/>
  <c r="MS71" i="54"/>
  <c r="KQ71" i="54"/>
  <c r="MG71" i="54"/>
  <c r="JU74" i="54"/>
  <c r="JZ75" i="54"/>
  <c r="MX75" i="54"/>
  <c r="MK75" i="54"/>
  <c r="LH75" i="54"/>
  <c r="LT71" i="54"/>
  <c r="RV71" i="54"/>
  <c r="V75" i="54"/>
  <c r="G38" i="54"/>
  <c r="RV75" i="54"/>
  <c r="CL75" i="54"/>
  <c r="I75" i="54"/>
  <c r="N72" i="54"/>
  <c r="MX71" i="54"/>
  <c r="CP75" i="54"/>
  <c r="CU73" i="54"/>
  <c r="SD74" i="54"/>
  <c r="JU75" i="54"/>
  <c r="K74" i="54"/>
  <c r="LE74" i="54"/>
  <c r="LV75" i="54"/>
  <c r="ND71" i="54"/>
  <c r="O72" i="54"/>
  <c r="CE74" i="54"/>
  <c r="MQ71" i="54"/>
  <c r="MQ74" i="54"/>
  <c r="BC74" i="54"/>
  <c r="CK74" i="54"/>
  <c r="KX75" i="54"/>
  <c r="NN75" i="54"/>
  <c r="CA74" i="54"/>
  <c r="MM71" i="54"/>
  <c r="MM74" i="54"/>
  <c r="ND74" i="54"/>
  <c r="AW74" i="54"/>
  <c r="AW75" i="54"/>
  <c r="LZ74" i="54"/>
  <c r="MQ75" i="54"/>
  <c r="U74" i="54"/>
  <c r="LO74" i="54"/>
  <c r="KG71" i="54"/>
  <c r="SC71" i="54"/>
  <c r="AS75" i="54"/>
  <c r="AS76" i="54" s="1"/>
  <c r="JW71" i="54"/>
  <c r="MM75" i="54"/>
  <c r="O74" i="54"/>
  <c r="KR71" i="54"/>
  <c r="RW74" i="54"/>
  <c r="RW75" i="54"/>
  <c r="U75" i="54"/>
  <c r="MW71" i="54"/>
  <c r="KG74" i="54"/>
  <c r="MF75" i="54"/>
  <c r="H51" i="38"/>
  <c r="CA75" i="54"/>
  <c r="CR73" i="54"/>
  <c r="KN71" i="54"/>
  <c r="LE71" i="54"/>
  <c r="O75" i="54"/>
  <c r="O76" i="54" s="1"/>
  <c r="KA75" i="54"/>
  <c r="KA74" i="54"/>
  <c r="LI71" i="54"/>
  <c r="BC75" i="54"/>
  <c r="KX71" i="54"/>
  <c r="KX76" i="54" s="1"/>
  <c r="LO71" i="54"/>
  <c r="SC75" i="54"/>
  <c r="K75" i="54"/>
  <c r="CR74" i="54"/>
  <c r="JW75" i="54"/>
  <c r="LE75" i="54"/>
  <c r="CV73" i="54"/>
  <c r="KR74" i="54"/>
  <c r="NH75" i="54"/>
  <c r="RW71" i="54"/>
  <c r="K72" i="54"/>
  <c r="K76" i="54" s="1"/>
  <c r="KN75" i="54"/>
  <c r="KN74" i="54"/>
  <c r="LV71" i="54"/>
  <c r="CV74" i="54"/>
  <c r="LI74" i="54"/>
  <c r="LZ75" i="54"/>
  <c r="LZ76" i="54" s="1"/>
  <c r="NH71" i="54"/>
  <c r="DB74" i="54"/>
  <c r="DB76" i="54" s="1"/>
  <c r="MF74" i="54"/>
  <c r="MW74" i="54"/>
  <c r="NN74" i="54"/>
  <c r="NN76" i="54" s="1"/>
  <c r="CR75" i="54"/>
  <c r="LV74" i="54"/>
  <c r="JW74" i="54"/>
  <c r="CE75" i="54"/>
  <c r="KR75" i="54"/>
  <c r="LI75" i="54"/>
  <c r="CK75" i="54"/>
  <c r="SC74" i="54"/>
  <c r="LH74" i="54"/>
  <c r="NG75" i="54"/>
  <c r="G72" i="54"/>
  <c r="BW74" i="54"/>
  <c r="LA75" i="54"/>
  <c r="LA76" i="54" s="1"/>
  <c r="RO71" i="54"/>
  <c r="BD75" i="54"/>
  <c r="LP74" i="54"/>
  <c r="AQ74" i="54"/>
  <c r="KL71" i="54"/>
  <c r="RQ75" i="54"/>
  <c r="AV74" i="54"/>
  <c r="CU74" i="54"/>
  <c r="KQ75" i="54"/>
  <c r="LY75" i="54"/>
  <c r="CN73" i="54"/>
  <c r="KJ74" i="54"/>
  <c r="RO75" i="54"/>
  <c r="V72" i="54"/>
  <c r="KH71" i="54"/>
  <c r="SD71" i="54"/>
  <c r="SD75" i="54"/>
  <c r="BY74" i="54"/>
  <c r="LC75" i="54"/>
  <c r="NB75" i="54"/>
  <c r="N74" i="54"/>
  <c r="CD75" i="54"/>
  <c r="CD76" i="54" s="1"/>
  <c r="MP71" i="54"/>
  <c r="KQ74" i="54"/>
  <c r="JZ74" i="54"/>
  <c r="LH71" i="54"/>
  <c r="MP74" i="54"/>
  <c r="KI48" i="54"/>
  <c r="AO74" i="54"/>
  <c r="CN74" i="54"/>
  <c r="AO75" i="54"/>
  <c r="KJ75" i="54"/>
  <c r="LR74" i="54"/>
  <c r="LR71" i="54"/>
  <c r="MI74" i="54"/>
  <c r="MZ71" i="54"/>
  <c r="BD74" i="54"/>
  <c r="BD76" i="54" s="1"/>
  <c r="DC73" i="54"/>
  <c r="CL74" i="54"/>
  <c r="KY71" i="54"/>
  <c r="KY75" i="54"/>
  <c r="NO75" i="54"/>
  <c r="MG75" i="54"/>
  <c r="NO74" i="54"/>
  <c r="M72" i="54"/>
  <c r="M76" i="54" s="1"/>
  <c r="CT73" i="54"/>
  <c r="CC74" i="54"/>
  <c r="CC76" i="54" s="1"/>
  <c r="LX74" i="54"/>
  <c r="JY75" i="54"/>
  <c r="LG75" i="54"/>
  <c r="LX71" i="54"/>
  <c r="NF71" i="54"/>
  <c r="H72" i="54"/>
  <c r="H76" i="54" s="1"/>
  <c r="CO73" i="54"/>
  <c r="BX74" i="54"/>
  <c r="BX76" i="54" s="1"/>
  <c r="KK75" i="54"/>
  <c r="LS74" i="54"/>
  <c r="LB71" i="54"/>
  <c r="MJ74" i="54"/>
  <c r="RP75" i="54"/>
  <c r="J75" i="54"/>
  <c r="J72" i="54"/>
  <c r="AR75" i="54"/>
  <c r="RR74" i="54"/>
  <c r="JV75" i="54"/>
  <c r="LU71" i="54"/>
  <c r="RR71" i="54"/>
  <c r="LU75" i="54"/>
  <c r="I72" i="54"/>
  <c r="CP73" i="54"/>
  <c r="AQ75" i="54"/>
  <c r="AQ76" i="54" s="1"/>
  <c r="JU71" i="54"/>
  <c r="KL74" i="54"/>
  <c r="LT75" i="54"/>
  <c r="RQ71" i="54"/>
  <c r="NB71" i="54"/>
  <c r="CY75" i="54"/>
  <c r="CY76" i="54" s="1"/>
  <c r="CH74" i="54"/>
  <c r="CH76" i="54" s="1"/>
  <c r="KD75" i="54"/>
  <c r="KU74" i="54"/>
  <c r="KU76" i="54" s="1"/>
  <c r="KD74" i="54"/>
  <c r="MC71" i="54"/>
  <c r="NK75" i="54"/>
  <c r="NK76" i="54" s="1"/>
  <c r="RV74" i="54"/>
  <c r="NG74" i="54"/>
  <c r="JS71" i="54"/>
  <c r="JS76" i="54" s="1"/>
  <c r="DC75" i="54"/>
  <c r="LP71" i="54"/>
  <c r="CP74" i="54"/>
  <c r="LC74" i="54"/>
  <c r="AV75" i="54"/>
  <c r="N75" i="54"/>
  <c r="CU75" i="54"/>
  <c r="JZ71" i="54"/>
  <c r="LY74" i="54"/>
  <c r="NG71" i="54"/>
  <c r="LY71" i="54"/>
  <c r="G74" i="54"/>
  <c r="BW75" i="54"/>
  <c r="KJ71" i="54"/>
  <c r="MI71" i="54"/>
  <c r="RO74" i="54"/>
  <c r="LR75" i="54"/>
  <c r="MI75" i="54"/>
  <c r="V74" i="54"/>
  <c r="DC74" i="54"/>
  <c r="MG74" i="54"/>
  <c r="KY74" i="54"/>
  <c r="KH75" i="54"/>
  <c r="LP75" i="54"/>
  <c r="MX74" i="54"/>
  <c r="AU74" i="54"/>
  <c r="AU76" i="54" s="1"/>
  <c r="CT74" i="54"/>
  <c r="RU74" i="54"/>
  <c r="JY71" i="54"/>
  <c r="KP75" i="54"/>
  <c r="MO74" i="54"/>
  <c r="NF75" i="54"/>
  <c r="NF76" i="54" s="1"/>
  <c r="AP74" i="54"/>
  <c r="CO74" i="54"/>
  <c r="AP75" i="54"/>
  <c r="JT71" i="54"/>
  <c r="RP74" i="54"/>
  <c r="RP76" i="54" s="1"/>
  <c r="LS71" i="54"/>
  <c r="MJ75" i="54"/>
  <c r="J74" i="54"/>
  <c r="AR74" i="54"/>
  <c r="AR76" i="54" s="1"/>
  <c r="CQ73" i="54"/>
  <c r="CQ76" i="54" s="1"/>
  <c r="KM74" i="54"/>
  <c r="JV71" i="54"/>
  <c r="ML74" i="54"/>
  <c r="ML76" i="54" s="1"/>
  <c r="LD71" i="54"/>
  <c r="I74" i="54"/>
  <c r="BY75" i="54"/>
  <c r="BY76" i="54" s="1"/>
  <c r="KL75" i="54"/>
  <c r="LT74" i="54"/>
  <c r="MK71" i="54"/>
  <c r="MK74" i="54"/>
  <c r="LC71" i="54"/>
  <c r="LC76" i="54" s="1"/>
  <c r="R74" i="54"/>
  <c r="R72" i="54"/>
  <c r="AZ75" i="54"/>
  <c r="AZ76" i="54" s="1"/>
  <c r="MC74" i="54"/>
  <c r="MC76" i="54" s="1"/>
  <c r="MT71" i="54"/>
  <c r="MT74" i="54"/>
  <c r="LL71" i="54"/>
  <c r="Q53" i="90"/>
  <c r="AM53" i="90" s="1"/>
  <c r="E53" i="90"/>
  <c r="AA53" i="90" s="1"/>
  <c r="J58" i="90"/>
  <c r="AF58" i="90" s="1"/>
  <c r="D36" i="90"/>
  <c r="Z36" i="90" s="1"/>
  <c r="S58" i="90"/>
  <c r="AO58" i="90" s="1"/>
  <c r="K58" i="90"/>
  <c r="AG58" i="90" s="1"/>
  <c r="F53" i="90"/>
  <c r="AB53" i="90" s="1"/>
  <c r="D58" i="90"/>
  <c r="Z58" i="90" s="1"/>
  <c r="I53" i="90"/>
  <c r="AE53" i="90" s="1"/>
  <c r="K53" i="90"/>
  <c r="AG53" i="90" s="1"/>
  <c r="R53" i="90"/>
  <c r="AN53" i="90" s="1"/>
  <c r="N53" i="90"/>
  <c r="AJ53" i="90" s="1"/>
  <c r="L58" i="90"/>
  <c r="AH58" i="90" s="1"/>
  <c r="D53" i="90"/>
  <c r="Z53" i="90" s="1"/>
  <c r="H58" i="90"/>
  <c r="AD58" i="90" s="1"/>
  <c r="L53" i="90"/>
  <c r="AH53" i="90" s="1"/>
  <c r="M58" i="90"/>
  <c r="AI58" i="90" s="1"/>
  <c r="H53" i="90"/>
  <c r="AD53" i="90" s="1"/>
  <c r="Q20" i="99"/>
  <c r="Q198" i="90"/>
  <c r="T20" i="99"/>
  <c r="T198" i="90"/>
  <c r="R20" i="99"/>
  <c r="R198" i="90"/>
  <c r="P20" i="99"/>
  <c r="P198" i="90"/>
  <c r="K43" i="55"/>
  <c r="J25" i="99"/>
  <c r="J203" i="90"/>
  <c r="F25" i="99"/>
  <c r="F203" i="90"/>
  <c r="J43" i="55"/>
  <c r="I25" i="99"/>
  <c r="I203" i="90"/>
  <c r="O25" i="99"/>
  <c r="O203" i="90"/>
  <c r="P53" i="90"/>
  <c r="AL53" i="90" s="1"/>
  <c r="T53" i="90"/>
  <c r="AP53" i="90" s="1"/>
  <c r="G58" i="90"/>
  <c r="AC58" i="90" s="1"/>
  <c r="J53" i="90"/>
  <c r="AF53" i="90" s="1"/>
  <c r="E58" i="90"/>
  <c r="AA58" i="90" s="1"/>
  <c r="O58" i="90"/>
  <c r="AK58" i="90" s="1"/>
  <c r="N173" i="90"/>
  <c r="N120" i="90"/>
  <c r="T173" i="90"/>
  <c r="T120" i="90"/>
  <c r="I145" i="90"/>
  <c r="I92" i="90"/>
  <c r="P150" i="90"/>
  <c r="P97" i="90"/>
  <c r="J150" i="90"/>
  <c r="J97" i="90"/>
  <c r="G156" i="90"/>
  <c r="G103" i="90"/>
  <c r="F168" i="90"/>
  <c r="F115" i="90"/>
  <c r="Q168" i="90"/>
  <c r="Q115" i="90"/>
  <c r="O53" i="90"/>
  <c r="AK53" i="90" s="1"/>
  <c r="I58" i="90"/>
  <c r="AE58" i="90" s="1"/>
  <c r="P58" i="90"/>
  <c r="AL58" i="90" s="1"/>
  <c r="G53" i="90"/>
  <c r="AC53" i="90" s="1"/>
  <c r="D173" i="90"/>
  <c r="D120" i="90"/>
  <c r="E145" i="90"/>
  <c r="E92" i="90"/>
  <c r="Q145" i="90"/>
  <c r="Q92" i="90"/>
  <c r="D150" i="90"/>
  <c r="D97" i="90"/>
  <c r="O150" i="90"/>
  <c r="O97" i="90"/>
  <c r="L156" i="90"/>
  <c r="L103" i="90"/>
  <c r="D168" i="90"/>
  <c r="D115" i="90"/>
  <c r="K168" i="90"/>
  <c r="K115" i="90"/>
  <c r="R58" i="90"/>
  <c r="AN58" i="90" s="1"/>
  <c r="Q58" i="90"/>
  <c r="AM58" i="90" s="1"/>
  <c r="M64" i="90"/>
  <c r="AI64" i="90" s="1"/>
  <c r="N58" i="90"/>
  <c r="AJ58" i="90" s="1"/>
  <c r="T58" i="90"/>
  <c r="AP58" i="90" s="1"/>
  <c r="Q173" i="90"/>
  <c r="Q120" i="90"/>
  <c r="H145" i="90"/>
  <c r="H92" i="90"/>
  <c r="G145" i="90"/>
  <c r="G92" i="90"/>
  <c r="N150" i="90"/>
  <c r="N97" i="90"/>
  <c r="H150" i="90"/>
  <c r="H97" i="90"/>
  <c r="E156" i="90"/>
  <c r="E103" i="90"/>
  <c r="R168" i="90"/>
  <c r="R115" i="90"/>
  <c r="G168" i="90"/>
  <c r="G115" i="90"/>
  <c r="F58" i="90"/>
  <c r="AB58" i="90" s="1"/>
  <c r="S53" i="90"/>
  <c r="AO53" i="90" s="1"/>
  <c r="M53" i="90"/>
  <c r="AI53" i="90" s="1"/>
  <c r="P173" i="90"/>
  <c r="P120" i="90"/>
  <c r="S173" i="90"/>
  <c r="S120" i="90"/>
  <c r="T156" i="90"/>
  <c r="T103" i="90"/>
  <c r="T168" i="90"/>
  <c r="T115" i="90"/>
  <c r="H168" i="90"/>
  <c r="H115" i="90"/>
  <c r="O20" i="99"/>
  <c r="O198" i="90"/>
  <c r="N20" i="99"/>
  <c r="N198" i="90"/>
  <c r="J20" i="99"/>
  <c r="J198" i="90"/>
  <c r="H20" i="99"/>
  <c r="H198" i="90"/>
  <c r="T43" i="55"/>
  <c r="NN46" i="54" s="1"/>
  <c r="S25" i="99"/>
  <c r="S203" i="90"/>
  <c r="R43" i="55"/>
  <c r="NL46" i="54" s="1"/>
  <c r="Q25" i="99"/>
  <c r="Q203" i="90"/>
  <c r="F43" i="55"/>
  <c r="E25" i="99"/>
  <c r="E203" i="90"/>
  <c r="T25" i="99"/>
  <c r="T203" i="90"/>
  <c r="K156" i="90"/>
  <c r="K103" i="90"/>
  <c r="L173" i="90"/>
  <c r="L120" i="90"/>
  <c r="T150" i="90"/>
  <c r="T97" i="90"/>
  <c r="F156" i="90"/>
  <c r="F103" i="90"/>
  <c r="K173" i="90"/>
  <c r="K120" i="90"/>
  <c r="H156" i="90"/>
  <c r="H103" i="90"/>
  <c r="F145" i="90"/>
  <c r="F92" i="90"/>
  <c r="K145" i="90"/>
  <c r="K92" i="90"/>
  <c r="K150" i="90"/>
  <c r="K97" i="90"/>
  <c r="E150" i="90"/>
  <c r="E97" i="90"/>
  <c r="P156" i="90"/>
  <c r="P103" i="90"/>
  <c r="E20" i="99"/>
  <c r="E198" i="90"/>
  <c r="L20" i="99"/>
  <c r="L198" i="90"/>
  <c r="D20" i="99"/>
  <c r="D198" i="90"/>
  <c r="K20" i="99"/>
  <c r="K198" i="90"/>
  <c r="L25" i="99"/>
  <c r="L203" i="90"/>
  <c r="H43" i="55"/>
  <c r="NB46" i="54" s="1"/>
  <c r="G25" i="99"/>
  <c r="G203" i="90"/>
  <c r="S43" i="55"/>
  <c r="NM46" i="54" s="1"/>
  <c r="R25" i="99"/>
  <c r="R203" i="90"/>
  <c r="K25" i="99"/>
  <c r="K203" i="90"/>
  <c r="G173" i="90"/>
  <c r="G120" i="90"/>
  <c r="O173" i="90"/>
  <c r="O120" i="90"/>
  <c r="L145" i="90"/>
  <c r="L92" i="90"/>
  <c r="N145" i="90"/>
  <c r="N92" i="90"/>
  <c r="M150" i="90"/>
  <c r="M97" i="90"/>
  <c r="L150" i="90"/>
  <c r="L97" i="90"/>
  <c r="M156" i="90"/>
  <c r="M103" i="90"/>
  <c r="L168" i="90"/>
  <c r="L115" i="90"/>
  <c r="S168" i="90"/>
  <c r="S115" i="90"/>
  <c r="O145" i="90"/>
  <c r="O92" i="90"/>
  <c r="S145" i="90"/>
  <c r="S92" i="90"/>
  <c r="R150" i="90"/>
  <c r="R97" i="90"/>
  <c r="Q156" i="90"/>
  <c r="Q103" i="90"/>
  <c r="M168" i="90"/>
  <c r="M115" i="90"/>
  <c r="I168" i="90"/>
  <c r="I115" i="90"/>
  <c r="J173" i="90"/>
  <c r="J120" i="90"/>
  <c r="R173" i="90"/>
  <c r="R120" i="90"/>
  <c r="R145" i="90"/>
  <c r="R92" i="90"/>
  <c r="J145" i="90"/>
  <c r="J92" i="90"/>
  <c r="G150" i="90"/>
  <c r="G97" i="90"/>
  <c r="Q150" i="90"/>
  <c r="Q97" i="90"/>
  <c r="I156" i="90"/>
  <c r="I103" i="90"/>
  <c r="E168" i="90"/>
  <c r="E115" i="90"/>
  <c r="P168" i="90"/>
  <c r="P115" i="90"/>
  <c r="H173" i="90"/>
  <c r="H120" i="90"/>
  <c r="F173" i="90"/>
  <c r="F120" i="90"/>
  <c r="N156" i="90"/>
  <c r="N103" i="90"/>
  <c r="N168" i="90"/>
  <c r="N115" i="90"/>
  <c r="J168" i="90"/>
  <c r="J115" i="90"/>
  <c r="O168" i="90"/>
  <c r="O115" i="90"/>
  <c r="G20" i="99"/>
  <c r="G198" i="90"/>
  <c r="I20" i="99"/>
  <c r="I198" i="90"/>
  <c r="M20" i="99"/>
  <c r="M198" i="90"/>
  <c r="F20" i="99"/>
  <c r="F198" i="90"/>
  <c r="N25" i="99"/>
  <c r="N203" i="90"/>
  <c r="I43" i="55"/>
  <c r="H25" i="99"/>
  <c r="H203" i="90"/>
  <c r="E43" i="55"/>
  <c r="KI46" i="54" s="1"/>
  <c r="D25" i="99"/>
  <c r="D203" i="90"/>
  <c r="P25" i="99"/>
  <c r="P203" i="90"/>
  <c r="S156" i="90"/>
  <c r="S103" i="90"/>
  <c r="E173" i="90"/>
  <c r="E120" i="90"/>
  <c r="I173" i="90"/>
  <c r="I120" i="90"/>
  <c r="S143" i="90"/>
  <c r="S90" i="90"/>
  <c r="S150" i="90"/>
  <c r="S97" i="90"/>
  <c r="D103" i="90"/>
  <c r="D156" i="90"/>
  <c r="M145" i="90"/>
  <c r="M92" i="90"/>
  <c r="R156" i="90"/>
  <c r="R103" i="90"/>
  <c r="T145" i="90"/>
  <c r="T92" i="90"/>
  <c r="M148" i="90"/>
  <c r="M95" i="90"/>
  <c r="P145" i="90"/>
  <c r="P92" i="90"/>
  <c r="F150" i="90"/>
  <c r="F97" i="90"/>
  <c r="I150" i="90"/>
  <c r="I97" i="90"/>
  <c r="J156" i="90"/>
  <c r="J103" i="90"/>
  <c r="O156" i="90"/>
  <c r="O103" i="90"/>
  <c r="M46" i="55"/>
  <c r="NG49" i="54" s="1"/>
  <c r="L28" i="99"/>
  <c r="L206" i="90"/>
  <c r="U46" i="55"/>
  <c r="NO49" i="54" s="1"/>
  <c r="T28" i="99"/>
  <c r="T206" i="90"/>
  <c r="S46" i="55"/>
  <c r="NM49" i="54" s="1"/>
  <c r="R28" i="99"/>
  <c r="R206" i="90"/>
  <c r="H46" i="55"/>
  <c r="NB49" i="54" s="1"/>
  <c r="G28" i="99"/>
  <c r="G206" i="90"/>
  <c r="I46" i="55"/>
  <c r="NC49" i="54" s="1"/>
  <c r="H28" i="99"/>
  <c r="H206" i="90"/>
  <c r="R46" i="55"/>
  <c r="NL49" i="54" s="1"/>
  <c r="Q28" i="99"/>
  <c r="Q206" i="90"/>
  <c r="P46" i="55"/>
  <c r="NJ49" i="54" s="1"/>
  <c r="O28" i="99"/>
  <c r="O206" i="90"/>
  <c r="Q46" i="55"/>
  <c r="NK49" i="54" s="1"/>
  <c r="P28" i="99"/>
  <c r="P206" i="90"/>
  <c r="T46" i="55"/>
  <c r="MW49" i="54" s="1"/>
  <c r="S28" i="99"/>
  <c r="S206" i="90"/>
  <c r="J46" i="55"/>
  <c r="ND49" i="54" s="1"/>
  <c r="I28" i="99"/>
  <c r="I206" i="90"/>
  <c r="G46" i="55"/>
  <c r="NA49" i="54" s="1"/>
  <c r="F28" i="99"/>
  <c r="F206" i="90"/>
  <c r="N46" i="55"/>
  <c r="NH49" i="54" s="1"/>
  <c r="M28" i="99"/>
  <c r="M206" i="90"/>
  <c r="L46" i="55"/>
  <c r="MO49" i="54" s="1"/>
  <c r="K28" i="99"/>
  <c r="K206" i="90"/>
  <c r="K46" i="55"/>
  <c r="NE49" i="54" s="1"/>
  <c r="J28" i="99"/>
  <c r="J206" i="90"/>
  <c r="E46" i="55"/>
  <c r="MH49" i="54" s="1"/>
  <c r="D28" i="99"/>
  <c r="D206" i="90"/>
  <c r="F46" i="55"/>
  <c r="MZ49" i="54" s="1"/>
  <c r="E28" i="99"/>
  <c r="E206" i="90"/>
  <c r="O46" i="55"/>
  <c r="MR49" i="54" s="1"/>
  <c r="N28" i="99"/>
  <c r="N206" i="90"/>
  <c r="AD36" i="35"/>
  <c r="C97" i="35" s="1"/>
  <c r="D97" i="35" s="1"/>
  <c r="I97" i="35" s="1"/>
  <c r="M37" i="35"/>
  <c r="D37" i="35"/>
  <c r="F37" i="35" s="1"/>
  <c r="E129" i="35"/>
  <c r="F129" i="35" s="1"/>
  <c r="G129" i="35" s="1"/>
  <c r="Z65" i="35"/>
  <c r="C218" i="35"/>
  <c r="D217" i="35"/>
  <c r="C28" i="34"/>
  <c r="E28" i="34" s="1"/>
  <c r="L38" i="35"/>
  <c r="C158" i="35"/>
  <c r="D157" i="35"/>
  <c r="LN76" i="54"/>
  <c r="NM76" i="54"/>
  <c r="LJ76" i="54"/>
  <c r="BV76" i="54"/>
  <c r="JX76" i="54"/>
  <c r="NE76" i="54"/>
  <c r="MK76" i="54"/>
  <c r="RU76" i="54"/>
  <c r="KF76" i="54"/>
  <c r="RT76" i="54"/>
  <c r="KV76" i="54"/>
  <c r="AN76" i="54"/>
  <c r="KW76" i="54"/>
  <c r="KA76" i="54"/>
  <c r="NI76" i="54"/>
  <c r="LB76" i="54"/>
  <c r="ME76" i="54"/>
  <c r="JV76" i="54"/>
  <c r="LD76" i="54"/>
  <c r="KO76" i="54"/>
  <c r="LW76" i="54"/>
  <c r="AG88" i="32"/>
  <c r="MZ46" i="54"/>
  <c r="KJ46" i="54"/>
  <c r="KW46" i="54"/>
  <c r="NA48" i="54"/>
  <c r="KK48" i="54"/>
  <c r="NM38" i="54"/>
  <c r="T38" i="54"/>
  <c r="V38" i="54"/>
  <c r="NO38" i="54"/>
  <c r="NF48" i="54"/>
  <c r="KP48" i="54"/>
  <c r="LH76" i="54"/>
  <c r="RS76" i="54"/>
  <c r="MZ76" i="54"/>
  <c r="DA76" i="54"/>
  <c r="AX76" i="54"/>
  <c r="CF76" i="54"/>
  <c r="MF76" i="54"/>
  <c r="CG76" i="54"/>
  <c r="NG38" i="54"/>
  <c r="N38" i="54"/>
  <c r="NJ38" i="54"/>
  <c r="Q38" i="54"/>
  <c r="NK48" i="54"/>
  <c r="KU48" i="54"/>
  <c r="NL48" i="54"/>
  <c r="KV48" i="54"/>
  <c r="LY76" i="54"/>
  <c r="CK76" i="54"/>
  <c r="LL76" i="54"/>
  <c r="NB48" i="54"/>
  <c r="KL48" i="54"/>
  <c r="ND48" i="54"/>
  <c r="KN48" i="54"/>
  <c r="NE38" i="54"/>
  <c r="L38" i="54"/>
  <c r="NH46" i="54"/>
  <c r="KR46" i="54"/>
  <c r="MZ48" i="54"/>
  <c r="KJ48" i="54"/>
  <c r="CZ76" i="54"/>
  <c r="RV76" i="54"/>
  <c r="CA76" i="54"/>
  <c r="KM76" i="54"/>
  <c r="L76" i="54"/>
  <c r="KT76" i="54"/>
  <c r="RY76" i="54"/>
  <c r="NG48" i="54"/>
  <c r="KQ48" i="54"/>
  <c r="NI38" i="54"/>
  <c r="P38" i="54"/>
  <c r="NN38" i="54"/>
  <c r="U38" i="54"/>
  <c r="NC38" i="54"/>
  <c r="J38" i="54"/>
  <c r="T76" i="54"/>
  <c r="LG76" i="54"/>
  <c r="AT76" i="54"/>
  <c r="RZ76" i="54"/>
  <c r="MB76" i="54"/>
  <c r="NL38" i="54"/>
  <c r="S38" i="54"/>
  <c r="NE48" i="54"/>
  <c r="KO48" i="54"/>
  <c r="NI48" i="54"/>
  <c r="KS48" i="54"/>
  <c r="NA38" i="54"/>
  <c r="H38" i="54"/>
  <c r="CI76" i="54"/>
  <c r="CR76" i="54"/>
  <c r="BB76" i="54"/>
  <c r="LU76" i="54"/>
  <c r="NB76" i="54"/>
  <c r="KC76" i="54"/>
  <c r="ND38" i="54"/>
  <c r="K38" i="54"/>
  <c r="NC46" i="54"/>
  <c r="KM46" i="54"/>
  <c r="NH48" i="54"/>
  <c r="KR48" i="54"/>
  <c r="NJ48" i="54"/>
  <c r="KT48" i="54"/>
  <c r="NB38" i="54"/>
  <c r="I38" i="54"/>
  <c r="S76" i="54"/>
  <c r="MA76" i="54"/>
  <c r="RX76" i="54"/>
  <c r="NO76" i="54"/>
  <c r="JT76" i="54"/>
  <c r="LS76" i="54"/>
  <c r="NA76" i="54"/>
  <c r="NC76" i="54"/>
  <c r="CB76" i="54"/>
  <c r="R76" i="54"/>
  <c r="NJ76" i="54"/>
  <c r="NE46" i="54"/>
  <c r="KO46" i="54"/>
  <c r="ND46" i="54"/>
  <c r="KN46" i="54"/>
  <c r="NK38" i="54"/>
  <c r="R38" i="54"/>
  <c r="NH38" i="54"/>
  <c r="O38" i="54"/>
  <c r="NC48" i="54"/>
  <c r="KM48" i="54"/>
  <c r="NF38" i="54"/>
  <c r="M38" i="54"/>
  <c r="SB76" i="54"/>
  <c r="KP76" i="54"/>
  <c r="LF76" i="54"/>
  <c r="MS49" i="54"/>
  <c r="MN49" i="54"/>
  <c r="NN49" i="54"/>
  <c r="NI49" i="54"/>
  <c r="KY160" i="54"/>
  <c r="CL157" i="54"/>
  <c r="CL160" i="54" s="1"/>
  <c r="KQ160" i="54"/>
  <c r="CD157" i="54"/>
  <c r="CD160" i="54" s="1"/>
  <c r="KJ160" i="54"/>
  <c r="BW157" i="54"/>
  <c r="BW160" i="54" s="1"/>
  <c r="KV160" i="54"/>
  <c r="CI157" i="54"/>
  <c r="CI160" i="54" s="1"/>
  <c r="KU160" i="54"/>
  <c r="CH157" i="54"/>
  <c r="CH160" i="54" s="1"/>
  <c r="KM160" i="54"/>
  <c r="BZ157" i="54"/>
  <c r="BZ160" i="54" s="1"/>
  <c r="KN160" i="54"/>
  <c r="CA157" i="54"/>
  <c r="CA160" i="54" s="1"/>
  <c r="KP160" i="54"/>
  <c r="CC157" i="54"/>
  <c r="CC160" i="54" s="1"/>
  <c r="KT160" i="54"/>
  <c r="CG157" i="54"/>
  <c r="CG160" i="54" s="1"/>
  <c r="KO160" i="54"/>
  <c r="CB157" i="54"/>
  <c r="CB160" i="54" s="1"/>
  <c r="KK160" i="54"/>
  <c r="BX157" i="54"/>
  <c r="BX160" i="54" s="1"/>
  <c r="KS160" i="54"/>
  <c r="CF157" i="54"/>
  <c r="CF160" i="54" s="1"/>
  <c r="KL160" i="54"/>
  <c r="BY157" i="54"/>
  <c r="BY160" i="54" s="1"/>
  <c r="Q29" i="42"/>
  <c r="S38" i="55"/>
  <c r="V155" i="81"/>
  <c r="V157" i="81" s="1"/>
  <c r="U43" i="55"/>
  <c r="L140" i="81"/>
  <c r="L142" i="81" s="1"/>
  <c r="K38" i="55"/>
  <c r="M155" i="81"/>
  <c r="M157" i="81" s="1"/>
  <c r="L43" i="55"/>
  <c r="O43" i="55"/>
  <c r="S140" i="81"/>
  <c r="S142" i="81" s="1"/>
  <c r="R38" i="55"/>
  <c r="V140" i="81"/>
  <c r="V142" i="81" s="1"/>
  <c r="U38" i="55"/>
  <c r="R140" i="81"/>
  <c r="R142" i="81" s="1"/>
  <c r="Q38" i="55"/>
  <c r="H155" i="81"/>
  <c r="H157" i="81" s="1"/>
  <c r="G43" i="55"/>
  <c r="Y20" i="41"/>
  <c r="Z20" i="41" s="1"/>
  <c r="C30" i="42" s="1"/>
  <c r="C29" i="42" s="1"/>
  <c r="E38" i="55"/>
  <c r="M43" i="55"/>
  <c r="R155" i="81"/>
  <c r="R157" i="81" s="1"/>
  <c r="Q43" i="55"/>
  <c r="O140" i="81"/>
  <c r="O142" i="81" s="1"/>
  <c r="N38" i="55"/>
  <c r="Q140" i="81"/>
  <c r="Q142" i="81" s="1"/>
  <c r="P38" i="55"/>
  <c r="P140" i="81"/>
  <c r="P142" i="81" s="1"/>
  <c r="O38" i="55"/>
  <c r="J140" i="81"/>
  <c r="J142" i="81" s="1"/>
  <c r="I38" i="55"/>
  <c r="I140" i="81"/>
  <c r="I142" i="81" s="1"/>
  <c r="H38" i="55"/>
  <c r="G140" i="81"/>
  <c r="G142" i="81" s="1"/>
  <c r="F38" i="55"/>
  <c r="N140" i="81"/>
  <c r="N142" i="81" s="1"/>
  <c r="M38" i="55"/>
  <c r="M140" i="81"/>
  <c r="M142" i="81" s="1"/>
  <c r="L38" i="55"/>
  <c r="S39" i="42"/>
  <c r="E26" i="43" s="1"/>
  <c r="G26" i="43" s="1"/>
  <c r="P43" i="55"/>
  <c r="K140" i="81"/>
  <c r="K142" i="81" s="1"/>
  <c r="J38" i="55"/>
  <c r="H140" i="81"/>
  <c r="H142" i="81" s="1"/>
  <c r="G38" i="55"/>
  <c r="H22" i="38"/>
  <c r="I80" i="38"/>
  <c r="J80" i="38" s="1"/>
  <c r="H131" i="38"/>
  <c r="AR33" i="41"/>
  <c r="AA33" i="41" s="1"/>
  <c r="C56" i="42"/>
  <c r="C55" i="42" s="1"/>
  <c r="T87" i="42"/>
  <c r="Q155" i="81"/>
  <c r="Q157" i="81" s="1"/>
  <c r="P155" i="81"/>
  <c r="P157" i="81" s="1"/>
  <c r="N155" i="81"/>
  <c r="N157" i="81" s="1"/>
  <c r="AE69" i="32"/>
  <c r="E26" i="41" a="1"/>
  <c r="G26" i="41" s="1"/>
  <c r="J155" i="81"/>
  <c r="J157" i="81" s="1"/>
  <c r="L155" i="81"/>
  <c r="L157" i="81" s="1"/>
  <c r="K155" i="81"/>
  <c r="K157" i="81" s="1"/>
  <c r="U155" i="81"/>
  <c r="U157" i="81" s="1"/>
  <c r="R39" i="42"/>
  <c r="S155" i="81"/>
  <c r="S157" i="81" s="1"/>
  <c r="G155" i="81"/>
  <c r="G157" i="81" s="1"/>
  <c r="Y25" i="41"/>
  <c r="Z25" i="41" s="1"/>
  <c r="F155" i="81"/>
  <c r="F157" i="81" s="1"/>
  <c r="I155" i="81"/>
  <c r="I157" i="81" s="1"/>
  <c r="T155" i="81"/>
  <c r="T157" i="81" s="1"/>
  <c r="Q39" i="42"/>
  <c r="F140" i="81"/>
  <c r="F142" i="81" s="1"/>
  <c r="T140" i="81"/>
  <c r="T142" i="81" s="1"/>
  <c r="S29" i="42"/>
  <c r="E21" i="43" s="1"/>
  <c r="G21" i="43" s="1"/>
  <c r="AF68" i="32"/>
  <c r="AG68" i="32" s="1"/>
  <c r="AC89" i="32" s="1"/>
  <c r="AD89" i="32" s="1"/>
  <c r="AE89" i="32" s="1"/>
  <c r="AF89" i="32" s="1"/>
  <c r="AH89" i="32" s="1"/>
  <c r="C68" i="32"/>
  <c r="G83" i="32"/>
  <c r="T83" i="32"/>
  <c r="H64" i="32"/>
  <c r="I64" i="32" s="1"/>
  <c r="U64" i="32"/>
  <c r="Q85" i="32" s="1"/>
  <c r="R85" i="32" s="1"/>
  <c r="F84" i="32"/>
  <c r="E84" i="32" s="1"/>
  <c r="S84" i="32"/>
  <c r="F156" i="35"/>
  <c r="AA64" i="35"/>
  <c r="R67" i="32"/>
  <c r="S66" i="32"/>
  <c r="U82" i="32"/>
  <c r="I82" i="32" s="1"/>
  <c r="H107" i="32" s="1"/>
  <c r="C108" i="32" s="1"/>
  <c r="H82" i="32"/>
  <c r="G107" i="32" s="1"/>
  <c r="V82" i="32"/>
  <c r="J82" i="32" s="1"/>
  <c r="I107" i="32" s="1"/>
  <c r="D108" i="32" s="1"/>
  <c r="F25" i="38"/>
  <c r="F53" i="38"/>
  <c r="F134" i="38"/>
  <c r="J16" i="41"/>
  <c r="M16" i="41"/>
  <c r="E16" i="41"/>
  <c r="Q16" i="41"/>
  <c r="I16" i="41"/>
  <c r="T16" i="41"/>
  <c r="O16" i="41"/>
  <c r="P16" i="41"/>
  <c r="H16" i="41"/>
  <c r="K16" i="41"/>
  <c r="R16" i="41"/>
  <c r="N16" i="41"/>
  <c r="G16" i="41"/>
  <c r="L16" i="41"/>
  <c r="F16" i="41"/>
  <c r="S16" i="41"/>
  <c r="U16" i="41"/>
  <c r="N86" i="32"/>
  <c r="B85" i="32"/>
  <c r="M184" i="35"/>
  <c r="N184" i="35" s="1"/>
  <c r="P87" i="32"/>
  <c r="D86" i="32"/>
  <c r="P68" i="32"/>
  <c r="Q67" i="32"/>
  <c r="D67" i="32"/>
  <c r="E67" i="32" s="1"/>
  <c r="U18" i="41"/>
  <c r="I18" i="41"/>
  <c r="N18" i="41"/>
  <c r="H18" i="41"/>
  <c r="K18" i="41"/>
  <c r="M18" i="41"/>
  <c r="P18" i="41"/>
  <c r="E18" i="41"/>
  <c r="T18" i="41"/>
  <c r="J18" i="41"/>
  <c r="F18" i="41"/>
  <c r="L18" i="41"/>
  <c r="O18" i="41"/>
  <c r="S18" i="41"/>
  <c r="R18" i="41"/>
  <c r="Q18" i="41"/>
  <c r="G18" i="41"/>
  <c r="E24" i="41"/>
  <c r="H24" i="41"/>
  <c r="F24" i="41"/>
  <c r="M24" i="41"/>
  <c r="T24" i="41"/>
  <c r="O24" i="41"/>
  <c r="L24" i="41"/>
  <c r="G24" i="41"/>
  <c r="P24" i="41"/>
  <c r="S24" i="41"/>
  <c r="N24" i="41"/>
  <c r="K24" i="41"/>
  <c r="Q24" i="41"/>
  <c r="R24" i="41"/>
  <c r="U24" i="41"/>
  <c r="I24" i="41"/>
  <c r="J24" i="41"/>
  <c r="AR27" i="41"/>
  <c r="AA27" i="41" s="1"/>
  <c r="C44" i="42"/>
  <c r="C43" i="42" s="1"/>
  <c r="J38" i="35"/>
  <c r="K38" i="35" s="1"/>
  <c r="P38" i="35"/>
  <c r="Q38" i="35" s="1"/>
  <c r="R38" i="35" s="1"/>
  <c r="E162" i="38" s="1"/>
  <c r="D28" i="34"/>
  <c r="J186" i="35"/>
  <c r="K186" i="35" s="1"/>
  <c r="L186" i="35" s="1"/>
  <c r="AC38" i="35"/>
  <c r="W38" i="35"/>
  <c r="X38" i="35" s="1"/>
  <c r="E26" i="38"/>
  <c r="D86" i="42"/>
  <c r="D85" i="42" s="1"/>
  <c r="AB50" i="41"/>
  <c r="C88" i="32"/>
  <c r="O89" i="32"/>
  <c r="G216" i="35"/>
  <c r="K297" i="35"/>
  <c r="F297" i="35"/>
  <c r="E297" i="35"/>
  <c r="D297" i="35"/>
  <c r="AB69" i="32"/>
  <c r="AC69" i="32" s="1"/>
  <c r="AC68" i="32"/>
  <c r="T65" i="32"/>
  <c r="G65" i="32"/>
  <c r="F65" i="32" s="1"/>
  <c r="E53" i="38"/>
  <c r="E46" i="36"/>
  <c r="B69" i="32"/>
  <c r="O69" i="32"/>
  <c r="C69" i="32" s="1"/>
  <c r="D66" i="42"/>
  <c r="D65" i="42" s="1"/>
  <c r="AB39" i="41"/>
  <c r="D34" i="42"/>
  <c r="D33" i="42" s="1"/>
  <c r="AB22" i="41"/>
  <c r="D75" i="42"/>
  <c r="D74" i="42" s="1"/>
  <c r="AB44" i="41"/>
  <c r="E64" i="42"/>
  <c r="E63" i="42" s="1"/>
  <c r="AC38" i="41"/>
  <c r="C77" i="42"/>
  <c r="C76" i="42" s="1"/>
  <c r="AR45" i="41"/>
  <c r="AA45" i="41" s="1"/>
  <c r="I164" i="81"/>
  <c r="I166" i="81" s="1"/>
  <c r="J164" i="81"/>
  <c r="J166" i="81" s="1"/>
  <c r="V164" i="81"/>
  <c r="V166" i="81" s="1"/>
  <c r="S45" i="42"/>
  <c r="Q164" i="81"/>
  <c r="Q166" i="81" s="1"/>
  <c r="R164" i="81"/>
  <c r="R166" i="81" s="1"/>
  <c r="K164" i="81"/>
  <c r="K166" i="81" s="1"/>
  <c r="L164" i="81"/>
  <c r="L166" i="81" s="1"/>
  <c r="G164" i="81"/>
  <c r="G166" i="81" s="1"/>
  <c r="N164" i="81"/>
  <c r="N166" i="81" s="1"/>
  <c r="T164" i="81"/>
  <c r="T166" i="81" s="1"/>
  <c r="Q45" i="42"/>
  <c r="O164" i="81"/>
  <c r="O166" i="81" s="1"/>
  <c r="R45" i="42"/>
  <c r="U164" i="81"/>
  <c r="U166" i="81" s="1"/>
  <c r="H164" i="81"/>
  <c r="H166" i="81" s="1"/>
  <c r="M164" i="81"/>
  <c r="M166" i="81" s="1"/>
  <c r="S164" i="81"/>
  <c r="S166" i="81" s="1"/>
  <c r="Y28" i="41"/>
  <c r="Z28" i="41" s="1"/>
  <c r="F164" i="81"/>
  <c r="F166" i="81" s="1"/>
  <c r="P164" i="81"/>
  <c r="P166" i="81" s="1"/>
  <c r="KK76" i="54" l="1"/>
  <c r="MO76" i="54"/>
  <c r="CV76" i="54"/>
  <c r="D47" i="36"/>
  <c r="N76" i="54"/>
  <c r="SA76" i="54"/>
  <c r="NF49" i="54"/>
  <c r="CP76" i="54"/>
  <c r="RN76" i="54"/>
  <c r="MH76" i="54"/>
  <c r="JY76" i="54"/>
  <c r="MT76" i="54"/>
  <c r="KQ76" i="54"/>
  <c r="AY76" i="54"/>
  <c r="KS76" i="54"/>
  <c r="MW76" i="54"/>
  <c r="G76" i="54"/>
  <c r="F76" i="54"/>
  <c r="MY76" i="54"/>
  <c r="I76" i="54"/>
  <c r="MM76" i="54"/>
  <c r="V76" i="54"/>
  <c r="MS76" i="54"/>
  <c r="CO76" i="54"/>
  <c r="JU76" i="54"/>
  <c r="KY76" i="54"/>
  <c r="KJ76" i="54"/>
  <c r="SD76" i="54"/>
  <c r="BC76" i="54"/>
  <c r="MU76" i="54"/>
  <c r="KB76" i="54"/>
  <c r="CM76" i="54"/>
  <c r="T47" i="90"/>
  <c r="AP47" i="90" s="1"/>
  <c r="RO76" i="54"/>
  <c r="LO76" i="54"/>
  <c r="MG76" i="54"/>
  <c r="LV76" i="54"/>
  <c r="NG76" i="54"/>
  <c r="CU76" i="54"/>
  <c r="KR76" i="54"/>
  <c r="LM76" i="54"/>
  <c r="KE76" i="54"/>
  <c r="Q76" i="54"/>
  <c r="CW76" i="54"/>
  <c r="CE76" i="54"/>
  <c r="NH76" i="54"/>
  <c r="RW76" i="54"/>
  <c r="U76" i="54"/>
  <c r="AG36" i="35"/>
  <c r="AH36" i="35" s="1"/>
  <c r="AI36" i="35" s="1"/>
  <c r="C298" i="35"/>
  <c r="D298" i="35" s="1"/>
  <c r="D22" i="36"/>
  <c r="D48" i="36" s="1"/>
  <c r="E48" i="36" s="1"/>
  <c r="CL76" i="54"/>
  <c r="MJ49" i="54"/>
  <c r="RR76" i="54"/>
  <c r="MJ76" i="54"/>
  <c r="LX76" i="54"/>
  <c r="LP76" i="54"/>
  <c r="LI76" i="54"/>
  <c r="LT76" i="54"/>
  <c r="H59" i="90"/>
  <c r="AD59" i="90" s="1"/>
  <c r="P64" i="90"/>
  <c r="AL64" i="90" s="1"/>
  <c r="KL76" i="54"/>
  <c r="AP76" i="54"/>
  <c r="MX76" i="54"/>
  <c r="LR76" i="54"/>
  <c r="KD76" i="54"/>
  <c r="AV76" i="54"/>
  <c r="LE76" i="54"/>
  <c r="SC76" i="54"/>
  <c r="ND76" i="54"/>
  <c r="JZ76" i="54"/>
  <c r="J76" i="54"/>
  <c r="CT76" i="54"/>
  <c r="DC76" i="54"/>
  <c r="CN76" i="54"/>
  <c r="JW76" i="54"/>
  <c r="KN76" i="54"/>
  <c r="KG76" i="54"/>
  <c r="MQ76" i="54"/>
  <c r="ML49" i="54"/>
  <c r="KV46" i="54"/>
  <c r="KL46" i="54"/>
  <c r="RQ76" i="54"/>
  <c r="MP49" i="54"/>
  <c r="AW76" i="54"/>
  <c r="MI49" i="54"/>
  <c r="MI76" i="54"/>
  <c r="MP76" i="54"/>
  <c r="KH76" i="54"/>
  <c r="BW76" i="54"/>
  <c r="D59" i="90"/>
  <c r="Z59" i="90" s="1"/>
  <c r="O41" i="90"/>
  <c r="AK41" i="90" s="1"/>
  <c r="Q36" i="90"/>
  <c r="AM36" i="90" s="1"/>
  <c r="D64" i="90"/>
  <c r="Z64" i="90" s="1"/>
  <c r="F59" i="90"/>
  <c r="AB59" i="90" s="1"/>
  <c r="J41" i="90"/>
  <c r="AF41" i="90" s="1"/>
  <c r="MK49" i="54"/>
  <c r="MQ49" i="54"/>
  <c r="MT49" i="54"/>
  <c r="MY46" i="54"/>
  <c r="KX46" i="54"/>
  <c r="AO76" i="54"/>
  <c r="T59" i="90"/>
  <c r="AP59" i="90" s="1"/>
  <c r="S64" i="90"/>
  <c r="AO64" i="90" s="1"/>
  <c r="K59" i="90"/>
  <c r="AG59" i="90" s="1"/>
  <c r="L47" i="90"/>
  <c r="AH47" i="90" s="1"/>
  <c r="D41" i="90"/>
  <c r="Z41" i="90" s="1"/>
  <c r="E36" i="90"/>
  <c r="AA36" i="90" s="1"/>
  <c r="Q59" i="90"/>
  <c r="AM59" i="90" s="1"/>
  <c r="G47" i="90"/>
  <c r="AC47" i="90" s="1"/>
  <c r="I36" i="90"/>
  <c r="AE36" i="90" s="1"/>
  <c r="O47" i="90"/>
  <c r="AK47" i="90" s="1"/>
  <c r="P41" i="90"/>
  <c r="AL41" i="90" s="1"/>
  <c r="J47" i="90"/>
  <c r="AF47" i="90" s="1"/>
  <c r="F41" i="90"/>
  <c r="AB41" i="90" s="1"/>
  <c r="M39" i="90"/>
  <c r="AI39" i="90" s="1"/>
  <c r="R47" i="90"/>
  <c r="AN47" i="90" s="1"/>
  <c r="D47" i="90"/>
  <c r="Z47" i="90" s="1"/>
  <c r="S34" i="90"/>
  <c r="AO34" i="90" s="1"/>
  <c r="E64" i="90"/>
  <c r="AA64" i="90" s="1"/>
  <c r="J59" i="90"/>
  <c r="AF59" i="90" s="1"/>
  <c r="N47" i="90"/>
  <c r="AJ47" i="90" s="1"/>
  <c r="H64" i="90"/>
  <c r="AD64" i="90" s="1"/>
  <c r="E59" i="90"/>
  <c r="AA59" i="90" s="1"/>
  <c r="Q41" i="90"/>
  <c r="AM41" i="90" s="1"/>
  <c r="I41" i="90"/>
  <c r="AE41" i="90" s="1"/>
  <c r="P36" i="90"/>
  <c r="AL36" i="90" s="1"/>
  <c r="T36" i="90"/>
  <c r="AP36" i="90" s="1"/>
  <c r="M36" i="90"/>
  <c r="AI36" i="90" s="1"/>
  <c r="S41" i="90"/>
  <c r="AO41" i="90" s="1"/>
  <c r="I64" i="90"/>
  <c r="AE64" i="90" s="1"/>
  <c r="S47" i="90"/>
  <c r="AO47" i="90" s="1"/>
  <c r="O59" i="90"/>
  <c r="AK59" i="90" s="1"/>
  <c r="N59" i="90"/>
  <c r="AJ59" i="90" s="1"/>
  <c r="F64" i="90"/>
  <c r="AB64" i="90" s="1"/>
  <c r="P59" i="90"/>
  <c r="AL59" i="90" s="1"/>
  <c r="P24" i="99"/>
  <c r="P202" i="90"/>
  <c r="O24" i="99"/>
  <c r="O202" i="90"/>
  <c r="T37" i="55"/>
  <c r="NN40" i="54" s="1"/>
  <c r="S24" i="99"/>
  <c r="S202" i="90"/>
  <c r="E37" i="55"/>
  <c r="KI40" i="54" s="1"/>
  <c r="D24" i="99"/>
  <c r="D202" i="90"/>
  <c r="S33" i="55"/>
  <c r="KF37" i="54" s="1"/>
  <c r="R18" i="99"/>
  <c r="R196" i="90"/>
  <c r="J33" i="55"/>
  <c r="ND37" i="54" s="1"/>
  <c r="I18" i="99"/>
  <c r="I196" i="90"/>
  <c r="I33" i="55"/>
  <c r="H18" i="99"/>
  <c r="H196" i="90"/>
  <c r="E16" i="99"/>
  <c r="E194" i="90"/>
  <c r="N16" i="99"/>
  <c r="N194" i="90"/>
  <c r="H24" i="99"/>
  <c r="H202" i="90"/>
  <c r="J24" i="99"/>
  <c r="J202" i="90"/>
  <c r="F24" i="99"/>
  <c r="F202" i="90"/>
  <c r="L24" i="99"/>
  <c r="L202" i="90"/>
  <c r="G33" i="55"/>
  <c r="NA37" i="54" s="1"/>
  <c r="F18" i="99"/>
  <c r="F196" i="90"/>
  <c r="O33" i="55"/>
  <c r="KB37" i="54" s="1"/>
  <c r="N18" i="99"/>
  <c r="N196" i="90"/>
  <c r="T33" i="55"/>
  <c r="NN37" i="54" s="1"/>
  <c r="S18" i="99"/>
  <c r="S196" i="90"/>
  <c r="K33" i="55"/>
  <c r="J18" i="99"/>
  <c r="J196" i="90"/>
  <c r="U33" i="55"/>
  <c r="NO37" i="54" s="1"/>
  <c r="T18" i="99"/>
  <c r="T196" i="90"/>
  <c r="K16" i="99"/>
  <c r="K194" i="90"/>
  <c r="J16" i="99"/>
  <c r="J194" i="90"/>
  <c r="T31" i="55"/>
  <c r="KG34" i="54" s="1"/>
  <c r="S16" i="99"/>
  <c r="S194" i="90"/>
  <c r="L16" i="99"/>
  <c r="L194" i="90"/>
  <c r="G148" i="90"/>
  <c r="G95" i="90"/>
  <c r="Q148" i="90"/>
  <c r="Q95" i="90"/>
  <c r="J143" i="90"/>
  <c r="J90" i="90"/>
  <c r="O143" i="90"/>
  <c r="O90" i="90"/>
  <c r="T64" i="90"/>
  <c r="AP64" i="90" s="1"/>
  <c r="I148" i="90"/>
  <c r="I95" i="90"/>
  <c r="P143" i="90"/>
  <c r="P90" i="90"/>
  <c r="T143" i="90"/>
  <c r="T90" i="90"/>
  <c r="U37" i="55"/>
  <c r="NO40" i="54" s="1"/>
  <c r="T24" i="99"/>
  <c r="T202" i="90"/>
  <c r="K24" i="99"/>
  <c r="K202" i="90"/>
  <c r="E24" i="99"/>
  <c r="E202" i="90"/>
  <c r="L33" i="55"/>
  <c r="NF37" i="54" s="1"/>
  <c r="K18" i="99"/>
  <c r="K196" i="90"/>
  <c r="H33" i="55"/>
  <c r="G18" i="99"/>
  <c r="G196" i="90"/>
  <c r="F26" i="99"/>
  <c r="F204" i="90"/>
  <c r="P148" i="90"/>
  <c r="P95" i="90"/>
  <c r="N148" i="90"/>
  <c r="N95" i="90"/>
  <c r="M143" i="90"/>
  <c r="M90" i="90"/>
  <c r="G143" i="90"/>
  <c r="G90" i="90"/>
  <c r="J36" i="90"/>
  <c r="AF36" i="90" s="1"/>
  <c r="R64" i="90"/>
  <c r="AN64" i="90" s="1"/>
  <c r="I59" i="90"/>
  <c r="AE59" i="90" s="1"/>
  <c r="Q47" i="90"/>
  <c r="AM47" i="90" s="1"/>
  <c r="S36" i="90"/>
  <c r="AO36" i="90" s="1"/>
  <c r="S59" i="90"/>
  <c r="AO59" i="90" s="1"/>
  <c r="M47" i="90"/>
  <c r="AI47" i="90" s="1"/>
  <c r="M41" i="90"/>
  <c r="AI41" i="90" s="1"/>
  <c r="L36" i="90"/>
  <c r="AH36" i="90" s="1"/>
  <c r="G64" i="90"/>
  <c r="AC64" i="90" s="1"/>
  <c r="R148" i="90"/>
  <c r="R95" i="90"/>
  <c r="K143" i="90"/>
  <c r="K90" i="90"/>
  <c r="L143" i="90"/>
  <c r="L90" i="90"/>
  <c r="P47" i="90"/>
  <c r="AL47" i="90" s="1"/>
  <c r="K41" i="90"/>
  <c r="AG41" i="90" s="1"/>
  <c r="F36" i="90"/>
  <c r="AB36" i="90" s="1"/>
  <c r="K64" i="90"/>
  <c r="AG64" i="90" s="1"/>
  <c r="T41" i="90"/>
  <c r="AP41" i="90" s="1"/>
  <c r="K47" i="90"/>
  <c r="AG47" i="90" s="1"/>
  <c r="E148" i="90"/>
  <c r="E95" i="90"/>
  <c r="R59" i="90"/>
  <c r="AN59" i="90" s="1"/>
  <c r="H41" i="90"/>
  <c r="AD41" i="90" s="1"/>
  <c r="G36" i="90"/>
  <c r="AC36" i="90" s="1"/>
  <c r="Q64" i="90"/>
  <c r="AM64" i="90" s="1"/>
  <c r="J148" i="90"/>
  <c r="J95" i="90"/>
  <c r="M24" i="99"/>
  <c r="M202" i="90"/>
  <c r="Q33" i="55"/>
  <c r="NK37" i="54" s="1"/>
  <c r="P18" i="99"/>
  <c r="P196" i="90"/>
  <c r="E33" i="55"/>
  <c r="JR37" i="54" s="1"/>
  <c r="D18" i="99"/>
  <c r="D196" i="90"/>
  <c r="U31" i="55"/>
  <c r="T16" i="99"/>
  <c r="T194" i="90"/>
  <c r="F16" i="99"/>
  <c r="F194" i="90"/>
  <c r="G16" i="99"/>
  <c r="G194" i="90"/>
  <c r="H16" i="99"/>
  <c r="H194" i="90"/>
  <c r="I16" i="99"/>
  <c r="I194" i="90"/>
  <c r="Q24" i="99"/>
  <c r="Q202" i="90"/>
  <c r="S37" i="55"/>
  <c r="KW40" i="54" s="1"/>
  <c r="R24" i="99"/>
  <c r="R202" i="90"/>
  <c r="N24" i="99"/>
  <c r="N202" i="90"/>
  <c r="G24" i="99"/>
  <c r="G202" i="90"/>
  <c r="R33" i="55"/>
  <c r="NL37" i="54" s="1"/>
  <c r="Q18" i="99"/>
  <c r="Q196" i="90"/>
  <c r="F33" i="55"/>
  <c r="MZ37" i="54" s="1"/>
  <c r="E18" i="99"/>
  <c r="E196" i="90"/>
  <c r="P33" i="55"/>
  <c r="NJ37" i="54" s="1"/>
  <c r="O18" i="99"/>
  <c r="O196" i="90"/>
  <c r="N33" i="55"/>
  <c r="KA37" i="54" s="1"/>
  <c r="M18" i="99"/>
  <c r="M196" i="90"/>
  <c r="S31" i="55"/>
  <c r="R16" i="99"/>
  <c r="R194" i="90"/>
  <c r="M16" i="99"/>
  <c r="M194" i="90"/>
  <c r="O16" i="99"/>
  <c r="O194" i="90"/>
  <c r="P16" i="99"/>
  <c r="P194" i="90"/>
  <c r="H148" i="90"/>
  <c r="H95" i="90"/>
  <c r="H143" i="90"/>
  <c r="H90" i="90"/>
  <c r="N143" i="90"/>
  <c r="N90" i="90"/>
  <c r="N64" i="90"/>
  <c r="AJ64" i="90" s="1"/>
  <c r="O148" i="90"/>
  <c r="O95" i="90"/>
  <c r="R143" i="90"/>
  <c r="R90" i="90"/>
  <c r="Q143" i="90"/>
  <c r="Q90" i="90"/>
  <c r="I24" i="99"/>
  <c r="I202" i="90"/>
  <c r="M33" i="55"/>
  <c r="L18" i="99"/>
  <c r="L196" i="90"/>
  <c r="Q16" i="99"/>
  <c r="Q194" i="90"/>
  <c r="E31" i="55"/>
  <c r="MY34" i="54" s="1"/>
  <c r="D16" i="99"/>
  <c r="D194" i="90"/>
  <c r="D148" i="90"/>
  <c r="D95" i="90"/>
  <c r="F143" i="90"/>
  <c r="F90" i="90"/>
  <c r="I143" i="90"/>
  <c r="I90" i="90"/>
  <c r="I47" i="90"/>
  <c r="AE47" i="90" s="1"/>
  <c r="G41" i="90"/>
  <c r="AC41" i="90" s="1"/>
  <c r="R36" i="90"/>
  <c r="AN36" i="90" s="1"/>
  <c r="J64" i="90"/>
  <c r="AF64" i="90" s="1"/>
  <c r="M59" i="90"/>
  <c r="AI59" i="90" s="1"/>
  <c r="R41" i="90"/>
  <c r="AN41" i="90" s="1"/>
  <c r="O36" i="90"/>
  <c r="AK36" i="90" s="1"/>
  <c r="L59" i="90"/>
  <c r="AH59" i="90" s="1"/>
  <c r="L41" i="90"/>
  <c r="AH41" i="90" s="1"/>
  <c r="N36" i="90"/>
  <c r="AJ36" i="90" s="1"/>
  <c r="O64" i="90"/>
  <c r="AK64" i="90" s="1"/>
  <c r="K148" i="90"/>
  <c r="K95" i="90"/>
  <c r="L148" i="90"/>
  <c r="L95" i="90"/>
  <c r="D143" i="90"/>
  <c r="D90" i="90"/>
  <c r="E143" i="90"/>
  <c r="E90" i="90"/>
  <c r="E41" i="90"/>
  <c r="AA41" i="90" s="1"/>
  <c r="K36" i="90"/>
  <c r="AG36" i="90" s="1"/>
  <c r="H47" i="90"/>
  <c r="AD47" i="90" s="1"/>
  <c r="F47" i="90"/>
  <c r="AB47" i="90" s="1"/>
  <c r="L64" i="90"/>
  <c r="AH64" i="90" s="1"/>
  <c r="T148" i="90"/>
  <c r="T95" i="90"/>
  <c r="S148" i="90"/>
  <c r="S95" i="90"/>
  <c r="G59" i="90"/>
  <c r="AC59" i="90" s="1"/>
  <c r="E47" i="90"/>
  <c r="AA47" i="90" s="1"/>
  <c r="N41" i="90"/>
  <c r="AJ41" i="90" s="1"/>
  <c r="H36" i="90"/>
  <c r="AD36" i="90" s="1"/>
  <c r="F148" i="90"/>
  <c r="F95" i="90"/>
  <c r="MV49" i="54"/>
  <c r="MM49" i="54"/>
  <c r="MX49" i="54"/>
  <c r="MY49" i="54"/>
  <c r="MU49" i="54"/>
  <c r="N151" i="90"/>
  <c r="N98" i="90"/>
  <c r="K151" i="90"/>
  <c r="K98" i="90"/>
  <c r="S151" i="90"/>
  <c r="S98" i="90"/>
  <c r="H151" i="90"/>
  <c r="H98" i="90"/>
  <c r="L151" i="90"/>
  <c r="L98" i="90"/>
  <c r="E151" i="90"/>
  <c r="E98" i="90"/>
  <c r="J151" i="90"/>
  <c r="J98" i="90"/>
  <c r="I151" i="90"/>
  <c r="I98" i="90"/>
  <c r="Q151" i="90"/>
  <c r="Q98" i="90"/>
  <c r="T151" i="90"/>
  <c r="T98" i="90"/>
  <c r="M151" i="90"/>
  <c r="M98" i="90"/>
  <c r="P151" i="90"/>
  <c r="P98" i="90"/>
  <c r="G151" i="90"/>
  <c r="G98" i="90"/>
  <c r="D151" i="90"/>
  <c r="D98" i="90"/>
  <c r="F151" i="90"/>
  <c r="F98" i="90"/>
  <c r="O151" i="90"/>
  <c r="O98" i="90"/>
  <c r="R151" i="90"/>
  <c r="R98" i="90"/>
  <c r="AR25" i="41"/>
  <c r="AA25" i="41" s="1"/>
  <c r="C40" i="42"/>
  <c r="C39" i="42" s="1"/>
  <c r="AR20" i="41"/>
  <c r="AA20" i="41" s="1"/>
  <c r="D30" i="42" s="1"/>
  <c r="D29" i="42" s="1"/>
  <c r="D38" i="35"/>
  <c r="AD37" i="35"/>
  <c r="D23" i="36" s="1"/>
  <c r="M38" i="35"/>
  <c r="C29" i="34"/>
  <c r="E29" i="34" s="1"/>
  <c r="L39" i="35"/>
  <c r="C159" i="35"/>
  <c r="D158" i="35"/>
  <c r="C219" i="35"/>
  <c r="D218" i="35"/>
  <c r="Z66" i="35"/>
  <c r="E130" i="35"/>
  <c r="F130" i="35" s="1"/>
  <c r="G130" i="35" s="1"/>
  <c r="NJ46" i="54"/>
  <c r="KT46" i="54"/>
  <c r="KI41" i="54"/>
  <c r="MY41" i="54"/>
  <c r="NL41" i="54"/>
  <c r="KV41" i="54"/>
  <c r="NE37" i="54"/>
  <c r="JX37" i="54"/>
  <c r="NO34" i="54"/>
  <c r="KH34" i="54"/>
  <c r="NJ41" i="54"/>
  <c r="KT41" i="54"/>
  <c r="NO46" i="54"/>
  <c r="KY46" i="54"/>
  <c r="NM34" i="54"/>
  <c r="KF34" i="54"/>
  <c r="NB41" i="54"/>
  <c r="KL41" i="54"/>
  <c r="NH41" i="54"/>
  <c r="KR41" i="54"/>
  <c r="NA46" i="54"/>
  <c r="KK46" i="54"/>
  <c r="NI46" i="54"/>
  <c r="KS46" i="54"/>
  <c r="NM41" i="54"/>
  <c r="KW41" i="54"/>
  <c r="KX40" i="54"/>
  <c r="NG37" i="54"/>
  <c r="JZ37" i="54"/>
  <c r="NB37" i="54"/>
  <c r="JU37" i="54"/>
  <c r="NM40" i="54"/>
  <c r="NH37" i="54"/>
  <c r="NC37" i="54"/>
  <c r="JV37" i="54"/>
  <c r="NA41" i="54"/>
  <c r="KK41" i="54"/>
  <c r="NF41" i="54"/>
  <c r="KP41" i="54"/>
  <c r="NC41" i="54"/>
  <c r="KM41" i="54"/>
  <c r="NK46" i="54"/>
  <c r="KU46" i="54"/>
  <c r="NK41" i="54"/>
  <c r="KU41" i="54"/>
  <c r="NF46" i="54"/>
  <c r="KP46" i="54"/>
  <c r="MZ41" i="54"/>
  <c r="KJ41" i="54"/>
  <c r="KG37" i="54"/>
  <c r="KH37" i="54"/>
  <c r="MY37" i="54"/>
  <c r="ND41" i="54"/>
  <c r="KN41" i="54"/>
  <c r="NG41" i="54"/>
  <c r="KQ41" i="54"/>
  <c r="NI41" i="54"/>
  <c r="KS41" i="54"/>
  <c r="NG46" i="54"/>
  <c r="KQ46" i="54"/>
  <c r="NO41" i="54"/>
  <c r="KY41" i="54"/>
  <c r="NE41" i="54"/>
  <c r="KO41" i="54"/>
  <c r="JR34" i="54"/>
  <c r="M128" i="81"/>
  <c r="M130" i="81" s="1"/>
  <c r="L31" i="55"/>
  <c r="S152" i="81"/>
  <c r="S154" i="81" s="1"/>
  <c r="R37" i="55"/>
  <c r="P152" i="81"/>
  <c r="P154" i="81" s="1"/>
  <c r="O37" i="55"/>
  <c r="H128" i="81"/>
  <c r="H130" i="81" s="1"/>
  <c r="G31" i="55"/>
  <c r="J128" i="81"/>
  <c r="J130" i="81" s="1"/>
  <c r="I31" i="55"/>
  <c r="H158" i="81"/>
  <c r="H160" i="81" s="1"/>
  <c r="G44" i="55"/>
  <c r="N152" i="81"/>
  <c r="N154" i="81" s="1"/>
  <c r="M37" i="55"/>
  <c r="S128" i="81"/>
  <c r="S130" i="81" s="1"/>
  <c r="R31" i="55"/>
  <c r="O152" i="81"/>
  <c r="O154" i="81" s="1"/>
  <c r="N37" i="55"/>
  <c r="M152" i="81"/>
  <c r="M154" i="81" s="1"/>
  <c r="L37" i="55"/>
  <c r="R128" i="81"/>
  <c r="R130" i="81" s="1"/>
  <c r="Q31" i="55"/>
  <c r="L128" i="81"/>
  <c r="L130" i="81" s="1"/>
  <c r="K31" i="55"/>
  <c r="N128" i="81"/>
  <c r="N130" i="81" s="1"/>
  <c r="M31" i="55"/>
  <c r="I152" i="81"/>
  <c r="I154" i="81" s="1"/>
  <c r="H37" i="55"/>
  <c r="I128" i="81"/>
  <c r="I130" i="81" s="1"/>
  <c r="H31" i="55"/>
  <c r="K128" i="81"/>
  <c r="K130" i="81" s="1"/>
  <c r="J31" i="55"/>
  <c r="R152" i="81"/>
  <c r="R154" i="81" s="1"/>
  <c r="Q37" i="55"/>
  <c r="G152" i="81"/>
  <c r="G154" i="81" s="1"/>
  <c r="F37" i="55"/>
  <c r="K152" i="81"/>
  <c r="K154" i="81" s="1"/>
  <c r="J37" i="55"/>
  <c r="Q152" i="81"/>
  <c r="Q154" i="81" s="1"/>
  <c r="P37" i="55"/>
  <c r="Q128" i="81"/>
  <c r="Q130" i="81" s="1"/>
  <c r="P31" i="55"/>
  <c r="O128" i="81"/>
  <c r="O130" i="81" s="1"/>
  <c r="N31" i="55"/>
  <c r="L152" i="81"/>
  <c r="L154" i="81" s="1"/>
  <c r="K37" i="55"/>
  <c r="J152" i="81"/>
  <c r="J154" i="81" s="1"/>
  <c r="I37" i="55"/>
  <c r="H152" i="81"/>
  <c r="H154" i="81" s="1"/>
  <c r="G37" i="55"/>
  <c r="G128" i="81"/>
  <c r="G130" i="81" s="1"/>
  <c r="F31" i="55"/>
  <c r="P128" i="81"/>
  <c r="P130" i="81" s="1"/>
  <c r="O31" i="55"/>
  <c r="AG89" i="32"/>
  <c r="I81" i="38"/>
  <c r="J81" i="38" s="1"/>
  <c r="E30" i="43"/>
  <c r="G30" i="43" s="1"/>
  <c r="D56" i="42"/>
  <c r="D55" i="42" s="1"/>
  <c r="AB33" i="41"/>
  <c r="I26" i="41"/>
  <c r="P26" i="41"/>
  <c r="E26" i="41"/>
  <c r="J26" i="41"/>
  <c r="U26" i="41"/>
  <c r="K26" i="41"/>
  <c r="H26" i="41"/>
  <c r="O26" i="41"/>
  <c r="L26" i="41"/>
  <c r="E55" i="38"/>
  <c r="Q26" i="41"/>
  <c r="F26" i="41"/>
  <c r="M26" i="41"/>
  <c r="R26" i="41"/>
  <c r="N26" i="41"/>
  <c r="T26" i="41"/>
  <c r="S26" i="41"/>
  <c r="E22" i="36"/>
  <c r="F22" i="36" s="1"/>
  <c r="G160" i="38" s="1"/>
  <c r="E27" i="38"/>
  <c r="D44" i="42"/>
  <c r="D43" i="42" s="1"/>
  <c r="AB27" i="41"/>
  <c r="O90" i="32"/>
  <c r="C90" i="32" s="1"/>
  <c r="C89" i="32"/>
  <c r="P134" i="81"/>
  <c r="P136" i="81" s="1"/>
  <c r="L134" i="81"/>
  <c r="L136" i="81" s="1"/>
  <c r="AF69" i="32"/>
  <c r="AG69" i="32" s="1"/>
  <c r="AC90" i="32" s="1"/>
  <c r="AD90" i="32" s="1"/>
  <c r="AE90" i="32" s="1"/>
  <c r="AF90" i="32" s="1"/>
  <c r="M134" i="81"/>
  <c r="M136" i="81" s="1"/>
  <c r="I134" i="81"/>
  <c r="I136" i="81" s="1"/>
  <c r="D87" i="32"/>
  <c r="P88" i="32"/>
  <c r="Y16" i="41"/>
  <c r="Z16" i="41" s="1"/>
  <c r="F128" i="81"/>
  <c r="F130" i="81" s="1"/>
  <c r="F157" i="35"/>
  <c r="E86" i="42"/>
  <c r="E85" i="42" s="1"/>
  <c r="AC50" i="41"/>
  <c r="T152" i="81"/>
  <c r="T154" i="81" s="1"/>
  <c r="Q37" i="42"/>
  <c r="G134" i="81"/>
  <c r="G136" i="81" s="1"/>
  <c r="O134" i="81"/>
  <c r="O136" i="81" s="1"/>
  <c r="M185" i="35"/>
  <c r="N185" i="35" s="1"/>
  <c r="J39" i="35"/>
  <c r="K39" i="35" s="1"/>
  <c r="D29" i="34"/>
  <c r="J187" i="35"/>
  <c r="K187" i="35" s="1"/>
  <c r="L187" i="35" s="1"/>
  <c r="AC39" i="35"/>
  <c r="W39" i="35"/>
  <c r="X39" i="35" s="1"/>
  <c r="P39" i="35"/>
  <c r="Q39" i="35" s="1"/>
  <c r="R39" i="35" s="1"/>
  <c r="E163" i="38" s="1"/>
  <c r="T84" i="32"/>
  <c r="G84" i="32"/>
  <c r="E38" i="35"/>
  <c r="Y24" i="41"/>
  <c r="Z24" i="41" s="1"/>
  <c r="F152" i="81"/>
  <c r="F154" i="81" s="1"/>
  <c r="K134" i="81"/>
  <c r="K136" i="81" s="1"/>
  <c r="J134" i="81"/>
  <c r="J136" i="81" s="1"/>
  <c r="S21" i="42"/>
  <c r="E17" i="43" s="1"/>
  <c r="G17" i="43" s="1"/>
  <c r="V128" i="81"/>
  <c r="V130" i="81" s="1"/>
  <c r="U134" i="81"/>
  <c r="U136" i="81" s="1"/>
  <c r="R25" i="42"/>
  <c r="S25" i="42"/>
  <c r="E18" i="43" s="1"/>
  <c r="G18" i="43" s="1"/>
  <c r="V134" i="81"/>
  <c r="V136" i="81" s="1"/>
  <c r="G66" i="32"/>
  <c r="F66" i="32" s="1"/>
  <c r="T66" i="32"/>
  <c r="F85" i="32"/>
  <c r="E85" i="32" s="1"/>
  <c r="S85" i="32"/>
  <c r="F135" i="38"/>
  <c r="F54" i="38"/>
  <c r="F26" i="38"/>
  <c r="S37" i="42"/>
  <c r="E23" i="43" s="1"/>
  <c r="G23" i="43" s="1"/>
  <c r="V152" i="81"/>
  <c r="V154" i="81" s="1"/>
  <c r="R134" i="81"/>
  <c r="R136" i="81" s="1"/>
  <c r="Y18" i="41"/>
  <c r="Z18" i="41" s="1"/>
  <c r="F134" i="81"/>
  <c r="F136" i="81" s="1"/>
  <c r="N87" i="32"/>
  <c r="B86" i="32"/>
  <c r="R68" i="32"/>
  <c r="S67" i="32"/>
  <c r="G53" i="38"/>
  <c r="H53" i="38" s="1"/>
  <c r="G25" i="38"/>
  <c r="H25" i="38" s="1"/>
  <c r="H46" i="36"/>
  <c r="G134" i="38"/>
  <c r="H134" i="38" s="1"/>
  <c r="F158" i="38"/>
  <c r="I158" i="38" s="1"/>
  <c r="H134" i="81"/>
  <c r="H136" i="81" s="1"/>
  <c r="T128" i="81"/>
  <c r="T130" i="81" s="1"/>
  <c r="Q21" i="42"/>
  <c r="G217" i="35"/>
  <c r="E47" i="36"/>
  <c r="E54" i="38"/>
  <c r="S134" i="81"/>
  <c r="S136" i="81" s="1"/>
  <c r="Q134" i="81"/>
  <c r="Q136" i="81" s="1"/>
  <c r="R21" i="42"/>
  <c r="U128" i="81"/>
  <c r="U130" i="81" s="1"/>
  <c r="V83" i="32"/>
  <c r="J83" i="32" s="1"/>
  <c r="I108" i="32" s="1"/>
  <c r="D109" i="32" s="1"/>
  <c r="U83" i="32"/>
  <c r="I83" i="32" s="1"/>
  <c r="H108" i="32" s="1"/>
  <c r="C109" i="32" s="1"/>
  <c r="H83" i="32"/>
  <c r="G108" i="32" s="1"/>
  <c r="U65" i="32"/>
  <c r="Q86" i="32" s="1"/>
  <c r="R86" i="32" s="1"/>
  <c r="H65" i="32"/>
  <c r="I65" i="32" s="1"/>
  <c r="R37" i="42"/>
  <c r="U152" i="81"/>
  <c r="U154" i="81" s="1"/>
  <c r="T134" i="81"/>
  <c r="T136" i="81" s="1"/>
  <c r="Q25" i="42"/>
  <c r="N134" i="81"/>
  <c r="N136" i="81" s="1"/>
  <c r="P69" i="32"/>
  <c r="Q68" i="32"/>
  <c r="D68" i="32"/>
  <c r="E68" i="32" s="1"/>
  <c r="AA65" i="35"/>
  <c r="D77" i="42"/>
  <c r="D76" i="42" s="1"/>
  <c r="AB45" i="41"/>
  <c r="E75" i="42"/>
  <c r="E74" i="42" s="1"/>
  <c r="AC44" i="41"/>
  <c r="E34" i="42"/>
  <c r="E33" i="42" s="1"/>
  <c r="AC22" i="41"/>
  <c r="F64" i="42"/>
  <c r="F63" i="42" s="1"/>
  <c r="AD38" i="41"/>
  <c r="G55" i="38"/>
  <c r="F160" i="38"/>
  <c r="G27" i="38"/>
  <c r="G136" i="38"/>
  <c r="E66" i="42"/>
  <c r="E65" i="42" s="1"/>
  <c r="AC39" i="41"/>
  <c r="AR28" i="41"/>
  <c r="AA28" i="41" s="1"/>
  <c r="C46" i="42"/>
  <c r="C45" i="42" s="1"/>
  <c r="KE37" i="54" l="1"/>
  <c r="JT37" i="54"/>
  <c r="MY40" i="54"/>
  <c r="F298" i="35"/>
  <c r="E298" i="35"/>
  <c r="K298" i="35"/>
  <c r="F27" i="38" s="1"/>
  <c r="AB20" i="41"/>
  <c r="T34" i="90"/>
  <c r="AP34" i="90" s="1"/>
  <c r="NM37" i="54"/>
  <c r="I39" i="90"/>
  <c r="AE39" i="90" s="1"/>
  <c r="NN34" i="54"/>
  <c r="NI37" i="54"/>
  <c r="KC37" i="54"/>
  <c r="JW37" i="54"/>
  <c r="KD37" i="54"/>
  <c r="JY37" i="54"/>
  <c r="S39" i="90"/>
  <c r="AO39" i="90" s="1"/>
  <c r="AG37" i="35"/>
  <c r="AH37" i="35" s="1"/>
  <c r="AI37" i="35" s="1"/>
  <c r="KY40" i="54"/>
  <c r="JS37" i="54"/>
  <c r="P34" i="90"/>
  <c r="AL34" i="90" s="1"/>
  <c r="I34" i="90"/>
  <c r="AE34" i="90" s="1"/>
  <c r="D39" i="90"/>
  <c r="Z39" i="90" s="1"/>
  <c r="Q34" i="90"/>
  <c r="AM34" i="90" s="1"/>
  <c r="O39" i="90"/>
  <c r="AK39" i="90" s="1"/>
  <c r="E39" i="90"/>
  <c r="AA39" i="90" s="1"/>
  <c r="F39" i="90"/>
  <c r="AB39" i="90" s="1"/>
  <c r="T39" i="90"/>
  <c r="AP39" i="90" s="1"/>
  <c r="F34" i="90"/>
  <c r="AB34" i="90" s="1"/>
  <c r="R34" i="90"/>
  <c r="AN34" i="90" s="1"/>
  <c r="J39" i="90"/>
  <c r="AF39" i="90" s="1"/>
  <c r="K34" i="90"/>
  <c r="AG34" i="90" s="1"/>
  <c r="M34" i="90"/>
  <c r="AI34" i="90" s="1"/>
  <c r="P39" i="90"/>
  <c r="AL39" i="90" s="1"/>
  <c r="L34" i="90"/>
  <c r="AH34" i="90" s="1"/>
  <c r="R39" i="90"/>
  <c r="AN39" i="90" s="1"/>
  <c r="G34" i="90"/>
  <c r="AC34" i="90" s="1"/>
  <c r="N39" i="90"/>
  <c r="AJ39" i="90" s="1"/>
  <c r="I147" i="90"/>
  <c r="I94" i="90"/>
  <c r="K141" i="90"/>
  <c r="K88" i="90"/>
  <c r="K139" i="90"/>
  <c r="K86" i="90"/>
  <c r="S141" i="90"/>
  <c r="S88" i="90"/>
  <c r="I141" i="90"/>
  <c r="I88" i="90"/>
  <c r="O147" i="90"/>
  <c r="O94" i="90"/>
  <c r="M26" i="99"/>
  <c r="M204" i="90"/>
  <c r="P26" i="99"/>
  <c r="P204" i="90"/>
  <c r="N26" i="99"/>
  <c r="N204" i="90"/>
  <c r="T26" i="99"/>
  <c r="T204" i="90"/>
  <c r="H26" i="99"/>
  <c r="H204" i="90"/>
  <c r="D34" i="90"/>
  <c r="Z34" i="90" s="1"/>
  <c r="K39" i="90"/>
  <c r="AG39" i="90" s="1"/>
  <c r="L141" i="90"/>
  <c r="L88" i="90"/>
  <c r="N34" i="90"/>
  <c r="AJ34" i="90" s="1"/>
  <c r="H39" i="90"/>
  <c r="AD39" i="90" s="1"/>
  <c r="O139" i="90"/>
  <c r="O86" i="90"/>
  <c r="R139" i="90"/>
  <c r="R86" i="90"/>
  <c r="Q141" i="90"/>
  <c r="Q88" i="90"/>
  <c r="I139" i="90"/>
  <c r="I86" i="90"/>
  <c r="G139" i="90"/>
  <c r="G86" i="90"/>
  <c r="T139" i="90"/>
  <c r="T86" i="90"/>
  <c r="G141" i="90"/>
  <c r="G88" i="90"/>
  <c r="K147" i="90"/>
  <c r="K94" i="90"/>
  <c r="O34" i="90"/>
  <c r="AK34" i="90" s="1"/>
  <c r="Q39" i="90"/>
  <c r="AM39" i="90" s="1"/>
  <c r="L139" i="90"/>
  <c r="L86" i="90"/>
  <c r="J141" i="90"/>
  <c r="J88" i="90"/>
  <c r="L147" i="90"/>
  <c r="L94" i="90"/>
  <c r="J147" i="90"/>
  <c r="J94" i="90"/>
  <c r="N139" i="90"/>
  <c r="N86" i="90"/>
  <c r="H141" i="90"/>
  <c r="H88" i="90"/>
  <c r="S147" i="90"/>
  <c r="S94" i="90"/>
  <c r="D139" i="90"/>
  <c r="D86" i="90"/>
  <c r="R147" i="90"/>
  <c r="R94" i="90"/>
  <c r="D141" i="90"/>
  <c r="D88" i="90"/>
  <c r="Q26" i="99"/>
  <c r="Q204" i="90"/>
  <c r="G26" i="99"/>
  <c r="G204" i="90"/>
  <c r="I26" i="99"/>
  <c r="I204" i="90"/>
  <c r="E141" i="90"/>
  <c r="E88" i="90"/>
  <c r="N147" i="90"/>
  <c r="N94" i="90"/>
  <c r="M147" i="90"/>
  <c r="M94" i="90"/>
  <c r="J139" i="90"/>
  <c r="J86" i="90"/>
  <c r="T141" i="90"/>
  <c r="T88" i="90"/>
  <c r="F141" i="90"/>
  <c r="F88" i="90"/>
  <c r="D147" i="90"/>
  <c r="D94" i="90"/>
  <c r="P147" i="90"/>
  <c r="P94" i="90"/>
  <c r="T44" i="55"/>
  <c r="NN47" i="54" s="1"/>
  <c r="S26" i="99"/>
  <c r="S204" i="90"/>
  <c r="E26" i="99"/>
  <c r="E204" i="90"/>
  <c r="K26" i="99"/>
  <c r="K204" i="90"/>
  <c r="O26" i="99"/>
  <c r="O204" i="90"/>
  <c r="M141" i="90"/>
  <c r="M88" i="90"/>
  <c r="G147" i="90"/>
  <c r="G94" i="90"/>
  <c r="S44" i="55"/>
  <c r="NM47" i="54" s="1"/>
  <c r="R26" i="99"/>
  <c r="R204" i="90"/>
  <c r="L26" i="99"/>
  <c r="L204" i="90"/>
  <c r="J26" i="99"/>
  <c r="J204" i="90"/>
  <c r="D26" i="99"/>
  <c r="D204" i="90"/>
  <c r="E34" i="90"/>
  <c r="AA34" i="90" s="1"/>
  <c r="L39" i="90"/>
  <c r="AH39" i="90" s="1"/>
  <c r="Q139" i="90"/>
  <c r="Q86" i="90"/>
  <c r="H34" i="90"/>
  <c r="AD34" i="90" s="1"/>
  <c r="P139" i="90"/>
  <c r="P86" i="90"/>
  <c r="M139" i="90"/>
  <c r="M86" i="90"/>
  <c r="O141" i="90"/>
  <c r="O88" i="90"/>
  <c r="Q147" i="90"/>
  <c r="Q94" i="90"/>
  <c r="H139" i="90"/>
  <c r="H86" i="90"/>
  <c r="F139" i="90"/>
  <c r="F86" i="90"/>
  <c r="P141" i="90"/>
  <c r="P88" i="90"/>
  <c r="F149" i="90"/>
  <c r="F96" i="90"/>
  <c r="E147" i="90"/>
  <c r="E94" i="90"/>
  <c r="T147" i="90"/>
  <c r="T94" i="90"/>
  <c r="J34" i="90"/>
  <c r="AF34" i="90" s="1"/>
  <c r="G39" i="90"/>
  <c r="AC39" i="90" s="1"/>
  <c r="S139" i="90"/>
  <c r="S86" i="90"/>
  <c r="N141" i="90"/>
  <c r="N88" i="90"/>
  <c r="F147" i="90"/>
  <c r="F94" i="90"/>
  <c r="H147" i="90"/>
  <c r="H94" i="90"/>
  <c r="E86" i="90"/>
  <c r="E139" i="90"/>
  <c r="R141" i="90"/>
  <c r="R88" i="90"/>
  <c r="O42" i="90"/>
  <c r="P42" i="90"/>
  <c r="I42" i="90"/>
  <c r="H42" i="90"/>
  <c r="R42" i="90"/>
  <c r="G42" i="90"/>
  <c r="Q42" i="90"/>
  <c r="L42" i="90"/>
  <c r="N42" i="90"/>
  <c r="T42" i="90"/>
  <c r="E42" i="90"/>
  <c r="K42" i="90"/>
  <c r="F42" i="90"/>
  <c r="D42" i="90"/>
  <c r="M42" i="90"/>
  <c r="J42" i="90"/>
  <c r="S42" i="90"/>
  <c r="F38" i="35"/>
  <c r="AD38" i="35" s="1"/>
  <c r="C98" i="35"/>
  <c r="D98" i="35" s="1"/>
  <c r="I98" i="35" s="1"/>
  <c r="C299" i="35"/>
  <c r="K299" i="35" s="1"/>
  <c r="D40" i="42"/>
  <c r="D39" i="42" s="1"/>
  <c r="AB25" i="41"/>
  <c r="D39" i="35"/>
  <c r="M39" i="35"/>
  <c r="C160" i="35"/>
  <c r="D159" i="35"/>
  <c r="E131" i="35"/>
  <c r="F131" i="35" s="1"/>
  <c r="G131" i="35" s="1"/>
  <c r="Z67" i="35"/>
  <c r="C30" i="34"/>
  <c r="E30" i="34" s="1"/>
  <c r="L40" i="35"/>
  <c r="C220" i="35"/>
  <c r="D219" i="35"/>
  <c r="NA40" i="54"/>
  <c r="KK40" i="54"/>
  <c r="NJ34" i="54"/>
  <c r="KC34" i="54"/>
  <c r="NK40" i="54"/>
  <c r="KU40" i="54"/>
  <c r="NG34" i="54"/>
  <c r="JZ34" i="54"/>
  <c r="NA47" i="54"/>
  <c r="KK47" i="54"/>
  <c r="NL40" i="54"/>
  <c r="KV40" i="54"/>
  <c r="NC40" i="54"/>
  <c r="KM40" i="54"/>
  <c r="NJ40" i="54"/>
  <c r="KT40" i="54"/>
  <c r="ND34" i="54"/>
  <c r="JW34" i="54"/>
  <c r="NE34" i="54"/>
  <c r="JX34" i="54"/>
  <c r="NH40" i="54"/>
  <c r="KR40" i="54"/>
  <c r="NC34" i="54"/>
  <c r="JV34" i="54"/>
  <c r="NF34" i="54"/>
  <c r="JY34" i="54"/>
  <c r="NI34" i="54"/>
  <c r="KB34" i="54"/>
  <c r="NE40" i="54"/>
  <c r="KO40" i="54"/>
  <c r="ND40" i="54"/>
  <c r="KN40" i="54"/>
  <c r="NB34" i="54"/>
  <c r="JU34" i="54"/>
  <c r="NK34" i="54"/>
  <c r="KD34" i="54"/>
  <c r="NL34" i="54"/>
  <c r="KE34" i="54"/>
  <c r="NA34" i="54"/>
  <c r="JT34" i="54"/>
  <c r="MZ34" i="54"/>
  <c r="JS34" i="54"/>
  <c r="NH34" i="54"/>
  <c r="KA34" i="54"/>
  <c r="MZ40" i="54"/>
  <c r="KJ40" i="54"/>
  <c r="NB40" i="54"/>
  <c r="KL40" i="54"/>
  <c r="NF40" i="54"/>
  <c r="KP40" i="54"/>
  <c r="NG40" i="54"/>
  <c r="KQ40" i="54"/>
  <c r="NI40" i="54"/>
  <c r="KS40" i="54"/>
  <c r="S41" i="42"/>
  <c r="E27" i="43" s="1"/>
  <c r="U44" i="55"/>
  <c r="K158" i="81"/>
  <c r="K160" i="81" s="1"/>
  <c r="J44" i="55"/>
  <c r="N158" i="81"/>
  <c r="N160" i="81" s="1"/>
  <c r="M44" i="55"/>
  <c r="G158" i="81"/>
  <c r="G160" i="81" s="1"/>
  <c r="F44" i="55"/>
  <c r="R158" i="81"/>
  <c r="R160" i="81" s="1"/>
  <c r="Q44" i="55"/>
  <c r="O158" i="81"/>
  <c r="O160" i="81" s="1"/>
  <c r="N44" i="55"/>
  <c r="F158" i="81"/>
  <c r="F160" i="81" s="1"/>
  <c r="E44" i="55"/>
  <c r="M158" i="81"/>
  <c r="M160" i="81" s="1"/>
  <c r="L44" i="55"/>
  <c r="Q158" i="81"/>
  <c r="Q160" i="81" s="1"/>
  <c r="P44" i="55"/>
  <c r="I158" i="81"/>
  <c r="I160" i="81" s="1"/>
  <c r="H44" i="55"/>
  <c r="L158" i="81"/>
  <c r="L160" i="81" s="1"/>
  <c r="K44" i="55"/>
  <c r="S158" i="81"/>
  <c r="S160" i="81" s="1"/>
  <c r="R44" i="55"/>
  <c r="P158" i="81"/>
  <c r="P160" i="81" s="1"/>
  <c r="O44" i="55"/>
  <c r="J158" i="81"/>
  <c r="J160" i="81" s="1"/>
  <c r="I44" i="55"/>
  <c r="I82" i="38"/>
  <c r="J82" i="38" s="1"/>
  <c r="H48" i="36"/>
  <c r="C26" i="42"/>
  <c r="C25" i="42" s="1"/>
  <c r="AR18" i="41"/>
  <c r="AA18" i="41" s="1"/>
  <c r="E56" i="42"/>
  <c r="E55" i="42" s="1"/>
  <c r="AC33" i="41"/>
  <c r="V158" i="81"/>
  <c r="V160" i="81" s="1"/>
  <c r="F136" i="38"/>
  <c r="H136" i="38" s="1"/>
  <c r="Y26" i="41"/>
  <c r="Z26" i="41" s="1"/>
  <c r="F55" i="38"/>
  <c r="H55" i="38" s="1"/>
  <c r="T158" i="81"/>
  <c r="T160" i="81" s="1"/>
  <c r="Q41" i="42"/>
  <c r="H27" i="38"/>
  <c r="U158" i="81"/>
  <c r="U160" i="81" s="1"/>
  <c r="R41" i="42"/>
  <c r="I160" i="38"/>
  <c r="N88" i="32"/>
  <c r="B87" i="32"/>
  <c r="G218" i="35"/>
  <c r="AD50" i="41"/>
  <c r="F86" i="42"/>
  <c r="F85" i="42" s="1"/>
  <c r="D69" i="32"/>
  <c r="E69" i="32" s="1"/>
  <c r="Q69" i="32"/>
  <c r="F86" i="32"/>
  <c r="E86" i="32" s="1"/>
  <c r="S86" i="32"/>
  <c r="E23" i="36"/>
  <c r="F23" i="36" s="1"/>
  <c r="G161" i="38" s="1"/>
  <c r="D49" i="36"/>
  <c r="E28" i="38"/>
  <c r="G85" i="32"/>
  <c r="T85" i="32"/>
  <c r="E39" i="35"/>
  <c r="F158" i="35"/>
  <c r="J188" i="35"/>
  <c r="K188" i="35" s="1"/>
  <c r="L188" i="35" s="1"/>
  <c r="J40" i="35"/>
  <c r="K40" i="35" s="1"/>
  <c r="W40" i="35"/>
  <c r="X40" i="35" s="1"/>
  <c r="P40" i="35"/>
  <c r="Q40" i="35" s="1"/>
  <c r="R40" i="35" s="1"/>
  <c r="E164" i="38" s="1"/>
  <c r="AC40" i="35"/>
  <c r="D30" i="34"/>
  <c r="E40" i="35" s="1"/>
  <c r="T67" i="32"/>
  <c r="G67" i="32"/>
  <c r="F67" i="32" s="1"/>
  <c r="H66" i="32"/>
  <c r="I66" i="32" s="1"/>
  <c r="U66" i="32"/>
  <c r="Q87" i="32" s="1"/>
  <c r="R87" i="32" s="1"/>
  <c r="V84" i="32"/>
  <c r="J84" i="32" s="1"/>
  <c r="I109" i="32" s="1"/>
  <c r="D110" i="32" s="1"/>
  <c r="H84" i="32"/>
  <c r="G109" i="32" s="1"/>
  <c r="U84" i="32"/>
  <c r="I84" i="32" s="1"/>
  <c r="H109" i="32" s="1"/>
  <c r="C110" i="32" s="1"/>
  <c r="AH90" i="32"/>
  <c r="AG90" i="32"/>
  <c r="S68" i="32"/>
  <c r="R69" i="32"/>
  <c r="S69" i="32" s="1"/>
  <c r="G69" i="32" s="1"/>
  <c r="F69" i="32" s="1"/>
  <c r="C22" i="42"/>
  <c r="C21" i="42" s="1"/>
  <c r="AR16" i="41"/>
  <c r="AA16" i="41" s="1"/>
  <c r="E44" i="42"/>
  <c r="E43" i="42" s="1"/>
  <c r="AC27" i="41"/>
  <c r="AC20" i="41"/>
  <c r="E30" i="42"/>
  <c r="E29" i="42" s="1"/>
  <c r="AA66" i="35"/>
  <c r="G135" i="38"/>
  <c r="H135" i="38" s="1"/>
  <c r="F159" i="38"/>
  <c r="I159" i="38" s="1"/>
  <c r="G26" i="38"/>
  <c r="H26" i="38" s="1"/>
  <c r="G54" i="38"/>
  <c r="H54" i="38" s="1"/>
  <c r="H47" i="36"/>
  <c r="C38" i="42"/>
  <c r="C37" i="42" s="1"/>
  <c r="AR24" i="41"/>
  <c r="AA24" i="41" s="1"/>
  <c r="M186" i="35"/>
  <c r="N186" i="35" s="1"/>
  <c r="P89" i="32"/>
  <c r="D88" i="32"/>
  <c r="F75" i="42"/>
  <c r="F74" i="42" s="1"/>
  <c r="AD44" i="41"/>
  <c r="G64" i="42"/>
  <c r="G63" i="42" s="1"/>
  <c r="AE38" i="41"/>
  <c r="F34" i="42"/>
  <c r="F33" i="42" s="1"/>
  <c r="AD22" i="41"/>
  <c r="F66" i="42"/>
  <c r="F65" i="42" s="1"/>
  <c r="AD39" i="41"/>
  <c r="E77" i="42"/>
  <c r="E76" i="42" s="1"/>
  <c r="AC45" i="41"/>
  <c r="D46" i="42"/>
  <c r="D45" i="42" s="1"/>
  <c r="AB28" i="41"/>
  <c r="E299" i="35" l="1"/>
  <c r="T32" i="90"/>
  <c r="AP32" i="90" s="1"/>
  <c r="I32" i="90"/>
  <c r="AE32" i="90" s="1"/>
  <c r="KX47" i="54"/>
  <c r="D38" i="90"/>
  <c r="Z38" i="90" s="1"/>
  <c r="M38" i="90"/>
  <c r="AI38" i="90" s="1"/>
  <c r="K30" i="90"/>
  <c r="AG30" i="90" s="1"/>
  <c r="D40" i="35"/>
  <c r="F40" i="35" s="1"/>
  <c r="KW47" i="54"/>
  <c r="E32" i="90"/>
  <c r="AA32" i="90" s="1"/>
  <c r="I38" i="90"/>
  <c r="AE38" i="90" s="1"/>
  <c r="P38" i="90"/>
  <c r="AL38" i="90" s="1"/>
  <c r="F32" i="90"/>
  <c r="AB32" i="90" s="1"/>
  <c r="J30" i="90"/>
  <c r="AF30" i="90" s="1"/>
  <c r="N38" i="90"/>
  <c r="AJ38" i="90" s="1"/>
  <c r="O38" i="90"/>
  <c r="AK38" i="90" s="1"/>
  <c r="S32" i="90"/>
  <c r="AO32" i="90" s="1"/>
  <c r="K32" i="90"/>
  <c r="AG32" i="90" s="1"/>
  <c r="F38" i="90"/>
  <c r="AB38" i="90" s="1"/>
  <c r="S30" i="90"/>
  <c r="AO30" i="90" s="1"/>
  <c r="T38" i="90"/>
  <c r="AP38" i="90" s="1"/>
  <c r="F40" i="90"/>
  <c r="AB40" i="90" s="1"/>
  <c r="F30" i="90"/>
  <c r="AB30" i="90" s="1"/>
  <c r="Q38" i="90"/>
  <c r="AM38" i="90" s="1"/>
  <c r="M30" i="90"/>
  <c r="AI30" i="90" s="1"/>
  <c r="R32" i="90"/>
  <c r="AN32" i="90" s="1"/>
  <c r="H38" i="90"/>
  <c r="AD38" i="90" s="1"/>
  <c r="N32" i="90"/>
  <c r="AJ32" i="90" s="1"/>
  <c r="E38" i="90"/>
  <c r="AA38" i="90" s="1"/>
  <c r="P32" i="90"/>
  <c r="AL32" i="90" s="1"/>
  <c r="H30" i="90"/>
  <c r="AD30" i="90" s="1"/>
  <c r="O32" i="90"/>
  <c r="AK32" i="90" s="1"/>
  <c r="P30" i="90"/>
  <c r="AL30" i="90" s="1"/>
  <c r="H149" i="90"/>
  <c r="H96" i="90"/>
  <c r="M149" i="90"/>
  <c r="M96" i="90"/>
  <c r="E30" i="90"/>
  <c r="AA30" i="90" s="1"/>
  <c r="Q30" i="90"/>
  <c r="AM30" i="90" s="1"/>
  <c r="M32" i="90"/>
  <c r="AI32" i="90" s="1"/>
  <c r="O149" i="90"/>
  <c r="O96" i="90"/>
  <c r="E149" i="90"/>
  <c r="E96" i="90"/>
  <c r="I149" i="90"/>
  <c r="I96" i="90"/>
  <c r="Q149" i="90"/>
  <c r="Q96" i="90"/>
  <c r="R38" i="90"/>
  <c r="AN38" i="90" s="1"/>
  <c r="S38" i="90"/>
  <c r="AO38" i="90" s="1"/>
  <c r="N30" i="90"/>
  <c r="AJ30" i="90" s="1"/>
  <c r="L38" i="90"/>
  <c r="AH38" i="90" s="1"/>
  <c r="L30" i="90"/>
  <c r="AH30" i="90" s="1"/>
  <c r="K38" i="90"/>
  <c r="AG38" i="90" s="1"/>
  <c r="T30" i="90"/>
  <c r="AP30" i="90" s="1"/>
  <c r="I30" i="90"/>
  <c r="AE30" i="90" s="1"/>
  <c r="R30" i="90"/>
  <c r="AN30" i="90" s="1"/>
  <c r="J149" i="90"/>
  <c r="J96" i="90"/>
  <c r="N149" i="90"/>
  <c r="N96" i="90"/>
  <c r="D149" i="90"/>
  <c r="D96" i="90"/>
  <c r="L149" i="90"/>
  <c r="L96" i="90"/>
  <c r="T149" i="90"/>
  <c r="T96" i="90"/>
  <c r="P149" i="90"/>
  <c r="P96" i="90"/>
  <c r="R149" i="90"/>
  <c r="R96" i="90"/>
  <c r="G38" i="90"/>
  <c r="AC38" i="90" s="1"/>
  <c r="K149" i="90"/>
  <c r="K96" i="90"/>
  <c r="S149" i="90"/>
  <c r="S96" i="90"/>
  <c r="G149" i="90"/>
  <c r="G96" i="90"/>
  <c r="D32" i="90"/>
  <c r="Z32" i="90" s="1"/>
  <c r="D30" i="90"/>
  <c r="Z30" i="90" s="1"/>
  <c r="H32" i="90"/>
  <c r="AD32" i="90" s="1"/>
  <c r="J38" i="90"/>
  <c r="AF38" i="90" s="1"/>
  <c r="J32" i="90"/>
  <c r="AF32" i="90" s="1"/>
  <c r="G32" i="90"/>
  <c r="AC32" i="90" s="1"/>
  <c r="G30" i="90"/>
  <c r="AC30" i="90" s="1"/>
  <c r="Q32" i="90"/>
  <c r="AM32" i="90" s="1"/>
  <c r="O30" i="90"/>
  <c r="AK30" i="90" s="1"/>
  <c r="L32" i="90"/>
  <c r="AH32" i="90" s="1"/>
  <c r="AF42" i="90"/>
  <c r="Z42" i="90"/>
  <c r="AG42" i="90"/>
  <c r="AP42" i="90"/>
  <c r="AJ42" i="90"/>
  <c r="AM42" i="90"/>
  <c r="AC42" i="90"/>
  <c r="AD42" i="90"/>
  <c r="AL42" i="90"/>
  <c r="AO42" i="90"/>
  <c r="AI42" i="90"/>
  <c r="AB42" i="90"/>
  <c r="AA42" i="90"/>
  <c r="AH42" i="90"/>
  <c r="AN42" i="90"/>
  <c r="AE42" i="90"/>
  <c r="AK42" i="90"/>
  <c r="D24" i="36"/>
  <c r="E24" i="36" s="1"/>
  <c r="F24" i="36" s="1"/>
  <c r="G162" i="38" s="1"/>
  <c r="C99" i="35"/>
  <c r="D99" i="35" s="1"/>
  <c r="I99" i="35" s="1"/>
  <c r="AG38" i="35"/>
  <c r="AH38" i="35" s="1"/>
  <c r="AI38" i="35" s="1"/>
  <c r="C300" i="35"/>
  <c r="K300" i="35" s="1"/>
  <c r="F39" i="35"/>
  <c r="AD39" i="35" s="1"/>
  <c r="F299" i="35"/>
  <c r="D299" i="35"/>
  <c r="E40" i="42"/>
  <c r="E39" i="42" s="1"/>
  <c r="AC25" i="41"/>
  <c r="M40" i="35"/>
  <c r="E132" i="35"/>
  <c r="F132" i="35" s="1"/>
  <c r="G132" i="35" s="1"/>
  <c r="Z68" i="35"/>
  <c r="C221" i="35"/>
  <c r="D220" i="35"/>
  <c r="C31" i="34"/>
  <c r="E31" i="34" s="1"/>
  <c r="L41" i="35"/>
  <c r="C161" i="35"/>
  <c r="D160" i="35"/>
  <c r="NE47" i="54"/>
  <c r="KO47" i="54"/>
  <c r="NK47" i="54"/>
  <c r="KU47" i="54"/>
  <c r="NL47" i="54"/>
  <c r="KV47" i="54"/>
  <c r="NB47" i="54"/>
  <c r="KL47" i="54"/>
  <c r="NG47" i="54"/>
  <c r="KQ47" i="54"/>
  <c r="NJ47" i="54"/>
  <c r="KT47" i="54"/>
  <c r="KI47" i="54"/>
  <c r="MY47" i="54"/>
  <c r="NO47" i="54"/>
  <c r="KY47" i="54"/>
  <c r="NC47" i="54"/>
  <c r="KM47" i="54"/>
  <c r="NH47" i="54"/>
  <c r="KR47" i="54"/>
  <c r="MZ47" i="54"/>
  <c r="KJ47" i="54"/>
  <c r="NI47" i="54"/>
  <c r="KS47" i="54"/>
  <c r="NF47" i="54"/>
  <c r="KP47" i="54"/>
  <c r="ND47" i="54"/>
  <c r="KN47" i="54"/>
  <c r="I83" i="38"/>
  <c r="J83" i="38" s="1"/>
  <c r="F56" i="42"/>
  <c r="F55" i="42" s="1"/>
  <c r="AD33" i="41"/>
  <c r="D26" i="42"/>
  <c r="D25" i="42" s="1"/>
  <c r="AB18" i="41"/>
  <c r="AR26" i="41"/>
  <c r="AA26" i="41" s="1"/>
  <c r="C42" i="42"/>
  <c r="C41" i="42" s="1"/>
  <c r="T69" i="32"/>
  <c r="M187" i="35"/>
  <c r="N187" i="35" s="1"/>
  <c r="F87" i="32"/>
  <c r="E87" i="32" s="1"/>
  <c r="S87" i="32"/>
  <c r="AD20" i="41"/>
  <c r="F30" i="42"/>
  <c r="F29" i="42" s="1"/>
  <c r="G68" i="32"/>
  <c r="F68" i="32" s="1"/>
  <c r="T68" i="32"/>
  <c r="D89" i="32"/>
  <c r="P90" i="32"/>
  <c r="D90" i="32" s="1"/>
  <c r="D38" i="42"/>
  <c r="D37" i="42" s="1"/>
  <c r="AB24" i="41"/>
  <c r="AA67" i="35"/>
  <c r="F44" i="42"/>
  <c r="F43" i="42" s="1"/>
  <c r="AD27" i="41"/>
  <c r="G86" i="42"/>
  <c r="G85" i="42" s="1"/>
  <c r="AE50" i="41"/>
  <c r="U67" i="32"/>
  <c r="Q88" i="32" s="1"/>
  <c r="R88" i="32" s="1"/>
  <c r="H67" i="32"/>
  <c r="I67" i="32" s="1"/>
  <c r="E56" i="38"/>
  <c r="E49" i="36"/>
  <c r="G219" i="35"/>
  <c r="D22" i="42"/>
  <c r="D21" i="42" s="1"/>
  <c r="AB16" i="41"/>
  <c r="J189" i="35"/>
  <c r="K189" i="35" s="1"/>
  <c r="L189" i="35" s="1"/>
  <c r="P41" i="35"/>
  <c r="Q41" i="35" s="1"/>
  <c r="R41" i="35" s="1"/>
  <c r="E165" i="38" s="1"/>
  <c r="D31" i="34"/>
  <c r="AC41" i="35"/>
  <c r="W41" i="35"/>
  <c r="X41" i="35" s="1"/>
  <c r="J41" i="35"/>
  <c r="K41" i="35" s="1"/>
  <c r="F137" i="38"/>
  <c r="F28" i="38"/>
  <c r="F56" i="38"/>
  <c r="T86" i="32"/>
  <c r="G86" i="32"/>
  <c r="F159" i="35"/>
  <c r="H85" i="32"/>
  <c r="G110" i="32" s="1"/>
  <c r="U85" i="32"/>
  <c r="I85" i="32" s="1"/>
  <c r="H110" i="32" s="1"/>
  <c r="C111" i="32" s="1"/>
  <c r="V85" i="32"/>
  <c r="J85" i="32" s="1"/>
  <c r="I110" i="32" s="1"/>
  <c r="D111" i="32" s="1"/>
  <c r="B88" i="32"/>
  <c r="N89" i="32"/>
  <c r="G34" i="42"/>
  <c r="G33" i="42" s="1"/>
  <c r="AE22" i="41"/>
  <c r="G75" i="42"/>
  <c r="G74" i="42" s="1"/>
  <c r="AE44" i="41"/>
  <c r="H64" i="42"/>
  <c r="H63" i="42" s="1"/>
  <c r="AF38" i="41"/>
  <c r="G66" i="42"/>
  <c r="G65" i="42" s="1"/>
  <c r="AE39" i="41"/>
  <c r="F77" i="42"/>
  <c r="F76" i="42" s="1"/>
  <c r="AD45" i="41"/>
  <c r="E46" i="42"/>
  <c r="E45" i="42" s="1"/>
  <c r="AC28" i="41"/>
  <c r="R40" i="90" l="1"/>
  <c r="AN40" i="90" s="1"/>
  <c r="D40" i="90"/>
  <c r="Z40" i="90" s="1"/>
  <c r="E29" i="38"/>
  <c r="E300" i="35"/>
  <c r="T40" i="90"/>
  <c r="AP40" i="90" s="1"/>
  <c r="J40" i="90"/>
  <c r="AF40" i="90" s="1"/>
  <c r="P40" i="90"/>
  <c r="AL40" i="90" s="1"/>
  <c r="N40" i="90"/>
  <c r="AJ40" i="90" s="1"/>
  <c r="L40" i="90"/>
  <c r="AH40" i="90" s="1"/>
  <c r="H40" i="90"/>
  <c r="AD40" i="90" s="1"/>
  <c r="D300" i="35"/>
  <c r="F300" i="35"/>
  <c r="M40" i="90"/>
  <c r="AI40" i="90" s="1"/>
  <c r="D50" i="36"/>
  <c r="E57" i="38" s="1"/>
  <c r="S40" i="90"/>
  <c r="AO40" i="90" s="1"/>
  <c r="Q40" i="90"/>
  <c r="AM40" i="90" s="1"/>
  <c r="E40" i="90"/>
  <c r="AA40" i="90" s="1"/>
  <c r="G40" i="90"/>
  <c r="AC40" i="90" s="1"/>
  <c r="K40" i="90"/>
  <c r="AG40" i="90" s="1"/>
  <c r="I40" i="90"/>
  <c r="AE40" i="90" s="1"/>
  <c r="O40" i="90"/>
  <c r="AK40" i="90" s="1"/>
  <c r="C100" i="35"/>
  <c r="D100" i="35" s="1"/>
  <c r="I100" i="35" s="1"/>
  <c r="C301" i="35"/>
  <c r="E301" i="35" s="1"/>
  <c r="AG39" i="35"/>
  <c r="AH39" i="35" s="1"/>
  <c r="AI39" i="35" s="1"/>
  <c r="D25" i="36"/>
  <c r="D51" i="36" s="1"/>
  <c r="M41" i="35"/>
  <c r="AD25" i="41"/>
  <c r="F40" i="42"/>
  <c r="F39" i="42" s="1"/>
  <c r="D41" i="35"/>
  <c r="AD40" i="35"/>
  <c r="C302" i="35" s="1"/>
  <c r="C162" i="35"/>
  <c r="D161" i="35"/>
  <c r="C222" i="35"/>
  <c r="D221" i="35"/>
  <c r="C32" i="34"/>
  <c r="E32" i="34" s="1"/>
  <c r="L42" i="35"/>
  <c r="Z69" i="35"/>
  <c r="E133" i="35"/>
  <c r="F133" i="35" s="1"/>
  <c r="G133" i="35" s="1"/>
  <c r="I84" i="38"/>
  <c r="J84" i="38" s="1"/>
  <c r="AC18" i="41"/>
  <c r="E26" i="42"/>
  <c r="E25" i="42" s="1"/>
  <c r="G56" i="42"/>
  <c r="G55" i="42" s="1"/>
  <c r="AE33" i="41"/>
  <c r="D42" i="42"/>
  <c r="D41" i="42" s="1"/>
  <c r="AB26" i="41"/>
  <c r="H69" i="32"/>
  <c r="I69" i="32" s="1"/>
  <c r="U69" i="32"/>
  <c r="Q90" i="32" s="1"/>
  <c r="R90" i="32" s="1"/>
  <c r="F161" i="38"/>
  <c r="I161" i="38" s="1"/>
  <c r="G137" i="38"/>
  <c r="H137" i="38" s="1"/>
  <c r="G28" i="38"/>
  <c r="H28" i="38" s="1"/>
  <c r="G56" i="38"/>
  <c r="H56" i="38" s="1"/>
  <c r="H49" i="36"/>
  <c r="E41" i="35"/>
  <c r="F41" i="35" s="1"/>
  <c r="N90" i="32"/>
  <c r="B90" i="32" s="1"/>
  <c r="B89" i="32"/>
  <c r="F29" i="38"/>
  <c r="F138" i="38"/>
  <c r="F57" i="38"/>
  <c r="E38" i="42"/>
  <c r="E37" i="42" s="1"/>
  <c r="AC24" i="41"/>
  <c r="U86" i="32"/>
  <c r="I86" i="32" s="1"/>
  <c r="H111" i="32" s="1"/>
  <c r="C112" i="32" s="1"/>
  <c r="H86" i="32"/>
  <c r="G111" i="32" s="1"/>
  <c r="V86" i="32"/>
  <c r="J86" i="32" s="1"/>
  <c r="I111" i="32" s="1"/>
  <c r="D112" i="32" s="1"/>
  <c r="W42" i="35"/>
  <c r="X42" i="35" s="1"/>
  <c r="P42" i="35"/>
  <c r="Q42" i="35" s="1"/>
  <c r="R42" i="35" s="1"/>
  <c r="E166" i="38" s="1"/>
  <c r="J42" i="35"/>
  <c r="K42" i="35" s="1"/>
  <c r="D32" i="34"/>
  <c r="E42" i="35" s="1"/>
  <c r="J190" i="35"/>
  <c r="K190" i="35" s="1"/>
  <c r="L190" i="35" s="1"/>
  <c r="AC42" i="35"/>
  <c r="F88" i="32"/>
  <c r="E88" i="32" s="1"/>
  <c r="S88" i="32"/>
  <c r="G30" i="42"/>
  <c r="G29" i="42" s="1"/>
  <c r="AE20" i="41"/>
  <c r="AC16" i="41"/>
  <c r="E22" i="42"/>
  <c r="E21" i="42" s="1"/>
  <c r="H86" i="42"/>
  <c r="H85" i="42" s="1"/>
  <c r="AF50" i="41"/>
  <c r="T87" i="32"/>
  <c r="G87" i="32"/>
  <c r="AA68" i="35"/>
  <c r="F160" i="35"/>
  <c r="G220" i="35"/>
  <c r="U68" i="32"/>
  <c r="Q89" i="32" s="1"/>
  <c r="R89" i="32" s="1"/>
  <c r="H68" i="32"/>
  <c r="I68" i="32" s="1"/>
  <c r="G44" i="42"/>
  <c r="G43" i="42" s="1"/>
  <c r="AE27" i="41"/>
  <c r="M188" i="35"/>
  <c r="N188" i="35" s="1"/>
  <c r="G77" i="42"/>
  <c r="G76" i="42" s="1"/>
  <c r="AE45" i="41"/>
  <c r="I64" i="42"/>
  <c r="I63" i="42" s="1"/>
  <c r="AG38" i="41"/>
  <c r="H66" i="42"/>
  <c r="H65" i="42" s="1"/>
  <c r="AF39" i="41"/>
  <c r="H75" i="42"/>
  <c r="H74" i="42" s="1"/>
  <c r="AF44" i="41"/>
  <c r="H34" i="42"/>
  <c r="H33" i="42" s="1"/>
  <c r="AF22" i="41"/>
  <c r="F46" i="42"/>
  <c r="F45" i="42" s="1"/>
  <c r="AD28" i="41"/>
  <c r="D301" i="35" l="1"/>
  <c r="D42" i="35"/>
  <c r="K301" i="35"/>
  <c r="F30" i="38" s="1"/>
  <c r="F301" i="35"/>
  <c r="C101" i="35"/>
  <c r="D101" i="35" s="1"/>
  <c r="I101" i="35" s="1"/>
  <c r="AG40" i="35"/>
  <c r="AH40" i="35" s="1"/>
  <c r="AI40" i="35" s="1"/>
  <c r="AD41" i="35"/>
  <c r="AG41" i="35" s="1"/>
  <c r="AH41" i="35" s="1"/>
  <c r="AI41" i="35" s="1"/>
  <c r="E50" i="36"/>
  <c r="G29" i="38" s="1"/>
  <c r="H29" i="38" s="1"/>
  <c r="E25" i="36"/>
  <c r="F25" i="36" s="1"/>
  <c r="G163" i="38" s="1"/>
  <c r="E30" i="38"/>
  <c r="D26" i="36"/>
  <c r="E26" i="36" s="1"/>
  <c r="F26" i="36" s="1"/>
  <c r="G164" i="38" s="1"/>
  <c r="G40" i="42"/>
  <c r="G39" i="42" s="1"/>
  <c r="AE25" i="41"/>
  <c r="M42" i="35"/>
  <c r="C33" i="34"/>
  <c r="E33" i="34" s="1"/>
  <c r="L43" i="35"/>
  <c r="C223" i="35"/>
  <c r="D222" i="35"/>
  <c r="Z70" i="35"/>
  <c r="E134" i="35"/>
  <c r="F134" i="35" s="1"/>
  <c r="G134" i="35" s="1"/>
  <c r="C163" i="35"/>
  <c r="D162" i="35"/>
  <c r="I85" i="38"/>
  <c r="J85" i="38" s="1"/>
  <c r="H56" i="42"/>
  <c r="H55" i="42" s="1"/>
  <c r="AF33" i="41"/>
  <c r="F26" i="42"/>
  <c r="F25" i="42" s="1"/>
  <c r="AD18" i="41"/>
  <c r="E42" i="42"/>
  <c r="E41" i="42" s="1"/>
  <c r="AC26" i="41"/>
  <c r="F42" i="35"/>
  <c r="AA69" i="35"/>
  <c r="I86" i="42"/>
  <c r="I85" i="42" s="1"/>
  <c r="AG50" i="41"/>
  <c r="E51" i="36"/>
  <c r="E58" i="38"/>
  <c r="G221" i="35"/>
  <c r="F22" i="42"/>
  <c r="F21" i="42" s="1"/>
  <c r="AD16" i="41"/>
  <c r="E302" i="35"/>
  <c r="D302" i="35"/>
  <c r="K302" i="35"/>
  <c r="F302" i="35"/>
  <c r="J191" i="35"/>
  <c r="K191" i="35" s="1"/>
  <c r="L191" i="35" s="1"/>
  <c r="P43" i="35"/>
  <c r="Q43" i="35" s="1"/>
  <c r="R43" i="35" s="1"/>
  <c r="E167" i="38" s="1"/>
  <c r="AC43" i="35"/>
  <c r="J43" i="35"/>
  <c r="K43" i="35" s="1"/>
  <c r="W43" i="35"/>
  <c r="X43" i="35" s="1"/>
  <c r="D33" i="34"/>
  <c r="M189" i="35"/>
  <c r="N189" i="35" s="1"/>
  <c r="AF20" i="41"/>
  <c r="H30" i="42"/>
  <c r="H29" i="42" s="1"/>
  <c r="F38" i="42"/>
  <c r="F37" i="42" s="1"/>
  <c r="AD24" i="41"/>
  <c r="S89" i="32"/>
  <c r="F89" i="32"/>
  <c r="E89" i="32" s="1"/>
  <c r="F161" i="35"/>
  <c r="U87" i="32"/>
  <c r="I87" i="32" s="1"/>
  <c r="H112" i="32" s="1"/>
  <c r="C113" i="32" s="1"/>
  <c r="V87" i="32"/>
  <c r="J87" i="32" s="1"/>
  <c r="I112" i="32" s="1"/>
  <c r="D113" i="32" s="1"/>
  <c r="H87" i="32"/>
  <c r="G112" i="32" s="1"/>
  <c r="AF27" i="41"/>
  <c r="H44" i="42"/>
  <c r="H43" i="42" s="1"/>
  <c r="F90" i="32"/>
  <c r="E90" i="32" s="1"/>
  <c r="S90" i="32"/>
  <c r="G88" i="32"/>
  <c r="T88" i="32"/>
  <c r="H77" i="42"/>
  <c r="H76" i="42" s="1"/>
  <c r="AF45" i="41"/>
  <c r="I66" i="42"/>
  <c r="I65" i="42" s="1"/>
  <c r="AG39" i="41"/>
  <c r="I75" i="42"/>
  <c r="I74" i="42" s="1"/>
  <c r="AG44" i="41"/>
  <c r="I34" i="42"/>
  <c r="I33" i="42" s="1"/>
  <c r="AG22" i="41"/>
  <c r="J64" i="42"/>
  <c r="J63" i="42" s="1"/>
  <c r="AH38" i="41"/>
  <c r="G46" i="42"/>
  <c r="G45" i="42" s="1"/>
  <c r="AE28" i="41"/>
  <c r="E31" i="38" l="1"/>
  <c r="D52" i="36"/>
  <c r="F139" i="38"/>
  <c r="F58" i="38"/>
  <c r="D27" i="36"/>
  <c r="E27" i="36" s="1"/>
  <c r="F27" i="36" s="1"/>
  <c r="G165" i="38" s="1"/>
  <c r="C303" i="35"/>
  <c r="E303" i="35" s="1"/>
  <c r="G57" i="38"/>
  <c r="H57" i="38" s="1"/>
  <c r="F162" i="38"/>
  <c r="I162" i="38" s="1"/>
  <c r="G138" i="38"/>
  <c r="H138" i="38" s="1"/>
  <c r="H50" i="36"/>
  <c r="C102" i="35"/>
  <c r="D102" i="35" s="1"/>
  <c r="I102" i="35" s="1"/>
  <c r="D43" i="35"/>
  <c r="H40" i="42"/>
  <c r="H39" i="42" s="1"/>
  <c r="AF25" i="41"/>
  <c r="AD42" i="35"/>
  <c r="D28" i="36" s="1"/>
  <c r="M43" i="35"/>
  <c r="C34" i="34"/>
  <c r="E34" i="34" s="1"/>
  <c r="L44" i="35"/>
  <c r="C164" i="35"/>
  <c r="D163" i="35"/>
  <c r="C224" i="35"/>
  <c r="D223" i="35"/>
  <c r="E135" i="35"/>
  <c r="F135" i="35" s="1"/>
  <c r="G135" i="35" s="1"/>
  <c r="Z71" i="35"/>
  <c r="I86" i="38"/>
  <c r="J86" i="38" s="1"/>
  <c r="G26" i="42"/>
  <c r="G25" i="42" s="1"/>
  <c r="AE18" i="41"/>
  <c r="I56" i="42"/>
  <c r="I55" i="42" s="1"/>
  <c r="AG33" i="41"/>
  <c r="AD26" i="41"/>
  <c r="F42" i="42"/>
  <c r="F41" i="42" s="1"/>
  <c r="AE24" i="41"/>
  <c r="G38" i="42"/>
  <c r="G37" i="42" s="1"/>
  <c r="U88" i="32"/>
  <c r="I88" i="32" s="1"/>
  <c r="H113" i="32" s="1"/>
  <c r="C114" i="32" s="1"/>
  <c r="V88" i="32"/>
  <c r="J88" i="32" s="1"/>
  <c r="I113" i="32" s="1"/>
  <c r="D114" i="32" s="1"/>
  <c r="H88" i="32"/>
  <c r="G113" i="32" s="1"/>
  <c r="E43" i="35"/>
  <c r="F31" i="38"/>
  <c r="F140" i="38"/>
  <c r="F59" i="38"/>
  <c r="G30" i="38"/>
  <c r="H30" i="38" s="1"/>
  <c r="F163" i="38"/>
  <c r="I163" i="38" s="1"/>
  <c r="H51" i="36"/>
  <c r="G58" i="38"/>
  <c r="H58" i="38" s="1"/>
  <c r="G139" i="38"/>
  <c r="H139" i="38" s="1"/>
  <c r="AH50" i="41"/>
  <c r="J86" i="42"/>
  <c r="J85" i="42" s="1"/>
  <c r="T90" i="32"/>
  <c r="G90" i="32"/>
  <c r="W44" i="35"/>
  <c r="X44" i="35" s="1"/>
  <c r="D34" i="34"/>
  <c r="J192" i="35"/>
  <c r="K192" i="35" s="1"/>
  <c r="L192" i="35" s="1"/>
  <c r="J44" i="35"/>
  <c r="K44" i="35" s="1"/>
  <c r="P44" i="35"/>
  <c r="Q44" i="35" s="1"/>
  <c r="R44" i="35" s="1"/>
  <c r="E168" i="38" s="1"/>
  <c r="AC44" i="35"/>
  <c r="I30" i="42"/>
  <c r="I29" i="42" s="1"/>
  <c r="AG20" i="41"/>
  <c r="T89" i="32"/>
  <c r="G89" i="32"/>
  <c r="G22" i="42"/>
  <c r="G21" i="42" s="1"/>
  <c r="AE16" i="41"/>
  <c r="K303" i="35"/>
  <c r="F303" i="35"/>
  <c r="AA70" i="35"/>
  <c r="M190" i="35"/>
  <c r="N190" i="35" s="1"/>
  <c r="F162" i="35"/>
  <c r="E52" i="36"/>
  <c r="E59" i="38"/>
  <c r="I44" i="42"/>
  <c r="I43" i="42" s="1"/>
  <c r="AG27" i="41"/>
  <c r="G222" i="35"/>
  <c r="J34" i="42"/>
  <c r="J33" i="42" s="1"/>
  <c r="AH22" i="41"/>
  <c r="J75" i="42"/>
  <c r="J74" i="42" s="1"/>
  <c r="AH44" i="41"/>
  <c r="K64" i="42"/>
  <c r="K63" i="42" s="1"/>
  <c r="AI38" i="41"/>
  <c r="J66" i="42"/>
  <c r="J65" i="42" s="1"/>
  <c r="AH39" i="41"/>
  <c r="I77" i="42"/>
  <c r="I76" i="42" s="1"/>
  <c r="AG45" i="41"/>
  <c r="H46" i="42"/>
  <c r="H45" i="42" s="1"/>
  <c r="AF28" i="41"/>
  <c r="D303" i="35" l="1"/>
  <c r="D53" i="36"/>
  <c r="E53" i="36" s="1"/>
  <c r="E32" i="38"/>
  <c r="D44" i="35"/>
  <c r="F43" i="35"/>
  <c r="AD43" i="35" s="1"/>
  <c r="C104" i="35" s="1"/>
  <c r="D104" i="35" s="1"/>
  <c r="I104" i="35" s="1"/>
  <c r="AG42" i="35"/>
  <c r="AH42" i="35" s="1"/>
  <c r="AI42" i="35" s="1"/>
  <c r="C103" i="35"/>
  <c r="D103" i="35" s="1"/>
  <c r="I103" i="35" s="1"/>
  <c r="M44" i="35"/>
  <c r="C304" i="35"/>
  <c r="K304" i="35" s="1"/>
  <c r="I40" i="42"/>
  <c r="I39" i="42" s="1"/>
  <c r="AG25" i="41"/>
  <c r="C165" i="35"/>
  <c r="D164" i="35"/>
  <c r="C35" i="34"/>
  <c r="E35" i="34" s="1"/>
  <c r="L45" i="35"/>
  <c r="E136" i="35"/>
  <c r="F136" i="35" s="1"/>
  <c r="G136" i="35" s="1"/>
  <c r="Z72" i="35"/>
  <c r="C225" i="35"/>
  <c r="D224" i="35"/>
  <c r="I87" i="38"/>
  <c r="J87" i="38" s="1"/>
  <c r="AH33" i="41"/>
  <c r="J56" i="42"/>
  <c r="J55" i="42" s="1"/>
  <c r="AF18" i="41"/>
  <c r="H26" i="42"/>
  <c r="H25" i="42" s="1"/>
  <c r="AE26" i="41"/>
  <c r="G42" i="42"/>
  <c r="G41" i="42" s="1"/>
  <c r="H52" i="36"/>
  <c r="G31" i="38"/>
  <c r="H31" i="38" s="1"/>
  <c r="G59" i="38"/>
  <c r="H59" i="38" s="1"/>
  <c r="G140" i="38"/>
  <c r="H140" i="38" s="1"/>
  <c r="F164" i="38"/>
  <c r="I164" i="38" s="1"/>
  <c r="F163" i="35"/>
  <c r="E28" i="36"/>
  <c r="F28" i="36" s="1"/>
  <c r="G166" i="38" s="1"/>
  <c r="E33" i="38"/>
  <c r="D54" i="36"/>
  <c r="V89" i="32"/>
  <c r="J89" i="32" s="1"/>
  <c r="I114" i="32" s="1"/>
  <c r="D115" i="32" s="1"/>
  <c r="H89" i="32"/>
  <c r="G114" i="32" s="1"/>
  <c r="U89" i="32"/>
  <c r="I89" i="32" s="1"/>
  <c r="H114" i="32" s="1"/>
  <c r="C115" i="32" s="1"/>
  <c r="E44" i="35"/>
  <c r="F44" i="35" s="1"/>
  <c r="G223" i="35"/>
  <c r="M191" i="35"/>
  <c r="N191" i="35" s="1"/>
  <c r="E60" i="38"/>
  <c r="J30" i="42"/>
  <c r="J29" i="42" s="1"/>
  <c r="AH20" i="41"/>
  <c r="J45" i="35"/>
  <c r="K45" i="35" s="1"/>
  <c r="AC45" i="35"/>
  <c r="D35" i="34"/>
  <c r="W45" i="35"/>
  <c r="X45" i="35" s="1"/>
  <c r="J193" i="35"/>
  <c r="K193" i="35" s="1"/>
  <c r="L193" i="35" s="1"/>
  <c r="P45" i="35"/>
  <c r="Q45" i="35" s="1"/>
  <c r="R45" i="35" s="1"/>
  <c r="E169" i="38" s="1"/>
  <c r="J44" i="42"/>
  <c r="J43" i="42" s="1"/>
  <c r="AH27" i="41"/>
  <c r="AA71" i="35"/>
  <c r="F141" i="38"/>
  <c r="F60" i="38"/>
  <c r="F32" i="38"/>
  <c r="V90" i="32"/>
  <c r="J90" i="32" s="1"/>
  <c r="I115" i="32" s="1"/>
  <c r="D116" i="32" s="1"/>
  <c r="H90" i="32"/>
  <c r="G115" i="32" s="1"/>
  <c r="U90" i="32"/>
  <c r="I90" i="32" s="1"/>
  <c r="H115" i="32" s="1"/>
  <c r="C116" i="32" s="1"/>
  <c r="AF24" i="41"/>
  <c r="H38" i="42"/>
  <c r="H37" i="42" s="1"/>
  <c r="H22" i="42"/>
  <c r="H21" i="42" s="1"/>
  <c r="AF16" i="41"/>
  <c r="AI50" i="41"/>
  <c r="K86" i="42"/>
  <c r="K85" i="42" s="1"/>
  <c r="L64" i="42"/>
  <c r="L63" i="42" s="1"/>
  <c r="AJ38" i="41"/>
  <c r="J77" i="42"/>
  <c r="J76" i="42" s="1"/>
  <c r="AH45" i="41"/>
  <c r="K75" i="42"/>
  <c r="K74" i="42" s="1"/>
  <c r="AI44" i="41"/>
  <c r="K66" i="42"/>
  <c r="K65" i="42" s="1"/>
  <c r="AI39" i="41"/>
  <c r="K34" i="42"/>
  <c r="K33" i="42" s="1"/>
  <c r="AI22" i="41"/>
  <c r="AG28" i="41"/>
  <c r="I46" i="42"/>
  <c r="I45" i="42" s="1"/>
  <c r="D29" i="36" l="1"/>
  <c r="C305" i="35"/>
  <c r="E305" i="35" s="1"/>
  <c r="AG43" i="35"/>
  <c r="AH43" i="35" s="1"/>
  <c r="AI43" i="35" s="1"/>
  <c r="D304" i="35"/>
  <c r="E304" i="35"/>
  <c r="F304" i="35"/>
  <c r="AD44" i="35"/>
  <c r="D30" i="36" s="1"/>
  <c r="J40" i="42"/>
  <c r="J39" i="42" s="1"/>
  <c r="AH25" i="41"/>
  <c r="D45" i="35"/>
  <c r="M45" i="35"/>
  <c r="E137" i="35"/>
  <c r="F137" i="35" s="1"/>
  <c r="G137" i="35" s="1"/>
  <c r="Z73" i="35"/>
  <c r="C226" i="35"/>
  <c r="D225" i="35"/>
  <c r="C37" i="34"/>
  <c r="E37" i="34" s="1"/>
  <c r="L47" i="35"/>
  <c r="Z74" i="35"/>
  <c r="E138" i="35"/>
  <c r="F138" i="35" s="1"/>
  <c r="G138" i="35" s="1"/>
  <c r="C36" i="34"/>
  <c r="D46" i="35" s="1"/>
  <c r="L46" i="35"/>
  <c r="C166" i="35"/>
  <c r="D165" i="35"/>
  <c r="I88" i="38"/>
  <c r="J88" i="38" s="1"/>
  <c r="AG18" i="41"/>
  <c r="I26" i="42"/>
  <c r="I25" i="42" s="1"/>
  <c r="K56" i="42"/>
  <c r="K55" i="42" s="1"/>
  <c r="AI33" i="41"/>
  <c r="H42" i="42"/>
  <c r="H41" i="42" s="1"/>
  <c r="AF26" i="41"/>
  <c r="M192" i="35"/>
  <c r="N192" i="35" s="1"/>
  <c r="AG16" i="41"/>
  <c r="I22" i="42"/>
  <c r="I21" i="42" s="1"/>
  <c r="E45" i="35"/>
  <c r="AG24" i="41"/>
  <c r="I38" i="42"/>
  <c r="I37" i="42" s="1"/>
  <c r="AA72" i="35"/>
  <c r="G224" i="35"/>
  <c r="J47" i="35"/>
  <c r="K47" i="35" s="1"/>
  <c r="J195" i="35"/>
  <c r="K195" i="35" s="1"/>
  <c r="L195" i="35" s="1"/>
  <c r="P47" i="35"/>
  <c r="Q47" i="35" s="1"/>
  <c r="R47" i="35" s="1"/>
  <c r="E171" i="38" s="1"/>
  <c r="AC47" i="35"/>
  <c r="D37" i="34"/>
  <c r="E47" i="35" s="1"/>
  <c r="W47" i="35"/>
  <c r="X47" i="35" s="1"/>
  <c r="K44" i="42"/>
  <c r="K43" i="42" s="1"/>
  <c r="AI27" i="41"/>
  <c r="E34" i="38"/>
  <c r="D55" i="36"/>
  <c r="E29" i="36"/>
  <c r="F29" i="36" s="1"/>
  <c r="G167" i="38" s="1"/>
  <c r="F164" i="35"/>
  <c r="K30" i="42"/>
  <c r="K29" i="42" s="1"/>
  <c r="AI20" i="41"/>
  <c r="K305" i="35"/>
  <c r="AJ50" i="41"/>
  <c r="L86" i="42"/>
  <c r="L85" i="42" s="1"/>
  <c r="G32" i="38"/>
  <c r="H32" i="38" s="1"/>
  <c r="H53" i="36"/>
  <c r="F165" i="38"/>
  <c r="I165" i="38" s="1"/>
  <c r="G60" i="38"/>
  <c r="H60" i="38" s="1"/>
  <c r="G141" i="38"/>
  <c r="H141" i="38" s="1"/>
  <c r="J194" i="35"/>
  <c r="K194" i="35" s="1"/>
  <c r="L194" i="35" s="1"/>
  <c r="J46" i="35"/>
  <c r="K46" i="35" s="1"/>
  <c r="P46" i="35"/>
  <c r="Q46" i="35" s="1"/>
  <c r="R46" i="35" s="1"/>
  <c r="AC46" i="35"/>
  <c r="W46" i="35"/>
  <c r="X46" i="35" s="1"/>
  <c r="D36" i="34"/>
  <c r="E61" i="38"/>
  <c r="E54" i="36"/>
  <c r="F61" i="38"/>
  <c r="F33" i="38"/>
  <c r="F142" i="38"/>
  <c r="K77" i="42"/>
  <c r="K76" i="42" s="1"/>
  <c r="AI45" i="41"/>
  <c r="L66" i="42"/>
  <c r="L65" i="42" s="1"/>
  <c r="AJ39" i="41"/>
  <c r="M64" i="42"/>
  <c r="M63" i="42" s="1"/>
  <c r="AK38" i="41"/>
  <c r="L34" i="42"/>
  <c r="L33" i="42" s="1"/>
  <c r="AJ22" i="41"/>
  <c r="L75" i="42"/>
  <c r="L74" i="42" s="1"/>
  <c r="AJ44" i="41"/>
  <c r="AH28" i="41"/>
  <c r="J46" i="42"/>
  <c r="J45" i="42" s="1"/>
  <c r="D305" i="35" l="1"/>
  <c r="F305" i="35"/>
  <c r="C105" i="35"/>
  <c r="D105" i="35" s="1"/>
  <c r="I105" i="35" s="1"/>
  <c r="AG44" i="35"/>
  <c r="AH44" i="35" s="1"/>
  <c r="AI44" i="35" s="1"/>
  <c r="D47" i="35"/>
  <c r="F47" i="35" s="1"/>
  <c r="C306" i="35"/>
  <c r="E306" i="35" s="1"/>
  <c r="K40" i="42"/>
  <c r="K39" i="42" s="1"/>
  <c r="AI25" i="41"/>
  <c r="F45" i="35"/>
  <c r="AD45" i="35" s="1"/>
  <c r="C307" i="35" s="1"/>
  <c r="E23" i="41" a="1"/>
  <c r="S23" i="41" s="1"/>
  <c r="M47" i="35"/>
  <c r="M46" i="35"/>
  <c r="E36" i="34"/>
  <c r="C167" i="35"/>
  <c r="D167" i="35" s="1"/>
  <c r="D166" i="35"/>
  <c r="C227" i="35"/>
  <c r="D227" i="35" s="1"/>
  <c r="D226" i="35"/>
  <c r="E13" i="41" a="1"/>
  <c r="M13" i="41" s="1"/>
  <c r="I89" i="38"/>
  <c r="J89" i="38" s="1"/>
  <c r="L56" i="42"/>
  <c r="L55" i="42" s="1"/>
  <c r="AJ33" i="41"/>
  <c r="J26" i="42"/>
  <c r="J25" i="42" s="1"/>
  <c r="AH18" i="41"/>
  <c r="AG26" i="41"/>
  <c r="I42" i="42"/>
  <c r="I41" i="42" s="1"/>
  <c r="M86" i="42"/>
  <c r="M85" i="42" s="1"/>
  <c r="AK50" i="41"/>
  <c r="J22" i="42"/>
  <c r="J21" i="42" s="1"/>
  <c r="AH16" i="41"/>
  <c r="E55" i="36"/>
  <c r="E62" i="38"/>
  <c r="G142" i="38"/>
  <c r="H142" i="38" s="1"/>
  <c r="F166" i="38"/>
  <c r="I166" i="38" s="1"/>
  <c r="G61" i="38"/>
  <c r="H61" i="38" s="1"/>
  <c r="G33" i="38"/>
  <c r="H33" i="38" s="1"/>
  <c r="H54" i="36"/>
  <c r="L44" i="42"/>
  <c r="L43" i="42" s="1"/>
  <c r="AJ27" i="41"/>
  <c r="AA73" i="35"/>
  <c r="AA74" i="35"/>
  <c r="F143" i="38"/>
  <c r="F62" i="38"/>
  <c r="F34" i="38"/>
  <c r="L30" i="42"/>
  <c r="L29" i="42" s="1"/>
  <c r="AJ20" i="41"/>
  <c r="M193" i="35"/>
  <c r="N193" i="35" s="1"/>
  <c r="E46" i="35"/>
  <c r="F46" i="35" s="1"/>
  <c r="J38" i="42"/>
  <c r="J37" i="42" s="1"/>
  <c r="AH24" i="41"/>
  <c r="F165" i="35"/>
  <c r="E30" i="36"/>
  <c r="F30" i="36" s="1"/>
  <c r="G168" i="38" s="1"/>
  <c r="E35" i="38"/>
  <c r="D56" i="36"/>
  <c r="E170" i="38"/>
  <c r="E11" i="41" a="1"/>
  <c r="G225" i="35"/>
  <c r="M34" i="42"/>
  <c r="M33" i="42" s="1"/>
  <c r="AK22" i="41"/>
  <c r="L77" i="42"/>
  <c r="L76" i="42" s="1"/>
  <c r="AJ45" i="41"/>
  <c r="M75" i="42"/>
  <c r="M74" i="42" s="1"/>
  <c r="AK44" i="41"/>
  <c r="N64" i="42"/>
  <c r="N63" i="42" s="1"/>
  <c r="AL38" i="41"/>
  <c r="M66" i="42"/>
  <c r="M65" i="42" s="1"/>
  <c r="AK39" i="41"/>
  <c r="K46" i="42"/>
  <c r="K45" i="42" s="1"/>
  <c r="AI28" i="41"/>
  <c r="F306" i="35" l="1"/>
  <c r="K306" i="35"/>
  <c r="F144" i="38" s="1"/>
  <c r="D306" i="35"/>
  <c r="AD47" i="35"/>
  <c r="D33" i="36" s="1"/>
  <c r="D31" i="36"/>
  <c r="D57" i="36" s="1"/>
  <c r="L13" i="99"/>
  <c r="L191" i="90"/>
  <c r="R23" i="99"/>
  <c r="R201" i="90"/>
  <c r="C106" i="35"/>
  <c r="D106" i="35" s="1"/>
  <c r="I106" i="35" s="1"/>
  <c r="AG45" i="35"/>
  <c r="AH45" i="35" s="1"/>
  <c r="AI45" i="35" s="1"/>
  <c r="AJ25" i="41"/>
  <c r="L40" i="42"/>
  <c r="L39" i="42" s="1"/>
  <c r="R23" i="41"/>
  <c r="R36" i="55" s="1"/>
  <c r="T23" i="41"/>
  <c r="H23" i="41"/>
  <c r="E12" i="41" a="1"/>
  <c r="P12" i="41" s="1"/>
  <c r="N23" i="41"/>
  <c r="K23" i="41"/>
  <c r="U23" i="41"/>
  <c r="V149" i="81" s="1"/>
  <c r="V151" i="81" s="1"/>
  <c r="J23" i="41"/>
  <c r="AD46" i="35"/>
  <c r="C107" i="35" s="1"/>
  <c r="D107" i="35" s="1"/>
  <c r="I107" i="35" s="1"/>
  <c r="E23" i="41"/>
  <c r="L23" i="41"/>
  <c r="O23" i="41"/>
  <c r="Q23" i="41"/>
  <c r="R149" i="81" s="1"/>
  <c r="R151" i="81" s="1"/>
  <c r="G23" i="41"/>
  <c r="M23" i="41"/>
  <c r="P23" i="41"/>
  <c r="I23" i="41"/>
  <c r="F23" i="41"/>
  <c r="S36" i="55"/>
  <c r="T149" i="81"/>
  <c r="T151" i="81" s="1"/>
  <c r="Q35" i="42"/>
  <c r="O13" i="41"/>
  <c r="H13" i="41"/>
  <c r="I13" i="41"/>
  <c r="R13" i="41"/>
  <c r="T13" i="41"/>
  <c r="Q13" i="41"/>
  <c r="K13" i="41"/>
  <c r="E13" i="41"/>
  <c r="F13" i="41"/>
  <c r="J13" i="41"/>
  <c r="G13" i="41"/>
  <c r="N13" i="41"/>
  <c r="U13" i="41"/>
  <c r="S13" i="41"/>
  <c r="P13" i="41"/>
  <c r="L13" i="41"/>
  <c r="N121" i="81"/>
  <c r="N123" i="81" s="1"/>
  <c r="M13" i="55"/>
  <c r="I90" i="38"/>
  <c r="J90" i="38" s="1"/>
  <c r="K26" i="42"/>
  <c r="K25" i="42" s="1"/>
  <c r="AI18" i="41"/>
  <c r="AK33" i="41"/>
  <c r="M56" i="42"/>
  <c r="M55" i="42" s="1"/>
  <c r="AH26" i="41"/>
  <c r="J42" i="42"/>
  <c r="J41" i="42" s="1"/>
  <c r="C108" i="35"/>
  <c r="D108" i="35" s="1"/>
  <c r="I108" i="35" s="1"/>
  <c r="AG47" i="35"/>
  <c r="AH47" i="35" s="1"/>
  <c r="AI47" i="35" s="1"/>
  <c r="E21" i="41" a="1"/>
  <c r="L21" i="41" s="1"/>
  <c r="E307" i="35"/>
  <c r="K307" i="35"/>
  <c r="F307" i="35"/>
  <c r="D307" i="35"/>
  <c r="F167" i="35"/>
  <c r="F166" i="35"/>
  <c r="M195" i="35"/>
  <c r="N195" i="35" s="1"/>
  <c r="M194" i="35"/>
  <c r="M44" i="42"/>
  <c r="M43" i="42" s="1"/>
  <c r="AK27" i="41"/>
  <c r="AK20" i="41"/>
  <c r="M30" i="42"/>
  <c r="M29" i="42" s="1"/>
  <c r="E63" i="38"/>
  <c r="E56" i="36"/>
  <c r="F35" i="38"/>
  <c r="G34" i="38"/>
  <c r="H34" i="38" s="1"/>
  <c r="G143" i="38"/>
  <c r="H143" i="38" s="1"/>
  <c r="F167" i="38"/>
  <c r="I167" i="38" s="1"/>
  <c r="G62" i="38"/>
  <c r="H62" i="38" s="1"/>
  <c r="H55" i="36"/>
  <c r="K38" i="42"/>
  <c r="K37" i="42" s="1"/>
  <c r="AI24" i="41"/>
  <c r="G226" i="35"/>
  <c r="G227" i="35"/>
  <c r="K22" i="42"/>
  <c r="K21" i="42" s="1"/>
  <c r="AI16" i="41"/>
  <c r="E10" i="41" a="1"/>
  <c r="N11" i="41"/>
  <c r="J11" i="41"/>
  <c r="K11" i="41"/>
  <c r="F11" i="41"/>
  <c r="Q11" i="41"/>
  <c r="P11" i="41"/>
  <c r="U11" i="41"/>
  <c r="I11" i="41"/>
  <c r="M11" i="41"/>
  <c r="O11" i="41"/>
  <c r="S11" i="41"/>
  <c r="E11" i="41"/>
  <c r="T11" i="41"/>
  <c r="H11" i="41"/>
  <c r="L11" i="41"/>
  <c r="G11" i="41"/>
  <c r="R11" i="41"/>
  <c r="N86" i="42"/>
  <c r="N85" i="42" s="1"/>
  <c r="AL50" i="41"/>
  <c r="N66" i="42"/>
  <c r="N65" i="42" s="1"/>
  <c r="AL39" i="41"/>
  <c r="N75" i="42"/>
  <c r="N74" i="42" s="1"/>
  <c r="AL44" i="41"/>
  <c r="O64" i="42"/>
  <c r="O63" i="42" s="1"/>
  <c r="AM38" i="41"/>
  <c r="P64" i="42" s="1"/>
  <c r="P63" i="42" s="1"/>
  <c r="N34" i="42"/>
  <c r="N33" i="42" s="1"/>
  <c r="AL22" i="41"/>
  <c r="M77" i="42"/>
  <c r="M76" i="42" s="1"/>
  <c r="AK45" i="41"/>
  <c r="L46" i="42"/>
  <c r="L45" i="42" s="1"/>
  <c r="AJ28" i="41"/>
  <c r="E31" i="36" l="1"/>
  <c r="F31" i="36" s="1"/>
  <c r="G169" i="38" s="1"/>
  <c r="E36" i="38"/>
  <c r="F63" i="38"/>
  <c r="C309" i="35"/>
  <c r="K309" i="35" s="1"/>
  <c r="U36" i="55"/>
  <c r="V39" i="54" s="1"/>
  <c r="Q11" i="99"/>
  <c r="Q189" i="90"/>
  <c r="L11" i="99"/>
  <c r="L189" i="90"/>
  <c r="K21" i="99"/>
  <c r="K199" i="90"/>
  <c r="S13" i="55"/>
  <c r="NM16" i="54" s="1"/>
  <c r="R13" i="99"/>
  <c r="R191" i="90"/>
  <c r="K121" i="81"/>
  <c r="K123" i="81" s="1"/>
  <c r="I13" i="99"/>
  <c r="I191" i="90"/>
  <c r="R121" i="81"/>
  <c r="R123" i="81" s="1"/>
  <c r="P13" i="99"/>
  <c r="P191" i="90"/>
  <c r="I121" i="81"/>
  <c r="I123" i="81" s="1"/>
  <c r="G13" i="99"/>
  <c r="G191" i="90"/>
  <c r="N149" i="81"/>
  <c r="N151" i="81" s="1"/>
  <c r="L23" i="99"/>
  <c r="L201" i="90"/>
  <c r="M149" i="81"/>
  <c r="M151" i="81" s="1"/>
  <c r="K23" i="99"/>
  <c r="K201" i="90"/>
  <c r="S35" i="42"/>
  <c r="E25" i="43" s="1"/>
  <c r="G25" i="43" s="1"/>
  <c r="T23" i="99"/>
  <c r="T201" i="90"/>
  <c r="I149" i="81"/>
  <c r="I151" i="81" s="1"/>
  <c r="G23" i="99"/>
  <c r="G201" i="90"/>
  <c r="Q118" i="81"/>
  <c r="Q120" i="81" s="1"/>
  <c r="O12" i="99"/>
  <c r="O190" i="90"/>
  <c r="F11" i="99"/>
  <c r="F189" i="90"/>
  <c r="E12" i="55"/>
  <c r="MY15" i="54" s="1"/>
  <c r="D11" i="99"/>
  <c r="D189" i="90"/>
  <c r="H11" i="99"/>
  <c r="H189" i="90"/>
  <c r="E11" i="99"/>
  <c r="E189" i="90"/>
  <c r="K11" i="99"/>
  <c r="K189" i="90"/>
  <c r="S12" i="55"/>
  <c r="CJ15" i="54" s="1"/>
  <c r="R11" i="99"/>
  <c r="R189" i="90"/>
  <c r="U12" i="55"/>
  <c r="NO15" i="54" s="1"/>
  <c r="T11" i="99"/>
  <c r="T189" i="90"/>
  <c r="J11" i="99"/>
  <c r="J189" i="90"/>
  <c r="U13" i="55"/>
  <c r="NO16" i="54" s="1"/>
  <c r="T13" i="99"/>
  <c r="T191" i="90"/>
  <c r="F13" i="55"/>
  <c r="MZ16" i="54" s="1"/>
  <c r="E13" i="99"/>
  <c r="E191" i="90"/>
  <c r="T13" i="55"/>
  <c r="NN16" i="54" s="1"/>
  <c r="S13" i="99"/>
  <c r="S191" i="90"/>
  <c r="P121" i="81"/>
  <c r="P123" i="81" s="1"/>
  <c r="N13" i="99"/>
  <c r="N191" i="90"/>
  <c r="G149" i="81"/>
  <c r="G151" i="81" s="1"/>
  <c r="E23" i="99"/>
  <c r="E201" i="90"/>
  <c r="G36" i="55"/>
  <c r="H39" i="54" s="1"/>
  <c r="F23" i="99"/>
  <c r="F201" i="90"/>
  <c r="F149" i="81"/>
  <c r="F151" i="81" s="1"/>
  <c r="D23" i="99"/>
  <c r="D201" i="90"/>
  <c r="K36" i="55"/>
  <c r="L39" i="54" s="1"/>
  <c r="J23" i="99"/>
  <c r="J201" i="90"/>
  <c r="U149" i="81"/>
  <c r="U151" i="81" s="1"/>
  <c r="S23" i="99"/>
  <c r="S201" i="90"/>
  <c r="L136" i="90"/>
  <c r="L83" i="90"/>
  <c r="T12" i="55"/>
  <c r="NN15" i="54" s="1"/>
  <c r="S11" i="99"/>
  <c r="S189" i="90"/>
  <c r="P11" i="99"/>
  <c r="P189" i="90"/>
  <c r="M11" i="99"/>
  <c r="M189" i="90"/>
  <c r="Q121" i="81"/>
  <c r="Q123" i="81" s="1"/>
  <c r="O13" i="99"/>
  <c r="O191" i="90"/>
  <c r="H121" i="81"/>
  <c r="H123" i="81" s="1"/>
  <c r="F13" i="99"/>
  <c r="F191" i="90"/>
  <c r="L121" i="81"/>
  <c r="L123" i="81" s="1"/>
  <c r="J13" i="99"/>
  <c r="J191" i="90"/>
  <c r="J121" i="81"/>
  <c r="J123" i="81" s="1"/>
  <c r="H13" i="99"/>
  <c r="H191" i="90"/>
  <c r="Q149" i="81"/>
  <c r="Q151" i="81" s="1"/>
  <c r="O23" i="99"/>
  <c r="O201" i="90"/>
  <c r="P149" i="81"/>
  <c r="P151" i="81" s="1"/>
  <c r="N23" i="99"/>
  <c r="N201" i="90"/>
  <c r="J36" i="55"/>
  <c r="ND39" i="54" s="1"/>
  <c r="I23" i="99"/>
  <c r="I201" i="90"/>
  <c r="R146" i="90"/>
  <c r="R93" i="90"/>
  <c r="G11" i="99"/>
  <c r="G189" i="90"/>
  <c r="N11" i="99"/>
  <c r="N189" i="90"/>
  <c r="O11" i="99"/>
  <c r="O189" i="90"/>
  <c r="I11" i="99"/>
  <c r="I189" i="90"/>
  <c r="M121" i="81"/>
  <c r="M123" i="81" s="1"/>
  <c r="K13" i="99"/>
  <c r="K191" i="90"/>
  <c r="O121" i="81"/>
  <c r="O123" i="81" s="1"/>
  <c r="M13" i="99"/>
  <c r="M191" i="90"/>
  <c r="E13" i="55"/>
  <c r="MY16" i="54" s="1"/>
  <c r="D13" i="99"/>
  <c r="D191" i="90"/>
  <c r="S121" i="81"/>
  <c r="S123" i="81" s="1"/>
  <c r="Q13" i="99"/>
  <c r="Q191" i="90"/>
  <c r="I36" i="55"/>
  <c r="J39" i="54" s="1"/>
  <c r="H23" i="99"/>
  <c r="H201" i="90"/>
  <c r="Q36" i="55"/>
  <c r="NK39" i="54" s="1"/>
  <c r="P23" i="99"/>
  <c r="P201" i="90"/>
  <c r="N36" i="55"/>
  <c r="NH39" i="54" s="1"/>
  <c r="M23" i="99"/>
  <c r="M201" i="90"/>
  <c r="S149" i="81"/>
  <c r="S151" i="81" s="1"/>
  <c r="Q23" i="99"/>
  <c r="Q201" i="90"/>
  <c r="R35" i="42"/>
  <c r="T36" i="55"/>
  <c r="NN39" i="54" s="1"/>
  <c r="AG46" i="35"/>
  <c r="AH46" i="35" s="1"/>
  <c r="AI46" i="35" s="1"/>
  <c r="E14" i="41" s="1" a="1"/>
  <c r="M40" i="42"/>
  <c r="M39" i="42" s="1"/>
  <c r="AK25" i="41"/>
  <c r="C308" i="35"/>
  <c r="E308" i="35" s="1"/>
  <c r="H36" i="55"/>
  <c r="NB39" i="54" s="1"/>
  <c r="J149" i="81"/>
  <c r="J151" i="81" s="1"/>
  <c r="H12" i="41"/>
  <c r="I12" i="41"/>
  <c r="S12" i="41"/>
  <c r="Q12" i="41"/>
  <c r="M36" i="55"/>
  <c r="N39" i="54" s="1"/>
  <c r="O12" i="41"/>
  <c r="T12" i="41"/>
  <c r="F12" i="41"/>
  <c r="M12" i="41"/>
  <c r="P10" i="55"/>
  <c r="AY13" i="54" s="1"/>
  <c r="N12" i="41"/>
  <c r="G12" i="41"/>
  <c r="U12" i="41"/>
  <c r="L12" i="41"/>
  <c r="R12" i="41"/>
  <c r="E12" i="41"/>
  <c r="K12" i="41"/>
  <c r="J12" i="41"/>
  <c r="D32" i="36"/>
  <c r="E37" i="38" s="1"/>
  <c r="O149" i="81"/>
  <c r="O151" i="81" s="1"/>
  <c r="L149" i="81"/>
  <c r="L151" i="81" s="1"/>
  <c r="H149" i="81"/>
  <c r="H151" i="81" s="1"/>
  <c r="P36" i="55"/>
  <c r="Q39" i="54" s="1"/>
  <c r="K149" i="81"/>
  <c r="K151" i="81" s="1"/>
  <c r="U121" i="81"/>
  <c r="U123" i="81" s="1"/>
  <c r="L36" i="55"/>
  <c r="NF39" i="54" s="1"/>
  <c r="O36" i="55"/>
  <c r="NI39" i="54" s="1"/>
  <c r="F36" i="55"/>
  <c r="MZ39" i="54" s="1"/>
  <c r="Y23" i="41"/>
  <c r="Z23" i="41" s="1"/>
  <c r="C36" i="42" s="1"/>
  <c r="C35" i="42" s="1"/>
  <c r="E36" i="55"/>
  <c r="MY39" i="54" s="1"/>
  <c r="G121" i="81"/>
  <c r="G123" i="81" s="1"/>
  <c r="O13" i="55"/>
  <c r="CW16" i="54" s="1"/>
  <c r="R16" i="42"/>
  <c r="S39" i="54"/>
  <c r="NL39" i="54"/>
  <c r="NM39" i="54"/>
  <c r="T39" i="54"/>
  <c r="I13" i="55"/>
  <c r="NC16" i="54" s="1"/>
  <c r="R13" i="55"/>
  <c r="NL16" i="54" s="1"/>
  <c r="V121" i="81"/>
  <c r="V123" i="81" s="1"/>
  <c r="S16" i="42"/>
  <c r="E13" i="43" s="1"/>
  <c r="G13" i="43" s="1"/>
  <c r="N13" i="55"/>
  <c r="CV16" i="54" s="1"/>
  <c r="F121" i="81"/>
  <c r="F123" i="81" s="1"/>
  <c r="K13" i="55"/>
  <c r="CS16" i="54" s="1"/>
  <c r="J13" i="55"/>
  <c r="ND16" i="54" s="1"/>
  <c r="P13" i="55"/>
  <c r="CX16" i="54" s="1"/>
  <c r="H13" i="55"/>
  <c r="NB16" i="54" s="1"/>
  <c r="T121" i="81"/>
  <c r="T123" i="81" s="1"/>
  <c r="Q16" i="42"/>
  <c r="Q13" i="55"/>
  <c r="CY16" i="54" s="1"/>
  <c r="G13" i="55"/>
  <c r="CO16" i="54" s="1"/>
  <c r="DB16" i="54"/>
  <c r="Y13" i="41"/>
  <c r="Z13" i="41" s="1"/>
  <c r="C17" i="42" s="1"/>
  <c r="C16" i="42" s="1"/>
  <c r="NG16" i="54"/>
  <c r="CU16" i="54"/>
  <c r="L13" i="55"/>
  <c r="I115" i="81"/>
  <c r="I117" i="81" s="1"/>
  <c r="H12" i="55"/>
  <c r="Q115" i="81"/>
  <c r="Q117" i="81" s="1"/>
  <c r="P12" i="55"/>
  <c r="R115" i="81"/>
  <c r="R117" i="81" s="1"/>
  <c r="Q12" i="55"/>
  <c r="M143" i="81"/>
  <c r="M145" i="81" s="1"/>
  <c r="L34" i="55"/>
  <c r="L115" i="81"/>
  <c r="L117" i="81" s="1"/>
  <c r="K12" i="55"/>
  <c r="P115" i="81"/>
  <c r="P117" i="81" s="1"/>
  <c r="O12" i="55"/>
  <c r="N115" i="81"/>
  <c r="N117" i="81" s="1"/>
  <c r="M12" i="55"/>
  <c r="G115" i="81"/>
  <c r="G117" i="81" s="1"/>
  <c r="F12" i="55"/>
  <c r="K115" i="81"/>
  <c r="K117" i="81" s="1"/>
  <c r="J12" i="55"/>
  <c r="S115" i="81"/>
  <c r="S117" i="81" s="1"/>
  <c r="R12" i="55"/>
  <c r="O115" i="81"/>
  <c r="O117" i="81" s="1"/>
  <c r="N12" i="55"/>
  <c r="H115" i="81"/>
  <c r="H117" i="81" s="1"/>
  <c r="G12" i="55"/>
  <c r="J115" i="81"/>
  <c r="J117" i="81" s="1"/>
  <c r="I12" i="55"/>
  <c r="M115" i="81"/>
  <c r="M117" i="81" s="1"/>
  <c r="L12" i="55"/>
  <c r="E19" i="41" a="1"/>
  <c r="M19" i="41" s="1"/>
  <c r="I91" i="38"/>
  <c r="J91" i="38" s="1"/>
  <c r="N56" i="42"/>
  <c r="N55" i="42" s="1"/>
  <c r="AL33" i="41"/>
  <c r="L26" i="42"/>
  <c r="L25" i="42" s="1"/>
  <c r="AJ18" i="41"/>
  <c r="K42" i="42"/>
  <c r="K41" i="42" s="1"/>
  <c r="AI26" i="41"/>
  <c r="U21" i="41"/>
  <c r="R21" i="41"/>
  <c r="H21" i="41"/>
  <c r="J21" i="41"/>
  <c r="M21" i="41"/>
  <c r="T21" i="41"/>
  <c r="P21" i="41"/>
  <c r="E309" i="35"/>
  <c r="I21" i="41"/>
  <c r="D59" i="36"/>
  <c r="E38" i="38"/>
  <c r="E33" i="36"/>
  <c r="F33" i="36" s="1"/>
  <c r="G171" i="38" s="1"/>
  <c r="O21" i="41"/>
  <c r="K21" i="41"/>
  <c r="G21" i="41"/>
  <c r="S21" i="41"/>
  <c r="Q21" i="41"/>
  <c r="N21" i="41"/>
  <c r="E21" i="41"/>
  <c r="F21" i="41"/>
  <c r="L10" i="41"/>
  <c r="Q10" i="41"/>
  <c r="P10" i="41"/>
  <c r="J10" i="41"/>
  <c r="S10" i="41"/>
  <c r="H10" i="41"/>
  <c r="K10" i="41"/>
  <c r="E10" i="41"/>
  <c r="O10" i="41"/>
  <c r="M10" i="41"/>
  <c r="G10" i="41"/>
  <c r="I10" i="41"/>
  <c r="T10" i="41"/>
  <c r="N10" i="41"/>
  <c r="U10" i="41"/>
  <c r="F10" i="41"/>
  <c r="R10" i="41"/>
  <c r="N194" i="35"/>
  <c r="E29" i="41" a="1"/>
  <c r="O86" i="42"/>
  <c r="O85" i="42" s="1"/>
  <c r="AM50" i="41"/>
  <c r="P86" i="42" s="1"/>
  <c r="P85" i="42" s="1"/>
  <c r="L22" i="42"/>
  <c r="L21" i="42" s="1"/>
  <c r="AJ16" i="41"/>
  <c r="S12" i="42"/>
  <c r="V115" i="81"/>
  <c r="V117" i="81" s="1"/>
  <c r="E30" i="41" a="1"/>
  <c r="E64" i="38"/>
  <c r="E57" i="36"/>
  <c r="R12" i="42"/>
  <c r="U115" i="81"/>
  <c r="U117" i="81" s="1"/>
  <c r="E31" i="41" a="1"/>
  <c r="F115" i="81"/>
  <c r="F117" i="81" s="1"/>
  <c r="Y11" i="41"/>
  <c r="Z11" i="41" s="1"/>
  <c r="AJ24" i="41"/>
  <c r="L38" i="42"/>
  <c r="L37" i="42" s="1"/>
  <c r="AL20" i="41"/>
  <c r="N30" i="42"/>
  <c r="N29" i="42" s="1"/>
  <c r="Q12" i="42"/>
  <c r="T115" i="81"/>
  <c r="T117" i="81" s="1"/>
  <c r="G63" i="38"/>
  <c r="H63" i="38" s="1"/>
  <c r="F168" i="38"/>
  <c r="I168" i="38" s="1"/>
  <c r="H56" i="36"/>
  <c r="G144" i="38"/>
  <c r="H144" i="38" s="1"/>
  <c r="G35" i="38"/>
  <c r="H35" i="38" s="1"/>
  <c r="N44" i="42"/>
  <c r="N43" i="42" s="1"/>
  <c r="AL27" i="41"/>
  <c r="F36" i="38"/>
  <c r="F145" i="38"/>
  <c r="F64" i="38"/>
  <c r="O34" i="42"/>
  <c r="O33" i="42" s="1"/>
  <c r="AM22" i="41"/>
  <c r="P34" i="42" s="1"/>
  <c r="P33" i="42" s="1"/>
  <c r="O75" i="42"/>
  <c r="O74" i="42" s="1"/>
  <c r="AM44" i="41"/>
  <c r="P75" i="42" s="1"/>
  <c r="P74" i="42" s="1"/>
  <c r="N77" i="42"/>
  <c r="N76" i="42" s="1"/>
  <c r="AL45" i="41"/>
  <c r="O66" i="42"/>
  <c r="O65" i="42" s="1"/>
  <c r="AM39" i="41"/>
  <c r="P66" i="42" s="1"/>
  <c r="P65" i="42" s="1"/>
  <c r="T63" i="42"/>
  <c r="M46" i="42"/>
  <c r="M45" i="42" s="1"/>
  <c r="AK28" i="41"/>
  <c r="CK15" i="54" l="1"/>
  <c r="F309" i="35"/>
  <c r="D309" i="35"/>
  <c r="U39" i="54"/>
  <c r="O39" i="54"/>
  <c r="NE39" i="54"/>
  <c r="NM15" i="54"/>
  <c r="K39" i="54"/>
  <c r="R39" i="54"/>
  <c r="CM16" i="54"/>
  <c r="DC16" i="54"/>
  <c r="D308" i="35"/>
  <c r="F308" i="35"/>
  <c r="K308" i="35"/>
  <c r="F65" i="38" s="1"/>
  <c r="NO39" i="54"/>
  <c r="DA16" i="54"/>
  <c r="BV15" i="54"/>
  <c r="NA39" i="54"/>
  <c r="U6" i="55"/>
  <c r="T10" i="99"/>
  <c r="T188" i="90"/>
  <c r="G6" i="55"/>
  <c r="NA9" i="54" s="1"/>
  <c r="F10" i="99"/>
  <c r="F188" i="90"/>
  <c r="K6" i="55"/>
  <c r="NE9" i="54" s="1"/>
  <c r="J10" i="99"/>
  <c r="J188" i="90"/>
  <c r="E34" i="55"/>
  <c r="D21" i="99"/>
  <c r="D199" i="90"/>
  <c r="F21" i="99"/>
  <c r="F199" i="90"/>
  <c r="S21" i="99"/>
  <c r="S199" i="90"/>
  <c r="Q21" i="99"/>
  <c r="Q199" i="90"/>
  <c r="L118" i="81"/>
  <c r="L120" i="81" s="1"/>
  <c r="J12" i="99"/>
  <c r="J190" i="90"/>
  <c r="S14" i="42"/>
  <c r="E15" i="43" s="1"/>
  <c r="G15" i="43" s="1"/>
  <c r="T12" i="99"/>
  <c r="T190" i="90"/>
  <c r="N118" i="81"/>
  <c r="N120" i="81" s="1"/>
  <c r="L12" i="99"/>
  <c r="L190" i="90"/>
  <c r="D136" i="90"/>
  <c r="D83" i="90"/>
  <c r="S134" i="90"/>
  <c r="S81" i="90"/>
  <c r="J146" i="90"/>
  <c r="J93" i="90"/>
  <c r="N136" i="90"/>
  <c r="N83" i="90"/>
  <c r="J134" i="90"/>
  <c r="J81" i="90"/>
  <c r="H134" i="90"/>
  <c r="H81" i="90"/>
  <c r="N6" i="55"/>
  <c r="NH9" i="54" s="1"/>
  <c r="M10" i="99"/>
  <c r="M188" i="90"/>
  <c r="M6" i="55"/>
  <c r="NG9" i="54" s="1"/>
  <c r="L10" i="99"/>
  <c r="L188" i="90"/>
  <c r="H6" i="55"/>
  <c r="NB9" i="54" s="1"/>
  <c r="G10" i="99"/>
  <c r="G188" i="90"/>
  <c r="Q6" i="55"/>
  <c r="P10" i="99"/>
  <c r="P188" i="90"/>
  <c r="M21" i="99"/>
  <c r="M199" i="90"/>
  <c r="J21" i="99"/>
  <c r="J199" i="90"/>
  <c r="L21" i="99"/>
  <c r="L199" i="90"/>
  <c r="T21" i="99"/>
  <c r="T199" i="90"/>
  <c r="L19" i="99"/>
  <c r="L197" i="90"/>
  <c r="CN16" i="54"/>
  <c r="F118" i="81"/>
  <c r="F120" i="81" s="1"/>
  <c r="D12" i="99"/>
  <c r="D190" i="90"/>
  <c r="H118" i="81"/>
  <c r="H120" i="81" s="1"/>
  <c r="F12" i="99"/>
  <c r="F190" i="90"/>
  <c r="F10" i="55"/>
  <c r="AO13" i="54" s="1"/>
  <c r="E12" i="99"/>
  <c r="E190" i="90"/>
  <c r="Q10" i="55"/>
  <c r="NK13" i="54" s="1"/>
  <c r="P12" i="99"/>
  <c r="P190" i="90"/>
  <c r="Q146" i="90"/>
  <c r="Q93" i="90"/>
  <c r="Q136" i="90"/>
  <c r="Q83" i="90"/>
  <c r="I134" i="90"/>
  <c r="I81" i="90"/>
  <c r="N134" i="90"/>
  <c r="N81" i="90"/>
  <c r="R37" i="90"/>
  <c r="AN37" i="90" s="1"/>
  <c r="O146" i="90"/>
  <c r="O93" i="90"/>
  <c r="O136" i="90"/>
  <c r="O83" i="90"/>
  <c r="S146" i="90"/>
  <c r="S93" i="90"/>
  <c r="E146" i="90"/>
  <c r="E93" i="90"/>
  <c r="T136" i="90"/>
  <c r="T83" i="90"/>
  <c r="R134" i="90"/>
  <c r="R81" i="90"/>
  <c r="F134" i="90"/>
  <c r="F81" i="90"/>
  <c r="T146" i="90"/>
  <c r="T93" i="90"/>
  <c r="P136" i="90"/>
  <c r="P83" i="90"/>
  <c r="H136" i="90"/>
  <c r="H83" i="90"/>
  <c r="K146" i="90"/>
  <c r="K93" i="90"/>
  <c r="I136" i="90"/>
  <c r="I83" i="90"/>
  <c r="L134" i="90"/>
  <c r="L81" i="90"/>
  <c r="R6" i="55"/>
  <c r="S9" i="54" s="1"/>
  <c r="Q10" i="99"/>
  <c r="Q188" i="90"/>
  <c r="T6" i="55"/>
  <c r="S10" i="99"/>
  <c r="S188" i="90"/>
  <c r="O6" i="55"/>
  <c r="NI9" i="54" s="1"/>
  <c r="N10" i="99"/>
  <c r="N188" i="90"/>
  <c r="S6" i="55"/>
  <c r="NM9" i="54" s="1"/>
  <c r="R10" i="99"/>
  <c r="R188" i="90"/>
  <c r="L6" i="55"/>
  <c r="K10" i="99"/>
  <c r="K188" i="90"/>
  <c r="P21" i="99"/>
  <c r="P199" i="90"/>
  <c r="N21" i="99"/>
  <c r="N199" i="90"/>
  <c r="H21" i="99"/>
  <c r="H199" i="90"/>
  <c r="I21" i="99"/>
  <c r="I199" i="90"/>
  <c r="CL15" i="54"/>
  <c r="NC39" i="54"/>
  <c r="S118" i="81"/>
  <c r="S120" i="81" s="1"/>
  <c r="Q12" i="99"/>
  <c r="Q190" i="90"/>
  <c r="O118" i="81"/>
  <c r="O120" i="81" s="1"/>
  <c r="M12" i="99"/>
  <c r="M190" i="90"/>
  <c r="U118" i="81"/>
  <c r="U120" i="81" s="1"/>
  <c r="S12" i="99"/>
  <c r="S190" i="90"/>
  <c r="T118" i="81"/>
  <c r="T120" i="81" s="1"/>
  <c r="R12" i="99"/>
  <c r="R190" i="90"/>
  <c r="H146" i="90"/>
  <c r="H93" i="90"/>
  <c r="K136" i="90"/>
  <c r="K83" i="90"/>
  <c r="N146" i="90"/>
  <c r="N93" i="90"/>
  <c r="F136" i="90"/>
  <c r="F83" i="90"/>
  <c r="P134" i="90"/>
  <c r="P81" i="90"/>
  <c r="F146" i="90"/>
  <c r="F93" i="90"/>
  <c r="E136" i="90"/>
  <c r="E83" i="90"/>
  <c r="T134" i="90"/>
  <c r="T81" i="90"/>
  <c r="E81" i="90"/>
  <c r="E134" i="90"/>
  <c r="D134" i="90"/>
  <c r="D81" i="90"/>
  <c r="G146" i="90"/>
  <c r="G93" i="90"/>
  <c r="G136" i="90"/>
  <c r="G83" i="90"/>
  <c r="K144" i="90"/>
  <c r="K91" i="90"/>
  <c r="Q134" i="90"/>
  <c r="Q81" i="90"/>
  <c r="P6" i="55"/>
  <c r="Q9" i="54" s="1"/>
  <c r="O10" i="99"/>
  <c r="O188" i="90"/>
  <c r="I118" i="81"/>
  <c r="I120" i="81" s="1"/>
  <c r="G12" i="99"/>
  <c r="G190" i="90"/>
  <c r="M146" i="90"/>
  <c r="M93" i="90"/>
  <c r="M134" i="90"/>
  <c r="M81" i="90"/>
  <c r="K134" i="90"/>
  <c r="K81" i="90"/>
  <c r="F6" i="55"/>
  <c r="MZ9" i="54" s="1"/>
  <c r="E10" i="99"/>
  <c r="E188" i="90"/>
  <c r="I6" i="55"/>
  <c r="J9" i="54" s="1"/>
  <c r="H10" i="99"/>
  <c r="H188" i="90"/>
  <c r="E6" i="55"/>
  <c r="D10" i="99"/>
  <c r="D188" i="90"/>
  <c r="J6" i="55"/>
  <c r="K9" i="54" s="1"/>
  <c r="I10" i="99"/>
  <c r="I188" i="90"/>
  <c r="E21" i="99"/>
  <c r="E199" i="90"/>
  <c r="R21" i="99"/>
  <c r="R199" i="90"/>
  <c r="O21" i="99"/>
  <c r="O199" i="90"/>
  <c r="G21" i="99"/>
  <c r="G199" i="90"/>
  <c r="J10" i="55"/>
  <c r="ND13" i="54" s="1"/>
  <c r="I12" i="99"/>
  <c r="I190" i="90"/>
  <c r="L10" i="55"/>
  <c r="NF13" i="54" s="1"/>
  <c r="K12" i="99"/>
  <c r="K190" i="90"/>
  <c r="O10" i="55"/>
  <c r="AX13" i="54" s="1"/>
  <c r="N12" i="99"/>
  <c r="N190" i="90"/>
  <c r="I10" i="55"/>
  <c r="NC13" i="54" s="1"/>
  <c r="H12" i="99"/>
  <c r="H190" i="90"/>
  <c r="P146" i="90"/>
  <c r="P93" i="90"/>
  <c r="M136" i="90"/>
  <c r="M83" i="90"/>
  <c r="O134" i="90"/>
  <c r="O81" i="90"/>
  <c r="G134" i="90"/>
  <c r="G81" i="90"/>
  <c r="I146" i="90"/>
  <c r="I93" i="90"/>
  <c r="J136" i="90"/>
  <c r="J83" i="90"/>
  <c r="L27" i="90"/>
  <c r="AH27" i="90" s="1"/>
  <c r="D146" i="90"/>
  <c r="D93" i="90"/>
  <c r="S136" i="90"/>
  <c r="S83" i="90"/>
  <c r="O135" i="90"/>
  <c r="O82" i="90"/>
  <c r="L146" i="90"/>
  <c r="L93" i="90"/>
  <c r="R136" i="90"/>
  <c r="R83" i="90"/>
  <c r="I39" i="54"/>
  <c r="N40" i="42"/>
  <c r="N39" i="42" s="1"/>
  <c r="AL25" i="41"/>
  <c r="U10" i="55"/>
  <c r="NO13" i="54" s="1"/>
  <c r="H10" i="55"/>
  <c r="NB13" i="54" s="1"/>
  <c r="M118" i="81"/>
  <c r="M120" i="81" s="1"/>
  <c r="NJ13" i="54"/>
  <c r="J118" i="81"/>
  <c r="J120" i="81" s="1"/>
  <c r="P39" i="54"/>
  <c r="D58" i="36"/>
  <c r="E65" i="38" s="1"/>
  <c r="E32" i="36"/>
  <c r="F32" i="36" s="1"/>
  <c r="G170" i="38" s="1"/>
  <c r="R10" i="55"/>
  <c r="NL13" i="54" s="1"/>
  <c r="T10" i="55"/>
  <c r="NN13" i="54" s="1"/>
  <c r="S10" i="55"/>
  <c r="NM13" i="54" s="1"/>
  <c r="R14" i="42"/>
  <c r="NJ39" i="54"/>
  <c r="G10" i="55"/>
  <c r="AP13" i="54" s="1"/>
  <c r="Y12" i="41"/>
  <c r="Z12" i="41" s="1"/>
  <c r="C15" i="42" s="1"/>
  <c r="C14" i="42" s="1"/>
  <c r="R118" i="81"/>
  <c r="R120" i="81" s="1"/>
  <c r="Q14" i="42"/>
  <c r="N10" i="55"/>
  <c r="NH13" i="54" s="1"/>
  <c r="G118" i="81"/>
  <c r="G120" i="81" s="1"/>
  <c r="E10" i="55"/>
  <c r="MY13" i="54" s="1"/>
  <c r="M10" i="55"/>
  <c r="NG13" i="54" s="1"/>
  <c r="NG39" i="54"/>
  <c r="K118" i="81"/>
  <c r="K120" i="81" s="1"/>
  <c r="P118" i="81"/>
  <c r="P120" i="81" s="1"/>
  <c r="V118" i="81"/>
  <c r="V120" i="81" s="1"/>
  <c r="K10" i="55"/>
  <c r="NE13" i="54" s="1"/>
  <c r="AR23" i="41"/>
  <c r="AA23" i="41" s="1"/>
  <c r="AB23" i="41" s="1"/>
  <c r="G39" i="54"/>
  <c r="NI16" i="54"/>
  <c r="F39" i="54"/>
  <c r="M39" i="54"/>
  <c r="CQ16" i="54"/>
  <c r="NH16" i="54"/>
  <c r="CZ16" i="54"/>
  <c r="NK16" i="54"/>
  <c r="NE16" i="54"/>
  <c r="AR13" i="41"/>
  <c r="AA13" i="41" s="1"/>
  <c r="AB13" i="41" s="1"/>
  <c r="CR16" i="54"/>
  <c r="NJ16" i="54"/>
  <c r="NA16" i="54"/>
  <c r="CP16" i="54"/>
  <c r="NC9" i="54"/>
  <c r="NI15" i="54"/>
  <c r="CF15" i="54"/>
  <c r="NK9" i="54"/>
  <c r="R9" i="54"/>
  <c r="NF9" i="54"/>
  <c r="M9" i="54"/>
  <c r="NH15" i="54"/>
  <c r="CE15" i="54"/>
  <c r="MZ15" i="54"/>
  <c r="BW15" i="54"/>
  <c r="NE15" i="54"/>
  <c r="CB15" i="54"/>
  <c r="NJ15" i="54"/>
  <c r="CG15" i="54"/>
  <c r="MY9" i="54"/>
  <c r="F9" i="54"/>
  <c r="NO9" i="54"/>
  <c r="V9" i="54"/>
  <c r="L9" i="54"/>
  <c r="NC15" i="54"/>
  <c r="BZ15" i="54"/>
  <c r="NL15" i="54"/>
  <c r="CI15" i="54"/>
  <c r="NK15" i="54"/>
  <c r="CH15" i="54"/>
  <c r="NB15" i="54"/>
  <c r="BY15" i="54"/>
  <c r="NF16" i="54"/>
  <c r="CT16" i="54"/>
  <c r="KI36" i="54"/>
  <c r="MY36" i="54"/>
  <c r="NN9" i="54"/>
  <c r="U9" i="54"/>
  <c r="NF15" i="54"/>
  <c r="CC15" i="54"/>
  <c r="NA15" i="54"/>
  <c r="BX15" i="54"/>
  <c r="ND15" i="54"/>
  <c r="CA15" i="54"/>
  <c r="NG15" i="54"/>
  <c r="CD15" i="54"/>
  <c r="NF36" i="54"/>
  <c r="KP36" i="54"/>
  <c r="R143" i="81"/>
  <c r="R145" i="81" s="1"/>
  <c r="Q34" i="55"/>
  <c r="J143" i="81"/>
  <c r="J145" i="81" s="1"/>
  <c r="I34" i="55"/>
  <c r="O143" i="81"/>
  <c r="O145" i="81" s="1"/>
  <c r="N34" i="55"/>
  <c r="N143" i="81"/>
  <c r="N145" i="81" s="1"/>
  <c r="M34" i="55"/>
  <c r="N137" i="81"/>
  <c r="N139" i="81" s="1"/>
  <c r="M39" i="55"/>
  <c r="T143" i="81"/>
  <c r="T145" i="81" s="1"/>
  <c r="S34" i="55"/>
  <c r="K143" i="81"/>
  <c r="K145" i="81" s="1"/>
  <c r="J34" i="55"/>
  <c r="L143" i="81"/>
  <c r="L145" i="81" s="1"/>
  <c r="K34" i="55"/>
  <c r="H143" i="81"/>
  <c r="H145" i="81" s="1"/>
  <c r="G34" i="55"/>
  <c r="P143" i="81"/>
  <c r="P145" i="81" s="1"/>
  <c r="O34" i="55"/>
  <c r="S143" i="81"/>
  <c r="S145" i="81" s="1"/>
  <c r="R34" i="55"/>
  <c r="G143" i="81"/>
  <c r="G145" i="81" s="1"/>
  <c r="F34" i="55"/>
  <c r="Q143" i="81"/>
  <c r="Q145" i="81" s="1"/>
  <c r="P34" i="55"/>
  <c r="V143" i="81"/>
  <c r="V145" i="81" s="1"/>
  <c r="U34" i="55"/>
  <c r="I143" i="81"/>
  <c r="I145" i="81" s="1"/>
  <c r="H34" i="55"/>
  <c r="R31" i="42"/>
  <c r="T34" i="55"/>
  <c r="K19" i="41"/>
  <c r="S19" i="41"/>
  <c r="Q19" i="41"/>
  <c r="P19" i="41"/>
  <c r="J19" i="41"/>
  <c r="U19" i="41"/>
  <c r="I19" i="41"/>
  <c r="T19" i="41"/>
  <c r="E19" i="41"/>
  <c r="G19" i="41"/>
  <c r="H19" i="41"/>
  <c r="L19" i="41"/>
  <c r="N19" i="41"/>
  <c r="F19" i="41"/>
  <c r="R19" i="41"/>
  <c r="O19" i="41"/>
  <c r="I92" i="38"/>
  <c r="J92" i="38" s="1"/>
  <c r="E14" i="43"/>
  <c r="G14" i="43" s="1"/>
  <c r="M26" i="42"/>
  <c r="M25" i="42" s="1"/>
  <c r="AK18" i="41"/>
  <c r="O56" i="42"/>
  <c r="O55" i="42" s="1"/>
  <c r="AM33" i="41"/>
  <c r="P56" i="42" s="1"/>
  <c r="P55" i="42" s="1"/>
  <c r="Q31" i="42"/>
  <c r="L42" i="42"/>
  <c r="L41" i="42" s="1"/>
  <c r="AJ26" i="41"/>
  <c r="S31" i="42"/>
  <c r="E22" i="43" s="1"/>
  <c r="G22" i="43" s="1"/>
  <c r="U143" i="81"/>
  <c r="U145" i="81" s="1"/>
  <c r="T85" i="42"/>
  <c r="E42" i="41" a="1"/>
  <c r="S42" i="41" s="1"/>
  <c r="E41" i="41" a="1"/>
  <c r="N41" i="41" s="1"/>
  <c r="E59" i="36"/>
  <c r="E66" i="38"/>
  <c r="F66" i="38"/>
  <c r="F38" i="38"/>
  <c r="F147" i="38"/>
  <c r="T33" i="42"/>
  <c r="Y21" i="41"/>
  <c r="F143" i="81"/>
  <c r="F145" i="81" s="1"/>
  <c r="T74" i="42"/>
  <c r="AM20" i="41"/>
  <c r="P30" i="42" s="1"/>
  <c r="P29" i="42" s="1"/>
  <c r="O30" i="42"/>
  <c r="O29" i="42" s="1"/>
  <c r="M31" i="41"/>
  <c r="P31" i="41"/>
  <c r="L31" i="41"/>
  <c r="I31" i="41"/>
  <c r="E31" i="41"/>
  <c r="H31" i="41"/>
  <c r="T31" i="41"/>
  <c r="O31" i="41"/>
  <c r="R31" i="41"/>
  <c r="J31" i="41"/>
  <c r="U31" i="41"/>
  <c r="G31" i="41"/>
  <c r="S31" i="41"/>
  <c r="N31" i="41"/>
  <c r="Q31" i="41"/>
  <c r="K31" i="41"/>
  <c r="F31" i="41"/>
  <c r="Q29" i="41"/>
  <c r="E29" i="41"/>
  <c r="F29" i="41"/>
  <c r="H29" i="41"/>
  <c r="N29" i="41"/>
  <c r="I29" i="41"/>
  <c r="T29" i="41"/>
  <c r="P29" i="41"/>
  <c r="L29" i="41"/>
  <c r="M29" i="41"/>
  <c r="S29" i="41"/>
  <c r="U29" i="41"/>
  <c r="R29" i="41"/>
  <c r="O29" i="41"/>
  <c r="K29" i="41"/>
  <c r="G29" i="41"/>
  <c r="J29" i="41"/>
  <c r="L10" i="42"/>
  <c r="O112" i="81"/>
  <c r="F10" i="42"/>
  <c r="I112" i="81"/>
  <c r="U112" i="81"/>
  <c r="R10" i="42"/>
  <c r="Q10" i="42"/>
  <c r="T112" i="81"/>
  <c r="M38" i="42"/>
  <c r="M37" i="42" s="1"/>
  <c r="AK24" i="41"/>
  <c r="S30" i="41"/>
  <c r="H30" i="41"/>
  <c r="O30" i="41"/>
  <c r="K30" i="41"/>
  <c r="P30" i="41"/>
  <c r="M30" i="41"/>
  <c r="G30" i="41"/>
  <c r="R30" i="41"/>
  <c r="T30" i="41"/>
  <c r="N30" i="41"/>
  <c r="J30" i="41"/>
  <c r="F30" i="41"/>
  <c r="Q30" i="41"/>
  <c r="U30" i="41"/>
  <c r="I30" i="41"/>
  <c r="E30" i="41"/>
  <c r="L30" i="41"/>
  <c r="M22" i="42"/>
  <c r="M21" i="42" s="1"/>
  <c r="AK16" i="41"/>
  <c r="U14" i="41"/>
  <c r="I14" i="41"/>
  <c r="O14" i="41"/>
  <c r="E14" i="41"/>
  <c r="T14" i="41"/>
  <c r="F14" i="41"/>
  <c r="M14" i="41"/>
  <c r="P14" i="41"/>
  <c r="H14" i="41"/>
  <c r="N14" i="41"/>
  <c r="J14" i="41"/>
  <c r="Q14" i="41"/>
  <c r="L14" i="41"/>
  <c r="G14" i="41"/>
  <c r="S14" i="41"/>
  <c r="R14" i="41"/>
  <c r="K14" i="41"/>
  <c r="J112" i="81"/>
  <c r="G10" i="42"/>
  <c r="H10" i="42"/>
  <c r="K112" i="81"/>
  <c r="AM27" i="41"/>
  <c r="P44" i="42" s="1"/>
  <c r="P43" i="42" s="1"/>
  <c r="O44" i="42"/>
  <c r="O43" i="42" s="1"/>
  <c r="E10" i="42"/>
  <c r="H112" i="81"/>
  <c r="N10" i="42"/>
  <c r="Q112" i="81"/>
  <c r="I10" i="42"/>
  <c r="L112" i="81"/>
  <c r="F169" i="38"/>
  <c r="I169" i="38" s="1"/>
  <c r="G145" i="38"/>
  <c r="H145" i="38" s="1"/>
  <c r="G36" i="38"/>
  <c r="H36" i="38" s="1"/>
  <c r="G64" i="38"/>
  <c r="H64" i="38" s="1"/>
  <c r="H57" i="36"/>
  <c r="N112" i="81"/>
  <c r="K10" i="42"/>
  <c r="O10" i="42"/>
  <c r="R112" i="81"/>
  <c r="P10" i="42"/>
  <c r="S112" i="81"/>
  <c r="P112" i="81"/>
  <c r="M10" i="42"/>
  <c r="J10" i="42"/>
  <c r="M112" i="81"/>
  <c r="S10" i="42"/>
  <c r="E12" i="43" s="1"/>
  <c r="G12" i="43" s="1"/>
  <c r="V112" i="81"/>
  <c r="C13" i="42"/>
  <c r="C12" i="42" s="1"/>
  <c r="AR11" i="41"/>
  <c r="AA11" i="41" s="1"/>
  <c r="G112" i="81"/>
  <c r="D10" i="42"/>
  <c r="C10" i="42"/>
  <c r="F112" i="81"/>
  <c r="Y10" i="41"/>
  <c r="O77" i="42"/>
  <c r="O76" i="42" s="1"/>
  <c r="AM45" i="41"/>
  <c r="P77" i="42" s="1"/>
  <c r="P76" i="42" s="1"/>
  <c r="T65" i="42"/>
  <c r="N46" i="42"/>
  <c r="N45" i="42" s="1"/>
  <c r="AL28" i="41"/>
  <c r="I27" i="90" l="1"/>
  <c r="AE27" i="90" s="1"/>
  <c r="E43" i="41" a="1"/>
  <c r="P43" i="41" s="1"/>
  <c r="F37" i="38"/>
  <c r="F146" i="38"/>
  <c r="NI13" i="54"/>
  <c r="MZ13" i="54"/>
  <c r="NL9" i="54"/>
  <c r="H27" i="90"/>
  <c r="AD27" i="90" s="1"/>
  <c r="R25" i="90"/>
  <c r="AN25" i="90" s="1"/>
  <c r="O27" i="90"/>
  <c r="AK27" i="90" s="1"/>
  <c r="H25" i="90"/>
  <c r="AD25" i="90" s="1"/>
  <c r="I9" i="54"/>
  <c r="T37" i="90"/>
  <c r="AP37" i="90" s="1"/>
  <c r="E37" i="90"/>
  <c r="AA37" i="90" s="1"/>
  <c r="P9" i="54"/>
  <c r="ND9" i="54"/>
  <c r="BD13" i="54"/>
  <c r="G25" i="90"/>
  <c r="AC25" i="90" s="1"/>
  <c r="K25" i="90"/>
  <c r="AG25" i="90" s="1"/>
  <c r="G27" i="90"/>
  <c r="AC27" i="90" s="1"/>
  <c r="T25" i="90"/>
  <c r="AP25" i="90" s="1"/>
  <c r="F27" i="90"/>
  <c r="AB27" i="90" s="1"/>
  <c r="N25" i="90"/>
  <c r="AJ25" i="90" s="1"/>
  <c r="J27" i="90"/>
  <c r="AF27" i="90" s="1"/>
  <c r="M27" i="90"/>
  <c r="AI27" i="90" s="1"/>
  <c r="M37" i="90"/>
  <c r="AI37" i="90" s="1"/>
  <c r="Q25" i="90"/>
  <c r="AM25" i="90" s="1"/>
  <c r="D25" i="90"/>
  <c r="Z25" i="90" s="1"/>
  <c r="F37" i="90"/>
  <c r="AB37" i="90" s="1"/>
  <c r="K27" i="90"/>
  <c r="AG27" i="90" s="1"/>
  <c r="L37" i="90"/>
  <c r="AH37" i="90" s="1"/>
  <c r="S27" i="90"/>
  <c r="AO27" i="90" s="1"/>
  <c r="N27" i="90"/>
  <c r="AJ27" i="90" s="1"/>
  <c r="S25" i="90"/>
  <c r="AO25" i="90" s="1"/>
  <c r="N9" i="54"/>
  <c r="Q27" i="90"/>
  <c r="AM27" i="90" s="1"/>
  <c r="T9" i="54"/>
  <c r="AU13" i="54"/>
  <c r="NJ9" i="54"/>
  <c r="NA13" i="54"/>
  <c r="I37" i="90"/>
  <c r="AE37" i="90" s="1"/>
  <c r="O25" i="90"/>
  <c r="AK25" i="90" s="1"/>
  <c r="P37" i="90"/>
  <c r="AL37" i="90" s="1"/>
  <c r="M25" i="90"/>
  <c r="AI25" i="90" s="1"/>
  <c r="K35" i="90"/>
  <c r="AG35" i="90" s="1"/>
  <c r="G37" i="90"/>
  <c r="AC37" i="90" s="1"/>
  <c r="E27" i="90"/>
  <c r="AA27" i="90" s="1"/>
  <c r="P25" i="90"/>
  <c r="AL25" i="90" s="1"/>
  <c r="N37" i="90"/>
  <c r="AJ37" i="90" s="1"/>
  <c r="H37" i="90"/>
  <c r="AD37" i="90" s="1"/>
  <c r="I25" i="90"/>
  <c r="AE25" i="90" s="1"/>
  <c r="Q37" i="90"/>
  <c r="AM37" i="90" s="1"/>
  <c r="M14" i="99"/>
  <c r="M192" i="90"/>
  <c r="L42" i="55"/>
  <c r="NF45" i="54" s="1"/>
  <c r="K30" i="99"/>
  <c r="K208" i="90"/>
  <c r="S47" i="55"/>
  <c r="NM50" i="54" s="1"/>
  <c r="R29" i="99"/>
  <c r="R207" i="90"/>
  <c r="T47" i="55"/>
  <c r="NN50" i="54" s="1"/>
  <c r="S29" i="99"/>
  <c r="S207" i="90"/>
  <c r="J31" i="99"/>
  <c r="J209" i="90"/>
  <c r="F31" i="99"/>
  <c r="F209" i="90"/>
  <c r="N31" i="99"/>
  <c r="N209" i="90"/>
  <c r="H31" i="99"/>
  <c r="H209" i="90"/>
  <c r="E19" i="99"/>
  <c r="E197" i="90"/>
  <c r="Q27" i="42"/>
  <c r="R19" i="99"/>
  <c r="R197" i="90"/>
  <c r="K135" i="90"/>
  <c r="K82" i="90"/>
  <c r="O144" i="90"/>
  <c r="O91" i="90"/>
  <c r="M135" i="90"/>
  <c r="M82" i="90"/>
  <c r="I144" i="90"/>
  <c r="I91" i="90"/>
  <c r="K133" i="90"/>
  <c r="K80" i="90"/>
  <c r="K14" i="99"/>
  <c r="K192" i="90"/>
  <c r="G14" i="99"/>
  <c r="G192" i="90"/>
  <c r="U29" i="55"/>
  <c r="V32" i="54" s="1"/>
  <c r="T14" i="99"/>
  <c r="T192" i="90"/>
  <c r="F42" i="55"/>
  <c r="MZ45" i="54" s="1"/>
  <c r="E30" i="99"/>
  <c r="E208" i="90"/>
  <c r="K42" i="55"/>
  <c r="LF45" i="54" s="1"/>
  <c r="LF69" i="54" s="1"/>
  <c r="LF187" i="54" s="1"/>
  <c r="I25" i="52" s="1"/>
  <c r="K26" i="51" s="1"/>
  <c r="K60" i="51" s="1"/>
  <c r="I22" i="50" s="1"/>
  <c r="I54" i="50" s="1"/>
  <c r="I24" i="46" s="1"/>
  <c r="I209" i="46" s="1"/>
  <c r="J30" i="99"/>
  <c r="J208" i="90"/>
  <c r="O47" i="55"/>
  <c r="NI50" i="54" s="1"/>
  <c r="N29" i="99"/>
  <c r="N207" i="90"/>
  <c r="I47" i="55"/>
  <c r="ML50" i="54" s="1"/>
  <c r="ML69" i="54" s="1"/>
  <c r="ML187" i="54" s="1"/>
  <c r="G21" i="52" s="1"/>
  <c r="I22" i="51" s="1"/>
  <c r="I56" i="51" s="1"/>
  <c r="G18" i="50" s="1"/>
  <c r="G50" i="50" s="1"/>
  <c r="G20" i="46" s="1"/>
  <c r="G143" i="46" s="1"/>
  <c r="H29" i="99"/>
  <c r="H207" i="90"/>
  <c r="E47" i="55"/>
  <c r="MH50" i="54" s="1"/>
  <c r="MH69" i="54" s="1"/>
  <c r="MH187" i="54" s="1"/>
  <c r="C21" i="52" s="1"/>
  <c r="E22" i="51" s="1"/>
  <c r="E56" i="51" s="1"/>
  <c r="C18" i="50" s="1"/>
  <c r="C50" i="50" s="1"/>
  <c r="C20" i="46" s="1"/>
  <c r="C143" i="46" s="1"/>
  <c r="D29" i="99"/>
  <c r="D207" i="90"/>
  <c r="P31" i="99"/>
  <c r="P209" i="90"/>
  <c r="T48" i="55"/>
  <c r="NN51" i="54" s="1"/>
  <c r="S31" i="99"/>
  <c r="S209" i="90"/>
  <c r="K31" i="99"/>
  <c r="K209" i="90"/>
  <c r="N135" i="90"/>
  <c r="N82" i="90"/>
  <c r="D133" i="90"/>
  <c r="D80" i="90"/>
  <c r="E25" i="90"/>
  <c r="AA25" i="90" s="1"/>
  <c r="S135" i="90"/>
  <c r="S82" i="90"/>
  <c r="S133" i="90"/>
  <c r="S80" i="90"/>
  <c r="E135" i="90"/>
  <c r="E82" i="90"/>
  <c r="T144" i="90"/>
  <c r="T91" i="90"/>
  <c r="J144" i="90"/>
  <c r="J91" i="90"/>
  <c r="P133" i="90"/>
  <c r="P80" i="90"/>
  <c r="L135" i="90"/>
  <c r="L82" i="90"/>
  <c r="T133" i="90"/>
  <c r="T80" i="90"/>
  <c r="Q70" i="42"/>
  <c r="R42" i="99"/>
  <c r="R220" i="90"/>
  <c r="F19" i="99"/>
  <c r="F197" i="90"/>
  <c r="E144" i="90"/>
  <c r="E91" i="90"/>
  <c r="G135" i="90"/>
  <c r="G82" i="90"/>
  <c r="N144" i="90"/>
  <c r="N91" i="90"/>
  <c r="T135" i="90"/>
  <c r="T82" i="90"/>
  <c r="S144" i="90"/>
  <c r="S91" i="90"/>
  <c r="J14" i="99"/>
  <c r="J192" i="90"/>
  <c r="T29" i="55"/>
  <c r="BC32" i="54" s="1"/>
  <c r="S14" i="99"/>
  <c r="S192" i="90"/>
  <c r="E42" i="55"/>
  <c r="MY45" i="54" s="1"/>
  <c r="D30" i="99"/>
  <c r="D208" i="90"/>
  <c r="R42" i="55"/>
  <c r="NL45" i="54" s="1"/>
  <c r="Q30" i="99"/>
  <c r="Q208" i="90"/>
  <c r="M47" i="55"/>
  <c r="NG50" i="54" s="1"/>
  <c r="L29" i="99"/>
  <c r="L207" i="90"/>
  <c r="U48" i="55"/>
  <c r="NO51" i="54" s="1"/>
  <c r="T31" i="99"/>
  <c r="T209" i="90"/>
  <c r="M19" i="99"/>
  <c r="M197" i="90"/>
  <c r="Y19" i="41"/>
  <c r="D19" i="99"/>
  <c r="D197" i="90"/>
  <c r="I19" i="99"/>
  <c r="I197" i="90"/>
  <c r="J19" i="99"/>
  <c r="J197" i="90"/>
  <c r="H9" i="54"/>
  <c r="Q14" i="99"/>
  <c r="Q192" i="90"/>
  <c r="P14" i="99"/>
  <c r="P192" i="90"/>
  <c r="O14" i="99"/>
  <c r="O192" i="90"/>
  <c r="E29" i="55"/>
  <c r="CM32" i="54" s="1"/>
  <c r="CM69" i="54" s="1"/>
  <c r="CM187" i="54" s="1"/>
  <c r="C7" i="52" s="1"/>
  <c r="E8" i="51" s="1"/>
  <c r="E42" i="51" s="1"/>
  <c r="C7" i="50" s="1"/>
  <c r="C39" i="50" s="1"/>
  <c r="C9" i="46" s="1"/>
  <c r="D14" i="99"/>
  <c r="D192" i="90"/>
  <c r="I42" i="55"/>
  <c r="NC45" i="54" s="1"/>
  <c r="H30" i="99"/>
  <c r="H208" i="90"/>
  <c r="J42" i="55"/>
  <c r="LE45" i="54" s="1"/>
  <c r="LE69" i="54" s="1"/>
  <c r="LE187" i="54" s="1"/>
  <c r="H25" i="52" s="1"/>
  <c r="J26" i="51" s="1"/>
  <c r="J60" i="51" s="1"/>
  <c r="H22" i="50" s="1"/>
  <c r="H54" i="50" s="1"/>
  <c r="H24" i="46" s="1"/>
  <c r="H209" i="46" s="1"/>
  <c r="I30" i="99"/>
  <c r="I208" i="90"/>
  <c r="G42" i="55"/>
  <c r="NA45" i="54" s="1"/>
  <c r="F30" i="99"/>
  <c r="F208" i="90"/>
  <c r="O42" i="55"/>
  <c r="LJ45" i="54" s="1"/>
  <c r="LJ69" i="54" s="1"/>
  <c r="LJ187" i="54" s="1"/>
  <c r="M25" i="52" s="1"/>
  <c r="O26" i="51" s="1"/>
  <c r="O60" i="51" s="1"/>
  <c r="M22" i="50" s="1"/>
  <c r="M54" i="50" s="1"/>
  <c r="M24" i="46" s="1"/>
  <c r="M209" i="46" s="1"/>
  <c r="N30" i="99"/>
  <c r="N208" i="90"/>
  <c r="J47" i="55"/>
  <c r="ND50" i="54" s="1"/>
  <c r="I29" i="99"/>
  <c r="I207" i="90"/>
  <c r="R47" i="55"/>
  <c r="NL50" i="54" s="1"/>
  <c r="Q29" i="99"/>
  <c r="Q207" i="90"/>
  <c r="L47" i="55"/>
  <c r="NF50" i="54" s="1"/>
  <c r="K29" i="99"/>
  <c r="K207" i="90"/>
  <c r="N47" i="55"/>
  <c r="NH50" i="54" s="1"/>
  <c r="M29" i="99"/>
  <c r="M207" i="90"/>
  <c r="Q47" i="55"/>
  <c r="NK50" i="54" s="1"/>
  <c r="P29" i="99"/>
  <c r="P207" i="90"/>
  <c r="M31" i="99"/>
  <c r="M209" i="90"/>
  <c r="I31" i="99"/>
  <c r="I209" i="90"/>
  <c r="G31" i="99"/>
  <c r="G209" i="90"/>
  <c r="O31" i="99"/>
  <c r="O209" i="90"/>
  <c r="N19" i="99"/>
  <c r="N197" i="90"/>
  <c r="K19" i="99"/>
  <c r="K197" i="90"/>
  <c r="S19" i="99"/>
  <c r="S197" i="90"/>
  <c r="O19" i="99"/>
  <c r="O197" i="90"/>
  <c r="AZ13" i="54"/>
  <c r="AS13" i="54"/>
  <c r="O9" i="54"/>
  <c r="G9" i="54"/>
  <c r="AR13" i="54"/>
  <c r="H135" i="90"/>
  <c r="H82" i="90"/>
  <c r="G144" i="90"/>
  <c r="G91" i="90"/>
  <c r="R144" i="90"/>
  <c r="R91" i="90"/>
  <c r="I133" i="90"/>
  <c r="I80" i="90"/>
  <c r="R135" i="90"/>
  <c r="R82" i="90"/>
  <c r="H144" i="90"/>
  <c r="H91" i="90"/>
  <c r="P144" i="90"/>
  <c r="P91" i="90"/>
  <c r="N133" i="90"/>
  <c r="N80" i="90"/>
  <c r="P135" i="90"/>
  <c r="P82" i="90"/>
  <c r="M133" i="90"/>
  <c r="M80" i="90"/>
  <c r="Q144" i="90"/>
  <c r="Q91" i="90"/>
  <c r="F144" i="90"/>
  <c r="F91" i="90"/>
  <c r="F133" i="90"/>
  <c r="F80" i="90"/>
  <c r="F14" i="99"/>
  <c r="F192" i="90"/>
  <c r="E14" i="99"/>
  <c r="E192" i="90"/>
  <c r="H14" i="99"/>
  <c r="H192" i="90"/>
  <c r="Q42" i="55"/>
  <c r="NK45" i="54" s="1"/>
  <c r="P30" i="99"/>
  <c r="P208" i="90"/>
  <c r="T42" i="55"/>
  <c r="NN45" i="54" s="1"/>
  <c r="S30" i="99"/>
  <c r="S208" i="90"/>
  <c r="P42" i="55"/>
  <c r="NJ45" i="54" s="1"/>
  <c r="O30" i="99"/>
  <c r="O208" i="90"/>
  <c r="S42" i="55"/>
  <c r="LN45" i="54" s="1"/>
  <c r="LN69" i="54" s="1"/>
  <c r="LN187" i="54" s="1"/>
  <c r="Q25" i="52" s="1"/>
  <c r="S26" i="51" s="1"/>
  <c r="S60" i="51" s="1"/>
  <c r="Q22" i="50" s="1"/>
  <c r="Q54" i="50" s="1"/>
  <c r="Q24" i="46" s="1"/>
  <c r="Q209" i="46" s="1"/>
  <c r="R30" i="99"/>
  <c r="R208" i="90"/>
  <c r="K47" i="55"/>
  <c r="NE50" i="54" s="1"/>
  <c r="J29" i="99"/>
  <c r="J207" i="90"/>
  <c r="F47" i="55"/>
  <c r="MI50" i="54" s="1"/>
  <c r="MI69" i="54" s="1"/>
  <c r="MI187" i="54" s="1"/>
  <c r="D21" i="52" s="1"/>
  <c r="F22" i="51" s="1"/>
  <c r="F56" i="51" s="1"/>
  <c r="D18" i="50" s="1"/>
  <c r="D50" i="50" s="1"/>
  <c r="D20" i="46" s="1"/>
  <c r="D143" i="46" s="1"/>
  <c r="E29" i="99"/>
  <c r="E207" i="90"/>
  <c r="V137" i="81"/>
  <c r="V139" i="81" s="1"/>
  <c r="T19" i="99"/>
  <c r="T197" i="90"/>
  <c r="H133" i="90"/>
  <c r="H80" i="90"/>
  <c r="Q133" i="90"/>
  <c r="Q80" i="90"/>
  <c r="F135" i="90"/>
  <c r="F82" i="90"/>
  <c r="G133" i="90"/>
  <c r="G80" i="90"/>
  <c r="D144" i="90"/>
  <c r="D91" i="90"/>
  <c r="S29" i="55"/>
  <c r="BB32" i="54" s="1"/>
  <c r="R14" i="99"/>
  <c r="R192" i="90"/>
  <c r="I14" i="99"/>
  <c r="I192" i="90"/>
  <c r="L14" i="99"/>
  <c r="L192" i="90"/>
  <c r="N14" i="99"/>
  <c r="N192" i="90"/>
  <c r="U42" i="55"/>
  <c r="LP45" i="54" s="1"/>
  <c r="LP69" i="54" s="1"/>
  <c r="LP187" i="54" s="1"/>
  <c r="S25" i="52" s="1"/>
  <c r="U26" i="51" s="1"/>
  <c r="U60" i="51" s="1"/>
  <c r="S22" i="50" s="1"/>
  <c r="S54" i="50" s="1"/>
  <c r="S24" i="46" s="1"/>
  <c r="S209" i="46" s="1"/>
  <c r="T30" i="99"/>
  <c r="T208" i="90"/>
  <c r="N42" i="55"/>
  <c r="NH45" i="54" s="1"/>
  <c r="M30" i="99"/>
  <c r="M208" i="90"/>
  <c r="M42" i="55"/>
  <c r="NG45" i="54" s="1"/>
  <c r="L30" i="99"/>
  <c r="L208" i="90"/>
  <c r="H42" i="55"/>
  <c r="NB45" i="54" s="1"/>
  <c r="G30" i="99"/>
  <c r="G208" i="90"/>
  <c r="G47" i="55"/>
  <c r="NA50" i="54" s="1"/>
  <c r="F29" i="99"/>
  <c r="F207" i="90"/>
  <c r="U47" i="55"/>
  <c r="NO50" i="54" s="1"/>
  <c r="T29" i="99"/>
  <c r="T207" i="90"/>
  <c r="P47" i="55"/>
  <c r="NJ50" i="54" s="1"/>
  <c r="O29" i="99"/>
  <c r="O207" i="90"/>
  <c r="H47" i="55"/>
  <c r="NB50" i="54" s="1"/>
  <c r="G29" i="99"/>
  <c r="G207" i="90"/>
  <c r="E31" i="99"/>
  <c r="E209" i="90"/>
  <c r="S48" i="55"/>
  <c r="NM51" i="54" s="1"/>
  <c r="R31" i="99"/>
  <c r="R209" i="90"/>
  <c r="Q31" i="99"/>
  <c r="Q209" i="90"/>
  <c r="E48" i="55"/>
  <c r="MY51" i="54" s="1"/>
  <c r="D31" i="99"/>
  <c r="D209" i="90"/>
  <c r="L31" i="99"/>
  <c r="L209" i="90"/>
  <c r="M41" i="99"/>
  <c r="M219" i="90"/>
  <c r="Q203" i="81"/>
  <c r="Q205" i="81" s="1"/>
  <c r="O43" i="99"/>
  <c r="O221" i="90"/>
  <c r="Q19" i="99"/>
  <c r="Q197" i="90"/>
  <c r="G19" i="99"/>
  <c r="G197" i="90"/>
  <c r="H19" i="99"/>
  <c r="H197" i="90"/>
  <c r="P19" i="99"/>
  <c r="P197" i="90"/>
  <c r="R27" i="90"/>
  <c r="AN27" i="90" s="1"/>
  <c r="O26" i="90"/>
  <c r="AK26" i="90" s="1"/>
  <c r="D37" i="90"/>
  <c r="Z37" i="90" s="1"/>
  <c r="I135" i="90"/>
  <c r="I82" i="90"/>
  <c r="E80" i="90"/>
  <c r="E133" i="90"/>
  <c r="O133" i="90"/>
  <c r="O80" i="90"/>
  <c r="Q135" i="90"/>
  <c r="Q82" i="90"/>
  <c r="R133" i="90"/>
  <c r="R80" i="90"/>
  <c r="L25" i="90"/>
  <c r="AH25" i="90" s="1"/>
  <c r="K37" i="90"/>
  <c r="AG37" i="90" s="1"/>
  <c r="P27" i="90"/>
  <c r="AL27" i="90" s="1"/>
  <c r="F25" i="90"/>
  <c r="AB25" i="90" s="1"/>
  <c r="T27" i="90"/>
  <c r="AP27" i="90" s="1"/>
  <c r="S37" i="90"/>
  <c r="AO37" i="90" s="1"/>
  <c r="O37" i="90"/>
  <c r="AK37" i="90" s="1"/>
  <c r="D135" i="90"/>
  <c r="D82" i="90"/>
  <c r="L142" i="90"/>
  <c r="L89" i="90"/>
  <c r="L144" i="90"/>
  <c r="L91" i="90"/>
  <c r="M144" i="90"/>
  <c r="M91" i="90"/>
  <c r="L133" i="90"/>
  <c r="L80" i="90"/>
  <c r="J25" i="90"/>
  <c r="AF25" i="90" s="1"/>
  <c r="J37" i="90"/>
  <c r="AF37" i="90" s="1"/>
  <c r="D27" i="90"/>
  <c r="Z27" i="90" s="1"/>
  <c r="J135" i="90"/>
  <c r="J82" i="90"/>
  <c r="J133" i="90"/>
  <c r="J80" i="90"/>
  <c r="P114" i="81"/>
  <c r="L114" i="81"/>
  <c r="H114" i="81"/>
  <c r="K114" i="81"/>
  <c r="G114" i="81"/>
  <c r="F114" i="81"/>
  <c r="M114" i="81"/>
  <c r="S114" i="81"/>
  <c r="U114" i="81"/>
  <c r="I114" i="81"/>
  <c r="N114" i="81"/>
  <c r="Q114" i="81"/>
  <c r="T114" i="81"/>
  <c r="V114" i="81"/>
  <c r="R114" i="81"/>
  <c r="J114" i="81"/>
  <c r="O114" i="81"/>
  <c r="AW13" i="54"/>
  <c r="BC13" i="54"/>
  <c r="AT13" i="54"/>
  <c r="AQ13" i="54"/>
  <c r="AM25" i="41"/>
  <c r="P40" i="42" s="1"/>
  <c r="P39" i="42" s="1"/>
  <c r="O40" i="42"/>
  <c r="O39" i="42" s="1"/>
  <c r="AR12" i="41"/>
  <c r="AA12" i="41" s="1"/>
  <c r="D15" i="42" s="1"/>
  <c r="D14" i="42" s="1"/>
  <c r="E58" i="36"/>
  <c r="G65" i="38" s="1"/>
  <c r="H65" i="38" s="1"/>
  <c r="E32" i="41" a="1"/>
  <c r="J32" i="41" s="1"/>
  <c r="AN13" i="54"/>
  <c r="BA13" i="54"/>
  <c r="BB13" i="54"/>
  <c r="D36" i="42"/>
  <c r="D35" i="42" s="1"/>
  <c r="AV13" i="54"/>
  <c r="D17" i="42"/>
  <c r="D16" i="42" s="1"/>
  <c r="E36" i="42"/>
  <c r="E35" i="42" s="1"/>
  <c r="AC23" i="41"/>
  <c r="NI45" i="54"/>
  <c r="NJ36" i="54"/>
  <c r="KT36" i="54"/>
  <c r="NA36" i="54"/>
  <c r="KK36" i="54"/>
  <c r="NG42" i="54"/>
  <c r="JZ42" i="54"/>
  <c r="NK36" i="54"/>
  <c r="KU36" i="54"/>
  <c r="NN36" i="54"/>
  <c r="KX36" i="54"/>
  <c r="MZ36" i="54"/>
  <c r="KJ36" i="54"/>
  <c r="NE36" i="54"/>
  <c r="KO36" i="54"/>
  <c r="NG36" i="54"/>
  <c r="KQ36" i="54"/>
  <c r="O197" i="81"/>
  <c r="O199" i="81" s="1"/>
  <c r="MY50" i="54"/>
  <c r="NB36" i="54"/>
  <c r="KL36" i="54"/>
  <c r="NL36" i="54"/>
  <c r="KV36" i="54"/>
  <c r="ND36" i="54"/>
  <c r="KN36" i="54"/>
  <c r="NH36" i="54"/>
  <c r="KR36" i="54"/>
  <c r="NE45" i="54"/>
  <c r="MV50" i="54"/>
  <c r="MV69" i="54" s="1"/>
  <c r="MV187" i="54" s="1"/>
  <c r="Q21" i="52" s="1"/>
  <c r="S22" i="51" s="1"/>
  <c r="S56" i="51" s="1"/>
  <c r="Q18" i="50" s="1"/>
  <c r="Q50" i="50" s="1"/>
  <c r="Q20" i="46" s="1"/>
  <c r="NO36" i="54"/>
  <c r="KY36" i="54"/>
  <c r="NI36" i="54"/>
  <c r="KS36" i="54"/>
  <c r="NM36" i="54"/>
  <c r="KW36" i="54"/>
  <c r="NC36" i="54"/>
  <c r="KM36" i="54"/>
  <c r="U137" i="81"/>
  <c r="U139" i="81" s="1"/>
  <c r="T39" i="55"/>
  <c r="M124" i="81"/>
  <c r="M126" i="81" s="1"/>
  <c r="L29" i="55"/>
  <c r="R173" i="81"/>
  <c r="R175" i="81" s="1"/>
  <c r="Q48" i="55"/>
  <c r="S137" i="81"/>
  <c r="S139" i="81" s="1"/>
  <c r="R39" i="55"/>
  <c r="J137" i="81"/>
  <c r="J139" i="81" s="1"/>
  <c r="I39" i="55"/>
  <c r="K124" i="81"/>
  <c r="K126" i="81" s="1"/>
  <c r="J29" i="55"/>
  <c r="O137" i="81"/>
  <c r="O139" i="81" s="1"/>
  <c r="N39" i="55"/>
  <c r="K137" i="81"/>
  <c r="K139" i="81" s="1"/>
  <c r="J39" i="55"/>
  <c r="L173" i="81"/>
  <c r="L175" i="81" s="1"/>
  <c r="K48" i="55"/>
  <c r="O124" i="81"/>
  <c r="O126" i="81" s="1"/>
  <c r="N29" i="55"/>
  <c r="J124" i="81"/>
  <c r="J126" i="81" s="1"/>
  <c r="I29" i="55"/>
  <c r="H173" i="81"/>
  <c r="H175" i="81" s="1"/>
  <c r="G48" i="55"/>
  <c r="J173" i="81"/>
  <c r="J175" i="81" s="1"/>
  <c r="I48" i="55"/>
  <c r="M137" i="81"/>
  <c r="M139" i="81" s="1"/>
  <c r="L39" i="55"/>
  <c r="Q137" i="81"/>
  <c r="Q139" i="81" s="1"/>
  <c r="P39" i="55"/>
  <c r="R124" i="81"/>
  <c r="R126" i="81" s="1"/>
  <c r="Q29" i="55"/>
  <c r="G137" i="81"/>
  <c r="G139" i="81" s="1"/>
  <c r="F39" i="55"/>
  <c r="L124" i="81"/>
  <c r="L126" i="81" s="1"/>
  <c r="K29" i="55"/>
  <c r="M173" i="81"/>
  <c r="M175" i="81" s="1"/>
  <c r="L48" i="55"/>
  <c r="I137" i="81"/>
  <c r="I139" i="81" s="1"/>
  <c r="H39" i="55"/>
  <c r="R137" i="81"/>
  <c r="R139" i="81" s="1"/>
  <c r="Q39" i="55"/>
  <c r="G124" i="81"/>
  <c r="G126" i="81" s="1"/>
  <c r="F29" i="55"/>
  <c r="P173" i="81"/>
  <c r="P175" i="81" s="1"/>
  <c r="O48" i="55"/>
  <c r="S27" i="42"/>
  <c r="E20" i="43" s="1"/>
  <c r="G20" i="43" s="1"/>
  <c r="U39" i="55"/>
  <c r="P124" i="81"/>
  <c r="P126" i="81" s="1"/>
  <c r="O29" i="55"/>
  <c r="I124" i="81"/>
  <c r="I126" i="81" s="1"/>
  <c r="H29" i="55"/>
  <c r="S124" i="81"/>
  <c r="S126" i="81" s="1"/>
  <c r="R29" i="55"/>
  <c r="Q124" i="81"/>
  <c r="Q126" i="81" s="1"/>
  <c r="P29" i="55"/>
  <c r="K173" i="81"/>
  <c r="K175" i="81" s="1"/>
  <c r="J48" i="55"/>
  <c r="Q173" i="81"/>
  <c r="Q175" i="81" s="1"/>
  <c r="P48" i="55"/>
  <c r="H137" i="81"/>
  <c r="H139" i="81" s="1"/>
  <c r="G39" i="55"/>
  <c r="T137" i="81"/>
  <c r="T139" i="81" s="1"/>
  <c r="S39" i="55"/>
  <c r="H124" i="81"/>
  <c r="H126" i="81" s="1"/>
  <c r="G29" i="55"/>
  <c r="P137" i="81"/>
  <c r="P139" i="81" s="1"/>
  <c r="O39" i="55"/>
  <c r="O173" i="81"/>
  <c r="O175" i="81" s="1"/>
  <c r="N48" i="55"/>
  <c r="I173" i="81"/>
  <c r="I175" i="81" s="1"/>
  <c r="H48" i="55"/>
  <c r="N124" i="81"/>
  <c r="N126" i="81" s="1"/>
  <c r="M29" i="55"/>
  <c r="G173" i="81"/>
  <c r="G175" i="81" s="1"/>
  <c r="F48" i="55"/>
  <c r="S173" i="81"/>
  <c r="S175" i="81" s="1"/>
  <c r="R48" i="55"/>
  <c r="N173" i="81"/>
  <c r="N175" i="81" s="1"/>
  <c r="M48" i="55"/>
  <c r="F137" i="81"/>
  <c r="F139" i="81" s="1"/>
  <c r="E39" i="55"/>
  <c r="L137" i="81"/>
  <c r="L139" i="81" s="1"/>
  <c r="K39" i="55"/>
  <c r="R27" i="42"/>
  <c r="I93" i="38"/>
  <c r="J93" i="38" s="1"/>
  <c r="T55" i="42"/>
  <c r="I43" i="41"/>
  <c r="T43" i="41"/>
  <c r="R43" i="41"/>
  <c r="J43" i="41"/>
  <c r="L43" i="41"/>
  <c r="N43" i="41"/>
  <c r="K43" i="41"/>
  <c r="G43" i="41"/>
  <c r="S43" i="41"/>
  <c r="Q43" i="41"/>
  <c r="H43" i="41"/>
  <c r="F43" i="41"/>
  <c r="M43" i="41"/>
  <c r="U43" i="41"/>
  <c r="N26" i="42"/>
  <c r="N25" i="42" s="1"/>
  <c r="AL18" i="41"/>
  <c r="O43" i="41"/>
  <c r="E43" i="41"/>
  <c r="AK26" i="41"/>
  <c r="M42" i="42"/>
  <c r="M41" i="42" s="1"/>
  <c r="H42" i="41"/>
  <c r="T76" i="42"/>
  <c r="K41" i="41"/>
  <c r="O41" i="41"/>
  <c r="M41" i="41"/>
  <c r="R41" i="41"/>
  <c r="G41" i="41"/>
  <c r="F41" i="41"/>
  <c r="S41" i="41"/>
  <c r="Q41" i="41"/>
  <c r="J41" i="41"/>
  <c r="F42" i="41"/>
  <c r="T200" i="81"/>
  <c r="T202" i="81" s="1"/>
  <c r="Q42" i="41"/>
  <c r="P42" i="41"/>
  <c r="K42" i="41"/>
  <c r="L41" i="41"/>
  <c r="E41" i="41"/>
  <c r="G42" i="41"/>
  <c r="R42" i="41"/>
  <c r="E42" i="41"/>
  <c r="I42" i="41"/>
  <c r="O42" i="41"/>
  <c r="L42" i="41"/>
  <c r="U42" i="41"/>
  <c r="P41" i="41"/>
  <c r="H41" i="41"/>
  <c r="M42" i="41"/>
  <c r="N42" i="41"/>
  <c r="I41" i="41"/>
  <c r="T42" i="41"/>
  <c r="U41" i="41"/>
  <c r="T41" i="41"/>
  <c r="J42" i="41"/>
  <c r="H59" i="36"/>
  <c r="G38" i="38"/>
  <c r="H38" i="38" s="1"/>
  <c r="G66" i="38"/>
  <c r="H66" i="38" s="1"/>
  <c r="F171" i="38"/>
  <c r="I171" i="38" s="1"/>
  <c r="G147" i="38"/>
  <c r="H147" i="38" s="1"/>
  <c r="AR21" i="41"/>
  <c r="AA21" i="41" s="1"/>
  <c r="C32" i="42"/>
  <c r="C31" i="42" s="1"/>
  <c r="T29" i="42"/>
  <c r="T10" i="42"/>
  <c r="T43" i="42"/>
  <c r="S49" i="42"/>
  <c r="E33" i="43" s="1"/>
  <c r="G33" i="43" s="1"/>
  <c r="V170" i="81"/>
  <c r="V172" i="81" s="1"/>
  <c r="N170" i="81"/>
  <c r="N172" i="81" s="1"/>
  <c r="S167" i="81"/>
  <c r="S169" i="81" s="1"/>
  <c r="O167" i="81"/>
  <c r="O169" i="81" s="1"/>
  <c r="S51" i="42"/>
  <c r="E31" i="43" s="1"/>
  <c r="G31" i="43" s="1"/>
  <c r="V173" i="81"/>
  <c r="V175" i="81" s="1"/>
  <c r="F124" i="81"/>
  <c r="F126" i="81" s="1"/>
  <c r="Y14" i="41"/>
  <c r="Z14" i="41" s="1"/>
  <c r="J170" i="81"/>
  <c r="J172" i="81" s="1"/>
  <c r="H170" i="81"/>
  <c r="H172" i="81" s="1"/>
  <c r="P167" i="81"/>
  <c r="P169" i="81" s="1"/>
  <c r="J167" i="81"/>
  <c r="J169" i="81" s="1"/>
  <c r="R170" i="81"/>
  <c r="R172" i="81" s="1"/>
  <c r="Q170" i="81"/>
  <c r="Q172" i="81" s="1"/>
  <c r="V167" i="81"/>
  <c r="V169" i="81" s="1"/>
  <c r="S47" i="42"/>
  <c r="E29" i="43" s="1"/>
  <c r="G29" i="43" s="1"/>
  <c r="I167" i="81"/>
  <c r="I169" i="81" s="1"/>
  <c r="S18" i="42"/>
  <c r="V124" i="81"/>
  <c r="V126" i="81" s="1"/>
  <c r="T167" i="81"/>
  <c r="T169" i="81" s="1"/>
  <c r="Q47" i="42"/>
  <c r="G167" i="81"/>
  <c r="G169" i="81" s="1"/>
  <c r="E17" i="42"/>
  <c r="E16" i="42" s="1"/>
  <c r="AC13" i="41"/>
  <c r="N22" i="42"/>
  <c r="N21" i="42" s="1"/>
  <c r="AL16" i="41"/>
  <c r="K170" i="81"/>
  <c r="K172" i="81" s="1"/>
  <c r="P170" i="81"/>
  <c r="P172" i="81" s="1"/>
  <c r="N167" i="81"/>
  <c r="N169" i="81" s="1"/>
  <c r="Y29" i="41"/>
  <c r="Z29" i="41" s="1"/>
  <c r="F167" i="81"/>
  <c r="F169" i="81" s="1"/>
  <c r="L170" i="81"/>
  <c r="L172" i="81" s="1"/>
  <c r="D13" i="42"/>
  <c r="D12" i="42" s="1"/>
  <c r="AB11" i="41"/>
  <c r="AR19" i="41"/>
  <c r="AA19" i="41" s="1"/>
  <c r="C28" i="42"/>
  <c r="C27" i="42" s="1"/>
  <c r="Q18" i="42"/>
  <c r="T124" i="81"/>
  <c r="T126" i="81" s="1"/>
  <c r="O170" i="81"/>
  <c r="O172" i="81" s="1"/>
  <c r="I170" i="81"/>
  <c r="I172" i="81" s="1"/>
  <c r="K167" i="81"/>
  <c r="K169" i="81" s="1"/>
  <c r="M167" i="81"/>
  <c r="M169" i="81" s="1"/>
  <c r="R167" i="81"/>
  <c r="R169" i="81" s="1"/>
  <c r="R51" i="42"/>
  <c r="U173" i="81"/>
  <c r="U175" i="81" s="1"/>
  <c r="G170" i="81"/>
  <c r="G172" i="81" s="1"/>
  <c r="M170" i="81"/>
  <c r="M172" i="81" s="1"/>
  <c r="U170" i="81"/>
  <c r="U172" i="81" s="1"/>
  <c r="R49" i="42"/>
  <c r="Q49" i="42"/>
  <c r="T170" i="81"/>
  <c r="T172" i="81" s="1"/>
  <c r="H167" i="81"/>
  <c r="H169" i="81" s="1"/>
  <c r="Q167" i="81"/>
  <c r="Q169" i="81" s="1"/>
  <c r="U124" i="81"/>
  <c r="U126" i="81" s="1"/>
  <c r="R18" i="42"/>
  <c r="F170" i="81"/>
  <c r="F172" i="81" s="1"/>
  <c r="Y30" i="41"/>
  <c r="S170" i="81"/>
  <c r="S172" i="81" s="1"/>
  <c r="AL24" i="41"/>
  <c r="N38" i="42"/>
  <c r="N37" i="42" s="1"/>
  <c r="L167" i="81"/>
  <c r="L169" i="81" s="1"/>
  <c r="U167" i="81"/>
  <c r="U169" i="81" s="1"/>
  <c r="R47" i="42"/>
  <c r="Q51" i="42"/>
  <c r="T173" i="81"/>
  <c r="T175" i="81" s="1"/>
  <c r="F173" i="81"/>
  <c r="F175" i="81" s="1"/>
  <c r="Y31" i="41"/>
  <c r="Z31" i="41" s="1"/>
  <c r="O46" i="42"/>
  <c r="O45" i="42" s="1"/>
  <c r="AM28" i="41"/>
  <c r="P46" i="42" s="1"/>
  <c r="P45" i="42" s="1"/>
  <c r="LQ51" i="54" l="1"/>
  <c r="LQ69" i="54" s="1"/>
  <c r="LQ187" i="54" s="1"/>
  <c r="C26" i="52" s="1"/>
  <c r="E27" i="51" s="1"/>
  <c r="E61" i="51" s="1"/>
  <c r="C23" i="50" s="1"/>
  <c r="C55" i="50" s="1"/>
  <c r="C25" i="46" s="1"/>
  <c r="C148" i="46" s="1"/>
  <c r="NC50" i="54"/>
  <c r="MF51" i="54"/>
  <c r="MF69" i="54" s="1"/>
  <c r="MF187" i="54" s="1"/>
  <c r="R26" i="52" s="1"/>
  <c r="T27" i="51" s="1"/>
  <c r="T61" i="51" s="1"/>
  <c r="R23" i="50" s="1"/>
  <c r="R55" i="50" s="1"/>
  <c r="R25" i="46" s="1"/>
  <c r="R210" i="46" s="1"/>
  <c r="R271" i="46" s="1"/>
  <c r="J35" i="90"/>
  <c r="AF35" i="90" s="1"/>
  <c r="MN50" i="54"/>
  <c r="MN69" i="54" s="1"/>
  <c r="MN187" i="54" s="1"/>
  <c r="I21" i="52" s="1"/>
  <c r="K22" i="51" s="1"/>
  <c r="K56" i="51" s="1"/>
  <c r="I18" i="50" s="1"/>
  <c r="I50" i="50" s="1"/>
  <c r="I20" i="46" s="1"/>
  <c r="MM50" i="54"/>
  <c r="MM69" i="54" s="1"/>
  <c r="MM187" i="54" s="1"/>
  <c r="H21" i="52" s="1"/>
  <c r="J22" i="51" s="1"/>
  <c r="J56" i="51" s="1"/>
  <c r="H18" i="50" s="1"/>
  <c r="H50" i="50" s="1"/>
  <c r="H20" i="46" s="1"/>
  <c r="H205" i="46" s="1"/>
  <c r="H266" i="46" s="1"/>
  <c r="MJ50" i="54"/>
  <c r="MJ69" i="54" s="1"/>
  <c r="MJ187" i="54" s="1"/>
  <c r="E21" i="52" s="1"/>
  <c r="G22" i="51" s="1"/>
  <c r="G56" i="51" s="1"/>
  <c r="E18" i="50" s="1"/>
  <c r="E50" i="50" s="1"/>
  <c r="E20" i="46" s="1"/>
  <c r="E143" i="46" s="1"/>
  <c r="LG45" i="54"/>
  <c r="LG69" i="54" s="1"/>
  <c r="LG187" i="54" s="1"/>
  <c r="J25" i="52" s="1"/>
  <c r="L26" i="51" s="1"/>
  <c r="L60" i="51" s="1"/>
  <c r="J22" i="50" s="1"/>
  <c r="J54" i="50" s="1"/>
  <c r="J24" i="46" s="1"/>
  <c r="J209" i="46" s="1"/>
  <c r="J270" i="46" s="1"/>
  <c r="ND45" i="54"/>
  <c r="LM45" i="54"/>
  <c r="LM69" i="54" s="1"/>
  <c r="LM187" i="54" s="1"/>
  <c r="P25" i="52" s="1"/>
  <c r="R26" i="51" s="1"/>
  <c r="R60" i="51" s="1"/>
  <c r="P22" i="50" s="1"/>
  <c r="P54" i="50" s="1"/>
  <c r="P24" i="46" s="1"/>
  <c r="P209" i="46" s="1"/>
  <c r="MK50" i="54"/>
  <c r="MK69" i="54" s="1"/>
  <c r="MK187" i="54" s="1"/>
  <c r="F21" i="52" s="1"/>
  <c r="H22" i="51" s="1"/>
  <c r="H56" i="51" s="1"/>
  <c r="F18" i="50" s="1"/>
  <c r="F50" i="50" s="1"/>
  <c r="F20" i="46" s="1"/>
  <c r="F143" i="46" s="1"/>
  <c r="AN32" i="54"/>
  <c r="MX50" i="54"/>
  <c r="MX69" i="54" s="1"/>
  <c r="MX187" i="54" s="1"/>
  <c r="S21" i="52" s="1"/>
  <c r="U22" i="51" s="1"/>
  <c r="U56" i="51" s="1"/>
  <c r="S18" i="50" s="1"/>
  <c r="S50" i="50" s="1"/>
  <c r="S20" i="46" s="1"/>
  <c r="S205" i="46" s="1"/>
  <c r="S266" i="46" s="1"/>
  <c r="MQ50" i="54"/>
  <c r="MQ69" i="54" s="1"/>
  <c r="MQ187" i="54" s="1"/>
  <c r="L21" i="52" s="1"/>
  <c r="N22" i="51" s="1"/>
  <c r="N56" i="51" s="1"/>
  <c r="L18" i="50" s="1"/>
  <c r="L50" i="50" s="1"/>
  <c r="L20" i="46" s="1"/>
  <c r="L205" i="46" s="1"/>
  <c r="L266" i="46" s="1"/>
  <c r="MU50" i="54"/>
  <c r="MU69" i="54" s="1"/>
  <c r="MU187" i="54" s="1"/>
  <c r="P21" i="52" s="1"/>
  <c r="R22" i="51" s="1"/>
  <c r="R56" i="51" s="1"/>
  <c r="P18" i="50" s="1"/>
  <c r="P50" i="50" s="1"/>
  <c r="P20" i="46" s="1"/>
  <c r="P143" i="46" s="1"/>
  <c r="MZ50" i="54"/>
  <c r="LL45" i="54"/>
  <c r="LL69" i="54" s="1"/>
  <c r="LL187" i="54" s="1"/>
  <c r="O25" i="52" s="1"/>
  <c r="Q26" i="51" s="1"/>
  <c r="Q60" i="51" s="1"/>
  <c r="O22" i="50" s="1"/>
  <c r="O54" i="50" s="1"/>
  <c r="O24" i="46" s="1"/>
  <c r="O209" i="46" s="1"/>
  <c r="O270" i="46" s="1"/>
  <c r="LD45" i="54"/>
  <c r="LD69" i="54" s="1"/>
  <c r="LD187" i="54" s="1"/>
  <c r="G25" i="52" s="1"/>
  <c r="I26" i="51" s="1"/>
  <c r="I60" i="51" s="1"/>
  <c r="G22" i="50" s="1"/>
  <c r="G54" i="50" s="1"/>
  <c r="G24" i="46" s="1"/>
  <c r="G209" i="46" s="1"/>
  <c r="G270" i="46" s="1"/>
  <c r="MP50" i="54"/>
  <c r="MP69" i="54" s="1"/>
  <c r="MP187" i="54" s="1"/>
  <c r="K21" i="52" s="1"/>
  <c r="M22" i="51" s="1"/>
  <c r="M56" i="51" s="1"/>
  <c r="K18" i="50" s="1"/>
  <c r="K50" i="50" s="1"/>
  <c r="K20" i="46" s="1"/>
  <c r="K143" i="46" s="1"/>
  <c r="MR50" i="54"/>
  <c r="MR69" i="54" s="1"/>
  <c r="MR187" i="54" s="1"/>
  <c r="M21" i="52" s="1"/>
  <c r="O22" i="51" s="1"/>
  <c r="O56" i="51" s="1"/>
  <c r="M18" i="50" s="1"/>
  <c r="M50" i="50" s="1"/>
  <c r="M20" i="46" s="1"/>
  <c r="M205" i="46" s="1"/>
  <c r="M266" i="46" s="1"/>
  <c r="MT50" i="54"/>
  <c r="MT69" i="54" s="1"/>
  <c r="MT187" i="54" s="1"/>
  <c r="O21" i="52" s="1"/>
  <c r="Q22" i="51" s="1"/>
  <c r="Q56" i="51" s="1"/>
  <c r="O18" i="50" s="1"/>
  <c r="O50" i="50" s="1"/>
  <c r="O20" i="46" s="1"/>
  <c r="O143" i="46" s="1"/>
  <c r="NO45" i="54"/>
  <c r="LC45" i="54"/>
  <c r="LC69" i="54" s="1"/>
  <c r="LC187" i="54" s="1"/>
  <c r="F25" i="52" s="1"/>
  <c r="H26" i="51" s="1"/>
  <c r="H60" i="51" s="1"/>
  <c r="F22" i="50" s="1"/>
  <c r="F54" i="50" s="1"/>
  <c r="F24" i="46" s="1"/>
  <c r="F209" i="46" s="1"/>
  <c r="F270" i="46" s="1"/>
  <c r="F32" i="54"/>
  <c r="D26" i="90"/>
  <c r="Z26" i="90" s="1"/>
  <c r="BC69" i="54"/>
  <c r="AB12" i="41"/>
  <c r="E15" i="42" s="1"/>
  <c r="E14" i="42" s="1"/>
  <c r="BV32" i="54"/>
  <c r="BV69" i="54" s="1"/>
  <c r="BD32" i="54"/>
  <c r="BD69" i="54" s="1"/>
  <c r="CL32" i="54"/>
  <c r="CL69" i="54" s="1"/>
  <c r="DC32" i="54"/>
  <c r="DC69" i="54" s="1"/>
  <c r="DC187" i="54" s="1"/>
  <c r="S7" i="52" s="1"/>
  <c r="U8" i="51" s="1"/>
  <c r="U42" i="51" s="1"/>
  <c r="S7" i="50" s="1"/>
  <c r="S39" i="50" s="1"/>
  <c r="S9" i="46" s="1"/>
  <c r="S194" i="46" s="1"/>
  <c r="S255" i="46" s="1"/>
  <c r="NM45" i="54"/>
  <c r="L35" i="90"/>
  <c r="AH35" i="90" s="1"/>
  <c r="F26" i="90"/>
  <c r="AB26" i="90" s="1"/>
  <c r="L26" i="90"/>
  <c r="AH26" i="90" s="1"/>
  <c r="E26" i="90"/>
  <c r="AA26" i="90" s="1"/>
  <c r="K26" i="90"/>
  <c r="AG26" i="90" s="1"/>
  <c r="KZ45" i="54"/>
  <c r="KZ69" i="54" s="1"/>
  <c r="KZ187" i="54" s="1"/>
  <c r="C25" i="52" s="1"/>
  <c r="E26" i="51" s="1"/>
  <c r="E60" i="51" s="1"/>
  <c r="C22" i="50" s="1"/>
  <c r="C54" i="50" s="1"/>
  <c r="C24" i="46" s="1"/>
  <c r="C209" i="46" s="1"/>
  <c r="C270" i="46" s="1"/>
  <c r="MW50" i="54"/>
  <c r="MW69" i="54" s="1"/>
  <c r="MW187" i="54" s="1"/>
  <c r="R21" i="52" s="1"/>
  <c r="T22" i="51" s="1"/>
  <c r="T56" i="51" s="1"/>
  <c r="R18" i="50" s="1"/>
  <c r="R50" i="50" s="1"/>
  <c r="R20" i="46" s="1"/>
  <c r="R205" i="46" s="1"/>
  <c r="R266" i="46" s="1"/>
  <c r="T35" i="90"/>
  <c r="AP35" i="90" s="1"/>
  <c r="O35" i="90"/>
  <c r="AK35" i="90" s="1"/>
  <c r="LH45" i="54"/>
  <c r="LH69" i="54" s="1"/>
  <c r="LH187" i="54" s="1"/>
  <c r="K25" i="52" s="1"/>
  <c r="M26" i="51" s="1"/>
  <c r="M60" i="51" s="1"/>
  <c r="K22" i="50" s="1"/>
  <c r="K54" i="50" s="1"/>
  <c r="K24" i="46" s="1"/>
  <c r="K209" i="46" s="1"/>
  <c r="K270" i="46" s="1"/>
  <c r="CK32" i="54"/>
  <c r="CK69" i="54" s="1"/>
  <c r="LI45" i="54"/>
  <c r="LI69" i="54" s="1"/>
  <c r="LI187" i="54" s="1"/>
  <c r="L25" i="52" s="1"/>
  <c r="N26" i="51" s="1"/>
  <c r="N60" i="51" s="1"/>
  <c r="L22" i="50" s="1"/>
  <c r="L54" i="50" s="1"/>
  <c r="L24" i="46" s="1"/>
  <c r="L209" i="46" s="1"/>
  <c r="L270" i="46" s="1"/>
  <c r="I26" i="90"/>
  <c r="AE26" i="90" s="1"/>
  <c r="MS50" i="54"/>
  <c r="MS69" i="54" s="1"/>
  <c r="MS187" i="54" s="1"/>
  <c r="N21" i="52" s="1"/>
  <c r="P22" i="51" s="1"/>
  <c r="P56" i="51" s="1"/>
  <c r="N18" i="50" s="1"/>
  <c r="N50" i="50" s="1"/>
  <c r="N20" i="46" s="1"/>
  <c r="N143" i="46" s="1"/>
  <c r="Q35" i="90"/>
  <c r="AM35" i="90" s="1"/>
  <c r="P26" i="90"/>
  <c r="AL26" i="90" s="1"/>
  <c r="DA32" i="54"/>
  <c r="DA69" i="54" s="1"/>
  <c r="DA187" i="54" s="1"/>
  <c r="Q7" i="52" s="1"/>
  <c r="S8" i="51" s="1"/>
  <c r="S42" i="51" s="1"/>
  <c r="Q7" i="50" s="1"/>
  <c r="Q39" i="50" s="1"/>
  <c r="Q9" i="46" s="1"/>
  <c r="Q194" i="46" s="1"/>
  <c r="Q255" i="46" s="1"/>
  <c r="T32" i="54"/>
  <c r="P35" i="90"/>
  <c r="AL35" i="90" s="1"/>
  <c r="R26" i="90"/>
  <c r="AN26" i="90" s="1"/>
  <c r="DB32" i="54"/>
  <c r="DB69" i="54" s="1"/>
  <c r="DB187" i="54" s="1"/>
  <c r="R7" i="52" s="1"/>
  <c r="T8" i="51" s="1"/>
  <c r="T42" i="51" s="1"/>
  <c r="R7" i="50" s="1"/>
  <c r="R39" i="50" s="1"/>
  <c r="R9" i="46" s="1"/>
  <c r="R194" i="46" s="1"/>
  <c r="R255" i="46" s="1"/>
  <c r="LO45" i="54"/>
  <c r="LO69" i="54" s="1"/>
  <c r="LO187" i="54" s="1"/>
  <c r="R25" i="52" s="1"/>
  <c r="T26" i="51" s="1"/>
  <c r="T60" i="51" s="1"/>
  <c r="R22" i="50" s="1"/>
  <c r="R54" i="50" s="1"/>
  <c r="R24" i="46" s="1"/>
  <c r="R209" i="46" s="1"/>
  <c r="R270" i="46" s="1"/>
  <c r="CJ32" i="54"/>
  <c r="CJ69" i="54" s="1"/>
  <c r="LA45" i="54"/>
  <c r="LA69" i="54" s="1"/>
  <c r="LA187" i="54" s="1"/>
  <c r="D25" i="52" s="1"/>
  <c r="F26" i="51" s="1"/>
  <c r="F60" i="51" s="1"/>
  <c r="D22" i="50" s="1"/>
  <c r="D54" i="50" s="1"/>
  <c r="D24" i="46" s="1"/>
  <c r="D209" i="46" s="1"/>
  <c r="D270" i="46" s="1"/>
  <c r="R35" i="90"/>
  <c r="AN35" i="90" s="1"/>
  <c r="H26" i="90"/>
  <c r="AD26" i="90" s="1"/>
  <c r="T26" i="90"/>
  <c r="AP26" i="90" s="1"/>
  <c r="N26" i="90"/>
  <c r="AJ26" i="90" s="1"/>
  <c r="LK45" i="54"/>
  <c r="LK69" i="54" s="1"/>
  <c r="LK187" i="54" s="1"/>
  <c r="N25" i="52" s="1"/>
  <c r="P26" i="51" s="1"/>
  <c r="P60" i="51" s="1"/>
  <c r="N22" i="50" s="1"/>
  <c r="N54" i="50" s="1"/>
  <c r="N24" i="46" s="1"/>
  <c r="N209" i="46" s="1"/>
  <c r="N270" i="46" s="1"/>
  <c r="ME51" i="54"/>
  <c r="ME69" i="54" s="1"/>
  <c r="ME187" i="54" s="1"/>
  <c r="Q26" i="52" s="1"/>
  <c r="S27" i="51" s="1"/>
  <c r="S61" i="51" s="1"/>
  <c r="Q23" i="50" s="1"/>
  <c r="Q55" i="50" s="1"/>
  <c r="Q25" i="46" s="1"/>
  <c r="Q210" i="46" s="1"/>
  <c r="Q271" i="46" s="1"/>
  <c r="U32" i="54"/>
  <c r="MG51" i="54"/>
  <c r="MG69" i="54" s="1"/>
  <c r="MG187" i="54" s="1"/>
  <c r="S26" i="52" s="1"/>
  <c r="U27" i="51" s="1"/>
  <c r="U61" i="51" s="1"/>
  <c r="S23" i="50" s="1"/>
  <c r="S55" i="50" s="1"/>
  <c r="S25" i="46" s="1"/>
  <c r="S210" i="46" s="1"/>
  <c r="S271" i="46" s="1"/>
  <c r="LB45" i="54"/>
  <c r="LB69" i="54" s="1"/>
  <c r="LB187" i="54" s="1"/>
  <c r="E25" i="52" s="1"/>
  <c r="G26" i="51" s="1"/>
  <c r="G60" i="51" s="1"/>
  <c r="E22" i="50" s="1"/>
  <c r="E54" i="50" s="1"/>
  <c r="E24" i="46" s="1"/>
  <c r="E147" i="46" s="1"/>
  <c r="MO50" i="54"/>
  <c r="MO69" i="54" s="1"/>
  <c r="MO187" i="54" s="1"/>
  <c r="J21" i="52" s="1"/>
  <c r="L22" i="51" s="1"/>
  <c r="L56" i="51" s="1"/>
  <c r="J18" i="50" s="1"/>
  <c r="J50" i="50" s="1"/>
  <c r="J20" i="46" s="1"/>
  <c r="J205" i="46" s="1"/>
  <c r="J266" i="46" s="1"/>
  <c r="M35" i="90"/>
  <c r="AI35" i="90" s="1"/>
  <c r="L33" i="90"/>
  <c r="AH33" i="90" s="1"/>
  <c r="F35" i="90"/>
  <c r="AB35" i="90" s="1"/>
  <c r="H35" i="90"/>
  <c r="AD35" i="90" s="1"/>
  <c r="G35" i="90"/>
  <c r="AC35" i="90" s="1"/>
  <c r="S35" i="90"/>
  <c r="AO35" i="90" s="1"/>
  <c r="E35" i="90"/>
  <c r="AA35" i="90" s="1"/>
  <c r="N203" i="81"/>
  <c r="N205" i="81" s="1"/>
  <c r="L43" i="99"/>
  <c r="L221" i="90"/>
  <c r="M203" i="81"/>
  <c r="M205" i="81" s="1"/>
  <c r="K43" i="99"/>
  <c r="K221" i="90"/>
  <c r="K200" i="81"/>
  <c r="K202" i="81" s="1"/>
  <c r="I42" i="99"/>
  <c r="I220" i="90"/>
  <c r="H41" i="99"/>
  <c r="H219" i="90"/>
  <c r="O41" i="99"/>
  <c r="O219" i="90"/>
  <c r="J200" i="81"/>
  <c r="J202" i="81" s="1"/>
  <c r="H42" i="99"/>
  <c r="H220" i="90"/>
  <c r="D41" i="99"/>
  <c r="D219" i="90"/>
  <c r="R200" i="81"/>
  <c r="R202" i="81" s="1"/>
  <c r="P42" i="99"/>
  <c r="P220" i="90"/>
  <c r="P41" i="99"/>
  <c r="P219" i="90"/>
  <c r="Q41" i="99"/>
  <c r="Q219" i="90"/>
  <c r="I203" i="81"/>
  <c r="I205" i="81" s="1"/>
  <c r="G43" i="99"/>
  <c r="G221" i="90"/>
  <c r="L203" i="81"/>
  <c r="L205" i="81" s="1"/>
  <c r="J43" i="99"/>
  <c r="J221" i="90"/>
  <c r="S203" i="81"/>
  <c r="S205" i="81" s="1"/>
  <c r="Q43" i="99"/>
  <c r="Q221" i="90"/>
  <c r="L24" i="90"/>
  <c r="O24" i="90"/>
  <c r="E24" i="90"/>
  <c r="L154" i="90"/>
  <c r="L101" i="90"/>
  <c r="G152" i="90"/>
  <c r="G99" i="90"/>
  <c r="G153" i="90"/>
  <c r="G100" i="90"/>
  <c r="N137" i="90"/>
  <c r="N84" i="90"/>
  <c r="I137" i="90"/>
  <c r="I84" i="90"/>
  <c r="G24" i="90"/>
  <c r="R153" i="90"/>
  <c r="R100" i="90"/>
  <c r="H137" i="90"/>
  <c r="H84" i="90"/>
  <c r="F137" i="90"/>
  <c r="F84" i="90"/>
  <c r="F24" i="90"/>
  <c r="I24" i="90"/>
  <c r="M152" i="90"/>
  <c r="M99" i="90"/>
  <c r="N153" i="90"/>
  <c r="N100" i="90"/>
  <c r="D137" i="90"/>
  <c r="D84" i="90"/>
  <c r="I142" i="90"/>
  <c r="I89" i="90"/>
  <c r="D153" i="90"/>
  <c r="D100" i="90"/>
  <c r="F142" i="90"/>
  <c r="F89" i="90"/>
  <c r="P24" i="90"/>
  <c r="S154" i="90"/>
  <c r="S101" i="90"/>
  <c r="H152" i="90"/>
  <c r="H99" i="90"/>
  <c r="T137" i="90"/>
  <c r="T84" i="90"/>
  <c r="R142" i="90"/>
  <c r="R89" i="90"/>
  <c r="R152" i="90"/>
  <c r="R99" i="90"/>
  <c r="O200" i="81"/>
  <c r="O202" i="81" s="1"/>
  <c r="M42" i="99"/>
  <c r="M220" i="90"/>
  <c r="F200" i="81"/>
  <c r="F202" i="81" s="1"/>
  <c r="D42" i="99"/>
  <c r="D220" i="90"/>
  <c r="R41" i="99"/>
  <c r="R219" i="90"/>
  <c r="I200" i="81"/>
  <c r="I202" i="81" s="1"/>
  <c r="G42" i="99"/>
  <c r="G220" i="90"/>
  <c r="V203" i="81"/>
  <c r="V205" i="81" s="1"/>
  <c r="T43" i="99"/>
  <c r="T221" i="90"/>
  <c r="O203" i="81"/>
  <c r="O205" i="81" s="1"/>
  <c r="M43" i="99"/>
  <c r="M221" i="90"/>
  <c r="R72" i="42"/>
  <c r="S43" i="99"/>
  <c r="S221" i="90"/>
  <c r="J26" i="90"/>
  <c r="AF26" i="90" s="1"/>
  <c r="Q26" i="90"/>
  <c r="AM26" i="90" s="1"/>
  <c r="H142" i="90"/>
  <c r="H89" i="90"/>
  <c r="Q142" i="90"/>
  <c r="Q89" i="90"/>
  <c r="Q154" i="90"/>
  <c r="Q101" i="90"/>
  <c r="F152" i="90"/>
  <c r="F99" i="90"/>
  <c r="T153" i="90"/>
  <c r="T100" i="90"/>
  <c r="D35" i="90"/>
  <c r="Z35" i="90" s="1"/>
  <c r="Q24" i="90"/>
  <c r="H24" i="90"/>
  <c r="J152" i="90"/>
  <c r="J99" i="90"/>
  <c r="P153" i="90"/>
  <c r="P100" i="90"/>
  <c r="O142" i="90"/>
  <c r="O89" i="90"/>
  <c r="K142" i="90"/>
  <c r="K89" i="90"/>
  <c r="O154" i="90"/>
  <c r="O101" i="90"/>
  <c r="I154" i="90"/>
  <c r="I101" i="90"/>
  <c r="P152" i="90"/>
  <c r="P99" i="90"/>
  <c r="I152" i="90"/>
  <c r="I99" i="90"/>
  <c r="H153" i="90"/>
  <c r="H100" i="90"/>
  <c r="P137" i="90"/>
  <c r="P84" i="90"/>
  <c r="M142" i="90"/>
  <c r="M89" i="90"/>
  <c r="Q153" i="90"/>
  <c r="Q100" i="90"/>
  <c r="N35" i="90"/>
  <c r="AJ35" i="90" s="1"/>
  <c r="S26" i="90"/>
  <c r="AO26" i="90" s="1"/>
  <c r="D152" i="90"/>
  <c r="D99" i="90"/>
  <c r="E153" i="90"/>
  <c r="E100" i="90"/>
  <c r="K137" i="90"/>
  <c r="K84" i="90"/>
  <c r="K24" i="90"/>
  <c r="M26" i="90"/>
  <c r="AI26" i="90" s="1"/>
  <c r="H154" i="90"/>
  <c r="H101" i="90"/>
  <c r="F154" i="90"/>
  <c r="F101" i="90"/>
  <c r="S152" i="90"/>
  <c r="S99" i="90"/>
  <c r="F203" i="81"/>
  <c r="F205" i="81" s="1"/>
  <c r="D43" i="99"/>
  <c r="D221" i="90"/>
  <c r="M164" i="90"/>
  <c r="M111" i="90"/>
  <c r="D154" i="90"/>
  <c r="D101" i="90"/>
  <c r="E154" i="90"/>
  <c r="E101" i="90"/>
  <c r="T152" i="90"/>
  <c r="T99" i="90"/>
  <c r="M153" i="90"/>
  <c r="M100" i="90"/>
  <c r="L137" i="90"/>
  <c r="L84" i="90"/>
  <c r="R137" i="90"/>
  <c r="R84" i="90"/>
  <c r="E152" i="90"/>
  <c r="E99" i="90"/>
  <c r="S153" i="90"/>
  <c r="S100" i="90"/>
  <c r="E137" i="90"/>
  <c r="E84" i="90"/>
  <c r="N24" i="90"/>
  <c r="Q152" i="90"/>
  <c r="Q99" i="90"/>
  <c r="I153" i="90"/>
  <c r="I100" i="90"/>
  <c r="J142" i="90"/>
  <c r="J89" i="90"/>
  <c r="D89" i="90"/>
  <c r="D142" i="90"/>
  <c r="L152" i="90"/>
  <c r="L99" i="90"/>
  <c r="J137" i="90"/>
  <c r="J84" i="90"/>
  <c r="R165" i="90"/>
  <c r="R112" i="90"/>
  <c r="T24" i="90"/>
  <c r="S24" i="90"/>
  <c r="D24" i="90"/>
  <c r="K154" i="90"/>
  <c r="K101" i="90"/>
  <c r="J153" i="90"/>
  <c r="J100" i="90"/>
  <c r="M137" i="90"/>
  <c r="M84" i="90"/>
  <c r="S41" i="99"/>
  <c r="S219" i="90"/>
  <c r="T42" i="99"/>
  <c r="T220" i="90"/>
  <c r="K41" i="99"/>
  <c r="K219" i="90"/>
  <c r="L41" i="99"/>
  <c r="L219" i="90"/>
  <c r="R203" i="81"/>
  <c r="R205" i="81" s="1"/>
  <c r="P43" i="99"/>
  <c r="P221" i="90"/>
  <c r="T41" i="99"/>
  <c r="T219" i="90"/>
  <c r="N200" i="81"/>
  <c r="N202" i="81" s="1"/>
  <c r="L42" i="99"/>
  <c r="L220" i="90"/>
  <c r="M200" i="81"/>
  <c r="M202" i="81" s="1"/>
  <c r="K42" i="99"/>
  <c r="K220" i="90"/>
  <c r="S200" i="81"/>
  <c r="S202" i="81" s="1"/>
  <c r="Q42" i="99"/>
  <c r="Q220" i="90"/>
  <c r="L200" i="81"/>
  <c r="L202" i="81" s="1"/>
  <c r="J42" i="99"/>
  <c r="J220" i="90"/>
  <c r="G200" i="81"/>
  <c r="G202" i="81" s="1"/>
  <c r="E42" i="99"/>
  <c r="E220" i="90"/>
  <c r="E41" i="99"/>
  <c r="E219" i="90"/>
  <c r="N41" i="99"/>
  <c r="N219" i="90"/>
  <c r="P203" i="81"/>
  <c r="P205" i="81" s="1"/>
  <c r="N43" i="99"/>
  <c r="N221" i="90"/>
  <c r="T203" i="81"/>
  <c r="T205" i="81" s="1"/>
  <c r="R43" i="99"/>
  <c r="R221" i="90"/>
  <c r="J203" i="81"/>
  <c r="J205" i="81" s="1"/>
  <c r="H43" i="99"/>
  <c r="H221" i="90"/>
  <c r="S42" i="99"/>
  <c r="S220" i="90"/>
  <c r="G41" i="99"/>
  <c r="G219" i="90"/>
  <c r="P200" i="81"/>
  <c r="P202" i="81" s="1"/>
  <c r="N42" i="99"/>
  <c r="N220" i="90"/>
  <c r="H200" i="81"/>
  <c r="H202" i="81" s="1"/>
  <c r="F42" i="99"/>
  <c r="F220" i="90"/>
  <c r="Q200" i="81"/>
  <c r="Q202" i="81" s="1"/>
  <c r="O42" i="99"/>
  <c r="O220" i="90"/>
  <c r="I41" i="99"/>
  <c r="I219" i="90"/>
  <c r="F41" i="99"/>
  <c r="F219" i="90"/>
  <c r="J41" i="99"/>
  <c r="J219" i="90"/>
  <c r="G203" i="81"/>
  <c r="G205" i="81" s="1"/>
  <c r="E43" i="99"/>
  <c r="E221" i="90"/>
  <c r="H203" i="81"/>
  <c r="H205" i="81" s="1"/>
  <c r="F43" i="99"/>
  <c r="F221" i="90"/>
  <c r="K203" i="81"/>
  <c r="K205" i="81" s="1"/>
  <c r="I43" i="99"/>
  <c r="I221" i="90"/>
  <c r="J49" i="55"/>
  <c r="KN52" i="54" s="1"/>
  <c r="KN69" i="54" s="1"/>
  <c r="I32" i="99"/>
  <c r="I210" i="90"/>
  <c r="J24" i="90"/>
  <c r="R24" i="90"/>
  <c r="P142" i="90"/>
  <c r="P89" i="90"/>
  <c r="G142" i="90"/>
  <c r="G89" i="90"/>
  <c r="O166" i="90"/>
  <c r="O113" i="90"/>
  <c r="R154" i="90"/>
  <c r="R101" i="90"/>
  <c r="O152" i="90"/>
  <c r="O99" i="90"/>
  <c r="L153" i="90"/>
  <c r="L100" i="90"/>
  <c r="T142" i="90"/>
  <c r="T89" i="90"/>
  <c r="O153" i="90"/>
  <c r="O100" i="90"/>
  <c r="M24" i="90"/>
  <c r="S142" i="90"/>
  <c r="S89" i="90"/>
  <c r="N142" i="90"/>
  <c r="N89" i="90"/>
  <c r="G154" i="90"/>
  <c r="G101" i="90"/>
  <c r="M154" i="90"/>
  <c r="M101" i="90"/>
  <c r="K152" i="90"/>
  <c r="K99" i="90"/>
  <c r="F153" i="90"/>
  <c r="F100" i="90"/>
  <c r="O137" i="90"/>
  <c r="O84" i="90"/>
  <c r="Q137" i="90"/>
  <c r="Q84" i="90"/>
  <c r="T154" i="90"/>
  <c r="T101" i="90"/>
  <c r="S137" i="90"/>
  <c r="S84" i="90"/>
  <c r="G26" i="90"/>
  <c r="AC26" i="90" s="1"/>
  <c r="P154" i="90"/>
  <c r="P101" i="90"/>
  <c r="N152" i="90"/>
  <c r="N99" i="90"/>
  <c r="G137" i="90"/>
  <c r="G84" i="90"/>
  <c r="I35" i="90"/>
  <c r="AE35" i="90" s="1"/>
  <c r="E142" i="90"/>
  <c r="E89" i="90"/>
  <c r="N154" i="90"/>
  <c r="N101" i="90"/>
  <c r="J154" i="90"/>
  <c r="J101" i="90"/>
  <c r="K153" i="90"/>
  <c r="K100" i="90"/>
  <c r="I205" i="46"/>
  <c r="I266" i="46" s="1"/>
  <c r="I143" i="46"/>
  <c r="Q205" i="46"/>
  <c r="Q266" i="46" s="1"/>
  <c r="Q143" i="46"/>
  <c r="H58" i="36"/>
  <c r="E36" i="41" s="1" a="1"/>
  <c r="G36" i="41" s="1"/>
  <c r="F170" i="38"/>
  <c r="I170" i="38" s="1"/>
  <c r="E52" i="41" s="1" a="1"/>
  <c r="O52" i="41" s="1"/>
  <c r="G37" i="38"/>
  <c r="H37" i="38" s="1"/>
  <c r="E47" i="41" s="1" a="1"/>
  <c r="K47" i="41" s="1"/>
  <c r="E35" i="41" a="1"/>
  <c r="S35" i="41" s="1"/>
  <c r="G146" i="38"/>
  <c r="H146" i="38" s="1"/>
  <c r="E53" i="41" s="1" a="1"/>
  <c r="F53" i="41" s="1"/>
  <c r="E32" i="41"/>
  <c r="Y32" i="41" s="1"/>
  <c r="N32" i="41"/>
  <c r="O176" i="81" s="1"/>
  <c r="O178" i="81" s="1"/>
  <c r="U32" i="41"/>
  <c r="S53" i="42" s="1"/>
  <c r="E32" i="43" s="1"/>
  <c r="G32" i="43" s="1"/>
  <c r="T39" i="42"/>
  <c r="H32" i="41"/>
  <c r="F53" i="42" s="1"/>
  <c r="G32" i="41"/>
  <c r="E53" i="42" s="1"/>
  <c r="K32" i="41"/>
  <c r="R32" i="41"/>
  <c r="S176" i="81" s="1"/>
  <c r="S178" i="81" s="1"/>
  <c r="F32" i="41"/>
  <c r="G176" i="81" s="1"/>
  <c r="G178" i="81" s="1"/>
  <c r="O32" i="41"/>
  <c r="P32" i="41"/>
  <c r="L32" i="41"/>
  <c r="Q32" i="41"/>
  <c r="R176" i="81" s="1"/>
  <c r="R178" i="81" s="1"/>
  <c r="I32" i="41"/>
  <c r="AN69" i="54"/>
  <c r="M32" i="41"/>
  <c r="T32" i="41"/>
  <c r="U176" i="81" s="1"/>
  <c r="U178" i="81" s="1"/>
  <c r="S32" i="41"/>
  <c r="BB69" i="54"/>
  <c r="C50" i="42"/>
  <c r="C49" i="42" s="1"/>
  <c r="AR30" i="41"/>
  <c r="AA30" i="41" s="1"/>
  <c r="F36" i="42"/>
  <c r="F35" i="42" s="1"/>
  <c r="AD23" i="41"/>
  <c r="J197" i="81"/>
  <c r="J199" i="81" s="1"/>
  <c r="I99" i="55"/>
  <c r="R197" i="81"/>
  <c r="R199" i="81" s="1"/>
  <c r="Q99" i="55"/>
  <c r="BX32" i="54"/>
  <c r="BX69" i="54" s="1"/>
  <c r="CO32" i="54"/>
  <c r="CO69" i="54" s="1"/>
  <c r="CO187" i="54" s="1"/>
  <c r="E7" i="52" s="1"/>
  <c r="G8" i="51" s="1"/>
  <c r="G42" i="51" s="1"/>
  <c r="E7" i="50" s="1"/>
  <c r="E39" i="50" s="1"/>
  <c r="E9" i="46" s="1"/>
  <c r="AP32" i="54"/>
  <c r="AP69" i="54" s="1"/>
  <c r="H32" i="54"/>
  <c r="C205" i="46"/>
  <c r="C266" i="46" s="1"/>
  <c r="M197" i="81"/>
  <c r="M199" i="81" s="1"/>
  <c r="L99" i="55"/>
  <c r="T197" i="81"/>
  <c r="T199" i="81" s="1"/>
  <c r="S99" i="55"/>
  <c r="C210" i="46"/>
  <c r="C271" i="46" s="1"/>
  <c r="H270" i="46"/>
  <c r="F197" i="81"/>
  <c r="F199" i="81" s="1"/>
  <c r="E99" i="55"/>
  <c r="MY42" i="54"/>
  <c r="JR42" i="54"/>
  <c r="CU32" i="54"/>
  <c r="CU69" i="54" s="1"/>
  <c r="CU187" i="54" s="1"/>
  <c r="K7" i="52" s="1"/>
  <c r="M8" i="51" s="1"/>
  <c r="M42" i="51" s="1"/>
  <c r="K7" i="50" s="1"/>
  <c r="K39" i="50" s="1"/>
  <c r="K9" i="46" s="1"/>
  <c r="K194" i="46" s="1"/>
  <c r="AV32" i="54"/>
  <c r="AV69" i="54" s="1"/>
  <c r="N32" i="54"/>
  <c r="CD32" i="54"/>
  <c r="CD69" i="54" s="1"/>
  <c r="ND51" i="54"/>
  <c r="LV51" i="54"/>
  <c r="LV69" i="54" s="1"/>
  <c r="LV187" i="54" s="1"/>
  <c r="H26" i="52" s="1"/>
  <c r="J27" i="51" s="1"/>
  <c r="J61" i="51" s="1"/>
  <c r="H23" i="50" s="1"/>
  <c r="H55" i="50" s="1"/>
  <c r="H25" i="46" s="1"/>
  <c r="H210" i="46" s="1"/>
  <c r="CF32" i="54"/>
  <c r="CF69" i="54" s="1"/>
  <c r="AX32" i="54"/>
  <c r="AX69" i="54" s="1"/>
  <c r="CW32" i="54"/>
  <c r="CW69" i="54" s="1"/>
  <c r="CW187" i="54" s="1"/>
  <c r="M7" i="52" s="1"/>
  <c r="O8" i="51" s="1"/>
  <c r="O42" i="51" s="1"/>
  <c r="M7" i="50" s="1"/>
  <c r="M39" i="50" s="1"/>
  <c r="M9" i="46" s="1"/>
  <c r="M194" i="46" s="1"/>
  <c r="P32" i="54"/>
  <c r="NK42" i="54"/>
  <c r="KD42" i="54"/>
  <c r="MZ42" i="54"/>
  <c r="JS42" i="54"/>
  <c r="NC51" i="54"/>
  <c r="LU51" i="54"/>
  <c r="LU69" i="54" s="1"/>
  <c r="LU187" i="54" s="1"/>
  <c r="G26" i="52" s="1"/>
  <c r="I27" i="51" s="1"/>
  <c r="I61" i="51" s="1"/>
  <c r="G23" i="50" s="1"/>
  <c r="G55" i="50" s="1"/>
  <c r="G25" i="46" s="1"/>
  <c r="NE51" i="54"/>
  <c r="LW51" i="54"/>
  <c r="LW69" i="54" s="1"/>
  <c r="LW187" i="54" s="1"/>
  <c r="I26" i="52" s="1"/>
  <c r="K27" i="51" s="1"/>
  <c r="K61" i="51" s="1"/>
  <c r="I23" i="50" s="1"/>
  <c r="I55" i="50" s="1"/>
  <c r="I25" i="46" s="1"/>
  <c r="I210" i="46" s="1"/>
  <c r="NC42" i="54"/>
  <c r="JV42" i="54"/>
  <c r="NN42" i="54"/>
  <c r="KG42" i="54"/>
  <c r="G197" i="81"/>
  <c r="G199" i="81" s="1"/>
  <c r="F99" i="55"/>
  <c r="NB51" i="54"/>
  <c r="LT51" i="54"/>
  <c r="LT69" i="54" s="1"/>
  <c r="LT187" i="54" s="1"/>
  <c r="F26" i="52" s="1"/>
  <c r="H27" i="51" s="1"/>
  <c r="H61" i="51" s="1"/>
  <c r="F23" i="50" s="1"/>
  <c r="F55" i="50" s="1"/>
  <c r="F25" i="46" s="1"/>
  <c r="NM42" i="54"/>
  <c r="KF42" i="54"/>
  <c r="NO42" i="54"/>
  <c r="KH42" i="54"/>
  <c r="NB42" i="54"/>
  <c r="JU42" i="54"/>
  <c r="CY32" i="54"/>
  <c r="CY69" i="54" s="1"/>
  <c r="CY187" i="54" s="1"/>
  <c r="O7" i="52" s="1"/>
  <c r="Q8" i="51" s="1"/>
  <c r="Q42" i="51" s="1"/>
  <c r="O7" i="50" s="1"/>
  <c r="O39" i="50" s="1"/>
  <c r="O9" i="46" s="1"/>
  <c r="O194" i="46" s="1"/>
  <c r="AZ32" i="54"/>
  <c r="AZ69" i="54" s="1"/>
  <c r="R32" i="54"/>
  <c r="CH32" i="54"/>
  <c r="CH69" i="54" s="1"/>
  <c r="NA51" i="54"/>
  <c r="LS51" i="54"/>
  <c r="LS69" i="54" s="1"/>
  <c r="LS187" i="54" s="1"/>
  <c r="E26" i="52" s="1"/>
  <c r="G27" i="51" s="1"/>
  <c r="G61" i="51" s="1"/>
  <c r="E23" i="50" s="1"/>
  <c r="E55" i="50" s="1"/>
  <c r="E25" i="46" s="1"/>
  <c r="ND42" i="54"/>
  <c r="JW42" i="54"/>
  <c r="NL42" i="54"/>
  <c r="KE42" i="54"/>
  <c r="G205" i="46"/>
  <c r="G266" i="46" s="1"/>
  <c r="NG51" i="54"/>
  <c r="LY51" i="54"/>
  <c r="LY69" i="54" s="1"/>
  <c r="LY187" i="54" s="1"/>
  <c r="K26" i="52" s="1"/>
  <c r="M27" i="51" s="1"/>
  <c r="M61" i="51" s="1"/>
  <c r="K23" i="50" s="1"/>
  <c r="K55" i="50" s="1"/>
  <c r="K25" i="46" s="1"/>
  <c r="K210" i="46" s="1"/>
  <c r="CX32" i="54"/>
  <c r="CX69" i="54" s="1"/>
  <c r="CX187" i="54" s="1"/>
  <c r="N7" i="52" s="1"/>
  <c r="P8" i="51" s="1"/>
  <c r="P42" i="51" s="1"/>
  <c r="N7" i="50" s="1"/>
  <c r="N39" i="50" s="1"/>
  <c r="N9" i="46" s="1"/>
  <c r="N194" i="46" s="1"/>
  <c r="AY32" i="54"/>
  <c r="AY69" i="54" s="1"/>
  <c r="Q32" i="54"/>
  <c r="CG32" i="54"/>
  <c r="CG69" i="54" s="1"/>
  <c r="I197" i="81"/>
  <c r="I199" i="81" s="1"/>
  <c r="H99" i="55"/>
  <c r="H197" i="81"/>
  <c r="H199" i="81" s="1"/>
  <c r="G99" i="55"/>
  <c r="S270" i="46"/>
  <c r="Q197" i="81"/>
  <c r="Q199" i="81" s="1"/>
  <c r="P99" i="55"/>
  <c r="S197" i="81"/>
  <c r="S199" i="81" s="1"/>
  <c r="R99" i="55"/>
  <c r="NL51" i="54"/>
  <c r="MD51" i="54"/>
  <c r="MD69" i="54" s="1"/>
  <c r="MD187" i="54" s="1"/>
  <c r="P26" i="52" s="1"/>
  <c r="R27" i="51" s="1"/>
  <c r="R61" i="51" s="1"/>
  <c r="P23" i="50" s="1"/>
  <c r="P55" i="50" s="1"/>
  <c r="P25" i="46" s="1"/>
  <c r="P210" i="46" s="1"/>
  <c r="NH51" i="54"/>
  <c r="LZ51" i="54"/>
  <c r="LZ69" i="54" s="1"/>
  <c r="LZ187" i="54" s="1"/>
  <c r="L26" i="52" s="1"/>
  <c r="N27" i="51" s="1"/>
  <c r="N61" i="51" s="1"/>
  <c r="L23" i="50" s="1"/>
  <c r="L55" i="50" s="1"/>
  <c r="L25" i="46" s="1"/>
  <c r="L210" i="46" s="1"/>
  <c r="NA42" i="54"/>
  <c r="JT42" i="54"/>
  <c r="CI32" i="54"/>
  <c r="CI69" i="54" s="1"/>
  <c r="CZ32" i="54"/>
  <c r="CZ69" i="54" s="1"/>
  <c r="CZ187" i="54" s="1"/>
  <c r="P7" i="52" s="1"/>
  <c r="R8" i="51" s="1"/>
  <c r="R42" i="51" s="1"/>
  <c r="P7" i="50" s="1"/>
  <c r="P39" i="50" s="1"/>
  <c r="P9" i="46" s="1"/>
  <c r="P194" i="46" s="1"/>
  <c r="BA32" i="54"/>
  <c r="BA69" i="54" s="1"/>
  <c r="S32" i="54"/>
  <c r="NI51" i="54"/>
  <c r="MA51" i="54"/>
  <c r="MA69" i="54" s="1"/>
  <c r="MA187" i="54" s="1"/>
  <c r="M26" i="52" s="1"/>
  <c r="O27" i="51" s="1"/>
  <c r="O61" i="51" s="1"/>
  <c r="M23" i="50" s="1"/>
  <c r="M55" i="50" s="1"/>
  <c r="M25" i="46" s="1"/>
  <c r="M210" i="46" s="1"/>
  <c r="NF51" i="54"/>
  <c r="LX51" i="54"/>
  <c r="LX69" i="54" s="1"/>
  <c r="LX187" i="54" s="1"/>
  <c r="J26" i="52" s="1"/>
  <c r="L27" i="51" s="1"/>
  <c r="L61" i="51" s="1"/>
  <c r="J23" i="50" s="1"/>
  <c r="J55" i="50" s="1"/>
  <c r="J25" i="46" s="1"/>
  <c r="J210" i="46" s="1"/>
  <c r="NJ42" i="54"/>
  <c r="KC42" i="54"/>
  <c r="CQ32" i="54"/>
  <c r="CQ69" i="54" s="1"/>
  <c r="CQ187" i="54" s="1"/>
  <c r="G7" i="52" s="1"/>
  <c r="I8" i="51" s="1"/>
  <c r="I42" i="51" s="1"/>
  <c r="G7" i="50" s="1"/>
  <c r="G39" i="50" s="1"/>
  <c r="G9" i="46" s="1"/>
  <c r="AR32" i="54"/>
  <c r="AR69" i="54" s="1"/>
  <c r="J32" i="54"/>
  <c r="BZ32" i="54"/>
  <c r="BZ69" i="54" s="1"/>
  <c r="NH42" i="54"/>
  <c r="KA42" i="54"/>
  <c r="NK51" i="54"/>
  <c r="MC51" i="54"/>
  <c r="MC69" i="54" s="1"/>
  <c r="MC187" i="54" s="1"/>
  <c r="O26" i="52" s="1"/>
  <c r="Q27" i="51" s="1"/>
  <c r="Q61" i="51" s="1"/>
  <c r="O23" i="50" s="1"/>
  <c r="O55" i="50" s="1"/>
  <c r="O25" i="46" s="1"/>
  <c r="O210" i="46" s="1"/>
  <c r="C194" i="46"/>
  <c r="C255" i="46" s="1"/>
  <c r="C132" i="46"/>
  <c r="Q270" i="46"/>
  <c r="I270" i="46"/>
  <c r="T99" i="55"/>
  <c r="N197" i="81"/>
  <c r="N199" i="81" s="1"/>
  <c r="M99" i="55"/>
  <c r="P270" i="46"/>
  <c r="N99" i="55"/>
  <c r="D205" i="46"/>
  <c r="D266" i="46" s="1"/>
  <c r="S68" i="42"/>
  <c r="E65" i="43" s="1"/>
  <c r="G65" i="43" s="1"/>
  <c r="U99" i="55"/>
  <c r="P197" i="81"/>
  <c r="P199" i="81" s="1"/>
  <c r="O99" i="55"/>
  <c r="NE42" i="54"/>
  <c r="JX42" i="54"/>
  <c r="MZ51" i="54"/>
  <c r="LR51" i="54"/>
  <c r="LR69" i="54" s="1"/>
  <c r="LR187" i="54" s="1"/>
  <c r="D26" i="52" s="1"/>
  <c r="F27" i="51" s="1"/>
  <c r="F61" i="51" s="1"/>
  <c r="D23" i="50" s="1"/>
  <c r="D55" i="50" s="1"/>
  <c r="D25" i="46" s="1"/>
  <c r="NI42" i="54"/>
  <c r="KB42" i="54"/>
  <c r="NJ51" i="54"/>
  <c r="MB51" i="54"/>
  <c r="MB69" i="54" s="1"/>
  <c r="MB187" i="54" s="1"/>
  <c r="N26" i="52" s="1"/>
  <c r="P27" i="51" s="1"/>
  <c r="P61" i="51" s="1"/>
  <c r="N23" i="50" s="1"/>
  <c r="N55" i="50" s="1"/>
  <c r="N25" i="46" s="1"/>
  <c r="N210" i="46" s="1"/>
  <c r="CP32" i="54"/>
  <c r="CP69" i="54" s="1"/>
  <c r="CP187" i="54" s="1"/>
  <c r="F7" i="52" s="1"/>
  <c r="H8" i="51" s="1"/>
  <c r="H42" i="51" s="1"/>
  <c r="F7" i="50" s="1"/>
  <c r="F39" i="50" s="1"/>
  <c r="F9" i="46" s="1"/>
  <c r="AQ32" i="54"/>
  <c r="AQ69" i="54" s="1"/>
  <c r="I32" i="54"/>
  <c r="BY32" i="54"/>
  <c r="BY69" i="54" s="1"/>
  <c r="BW32" i="54"/>
  <c r="BW69" i="54" s="1"/>
  <c r="CN32" i="54"/>
  <c r="CN69" i="54" s="1"/>
  <c r="CN187" i="54" s="1"/>
  <c r="D7" i="52" s="1"/>
  <c r="F8" i="51" s="1"/>
  <c r="F42" i="51" s="1"/>
  <c r="D7" i="50" s="1"/>
  <c r="D39" i="50" s="1"/>
  <c r="D9" i="46" s="1"/>
  <c r="G32" i="54"/>
  <c r="AO32" i="54"/>
  <c r="AO69" i="54" s="1"/>
  <c r="CS32" i="54"/>
  <c r="CS69" i="54" s="1"/>
  <c r="CS187" i="54" s="1"/>
  <c r="I7" i="52" s="1"/>
  <c r="K8" i="51" s="1"/>
  <c r="K42" i="51" s="1"/>
  <c r="I7" i="50" s="1"/>
  <c r="I39" i="50" s="1"/>
  <c r="I9" i="46" s="1"/>
  <c r="I194" i="46" s="1"/>
  <c r="AT32" i="54"/>
  <c r="AT69" i="54" s="1"/>
  <c r="L32" i="54"/>
  <c r="CB32" i="54"/>
  <c r="CB69" i="54" s="1"/>
  <c r="NF42" i="54"/>
  <c r="JY42" i="54"/>
  <c r="CV32" i="54"/>
  <c r="CV69" i="54" s="1"/>
  <c r="CV187" i="54" s="1"/>
  <c r="L7" i="52" s="1"/>
  <c r="N8" i="51" s="1"/>
  <c r="N42" i="51" s="1"/>
  <c r="L7" i="50" s="1"/>
  <c r="L39" i="50" s="1"/>
  <c r="L9" i="46" s="1"/>
  <c r="L194" i="46" s="1"/>
  <c r="CE32" i="54"/>
  <c r="CE69" i="54" s="1"/>
  <c r="AW32" i="54"/>
  <c r="AW69" i="54" s="1"/>
  <c r="O32" i="54"/>
  <c r="CA32" i="54"/>
  <c r="CA69" i="54" s="1"/>
  <c r="CR32" i="54"/>
  <c r="CR69" i="54" s="1"/>
  <c r="CR187" i="54" s="1"/>
  <c r="H7" i="52" s="1"/>
  <c r="J8" i="51" s="1"/>
  <c r="J42" i="51" s="1"/>
  <c r="H7" i="50" s="1"/>
  <c r="H39" i="50" s="1"/>
  <c r="H9" i="46" s="1"/>
  <c r="H194" i="46" s="1"/>
  <c r="AS32" i="54"/>
  <c r="AS69" i="54" s="1"/>
  <c r="K32" i="54"/>
  <c r="CT32" i="54"/>
  <c r="CT69" i="54" s="1"/>
  <c r="CT187" i="54" s="1"/>
  <c r="J7" i="52" s="1"/>
  <c r="L8" i="51" s="1"/>
  <c r="L42" i="51" s="1"/>
  <c r="J7" i="50" s="1"/>
  <c r="J39" i="50" s="1"/>
  <c r="J9" i="46" s="1"/>
  <c r="J194" i="46" s="1"/>
  <c r="AU32" i="54"/>
  <c r="AU69" i="54" s="1"/>
  <c r="M32" i="54"/>
  <c r="CC32" i="54"/>
  <c r="CC69" i="54" s="1"/>
  <c r="K197" i="81"/>
  <c r="K199" i="81" s="1"/>
  <c r="J99" i="55"/>
  <c r="L197" i="81"/>
  <c r="L199" i="81" s="1"/>
  <c r="K99" i="55"/>
  <c r="M270" i="46"/>
  <c r="I95" i="38"/>
  <c r="J95" i="38" s="1"/>
  <c r="I94" i="38"/>
  <c r="U203" i="81"/>
  <c r="U205" i="81" s="1"/>
  <c r="Q72" i="42"/>
  <c r="R6" i="42"/>
  <c r="Q6" i="42"/>
  <c r="S72" i="42"/>
  <c r="E68" i="43" s="1"/>
  <c r="G68" i="43" s="1"/>
  <c r="Y43" i="41"/>
  <c r="Z43" i="41" s="1"/>
  <c r="C73" i="42" s="1"/>
  <c r="C72" i="42" s="1"/>
  <c r="C48" i="42"/>
  <c r="C47" i="42" s="1"/>
  <c r="AR29" i="41"/>
  <c r="AA29" i="41" s="1"/>
  <c r="O26" i="42"/>
  <c r="O25" i="42" s="1"/>
  <c r="AM18" i="41"/>
  <c r="P26" i="42" s="1"/>
  <c r="P25" i="42" s="1"/>
  <c r="AL26" i="41"/>
  <c r="N42" i="42"/>
  <c r="N41" i="42" s="1"/>
  <c r="Q68" i="42"/>
  <c r="Y42" i="41"/>
  <c r="Z42" i="41" s="1"/>
  <c r="C71" i="42" s="1"/>
  <c r="C70" i="42" s="1"/>
  <c r="Y41" i="41"/>
  <c r="Z41" i="41" s="1"/>
  <c r="V200" i="81"/>
  <c r="V202" i="81" s="1"/>
  <c r="S70" i="42"/>
  <c r="E66" i="43" s="1"/>
  <c r="G66" i="43" s="1"/>
  <c r="V197" i="81"/>
  <c r="V199" i="81" s="1"/>
  <c r="E48" i="41" a="1"/>
  <c r="R48" i="41" s="1"/>
  <c r="U197" i="81"/>
  <c r="U199" i="81" s="1"/>
  <c r="R68" i="42"/>
  <c r="R70" i="42"/>
  <c r="U200" i="81"/>
  <c r="U202" i="81" s="1"/>
  <c r="D32" i="42"/>
  <c r="D31" i="42" s="1"/>
  <c r="AB21" i="41"/>
  <c r="E13" i="42"/>
  <c r="E12" i="42" s="1"/>
  <c r="AC11" i="41"/>
  <c r="D53" i="42"/>
  <c r="F17" i="42"/>
  <c r="F16" i="42" s="1"/>
  <c r="AD13" i="41"/>
  <c r="O38" i="42"/>
  <c r="O37" i="42" s="1"/>
  <c r="AM24" i="41"/>
  <c r="P38" i="42" s="1"/>
  <c r="P37" i="42" s="1"/>
  <c r="O22" i="42"/>
  <c r="O21" i="42" s="1"/>
  <c r="AM16" i="41"/>
  <c r="P22" i="42" s="1"/>
  <c r="P21" i="42" s="1"/>
  <c r="K176" i="81"/>
  <c r="K178" i="81" s="1"/>
  <c r="H53" i="42"/>
  <c r="C52" i="42"/>
  <c r="C51" i="42" s="1"/>
  <c r="AR31" i="41"/>
  <c r="AA31" i="41" s="1"/>
  <c r="C19" i="42"/>
  <c r="C18" i="42" s="1"/>
  <c r="AR14" i="41"/>
  <c r="AA14" i="41" s="1"/>
  <c r="D28" i="42"/>
  <c r="D27" i="42" s="1"/>
  <c r="AB19" i="41"/>
  <c r="Z31" i="42"/>
  <c r="E16" i="43"/>
  <c r="G16" i="43" s="1"/>
  <c r="S6" i="42"/>
  <c r="T45" i="42"/>
  <c r="H143" i="46" l="1"/>
  <c r="Q45" i="90"/>
  <c r="AM45" i="90" s="1"/>
  <c r="P45" i="90"/>
  <c r="AL45" i="90" s="1"/>
  <c r="O44" i="90"/>
  <c r="AK44" i="90" s="1"/>
  <c r="L143" i="46"/>
  <c r="S143" i="46"/>
  <c r="E205" i="46"/>
  <c r="E266" i="46" s="1"/>
  <c r="K205" i="46"/>
  <c r="K266" i="46" s="1"/>
  <c r="M143" i="46"/>
  <c r="F205" i="46"/>
  <c r="F266" i="46" s="1"/>
  <c r="R53" i="42"/>
  <c r="F176" i="81"/>
  <c r="F178" i="81" s="1"/>
  <c r="C53" i="42"/>
  <c r="P205" i="46"/>
  <c r="P266" i="46" s="1"/>
  <c r="F147" i="46"/>
  <c r="G147" i="46"/>
  <c r="R143" i="46"/>
  <c r="L53" i="42"/>
  <c r="AC12" i="41"/>
  <c r="D147" i="46"/>
  <c r="O205" i="46"/>
  <c r="O266" i="46" s="1"/>
  <c r="J44" i="90"/>
  <c r="AF44" i="90" s="1"/>
  <c r="T44" i="90"/>
  <c r="AP44" i="90" s="1"/>
  <c r="R43" i="90"/>
  <c r="AN43" i="90" s="1"/>
  <c r="O53" i="42"/>
  <c r="C147" i="46"/>
  <c r="I176" i="81"/>
  <c r="I178" i="81" s="1"/>
  <c r="G28" i="90"/>
  <c r="AC28" i="90" s="1"/>
  <c r="H33" i="90"/>
  <c r="AD33" i="90" s="1"/>
  <c r="I28" i="90"/>
  <c r="AE28" i="90" s="1"/>
  <c r="E209" i="46"/>
  <c r="E270" i="46" s="1"/>
  <c r="N205" i="46"/>
  <c r="N266" i="46" s="1"/>
  <c r="ND52" i="54"/>
  <c r="J143" i="46"/>
  <c r="R33" i="90"/>
  <c r="AN33" i="90" s="1"/>
  <c r="H43" i="90"/>
  <c r="AD43" i="90" s="1"/>
  <c r="JW52" i="54"/>
  <c r="J28" i="90"/>
  <c r="AF28" i="90" s="1"/>
  <c r="I44" i="90"/>
  <c r="AE44" i="90" s="1"/>
  <c r="K28" i="90"/>
  <c r="AG28" i="90" s="1"/>
  <c r="D43" i="90"/>
  <c r="Z43" i="90" s="1"/>
  <c r="P44" i="90"/>
  <c r="AL44" i="90" s="1"/>
  <c r="D44" i="90"/>
  <c r="Z44" i="90" s="1"/>
  <c r="D28" i="90"/>
  <c r="Z28" i="90" s="1"/>
  <c r="M43" i="90"/>
  <c r="AI43" i="90" s="1"/>
  <c r="F28" i="90"/>
  <c r="AB28" i="90" s="1"/>
  <c r="R44" i="90"/>
  <c r="AN44" i="90" s="1"/>
  <c r="K52" i="54"/>
  <c r="K69" i="54" s="1"/>
  <c r="N43" i="90"/>
  <c r="AJ43" i="90" s="1"/>
  <c r="T33" i="90"/>
  <c r="AP33" i="90" s="1"/>
  <c r="K45" i="90"/>
  <c r="AG45" i="90" s="1"/>
  <c r="F43" i="90"/>
  <c r="AB43" i="90" s="1"/>
  <c r="Q33" i="90"/>
  <c r="AM33" i="90" s="1"/>
  <c r="R56" i="90"/>
  <c r="AN56" i="90" s="1"/>
  <c r="L43" i="90"/>
  <c r="AH43" i="90" s="1"/>
  <c r="J33" i="90"/>
  <c r="AF33" i="90" s="1"/>
  <c r="Q43" i="90"/>
  <c r="AM43" i="90" s="1"/>
  <c r="E44" i="90"/>
  <c r="AA44" i="90" s="1"/>
  <c r="J43" i="90"/>
  <c r="AF43" i="90" s="1"/>
  <c r="F36" i="99"/>
  <c r="F214" i="90"/>
  <c r="T49" i="55"/>
  <c r="U52" i="54" s="1"/>
  <c r="U69" i="54" s="1"/>
  <c r="S32" i="99"/>
  <c r="S210" i="90"/>
  <c r="Q49" i="55"/>
  <c r="R52" i="54" s="1"/>
  <c r="R69" i="54" s="1"/>
  <c r="P32" i="99"/>
  <c r="P210" i="90"/>
  <c r="F49" i="55"/>
  <c r="G52" i="54" s="1"/>
  <c r="G69" i="54" s="1"/>
  <c r="E32" i="99"/>
  <c r="E210" i="90"/>
  <c r="H49" i="55"/>
  <c r="KL52" i="54" s="1"/>
  <c r="KL69" i="54" s="1"/>
  <c r="G32" i="99"/>
  <c r="G210" i="90"/>
  <c r="E49" i="55"/>
  <c r="F52" i="54" s="1"/>
  <c r="F69" i="54" s="1"/>
  <c r="D32" i="99"/>
  <c r="D210" i="90"/>
  <c r="J45" i="90"/>
  <c r="AF45" i="90" s="1"/>
  <c r="E33" i="90"/>
  <c r="AA33" i="90" s="1"/>
  <c r="T45" i="90"/>
  <c r="AP45" i="90" s="1"/>
  <c r="O28" i="90"/>
  <c r="AK28" i="90" s="1"/>
  <c r="K43" i="90"/>
  <c r="AG43" i="90" s="1"/>
  <c r="G45" i="90"/>
  <c r="AC45" i="90" s="1"/>
  <c r="S33" i="90"/>
  <c r="AO33" i="90" s="1"/>
  <c r="L44" i="90"/>
  <c r="AH44" i="90" s="1"/>
  <c r="R45" i="90"/>
  <c r="AN45" i="90" s="1"/>
  <c r="G33" i="90"/>
  <c r="AC33" i="90" s="1"/>
  <c r="F166" i="90"/>
  <c r="F113" i="90"/>
  <c r="F164" i="90"/>
  <c r="F111" i="90"/>
  <c r="O165" i="90"/>
  <c r="O112" i="90"/>
  <c r="R166" i="90"/>
  <c r="R113" i="90"/>
  <c r="E164" i="90"/>
  <c r="E111" i="90"/>
  <c r="Q165" i="90"/>
  <c r="Q112" i="90"/>
  <c r="K164" i="90"/>
  <c r="K111" i="90"/>
  <c r="S164" i="90"/>
  <c r="S111" i="90"/>
  <c r="AO24" i="90"/>
  <c r="E28" i="90"/>
  <c r="AA28" i="90" s="1"/>
  <c r="E43" i="90"/>
  <c r="AA43" i="90" s="1"/>
  <c r="R28" i="90"/>
  <c r="AN28" i="90" s="1"/>
  <c r="M44" i="90"/>
  <c r="AI44" i="90" s="1"/>
  <c r="E45" i="90"/>
  <c r="AA45" i="90" s="1"/>
  <c r="M55" i="90"/>
  <c r="AI55" i="90" s="1"/>
  <c r="F45" i="90"/>
  <c r="AB45" i="90" s="1"/>
  <c r="M33" i="90"/>
  <c r="AI33" i="90" s="1"/>
  <c r="H44" i="90"/>
  <c r="AD44" i="90" s="1"/>
  <c r="P43" i="90"/>
  <c r="AL43" i="90" s="1"/>
  <c r="O45" i="90"/>
  <c r="AK45" i="90" s="1"/>
  <c r="O33" i="90"/>
  <c r="AK33" i="90" s="1"/>
  <c r="AM24" i="90"/>
  <c r="M166" i="90"/>
  <c r="M113" i="90"/>
  <c r="AL24" i="90"/>
  <c r="H28" i="90"/>
  <c r="AD28" i="90" s="1"/>
  <c r="N28" i="90"/>
  <c r="AJ28" i="90" s="1"/>
  <c r="G43" i="90"/>
  <c r="AC43" i="90" s="1"/>
  <c r="Q166" i="90"/>
  <c r="Q113" i="90"/>
  <c r="D164" i="90"/>
  <c r="D111" i="90"/>
  <c r="K166" i="90"/>
  <c r="K113" i="90"/>
  <c r="F136" i="55"/>
  <c r="NQ138" i="54" s="1"/>
  <c r="E53" i="99"/>
  <c r="E231" i="90"/>
  <c r="Q48" i="99"/>
  <c r="Q226" i="90"/>
  <c r="M49" i="55"/>
  <c r="JZ52" i="54" s="1"/>
  <c r="JZ69" i="54" s="1"/>
  <c r="L32" i="99"/>
  <c r="L210" i="90"/>
  <c r="L49" i="55"/>
  <c r="JY52" i="54" s="1"/>
  <c r="JY69" i="54" s="1"/>
  <c r="K32" i="99"/>
  <c r="K210" i="90"/>
  <c r="R49" i="55"/>
  <c r="S52" i="54" s="1"/>
  <c r="S69" i="54" s="1"/>
  <c r="Q32" i="99"/>
  <c r="Q210" i="90"/>
  <c r="AI24" i="90"/>
  <c r="AF24" i="90"/>
  <c r="I166" i="90"/>
  <c r="I113" i="90"/>
  <c r="G164" i="90"/>
  <c r="G111" i="90"/>
  <c r="H166" i="90"/>
  <c r="H113" i="90"/>
  <c r="J165" i="90"/>
  <c r="J112" i="90"/>
  <c r="T164" i="90"/>
  <c r="T111" i="90"/>
  <c r="S166" i="90"/>
  <c r="S113" i="90"/>
  <c r="R164" i="90"/>
  <c r="R111" i="90"/>
  <c r="T28" i="90"/>
  <c r="AP28" i="90" s="1"/>
  <c r="S45" i="90"/>
  <c r="AO45" i="90" s="1"/>
  <c r="F33" i="90"/>
  <c r="AB33" i="90" s="1"/>
  <c r="I33" i="90"/>
  <c r="AE33" i="90" s="1"/>
  <c r="N44" i="90"/>
  <c r="AJ44" i="90" s="1"/>
  <c r="AB24" i="90"/>
  <c r="AC24" i="90"/>
  <c r="AA24" i="90"/>
  <c r="Q164" i="90"/>
  <c r="Q111" i="90"/>
  <c r="P165" i="90"/>
  <c r="P112" i="90"/>
  <c r="O164" i="90"/>
  <c r="O111" i="90"/>
  <c r="I165" i="90"/>
  <c r="I112" i="90"/>
  <c r="P49" i="55"/>
  <c r="KC52" i="54" s="1"/>
  <c r="KC69" i="54" s="1"/>
  <c r="O32" i="99"/>
  <c r="O210" i="90"/>
  <c r="K49" i="55"/>
  <c r="L52" i="54" s="1"/>
  <c r="L69" i="54" s="1"/>
  <c r="J32" i="99"/>
  <c r="J210" i="90"/>
  <c r="U49" i="55"/>
  <c r="NO52" i="54" s="1"/>
  <c r="NO69" i="54" s="1"/>
  <c r="T32" i="99"/>
  <c r="T210" i="90"/>
  <c r="R35" i="99"/>
  <c r="R213" i="90"/>
  <c r="K44" i="90"/>
  <c r="AG44" i="90" s="1"/>
  <c r="N45" i="90"/>
  <c r="AJ45" i="90" s="1"/>
  <c r="S28" i="90"/>
  <c r="AO28" i="90" s="1"/>
  <c r="Q28" i="90"/>
  <c r="AM28" i="90" s="1"/>
  <c r="F44" i="90"/>
  <c r="AB44" i="90" s="1"/>
  <c r="M45" i="90"/>
  <c r="AI45" i="90" s="1"/>
  <c r="N33" i="90"/>
  <c r="AJ33" i="90" s="1"/>
  <c r="O43" i="90"/>
  <c r="AK43" i="90" s="1"/>
  <c r="O57" i="90"/>
  <c r="AK57" i="90" s="1"/>
  <c r="P33" i="90"/>
  <c r="AL33" i="90" s="1"/>
  <c r="AN24" i="90"/>
  <c r="I155" i="90"/>
  <c r="I102" i="90"/>
  <c r="J164" i="90"/>
  <c r="J111" i="90"/>
  <c r="I164" i="90"/>
  <c r="I111" i="90"/>
  <c r="N165" i="90"/>
  <c r="N112" i="90"/>
  <c r="N164" i="90"/>
  <c r="N111" i="90"/>
  <c r="E165" i="90"/>
  <c r="E112" i="90"/>
  <c r="L165" i="90"/>
  <c r="L112" i="90"/>
  <c r="L164" i="90"/>
  <c r="L111" i="90"/>
  <c r="T165" i="90"/>
  <c r="T112" i="90"/>
  <c r="M28" i="90"/>
  <c r="AI28" i="90" s="1"/>
  <c r="Z24" i="90"/>
  <c r="AP24" i="90"/>
  <c r="D33" i="90"/>
  <c r="Z33" i="90" s="1"/>
  <c r="AJ24" i="90"/>
  <c r="S44" i="90"/>
  <c r="AO44" i="90" s="1"/>
  <c r="L28" i="90"/>
  <c r="AH28" i="90" s="1"/>
  <c r="T43" i="90"/>
  <c r="AP43" i="90" s="1"/>
  <c r="D45" i="90"/>
  <c r="Z45" i="90" s="1"/>
  <c r="S43" i="90"/>
  <c r="AO43" i="90" s="1"/>
  <c r="H45" i="90"/>
  <c r="AD45" i="90" s="1"/>
  <c r="AG24" i="90"/>
  <c r="Q44" i="90"/>
  <c r="AM44" i="90" s="1"/>
  <c r="P28" i="90"/>
  <c r="AL28" i="90" s="1"/>
  <c r="I43" i="90"/>
  <c r="AE43" i="90" s="1"/>
  <c r="I45" i="90"/>
  <c r="AE45" i="90" s="1"/>
  <c r="K33" i="90"/>
  <c r="AG33" i="90" s="1"/>
  <c r="AD24" i="90"/>
  <c r="G165" i="90"/>
  <c r="G112" i="90"/>
  <c r="M165" i="90"/>
  <c r="M112" i="90"/>
  <c r="AE24" i="90"/>
  <c r="G44" i="90"/>
  <c r="AC44" i="90" s="1"/>
  <c r="L45" i="90"/>
  <c r="AH45" i="90" s="1"/>
  <c r="AH24" i="90"/>
  <c r="G166" i="90"/>
  <c r="G113" i="90"/>
  <c r="H165" i="90"/>
  <c r="H112" i="90"/>
  <c r="O138" i="55"/>
  <c r="KB182" i="54" s="1"/>
  <c r="KB186" i="54" s="1"/>
  <c r="N52" i="99"/>
  <c r="N230" i="90"/>
  <c r="S49" i="55"/>
  <c r="T52" i="54" s="1"/>
  <c r="T69" i="54" s="1"/>
  <c r="R32" i="99"/>
  <c r="R210" i="90"/>
  <c r="I49" i="55"/>
  <c r="J52" i="54" s="1"/>
  <c r="J69" i="54" s="1"/>
  <c r="H32" i="99"/>
  <c r="H210" i="90"/>
  <c r="O49" i="55"/>
  <c r="P52" i="54" s="1"/>
  <c r="P69" i="54" s="1"/>
  <c r="N32" i="99"/>
  <c r="N210" i="90"/>
  <c r="G49" i="55"/>
  <c r="H52" i="54" s="1"/>
  <c r="H69" i="54" s="1"/>
  <c r="F32" i="99"/>
  <c r="F210" i="90"/>
  <c r="N49" i="55"/>
  <c r="KA52" i="54" s="1"/>
  <c r="KA69" i="54" s="1"/>
  <c r="M32" i="99"/>
  <c r="M210" i="90"/>
  <c r="K113" i="55"/>
  <c r="UJ139" i="54" s="1"/>
  <c r="J47" i="99"/>
  <c r="J225" i="90"/>
  <c r="E166" i="90"/>
  <c r="E113" i="90"/>
  <c r="F165" i="90"/>
  <c r="F112" i="90"/>
  <c r="S165" i="90"/>
  <c r="S112" i="90"/>
  <c r="N166" i="90"/>
  <c r="N113" i="90"/>
  <c r="K165" i="90"/>
  <c r="K112" i="90"/>
  <c r="P166" i="90"/>
  <c r="P113" i="90"/>
  <c r="D166" i="90"/>
  <c r="D113" i="90"/>
  <c r="T166" i="90"/>
  <c r="T113" i="90"/>
  <c r="D165" i="90"/>
  <c r="D112" i="90"/>
  <c r="AK24" i="90"/>
  <c r="J166" i="90"/>
  <c r="J113" i="90"/>
  <c r="P164" i="90"/>
  <c r="P111" i="90"/>
  <c r="H164" i="90"/>
  <c r="H111" i="90"/>
  <c r="L166" i="90"/>
  <c r="L113" i="90"/>
  <c r="H176" i="81"/>
  <c r="JW69" i="54"/>
  <c r="T35" i="41"/>
  <c r="R58" i="42" s="1"/>
  <c r="U35" i="41"/>
  <c r="V183" i="81" s="1"/>
  <c r="V185" i="81" s="1"/>
  <c r="H35" i="41"/>
  <c r="I183" i="81" s="1"/>
  <c r="I185" i="81" s="1"/>
  <c r="K35" i="41"/>
  <c r="K73" i="55" s="1"/>
  <c r="R35" i="41"/>
  <c r="E35" i="41"/>
  <c r="E74" i="55" s="1"/>
  <c r="F35" i="41"/>
  <c r="G183" i="81" s="1"/>
  <c r="G185" i="81" s="1"/>
  <c r="Q35" i="41"/>
  <c r="Q73" i="55" s="1"/>
  <c r="I35" i="41"/>
  <c r="J35" i="41"/>
  <c r="K183" i="81" s="1"/>
  <c r="K185" i="81" s="1"/>
  <c r="P35" i="41"/>
  <c r="P73" i="55" s="1"/>
  <c r="L35" i="41"/>
  <c r="O35" i="41"/>
  <c r="M35" i="41"/>
  <c r="N35" i="41"/>
  <c r="G35" i="41"/>
  <c r="V176" i="81"/>
  <c r="N53" i="42"/>
  <c r="Q176" i="81"/>
  <c r="T176" i="81"/>
  <c r="M176" i="81"/>
  <c r="N176" i="81"/>
  <c r="J53" i="42"/>
  <c r="P53" i="42"/>
  <c r="K53" i="42"/>
  <c r="L176" i="81"/>
  <c r="I53" i="42"/>
  <c r="J176" i="81"/>
  <c r="P176" i="81"/>
  <c r="M53" i="42"/>
  <c r="G53" i="42"/>
  <c r="Q53" i="42"/>
  <c r="AB30" i="41"/>
  <c r="D50" i="42"/>
  <c r="D49" i="42" s="1"/>
  <c r="AE23" i="41"/>
  <c r="G36" i="42"/>
  <c r="G35" i="42" s="1"/>
  <c r="ND69" i="54"/>
  <c r="NB69" i="54"/>
  <c r="G210" i="46"/>
  <c r="G271" i="46" s="1"/>
  <c r="G148" i="46"/>
  <c r="KQ120" i="54"/>
  <c r="KQ131" i="54" s="1"/>
  <c r="KQ133" i="54" s="1"/>
  <c r="NG120" i="54"/>
  <c r="NG131" i="54" s="1"/>
  <c r="NG133" i="54" s="1"/>
  <c r="JZ120" i="54"/>
  <c r="JZ131" i="54" s="1"/>
  <c r="JZ133" i="54" s="1"/>
  <c r="CD120" i="54"/>
  <c r="CD131" i="54" s="1"/>
  <c r="CD133" i="54" s="1"/>
  <c r="N120" i="54"/>
  <c r="N131" i="54" s="1"/>
  <c r="N133" i="54" s="1"/>
  <c r="AV120" i="54"/>
  <c r="AV131" i="54" s="1"/>
  <c r="AV133" i="54" s="1"/>
  <c r="P271" i="46"/>
  <c r="NB120" i="54"/>
  <c r="NB131" i="54" s="1"/>
  <c r="NB133" i="54" s="1"/>
  <c r="KL120" i="54"/>
  <c r="KL131" i="54" s="1"/>
  <c r="KL133" i="54" s="1"/>
  <c r="JU120" i="54"/>
  <c r="JU131" i="54" s="1"/>
  <c r="JU133" i="54" s="1"/>
  <c r="BY120" i="54"/>
  <c r="BY131" i="54" s="1"/>
  <c r="BY133" i="54" s="1"/>
  <c r="I120" i="54"/>
  <c r="I131" i="54" s="1"/>
  <c r="I133" i="54" s="1"/>
  <c r="AQ120" i="54"/>
  <c r="AQ131" i="54" s="1"/>
  <c r="AQ133" i="54" s="1"/>
  <c r="K271" i="46"/>
  <c r="E194" i="46"/>
  <c r="E255" i="46" s="1"/>
  <c r="E132" i="46"/>
  <c r="NE120" i="54"/>
  <c r="NE131" i="54" s="1"/>
  <c r="NE133" i="54" s="1"/>
  <c r="KO120" i="54"/>
  <c r="KO131" i="54" s="1"/>
  <c r="KO133" i="54" s="1"/>
  <c r="JX120" i="54"/>
  <c r="JX131" i="54" s="1"/>
  <c r="JX133" i="54" s="1"/>
  <c r="AT120" i="54"/>
  <c r="AT131" i="54" s="1"/>
  <c r="AT133" i="54" s="1"/>
  <c r="CB120" i="54"/>
  <c r="CB131" i="54" s="1"/>
  <c r="CB133" i="54" s="1"/>
  <c r="L120" i="54"/>
  <c r="L131" i="54" s="1"/>
  <c r="L133" i="54" s="1"/>
  <c r="G194" i="46"/>
  <c r="G255" i="46" s="1"/>
  <c r="G132" i="46"/>
  <c r="F210" i="46"/>
  <c r="F271" i="46" s="1"/>
  <c r="F148" i="46"/>
  <c r="H271" i="46"/>
  <c r="KI120" i="54"/>
  <c r="KI131" i="54" s="1"/>
  <c r="KI133" i="54" s="1"/>
  <c r="JR120" i="54"/>
  <c r="JR131" i="54" s="1"/>
  <c r="JR133" i="54" s="1"/>
  <c r="MY120" i="54"/>
  <c r="MY131" i="54" s="1"/>
  <c r="MY133" i="54" s="1"/>
  <c r="BV120" i="54"/>
  <c r="BV131" i="54" s="1"/>
  <c r="BV133" i="54" s="1"/>
  <c r="F120" i="54"/>
  <c r="F131" i="54" s="1"/>
  <c r="F133" i="54" s="1"/>
  <c r="AN120" i="54"/>
  <c r="AN131" i="54" s="1"/>
  <c r="AN133" i="54" s="1"/>
  <c r="H255" i="46"/>
  <c r="I255" i="46"/>
  <c r="NN120" i="54"/>
  <c r="NN131" i="54" s="1"/>
  <c r="NN133" i="54" s="1"/>
  <c r="KX120" i="54"/>
  <c r="KX131" i="54" s="1"/>
  <c r="KX133" i="54" s="1"/>
  <c r="KG120" i="54"/>
  <c r="KG131" i="54" s="1"/>
  <c r="KG133" i="54" s="1"/>
  <c r="CK120" i="54"/>
  <c r="CK131" i="54" s="1"/>
  <c r="CK133" i="54" s="1"/>
  <c r="BC120" i="54"/>
  <c r="BC131" i="54" s="1"/>
  <c r="BC133" i="54" s="1"/>
  <c r="U120" i="54"/>
  <c r="U131" i="54" s="1"/>
  <c r="U133" i="54" s="1"/>
  <c r="O271" i="46"/>
  <c r="P255" i="46"/>
  <c r="NL120" i="54"/>
  <c r="NL131" i="54" s="1"/>
  <c r="NL133" i="54" s="1"/>
  <c r="KV120" i="54"/>
  <c r="KV131" i="54" s="1"/>
  <c r="KV133" i="54" s="1"/>
  <c r="KE120" i="54"/>
  <c r="KE131" i="54" s="1"/>
  <c r="KE133" i="54" s="1"/>
  <c r="BA120" i="54"/>
  <c r="BA131" i="54" s="1"/>
  <c r="BA133" i="54" s="1"/>
  <c r="S120" i="54"/>
  <c r="S131" i="54" s="1"/>
  <c r="S133" i="54" s="1"/>
  <c r="CI120" i="54"/>
  <c r="CI131" i="54" s="1"/>
  <c r="CI133" i="54" s="1"/>
  <c r="O255" i="46"/>
  <c r="NK120" i="54"/>
  <c r="NK131" i="54" s="1"/>
  <c r="NK133" i="54" s="1"/>
  <c r="KU120" i="54"/>
  <c r="KU131" i="54" s="1"/>
  <c r="KU133" i="54" s="1"/>
  <c r="KD120" i="54"/>
  <c r="KD131" i="54" s="1"/>
  <c r="KD133" i="54" s="1"/>
  <c r="CH120" i="54"/>
  <c r="CH131" i="54" s="1"/>
  <c r="CH133" i="54" s="1"/>
  <c r="R120" i="54"/>
  <c r="R131" i="54" s="1"/>
  <c r="R133" i="54" s="1"/>
  <c r="AZ120" i="54"/>
  <c r="AZ131" i="54" s="1"/>
  <c r="AZ133" i="54" s="1"/>
  <c r="F194" i="46"/>
  <c r="F255" i="46" s="1"/>
  <c r="F132" i="46"/>
  <c r="NI182" i="54"/>
  <c r="NI186" i="54" s="1"/>
  <c r="ND120" i="54"/>
  <c r="ND131" i="54" s="1"/>
  <c r="ND133" i="54" s="1"/>
  <c r="KN120" i="54"/>
  <c r="KN131" i="54" s="1"/>
  <c r="KN133" i="54" s="1"/>
  <c r="JW120" i="54"/>
  <c r="JW131" i="54" s="1"/>
  <c r="JW133" i="54" s="1"/>
  <c r="AS120" i="54"/>
  <c r="AS131" i="54" s="1"/>
  <c r="AS133" i="54" s="1"/>
  <c r="CA120" i="54"/>
  <c r="CA131" i="54" s="1"/>
  <c r="CA133" i="54" s="1"/>
  <c r="K120" i="54"/>
  <c r="K131" i="54" s="1"/>
  <c r="K133" i="54" s="1"/>
  <c r="N271" i="46"/>
  <c r="NI120" i="54"/>
  <c r="NI131" i="54" s="1"/>
  <c r="NI133" i="54" s="1"/>
  <c r="KS120" i="54"/>
  <c r="KS131" i="54" s="1"/>
  <c r="KS133" i="54" s="1"/>
  <c r="KB120" i="54"/>
  <c r="KB131" i="54" s="1"/>
  <c r="KB133" i="54" s="1"/>
  <c r="CF120" i="54"/>
  <c r="CF131" i="54" s="1"/>
  <c r="CF133" i="54" s="1"/>
  <c r="P120" i="54"/>
  <c r="P131" i="54" s="1"/>
  <c r="P133" i="54" s="1"/>
  <c r="AX120" i="54"/>
  <c r="AX131" i="54" s="1"/>
  <c r="AX133" i="54" s="1"/>
  <c r="MZ120" i="54"/>
  <c r="MZ131" i="54" s="1"/>
  <c r="MZ133" i="54" s="1"/>
  <c r="KJ120" i="54"/>
  <c r="KJ131" i="54" s="1"/>
  <c r="KJ133" i="54" s="1"/>
  <c r="JS120" i="54"/>
  <c r="JS131" i="54" s="1"/>
  <c r="JS133" i="54" s="1"/>
  <c r="BW120" i="54"/>
  <c r="BW131" i="54" s="1"/>
  <c r="BW133" i="54" s="1"/>
  <c r="G120" i="54"/>
  <c r="G131" i="54" s="1"/>
  <c r="G133" i="54" s="1"/>
  <c r="AO120" i="54"/>
  <c r="AO131" i="54" s="1"/>
  <c r="AO133" i="54" s="1"/>
  <c r="N255" i="46"/>
  <c r="J255" i="46"/>
  <c r="L255" i="46"/>
  <c r="NH120" i="54"/>
  <c r="NH131" i="54" s="1"/>
  <c r="NH133" i="54" s="1"/>
  <c r="KR120" i="54"/>
  <c r="KR131" i="54" s="1"/>
  <c r="KR133" i="54" s="1"/>
  <c r="KA120" i="54"/>
  <c r="KA131" i="54" s="1"/>
  <c r="KA133" i="54" s="1"/>
  <c r="CE120" i="54"/>
  <c r="CE131" i="54" s="1"/>
  <c r="CE133" i="54" s="1"/>
  <c r="O120" i="54"/>
  <c r="O131" i="54" s="1"/>
  <c r="O133" i="54" s="1"/>
  <c r="AW120" i="54"/>
  <c r="AW131" i="54" s="1"/>
  <c r="AW133" i="54" s="1"/>
  <c r="J271" i="46"/>
  <c r="NJ120" i="54"/>
  <c r="NJ131" i="54" s="1"/>
  <c r="NJ133" i="54" s="1"/>
  <c r="KT120" i="54"/>
  <c r="KT131" i="54" s="1"/>
  <c r="KT133" i="54" s="1"/>
  <c r="KC120" i="54"/>
  <c r="KC131" i="54" s="1"/>
  <c r="KC133" i="54" s="1"/>
  <c r="CG120" i="54"/>
  <c r="CG131" i="54" s="1"/>
  <c r="CG133" i="54" s="1"/>
  <c r="Q120" i="54"/>
  <c r="Q131" i="54" s="1"/>
  <c r="Q133" i="54" s="1"/>
  <c r="AY120" i="54"/>
  <c r="AY131" i="54" s="1"/>
  <c r="AY133" i="54" s="1"/>
  <c r="NM120" i="54"/>
  <c r="NM131" i="54" s="1"/>
  <c r="NM133" i="54" s="1"/>
  <c r="KW120" i="54"/>
  <c r="KW131" i="54" s="1"/>
  <c r="KW133" i="54" s="1"/>
  <c r="KF120" i="54"/>
  <c r="KF131" i="54" s="1"/>
  <c r="KF133" i="54" s="1"/>
  <c r="BB120" i="54"/>
  <c r="BB131" i="54" s="1"/>
  <c r="BB133" i="54" s="1"/>
  <c r="T120" i="54"/>
  <c r="T131" i="54" s="1"/>
  <c r="T133" i="54" s="1"/>
  <c r="CJ120" i="54"/>
  <c r="CJ131" i="54" s="1"/>
  <c r="CJ133" i="54" s="1"/>
  <c r="NC120" i="54"/>
  <c r="NC131" i="54" s="1"/>
  <c r="NC133" i="54" s="1"/>
  <c r="KM120" i="54"/>
  <c r="KM131" i="54" s="1"/>
  <c r="KM133" i="54" s="1"/>
  <c r="JV120" i="54"/>
  <c r="JV131" i="54" s="1"/>
  <c r="JV133" i="54" s="1"/>
  <c r="BZ120" i="54"/>
  <c r="BZ131" i="54" s="1"/>
  <c r="BZ133" i="54" s="1"/>
  <c r="J120" i="54"/>
  <c r="J131" i="54" s="1"/>
  <c r="J133" i="54" s="1"/>
  <c r="AR120" i="54"/>
  <c r="AR131" i="54" s="1"/>
  <c r="AR133" i="54" s="1"/>
  <c r="D210" i="46"/>
  <c r="D271" i="46" s="1"/>
  <c r="D148" i="46"/>
  <c r="D194" i="46"/>
  <c r="D255" i="46" s="1"/>
  <c r="D132" i="46"/>
  <c r="NO120" i="54"/>
  <c r="NO131" i="54" s="1"/>
  <c r="NO133" i="54" s="1"/>
  <c r="KY120" i="54"/>
  <c r="KY131" i="54" s="1"/>
  <c r="KY133" i="54" s="1"/>
  <c r="KH120" i="54"/>
  <c r="KH131" i="54" s="1"/>
  <c r="KH133" i="54" s="1"/>
  <c r="CL120" i="54"/>
  <c r="CL131" i="54" s="1"/>
  <c r="CL133" i="54" s="1"/>
  <c r="V120" i="54"/>
  <c r="V131" i="54" s="1"/>
  <c r="V133" i="54" s="1"/>
  <c r="BD120" i="54"/>
  <c r="BD131" i="54" s="1"/>
  <c r="BD133" i="54" s="1"/>
  <c r="E210" i="46"/>
  <c r="E271" i="46" s="1"/>
  <c r="E148" i="46"/>
  <c r="I271" i="46"/>
  <c r="M271" i="46"/>
  <c r="L271" i="46"/>
  <c r="NA120" i="54"/>
  <c r="NA131" i="54" s="1"/>
  <c r="NA133" i="54" s="1"/>
  <c r="KK120" i="54"/>
  <c r="KK131" i="54" s="1"/>
  <c r="KK133" i="54" s="1"/>
  <c r="JT120" i="54"/>
  <c r="JT131" i="54" s="1"/>
  <c r="JT133" i="54" s="1"/>
  <c r="BX120" i="54"/>
  <c r="BX131" i="54" s="1"/>
  <c r="BX133" i="54" s="1"/>
  <c r="H120" i="54"/>
  <c r="H131" i="54" s="1"/>
  <c r="H133" i="54" s="1"/>
  <c r="AP120" i="54"/>
  <c r="AP131" i="54" s="1"/>
  <c r="AP133" i="54" s="1"/>
  <c r="M255" i="46"/>
  <c r="K255" i="46"/>
  <c r="NF120" i="54"/>
  <c r="NF131" i="54" s="1"/>
  <c r="NF133" i="54" s="1"/>
  <c r="KP120" i="54"/>
  <c r="KP131" i="54" s="1"/>
  <c r="KP133" i="54" s="1"/>
  <c r="JY120" i="54"/>
  <c r="JY131" i="54" s="1"/>
  <c r="JY133" i="54" s="1"/>
  <c r="CC120" i="54"/>
  <c r="CC131" i="54" s="1"/>
  <c r="CC133" i="54" s="1"/>
  <c r="AU120" i="54"/>
  <c r="AU131" i="54" s="1"/>
  <c r="AU133" i="54" s="1"/>
  <c r="M120" i="54"/>
  <c r="M131" i="54" s="1"/>
  <c r="M133" i="54" s="1"/>
  <c r="S73" i="55"/>
  <c r="S74" i="55"/>
  <c r="H186" i="81"/>
  <c r="H188" i="81" s="1"/>
  <c r="G76" i="55"/>
  <c r="S216" i="81"/>
  <c r="S218" i="81" s="1"/>
  <c r="R121" i="55"/>
  <c r="NL150" i="54" s="1"/>
  <c r="NL152" i="54" s="1"/>
  <c r="NL154" i="54" s="1"/>
  <c r="J94" i="38"/>
  <c r="E49" i="41" a="1"/>
  <c r="T25" i="42"/>
  <c r="AR43" i="41"/>
  <c r="AA43" i="41" s="1"/>
  <c r="AB43" i="41" s="1"/>
  <c r="D48" i="42"/>
  <c r="D47" i="42" s="1"/>
  <c r="AB29" i="41"/>
  <c r="F15" i="42"/>
  <c r="F14" i="42" s="1"/>
  <c r="AD12" i="41"/>
  <c r="O42" i="42"/>
  <c r="O41" i="42" s="1"/>
  <c r="AM26" i="41"/>
  <c r="P42" i="42" s="1"/>
  <c r="P41" i="42" s="1"/>
  <c r="AR42" i="41"/>
  <c r="AA42" i="41" s="1"/>
  <c r="AB42" i="41" s="1"/>
  <c r="AC42" i="41" s="1"/>
  <c r="L213" i="81"/>
  <c r="L215" i="81" s="1"/>
  <c r="M47" i="41"/>
  <c r="J47" i="41"/>
  <c r="E47" i="41"/>
  <c r="T47" i="41"/>
  <c r="F47" i="41"/>
  <c r="O47" i="41"/>
  <c r="L47" i="41"/>
  <c r="P47" i="41"/>
  <c r="R47" i="41"/>
  <c r="Q47" i="41"/>
  <c r="I47" i="41"/>
  <c r="G47" i="41"/>
  <c r="U47" i="41"/>
  <c r="S47" i="41"/>
  <c r="H47" i="41"/>
  <c r="N47" i="41"/>
  <c r="T21" i="42"/>
  <c r="AR41" i="41"/>
  <c r="AA41" i="41" s="1"/>
  <c r="C69" i="42"/>
  <c r="C68" i="42" s="1"/>
  <c r="P36" i="41"/>
  <c r="J48" i="41"/>
  <c r="K48" i="41"/>
  <c r="O48" i="41"/>
  <c r="U48" i="41"/>
  <c r="E48" i="41"/>
  <c r="P48" i="41"/>
  <c r="G48" i="41"/>
  <c r="N48" i="41"/>
  <c r="M48" i="41"/>
  <c r="I48" i="41"/>
  <c r="H48" i="41"/>
  <c r="T48" i="41"/>
  <c r="L48" i="41"/>
  <c r="F48" i="41"/>
  <c r="S48" i="41"/>
  <c r="K52" i="41"/>
  <c r="N52" i="41"/>
  <c r="S52" i="41"/>
  <c r="G52" i="41"/>
  <c r="Q48" i="41"/>
  <c r="Q52" i="41"/>
  <c r="E52" i="41"/>
  <c r="F52" i="41"/>
  <c r="T52" i="41"/>
  <c r="E36" i="41"/>
  <c r="P53" i="41"/>
  <c r="J52" i="41"/>
  <c r="H52" i="41"/>
  <c r="R52" i="41"/>
  <c r="I52" i="41"/>
  <c r="M52" i="41"/>
  <c r="L52" i="41"/>
  <c r="P52" i="41"/>
  <c r="T36" i="41"/>
  <c r="T53" i="41"/>
  <c r="U52" i="41"/>
  <c r="L36" i="41"/>
  <c r="G231" i="81"/>
  <c r="G233" i="81" s="1"/>
  <c r="J53" i="41"/>
  <c r="M36" i="41"/>
  <c r="R36" i="41"/>
  <c r="N53" i="41"/>
  <c r="J36" i="41"/>
  <c r="F36" i="41"/>
  <c r="K36" i="41"/>
  <c r="G53" i="41"/>
  <c r="U53" i="41"/>
  <c r="I36" i="41"/>
  <c r="N36" i="41"/>
  <c r="K53" i="41"/>
  <c r="S53" i="41"/>
  <c r="E53" i="41"/>
  <c r="O53" i="41"/>
  <c r="H53" i="41"/>
  <c r="S36" i="41"/>
  <c r="Q36" i="41"/>
  <c r="I53" i="41"/>
  <c r="O36" i="41"/>
  <c r="H36" i="41"/>
  <c r="R53" i="41"/>
  <c r="Q53" i="41"/>
  <c r="M53" i="41"/>
  <c r="L53" i="41"/>
  <c r="U36" i="41"/>
  <c r="AC21" i="41"/>
  <c r="E32" i="42"/>
  <c r="E31" i="42" s="1"/>
  <c r="Q58" i="42"/>
  <c r="T183" i="81"/>
  <c r="T185" i="81" s="1"/>
  <c r="F13" i="42"/>
  <c r="F12" i="42" s="1"/>
  <c r="AD11" i="41"/>
  <c r="AC19" i="41"/>
  <c r="E28" i="42"/>
  <c r="E27" i="42" s="1"/>
  <c r="P228" i="81"/>
  <c r="P230" i="81" s="1"/>
  <c r="AB14" i="41"/>
  <c r="D19" i="42"/>
  <c r="D18" i="42" s="1"/>
  <c r="D52" i="42"/>
  <c r="D51" i="42" s="1"/>
  <c r="AB31" i="41"/>
  <c r="C6" i="42"/>
  <c r="Z28" i="42"/>
  <c r="T37" i="42"/>
  <c r="G17" i="42"/>
  <c r="G16" i="42" s="1"/>
  <c r="AE13" i="41"/>
  <c r="NB52" i="54" l="1"/>
  <c r="RT138" i="54"/>
  <c r="RT139" i="54"/>
  <c r="D55" i="90"/>
  <c r="Z55" i="90" s="1"/>
  <c r="M57" i="90"/>
  <c r="AI57" i="90" s="1"/>
  <c r="S55" i="90"/>
  <c r="AO55" i="90" s="1"/>
  <c r="KY52" i="54"/>
  <c r="KY69" i="54" s="1"/>
  <c r="V52" i="54"/>
  <c r="V69" i="54" s="1"/>
  <c r="UJ138" i="54"/>
  <c r="SF176" i="54"/>
  <c r="SF177" i="54"/>
  <c r="SW176" i="54"/>
  <c r="NQ139" i="54"/>
  <c r="J73" i="55"/>
  <c r="K79" i="54" s="1"/>
  <c r="SW177" i="54"/>
  <c r="Q183" i="81"/>
  <c r="Q185" i="81" s="1"/>
  <c r="NJ52" i="54"/>
  <c r="NJ69" i="54" s="1"/>
  <c r="U74" i="55"/>
  <c r="KY80" i="54" s="1"/>
  <c r="Q52" i="54"/>
  <c r="Q69" i="54" s="1"/>
  <c r="I52" i="54"/>
  <c r="I69" i="54" s="1"/>
  <c r="KU52" i="54"/>
  <c r="KU69" i="54" s="1"/>
  <c r="KJ52" i="54"/>
  <c r="KJ69" i="54" s="1"/>
  <c r="JS52" i="54"/>
  <c r="JS69" i="54" s="1"/>
  <c r="MZ52" i="54"/>
  <c r="MZ69" i="54" s="1"/>
  <c r="NL52" i="54"/>
  <c r="NL69" i="54" s="1"/>
  <c r="KV52" i="54"/>
  <c r="KV69" i="54" s="1"/>
  <c r="KR52" i="54"/>
  <c r="KR69" i="54" s="1"/>
  <c r="KE52" i="54"/>
  <c r="KE69" i="54" s="1"/>
  <c r="NH52" i="54"/>
  <c r="NH69" i="54" s="1"/>
  <c r="R57" i="90"/>
  <c r="AN57" i="90" s="1"/>
  <c r="O52" i="54"/>
  <c r="O69" i="54" s="1"/>
  <c r="Q56" i="90"/>
  <c r="AM56" i="90" s="1"/>
  <c r="F55" i="90"/>
  <c r="AB55" i="90" s="1"/>
  <c r="KF52" i="54"/>
  <c r="KF69" i="54" s="1"/>
  <c r="NK52" i="54"/>
  <c r="NK69" i="54" s="1"/>
  <c r="J74" i="55"/>
  <c r="KD52" i="54"/>
  <c r="KD69" i="54" s="1"/>
  <c r="S58" i="42"/>
  <c r="E54" i="43" s="1"/>
  <c r="G54" i="43" s="1"/>
  <c r="U73" i="55"/>
  <c r="KH79" i="54" s="1"/>
  <c r="KP52" i="54"/>
  <c r="KP69" i="54" s="1"/>
  <c r="M52" i="54"/>
  <c r="M69" i="54" s="1"/>
  <c r="JR52" i="54"/>
  <c r="JR69" i="54" s="1"/>
  <c r="KI52" i="54"/>
  <c r="KI69" i="54" s="1"/>
  <c r="MY52" i="54"/>
  <c r="MY69" i="54" s="1"/>
  <c r="JX52" i="54"/>
  <c r="JX69" i="54" s="1"/>
  <c r="KO52" i="54"/>
  <c r="KO69" i="54" s="1"/>
  <c r="NG52" i="54"/>
  <c r="NG69" i="54" s="1"/>
  <c r="N52" i="54"/>
  <c r="N69" i="54" s="1"/>
  <c r="KM52" i="54"/>
  <c r="KM69" i="54" s="1"/>
  <c r="KQ52" i="54"/>
  <c r="KQ69" i="54" s="1"/>
  <c r="NM52" i="54"/>
  <c r="NM69" i="54" s="1"/>
  <c r="KW52" i="54"/>
  <c r="KW69" i="54" s="1"/>
  <c r="H74" i="55"/>
  <c r="BY81" i="54" s="1"/>
  <c r="H73" i="55"/>
  <c r="NB79" i="54" s="1"/>
  <c r="KX52" i="54"/>
  <c r="KX69" i="54" s="1"/>
  <c r="NI52" i="54"/>
  <c r="NI69" i="54" s="1"/>
  <c r="KG52" i="54"/>
  <c r="KG69" i="54" s="1"/>
  <c r="KS52" i="54"/>
  <c r="KS69" i="54" s="1"/>
  <c r="P74" i="55"/>
  <c r="AY80" i="54" s="1"/>
  <c r="NN52" i="54"/>
  <c r="NN69" i="54" s="1"/>
  <c r="KB52" i="54"/>
  <c r="KB69" i="54" s="1"/>
  <c r="D57" i="90"/>
  <c r="Z57" i="90" s="1"/>
  <c r="JT52" i="54"/>
  <c r="JT69" i="54" s="1"/>
  <c r="KH52" i="54"/>
  <c r="KH69" i="54" s="1"/>
  <c r="KT52" i="54"/>
  <c r="KT69" i="54" s="1"/>
  <c r="NA52" i="54"/>
  <c r="NA69" i="54" s="1"/>
  <c r="NF52" i="54"/>
  <c r="NF69" i="54" s="1"/>
  <c r="JU52" i="54"/>
  <c r="JU69" i="54" s="1"/>
  <c r="H55" i="90"/>
  <c r="AD55" i="90" s="1"/>
  <c r="J57" i="90"/>
  <c r="AF57" i="90" s="1"/>
  <c r="D56" i="90"/>
  <c r="Z56" i="90" s="1"/>
  <c r="G56" i="90"/>
  <c r="AC56" i="90" s="1"/>
  <c r="I56" i="90"/>
  <c r="AE56" i="90" s="1"/>
  <c r="P56" i="90"/>
  <c r="AL56" i="90" s="1"/>
  <c r="R55" i="90"/>
  <c r="AN55" i="90" s="1"/>
  <c r="T55" i="90"/>
  <c r="AP55" i="90" s="1"/>
  <c r="H57" i="90"/>
  <c r="AD57" i="90" s="1"/>
  <c r="I57" i="90"/>
  <c r="AE57" i="90" s="1"/>
  <c r="JV52" i="54"/>
  <c r="JV69" i="54" s="1"/>
  <c r="L57" i="90"/>
  <c r="AH57" i="90" s="1"/>
  <c r="P55" i="90"/>
  <c r="AL55" i="90" s="1"/>
  <c r="M56" i="90"/>
  <c r="AI56" i="90" s="1"/>
  <c r="O55" i="90"/>
  <c r="AK55" i="90" s="1"/>
  <c r="Q55" i="90"/>
  <c r="AM55" i="90" s="1"/>
  <c r="S57" i="90"/>
  <c r="AO57" i="90" s="1"/>
  <c r="J56" i="90"/>
  <c r="AF56" i="90" s="1"/>
  <c r="G55" i="90"/>
  <c r="AC55" i="90" s="1"/>
  <c r="K57" i="90"/>
  <c r="AG57" i="90" s="1"/>
  <c r="Q57" i="90"/>
  <c r="AM57" i="90" s="1"/>
  <c r="K55" i="90"/>
  <c r="AG55" i="90" s="1"/>
  <c r="E55" i="90"/>
  <c r="AA55" i="90" s="1"/>
  <c r="O56" i="90"/>
  <c r="AK56" i="90" s="1"/>
  <c r="F57" i="90"/>
  <c r="AB57" i="90" s="1"/>
  <c r="M136" i="55"/>
  <c r="NX138" i="54" s="1"/>
  <c r="L53" i="99"/>
  <c r="L231" i="90"/>
  <c r="N36" i="99"/>
  <c r="N214" i="90"/>
  <c r="J53" i="99"/>
  <c r="J231" i="90"/>
  <c r="N136" i="55"/>
  <c r="SN177" i="54" s="1"/>
  <c r="M53" i="99"/>
  <c r="M231" i="90"/>
  <c r="E138" i="55"/>
  <c r="MY182" i="54" s="1"/>
  <c r="MY186" i="54" s="1"/>
  <c r="D52" i="99"/>
  <c r="D230" i="90"/>
  <c r="S113" i="55"/>
  <c r="SB139" i="54" s="1"/>
  <c r="R47" i="99"/>
  <c r="R225" i="90"/>
  <c r="P47" i="99"/>
  <c r="P225" i="90"/>
  <c r="N47" i="99"/>
  <c r="N225" i="90"/>
  <c r="J113" i="55"/>
  <c r="RS139" i="54" s="1"/>
  <c r="I47" i="99"/>
  <c r="I225" i="90"/>
  <c r="T36" i="99"/>
  <c r="T214" i="90"/>
  <c r="R136" i="55"/>
  <c r="TI177" i="54" s="1"/>
  <c r="Q53" i="99"/>
  <c r="Q231" i="90"/>
  <c r="P36" i="99"/>
  <c r="P214" i="90"/>
  <c r="E136" i="55"/>
  <c r="D53" i="99"/>
  <c r="D231" i="90"/>
  <c r="H36" i="99"/>
  <c r="H214" i="90"/>
  <c r="E36" i="99"/>
  <c r="E214" i="90"/>
  <c r="L36" i="99"/>
  <c r="L214" i="90"/>
  <c r="U138" i="55"/>
  <c r="NO182" i="54" s="1"/>
  <c r="NO186" i="54" s="1"/>
  <c r="T52" i="99"/>
  <c r="T230" i="90"/>
  <c r="L138" i="55"/>
  <c r="JY182" i="54" s="1"/>
  <c r="JY186" i="54" s="1"/>
  <c r="K52" i="99"/>
  <c r="K230" i="90"/>
  <c r="S52" i="99"/>
  <c r="S230" i="90"/>
  <c r="P48" i="99"/>
  <c r="P226" i="90"/>
  <c r="K138" i="55"/>
  <c r="NE182" i="54" s="1"/>
  <c r="NE186" i="54" s="1"/>
  <c r="J52" i="99"/>
  <c r="J230" i="90"/>
  <c r="S48" i="99"/>
  <c r="S226" i="90"/>
  <c r="M48" i="99"/>
  <c r="M226" i="90"/>
  <c r="T48" i="99"/>
  <c r="T226" i="90"/>
  <c r="O36" i="99"/>
  <c r="O214" i="90"/>
  <c r="N113" i="55"/>
  <c r="UM138" i="54" s="1"/>
  <c r="M47" i="99"/>
  <c r="M225" i="90"/>
  <c r="G113" i="55"/>
  <c r="UF138" i="54" s="1"/>
  <c r="F47" i="99"/>
  <c r="F225" i="90"/>
  <c r="O47" i="99"/>
  <c r="O225" i="90"/>
  <c r="S47" i="99"/>
  <c r="S225" i="90"/>
  <c r="K53" i="99"/>
  <c r="K231" i="90"/>
  <c r="G36" i="99"/>
  <c r="G214" i="90"/>
  <c r="R36" i="99"/>
  <c r="R214" i="90"/>
  <c r="R53" i="99"/>
  <c r="R231" i="90"/>
  <c r="U136" i="55"/>
  <c r="TL177" i="54" s="1"/>
  <c r="T53" i="99"/>
  <c r="T231" i="90"/>
  <c r="I36" i="99"/>
  <c r="I214" i="90"/>
  <c r="J136" i="55"/>
  <c r="TA177" i="54" s="1"/>
  <c r="I53" i="99"/>
  <c r="I231" i="90"/>
  <c r="S53" i="99"/>
  <c r="S231" i="90"/>
  <c r="L52" i="99"/>
  <c r="L230" i="90"/>
  <c r="I52" i="99"/>
  <c r="I230" i="90"/>
  <c r="E52" i="99"/>
  <c r="E230" i="90"/>
  <c r="G138" i="55"/>
  <c r="F52" i="99"/>
  <c r="F230" i="90"/>
  <c r="S121" i="55"/>
  <c r="NM150" i="54" s="1"/>
  <c r="NM152" i="54" s="1"/>
  <c r="NM154" i="54" s="1"/>
  <c r="R48" i="99"/>
  <c r="R226" i="90"/>
  <c r="G48" i="99"/>
  <c r="G226" i="90"/>
  <c r="F48" i="99"/>
  <c r="F226" i="90"/>
  <c r="N48" i="99"/>
  <c r="N226" i="90"/>
  <c r="H113" i="55"/>
  <c r="UG139" i="54" s="1"/>
  <c r="G47" i="99"/>
  <c r="G225" i="90"/>
  <c r="I113" i="55"/>
  <c r="UH139" i="54" s="1"/>
  <c r="H47" i="99"/>
  <c r="H225" i="90"/>
  <c r="L113" i="55"/>
  <c r="RU139" i="54" s="1"/>
  <c r="K47" i="99"/>
  <c r="K225" i="90"/>
  <c r="D47" i="99"/>
  <c r="D225" i="90"/>
  <c r="G73" i="55"/>
  <c r="H79" i="54" s="1"/>
  <c r="F35" i="99"/>
  <c r="F213" i="90"/>
  <c r="M183" i="81"/>
  <c r="M185" i="81" s="1"/>
  <c r="K35" i="99"/>
  <c r="K213" i="90"/>
  <c r="R183" i="81"/>
  <c r="R185" i="81" s="1"/>
  <c r="P35" i="99"/>
  <c r="P213" i="90"/>
  <c r="L183" i="81"/>
  <c r="L185" i="81" s="1"/>
  <c r="J35" i="99"/>
  <c r="J213" i="90"/>
  <c r="KK52" i="54"/>
  <c r="KK69" i="54" s="1"/>
  <c r="NC52" i="54"/>
  <c r="NC69" i="54" s="1"/>
  <c r="NE52" i="54"/>
  <c r="NE69" i="54" s="1"/>
  <c r="T57" i="90"/>
  <c r="AP57" i="90" s="1"/>
  <c r="K56" i="90"/>
  <c r="AG56" i="90" s="1"/>
  <c r="S56" i="90"/>
  <c r="AO56" i="90" s="1"/>
  <c r="E57" i="90"/>
  <c r="AA57" i="90" s="1"/>
  <c r="N155" i="90"/>
  <c r="N102" i="90"/>
  <c r="H56" i="90"/>
  <c r="AD56" i="90" s="1"/>
  <c r="L55" i="90"/>
  <c r="AH55" i="90" s="1"/>
  <c r="E56" i="90"/>
  <c r="AA56" i="90" s="1"/>
  <c r="N56" i="90"/>
  <c r="AJ56" i="90" s="1"/>
  <c r="J55" i="90"/>
  <c r="AF55" i="90" s="1"/>
  <c r="R158" i="90"/>
  <c r="R105" i="90"/>
  <c r="O155" i="90"/>
  <c r="O102" i="90"/>
  <c r="Q171" i="90"/>
  <c r="Q118" i="90"/>
  <c r="D155" i="90"/>
  <c r="D102" i="90"/>
  <c r="S155" i="90"/>
  <c r="S102" i="90"/>
  <c r="H136" i="55"/>
  <c r="SY177" i="54" s="1"/>
  <c r="G53" i="99"/>
  <c r="G231" i="90"/>
  <c r="G136" i="55"/>
  <c r="SG177" i="54" s="1"/>
  <c r="F53" i="99"/>
  <c r="F231" i="90"/>
  <c r="P136" i="55"/>
  <c r="OA139" i="54" s="1"/>
  <c r="O53" i="99"/>
  <c r="O231" i="90"/>
  <c r="O48" i="99"/>
  <c r="O226" i="90"/>
  <c r="O183" i="81"/>
  <c r="O185" i="81" s="1"/>
  <c r="M35" i="99"/>
  <c r="M213" i="90"/>
  <c r="O35" i="99"/>
  <c r="O213" i="90"/>
  <c r="F73" i="55"/>
  <c r="MZ79" i="54" s="1"/>
  <c r="E35" i="99"/>
  <c r="E213" i="90"/>
  <c r="G35" i="99"/>
  <c r="G213" i="90"/>
  <c r="F155" i="90"/>
  <c r="F102" i="90"/>
  <c r="N175" i="90"/>
  <c r="N121" i="90"/>
  <c r="J155" i="90"/>
  <c r="J102" i="90"/>
  <c r="L155" i="90"/>
  <c r="L102" i="90"/>
  <c r="P155" i="90"/>
  <c r="P102" i="90"/>
  <c r="Q136" i="55"/>
  <c r="SQ177" i="54" s="1"/>
  <c r="P53" i="99"/>
  <c r="P231" i="90"/>
  <c r="I136" i="55"/>
  <c r="NT138" i="54" s="1"/>
  <c r="H53" i="99"/>
  <c r="H231" i="90"/>
  <c r="O136" i="55"/>
  <c r="SO177" i="54" s="1"/>
  <c r="N53" i="99"/>
  <c r="N231" i="90"/>
  <c r="M36" i="99"/>
  <c r="M214" i="90"/>
  <c r="J36" i="99"/>
  <c r="J214" i="90"/>
  <c r="Q36" i="99"/>
  <c r="Q214" i="90"/>
  <c r="K36" i="99"/>
  <c r="K214" i="90"/>
  <c r="O52" i="99"/>
  <c r="O230" i="90"/>
  <c r="R138" i="55"/>
  <c r="KE182" i="54" s="1"/>
  <c r="KE186" i="54" s="1"/>
  <c r="Q52" i="99"/>
  <c r="Q230" i="90"/>
  <c r="D36" i="99"/>
  <c r="D214" i="90"/>
  <c r="P52" i="99"/>
  <c r="P230" i="90"/>
  <c r="N138" i="55"/>
  <c r="KA182" i="54" s="1"/>
  <c r="KA186" i="54" s="1"/>
  <c r="M52" i="99"/>
  <c r="M230" i="90"/>
  <c r="K48" i="99"/>
  <c r="K226" i="90"/>
  <c r="L48" i="99"/>
  <c r="L226" i="90"/>
  <c r="D48" i="99"/>
  <c r="D226" i="90"/>
  <c r="I48" i="99"/>
  <c r="I226" i="90"/>
  <c r="T47" i="99"/>
  <c r="T225" i="90"/>
  <c r="R113" i="55"/>
  <c r="SA138" i="54" s="1"/>
  <c r="Q47" i="99"/>
  <c r="Q225" i="90"/>
  <c r="F113" i="55"/>
  <c r="RO139" i="54" s="1"/>
  <c r="E47" i="99"/>
  <c r="E225" i="90"/>
  <c r="M113" i="55"/>
  <c r="RV139" i="54" s="1"/>
  <c r="L47" i="99"/>
  <c r="L225" i="90"/>
  <c r="M74" i="55"/>
  <c r="KQ80" i="54" s="1"/>
  <c r="L35" i="99"/>
  <c r="L213" i="90"/>
  <c r="I35" i="99"/>
  <c r="I213" i="90"/>
  <c r="E73" i="55"/>
  <c r="MY79" i="54" s="1"/>
  <c r="D35" i="99"/>
  <c r="D213" i="90"/>
  <c r="T35" i="99"/>
  <c r="T213" i="90"/>
  <c r="P57" i="90"/>
  <c r="AL57" i="90" s="1"/>
  <c r="N57" i="90"/>
  <c r="AJ57" i="90" s="1"/>
  <c r="F56" i="90"/>
  <c r="AB56" i="90" s="1"/>
  <c r="M155" i="90"/>
  <c r="M102" i="90"/>
  <c r="R155" i="90"/>
  <c r="R102" i="90"/>
  <c r="G57" i="90"/>
  <c r="AC57" i="90" s="1"/>
  <c r="T56" i="90"/>
  <c r="AP56" i="90" s="1"/>
  <c r="L56" i="90"/>
  <c r="AH56" i="90" s="1"/>
  <c r="N55" i="90"/>
  <c r="AJ55" i="90" s="1"/>
  <c r="I55" i="90"/>
  <c r="AE55" i="90" s="1"/>
  <c r="I46" i="90"/>
  <c r="T155" i="90"/>
  <c r="T102" i="90"/>
  <c r="K155" i="90"/>
  <c r="K102" i="90"/>
  <c r="E176" i="90"/>
  <c r="E122" i="90"/>
  <c r="E155" i="90"/>
  <c r="E102" i="90"/>
  <c r="S36" i="99"/>
  <c r="S214" i="90"/>
  <c r="I138" i="55"/>
  <c r="NC182" i="54" s="1"/>
  <c r="NC186" i="54" s="1"/>
  <c r="H52" i="99"/>
  <c r="H230" i="90"/>
  <c r="R52" i="99"/>
  <c r="R230" i="90"/>
  <c r="E48" i="99"/>
  <c r="E226" i="90"/>
  <c r="H48" i="99"/>
  <c r="H226" i="90"/>
  <c r="J48" i="99"/>
  <c r="J226" i="90"/>
  <c r="H138" i="55"/>
  <c r="JU182" i="54" s="1"/>
  <c r="JU186" i="54" s="1"/>
  <c r="G52" i="99"/>
  <c r="G230" i="90"/>
  <c r="P183" i="81"/>
  <c r="P185" i="81" s="1"/>
  <c r="N35" i="99"/>
  <c r="N213" i="90"/>
  <c r="J183" i="81"/>
  <c r="J185" i="81" s="1"/>
  <c r="H35" i="99"/>
  <c r="H213" i="90"/>
  <c r="R73" i="55"/>
  <c r="BA79" i="54" s="1"/>
  <c r="Q35" i="99"/>
  <c r="Q213" i="90"/>
  <c r="T73" i="55"/>
  <c r="BC79" i="54" s="1"/>
  <c r="S35" i="99"/>
  <c r="S213" i="90"/>
  <c r="J170" i="90"/>
  <c r="J117" i="90"/>
  <c r="H155" i="90"/>
  <c r="H102" i="90"/>
  <c r="Q155" i="90"/>
  <c r="Q102" i="90"/>
  <c r="G155" i="90"/>
  <c r="G102" i="90"/>
  <c r="F159" i="90"/>
  <c r="F106" i="90"/>
  <c r="J178" i="81"/>
  <c r="N178" i="81"/>
  <c r="Q178" i="81"/>
  <c r="M178" i="81"/>
  <c r="P178" i="81"/>
  <c r="L178" i="81"/>
  <c r="T178" i="81"/>
  <c r="V178" i="81"/>
  <c r="H178" i="81"/>
  <c r="U183" i="81"/>
  <c r="T74" i="55"/>
  <c r="KX80" i="54" s="1"/>
  <c r="I74" i="55"/>
  <c r="BZ80" i="54" s="1"/>
  <c r="I73" i="55"/>
  <c r="AR79" i="54" s="1"/>
  <c r="F74" i="55"/>
  <c r="MZ80" i="54" s="1"/>
  <c r="KI80" i="54"/>
  <c r="MY80" i="54"/>
  <c r="R74" i="55"/>
  <c r="CI80" i="54" s="1"/>
  <c r="KN80" i="54"/>
  <c r="ND80" i="54"/>
  <c r="Y35" i="41"/>
  <c r="Z35" i="41" s="1"/>
  <c r="AR35" i="41" s="1"/>
  <c r="AA35" i="41" s="1"/>
  <c r="S183" i="81"/>
  <c r="NO80" i="54"/>
  <c r="N183" i="81"/>
  <c r="N185" i="81" s="1"/>
  <c r="O74" i="55"/>
  <c r="KW80" i="54"/>
  <c r="NM80" i="54"/>
  <c r="F183" i="81"/>
  <c r="O73" i="55"/>
  <c r="P79" i="54" s="1"/>
  <c r="KK81" i="54"/>
  <c r="NA81" i="54"/>
  <c r="N73" i="55"/>
  <c r="KA79" i="54" s="1"/>
  <c r="H183" i="81"/>
  <c r="H185" i="81" s="1"/>
  <c r="K74" i="55"/>
  <c r="AT80" i="54" s="1"/>
  <c r="Q74" i="55"/>
  <c r="CH81" i="54" s="1"/>
  <c r="G74" i="55"/>
  <c r="AP80" i="54" s="1"/>
  <c r="L74" i="55"/>
  <c r="JY80" i="54" s="1"/>
  <c r="L73" i="55"/>
  <c r="NF79" i="54" s="1"/>
  <c r="M73" i="55"/>
  <c r="NG79" i="54" s="1"/>
  <c r="N74" i="55"/>
  <c r="AW80" i="54" s="1"/>
  <c r="T53" i="42"/>
  <c r="E50" i="42"/>
  <c r="E49" i="42" s="1"/>
  <c r="AC30" i="41"/>
  <c r="AF23" i="41"/>
  <c r="H36" i="42"/>
  <c r="H35" i="42" s="1"/>
  <c r="RT144" i="54"/>
  <c r="RT187" i="54" s="1"/>
  <c r="I23" i="52" s="1"/>
  <c r="K24" i="51" s="1"/>
  <c r="K58" i="51" s="1"/>
  <c r="I20" i="50" s="1"/>
  <c r="I52" i="50" s="1"/>
  <c r="I22" i="46" s="1"/>
  <c r="I207" i="46" s="1"/>
  <c r="SF178" i="54"/>
  <c r="SF187" i="54" s="1"/>
  <c r="D27" i="52" s="1"/>
  <c r="F28" i="51" s="1"/>
  <c r="F62" i="51" s="1"/>
  <c r="D24" i="50" s="1"/>
  <c r="D56" i="50" s="1"/>
  <c r="D26" i="46" s="1"/>
  <c r="SW178" i="54"/>
  <c r="SW180" i="54" s="1"/>
  <c r="NQ144" i="54"/>
  <c r="JT182" i="54"/>
  <c r="JT186" i="54" s="1"/>
  <c r="NA182" i="54"/>
  <c r="NA186" i="54" s="1"/>
  <c r="VH150" i="54"/>
  <c r="VH152" i="54" s="1"/>
  <c r="OT150" i="54"/>
  <c r="OT152" i="54" s="1"/>
  <c r="NJ79" i="54"/>
  <c r="AY79" i="54"/>
  <c r="NK79" i="54"/>
  <c r="AZ79" i="54"/>
  <c r="AS79" i="54"/>
  <c r="NM79" i="54"/>
  <c r="BB79" i="54"/>
  <c r="NE79" i="54"/>
  <c r="AT79" i="54"/>
  <c r="KH80" i="54"/>
  <c r="CL81" i="54"/>
  <c r="I79" i="54"/>
  <c r="JR80" i="54"/>
  <c r="AN80" i="54"/>
  <c r="F80" i="54"/>
  <c r="BV81" i="54"/>
  <c r="BV80" i="54"/>
  <c r="P186" i="81"/>
  <c r="P188" i="81" s="1"/>
  <c r="O76" i="55"/>
  <c r="U186" i="81"/>
  <c r="U188" i="81" s="1"/>
  <c r="T76" i="55"/>
  <c r="CG80" i="54"/>
  <c r="JW80" i="54"/>
  <c r="K80" i="54"/>
  <c r="CA81" i="54"/>
  <c r="CA80" i="54"/>
  <c r="AS80" i="54"/>
  <c r="V186" i="81"/>
  <c r="V188" i="81" s="1"/>
  <c r="U76" i="55"/>
  <c r="R186" i="81"/>
  <c r="R188" i="81" s="1"/>
  <c r="Q76" i="55"/>
  <c r="J186" i="81"/>
  <c r="J188" i="81" s="1"/>
  <c r="I76" i="55"/>
  <c r="N186" i="81"/>
  <c r="N188" i="81" s="1"/>
  <c r="M76" i="55"/>
  <c r="KC79" i="54"/>
  <c r="Q79" i="54"/>
  <c r="KD79" i="54"/>
  <c r="R79" i="54"/>
  <c r="JW79" i="54"/>
  <c r="O186" i="81"/>
  <c r="O188" i="81" s="1"/>
  <c r="N76" i="55"/>
  <c r="S186" i="81"/>
  <c r="S188" i="81" s="1"/>
  <c r="R76" i="55"/>
  <c r="Y36" i="41"/>
  <c r="Z36" i="41" s="1"/>
  <c r="C61" i="42" s="1"/>
  <c r="C60" i="42" s="1"/>
  <c r="E76" i="55"/>
  <c r="S76" i="55"/>
  <c r="KF80" i="54"/>
  <c r="T80" i="54"/>
  <c r="CJ81" i="54"/>
  <c r="BB80" i="54"/>
  <c r="CJ80" i="54"/>
  <c r="I186" i="81"/>
  <c r="I188" i="81" s="1"/>
  <c r="H76" i="55"/>
  <c r="KF79" i="54"/>
  <c r="T79" i="54"/>
  <c r="L186" i="81"/>
  <c r="L188" i="81" s="1"/>
  <c r="K76" i="55"/>
  <c r="M186" i="81"/>
  <c r="M188" i="81" s="1"/>
  <c r="L76" i="55"/>
  <c r="JT81" i="54"/>
  <c r="AP81" i="54"/>
  <c r="H81" i="54"/>
  <c r="JX79" i="54"/>
  <c r="L79" i="54"/>
  <c r="K186" i="81"/>
  <c r="K188" i="81" s="1"/>
  <c r="J76" i="55"/>
  <c r="G186" i="81"/>
  <c r="G188" i="81" s="1"/>
  <c r="F76" i="55"/>
  <c r="Q186" i="81"/>
  <c r="Q188" i="81" s="1"/>
  <c r="P76" i="55"/>
  <c r="R216" i="81"/>
  <c r="R218" i="81" s="1"/>
  <c r="Q121" i="55"/>
  <c r="NK150" i="54" s="1"/>
  <c r="NK152" i="54" s="1"/>
  <c r="NK154" i="54" s="1"/>
  <c r="G216" i="81"/>
  <c r="G218" i="81" s="1"/>
  <c r="F121" i="55"/>
  <c r="MZ150" i="54" s="1"/>
  <c r="MZ152" i="54" s="1"/>
  <c r="MZ154" i="54" s="1"/>
  <c r="O216" i="81"/>
  <c r="O218" i="81" s="1"/>
  <c r="N121" i="55"/>
  <c r="NH150" i="54" s="1"/>
  <c r="NH152" i="54" s="1"/>
  <c r="NH154" i="54" s="1"/>
  <c r="U213" i="81"/>
  <c r="U215" i="81" s="1"/>
  <c r="T113" i="55"/>
  <c r="R228" i="81"/>
  <c r="R230" i="81" s="1"/>
  <c r="Q138" i="55"/>
  <c r="N216" i="81"/>
  <c r="N218" i="81" s="1"/>
  <c r="M121" i="55"/>
  <c r="NG150" i="54" s="1"/>
  <c r="NG152" i="54" s="1"/>
  <c r="NG154" i="54" s="1"/>
  <c r="K216" i="81"/>
  <c r="K218" i="81" s="1"/>
  <c r="J121" i="55"/>
  <c r="ND150" i="54" s="1"/>
  <c r="ND152" i="54" s="1"/>
  <c r="ND154" i="54" s="1"/>
  <c r="K228" i="81"/>
  <c r="K230" i="81" s="1"/>
  <c r="J138" i="55"/>
  <c r="H216" i="81"/>
  <c r="H218" i="81" s="1"/>
  <c r="G121" i="55"/>
  <c r="NA150" i="54" s="1"/>
  <c r="NA152" i="54" s="1"/>
  <c r="NA154" i="54" s="1"/>
  <c r="F213" i="81"/>
  <c r="F215" i="81" s="1"/>
  <c r="E113" i="55"/>
  <c r="L231" i="81"/>
  <c r="L233" i="81" s="1"/>
  <c r="K136" i="55"/>
  <c r="T228" i="81"/>
  <c r="T230" i="81" s="1"/>
  <c r="S138" i="55"/>
  <c r="Q216" i="81"/>
  <c r="Q218" i="81" s="1"/>
  <c r="P121" i="55"/>
  <c r="NJ150" i="54" s="1"/>
  <c r="NJ152" i="54" s="1"/>
  <c r="NJ154" i="54" s="1"/>
  <c r="R213" i="81"/>
  <c r="R215" i="81" s="1"/>
  <c r="Q113" i="55"/>
  <c r="JO152" i="54"/>
  <c r="S79" i="42"/>
  <c r="AB31" i="42" s="1"/>
  <c r="U113" i="55"/>
  <c r="Q228" i="81"/>
  <c r="Q230" i="81" s="1"/>
  <c r="P138" i="55"/>
  <c r="M216" i="81"/>
  <c r="M218" i="81" s="1"/>
  <c r="L121" i="55"/>
  <c r="NF150" i="54" s="1"/>
  <c r="NF152" i="54" s="1"/>
  <c r="NF154" i="54" s="1"/>
  <c r="F216" i="81"/>
  <c r="F218" i="81" s="1"/>
  <c r="E121" i="55"/>
  <c r="MY150" i="54" s="1"/>
  <c r="MY152" i="54" s="1"/>
  <c r="MY154" i="54" s="1"/>
  <c r="JN152" i="54"/>
  <c r="R81" i="42"/>
  <c r="T121" i="55"/>
  <c r="NN150" i="54" s="1"/>
  <c r="NN152" i="54" s="1"/>
  <c r="NN154" i="54" s="1"/>
  <c r="S81" i="42"/>
  <c r="E71" i="43" s="1"/>
  <c r="G71" i="43" s="1"/>
  <c r="U121" i="55"/>
  <c r="NO150" i="54" s="1"/>
  <c r="NO152" i="54" s="1"/>
  <c r="NO154" i="54" s="1"/>
  <c r="Q213" i="81"/>
  <c r="Q215" i="81" s="1"/>
  <c r="P113" i="55"/>
  <c r="F231" i="81"/>
  <c r="F233" i="81" s="1"/>
  <c r="T231" i="81"/>
  <c r="T233" i="81" s="1"/>
  <c r="S136" i="55"/>
  <c r="R91" i="42"/>
  <c r="T136" i="55"/>
  <c r="R89" i="42"/>
  <c r="T138" i="55"/>
  <c r="M231" i="81"/>
  <c r="M233" i="81" s="1"/>
  <c r="L136" i="55"/>
  <c r="N228" i="81"/>
  <c r="N230" i="81" s="1"/>
  <c r="M138" i="55"/>
  <c r="G228" i="81"/>
  <c r="G230" i="81" s="1"/>
  <c r="F138" i="55"/>
  <c r="I216" i="81"/>
  <c r="I218" i="81" s="1"/>
  <c r="H121" i="55"/>
  <c r="NB150" i="54" s="1"/>
  <c r="NB152" i="54" s="1"/>
  <c r="NB154" i="54" s="1"/>
  <c r="P216" i="81"/>
  <c r="P218" i="81" s="1"/>
  <c r="O121" i="55"/>
  <c r="NI150" i="54" s="1"/>
  <c r="NI152" i="54" s="1"/>
  <c r="NI154" i="54" s="1"/>
  <c r="UJ144" i="54"/>
  <c r="UJ134" i="54"/>
  <c r="J216" i="81"/>
  <c r="J218" i="81" s="1"/>
  <c r="I121" i="55"/>
  <c r="NC150" i="54" s="1"/>
  <c r="NC152" i="54" s="1"/>
  <c r="NC154" i="54" s="1"/>
  <c r="L216" i="81"/>
  <c r="L218" i="81" s="1"/>
  <c r="K121" i="55"/>
  <c r="NE150" i="54" s="1"/>
  <c r="NE152" i="54" s="1"/>
  <c r="NE154" i="54" s="1"/>
  <c r="P213" i="81"/>
  <c r="P215" i="81" s="1"/>
  <c r="O113" i="55"/>
  <c r="F49" i="41"/>
  <c r="Q49" i="41"/>
  <c r="M49" i="41"/>
  <c r="P49" i="41"/>
  <c r="E49" i="41"/>
  <c r="S49" i="41"/>
  <c r="H49" i="41"/>
  <c r="U49" i="41"/>
  <c r="L49" i="41"/>
  <c r="O49" i="41"/>
  <c r="K49" i="41"/>
  <c r="T49" i="41"/>
  <c r="G49" i="41"/>
  <c r="R49" i="41"/>
  <c r="N49" i="41"/>
  <c r="J49" i="41"/>
  <c r="I49" i="41"/>
  <c r="D6" i="42"/>
  <c r="Q89" i="42"/>
  <c r="D73" i="42"/>
  <c r="D72" i="42" s="1"/>
  <c r="AC29" i="41"/>
  <c r="E48" i="42"/>
  <c r="E47" i="42" s="1"/>
  <c r="G15" i="42"/>
  <c r="G14" i="42" s="1"/>
  <c r="AE12" i="41"/>
  <c r="E71" i="42"/>
  <c r="E70" i="42" s="1"/>
  <c r="S228" i="81"/>
  <c r="S230" i="81" s="1"/>
  <c r="L228" i="81"/>
  <c r="L230" i="81" s="1"/>
  <c r="D71" i="42"/>
  <c r="D70" i="42" s="1"/>
  <c r="T41" i="42"/>
  <c r="J228" i="81"/>
  <c r="J230" i="81" s="1"/>
  <c r="Y47" i="41"/>
  <c r="Z47" i="41" s="1"/>
  <c r="R79" i="42"/>
  <c r="K213" i="81"/>
  <c r="K215" i="81" s="1"/>
  <c r="H213" i="81"/>
  <c r="H215" i="81" s="1"/>
  <c r="S213" i="81"/>
  <c r="S215" i="81" s="1"/>
  <c r="N213" i="81"/>
  <c r="N215" i="81" s="1"/>
  <c r="V213" i="81"/>
  <c r="V215" i="81" s="1"/>
  <c r="G213" i="81"/>
  <c r="G215" i="81" s="1"/>
  <c r="M213" i="81"/>
  <c r="M215" i="81" s="1"/>
  <c r="T213" i="81"/>
  <c r="T215" i="81" s="1"/>
  <c r="Q79" i="42"/>
  <c r="J213" i="81"/>
  <c r="J215" i="81" s="1"/>
  <c r="O213" i="81"/>
  <c r="O215" i="81" s="1"/>
  <c r="I213" i="81"/>
  <c r="I215" i="81" s="1"/>
  <c r="Y48" i="41"/>
  <c r="Z48" i="41" s="1"/>
  <c r="C82" i="42" s="1"/>
  <c r="C81" i="42" s="1"/>
  <c r="Y52" i="41"/>
  <c r="M228" i="81"/>
  <c r="M230" i="81" s="1"/>
  <c r="U216" i="81"/>
  <c r="U218" i="81" s="1"/>
  <c r="F228" i="81"/>
  <c r="F230" i="81" s="1"/>
  <c r="U228" i="81"/>
  <c r="U230" i="81" s="1"/>
  <c r="I228" i="81"/>
  <c r="I230" i="81" s="1"/>
  <c r="E73" i="42"/>
  <c r="E72" i="42" s="1"/>
  <c r="AC43" i="41"/>
  <c r="F186" i="81"/>
  <c r="F188" i="81" s="1"/>
  <c r="N231" i="81"/>
  <c r="N233" i="81" s="1"/>
  <c r="H228" i="81"/>
  <c r="H230" i="81" s="1"/>
  <c r="O228" i="81"/>
  <c r="O230" i="81" s="1"/>
  <c r="D69" i="42"/>
  <c r="D68" i="42" s="1"/>
  <c r="AB41" i="41"/>
  <c r="T186" i="81"/>
  <c r="T188" i="81" s="1"/>
  <c r="Y53" i="41"/>
  <c r="V216" i="81"/>
  <c r="V218" i="81" s="1"/>
  <c r="Q81" i="42"/>
  <c r="T216" i="81"/>
  <c r="T218" i="81" s="1"/>
  <c r="V228" i="81"/>
  <c r="V230" i="81" s="1"/>
  <c r="K231" i="81"/>
  <c r="K233" i="81" s="1"/>
  <c r="S89" i="42"/>
  <c r="Q231" i="81"/>
  <c r="Q233" i="81" s="1"/>
  <c r="U231" i="81"/>
  <c r="U233" i="81" s="1"/>
  <c r="Q91" i="42"/>
  <c r="O231" i="81"/>
  <c r="O233" i="81" s="1"/>
  <c r="V231" i="81"/>
  <c r="V233" i="81" s="1"/>
  <c r="S91" i="42"/>
  <c r="I231" i="81"/>
  <c r="I233" i="81" s="1"/>
  <c r="H231" i="81"/>
  <c r="H233" i="81" s="1"/>
  <c r="J231" i="81"/>
  <c r="J233" i="81" s="1"/>
  <c r="R231" i="81"/>
  <c r="R233" i="81" s="1"/>
  <c r="P231" i="81"/>
  <c r="P233" i="81" s="1"/>
  <c r="S231" i="81"/>
  <c r="S233" i="81" s="1"/>
  <c r="F32" i="42"/>
  <c r="F31" i="42" s="1"/>
  <c r="AD21" i="41"/>
  <c r="G13" i="42"/>
  <c r="G12" i="42" s="1"/>
  <c r="AE11" i="41"/>
  <c r="E52" i="42"/>
  <c r="E51" i="42" s="1"/>
  <c r="AC31" i="41"/>
  <c r="H17" i="42"/>
  <c r="H16" i="42" s="1"/>
  <c r="AF13" i="41"/>
  <c r="E19" i="42"/>
  <c r="E18" i="42" s="1"/>
  <c r="AC14" i="41"/>
  <c r="AD19" i="41"/>
  <c r="F28" i="42"/>
  <c r="F27" i="42" s="1"/>
  <c r="F71" i="42"/>
  <c r="F70" i="42" s="1"/>
  <c r="AD42" i="41"/>
  <c r="NG80" i="54" l="1"/>
  <c r="BD79" i="54"/>
  <c r="JU79" i="54"/>
  <c r="AV80" i="54"/>
  <c r="ND79" i="54"/>
  <c r="CD80" i="54"/>
  <c r="AQ79" i="54"/>
  <c r="CD81" i="54"/>
  <c r="AA31" i="42"/>
  <c r="JZ80" i="54"/>
  <c r="Q80" i="54"/>
  <c r="CG81" i="54"/>
  <c r="KC80" i="54"/>
  <c r="BZ81" i="54"/>
  <c r="AP79" i="54"/>
  <c r="AP92" i="54" s="1"/>
  <c r="AP94" i="54" s="1"/>
  <c r="KT80" i="54"/>
  <c r="NJ80" i="54"/>
  <c r="UR139" i="54"/>
  <c r="BD80" i="54"/>
  <c r="CL80" i="54"/>
  <c r="UR138" i="54"/>
  <c r="UR134" i="54" s="1"/>
  <c r="JT79" i="54"/>
  <c r="V80" i="54"/>
  <c r="UH138" i="54"/>
  <c r="UH134" i="54" s="1"/>
  <c r="OF138" i="54"/>
  <c r="NZ139" i="54"/>
  <c r="SO176" i="54"/>
  <c r="TF177" i="54"/>
  <c r="KB79" i="54"/>
  <c r="NL79" i="54"/>
  <c r="AU79" i="54"/>
  <c r="JY79" i="54"/>
  <c r="UK139" i="54"/>
  <c r="RU138" i="54"/>
  <c r="RU144" i="54" s="1"/>
  <c r="RU146" i="54" s="1"/>
  <c r="SM177" i="54"/>
  <c r="UL138" i="54"/>
  <c r="UL134" i="54" s="1"/>
  <c r="SQ176" i="54"/>
  <c r="SQ178" i="54" s="1"/>
  <c r="SQ180" i="54" s="1"/>
  <c r="TH177" i="54"/>
  <c r="UK138" i="54"/>
  <c r="UK144" i="54" s="1"/>
  <c r="TF176" i="54"/>
  <c r="TF178" i="54" s="1"/>
  <c r="TF187" i="54" s="1"/>
  <c r="M32" i="52" s="1"/>
  <c r="O33" i="51" s="1"/>
  <c r="O67" i="51" s="1"/>
  <c r="M29" i="50" s="1"/>
  <c r="M61" i="50" s="1"/>
  <c r="M31" i="46" s="1"/>
  <c r="TH176" i="54"/>
  <c r="NZ138" i="54"/>
  <c r="NZ144" i="54" s="1"/>
  <c r="NX139" i="54"/>
  <c r="SU177" i="54"/>
  <c r="SU176" i="54"/>
  <c r="SU178" i="54" s="1"/>
  <c r="SU180" i="54" s="1"/>
  <c r="SM176" i="54"/>
  <c r="SM178" i="54" s="1"/>
  <c r="SM180" i="54" s="1"/>
  <c r="OF139" i="54"/>
  <c r="TL176" i="54"/>
  <c r="TL178" i="54" s="1"/>
  <c r="TD176" i="54"/>
  <c r="OB138" i="54"/>
  <c r="OB144" i="54" s="1"/>
  <c r="OB187" i="54" s="1"/>
  <c r="O30" i="52" s="1"/>
  <c r="Q31" i="51" s="1"/>
  <c r="Q65" i="51" s="1"/>
  <c r="O27" i="50" s="1"/>
  <c r="O59" i="50" s="1"/>
  <c r="O29" i="46" s="1"/>
  <c r="O214" i="46" s="1"/>
  <c r="O275" i="46" s="1"/>
  <c r="OB139" i="54"/>
  <c r="TD177" i="54"/>
  <c r="V79" i="54"/>
  <c r="NO79" i="54"/>
  <c r="SN176" i="54"/>
  <c r="SN178" i="54" s="1"/>
  <c r="SN180" i="54" s="1"/>
  <c r="NB80" i="54"/>
  <c r="NY138" i="54"/>
  <c r="JU80" i="54"/>
  <c r="OC138" i="54"/>
  <c r="OC144" i="54" s="1"/>
  <c r="VI150" i="54"/>
  <c r="VI152" i="54" s="1"/>
  <c r="VI154" i="54" s="1"/>
  <c r="JX182" i="54"/>
  <c r="JX186" i="54" s="1"/>
  <c r="J80" i="54"/>
  <c r="AW79" i="54"/>
  <c r="NR138" i="54"/>
  <c r="NR144" i="54" s="1"/>
  <c r="SG176" i="54"/>
  <c r="KA80" i="54"/>
  <c r="U79" i="54"/>
  <c r="JV80" i="54"/>
  <c r="AX79" i="54"/>
  <c r="NR139" i="54"/>
  <c r="NN79" i="54"/>
  <c r="UI139" i="54"/>
  <c r="SX176" i="54"/>
  <c r="KG79" i="54"/>
  <c r="NI79" i="54"/>
  <c r="UM139" i="54"/>
  <c r="NB182" i="54"/>
  <c r="NB186" i="54" s="1"/>
  <c r="RW139" i="54"/>
  <c r="SX177" i="54"/>
  <c r="BX81" i="54"/>
  <c r="UI138" i="54"/>
  <c r="H80" i="54"/>
  <c r="RW138" i="54"/>
  <c r="RS138" i="54"/>
  <c r="RS144" i="54" s="1"/>
  <c r="RS146" i="54" s="1"/>
  <c r="BX80" i="54"/>
  <c r="BX92" i="54" s="1"/>
  <c r="BX94" i="54" s="1"/>
  <c r="O79" i="54"/>
  <c r="JT80" i="54"/>
  <c r="AR80" i="54"/>
  <c r="UE139" i="54"/>
  <c r="NH182" i="54"/>
  <c r="NH186" i="54" s="1"/>
  <c r="RO138" i="54"/>
  <c r="RO144" i="54" s="1"/>
  <c r="RO146" i="54" s="1"/>
  <c r="G79" i="54"/>
  <c r="JR182" i="54"/>
  <c r="JR186" i="54" s="1"/>
  <c r="UE138" i="54"/>
  <c r="UE144" i="54" s="1"/>
  <c r="RQ138" i="54"/>
  <c r="RQ144" i="54" s="1"/>
  <c r="RQ146" i="54" s="1"/>
  <c r="RQ139" i="54"/>
  <c r="C59" i="42"/>
  <c r="C58" i="42" s="1"/>
  <c r="SH177" i="54"/>
  <c r="UG138" i="54"/>
  <c r="CB81" i="54"/>
  <c r="BW80" i="54"/>
  <c r="BW92" i="54" s="1"/>
  <c r="BW94" i="54" s="1"/>
  <c r="NT139" i="54"/>
  <c r="L80" i="54"/>
  <c r="BW81" i="54"/>
  <c r="CB80" i="54"/>
  <c r="CB92" i="54" s="1"/>
  <c r="CB94" i="54" s="1"/>
  <c r="G80" i="54"/>
  <c r="RT146" i="54"/>
  <c r="JX80" i="54"/>
  <c r="AO80" i="54"/>
  <c r="NF182" i="54"/>
  <c r="NF186" i="54" s="1"/>
  <c r="JS80" i="54"/>
  <c r="M79" i="54"/>
  <c r="BC80" i="54"/>
  <c r="KJ80" i="54"/>
  <c r="TG177" i="54"/>
  <c r="I80" i="54"/>
  <c r="KH182" i="54"/>
  <c r="KH186" i="54" s="1"/>
  <c r="SP177" i="54"/>
  <c r="TE176" i="54"/>
  <c r="TE178" i="54" s="1"/>
  <c r="CK80" i="54"/>
  <c r="CK92" i="54" s="1"/>
  <c r="CK187" i="54" s="1"/>
  <c r="R16" i="52" s="1"/>
  <c r="T17" i="51" s="1"/>
  <c r="T51" i="51" s="1"/>
  <c r="R13" i="50" s="1"/>
  <c r="R45" i="50" s="1"/>
  <c r="R15" i="46" s="1"/>
  <c r="R200" i="46" s="1"/>
  <c r="NY139" i="54"/>
  <c r="NY144" i="54" s="1"/>
  <c r="NY187" i="54" s="1"/>
  <c r="L30" i="52" s="1"/>
  <c r="N31" i="51" s="1"/>
  <c r="N65" i="51" s="1"/>
  <c r="L27" i="50" s="1"/>
  <c r="L59" i="50" s="1"/>
  <c r="L29" i="46" s="1"/>
  <c r="L214" i="46" s="1"/>
  <c r="L275" i="46" s="1"/>
  <c r="KL80" i="54"/>
  <c r="KL92" i="54" s="1"/>
  <c r="TE177" i="54"/>
  <c r="CK81" i="54"/>
  <c r="JV182" i="54"/>
  <c r="JV186" i="54" s="1"/>
  <c r="SA139" i="54"/>
  <c r="U80" i="54"/>
  <c r="RP139" i="54"/>
  <c r="UQ139" i="54"/>
  <c r="RP138" i="54"/>
  <c r="RP144" i="54" s="1"/>
  <c r="RP146" i="54" s="1"/>
  <c r="AQ80" i="54"/>
  <c r="KG80" i="54"/>
  <c r="UF139" i="54"/>
  <c r="NN80" i="54"/>
  <c r="UQ138" i="54"/>
  <c r="UQ134" i="54" s="1"/>
  <c r="SP176" i="54"/>
  <c r="SP178" i="54" s="1"/>
  <c r="SP187" i="54" s="1"/>
  <c r="N27" i="52" s="1"/>
  <c r="P28" i="51" s="1"/>
  <c r="P62" i="51" s="1"/>
  <c r="N24" i="50" s="1"/>
  <c r="N56" i="50" s="1"/>
  <c r="N26" i="46" s="1"/>
  <c r="N211" i="46" s="1"/>
  <c r="BY80" i="54"/>
  <c r="BY92" i="54" s="1"/>
  <c r="BY187" i="54" s="1"/>
  <c r="F16" i="52" s="1"/>
  <c r="H17" i="51" s="1"/>
  <c r="H51" i="51" s="1"/>
  <c r="F13" i="50" s="1"/>
  <c r="F45" i="50" s="1"/>
  <c r="F15" i="46" s="1"/>
  <c r="OA138" i="54"/>
  <c r="OA144" i="54" s="1"/>
  <c r="OA187" i="54" s="1"/>
  <c r="N30" i="52" s="1"/>
  <c r="P31" i="51" s="1"/>
  <c r="P65" i="51" s="1"/>
  <c r="N27" i="50" s="1"/>
  <c r="N59" i="50" s="1"/>
  <c r="N29" i="46" s="1"/>
  <c r="N214" i="46" s="1"/>
  <c r="N275" i="46" s="1"/>
  <c r="TG176" i="54"/>
  <c r="TG178" i="54" s="1"/>
  <c r="TG187" i="54" s="1"/>
  <c r="N32" i="52" s="1"/>
  <c r="P33" i="51" s="1"/>
  <c r="P67" i="51" s="1"/>
  <c r="N29" i="50" s="1"/>
  <c r="N61" i="50" s="1"/>
  <c r="N31" i="46" s="1"/>
  <c r="NL182" i="54"/>
  <c r="NL186" i="54" s="1"/>
  <c r="NU138" i="54"/>
  <c r="NU144" i="54" s="1"/>
  <c r="NU146" i="54" s="1"/>
  <c r="SI177" i="54"/>
  <c r="SJ176" i="54"/>
  <c r="SJ178" i="54" s="1"/>
  <c r="SJ187" i="54" s="1"/>
  <c r="H27" i="52" s="1"/>
  <c r="J28" i="51" s="1"/>
  <c r="J62" i="51" s="1"/>
  <c r="H24" i="50" s="1"/>
  <c r="H56" i="50" s="1"/>
  <c r="H26" i="46" s="1"/>
  <c r="H211" i="46" s="1"/>
  <c r="NU139" i="54"/>
  <c r="TA176" i="54"/>
  <c r="TA178" i="54" s="1"/>
  <c r="SI176" i="54"/>
  <c r="SI178" i="54" s="1"/>
  <c r="SI187" i="54" s="1"/>
  <c r="G27" i="52" s="1"/>
  <c r="I28" i="51" s="1"/>
  <c r="I62" i="51" s="1"/>
  <c r="G24" i="50" s="1"/>
  <c r="G56" i="50" s="1"/>
  <c r="G26" i="46" s="1"/>
  <c r="SJ177" i="54"/>
  <c r="SZ177" i="54"/>
  <c r="SZ176" i="54"/>
  <c r="SZ178" i="54" s="1"/>
  <c r="N79" i="54"/>
  <c r="JZ79" i="54"/>
  <c r="NC79" i="54"/>
  <c r="NC80" i="54"/>
  <c r="KM80" i="54"/>
  <c r="N80" i="54"/>
  <c r="SB138" i="54"/>
  <c r="SB144" i="54" s="1"/>
  <c r="SB146" i="54" s="1"/>
  <c r="RV138" i="54"/>
  <c r="RV144" i="54" s="1"/>
  <c r="RV146" i="54" s="1"/>
  <c r="SR176" i="54"/>
  <c r="SR178" i="54" s="1"/>
  <c r="SR180" i="54" s="1"/>
  <c r="SY176" i="54"/>
  <c r="SY178" i="54" s="1"/>
  <c r="SY180" i="54" s="1"/>
  <c r="S79" i="54"/>
  <c r="CI81" i="54"/>
  <c r="CI92" i="54" s="1"/>
  <c r="CI187" i="54" s="1"/>
  <c r="P16" i="52" s="1"/>
  <c r="R17" i="51" s="1"/>
  <c r="R51" i="51" s="1"/>
  <c r="P13" i="50" s="1"/>
  <c r="P45" i="50" s="1"/>
  <c r="P15" i="46" s="1"/>
  <c r="P200" i="46" s="1"/>
  <c r="JS79" i="54"/>
  <c r="F79" i="54"/>
  <c r="NA79" i="54"/>
  <c r="OC139" i="54"/>
  <c r="NS138" i="54"/>
  <c r="AO79" i="54"/>
  <c r="F50" i="90"/>
  <c r="AB50" i="90" s="1"/>
  <c r="J61" i="90"/>
  <c r="AF61" i="90" s="1"/>
  <c r="Q62" i="90"/>
  <c r="AM62" i="90" s="1"/>
  <c r="TI176" i="54"/>
  <c r="TI178" i="54" s="1"/>
  <c r="SH176" i="54"/>
  <c r="SH178" i="54" s="1"/>
  <c r="SH187" i="54" s="1"/>
  <c r="F27" i="52" s="1"/>
  <c r="H28" i="51" s="1"/>
  <c r="H62" i="51" s="1"/>
  <c r="F24" i="50" s="1"/>
  <c r="F56" i="50" s="1"/>
  <c r="F26" i="46" s="1"/>
  <c r="KE79" i="54"/>
  <c r="CC81" i="54"/>
  <c r="AN79" i="54"/>
  <c r="SR177" i="54"/>
  <c r="RR139" i="54"/>
  <c r="NS139" i="54"/>
  <c r="UL139" i="54"/>
  <c r="RR138" i="54"/>
  <c r="JR79" i="54"/>
  <c r="OU150" i="54"/>
  <c r="OU152" i="54" s="1"/>
  <c r="OU154" i="54" s="1"/>
  <c r="Q49" i="99"/>
  <c r="Q54" i="99" s="1"/>
  <c r="Q57" i="99" s="1"/>
  <c r="Q227" i="90"/>
  <c r="O54" i="41"/>
  <c r="O57" i="41" s="1"/>
  <c r="N49" i="99"/>
  <c r="N54" i="99" s="1"/>
  <c r="N57" i="99" s="1"/>
  <c r="N227" i="90"/>
  <c r="R49" i="99"/>
  <c r="R54" i="99" s="1"/>
  <c r="R57" i="99" s="1"/>
  <c r="R227" i="90"/>
  <c r="Q54" i="41"/>
  <c r="Q57" i="41" s="1"/>
  <c r="P49" i="99"/>
  <c r="P54" i="99" s="1"/>
  <c r="P57" i="99" s="1"/>
  <c r="P227" i="90"/>
  <c r="H46" i="90"/>
  <c r="S158" i="90"/>
  <c r="S105" i="90"/>
  <c r="G175" i="90"/>
  <c r="G121" i="90"/>
  <c r="K46" i="90"/>
  <c r="D158" i="90"/>
  <c r="D105" i="90"/>
  <c r="L170" i="90"/>
  <c r="L117" i="90"/>
  <c r="D159" i="90"/>
  <c r="D106" i="90"/>
  <c r="N65" i="90"/>
  <c r="AJ65" i="90" s="1"/>
  <c r="M158" i="90"/>
  <c r="M105" i="90"/>
  <c r="F176" i="90"/>
  <c r="F122" i="90"/>
  <c r="F158" i="90"/>
  <c r="F105" i="90"/>
  <c r="H170" i="90"/>
  <c r="H117" i="90"/>
  <c r="F171" i="90"/>
  <c r="F118" i="90"/>
  <c r="R171" i="90"/>
  <c r="R118" i="90"/>
  <c r="I175" i="90"/>
  <c r="I121" i="90"/>
  <c r="S176" i="90"/>
  <c r="S122" i="90"/>
  <c r="R159" i="90"/>
  <c r="R106" i="90"/>
  <c r="K176" i="90"/>
  <c r="K122" i="90"/>
  <c r="O170" i="90"/>
  <c r="O117" i="90"/>
  <c r="O159" i="90"/>
  <c r="O106" i="90"/>
  <c r="M171" i="90"/>
  <c r="M118" i="90"/>
  <c r="J175" i="90"/>
  <c r="J121" i="90"/>
  <c r="Q176" i="90"/>
  <c r="Q122" i="90"/>
  <c r="N170" i="90"/>
  <c r="N117" i="90"/>
  <c r="R170" i="90"/>
  <c r="R117" i="90"/>
  <c r="H49" i="99"/>
  <c r="H54" i="99" s="1"/>
  <c r="H57" i="99" s="1"/>
  <c r="H227" i="90"/>
  <c r="H232" i="90" s="1"/>
  <c r="F49" i="99"/>
  <c r="F227" i="90"/>
  <c r="K49" i="99"/>
  <c r="K227" i="90"/>
  <c r="E125" i="55"/>
  <c r="MY156" i="54" s="1"/>
  <c r="MY160" i="54" s="1"/>
  <c r="D49" i="99"/>
  <c r="D54" i="99" s="1"/>
  <c r="D57" i="99" s="1"/>
  <c r="D227" i="90"/>
  <c r="D232" i="90" s="1"/>
  <c r="E49" i="99"/>
  <c r="E54" i="99" s="1"/>
  <c r="E57" i="99" s="1"/>
  <c r="E227" i="90"/>
  <c r="G46" i="90"/>
  <c r="N158" i="90"/>
  <c r="N105" i="90"/>
  <c r="H171" i="90"/>
  <c r="H118" i="90"/>
  <c r="R175" i="90"/>
  <c r="R121" i="90"/>
  <c r="E46" i="90"/>
  <c r="E66" i="90"/>
  <c r="AA66" i="90" s="1"/>
  <c r="T46" i="90"/>
  <c r="M46" i="90"/>
  <c r="L158" i="90"/>
  <c r="L105" i="90"/>
  <c r="T170" i="90"/>
  <c r="T117" i="90"/>
  <c r="D171" i="90"/>
  <c r="D118" i="90"/>
  <c r="K171" i="90"/>
  <c r="K118" i="90"/>
  <c r="O175" i="90"/>
  <c r="O121" i="90"/>
  <c r="Q159" i="90"/>
  <c r="Q106" i="90"/>
  <c r="M159" i="90"/>
  <c r="M106" i="90"/>
  <c r="P176" i="90"/>
  <c r="P122" i="90"/>
  <c r="G158" i="90"/>
  <c r="G105" i="90"/>
  <c r="O176" i="90"/>
  <c r="O122" i="90"/>
  <c r="F54" i="99"/>
  <c r="F57" i="99" s="1"/>
  <c r="R49" i="90"/>
  <c r="AN49" i="90" s="1"/>
  <c r="N46" i="90"/>
  <c r="K158" i="90"/>
  <c r="K105" i="90"/>
  <c r="K170" i="90"/>
  <c r="K117" i="90"/>
  <c r="I159" i="90"/>
  <c r="I106" i="90"/>
  <c r="K54" i="99"/>
  <c r="K57" i="99" s="1"/>
  <c r="M170" i="90"/>
  <c r="M117" i="90"/>
  <c r="S175" i="90"/>
  <c r="S121" i="90"/>
  <c r="L159" i="90"/>
  <c r="L106" i="90"/>
  <c r="H159" i="90"/>
  <c r="H106" i="90"/>
  <c r="I170" i="90"/>
  <c r="I117" i="90"/>
  <c r="J176" i="90"/>
  <c r="J122" i="90"/>
  <c r="L176" i="90"/>
  <c r="L122" i="90"/>
  <c r="I49" i="99"/>
  <c r="I54" i="99" s="1"/>
  <c r="I57" i="99" s="1"/>
  <c r="I227" i="90"/>
  <c r="S49" i="99"/>
  <c r="S54" i="99" s="1"/>
  <c r="S57" i="99" s="1"/>
  <c r="S227" i="90"/>
  <c r="T49" i="99"/>
  <c r="T54" i="99" s="1"/>
  <c r="T57" i="99" s="1"/>
  <c r="T227" i="90"/>
  <c r="O49" i="99"/>
  <c r="O54" i="99" s="1"/>
  <c r="O57" i="99" s="1"/>
  <c r="O227" i="90"/>
  <c r="O232" i="90" s="1"/>
  <c r="Q46" i="90"/>
  <c r="H158" i="90"/>
  <c r="H105" i="90"/>
  <c r="S159" i="90"/>
  <c r="S106" i="90"/>
  <c r="R46" i="90"/>
  <c r="T158" i="90"/>
  <c r="T105" i="90"/>
  <c r="Q170" i="90"/>
  <c r="Q117" i="90"/>
  <c r="P175" i="90"/>
  <c r="P121" i="90"/>
  <c r="Q175" i="90"/>
  <c r="Q121" i="90"/>
  <c r="H176" i="90"/>
  <c r="H122" i="90"/>
  <c r="P46" i="90"/>
  <c r="O158" i="90"/>
  <c r="O105" i="90"/>
  <c r="D46" i="90"/>
  <c r="P158" i="90"/>
  <c r="P105" i="90"/>
  <c r="N171" i="90"/>
  <c r="N118" i="90"/>
  <c r="G171" i="90"/>
  <c r="G118" i="90"/>
  <c r="E175" i="90"/>
  <c r="E121" i="90"/>
  <c r="L175" i="90"/>
  <c r="L121" i="90"/>
  <c r="I176" i="90"/>
  <c r="I122" i="90"/>
  <c r="R176" i="90"/>
  <c r="R122" i="90"/>
  <c r="G159" i="90"/>
  <c r="G106" i="90"/>
  <c r="S170" i="90"/>
  <c r="S117" i="90"/>
  <c r="F170" i="90"/>
  <c r="F117" i="90"/>
  <c r="T171" i="90"/>
  <c r="T118" i="90"/>
  <c r="S171" i="90"/>
  <c r="S118" i="90"/>
  <c r="T175" i="90"/>
  <c r="T121" i="90"/>
  <c r="P159" i="90"/>
  <c r="P106" i="90"/>
  <c r="P170" i="90"/>
  <c r="P117" i="90"/>
  <c r="M176" i="90"/>
  <c r="M122" i="90"/>
  <c r="M49" i="99"/>
  <c r="M227" i="90"/>
  <c r="J49" i="99"/>
  <c r="J54" i="99" s="1"/>
  <c r="J57" i="99" s="1"/>
  <c r="J227" i="90"/>
  <c r="G49" i="99"/>
  <c r="G54" i="99" s="1"/>
  <c r="G57" i="99" s="1"/>
  <c r="G227" i="90"/>
  <c r="M54" i="41"/>
  <c r="M57" i="41" s="1"/>
  <c r="L49" i="99"/>
  <c r="L54" i="99" s="1"/>
  <c r="L57" i="99" s="1"/>
  <c r="L227" i="90"/>
  <c r="Q158" i="90"/>
  <c r="Q105" i="90"/>
  <c r="J171" i="90"/>
  <c r="J118" i="90"/>
  <c r="E171" i="90"/>
  <c r="E118" i="90"/>
  <c r="H175" i="90"/>
  <c r="H121" i="90"/>
  <c r="AE46" i="90"/>
  <c r="I158" i="90"/>
  <c r="I105" i="90"/>
  <c r="I232" i="90"/>
  <c r="E170" i="90"/>
  <c r="E117" i="90"/>
  <c r="I171" i="90"/>
  <c r="I118" i="90"/>
  <c r="L171" i="90"/>
  <c r="L118" i="90"/>
  <c r="M175" i="90"/>
  <c r="M121" i="90"/>
  <c r="K159" i="90"/>
  <c r="K106" i="90"/>
  <c r="J159" i="90"/>
  <c r="J106" i="90"/>
  <c r="N176" i="90"/>
  <c r="N122" i="90"/>
  <c r="L46" i="90"/>
  <c r="J46" i="90"/>
  <c r="F46" i="90"/>
  <c r="E158" i="90"/>
  <c r="E105" i="90"/>
  <c r="O171" i="90"/>
  <c r="O118" i="90"/>
  <c r="G176" i="90"/>
  <c r="G122" i="90"/>
  <c r="S46" i="90"/>
  <c r="O46" i="90"/>
  <c r="J158" i="90"/>
  <c r="J105" i="90"/>
  <c r="D170" i="90"/>
  <c r="D117" i="90"/>
  <c r="G170" i="90"/>
  <c r="G117" i="90"/>
  <c r="F175" i="90"/>
  <c r="F121" i="90"/>
  <c r="T176" i="90"/>
  <c r="T122" i="90"/>
  <c r="P171" i="90"/>
  <c r="P118" i="90"/>
  <c r="K175" i="90"/>
  <c r="K121" i="90"/>
  <c r="E159" i="90"/>
  <c r="E106" i="90"/>
  <c r="D176" i="90"/>
  <c r="D122" i="90"/>
  <c r="T159" i="90"/>
  <c r="T106" i="90"/>
  <c r="D121" i="90"/>
  <c r="D175" i="90"/>
  <c r="M54" i="99"/>
  <c r="M57" i="99" s="1"/>
  <c r="N159" i="90"/>
  <c r="N106" i="90"/>
  <c r="F185" i="81"/>
  <c r="S185" i="81"/>
  <c r="U185" i="81"/>
  <c r="S80" i="54"/>
  <c r="M80" i="54"/>
  <c r="BA80" i="54"/>
  <c r="KE80" i="54"/>
  <c r="CC80" i="54"/>
  <c r="CC92" i="54" s="1"/>
  <c r="J79" i="54"/>
  <c r="AU80" i="54"/>
  <c r="JV79" i="54"/>
  <c r="NI80" i="54"/>
  <c r="KS80" i="54"/>
  <c r="MY81" i="54"/>
  <c r="MY92" i="54" s="1"/>
  <c r="MY94" i="54" s="1"/>
  <c r="MY77" i="54" s="1"/>
  <c r="KI81" i="54"/>
  <c r="CF81" i="54"/>
  <c r="NJ81" i="54"/>
  <c r="NJ92" i="54" s="1"/>
  <c r="NJ94" i="54" s="1"/>
  <c r="NJ77" i="54" s="1"/>
  <c r="KT81" i="54"/>
  <c r="KY81" i="54"/>
  <c r="KY92" i="54" s="1"/>
  <c r="KY94" i="54" s="1"/>
  <c r="NO81" i="54"/>
  <c r="NO92" i="54" s="1"/>
  <c r="NO94" i="54" s="1"/>
  <c r="NO77" i="54" s="1"/>
  <c r="ND81" i="54"/>
  <c r="ND92" i="54" s="1"/>
  <c r="ND94" i="54" s="1"/>
  <c r="ND77" i="54" s="1"/>
  <c r="KN81" i="54"/>
  <c r="KN92" i="54" s="1"/>
  <c r="KB80" i="54"/>
  <c r="KM81" i="54"/>
  <c r="NC81" i="54"/>
  <c r="KS81" i="54"/>
  <c r="NI81" i="54"/>
  <c r="KO80" i="54"/>
  <c r="NE80" i="54"/>
  <c r="KR80" i="54"/>
  <c r="NH80" i="54"/>
  <c r="NH79" i="54"/>
  <c r="KO81" i="54"/>
  <c r="NE81" i="54"/>
  <c r="P80" i="54"/>
  <c r="CE80" i="54"/>
  <c r="AX80" i="54"/>
  <c r="KP80" i="54"/>
  <c r="NF80" i="54"/>
  <c r="KV80" i="54"/>
  <c r="NL80" i="54"/>
  <c r="NF81" i="54"/>
  <c r="KP81" i="54"/>
  <c r="KW81" i="54"/>
  <c r="KW92" i="54" s="1"/>
  <c r="NM81" i="54"/>
  <c r="NM92" i="54" s="1"/>
  <c r="NM94" i="54" s="1"/>
  <c r="NM77" i="54" s="1"/>
  <c r="NL81" i="54"/>
  <c r="KV81" i="54"/>
  <c r="MZ81" i="54"/>
  <c r="MZ92" i="54" s="1"/>
  <c r="MZ94" i="54" s="1"/>
  <c r="MZ77" i="54" s="1"/>
  <c r="KJ81" i="54"/>
  <c r="CE81" i="54"/>
  <c r="CF80" i="54"/>
  <c r="NH81" i="54"/>
  <c r="KR81" i="54"/>
  <c r="KQ81" i="54"/>
  <c r="KQ92" i="54" s="1"/>
  <c r="KQ187" i="54" s="1"/>
  <c r="K24" i="52" s="1"/>
  <c r="M25" i="51" s="1"/>
  <c r="M59" i="51" s="1"/>
  <c r="K21" i="50" s="1"/>
  <c r="K53" i="50" s="1"/>
  <c r="K23" i="46" s="1"/>
  <c r="K208" i="46" s="1"/>
  <c r="NG81" i="54"/>
  <c r="NG92" i="54" s="1"/>
  <c r="NG94" i="54" s="1"/>
  <c r="NG77" i="54" s="1"/>
  <c r="KX81" i="54"/>
  <c r="NN81" i="54"/>
  <c r="NA80" i="54"/>
  <c r="KK80" i="54"/>
  <c r="KK92" i="54" s="1"/>
  <c r="NB81" i="54"/>
  <c r="NB92" i="54" s="1"/>
  <c r="NB94" i="54" s="1"/>
  <c r="NB77" i="54" s="1"/>
  <c r="KL81" i="54"/>
  <c r="KU81" i="54"/>
  <c r="NK81" i="54"/>
  <c r="O80" i="54"/>
  <c r="KU80" i="54"/>
  <c r="NK80" i="54"/>
  <c r="NK92" i="54" s="1"/>
  <c r="NK94" i="54" s="1"/>
  <c r="NK77" i="54" s="1"/>
  <c r="KD80" i="54"/>
  <c r="AV79" i="54"/>
  <c r="AZ80" i="54"/>
  <c r="CH80" i="54"/>
  <c r="CH92" i="54" s="1"/>
  <c r="CH94" i="54" s="1"/>
  <c r="R80" i="54"/>
  <c r="SF180" i="54"/>
  <c r="SA144" i="54"/>
  <c r="SA187" i="54" s="1"/>
  <c r="P23" i="52" s="1"/>
  <c r="R24" i="51" s="1"/>
  <c r="R58" i="51" s="1"/>
  <c r="P20" i="50" s="1"/>
  <c r="P52" i="50" s="1"/>
  <c r="P22" i="46" s="1"/>
  <c r="P207" i="46" s="1"/>
  <c r="SW187" i="54"/>
  <c r="D32" i="52" s="1"/>
  <c r="F33" i="51" s="1"/>
  <c r="F67" i="51" s="1"/>
  <c r="D29" i="50" s="1"/>
  <c r="D61" i="50" s="1"/>
  <c r="AD30" i="41"/>
  <c r="F50" i="42"/>
  <c r="F49" i="42" s="1"/>
  <c r="AG23" i="41"/>
  <c r="I36" i="42"/>
  <c r="I35" i="42" s="1"/>
  <c r="RW144" i="54"/>
  <c r="RW187" i="54" s="1"/>
  <c r="L23" i="52" s="1"/>
  <c r="N24" i="51" s="1"/>
  <c r="N58" i="51" s="1"/>
  <c r="L20" i="50" s="1"/>
  <c r="L52" i="50" s="1"/>
  <c r="L22" i="46" s="1"/>
  <c r="L207" i="46" s="1"/>
  <c r="CJ92" i="54"/>
  <c r="CJ187" i="54" s="1"/>
  <c r="Q16" i="52" s="1"/>
  <c r="S17" i="51" s="1"/>
  <c r="S51" i="51" s="1"/>
  <c r="Q13" i="50" s="1"/>
  <c r="Q45" i="50" s="1"/>
  <c r="Q15" i="46" s="1"/>
  <c r="Q200" i="46" s="1"/>
  <c r="TH178" i="54"/>
  <c r="TH180" i="54" s="1"/>
  <c r="SO178" i="54"/>
  <c r="SO180" i="54" s="1"/>
  <c r="SG178" i="54"/>
  <c r="SG180" i="54" s="1"/>
  <c r="NT144" i="54"/>
  <c r="NT146" i="54" s="1"/>
  <c r="UF144" i="54"/>
  <c r="UF146" i="54" s="1"/>
  <c r="CA92" i="54"/>
  <c r="CA94" i="54" s="1"/>
  <c r="SL177" i="54"/>
  <c r="NW138" i="54"/>
  <c r="NW139" i="54"/>
  <c r="US139" i="54"/>
  <c r="SC139" i="54"/>
  <c r="NQ146" i="54"/>
  <c r="NQ187" i="54"/>
  <c r="D30" i="52" s="1"/>
  <c r="F31" i="51" s="1"/>
  <c r="F65" i="51" s="1"/>
  <c r="D27" i="50" s="1"/>
  <c r="D59" i="50" s="1"/>
  <c r="D29" i="46" s="1"/>
  <c r="D214" i="46" s="1"/>
  <c r="D275" i="46" s="1"/>
  <c r="VA150" i="54"/>
  <c r="VA152" i="54" s="1"/>
  <c r="OM150" i="54"/>
  <c r="OM152" i="54" s="1"/>
  <c r="JZ182" i="54"/>
  <c r="JZ186" i="54" s="1"/>
  <c r="NG182" i="54"/>
  <c r="NG186" i="54" s="1"/>
  <c r="OG150" i="54"/>
  <c r="OG152" i="54" s="1"/>
  <c r="UU150" i="54"/>
  <c r="UU152" i="54" s="1"/>
  <c r="RZ139" i="54"/>
  <c r="UP139" i="54"/>
  <c r="OL150" i="54"/>
  <c r="OL152" i="54" s="1"/>
  <c r="UZ150" i="54"/>
  <c r="UZ152" i="54" s="1"/>
  <c r="VG150" i="54"/>
  <c r="VG152" i="54" s="1"/>
  <c r="OS150" i="54"/>
  <c r="OS152" i="54" s="1"/>
  <c r="OK150" i="54"/>
  <c r="OK152" i="54" s="1"/>
  <c r="UY150" i="54"/>
  <c r="UY152" i="54" s="1"/>
  <c r="VE150" i="54"/>
  <c r="VE152" i="54" s="1"/>
  <c r="OQ150" i="54"/>
  <c r="OQ152" i="54" s="1"/>
  <c r="KG182" i="54"/>
  <c r="KG186" i="54" s="1"/>
  <c r="NN182" i="54"/>
  <c r="NN186" i="54" s="1"/>
  <c r="RY139" i="54"/>
  <c r="UO139" i="54"/>
  <c r="ON150" i="54"/>
  <c r="ON152" i="54" s="1"/>
  <c r="VB150" i="54"/>
  <c r="VB152" i="54" s="1"/>
  <c r="VF150" i="54"/>
  <c r="VF152" i="54" s="1"/>
  <c r="OR150" i="54"/>
  <c r="OR152" i="54" s="1"/>
  <c r="OI150" i="54"/>
  <c r="OI152" i="54" s="1"/>
  <c r="UW150" i="54"/>
  <c r="UW152" i="54" s="1"/>
  <c r="VC150" i="54"/>
  <c r="VC152" i="54" s="1"/>
  <c r="OO150" i="54"/>
  <c r="OO152" i="54" s="1"/>
  <c r="VJ150" i="54"/>
  <c r="VJ152" i="54" s="1"/>
  <c r="OV150" i="54"/>
  <c r="OV152" i="54" s="1"/>
  <c r="I268" i="46"/>
  <c r="SE177" i="54"/>
  <c r="NP139" i="54"/>
  <c r="NP138" i="54"/>
  <c r="UN139" i="54"/>
  <c r="RX139" i="54"/>
  <c r="UX150" i="54"/>
  <c r="UX152" i="54" s="1"/>
  <c r="OJ150" i="54"/>
  <c r="OJ152" i="54" s="1"/>
  <c r="OE138" i="54"/>
  <c r="OE139" i="54"/>
  <c r="ST177" i="54"/>
  <c r="SD139" i="54"/>
  <c r="UT139" i="54"/>
  <c r="KF182" i="54"/>
  <c r="KF186" i="54" s="1"/>
  <c r="NM182" i="54"/>
  <c r="NM186" i="54" s="1"/>
  <c r="NV138" i="54"/>
  <c r="SK177" i="54"/>
  <c r="NV139" i="54"/>
  <c r="KD182" i="54"/>
  <c r="KD186" i="54" s="1"/>
  <c r="NK182" i="54"/>
  <c r="NK186" i="54" s="1"/>
  <c r="VD150" i="54"/>
  <c r="VD152" i="54" s="1"/>
  <c r="OP150" i="54"/>
  <c r="OP152" i="54" s="1"/>
  <c r="VH154" i="54"/>
  <c r="VH187" i="54"/>
  <c r="P35" i="52" s="1"/>
  <c r="R36" i="51" s="1"/>
  <c r="R70" i="51" s="1"/>
  <c r="P32" i="50" s="1"/>
  <c r="P64" i="50" s="1"/>
  <c r="P34" i="46" s="1"/>
  <c r="P219" i="46" s="1"/>
  <c r="KC182" i="54"/>
  <c r="KC186" i="54" s="1"/>
  <c r="NJ182" i="54"/>
  <c r="NJ186" i="54" s="1"/>
  <c r="CL92" i="54"/>
  <c r="CL94" i="54" s="1"/>
  <c r="OF144" i="54"/>
  <c r="JS182" i="54"/>
  <c r="JS186" i="54" s="1"/>
  <c r="MZ182" i="54"/>
  <c r="MZ186" i="54" s="1"/>
  <c r="OD138" i="54"/>
  <c r="OD139" i="54"/>
  <c r="SS177" i="54"/>
  <c r="VK150" i="54"/>
  <c r="VK152" i="54" s="1"/>
  <c r="OW150" i="54"/>
  <c r="OW152" i="54" s="1"/>
  <c r="UD139" i="54"/>
  <c r="RN139" i="54"/>
  <c r="JW182" i="54"/>
  <c r="JW186" i="54" s="1"/>
  <c r="ND182" i="54"/>
  <c r="ND186" i="54" s="1"/>
  <c r="D211" i="46"/>
  <c r="D272" i="46" s="1"/>
  <c r="D149" i="46"/>
  <c r="OH150" i="54"/>
  <c r="OH152" i="54" s="1"/>
  <c r="UV150" i="54"/>
  <c r="UV152" i="54" s="1"/>
  <c r="CG92" i="54"/>
  <c r="CG94" i="54" s="1"/>
  <c r="NX144" i="54"/>
  <c r="JS81" i="54"/>
  <c r="AO81" i="54"/>
  <c r="G81" i="54"/>
  <c r="JZ81" i="54"/>
  <c r="AV81" i="54"/>
  <c r="N81" i="54"/>
  <c r="CD92" i="54"/>
  <c r="BV92" i="54"/>
  <c r="JY81" i="54"/>
  <c r="AU81" i="54"/>
  <c r="M81" i="54"/>
  <c r="KA81" i="54"/>
  <c r="KA92" i="54" s="1"/>
  <c r="AW81" i="54"/>
  <c r="O81" i="54"/>
  <c r="KX92" i="54"/>
  <c r="JW81" i="54"/>
  <c r="JW92" i="54" s="1"/>
  <c r="JW94" i="54" s="1"/>
  <c r="K81" i="54"/>
  <c r="K92" i="54" s="1"/>
  <c r="K94" i="54" s="1"/>
  <c r="AS81" i="54"/>
  <c r="AS92" i="54" s="1"/>
  <c r="KF81" i="54"/>
  <c r="KF92" i="54" s="1"/>
  <c r="KF94" i="54" s="1"/>
  <c r="T81" i="54"/>
  <c r="T92" i="54" s="1"/>
  <c r="T94" i="54" s="1"/>
  <c r="BB81" i="54"/>
  <c r="BB92" i="54" s="1"/>
  <c r="JV81" i="54"/>
  <c r="J81" i="54"/>
  <c r="AR81" i="54"/>
  <c r="AR92" i="54" s="1"/>
  <c r="KE81" i="54"/>
  <c r="S81" i="54"/>
  <c r="BA81" i="54"/>
  <c r="JX81" i="54"/>
  <c r="JX92" i="54" s="1"/>
  <c r="L81" i="54"/>
  <c r="L92" i="54" s="1"/>
  <c r="L94" i="54" s="1"/>
  <c r="AT81" i="54"/>
  <c r="AT92" i="54" s="1"/>
  <c r="KC81" i="54"/>
  <c r="KC92" i="54" s="1"/>
  <c r="AY81" i="54"/>
  <c r="AY92" i="54" s="1"/>
  <c r="Q81" i="54"/>
  <c r="Q92" i="54" s="1"/>
  <c r="Q94" i="54" s="1"/>
  <c r="KD81" i="54"/>
  <c r="R81" i="54"/>
  <c r="AZ81" i="54"/>
  <c r="AZ92" i="54" s="1"/>
  <c r="KG81" i="54"/>
  <c r="BC81" i="54"/>
  <c r="BC92" i="54" s="1"/>
  <c r="U81" i="54"/>
  <c r="U92" i="54" s="1"/>
  <c r="U94" i="54" s="1"/>
  <c r="BZ92" i="54"/>
  <c r="H92" i="54"/>
  <c r="H94" i="54" s="1"/>
  <c r="JU81" i="54"/>
  <c r="JU92" i="54" s="1"/>
  <c r="AQ81" i="54"/>
  <c r="I81" i="54"/>
  <c r="I92" i="54" s="1"/>
  <c r="I94" i="54" s="1"/>
  <c r="JR81" i="54"/>
  <c r="AN81" i="54"/>
  <c r="F81" i="54"/>
  <c r="KI92" i="54"/>
  <c r="JT92" i="54"/>
  <c r="TD178" i="54"/>
  <c r="TD180" i="54" s="1"/>
  <c r="KH81" i="54"/>
  <c r="KH92" i="54" s="1"/>
  <c r="BD81" i="54"/>
  <c r="BD92" i="54" s="1"/>
  <c r="V81" i="54"/>
  <c r="KB81" i="54"/>
  <c r="AX81" i="54"/>
  <c r="P81" i="54"/>
  <c r="T54" i="41"/>
  <c r="T57" i="41" s="1"/>
  <c r="T125" i="55"/>
  <c r="NN156" i="54" s="1"/>
  <c r="Q219" i="81"/>
  <c r="Q221" i="81" s="1"/>
  <c r="Q237" i="81" s="1"/>
  <c r="P125" i="55"/>
  <c r="NJ156" i="54" s="1"/>
  <c r="SS176" i="54"/>
  <c r="TJ177" i="54"/>
  <c r="TJ176" i="54"/>
  <c r="JQ152" i="54"/>
  <c r="JO154" i="54"/>
  <c r="JO187" i="54"/>
  <c r="UI144" i="54"/>
  <c r="UI134" i="54"/>
  <c r="UD138" i="54"/>
  <c r="RN138" i="54"/>
  <c r="JB152" i="54"/>
  <c r="AN160" i="54"/>
  <c r="E35" i="43"/>
  <c r="G35" i="43" s="1"/>
  <c r="P219" i="81"/>
  <c r="P221" i="81" s="1"/>
  <c r="P237" i="81" s="1"/>
  <c r="O125" i="55"/>
  <c r="NI156" i="54" s="1"/>
  <c r="R219" i="81"/>
  <c r="R221" i="81" s="1"/>
  <c r="R237" i="81" s="1"/>
  <c r="Q125" i="55"/>
  <c r="NK156" i="54" s="1"/>
  <c r="JG152" i="54"/>
  <c r="TC176" i="54"/>
  <c r="SL176" i="54"/>
  <c r="TC177" i="54"/>
  <c r="SV177" i="54"/>
  <c r="SV176" i="54"/>
  <c r="SE176" i="54"/>
  <c r="JP152" i="54"/>
  <c r="JA152" i="54"/>
  <c r="UP138" i="54"/>
  <c r="RZ138" i="54"/>
  <c r="JF152" i="54"/>
  <c r="SC138" i="54"/>
  <c r="US138" i="54"/>
  <c r="JM152" i="54"/>
  <c r="H219" i="81"/>
  <c r="H221" i="81" s="1"/>
  <c r="H237" i="81" s="1"/>
  <c r="G125" i="55"/>
  <c r="NA156" i="54" s="1"/>
  <c r="E54" i="41"/>
  <c r="E57" i="41" s="1"/>
  <c r="L219" i="81"/>
  <c r="L235" i="81" s="1"/>
  <c r="K125" i="55"/>
  <c r="NE156" i="54" s="1"/>
  <c r="J219" i="81"/>
  <c r="J221" i="81" s="1"/>
  <c r="J237" i="81" s="1"/>
  <c r="I125" i="55"/>
  <c r="NC156" i="54" s="1"/>
  <c r="M219" i="81"/>
  <c r="M221" i="81" s="1"/>
  <c r="M237" i="81" s="1"/>
  <c r="L125" i="55"/>
  <c r="NF156" i="54" s="1"/>
  <c r="G219" i="81"/>
  <c r="G221" i="81" s="1"/>
  <c r="G237" i="81" s="1"/>
  <c r="F125" i="55"/>
  <c r="MZ156" i="54" s="1"/>
  <c r="UG144" i="54"/>
  <c r="UG134" i="54"/>
  <c r="UJ146" i="54"/>
  <c r="UJ187" i="54"/>
  <c r="I34" i="52" s="1"/>
  <c r="K35" i="51" s="1"/>
  <c r="K69" i="51" s="1"/>
  <c r="I31" i="50" s="1"/>
  <c r="I63" i="50" s="1"/>
  <c r="I33" i="46" s="1"/>
  <c r="I218" i="46" s="1"/>
  <c r="G54" i="41"/>
  <c r="G57" i="41" s="1"/>
  <c r="K219" i="81"/>
  <c r="K221" i="81" s="1"/>
  <c r="K237" i="81" s="1"/>
  <c r="J125" i="55"/>
  <c r="ND156" i="54" s="1"/>
  <c r="U54" i="41"/>
  <c r="U57" i="41" s="1"/>
  <c r="U125" i="55"/>
  <c r="NO156" i="54" s="1"/>
  <c r="JE152" i="54"/>
  <c r="JK152" i="54"/>
  <c r="UO138" i="54"/>
  <c r="RY138" i="54"/>
  <c r="JN187" i="54"/>
  <c r="JN154" i="54"/>
  <c r="JH152" i="54"/>
  <c r="JL152" i="54"/>
  <c r="JC152" i="54"/>
  <c r="JI152" i="54"/>
  <c r="UM134" i="54"/>
  <c r="UM144" i="54"/>
  <c r="AC31" i="42"/>
  <c r="O219" i="81"/>
  <c r="O221" i="81" s="1"/>
  <c r="O237" i="81" s="1"/>
  <c r="N125" i="55"/>
  <c r="NH156" i="54" s="1"/>
  <c r="I219" i="81"/>
  <c r="I221" i="81" s="1"/>
  <c r="I237" i="81" s="1"/>
  <c r="H125" i="55"/>
  <c r="NB156" i="54" s="1"/>
  <c r="OT154" i="54"/>
  <c r="OT187" i="54"/>
  <c r="P28" i="52" s="1"/>
  <c r="R29" i="51" s="1"/>
  <c r="R63" i="51" s="1"/>
  <c r="P25" i="50" s="1"/>
  <c r="P57" i="50" s="1"/>
  <c r="P27" i="46" s="1"/>
  <c r="P212" i="46" s="1"/>
  <c r="N219" i="81"/>
  <c r="N221" i="81" s="1"/>
  <c r="N237" i="81" s="1"/>
  <c r="M125" i="55"/>
  <c r="NG156" i="54" s="1"/>
  <c r="S219" i="81"/>
  <c r="S221" i="81" s="1"/>
  <c r="R125" i="55"/>
  <c r="NL156" i="54" s="1"/>
  <c r="S54" i="41"/>
  <c r="S57" i="41" s="1"/>
  <c r="S125" i="55"/>
  <c r="NM156" i="54" s="1"/>
  <c r="UN138" i="54"/>
  <c r="RX138" i="54"/>
  <c r="JD152" i="54"/>
  <c r="TK176" i="54"/>
  <c r="ST176" i="54"/>
  <c r="TK177" i="54"/>
  <c r="SD138" i="54"/>
  <c r="UT138" i="54"/>
  <c r="SX178" i="54"/>
  <c r="SK176" i="54"/>
  <c r="TB177" i="54"/>
  <c r="TB176" i="54"/>
  <c r="JJ152" i="54"/>
  <c r="P54" i="41"/>
  <c r="P57" i="41" s="1"/>
  <c r="R54" i="41"/>
  <c r="R57" i="41" s="1"/>
  <c r="J54" i="41"/>
  <c r="J57" i="41" s="1"/>
  <c r="N54" i="41"/>
  <c r="N57" i="41" s="1"/>
  <c r="K54" i="41"/>
  <c r="K57" i="41" s="1"/>
  <c r="I54" i="41"/>
  <c r="I57" i="41" s="1"/>
  <c r="L54" i="41"/>
  <c r="L57" i="41" s="1"/>
  <c r="F54" i="41"/>
  <c r="F57" i="41" s="1"/>
  <c r="H54" i="41"/>
  <c r="H57" i="41" s="1"/>
  <c r="S83" i="42"/>
  <c r="E73" i="43" s="1"/>
  <c r="G73" i="43" s="1"/>
  <c r="V219" i="81"/>
  <c r="V221" i="81" s="1"/>
  <c r="V237" i="81" s="1"/>
  <c r="Q83" i="42"/>
  <c r="T219" i="81"/>
  <c r="T221" i="81" s="1"/>
  <c r="T237" i="81" s="1"/>
  <c r="F219" i="81"/>
  <c r="F221" i="81" s="1"/>
  <c r="Y49" i="41"/>
  <c r="Z49" i="41" s="1"/>
  <c r="U219" i="81"/>
  <c r="U221" i="81" s="1"/>
  <c r="R83" i="42"/>
  <c r="E6" i="42"/>
  <c r="AA28" i="42"/>
  <c r="F48" i="42"/>
  <c r="F47" i="42" s="1"/>
  <c r="AD29" i="41"/>
  <c r="C80" i="42"/>
  <c r="C79" i="42" s="1"/>
  <c r="AB28" i="42" s="1"/>
  <c r="AR47" i="41"/>
  <c r="AA47" i="41" s="1"/>
  <c r="C90" i="42"/>
  <c r="C89" i="42" s="1"/>
  <c r="AR52" i="41"/>
  <c r="AA52" i="41" s="1"/>
  <c r="C92" i="42"/>
  <c r="C91" i="42" s="1"/>
  <c r="AR53" i="41"/>
  <c r="AA53" i="41" s="1"/>
  <c r="H15" i="42"/>
  <c r="H14" i="42" s="1"/>
  <c r="AF12" i="41"/>
  <c r="AR48" i="41"/>
  <c r="AA48" i="41" s="1"/>
  <c r="AB48" i="41" s="1"/>
  <c r="AD43" i="41"/>
  <c r="F73" i="42"/>
  <c r="F72" i="42" s="1"/>
  <c r="AC41" i="41"/>
  <c r="E69" i="42"/>
  <c r="E68" i="42" s="1"/>
  <c r="E78" i="43"/>
  <c r="E40" i="43"/>
  <c r="G32" i="42"/>
  <c r="G31" i="42" s="1"/>
  <c r="AE21" i="41"/>
  <c r="AD14" i="41"/>
  <c r="F19" i="42"/>
  <c r="F18" i="42" s="1"/>
  <c r="I17" i="42"/>
  <c r="I16" i="42" s="1"/>
  <c r="AG13" i="41"/>
  <c r="F52" i="42"/>
  <c r="F51" i="42" s="1"/>
  <c r="AD31" i="41"/>
  <c r="AB35" i="41"/>
  <c r="D59" i="42"/>
  <c r="D58" i="42" s="1"/>
  <c r="AF11" i="41"/>
  <c r="H13" i="42"/>
  <c r="H12" i="42" s="1"/>
  <c r="G28" i="42"/>
  <c r="G27" i="42" s="1"/>
  <c r="AE19" i="41"/>
  <c r="G71" i="42"/>
  <c r="G70" i="42" s="1"/>
  <c r="AE42" i="41"/>
  <c r="UH144" i="54" l="1"/>
  <c r="JY92" i="54"/>
  <c r="KT92" i="54"/>
  <c r="NN92" i="54"/>
  <c r="NN94" i="54" s="1"/>
  <c r="NN77" i="54" s="1"/>
  <c r="AW92" i="54"/>
  <c r="JZ92" i="54"/>
  <c r="AQ92" i="54"/>
  <c r="UR144" i="54"/>
  <c r="UR146" i="54" s="1"/>
  <c r="KB92" i="54"/>
  <c r="RU187" i="54"/>
  <c r="J23" i="52" s="1"/>
  <c r="L24" i="51" s="1"/>
  <c r="L58" i="51" s="1"/>
  <c r="J20" i="50" s="1"/>
  <c r="J52" i="50" s="1"/>
  <c r="J22" i="46" s="1"/>
  <c r="J207" i="46" s="1"/>
  <c r="J268" i="46" s="1"/>
  <c r="KG92" i="54"/>
  <c r="KG94" i="54" s="1"/>
  <c r="KJ92" i="54"/>
  <c r="KJ187" i="54" s="1"/>
  <c r="D24" i="52" s="1"/>
  <c r="F25" i="51" s="1"/>
  <c r="F59" i="51" s="1"/>
  <c r="D21" i="50" s="1"/>
  <c r="D53" i="50" s="1"/>
  <c r="UK134" i="54"/>
  <c r="SB187" i="54"/>
  <c r="Q23" i="52" s="1"/>
  <c r="S24" i="51" s="1"/>
  <c r="S58" i="51" s="1"/>
  <c r="Q20" i="50" s="1"/>
  <c r="Q52" i="50" s="1"/>
  <c r="Q22" i="46" s="1"/>
  <c r="Q207" i="46" s="1"/>
  <c r="VI187" i="54"/>
  <c r="Q35" i="52" s="1"/>
  <c r="S36" i="51" s="1"/>
  <c r="S70" i="51" s="1"/>
  <c r="Q32" i="50" s="1"/>
  <c r="Q64" i="50" s="1"/>
  <c r="Q34" i="46" s="1"/>
  <c r="Q219" i="46" s="1"/>
  <c r="Q280" i="46" s="1"/>
  <c r="UL144" i="54"/>
  <c r="UL146" i="54" s="1"/>
  <c r="G92" i="54"/>
  <c r="G94" i="54" s="1"/>
  <c r="AX92" i="54"/>
  <c r="AX94" i="54" s="1"/>
  <c r="V92" i="54"/>
  <c r="V94" i="54" s="1"/>
  <c r="M92" i="54"/>
  <c r="M94" i="54" s="1"/>
  <c r="S92" i="54"/>
  <c r="S94" i="54" s="1"/>
  <c r="UE134" i="54"/>
  <c r="RR144" i="54"/>
  <c r="RR187" i="54" s="1"/>
  <c r="G23" i="52" s="1"/>
  <c r="I24" i="51" s="1"/>
  <c r="I58" i="51" s="1"/>
  <c r="G20" i="50" s="1"/>
  <c r="G52" i="50" s="1"/>
  <c r="G22" i="46" s="1"/>
  <c r="G207" i="46" s="1"/>
  <c r="G268" i="46" s="1"/>
  <c r="NA92" i="54"/>
  <c r="NA94" i="54" s="1"/>
  <c r="NA77" i="54" s="1"/>
  <c r="N92" i="54"/>
  <c r="N94" i="54" s="1"/>
  <c r="NS144" i="54"/>
  <c r="NS146" i="54" s="1"/>
  <c r="OU187" i="54"/>
  <c r="Q28" i="52" s="1"/>
  <c r="S29" i="51" s="1"/>
  <c r="S63" i="51" s="1"/>
  <c r="Q25" i="50" s="1"/>
  <c r="Q57" i="50" s="1"/>
  <c r="Q27" i="46" s="1"/>
  <c r="Q212" i="46" s="1"/>
  <c r="Q273" i="46" s="1"/>
  <c r="KE92" i="54"/>
  <c r="J92" i="54"/>
  <c r="J94" i="54" s="1"/>
  <c r="JR92" i="54"/>
  <c r="JR187" i="54" s="1"/>
  <c r="C22" i="52" s="1"/>
  <c r="E23" i="51" s="1"/>
  <c r="E57" i="51" s="1"/>
  <c r="C19" i="50" s="1"/>
  <c r="C51" i="50" s="1"/>
  <c r="C21" i="46" s="1"/>
  <c r="H65" i="90"/>
  <c r="AD65" i="90" s="1"/>
  <c r="SA146" i="54"/>
  <c r="UQ144" i="54"/>
  <c r="UQ187" i="54" s="1"/>
  <c r="P34" i="52" s="1"/>
  <c r="R35" i="51" s="1"/>
  <c r="R69" i="51" s="1"/>
  <c r="P31" i="50" s="1"/>
  <c r="P63" i="50" s="1"/>
  <c r="P33" i="46" s="1"/>
  <c r="P218" i="46" s="1"/>
  <c r="AN92" i="54"/>
  <c r="AN94" i="54" s="1"/>
  <c r="SQ187" i="54"/>
  <c r="O27" i="52" s="1"/>
  <c r="Q28" i="51" s="1"/>
  <c r="Q62" i="51" s="1"/>
  <c r="O24" i="50" s="1"/>
  <c r="O56" i="50" s="1"/>
  <c r="O26" i="46" s="1"/>
  <c r="O211" i="46" s="1"/>
  <c r="O272" i="46" s="1"/>
  <c r="JS92" i="54"/>
  <c r="JS187" i="54" s="1"/>
  <c r="D22" i="52" s="1"/>
  <c r="F23" i="51" s="1"/>
  <c r="F57" i="51" s="1"/>
  <c r="D19" i="50" s="1"/>
  <c r="D51" i="50" s="1"/>
  <c r="D21" i="46" s="1"/>
  <c r="KY187" i="54"/>
  <c r="S24" i="52" s="1"/>
  <c r="U25" i="51" s="1"/>
  <c r="U59" i="51" s="1"/>
  <c r="S21" i="50" s="1"/>
  <c r="S53" i="50" s="1"/>
  <c r="S23" i="46" s="1"/>
  <c r="S208" i="46" s="1"/>
  <c r="S269" i="46" s="1"/>
  <c r="KO92" i="54"/>
  <c r="KO94" i="54" s="1"/>
  <c r="JV92" i="54"/>
  <c r="JV187" i="54" s="1"/>
  <c r="G22" i="52" s="1"/>
  <c r="I23" i="51" s="1"/>
  <c r="I57" i="51" s="1"/>
  <c r="G19" i="50" s="1"/>
  <c r="G51" i="50" s="1"/>
  <c r="G21" i="46" s="1"/>
  <c r="KM92" i="54"/>
  <c r="KM94" i="54" s="1"/>
  <c r="CE92" i="54"/>
  <c r="CE94" i="54" s="1"/>
  <c r="S49" i="90"/>
  <c r="AO49" i="90" s="1"/>
  <c r="M66" i="90"/>
  <c r="AI66" i="90" s="1"/>
  <c r="NC92" i="54"/>
  <c r="NC94" i="54" s="1"/>
  <c r="NC77" i="54" s="1"/>
  <c r="J62" i="90"/>
  <c r="AF62" i="90" s="1"/>
  <c r="E62" i="90"/>
  <c r="AA62" i="90" s="1"/>
  <c r="Q49" i="90"/>
  <c r="AM49" i="90" s="1"/>
  <c r="P50" i="90"/>
  <c r="AL50" i="90" s="1"/>
  <c r="S62" i="90"/>
  <c r="AO62" i="90" s="1"/>
  <c r="F61" i="90"/>
  <c r="AB61" i="90" s="1"/>
  <c r="G50" i="90"/>
  <c r="AC50" i="90" s="1"/>
  <c r="I66" i="90"/>
  <c r="AE66" i="90" s="1"/>
  <c r="P61" i="90"/>
  <c r="AL61" i="90" s="1"/>
  <c r="T65" i="90"/>
  <c r="AP65" i="90" s="1"/>
  <c r="T62" i="90"/>
  <c r="AP62" i="90" s="1"/>
  <c r="S61" i="90"/>
  <c r="AO61" i="90" s="1"/>
  <c r="G65" i="90"/>
  <c r="AC65" i="90" s="1"/>
  <c r="E65" i="90"/>
  <c r="AA65" i="90" s="1"/>
  <c r="N62" i="90"/>
  <c r="AJ62" i="90" s="1"/>
  <c r="S50" i="90"/>
  <c r="AO50" i="90" s="1"/>
  <c r="MY187" i="54"/>
  <c r="C31" i="52" s="1"/>
  <c r="E32" i="51" s="1"/>
  <c r="E66" i="51" s="1"/>
  <c r="C28" i="50" s="1"/>
  <c r="C60" i="50" s="1"/>
  <c r="C30" i="46" s="1"/>
  <c r="R66" i="90"/>
  <c r="AN66" i="90" s="1"/>
  <c r="L65" i="90"/>
  <c r="AH65" i="90" s="1"/>
  <c r="G62" i="90"/>
  <c r="AC62" i="90" s="1"/>
  <c r="P49" i="90"/>
  <c r="AL49" i="90" s="1"/>
  <c r="H49" i="90"/>
  <c r="AD49" i="90" s="1"/>
  <c r="R92" i="54"/>
  <c r="R94" i="54" s="1"/>
  <c r="O92" i="54"/>
  <c r="O94" i="54" s="1"/>
  <c r="AU92" i="54"/>
  <c r="AU94" i="54" s="1"/>
  <c r="NF92" i="54"/>
  <c r="NF94" i="54" s="1"/>
  <c r="NF77" i="54" s="1"/>
  <c r="D66" i="90"/>
  <c r="Z66" i="90" s="1"/>
  <c r="K65" i="90"/>
  <c r="AG65" i="90" s="1"/>
  <c r="F65" i="90"/>
  <c r="AB65" i="90" s="1"/>
  <c r="D61" i="90"/>
  <c r="Z61" i="90" s="1"/>
  <c r="J66" i="90"/>
  <c r="AF66" i="90" s="1"/>
  <c r="K61" i="90"/>
  <c r="AG61" i="90" s="1"/>
  <c r="R65" i="90"/>
  <c r="AN65" i="90" s="1"/>
  <c r="N49" i="90"/>
  <c r="AJ49" i="90" s="1"/>
  <c r="N61" i="90"/>
  <c r="AJ61" i="90" s="1"/>
  <c r="J65" i="90"/>
  <c r="AF65" i="90" s="1"/>
  <c r="O50" i="90"/>
  <c r="AK50" i="90" s="1"/>
  <c r="K66" i="90"/>
  <c r="AG66" i="90" s="1"/>
  <c r="F66" i="90"/>
  <c r="AB66" i="90" s="1"/>
  <c r="L61" i="90"/>
  <c r="AH61" i="90" s="1"/>
  <c r="KD92" i="54"/>
  <c r="KD94" i="54" s="1"/>
  <c r="F156" i="54"/>
  <c r="F160" i="54" s="1"/>
  <c r="F92" i="54"/>
  <c r="F94" i="54" s="1"/>
  <c r="BA92" i="54"/>
  <c r="BA94" i="54" s="1"/>
  <c r="AO92" i="54"/>
  <c r="AO187" i="54" s="1"/>
  <c r="D11" i="52" s="1"/>
  <c r="F12" i="51" s="1"/>
  <c r="F46" i="51" s="1"/>
  <c r="D9" i="50" s="1"/>
  <c r="D41" i="50" s="1"/>
  <c r="D11" i="46" s="1"/>
  <c r="NI92" i="54"/>
  <c r="NI94" i="54" s="1"/>
  <c r="NI77" i="54" s="1"/>
  <c r="T50" i="90"/>
  <c r="AP50" i="90" s="1"/>
  <c r="E50" i="90"/>
  <c r="AA50" i="90" s="1"/>
  <c r="P62" i="90"/>
  <c r="AL62" i="90" s="1"/>
  <c r="G61" i="90"/>
  <c r="AC61" i="90" s="1"/>
  <c r="J49" i="90"/>
  <c r="AF49" i="90" s="1"/>
  <c r="L66" i="90"/>
  <c r="AH66" i="90" s="1"/>
  <c r="I61" i="90"/>
  <c r="AE61" i="90" s="1"/>
  <c r="I50" i="90"/>
  <c r="AE50" i="90" s="1"/>
  <c r="K49" i="90"/>
  <c r="AG49" i="90" s="1"/>
  <c r="H62" i="90"/>
  <c r="AD62" i="90" s="1"/>
  <c r="R61" i="90"/>
  <c r="AN61" i="90" s="1"/>
  <c r="Q66" i="90"/>
  <c r="AM66" i="90" s="1"/>
  <c r="M62" i="90"/>
  <c r="AI62" i="90" s="1"/>
  <c r="O61" i="90"/>
  <c r="AK61" i="90" s="1"/>
  <c r="R50" i="90"/>
  <c r="AN50" i="90" s="1"/>
  <c r="M49" i="90"/>
  <c r="AI49" i="90" s="1"/>
  <c r="D50" i="90"/>
  <c r="Z50" i="90" s="1"/>
  <c r="D49" i="90"/>
  <c r="Z49" i="90" s="1"/>
  <c r="M154" i="46"/>
  <c r="M216" i="46"/>
  <c r="M277" i="46" s="1"/>
  <c r="N50" i="90"/>
  <c r="AJ50" i="90" s="1"/>
  <c r="D65" i="90"/>
  <c r="Z65" i="90" s="1"/>
  <c r="T66" i="90"/>
  <c r="AP66" i="90" s="1"/>
  <c r="AK46" i="90"/>
  <c r="G66" i="90"/>
  <c r="AC66" i="90" s="1"/>
  <c r="E49" i="90"/>
  <c r="AA49" i="90" s="1"/>
  <c r="N66" i="90"/>
  <c r="AJ66" i="90" s="1"/>
  <c r="K50" i="90"/>
  <c r="AG50" i="90" s="1"/>
  <c r="L62" i="90"/>
  <c r="AH62" i="90" s="1"/>
  <c r="E61" i="90"/>
  <c r="AA61" i="90" s="1"/>
  <c r="L172" i="90"/>
  <c r="L177" i="90" s="1"/>
  <c r="L13" i="90" s="1"/>
  <c r="L119" i="90"/>
  <c r="O49" i="90"/>
  <c r="AK49" i="90" s="1"/>
  <c r="AL46" i="90"/>
  <c r="Q65" i="90"/>
  <c r="AM65" i="90" s="1"/>
  <c r="Q61" i="90"/>
  <c r="AM61" i="90" s="1"/>
  <c r="AM46" i="90"/>
  <c r="H50" i="90"/>
  <c r="AD50" i="90" s="1"/>
  <c r="S65" i="90"/>
  <c r="AO65" i="90" s="1"/>
  <c r="AJ46" i="90"/>
  <c r="O66" i="90"/>
  <c r="AK66" i="90" s="1"/>
  <c r="P66" i="90"/>
  <c r="AL66" i="90" s="1"/>
  <c r="Q50" i="90"/>
  <c r="AM50" i="90" s="1"/>
  <c r="K62" i="90"/>
  <c r="AG62" i="90" s="1"/>
  <c r="T61" i="90"/>
  <c r="AP61" i="90" s="1"/>
  <c r="E172" i="90"/>
  <c r="E177" i="90" s="1"/>
  <c r="E13" i="90" s="1"/>
  <c r="E119" i="90"/>
  <c r="E232" i="90"/>
  <c r="I65" i="90"/>
  <c r="AE65" i="90" s="1"/>
  <c r="F62" i="90"/>
  <c r="AB62" i="90" s="1"/>
  <c r="F49" i="90"/>
  <c r="AB49" i="90" s="1"/>
  <c r="AG46" i="90"/>
  <c r="N172" i="90"/>
  <c r="N177" i="90" s="1"/>
  <c r="N13" i="90" s="1"/>
  <c r="N119" i="90"/>
  <c r="N216" i="46"/>
  <c r="N277" i="46" s="1"/>
  <c r="N154" i="46"/>
  <c r="AF46" i="90"/>
  <c r="J172" i="90"/>
  <c r="J177" i="90" s="1"/>
  <c r="J13" i="90" s="1"/>
  <c r="J119" i="90"/>
  <c r="Z46" i="90"/>
  <c r="AN46" i="90"/>
  <c r="O172" i="90"/>
  <c r="O177" i="90" s="1"/>
  <c r="O13" i="90" s="1"/>
  <c r="O119" i="90"/>
  <c r="S172" i="90"/>
  <c r="S177" i="90" s="1"/>
  <c r="S13" i="90" s="1"/>
  <c r="S119" i="90"/>
  <c r="AI46" i="90"/>
  <c r="K172" i="90"/>
  <c r="K119" i="90"/>
  <c r="K123" i="90" s="1"/>
  <c r="K14" i="90" s="1"/>
  <c r="K232" i="90"/>
  <c r="H172" i="90"/>
  <c r="H177" i="90" s="1"/>
  <c r="H13" i="90" s="1"/>
  <c r="H119" i="90"/>
  <c r="H123" i="90" s="1"/>
  <c r="H14" i="90" s="1"/>
  <c r="O62" i="90"/>
  <c r="AK62" i="90" s="1"/>
  <c r="J50" i="90"/>
  <c r="AF50" i="90" s="1"/>
  <c r="M65" i="90"/>
  <c r="AI65" i="90" s="1"/>
  <c r="I62" i="90"/>
  <c r="AE62" i="90" s="1"/>
  <c r="S232" i="90"/>
  <c r="L232" i="90"/>
  <c r="H66" i="90"/>
  <c r="AD66" i="90" s="1"/>
  <c r="P65" i="90"/>
  <c r="AL65" i="90" s="1"/>
  <c r="T49" i="90"/>
  <c r="AP49" i="90" s="1"/>
  <c r="L50" i="90"/>
  <c r="AH50" i="90" s="1"/>
  <c r="M61" i="90"/>
  <c r="AI61" i="90" s="1"/>
  <c r="G49" i="90"/>
  <c r="AC49" i="90" s="1"/>
  <c r="M50" i="90"/>
  <c r="AI50" i="90" s="1"/>
  <c r="O65" i="90"/>
  <c r="AK65" i="90" s="1"/>
  <c r="D62" i="90"/>
  <c r="Z62" i="90" s="1"/>
  <c r="L49" i="90"/>
  <c r="AH49" i="90" s="1"/>
  <c r="AA46" i="90"/>
  <c r="D172" i="90"/>
  <c r="D177" i="90" s="1"/>
  <c r="D13" i="90" s="1"/>
  <c r="D119" i="90"/>
  <c r="K177" i="90"/>
  <c r="K13" i="90" s="1"/>
  <c r="S66" i="90"/>
  <c r="AO66" i="90" s="1"/>
  <c r="R62" i="90"/>
  <c r="AN62" i="90" s="1"/>
  <c r="H61" i="90"/>
  <c r="AD61" i="90" s="1"/>
  <c r="AD46" i="90"/>
  <c r="R172" i="90"/>
  <c r="R177" i="90" s="1"/>
  <c r="R13" i="90" s="1"/>
  <c r="R119" i="90"/>
  <c r="R232" i="90"/>
  <c r="J232" i="90"/>
  <c r="D31" i="46"/>
  <c r="D154" i="46" s="1"/>
  <c r="AO46" i="90"/>
  <c r="AB46" i="90"/>
  <c r="AH46" i="90"/>
  <c r="I49" i="90"/>
  <c r="G172" i="90"/>
  <c r="G177" i="90" s="1"/>
  <c r="G119" i="90"/>
  <c r="G232" i="90"/>
  <c r="M172" i="90"/>
  <c r="M177" i="90" s="1"/>
  <c r="M13" i="90" s="1"/>
  <c r="M119" i="90"/>
  <c r="M232" i="90"/>
  <c r="T172" i="90"/>
  <c r="T177" i="90" s="1"/>
  <c r="T13" i="90" s="1"/>
  <c r="T119" i="90"/>
  <c r="T123" i="90" s="1"/>
  <c r="T14" i="90" s="1"/>
  <c r="T232" i="90"/>
  <c r="I172" i="90"/>
  <c r="I177" i="90" s="1"/>
  <c r="I13" i="90" s="1"/>
  <c r="I119" i="90"/>
  <c r="N123" i="90"/>
  <c r="N14" i="90" s="1"/>
  <c r="AP46" i="90"/>
  <c r="AC46" i="90"/>
  <c r="F172" i="90"/>
  <c r="F177" i="90" s="1"/>
  <c r="F13" i="90" s="1"/>
  <c r="F119" i="90"/>
  <c r="F232" i="90"/>
  <c r="P172" i="90"/>
  <c r="P177" i="90" s="1"/>
  <c r="P13" i="90" s="1"/>
  <c r="P119" i="90"/>
  <c r="P232" i="90"/>
  <c r="Q172" i="90"/>
  <c r="Q177" i="90" s="1"/>
  <c r="Q13" i="90" s="1"/>
  <c r="Q119" i="90"/>
  <c r="Q232" i="90"/>
  <c r="N232" i="90"/>
  <c r="G235" i="81"/>
  <c r="U237" i="81"/>
  <c r="S237" i="81"/>
  <c r="P235" i="81"/>
  <c r="F237" i="81"/>
  <c r="J235" i="81"/>
  <c r="T235" i="81"/>
  <c r="R235" i="81"/>
  <c r="V235" i="81"/>
  <c r="N235" i="81"/>
  <c r="H235" i="81"/>
  <c r="Q235" i="81"/>
  <c r="I235" i="81"/>
  <c r="O235" i="81"/>
  <c r="U235" i="81"/>
  <c r="K235" i="81"/>
  <c r="S235" i="81"/>
  <c r="F235" i="81"/>
  <c r="M235" i="81"/>
  <c r="NL92" i="54"/>
  <c r="NL94" i="54" s="1"/>
  <c r="NL77" i="54" s="1"/>
  <c r="KQ94" i="54"/>
  <c r="NE92" i="54"/>
  <c r="NE94" i="54" s="1"/>
  <c r="NE77" i="54" s="1"/>
  <c r="KS92" i="54"/>
  <c r="KU92" i="54"/>
  <c r="KU94" i="54" s="1"/>
  <c r="KV92" i="54"/>
  <c r="CF92" i="54"/>
  <c r="CF94" i="54" s="1"/>
  <c r="KJ94" i="54"/>
  <c r="P92" i="54"/>
  <c r="P94" i="54" s="1"/>
  <c r="KR92" i="54"/>
  <c r="KP92" i="54"/>
  <c r="AV92" i="54"/>
  <c r="AV187" i="54" s="1"/>
  <c r="K11" i="52" s="1"/>
  <c r="M12" i="51" s="1"/>
  <c r="M46" i="51" s="1"/>
  <c r="K9" i="50" s="1"/>
  <c r="K41" i="50" s="1"/>
  <c r="K11" i="46" s="1"/>
  <c r="K196" i="46" s="1"/>
  <c r="NH92" i="54"/>
  <c r="NH94" i="54" s="1"/>
  <c r="NH77" i="54" s="1"/>
  <c r="SI180" i="54"/>
  <c r="RS187" i="54"/>
  <c r="H23" i="52" s="1"/>
  <c r="J24" i="51" s="1"/>
  <c r="J58" i="51" s="1"/>
  <c r="H20" i="50" s="1"/>
  <c r="H52" i="50" s="1"/>
  <c r="RV187" i="54"/>
  <c r="K23" i="52" s="1"/>
  <c r="M24" i="51" s="1"/>
  <c r="M58" i="51" s="1"/>
  <c r="K20" i="50" s="1"/>
  <c r="K52" i="50" s="1"/>
  <c r="SD144" i="54"/>
  <c r="SD187" i="54" s="1"/>
  <c r="S23" i="52" s="1"/>
  <c r="U24" i="51" s="1"/>
  <c r="U58" i="51" s="1"/>
  <c r="S20" i="50" s="1"/>
  <c r="S52" i="50" s="1"/>
  <c r="S22" i="46" s="1"/>
  <c r="S207" i="46" s="1"/>
  <c r="SH180" i="54"/>
  <c r="SJ180" i="54"/>
  <c r="SN187" i="54"/>
  <c r="L27" i="52" s="1"/>
  <c r="N28" i="51" s="1"/>
  <c r="N62" i="51" s="1"/>
  <c r="L24" i="50" s="1"/>
  <c r="L56" i="50" s="1"/>
  <c r="CJ94" i="54"/>
  <c r="NT187" i="54"/>
  <c r="G30" i="52" s="1"/>
  <c r="I31" i="51" s="1"/>
  <c r="I65" i="51" s="1"/>
  <c r="G27" i="50" s="1"/>
  <c r="G59" i="50" s="1"/>
  <c r="G29" i="46" s="1"/>
  <c r="G214" i="46" s="1"/>
  <c r="G275" i="46" s="1"/>
  <c r="G50" i="42"/>
  <c r="G49" i="42" s="1"/>
  <c r="AE30" i="41"/>
  <c r="SU187" i="54"/>
  <c r="S27" i="52" s="1"/>
  <c r="U28" i="51" s="1"/>
  <c r="U62" i="51" s="1"/>
  <c r="S24" i="50" s="1"/>
  <c r="S56" i="50" s="1"/>
  <c r="S26" i="46" s="1"/>
  <c r="S211" i="46" s="1"/>
  <c r="J36" i="42"/>
  <c r="J35" i="42" s="1"/>
  <c r="AH23" i="41"/>
  <c r="RW146" i="54"/>
  <c r="CA187" i="54"/>
  <c r="H16" i="52" s="1"/>
  <c r="J17" i="51" s="1"/>
  <c r="J51" i="51" s="1"/>
  <c r="H13" i="50" s="1"/>
  <c r="H45" i="50" s="1"/>
  <c r="RN144" i="54"/>
  <c r="RN146" i="54" s="1"/>
  <c r="AP187" i="54"/>
  <c r="E11" i="52" s="1"/>
  <c r="G12" i="51" s="1"/>
  <c r="G46" i="51" s="1"/>
  <c r="E9" i="50" s="1"/>
  <c r="E41" i="50" s="1"/>
  <c r="RQ187" i="54"/>
  <c r="F23" i="52" s="1"/>
  <c r="H24" i="51" s="1"/>
  <c r="H58" i="51" s="1"/>
  <c r="F20" i="50" s="1"/>
  <c r="F52" i="50" s="1"/>
  <c r="RR146" i="54"/>
  <c r="NY146" i="54"/>
  <c r="TG180" i="54"/>
  <c r="OB146" i="54"/>
  <c r="SG187" i="54"/>
  <c r="E27" i="52" s="1"/>
  <c r="G28" i="51" s="1"/>
  <c r="G62" i="51" s="1"/>
  <c r="E24" i="50" s="1"/>
  <c r="E56" i="50" s="1"/>
  <c r="CG187" i="54"/>
  <c r="N16" i="52" s="1"/>
  <c r="P17" i="51" s="1"/>
  <c r="P51" i="51" s="1"/>
  <c r="N13" i="50" s="1"/>
  <c r="N45" i="50" s="1"/>
  <c r="BW187" i="54"/>
  <c r="D16" i="52" s="1"/>
  <c r="F17" i="51" s="1"/>
  <c r="F51" i="51" s="1"/>
  <c r="D13" i="50" s="1"/>
  <c r="D45" i="50" s="1"/>
  <c r="OA146" i="54"/>
  <c r="TH187" i="54"/>
  <c r="O32" i="52" s="1"/>
  <c r="Q33" i="51" s="1"/>
  <c r="Q67" i="51" s="1"/>
  <c r="O29" i="50" s="1"/>
  <c r="O61" i="50" s="1"/>
  <c r="RO187" i="54"/>
  <c r="D23" i="52" s="1"/>
  <c r="F24" i="51" s="1"/>
  <c r="F58" i="51" s="1"/>
  <c r="D20" i="50" s="1"/>
  <c r="D52" i="50" s="1"/>
  <c r="BX187" i="54"/>
  <c r="E16" i="52" s="1"/>
  <c r="G17" i="51" s="1"/>
  <c r="G51" i="51" s="1"/>
  <c r="E13" i="50" s="1"/>
  <c r="E45" i="50" s="1"/>
  <c r="RZ144" i="54"/>
  <c r="RZ187" i="54" s="1"/>
  <c r="O23" i="52" s="1"/>
  <c r="Q24" i="51" s="1"/>
  <c r="Q58" i="51" s="1"/>
  <c r="O20" i="50" s="1"/>
  <c r="O52" i="50" s="1"/>
  <c r="O22" i="46" s="1"/>
  <c r="O207" i="46" s="1"/>
  <c r="SK178" i="54"/>
  <c r="SK180" i="54" s="1"/>
  <c r="TF180" i="54"/>
  <c r="NU187" i="54"/>
  <c r="H30" i="52" s="1"/>
  <c r="J31" i="51" s="1"/>
  <c r="J65" i="51" s="1"/>
  <c r="H27" i="50" s="1"/>
  <c r="H59" i="50" s="1"/>
  <c r="H29" i="46" s="1"/>
  <c r="H214" i="46" s="1"/>
  <c r="H275" i="46" s="1"/>
  <c r="SO187" i="54"/>
  <c r="M27" i="52" s="1"/>
  <c r="O28" i="51" s="1"/>
  <c r="O62" i="51" s="1"/>
  <c r="M24" i="50" s="1"/>
  <c r="M56" i="50" s="1"/>
  <c r="RP187" i="54"/>
  <c r="E23" i="52" s="1"/>
  <c r="G24" i="51" s="1"/>
  <c r="G58" i="51" s="1"/>
  <c r="E20" i="50" s="1"/>
  <c r="E52" i="50" s="1"/>
  <c r="SL178" i="54"/>
  <c r="SL180" i="54" s="1"/>
  <c r="RX144" i="54"/>
  <c r="RX146" i="54" s="1"/>
  <c r="SP180" i="54"/>
  <c r="CK94" i="54"/>
  <c r="SC144" i="54"/>
  <c r="SC146" i="54" s="1"/>
  <c r="SR187" i="54"/>
  <c r="P27" i="52" s="1"/>
  <c r="R28" i="51" s="1"/>
  <c r="R62" i="51" s="1"/>
  <c r="P24" i="50" s="1"/>
  <c r="P56" i="50" s="1"/>
  <c r="BY94" i="54"/>
  <c r="UF187" i="54"/>
  <c r="E34" i="52" s="1"/>
  <c r="G35" i="51" s="1"/>
  <c r="G69" i="51" s="1"/>
  <c r="E31" i="50" s="1"/>
  <c r="E63" i="50" s="1"/>
  <c r="CB187" i="54"/>
  <c r="I16" i="52" s="1"/>
  <c r="K17" i="51" s="1"/>
  <c r="K51" i="51" s="1"/>
  <c r="I13" i="50" s="1"/>
  <c r="I45" i="50" s="1"/>
  <c r="I15" i="46" s="1"/>
  <c r="I200" i="46" s="1"/>
  <c r="SY187" i="54"/>
  <c r="F32" i="52" s="1"/>
  <c r="H33" i="51" s="1"/>
  <c r="H67" i="51" s="1"/>
  <c r="F29" i="50" s="1"/>
  <c r="F61" i="50" s="1"/>
  <c r="RY144" i="54"/>
  <c r="RY146" i="54" s="1"/>
  <c r="ST178" i="54"/>
  <c r="ST180" i="54" s="1"/>
  <c r="SS178" i="54"/>
  <c r="SS180" i="54" s="1"/>
  <c r="CH187" i="54"/>
  <c r="O16" i="52" s="1"/>
  <c r="Q17" i="51" s="1"/>
  <c r="Q51" i="51" s="1"/>
  <c r="O13" i="50" s="1"/>
  <c r="O45" i="50" s="1"/>
  <c r="O15" i="46" s="1"/>
  <c r="O200" i="46" s="1"/>
  <c r="NP144" i="54"/>
  <c r="NP146" i="54" s="1"/>
  <c r="CI94" i="54"/>
  <c r="JZ94" i="54"/>
  <c r="JZ187" i="54"/>
  <c r="K22" i="52" s="1"/>
  <c r="M23" i="51" s="1"/>
  <c r="M57" i="51" s="1"/>
  <c r="K19" i="50" s="1"/>
  <c r="K51" i="50" s="1"/>
  <c r="K21" i="46" s="1"/>
  <c r="K206" i="46" s="1"/>
  <c r="F211" i="46"/>
  <c r="F272" i="46" s="1"/>
  <c r="F149" i="46"/>
  <c r="NR146" i="54"/>
  <c r="NR187" i="54"/>
  <c r="E30" i="52" s="1"/>
  <c r="G31" i="51" s="1"/>
  <c r="G65" i="51" s="1"/>
  <c r="E27" i="50" s="1"/>
  <c r="E59" i="50" s="1"/>
  <c r="E29" i="46" s="1"/>
  <c r="E214" i="46" s="1"/>
  <c r="E275" i="46" s="1"/>
  <c r="TD187" i="54"/>
  <c r="K32" i="52" s="1"/>
  <c r="M33" i="51" s="1"/>
  <c r="M67" i="51" s="1"/>
  <c r="K29" i="50" s="1"/>
  <c r="K61" i="50" s="1"/>
  <c r="K31" i="46" s="1"/>
  <c r="R261" i="46"/>
  <c r="Q261" i="46"/>
  <c r="VK187" i="54"/>
  <c r="S35" i="52" s="1"/>
  <c r="U36" i="51" s="1"/>
  <c r="U70" i="51" s="1"/>
  <c r="S32" i="50" s="1"/>
  <c r="S64" i="50" s="1"/>
  <c r="S34" i="46" s="1"/>
  <c r="S219" i="46" s="1"/>
  <c r="VK154" i="54"/>
  <c r="P280" i="46"/>
  <c r="NX146" i="54"/>
  <c r="NX187" i="54"/>
  <c r="K30" i="52" s="1"/>
  <c r="M31" i="51" s="1"/>
  <c r="M65" i="51" s="1"/>
  <c r="K27" i="50" s="1"/>
  <c r="K59" i="50" s="1"/>
  <c r="K29" i="46" s="1"/>
  <c r="K214" i="46" s="1"/>
  <c r="K275" i="46" s="1"/>
  <c r="NZ187" i="54"/>
  <c r="M30" i="52" s="1"/>
  <c r="O31" i="51" s="1"/>
  <c r="O65" i="51" s="1"/>
  <c r="M27" i="50" s="1"/>
  <c r="M59" i="50" s="1"/>
  <c r="M29" i="46" s="1"/>
  <c r="M214" i="46" s="1"/>
  <c r="M275" i="46" s="1"/>
  <c r="NZ146" i="54"/>
  <c r="P273" i="46"/>
  <c r="L268" i="46"/>
  <c r="I279" i="46"/>
  <c r="OC146" i="54"/>
  <c r="OC187" i="54"/>
  <c r="P30" i="52" s="1"/>
  <c r="R31" i="51" s="1"/>
  <c r="R65" i="51" s="1"/>
  <c r="P27" i="50" s="1"/>
  <c r="P59" i="50" s="1"/>
  <c r="P29" i="46" s="1"/>
  <c r="P214" i="46" s="1"/>
  <c r="P275" i="46" s="1"/>
  <c r="VC154" i="54"/>
  <c r="VC187" i="54"/>
  <c r="K35" i="52" s="1"/>
  <c r="M36" i="51" s="1"/>
  <c r="M70" i="51" s="1"/>
  <c r="K32" i="50" s="1"/>
  <c r="K64" i="50" s="1"/>
  <c r="K34" i="46" s="1"/>
  <c r="K219" i="46" s="1"/>
  <c r="P261" i="46"/>
  <c r="SM187" i="54"/>
  <c r="K27" i="52" s="1"/>
  <c r="M28" i="51" s="1"/>
  <c r="M62" i="51" s="1"/>
  <c r="K24" i="50" s="1"/>
  <c r="K56" i="50" s="1"/>
  <c r="K26" i="46" s="1"/>
  <c r="K211" i="46" s="1"/>
  <c r="OD144" i="54"/>
  <c r="OE144" i="54"/>
  <c r="Q268" i="46"/>
  <c r="G211" i="46"/>
  <c r="G272" i="46" s="1"/>
  <c r="G149" i="46"/>
  <c r="CL187" i="54"/>
  <c r="S16" i="52" s="1"/>
  <c r="U17" i="51" s="1"/>
  <c r="U51" i="51" s="1"/>
  <c r="S13" i="50" s="1"/>
  <c r="S45" i="50" s="1"/>
  <c r="S15" i="46" s="1"/>
  <c r="S200" i="46" s="1"/>
  <c r="NV144" i="54"/>
  <c r="VJ154" i="54"/>
  <c r="VJ187" i="54"/>
  <c r="R35" i="52" s="1"/>
  <c r="T36" i="51" s="1"/>
  <c r="T70" i="51" s="1"/>
  <c r="R32" i="50" s="1"/>
  <c r="R64" i="50" s="1"/>
  <c r="R34" i="46" s="1"/>
  <c r="R219" i="46" s="1"/>
  <c r="P268" i="46"/>
  <c r="SE178" i="54"/>
  <c r="SE180" i="54" s="1"/>
  <c r="K269" i="46"/>
  <c r="VD154" i="54"/>
  <c r="VD187" i="54"/>
  <c r="L35" i="52" s="1"/>
  <c r="N36" i="51" s="1"/>
  <c r="N70" i="51" s="1"/>
  <c r="L32" i="50" s="1"/>
  <c r="L64" i="50" s="1"/>
  <c r="L34" i="46" s="1"/>
  <c r="L219" i="46" s="1"/>
  <c r="UX154" i="54"/>
  <c r="UX187" i="54"/>
  <c r="F35" i="52" s="1"/>
  <c r="H36" i="51" s="1"/>
  <c r="H70" i="51" s="1"/>
  <c r="F32" i="50" s="1"/>
  <c r="F64" i="50" s="1"/>
  <c r="F34" i="46" s="1"/>
  <c r="VF154" i="54"/>
  <c r="VF187" i="54"/>
  <c r="N35" i="52" s="1"/>
  <c r="P36" i="51" s="1"/>
  <c r="P70" i="51" s="1"/>
  <c r="N32" i="50" s="1"/>
  <c r="N64" i="50" s="1"/>
  <c r="N34" i="46" s="1"/>
  <c r="N219" i="46" s="1"/>
  <c r="VE154" i="54"/>
  <c r="VE187" i="54"/>
  <c r="M35" i="52" s="1"/>
  <c r="O36" i="51" s="1"/>
  <c r="O70" i="51" s="1"/>
  <c r="M32" i="50" s="1"/>
  <c r="M64" i="50" s="1"/>
  <c r="M34" i="46" s="1"/>
  <c r="M219" i="46" s="1"/>
  <c r="VG187" i="54"/>
  <c r="O35" i="52" s="1"/>
  <c r="Q36" i="51" s="1"/>
  <c r="Q70" i="51" s="1"/>
  <c r="O32" i="50" s="1"/>
  <c r="O64" i="50" s="1"/>
  <c r="O34" i="46" s="1"/>
  <c r="O219" i="46" s="1"/>
  <c r="VG154" i="54"/>
  <c r="UW154" i="54"/>
  <c r="UW187" i="54"/>
  <c r="E35" i="52" s="1"/>
  <c r="G36" i="51" s="1"/>
  <c r="G70" i="51" s="1"/>
  <c r="E32" i="50" s="1"/>
  <c r="E64" i="50" s="1"/>
  <c r="E34" i="46" s="1"/>
  <c r="UU154" i="54"/>
  <c r="UU187" i="54"/>
  <c r="C35" i="52" s="1"/>
  <c r="E36" i="51" s="1"/>
  <c r="E70" i="51" s="1"/>
  <c r="C32" i="50" s="1"/>
  <c r="C64" i="50" s="1"/>
  <c r="C34" i="46" s="1"/>
  <c r="H272" i="46"/>
  <c r="N272" i="46"/>
  <c r="F200" i="46"/>
  <c r="F261" i="46" s="1"/>
  <c r="F138" i="46"/>
  <c r="OF146" i="54"/>
  <c r="OF187" i="54"/>
  <c r="S30" i="52" s="1"/>
  <c r="U31" i="51" s="1"/>
  <c r="U65" i="51" s="1"/>
  <c r="S27" i="50" s="1"/>
  <c r="S59" i="50" s="1"/>
  <c r="S29" i="46" s="1"/>
  <c r="S214" i="46" s="1"/>
  <c r="S275" i="46" s="1"/>
  <c r="VB154" i="54"/>
  <c r="VB187" i="54"/>
  <c r="J35" i="52" s="1"/>
  <c r="L36" i="51" s="1"/>
  <c r="L70" i="51" s="1"/>
  <c r="J32" i="50" s="1"/>
  <c r="J64" i="50" s="1"/>
  <c r="J34" i="46" s="1"/>
  <c r="J219" i="46" s="1"/>
  <c r="UY154" i="54"/>
  <c r="UY187" i="54"/>
  <c r="G35" i="52" s="1"/>
  <c r="I36" i="51" s="1"/>
  <c r="I70" i="51" s="1"/>
  <c r="G32" i="50" s="1"/>
  <c r="G64" i="50" s="1"/>
  <c r="G34" i="46" s="1"/>
  <c r="UZ154" i="54"/>
  <c r="UZ187" i="54"/>
  <c r="H35" i="52" s="1"/>
  <c r="J36" i="51" s="1"/>
  <c r="J70" i="51" s="1"/>
  <c r="H32" i="50" s="1"/>
  <c r="H64" i="50" s="1"/>
  <c r="H34" i="46" s="1"/>
  <c r="H219" i="46" s="1"/>
  <c r="NW144" i="54"/>
  <c r="UV154" i="54"/>
  <c r="UV187" i="54"/>
  <c r="D35" i="52" s="1"/>
  <c r="F36" i="51" s="1"/>
  <c r="F70" i="51" s="1"/>
  <c r="D32" i="50" s="1"/>
  <c r="D64" i="50" s="1"/>
  <c r="D34" i="46" s="1"/>
  <c r="VA154" i="54"/>
  <c r="VA187" i="54"/>
  <c r="I35" i="52" s="1"/>
  <c r="K36" i="51" s="1"/>
  <c r="K70" i="51" s="1"/>
  <c r="I32" i="50" s="1"/>
  <c r="I64" i="50" s="1"/>
  <c r="I34" i="46" s="1"/>
  <c r="I219" i="46" s="1"/>
  <c r="KB94" i="54"/>
  <c r="KB187" i="54"/>
  <c r="M22" i="52" s="1"/>
  <c r="O23" i="51" s="1"/>
  <c r="O57" i="51" s="1"/>
  <c r="M19" i="50" s="1"/>
  <c r="M51" i="50" s="1"/>
  <c r="M21" i="46" s="1"/>
  <c r="M206" i="46" s="1"/>
  <c r="AY187" i="54"/>
  <c r="N11" i="52" s="1"/>
  <c r="P12" i="51" s="1"/>
  <c r="P46" i="51" s="1"/>
  <c r="N9" i="50" s="1"/>
  <c r="N41" i="50" s="1"/>
  <c r="N11" i="46" s="1"/>
  <c r="N196" i="46" s="1"/>
  <c r="AY94" i="54"/>
  <c r="KC94" i="54"/>
  <c r="KC187" i="54"/>
  <c r="N22" i="52" s="1"/>
  <c r="P23" i="51" s="1"/>
  <c r="P57" i="51" s="1"/>
  <c r="N19" i="50" s="1"/>
  <c r="N51" i="50" s="1"/>
  <c r="BD187" i="54"/>
  <c r="S11" i="52" s="1"/>
  <c r="U12" i="51" s="1"/>
  <c r="U46" i="51" s="1"/>
  <c r="S9" i="50" s="1"/>
  <c r="S41" i="50" s="1"/>
  <c r="S11" i="46" s="1"/>
  <c r="S196" i="46" s="1"/>
  <c r="BD94" i="54"/>
  <c r="AR94" i="54"/>
  <c r="AR187" i="54"/>
  <c r="G11" i="52" s="1"/>
  <c r="I12" i="51" s="1"/>
  <c r="I46" i="51" s="1"/>
  <c r="G9" i="50" s="1"/>
  <c r="G41" i="50" s="1"/>
  <c r="G11" i="46" s="1"/>
  <c r="AS94" i="54"/>
  <c r="AS187" i="54"/>
  <c r="H11" i="52" s="1"/>
  <c r="J12" i="51" s="1"/>
  <c r="J46" i="51" s="1"/>
  <c r="H9" i="50" s="1"/>
  <c r="H41" i="50" s="1"/>
  <c r="H11" i="46" s="1"/>
  <c r="H196" i="46" s="1"/>
  <c r="BC94" i="54"/>
  <c r="BC187" i="54"/>
  <c r="R11" i="52" s="1"/>
  <c r="T12" i="51" s="1"/>
  <c r="T46" i="51" s="1"/>
  <c r="R9" i="50" s="1"/>
  <c r="R41" i="50" s="1"/>
  <c r="R11" i="46" s="1"/>
  <c r="R196" i="46" s="1"/>
  <c r="KH94" i="54"/>
  <c r="KH187" i="54"/>
  <c r="S22" i="52" s="1"/>
  <c r="U23" i="51" s="1"/>
  <c r="U57" i="51" s="1"/>
  <c r="S19" i="50" s="1"/>
  <c r="S51" i="50" s="1"/>
  <c r="S21" i="46" s="1"/>
  <c r="S206" i="46" s="1"/>
  <c r="JU94" i="54"/>
  <c r="JU187" i="54"/>
  <c r="F22" i="52" s="1"/>
  <c r="H23" i="51" s="1"/>
  <c r="H57" i="51" s="1"/>
  <c r="F19" i="50" s="1"/>
  <c r="F51" i="50" s="1"/>
  <c r="F21" i="46" s="1"/>
  <c r="AQ187" i="54"/>
  <c r="F11" i="52" s="1"/>
  <c r="H12" i="51" s="1"/>
  <c r="H46" i="51" s="1"/>
  <c r="F9" i="50" s="1"/>
  <c r="F41" i="50" s="1"/>
  <c r="F11" i="46" s="1"/>
  <c r="AQ94" i="54"/>
  <c r="BB94" i="54"/>
  <c r="BB187" i="54"/>
  <c r="Q11" i="52" s="1"/>
  <c r="S12" i="51" s="1"/>
  <c r="S46" i="51" s="1"/>
  <c r="Q9" i="50" s="1"/>
  <c r="Q41" i="50" s="1"/>
  <c r="Q11" i="46" s="1"/>
  <c r="Q196" i="46" s="1"/>
  <c r="AZ94" i="54"/>
  <c r="AZ187" i="54"/>
  <c r="O11" i="52" s="1"/>
  <c r="Q12" i="51" s="1"/>
  <c r="Q46" i="51" s="1"/>
  <c r="O9" i="50" s="1"/>
  <c r="O41" i="50" s="1"/>
  <c r="O11" i="46" s="1"/>
  <c r="O196" i="46" s="1"/>
  <c r="KE94" i="54"/>
  <c r="KE187" i="54"/>
  <c r="P22" i="52" s="1"/>
  <c r="R23" i="51" s="1"/>
  <c r="R57" i="51" s="1"/>
  <c r="P19" i="50" s="1"/>
  <c r="P51" i="50" s="1"/>
  <c r="P21" i="46" s="1"/>
  <c r="P206" i="46" s="1"/>
  <c r="KL94" i="54"/>
  <c r="KL187" i="54"/>
  <c r="F24" i="52" s="1"/>
  <c r="H25" i="51" s="1"/>
  <c r="H59" i="51" s="1"/>
  <c r="F21" i="50" s="1"/>
  <c r="F53" i="50" s="1"/>
  <c r="F23" i="46" s="1"/>
  <c r="JT94" i="54"/>
  <c r="JT187" i="54"/>
  <c r="E22" i="52" s="1"/>
  <c r="G23" i="51" s="1"/>
  <c r="G57" i="51" s="1"/>
  <c r="E19" i="50" s="1"/>
  <c r="E51" i="50" s="1"/>
  <c r="E21" i="46" s="1"/>
  <c r="BV94" i="54"/>
  <c r="BV187" i="54"/>
  <c r="C16" i="52" s="1"/>
  <c r="E17" i="51" s="1"/>
  <c r="E51" i="51" s="1"/>
  <c r="C13" i="50" s="1"/>
  <c r="C45" i="50" s="1"/>
  <c r="C15" i="46" s="1"/>
  <c r="KG187" i="54"/>
  <c r="R22" i="52" s="1"/>
  <c r="T23" i="51" s="1"/>
  <c r="T57" i="51" s="1"/>
  <c r="R19" i="50" s="1"/>
  <c r="R51" i="50" s="1"/>
  <c r="R21" i="46" s="1"/>
  <c r="R206" i="46" s="1"/>
  <c r="KI94" i="54"/>
  <c r="KI187" i="54"/>
  <c r="C24" i="52" s="1"/>
  <c r="E25" i="51" s="1"/>
  <c r="E59" i="51" s="1"/>
  <c r="C21" i="50" s="1"/>
  <c r="C53" i="50" s="1"/>
  <c r="C23" i="46" s="1"/>
  <c r="BZ94" i="54"/>
  <c r="BZ187" i="54"/>
  <c r="G16" i="52" s="1"/>
  <c r="I17" i="51" s="1"/>
  <c r="I51" i="51" s="1"/>
  <c r="G13" i="50" s="1"/>
  <c r="G45" i="50" s="1"/>
  <c r="G15" i="46" s="1"/>
  <c r="KK94" i="54"/>
  <c r="KK187" i="54"/>
  <c r="E24" i="52" s="1"/>
  <c r="G25" i="51" s="1"/>
  <c r="G59" i="51" s="1"/>
  <c r="E21" i="50" s="1"/>
  <c r="E53" i="50" s="1"/>
  <c r="E23" i="46" s="1"/>
  <c r="KW94" i="54"/>
  <c r="KW187" i="54"/>
  <c r="Q24" i="52" s="1"/>
  <c r="S25" i="51" s="1"/>
  <c r="S59" i="51" s="1"/>
  <c r="Q21" i="50" s="1"/>
  <c r="Q53" i="50" s="1"/>
  <c r="Q23" i="46" s="1"/>
  <c r="Q208" i="46" s="1"/>
  <c r="KF187" i="54"/>
  <c r="Q22" i="52" s="1"/>
  <c r="S23" i="51" s="1"/>
  <c r="S57" i="51" s="1"/>
  <c r="Q19" i="50" s="1"/>
  <c r="Q51" i="50" s="1"/>
  <c r="Q21" i="46" s="1"/>
  <c r="Q206" i="46" s="1"/>
  <c r="CC94" i="54"/>
  <c r="CC187" i="54"/>
  <c r="J16" i="52" s="1"/>
  <c r="L17" i="51" s="1"/>
  <c r="L51" i="51" s="1"/>
  <c r="J13" i="50" s="1"/>
  <c r="J45" i="50" s="1"/>
  <c r="J15" i="46" s="1"/>
  <c r="J200" i="46" s="1"/>
  <c r="KX94" i="54"/>
  <c r="KX187" i="54"/>
  <c r="R24" i="52" s="1"/>
  <c r="T25" i="51" s="1"/>
  <c r="T59" i="51" s="1"/>
  <c r="R21" i="50" s="1"/>
  <c r="R53" i="50" s="1"/>
  <c r="R23" i="46" s="1"/>
  <c r="R208" i="46" s="1"/>
  <c r="CD94" i="54"/>
  <c r="CD187" i="54"/>
  <c r="K16" i="52" s="1"/>
  <c r="M17" i="51" s="1"/>
  <c r="M51" i="51" s="1"/>
  <c r="K13" i="50" s="1"/>
  <c r="K45" i="50" s="1"/>
  <c r="K15" i="46" s="1"/>
  <c r="K200" i="46" s="1"/>
  <c r="KN94" i="54"/>
  <c r="KN187" i="54"/>
  <c r="H24" i="52" s="1"/>
  <c r="J25" i="51" s="1"/>
  <c r="J59" i="51" s="1"/>
  <c r="H21" i="50" s="1"/>
  <c r="H53" i="50" s="1"/>
  <c r="H23" i="46" s="1"/>
  <c r="H208" i="46" s="1"/>
  <c r="AT94" i="54"/>
  <c r="AT187" i="54"/>
  <c r="I11" i="52" s="1"/>
  <c r="K12" i="51" s="1"/>
  <c r="K46" i="51" s="1"/>
  <c r="I9" i="50" s="1"/>
  <c r="I41" i="50" s="1"/>
  <c r="I11" i="46" s="1"/>
  <c r="I196" i="46" s="1"/>
  <c r="AW94" i="54"/>
  <c r="AW187" i="54"/>
  <c r="L11" i="52" s="1"/>
  <c r="N12" i="51" s="1"/>
  <c r="N46" i="51" s="1"/>
  <c r="L9" i="50" s="1"/>
  <c r="L41" i="50" s="1"/>
  <c r="L11" i="46" s="1"/>
  <c r="L196" i="46" s="1"/>
  <c r="KT94" i="54"/>
  <c r="KT187" i="54"/>
  <c r="N24" i="52" s="1"/>
  <c r="P25" i="51" s="1"/>
  <c r="P59" i="51" s="1"/>
  <c r="N21" i="50" s="1"/>
  <c r="N53" i="50" s="1"/>
  <c r="N23" i="46" s="1"/>
  <c r="N208" i="46" s="1"/>
  <c r="JY94" i="54"/>
  <c r="JY187" i="54"/>
  <c r="J22" i="52" s="1"/>
  <c r="L23" i="51" s="1"/>
  <c r="L57" i="51" s="1"/>
  <c r="J19" i="50" s="1"/>
  <c r="J51" i="50" s="1"/>
  <c r="J21" i="46" s="1"/>
  <c r="J206" i="46" s="1"/>
  <c r="JW187" i="54"/>
  <c r="H22" i="52" s="1"/>
  <c r="J23" i="51" s="1"/>
  <c r="J57" i="51" s="1"/>
  <c r="H19" i="50" s="1"/>
  <c r="H51" i="50" s="1"/>
  <c r="H21" i="46" s="1"/>
  <c r="H206" i="46" s="1"/>
  <c r="TB178" i="54"/>
  <c r="TB187" i="54" s="1"/>
  <c r="I32" i="52" s="1"/>
  <c r="K33" i="51" s="1"/>
  <c r="K67" i="51" s="1"/>
  <c r="I29" i="50" s="1"/>
  <c r="I61" i="50" s="1"/>
  <c r="I31" i="46" s="1"/>
  <c r="KA94" i="54"/>
  <c r="KA187" i="54"/>
  <c r="L22" i="52" s="1"/>
  <c r="N23" i="51" s="1"/>
  <c r="N57" i="51" s="1"/>
  <c r="L19" i="50" s="1"/>
  <c r="L51" i="50" s="1"/>
  <c r="L21" i="46" s="1"/>
  <c r="L206" i="46" s="1"/>
  <c r="JX94" i="54"/>
  <c r="JX187" i="54"/>
  <c r="I22" i="52" s="1"/>
  <c r="K23" i="51" s="1"/>
  <c r="K57" i="51" s="1"/>
  <c r="I19" i="50" s="1"/>
  <c r="I51" i="50" s="1"/>
  <c r="I21" i="46" s="1"/>
  <c r="I206" i="46" s="1"/>
  <c r="UK146" i="54"/>
  <c r="UK187" i="54"/>
  <c r="J34" i="52" s="1"/>
  <c r="L35" i="51" s="1"/>
  <c r="L69" i="51" s="1"/>
  <c r="J31" i="50" s="1"/>
  <c r="J63" i="50" s="1"/>
  <c r="J33" i="46" s="1"/>
  <c r="J218" i="46" s="1"/>
  <c r="UM146" i="54"/>
  <c r="UM187" i="54"/>
  <c r="L34" i="52" s="1"/>
  <c r="N35" i="51" s="1"/>
  <c r="N69" i="51" s="1"/>
  <c r="L31" i="50" s="1"/>
  <c r="L63" i="50" s="1"/>
  <c r="L33" i="46" s="1"/>
  <c r="L218" i="46" s="1"/>
  <c r="JH154" i="54"/>
  <c r="JH187" i="54"/>
  <c r="JK154" i="54"/>
  <c r="JK187" i="54"/>
  <c r="JF154" i="54"/>
  <c r="JF187" i="54"/>
  <c r="SZ180" i="54"/>
  <c r="SZ187" i="54"/>
  <c r="G32" i="52" s="1"/>
  <c r="I33" i="51" s="1"/>
  <c r="I67" i="51" s="1"/>
  <c r="G29" i="50" s="1"/>
  <c r="G61" i="50" s="1"/>
  <c r="G31" i="46" s="1"/>
  <c r="G154" i="46" s="1"/>
  <c r="JB154" i="54"/>
  <c r="JB187" i="54"/>
  <c r="JQ154" i="54"/>
  <c r="JQ187" i="54"/>
  <c r="UN144" i="54"/>
  <c r="UN134" i="54"/>
  <c r="UE146" i="54"/>
  <c r="UE187" i="54"/>
  <c r="D34" i="52" s="1"/>
  <c r="F35" i="51" s="1"/>
  <c r="F69" i="51" s="1"/>
  <c r="D31" i="50" s="1"/>
  <c r="D63" i="50" s="1"/>
  <c r="D33" i="46" s="1"/>
  <c r="ON154" i="54"/>
  <c r="ON187" i="54"/>
  <c r="J28" i="52" s="1"/>
  <c r="L29" i="51" s="1"/>
  <c r="L63" i="51" s="1"/>
  <c r="J25" i="50" s="1"/>
  <c r="J57" i="50" s="1"/>
  <c r="J27" i="46" s="1"/>
  <c r="J212" i="46" s="1"/>
  <c r="OQ154" i="54"/>
  <c r="OQ187" i="54"/>
  <c r="M28" i="52" s="1"/>
  <c r="O29" i="51" s="1"/>
  <c r="O63" i="51" s="1"/>
  <c r="M25" i="50" s="1"/>
  <c r="M57" i="50" s="1"/>
  <c r="M27" i="46" s="1"/>
  <c r="M212" i="46" s="1"/>
  <c r="NF160" i="54"/>
  <c r="M156" i="54"/>
  <c r="M160" i="54" s="1"/>
  <c r="M187" i="54" s="1"/>
  <c r="J6" i="52" s="1"/>
  <c r="L7" i="51" s="1"/>
  <c r="L41" i="51" s="1"/>
  <c r="J6" i="50" s="1"/>
  <c r="J38" i="50" s="1"/>
  <c r="J8" i="46" s="1"/>
  <c r="J193" i="46" s="1"/>
  <c r="OL154" i="54"/>
  <c r="OL187" i="54"/>
  <c r="H28" i="52" s="1"/>
  <c r="J29" i="51" s="1"/>
  <c r="J63" i="51" s="1"/>
  <c r="H25" i="50" s="1"/>
  <c r="H57" i="50" s="1"/>
  <c r="H27" i="46" s="1"/>
  <c r="H212" i="46" s="1"/>
  <c r="JA154" i="54"/>
  <c r="JA187" i="54"/>
  <c r="NI160" i="54"/>
  <c r="P156" i="54"/>
  <c r="P160" i="54" s="1"/>
  <c r="OH154" i="54"/>
  <c r="OH187" i="54"/>
  <c r="D28" i="52" s="1"/>
  <c r="F29" i="51" s="1"/>
  <c r="F63" i="51" s="1"/>
  <c r="D25" i="50" s="1"/>
  <c r="D57" i="50" s="1"/>
  <c r="D27" i="46" s="1"/>
  <c r="UI146" i="54"/>
  <c r="UI187" i="54"/>
  <c r="H34" i="52" s="1"/>
  <c r="J35" i="51" s="1"/>
  <c r="J69" i="51" s="1"/>
  <c r="H31" i="50" s="1"/>
  <c r="H63" i="50" s="1"/>
  <c r="H33" i="46" s="1"/>
  <c r="H218" i="46" s="1"/>
  <c r="OW187" i="54"/>
  <c r="S28" i="52" s="1"/>
  <c r="U29" i="51" s="1"/>
  <c r="U63" i="51" s="1"/>
  <c r="S25" i="50" s="1"/>
  <c r="S57" i="50" s="1"/>
  <c r="S27" i="46" s="1"/>
  <c r="S212" i="46" s="1"/>
  <c r="OW154" i="54"/>
  <c r="NM160" i="54"/>
  <c r="NM187" i="54" s="1"/>
  <c r="Q31" i="52" s="1"/>
  <c r="S32" i="51" s="1"/>
  <c r="S66" i="51" s="1"/>
  <c r="Q28" i="50" s="1"/>
  <c r="Q60" i="50" s="1"/>
  <c r="Q30" i="46" s="1"/>
  <c r="Q215" i="46" s="1"/>
  <c r="T156" i="54"/>
  <c r="T160" i="54" s="1"/>
  <c r="T187" i="54" s="1"/>
  <c r="Q6" i="52" s="1"/>
  <c r="S7" i="51" s="1"/>
  <c r="S41" i="51" s="1"/>
  <c r="Q6" i="50" s="1"/>
  <c r="Q38" i="50" s="1"/>
  <c r="Q8" i="46" s="1"/>
  <c r="Q193" i="46" s="1"/>
  <c r="TA180" i="54"/>
  <c r="TA187" i="54"/>
  <c r="H32" i="52" s="1"/>
  <c r="J33" i="51" s="1"/>
  <c r="J67" i="51" s="1"/>
  <c r="H29" i="50" s="1"/>
  <c r="H61" i="50" s="1"/>
  <c r="H31" i="46" s="1"/>
  <c r="JC187" i="54"/>
  <c r="JC154" i="54"/>
  <c r="JE154" i="54"/>
  <c r="JE187" i="54"/>
  <c r="NA160" i="54"/>
  <c r="H156" i="54"/>
  <c r="H160" i="54" s="1"/>
  <c r="H187" i="54" s="1"/>
  <c r="E6" i="52" s="1"/>
  <c r="G7" i="51" s="1"/>
  <c r="G41" i="51" s="1"/>
  <c r="E6" i="50" s="1"/>
  <c r="E38" i="50" s="1"/>
  <c r="E8" i="46" s="1"/>
  <c r="OG187" i="54"/>
  <c r="C28" i="52" s="1"/>
  <c r="E29" i="51" s="1"/>
  <c r="E63" i="51" s="1"/>
  <c r="C25" i="50" s="1"/>
  <c r="C57" i="50" s="1"/>
  <c r="C27" i="46" s="1"/>
  <c r="OG154" i="54"/>
  <c r="TC178" i="54"/>
  <c r="TJ178" i="54"/>
  <c r="NJ160" i="54"/>
  <c r="NJ187" i="54" s="1"/>
  <c r="N31" i="52" s="1"/>
  <c r="P32" i="51" s="1"/>
  <c r="P66" i="51" s="1"/>
  <c r="N28" i="50" s="1"/>
  <c r="N60" i="50" s="1"/>
  <c r="N30" i="46" s="1"/>
  <c r="N215" i="46" s="1"/>
  <c r="Q156" i="54"/>
  <c r="Q160" i="54" s="1"/>
  <c r="Q187" i="54" s="1"/>
  <c r="N6" i="52" s="1"/>
  <c r="P7" i="51" s="1"/>
  <c r="P41" i="51" s="1"/>
  <c r="N6" i="50" s="1"/>
  <c r="N38" i="50" s="1"/>
  <c r="N8" i="46" s="1"/>
  <c r="N193" i="46" s="1"/>
  <c r="NB160" i="54"/>
  <c r="NB187" i="54" s="1"/>
  <c r="F31" i="52" s="1"/>
  <c r="H32" i="51" s="1"/>
  <c r="H66" i="51" s="1"/>
  <c r="F28" i="50" s="1"/>
  <c r="F60" i="50" s="1"/>
  <c r="F30" i="46" s="1"/>
  <c r="I156" i="54"/>
  <c r="I160" i="54" s="1"/>
  <c r="I187" i="54" s="1"/>
  <c r="F6" i="52" s="1"/>
  <c r="H7" i="51" s="1"/>
  <c r="H41" i="51" s="1"/>
  <c r="F6" i="50" s="1"/>
  <c r="F38" i="50" s="1"/>
  <c r="F8" i="46" s="1"/>
  <c r="OI154" i="54"/>
  <c r="OI187" i="54"/>
  <c r="E28" i="52" s="1"/>
  <c r="G29" i="51" s="1"/>
  <c r="G63" i="51" s="1"/>
  <c r="E25" i="50" s="1"/>
  <c r="E57" i="50" s="1"/>
  <c r="E27" i="46" s="1"/>
  <c r="OK187" i="54"/>
  <c r="G28" i="52" s="1"/>
  <c r="I29" i="51" s="1"/>
  <c r="I63" i="51" s="1"/>
  <c r="G25" i="50" s="1"/>
  <c r="G57" i="50" s="1"/>
  <c r="G27" i="46" s="1"/>
  <c r="OK154" i="54"/>
  <c r="NC160" i="54"/>
  <c r="NC187" i="54" s="1"/>
  <c r="G31" i="52" s="1"/>
  <c r="I32" i="51" s="1"/>
  <c r="I66" i="51" s="1"/>
  <c r="G28" i="50" s="1"/>
  <c r="G60" i="50" s="1"/>
  <c r="G30" i="46" s="1"/>
  <c r="J156" i="54"/>
  <c r="J160" i="54" s="1"/>
  <c r="JP187" i="54"/>
  <c r="JP154" i="54"/>
  <c r="SX180" i="54"/>
  <c r="SX187" i="54"/>
  <c r="E32" i="52" s="1"/>
  <c r="G33" i="51" s="1"/>
  <c r="G67" i="51" s="1"/>
  <c r="E29" i="50" s="1"/>
  <c r="E61" i="50" s="1"/>
  <c r="E31" i="46" s="1"/>
  <c r="E154" i="46" s="1"/>
  <c r="NL160" i="54"/>
  <c r="S156" i="54"/>
  <c r="S160" i="54" s="1"/>
  <c r="TE180" i="54"/>
  <c r="TE187" i="54"/>
  <c r="L32" i="52" s="1"/>
  <c r="N33" i="51" s="1"/>
  <c r="N67" i="51" s="1"/>
  <c r="L29" i="50" s="1"/>
  <c r="L61" i="50" s="1"/>
  <c r="L31" i="46" s="1"/>
  <c r="NO160" i="54"/>
  <c r="NO187" i="54" s="1"/>
  <c r="S31" i="52" s="1"/>
  <c r="U32" i="51" s="1"/>
  <c r="U66" i="51" s="1"/>
  <c r="S28" i="50" s="1"/>
  <c r="S60" i="50" s="1"/>
  <c r="S30" i="46" s="1"/>
  <c r="S215" i="46" s="1"/>
  <c r="V156" i="54"/>
  <c r="V160" i="54" s="1"/>
  <c r="V187" i="54" s="1"/>
  <c r="S6" i="52" s="1"/>
  <c r="U7" i="51" s="1"/>
  <c r="U41" i="51" s="1"/>
  <c r="S6" i="50" s="1"/>
  <c r="S38" i="50" s="1"/>
  <c r="S8" i="46" s="1"/>
  <c r="S193" i="46" s="1"/>
  <c r="JM154" i="54"/>
  <c r="JM187" i="54"/>
  <c r="OV154" i="54"/>
  <c r="OV187" i="54"/>
  <c r="R28" i="52" s="1"/>
  <c r="T29" i="51" s="1"/>
  <c r="T63" i="51" s="1"/>
  <c r="R25" i="50" s="1"/>
  <c r="R57" i="50" s="1"/>
  <c r="R27" i="46" s="1"/>
  <c r="R212" i="46" s="1"/>
  <c r="NN160" i="54"/>
  <c r="NN187" i="54" s="1"/>
  <c r="R31" i="52" s="1"/>
  <c r="T32" i="51" s="1"/>
  <c r="T66" i="51" s="1"/>
  <c r="R28" i="50" s="1"/>
  <c r="R60" i="50" s="1"/>
  <c r="R30" i="46" s="1"/>
  <c r="R215" i="46" s="1"/>
  <c r="U156" i="54"/>
  <c r="U160" i="54" s="1"/>
  <c r="U187" i="54" s="1"/>
  <c r="R6" i="52" s="1"/>
  <c r="T7" i="51" s="1"/>
  <c r="T41" i="51" s="1"/>
  <c r="R6" i="50" s="1"/>
  <c r="R38" i="50" s="1"/>
  <c r="R8" i="46" s="1"/>
  <c r="R193" i="46" s="1"/>
  <c r="TI180" i="54"/>
  <c r="TI187" i="54"/>
  <c r="P32" i="52" s="1"/>
  <c r="R33" i="51" s="1"/>
  <c r="R67" i="51" s="1"/>
  <c r="P29" i="50" s="1"/>
  <c r="P61" i="50" s="1"/>
  <c r="P31" i="46" s="1"/>
  <c r="JJ154" i="54"/>
  <c r="JJ187" i="54"/>
  <c r="UT144" i="54"/>
  <c r="UT134" i="54"/>
  <c r="TK178" i="54"/>
  <c r="NH160" i="54"/>
  <c r="O156" i="54"/>
  <c r="O160" i="54" s="1"/>
  <c r="O187" i="54" s="1"/>
  <c r="L6" i="52" s="1"/>
  <c r="N7" i="51" s="1"/>
  <c r="N41" i="51" s="1"/>
  <c r="L6" i="50" s="1"/>
  <c r="L38" i="50" s="1"/>
  <c r="L8" i="46" s="1"/>
  <c r="L193" i="46" s="1"/>
  <c r="JL154" i="54"/>
  <c r="JL187" i="54"/>
  <c r="UO144" i="54"/>
  <c r="UO134" i="54"/>
  <c r="NE160" i="54"/>
  <c r="L156" i="54"/>
  <c r="L160" i="54" s="1"/>
  <c r="L187" i="54" s="1"/>
  <c r="I6" i="52" s="1"/>
  <c r="K7" i="51" s="1"/>
  <c r="K41" i="51" s="1"/>
  <c r="I6" i="50" s="1"/>
  <c r="I38" i="50" s="1"/>
  <c r="I8" i="46" s="1"/>
  <c r="I193" i="46" s="1"/>
  <c r="OS187" i="54"/>
  <c r="O28" i="52" s="1"/>
  <c r="Q29" i="51" s="1"/>
  <c r="Q63" i="51" s="1"/>
  <c r="O25" i="50" s="1"/>
  <c r="O57" i="50" s="1"/>
  <c r="O27" i="46" s="1"/>
  <c r="O212" i="46" s="1"/>
  <c r="OS154" i="54"/>
  <c r="UP144" i="54"/>
  <c r="UP134" i="54"/>
  <c r="JG154" i="54"/>
  <c r="JG187" i="54"/>
  <c r="UD144" i="54"/>
  <c r="UD134" i="54"/>
  <c r="TL180" i="54"/>
  <c r="TL187" i="54"/>
  <c r="S32" i="52" s="1"/>
  <c r="U33" i="51" s="1"/>
  <c r="U67" i="51" s="1"/>
  <c r="S29" i="50" s="1"/>
  <c r="S61" i="50" s="1"/>
  <c r="S31" i="46" s="1"/>
  <c r="OJ154" i="54"/>
  <c r="OJ187" i="54"/>
  <c r="F28" i="52" s="1"/>
  <c r="H29" i="51" s="1"/>
  <c r="H63" i="51" s="1"/>
  <c r="F25" i="50" s="1"/>
  <c r="F57" i="50" s="1"/>
  <c r="F27" i="46" s="1"/>
  <c r="OO187" i="54"/>
  <c r="K28" i="52" s="1"/>
  <c r="M29" i="51" s="1"/>
  <c r="M63" i="51" s="1"/>
  <c r="K25" i="50" s="1"/>
  <c r="K57" i="50" s="1"/>
  <c r="K27" i="46" s="1"/>
  <c r="K212" i="46" s="1"/>
  <c r="OO154" i="54"/>
  <c r="MZ160" i="54"/>
  <c r="MZ187" i="54" s="1"/>
  <c r="D31" i="52" s="1"/>
  <c r="F32" i="51" s="1"/>
  <c r="F66" i="51" s="1"/>
  <c r="D28" i="50" s="1"/>
  <c r="D60" i="50" s="1"/>
  <c r="D30" i="46" s="1"/>
  <c r="G156" i="54"/>
  <c r="G160" i="54" s="1"/>
  <c r="NK160" i="54"/>
  <c r="NK187" i="54" s="1"/>
  <c r="O31" i="52" s="1"/>
  <c r="Q32" i="51" s="1"/>
  <c r="Q66" i="51" s="1"/>
  <c r="O28" i="50" s="1"/>
  <c r="O60" i="50" s="1"/>
  <c r="O30" i="46" s="1"/>
  <c r="O215" i="46" s="1"/>
  <c r="R156" i="54"/>
  <c r="R160" i="54" s="1"/>
  <c r="OP154" i="54"/>
  <c r="OP187" i="54"/>
  <c r="L28" i="52" s="1"/>
  <c r="N29" i="51" s="1"/>
  <c r="N63" i="51" s="1"/>
  <c r="L25" i="50" s="1"/>
  <c r="L57" i="50" s="1"/>
  <c r="L27" i="46" s="1"/>
  <c r="L212" i="46" s="1"/>
  <c r="JD154" i="54"/>
  <c r="JD187" i="54"/>
  <c r="NG160" i="54"/>
  <c r="NG187" i="54" s="1"/>
  <c r="K31" i="52" s="1"/>
  <c r="M32" i="51" s="1"/>
  <c r="M66" i="51" s="1"/>
  <c r="K28" i="50" s="1"/>
  <c r="K60" i="50" s="1"/>
  <c r="K30" i="46" s="1"/>
  <c r="K215" i="46" s="1"/>
  <c r="N156" i="54"/>
  <c r="N160" i="54" s="1"/>
  <c r="JI187" i="54"/>
  <c r="JI154" i="54"/>
  <c r="OR154" i="54"/>
  <c r="OR187" i="54"/>
  <c r="N28" i="52" s="1"/>
  <c r="P29" i="51" s="1"/>
  <c r="P63" i="51" s="1"/>
  <c r="N25" i="50" s="1"/>
  <c r="N57" i="50" s="1"/>
  <c r="N27" i="46" s="1"/>
  <c r="N212" i="46" s="1"/>
  <c r="ND160" i="54"/>
  <c r="ND187" i="54" s="1"/>
  <c r="H31" i="52" s="1"/>
  <c r="J32" i="51" s="1"/>
  <c r="J66" i="51" s="1"/>
  <c r="H28" i="50" s="1"/>
  <c r="H60" i="50" s="1"/>
  <c r="H30" i="46" s="1"/>
  <c r="H215" i="46" s="1"/>
  <c r="K156" i="54"/>
  <c r="K160" i="54" s="1"/>
  <c r="K187" i="54" s="1"/>
  <c r="H6" i="52" s="1"/>
  <c r="J7" i="51" s="1"/>
  <c r="J41" i="51" s="1"/>
  <c r="H6" i="50" s="1"/>
  <c r="H38" i="50" s="1"/>
  <c r="H8" i="46" s="1"/>
  <c r="H193" i="46" s="1"/>
  <c r="UH187" i="54"/>
  <c r="G34" i="52" s="1"/>
  <c r="I35" i="51" s="1"/>
  <c r="I69" i="51" s="1"/>
  <c r="G31" i="50" s="1"/>
  <c r="G63" i="50" s="1"/>
  <c r="G33" i="46" s="1"/>
  <c r="UH146" i="54"/>
  <c r="UG146" i="54"/>
  <c r="UG187" i="54"/>
  <c r="F34" i="52" s="1"/>
  <c r="H35" i="51" s="1"/>
  <c r="H69" i="51" s="1"/>
  <c r="F31" i="50" s="1"/>
  <c r="F63" i="50" s="1"/>
  <c r="F33" i="46" s="1"/>
  <c r="L221" i="81"/>
  <c r="L237" i="81" s="1"/>
  <c r="US134" i="54"/>
  <c r="US144" i="54"/>
  <c r="SV178" i="54"/>
  <c r="OM154" i="54"/>
  <c r="OM187" i="54"/>
  <c r="I28" i="52" s="1"/>
  <c r="K29" i="51" s="1"/>
  <c r="K63" i="51" s="1"/>
  <c r="I25" i="50" s="1"/>
  <c r="I57" i="50" s="1"/>
  <c r="I27" i="46" s="1"/>
  <c r="I212" i="46" s="1"/>
  <c r="C84" i="42"/>
  <c r="C83" i="42" s="1"/>
  <c r="C93" i="42" s="1"/>
  <c r="C96" i="42" s="1"/>
  <c r="AR49" i="41"/>
  <c r="AA49" i="41" s="1"/>
  <c r="AC28" i="42"/>
  <c r="F6" i="42"/>
  <c r="G48" i="42"/>
  <c r="G47" i="42" s="1"/>
  <c r="AE29" i="41"/>
  <c r="D90" i="42"/>
  <c r="D89" i="42" s="1"/>
  <c r="AB52" i="41"/>
  <c r="D92" i="42"/>
  <c r="D91" i="42" s="1"/>
  <c r="AB53" i="41"/>
  <c r="D80" i="42"/>
  <c r="D79" i="42" s="1"/>
  <c r="AB47" i="41"/>
  <c r="I15" i="42"/>
  <c r="I14" i="42" s="1"/>
  <c r="AG12" i="41"/>
  <c r="D82" i="42"/>
  <c r="D81" i="42" s="1"/>
  <c r="G73" i="42"/>
  <c r="G72" i="42" s="1"/>
  <c r="AE43" i="41"/>
  <c r="F69" i="42"/>
  <c r="F68" i="42" s="1"/>
  <c r="AD41" i="41"/>
  <c r="H32" i="42"/>
  <c r="H31" i="42" s="1"/>
  <c r="AF21" i="41"/>
  <c r="I13" i="42"/>
  <c r="I12" i="42" s="1"/>
  <c r="AG11" i="41"/>
  <c r="E82" i="42"/>
  <c r="E81" i="42" s="1"/>
  <c r="AC48" i="41"/>
  <c r="G52" i="42"/>
  <c r="G51" i="42" s="1"/>
  <c r="AE31" i="41"/>
  <c r="AH13" i="41"/>
  <c r="J17" i="42"/>
  <c r="J16" i="42" s="1"/>
  <c r="AC35" i="41"/>
  <c r="E59" i="42"/>
  <c r="E58" i="42" s="1"/>
  <c r="AF19" i="41"/>
  <c r="H28" i="42"/>
  <c r="H27" i="42" s="1"/>
  <c r="AE14" i="41"/>
  <c r="G19" i="42"/>
  <c r="G18" i="42" s="1"/>
  <c r="H71" i="42"/>
  <c r="H70" i="42" s="1"/>
  <c r="AF42" i="41"/>
  <c r="UR187" i="54" l="1"/>
  <c r="Q34" i="52" s="1"/>
  <c r="S35" i="51" s="1"/>
  <c r="S69" i="51" s="1"/>
  <c r="Q31" i="50" s="1"/>
  <c r="Q63" i="50" s="1"/>
  <c r="Q33" i="46" s="1"/>
  <c r="Q218" i="46" s="1"/>
  <c r="UL187" i="54"/>
  <c r="K34" i="52" s="1"/>
  <c r="M35" i="51" s="1"/>
  <c r="M69" i="51" s="1"/>
  <c r="K31" i="50" s="1"/>
  <c r="K63" i="50" s="1"/>
  <c r="K33" i="46" s="1"/>
  <c r="K218" i="46" s="1"/>
  <c r="NA187" i="54"/>
  <c r="E31" i="52" s="1"/>
  <c r="G32" i="51" s="1"/>
  <c r="G66" i="51" s="1"/>
  <c r="E28" i="50" s="1"/>
  <c r="E60" i="50" s="1"/>
  <c r="E30" i="46" s="1"/>
  <c r="NS187" i="54"/>
  <c r="F30" i="52" s="1"/>
  <c r="H31" i="51" s="1"/>
  <c r="H65" i="51" s="1"/>
  <c r="F27" i="50" s="1"/>
  <c r="F59" i="50" s="1"/>
  <c r="F29" i="46" s="1"/>
  <c r="F214" i="46" s="1"/>
  <c r="F275" i="46" s="1"/>
  <c r="AX187" i="54"/>
  <c r="M11" i="52" s="1"/>
  <c r="O12" i="51" s="1"/>
  <c r="O46" i="51" s="1"/>
  <c r="M9" i="50" s="1"/>
  <c r="M41" i="50" s="1"/>
  <c r="M11" i="46" s="1"/>
  <c r="M196" i="46" s="1"/>
  <c r="AN187" i="54"/>
  <c r="C11" i="52" s="1"/>
  <c r="E12" i="51" s="1"/>
  <c r="E46" i="51" s="1"/>
  <c r="C9" i="50" s="1"/>
  <c r="C41" i="50" s="1"/>
  <c r="C11" i="46" s="1"/>
  <c r="JR94" i="54"/>
  <c r="AV94" i="54"/>
  <c r="JS94" i="54"/>
  <c r="J187" i="54"/>
  <c r="G6" i="52" s="1"/>
  <c r="I7" i="51" s="1"/>
  <c r="I41" i="51" s="1"/>
  <c r="G6" i="50" s="1"/>
  <c r="G38" i="50" s="1"/>
  <c r="G8" i="46" s="1"/>
  <c r="G131" i="46" s="1"/>
  <c r="JV94" i="54"/>
  <c r="G145" i="46"/>
  <c r="UQ146" i="54"/>
  <c r="N187" i="54"/>
  <c r="K6" i="52" s="1"/>
  <c r="M7" i="51" s="1"/>
  <c r="M41" i="51" s="1"/>
  <c r="K6" i="50" s="1"/>
  <c r="K38" i="50" s="1"/>
  <c r="K8" i="46" s="1"/>
  <c r="K193" i="46" s="1"/>
  <c r="G187" i="54"/>
  <c r="D6" i="52" s="1"/>
  <c r="F7" i="51" s="1"/>
  <c r="F41" i="51" s="1"/>
  <c r="D6" i="50" s="1"/>
  <c r="D38" i="50" s="1"/>
  <c r="D8" i="46" s="1"/>
  <c r="D193" i="46" s="1"/>
  <c r="BA187" i="54"/>
  <c r="P11" i="52" s="1"/>
  <c r="R12" i="51" s="1"/>
  <c r="R46" i="51" s="1"/>
  <c r="P9" i="50" s="1"/>
  <c r="P41" i="50" s="1"/>
  <c r="P11" i="46" s="1"/>
  <c r="P196" i="46" s="1"/>
  <c r="P257" i="46" s="1"/>
  <c r="S187" i="54"/>
  <c r="P6" i="52" s="1"/>
  <c r="R7" i="51" s="1"/>
  <c r="R41" i="51" s="1"/>
  <c r="P6" i="50" s="1"/>
  <c r="P38" i="50" s="1"/>
  <c r="P8" i="46" s="1"/>
  <c r="P193" i="46" s="1"/>
  <c r="KD187" i="54"/>
  <c r="O22" i="52" s="1"/>
  <c r="Q23" i="51" s="1"/>
  <c r="Q57" i="51" s="1"/>
  <c r="O19" i="50" s="1"/>
  <c r="O51" i="50" s="1"/>
  <c r="O21" i="46" s="1"/>
  <c r="O206" i="46" s="1"/>
  <c r="O267" i="46" s="1"/>
  <c r="CF187" i="54"/>
  <c r="M16" i="52" s="1"/>
  <c r="O17" i="51" s="1"/>
  <c r="O51" i="51" s="1"/>
  <c r="M13" i="50" s="1"/>
  <c r="M45" i="50" s="1"/>
  <c r="M15" i="46" s="1"/>
  <c r="M200" i="46" s="1"/>
  <c r="M261" i="46" s="1"/>
  <c r="E63" i="90"/>
  <c r="AA63" i="90" s="1"/>
  <c r="NH187" i="54"/>
  <c r="L31" i="52" s="1"/>
  <c r="N32" i="51" s="1"/>
  <c r="N66" i="51" s="1"/>
  <c r="L28" i="50" s="1"/>
  <c r="L60" i="50" s="1"/>
  <c r="L30" i="46" s="1"/>
  <c r="L215" i="46" s="1"/>
  <c r="F187" i="54"/>
  <c r="C6" i="52" s="1"/>
  <c r="E7" i="51" s="1"/>
  <c r="E41" i="51" s="1"/>
  <c r="C6" i="50" s="1"/>
  <c r="C38" i="50" s="1"/>
  <c r="C8" i="46" s="1"/>
  <c r="C131" i="46" s="1"/>
  <c r="KO187" i="54"/>
  <c r="I24" i="52" s="1"/>
  <c r="K25" i="51" s="1"/>
  <c r="K59" i="51" s="1"/>
  <c r="I21" i="50" s="1"/>
  <c r="I53" i="50" s="1"/>
  <c r="I23" i="46" s="1"/>
  <c r="I208" i="46" s="1"/>
  <c r="I269" i="46" s="1"/>
  <c r="NF187" i="54"/>
  <c r="J31" i="52" s="1"/>
  <c r="L32" i="51" s="1"/>
  <c r="L66" i="51" s="1"/>
  <c r="J28" i="50" s="1"/>
  <c r="J60" i="50" s="1"/>
  <c r="J30" i="46" s="1"/>
  <c r="J215" i="46" s="1"/>
  <c r="KM187" i="54"/>
  <c r="G24" i="52" s="1"/>
  <c r="I25" i="51" s="1"/>
  <c r="I59" i="51" s="1"/>
  <c r="G21" i="50" s="1"/>
  <c r="G53" i="50" s="1"/>
  <c r="G23" i="46" s="1"/>
  <c r="G208" i="46" s="1"/>
  <c r="G269" i="46" s="1"/>
  <c r="P187" i="54"/>
  <c r="M6" i="52" s="1"/>
  <c r="O7" i="51" s="1"/>
  <c r="O41" i="51" s="1"/>
  <c r="M6" i="50" s="1"/>
  <c r="M38" i="50" s="1"/>
  <c r="M8" i="46" s="1"/>
  <c r="M193" i="46" s="1"/>
  <c r="CE187" i="54"/>
  <c r="L16" i="52" s="1"/>
  <c r="N17" i="51" s="1"/>
  <c r="N51" i="51" s="1"/>
  <c r="L13" i="50" s="1"/>
  <c r="L45" i="50" s="1"/>
  <c r="L15" i="46" s="1"/>
  <c r="L200" i="46" s="1"/>
  <c r="L261" i="46" s="1"/>
  <c r="NI187" i="54"/>
  <c r="M31" i="52" s="1"/>
  <c r="O32" i="51" s="1"/>
  <c r="O66" i="51" s="1"/>
  <c r="M28" i="50" s="1"/>
  <c r="M60" i="50" s="1"/>
  <c r="M30" i="46" s="1"/>
  <c r="M215" i="46" s="1"/>
  <c r="R187" i="54"/>
  <c r="O6" i="52" s="1"/>
  <c r="Q7" i="51" s="1"/>
  <c r="Q41" i="51" s="1"/>
  <c r="O6" i="50" s="1"/>
  <c r="O38" i="50" s="1"/>
  <c r="O8" i="46" s="1"/>
  <c r="O193" i="46" s="1"/>
  <c r="N15" i="90"/>
  <c r="H168" i="103" s="1"/>
  <c r="NE187" i="54"/>
  <c r="I31" i="52" s="1"/>
  <c r="K32" i="51" s="1"/>
  <c r="K66" i="51" s="1"/>
  <c r="I28" i="50" s="1"/>
  <c r="I60" i="50" s="1"/>
  <c r="I30" i="46" s="1"/>
  <c r="I215" i="46" s="1"/>
  <c r="T15" i="90"/>
  <c r="N168" i="103" s="1"/>
  <c r="K15" i="90"/>
  <c r="E168" i="103" s="1"/>
  <c r="AO94" i="54"/>
  <c r="KU187" i="54"/>
  <c r="O24" i="52" s="1"/>
  <c r="Q25" i="51" s="1"/>
  <c r="Q59" i="51" s="1"/>
  <c r="O21" i="50" s="1"/>
  <c r="O53" i="50" s="1"/>
  <c r="O23" i="46" s="1"/>
  <c r="O208" i="46" s="1"/>
  <c r="O269" i="46" s="1"/>
  <c r="AU187" i="54"/>
  <c r="J11" i="52" s="1"/>
  <c r="L12" i="51" s="1"/>
  <c r="L46" i="51" s="1"/>
  <c r="J9" i="50" s="1"/>
  <c r="J41" i="50" s="1"/>
  <c r="J11" i="46" s="1"/>
  <c r="J196" i="46" s="1"/>
  <c r="J257" i="46" s="1"/>
  <c r="E67" i="90"/>
  <c r="E123" i="90"/>
  <c r="E14" i="90" s="1"/>
  <c r="NL187" i="54"/>
  <c r="P31" i="52" s="1"/>
  <c r="R32" i="51" s="1"/>
  <c r="R66" i="51" s="1"/>
  <c r="P28" i="50" s="1"/>
  <c r="P60" i="50" s="1"/>
  <c r="P30" i="46" s="1"/>
  <c r="P215" i="46" s="1"/>
  <c r="I63" i="90"/>
  <c r="AE63" i="90" s="1"/>
  <c r="AA67" i="90"/>
  <c r="J63" i="90"/>
  <c r="AF63" i="90" s="1"/>
  <c r="AF67" i="90" s="1"/>
  <c r="D63" i="90"/>
  <c r="Z63" i="90" s="1"/>
  <c r="Z67" i="90" s="1"/>
  <c r="P63" i="90"/>
  <c r="AL63" i="90" s="1"/>
  <c r="M63" i="90"/>
  <c r="AI63" i="90" s="1"/>
  <c r="AI67" i="90" s="1"/>
  <c r="G13" i="90"/>
  <c r="U13" i="90" s="1"/>
  <c r="T178" i="90"/>
  <c r="H15" i="90"/>
  <c r="L216" i="46"/>
  <c r="L277" i="46" s="1"/>
  <c r="L154" i="46"/>
  <c r="H216" i="46"/>
  <c r="H277" i="46" s="1"/>
  <c r="H154" i="46"/>
  <c r="I154" i="46"/>
  <c r="I216" i="46"/>
  <c r="I277" i="46" s="1"/>
  <c r="E22" i="46"/>
  <c r="E145" i="46" s="1"/>
  <c r="O31" i="46"/>
  <c r="N15" i="46"/>
  <c r="N200" i="46" s="1"/>
  <c r="N261" i="46" s="1"/>
  <c r="P123" i="90"/>
  <c r="P14" i="90" s="1"/>
  <c r="P15" i="90" s="1"/>
  <c r="J168" i="103" s="1"/>
  <c r="T233" i="90"/>
  <c r="AE49" i="90"/>
  <c r="D216" i="46"/>
  <c r="D277" i="46" s="1"/>
  <c r="K63" i="90"/>
  <c r="N63" i="90"/>
  <c r="L63" i="90"/>
  <c r="L123" i="90"/>
  <c r="L14" i="90" s="1"/>
  <c r="L15" i="90" s="1"/>
  <c r="F168" i="103" s="1"/>
  <c r="F31" i="46"/>
  <c r="F154" i="46" s="1"/>
  <c r="P26" i="46"/>
  <c r="P211" i="46" s="1"/>
  <c r="P272" i="46" s="1"/>
  <c r="M26" i="46"/>
  <c r="M211" i="46" s="1"/>
  <c r="M272" i="46" s="1"/>
  <c r="E26" i="46"/>
  <c r="E211" i="46" s="1"/>
  <c r="E272" i="46" s="1"/>
  <c r="H15" i="46"/>
  <c r="H200" i="46" s="1"/>
  <c r="H261" i="46" s="1"/>
  <c r="T63" i="90"/>
  <c r="G63" i="90"/>
  <c r="G123" i="90"/>
  <c r="H63" i="90"/>
  <c r="AD63" i="90" s="1"/>
  <c r="AD67" i="90" s="1"/>
  <c r="O63" i="90"/>
  <c r="AK63" i="90" s="1"/>
  <c r="AK67" i="90" s="1"/>
  <c r="O123" i="90"/>
  <c r="O14" i="90" s="1"/>
  <c r="O15" i="90" s="1"/>
  <c r="I168" i="103" s="1"/>
  <c r="D123" i="90"/>
  <c r="D14" i="90" s="1"/>
  <c r="E15" i="46"/>
  <c r="E138" i="46" s="1"/>
  <c r="F22" i="46"/>
  <c r="F145" i="46" s="1"/>
  <c r="L26" i="46"/>
  <c r="L211" i="46" s="1"/>
  <c r="L272" i="46" s="1"/>
  <c r="K22" i="46"/>
  <c r="K207" i="46" s="1"/>
  <c r="K268" i="46" s="1"/>
  <c r="E15" i="90"/>
  <c r="J123" i="90"/>
  <c r="J14" i="90" s="1"/>
  <c r="J15" i="90" s="1"/>
  <c r="D168" i="103" s="1"/>
  <c r="M123" i="90"/>
  <c r="M14" i="90" s="1"/>
  <c r="M15" i="90" s="1"/>
  <c r="G168" i="103" s="1"/>
  <c r="P216" i="46"/>
  <c r="P277" i="46" s="1"/>
  <c r="P154" i="46"/>
  <c r="S216" i="46"/>
  <c r="S277" i="46" s="1"/>
  <c r="S154" i="46"/>
  <c r="K216" i="46"/>
  <c r="K277" i="46" s="1"/>
  <c r="K154" i="46"/>
  <c r="E33" i="46"/>
  <c r="E218" i="46" s="1"/>
  <c r="E279" i="46" s="1"/>
  <c r="D22" i="46"/>
  <c r="D207" i="46" s="1"/>
  <c r="D268" i="46" s="1"/>
  <c r="D15" i="46"/>
  <c r="D200" i="46" s="1"/>
  <c r="D261" i="46" s="1"/>
  <c r="E11" i="46"/>
  <c r="E196" i="46" s="1"/>
  <c r="E257" i="46" s="1"/>
  <c r="H22" i="46"/>
  <c r="H207" i="46" s="1"/>
  <c r="H268" i="46" s="1"/>
  <c r="D23" i="46"/>
  <c r="D146" i="46" s="1"/>
  <c r="Q63" i="90"/>
  <c r="AM63" i="90" s="1"/>
  <c r="AM67" i="90" s="1"/>
  <c r="F63" i="90"/>
  <c r="F123" i="90"/>
  <c r="F14" i="90" s="1"/>
  <c r="F15" i="90" s="1"/>
  <c r="Q123" i="90"/>
  <c r="Q14" i="90" s="1"/>
  <c r="Q15" i="90" s="1"/>
  <c r="K168" i="103" s="1"/>
  <c r="I123" i="90"/>
  <c r="I14" i="90" s="1"/>
  <c r="I15" i="90" s="1"/>
  <c r="C168" i="103" s="1"/>
  <c r="R63" i="90"/>
  <c r="AN63" i="90" s="1"/>
  <c r="AN67" i="90" s="1"/>
  <c r="R123" i="90"/>
  <c r="R14" i="90" s="1"/>
  <c r="R15" i="90" s="1"/>
  <c r="L168" i="103" s="1"/>
  <c r="S63" i="90"/>
  <c r="S123" i="90"/>
  <c r="S14" i="90" s="1"/>
  <c r="S15" i="90" s="1"/>
  <c r="M168" i="103" s="1"/>
  <c r="AL67" i="90"/>
  <c r="KV187" i="54"/>
  <c r="P24" i="52" s="1"/>
  <c r="R25" i="51" s="1"/>
  <c r="R59" i="51" s="1"/>
  <c r="P21" i="50" s="1"/>
  <c r="P53" i="50" s="1"/>
  <c r="P23" i="46" s="1"/>
  <c r="P208" i="46" s="1"/>
  <c r="KV94" i="54"/>
  <c r="KS94" i="54"/>
  <c r="KS187" i="54"/>
  <c r="M24" i="52" s="1"/>
  <c r="O25" i="51" s="1"/>
  <c r="O59" i="51" s="1"/>
  <c r="M21" i="50" s="1"/>
  <c r="M53" i="50" s="1"/>
  <c r="M23" i="46" s="1"/>
  <c r="M208" i="46" s="1"/>
  <c r="KP187" i="54"/>
  <c r="J24" i="52" s="1"/>
  <c r="L25" i="51" s="1"/>
  <c r="L59" i="51" s="1"/>
  <c r="J21" i="50" s="1"/>
  <c r="J53" i="50" s="1"/>
  <c r="J23" i="46" s="1"/>
  <c r="J208" i="46" s="1"/>
  <c r="KP94" i="54"/>
  <c r="KR187" i="54"/>
  <c r="L24" i="52" s="1"/>
  <c r="N25" i="51" s="1"/>
  <c r="N59" i="51" s="1"/>
  <c r="L21" i="50" s="1"/>
  <c r="L53" i="50" s="1"/>
  <c r="L23" i="46" s="1"/>
  <c r="L208" i="46" s="1"/>
  <c r="KR94" i="54"/>
  <c r="SD146" i="54"/>
  <c r="RN187" i="54"/>
  <c r="C23" i="52" s="1"/>
  <c r="E24" i="51" s="1"/>
  <c r="E58" i="51" s="1"/>
  <c r="C20" i="50" s="1"/>
  <c r="C52" i="50" s="1"/>
  <c r="S272" i="46"/>
  <c r="AF30" i="41"/>
  <c r="H50" i="42"/>
  <c r="H49" i="42" s="1"/>
  <c r="K36" i="42"/>
  <c r="K35" i="42" s="1"/>
  <c r="AI23" i="41"/>
  <c r="RZ146" i="54"/>
  <c r="RX187" i="54"/>
  <c r="M23" i="52" s="1"/>
  <c r="O24" i="51" s="1"/>
  <c r="O58" i="51" s="1"/>
  <c r="M20" i="50" s="1"/>
  <c r="M52" i="50" s="1"/>
  <c r="M22" i="46" s="1"/>
  <c r="M207" i="46" s="1"/>
  <c r="SC187" i="54"/>
  <c r="R23" i="52" s="1"/>
  <c r="T24" i="51" s="1"/>
  <c r="T58" i="51" s="1"/>
  <c r="R20" i="50" s="1"/>
  <c r="R52" i="50" s="1"/>
  <c r="R22" i="46" s="1"/>
  <c r="R207" i="46" s="1"/>
  <c r="ST187" i="54"/>
  <c r="R27" i="52" s="1"/>
  <c r="T28" i="51" s="1"/>
  <c r="T62" i="51" s="1"/>
  <c r="R24" i="50" s="1"/>
  <c r="R56" i="50" s="1"/>
  <c r="SK187" i="54"/>
  <c r="I27" i="52" s="1"/>
  <c r="K28" i="51" s="1"/>
  <c r="K62" i="51" s="1"/>
  <c r="I24" i="50" s="1"/>
  <c r="I56" i="50" s="1"/>
  <c r="I26" i="46" s="1"/>
  <c r="I211" i="46" s="1"/>
  <c r="SL187" i="54"/>
  <c r="J27" i="52" s="1"/>
  <c r="L28" i="51" s="1"/>
  <c r="L62" i="51" s="1"/>
  <c r="J24" i="50" s="1"/>
  <c r="J56" i="50" s="1"/>
  <c r="SE187" i="54"/>
  <c r="C27" i="52" s="1"/>
  <c r="E28" i="51" s="1"/>
  <c r="E62" i="51" s="1"/>
  <c r="C24" i="50" s="1"/>
  <c r="C56" i="50" s="1"/>
  <c r="RY187" i="54"/>
  <c r="N23" i="52" s="1"/>
  <c r="P24" i="51" s="1"/>
  <c r="P58" i="51" s="1"/>
  <c r="N20" i="50" s="1"/>
  <c r="N52" i="50" s="1"/>
  <c r="O261" i="46"/>
  <c r="TB180" i="54"/>
  <c r="SS187" i="54"/>
  <c r="Q27" i="52" s="1"/>
  <c r="S28" i="51" s="1"/>
  <c r="S62" i="51" s="1"/>
  <c r="Q24" i="50" s="1"/>
  <c r="Q56" i="50" s="1"/>
  <c r="I261" i="46"/>
  <c r="NP187" i="54"/>
  <c r="C30" i="52" s="1"/>
  <c r="E31" i="51" s="1"/>
  <c r="E65" i="51" s="1"/>
  <c r="C27" i="50" s="1"/>
  <c r="C59" i="50" s="1"/>
  <c r="C29" i="46" s="1"/>
  <c r="C214" i="46" s="1"/>
  <c r="C275" i="46" s="1"/>
  <c r="C206" i="46"/>
  <c r="C267" i="46" s="1"/>
  <c r="C144" i="46"/>
  <c r="L280" i="46"/>
  <c r="OE146" i="54"/>
  <c r="OE187" i="54"/>
  <c r="R30" i="52" s="1"/>
  <c r="T31" i="51" s="1"/>
  <c r="T65" i="51" s="1"/>
  <c r="R27" i="50" s="1"/>
  <c r="R59" i="50" s="1"/>
  <c r="R29" i="46" s="1"/>
  <c r="R214" i="46" s="1"/>
  <c r="R275" i="46" s="1"/>
  <c r="O257" i="46"/>
  <c r="I280" i="46"/>
  <c r="K272" i="46"/>
  <c r="H66" i="50"/>
  <c r="H67" i="50" s="1"/>
  <c r="H68" i="50" s="1"/>
  <c r="O273" i="46"/>
  <c r="S273" i="46"/>
  <c r="C196" i="46"/>
  <c r="C257" i="46" s="1"/>
  <c r="C134" i="46"/>
  <c r="D196" i="46"/>
  <c r="D257" i="46" s="1"/>
  <c r="D134" i="46"/>
  <c r="C208" i="46"/>
  <c r="C269" i="46" s="1"/>
  <c r="C146" i="46"/>
  <c r="K257" i="46"/>
  <c r="O280" i="46"/>
  <c r="OD187" i="54"/>
  <c r="Q30" i="52" s="1"/>
  <c r="S31" i="51" s="1"/>
  <c r="S65" i="51" s="1"/>
  <c r="Q27" i="50" s="1"/>
  <c r="Q59" i="50" s="1"/>
  <c r="Q29" i="46" s="1"/>
  <c r="Q214" i="46" s="1"/>
  <c r="Q275" i="46" s="1"/>
  <c r="OD146" i="54"/>
  <c r="E212" i="46"/>
  <c r="E273" i="46" s="1"/>
  <c r="E150" i="46"/>
  <c r="H267" i="46"/>
  <c r="F193" i="46"/>
  <c r="F131" i="46"/>
  <c r="H279" i="46"/>
  <c r="J273" i="46"/>
  <c r="Q279" i="46"/>
  <c r="N269" i="46"/>
  <c r="K261" i="46"/>
  <c r="Q267" i="46"/>
  <c r="F208" i="46"/>
  <c r="F269" i="46" s="1"/>
  <c r="F146" i="46"/>
  <c r="Q257" i="46"/>
  <c r="D206" i="46"/>
  <c r="D267" i="46" s="1"/>
  <c r="D144" i="46"/>
  <c r="G196" i="46"/>
  <c r="G257" i="46" s="1"/>
  <c r="G134" i="46"/>
  <c r="NW146" i="54"/>
  <c r="NW187" i="54"/>
  <c r="J30" i="52" s="1"/>
  <c r="L31" i="51" s="1"/>
  <c r="L65" i="51" s="1"/>
  <c r="J27" i="50" s="1"/>
  <c r="J59" i="50" s="1"/>
  <c r="J29" i="46" s="1"/>
  <c r="J214" i="46" s="1"/>
  <c r="J275" i="46" s="1"/>
  <c r="C219" i="46"/>
  <c r="C280" i="46" s="1"/>
  <c r="C157" i="46"/>
  <c r="M280" i="46"/>
  <c r="R273" i="46"/>
  <c r="H257" i="46"/>
  <c r="N273" i="46"/>
  <c r="P279" i="46"/>
  <c r="S268" i="46"/>
  <c r="K273" i="46"/>
  <c r="O268" i="46"/>
  <c r="F66" i="50"/>
  <c r="F67" i="50" s="1"/>
  <c r="F68" i="50" s="1"/>
  <c r="I267" i="46"/>
  <c r="J267" i="46"/>
  <c r="Q269" i="46"/>
  <c r="R267" i="46"/>
  <c r="N257" i="46"/>
  <c r="H280" i="46"/>
  <c r="K280" i="46"/>
  <c r="C215" i="46"/>
  <c r="C276" i="46" s="1"/>
  <c r="C153" i="46"/>
  <c r="H269" i="46"/>
  <c r="L273" i="46"/>
  <c r="H273" i="46"/>
  <c r="D218" i="46"/>
  <c r="D279" i="46" s="1"/>
  <c r="D156" i="46"/>
  <c r="K279" i="46"/>
  <c r="L257" i="46"/>
  <c r="R269" i="46"/>
  <c r="C200" i="46"/>
  <c r="C261" i="46" s="1"/>
  <c r="C138" i="46"/>
  <c r="M257" i="46"/>
  <c r="S267" i="46"/>
  <c r="D219" i="46"/>
  <c r="D280" i="46" s="1"/>
  <c r="D157" i="46"/>
  <c r="E219" i="46"/>
  <c r="E280" i="46" s="1"/>
  <c r="E157" i="46"/>
  <c r="N280" i="46"/>
  <c r="R280" i="46"/>
  <c r="M273" i="46"/>
  <c r="F206" i="46"/>
  <c r="F267" i="46" s="1"/>
  <c r="F144" i="46"/>
  <c r="F218" i="46"/>
  <c r="F279" i="46" s="1"/>
  <c r="F156" i="46"/>
  <c r="F212" i="46"/>
  <c r="F273" i="46" s="1"/>
  <c r="F150" i="46"/>
  <c r="D212" i="46"/>
  <c r="D273" i="46" s="1"/>
  <c r="D150" i="46"/>
  <c r="I273" i="46"/>
  <c r="C212" i="46"/>
  <c r="C273" i="46" s="1"/>
  <c r="C150" i="46"/>
  <c r="L267" i="46"/>
  <c r="E208" i="46"/>
  <c r="E269" i="46" s="1"/>
  <c r="E146" i="46"/>
  <c r="F196" i="46"/>
  <c r="F257" i="46" s="1"/>
  <c r="F134" i="46"/>
  <c r="S257" i="46"/>
  <c r="G219" i="46"/>
  <c r="G280" i="46" s="1"/>
  <c r="G157" i="46"/>
  <c r="G216" i="46"/>
  <c r="G277" i="46" s="1"/>
  <c r="E193" i="46"/>
  <c r="E131" i="46"/>
  <c r="I257" i="46"/>
  <c r="J261" i="46"/>
  <c r="E206" i="46"/>
  <c r="E267" i="46" s="1"/>
  <c r="E144" i="46"/>
  <c r="P267" i="46"/>
  <c r="G206" i="46"/>
  <c r="G267" i="46" s="1"/>
  <c r="G144" i="46"/>
  <c r="R257" i="46"/>
  <c r="N267" i="46"/>
  <c r="M267" i="46"/>
  <c r="F219" i="46"/>
  <c r="F280" i="46" s="1"/>
  <c r="F157" i="46"/>
  <c r="NV146" i="54"/>
  <c r="NV187" i="54"/>
  <c r="I30" i="52" s="1"/>
  <c r="K31" i="51" s="1"/>
  <c r="K65" i="51" s="1"/>
  <c r="I27" i="50" s="1"/>
  <c r="I59" i="50" s="1"/>
  <c r="I29" i="46" s="1"/>
  <c r="I214" i="46" s="1"/>
  <c r="I275" i="46" s="1"/>
  <c r="S280" i="46"/>
  <c r="K267" i="46"/>
  <c r="E216" i="46"/>
  <c r="E277" i="46" s="1"/>
  <c r="L279" i="46"/>
  <c r="G218" i="46"/>
  <c r="G279" i="46" s="1"/>
  <c r="G156" i="46"/>
  <c r="G212" i="46"/>
  <c r="G273" i="46" s="1"/>
  <c r="G150" i="46"/>
  <c r="E66" i="50"/>
  <c r="E67" i="50" s="1"/>
  <c r="E68" i="50" s="1"/>
  <c r="J279" i="46"/>
  <c r="G200" i="46"/>
  <c r="G261" i="46" s="1"/>
  <c r="G138" i="46"/>
  <c r="J280" i="46"/>
  <c r="S261" i="46"/>
  <c r="TK180" i="54"/>
  <c r="TK187" i="54"/>
  <c r="R32" i="52" s="1"/>
  <c r="T33" i="51" s="1"/>
  <c r="T67" i="51" s="1"/>
  <c r="R29" i="50" s="1"/>
  <c r="R61" i="50" s="1"/>
  <c r="R31" i="46" s="1"/>
  <c r="TJ180" i="54"/>
  <c r="TJ187" i="54"/>
  <c r="Q32" i="52" s="1"/>
  <c r="S33" i="51" s="1"/>
  <c r="S67" i="51" s="1"/>
  <c r="Q29" i="50" s="1"/>
  <c r="Q61" i="50" s="1"/>
  <c r="Q31" i="46" s="1"/>
  <c r="TC180" i="54"/>
  <c r="TC187" i="54"/>
  <c r="J32" i="52" s="1"/>
  <c r="L33" i="51" s="1"/>
  <c r="L67" i="51" s="1"/>
  <c r="J29" i="50" s="1"/>
  <c r="J61" i="50" s="1"/>
  <c r="J31" i="46" s="1"/>
  <c r="UT146" i="54"/>
  <c r="UT187" i="54"/>
  <c r="S34" i="52" s="1"/>
  <c r="U35" i="51" s="1"/>
  <c r="U69" i="51" s="1"/>
  <c r="S31" i="50" s="1"/>
  <c r="S63" i="50" s="1"/>
  <c r="S33" i="46" s="1"/>
  <c r="S218" i="46" s="1"/>
  <c r="UD146" i="54"/>
  <c r="UD187" i="54"/>
  <c r="C34" i="52" s="1"/>
  <c r="E35" i="51" s="1"/>
  <c r="E69" i="51" s="1"/>
  <c r="C31" i="50" s="1"/>
  <c r="C63" i="50" s="1"/>
  <c r="C33" i="46" s="1"/>
  <c r="UO146" i="54"/>
  <c r="UO187" i="54"/>
  <c r="N34" i="52" s="1"/>
  <c r="P35" i="51" s="1"/>
  <c r="P69" i="51" s="1"/>
  <c r="N31" i="50" s="1"/>
  <c r="N63" i="50" s="1"/>
  <c r="N33" i="46" s="1"/>
  <c r="N218" i="46" s="1"/>
  <c r="SV180" i="54"/>
  <c r="SV187" i="54"/>
  <c r="C32" i="52" s="1"/>
  <c r="E33" i="51" s="1"/>
  <c r="E67" i="51" s="1"/>
  <c r="C29" i="50" s="1"/>
  <c r="C61" i="50" s="1"/>
  <c r="C31" i="46" s="1"/>
  <c r="UP187" i="54"/>
  <c r="O34" i="52" s="1"/>
  <c r="Q35" i="51" s="1"/>
  <c r="Q69" i="51" s="1"/>
  <c r="O31" i="50" s="1"/>
  <c r="O63" i="50" s="1"/>
  <c r="O33" i="46" s="1"/>
  <c r="O218" i="46" s="1"/>
  <c r="UP146" i="54"/>
  <c r="UN146" i="54"/>
  <c r="UN187" i="54"/>
  <c r="M34" i="52" s="1"/>
  <c r="O35" i="51" s="1"/>
  <c r="O69" i="51" s="1"/>
  <c r="M31" i="50" s="1"/>
  <c r="M63" i="50" s="1"/>
  <c r="M33" i="46" s="1"/>
  <c r="M218" i="46" s="1"/>
  <c r="US146" i="54"/>
  <c r="US187" i="54"/>
  <c r="R34" i="52" s="1"/>
  <c r="T35" i="51" s="1"/>
  <c r="T69" i="51" s="1"/>
  <c r="R31" i="50" s="1"/>
  <c r="R63" i="50" s="1"/>
  <c r="R33" i="46" s="1"/>
  <c r="R218" i="46" s="1"/>
  <c r="D84" i="42"/>
  <c r="D83" i="42" s="1"/>
  <c r="AB49" i="41"/>
  <c r="G6" i="42"/>
  <c r="AF29" i="41"/>
  <c r="H48" i="42"/>
  <c r="H47" i="42" s="1"/>
  <c r="E92" i="42"/>
  <c r="E91" i="42" s="1"/>
  <c r="AC53" i="41"/>
  <c r="E80" i="42"/>
  <c r="E79" i="42" s="1"/>
  <c r="AC47" i="41"/>
  <c r="E90" i="42"/>
  <c r="E89" i="42" s="1"/>
  <c r="AC52" i="41"/>
  <c r="AH12" i="41"/>
  <c r="J15" i="42"/>
  <c r="J14" i="42" s="1"/>
  <c r="H73" i="42"/>
  <c r="H72" i="42" s="1"/>
  <c r="AF43" i="41"/>
  <c r="AE41" i="41"/>
  <c r="G69" i="42"/>
  <c r="G68" i="42" s="1"/>
  <c r="AG21" i="41"/>
  <c r="I32" i="42"/>
  <c r="I31" i="42" s="1"/>
  <c r="H52" i="42"/>
  <c r="H51" i="42" s="1"/>
  <c r="AF31" i="41"/>
  <c r="K17" i="42"/>
  <c r="K16" i="42" s="1"/>
  <c r="AI13" i="41"/>
  <c r="AG19" i="41"/>
  <c r="I28" i="42"/>
  <c r="I27" i="42" s="1"/>
  <c r="F82" i="42"/>
  <c r="F81" i="42" s="1"/>
  <c r="AD48" i="41"/>
  <c r="AD35" i="41"/>
  <c r="F59" i="42"/>
  <c r="F58" i="42" s="1"/>
  <c r="AF14" i="41"/>
  <c r="H19" i="42"/>
  <c r="H18" i="42" s="1"/>
  <c r="AH11" i="41"/>
  <c r="J13" i="42"/>
  <c r="J12" i="42" s="1"/>
  <c r="I71" i="42"/>
  <c r="I70" i="42" s="1"/>
  <c r="AG42" i="41"/>
  <c r="G66" i="50" l="1"/>
  <c r="G67" i="50" s="1"/>
  <c r="G68" i="50" s="1"/>
  <c r="G193" i="46"/>
  <c r="K66" i="50"/>
  <c r="K67" i="50" s="1"/>
  <c r="K68" i="50" s="1"/>
  <c r="K36" i="46"/>
  <c r="C193" i="46"/>
  <c r="C254" i="46" s="1"/>
  <c r="D131" i="46"/>
  <c r="D66" i="50"/>
  <c r="D67" i="50" s="1"/>
  <c r="D68" i="50" s="1"/>
  <c r="F207" i="46"/>
  <c r="F268" i="46" s="1"/>
  <c r="P66" i="50"/>
  <c r="P67" i="50" s="1"/>
  <c r="P68" i="50" s="1"/>
  <c r="E156" i="46"/>
  <c r="E134" i="46"/>
  <c r="E207" i="46"/>
  <c r="E268" i="46" s="1"/>
  <c r="G146" i="46"/>
  <c r="D145" i="46"/>
  <c r="M67" i="90"/>
  <c r="L20" i="89" s="1"/>
  <c r="L48" i="89" s="1"/>
  <c r="L47" i="89" s="1"/>
  <c r="L43" i="89" s="1"/>
  <c r="O67" i="90"/>
  <c r="N20" i="89" s="1"/>
  <c r="N19" i="89" s="1"/>
  <c r="N15" i="89" s="1"/>
  <c r="J67" i="90"/>
  <c r="I20" i="89" s="1"/>
  <c r="I19" i="89" s="1"/>
  <c r="I15" i="89" s="1"/>
  <c r="L66" i="50"/>
  <c r="L67" i="50" s="1"/>
  <c r="L68" i="50" s="1"/>
  <c r="F216" i="46"/>
  <c r="F277" i="46" s="1"/>
  <c r="D36" i="46"/>
  <c r="D67" i="90"/>
  <c r="D138" i="46"/>
  <c r="E149" i="46"/>
  <c r="P67" i="90"/>
  <c r="O20" i="89" s="1"/>
  <c r="O48" i="89" s="1"/>
  <c r="O47" i="89" s="1"/>
  <c r="O43" i="89" s="1"/>
  <c r="P36" i="46"/>
  <c r="R67" i="90"/>
  <c r="Q20" i="89" s="1"/>
  <c r="Q19" i="89" s="1"/>
  <c r="Q15" i="89" s="1"/>
  <c r="H67" i="90"/>
  <c r="AE67" i="90"/>
  <c r="D208" i="46"/>
  <c r="D269" i="46" s="1"/>
  <c r="I67" i="90"/>
  <c r="H20" i="89" s="1"/>
  <c r="H19" i="89" s="1"/>
  <c r="H15" i="89" s="1"/>
  <c r="E200" i="46"/>
  <c r="E261" i="46" s="1"/>
  <c r="E36" i="46"/>
  <c r="Q154" i="46"/>
  <c r="Q216" i="46"/>
  <c r="Q277" i="46" s="1"/>
  <c r="J26" i="46"/>
  <c r="J211" i="46" s="1"/>
  <c r="J272" i="46" s="1"/>
  <c r="D15" i="90"/>
  <c r="AP63" i="90"/>
  <c r="AP67" i="90" s="1"/>
  <c r="T67" i="90"/>
  <c r="S20" i="89" s="1"/>
  <c r="AH63" i="90"/>
  <c r="AH67" i="90" s="1"/>
  <c r="L67" i="90"/>
  <c r="K20" i="89" s="1"/>
  <c r="AG63" i="90"/>
  <c r="AG67" i="90" s="1"/>
  <c r="K67" i="90"/>
  <c r="J20" i="89" s="1"/>
  <c r="O216" i="46"/>
  <c r="O277" i="46" s="1"/>
  <c r="O154" i="46"/>
  <c r="T124" i="90"/>
  <c r="G14" i="90"/>
  <c r="G15" i="90" s="1"/>
  <c r="AJ63" i="90"/>
  <c r="AJ67" i="90" s="1"/>
  <c r="N67" i="90"/>
  <c r="M20" i="89" s="1"/>
  <c r="J216" i="46"/>
  <c r="J277" i="46" s="1"/>
  <c r="J154" i="46"/>
  <c r="R216" i="46"/>
  <c r="R154" i="46"/>
  <c r="N22" i="46"/>
  <c r="N207" i="46" s="1"/>
  <c r="N268" i="46" s="1"/>
  <c r="C22" i="46"/>
  <c r="C207" i="46" s="1"/>
  <c r="C268" i="46" s="1"/>
  <c r="AB63" i="90"/>
  <c r="AB67" i="90" s="1"/>
  <c r="F67" i="90"/>
  <c r="Q67" i="90"/>
  <c r="P20" i="89" s="1"/>
  <c r="Q26" i="46"/>
  <c r="Q211" i="46" s="1"/>
  <c r="Q272" i="46" s="1"/>
  <c r="C26" i="46"/>
  <c r="C211" i="46" s="1"/>
  <c r="C272" i="46" s="1"/>
  <c r="R26" i="46"/>
  <c r="R211" i="46" s="1"/>
  <c r="R272" i="46" s="1"/>
  <c r="AO63" i="90"/>
  <c r="AO67" i="90" s="1"/>
  <c r="S67" i="90"/>
  <c r="R20" i="89" s="1"/>
  <c r="AC63" i="90"/>
  <c r="AC67" i="90" s="1"/>
  <c r="G67" i="90"/>
  <c r="L36" i="46"/>
  <c r="M269" i="46"/>
  <c r="P269" i="46"/>
  <c r="L269" i="46"/>
  <c r="J269" i="46"/>
  <c r="I50" i="42"/>
  <c r="I49" i="42" s="1"/>
  <c r="AG30" i="41"/>
  <c r="L36" i="42"/>
  <c r="L35" i="42" s="1"/>
  <c r="AJ23" i="41"/>
  <c r="M268" i="46"/>
  <c r="I272" i="46"/>
  <c r="R268" i="46"/>
  <c r="I36" i="46"/>
  <c r="S36" i="46"/>
  <c r="M36" i="46"/>
  <c r="Q36" i="46"/>
  <c r="J36" i="46"/>
  <c r="R36" i="46"/>
  <c r="C216" i="46"/>
  <c r="C277" i="46" s="1"/>
  <c r="C154" i="46"/>
  <c r="F215" i="46"/>
  <c r="F276" i="46" s="1"/>
  <c r="F153" i="46"/>
  <c r="F159" i="46" s="1"/>
  <c r="J66" i="50"/>
  <c r="J67" i="50" s="1"/>
  <c r="J68" i="50" s="1"/>
  <c r="D254" i="46"/>
  <c r="F254" i="46"/>
  <c r="I254" i="46"/>
  <c r="N276" i="46"/>
  <c r="H276" i="46"/>
  <c r="N279" i="46"/>
  <c r="M276" i="46"/>
  <c r="S276" i="46"/>
  <c r="K254" i="46"/>
  <c r="Q254" i="46"/>
  <c r="G215" i="46"/>
  <c r="G276" i="46" s="1"/>
  <c r="G153" i="46"/>
  <c r="G159" i="46" s="1"/>
  <c r="L254" i="46"/>
  <c r="G254" i="46"/>
  <c r="F36" i="46"/>
  <c r="N66" i="50"/>
  <c r="N67" i="50" s="1"/>
  <c r="N68" i="50" s="1"/>
  <c r="J276" i="46"/>
  <c r="R279" i="46"/>
  <c r="M66" i="50"/>
  <c r="M67" i="50" s="1"/>
  <c r="M68" i="50" s="1"/>
  <c r="S66" i="50"/>
  <c r="S67" i="50" s="1"/>
  <c r="S68" i="50" s="1"/>
  <c r="G36" i="46"/>
  <c r="N254" i="46"/>
  <c r="C36" i="46"/>
  <c r="A64" i="46" s="1"/>
  <c r="L276" i="46"/>
  <c r="L159" i="46"/>
  <c r="M279" i="46"/>
  <c r="R277" i="46"/>
  <c r="Q276" i="46"/>
  <c r="O276" i="46"/>
  <c r="J254" i="46"/>
  <c r="O254" i="46"/>
  <c r="P276" i="46"/>
  <c r="R276" i="46"/>
  <c r="H254" i="46"/>
  <c r="C218" i="46"/>
  <c r="C279" i="46" s="1"/>
  <c r="C156" i="46"/>
  <c r="C66" i="50"/>
  <c r="C67" i="50" s="1"/>
  <c r="C68" i="50" s="1"/>
  <c r="N36" i="46"/>
  <c r="Q66" i="50"/>
  <c r="Q67" i="50" s="1"/>
  <c r="Q68" i="50" s="1"/>
  <c r="O66" i="50"/>
  <c r="O67" i="50" s="1"/>
  <c r="O68" i="50" s="1"/>
  <c r="S254" i="46"/>
  <c r="E254" i="46"/>
  <c r="O36" i="46"/>
  <c r="P254" i="46"/>
  <c r="R66" i="50"/>
  <c r="R67" i="50" s="1"/>
  <c r="R68" i="50" s="1"/>
  <c r="H36" i="46"/>
  <c r="K276" i="46"/>
  <c r="K159" i="46"/>
  <c r="I276" i="46"/>
  <c r="I159" i="46"/>
  <c r="R254" i="46"/>
  <c r="S279" i="46"/>
  <c r="E215" i="46"/>
  <c r="E276" i="46" s="1"/>
  <c r="E153" i="46"/>
  <c r="O279" i="46"/>
  <c r="M254" i="46"/>
  <c r="I66" i="50"/>
  <c r="I67" i="50" s="1"/>
  <c r="I68" i="50" s="1"/>
  <c r="D215" i="46"/>
  <c r="D276" i="46" s="1"/>
  <c r="D153" i="46"/>
  <c r="D159" i="46" s="1"/>
  <c r="E84" i="42"/>
  <c r="E83" i="42" s="1"/>
  <c r="AC49" i="41"/>
  <c r="H6" i="42"/>
  <c r="AG29" i="41"/>
  <c r="I48" i="42"/>
  <c r="I47" i="42" s="1"/>
  <c r="F80" i="42"/>
  <c r="F79" i="42" s="1"/>
  <c r="AD47" i="41"/>
  <c r="F90" i="42"/>
  <c r="F89" i="42" s="1"/>
  <c r="AD52" i="41"/>
  <c r="AD53" i="41"/>
  <c r="F92" i="42"/>
  <c r="F91" i="42" s="1"/>
  <c r="K15" i="42"/>
  <c r="K14" i="42" s="1"/>
  <c r="AI12" i="41"/>
  <c r="I73" i="42"/>
  <c r="I72" i="42" s="1"/>
  <c r="AG43" i="41"/>
  <c r="H69" i="42"/>
  <c r="H68" i="42" s="1"/>
  <c r="AF41" i="41"/>
  <c r="AH21" i="41"/>
  <c r="J32" i="42"/>
  <c r="J31" i="42" s="1"/>
  <c r="AG14" i="41"/>
  <c r="I19" i="42"/>
  <c r="I18" i="42" s="1"/>
  <c r="J28" i="42"/>
  <c r="J27" i="42" s="1"/>
  <c r="AH19" i="41"/>
  <c r="AJ13" i="41"/>
  <c r="L17" i="42"/>
  <c r="L16" i="42" s="1"/>
  <c r="K13" i="42"/>
  <c r="K12" i="42" s="1"/>
  <c r="AI11" i="41"/>
  <c r="G59" i="42"/>
  <c r="G58" i="42" s="1"/>
  <c r="AE35" i="41"/>
  <c r="I52" i="42"/>
  <c r="I51" i="42" s="1"/>
  <c r="AG31" i="41"/>
  <c r="G82" i="42"/>
  <c r="G81" i="42" s="1"/>
  <c r="AE48" i="41"/>
  <c r="J71" i="42"/>
  <c r="J70" i="42" s="1"/>
  <c r="AH42" i="41"/>
  <c r="C149" i="46" l="1"/>
  <c r="H48" i="89"/>
  <c r="H47" i="89" s="1"/>
  <c r="H43" i="89" s="1"/>
  <c r="H60" i="89" s="1"/>
  <c r="N48" i="89"/>
  <c r="N47" i="89" s="1"/>
  <c r="N43" i="89" s="1"/>
  <c r="N60" i="89" s="1"/>
  <c r="I48" i="89"/>
  <c r="I47" i="89" s="1"/>
  <c r="I43" i="89" s="1"/>
  <c r="H39" i="96" s="1"/>
  <c r="H38" i="96" s="1"/>
  <c r="H41" i="96" s="1"/>
  <c r="H47" i="96" s="1"/>
  <c r="C145" i="46"/>
  <c r="L19" i="89"/>
  <c r="L15" i="89" s="1"/>
  <c r="G170" i="103" s="1"/>
  <c r="G169" i="103" s="1"/>
  <c r="Q48" i="89"/>
  <c r="Q47" i="89" s="1"/>
  <c r="Q43" i="89" s="1"/>
  <c r="Q60" i="89" s="1"/>
  <c r="L60" i="89"/>
  <c r="K39" i="96"/>
  <c r="K38" i="96" s="1"/>
  <c r="K41" i="96" s="1"/>
  <c r="K47" i="96" s="1"/>
  <c r="O60" i="89"/>
  <c r="N39" i="96"/>
  <c r="N38" i="96" s="1"/>
  <c r="N41" i="96" s="1"/>
  <c r="N47" i="96" s="1"/>
  <c r="E159" i="46"/>
  <c r="O19" i="89"/>
  <c r="O15" i="89" s="1"/>
  <c r="J170" i="103" s="1"/>
  <c r="J169" i="103" s="1"/>
  <c r="H32" i="89"/>
  <c r="C170" i="103"/>
  <c r="C169" i="103" s="1"/>
  <c r="M48" i="89"/>
  <c r="M47" i="89" s="1"/>
  <c r="M43" i="89" s="1"/>
  <c r="M19" i="89"/>
  <c r="M15" i="89" s="1"/>
  <c r="J19" i="89"/>
  <c r="J15" i="89" s="1"/>
  <c r="J48" i="89"/>
  <c r="J47" i="89" s="1"/>
  <c r="J43" i="89" s="1"/>
  <c r="S48" i="89"/>
  <c r="S47" i="89" s="1"/>
  <c r="S43" i="89" s="1"/>
  <c r="S19" i="89"/>
  <c r="S15" i="89" s="1"/>
  <c r="I170" i="103"/>
  <c r="I169" i="103" s="1"/>
  <c r="N32" i="89"/>
  <c r="R48" i="89"/>
  <c r="R47" i="89" s="1"/>
  <c r="R43" i="89" s="1"/>
  <c r="R19" i="89"/>
  <c r="R15" i="89" s="1"/>
  <c r="P48" i="89"/>
  <c r="P47" i="89" s="1"/>
  <c r="P43" i="89" s="1"/>
  <c r="P19" i="89"/>
  <c r="P15" i="89" s="1"/>
  <c r="L170" i="103"/>
  <c r="L169" i="103" s="1"/>
  <c r="Q32" i="89"/>
  <c r="D170" i="103"/>
  <c r="D169" i="103" s="1"/>
  <c r="I32" i="89"/>
  <c r="K48" i="89"/>
  <c r="K47" i="89" s="1"/>
  <c r="K43" i="89" s="1"/>
  <c r="K19" i="89"/>
  <c r="K15" i="89" s="1"/>
  <c r="U14" i="90"/>
  <c r="U15" i="90" s="1"/>
  <c r="T68" i="90"/>
  <c r="H159" i="46"/>
  <c r="P159" i="46"/>
  <c r="J50" i="42"/>
  <c r="J49" i="42" s="1"/>
  <c r="AH30" i="41"/>
  <c r="M36" i="42"/>
  <c r="M35" i="42" s="1"/>
  <c r="AK23" i="41"/>
  <c r="M159" i="46"/>
  <c r="C159" i="46"/>
  <c r="Q159" i="46"/>
  <c r="G282" i="46"/>
  <c r="P282" i="46"/>
  <c r="N221" i="46"/>
  <c r="H282" i="46"/>
  <c r="G221" i="46"/>
  <c r="H221" i="46"/>
  <c r="P221" i="46"/>
  <c r="N282" i="46"/>
  <c r="M282" i="46"/>
  <c r="M221" i="46"/>
  <c r="O159" i="46"/>
  <c r="F221" i="46"/>
  <c r="L221" i="46"/>
  <c r="J159" i="46"/>
  <c r="R159" i="46"/>
  <c r="N159" i="46"/>
  <c r="F282" i="46"/>
  <c r="J282" i="46"/>
  <c r="K282" i="46"/>
  <c r="S159" i="46"/>
  <c r="D221" i="46"/>
  <c r="O282" i="46"/>
  <c r="K221" i="46"/>
  <c r="J221" i="46"/>
  <c r="L282" i="46"/>
  <c r="I282" i="46"/>
  <c r="E221" i="46"/>
  <c r="R221" i="46"/>
  <c r="E282" i="46"/>
  <c r="C221" i="46"/>
  <c r="R282" i="46"/>
  <c r="S221" i="46"/>
  <c r="C282" i="46"/>
  <c r="Q221" i="46"/>
  <c r="O221" i="46"/>
  <c r="S282" i="46"/>
  <c r="Q282" i="46"/>
  <c r="I221" i="46"/>
  <c r="D282" i="46"/>
  <c r="F84" i="42"/>
  <c r="F83" i="42" s="1"/>
  <c r="AD49" i="41"/>
  <c r="J48" i="42"/>
  <c r="J47" i="42" s="1"/>
  <c r="AH29" i="41"/>
  <c r="AE52" i="41"/>
  <c r="G90" i="42"/>
  <c r="G89" i="42" s="1"/>
  <c r="G80" i="42"/>
  <c r="G79" i="42" s="1"/>
  <c r="AE47" i="41"/>
  <c r="AE53" i="41"/>
  <c r="G92" i="42"/>
  <c r="G91" i="42" s="1"/>
  <c r="L15" i="42"/>
  <c r="L14" i="42" s="1"/>
  <c r="AJ12" i="41"/>
  <c r="J73" i="42"/>
  <c r="J72" i="42" s="1"/>
  <c r="AH43" i="41"/>
  <c r="I69" i="42"/>
  <c r="I68" i="42" s="1"/>
  <c r="AG41" i="41"/>
  <c r="AI21" i="41"/>
  <c r="K32" i="42"/>
  <c r="K31" i="42" s="1"/>
  <c r="J52" i="42"/>
  <c r="J51" i="42" s="1"/>
  <c r="AH31" i="41"/>
  <c r="M17" i="42"/>
  <c r="M16" i="42" s="1"/>
  <c r="AK13" i="41"/>
  <c r="H59" i="42"/>
  <c r="H58" i="42" s="1"/>
  <c r="AF35" i="41"/>
  <c r="K28" i="42"/>
  <c r="K27" i="42" s="1"/>
  <c r="AI19" i="41"/>
  <c r="H82" i="42"/>
  <c r="H81" i="42" s="1"/>
  <c r="AF48" i="41"/>
  <c r="L13" i="42"/>
  <c r="L12" i="42" s="1"/>
  <c r="AJ11" i="41"/>
  <c r="I6" i="42"/>
  <c r="Z29" i="42"/>
  <c r="AH14" i="41"/>
  <c r="J19" i="42"/>
  <c r="J18" i="42" s="1"/>
  <c r="K71" i="42"/>
  <c r="K70" i="42" s="1"/>
  <c r="AI42" i="41"/>
  <c r="L32" i="89" l="1"/>
  <c r="G39" i="96"/>
  <c r="G38" i="96" s="1"/>
  <c r="G41" i="96" s="1"/>
  <c r="G47" i="96" s="1"/>
  <c r="I60" i="89"/>
  <c r="P39" i="96"/>
  <c r="P38" i="96" s="1"/>
  <c r="P41" i="96" s="1"/>
  <c r="P47" i="96" s="1"/>
  <c r="M39" i="96"/>
  <c r="M38" i="96" s="1"/>
  <c r="M41" i="96" s="1"/>
  <c r="M47" i="96" s="1"/>
  <c r="O32" i="89"/>
  <c r="K60" i="89"/>
  <c r="J39" i="96"/>
  <c r="J38" i="96" s="1"/>
  <c r="J41" i="96" s="1"/>
  <c r="J47" i="96" s="1"/>
  <c r="R60" i="89"/>
  <c r="Q39" i="96"/>
  <c r="Q38" i="96" s="1"/>
  <c r="Q41" i="96" s="1"/>
  <c r="Q47" i="96" s="1"/>
  <c r="S60" i="89"/>
  <c r="R39" i="96"/>
  <c r="R38" i="96" s="1"/>
  <c r="R41" i="96" s="1"/>
  <c r="R47" i="96" s="1"/>
  <c r="J60" i="89"/>
  <c r="I39" i="96"/>
  <c r="I38" i="96" s="1"/>
  <c r="I41" i="96" s="1"/>
  <c r="I47" i="96" s="1"/>
  <c r="P60" i="89"/>
  <c r="O39" i="96"/>
  <c r="O38" i="96" s="1"/>
  <c r="O41" i="96" s="1"/>
  <c r="O47" i="96" s="1"/>
  <c r="M60" i="89"/>
  <c r="L39" i="96"/>
  <c r="L38" i="96" s="1"/>
  <c r="L41" i="96" s="1"/>
  <c r="L47" i="96" s="1"/>
  <c r="G173" i="103"/>
  <c r="G172" i="103"/>
  <c r="G178" i="103" s="1"/>
  <c r="G177" i="103" s="1"/>
  <c r="P32" i="89"/>
  <c r="K170" i="103"/>
  <c r="K169" i="103" s="1"/>
  <c r="M32" i="89"/>
  <c r="H170" i="103"/>
  <c r="H169" i="103" s="1"/>
  <c r="D173" i="103"/>
  <c r="D172" i="103"/>
  <c r="D178" i="103" s="1"/>
  <c r="D177" i="103" s="1"/>
  <c r="I173" i="103"/>
  <c r="I172" i="103"/>
  <c r="I178" i="103" s="1"/>
  <c r="I177" i="103" s="1"/>
  <c r="J32" i="89"/>
  <c r="E170" i="103"/>
  <c r="E169" i="103" s="1"/>
  <c r="K32" i="89"/>
  <c r="F170" i="103"/>
  <c r="F169" i="103" s="1"/>
  <c r="M170" i="103"/>
  <c r="M169" i="103" s="1"/>
  <c r="R32" i="89"/>
  <c r="S32" i="89"/>
  <c r="N170" i="103"/>
  <c r="N169" i="103" s="1"/>
  <c r="C172" i="103"/>
  <c r="C178" i="103" s="1"/>
  <c r="C177" i="103" s="1"/>
  <c r="C173" i="103"/>
  <c r="L172" i="103"/>
  <c r="L178" i="103" s="1"/>
  <c r="L177" i="103" s="1"/>
  <c r="L173" i="103"/>
  <c r="J173" i="103"/>
  <c r="J172" i="103"/>
  <c r="J178" i="103" s="1"/>
  <c r="J177" i="103" s="1"/>
  <c r="AI30" i="41"/>
  <c r="K50" i="42"/>
  <c r="K49" i="42" s="1"/>
  <c r="AL23" i="41"/>
  <c r="N36" i="42"/>
  <c r="N35" i="42" s="1"/>
  <c r="G84" i="42"/>
  <c r="G83" i="42" s="1"/>
  <c r="AE49" i="41"/>
  <c r="J6" i="42"/>
  <c r="K48" i="42"/>
  <c r="K47" i="42" s="1"/>
  <c r="AI29" i="41"/>
  <c r="H80" i="42"/>
  <c r="H79" i="42" s="1"/>
  <c r="AF47" i="41"/>
  <c r="H92" i="42"/>
  <c r="H91" i="42" s="1"/>
  <c r="AF53" i="41"/>
  <c r="H90" i="42"/>
  <c r="H89" i="42" s="1"/>
  <c r="AF52" i="41"/>
  <c r="M15" i="42"/>
  <c r="M14" i="42" s="1"/>
  <c r="AK12" i="41"/>
  <c r="K73" i="42"/>
  <c r="K72" i="42" s="1"/>
  <c r="AI43" i="41"/>
  <c r="AH41" i="41"/>
  <c r="J69" i="42"/>
  <c r="J68" i="42" s="1"/>
  <c r="AJ21" i="41"/>
  <c r="L32" i="42"/>
  <c r="L31" i="42" s="1"/>
  <c r="I82" i="42"/>
  <c r="I81" i="42" s="1"/>
  <c r="AG48" i="41"/>
  <c r="I59" i="42"/>
  <c r="I58" i="42" s="1"/>
  <c r="AG35" i="41"/>
  <c r="N17" i="42"/>
  <c r="N16" i="42" s="1"/>
  <c r="AL13" i="41"/>
  <c r="K19" i="42"/>
  <c r="K18" i="42" s="1"/>
  <c r="AI14" i="41"/>
  <c r="K52" i="42"/>
  <c r="K51" i="42" s="1"/>
  <c r="AI31" i="41"/>
  <c r="AK11" i="41"/>
  <c r="M13" i="42"/>
  <c r="M12" i="42" s="1"/>
  <c r="L28" i="42"/>
  <c r="L27" i="42" s="1"/>
  <c r="AJ19" i="41"/>
  <c r="L71" i="42"/>
  <c r="L70" i="42" s="1"/>
  <c r="AJ42" i="41"/>
  <c r="D52" i="96" l="1"/>
  <c r="D60" i="96" s="1"/>
  <c r="E173" i="103"/>
  <c r="E172" i="103"/>
  <c r="E178" i="103" s="1"/>
  <c r="E177" i="103" s="1"/>
  <c r="K173" i="103"/>
  <c r="K172" i="103"/>
  <c r="K178" i="103" s="1"/>
  <c r="K177" i="103" s="1"/>
  <c r="M173" i="103"/>
  <c r="M172" i="103"/>
  <c r="M178" i="103" s="1"/>
  <c r="M177" i="103" s="1"/>
  <c r="N172" i="103"/>
  <c r="N178" i="103" s="1"/>
  <c r="N177" i="103" s="1"/>
  <c r="N173" i="103"/>
  <c r="F172" i="103"/>
  <c r="F178" i="103" s="1"/>
  <c r="F177" i="103" s="1"/>
  <c r="F173" i="103"/>
  <c r="H172" i="103"/>
  <c r="H178" i="103" s="1"/>
  <c r="H177" i="103" s="1"/>
  <c r="H173" i="103"/>
  <c r="AJ30" i="41"/>
  <c r="L50" i="42"/>
  <c r="L49" i="42" s="1"/>
  <c r="O36" i="42"/>
  <c r="O35" i="42" s="1"/>
  <c r="AM23" i="41"/>
  <c r="P36" i="42" s="1"/>
  <c r="P35" i="42" s="1"/>
  <c r="H84" i="42"/>
  <c r="H83" i="42" s="1"/>
  <c r="AF49" i="41"/>
  <c r="AA29" i="42"/>
  <c r="K6" i="42"/>
  <c r="L48" i="42"/>
  <c r="L47" i="42" s="1"/>
  <c r="AJ29" i="41"/>
  <c r="I92" i="42"/>
  <c r="I91" i="42" s="1"/>
  <c r="AG53" i="41"/>
  <c r="AG52" i="41"/>
  <c r="I90" i="42"/>
  <c r="I89" i="42" s="1"/>
  <c r="I80" i="42"/>
  <c r="I79" i="42" s="1"/>
  <c r="AB29" i="42" s="1"/>
  <c r="AC29" i="42" s="1"/>
  <c r="AG47" i="41"/>
  <c r="N15" i="42"/>
  <c r="N14" i="42" s="1"/>
  <c r="AL12" i="41"/>
  <c r="L73" i="42"/>
  <c r="L72" i="42" s="1"/>
  <c r="AJ43" i="41"/>
  <c r="AI41" i="41"/>
  <c r="K69" i="42"/>
  <c r="K68" i="42" s="1"/>
  <c r="AK21" i="41"/>
  <c r="M32" i="42"/>
  <c r="M31" i="42" s="1"/>
  <c r="AM13" i="41"/>
  <c r="P17" i="42" s="1"/>
  <c r="P16" i="42" s="1"/>
  <c r="O17" i="42"/>
  <c r="O16" i="42" s="1"/>
  <c r="J59" i="42"/>
  <c r="J58" i="42" s="1"/>
  <c r="AH35" i="41"/>
  <c r="AJ31" i="41"/>
  <c r="L52" i="42"/>
  <c r="L51" i="42" s="1"/>
  <c r="N13" i="42"/>
  <c r="N12" i="42" s="1"/>
  <c r="AL11" i="41"/>
  <c r="AK19" i="41"/>
  <c r="M28" i="42"/>
  <c r="M27" i="42" s="1"/>
  <c r="AH48" i="41"/>
  <c r="J82" i="42"/>
  <c r="J81" i="42" s="1"/>
  <c r="L19" i="42"/>
  <c r="L18" i="42" s="1"/>
  <c r="AJ14" i="41"/>
  <c r="M71" i="42"/>
  <c r="M70" i="42" s="1"/>
  <c r="AK42" i="41"/>
  <c r="D66" i="96" l="1"/>
  <c r="D53" i="100"/>
  <c r="D39" i="100"/>
  <c r="I13" i="100" s="1"/>
  <c r="C174" i="103"/>
  <c r="T35" i="42"/>
  <c r="M50" i="42"/>
  <c r="M49" i="42" s="1"/>
  <c r="AK30" i="41"/>
  <c r="I84" i="42"/>
  <c r="I83" i="42" s="1"/>
  <c r="AG49" i="41"/>
  <c r="L6" i="42"/>
  <c r="M48" i="42"/>
  <c r="M47" i="42" s="1"/>
  <c r="AK29" i="41"/>
  <c r="AH52" i="41"/>
  <c r="J90" i="42"/>
  <c r="J89" i="42" s="1"/>
  <c r="AH47" i="41"/>
  <c r="J80" i="42"/>
  <c r="J79" i="42" s="1"/>
  <c r="J92" i="42"/>
  <c r="J91" i="42" s="1"/>
  <c r="AH53" i="41"/>
  <c r="O15" i="42"/>
  <c r="O14" i="42" s="1"/>
  <c r="AM12" i="41"/>
  <c r="P15" i="42" s="1"/>
  <c r="P14" i="42" s="1"/>
  <c r="M73" i="42"/>
  <c r="M72" i="42" s="1"/>
  <c r="AK43" i="41"/>
  <c r="L69" i="42"/>
  <c r="L68" i="42" s="1"/>
  <c r="AJ41" i="41"/>
  <c r="N32" i="42"/>
  <c r="N31" i="42" s="1"/>
  <c r="AL21" i="41"/>
  <c r="T16" i="42"/>
  <c r="M52" i="42"/>
  <c r="M51" i="42" s="1"/>
  <c r="AK31" i="41"/>
  <c r="K59" i="42"/>
  <c r="K58" i="42" s="1"/>
  <c r="AI35" i="41"/>
  <c r="AI48" i="41"/>
  <c r="K82" i="42"/>
  <c r="K81" i="42" s="1"/>
  <c r="AL19" i="41"/>
  <c r="N28" i="42"/>
  <c r="N27" i="42" s="1"/>
  <c r="M19" i="42"/>
  <c r="M18" i="42" s="1"/>
  <c r="AK14" i="41"/>
  <c r="O13" i="42"/>
  <c r="O12" i="42" s="1"/>
  <c r="AM11" i="41"/>
  <c r="P13" i="42" s="1"/>
  <c r="P12" i="42" s="1"/>
  <c r="N71" i="42"/>
  <c r="N70" i="42" s="1"/>
  <c r="AL42" i="41"/>
  <c r="I9" i="100" l="1"/>
  <c r="I14" i="100"/>
  <c r="I10" i="100"/>
  <c r="I8" i="100"/>
  <c r="I15" i="100"/>
  <c r="I17" i="100"/>
  <c r="I12" i="100"/>
  <c r="I16" i="100"/>
  <c r="I18" i="100"/>
  <c r="I11" i="100"/>
  <c r="D56" i="100"/>
  <c r="E73" i="100"/>
  <c r="D52" i="100"/>
  <c r="D49" i="100" s="1"/>
  <c r="D51" i="100"/>
  <c r="D48" i="100" s="1"/>
  <c r="D55" i="100"/>
  <c r="D58" i="100" s="1"/>
  <c r="D54" i="100"/>
  <c r="D50" i="100"/>
  <c r="N50" i="42"/>
  <c r="N49" i="42" s="1"/>
  <c r="AL30" i="41"/>
  <c r="J84" i="42"/>
  <c r="J83" i="42" s="1"/>
  <c r="AH49" i="41"/>
  <c r="M6" i="42"/>
  <c r="N48" i="42"/>
  <c r="N47" i="42" s="1"/>
  <c r="AL29" i="41"/>
  <c r="K80" i="42"/>
  <c r="K79" i="42" s="1"/>
  <c r="AI47" i="41"/>
  <c r="K92" i="42"/>
  <c r="K91" i="42" s="1"/>
  <c r="AI53" i="41"/>
  <c r="K90" i="42"/>
  <c r="K89" i="42" s="1"/>
  <c r="AI52" i="41"/>
  <c r="T14" i="42"/>
  <c r="N73" i="42"/>
  <c r="N72" i="42" s="1"/>
  <c r="AL43" i="41"/>
  <c r="M69" i="42"/>
  <c r="M68" i="42" s="1"/>
  <c r="AK41" i="41"/>
  <c r="AM21" i="41"/>
  <c r="P32" i="42" s="1"/>
  <c r="P31" i="42" s="1"/>
  <c r="O32" i="42"/>
  <c r="O31" i="42" s="1"/>
  <c r="T12" i="42"/>
  <c r="AJ35" i="41"/>
  <c r="L59" i="42"/>
  <c r="L58" i="42" s="1"/>
  <c r="AL14" i="41"/>
  <c r="N19" i="42"/>
  <c r="N18" i="42" s="1"/>
  <c r="AM19" i="41"/>
  <c r="P28" i="42" s="1"/>
  <c r="P27" i="42" s="1"/>
  <c r="O28" i="42"/>
  <c r="O27" i="42" s="1"/>
  <c r="N52" i="42"/>
  <c r="N51" i="42" s="1"/>
  <c r="AL31" i="41"/>
  <c r="AJ48" i="41"/>
  <c r="L82" i="42"/>
  <c r="L81" i="42" s="1"/>
  <c r="O71" i="42"/>
  <c r="O70" i="42" s="1"/>
  <c r="AM42" i="41"/>
  <c r="P71" i="42" s="1"/>
  <c r="P70" i="42" s="1"/>
  <c r="D57" i="100" l="1"/>
  <c r="E90" i="100"/>
  <c r="E94" i="100"/>
  <c r="E98" i="100"/>
  <c r="E87" i="100"/>
  <c r="E88" i="100"/>
  <c r="E97" i="100"/>
  <c r="E101" i="100"/>
  <c r="E89" i="100"/>
  <c r="E100" i="100"/>
  <c r="E91" i="100"/>
  <c r="E96" i="100"/>
  <c r="E99" i="100"/>
  <c r="E102" i="100"/>
  <c r="E93" i="100"/>
  <c r="E103" i="100"/>
  <c r="E92" i="100"/>
  <c r="E74" i="100"/>
  <c r="E75" i="100" s="1"/>
  <c r="E76" i="100" s="1"/>
  <c r="E77" i="100" s="1"/>
  <c r="E72" i="100"/>
  <c r="E71" i="100" s="1"/>
  <c r="E70" i="100" s="1"/>
  <c r="E69" i="100" s="1"/>
  <c r="F95" i="100"/>
  <c r="AM30" i="41"/>
  <c r="P50" i="42" s="1"/>
  <c r="P49" i="42" s="1"/>
  <c r="O50" i="42"/>
  <c r="O49" i="42" s="1"/>
  <c r="K84" i="42"/>
  <c r="K83" i="42" s="1"/>
  <c r="AI49" i="41"/>
  <c r="O48" i="42"/>
  <c r="O47" i="42" s="1"/>
  <c r="AM29" i="41"/>
  <c r="P48" i="42" s="1"/>
  <c r="P47" i="42" s="1"/>
  <c r="L80" i="42"/>
  <c r="L79" i="42" s="1"/>
  <c r="AJ47" i="41"/>
  <c r="L90" i="42"/>
  <c r="L89" i="42" s="1"/>
  <c r="AJ52" i="41"/>
  <c r="L92" i="42"/>
  <c r="L91" i="42" s="1"/>
  <c r="AJ53" i="41"/>
  <c r="O73" i="42"/>
  <c r="O72" i="42" s="1"/>
  <c r="AM43" i="41"/>
  <c r="P73" i="42" s="1"/>
  <c r="P72" i="42" s="1"/>
  <c r="N69" i="42"/>
  <c r="N68" i="42" s="1"/>
  <c r="AL41" i="41"/>
  <c r="T27" i="42"/>
  <c r="T31" i="42"/>
  <c r="Z30" i="42"/>
  <c r="N6" i="42"/>
  <c r="M82" i="42"/>
  <c r="M81" i="42" s="1"/>
  <c r="AK48" i="41"/>
  <c r="O19" i="42"/>
  <c r="O18" i="42" s="1"/>
  <c r="AM14" i="41"/>
  <c r="P19" i="42" s="1"/>
  <c r="P18" i="42" s="1"/>
  <c r="T70" i="42"/>
  <c r="AM31" i="41"/>
  <c r="P52" i="42" s="1"/>
  <c r="P51" i="42" s="1"/>
  <c r="O52" i="42"/>
  <c r="O51" i="42" s="1"/>
  <c r="M59" i="42"/>
  <c r="M58" i="42" s="1"/>
  <c r="AK35" i="41"/>
  <c r="F90" i="100" l="1"/>
  <c r="F87" i="100"/>
  <c r="F92" i="100"/>
  <c r="F94" i="100"/>
  <c r="F98" i="100"/>
  <c r="F102" i="100"/>
  <c r="F93" i="100"/>
  <c r="F101" i="100"/>
  <c r="F97" i="100"/>
  <c r="F103" i="100"/>
  <c r="F100" i="100"/>
  <c r="F99" i="100"/>
  <c r="F96" i="100"/>
  <c r="F91" i="100"/>
  <c r="F89" i="100"/>
  <c r="F88" i="100"/>
  <c r="E68" i="100"/>
  <c r="E78" i="100"/>
  <c r="T49" i="42"/>
  <c r="L84" i="42"/>
  <c r="L83" i="42" s="1"/>
  <c r="AJ49" i="41"/>
  <c r="P6" i="42"/>
  <c r="T47" i="42"/>
  <c r="M92" i="42"/>
  <c r="M91" i="42" s="1"/>
  <c r="AK53" i="41"/>
  <c r="M80" i="42"/>
  <c r="M79" i="42" s="1"/>
  <c r="AK47" i="41"/>
  <c r="M90" i="42"/>
  <c r="M89" i="42" s="1"/>
  <c r="AK52" i="41"/>
  <c r="T72" i="42"/>
  <c r="O69" i="42"/>
  <c r="O68" i="42" s="1"/>
  <c r="AM41" i="41"/>
  <c r="P69" i="42" s="1"/>
  <c r="P68" i="42" s="1"/>
  <c r="AL48" i="41"/>
  <c r="N82" i="42"/>
  <c r="N81" i="42" s="1"/>
  <c r="N59" i="42"/>
  <c r="N58" i="42" s="1"/>
  <c r="AL35" i="41"/>
  <c r="T18" i="42"/>
  <c r="O6" i="42"/>
  <c r="T51" i="42"/>
  <c r="E79" i="100" l="1"/>
  <c r="E67" i="100"/>
  <c r="M84" i="42"/>
  <c r="M83" i="42" s="1"/>
  <c r="AK49" i="41"/>
  <c r="AA30" i="42"/>
  <c r="AL47" i="41"/>
  <c r="N80" i="42"/>
  <c r="N79" i="42" s="1"/>
  <c r="AB30" i="42" s="1"/>
  <c r="N90" i="42"/>
  <c r="N89" i="42" s="1"/>
  <c r="AL52" i="41"/>
  <c r="AL53" i="41"/>
  <c r="N92" i="42"/>
  <c r="N91" i="42" s="1"/>
  <c r="T68" i="42"/>
  <c r="O59" i="42"/>
  <c r="O58" i="42" s="1"/>
  <c r="AM35" i="41"/>
  <c r="P59" i="42" s="1"/>
  <c r="P58" i="42" s="1"/>
  <c r="O82" i="42"/>
  <c r="O81" i="42" s="1"/>
  <c r="AM48" i="41"/>
  <c r="P82" i="42" s="1"/>
  <c r="P81" i="42" s="1"/>
  <c r="E66" i="100" l="1"/>
  <c r="E80" i="100"/>
  <c r="AL49" i="41"/>
  <c r="N84" i="42"/>
  <c r="N83" i="42" s="1"/>
  <c r="AC30" i="42"/>
  <c r="AM53" i="41"/>
  <c r="P92" i="42" s="1"/>
  <c r="P91" i="42" s="1"/>
  <c r="O92" i="42"/>
  <c r="O91" i="42" s="1"/>
  <c r="O90" i="42"/>
  <c r="O89" i="42" s="1"/>
  <c r="AM52" i="41"/>
  <c r="P90" i="42" s="1"/>
  <c r="P89" i="42" s="1"/>
  <c r="O80" i="42"/>
  <c r="O79" i="42" s="1"/>
  <c r="AM47" i="41"/>
  <c r="P80" i="42" s="1"/>
  <c r="P79" i="42" s="1"/>
  <c r="T58" i="42"/>
  <c r="T81" i="42"/>
  <c r="E81" i="100" l="1"/>
  <c r="E65" i="100"/>
  <c r="O84" i="42"/>
  <c r="O83" i="42" s="1"/>
  <c r="AM49" i="41"/>
  <c r="P84" i="42" s="1"/>
  <c r="P83" i="42" s="1"/>
  <c r="T89" i="42"/>
  <c r="T91" i="42"/>
  <c r="T79" i="42"/>
  <c r="T83" i="42" l="1"/>
  <c r="S61" i="42" l="1"/>
  <c r="S60" i="42" s="1"/>
  <c r="E56" i="43" s="1"/>
  <c r="G56" i="43" s="1"/>
  <c r="R61" i="42"/>
  <c r="R60" i="42"/>
  <c r="R93" i="42" s="1"/>
  <c r="R96" i="42" s="1"/>
  <c r="S93" i="42" l="1"/>
  <c r="S96" i="42" s="1"/>
  <c r="Q61" i="42"/>
  <c r="Q60" i="42" s="1"/>
  <c r="Q93" i="42" s="1"/>
  <c r="Q96" i="42" s="1"/>
  <c r="AR36" i="41"/>
  <c r="AA36" i="41" s="1"/>
  <c r="AB36" i="41" l="1"/>
  <c r="D61" i="42"/>
  <c r="D60" i="42" s="1"/>
  <c r="D93" i="42" s="1"/>
  <c r="D96" i="42" s="1"/>
  <c r="AC36" i="41" l="1"/>
  <c r="E61" i="42"/>
  <c r="E60" i="42" s="1"/>
  <c r="E93" i="42" s="1"/>
  <c r="E96" i="42" s="1"/>
  <c r="AD36" i="41" l="1"/>
  <c r="F61" i="42"/>
  <c r="F60" i="42" s="1"/>
  <c r="F93" i="42" s="1"/>
  <c r="F96" i="42" s="1"/>
  <c r="AE36" i="41" l="1"/>
  <c r="G61" i="42"/>
  <c r="G60" i="42" s="1"/>
  <c r="G93" i="42" s="1"/>
  <c r="G96" i="42" s="1"/>
  <c r="H61" i="42" l="1"/>
  <c r="H60" i="42" s="1"/>
  <c r="AF36" i="41"/>
  <c r="H93" i="42" l="1"/>
  <c r="H96" i="42" s="1"/>
  <c r="I61" i="42"/>
  <c r="I60" i="42" s="1"/>
  <c r="I93" i="42" s="1"/>
  <c r="I96" i="42" s="1"/>
  <c r="AG36" i="41"/>
  <c r="AH36" i="41" l="1"/>
  <c r="J61" i="42"/>
  <c r="J60" i="42" s="1"/>
  <c r="J93" i="42" s="1"/>
  <c r="J96" i="42" s="1"/>
  <c r="K61" i="42" l="1"/>
  <c r="K60" i="42" s="1"/>
  <c r="K93" i="42" s="1"/>
  <c r="K96" i="42" s="1"/>
  <c r="AI36" i="41"/>
  <c r="L61" i="42" l="1"/>
  <c r="L60" i="42" s="1"/>
  <c r="L93" i="42" s="1"/>
  <c r="L96" i="42" s="1"/>
  <c r="AJ36" i="41"/>
  <c r="M61" i="42" l="1"/>
  <c r="M60" i="42" s="1"/>
  <c r="M93" i="42" s="1"/>
  <c r="M96" i="42" s="1"/>
  <c r="AK36" i="41"/>
  <c r="AL36" i="41" l="1"/>
  <c r="N61" i="42"/>
  <c r="N60" i="42" s="1"/>
  <c r="N93" i="42" s="1"/>
  <c r="N96" i="42" s="1"/>
  <c r="O61" i="42" l="1"/>
  <c r="O60" i="42" s="1"/>
  <c r="O93" i="42" s="1"/>
  <c r="O96" i="42" s="1"/>
  <c r="AM36" i="41"/>
  <c r="P61" i="42" s="1"/>
  <c r="P60" i="42" s="1"/>
  <c r="P93" i="42" l="1"/>
  <c r="P96" i="42" s="1"/>
  <c r="T96" i="42" s="1"/>
  <c r="D54" i="96" s="1"/>
  <c r="E53" i="100" s="1"/>
  <c r="T60" i="42"/>
  <c r="E54" i="100" l="1"/>
  <c r="D73" i="100"/>
  <c r="E52" i="100"/>
  <c r="F53" i="100"/>
  <c r="D67" i="96"/>
  <c r="E60" i="96"/>
  <c r="D53" i="96"/>
  <c r="D72" i="100" l="1"/>
  <c r="F72" i="100" s="1"/>
  <c r="D68" i="100"/>
  <c r="F68" i="100" s="1"/>
  <c r="D95" i="100"/>
  <c r="D78" i="100"/>
  <c r="F78" i="100" s="1"/>
  <c r="D74" i="100"/>
  <c r="F74" i="100" s="1"/>
  <c r="D66" i="100"/>
  <c r="F66" i="100" s="1"/>
  <c r="D76" i="100"/>
  <c r="F76" i="100" s="1"/>
  <c r="D69" i="100"/>
  <c r="F69" i="100" s="1"/>
  <c r="D79" i="100"/>
  <c r="F79" i="100" s="1"/>
  <c r="D75" i="100"/>
  <c r="F75" i="100" s="1"/>
  <c r="D71" i="100"/>
  <c r="F71" i="100" s="1"/>
  <c r="D67" i="100"/>
  <c r="F67" i="100" s="1"/>
  <c r="D81" i="100"/>
  <c r="F81" i="100" s="1"/>
  <c r="D77" i="100"/>
  <c r="F77" i="100" s="1"/>
  <c r="D70" i="100"/>
  <c r="F70" i="100" s="1"/>
  <c r="D80" i="100"/>
  <c r="F80" i="100" s="1"/>
  <c r="D65" i="100"/>
  <c r="F65" i="100" s="1"/>
  <c r="F73" i="100"/>
  <c r="E51" i="100"/>
  <c r="F52" i="100"/>
  <c r="E55" i="100"/>
  <c r="F54" i="100"/>
  <c r="F60" i="96"/>
  <c r="D68" i="96"/>
  <c r="D40" i="100" s="1"/>
  <c r="D13" i="100" l="1"/>
  <c r="D41" i="100"/>
  <c r="E50" i="100"/>
  <c r="F51" i="100"/>
  <c r="G95" i="100"/>
  <c r="D94" i="100"/>
  <c r="D96" i="100"/>
  <c r="E56" i="100"/>
  <c r="F55" i="100"/>
  <c r="E57" i="100" l="1"/>
  <c r="F56" i="100"/>
  <c r="D97" i="100"/>
  <c r="G96" i="100"/>
  <c r="E49" i="100"/>
  <c r="F50" i="100"/>
  <c r="D93" i="100"/>
  <c r="G94" i="100"/>
  <c r="D18" i="100"/>
  <c r="E18" i="100" s="1"/>
  <c r="D9" i="100"/>
  <c r="E9" i="100" s="1"/>
  <c r="D14" i="100"/>
  <c r="E14" i="100" s="1"/>
  <c r="D8" i="100"/>
  <c r="E8" i="100" s="1"/>
  <c r="D10" i="100"/>
  <c r="E10" i="100" s="1"/>
  <c r="D17" i="100"/>
  <c r="E17" i="100" s="1"/>
  <c r="D12" i="100"/>
  <c r="E12" i="100" s="1"/>
  <c r="J13" i="100"/>
  <c r="D15" i="100"/>
  <c r="E15" i="100" s="1"/>
  <c r="E13" i="100"/>
  <c r="D16" i="100"/>
  <c r="E16" i="100" s="1"/>
  <c r="D11" i="100"/>
  <c r="E11" i="100" s="1"/>
  <c r="J15" i="100"/>
  <c r="J9" i="100"/>
  <c r="J12" i="100"/>
  <c r="J10" i="100"/>
  <c r="J14" i="100"/>
  <c r="J8" i="100"/>
  <c r="J16" i="100"/>
  <c r="J18" i="100"/>
  <c r="J17" i="100"/>
  <c r="J11" i="100"/>
  <c r="D98" i="100" l="1"/>
  <c r="G97" i="100"/>
  <c r="D92" i="100"/>
  <c r="G93" i="100"/>
  <c r="E48" i="100"/>
  <c r="F48" i="100" s="1"/>
  <c r="F49" i="100"/>
  <c r="E58" i="100"/>
  <c r="F58" i="100" s="1"/>
  <c r="F57" i="100"/>
  <c r="D91" i="100" l="1"/>
  <c r="G92" i="100"/>
  <c r="D99" i="100"/>
  <c r="G98" i="100"/>
  <c r="D100" i="100" l="1"/>
  <c r="G99" i="100"/>
  <c r="D90" i="100"/>
  <c r="G91" i="100"/>
  <c r="D101" i="100" l="1"/>
  <c r="G100" i="100"/>
  <c r="D89" i="100"/>
  <c r="G90" i="100"/>
  <c r="D88" i="100" l="1"/>
  <c r="G89" i="100"/>
  <c r="D102" i="100"/>
  <c r="G101" i="100"/>
  <c r="D87" i="100" l="1"/>
  <c r="G87" i="100" s="1"/>
  <c r="G88" i="100"/>
  <c r="D103" i="100"/>
  <c r="G103" i="100" s="1"/>
  <c r="G102" i="100"/>
  <c r="J20" i="105" l="1"/>
  <c r="I28" i="85"/>
  <c r="I12" i="85"/>
  <c r="I8" i="85"/>
  <c r="I36" i="85"/>
  <c r="I21" i="85"/>
  <c r="I24" i="85"/>
  <c r="I37" i="85"/>
  <c r="I46" i="85"/>
  <c r="I30" i="85"/>
  <c r="I41" i="85"/>
  <c r="I22" i="85"/>
  <c r="H43" i="85"/>
  <c r="I17" i="85"/>
  <c r="I45" i="85"/>
  <c r="I48" i="85"/>
  <c r="I16" i="85"/>
  <c r="I7" i="85"/>
  <c r="I10" i="85"/>
  <c r="I42" i="85"/>
  <c r="I14" i="85"/>
  <c r="I49" i="85"/>
  <c r="F43" i="85"/>
  <c r="H50" i="85"/>
  <c r="C52" i="85"/>
  <c r="I29" i="85"/>
  <c r="I27" i="85"/>
  <c r="I32" i="85"/>
  <c r="I19" i="85"/>
  <c r="E52" i="85"/>
  <c r="F52" i="85"/>
  <c r="F50" i="85"/>
  <c r="I25" i="85"/>
  <c r="I13" i="85"/>
  <c r="D43" i="85"/>
  <c r="I18" i="85"/>
  <c r="I20" i="85"/>
  <c r="E43" i="85"/>
  <c r="I15" i="85"/>
  <c r="I34" i="85"/>
  <c r="I23" i="85"/>
  <c r="I31" i="85"/>
  <c r="D52" i="85"/>
  <c r="I33" i="85"/>
  <c r="I11" i="85"/>
  <c r="I39" i="85"/>
  <c r="D50" i="85"/>
  <c r="G43" i="85"/>
  <c r="I35" i="85"/>
  <c r="E50" i="85"/>
  <c r="G52" i="85"/>
  <c r="I51" i="85"/>
  <c r="C43" i="85"/>
  <c r="I26" i="85"/>
  <c r="C50" i="85"/>
  <c r="I40" i="85"/>
  <c r="I47" i="85"/>
  <c r="I9" i="85"/>
  <c r="I38" i="85"/>
  <c r="H52" i="85"/>
  <c r="G50" i="8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UNIDAD FORMULADORA</author>
  </authors>
  <commentList>
    <comment ref="F94" authorId="0" shapeId="0" xr:uid="{023B6DD9-05AA-49FF-BAE7-09115F3B19F2}">
      <text>
        <r>
          <rPr>
            <b/>
            <sz val="9"/>
            <color indexed="81"/>
            <rFont val="Tahoma"/>
            <family val="2"/>
          </rPr>
          <t>pc:</t>
        </r>
        <r>
          <rPr>
            <sz val="9"/>
            <color indexed="81"/>
            <rFont val="Tahoma"/>
            <family val="2"/>
          </rPr>
          <t xml:space="preserve">
DIAS-CAMA DISPONIBLES</t>
        </r>
      </text>
    </comment>
    <comment ref="R141" authorId="1" shapeId="0" xr:uid="{56F15E71-F627-4CDA-A985-C0D9B79F9D41}">
      <text>
        <r>
          <rPr>
            <b/>
            <sz val="9"/>
            <color indexed="81"/>
            <rFont val="Tahoma"/>
            <family val="2"/>
          </rPr>
          <t>FALTA ESTE DATO PARA TENER UN RESULTADO EN LOS SERVICIOS DEL BANCO DE SANGRE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ORPI_752</author>
  </authors>
  <commentList>
    <comment ref="F46" authorId="0" shapeId="0" xr:uid="{00000000-0006-0000-0D00-000001000000}">
      <text>
        <r>
          <rPr>
            <b/>
            <sz val="9"/>
            <color indexed="81"/>
            <rFont val="Tahoma"/>
            <family val="2"/>
          </rPr>
          <t>Autor:</t>
        </r>
        <r>
          <rPr>
            <sz val="9"/>
            <color indexed="81"/>
            <rFont val="Tahoma"/>
            <family val="2"/>
          </rPr>
          <t xml:space="preserve">
meta PPR 2016</t>
        </r>
      </text>
    </comment>
    <comment ref="J52" authorId="0" shapeId="0" xr:uid="{00000000-0006-0000-0D00-000002000000}">
      <text>
        <r>
          <rPr>
            <b/>
            <sz val="10"/>
            <color indexed="81"/>
            <rFont val="Tahoma"/>
            <family val="2"/>
          </rPr>
          <t>Autor:</t>
        </r>
        <r>
          <rPr>
            <sz val="10"/>
            <color indexed="81"/>
            <rFont val="Tahoma"/>
            <family val="2"/>
          </rPr>
          <t xml:space="preserve">
1 dosis influenza + 1 dosis de Neumococica (solo al 5%de niños de esa edad)</t>
        </r>
      </text>
    </comment>
    <comment ref="L88" authorId="0" shapeId="0" xr:uid="{00000000-0006-0000-0D00-000003000000}">
      <text>
        <r>
          <rPr>
            <sz val="9"/>
            <color indexed="81"/>
            <rFont val="Tahoma"/>
            <family val="2"/>
          </rPr>
          <t>Criterio Prog: 60.8% MEF requieren metodos anticonceptivos. Pg 145</t>
        </r>
      </text>
    </comment>
    <comment ref="S88" authorId="1" shapeId="0" xr:uid="{00000000-0006-0000-0D00-000004000000}">
      <text>
        <r>
          <rPr>
            <b/>
            <sz val="9"/>
            <color indexed="81"/>
            <rFont val="Tahoma"/>
            <family val="2"/>
          </rPr>
          <t>ORPI_752:</t>
        </r>
        <r>
          <rPr>
            <sz val="9"/>
            <color indexed="81"/>
            <rFont val="Tahoma"/>
            <family val="2"/>
          </rPr>
          <t xml:space="preserve">
Definision Operacional: 6 sesiones por separado. Pg 121</t>
        </r>
      </text>
    </comment>
    <comment ref="C89" authorId="0" shapeId="0" xr:uid="{00000000-0006-0000-0D00-000005000000}">
      <text>
        <r>
          <rPr>
            <sz val="7"/>
            <color indexed="81"/>
            <rFont val="Tahoma"/>
            <family val="2"/>
          </rPr>
          <t xml:space="preserve">
Criterio Prog:</t>
        </r>
        <r>
          <rPr>
            <sz val="8"/>
            <color indexed="81"/>
            <rFont val="Arial"/>
            <family val="2"/>
          </rPr>
          <t xml:space="preserve"> 100% de gestantes esperadas. Pg 123.</t>
        </r>
      </text>
    </comment>
    <comment ref="D89" authorId="1" shapeId="0" xr:uid="{00000000-0006-0000-0D00-000006000000}">
      <text>
        <r>
          <rPr>
            <b/>
            <sz val="9"/>
            <color indexed="81"/>
            <rFont val="Tahoma"/>
            <family val="2"/>
          </rPr>
          <t>ORPI_752:</t>
        </r>
        <r>
          <rPr>
            <sz val="9"/>
            <color indexed="81"/>
            <rFont val="Tahoma"/>
            <family val="2"/>
          </rPr>
          <t xml:space="preserve">
Criterio Prog: 6 Atenciones como Minimo. Pg 122</t>
        </r>
      </text>
    </comment>
    <comment ref="F89" authorId="0" shapeId="0" xr:uid="{00000000-0006-0000-0D00-000007000000}">
      <text>
        <r>
          <rPr>
            <b/>
            <sz val="9"/>
            <color indexed="81"/>
            <rFont val="Tahoma"/>
            <family val="2"/>
          </rPr>
          <t>Autor:</t>
        </r>
        <r>
          <rPr>
            <sz val="9"/>
            <color indexed="81"/>
            <rFont val="Tahoma"/>
            <family val="2"/>
          </rPr>
          <t xml:space="preserve">
Definision Operacional: 02 Atenciones por 20 minutos cada una . Pg 176</t>
        </r>
      </text>
    </comment>
    <comment ref="G89" authorId="1" shapeId="0" xr:uid="{00000000-0006-0000-0D00-000008000000}">
      <text>
        <r>
          <rPr>
            <b/>
            <sz val="9"/>
            <color indexed="81"/>
            <rFont val="Tahoma"/>
            <family val="2"/>
          </rPr>
          <t>ORPI_752:</t>
        </r>
        <r>
          <rPr>
            <sz val="9"/>
            <color indexed="81"/>
            <rFont val="Tahoma"/>
            <family val="2"/>
          </rPr>
          <t xml:space="preserve">
Definision Operacional: 01 Consejeria durante el periodo de Gestacion. Pg 138</t>
        </r>
      </text>
    </comment>
    <comment ref="K89" authorId="0" shapeId="0" xr:uid="{00000000-0006-0000-0D00-000009000000}">
      <text>
        <r>
          <rPr>
            <sz val="9"/>
            <color indexed="81"/>
            <rFont val="Tahoma"/>
            <family val="2"/>
          </rPr>
          <t>las mujeres en edad fértil demandan planificación familiar PPR 
Definision Operacional: 01 Consejeria durante el periodo de Gestacion. Pg 138
Criterio Prog: 60.8% de MEF. Pg 145</t>
        </r>
      </text>
    </comment>
    <comment ref="L89" authorId="0" shapeId="0" xr:uid="{00000000-0006-0000-0D00-00000A000000}">
      <text>
        <r>
          <rPr>
            <sz val="7"/>
            <color indexed="81"/>
            <rFont val="Tahoma"/>
            <family val="2"/>
          </rPr>
          <t xml:space="preserve">
</t>
        </r>
        <r>
          <rPr>
            <sz val="8"/>
            <color indexed="81"/>
            <rFont val="Arial"/>
            <family val="2"/>
          </rPr>
          <t>Metodo PPFF mas utilizado en HAP es Anticoceptivo Hormonal Inyectable Progestageno el cual es 4 atenciones al año.
Definison Operacional: 4 Atenciones, 1 atencion cada 3 meses. Pg 149</t>
        </r>
      </text>
    </comment>
    <comment ref="M89" authorId="1" shapeId="0" xr:uid="{00000000-0006-0000-0D00-00000B000000}">
      <text>
        <r>
          <rPr>
            <b/>
            <sz val="9"/>
            <color indexed="81"/>
            <rFont val="Tahoma"/>
            <family val="2"/>
          </rPr>
          <t>ORPI_752:</t>
        </r>
        <r>
          <rPr>
            <sz val="9"/>
            <color indexed="81"/>
            <rFont val="Tahoma"/>
            <family val="2"/>
          </rPr>
          <t xml:space="preserve">
Definision Operacional: 2 Atenciones por 30 Minutos en el año. Pg 159</t>
        </r>
      </text>
    </comment>
    <comment ref="E117" authorId="1" shapeId="0" xr:uid="{00000000-0006-0000-0D00-00000C000000}">
      <text>
        <r>
          <rPr>
            <b/>
            <sz val="9"/>
            <color indexed="81"/>
            <rFont val="Tahoma"/>
            <family val="2"/>
          </rPr>
          <t>ORPI_752:</t>
        </r>
        <r>
          <rPr>
            <sz val="9"/>
            <color indexed="81"/>
            <rFont val="Tahoma"/>
            <family val="2"/>
          </rPr>
          <t xml:space="preserve">
Definision Operacional: 1 Consejeria dentro de los 7 dias de nacido. Pg 57</t>
        </r>
      </text>
    </comment>
    <comment ref="F117" authorId="1" shapeId="0" xr:uid="{00000000-0006-0000-0D00-00000D000000}">
      <text>
        <r>
          <rPr>
            <b/>
            <sz val="9"/>
            <color indexed="81"/>
            <rFont val="Tahoma"/>
            <family val="2"/>
          </rPr>
          <t>ORPI_752:</t>
        </r>
        <r>
          <rPr>
            <sz val="9"/>
            <color indexed="81"/>
            <rFont val="Tahoma"/>
            <family val="2"/>
          </rPr>
          <t xml:space="preserve">
Definision Operacional: 04 Sesiones educativas y demostrativas. Pg 57</t>
        </r>
      </text>
    </comment>
    <comment ref="F140" authorId="0" shapeId="0" xr:uid="{00000000-0006-0000-0D00-00000E000000}">
      <text>
        <r>
          <rPr>
            <b/>
            <sz val="9"/>
            <color indexed="81"/>
            <rFont val="Tahoma"/>
            <family val="2"/>
          </rPr>
          <t>NOTA 2:</t>
        </r>
        <r>
          <rPr>
            <sz val="9"/>
            <color indexed="81"/>
            <rFont val="Tahoma"/>
            <family val="2"/>
          </rPr>
          <t xml:space="preserve"> Fuente INEI 2014</t>
        </r>
      </text>
    </comment>
    <comment ref="P175" authorId="0" shapeId="0" xr:uid="{00000000-0006-0000-0D00-00000F000000}">
      <text>
        <r>
          <rPr>
            <b/>
            <sz val="9"/>
            <color indexed="81"/>
            <rFont val="Tahoma"/>
            <family val="2"/>
          </rPr>
          <t>Autor:</t>
        </r>
        <r>
          <rPr>
            <sz val="9"/>
            <color indexed="81"/>
            <rFont val="Tahoma"/>
            <family val="2"/>
          </rPr>
          <t xml:space="preserve">
Fuente PPR2013
Programa de Prevencion control de Cancer(0024)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ORPI_752</author>
    <author>Autor</author>
  </authors>
  <commentList>
    <comment ref="M55" authorId="0" shapeId="0" xr:uid="{00000000-0006-0000-0E00-000001000000}">
      <text>
        <r>
          <rPr>
            <b/>
            <sz val="9"/>
            <color indexed="81"/>
            <rFont val="Tahoma"/>
            <family val="2"/>
          </rPr>
          <t>ORPI_752:</t>
        </r>
        <r>
          <rPr>
            <sz val="9"/>
            <color indexed="81"/>
            <rFont val="Tahoma"/>
            <family val="2"/>
          </rPr>
          <t xml:space="preserve">
Definision Operacional: 25% de poblacion femenina de 18 a 64 años. Pg 530</t>
        </r>
      </text>
    </comment>
    <comment ref="N55" authorId="0" shapeId="0" xr:uid="{00000000-0006-0000-0E00-000002000000}">
      <text>
        <r>
          <rPr>
            <b/>
            <sz val="9"/>
            <color indexed="81"/>
            <rFont val="Tahoma"/>
            <family val="2"/>
          </rPr>
          <t>ORPI_752:</t>
        </r>
        <r>
          <rPr>
            <sz val="9"/>
            <color indexed="81"/>
            <rFont val="Tahoma"/>
            <family val="2"/>
          </rPr>
          <t xml:space="preserve">
Definision Operacional: 25% de poblacion femenina de 18 a 64 años. Pg 533</t>
        </r>
      </text>
    </comment>
    <comment ref="O55" authorId="0" shapeId="0" xr:uid="{00000000-0006-0000-0E00-000003000000}">
      <text>
        <r>
          <rPr>
            <b/>
            <sz val="9"/>
            <color indexed="81"/>
            <rFont val="Tahoma"/>
            <family val="2"/>
          </rPr>
          <t>ORPI_752:</t>
        </r>
        <r>
          <rPr>
            <sz val="9"/>
            <color indexed="81"/>
            <rFont val="Tahoma"/>
            <family val="2"/>
          </rPr>
          <t xml:space="preserve">
Definision Operacional: 25% de personas de 18 a 64 años. Pg 535</t>
        </r>
      </text>
    </comment>
    <comment ref="P55" authorId="0" shapeId="0" xr:uid="{00000000-0006-0000-0E00-000004000000}">
      <text>
        <r>
          <rPr>
            <b/>
            <sz val="9"/>
            <color indexed="81"/>
            <rFont val="Tahoma"/>
            <family val="2"/>
          </rPr>
          <t>ORPI_752:</t>
        </r>
        <r>
          <rPr>
            <sz val="9"/>
            <color indexed="81"/>
            <rFont val="Tahoma"/>
            <family val="2"/>
          </rPr>
          <t xml:space="preserve">
Definision Operacional: 25% de poblacion masculina de 18 a 69 años. Pg 537</t>
        </r>
      </text>
    </comment>
    <comment ref="Q55" authorId="0" shapeId="0" xr:uid="{00000000-0006-0000-0E00-000005000000}">
      <text>
        <r>
          <rPr>
            <b/>
            <sz val="9"/>
            <color indexed="81"/>
            <rFont val="Tahoma"/>
            <family val="2"/>
          </rPr>
          <t>ORPI_752:</t>
        </r>
        <r>
          <rPr>
            <sz val="9"/>
            <color indexed="81"/>
            <rFont val="Tahoma"/>
            <family val="2"/>
          </rPr>
          <t xml:space="preserve">
Definision Operacional: 15% de poblacion adolescente de 12 a 17 años. Pg 542</t>
        </r>
      </text>
    </comment>
    <comment ref="R55" authorId="0" shapeId="0" xr:uid="{00000000-0006-0000-0E00-000006000000}">
      <text>
        <r>
          <rPr>
            <b/>
            <sz val="9"/>
            <color indexed="81"/>
            <rFont val="Tahoma"/>
            <family val="2"/>
          </rPr>
          <t>ORPI_752:</t>
        </r>
        <r>
          <rPr>
            <sz val="9"/>
            <color indexed="81"/>
            <rFont val="Tahoma"/>
            <family val="2"/>
          </rPr>
          <t xml:space="preserve">
Definision Operacional: 15% de poblacion de 18 años a mas años. Pg 545</t>
        </r>
      </text>
    </comment>
    <comment ref="M56" authorId="0" shapeId="0" xr:uid="{00000000-0006-0000-0E00-000007000000}">
      <text>
        <r>
          <rPr>
            <b/>
            <sz val="9"/>
            <color indexed="81"/>
            <rFont val="Tahoma"/>
            <family val="2"/>
          </rPr>
          <t>ORPI_752:</t>
        </r>
        <r>
          <rPr>
            <sz val="9"/>
            <color indexed="81"/>
            <rFont val="Tahoma"/>
            <family val="2"/>
          </rPr>
          <t xml:space="preserve">
Definision Operacional: 02 sesiones de consejeria. Pg 530</t>
        </r>
      </text>
    </comment>
    <comment ref="N56" authorId="0" shapeId="0" xr:uid="{00000000-0006-0000-0E00-000008000000}">
      <text>
        <r>
          <rPr>
            <b/>
            <sz val="9"/>
            <color indexed="81"/>
            <rFont val="Tahoma"/>
            <family val="2"/>
          </rPr>
          <t>ORPI_752:</t>
        </r>
        <r>
          <rPr>
            <sz val="9"/>
            <color indexed="81"/>
            <rFont val="Tahoma"/>
            <family val="2"/>
          </rPr>
          <t xml:space="preserve">
Definision Operacional: 02 sesiones de consejeria. Pg 533</t>
        </r>
      </text>
    </comment>
    <comment ref="O56" authorId="0" shapeId="0" xr:uid="{00000000-0006-0000-0E00-000009000000}">
      <text>
        <r>
          <rPr>
            <b/>
            <sz val="9"/>
            <color indexed="81"/>
            <rFont val="Tahoma"/>
            <family val="2"/>
          </rPr>
          <t>ORPI_752:</t>
        </r>
        <r>
          <rPr>
            <sz val="9"/>
            <color indexed="81"/>
            <rFont val="Tahoma"/>
            <family val="2"/>
          </rPr>
          <t xml:space="preserve">
Definision Operacional: 02 sesiones de consejeria. Pg 535</t>
        </r>
      </text>
    </comment>
    <comment ref="P56" authorId="0" shapeId="0" xr:uid="{00000000-0006-0000-0E00-00000A000000}">
      <text>
        <r>
          <rPr>
            <b/>
            <sz val="9"/>
            <color indexed="81"/>
            <rFont val="Tahoma"/>
            <family val="2"/>
          </rPr>
          <t>ORPI_752:</t>
        </r>
        <r>
          <rPr>
            <sz val="9"/>
            <color indexed="81"/>
            <rFont val="Tahoma"/>
            <family val="2"/>
          </rPr>
          <t xml:space="preserve">
Definision Operacional: 02 sesiones de consejeria. Pg 537</t>
        </r>
      </text>
    </comment>
    <comment ref="Q56" authorId="0" shapeId="0" xr:uid="{00000000-0006-0000-0E00-00000B000000}">
      <text>
        <r>
          <rPr>
            <b/>
            <sz val="9"/>
            <color indexed="81"/>
            <rFont val="Tahoma"/>
            <family val="2"/>
          </rPr>
          <t>ORPI_752:</t>
        </r>
        <r>
          <rPr>
            <sz val="9"/>
            <color indexed="81"/>
            <rFont val="Tahoma"/>
            <family val="2"/>
          </rPr>
          <t xml:space="preserve">
Definision Operacional: 02 sesiones de consejeria. Pg 542</t>
        </r>
      </text>
    </comment>
    <comment ref="R56" authorId="0" shapeId="0" xr:uid="{00000000-0006-0000-0E00-00000C000000}">
      <text>
        <r>
          <rPr>
            <b/>
            <sz val="9"/>
            <color indexed="81"/>
            <rFont val="Tahoma"/>
            <family val="2"/>
          </rPr>
          <t>ORPI_752:</t>
        </r>
        <r>
          <rPr>
            <sz val="9"/>
            <color indexed="81"/>
            <rFont val="Tahoma"/>
            <family val="2"/>
          </rPr>
          <t xml:space="preserve">
Definision Operacional: 02 sesiones de consejeria. Pg 544</t>
        </r>
      </text>
    </comment>
    <comment ref="W56" authorId="0" shapeId="0" xr:uid="{00000000-0006-0000-0E00-00000D000000}">
      <text>
        <r>
          <rPr>
            <b/>
            <sz val="9"/>
            <color indexed="81"/>
            <rFont val="Tahoma"/>
            <family val="2"/>
          </rPr>
          <t>ORPI_752:</t>
        </r>
        <r>
          <rPr>
            <sz val="9"/>
            <color indexed="81"/>
            <rFont val="Tahoma"/>
            <family val="2"/>
          </rPr>
          <t xml:space="preserve">
Definision Operacional: 20% de adolescentes. Pg 120</t>
        </r>
      </text>
    </comment>
    <comment ref="X56" authorId="0" shapeId="0" xr:uid="{00000000-0006-0000-0E00-00000E000000}">
      <text>
        <r>
          <rPr>
            <b/>
            <sz val="9"/>
            <color indexed="81"/>
            <rFont val="Tahoma"/>
            <family val="2"/>
          </rPr>
          <t>ORPI_752:</t>
        </r>
        <r>
          <rPr>
            <sz val="9"/>
            <color indexed="81"/>
            <rFont val="Tahoma"/>
            <family val="2"/>
          </rPr>
          <t xml:space="preserve">
Definision Operacional: 20% de adolescentes. Pg 263</t>
        </r>
      </text>
    </comment>
    <comment ref="Y56" authorId="0" shapeId="0" xr:uid="{00000000-0006-0000-0E00-00000F000000}">
      <text>
        <r>
          <rPr>
            <b/>
            <sz val="9"/>
            <color indexed="81"/>
            <rFont val="Tahoma"/>
            <family val="2"/>
          </rPr>
          <t>ORPI_752:</t>
        </r>
        <r>
          <rPr>
            <sz val="9"/>
            <color indexed="81"/>
            <rFont val="Tahoma"/>
            <family val="2"/>
          </rPr>
          <t xml:space="preserve">
Criterio de Programacion : 60 % de poblacion asiganda de 3 a 17 años. Pg 682</t>
        </r>
      </text>
    </comment>
    <comment ref="W57" authorId="0" shapeId="0" xr:uid="{00000000-0006-0000-0E00-000010000000}">
      <text>
        <r>
          <rPr>
            <b/>
            <sz val="9"/>
            <color indexed="81"/>
            <rFont val="Tahoma"/>
            <family val="2"/>
          </rPr>
          <t>ORPI_752:</t>
        </r>
        <r>
          <rPr>
            <sz val="9"/>
            <color indexed="81"/>
            <rFont val="Tahoma"/>
            <family val="2"/>
          </rPr>
          <t xml:space="preserve">
Definision Operacional: 03 sesiones de consejeria. Pg 120</t>
        </r>
      </text>
    </comment>
    <comment ref="D89" authorId="0" shapeId="0" xr:uid="{00000000-0006-0000-0E00-000011000000}">
      <text>
        <r>
          <rPr>
            <b/>
            <sz val="9"/>
            <color indexed="81"/>
            <rFont val="Tahoma"/>
            <family val="2"/>
          </rPr>
          <t>ORPI_752:</t>
        </r>
        <r>
          <rPr>
            <sz val="9"/>
            <color indexed="81"/>
            <rFont val="Tahoma"/>
            <family val="2"/>
          </rPr>
          <t xml:space="preserve">
Definision Operacional: 2 Atenciones de sintomaticos respiratorios. Pg 216</t>
        </r>
      </text>
    </comment>
    <comment ref="D91" authorId="1" shapeId="0" xr:uid="{00000000-0006-0000-0E00-000012000000}">
      <text>
        <r>
          <rPr>
            <b/>
            <sz val="9"/>
            <color indexed="81"/>
            <rFont val="Tahoma"/>
            <family val="2"/>
          </rPr>
          <t>Autor:</t>
        </r>
        <r>
          <rPr>
            <sz val="9"/>
            <color indexed="81"/>
            <rFont val="Tahoma"/>
            <family val="2"/>
          </rPr>
          <t xml:space="preserve">
Criterio de Programacion: 5% de atenciones. Pg 217</t>
        </r>
      </text>
    </comment>
    <comment ref="G91" authorId="0" shapeId="0" xr:uid="{00000000-0006-0000-0E00-000013000000}">
      <text>
        <r>
          <rPr>
            <b/>
            <sz val="9"/>
            <color indexed="81"/>
            <rFont val="Tahoma"/>
            <family val="2"/>
          </rPr>
          <t>ORPI_752:</t>
        </r>
        <r>
          <rPr>
            <sz val="9"/>
            <color indexed="81"/>
            <rFont val="Tahoma"/>
            <family val="2"/>
          </rPr>
          <t xml:space="preserve">
Criterio de Programacion: N° de personas que frecuentan el mismo espacio: 4  . Pg 219</t>
        </r>
      </text>
    </comment>
    <comment ref="J163" authorId="1" shapeId="0" xr:uid="{00000000-0006-0000-0E00-000014000000}">
      <text>
        <r>
          <rPr>
            <b/>
            <sz val="9"/>
            <color indexed="81"/>
            <rFont val="Tahoma"/>
            <family val="2"/>
          </rPr>
          <t>Autor:</t>
        </r>
        <r>
          <rPr>
            <sz val="9"/>
            <color indexed="81"/>
            <rFont val="Tahoma"/>
            <family val="2"/>
          </rPr>
          <t xml:space="preserve">
se ha tomado la poblacion demnadadnte sin seguro de ESSALUD
</t>
        </r>
      </text>
    </comment>
    <comment ref="C176" authorId="1" shapeId="0" xr:uid="{00000000-0006-0000-0E00-000015000000}">
      <text>
        <r>
          <rPr>
            <sz val="9"/>
            <color indexed="81"/>
            <rFont val="Tahoma"/>
            <family val="2"/>
          </rPr>
          <t xml:space="preserve">
Criterio de Programacion:
- 60% niños y niñas menores de 5 años afiliados al SIS. Pg 336</t>
        </r>
      </text>
    </comment>
    <comment ref="D176" authorId="0" shapeId="0" xr:uid="{00000000-0006-0000-0E00-000016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E176" authorId="0" shapeId="0" xr:uid="{00000000-0006-0000-0E00-000017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F176" authorId="0" shapeId="0" xr:uid="{00000000-0006-0000-0E00-000018000000}">
      <text>
        <r>
          <rPr>
            <b/>
            <sz val="9"/>
            <color indexed="81"/>
            <rFont val="Tahoma"/>
            <family val="2"/>
          </rPr>
          <t>ORPI_752:</t>
        </r>
        <r>
          <rPr>
            <sz val="9"/>
            <color indexed="81"/>
            <rFont val="Tahoma"/>
            <family val="2"/>
          </rPr>
          <t xml:space="preserve">
Criterio de Programacion:
- 80% niños y niñas de 6 a 11  años afiliados al SIS. Pg 339</t>
        </r>
      </text>
    </comment>
    <comment ref="G176" authorId="1" shapeId="0" xr:uid="{00000000-0006-0000-0E00-000019000000}">
      <text>
        <r>
          <rPr>
            <sz val="9"/>
            <color indexed="81"/>
            <rFont val="Tahoma"/>
            <family val="2"/>
          </rPr>
          <t>Criterio de Programacion: 60% de gestantes programadas. Pg 126</t>
        </r>
      </text>
    </comment>
    <comment ref="C177" authorId="0" shapeId="0" xr:uid="{00000000-0006-0000-0E00-00001A000000}">
      <text>
        <r>
          <rPr>
            <b/>
            <sz val="9"/>
            <color indexed="81"/>
            <rFont val="Tahoma"/>
            <family val="2"/>
          </rPr>
          <t>ORPI_752:</t>
        </r>
        <r>
          <rPr>
            <sz val="9"/>
            <color indexed="81"/>
            <rFont val="Tahoma"/>
            <family val="2"/>
          </rPr>
          <t xml:space="preserve">
Criterio de Programacion:
-30% niños y niñas de 5 a 11 años afiliado al SIS. Pg 336</t>
        </r>
      </text>
    </comment>
    <comment ref="D177" authorId="0" shapeId="0" xr:uid="{00000000-0006-0000-0E00-00001B000000}">
      <text>
        <r>
          <rPr>
            <b/>
            <sz val="9"/>
            <color indexed="81"/>
            <rFont val="Tahoma"/>
            <family val="2"/>
          </rPr>
          <t>ORPI_752:</t>
        </r>
        <r>
          <rPr>
            <sz val="9"/>
            <color indexed="81"/>
            <rFont val="Tahoma"/>
            <family val="2"/>
          </rPr>
          <t xml:space="preserve">
Criterio de Programacion:
-30% niños y niñas de 5 a 11 años afiliado al SIS. Pg 337</t>
        </r>
      </text>
    </comment>
    <comment ref="E177" authorId="0" shapeId="0" xr:uid="{00000000-0006-0000-0E00-00001C000000}">
      <text>
        <r>
          <rPr>
            <b/>
            <sz val="9"/>
            <color indexed="81"/>
            <rFont val="Tahoma"/>
            <family val="2"/>
          </rPr>
          <t>ORPI_752:</t>
        </r>
        <r>
          <rPr>
            <sz val="9"/>
            <color indexed="81"/>
            <rFont val="Tahoma"/>
            <family val="2"/>
          </rPr>
          <t xml:space="preserve">
Criterio de Programacion:
-30% niños y niñas de 5 a 11 años afiliado al SIS.Pg 337</t>
        </r>
      </text>
    </comment>
    <comment ref="C178" authorId="0" shapeId="0" xr:uid="{00000000-0006-0000-0E00-00001D000000}">
      <text>
        <r>
          <rPr>
            <b/>
            <sz val="9"/>
            <color indexed="81"/>
            <rFont val="Tahoma"/>
            <family val="2"/>
          </rPr>
          <t>ORPI_752:</t>
        </r>
        <r>
          <rPr>
            <sz val="9"/>
            <color indexed="81"/>
            <rFont val="Tahoma"/>
            <family val="2"/>
          </rPr>
          <t xml:space="preserve">
Definison Operacional: frecuencia de 2 veces al año. Pg 435</t>
        </r>
      </text>
    </comment>
    <comment ref="D178" authorId="0" shapeId="0" xr:uid="{00000000-0006-0000-0E00-00001E000000}">
      <text>
        <r>
          <rPr>
            <b/>
            <sz val="9"/>
            <color indexed="81"/>
            <rFont val="Tahoma"/>
            <family val="2"/>
          </rPr>
          <t>ORPI_752:</t>
        </r>
        <r>
          <rPr>
            <sz val="9"/>
            <color indexed="81"/>
            <rFont val="Tahoma"/>
            <family val="2"/>
          </rPr>
          <t xml:space="preserve">
Definison Operacional: frecuencia de 2 veces al año. Pg 436</t>
        </r>
      </text>
    </comment>
    <comment ref="E178" authorId="0" shapeId="0" xr:uid="{00000000-0006-0000-0E00-00001F000000}">
      <text>
        <r>
          <rPr>
            <b/>
            <sz val="9"/>
            <color indexed="81"/>
            <rFont val="Tahoma"/>
            <family val="2"/>
          </rPr>
          <t>ORPI_752:</t>
        </r>
        <r>
          <rPr>
            <sz val="9"/>
            <color indexed="81"/>
            <rFont val="Tahoma"/>
            <family val="2"/>
          </rPr>
          <t xml:space="preserve">
Definison Operacional: frecuencia de 2 veces al año. Pg 437</t>
        </r>
      </text>
    </comment>
    <comment ref="F178" authorId="0" shapeId="0" xr:uid="{00000000-0006-0000-0E00-000020000000}">
      <text>
        <r>
          <rPr>
            <b/>
            <sz val="9"/>
            <color indexed="81"/>
            <rFont val="Tahoma"/>
            <family val="2"/>
          </rPr>
          <t>ORPI_752:</t>
        </r>
        <r>
          <rPr>
            <sz val="9"/>
            <color indexed="81"/>
            <rFont val="Tahoma"/>
            <family val="2"/>
          </rPr>
          <t xml:space="preserve">
Definison Operacional: frecuencia de 2 veces al año. Pg 439</t>
        </r>
      </text>
    </comment>
    <comment ref="G178" authorId="0" shapeId="0" xr:uid="{00000000-0006-0000-0E00-000021000000}">
      <text>
        <r>
          <rPr>
            <b/>
            <sz val="9"/>
            <color indexed="81"/>
            <rFont val="Tahoma"/>
            <family val="2"/>
          </rPr>
          <t>ORPI_752:</t>
        </r>
        <r>
          <rPr>
            <sz val="9"/>
            <color indexed="81"/>
            <rFont val="Tahoma"/>
            <family val="2"/>
          </rPr>
          <t xml:space="preserve">
Definision Operacional: 2 atenciones. Pg 126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J126" authorId="0" shapeId="0" xr:uid="{00000000-0006-0000-0F00-000001000000}">
      <text>
        <r>
          <rPr>
            <b/>
            <sz val="9"/>
            <color indexed="81"/>
            <rFont val="Tahoma"/>
            <family val="2"/>
          </rPr>
          <t>Autor:</t>
        </r>
        <r>
          <rPr>
            <sz val="9"/>
            <color indexed="81"/>
            <rFont val="Tahoma"/>
            <family val="2"/>
          </rPr>
          <t xml:space="preserve">
partos +cesareas  por morbilidad gestante complicada</t>
        </r>
      </text>
    </comment>
    <comment ref="L126" authorId="0" shapeId="0" xr:uid="{00000000-0006-0000-0F00-000002000000}">
      <text>
        <r>
          <rPr>
            <b/>
            <sz val="9"/>
            <color indexed="81"/>
            <rFont val="Tahoma"/>
            <family val="2"/>
          </rPr>
          <t>Autor:</t>
        </r>
        <r>
          <rPr>
            <sz val="9"/>
            <color indexed="81"/>
            <rFont val="Tahoma"/>
            <family val="2"/>
          </rPr>
          <t xml:space="preserve">
la complicacion de la madre
úerperas 
</t>
        </r>
      </text>
    </comment>
    <comment ref="S153" authorId="0" shapeId="0" xr:uid="{00000000-0006-0000-0F00-000003000000}">
      <text>
        <r>
          <rPr>
            <b/>
            <sz val="9"/>
            <color indexed="81"/>
            <rFont val="Tahoma"/>
            <family val="2"/>
          </rPr>
          <t>Autor:</t>
        </r>
        <r>
          <rPr>
            <sz val="9"/>
            <color indexed="81"/>
            <rFont val="Tahoma"/>
            <family val="2"/>
          </rPr>
          <t xml:space="preserve">
la complicacion de la madre
úerperas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O83" authorId="0" shapeId="0" xr:uid="{00000000-0006-0000-1F00-000001000000}">
      <text>
        <r>
          <rPr>
            <sz val="9"/>
            <color indexed="81"/>
            <rFont val="Tahoma"/>
            <family val="2"/>
          </rPr>
          <t xml:space="preserve">Atencion al RN realizado por Medico Pediatra y/o Enfermera
</t>
        </r>
      </text>
    </comment>
    <comment ref="O84" authorId="0" shapeId="0" xr:uid="{00000000-0006-0000-1F00-000002000000}">
      <text>
        <r>
          <rPr>
            <sz val="9"/>
            <color indexed="81"/>
            <rFont val="Tahoma"/>
            <family val="2"/>
          </rPr>
          <t>Atencion al RN realizado por Medico Pediatra y/o Enfermera</t>
        </r>
      </text>
    </comment>
    <comment ref="D85" authorId="0" shapeId="0" xr:uid="{00000000-0006-0000-1F00-000003000000}">
      <text>
        <r>
          <rPr>
            <sz val="9"/>
            <color indexed="81"/>
            <rFont val="Tahoma"/>
            <family val="2"/>
          </rPr>
          <t>Atencion de parto expulsivo, el puerperio se va ir a hospitalizacion</t>
        </r>
      </text>
    </comment>
    <comment ref="D86" authorId="0" shapeId="0" xr:uid="{00000000-0006-0000-1F00-000004000000}">
      <text>
        <r>
          <rPr>
            <sz val="9"/>
            <color indexed="81"/>
            <rFont val="Tahoma"/>
            <family val="2"/>
          </rPr>
          <t>se suma atencion de parto y tiempo dedica en puerperio</t>
        </r>
      </text>
    </comment>
    <comment ref="D103" authorId="0" shapeId="0" xr:uid="{00000000-0006-0000-1F00-000005000000}">
      <text>
        <r>
          <rPr>
            <sz val="9"/>
            <color indexed="81"/>
            <rFont val="Tahoma"/>
            <family val="2"/>
          </rPr>
          <t>Alto Riesgo 
Obstetrico</t>
        </r>
      </text>
    </comment>
    <comment ref="E104" authorId="0" shapeId="0" xr:uid="{00000000-0006-0000-1F00-000006000000}">
      <text>
        <r>
          <rPr>
            <sz val="9"/>
            <color indexed="81"/>
            <rFont val="Tahoma"/>
            <family val="2"/>
          </rPr>
          <t xml:space="preserve">Se calcula como intermedios neonatal
</t>
        </r>
      </text>
    </comment>
    <comment ref="K106" authorId="0" shapeId="0" xr:uid="{00000000-0006-0000-1F00-000007000000}">
      <text>
        <r>
          <rPr>
            <sz val="9"/>
            <color indexed="81"/>
            <rFont val="Tahoma"/>
            <family val="2"/>
          </rPr>
          <t>Tecnico Asistencial en Servicio de Laboratorio</t>
        </r>
      </text>
    </comment>
    <comment ref="D107" authorId="0" shapeId="0" xr:uid="{00000000-0006-0000-1F00-000008000000}">
      <text>
        <r>
          <rPr>
            <sz val="9"/>
            <color indexed="81"/>
            <rFont val="Tahoma"/>
            <family val="2"/>
          </rPr>
          <t>Tecnologo Medico en Laboratorio</t>
        </r>
      </text>
    </comment>
    <comment ref="K107" authorId="0" shapeId="0" xr:uid="{00000000-0006-0000-1F00-000009000000}">
      <text>
        <r>
          <rPr>
            <sz val="9"/>
            <color indexed="81"/>
            <rFont val="Tahoma"/>
            <family val="2"/>
          </rPr>
          <t>Tecnico Asistencial en Servicio de Laboratorio</t>
        </r>
      </text>
    </comment>
    <comment ref="D108" authorId="0" shapeId="0" xr:uid="{00000000-0006-0000-1F00-00000A000000}">
      <text>
        <r>
          <rPr>
            <sz val="9"/>
            <color indexed="81"/>
            <rFont val="Tahoma"/>
            <family val="2"/>
          </rPr>
          <t>Tecnologo Medico en Laboratorio</t>
        </r>
      </text>
    </comment>
    <comment ref="K108" authorId="0" shapeId="0" xr:uid="{00000000-0006-0000-1F00-00000B000000}">
      <text>
        <r>
          <rPr>
            <sz val="9"/>
            <color indexed="81"/>
            <rFont val="Tahoma"/>
            <family val="2"/>
          </rPr>
          <t>Tecnico Asistencial en Servicio de Laboratorio</t>
        </r>
      </text>
    </comment>
    <comment ref="D109" authorId="0" shapeId="0" xr:uid="{00000000-0006-0000-1F00-00000C000000}">
      <text>
        <r>
          <rPr>
            <sz val="9"/>
            <color indexed="81"/>
            <rFont val="Tahoma"/>
            <family val="2"/>
          </rPr>
          <t>Tecnologo Medico en Laboratorio</t>
        </r>
      </text>
    </comment>
    <comment ref="K109" authorId="0" shapeId="0" xr:uid="{00000000-0006-0000-1F00-00000D000000}">
      <text>
        <r>
          <rPr>
            <sz val="9"/>
            <color indexed="81"/>
            <rFont val="Tahoma"/>
            <family val="2"/>
          </rPr>
          <t>Tecnico Asistencial en Servicio de Laboratorio</t>
        </r>
      </text>
    </comment>
    <comment ref="D110" authorId="0" shapeId="0" xr:uid="{00000000-0006-0000-1F00-00000E000000}">
      <text>
        <r>
          <rPr>
            <sz val="9"/>
            <color indexed="81"/>
            <rFont val="Tahoma"/>
            <family val="2"/>
          </rPr>
          <t>Tecnologo Medico en Laboratorio</t>
        </r>
      </text>
    </comment>
    <comment ref="K110" authorId="0" shapeId="0" xr:uid="{00000000-0006-0000-1F00-00000F000000}">
      <text>
        <r>
          <rPr>
            <sz val="9"/>
            <color indexed="81"/>
            <rFont val="Tahoma"/>
            <family val="2"/>
          </rPr>
          <t>Tecnico Asistencial en Servicio de Laboratorio</t>
        </r>
      </text>
    </comment>
    <comment ref="K111" authorId="0" shapeId="0" xr:uid="{00000000-0006-0000-1F00-000010000000}">
      <text>
        <r>
          <rPr>
            <sz val="9"/>
            <color indexed="81"/>
            <rFont val="Tahoma"/>
            <family val="2"/>
          </rPr>
          <t>Tecnico Asistencial en Servicio de Laboratorio</t>
        </r>
      </text>
    </comment>
    <comment ref="K112" authorId="0" shapeId="0" xr:uid="{00000000-0006-0000-1F00-000011000000}">
      <text>
        <r>
          <rPr>
            <sz val="9"/>
            <color indexed="81"/>
            <rFont val="Tahoma"/>
            <family val="2"/>
          </rPr>
          <t>Tecnico Asistencial en Servicio de Laboratorio</t>
        </r>
      </text>
    </comment>
    <comment ref="D113" authorId="0" shapeId="0" xr:uid="{00000000-0006-0000-1F00-000012000000}">
      <text>
        <r>
          <rPr>
            <sz val="9"/>
            <color indexed="81"/>
            <rFont val="Tahoma"/>
            <family val="2"/>
          </rPr>
          <t xml:space="preserve">Medico Radiologo o Tecnologo Medico </t>
        </r>
      </text>
    </comment>
    <comment ref="K113" authorId="0" shapeId="0" xr:uid="{00000000-0006-0000-1F00-000013000000}">
      <text>
        <r>
          <rPr>
            <sz val="9"/>
            <color indexed="81"/>
            <rFont val="Tahoma"/>
            <family val="2"/>
          </rPr>
          <t>Técnico Asistencial de Salud - Servicio Radiología</t>
        </r>
      </text>
    </comment>
    <comment ref="D114" authorId="0" shapeId="0" xr:uid="{00000000-0006-0000-1F00-000014000000}">
      <text>
        <r>
          <rPr>
            <sz val="9"/>
            <color indexed="81"/>
            <rFont val="Tahoma"/>
            <family val="2"/>
          </rPr>
          <t xml:space="preserve">Medico Radiologo o Tecnologo Medico </t>
        </r>
      </text>
    </comment>
    <comment ref="K114" authorId="0" shapeId="0" xr:uid="{00000000-0006-0000-1F00-000015000000}">
      <text>
        <r>
          <rPr>
            <sz val="9"/>
            <color indexed="81"/>
            <rFont val="Tahoma"/>
            <family val="2"/>
          </rPr>
          <t>Técnico Asistencial de Salud - Servicio Radiología</t>
        </r>
      </text>
    </comment>
    <comment ref="K115" authorId="0" shapeId="0" xr:uid="{00000000-0006-0000-1F00-000016000000}">
      <text>
        <r>
          <rPr>
            <sz val="9"/>
            <color indexed="81"/>
            <rFont val="Tahoma"/>
            <family val="2"/>
          </rPr>
          <t>Técnico Asistencial de Salud - Servicio Radiología</t>
        </r>
      </text>
    </comment>
    <comment ref="K116" authorId="0" shapeId="0" xr:uid="{00000000-0006-0000-1F00-000017000000}">
      <text>
        <r>
          <rPr>
            <sz val="9"/>
            <color indexed="81"/>
            <rFont val="Tahoma"/>
            <family val="2"/>
          </rPr>
          <t>Técnico Asistencial de Salud - Servicio Radiología</t>
        </r>
      </text>
    </comment>
    <comment ref="K117" authorId="0" shapeId="0" xr:uid="{00000000-0006-0000-1F00-000018000000}">
      <text>
        <r>
          <rPr>
            <sz val="9"/>
            <color indexed="81"/>
            <rFont val="Tahoma"/>
            <family val="2"/>
          </rPr>
          <t>Técnico Asistencial de Salud - Servicio Radiología</t>
        </r>
      </text>
    </comment>
    <comment ref="K118" authorId="0" shapeId="0" xr:uid="{00000000-0006-0000-1F00-000019000000}">
      <text>
        <r>
          <rPr>
            <sz val="9"/>
            <color indexed="81"/>
            <rFont val="Tahoma"/>
            <family val="2"/>
          </rPr>
          <t>Técnico Asistencial de Salud - Servicio Radiología</t>
        </r>
      </text>
    </comment>
    <comment ref="K119" authorId="0" shapeId="0" xr:uid="{00000000-0006-0000-1F00-00001A000000}">
      <text>
        <r>
          <rPr>
            <sz val="9"/>
            <color indexed="81"/>
            <rFont val="Tahoma"/>
            <family val="2"/>
          </rPr>
          <t>Técnico Asistencial de Salud - Servicio Radiología</t>
        </r>
      </text>
    </comment>
    <comment ref="D120" authorId="0" shapeId="0" xr:uid="{00000000-0006-0000-1F00-00001B000000}">
      <text>
        <r>
          <rPr>
            <sz val="9"/>
            <color indexed="81"/>
            <rFont val="Tahoma"/>
            <family val="2"/>
          </rPr>
          <t>Tecnólogo Médico - Área Rehabilitación</t>
        </r>
      </text>
    </comment>
    <comment ref="K120" authorId="0" shapeId="0" xr:uid="{00000000-0006-0000-1F00-00001C000000}">
      <text>
        <r>
          <rPr>
            <sz val="9"/>
            <color indexed="81"/>
            <rFont val="Tahoma"/>
            <family val="2"/>
          </rPr>
          <t>Técnico Asistencial de Salud - Servicio Rehabilitación</t>
        </r>
      </text>
    </comment>
    <comment ref="D121" authorId="0" shapeId="0" xr:uid="{00000000-0006-0000-1F00-00001D000000}">
      <text>
        <r>
          <rPr>
            <sz val="9"/>
            <color indexed="81"/>
            <rFont val="Tahoma"/>
            <family val="2"/>
          </rPr>
          <t>Tecnólogo Médico - Área Rehabilitación</t>
        </r>
      </text>
    </comment>
    <comment ref="K121" authorId="0" shapeId="0" xr:uid="{00000000-0006-0000-1F00-00001E000000}">
      <text>
        <r>
          <rPr>
            <sz val="9"/>
            <color indexed="81"/>
            <rFont val="Tahoma"/>
            <family val="2"/>
          </rPr>
          <t>Técnico Asistencial de Salud - Servicio Rehabilitación</t>
        </r>
      </text>
    </comment>
    <comment ref="K275" authorId="0" shapeId="0" xr:uid="{00000000-0006-0000-1F00-00001F000000}">
      <text>
        <r>
          <rPr>
            <sz val="9"/>
            <color indexed="81"/>
            <rFont val="Tahoma"/>
            <family val="2"/>
          </rPr>
          <t>1 ENFERMERA MAÑANA, 1 TARDE Y 1 
NOCHE</t>
        </r>
      </text>
    </comment>
    <comment ref="L275" authorId="0" shapeId="0" xr:uid="{00000000-0006-0000-1F00-000020000000}">
      <text>
        <r>
          <rPr>
            <sz val="9"/>
            <color indexed="81"/>
            <rFont val="Tahoma"/>
            <family val="2"/>
          </rPr>
          <t>5 TECNICAS PARA GARANTIZAR LAS 24 HRS ESTERILIZACION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F87" authorId="0" shapeId="0" xr:uid="{00000000-0006-0000-3000-000001000000}">
      <text>
        <r>
          <rPr>
            <b/>
            <sz val="9"/>
            <color indexed="81"/>
            <rFont val="Tahoma"/>
            <family val="2"/>
          </rPr>
          <t>Usuario:</t>
        </r>
        <r>
          <rPr>
            <sz val="9"/>
            <color indexed="81"/>
            <rFont val="Tahoma"/>
            <family val="2"/>
          </rPr>
          <t xml:space="preserve">
telefono 
jefe EESS
admnistrador</t>
        </r>
      </text>
    </comment>
  </commentList>
</comments>
</file>

<file path=xl/sharedStrings.xml><?xml version="1.0" encoding="utf-8"?>
<sst xmlns="http://schemas.openxmlformats.org/spreadsheetml/2006/main" count="20893" uniqueCount="6220">
  <si>
    <t>TOTAL</t>
  </si>
  <si>
    <t>REQUERIMIENTO DE INFORMACIÓN DEL EESS ESTRATÉGICO</t>
  </si>
  <si>
    <t>(Corresponde sólo a información estadística del establecimiento de salud estratégico)</t>
  </si>
  <si>
    <t>REGIÓN</t>
  </si>
  <si>
    <t>Atendidos del Establecimiento</t>
  </si>
  <si>
    <t>DESCRIPCIÓN</t>
  </si>
  <si>
    <t>ATENDIDOS DEL ESTABLECIMIENTO</t>
  </si>
  <si>
    <t xml:space="preserve">Corresponde al número de personas que acuden a consulta externa del EESS </t>
  </si>
  <si>
    <t>(diferente al número total de atendidos por servicios, que siempre es mayor)</t>
  </si>
  <si>
    <t>Atendidos y Atenciones de Consulta Externa por servicios (médicos, no médicos, Estrategias , Programas, entre otros)</t>
  </si>
  <si>
    <t>ATENDIDOS</t>
  </si>
  <si>
    <t>ATENCIONES</t>
  </si>
  <si>
    <t>Médicos</t>
  </si>
  <si>
    <t>MEDICINA GENERAL</t>
  </si>
  <si>
    <t>MEDICINA INTERNA</t>
  </si>
  <si>
    <t>MEDICINA DE FAMILIAR</t>
  </si>
  <si>
    <t>CIRUGIA</t>
  </si>
  <si>
    <t>PEDIATRIA</t>
  </si>
  <si>
    <t>GINECO-OBSTETRICIA</t>
  </si>
  <si>
    <t>OFTALMOLOGIA</t>
  </si>
  <si>
    <t>DERMATOLOGIA</t>
  </si>
  <si>
    <t>CARDIOLOGIA</t>
  </si>
  <si>
    <t>PSIQUIATRIA</t>
  </si>
  <si>
    <t>TRAUMATOLOGIA</t>
  </si>
  <si>
    <t>ENDOCRINOLOGIA</t>
  </si>
  <si>
    <t>NEUMOLOGIA</t>
  </si>
  <si>
    <t>NEUROLOGIA</t>
  </si>
  <si>
    <t>GASTROENTEROLOGIA</t>
  </si>
  <si>
    <t>REUMATOLOGIA</t>
  </si>
  <si>
    <t>UROLOGIA</t>
  </si>
  <si>
    <t>OTORRINOLARINGOLOGIA</t>
  </si>
  <si>
    <t>MEDICINA DE REHABILITACION (Médico)</t>
  </si>
  <si>
    <t>No médicos</t>
  </si>
  <si>
    <t>PSICOLOGIA</t>
  </si>
  <si>
    <t>ODONTOLOGÍA</t>
  </si>
  <si>
    <t>NUTRICION</t>
  </si>
  <si>
    <t>CPN*</t>
  </si>
  <si>
    <t>PLANIFICACION FAMILIAR*</t>
  </si>
  <si>
    <t>CONTROL DE PUERPERIO*</t>
  </si>
  <si>
    <t>PSICOPROFILAXIS*</t>
  </si>
  <si>
    <t>Programas</t>
  </si>
  <si>
    <t>ITS-SIDA</t>
  </si>
  <si>
    <t>TBC</t>
  </si>
  <si>
    <t>CRED</t>
  </si>
  <si>
    <t>INMUNIZACIONES</t>
  </si>
  <si>
    <t>ADOLESCENTE</t>
  </si>
  <si>
    <t>ESTIMULACION TEMPRANA</t>
  </si>
  <si>
    <t>ADULTO MAYOR</t>
  </si>
  <si>
    <t>SALUD MENTAL</t>
  </si>
  <si>
    <t>NO TRANSMISIBLES</t>
  </si>
  <si>
    <t>*CONSULTORIO DE OBSTETRICIA</t>
  </si>
  <si>
    <t xml:space="preserve">Nota: </t>
  </si>
  <si>
    <t>1.  TOTAL DE ATENDIDOS POR AÑO DEL PUNTO 3 DEBE SER MAYOR AL PUNTO 2 TOTAL ATENDIDOS DEL ESTABLECIMIENTO</t>
  </si>
  <si>
    <t>Procedencia de hospitalización por especialidad</t>
  </si>
  <si>
    <t>Medicina</t>
  </si>
  <si>
    <t>Cirugía</t>
  </si>
  <si>
    <t>Pediatría</t>
  </si>
  <si>
    <t>Ginecología</t>
  </si>
  <si>
    <t>Obstetricia</t>
  </si>
  <si>
    <t>Otros…..
(Especificar)</t>
  </si>
  <si>
    <t>N° Egresos</t>
  </si>
  <si>
    <t>Emergencia</t>
  </si>
  <si>
    <t>N°</t>
  </si>
  <si>
    <t>Nota: El paciente hospitalizado procedente de centro quirúrgico debe ser contabilizado como de consulta externa o emergencia si la cirugía es programada o de emergencia respectivamente</t>
  </si>
  <si>
    <t>Fuente:</t>
  </si>
  <si>
    <t>NUTRICIÓN</t>
  </si>
  <si>
    <t>Raciones</t>
  </si>
  <si>
    <t>Personal</t>
  </si>
  <si>
    <t>Pacientes</t>
  </si>
  <si>
    <t>Procedencia de intervenciones quirúrgicas</t>
  </si>
  <si>
    <t>Intervencione Quirurgicas</t>
  </si>
  <si>
    <t>Consulta Externa</t>
  </si>
  <si>
    <t>Cirugía General</t>
  </si>
  <si>
    <t>Traumatologia</t>
  </si>
  <si>
    <t>Oftalmología</t>
  </si>
  <si>
    <t>Urología</t>
  </si>
  <si>
    <t>Ginecologia</t>
  </si>
  <si>
    <t>Legrados</t>
  </si>
  <si>
    <t>Otros</t>
  </si>
  <si>
    <t>Cesareas</t>
  </si>
  <si>
    <t>Otras especialidades</t>
  </si>
  <si>
    <t>Intervenciones quirúrgicas por especialidad</t>
  </si>
  <si>
    <t>Especialidad</t>
  </si>
  <si>
    <t>N° Salas</t>
  </si>
  <si>
    <t>Otorrinolaringología</t>
  </si>
  <si>
    <t>Apoyo al diagnóstico (Colocar número de exámenes o análisis según la procedencia, es decir, de donde es solicitado)</t>
  </si>
  <si>
    <t>Servicio</t>
  </si>
  <si>
    <t>Cext.</t>
  </si>
  <si>
    <t>EMG</t>
  </si>
  <si>
    <t>Hosp.</t>
  </si>
  <si>
    <t>Ecografía General</t>
  </si>
  <si>
    <t>Ecografía Obstétrica</t>
  </si>
  <si>
    <t>Radiología convencional*</t>
  </si>
  <si>
    <t>Mamografía</t>
  </si>
  <si>
    <t>Laboratorio Clínico</t>
  </si>
  <si>
    <t>Farmacia (Recetas despachadas)</t>
  </si>
  <si>
    <t>Anatomía Patológica</t>
  </si>
  <si>
    <t>Banco de Sangre**</t>
  </si>
  <si>
    <t>Central de Esterilización</t>
  </si>
  <si>
    <t>*Considerar sólo el número de exámenes (NO número de placas tomadas)</t>
  </si>
  <si>
    <t>**Número de transfusiones de sangre y/o hemoderivados según procedencia (de donde es solicitado)</t>
  </si>
  <si>
    <t>Cuidados críticos</t>
  </si>
  <si>
    <t>UCI</t>
  </si>
  <si>
    <t>UCIN</t>
  </si>
  <si>
    <t>Egresos</t>
  </si>
  <si>
    <t>Permanencia (días)</t>
  </si>
  <si>
    <t>% Ocupación</t>
  </si>
  <si>
    <t>Intervalo de sustitución</t>
  </si>
  <si>
    <t>N° Camas</t>
  </si>
  <si>
    <t>N° camas</t>
  </si>
  <si>
    <t>N° ventiladores</t>
  </si>
  <si>
    <t>Referencias a otros y desde otros establecimientos de salud</t>
  </si>
  <si>
    <t>UPSS Destino</t>
  </si>
  <si>
    <t>Referencias a otros EESS</t>
  </si>
  <si>
    <t>Referencias recibidas de otros EESS</t>
  </si>
  <si>
    <t>Hospitalización</t>
  </si>
  <si>
    <t>Apoyo al Diagnóstico</t>
  </si>
  <si>
    <t>Atención a personas afectadas con tuberculosis</t>
  </si>
  <si>
    <t>EESS /Red</t>
  </si>
  <si>
    <t>Casos TBC Pulmonar*</t>
  </si>
  <si>
    <t>Casos TBC Extrapulmonar</t>
  </si>
  <si>
    <t>ÁMBITO</t>
  </si>
  <si>
    <t>TUBERCULOSIS</t>
  </si>
  <si>
    <t>TASA DE INCIDENCIA</t>
  </si>
  <si>
    <t>TASA DE PREVALENCIA</t>
  </si>
  <si>
    <t>*Incluye MDR y X-DR</t>
  </si>
  <si>
    <t>Procedimientos</t>
  </si>
  <si>
    <t>Procedimientos Médicos</t>
  </si>
  <si>
    <t>ENDOSCOPIA DIGESTIVA ALTA</t>
  </si>
  <si>
    <t>ENDOSCOPIA DIGESTIVA BAJA</t>
  </si>
  <si>
    <t xml:space="preserve">BRONCOSCOPIA </t>
  </si>
  <si>
    <t>SALA DE ESPIROMETRÍA</t>
  </si>
  <si>
    <t>PRUEBA DE ESFUERZO</t>
  </si>
  <si>
    <t>HOLTER + MAPA</t>
  </si>
  <si>
    <t>ECOCARDIOGRAFIA</t>
  </si>
  <si>
    <t>MONITOREO FETAL</t>
  </si>
  <si>
    <t>AUDIOMETRIA + CABINA DE AUDIOMETRIA</t>
  </si>
  <si>
    <t>CISTOURETERENOSCOPIA</t>
  </si>
  <si>
    <t>COLPOSCOPIA</t>
  </si>
  <si>
    <t>Atenciones de emergencia</t>
  </si>
  <si>
    <t>Pediatria</t>
  </si>
  <si>
    <t>Cirugia</t>
  </si>
  <si>
    <t>Trauma shock</t>
  </si>
  <si>
    <t>Atenciones de emergencia de Enfermería</t>
  </si>
  <si>
    <t>Procedimiento</t>
  </si>
  <si>
    <t>Nebulizaciones</t>
  </si>
  <si>
    <t>Rehidratación Oral</t>
  </si>
  <si>
    <t>Inyectables</t>
  </si>
  <si>
    <t>Número de atenciones de observación de Emergencia</t>
  </si>
  <si>
    <t>OBSERVACION DE EMG</t>
  </si>
  <si>
    <t>Total</t>
  </si>
  <si>
    <t>Atenciones de emergencia según prioridad</t>
  </si>
  <si>
    <t>Prioridad</t>
  </si>
  <si>
    <t>Prioridad I</t>
  </si>
  <si>
    <t>Prioridad II</t>
  </si>
  <si>
    <t>Prioridad III</t>
  </si>
  <si>
    <t>Prioridad IV</t>
  </si>
  <si>
    <t xml:space="preserve">Egresos en UVI </t>
  </si>
  <si>
    <t xml:space="preserve">UVI </t>
  </si>
  <si>
    <t>Morbilidad de gestantes con complicacionesen hospitalización  (Todos los diagnósticos)</t>
  </si>
  <si>
    <t>Morbilidad Gestante con complicaciones</t>
  </si>
  <si>
    <t>Código CIE10</t>
  </si>
  <si>
    <t>N° Casos</t>
  </si>
  <si>
    <t>%</t>
  </si>
  <si>
    <t>Atenciones de Centro Obstétrico</t>
  </si>
  <si>
    <t>Actividad</t>
  </si>
  <si>
    <t>Parto vaginal sin complicaciones</t>
  </si>
  <si>
    <t>Parto vaginal con complicaciones</t>
  </si>
  <si>
    <t>GINECOLOGÍA</t>
  </si>
  <si>
    <t>Papanicolaos (PAP)</t>
  </si>
  <si>
    <t>PAP (+)</t>
  </si>
  <si>
    <t>Morbilidad de recién nacido patológico de  (Todos los diagnósticos)</t>
  </si>
  <si>
    <t>Morbilidad RN</t>
  </si>
  <si>
    <t>Atención a personas afectadas con ITS / VIH /SIDA</t>
  </si>
  <si>
    <t>Casos ITS Diagnósticados (Atendidos)</t>
  </si>
  <si>
    <t>Casos VIH / SIDA (Atendidos)</t>
  </si>
  <si>
    <t>Tamizaje VIH / SIDA (Atendidos)</t>
  </si>
  <si>
    <t>Atenciones de Medicina Física y Rehabilitación</t>
  </si>
  <si>
    <t>MEDICINA FISICA Y REAHBILITACION</t>
  </si>
  <si>
    <t>Terapia física y rehabilitacion (médico)</t>
  </si>
  <si>
    <t>Sesiones de rehabilitacion (tecnologo o enfermera)</t>
  </si>
  <si>
    <t>Otros (Especificar)</t>
  </si>
  <si>
    <t>MORBILIDAD DE CONSULTA EXTERNA</t>
  </si>
  <si>
    <t>Consignar morbilidad según servicios actuales (medicina, cirugía, gineco-obstetricia, pediatría)</t>
  </si>
  <si>
    <t>Causas</t>
  </si>
  <si>
    <t>Código CIE10 (*)</t>
  </si>
  <si>
    <t>Grupo Etareo</t>
  </si>
  <si>
    <t>OTRAS PATOLOGIAS</t>
  </si>
  <si>
    <t>(*) CIE 10 A CUATRO DIGITOS</t>
  </si>
  <si>
    <t>MORBILIDAD DE HOSPITALIZACIÓN</t>
  </si>
  <si>
    <t>MORBILIDAD DE EMERGENCIA</t>
  </si>
  <si>
    <t>ESTABLECIMIENTO DE SALUD :</t>
  </si>
  <si>
    <t>DISTRITO/PROVINCIA/DEPARTAMENTO:</t>
  </si>
  <si>
    <t>Laboratorio</t>
  </si>
  <si>
    <t>GRUPO OCUPACIONAL</t>
  </si>
  <si>
    <t>Nombrados</t>
  </si>
  <si>
    <t>Contratados CAS</t>
  </si>
  <si>
    <t>Terceros</t>
  </si>
  <si>
    <t>Destacados</t>
  </si>
  <si>
    <t>Personal Asistencial</t>
  </si>
  <si>
    <t>Médico Cirujano General</t>
  </si>
  <si>
    <t>Médico Familiar</t>
  </si>
  <si>
    <t>Medicina Interna</t>
  </si>
  <si>
    <t>Médico Infectologo</t>
  </si>
  <si>
    <t>Médico Neumologo</t>
  </si>
  <si>
    <t>Médico Pediatra</t>
  </si>
  <si>
    <t>Médico Cirujano</t>
  </si>
  <si>
    <t>Médico Otorrinolaringología</t>
  </si>
  <si>
    <t>Médico Anestesiólogo</t>
  </si>
  <si>
    <t>Médico Traumatología - Ortopedia</t>
  </si>
  <si>
    <t>Médico Gineco-Obstetricia</t>
  </si>
  <si>
    <t>Médico Oftalmologo</t>
  </si>
  <si>
    <t>Médico Neurología</t>
  </si>
  <si>
    <t>Médico Gastroenterología</t>
  </si>
  <si>
    <t>Médico Psiquiatría</t>
  </si>
  <si>
    <t>Médico Intensivista</t>
  </si>
  <si>
    <t>Cirujano Dentista</t>
  </si>
  <si>
    <t xml:space="preserve">Enfermera </t>
  </si>
  <si>
    <t>Biólogo</t>
  </si>
  <si>
    <t>Obstetriz</t>
  </si>
  <si>
    <t xml:space="preserve">Psicólogo </t>
  </si>
  <si>
    <t>Nutricionista</t>
  </si>
  <si>
    <t>Químico Farmacéutico</t>
  </si>
  <si>
    <t>Tecnólogo Medico - Área Radiología</t>
  </si>
  <si>
    <t>Tecnólogo Medico - Área Rehabilitación</t>
  </si>
  <si>
    <t>Tecnólogo Medico - Área Laboratorio</t>
  </si>
  <si>
    <t>Técnico en Enfermería</t>
  </si>
  <si>
    <t>Técnico en Farmacia</t>
  </si>
  <si>
    <t>Técnico en nutrición</t>
  </si>
  <si>
    <t>Técnico en Laboratorio</t>
  </si>
  <si>
    <t>Auxiliares y otros</t>
  </si>
  <si>
    <t>Asistenta Social</t>
  </si>
  <si>
    <t>Sub total 1</t>
  </si>
  <si>
    <t>Porcentaje %</t>
  </si>
  <si>
    <t>Persona Administrativo</t>
  </si>
  <si>
    <t>Administrativo Profesionales (*)</t>
  </si>
  <si>
    <t>Administrativos Técnicos (**)</t>
  </si>
  <si>
    <t>Administrativos Auxiliar (***)</t>
  </si>
  <si>
    <t>Personal de Apoyo (****)</t>
  </si>
  <si>
    <t>Sub total 2</t>
  </si>
  <si>
    <t>No considera destacados fuera del EE.SS.</t>
  </si>
  <si>
    <t>(*) Incluye Administradres, Economistas, Estadisticos, Ingenieros, Arquitectos, Etc.</t>
  </si>
  <si>
    <t>(**) Técnico administrativo, tecnico en computación, etc</t>
  </si>
  <si>
    <t>(***) Auxiliares en administración, digitador, etc</t>
  </si>
  <si>
    <t>(****) Capellan, transpote, lavanderia, limpieza</t>
  </si>
  <si>
    <t>UPSS: CONSULTA EXTERNA</t>
  </si>
  <si>
    <t>Recurso Humano</t>
  </si>
  <si>
    <t>Turno</t>
  </si>
  <si>
    <t>Programación</t>
  </si>
  <si>
    <t>Programación de recursos Humanos</t>
  </si>
  <si>
    <t>Mes 1</t>
  </si>
  <si>
    <t>Mes 2</t>
  </si>
  <si>
    <t>Mes 3</t>
  </si>
  <si>
    <t>Promedio Mensual</t>
  </si>
  <si>
    <t>Total Anual</t>
  </si>
  <si>
    <t>N</t>
  </si>
  <si>
    <t>CAS</t>
  </si>
  <si>
    <t>Médico</t>
  </si>
  <si>
    <t>M</t>
  </si>
  <si>
    <t>N° Turnos</t>
  </si>
  <si>
    <t>Horas por turno</t>
  </si>
  <si>
    <t>Horas Programadas</t>
  </si>
  <si>
    <t>T</t>
  </si>
  <si>
    <t>N° Médicos Programados</t>
  </si>
  <si>
    <t>Promedio horas programadas por médico</t>
  </si>
  <si>
    <t>Enfermera</t>
  </si>
  <si>
    <t>N° Enfermeras Programados</t>
  </si>
  <si>
    <t>Promedio horas programadas por enfermeras</t>
  </si>
  <si>
    <t>UPSS: EMERGENCIA</t>
  </si>
  <si>
    <t>1.  TOTAL DE ATENDIDOS POR AÑO DEL PUNTO 2 DEBE SER MAYOR AL PUNTO 1 TOTAL ATENDIDOS DEL ESTABLECIMIENTO</t>
  </si>
  <si>
    <t>Paciente</t>
  </si>
  <si>
    <t>0-11 AÑOS</t>
  </si>
  <si>
    <t>12-17 A</t>
  </si>
  <si>
    <t>18 - 29 A</t>
  </si>
  <si>
    <t>30-59 A</t>
  </si>
  <si>
    <t>60- MÁS A</t>
  </si>
  <si>
    <t>Para otras especialidades se debe considerar las 20 primeras causas</t>
  </si>
  <si>
    <t>0-11 A</t>
  </si>
  <si>
    <t>Morbilidad del Servicio de Cirugía del 2014</t>
  </si>
  <si>
    <t>Morbilidad del Servicio de Gineco-Obstetricia del 2014</t>
  </si>
  <si>
    <t>Morbilidad del Servicio de Pediatría del 2014</t>
  </si>
  <si>
    <t>Morbilidad del Servicio de Medicina del 2014</t>
  </si>
  <si>
    <t>LAVANDERIA</t>
  </si>
  <si>
    <t>KILOS DE ROPA</t>
  </si>
  <si>
    <t xml:space="preserve">MORTALIDAD GENERAL </t>
  </si>
  <si>
    <t>CAUSAS</t>
  </si>
  <si>
    <t>MORTALIDAD NEONATAL</t>
  </si>
  <si>
    <t>MORTALIDAD INFANTIL</t>
  </si>
  <si>
    <t>MORTALIDAD MATERNA</t>
  </si>
  <si>
    <t>12-17 AÑOS</t>
  </si>
  <si>
    <t>18-49 AÑOS</t>
  </si>
  <si>
    <t>50-60 AÑOS</t>
  </si>
  <si>
    <t>60A MAS</t>
  </si>
  <si>
    <t>Porcentaje de población del ámbito con problemas de nutrición (sobrepeso, obesidad)</t>
  </si>
  <si>
    <t>CONSULTA EXTERNA</t>
  </si>
  <si>
    <t>EMERGENCIA</t>
  </si>
  <si>
    <t xml:space="preserve"> MORBILIDAD GENERAL DEL ÁMBITO  2014</t>
  </si>
  <si>
    <t>TASA</t>
  </si>
  <si>
    <t>Descripción</t>
  </si>
  <si>
    <t>REGION</t>
  </si>
  <si>
    <t>FORMATO N° 3.1: MORBILIDAD DE CONSULTA EXTERNA</t>
  </si>
  <si>
    <t>Diabetes</t>
  </si>
  <si>
    <t>Hipertensión</t>
  </si>
  <si>
    <t>IRA en menores de 5 años</t>
  </si>
  <si>
    <t>Neumonías</t>
  </si>
  <si>
    <t>Neumonías graves</t>
  </si>
  <si>
    <t>EDA en menores de 5 años</t>
  </si>
  <si>
    <t xml:space="preserve">COBERTURA </t>
  </si>
  <si>
    <t>Numero de niños menores de 1 que cumplen con minimo de sesiones CRED</t>
  </si>
  <si>
    <t>Numero gestantes con 6 controles y protegidas en el ámbito</t>
  </si>
  <si>
    <t>Numero de niños del ámbito programados</t>
  </si>
  <si>
    <t>Numero gestantes del ambito programadas</t>
  </si>
  <si>
    <t>Numero parto institucional del ambito</t>
  </si>
  <si>
    <t>Numero gestantes del ámbito</t>
  </si>
  <si>
    <t>1er nivel CIE 10 a 2 dígitos</t>
  </si>
  <si>
    <t>2do nivel CIE 10 a 3 dígitos</t>
  </si>
  <si>
    <t>1er nivel CIE 10 a 3 dígitos</t>
  </si>
  <si>
    <t>2do nivel CIE 10 a 3 dígitos o 4 dígitos</t>
  </si>
  <si>
    <t>ATENDIDOS EN SERVICIOS MÉDICOS DEL ESTABLECIMIENTO</t>
  </si>
  <si>
    <t>Nota:</t>
  </si>
  <si>
    <t>DEPARTAMENTO</t>
  </si>
  <si>
    <t xml:space="preserve">PROVINCIA </t>
  </si>
  <si>
    <t>DISTRITO</t>
  </si>
  <si>
    <t>CANTIDAD</t>
  </si>
  <si>
    <t>otros especificar</t>
  </si>
  <si>
    <t xml:space="preserve">GRUPO </t>
  </si>
  <si>
    <t>Femenino</t>
  </si>
  <si>
    <t>Masculino</t>
  </si>
  <si>
    <t>Nota: solo se considera nombrados y contratados Cas y 276</t>
  </si>
  <si>
    <t>CPN</t>
  </si>
  <si>
    <t>PSICOPROFILAXIS</t>
  </si>
  <si>
    <t>INTERNAMIENTO</t>
  </si>
  <si>
    <t>CIE-10</t>
  </si>
  <si>
    <t>RATIO DE CONCENTRACIÓN
(ATENCIONES/ATENDIDOS)</t>
  </si>
  <si>
    <t>Parto vaginal</t>
  </si>
  <si>
    <t>O200</t>
  </si>
  <si>
    <t>AMENAZA DE ABORTO</t>
  </si>
  <si>
    <t>O234</t>
  </si>
  <si>
    <t>VER ANEXO 1 - HOJA 10</t>
  </si>
  <si>
    <t>VER ANEXO 2 - HOJA 10</t>
  </si>
  <si>
    <t>P599</t>
  </si>
  <si>
    <t>VER ANEXO 3 - HOJA 10</t>
  </si>
  <si>
    <t xml:space="preserve"> MORBILIDAD GENERAL DEL ÁMBITO  2015</t>
  </si>
  <si>
    <t>Morbilidad del Servicio de Medicina del 2015</t>
  </si>
  <si>
    <t>Morbilidad del Servicio de Pediatría del 2015</t>
  </si>
  <si>
    <t>Morbilidad del Servicio de Gineco-Obstetricia del 2015</t>
  </si>
  <si>
    <t>Morbilidad del Servicio de Cirugía del 2015</t>
  </si>
  <si>
    <t xml:space="preserve"> MORBILIDAD GENERAL DEL ÁMBITO  2016</t>
  </si>
  <si>
    <t>Morbilidad del Servicio de Medicina del 2016</t>
  </si>
  <si>
    <t>Morbilidad del Servicio de Pediatría del 2016</t>
  </si>
  <si>
    <t>Morbilidad del Servicio de Gineco-Obstetricia del 2016</t>
  </si>
  <si>
    <t>Morbilidad del Servicio de Cirugía del 2016</t>
  </si>
  <si>
    <t>Personal Administrativo</t>
  </si>
  <si>
    <t>Obstetra</t>
  </si>
  <si>
    <t>N° Obstetras Programados</t>
  </si>
  <si>
    <t>Promedio horas programadas por Obstetras</t>
  </si>
  <si>
    <t>N° Psicólogo Programados</t>
  </si>
  <si>
    <t>Técnico de Enfermería</t>
  </si>
  <si>
    <t>N° Obstetra Programados</t>
  </si>
  <si>
    <t>N° Tecnico de Enfermería Programados</t>
  </si>
  <si>
    <t>Promedio horas programadas por Técnico de Enfermería</t>
  </si>
  <si>
    <t>N° Técnico de Enfermería Programados</t>
  </si>
  <si>
    <t>UPSS: PATOLOGÍA CLÍNICA</t>
  </si>
  <si>
    <t>UPSS: FARMACIA</t>
  </si>
  <si>
    <t>Técnico de Farmacia</t>
  </si>
  <si>
    <t>N° Quimico Farmacéutico Programados</t>
  </si>
  <si>
    <t>N° Técnico de Farmacia Programados</t>
  </si>
  <si>
    <t>Promedio horas programadas por Químico Farmacéutico</t>
  </si>
  <si>
    <t>Promedio horas programadas por Técnico de Farmacia</t>
  </si>
  <si>
    <t>Técnico de Laboratorio</t>
  </si>
  <si>
    <t>N° Biólogo Programados</t>
  </si>
  <si>
    <t>Promedio horas programadas por Biologo</t>
  </si>
  <si>
    <t>N° Técnico de Laboratorio Programados</t>
  </si>
  <si>
    <t>Promedio horas programadas por Técnico de Laboratorio</t>
  </si>
  <si>
    <t>Promedio horas programadas por Psicólogo</t>
  </si>
  <si>
    <t>Psicólogo</t>
  </si>
  <si>
    <t>Promedio horas programadas por Cirujano Dentista</t>
  </si>
  <si>
    <t>N° Cirujano Dentista Programados</t>
  </si>
  <si>
    <t>Promedio horas programadas por Nutricionista</t>
  </si>
  <si>
    <t>N° Nutricionista Programados</t>
  </si>
  <si>
    <t>Promedio horas programadas por Tecnico de Enfermería</t>
  </si>
  <si>
    <t>Farmacia</t>
  </si>
  <si>
    <t>Promedio  horas programadas por profesional según UPSS</t>
  </si>
  <si>
    <t>Centro Obstetrico</t>
  </si>
  <si>
    <t>TOTAL ANUAL</t>
  </si>
  <si>
    <t>Especialidades médicas</t>
  </si>
  <si>
    <t>Médico cirujano</t>
  </si>
  <si>
    <t>Promedio de horas programadas</t>
  </si>
  <si>
    <t>Porcentaje (%)</t>
  </si>
  <si>
    <t>Especialidades no médicas</t>
  </si>
  <si>
    <t>Cirujano dentista</t>
  </si>
  <si>
    <t>Químico farmacéutico</t>
  </si>
  <si>
    <t>Técnica de Enfermería</t>
  </si>
  <si>
    <t xml:space="preserve"> OFERTA OPTIMIZADA POR  RECURSOS HUMANOS</t>
  </si>
  <si>
    <t>Cantidad                   (A)</t>
  </si>
  <si>
    <t>Tiempo promedio (Minutos)</t>
  </si>
  <si>
    <t>Atenciones /hora            (B)</t>
  </si>
  <si>
    <t>Horas/Año              ( C)</t>
  </si>
  <si>
    <t>Factor optimización           (D)</t>
  </si>
  <si>
    <t>Total atenciones/Año   E = (A)*(B)*(C )*(D)</t>
  </si>
  <si>
    <t>Porecntaje de participción por servicio                                        (F)  N</t>
  </si>
  <si>
    <t>Oferta optimizada de RRHH
G = (E)*(F)</t>
  </si>
  <si>
    <t>TOTAL DE HORAS AL AÑO DE TRABAJO PARA EL PERSONAL DE SALUD</t>
  </si>
  <si>
    <t xml:space="preserve">CONSULTA EXTERNA </t>
  </si>
  <si>
    <t>HORAS/DÍA</t>
  </si>
  <si>
    <t>DÍAS</t>
  </si>
  <si>
    <t>HORAS/MES</t>
  </si>
  <si>
    <t>MESES</t>
  </si>
  <si>
    <t>HORAS/AÑO</t>
  </si>
  <si>
    <t>HORAS/AÑO total</t>
  </si>
  <si>
    <t xml:space="preserve">Consulta Médica </t>
  </si>
  <si>
    <t xml:space="preserve">Atención en Tópico </t>
  </si>
  <si>
    <t>PPFF</t>
  </si>
  <si>
    <t xml:space="preserve">Atención en emergencia </t>
  </si>
  <si>
    <t>Inmunizaciones</t>
  </si>
  <si>
    <t xml:space="preserve">Consulta </t>
  </si>
  <si>
    <t>Atenciones de recetas</t>
  </si>
  <si>
    <t>OFERTA OPTIMIZADA POR RECURSOS HUMANOS</t>
  </si>
  <si>
    <t>Servicio de Salud</t>
  </si>
  <si>
    <t>OFERTA OPTIMIZADA DE RRHH</t>
  </si>
  <si>
    <t>Factor de Optimización</t>
  </si>
  <si>
    <t>Grupo Ocupacional</t>
  </si>
  <si>
    <t>F.O</t>
  </si>
  <si>
    <t>Otros Profesionales de la salud</t>
  </si>
  <si>
    <t>Consulta Odontológica</t>
  </si>
  <si>
    <t>Consulta Psicológica</t>
  </si>
  <si>
    <t>Porcentaje de participción por servicio                                        (F)  N</t>
  </si>
  <si>
    <t>Internamiento</t>
  </si>
  <si>
    <t>Atención en Internamiento</t>
  </si>
  <si>
    <t xml:space="preserve">Atención en internamiento </t>
  </si>
  <si>
    <t>Medicina General</t>
  </si>
  <si>
    <t>MORBILIDAD GENERAL DEL EE.SS</t>
  </si>
  <si>
    <t>CIE 10 4 dígitos</t>
  </si>
  <si>
    <t>ENFERMEDADES DE LA CAVIDAD BUCAL, DE LAS GLANDULAS SALIVALES Y DE LOS MAXILARES (K00 - K14)</t>
  </si>
  <si>
    <t>INFECCIONES AGUDAS DE LAS VIAS RESPIRATORIAS SUPERIORES (J00 - J06)</t>
  </si>
  <si>
    <t>ENFERMEDADES INFECCIOSAS INTESTINALES (A00 - A09)</t>
  </si>
  <si>
    <t>ENFERMEDADES DEL ESOFAGO, DEL ESTOMAGO Y DEL DUODENO(K20 - K31)</t>
  </si>
  <si>
    <t>OTROS TRASTORNOS MATERNOS RELACIONADOS PRINCIPALMENTE CON EL EMBARAZO (O20 - O29)</t>
  </si>
  <si>
    <t>OTRAS ENFERMEDADES DEL SISTEMA URINARIO (N30 - N39)</t>
  </si>
  <si>
    <t>DESNUTRICION (E40 - E46)</t>
  </si>
  <si>
    <t>ANEMIAS NUTRICIONALES (D50 - D53)</t>
  </si>
  <si>
    <t>SINTOMAS Y SIGNOS QUE INVOLUCRAN EL SISTEMA DIGESTIVO Y EL ABDOMEN (R10 - R19)</t>
  </si>
  <si>
    <t>TRASTORNOS EPISODICOS Y PAROXISTICOS (G40 - G47)</t>
  </si>
  <si>
    <t>ARTROPATIAS (M00 - M25)</t>
  </si>
  <si>
    <t>DORSOPATIAS (M40 - M54)</t>
  </si>
  <si>
    <t>INFECCIONES C/MODO DE TRANSMISION PREDOMINANTEMENTE SEXUAL (A50 - A64)</t>
  </si>
  <si>
    <t>HELMINTIASIS (B65 - B83)</t>
  </si>
  <si>
    <t>TRASTORNOS DE LOS TEJIDOS BLANDOS (M60 - M79)</t>
  </si>
  <si>
    <t>TRAUMATISMOS DE LA CABEZA (S00 - S09)</t>
  </si>
  <si>
    <t>SINTOMAS Y SIGNOS GENERALES (R50 - R69)</t>
  </si>
  <si>
    <t>ENFERMEDADES INFLAMATORIAS DE LOS ORGANOS PELVICOS FEMENINOS (N70 - N77)</t>
  </si>
  <si>
    <t>ENFERMEDADES HIPERTENSIVAS (I10 - I15)</t>
  </si>
  <si>
    <t>OTRAS INFECCIONES AGUDAS DE LAS VIAS RESPIRATORIAS INFERIORES (J20 - J22)</t>
  </si>
  <si>
    <t>ENFERMEDADES CRONICAS DE LAS VIAS RESPIRATORIAS INFERIORES (J40 - J47)</t>
  </si>
  <si>
    <t>DERMATITIS Y ECZEMA (L20 - L30)</t>
  </si>
  <si>
    <t>EMBARAZO TERMINADO EN ABORTO (O00 - O08)</t>
  </si>
  <si>
    <t>COMPLICACIONES DEL TRABAJO DE PARTO Y DEL PARTO (O60 - O75)</t>
  </si>
  <si>
    <t>HERNIA (K40 - K46)</t>
  </si>
  <si>
    <t>TRAUMATISMOS QUE AFECTAN MULTIPLES REGIONES DEL CUERPO (T00 - T07)</t>
  </si>
  <si>
    <t>APURIMAC</t>
  </si>
  <si>
    <t>TÓPICO</t>
  </si>
  <si>
    <t>ENFERMERÍA</t>
  </si>
  <si>
    <t>OBSTETRICIA</t>
  </si>
  <si>
    <t>EXAMEN ESTOMATOLOGICO</t>
  </si>
  <si>
    <t>CONSULTA ESTOMATOLOGICA NO ESPECIALIZADA</t>
  </si>
  <si>
    <t>PROFILAXIS DENTAL</t>
  </si>
  <si>
    <t>RESTAURACION DE UNA SUPERFICIE CON AMALGAMA EN PIEZAS DENTARIAS, PRIMARIAS O PERMANENTES</t>
  </si>
  <si>
    <t>APLICACION TOPICA DE FLUOR GEL</t>
  </si>
  <si>
    <t>EXTRACCION DENTAL SIMPLE</t>
  </si>
  <si>
    <t>RESTAURACION DE DOS SUPERFICIES CON AMALGAMA EN PIEZAS DENTARIAS, PRIMARIAS O PERMANENTES</t>
  </si>
  <si>
    <t>ENFERMERIA</t>
  </si>
  <si>
    <t>PLANIFICACION FAMILIAR</t>
  </si>
  <si>
    <t>Cobertura parto institucional (%)</t>
  </si>
  <si>
    <t>Procedencia de hospitalización (Internamiento) por especialidad</t>
  </si>
  <si>
    <t>Cáncer</t>
  </si>
  <si>
    <t>TASA DE INCIDENCIA TBC X 100,000 HAB.</t>
  </si>
  <si>
    <t>TASA DE PREVALENCIA TBC X 100,000 HAB.</t>
  </si>
  <si>
    <t>Tasa de desnutrición en menores de 5 años del ámbito Influencia MR.</t>
  </si>
  <si>
    <t>Morbilidad del Servicio de Medicina del 2016 (Todos los diagnósticos)</t>
  </si>
  <si>
    <t>Morbilidad del Servicio de Pediatría del 2016 (Todos los diagnósticos)</t>
  </si>
  <si>
    <t>Morbilidad del Servicio de Gineco-Obstetricia del 2016 (Todos los diagnósticos)</t>
  </si>
  <si>
    <t>Morbilidad del Servicio de Cirugía del 2016 (Todos los diagnósticos)</t>
  </si>
  <si>
    <t>ENFERMEDADES DE LOS ORGANOS GENITALES MASCULINOS (N40 - N51)</t>
  </si>
  <si>
    <t>OTRAS ENFERMEDADES DE LAS VIAS RESPIRATORIAS SUPERIORES (J30 - J39)</t>
  </si>
  <si>
    <t>TRASTORNOS NO INFLAMATORIOS DE LOS ORGANOS GENITALES FEMENINOS (N80 - N98)</t>
  </si>
  <si>
    <t>TRASTORNOS DE LA MAMA (N60 -N64)</t>
  </si>
  <si>
    <t>TUMORES (NEOPLASIAS) BENIGNOS (D10 - D36)</t>
  </si>
  <si>
    <t>TRASTORNOS DE OTRAS GLANDULAS ENDOCRINAS (E20 - E35)</t>
  </si>
  <si>
    <t>TRASTORNOS DE LA VESICULA BILIAR, DE LAS VIAS BILIARES Y DEL PANCREAS (K80 - K87)</t>
  </si>
  <si>
    <t>OTROS TRASTORNOS DE LA PIEL Y DEL TEJIDO SUBCUTANEO (L80 - L99)</t>
  </si>
  <si>
    <t>TRASTORNOS DE LAS FANERAS (L60 - L75)</t>
  </si>
  <si>
    <t>R104</t>
  </si>
  <si>
    <t>I500</t>
  </si>
  <si>
    <t>K297</t>
  </si>
  <si>
    <t>J129</t>
  </si>
  <si>
    <t>N110</t>
  </si>
  <si>
    <t>I10X</t>
  </si>
  <si>
    <t>N390</t>
  </si>
  <si>
    <t>A090</t>
  </si>
  <si>
    <t>A010</t>
  </si>
  <si>
    <t>R509</t>
  </si>
  <si>
    <t>J189</t>
  </si>
  <si>
    <t>J209</t>
  </si>
  <si>
    <t>O828</t>
  </si>
  <si>
    <t>O829</t>
  </si>
  <si>
    <t>O809</t>
  </si>
  <si>
    <t>O821</t>
  </si>
  <si>
    <t>K819</t>
  </si>
  <si>
    <t>K811</t>
  </si>
  <si>
    <t>K37X</t>
  </si>
  <si>
    <t>OTROS DOLORES ABDOMINALES Y LOS NO ESPECIFICADOS</t>
  </si>
  <si>
    <t>INSUFICIENCIA CARDIACA CONGESTIVA</t>
  </si>
  <si>
    <t>FIEBRE NO ESPECIFICADA</t>
  </si>
  <si>
    <t>BRONQUITIS AGUDA, NO ESPECIFICADA</t>
  </si>
  <si>
    <t>ENFERMEDADES DEL APENDICE (K35 - K38)</t>
  </si>
  <si>
    <t>DIABETES MELLITUS (E10 - E14)</t>
  </si>
  <si>
    <t>TRAUMATISMOS DE PARTE NO ESPECIFICADA DEL TRONCO, MIEMBRO O REGION DEL CUERPO (T08 - T14)</t>
  </si>
  <si>
    <t>TUMORES (NEOPLASIAS) MALIGNOS (C00 - C97)</t>
  </si>
  <si>
    <t>TRAUMATISMOS DEL ABDOMEN, DE LA REGION LUMBOSACRA, DE LA COLUMNA LUMBAR Y DE LA PELVIS (S30 - S39)</t>
  </si>
  <si>
    <t>COMPLICACIONES DE LA ATENCION MEDICA Y QUIRURGICA, NO CLASIFICADAS EN OTRA PARTE (T80 - T88)</t>
  </si>
  <si>
    <t>OTROS PROCEDIMIENTOS</t>
  </si>
  <si>
    <t>G/D</t>
  </si>
  <si>
    <t>G/N</t>
  </si>
  <si>
    <t>M/T</t>
  </si>
  <si>
    <t>UPSS: INTERNAMIENTO</t>
  </si>
  <si>
    <t>Atención en salud Bucal (Todas las atenciones)</t>
  </si>
  <si>
    <t>EESS/Red</t>
  </si>
  <si>
    <t>Casos ITS Diagnosticados (Atendidos)</t>
  </si>
  <si>
    <t>Casos VIH/SIDA (Atendidos)</t>
  </si>
  <si>
    <t>Casos TBC Pulmonar</t>
  </si>
  <si>
    <t>Casos TBC Extra pulmonar</t>
  </si>
  <si>
    <t>Atención a personas afectadas con ITS/VIH/SIDA</t>
  </si>
  <si>
    <t>Atención a personas con Tuberculosis</t>
  </si>
  <si>
    <t>Numero parto institucional del EE.SS</t>
  </si>
  <si>
    <t>Numero gestantes del EE.SS</t>
  </si>
  <si>
    <t>Cobertura de gestantes controladas EE.SS</t>
  </si>
  <si>
    <t>Numero gestantes programadas EE.SS</t>
  </si>
  <si>
    <t>Numero gestantes con 6 controles y protegidas del EE.SS</t>
  </si>
  <si>
    <t>Cobertura de niños menores 1 año CRED del EE.SS</t>
  </si>
  <si>
    <t>Numero de niños programados del EE.SS</t>
  </si>
  <si>
    <t>VIH - SIDA</t>
  </si>
  <si>
    <t>TASA DE INCIDENCIA VIH -SIDA X 100,000 HAB.</t>
  </si>
  <si>
    <t>TASA DE PREVALENCIA VIH- SIDA X 100,000 HAB.</t>
  </si>
  <si>
    <t>OTRAS PATOLOGÍAS</t>
  </si>
  <si>
    <t xml:space="preserve">0-11A     </t>
  </si>
  <si>
    <t xml:space="preserve">12-17A    </t>
  </si>
  <si>
    <t xml:space="preserve">18-29A    </t>
  </si>
  <si>
    <t xml:space="preserve">30-59A    </t>
  </si>
  <si>
    <t xml:space="preserve">60A+      </t>
  </si>
  <si>
    <t>CODIGO</t>
  </si>
  <si>
    <t>UNIDADES PRESTADORAS DE SALUD</t>
  </si>
  <si>
    <t>ATENDIDO</t>
  </si>
  <si>
    <t>ATENCION EN SALUD FAMILIAR Y COMUNITARIA</t>
  </si>
  <si>
    <t>ATENCION INTEGRAL</t>
  </si>
  <si>
    <t>ODONTOLOGIA GENERAL</t>
  </si>
  <si>
    <t>ATENCION INTEGRAL DEL NINO</t>
  </si>
  <si>
    <t>ATENCION</t>
  </si>
  <si>
    <t>SALUD AMBIENTAL</t>
  </si>
  <si>
    <t>REQUERIMIENTO DE INFORMACIÓN DEL AMBITO DE INFLUENCIA</t>
  </si>
  <si>
    <t>(Corresponde  a información estadística del ambito de influencia del establecimiento de salud estratégico)</t>
  </si>
  <si>
    <t>Indice PERFIL EPIDEMIOLOGICO:</t>
  </si>
  <si>
    <t xml:space="preserve">Tasa o razón de mortalidad materna </t>
  </si>
  <si>
    <t xml:space="preserve">Tasa de mortalidad neonatal </t>
  </si>
  <si>
    <t xml:space="preserve">Tasa de mortalidad infantil </t>
  </si>
  <si>
    <t xml:space="preserve">Tasa de desnutrición en menores de 5 años </t>
  </si>
  <si>
    <t xml:space="preserve">Porcentaje de población general con otros problemas de nutrición (sobrepeso, obesidad) </t>
  </si>
  <si>
    <t xml:space="preserve">Tasa de incidencia y prevalencia de TBC </t>
  </si>
  <si>
    <t xml:space="preserve">Tasa de incidencia de VIH, ITS </t>
  </si>
  <si>
    <t xml:space="preserve">Describir 10 primeras causas de morbilidad del ámbito de influencia según Grupos de categorías (CIE 10 a 2 dígitos) </t>
  </si>
  <si>
    <t xml:space="preserve">Describir 10 primeras causas de mortalidad del ámbito de influencia según Capítulos/ Grupos de categorías / Categorías (de acuerdo a la información disponible) </t>
  </si>
  <si>
    <t xml:space="preserve">IRA en menores de 5 años </t>
  </si>
  <si>
    <t xml:space="preserve">Neumonías y neumonías graves </t>
  </si>
  <si>
    <t xml:space="preserve">Defunciones por neumonía grave </t>
  </si>
  <si>
    <t xml:space="preserve">EDA en menores de 5 años </t>
  </si>
  <si>
    <t xml:space="preserve">Prevalencia de enfermedades crónicas degenerativas: Diabetes, hipertensión, cáncer, etc. </t>
  </si>
  <si>
    <t xml:space="preserve">Información sobre enfermedades metaxénicas y brotes epidémicos </t>
  </si>
  <si>
    <t>OK</t>
  </si>
  <si>
    <t>Otras Patologías</t>
  </si>
  <si>
    <t>EMERGENCIA 2014</t>
  </si>
  <si>
    <t>EMERGENCIA 2015</t>
  </si>
  <si>
    <t>EMERGENCIA 2016</t>
  </si>
  <si>
    <t>Tasa de Mortalidad</t>
  </si>
  <si>
    <t>Tasa de Mortalidad Materna (x 100,000 NV)</t>
  </si>
  <si>
    <t>Tasa de Mortalidad Infantil  (x 1,000 NV)</t>
  </si>
  <si>
    <t>Tasa de Mortalidad Neonatal  (x 1,000 NV)</t>
  </si>
  <si>
    <t>TASA DE MORTALIDAD MATERNA ( X 100,00 NV)</t>
  </si>
  <si>
    <t>TASA DE MORTALIDAD NEONATAL ( X 1,000 NV)</t>
  </si>
  <si>
    <t>TASA DE MORTALIDAD INFANTIL ( X 1,000 NV)</t>
  </si>
  <si>
    <t>TOTAL DEFUNCIONES DE NIÑOS(A)ANTES DE CUMPLIR UN MES DE VIDA (1 a 30 d)</t>
  </si>
  <si>
    <t xml:space="preserve">TOTAL DEFUNCIONES DE NIÑOS(AS) ANTES DE CUMPLIR EL PRIMER AÑO (0 a 365 d)   </t>
  </si>
  <si>
    <t>TOTAL DE DEFUNCIONES MATERNA EN EL AMBITO</t>
  </si>
  <si>
    <t>TOTAL DE NACIDOS VIVOS REGISTRADOS EN LA POBLACION DEL ÁMBITO</t>
  </si>
  <si>
    <t xml:space="preserve">N° NACIDOS VIVOS REGISTRADOS EN LA POBLACIÓN DEL AMBITO </t>
  </si>
  <si>
    <t>TOTAL DE NACIDOS VIVOS REGISTRADOS EN LA POBLACION DEL AMBITO</t>
  </si>
  <si>
    <t>PEDIATRÍA</t>
  </si>
  <si>
    <t>ABANCAY</t>
  </si>
  <si>
    <t>HUANCARAMA</t>
  </si>
  <si>
    <t>Estancia</t>
  </si>
  <si>
    <t>INFECCION DE LAS VIAS GENITOURINARIAS EN EL EMBARAZO</t>
  </si>
  <si>
    <t>ATENCION MATERNA POR PRESENTACION ANORMAL DEL FETO, CONOCIDA O PRESUNT</t>
  </si>
  <si>
    <t>RUPTURA PREMATURA DE LAS MEMBRANAS</t>
  </si>
  <si>
    <t>ONFALITIS DEL RECIEN NACIDO CON O SIN HEMORRAGIA LEVE</t>
  </si>
  <si>
    <t>OTRA ACTIVIDADES</t>
  </si>
  <si>
    <t>RESTAURACION FOTOCURABLE DE UNA SUPERFICIE CON RESINA EN PIEZAS DENTARIAS ANTERIORES (PRIMARIAS O PE</t>
  </si>
  <si>
    <t>APLICACION DE SELLANTES</t>
  </si>
  <si>
    <t>RINOFARINGITIS AGUDA [RESFRIADO COMUN]</t>
  </si>
  <si>
    <t>Morbilidad del Servicio de Medicina del 2017</t>
  </si>
  <si>
    <t>Morbilidad del Servicio de Pediatría del 2017</t>
  </si>
  <si>
    <t>Morbilidad del Servicio de Gineco-Obstetricia del 2017</t>
  </si>
  <si>
    <t>Morbilidad del Servicio de Cirugía del 2017</t>
  </si>
  <si>
    <t>TOTAL GENERAL ...</t>
  </si>
  <si>
    <t>GINECOLOGIA</t>
  </si>
  <si>
    <t>NUTRICIÓN Y DIETÉTICA</t>
  </si>
  <si>
    <t>OTRAS OTRAS PATOLOGIAS</t>
  </si>
  <si>
    <t xml:space="preserve"> MORBILIDAD GENERAL DEL ÁMBITO  2017</t>
  </si>
  <si>
    <t>EMERGENCIA 2017</t>
  </si>
  <si>
    <t>HOSPITAL GUILLERMO DIAZ DE LA VEGA</t>
  </si>
  <si>
    <t>ABANCAY/ABANCAY/APURÍMAC</t>
  </si>
  <si>
    <t>FORMATO N°02.2: REQUERIMIENTO DE INFORMACIÓN DEL EESS II-2</t>
  </si>
  <si>
    <t>(Corresponde sólo a información estadística del establecimiento de salud II-2)</t>
  </si>
  <si>
    <t>HIS</t>
  </si>
  <si>
    <t>GERIATRÍA</t>
  </si>
  <si>
    <t>MEDICINA OCUPACIONAL Y MEDIO AMBIENTE</t>
  </si>
  <si>
    <t>MEDICINA ONCOLOGICA</t>
  </si>
  <si>
    <t>RADIOLOGÍA ESPECIALIZADA (Médico)</t>
  </si>
  <si>
    <t>INFECTOLOGÍA</t>
  </si>
  <si>
    <t>SERVICIO SOCIAL</t>
  </si>
  <si>
    <t>ENFERMEDADES METAXENICAS</t>
  </si>
  <si>
    <t>OTROS</t>
  </si>
  <si>
    <t xml:space="preserve">Consulta Externa </t>
  </si>
  <si>
    <t>Camas</t>
  </si>
  <si>
    <t>Promedio de Permanencia (días) TOTAL DE HOSPITALIZADOS</t>
  </si>
  <si>
    <t>1. La distribución por servicios lo realiza el médico general, dependiendo del grupo etareo y de la morbilidad del paciente</t>
  </si>
  <si>
    <t>N° SALAS</t>
  </si>
  <si>
    <t>Promedio de Permanencia (días)</t>
  </si>
  <si>
    <t>TASA DE INCIDENCIA (X100000 Hab.)</t>
  </si>
  <si>
    <t>HOSPITAL REGIONAL GDV</t>
  </si>
  <si>
    <t>HOSPITAL</t>
  </si>
  <si>
    <t>ELECTROCARDIOGRAMA</t>
  </si>
  <si>
    <t>ELECTROENCEFALOGRAFIA + POTENCIALES EVOCADOS</t>
  </si>
  <si>
    <t xml:space="preserve">TOMA DE BIOPSIA </t>
  </si>
  <si>
    <t>CURACION DE HERIDAS</t>
  </si>
  <si>
    <t>RETIRO DE PUNTOS</t>
  </si>
  <si>
    <t>CRIOTERAPIA</t>
  </si>
  <si>
    <t>INCISION Y DRENAJE</t>
  </si>
  <si>
    <t>COLOCACION DE SONDA FOLEY</t>
  </si>
  <si>
    <t>Otros (limpieza de quemaduras, suturas, aplicación de yeso, etc)</t>
  </si>
  <si>
    <t>Neonatología</t>
  </si>
  <si>
    <t>Nota Aclaratoria</t>
  </si>
  <si>
    <t>1. Emergencia solo atiende el Medico General, sin embargo el medico separa la atención por grupo etareo y por patologia</t>
  </si>
  <si>
    <t>N° Camas y/o camillas -cuna</t>
  </si>
  <si>
    <t>Número de atenciones de observación de Emergencia ( 12 Hrs.)</t>
  </si>
  <si>
    <t>NO APLICA</t>
  </si>
  <si>
    <t>Morbilidad de gestantes con complicaciones en hospitalización  (Todos los diagnósticos)</t>
  </si>
  <si>
    <t>HEMORRAGÍA DE LA 1° MITAD DEL EMBARAZO SIN LAPAROTOMÍA</t>
  </si>
  <si>
    <t>INFECCIÓN DEL TRACTO URINARIO EN EL EMBARAZO</t>
  </si>
  <si>
    <t>TRASTORNOS METABÓLICOS DEL EMBARAZO</t>
  </si>
  <si>
    <t>OTRAS ENFERMEDADES DEL EMBARAZO</t>
  </si>
  <si>
    <t>TRASTORNOS HIPERTENSIVOS EN EL EMBARAZO</t>
  </si>
  <si>
    <t>AMENAZA DE PARTO PREMATURO</t>
  </si>
  <si>
    <t>RUPTURA PREMATURA DE MEMBRANAS Y OTRAS RELACIONADAS</t>
  </si>
  <si>
    <t>HIPERÉMESIS GRAVÍDICA</t>
  </si>
  <si>
    <t>HEMORRAGIA DE LA 2° MITAD DEL EMBARAZO</t>
  </si>
  <si>
    <t>HEMORRAGIAS DE LA 1° MITAD DEL EMBARAZO CON LAPAROTOMÍA</t>
  </si>
  <si>
    <t>SEPSIS</t>
  </si>
  <si>
    <t>Sólo de gestantes (no puérperas, ni el periodo de parto) Ver: PPR 2016</t>
  </si>
  <si>
    <t>ANEMIA EN EL EMBARAZO</t>
  </si>
  <si>
    <t>Papanicolao (PAP)</t>
  </si>
  <si>
    <t>ICTERICIA NEONATAL; NO ESPECIFICADA</t>
  </si>
  <si>
    <t>P59.9</t>
  </si>
  <si>
    <t>SEPSIS BACTERIANA DEL RECIEN NACIDO, NO ESPECIFICADA</t>
  </si>
  <si>
    <t>P369</t>
  </si>
  <si>
    <t>SEPSIS BACTERIANA DEL RN, NO ESPECIFICADA</t>
  </si>
  <si>
    <t>SEPSIS BACTERIANA DEL RECIEN NACIDO; NO ESPECIFICADA</t>
  </si>
  <si>
    <t>P36.9</t>
  </si>
  <si>
    <t>ICTERICIA NEONATAL DEBIDO A INFECCIÓN</t>
  </si>
  <si>
    <t>P582</t>
  </si>
  <si>
    <t>ICTERICIA NEONATAL, NO ESPECIFICADA</t>
  </si>
  <si>
    <t>ICTERICIA NEONATAL DEBIDA A CONTUSION</t>
  </si>
  <si>
    <t>P58.0</t>
  </si>
  <si>
    <t>ICTERICIA NEONATAL NO ESPECIFICADA</t>
  </si>
  <si>
    <t>SEPSIS DEL RN DEBIDO A OTRAS BACTERIAS</t>
  </si>
  <si>
    <t>ICTERICIA NEONATAL ASOCIADA CON EL PARTO ANTES DE TERMINO</t>
  </si>
  <si>
    <t>P59.0</t>
  </si>
  <si>
    <t>SEPSIS DEL RECIEN NACIDO DEBIDO A OTRAS BACTERIAS</t>
  </si>
  <si>
    <t>P368</t>
  </si>
  <si>
    <t>ICTERICIA NEONATALES POR OTRAS CAUSAS ESPECIFICAS</t>
  </si>
  <si>
    <t>ICTERICIA NEONATAL POR OTRAS CAUSAS ESPECIFICADAS</t>
  </si>
  <si>
    <t>P59.8</t>
  </si>
  <si>
    <t>ICTERICIA NEONATAL DEBIDO A CONTUSIÓN</t>
  </si>
  <si>
    <t>P580</t>
  </si>
  <si>
    <t>SINDROME DE DIFICULTAD RESPIRATORIA DEL RN</t>
  </si>
  <si>
    <t>SINDROME DE DIFICULTAD RESPIRATORIA DEL RECIEN NACIDO</t>
  </si>
  <si>
    <t>P22.0</t>
  </si>
  <si>
    <t>OTRAS HIPOGLICEMIAS NEONATALES</t>
  </si>
  <si>
    <t>P704</t>
  </si>
  <si>
    <t>ICTERICIA NEONATALES DEBIDO A INFECCION</t>
  </si>
  <si>
    <t>OTRO PESO BAJO AL NACER</t>
  </si>
  <si>
    <t>P07.1</t>
  </si>
  <si>
    <t>SEPSIS DEL RN DEBIDO A ESTREPTOCOCOS</t>
  </si>
  <si>
    <t>INFECCION INTESTINAL BACTERIANA; NO ESPECIFICADA</t>
  </si>
  <si>
    <t>A04.9</t>
  </si>
  <si>
    <t>P220</t>
  </si>
  <si>
    <t>TAQUIPNEA DEL RN</t>
  </si>
  <si>
    <t>PARO CARDIACO; NO ESPECIFICADO</t>
  </si>
  <si>
    <t>I46.9</t>
  </si>
  <si>
    <t>INSUFICIENCIA RESPIRATORIA, NO ESPECIFICADA</t>
  </si>
  <si>
    <t>J969</t>
  </si>
  <si>
    <t>INSUFICIENCIA RESPIRATORIA NO ESPECIFIACADA</t>
  </si>
  <si>
    <t>Ver: PPR 2016</t>
  </si>
  <si>
    <t>ICTERICIIA NEONATAL, NO ESPECIFICADA</t>
  </si>
  <si>
    <t>SEPSIS DEL RN DEBIDO A OTROS ESTAFILOCOCOS</t>
  </si>
  <si>
    <t>DIFICULTAD RESPITARIA RN, NO ESPEFICIDAD</t>
  </si>
  <si>
    <t>SINDORME DE ASPIRACION NEONATAL</t>
  </si>
  <si>
    <t>INSUFICIENCIA RESPIRATOROIA DEL RECIEN NAICIDO</t>
  </si>
  <si>
    <t>SEPSIS DEL RECIEN NACIDO DEBIDO ANAEROBIOS</t>
  </si>
  <si>
    <t>SEPSIS DEL RN DEBIDO A ESCHERICHA COLI</t>
  </si>
  <si>
    <t>SEPSIS DEL RECIEN NACIDO  DEBIDO A ESTREPTOCOCOS DEL GRUPO B</t>
  </si>
  <si>
    <t>SIFILIS CONGENITA, SIN OTRA ESPECIFICACIÓN</t>
  </si>
  <si>
    <t>ITS (X 100000 Hab)</t>
  </si>
  <si>
    <t>VIH/SIDA (x 100000 Hab)</t>
  </si>
  <si>
    <t>VIH/SIDA (100000 Hab.)</t>
  </si>
  <si>
    <t>Atención en salud bucal (Todas las actividades realizadas)</t>
  </si>
  <si>
    <t>Actividades</t>
  </si>
  <si>
    <t>INCISION Y DRENAJE DE ABSCESO - INTRAORAL</t>
  </si>
  <si>
    <t>RELLENO SEDANTE (EUGENATO)</t>
  </si>
  <si>
    <t>RESTAURACION DE DOS SUPERFICIES, CON AMALGAMA DE PLATA, EN PIEZAS DENTARIAS DECIDUAS (COMPUESTA)</t>
  </si>
  <si>
    <t>RESTAURACIONES FOTOCURABLES DE TRES SUPERFICIES CON RESINA EN PIEZAS DENTARIAS POSTERIORES (PRIMARIA</t>
  </si>
  <si>
    <t>RESTAURACION DE UNA SUPERFICIE, CON AMALGAMA DE PLATA, EN PIEZAS DENTARIAS DECIDUAS (SIMPLE)</t>
  </si>
  <si>
    <t>RESTAURACIONES FOTOCURABLES DE DOS SUPERFICIES CON RESINA EN PIEZAS DENTARIAS ANTERIORES (PRIMARIAS</t>
  </si>
  <si>
    <t>RESTAURACION CON EL USO DE RESINA, UNA SUPERFICIE, POSTERIOR, PERMANENTE</t>
  </si>
  <si>
    <t>RESTAURACION FOTOCURABLE DE RESINA EN TODA LA CORONA DE PIEZAS ANTERIORES (PRIMARIAS O PERMANENTES)</t>
  </si>
  <si>
    <t>PULPOTOMIA</t>
  </si>
  <si>
    <t>APERTURA CAMERAL</t>
  </si>
  <si>
    <t>RECUBRIMIENTO PULPAR DIRECTO</t>
  </si>
  <si>
    <t>EXODONCIA A COLGAJO</t>
  </si>
  <si>
    <t>RESTAURACIONES DE TRES SUPERFICIES CON AMALGAMA EN PIEZAS DENTARIAS, PRIMARIAS O PERMANENTES</t>
  </si>
  <si>
    <t>Sombrear plomo</t>
  </si>
  <si>
    <t>Los servicios o UPSS que no tiene el establecimiento de salud</t>
  </si>
  <si>
    <t>FORMATO: REQUERIMIENTO DE INFORMACIÓN DEL EESS II-2</t>
  </si>
  <si>
    <t>Morbilidad del Servicio de Medicina del 2014 (Todos los diagnósticos)</t>
  </si>
  <si>
    <t>Morbilidad del Servicio de Medicina del 2015 (Todos los diagnósticos)</t>
  </si>
  <si>
    <t>Morbilidad por Grupo</t>
  </si>
  <si>
    <t>0-11A</t>
  </si>
  <si>
    <t>12-17A</t>
  </si>
  <si>
    <t>18-29A</t>
  </si>
  <si>
    <t>30-59A</t>
  </si>
  <si>
    <t>60A+</t>
  </si>
  <si>
    <t>TRASTORNOS METABOLICOS (E70 - E90)</t>
  </si>
  <si>
    <t>MICOSIS (B35 - B49)</t>
  </si>
  <si>
    <t>ENFERMEDADES DEBIDAS A PROTOZOARIOS (B50 - B64)</t>
  </si>
  <si>
    <t>TRASTORNOS NEUROTICOS, TRASTORNOS RELACIONADOS CON EL ESTRES Y TRASTORNOS SOMATOMORFOS(F40 - F48)</t>
  </si>
  <si>
    <t>LITIASIS URINARIA (N20 - N23)</t>
  </si>
  <si>
    <t>SINTOMAS Y SIGNOS QUE INVOLUCRAN LOS SISTEMAS CIRCULATORIO Y RESPIRATORIO (R00 - R09)</t>
  </si>
  <si>
    <t>INFECCIONES DE LA PIEL Y DEL TEJIDO SUBCUTANEO (L00 - L08)</t>
  </si>
  <si>
    <t>TUBERCULOSIS (A15-A19)</t>
  </si>
  <si>
    <t>(*) CIE 10 por Grupo</t>
  </si>
  <si>
    <t>Morbilidad del Servicio de Pediatría del 2014 (Todos los diagnósticos)</t>
  </si>
  <si>
    <t>Morbilidad del Servicio de Pediatría del 2015 (Todos los diagnósticos)</t>
  </si>
  <si>
    <t>HEPATITIS VIRAL (B15 - B19)</t>
  </si>
  <si>
    <t>ANEMIAS APLASTICAS Y OTRAS ANEMIAS (D60 - D64)</t>
  </si>
  <si>
    <t>TRASTORNOS HEMORRAGICOS Y HEMATOLOGICOS DEL FETO Y DEL RECIEN NACIDO (P50 - P61)</t>
  </si>
  <si>
    <t>TRASTORNOS DEL DESARROLLO PSICOLOGICO (F80 - F89)</t>
  </si>
  <si>
    <t>OTRAS ENFERMEDADES DE LOS INTESTINOS (K55 - K63)</t>
  </si>
  <si>
    <t>Morbilidad del Servicio de Gineco-Obstetricia del 2014 (Todos los diagnósticos)</t>
  </si>
  <si>
    <t>Morbilidad del Servicio de Gineco-Obstetricia del 2015 (Todos los diagnósticos)</t>
  </si>
  <si>
    <t>ATENCION MATERNA RELACIONADA CON EL FETO Y CAVIDAD AMNIOTICA Y CON POSIBLES PROBLEM.DE PARTO(O30-O48</t>
  </si>
  <si>
    <t>OTRAS AFECCIONES OBSTETRICAS NO CLASIFICADAS EN OTRA PARTE (O94 - O99)</t>
  </si>
  <si>
    <t>COMPLICACIONES PRINCIPALMENTE RELACIONADAS CON EL PUERPERIO (O85 -O92)</t>
  </si>
  <si>
    <t>EDEMA, PROTEINURIA Y TRASTORNOS HIPERTENSIVOS EN EL EMBARAZO, EL PARTO Y EL PUERPERIO (O10 - O16)</t>
  </si>
  <si>
    <t>INFECCIONES VIRALES POR LESIONES DE LA PIEL Y DE LAS MEMBRANAS MUCOSAS (B00 - B09)</t>
  </si>
  <si>
    <t>TUMORES (NEOPLASIAS) IN SITU (D00 - D09)</t>
  </si>
  <si>
    <t>Morbilidad del Servicio de Cirugía del 2014 (Todos los diagnósticos)</t>
  </si>
  <si>
    <t>Morbilidad del Servicio de Cirugía del 2015 (Todos los diagnósticos)</t>
  </si>
  <si>
    <t>ENFERMEDADES DE LAS VENAS Y DE VASOS Y GANGLIOS LINFATICOS, NO CLASIFICADAS EN OTRA PARTE(I80 -I89)</t>
  </si>
  <si>
    <t>FISURA DEL PALADAR Y LABIO LEPORICO (Q35 - Q37)</t>
  </si>
  <si>
    <t>QUEMADURAS Y CORROSIONES (T20 - T32)</t>
  </si>
  <si>
    <t>FORMATO N° 3.2: MORBILIDAD DE HOSPITALIZACIÓN</t>
  </si>
  <si>
    <t>Causa</t>
  </si>
  <si>
    <t>Infeccion de Vias Urinarias, Sitio no Especificado</t>
  </si>
  <si>
    <t>N10X</t>
  </si>
  <si>
    <t>Nefritis tubulointersticial aguda</t>
  </si>
  <si>
    <t>Insuficiencia cardíaca congestiva</t>
  </si>
  <si>
    <t>Insuficiencia Cardiaca Congestiva</t>
  </si>
  <si>
    <t>Otros dolores abdominales y los no especificados</t>
  </si>
  <si>
    <t>K922</t>
  </si>
  <si>
    <t>Hemorragia Gastrointestinal, no Especificada</t>
  </si>
  <si>
    <t>J159</t>
  </si>
  <si>
    <t>Neumonia Bacteriana, no Especificada</t>
  </si>
  <si>
    <t>Neumonía grave</t>
  </si>
  <si>
    <t>K703</t>
  </si>
  <si>
    <t>Cirrosis Hepatica Alcoholica</t>
  </si>
  <si>
    <t>K859</t>
  </si>
  <si>
    <t>Pancreatitis aguda</t>
  </si>
  <si>
    <t>T600</t>
  </si>
  <si>
    <t>Infección de vías urinarias, sitio no especificado</t>
  </si>
  <si>
    <t>Neumonia, no Especificada</t>
  </si>
  <si>
    <t>E149</t>
  </si>
  <si>
    <t>Efecto tóxico de insecticidas organofosforados y carbamatos</t>
  </si>
  <si>
    <t>Hipertension Esencial (Primaria)</t>
  </si>
  <si>
    <t>I679</t>
  </si>
  <si>
    <t>Enfermedad Cerebrovascular, no Especificada</t>
  </si>
  <si>
    <t xml:space="preserve">Cirrosis hepática alcohólica </t>
  </si>
  <si>
    <t>Diabetes mellitus</t>
  </si>
  <si>
    <t>Neumonia Viral, no Especificada</t>
  </si>
  <si>
    <t>K295</t>
  </si>
  <si>
    <t>Gastritis Cronica, no Especificada</t>
  </si>
  <si>
    <t>Hemorragia gastrointestinal, no especificada</t>
  </si>
  <si>
    <t>I509</t>
  </si>
  <si>
    <t>K85X</t>
  </si>
  <si>
    <t>Pancreatitis Aguda</t>
  </si>
  <si>
    <t>Septicemia, no especificada</t>
  </si>
  <si>
    <t>Y180</t>
  </si>
  <si>
    <t>A150</t>
  </si>
  <si>
    <t>TBC Pulmonar  Bk (+)</t>
  </si>
  <si>
    <t>A419</t>
  </si>
  <si>
    <t>Neumonía, no especificada</t>
  </si>
  <si>
    <t>Gastritis crónica, no especificada</t>
  </si>
  <si>
    <t>Envenenamiento por, y Exposicion a Plaguicidas, de Intencion no determinada, en Vivienda</t>
  </si>
  <si>
    <t>Septicemia, no Especificada</t>
  </si>
  <si>
    <t>Diabetes mellitus no insulinodependiente, sin mención de complicación</t>
  </si>
  <si>
    <t>Epilepsia, tipo no especificado</t>
  </si>
  <si>
    <t>Z380</t>
  </si>
  <si>
    <t>Bronquiectasia</t>
  </si>
  <si>
    <t>E119</t>
  </si>
  <si>
    <t>G409</t>
  </si>
  <si>
    <t>Diabetes Mellitus, no Especificada, sin Mencion de Complicacion</t>
  </si>
  <si>
    <t>Insuficiencia cardíaca, no especificada</t>
  </si>
  <si>
    <t>Pielonefritis crónica obstructiva</t>
  </si>
  <si>
    <t>J449</t>
  </si>
  <si>
    <t>Enfermedad Pulmonar Obstructiva Cronica, no Especificada</t>
  </si>
  <si>
    <t>J47X</t>
  </si>
  <si>
    <t>Tumor maligno del estómago, parte no especificada</t>
  </si>
  <si>
    <t>L031</t>
  </si>
  <si>
    <t>Celulitis de otras partes de los miembros</t>
  </si>
  <si>
    <t>Celulitis de otras partes de los Miembros</t>
  </si>
  <si>
    <t>C169</t>
  </si>
  <si>
    <t>Gastritis, no especificada</t>
  </si>
  <si>
    <t>N111</t>
  </si>
  <si>
    <t>Infarto cerebral, no especificado</t>
  </si>
  <si>
    <t>Otras gastroenteritis y colitis no especificadas de origen infeccioso</t>
  </si>
  <si>
    <t>Diabetes Mellitus no Insulinodependiente, sin Mencion de Complicacion</t>
  </si>
  <si>
    <t>I639</t>
  </si>
  <si>
    <t>Envenenamiento por, y exposición a plaguicidas, de intención no determinada, lugar no especificado</t>
  </si>
  <si>
    <t>Otros dolores Abdominales y los no Especificados</t>
  </si>
  <si>
    <t>Envenenamiento por, y exposición a plaguicidas, de intención no determinada, vivienda</t>
  </si>
  <si>
    <t>K850</t>
  </si>
  <si>
    <t>Trastornos Mentales y del Comportamiento debidos al uso de Alcohol, Estado de Abstinenci</t>
  </si>
  <si>
    <t>F103</t>
  </si>
  <si>
    <t>Tumor Maligno del Estomago, parte no Especificada</t>
  </si>
  <si>
    <t>Y189</t>
  </si>
  <si>
    <t>Enfermedad cerebrovascular, no especificada</t>
  </si>
  <si>
    <t>Pancreatitis idiopática aguda</t>
  </si>
  <si>
    <t>J459</t>
  </si>
  <si>
    <t>Envenenamiento por otras drogas y sustancias biológicas, y las no especificadas</t>
  </si>
  <si>
    <t>A370</t>
  </si>
  <si>
    <t>Diarrea acuosa</t>
  </si>
  <si>
    <t>R508</t>
  </si>
  <si>
    <t>Diarrea y gastroenteritis de presunto origen infeccioso</t>
  </si>
  <si>
    <t>Fiebre, no Especificada</t>
  </si>
  <si>
    <t>J219</t>
  </si>
  <si>
    <t>Bronquiolitis sin Especificar, Bronquiolitis Aguda</t>
  </si>
  <si>
    <t>Producto único, nacido en hospital</t>
  </si>
  <si>
    <t>Faringitis aguda</t>
  </si>
  <si>
    <t>L500</t>
  </si>
  <si>
    <t>Diarrea con deshidratación</t>
  </si>
  <si>
    <t>A09X</t>
  </si>
  <si>
    <t>Infecciones Intestinales debidas a otros Organismos sin Especificar</t>
  </si>
  <si>
    <t>Asma no Especificado. Asma de Aparicion Tardia. Bronquitis Asmatica/Sob Sibiliancia, Hip</t>
  </si>
  <si>
    <t>B150</t>
  </si>
  <si>
    <t>Bronquitis Aguda, no Especificada</t>
  </si>
  <si>
    <t>J4591</t>
  </si>
  <si>
    <t>SOB / Sibilancia Hiperactividad Bronquial</t>
  </si>
  <si>
    <t>Bronquiolitis</t>
  </si>
  <si>
    <t>P365</t>
  </si>
  <si>
    <t>Bronquitis aguda</t>
  </si>
  <si>
    <t>J029</t>
  </si>
  <si>
    <t>Faringitis Aguda, no Especificada</t>
  </si>
  <si>
    <t>Fiebre, no especificada</t>
  </si>
  <si>
    <t>E86X</t>
  </si>
  <si>
    <t>Intoxicación alimentaria bacteriana, no especificada</t>
  </si>
  <si>
    <t>B012</t>
  </si>
  <si>
    <t>Neumonia debida a Varicela (J17.1*)</t>
  </si>
  <si>
    <t>J068</t>
  </si>
  <si>
    <t>Bronconeumonía</t>
  </si>
  <si>
    <t>Fiebre Tifoidea</t>
  </si>
  <si>
    <t>B199</t>
  </si>
  <si>
    <t>Hepatitis viral no especificada sin coma hepático</t>
  </si>
  <si>
    <t>G009</t>
  </si>
  <si>
    <t>Otras convulsiones y las no especificadas</t>
  </si>
  <si>
    <t>Tos Ferina, no Especificada</t>
  </si>
  <si>
    <t>A379</t>
  </si>
  <si>
    <t>Laringotraqueitis Aguda</t>
  </si>
  <si>
    <t>D649</t>
  </si>
  <si>
    <t>Labio leporino, bilateral</t>
  </si>
  <si>
    <t>G809</t>
  </si>
  <si>
    <t>Epilepsia, Tipo no Especificado</t>
  </si>
  <si>
    <t>J042</t>
  </si>
  <si>
    <t>Laringotraqueítis aguda</t>
  </si>
  <si>
    <t>L028</t>
  </si>
  <si>
    <t>Hepatitis viral no especificada sin coma</t>
  </si>
  <si>
    <t>A64X5</t>
  </si>
  <si>
    <t>Sindrome de Dolor Abdominal Bajo</t>
  </si>
  <si>
    <t>Neumonía lobar, no especificada</t>
  </si>
  <si>
    <t>Otras Neumonias Bacterianas</t>
  </si>
  <si>
    <t>B160</t>
  </si>
  <si>
    <t>J46X</t>
  </si>
  <si>
    <t>Diarrea disentérica sin deshidratación</t>
  </si>
  <si>
    <t>L021</t>
  </si>
  <si>
    <t>Tos ferina, no especificada</t>
  </si>
  <si>
    <t>J180</t>
  </si>
  <si>
    <t>Diarrea Acuosa Incluye Colitis, Enteritis, Genterocolitis, Gastroenteritis, Gastroentero</t>
  </si>
  <si>
    <t>L039</t>
  </si>
  <si>
    <t>Estado Asmatico.  Asma Aguda Severa.</t>
  </si>
  <si>
    <t xml:space="preserve">Anemia de tipo no especificado </t>
  </si>
  <si>
    <t>R609</t>
  </si>
  <si>
    <t>Asma, no especificada</t>
  </si>
  <si>
    <t>P271</t>
  </si>
  <si>
    <t>Varicela con otras complicaciones</t>
  </si>
  <si>
    <t>A09X0</t>
  </si>
  <si>
    <t>M710</t>
  </si>
  <si>
    <t>Parto por Cesarea, sin otra Especificacion</t>
  </si>
  <si>
    <t>Parto por Cesarea de Emergencia</t>
  </si>
  <si>
    <t>Parto por cesárea, sin otra especificación</t>
  </si>
  <si>
    <t>Amenaza de Aborto</t>
  </si>
  <si>
    <t>Parto por cesárea de emergencia</t>
  </si>
  <si>
    <t>Amenaza de aborto</t>
  </si>
  <si>
    <t>O060</t>
  </si>
  <si>
    <t>Aborto no Especificado, Incompleto, Complicado con Infeccion Genital y Pelviana</t>
  </si>
  <si>
    <t>O034</t>
  </si>
  <si>
    <t>Aborto Espontaneo, Incompleto, sin Complicacion</t>
  </si>
  <si>
    <t>O021</t>
  </si>
  <si>
    <t>Aborto retenido</t>
  </si>
  <si>
    <t>Aborto no especificado, incompleto, complicado con infección genital y pelviana</t>
  </si>
  <si>
    <t>O331</t>
  </si>
  <si>
    <t>Atencion Materna por desproporcion debida a Estrechez General de la Pelvis</t>
  </si>
  <si>
    <t>Aborto espontáneo, incompleto, sin complicación</t>
  </si>
  <si>
    <t>Z359</t>
  </si>
  <si>
    <t>Supervisión de embarazo de alto riesgo, sin otra especificación</t>
  </si>
  <si>
    <t>O689</t>
  </si>
  <si>
    <t>Trabajo de Parto y Parto Complicados por Sufrimiento Fetal, sin otra Especificacion</t>
  </si>
  <si>
    <t>O009</t>
  </si>
  <si>
    <t>Embarazo ectópico, no especificado</t>
  </si>
  <si>
    <t>Embarazo Ectopico no Especificado</t>
  </si>
  <si>
    <t>O620</t>
  </si>
  <si>
    <t>Contracciones primarias inadecuadas</t>
  </si>
  <si>
    <t>Aborto Retenido</t>
  </si>
  <si>
    <t>O410</t>
  </si>
  <si>
    <t>Oligohidramnios</t>
  </si>
  <si>
    <t>O470</t>
  </si>
  <si>
    <t>O339</t>
  </si>
  <si>
    <t>Atencion Materna por desproporcion Feto Pelviana de Origen no Especificado</t>
  </si>
  <si>
    <t>N832</t>
  </si>
  <si>
    <t>Detención del desarrollo del huevo y mola no hidatiforme</t>
  </si>
  <si>
    <t>O322</t>
  </si>
  <si>
    <t>Atencion Materna por Posicion Fetal Oblicua o Transversa</t>
  </si>
  <si>
    <t>O019</t>
  </si>
  <si>
    <t>Mola hidatiforme, no especificada</t>
  </si>
  <si>
    <t>O020</t>
  </si>
  <si>
    <t>Otros quistes ováricos y los no especificados</t>
  </si>
  <si>
    <t>O800</t>
  </si>
  <si>
    <t>Parto Unico Espontaneo, Presentacion Cefalica de Vertice</t>
  </si>
  <si>
    <t>Atención materna por desproporción debida a estrechez general de la pelvis</t>
  </si>
  <si>
    <t>O210</t>
  </si>
  <si>
    <t>Hiperemesis gravídica leve</t>
  </si>
  <si>
    <t>Hiperemesis Gravidica Leve o no Especificada</t>
  </si>
  <si>
    <t>O363</t>
  </si>
  <si>
    <t>Atención materna por signos de hipoxia fetal</t>
  </si>
  <si>
    <t>Parto por cesárea electiva</t>
  </si>
  <si>
    <t>Detencion del desarrollo del Huevo y Mola no Hidatiforme</t>
  </si>
  <si>
    <t>O820</t>
  </si>
  <si>
    <t>O912</t>
  </si>
  <si>
    <t>Otros partos únicos por cesárea</t>
  </si>
  <si>
    <t>N739</t>
  </si>
  <si>
    <t>Enfermedad Inflamatoria Pelvica</t>
  </si>
  <si>
    <t>O342</t>
  </si>
  <si>
    <t>Atencion Materna por Cicatriz Uterina debida a Cirugia Previa</t>
  </si>
  <si>
    <t>O335</t>
  </si>
  <si>
    <t>Atención materna por desproporción debida a feto demasiado grande</t>
  </si>
  <si>
    <t>Parto único espontáneo, sin otra especificación</t>
  </si>
  <si>
    <t>Mastitis no purulenta asociada con el parto</t>
  </si>
  <si>
    <t>D259</t>
  </si>
  <si>
    <t>Leiomioma del útero, sin otra especificación</t>
  </si>
  <si>
    <t>N819</t>
  </si>
  <si>
    <t>Prolapso genital femenino, no especificado</t>
  </si>
  <si>
    <t>N830</t>
  </si>
  <si>
    <t>O321</t>
  </si>
  <si>
    <t>Atencion Materna por Presentacion de Nalgas</t>
  </si>
  <si>
    <t>O030</t>
  </si>
  <si>
    <t>Aborto espontáneo, incompleto, complicado con infección genital y pelviana</t>
  </si>
  <si>
    <t>O651</t>
  </si>
  <si>
    <t>Trabajo de Parto Obstruido debido a Estrechez General de la Pelvis</t>
  </si>
  <si>
    <t>Infección no especificada de las vías urinarias en el embarazo</t>
  </si>
  <si>
    <t>Aborto no especificado, completo o no especificado, sin complicación</t>
  </si>
  <si>
    <t>Z3593</t>
  </si>
  <si>
    <t>Gestante con Factor de Riesgo Control 3er. Trimestre (36 Semanas)</t>
  </si>
  <si>
    <t>O069</t>
  </si>
  <si>
    <t>K359</t>
  </si>
  <si>
    <t>Apendicitis Aguda, no Especificada</t>
  </si>
  <si>
    <t>K358</t>
  </si>
  <si>
    <t>Apendicitis aguda, no especificada</t>
  </si>
  <si>
    <t>K810</t>
  </si>
  <si>
    <t>Colecistitis Aguda</t>
  </si>
  <si>
    <t>Colecistitis Cronica</t>
  </si>
  <si>
    <t>Colecistitis crónica</t>
  </si>
  <si>
    <t>N40X</t>
  </si>
  <si>
    <t>Hiperplasia de la próstata</t>
  </si>
  <si>
    <t>K802</t>
  </si>
  <si>
    <t>Calculo de la Vesicula Biliar sin Colecistitis</t>
  </si>
  <si>
    <t>Colecistitis aguda</t>
  </si>
  <si>
    <t>Apendicitis, no Especificada</t>
  </si>
  <si>
    <t>Hiperplasia de la Prostata</t>
  </si>
  <si>
    <t>K352</t>
  </si>
  <si>
    <t>Apendicitis aguda con peritonitis generalizada</t>
  </si>
  <si>
    <t>K409</t>
  </si>
  <si>
    <t>Calculo de la Vesicula Biliar con Colecistitis Aguda</t>
  </si>
  <si>
    <t>Hernia inguinal unilateral o no especificada, sin obstrucción ni gangrena</t>
  </si>
  <si>
    <t>Apendicitis, no especificada</t>
  </si>
  <si>
    <t>K808</t>
  </si>
  <si>
    <t>Otras Colelitiasis</t>
  </si>
  <si>
    <t>K800</t>
  </si>
  <si>
    <t>Hernia Inguinal Unilateral o no Especificada, sin Obstruccion ni Gangrena</t>
  </si>
  <si>
    <t>K429</t>
  </si>
  <si>
    <t>Hernia umbilical sin obstrucción ni gangrena</t>
  </si>
  <si>
    <t>K801</t>
  </si>
  <si>
    <t>K566</t>
  </si>
  <si>
    <t>Otras Obstrucciones Intestinales y las no Especificadas</t>
  </si>
  <si>
    <t>Otras obstrucciones intestinales y las no especificadas</t>
  </si>
  <si>
    <t>Cálculo de la vesícula biliar sin colecistitis</t>
  </si>
  <si>
    <t>Hernia Umbilical sin Obstruccion ni Gangrena</t>
  </si>
  <si>
    <t>K350</t>
  </si>
  <si>
    <t>Apendicitis Aguda con Peritonitis Generalizada</t>
  </si>
  <si>
    <t>K562</t>
  </si>
  <si>
    <t>Vólvulo</t>
  </si>
  <si>
    <t>Traumatismo Intracraneal, no Especificado</t>
  </si>
  <si>
    <t>K388</t>
  </si>
  <si>
    <t>Otras enfermedades especificadas del apéndice</t>
  </si>
  <si>
    <t>Apendicitis aguda con absceso peritoneal</t>
  </si>
  <si>
    <t>S069</t>
  </si>
  <si>
    <t>Colecistitis, no especificada</t>
  </si>
  <si>
    <t>T302</t>
  </si>
  <si>
    <t>Quemadura de Segundo Grado, Region del Cuerpo no Especificada</t>
  </si>
  <si>
    <t>K461</t>
  </si>
  <si>
    <t>T009</t>
  </si>
  <si>
    <t>Traumatismos Superficiales Multiples, no Especificados</t>
  </si>
  <si>
    <t>K469</t>
  </si>
  <si>
    <t>Hernia abdominal no especificada, sin obstrucción ni gangrena</t>
  </si>
  <si>
    <t>Hernia abdominal no especificada, con gangrena</t>
  </si>
  <si>
    <t>T141</t>
  </si>
  <si>
    <t>Herida de Region no Especificada del Cuerpo</t>
  </si>
  <si>
    <t>T140</t>
  </si>
  <si>
    <t>Traumatismo superficial de región no especificada del cuerpo</t>
  </si>
  <si>
    <t>Volvulo</t>
  </si>
  <si>
    <t>R100</t>
  </si>
  <si>
    <t>C61X</t>
  </si>
  <si>
    <t>Tumor Maligno de la Prostata</t>
  </si>
  <si>
    <t>Cálculo de la vesícula biliar con otra colecistitis</t>
  </si>
  <si>
    <t>Abdomen agudo</t>
  </si>
  <si>
    <t>K351</t>
  </si>
  <si>
    <t>N433</t>
  </si>
  <si>
    <t>Cálculo de la vesícula biliar con colecistitis aguda</t>
  </si>
  <si>
    <t>Hidrocele, no especificado</t>
  </si>
  <si>
    <t>Quemadura de segundo grado, región del cuerpo no especificada</t>
  </si>
  <si>
    <t>K420</t>
  </si>
  <si>
    <t>Hernia Umbilical con Obstruccion, sin Gangrena</t>
  </si>
  <si>
    <t>K565</t>
  </si>
  <si>
    <t>Hernia Ventral sin Obstruccion ni Gangrena</t>
  </si>
  <si>
    <t>K439</t>
  </si>
  <si>
    <t>Herida de región no especificada del cuerpo</t>
  </si>
  <si>
    <t>FORMATO N° 3.3: MORBILIDAD DE EMERGENCIA</t>
  </si>
  <si>
    <t>OTRAS GASTROENTERITIS Y COLITIS DE ORIGEN INFECCIOSO</t>
  </si>
  <si>
    <t>INFECCION DE VIAS URINARIAS, SITIO NO ESPECIFICADO</t>
  </si>
  <si>
    <t>Contracciones Primarias Inadecuadas</t>
  </si>
  <si>
    <t>DIABETES MELLITUS NO ESPECIFICADA, SIN MENCION DE COMPLICACION</t>
  </si>
  <si>
    <t>Gastritis, no Especificada</t>
  </si>
  <si>
    <t>K291</t>
  </si>
  <si>
    <t>Otras Gastritis Agudas</t>
  </si>
  <si>
    <t>OTRAS GASTRITIS AGUDAS</t>
  </si>
  <si>
    <t>R51X</t>
  </si>
  <si>
    <t>Cefalea</t>
  </si>
  <si>
    <t>CEFALEA</t>
  </si>
  <si>
    <t>Faringo Amigdalitis Aguda</t>
  </si>
  <si>
    <t>GASTRITIS, NO ESPECIFICADA</t>
  </si>
  <si>
    <t>HIPERTENSION ESENCIAL (PRIMARIA)</t>
  </si>
  <si>
    <t>K30X</t>
  </si>
  <si>
    <t>Dispepsia</t>
  </si>
  <si>
    <t>OTRAS APENDICITIS AGUDAS, Y LAS NO ESPECIFICADAS</t>
  </si>
  <si>
    <t>ABDOMEN AGUDO</t>
  </si>
  <si>
    <t>R101</t>
  </si>
  <si>
    <t>Dolor Abdominal Localizado en parte Superior</t>
  </si>
  <si>
    <t>ASMA, NO ESPECIFICADO</t>
  </si>
  <si>
    <t>COLECISTITIS AGUDA</t>
  </si>
  <si>
    <t>NEUMONIA, NO ESPECIFICADA</t>
  </si>
  <si>
    <t>BRONCONEUMONIA, NO ESPECIFICADA</t>
  </si>
  <si>
    <t>FIEBRE, NO ESPECIFICADA</t>
  </si>
  <si>
    <t>R568</t>
  </si>
  <si>
    <t>Otras Convulsiones y las no Especificadas</t>
  </si>
  <si>
    <t>OTRAS INFECCIONES AGUDAS DE SITIOS MULTIPLES DE LAS VIAS RESPIRATORIAS SUPERIORES</t>
  </si>
  <si>
    <t>GASTRITIS CRONICA, NO ESPECIFICADA</t>
  </si>
  <si>
    <t>HEMORRAGIA GASTROINTESTINAL, NO ESPECIFICADA</t>
  </si>
  <si>
    <t>FARINGITIS AGUDA, NO ESPECIFICADA</t>
  </si>
  <si>
    <t>T477</t>
  </si>
  <si>
    <t>Emeticos</t>
  </si>
  <si>
    <t>R501</t>
  </si>
  <si>
    <t>Fiebre Persistente</t>
  </si>
  <si>
    <t>A059</t>
  </si>
  <si>
    <t>INTOXICACION ALIMENTARIA BACTERIANA, NO ESPECIFICADA</t>
  </si>
  <si>
    <t>Ictericia Neonatal, no Especificada</t>
  </si>
  <si>
    <t>J039</t>
  </si>
  <si>
    <t>J00X</t>
  </si>
  <si>
    <t>R33X</t>
  </si>
  <si>
    <t>Rinofaringitis Aguda, Rinitis Aguda</t>
  </si>
  <si>
    <t>Intoxicacion Alimentaria Bacteriana, no Especificada</t>
  </si>
  <si>
    <t>R11X</t>
  </si>
  <si>
    <t>Nausea y Vomito</t>
  </si>
  <si>
    <t>Y537</t>
  </si>
  <si>
    <t>EFECTOS ADVERSOS DE EMETICOS</t>
  </si>
  <si>
    <t>Urticaria Alergica</t>
  </si>
  <si>
    <t>NAUSEA Y VOMITO</t>
  </si>
  <si>
    <t>AMIGDALITIS AGUDA, NO ESPECIFICADA</t>
  </si>
  <si>
    <t>TOS FERINA, NO ESPECIFICADA</t>
  </si>
  <si>
    <t>H920</t>
  </si>
  <si>
    <t>OTALGIA</t>
  </si>
  <si>
    <t>HEPATITIS VIRAL NO ESPECIFICADA SIN COMA HEPATICO</t>
  </si>
  <si>
    <t>CONTRACCIONES PRIMARIAS INADECUADAS</t>
  </si>
  <si>
    <t>O471</t>
  </si>
  <si>
    <t>FALSO TRABAJO DE PARTO A LAS 37 Y MAS SEMANAS COMPLETAS DE GESTACION</t>
  </si>
  <si>
    <t>N938</t>
  </si>
  <si>
    <t>Hemorragia Vaginal y Uterina Anormal, no Especificada</t>
  </si>
  <si>
    <t>ABORTO ESPONTANEO INCOMPLETO, SIN COMPLICACION</t>
  </si>
  <si>
    <t>N939</t>
  </si>
  <si>
    <t>Otras Hemorragias Uterinas o Vaginales Anormales Especificadas</t>
  </si>
  <si>
    <t>FALSO TRABAJO DE PARTO ANTES DE LAS 37 SEMANAS COMPLETAS DE GESTACION</t>
  </si>
  <si>
    <t>Mastitis no Purulenta Asociada con el Parto</t>
  </si>
  <si>
    <t>INFECCION NO ESPECIFICADA DE LAS VIAS URINARIAS EN EL EMBARAZO</t>
  </si>
  <si>
    <t>D250</t>
  </si>
  <si>
    <t>O420</t>
  </si>
  <si>
    <t>RUPTURA PREMATURA DE LAS MEMBRANAS, E INICIO DEL TRABAJO DE PARTO DENTRO DE LAS 24 HORAS</t>
  </si>
  <si>
    <t>Otro Aborto, Incompleto, sin Complicacion</t>
  </si>
  <si>
    <t>HEMORRAGIA VAGINAL Y UTERINA ANORMAL, NO ESPECIFICADA</t>
  </si>
  <si>
    <t>O054</t>
  </si>
  <si>
    <t>OLIGOHIDRAMNIOS</t>
  </si>
  <si>
    <t>Leiomioma Submucoso del Utero</t>
  </si>
  <si>
    <t>ABORTO RETENIDO</t>
  </si>
  <si>
    <t>O60X</t>
  </si>
  <si>
    <t>Otros Quistes Ovaricos y los no Especificados</t>
  </si>
  <si>
    <t>O039</t>
  </si>
  <si>
    <t>ATENCION MATERNA POR CICATRIZ UTERINA DEBIDA A CIRUGIA PREVIA</t>
  </si>
  <si>
    <t>D464</t>
  </si>
  <si>
    <t>Otras Infecciones y las no Especificadas de las Vias Genitourinarias en el Embarazo</t>
  </si>
  <si>
    <t>ABORTO ESPONTANEO COMPLETO O NO ESPECIFICADO, SIN COMPLICACION</t>
  </si>
  <si>
    <t>O731</t>
  </si>
  <si>
    <t>Ruptura del Utero durante el Trabajo de Parto</t>
  </si>
  <si>
    <t>O230</t>
  </si>
  <si>
    <t>INFECCION DEL RIÑON EN EL EMBARAZO</t>
  </si>
  <si>
    <t>Hematoma de Herida Quirurgica Obstetrica</t>
  </si>
  <si>
    <t>RETENCION DE FRAGMENTOS DE LA PLACENTA O DE LAS MEMBRANAS, SIN HEMORRAGIA</t>
  </si>
  <si>
    <t>O239</t>
  </si>
  <si>
    <t>Otro Aborto, Completo o no Especificado, Complicado con Infeccion Genital y Pelviana</t>
  </si>
  <si>
    <t>HIPEREMESIS GRAVIDICA LEVE</t>
  </si>
  <si>
    <t>B950</t>
  </si>
  <si>
    <t>Anemia Refractaria, sin otra Especificacion</t>
  </si>
  <si>
    <t>ATENCION MATERNA POR DESPROPORCION DEBIDA A FETO DEMASIADO GRANDE</t>
  </si>
  <si>
    <t>Quiste de la Glandula de Bartholin</t>
  </si>
  <si>
    <t>ABORTO NO ESPECIFICADO INCOMPLETO, COMPLICADO CON INFECCION GENITAL Y PELVIANA</t>
  </si>
  <si>
    <t>C548</t>
  </si>
  <si>
    <t>Infeccion no Especificada de las Vias Urinarias en el Embarazo</t>
  </si>
  <si>
    <t>EMBARAZO ECTOPICO, NO ESPECIFICADO</t>
  </si>
  <si>
    <t>Otras Infecciones por Micobacterias</t>
  </si>
  <si>
    <t>ATENCION MATERNA POR DESPROPORCION DEBIDA A ESTRECHEZ GENERAL DE LA PELVIS</t>
  </si>
  <si>
    <t>N946</t>
  </si>
  <si>
    <t>QUISTE FOLICULAR DEL OVARIO</t>
  </si>
  <si>
    <t>TRAUMATISMOS SUPERFICIALES MULTIPLES, NO ESPECIFICADOS</t>
  </si>
  <si>
    <t>S018</t>
  </si>
  <si>
    <t>Herida de otras partes de la Cabeza</t>
  </si>
  <si>
    <t>S019</t>
  </si>
  <si>
    <t>Herida de la Cabeza, parte no Especificada</t>
  </si>
  <si>
    <t>HERIDA DE LA CABEZA, PARTE NO ESPECIFICADA</t>
  </si>
  <si>
    <t>TRAUMATISMO INTRACRANEAL, NO ESPECIFICADO</t>
  </si>
  <si>
    <t>S009</t>
  </si>
  <si>
    <t>Traumatismo Superficial de la Cabeza, parte no Especificada</t>
  </si>
  <si>
    <t>W549</t>
  </si>
  <si>
    <t>MORDEDURA O ATAQUE DE PERRO, LUGAR NO ESPECIFICADO</t>
  </si>
  <si>
    <t>S010</t>
  </si>
  <si>
    <t>Herida del Cuero Cabelludo</t>
  </si>
  <si>
    <t>TRAUMATISMO SUPERFICIAL DE REGION NO ESPECIFICADA DEL CUERPO</t>
  </si>
  <si>
    <t>Mordedura o Ataque de Perro, en Lugar no Especificado</t>
  </si>
  <si>
    <t>APENDICITIS, NO ESPECIFICADA</t>
  </si>
  <si>
    <t>HERIDA DE OTRAS PARTES DE LA CABEZA</t>
  </si>
  <si>
    <t>S610</t>
  </si>
  <si>
    <t>Herida de dedo (s) de la Mano, sin dano de La (s) Una (s)</t>
  </si>
  <si>
    <t>TRAUMATISMO SUPERFICIAL DE LA CABEZA, PARTE NO ESPECIFICADA</t>
  </si>
  <si>
    <t>HERIDA DEL CUERO CABELLUDO</t>
  </si>
  <si>
    <t>S022</t>
  </si>
  <si>
    <t>Fractura de los Huesos de la Nariz</t>
  </si>
  <si>
    <t>R040</t>
  </si>
  <si>
    <t>EPISTAXIS</t>
  </si>
  <si>
    <t>Herida de otras partes del Pie</t>
  </si>
  <si>
    <t>Epistaxis</t>
  </si>
  <si>
    <t>HERIDA DE REGION NO ESPECIFICADA DEL CUERPO</t>
  </si>
  <si>
    <t>S011</t>
  </si>
  <si>
    <t>Herida del Parpado y de la Region Periocular</t>
  </si>
  <si>
    <t>OTRAS OBSTRUCCIONES INTESTINALES Y LAS NO ESPECIFICADAS</t>
  </si>
  <si>
    <t>S012</t>
  </si>
  <si>
    <t>S913</t>
  </si>
  <si>
    <t>RETENCION DE ORINA</t>
  </si>
  <si>
    <t>S014</t>
  </si>
  <si>
    <t>Herida de la Nariz</t>
  </si>
  <si>
    <t>S618</t>
  </si>
  <si>
    <t>Herida de otras partes de la Muneca y de la Mano</t>
  </si>
  <si>
    <t>HERIDA DE DEDO(S) DE LA MANO, SIN DAÑO DE LA(S) UÑA(S)</t>
  </si>
  <si>
    <t>Herida de la Mejilla y de la Region Temporomandibular</t>
  </si>
  <si>
    <t>S015</t>
  </si>
  <si>
    <t>Herida del Labio y de la Cavidad Bucal</t>
  </si>
  <si>
    <t>S619</t>
  </si>
  <si>
    <t>T006</t>
  </si>
  <si>
    <t>Traumatismos Superficiales que Afectan Multiples Regiones del (de Los) Miembro (s) Superi</t>
  </si>
  <si>
    <t>S711</t>
  </si>
  <si>
    <t>Herida de la Muneca y de la Mano, parte no Especificada</t>
  </si>
  <si>
    <t>HERIDA DE OTRAS PARTES DE LA MUÑECA Y DE LA MANO</t>
  </si>
  <si>
    <t>MICRORRED DE MICAELA BASTIDAS</t>
  </si>
  <si>
    <t>CONDICION LABORAL SEGÚN GRUPO OCUPACIONAL- DEL ESTABLECIMIENTO DE SALUD ESTRATEGICO - 2017</t>
  </si>
  <si>
    <t>FERIADOS</t>
  </si>
  <si>
    <t>PP.FF</t>
  </si>
  <si>
    <t>Apoyo al Diagnóstico y Tratamiento</t>
  </si>
  <si>
    <t>Consultorios Ext. Enfermería/Otros</t>
  </si>
  <si>
    <t xml:space="preserve">Enfermería- CRED </t>
  </si>
  <si>
    <t>Adolescente</t>
  </si>
  <si>
    <t xml:space="preserve">Estimulacion Temprada </t>
  </si>
  <si>
    <t>Adulto Mayor</t>
  </si>
  <si>
    <t>Prevención del Cancer</t>
  </si>
  <si>
    <t xml:space="preserve"> ITS/VIH/SIDA </t>
  </si>
  <si>
    <t xml:space="preserve">Diferenciado de TBC  </t>
  </si>
  <si>
    <t>Odontología</t>
  </si>
  <si>
    <t>Psicoprofilaxis</t>
  </si>
  <si>
    <t>Nutrición</t>
  </si>
  <si>
    <t>Sala de Emergencia</t>
  </si>
  <si>
    <t>Laboratorio Clínico Tipo I-4</t>
  </si>
  <si>
    <t>Biologo</t>
  </si>
  <si>
    <t>Atenciones de Laboratorio</t>
  </si>
  <si>
    <t xml:space="preserve">Internamiento </t>
  </si>
  <si>
    <t>casos</t>
  </si>
  <si>
    <t>Tasa de incidencia de TBC ambito ( x 100,000 hab.)</t>
  </si>
  <si>
    <t>Tasa de prevalencia de TBC ambito  ( x 100,000 hab.)</t>
  </si>
  <si>
    <t>VIH</t>
  </si>
  <si>
    <t>ITS</t>
  </si>
  <si>
    <t>Tasa de incidencia de VIH del ámbito (X 100,000 hab.)</t>
  </si>
  <si>
    <t>Tasa de incidencia de ITS del ámbito ( x 100,000  hab.)</t>
  </si>
  <si>
    <t>Malaria</t>
  </si>
  <si>
    <t>Casos de desnutrición en menores de 5 años del ámbito Influencia MR.</t>
  </si>
  <si>
    <t>Total niños control CRED menores 5 años</t>
  </si>
  <si>
    <t>Cobertura CRED del ambito</t>
  </si>
  <si>
    <t>Cobertura de gestantes Controladas del ambito</t>
  </si>
  <si>
    <t>Cobertura de Parto Institucional del Ambito</t>
  </si>
  <si>
    <t>Casos de TBC</t>
  </si>
  <si>
    <t>CASOS</t>
  </si>
  <si>
    <t>Prevalencia de enfermedades crónicas degenerativas</t>
  </si>
  <si>
    <t>pob</t>
  </si>
  <si>
    <t>UPSS CENTRO OBSTETRICO</t>
  </si>
  <si>
    <t>SALUD FAMILIAR Y COMUNITARIA ( EXTRAMURAL)</t>
  </si>
  <si>
    <t>Enfemera</t>
  </si>
  <si>
    <t>Tecnico de Enfemería</t>
  </si>
  <si>
    <t>Tecnico de laboratorio</t>
  </si>
  <si>
    <t>N° Q.F Programados</t>
  </si>
  <si>
    <t>Tecnico de Farmacia</t>
  </si>
  <si>
    <t>N° Técnico de laboratorio Programados</t>
  </si>
  <si>
    <t>N° Técnico de farmacia Programados</t>
  </si>
  <si>
    <t>Salud Familiar y Comunitaria (extramural)</t>
  </si>
  <si>
    <t>CENTRO OBSTETRICO</t>
  </si>
  <si>
    <t>Atención en centro obstetrico</t>
  </si>
  <si>
    <t>SALUD FAMILIAR Y COMUNITARIA</t>
  </si>
  <si>
    <t>Atención familiar y comunitaria</t>
  </si>
  <si>
    <t>Atención en salud familiar y comunitaria</t>
  </si>
  <si>
    <t>Atención en centro obstétrico</t>
  </si>
  <si>
    <t xml:space="preserve">Atención en salud familiar y comunitaria </t>
  </si>
  <si>
    <t>Salud Familiar y Comunitaria</t>
  </si>
  <si>
    <t>LABORATORIO</t>
  </si>
  <si>
    <t>APOYO AL DIAGNOSTICO</t>
  </si>
  <si>
    <t>Centro Obstétrico</t>
  </si>
  <si>
    <t>PARTO (O80 - O84)</t>
  </si>
  <si>
    <t>TRAUMATISMOS DE LA MUÑECA Y DE LA MANO ( S60 - S69)</t>
  </si>
  <si>
    <t>OTRAS CAUSAS</t>
  </si>
  <si>
    <t>INFLUENZA (GRIPE) Y NEUMONIA (J09 - J18)</t>
  </si>
  <si>
    <t>ENFERMEDAD RENAL TUBULOINTERSTICIAL (N10 - N16)</t>
  </si>
  <si>
    <t>OTRAS FORMAS DE ENFERMEDAD DEL CORAZON (I30 - I52)</t>
  </si>
  <si>
    <t>Leishmaniasis</t>
  </si>
  <si>
    <t>Bartolenosis</t>
  </si>
  <si>
    <t>Dengue</t>
  </si>
  <si>
    <t>INFECCIONES RESPIRATORIAS AGUDAS</t>
  </si>
  <si>
    <t>RESTO DE ENFERMEDADES DEL SISTEMA RESPIRATORIO</t>
  </si>
  <si>
    <t>ACCIDENTES QUE OBSTRUYEN LA RESPIRACIÓN</t>
  </si>
  <si>
    <t>SEPTICEMIA, EXCEPTO NEONATAL</t>
  </si>
  <si>
    <t>UPSS</t>
  </si>
  <si>
    <t>ACTIVIDAD</t>
  </si>
  <si>
    <t>Cartera de servicios</t>
  </si>
  <si>
    <t>Actual</t>
  </si>
  <si>
    <t>Proyectado</t>
  </si>
  <si>
    <t>MED - GEN</t>
  </si>
  <si>
    <t>Consulta ambulatoria por médico general</t>
  </si>
  <si>
    <t>Si</t>
  </si>
  <si>
    <t>Consulta ambulatoria por médico especialista en Ginecología y Obstetricia</t>
  </si>
  <si>
    <t>No</t>
  </si>
  <si>
    <t>Consulta ambulatoria por médico especialista en pediatría</t>
  </si>
  <si>
    <t>Consulta ambulatoria por médico especialista en medicina familiar</t>
  </si>
  <si>
    <t>MED - TEL</t>
  </si>
  <si>
    <t>Teleconsultas de especialidades médicas</t>
  </si>
  <si>
    <t>ENF - GEN</t>
  </si>
  <si>
    <t>Estimulación Temprana</t>
  </si>
  <si>
    <t>ENF - DIF</t>
  </si>
  <si>
    <t>Atención ambulatoria diferenciada por enfermera u otro profesional de la salud</t>
  </si>
  <si>
    <t>ITS/VIH/SIDA</t>
  </si>
  <si>
    <t xml:space="preserve">Adulto Mayor </t>
  </si>
  <si>
    <t>Metaxenicas</t>
  </si>
  <si>
    <t>Enf. No Transmisibles</t>
  </si>
  <si>
    <t>Cancer</t>
  </si>
  <si>
    <t>OBS - GEN</t>
  </si>
  <si>
    <t>Planf. Fam</t>
  </si>
  <si>
    <t>ODN - SRX</t>
  </si>
  <si>
    <t>Atención ambulatoria por cirujano dentista general con soporte de radiología oral</t>
  </si>
  <si>
    <t>ODN - GEN</t>
  </si>
  <si>
    <t>Atención ambulatoria por cirujano dentista general</t>
  </si>
  <si>
    <t>Atención ambulatoria por médico en tópico de procedimientos de consulta externa</t>
  </si>
  <si>
    <t>SLM - PSQ</t>
  </si>
  <si>
    <t>Atención ambulatoria por Psicólogo</t>
  </si>
  <si>
    <t>AADS
Actividades de Atención Directa y de Soporte</t>
  </si>
  <si>
    <t>Salud Familiar y Comunitaria
(Extramural)</t>
  </si>
  <si>
    <t>FAM - GEN</t>
  </si>
  <si>
    <t>Visita domiciliaria por profesional de la salud no medico</t>
  </si>
  <si>
    <t>FAM - MED</t>
  </si>
  <si>
    <t>Visita domiciliaria por médico general</t>
  </si>
  <si>
    <t>FAM - ESP</t>
  </si>
  <si>
    <t>Visita domiciliaria por médico especialista en medicina familiar</t>
  </si>
  <si>
    <t>FAM - IEC</t>
  </si>
  <si>
    <t>Intervenciones educativas y comunicacionales</t>
  </si>
  <si>
    <t>FAM - COL</t>
  </si>
  <si>
    <t>Atención de Urgencias y Emergencias</t>
  </si>
  <si>
    <t>EMG - GEN</t>
  </si>
  <si>
    <t>Atención inicial de urgencias y emergencias por médico general</t>
  </si>
  <si>
    <t>Sala de Procedimientos de Enfermeria</t>
  </si>
  <si>
    <t>EMG - OBS</t>
  </si>
  <si>
    <t>Atención en Ambiente de Observación de Emergencia</t>
  </si>
  <si>
    <t>TLR - SIM</t>
  </si>
  <si>
    <t>Ecografía</t>
  </si>
  <si>
    <t>ECO - DOP</t>
  </si>
  <si>
    <t>Ecografía General y Doppler</t>
  </si>
  <si>
    <t>Obstetrica</t>
  </si>
  <si>
    <t>Atención rehabilitadora de discapacidades leves y moderadas</t>
  </si>
  <si>
    <t>Atención en sala de internamiento</t>
  </si>
  <si>
    <t xml:space="preserve">Desinfección y Esterilización </t>
  </si>
  <si>
    <t>EST - BAS</t>
  </si>
  <si>
    <t xml:space="preserve">Desinfección y esterilización </t>
  </si>
  <si>
    <t>Patología Clínica</t>
  </si>
  <si>
    <t>LAB - INT</t>
  </si>
  <si>
    <t>FAR - COM</t>
  </si>
  <si>
    <t>I-4</t>
  </si>
  <si>
    <t>I-1</t>
  </si>
  <si>
    <t>I-3</t>
  </si>
  <si>
    <t>I-2</t>
  </si>
  <si>
    <t>Atención inicial de urgencias y emergencias por personal de salud no médico</t>
  </si>
  <si>
    <t>Distrito</t>
  </si>
  <si>
    <t>Categoría</t>
  </si>
  <si>
    <t>Tipo de Via</t>
  </si>
  <si>
    <t>REFERENCIAS EN SITUACION ACTUAL</t>
  </si>
  <si>
    <t>UBIGEO</t>
  </si>
  <si>
    <t>AÑO 2017</t>
  </si>
  <si>
    <t xml:space="preserve">POBLACION TOTAL </t>
  </si>
  <si>
    <t xml:space="preserve">POBLACION URBANA </t>
  </si>
  <si>
    <t>POBLACION RURAL</t>
  </si>
  <si>
    <t xml:space="preserve">HOMBRES </t>
  </si>
  <si>
    <t>MUJERES</t>
  </si>
  <si>
    <t>PERÚ</t>
  </si>
  <si>
    <t>APURÍMAC</t>
  </si>
  <si>
    <t>Fuente: Instituto Nacional de Estadística e Informática - Dirección Técnica de Demografía e Indicadores Sociales., Instituto Nacional de Estadística e Informática - Perú: Estimaciones y Proyecciones de Población. Boletín Especial Nº 18 y Nº 22.</t>
  </si>
  <si>
    <t xml:space="preserve">1 Distrito: </t>
  </si>
  <si>
    <t>2 Distrito:</t>
  </si>
  <si>
    <t>Población</t>
  </si>
  <si>
    <t>Km2</t>
  </si>
  <si>
    <t>P1</t>
  </si>
  <si>
    <t>P2</t>
  </si>
  <si>
    <t>Pob total de los distritos del Área de Influencia 2017:</t>
  </si>
  <si>
    <t>Pob total Área de Influencia 2017:</t>
  </si>
  <si>
    <t>Pob Urbana de los distritos del Área de Influencia 2017:</t>
  </si>
  <si>
    <t>% Pob Urbana Área de Influencia:</t>
  </si>
  <si>
    <t>Pob Urbana del Área de Influencia 2017:</t>
  </si>
  <si>
    <t>Pob Rural de los distritos del Área de Influencia 2017:</t>
  </si>
  <si>
    <t>% Pob Rural Área de Influencia:</t>
  </si>
  <si>
    <t>Pob Rural del Área de Influencia 2017:</t>
  </si>
  <si>
    <t>DEPARTAMENTO DE APURIMAC</t>
  </si>
  <si>
    <t>Poblacion 2007</t>
  </si>
  <si>
    <t>Censo 2007</t>
  </si>
  <si>
    <t>Poblacion 1993</t>
  </si>
  <si>
    <t>Censo 1993</t>
  </si>
  <si>
    <t>Tasa de crecimiento</t>
  </si>
  <si>
    <t>RATIO NO BÚSQUEDA DE ATENCIÓN EN UN ESTABLECIMIENTO DE SALUD/MORBILIDAD URBANO POR DEPARTAMENTO, 2004- 2016</t>
  </si>
  <si>
    <t>Departamentos</t>
  </si>
  <si>
    <t>TC VP VF</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</si>
  <si>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</si>
  <si>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</si>
  <si>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</si>
  <si>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</si>
  <si>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</si>
  <si>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</si>
  <si>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</si>
  <si>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</si>
  <si>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</si>
  <si>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</si>
  <si>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</si>
  <si>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</si>
  <si>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</si>
  <si>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</si>
  <si>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</si>
  <si>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</si>
  <si>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</si>
  <si>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</si>
  <si>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</si>
  <si>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</si>
  <si>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</si>
  <si>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Martín</t>
  </si>
  <si>
    <t>Tacna</t>
  </si>
  <si>
    <t>Tumbes</t>
  </si>
  <si>
    <t>Ucayali</t>
  </si>
  <si>
    <t>*Lima Metropolitana</t>
  </si>
  <si>
    <t>Fuente: ENAHO 2016</t>
  </si>
  <si>
    <t>Elaboración: Ministerio de Economía y Finanzas</t>
  </si>
  <si>
    <t>RATIO NO BÚSQUEDA DE ATENCIÓN EN UN ESTABLECIMIENTO DE SALUD/MORBILIDAD RURAL POR DEPARTAMENTO, 2004- 2016</t>
  </si>
  <si>
    <t>Callao /1</t>
  </si>
  <si>
    <t>-</t>
  </si>
  <si>
    <t xml:space="preserve"> /1 Presenta población totalmente urbana.</t>
  </si>
  <si>
    <t>RATIO NO BÚSQUEDA DE ATENCIÓN EN UN ESTABLECIMIENTO DE SALUD/MORBILIDAD TOTAL POR DEPARTAMENTO, 2004- 2016</t>
  </si>
  <si>
    <t>ESTABLECIMIENTO DE SALUD:</t>
  </si>
  <si>
    <t>Poblacion Total ámbito del proyecto:</t>
  </si>
  <si>
    <t>Proyección 2017 INEI</t>
  </si>
  <si>
    <t>Poblacion Urbana ámbito del proyecto:</t>
  </si>
  <si>
    <t>Poblacion Rural ámbito del proyecto:</t>
  </si>
  <si>
    <t>Poblacion Departamental:</t>
  </si>
  <si>
    <t>INEI 2017</t>
  </si>
  <si>
    <t>P1:</t>
  </si>
  <si>
    <t>% Morbilidad  Poblacion urbana:</t>
  </si>
  <si>
    <t>% Morbilidad  Poblacion rural:</t>
  </si>
  <si>
    <t>P2:</t>
  </si>
  <si>
    <t>% Busqueda de atencion en EESS  Poblacion urbana:</t>
  </si>
  <si>
    <t>% Busqueda de atencion en EESS Poblacion rural:</t>
  </si>
  <si>
    <t>% de Busqueda de atencion de  Poblacion urbana en Hospitales, Centros, Puestos y CLAS MINSA:</t>
  </si>
  <si>
    <t>% de Busqueda de atencion de  Poblacion rural en Hospitales, Centros, Puestos y CLAS MINSA:</t>
  </si>
  <si>
    <t>% Población Departamental con enfermedad crónica que no tuvo sintoma/enfermedad</t>
  </si>
  <si>
    <t>Tasa de crecimiento Poblacion intercensal Departamental</t>
  </si>
  <si>
    <t>Ajuste del % departamental de la busqueda de EESS MINSA para el ámbito del proyecto</t>
  </si>
  <si>
    <t>Analisis del ámbito del proyecto</t>
  </si>
  <si>
    <t>URBANO</t>
  </si>
  <si>
    <t>RURAL</t>
  </si>
  <si>
    <t>1.- POBLACION DEMANDANTE EFECTIVA REVELADA</t>
  </si>
  <si>
    <t>POBLACION REFERENCIAL</t>
  </si>
  <si>
    <t xml:space="preserve">POB Área de Influencia </t>
  </si>
  <si>
    <t xml:space="preserve">POB Área de Influencia URBANO </t>
  </si>
  <si>
    <t xml:space="preserve">Pob Área de Influencia RURAL </t>
  </si>
  <si>
    <t>POBLACION DEMANDANTE POTENCIAL</t>
  </si>
  <si>
    <t>Morbilidad</t>
  </si>
  <si>
    <t>Morbilidad Pob URBANO</t>
  </si>
  <si>
    <t>Proporción porcentual ENAHO Urbano APURIMAC</t>
  </si>
  <si>
    <t>Morbilidad Pob RURAL</t>
  </si>
  <si>
    <t>Proporción porcentual ENAHO RuralAPURIMAC</t>
  </si>
  <si>
    <t>POBLACION DEMANDANTE EFECTIVA EESS</t>
  </si>
  <si>
    <t>Busq de atencion EESS</t>
  </si>
  <si>
    <t>Busq de atencion EESS URBANO</t>
  </si>
  <si>
    <t>Busq de atencion EESS RURAL</t>
  </si>
  <si>
    <t xml:space="preserve">Busq de atencion EESS MINSA </t>
  </si>
  <si>
    <t>Busq de atencion EESS MINSA URBANO</t>
  </si>
  <si>
    <t>Busq de atencion EESS MINSA RURAL</t>
  </si>
  <si>
    <t>2.- POBLACION DEMANDANTE EFECTIVA NO REVELADA</t>
  </si>
  <si>
    <t>POBLACION QUE NO BUSCO ATENCION EN EESS</t>
  </si>
  <si>
    <t>Población con morbilidad que no busco atención en EESS ámbito del proyecto</t>
  </si>
  <si>
    <t>Porcentaje de Pob. MINSA</t>
  </si>
  <si>
    <t>Porcentaje de aparicion de la Demanda 2017</t>
  </si>
  <si>
    <t>POBLACION CRONICA SIN SINTOMA</t>
  </si>
  <si>
    <t>Poblacion c/enfermedad crónica que no tuvo sintoma/enfermedad</t>
  </si>
  <si>
    <t>Poblacion Urbana c/enfermedad crónica que no tuvo sintoma/enfermedad</t>
  </si>
  <si>
    <t>Aplicando % departamental a la poblacion ámbito</t>
  </si>
  <si>
    <t>Poblacion Rural c/enfermedad crónica que no tuvo sintoma/enfermedad</t>
  </si>
  <si>
    <t>Poblacion Demandante Efectiva No Revelada</t>
  </si>
  <si>
    <t>3.- POBLACION DEMANDANTE EFECTIVA TOTAL</t>
  </si>
  <si>
    <t>POB. DDANTE EFECTIVA REVELADA</t>
  </si>
  <si>
    <t>POB. DDANTE EFECTIVA NO REVELADA</t>
  </si>
  <si>
    <t>POB. DDANTE EFECTIVA TOTAL</t>
  </si>
  <si>
    <t>4.- PROYECCION DE LA POBLACION DEMANDANTE EFECTIVA</t>
  </si>
  <si>
    <t>Tasa de crecimiento del ámbito del Proyecto</t>
  </si>
  <si>
    <t>Año</t>
  </si>
  <si>
    <t>Poblacion</t>
  </si>
  <si>
    <t>No busqueda EESS (A)</t>
  </si>
  <si>
    <t>Razon</t>
  </si>
  <si>
    <t>Razon proyectada</t>
  </si>
  <si>
    <t>Pob. No busqueda EESS Ajustada (B)</t>
  </si>
  <si>
    <t>(A) - (B)</t>
  </si>
  <si>
    <t>Porcentaje de cobertura</t>
  </si>
  <si>
    <t>Pob. Demandante Efectiva Revelada</t>
  </si>
  <si>
    <t>Pob.  Cronicos sin sintoma</t>
  </si>
  <si>
    <t>Pob. Con Morbilidad que no busco EESS</t>
  </si>
  <si>
    <t>Pob. Con Morbilidad que paso a buscar EESS</t>
  </si>
  <si>
    <t>Pob. Demandante Efectiva No Revelada</t>
  </si>
  <si>
    <t>Pob. Demandante Efectiva
P2</t>
  </si>
  <si>
    <t>Pob. Demandante Efectiva
P1</t>
  </si>
  <si>
    <t xml:space="preserve">Año </t>
  </si>
  <si>
    <t>Poblacion demandante efectiva de mediana complejidad</t>
  </si>
  <si>
    <t>Poblacion demandante efectiva de baja complejidad</t>
  </si>
  <si>
    <t>Pob. Demandante Efectiva   (Igual a P3)</t>
  </si>
  <si>
    <t>Segundo Nivel de Atención</t>
  </si>
  <si>
    <t>Primer Nivel de Atención</t>
  </si>
  <si>
    <t>Código RENAES</t>
  </si>
  <si>
    <t>Provincia</t>
  </si>
  <si>
    <t>Nombre del EESS</t>
  </si>
  <si>
    <t>Tiempo (del establecimiento al Estrategico de cada ámbito)</t>
  </si>
  <si>
    <t>Tipo de población
P1, P2, P3</t>
  </si>
  <si>
    <t>Categoria</t>
  </si>
  <si>
    <t>Quintil de Pobreza</t>
  </si>
  <si>
    <t>GRUPOS ETÁREOS</t>
  </si>
  <si>
    <t>NACIMIENTO</t>
  </si>
  <si>
    <t>28 DÍAS</t>
  </si>
  <si>
    <t>POBLACION FEMENINA</t>
  </si>
  <si>
    <t>2</t>
  </si>
  <si>
    <t>3</t>
  </si>
  <si>
    <t>4</t>
  </si>
  <si>
    <t>5</t>
  </si>
  <si>
    <t>6</t>
  </si>
  <si>
    <t>7</t>
  </si>
  <si>
    <t>8</t>
  </si>
  <si>
    <t>9</t>
  </si>
  <si>
    <t>10</t>
  </si>
  <si>
    <t>11</t>
  </si>
  <si>
    <t>12</t>
  </si>
  <si>
    <t>13</t>
  </si>
  <si>
    <t>14</t>
  </si>
  <si>
    <t>15</t>
  </si>
  <si>
    <t>16</t>
  </si>
  <si>
    <t>17</t>
  </si>
  <si>
    <t>18</t>
  </si>
  <si>
    <t>19</t>
  </si>
  <si>
    <t>20-24</t>
  </si>
  <si>
    <t>25-29</t>
  </si>
  <si>
    <t>30-34</t>
  </si>
  <si>
    <t>35-39</t>
  </si>
  <si>
    <t>40-44</t>
  </si>
  <si>
    <t>45-49</t>
  </si>
  <si>
    <t>50-54</t>
  </si>
  <si>
    <t>55-59</t>
  </si>
  <si>
    <t>60-64</t>
  </si>
  <si>
    <t>65-69</t>
  </si>
  <si>
    <t>70-74</t>
  </si>
  <si>
    <t>75-79</t>
  </si>
  <si>
    <t>80 y +</t>
  </si>
  <si>
    <t>POB. FEM. TOTAL</t>
  </si>
  <si>
    <t>10-14</t>
  </si>
  <si>
    <t>15-19</t>
  </si>
  <si>
    <t>20-49</t>
  </si>
  <si>
    <t>GEST. ESPERADAS</t>
  </si>
  <si>
    <t>Consolidado</t>
  </si>
  <si>
    <t>P3</t>
  </si>
  <si>
    <t>% Representatividad</t>
  </si>
  <si>
    <t xml:space="preserve">P3 </t>
  </si>
  <si>
    <t>DEMANDA EFECTIVA DE SERVICIOS DE SALUD</t>
  </si>
  <si>
    <t>TIPO DE POBLACIÓN</t>
  </si>
  <si>
    <t>CATEGORÍA RESULTANTE DEL PLANEAMIENTO</t>
  </si>
  <si>
    <t>Nivel de Atención</t>
  </si>
  <si>
    <t>Concent. de
Consultas</t>
  </si>
  <si>
    <t>Servicio de Medicina General</t>
  </si>
  <si>
    <t>Primer Nivel</t>
  </si>
  <si>
    <t>Servicio de Enfermería: CRED</t>
  </si>
  <si>
    <t>Segundo Nivel</t>
  </si>
  <si>
    <t xml:space="preserve">Servicio de Enfermería: Inmunizaciones </t>
  </si>
  <si>
    <t>Tercer Nivel</t>
  </si>
  <si>
    <t>4 a 5</t>
  </si>
  <si>
    <t>Servicio de Enfermería: Estimulación Temprana</t>
  </si>
  <si>
    <t>Fuente: ESTANDARES TÉCNICOS DE PROGRAMACIÓN – CONSULTA EXTERNA (Anexo SNIP 09)</t>
  </si>
  <si>
    <t>Servicio de Obstetricia (CPN)</t>
  </si>
  <si>
    <t>Servicio de Obstetricia (PPFF)</t>
  </si>
  <si>
    <t>Servicio de Obstetricia (Psicoprofilaxis)</t>
  </si>
  <si>
    <t>Atención Extramural</t>
  </si>
  <si>
    <t>SERVICIO DE MEDICINA GENERAL</t>
  </si>
  <si>
    <t>MED1</t>
  </si>
  <si>
    <t>Pob. Dmte. Efectiva que requiere atención de Baja Complejidad (P1)</t>
  </si>
  <si>
    <t>Pob. Dmte. Efectiva que requiere atención de Mediana Complejidad (P2)</t>
  </si>
  <si>
    <t>Atenciones de Medicina General</t>
  </si>
  <si>
    <t>SERVICIO DE ENFERMERÍA</t>
  </si>
  <si>
    <t>VACUNACIÓN</t>
  </si>
  <si>
    <t>Edad</t>
  </si>
  <si>
    <t>Ratio de Concentración</t>
  </si>
  <si>
    <t>Población (P1)</t>
  </si>
  <si>
    <t>Descripción: Grupo Poblacional</t>
  </si>
  <si>
    <t>Sesión de  Vacunación</t>
  </si>
  <si>
    <t>N° Vacunas/año</t>
  </si>
  <si>
    <t>Población P1</t>
  </si>
  <si>
    <t>&lt; 29 días</t>
  </si>
  <si>
    <t>En &lt; de 1 año</t>
  </si>
  <si>
    <t xml:space="preserve">En niños de 1 año </t>
  </si>
  <si>
    <t>En niños de 1 año</t>
  </si>
  <si>
    <t xml:space="preserve">En niños de 2 años </t>
  </si>
  <si>
    <t>En niños de 2 años</t>
  </si>
  <si>
    <t>En niños de 3 años</t>
  </si>
  <si>
    <t xml:space="preserve">En niños de 4 años </t>
  </si>
  <si>
    <t>En niños de 4 años</t>
  </si>
  <si>
    <t>En niños de 5 a 11 años</t>
  </si>
  <si>
    <t>Gestantes</t>
  </si>
  <si>
    <t>Fuente: RM N° 537-2017/MINSA del 10 de Julio del 2017 
NTS N° 087-MINSA/DGSP V.01 Norma Técnica de Salud para el Control del Crecimiento y Desarrollo de la Niña y el Niño Menor de Cinco años</t>
  </si>
  <si>
    <t>Niñas 10 años</t>
  </si>
  <si>
    <t>Nota: Se considera CRED al 100%</t>
  </si>
  <si>
    <t>Fuente: RM N° 510-2013/MINSA. Del 15 de Agosto del 2013 NTS N° 080 - MINSA/DGSP V.03 "Norma Técnica de Salud que establece el Esquema Nacional de Vacunación"</t>
  </si>
  <si>
    <t>ENF1</t>
  </si>
  <si>
    <t xml:space="preserve">Atenciones CRED </t>
  </si>
  <si>
    <t xml:space="preserve"> Atenciones Inmunizaciones</t>
  </si>
  <si>
    <t>Atenciones  Enfermería</t>
  </si>
  <si>
    <t>Elaboración: Equipo formulador</t>
  </si>
  <si>
    <t>SERVICIO DE OBSTETRICIA</t>
  </si>
  <si>
    <t>OBS1</t>
  </si>
  <si>
    <t>OBS3</t>
  </si>
  <si>
    <t>Gestantes Programadas</t>
  </si>
  <si>
    <t xml:space="preserve">Control Prenatal </t>
  </si>
  <si>
    <t>Control de Puerperas</t>
  </si>
  <si>
    <t>Tamizaje y Consejeria en Violencia Basada en Genero a Gestantes</t>
  </si>
  <si>
    <t>Total Control Prenatal</t>
  </si>
  <si>
    <t>Planificación Familiar (MEF 15-49 años)</t>
  </si>
  <si>
    <t>Total Planificacion Familiar</t>
  </si>
  <si>
    <t>Atenciones Obstetricia</t>
  </si>
  <si>
    <t>Atenciones Psicoprofilaxis</t>
  </si>
  <si>
    <t>Población Asignada EE.SS. 
(P1)</t>
  </si>
  <si>
    <t>MEF 15-49 años</t>
  </si>
  <si>
    <t>Población MEF que demanda planificación familiar</t>
  </si>
  <si>
    <t>Utilizan métodos anticonceptivos</t>
  </si>
  <si>
    <t>consejeria</t>
  </si>
  <si>
    <t>Ratio</t>
  </si>
  <si>
    <t>Estándar</t>
  </si>
  <si>
    <t>Fuente: Documento Técnico: Definiciones Operacionales 2016 - MINSA</t>
  </si>
  <si>
    <t>Fuente: Norma Técnica DGSP-MINSA</t>
  </si>
  <si>
    <t>SERVICIO DE ATENCIÓN EXTRAMURAL</t>
  </si>
  <si>
    <t>ATX1</t>
  </si>
  <si>
    <t>VISITAS DOMICILIARIAS</t>
  </si>
  <si>
    <t>Recién Nacido</t>
  </si>
  <si>
    <t>Niños menores 36 meses</t>
  </si>
  <si>
    <t>Desnutrición Crónica niños - Area de Influencia</t>
  </si>
  <si>
    <t>Pobreza Año 2013</t>
  </si>
  <si>
    <t>casos de desnutricion en el area de influencia</t>
  </si>
  <si>
    <t>numero de niños menores de 5 años</t>
  </si>
  <si>
    <t xml:space="preserve"> </t>
  </si>
  <si>
    <t>SERVICIO DE ESTIMULACIÓN TEMPRANA</t>
  </si>
  <si>
    <t>ENF2b</t>
  </si>
  <si>
    <t>Tabla 5</t>
  </si>
  <si>
    <t>Atenciones ET (P1)</t>
  </si>
  <si>
    <t>Atenciones Estimulación Temprana</t>
  </si>
  <si>
    <t>Grupo</t>
  </si>
  <si>
    <t>Sesión</t>
  </si>
  <si>
    <t>&lt; 28 días</t>
  </si>
  <si>
    <t xml:space="preserve"> &lt; 1 año</t>
  </si>
  <si>
    <t>1 año</t>
  </si>
  <si>
    <t>2  años</t>
  </si>
  <si>
    <t>3 años</t>
  </si>
  <si>
    <t xml:space="preserve">Fuente: Norma Técnica N°040- MINSA </t>
  </si>
  <si>
    <t>Fuente: Documento Técnico: Definiciones Operacionales 2016 - MINSA / Norma Técnica CRED - DGSP-MINSA</t>
  </si>
  <si>
    <t>Tasa de Incidencia TBC 
MR MB 2017</t>
  </si>
  <si>
    <t xml:space="preserve">Según el INEI los distritos del A.I. presenta una incidencia en la pobreza superior al 43.6% en promedio </t>
  </si>
  <si>
    <t xml:space="preserve">DEMANDA EFECTIVA DE SERVICIOS DE SALUD </t>
  </si>
  <si>
    <t>Servicio de Pediatría</t>
  </si>
  <si>
    <t>Servicio de Medicina Familiar</t>
  </si>
  <si>
    <t>Tele Consultas de Especialidades Médicas</t>
  </si>
  <si>
    <t>Servicio de TBC</t>
  </si>
  <si>
    <t>Servicio de ITS/VIH-SIDA</t>
  </si>
  <si>
    <t>Servicio de Consejería Integral Adolescente</t>
  </si>
  <si>
    <t>Servicio de Atención Integral Adulto Mayor</t>
  </si>
  <si>
    <t>Servicio Enfermedades No Transmisibles</t>
  </si>
  <si>
    <t>Servicio de Prevención y Consejería Cáncer</t>
  </si>
  <si>
    <t xml:space="preserve">Servicio de Psicología </t>
  </si>
  <si>
    <t xml:space="preserve">Servicio de Nutrición </t>
  </si>
  <si>
    <t>Servicio en Sala de Partos</t>
  </si>
  <si>
    <t>Atención Inmediata del Recién Nacido</t>
  </si>
  <si>
    <t xml:space="preserve">Servicio de Atención de Internamiento </t>
  </si>
  <si>
    <t>SERVICIO DE PEDIATRIA</t>
  </si>
  <si>
    <t>SERVICIO DE GINECO OBSTETRICIA</t>
  </si>
  <si>
    <t>SERVICIO DE MEDICINA FAMILIAR</t>
  </si>
  <si>
    <t>SERVICIO DE TELECONSULTAS DE ESPECIALIDADES MEDICAS</t>
  </si>
  <si>
    <t>MED2b</t>
  </si>
  <si>
    <t>Atenciones de Pediatria</t>
  </si>
  <si>
    <t>Atenciones de Gineco Obstetricia</t>
  </si>
  <si>
    <t>Atenciones de Medicina Familiar</t>
  </si>
  <si>
    <t>Total Atendidos en Servicios Medicos</t>
  </si>
  <si>
    <t>Total Atenciones Medicas</t>
  </si>
  <si>
    <t>% de Referencias</t>
  </si>
  <si>
    <t>Atenciones de Teleconsulta</t>
  </si>
  <si>
    <t>Servicio de Prevencion y Consejeria de Cancer</t>
  </si>
  <si>
    <t>Servicio de  Consejeria Adolescente</t>
  </si>
  <si>
    <t>Servicio de  Consejeria Adulto mayor</t>
  </si>
  <si>
    <t>ENF2e</t>
  </si>
  <si>
    <t>ENF2a</t>
  </si>
  <si>
    <t>ENF2c</t>
  </si>
  <si>
    <t>ENF2f</t>
  </si>
  <si>
    <t>CANCER DE CERVIX</t>
  </si>
  <si>
    <t>CANCER DE MAMA</t>
  </si>
  <si>
    <t>CANCER GÁSTRICO</t>
  </si>
  <si>
    <t>CANCER DE PRÓSTATA</t>
  </si>
  <si>
    <t>CANCER DE PULMÓN</t>
  </si>
  <si>
    <t>Adolescente P1</t>
  </si>
  <si>
    <t>Prevención del embarazo en adolescentes P1</t>
  </si>
  <si>
    <t>ITS/VIH/SIDA P1</t>
  </si>
  <si>
    <t>Salud Mental P1</t>
  </si>
  <si>
    <t>Evaluación Integral P2</t>
  </si>
  <si>
    <t xml:space="preserve">TOTAL  Atenciones Adolescente
(12 a 17 años)
</t>
  </si>
  <si>
    <t>Adulto Mayor de 60 a 79 años P1</t>
  </si>
  <si>
    <t>Adulto Mayor Saludable P1</t>
  </si>
  <si>
    <t>Adulto Mayor Enfermo P1</t>
  </si>
  <si>
    <t>Adulto Mayor Fragil P1</t>
  </si>
  <si>
    <t>Adulto Mayor Enfermo P2</t>
  </si>
  <si>
    <t>Adulto Mayor Fragil P2</t>
  </si>
  <si>
    <t xml:space="preserve">TOTAL Atenciones del Adulto Mayor </t>
  </si>
  <si>
    <t>Preventivo-Tamizaje</t>
  </si>
  <si>
    <t>Recuperativo de baja y mediana complejidad</t>
  </si>
  <si>
    <t>Atenciones  ITS/VIH-SIDA</t>
  </si>
  <si>
    <t>18 a 64 años</t>
  </si>
  <si>
    <t>Poblacion P1</t>
  </si>
  <si>
    <t>Varones de 18 a 59 años</t>
  </si>
  <si>
    <t xml:space="preserve">Tasa de ITS </t>
  </si>
  <si>
    <t>¿</t>
  </si>
  <si>
    <t>Fuente: Documento técnico definiciones operacionales 2013- MINSA RM 633-2005 MINSA/ NTS para la atención integral de salud en la etapa de vida adolescente</t>
  </si>
  <si>
    <t>Fuente: Documento Técnico Definiciones Operacionales 2013 - MINSA</t>
  </si>
  <si>
    <t>% Pob. 18-59 años varones</t>
  </si>
  <si>
    <t xml:space="preserve">Tasa de Prevalencia TBC </t>
  </si>
  <si>
    <t xml:space="preserve">Tasa de Incidencia TBC </t>
  </si>
  <si>
    <t>Tasa de Incidencia VIH</t>
  </si>
  <si>
    <t>Ambas tasas resultan igual por no registrar  data de años anteriores</t>
  </si>
  <si>
    <t>SERVICIO DE TBC</t>
  </si>
  <si>
    <t>ENF2g</t>
  </si>
  <si>
    <t>Sintomáticos Respiratorios</t>
  </si>
  <si>
    <t>Tratamiento Supervisado Población (P1)</t>
  </si>
  <si>
    <t>Contactos del paciente (P1)</t>
  </si>
  <si>
    <t>Atenciones TBC</t>
  </si>
  <si>
    <t>Tasa de prevalencia TBC</t>
  </si>
  <si>
    <t>Porcentaje a captar</t>
  </si>
  <si>
    <t>Número de casos TBC</t>
  </si>
  <si>
    <t>N°  integrantes por familia</t>
  </si>
  <si>
    <t>RATIO</t>
  </si>
  <si>
    <t>Fuente: Norma Técnica de la ESNPCT - DGSP-MINSA 2013</t>
  </si>
  <si>
    <t>% de poblacion de 15 años a mas</t>
  </si>
  <si>
    <t>ENFERMEDADES NO TRANSMISIBLES</t>
  </si>
  <si>
    <t>Poblacion de Referencia P1</t>
  </si>
  <si>
    <t>% de Programación</t>
  </si>
  <si>
    <t>PDEMC P2</t>
  </si>
  <si>
    <t>&gt; 5 años</t>
  </si>
  <si>
    <t>SERVICIO DE PSICOLOGIA</t>
  </si>
  <si>
    <t>PSQ2</t>
  </si>
  <si>
    <t>Morbilidad de Psicologia</t>
  </si>
  <si>
    <t>Eval. Psicologica a Gestantes P2</t>
  </si>
  <si>
    <t>Atenciones de Psicologia</t>
  </si>
  <si>
    <t>Psicología</t>
  </si>
  <si>
    <t xml:space="preserve">Fuente: Red Chincheros </t>
  </si>
  <si>
    <t>Fuente: RM. 907-2016/MINSA Definiciones Operacionales de PPR</t>
  </si>
  <si>
    <t xml:space="preserve">SERVICIO DE ODONTOLOGÍA </t>
  </si>
  <si>
    <t>ODON2</t>
  </si>
  <si>
    <t xml:space="preserve">AÑO </t>
  </si>
  <si>
    <t>Preventivo (P1)</t>
  </si>
  <si>
    <t>Recuperativo (P2)</t>
  </si>
  <si>
    <t>TOTAL DE ATENCIONES ODONTOLOGICAS</t>
  </si>
  <si>
    <t>% Histórico</t>
  </si>
  <si>
    <t xml:space="preserve">Ratio Estándar </t>
  </si>
  <si>
    <t xml:space="preserve">Fuentes: Estandares Técnicos de Programacion-Consulta Externa (Anexo SNIP 09)/N.T. Nº021/MINSA/DGSP  </t>
  </si>
  <si>
    <t>SERVICIO DE NUTRICION</t>
  </si>
  <si>
    <t>NUT1</t>
  </si>
  <si>
    <t>Morbilidad de Nutricion</t>
  </si>
  <si>
    <t>Consejeria Nutricional a Gestante P2</t>
  </si>
  <si>
    <t>Atenciones de Nutricion</t>
  </si>
  <si>
    <t>Fuentes: Estandares Técnicos de Programacion-Consulta Externa (Anexo SNIP 09)</t>
  </si>
  <si>
    <t>ATENCION EN SALA DE PARTOS</t>
  </si>
  <si>
    <t>ATP2</t>
  </si>
  <si>
    <t>Gestantes Esperadas P2</t>
  </si>
  <si>
    <t>Total Gestantes Programadas</t>
  </si>
  <si>
    <t>Total Gestantes que Culminan en Parto Institucional</t>
  </si>
  <si>
    <t>Total Gestantes que Culminan en Parto Vaginal</t>
  </si>
  <si>
    <t>Atencion de Partos</t>
  </si>
  <si>
    <t>% Programación</t>
  </si>
  <si>
    <t>% Estándar</t>
  </si>
  <si>
    <t>ATENCION INMEDIATA DEL RECIEN NACIDO</t>
  </si>
  <si>
    <t>ATP RNP</t>
  </si>
  <si>
    <t xml:space="preserve">SERVICIO DE ATENCION EN SALA DE INTERNAMIENTO </t>
  </si>
  <si>
    <t>INT1</t>
  </si>
  <si>
    <t>Internamiento Varones</t>
  </si>
  <si>
    <t>Internamiento Mujeres</t>
  </si>
  <si>
    <t>Internamiento Niños</t>
  </si>
  <si>
    <t>Internamiento Obstetrico</t>
  </si>
  <si>
    <t>Monitoreo del Recien Nacido</t>
  </si>
  <si>
    <t>Atenciones en Sala de Internamiento</t>
  </si>
  <si>
    <t>Ratio de egresos</t>
  </si>
  <si>
    <t>Parto Normal</t>
  </si>
  <si>
    <t>RN con Patologia</t>
  </si>
  <si>
    <t>RN Normal</t>
  </si>
  <si>
    <t>Servicio de Odontología Preventiva</t>
  </si>
  <si>
    <t>Servicio de Odontología  Recuperativa</t>
  </si>
  <si>
    <t>Servicio de Tópico de Procedimientos</t>
  </si>
  <si>
    <t>Servicio de Urgencias y Emergencias por Médico General</t>
  </si>
  <si>
    <t xml:space="preserve">Servicio de Observación </t>
  </si>
  <si>
    <t>Servicio de Atención Inmediata del Recién Nacido</t>
  </si>
  <si>
    <t>P2 = P3</t>
  </si>
  <si>
    <t>TÓPICOS</t>
  </si>
  <si>
    <t>SERVICIO DE TÓPICO DE PROCEDIMIENTOS</t>
  </si>
  <si>
    <t>TOP3a</t>
  </si>
  <si>
    <t>% Historico</t>
  </si>
  <si>
    <t>Tópico de Procedimientos</t>
  </si>
  <si>
    <t xml:space="preserve"> TOPICO DE URGENCIAS Y EMERGENCIAS</t>
  </si>
  <si>
    <t xml:space="preserve"> OBSERVACION</t>
  </si>
  <si>
    <t>EMG1</t>
  </si>
  <si>
    <t>EMG4</t>
  </si>
  <si>
    <t>Tópico de Urgencias y Emergencias</t>
  </si>
  <si>
    <t>Servicio de monitoreo del Recién Nacido</t>
  </si>
  <si>
    <t>Servicio de Ginecología y Obstetricia</t>
  </si>
  <si>
    <t>SERVICIO DE PREVENCION DE ITS/VIH-SIDA</t>
  </si>
  <si>
    <t>Morbilidad de Pedriatria P2</t>
  </si>
  <si>
    <t>Morbilidad de Pedriatria P1</t>
  </si>
  <si>
    <t>% de Morbilidad de Pediatria</t>
  </si>
  <si>
    <t>CONDICION LABORAL SEGÚN GRUPO OCUPACIONAL- MR.MICAELA BASTIDAS - AÑO 2017</t>
  </si>
  <si>
    <t>% de Morbilidad de Gineco Obstetricia</t>
  </si>
  <si>
    <t>CATEGORIA  I-4</t>
  </si>
  <si>
    <t xml:space="preserve">UPSS </t>
  </si>
  <si>
    <t>ZONA</t>
  </si>
  <si>
    <t>AMBIENTES</t>
  </si>
  <si>
    <t>UPSS CONSULTA EXTERNA</t>
  </si>
  <si>
    <t>ATENCION AMBULATORIA</t>
  </si>
  <si>
    <t xml:space="preserve">Consultorio de Medicina </t>
  </si>
  <si>
    <t>Consultorio de Gineco Obsteticia</t>
  </si>
  <si>
    <t>Consultorio de Medicina Familiar</t>
  </si>
  <si>
    <t>Consultorio CRED (Crecimiento y Desarrollo)</t>
  </si>
  <si>
    <t>Atención Integral y Consejería del Adolescente</t>
  </si>
  <si>
    <t>Consultorio de Psicología</t>
  </si>
  <si>
    <t>Consultorio de Nutrición</t>
  </si>
  <si>
    <t>Consultorio Odontológico General con Soporte Radiología Oral</t>
  </si>
  <si>
    <t>ADMISION</t>
  </si>
  <si>
    <t>Admisión y Triaje</t>
  </si>
  <si>
    <t>Caja</t>
  </si>
  <si>
    <t>Archivo de Historias Clínicas</t>
  </si>
  <si>
    <t xml:space="preserve">Referencia y Contrareferencia, Servicio Social y Seguros </t>
  </si>
  <si>
    <t>Servicios Higiénicos Personal Varones</t>
  </si>
  <si>
    <t>Servicios Higiénicos Personal Mujeres</t>
  </si>
  <si>
    <t>ASISTENCIAL</t>
  </si>
  <si>
    <t>Sala de Espera</t>
  </si>
  <si>
    <t>Servicios higiénicos públicos Varones</t>
  </si>
  <si>
    <t>Servicios higiénicos públicos Mujeres</t>
  </si>
  <si>
    <t>UPSS PATOLOGIA CLINICA</t>
  </si>
  <si>
    <t>PROCEDIMIENTO DE LABORATORIO CLINICO</t>
  </si>
  <si>
    <t>Toma de muestras</t>
  </si>
  <si>
    <t>Laboratorio de Hematología y Bioquímica</t>
  </si>
  <si>
    <t>Laboratorio de Microbiología</t>
  </si>
  <si>
    <t>Parasitología</t>
  </si>
  <si>
    <t>UPSS FARMACIA</t>
  </si>
  <si>
    <t>DISPENSACION DE MEDICAMENTOS</t>
  </si>
  <si>
    <t>Dispensación y expendio en UPSS Consulta Externa</t>
  </si>
  <si>
    <t>Almacén especializado de productos farmacéuticos, dispositivos médicos y productos sanitarios</t>
  </si>
  <si>
    <t>AADS SALUD FAMILIAR Y COMUNITARIA</t>
  </si>
  <si>
    <t>AADS URGENCIAS Y EMERGENCIAS</t>
  </si>
  <si>
    <t>ATENCIÓN DE URGENCIAS Y EMERGENCIAS POR MÉDICO GENERAL</t>
  </si>
  <si>
    <t>Tópico de urgencias y emergencias</t>
  </si>
  <si>
    <t>ATENCION DE GESTANTE EN PERIODO DE PARTO</t>
  </si>
  <si>
    <t>AADS ATENCION DE GESTANTE EN PERIODO DE PARTO</t>
  </si>
  <si>
    <t>ATENCIÓN DE PARTO VAGINAL POR MÉDICO GENERAL Y OBSTETRA</t>
  </si>
  <si>
    <t>Sala de Dilatación, incluye SS.HH. de 2.87 m2</t>
  </si>
  <si>
    <t>Sala de Partos</t>
  </si>
  <si>
    <t>Sala de Puerperio  Inmediato, incluye SS.HH. de 2.30 m2</t>
  </si>
  <si>
    <t>SEMI RESTRINGIDA</t>
  </si>
  <si>
    <t>Estar de personal</t>
  </si>
  <si>
    <t>Vestidor</t>
  </si>
  <si>
    <t>Cuarto de Limpieza</t>
  </si>
  <si>
    <t>AADS INTERNAMIENTO</t>
  </si>
  <si>
    <t>ATENCIÓN EN SALA DE INTERNAMIENTO</t>
  </si>
  <si>
    <t xml:space="preserve">Sala de Internamiento Varones y Mujeres (3 camas) , Incluye SS.HH. De 4.28 m2 </t>
  </si>
  <si>
    <t>Sala de Internamiento Niños (2 camas)</t>
  </si>
  <si>
    <t>ÁREA ASISTENCIAL</t>
  </si>
  <si>
    <t>Estación de Enfermeras (Incl. Trabajo Sucio y Limpio)</t>
  </si>
  <si>
    <t>SS.HH. Personal</t>
  </si>
  <si>
    <t>DESINFECCION Y ESTERILIZACION</t>
  </si>
  <si>
    <t>AADS DESINFECCION Y ESTERILIZACION</t>
  </si>
  <si>
    <t>Esterilización</t>
  </si>
  <si>
    <t>UPS ADMINISTRACION</t>
  </si>
  <si>
    <t>DIRECCION</t>
  </si>
  <si>
    <t xml:space="preserve">Sala de Espera </t>
  </si>
  <si>
    <t>Jefatura/Dirección</t>
  </si>
  <si>
    <t>APOYO ADMINISTRATIVO</t>
  </si>
  <si>
    <t>Pool Administrativo - RR.HH. (5.59m2) y RR.EE. (3.45m2)</t>
  </si>
  <si>
    <t>AMBIENTES COMPLEMENTARIOS</t>
  </si>
  <si>
    <t>UPS GESTION DE LA INFORMACION</t>
  </si>
  <si>
    <t>UNIDAD INTERMEDIA I DE G.I.</t>
  </si>
  <si>
    <t>Estadística</t>
  </si>
  <si>
    <t>TRANSPORTE TERRESTRE</t>
  </si>
  <si>
    <t>Cochera para Ambulancia Terrestre Tipo I</t>
  </si>
  <si>
    <t>UPS CASA DE FUERZA</t>
  </si>
  <si>
    <t>CASA DE FUERZA</t>
  </si>
  <si>
    <t>Sub Estación Eléctrica</t>
  </si>
  <si>
    <t>UPS CADENA DE FRÍO</t>
  </si>
  <si>
    <t>Área de Cámaras Frías</t>
  </si>
  <si>
    <t>UPS ALMACÉN</t>
  </si>
  <si>
    <t xml:space="preserve">Almacén General </t>
  </si>
  <si>
    <t>Almacén de Materiales de Escritorio</t>
  </si>
  <si>
    <t>UPS LAVANDERIA</t>
  </si>
  <si>
    <t>Lavado y Centrifugado</t>
  </si>
  <si>
    <t>UPS SALUD AMBIENTAL</t>
  </si>
  <si>
    <t>Acopio de Residuos Sólidos</t>
  </si>
  <si>
    <t>UPS SALA DE USO MULTIPLE</t>
  </si>
  <si>
    <t>Auditorio</t>
  </si>
  <si>
    <t>TOTAL PROGRAMA DE AREAS M2</t>
  </si>
  <si>
    <t>DESCRIPCION</t>
  </si>
  <si>
    <t>AREA TOTAL</t>
  </si>
  <si>
    <t xml:space="preserve">Morbilidad de Gineco Obstetricia </t>
  </si>
  <si>
    <t>Morbilidad que necesitan atenciones en No transmisibles</t>
  </si>
  <si>
    <t>Atenciones</t>
  </si>
  <si>
    <t>Atendidos</t>
  </si>
  <si>
    <t>% de atendidos</t>
  </si>
  <si>
    <t>Morbilidades que necesitan atenciones en Nutricion</t>
  </si>
  <si>
    <t>Consejeria Nutricional a Madres de Niños menores de 5 años P2</t>
  </si>
  <si>
    <t>% de RN con complicaciones</t>
  </si>
  <si>
    <t>% de puerperas con complicaciones</t>
  </si>
  <si>
    <t>DEMANDA EFECTIVA DE SERVICIOS DE APOYO</t>
  </si>
  <si>
    <t>Servicio de Laboratorio</t>
  </si>
  <si>
    <t xml:space="preserve">Servicio de Radiología </t>
  </si>
  <si>
    <t xml:space="preserve">Servicio de Ecografía </t>
  </si>
  <si>
    <t>Servicio de Rehabilitación</t>
  </si>
  <si>
    <t xml:space="preserve">Servicio de desinfección y esterilización </t>
  </si>
  <si>
    <t>Servicio de atención en farmacia</t>
  </si>
  <si>
    <t>APOYO AL DIAGNÓSTICO</t>
  </si>
  <si>
    <t>SERVICIO DE LABORATORIO TIPO I-4</t>
  </si>
  <si>
    <t>LAB2a</t>
  </si>
  <si>
    <t>Atenciones Consultas Medicas</t>
  </si>
  <si>
    <t>Urgencias y Emergencias</t>
  </si>
  <si>
    <t xml:space="preserve">Total examenes de laboratorio </t>
  </si>
  <si>
    <t>Fuente: Estandares Técnicos de Programacion (Anexo SNIP 09)</t>
  </si>
  <si>
    <t>SERVICIO DE RADIOLOGIA</t>
  </si>
  <si>
    <t>SRX2a</t>
  </si>
  <si>
    <t>Total examenes de Radiología</t>
  </si>
  <si>
    <t>SERVICIO DE ECOGRAFIA</t>
  </si>
  <si>
    <t>ECO</t>
  </si>
  <si>
    <t>Ecografia Obstetrica</t>
  </si>
  <si>
    <t>Ecografia General</t>
  </si>
  <si>
    <t>Total examenes de Ecografia</t>
  </si>
  <si>
    <t>Total Examenes de Ecografia Obstetrica</t>
  </si>
  <si>
    <t>Total Examenes de Ecografia General</t>
  </si>
  <si>
    <t>..</t>
  </si>
  <si>
    <t>SERVICIO DE REHABILITACION</t>
  </si>
  <si>
    <t>MRH1</t>
  </si>
  <si>
    <t>Poblacion Referencial
P2</t>
  </si>
  <si>
    <t>Discapacidad</t>
  </si>
  <si>
    <t>Reciben Tratamiento</t>
  </si>
  <si>
    <t>Terapia fisica y Rehabilitacion</t>
  </si>
  <si>
    <t>Total Atenciones Medicina Fisica y Rehabilitacion Basica</t>
  </si>
  <si>
    <t>personas con discapacidad</t>
  </si>
  <si>
    <t>realiza tratamiento</t>
  </si>
  <si>
    <t>recibe terapias de rehabilitación física</t>
  </si>
  <si>
    <t>SERVICIO DE FARMACIA</t>
  </si>
  <si>
    <t>FAR1</t>
  </si>
  <si>
    <t>Total Atencion de Farmacia</t>
  </si>
  <si>
    <t>SERVICIO DE DESINFECCIÓN Y ESTERILIZACIÓN</t>
  </si>
  <si>
    <t xml:space="preserve">EST1 </t>
  </si>
  <si>
    <t>CE Gineco Obstetricia</t>
  </si>
  <si>
    <t>Total Atenciones de Desinfección y Esterilización</t>
  </si>
  <si>
    <t>Atenciones en Topico de Procedimientos</t>
  </si>
  <si>
    <t>% de atenciones en Topico de procediemientos</t>
  </si>
  <si>
    <t>Ambiente de Observacion</t>
  </si>
  <si>
    <t>% de atenciones provenientes de CE que requieren ss de Radiologia</t>
  </si>
  <si>
    <t>% de atenciones provenientes de Internamiento que requieren ss de Radiologia</t>
  </si>
  <si>
    <t>% de atenciones provenientes de emergencias que requieren ss de Radiologia</t>
  </si>
  <si>
    <t>% de atenciones provenientes de CE que requieren SS de Ecografia</t>
  </si>
  <si>
    <t xml:space="preserve">Fuente: Primera Encuesta Nacional Especializada sobre Discapacidad 2012, INEI. </t>
  </si>
  <si>
    <t>PRODUCCION HISTORICA</t>
  </si>
  <si>
    <t>Año 0</t>
  </si>
  <si>
    <t>Año 1</t>
  </si>
  <si>
    <t>Año 2</t>
  </si>
  <si>
    <t>Año 3</t>
  </si>
  <si>
    <t>Promedio</t>
  </si>
  <si>
    <t>Consulta ambulatoria por médico especialista en Pediatría</t>
  </si>
  <si>
    <t>HH</t>
  </si>
  <si>
    <t>Consulta ambulatoria por médico especialista en Medicina Familiar</t>
  </si>
  <si>
    <t xml:space="preserve">Estimulacion Temprana </t>
  </si>
  <si>
    <t>Odontología preventiva</t>
  </si>
  <si>
    <t>Odontología recuperativa</t>
  </si>
  <si>
    <t>Sala de Atencion Extramural</t>
  </si>
  <si>
    <t xml:space="preserve">Topico de Urgencias y Emergencias </t>
  </si>
  <si>
    <t>Observacion</t>
  </si>
  <si>
    <t xml:space="preserve">Partos </t>
  </si>
  <si>
    <t>Atención inmediata del recién nacido</t>
  </si>
  <si>
    <t>Internamiento Obstétrico</t>
  </si>
  <si>
    <t>Monitoreo del Recién Nacido</t>
  </si>
  <si>
    <t>Laboratorio Clínico Tipo I-4 </t>
  </si>
  <si>
    <t>Radiología convencional simple</t>
  </si>
  <si>
    <t xml:space="preserve">Ecografía General </t>
  </si>
  <si>
    <t>Atención Rehabilitadora de discapacidades leves y moderadas</t>
  </si>
  <si>
    <t>Desinfección y esterilización</t>
  </si>
  <si>
    <t>Fuente: Equipo Formulador</t>
  </si>
  <si>
    <t>Preventiva</t>
  </si>
  <si>
    <t>recuperativa</t>
  </si>
  <si>
    <t>Atenciones rehabilitadoras</t>
  </si>
  <si>
    <t>Morbilidad del Servicio de Medicina del 2017 (Todos los diagnósticos)</t>
  </si>
  <si>
    <t>TRASTORNOS DE LA GLANDULA TIROIDES (E00 - E07)</t>
  </si>
  <si>
    <t>ESQUIZOFRENIA, TRASTORNOS ESQUIZOTIPICOS Y TRASTORNOS DELIRANTES (F20 - F29)</t>
  </si>
  <si>
    <t>Morbilidad del Servicio de Pediatría del 2017 (Todos los diagnósticos)</t>
  </si>
  <si>
    <t>OTRAS ENFERMEDADES BACTERIANAS (A30 - A49)</t>
  </si>
  <si>
    <t>Morbilidad del Servicio de Gineco-Obstetricia del 2017 (Todos los diagnósticos)</t>
  </si>
  <si>
    <t>OTROS TRASTORNOS DEL SISTEMA GENITOURINARIO (N99)</t>
  </si>
  <si>
    <t>Morbilidad del Servicio de Cirugía del 2017 (Todos los diagnósticos)</t>
  </si>
  <si>
    <t xml:space="preserve">                   -  </t>
  </si>
  <si>
    <t>TRAUMATISMOS DE LA RODILLA Y DE LA PIERNA (S80 - S89)</t>
  </si>
  <si>
    <t>ENF2d</t>
  </si>
  <si>
    <t>Periodo de Formulación/Aprob.</t>
  </si>
  <si>
    <t>Periodo de Inversión</t>
  </si>
  <si>
    <t>Inicio Produccion del Servicio</t>
  </si>
  <si>
    <t>Año 4</t>
  </si>
  <si>
    <t>Año 5</t>
  </si>
  <si>
    <t>Año 6</t>
  </si>
  <si>
    <t>Año 7</t>
  </si>
  <si>
    <t>Año 8</t>
  </si>
  <si>
    <t>Año 9</t>
  </si>
  <si>
    <t>Año 10</t>
  </si>
  <si>
    <t>Año 11</t>
  </si>
  <si>
    <t>Año 12</t>
  </si>
  <si>
    <t>Año 13</t>
  </si>
  <si>
    <t>Año 14</t>
  </si>
  <si>
    <t>Año 15</t>
  </si>
  <si>
    <t>Prod Historica</t>
  </si>
  <si>
    <t>Prod Proyectada</t>
  </si>
  <si>
    <t>% Inicial</t>
  </si>
  <si>
    <t>VISITA FAMILIAR INTEGRAL</t>
  </si>
  <si>
    <t>PLAN DE ATENCION INTEGRAL</t>
  </si>
  <si>
    <t>VACUNA DE INFLUENZA, PARA USO IM</t>
  </si>
  <si>
    <t>VACUNA PARA NEUMOCOCO, HEPTAVALENTE</t>
  </si>
  <si>
    <t>VACUNAS PENTAVALENTE (DPT+ HIB + HVB)</t>
  </si>
  <si>
    <t>RASPAJE DENTAL O DESTARTRAJE DENTAL</t>
  </si>
  <si>
    <t>CITOPATOLOGIA CERVICAL O VAGINAL Y TAMIZAJE MANUAL (PAPANICOLAU)</t>
  </si>
  <si>
    <t>VACUNA SPR</t>
  </si>
  <si>
    <t>VACUNA PARA ROTAVIRUS</t>
  </si>
  <si>
    <t>VACUNA ANTIPOLIO, USO ORAL (APO)</t>
  </si>
  <si>
    <t>CONTROL DE PUERPERIO</t>
  </si>
  <si>
    <t>VACUNA PARA HEPATITIS B</t>
  </si>
  <si>
    <t>VACUNA DPT, USO IM</t>
  </si>
  <si>
    <t>NEBULIZACION</t>
  </si>
  <si>
    <t>VACUNA CONTRA LA FIEBRE AMARILLA,USO IM</t>
  </si>
  <si>
    <t>ELISA O PRUEBA RAPIDA PARA HIV-1 Y HIV-2</t>
  </si>
  <si>
    <t>VACUNA BCG</t>
  </si>
  <si>
    <t>DETERMINACION DE AGUDEZA VISUAL BILATERAL</t>
  </si>
  <si>
    <t>VACUNA ANTIPOLIO (IPV) USO IM</t>
  </si>
  <si>
    <t>CANALIZACION DE VIA PERIFERICA</t>
  </si>
  <si>
    <t>VACUNA PARA VIRUS PAPILOMA (VPH)</t>
  </si>
  <si>
    <t>CORRECCION SIMPLE DE HERIDAS SUPERFICIALES</t>
  </si>
  <si>
    <t>INSERCION DE DISPOSITIVO INTRAUTERINO (DIU)</t>
  </si>
  <si>
    <t>EXTRACCION DE CUERPO EXTRANO</t>
  </si>
  <si>
    <t>VACUNA ANTIRRABICA, USO INTRADERMICO</t>
  </si>
  <si>
    <t xml:space="preserve">PLAN DE PRODUCCIÓN </t>
  </si>
  <si>
    <t xml:space="preserve">Estimulación Temprana </t>
  </si>
  <si>
    <t xml:space="preserve">                                                                                  </t>
  </si>
  <si>
    <t xml:space="preserve">Psicología </t>
  </si>
  <si>
    <t>Sala de Atención Extramural</t>
  </si>
  <si>
    <t>Observación</t>
  </si>
  <si>
    <t>Partos</t>
  </si>
  <si>
    <t xml:space="preserve">Ecografía Obstétrica </t>
  </si>
  <si>
    <t xml:space="preserve">Línea de base (valor del año base) </t>
  </si>
  <si>
    <t>c.  En el último año del horizonte de evaluación.</t>
  </si>
  <si>
    <t>Meta:</t>
  </si>
  <si>
    <t>Sumatoria de beneficiarios de todo el horizonte de evaluación</t>
  </si>
  <si>
    <t>si la prod historica es mayor a la prod proyectada, se toma el 100%.</t>
  </si>
  <si>
    <t xml:space="preserve">Sugerencia: 1ro correr para todos haciendo la comparacion entre prod historica y proyecta, para luego cambiar al 100%  todos aquellos que excedan en 100% referidos a la columna Z </t>
  </si>
  <si>
    <t>PROGRAMA MÉDICO FUNCIONAL</t>
  </si>
  <si>
    <t>NOMBRE DEL EE.SS:</t>
  </si>
  <si>
    <t>CATEGORÍA PROYECTADA:</t>
  </si>
  <si>
    <t>I - 4</t>
  </si>
  <si>
    <t>DISTRITO / PROVINCIA / DEPARTAMENTO:</t>
  </si>
  <si>
    <t>CÓDIGO DEL SERVICIO</t>
  </si>
  <si>
    <t>CARTERA DE SERVICIOS</t>
  </si>
  <si>
    <t>ATENCIONES
AÑO 15</t>
  </si>
  <si>
    <t>VALOR REFERENCIAL DEL VOLUMEN DE PRODUCCIÓN OPTIMIZADA DEL AMBIENTE</t>
  </si>
  <si>
    <t>GRADO DE UTILIZACIÓN</t>
  </si>
  <si>
    <t>CÓDIGO DEL AMBIENTE</t>
  </si>
  <si>
    <t>AMBIENTES DEL SERVICIO</t>
  </si>
  <si>
    <t>NÚMERO DE AMBIENTES</t>
  </si>
  <si>
    <t>OBSERVACIONES (*)</t>
  </si>
  <si>
    <t>MED-GEN</t>
  </si>
  <si>
    <t>CONSULTORIO DE MEDICINA GENERAL</t>
  </si>
  <si>
    <t>MED-GIN</t>
  </si>
  <si>
    <t>MED2d</t>
  </si>
  <si>
    <t>CONSULTORIO DE GINECO OBSTETRICIA</t>
  </si>
  <si>
    <t>Exclusivo por tipo de Atencion y Paciente</t>
  </si>
  <si>
    <t>MED-PED</t>
  </si>
  <si>
    <t>CONSULTORIO DE PEDIATRIA</t>
  </si>
  <si>
    <t>MED-FAM</t>
  </si>
  <si>
    <t>MED2e</t>
  </si>
  <si>
    <t>CONSULTORIO DE MEDICINA FAMILIAR</t>
  </si>
  <si>
    <t>MED-TEL</t>
  </si>
  <si>
    <t>MED4a</t>
  </si>
  <si>
    <t>TELECONSULTORIO</t>
  </si>
  <si>
    <t>ENF-GEN</t>
  </si>
  <si>
    <t>Atención ambulatoria por enfermera</t>
  </si>
  <si>
    <t>ENF1a</t>
  </si>
  <si>
    <t>CONSULTORIO CRED</t>
  </si>
  <si>
    <t>ENF1b</t>
  </si>
  <si>
    <t>SALA DE INMUNIZACIONES</t>
  </si>
  <si>
    <t>ENF-DIF</t>
  </si>
  <si>
    <t xml:space="preserve">PREVENCION Y CONTROL DE TBC  </t>
  </si>
  <si>
    <t>CONSEJERÍA Y PREVENCION DE ITS/VIH/SIDA</t>
  </si>
  <si>
    <t>ATENCIÓN INTEGRAL Y CONSEJERIA DEL ADOLESCENTE</t>
  </si>
  <si>
    <t>ATENCIÓN INTEGRAL DEL ADULTO MAYOR</t>
  </si>
  <si>
    <t>CONSEJERÍA Y PREVENCION DE ENFERMEDADES NO TRANSMISIBLES</t>
  </si>
  <si>
    <t>CONSEJERÍA Y PREVENCION DEL CANCER</t>
  </si>
  <si>
    <t>OBS-GEN</t>
  </si>
  <si>
    <t>Atención ambulatoria por obstetra</t>
  </si>
  <si>
    <t>OBS 1a</t>
  </si>
  <si>
    <t>CONSULTORIO DE OBSTETRICIA (CONTROL PRENATAL)</t>
  </si>
  <si>
    <t>OBS 1b</t>
  </si>
  <si>
    <t>CONSULTORIO DE OBSTETRICIA (PLANIFICACION FAMILIAR)</t>
  </si>
  <si>
    <t>N.A.</t>
  </si>
  <si>
    <t>OBS 1c</t>
  </si>
  <si>
    <t xml:space="preserve">PSICOPROFILAXIS </t>
  </si>
  <si>
    <t>ODN-SRX</t>
  </si>
  <si>
    <t>Atención ambulatoria por cirujano dentista general con soporte de radiologia oral</t>
  </si>
  <si>
    <t>ODN2</t>
  </si>
  <si>
    <t>CONSULTORIO DE ODONTOLOGIA GENERAL CON SOPORTE DE RADIOLOGIA ORAL</t>
  </si>
  <si>
    <t>ODN-GEN</t>
  </si>
  <si>
    <t>ODN1</t>
  </si>
  <si>
    <t>CONSULTORIO DE ODONTOLOGIA GENERAL</t>
  </si>
  <si>
    <t>NUT-GEN</t>
  </si>
  <si>
    <t>Atención ambulatoria por Nutricionista</t>
  </si>
  <si>
    <t>CONSULTORIO DE NUTRICION</t>
  </si>
  <si>
    <t>TOP-MED</t>
  </si>
  <si>
    <t>Atención ambulatoria por médico en tópico de
procedimientos de consulta externa</t>
  </si>
  <si>
    <t>TOPICO DE PROCEDIMIENTOS DE CONSULTA EXTERNA</t>
  </si>
  <si>
    <t>SLM-PSQ</t>
  </si>
  <si>
    <t>PSQ3</t>
  </si>
  <si>
    <t>CONSULTORIO DE PSICOLOGIA</t>
  </si>
  <si>
    <t>FAM-GEN</t>
  </si>
  <si>
    <t xml:space="preserve">Visita domiciliaria por profesional de la salud no médico </t>
  </si>
  <si>
    <t>FAM-MED</t>
  </si>
  <si>
    <t xml:space="preserve">Visita domiciliaria por médico general </t>
  </si>
  <si>
    <t>FAM-IEC</t>
  </si>
  <si>
    <t>FAM-COL</t>
  </si>
  <si>
    <t>Atención itinerante por equipo multidisciplinario o campañas de salud (Atención Integral)</t>
  </si>
  <si>
    <t>LAB-INT</t>
  </si>
  <si>
    <t>Procedimientos de Laboratorio Clínico Tipos I-4</t>
  </si>
  <si>
    <t>LAB2b</t>
  </si>
  <si>
    <t>TOMA DE MUESTRAS</t>
  </si>
  <si>
    <t>LABORATORIO DE HEMATOLOGÍA</t>
  </si>
  <si>
    <t>LABORATORIO DE BIOQUÍMICA</t>
  </si>
  <si>
    <t>LABORATORIO DE MICROBIOLOGÍA</t>
  </si>
  <si>
    <t>FAR-COM</t>
  </si>
  <si>
    <t>Expendio y dispensación de medicamentos y Productos sanitarios</t>
  </si>
  <si>
    <t>Dispensación de medicamentos</t>
  </si>
  <si>
    <t>FARM1a</t>
  </si>
  <si>
    <t>DISPENSACIÓN Y EXPENDIO EN UPSS CONSULTA EXTERNA</t>
  </si>
  <si>
    <t>DOSIS UNITARIA</t>
  </si>
  <si>
    <t>FARM1b</t>
  </si>
  <si>
    <t>GESTIÓN DE PROGRAMACIÓN</t>
  </si>
  <si>
    <t>ALMACÉN ESPECIALIZADO DE PRODUCTOS FARMACÉUTICOS, DISPOSITIVOS MÉDICOS Y PRODUCTOS SANITARIOS</t>
  </si>
  <si>
    <t>Atención en Farmacia Clínica</t>
  </si>
  <si>
    <t>FARM1c</t>
  </si>
  <si>
    <t>SEGUIMIENTO FARMACOTERAPEUTICO AMBULATORIO</t>
  </si>
  <si>
    <t>FARMACOVIGILANCIA y TECNOVIGILANCIA</t>
  </si>
  <si>
    <t>FARM1d</t>
  </si>
  <si>
    <t>MEZCLAS INTRAVENOSAS</t>
  </si>
  <si>
    <t>Atención  en Farmacotecnia</t>
  </si>
  <si>
    <t>DILUCION Y ACONDICIONAMIENTO DE DESINFECTANTES</t>
  </si>
  <si>
    <t>EMG-MED</t>
  </si>
  <si>
    <t>Atención de urgencias y emergencias por médico general</t>
  </si>
  <si>
    <t>EMG3a</t>
  </si>
  <si>
    <t xml:space="preserve">TOPICO DE URGENCIAS Y EMERGENCIAS </t>
  </si>
  <si>
    <t>SALA DE PROCEDIMIENTOS EN ENFERMERIA</t>
  </si>
  <si>
    <t>EMG-OBS</t>
  </si>
  <si>
    <t>EMG3b</t>
  </si>
  <si>
    <t>AMBIENTE DE OBSERVACION</t>
  </si>
  <si>
    <t>2 Camas</t>
  </si>
  <si>
    <t>ATP-GIN</t>
  </si>
  <si>
    <t>Atención del parto vaginal por médico especialista
en ginecología y obstetricia, y por obstetra</t>
  </si>
  <si>
    <t>ATP2b</t>
  </si>
  <si>
    <t>SALA DE DILATACION</t>
  </si>
  <si>
    <t>SALA DE PARTOS</t>
  </si>
  <si>
    <t>1 Cama</t>
  </si>
  <si>
    <t>SALA DE PARTO VERTICAL</t>
  </si>
  <si>
    <t>SALA DE PUERPERIO INMEDIATO</t>
  </si>
  <si>
    <t>2 camas</t>
  </si>
  <si>
    <t>ATP-RNP</t>
  </si>
  <si>
    <t>Atención inmediata del recién nacido por médico y enfermera</t>
  </si>
  <si>
    <t>INT-BAS</t>
  </si>
  <si>
    <t>Sala de Internamiento Varones</t>
  </si>
  <si>
    <t>Habitacion de 2 camas</t>
  </si>
  <si>
    <t>Sala de Internamiento Mujeres</t>
  </si>
  <si>
    <t>Sala de Internamiento Obstetrico</t>
  </si>
  <si>
    <t>Sala de Internamiento Niños</t>
  </si>
  <si>
    <t>INT-RNT</t>
  </si>
  <si>
    <t>Atención del recién nacido en area de observacion</t>
  </si>
  <si>
    <t>Sala de Monitoreo al Recien Nacido</t>
  </si>
  <si>
    <t>3 cunas por norma</t>
  </si>
  <si>
    <t>SRX-CON</t>
  </si>
  <si>
    <t>TLR-SIM</t>
  </si>
  <si>
    <t xml:space="preserve">Teleradiología convencional  </t>
  </si>
  <si>
    <t>ECO-GEN</t>
  </si>
  <si>
    <t>ECO1</t>
  </si>
  <si>
    <t>ECO-DOP</t>
  </si>
  <si>
    <t>ECO2b</t>
  </si>
  <si>
    <t>REHABILITACION</t>
  </si>
  <si>
    <t>MRH-LEV</t>
  </si>
  <si>
    <t>MEDICINA DE REHABILITACIÓN BASICA</t>
  </si>
  <si>
    <t>EST-BAS</t>
  </si>
  <si>
    <t>ZONA ROJA</t>
  </si>
  <si>
    <t>Descontaminación y lavado</t>
  </si>
  <si>
    <t>ZONA AZUL</t>
  </si>
  <si>
    <t>Preparación y empaque</t>
  </si>
  <si>
    <t>ZONA VERDE</t>
  </si>
  <si>
    <t xml:space="preserve">Almacenamiento de material esterilizado </t>
  </si>
  <si>
    <t>(**) Para el caso del II nivel de atención, esta prestación se corresponderá con las especialidades de Medicina Interna o Neumología según corresponda.</t>
  </si>
  <si>
    <t>(**) Para el caso del II nivel de atención, esta prestación se corresponderá con la especialidad de Medicina Interna o Infectología según corresponda.</t>
  </si>
  <si>
    <t>(+) Códigos utilizados para los ambientes correspondientes al primer nivel de atención.</t>
  </si>
  <si>
    <t>(++) Según Norma Técnica N°   -MINSA/DGIEM-V.01, la UPSS Hospitalización debe incluir tópicos de procedimientos.</t>
  </si>
  <si>
    <t>(+++) La Sala de Operaciones Multifucional se corresponde con la sumatora de la demanda de las intervenciones quirúrgicas de las especialidades programadas y la sumatoria de los grados de utilización respectivos.</t>
  </si>
  <si>
    <t>UPS GESTIÓN DE LA INFORMACIÓN</t>
  </si>
  <si>
    <t>UPS TRANSPORTE</t>
  </si>
  <si>
    <t>UPS CADENA DE FRIO</t>
  </si>
  <si>
    <t>UPS CENTRAL DE GASES</t>
  </si>
  <si>
    <t>UPS ALMACEN</t>
  </si>
  <si>
    <t>UPS TALLER DE MANTENIMIENTO</t>
  </si>
  <si>
    <t>UPS SALA DE USOS MULTIPLES</t>
  </si>
  <si>
    <t>UPS CASA MATERNA</t>
  </si>
  <si>
    <t>UPS RESIDENCIA DE PERSONAL</t>
  </si>
  <si>
    <t>GUARDIANIA</t>
  </si>
  <si>
    <t>18 a 69 años</t>
  </si>
  <si>
    <t>12-17 años</t>
  </si>
  <si>
    <t>18 años a Mas</t>
  </si>
  <si>
    <t>Fuente: Documento Tecnico de definiciones operacionales 2016 - MINSA</t>
  </si>
  <si>
    <t>% de adolescentes atendidos</t>
  </si>
  <si>
    <t>20% de adolescentes atendidos</t>
  </si>
  <si>
    <t>Examen Estomatologico</t>
  </si>
  <si>
    <t>Cuadro N° 4-1. Atendidos por grupos de edad,  según departamento del establecimiento y unidades ejecutoras</t>
  </si>
  <si>
    <t>SEGURO INTEGRAL DE SALUD</t>
  </si>
  <si>
    <t>Enero -  Marzo 2017 1/.</t>
  </si>
  <si>
    <t>Departamento EESS</t>
  </si>
  <si>
    <t>Unidad Ejecutora</t>
  </si>
  <si>
    <t>Niños</t>
  </si>
  <si>
    <t>Adolescentes</t>
  </si>
  <si>
    <t>Adultos</t>
  </si>
  <si>
    <t>0 - 4 años</t>
  </si>
  <si>
    <t>5 - 11 años</t>
  </si>
  <si>
    <t>12 - 17 años</t>
  </si>
  <si>
    <t>18 - 29 años</t>
  </si>
  <si>
    <t>30 - 59 años</t>
  </si>
  <si>
    <t xml:space="preserve">60 a más </t>
  </si>
  <si>
    <t>0725</t>
  </si>
  <si>
    <t>Amazonas - Salud</t>
  </si>
  <si>
    <t>0955</t>
  </si>
  <si>
    <t>Amazonas - Salud Bagua</t>
  </si>
  <si>
    <t>0998</t>
  </si>
  <si>
    <t>Amazonas - Hospital De Apoyo Chachapoyas</t>
  </si>
  <si>
    <t>1023</t>
  </si>
  <si>
    <t>Amazonas - Gerencia Sub Al Condorcanqui</t>
  </si>
  <si>
    <t>1101</t>
  </si>
  <si>
    <t>Amazonas - Hospital De Apoyo Bagua</t>
  </si>
  <si>
    <t>1350</t>
  </si>
  <si>
    <t>Gob. Reg. Amazonas - Salud Utcubamba</t>
  </si>
  <si>
    <t/>
  </si>
  <si>
    <t>0740</t>
  </si>
  <si>
    <t>Ancash - Salud Recuay Carhuaz</t>
  </si>
  <si>
    <t>0741</t>
  </si>
  <si>
    <t>Ancash - Salud Huaraz</t>
  </si>
  <si>
    <t>0742</t>
  </si>
  <si>
    <t>Ancash - Salud Eleazar Guzman Barron</t>
  </si>
  <si>
    <t>0743</t>
  </si>
  <si>
    <t>Region Ancash - Salud La Caleta</t>
  </si>
  <si>
    <t>0744</t>
  </si>
  <si>
    <t>Ancash - Salud Caraz</t>
  </si>
  <si>
    <t>0745</t>
  </si>
  <si>
    <t>Ancash - Salud Pomabamba</t>
  </si>
  <si>
    <t>0746</t>
  </si>
  <si>
    <t>Ancash - Salud Huari</t>
  </si>
  <si>
    <t>1421</t>
  </si>
  <si>
    <t>Ancash - Red De Salud Pacifico Sur</t>
  </si>
  <si>
    <t>1537</t>
  </si>
  <si>
    <t>Gob. Reg. De Ancash - Red De Salud Pacifico Norte</t>
  </si>
  <si>
    <t>Red Asistencial: Policlinico Docente San Luis</t>
  </si>
  <si>
    <t>Apurímac</t>
  </si>
  <si>
    <t>0756</t>
  </si>
  <si>
    <t>Apurimac - Salud Chanka</t>
  </si>
  <si>
    <t>1037</t>
  </si>
  <si>
    <t>Apurimac - Hospital Guillermo Diaz De La Vega-Abancay</t>
  </si>
  <si>
    <t>1038</t>
  </si>
  <si>
    <t>Apurimac - Hospital Subal De Andahuaylas</t>
  </si>
  <si>
    <t>1497</t>
  </si>
  <si>
    <t>Gob. Reg. Apurimac - Red De Salud Virgen De Cocharcas</t>
  </si>
  <si>
    <t>1498</t>
  </si>
  <si>
    <t>Apurimac - Red De Salud Abancay</t>
  </si>
  <si>
    <t>1499</t>
  </si>
  <si>
    <t>Apurimac - Red De Salud Grau</t>
  </si>
  <si>
    <t>1500</t>
  </si>
  <si>
    <t>Apurimac - Red De Salud Cotabambas</t>
  </si>
  <si>
    <t>1501</t>
  </si>
  <si>
    <t>Apurimac - Red De Salud Antabamba</t>
  </si>
  <si>
    <t>1502</t>
  </si>
  <si>
    <t>Apurimac - Red De Salud Aymares</t>
  </si>
  <si>
    <t>Red Asistencial: Hospital Base II Abancay</t>
  </si>
  <si>
    <t>0765</t>
  </si>
  <si>
    <t>Arequipa - Salud</t>
  </si>
  <si>
    <t>0766</t>
  </si>
  <si>
    <t>Region Arequipa - Hospital Goyeneche</t>
  </si>
  <si>
    <t>0767</t>
  </si>
  <si>
    <t>Region Arequipa - Hospital Regional Honorio Delgado</t>
  </si>
  <si>
    <t>0768</t>
  </si>
  <si>
    <t>Arequipa - Salud Camana</t>
  </si>
  <si>
    <t>0769</t>
  </si>
  <si>
    <t>Arequipa - Salud Aplao</t>
  </si>
  <si>
    <t>1222</t>
  </si>
  <si>
    <t>Arequipa - Salud Red Periferica Arequipa</t>
  </si>
  <si>
    <t>1320</t>
  </si>
  <si>
    <t>Reg. Arequipa - Inst. Reg. De Enfermedades Neoplasicas Del Sur (Iren Sur)</t>
  </si>
  <si>
    <t>Region Ayacucho - Hospital Huamanga</t>
  </si>
  <si>
    <t>1025</t>
  </si>
  <si>
    <t>Ayacucho - Salud Sur Ayacucho</t>
  </si>
  <si>
    <t>1045</t>
  </si>
  <si>
    <t>Ayacucho - Salud Centro Ayacucho</t>
  </si>
  <si>
    <t>1046</t>
  </si>
  <si>
    <t>Ayacucho - Salud Sara Sara</t>
  </si>
  <si>
    <t>1321</t>
  </si>
  <si>
    <t>Reg. Ayacucho - Red De Salud Ayacucho Norte</t>
  </si>
  <si>
    <t>1362</t>
  </si>
  <si>
    <t>Gob. Reg. De Ayacucho - Red De Salud Huamanga</t>
  </si>
  <si>
    <t>1489</t>
  </si>
  <si>
    <t>Gob. Reg. De Ayacucho - Red De Salud San Miguel</t>
  </si>
  <si>
    <t>1490</t>
  </si>
  <si>
    <t>Gob. Reg. De Ayacucho - Red De Salud San Francisco</t>
  </si>
  <si>
    <t>0785</t>
  </si>
  <si>
    <t>Cajamarca - Salud Cajamarca</t>
  </si>
  <si>
    <t>0786</t>
  </si>
  <si>
    <t>Cajamarca - Salud Chota</t>
  </si>
  <si>
    <t>0787</t>
  </si>
  <si>
    <t>Cajamarca - Salud Cutervo</t>
  </si>
  <si>
    <t>0788</t>
  </si>
  <si>
    <t>Cajamarca - Salud Jaen</t>
  </si>
  <si>
    <t>0999</t>
  </si>
  <si>
    <t>Region Cajamarca - Hospital Cajamarca</t>
  </si>
  <si>
    <t>1047</t>
  </si>
  <si>
    <t>Cajamarca - Hospital General De Jaen</t>
  </si>
  <si>
    <t>1539</t>
  </si>
  <si>
    <t>Gob. Reg. Cajamarca - Hospital Jose H. Soto Cadenillas - Chota</t>
  </si>
  <si>
    <t>1654</t>
  </si>
  <si>
    <t>Gob. Reg. Cajamarca - Salud San Ignacio</t>
  </si>
  <si>
    <t>Red Asistencial: Hospital Ii Cajamarca</t>
  </si>
  <si>
    <t>1316</t>
  </si>
  <si>
    <t>Callao - Direccion De Salud I Callao</t>
  </si>
  <si>
    <t>1317</t>
  </si>
  <si>
    <t>Callao - Hospital Daniel A. Carrion</t>
  </si>
  <si>
    <t>1318</t>
  </si>
  <si>
    <t>Callao - Hospital De Apoyo San Jose</t>
  </si>
  <si>
    <t>1452</t>
  </si>
  <si>
    <t>Gob. Reg. Del Callao - Hospital De Ventanilla</t>
  </si>
  <si>
    <t>Red Asistencial: Centro De Salud - Sociedad De Beneficencia Publica Del Callao</t>
  </si>
  <si>
    <t>1129</t>
  </si>
  <si>
    <t>Cusco - Salud Canas Canchis Espinar</t>
  </si>
  <si>
    <t>1130</t>
  </si>
  <si>
    <t>Region Cusco - Hospital De Apoyo Departamental Cusco</t>
  </si>
  <si>
    <t>1169</t>
  </si>
  <si>
    <t>Region Cusco-Hospital Antonio Lorena</t>
  </si>
  <si>
    <t>1170</t>
  </si>
  <si>
    <t>Cusco - Salud La Convencion Cusco</t>
  </si>
  <si>
    <t>1322</t>
  </si>
  <si>
    <t>Reg. Cusco - Red De Servicios De Salud Cusco Sur</t>
  </si>
  <si>
    <t>1347</t>
  </si>
  <si>
    <t>Gob. Reg. Cusco - Red De Servicios De Salud Kimbiri Pichari</t>
  </si>
  <si>
    <t>1348</t>
  </si>
  <si>
    <t>Gob. Reg. Cusco - Red De Servicios De Salud Cusco Norte</t>
  </si>
  <si>
    <t>1547</t>
  </si>
  <si>
    <t>Gob. Reg. Cusco - Hospital De Espinar</t>
  </si>
  <si>
    <t>1625</t>
  </si>
  <si>
    <t>Gob. Reg. Dpto. Cusco-Hosp. Alfredo Callo Rodriguez-Sicuani-Canchis</t>
  </si>
  <si>
    <t>1626</t>
  </si>
  <si>
    <t>Gob. Reg. Dpto. Cusco - Hospital De Quillabamba</t>
  </si>
  <si>
    <t>1000</t>
  </si>
  <si>
    <t>Huancavelica - Hospital Departamental De Huancavelica</t>
  </si>
  <si>
    <t>1048</t>
  </si>
  <si>
    <t>Huancavelica - Gerencia Sub Al Tayacaja</t>
  </si>
  <si>
    <t>1300</t>
  </si>
  <si>
    <t>Huancavelica - Gerencia Sub Al Churcampa</t>
  </si>
  <si>
    <t>1301</t>
  </si>
  <si>
    <t>Huancavelica - Gerencia Sub Al Castrovirreyna</t>
  </si>
  <si>
    <t>1302</t>
  </si>
  <si>
    <t>Huancavelica - Gerencia Sub Al Huaytara</t>
  </si>
  <si>
    <t>1627</t>
  </si>
  <si>
    <t>Gob. Reg. Dpto. Huancavelica - Hospital De Pampas De Tayacaja</t>
  </si>
  <si>
    <t>1645</t>
  </si>
  <si>
    <t>Gob. Reg. Huancavelica - Red De Salud Tayacaja</t>
  </si>
  <si>
    <t>1646</t>
  </si>
  <si>
    <t>Gob. Reg. Huancavelica - Red De Salud Acobamba</t>
  </si>
  <si>
    <t>1647</t>
  </si>
  <si>
    <t>Gob. Reg. Huancavelica - Red De Salud Angaraes</t>
  </si>
  <si>
    <t>1648</t>
  </si>
  <si>
    <t>Gob. Reg. Huancavelica - Red De Salud Huancavelica</t>
  </si>
  <si>
    <t>Huánuco</t>
  </si>
  <si>
    <t>0811</t>
  </si>
  <si>
    <t>Huanuco - Salud Tingo Maria</t>
  </si>
  <si>
    <t>0812</t>
  </si>
  <si>
    <t>Huanuco - Hospital De Huanuco Hermilio Valdizan</t>
  </si>
  <si>
    <t>1110</t>
  </si>
  <si>
    <t>Huanuco - Salud Leoncio Prado</t>
  </si>
  <si>
    <t>1247</t>
  </si>
  <si>
    <t>Huanuco - Red De Salud Huanuco</t>
  </si>
  <si>
    <t>1454</t>
  </si>
  <si>
    <t>Gob. Reg. Huanuco - Salud Huamalies</t>
  </si>
  <si>
    <t>1455</t>
  </si>
  <si>
    <t>Gob. Reg. Huanuco - Salud Dos De Mayo</t>
  </si>
  <si>
    <t>1014</t>
  </si>
  <si>
    <t>Ica - Hospital San Jose De Chincha</t>
  </si>
  <si>
    <t>1015</t>
  </si>
  <si>
    <t>Ica - Salud Palpa - Nasca</t>
  </si>
  <si>
    <t>1052</t>
  </si>
  <si>
    <t>Region Ica - Hospital Regional De Ica</t>
  </si>
  <si>
    <t>1195</t>
  </si>
  <si>
    <t>Ica - Hospital San Juan De Dios Pisco</t>
  </si>
  <si>
    <t>1196</t>
  </si>
  <si>
    <t>Ica - Hospital De Apoyo Santa Maria Del Socorro</t>
  </si>
  <si>
    <t>1223</t>
  </si>
  <si>
    <t>Ica - Red De Salud Ica</t>
  </si>
  <si>
    <t>1457</t>
  </si>
  <si>
    <t>Gob. Reg. Ica - Hospital De Apoyo De Palpa</t>
  </si>
  <si>
    <t>Junín</t>
  </si>
  <si>
    <t>0823</t>
  </si>
  <si>
    <t>Junin - Direccion Al De Salud Junin</t>
  </si>
  <si>
    <t>0824</t>
  </si>
  <si>
    <t>Region Junin - Salud Daniel Alcides Carrion</t>
  </si>
  <si>
    <t>0825</t>
  </si>
  <si>
    <t>Region Junin - Salud El Carmen</t>
  </si>
  <si>
    <t>0826</t>
  </si>
  <si>
    <t>Junin - Salud Jauja</t>
  </si>
  <si>
    <t>0827</t>
  </si>
  <si>
    <t>Junin - Salud Tarma</t>
  </si>
  <si>
    <t>0828</t>
  </si>
  <si>
    <t>Junin - Salud Chanchamayo</t>
  </si>
  <si>
    <t>0829</t>
  </si>
  <si>
    <t>Junin - Salud Satipo</t>
  </si>
  <si>
    <t>0830</t>
  </si>
  <si>
    <t>Junin - Salud Junin</t>
  </si>
  <si>
    <t>1224</t>
  </si>
  <si>
    <t>Junin - Red De Salud Del Valle Del Mantaro</t>
  </si>
  <si>
    <t>1612</t>
  </si>
  <si>
    <t>Gob. Reg. De Junin - Red De Salud Pichanaki</t>
  </si>
  <si>
    <t>1613</t>
  </si>
  <si>
    <t>Gob. Reg. De Junin - Red De Salud San Martin De Pangoa</t>
  </si>
  <si>
    <t>1615</t>
  </si>
  <si>
    <t>Gob. Reg. De Junin - Salud Chupaca</t>
  </si>
  <si>
    <t>0845</t>
  </si>
  <si>
    <t>La Libertad - Salud</t>
  </si>
  <si>
    <t>0846</t>
  </si>
  <si>
    <t>Region La Libertad - Instituto Regional De Oftalmologia</t>
  </si>
  <si>
    <t>0847</t>
  </si>
  <si>
    <t>La Libertad - Salud Norte Ascope</t>
  </si>
  <si>
    <t>0848</t>
  </si>
  <si>
    <t>La Libertad - Salud Trujillo Sur Oeste</t>
  </si>
  <si>
    <t>0849</t>
  </si>
  <si>
    <t>La Libertad - Salud Chepen</t>
  </si>
  <si>
    <t>0850</t>
  </si>
  <si>
    <t>La Libertad - Salud Pacasmayo</t>
  </si>
  <si>
    <t>0851</t>
  </si>
  <si>
    <t>La Libertad - Salud Sanchez Carrion</t>
  </si>
  <si>
    <t>0852</t>
  </si>
  <si>
    <t>La Libertad - Salud Santiago De Chuco</t>
  </si>
  <si>
    <t>0853</t>
  </si>
  <si>
    <t>La Libertad - Salud Otuzco</t>
  </si>
  <si>
    <t>0854</t>
  </si>
  <si>
    <t>La Libertad - Salud Trujillo Este</t>
  </si>
  <si>
    <t>1282</t>
  </si>
  <si>
    <t>Region. La Libertad -Inst. Reg. Enfermedades Neoplasicas "Luis Pinillos Ganoza"</t>
  </si>
  <si>
    <t>1616</t>
  </si>
  <si>
    <t>Gob. Reg. De La Libertad - Salud Julcan</t>
  </si>
  <si>
    <t>1617</t>
  </si>
  <si>
    <t>Gob. Reg. De La Libertad - Salud Viru</t>
  </si>
  <si>
    <t>1618</t>
  </si>
  <si>
    <t>Gob. Reg. De La Libertad - Salud Ascope</t>
  </si>
  <si>
    <t>1619</t>
  </si>
  <si>
    <t>Gob. Reg. De La Libertad - Salud Gran Chimu</t>
  </si>
  <si>
    <t>0860</t>
  </si>
  <si>
    <t>Region Lambayeque - Salud</t>
  </si>
  <si>
    <t>1001</t>
  </si>
  <si>
    <t>Region Lambayeque - Hospital Regional Docente Las Mercedes-Chiclayo</t>
  </si>
  <si>
    <t>1002</t>
  </si>
  <si>
    <t>Region Lambayeque - Hospital Belen -Lambayeque</t>
  </si>
  <si>
    <t>1422</t>
  </si>
  <si>
    <t>Region Lambayeque-Hospital Regional Lambayeque</t>
  </si>
  <si>
    <t>Lima Gob.Reg</t>
  </si>
  <si>
    <t>1285</t>
  </si>
  <si>
    <t>Región Lima - Direccion De Salud Iii Lima Norte</t>
  </si>
  <si>
    <t>1286</t>
  </si>
  <si>
    <t>Región Lima - Hosp. Huacho-Huaura- Oyon Y Serv. Basicos De Salud</t>
  </si>
  <si>
    <t>1287</t>
  </si>
  <si>
    <t>Región Lima - Servicios Basicos De Salud Cañete-Yauyos</t>
  </si>
  <si>
    <t>1288</t>
  </si>
  <si>
    <t>Región Lima - Hospital De Apoyo Rezola</t>
  </si>
  <si>
    <t>1289</t>
  </si>
  <si>
    <t>Lima - Hosp. Barranca - Cajatambo Y Serv. Basicos De Salud</t>
  </si>
  <si>
    <t>1290</t>
  </si>
  <si>
    <t>Lima - Hosp. Chancay Servicios Basicos De Salud</t>
  </si>
  <si>
    <t>1291</t>
  </si>
  <si>
    <t>Lima - Serv. Basicos De Salud Chilca-Mala</t>
  </si>
  <si>
    <t>1292</t>
  </si>
  <si>
    <t>Lima - Hospital Huaral Y Servicios Basicos De Salud</t>
  </si>
  <si>
    <t>1404</t>
  </si>
  <si>
    <t>Lima - Red De Salud Huarochiri</t>
  </si>
  <si>
    <t>Lima Metropolitana</t>
  </si>
  <si>
    <t>1235</t>
  </si>
  <si>
    <t>Instituto Nacional De Enfermedades Neoplasicas</t>
  </si>
  <si>
    <t>1551</t>
  </si>
  <si>
    <t>Hospital Arzobispo Loayza</t>
  </si>
  <si>
    <t>1552</t>
  </si>
  <si>
    <t>Hospital Nacional Dos De Mayo</t>
  </si>
  <si>
    <t>1553</t>
  </si>
  <si>
    <t>Igss - Hospital Cayetano Heredia</t>
  </si>
  <si>
    <t>1554</t>
  </si>
  <si>
    <t>Igss - Hospital Sergio Bernales</t>
  </si>
  <si>
    <t>1559</t>
  </si>
  <si>
    <t>Instituto Nacional De Salud Mental -Igss</t>
  </si>
  <si>
    <t>1560</t>
  </si>
  <si>
    <t>Instituto Nacional De Ciencias Neurologicas - Igss</t>
  </si>
  <si>
    <t>1561</t>
  </si>
  <si>
    <t>Instituto Nacional De Oftalmologia - Igss</t>
  </si>
  <si>
    <t>1562</t>
  </si>
  <si>
    <t>Instituto Nacional De Rehabilitacion - Igss</t>
  </si>
  <si>
    <t>1563</t>
  </si>
  <si>
    <t>Instituto Nacional De Salud Del Niño - Igss</t>
  </si>
  <si>
    <t>1564</t>
  </si>
  <si>
    <t>Instituto Nacional Materno Perinatal - Igss</t>
  </si>
  <si>
    <t>1565</t>
  </si>
  <si>
    <t>Hospital Nacional Hipolito Unanue - Igss</t>
  </si>
  <si>
    <t>1566</t>
  </si>
  <si>
    <t>Hospital Hermilio Valdizan - Igss</t>
  </si>
  <si>
    <t>1567</t>
  </si>
  <si>
    <t>Hospital De Apoyo Departamental Maria Auxiliadora - Igss</t>
  </si>
  <si>
    <t>1568</t>
  </si>
  <si>
    <t>Hospital De Apoyo Santa Rosa - Igss</t>
  </si>
  <si>
    <t>1569</t>
  </si>
  <si>
    <t>Hospital De Emergencias Casimiro Ulloa - Igss</t>
  </si>
  <si>
    <t>1570</t>
  </si>
  <si>
    <t>Hospital De Emergencias Pediatricas - Igss</t>
  </si>
  <si>
    <t>1571</t>
  </si>
  <si>
    <t>Hospital Nacional Victor Larco Herrera - Igss</t>
  </si>
  <si>
    <t>1572</t>
  </si>
  <si>
    <t>Hospital Nacional Docente Madre Niño - San Bartolome - Igss</t>
  </si>
  <si>
    <t>1573</t>
  </si>
  <si>
    <t>Hospital Carlos Lanfranco La Hoz - Igss</t>
  </si>
  <si>
    <t>1574</t>
  </si>
  <si>
    <t>Hospital Jose Agurto Tello De Chosica - Igss</t>
  </si>
  <si>
    <t>1575</t>
  </si>
  <si>
    <t>Red De Salud San Juan De Lurigancho - Igss</t>
  </si>
  <si>
    <t>1576</t>
  </si>
  <si>
    <t>Red De Salud Rimac-San Martin De Porres-Los Olivos - Igss</t>
  </si>
  <si>
    <t>1577</t>
  </si>
  <si>
    <t>Red De Salud Tupac Amaru - Igss</t>
  </si>
  <si>
    <t>1578</t>
  </si>
  <si>
    <t>Red De Servicios De Salud Barranco-Chorrillos-Surco - Igss</t>
  </si>
  <si>
    <t>1579</t>
  </si>
  <si>
    <t>Red De Servicios De Salud San Juan De Miraflores - Villa Maria Del Triunfo - Igss</t>
  </si>
  <si>
    <t>1580</t>
  </si>
  <si>
    <t>Red De Servicios De Salud Villa El Salvador-Lurin-Pachacamac-Pucusana - Igss</t>
  </si>
  <si>
    <t>1581</t>
  </si>
  <si>
    <t>Hospital San Juan De Lurigancho - Igss</t>
  </si>
  <si>
    <t>1582</t>
  </si>
  <si>
    <t>Hospital Vitarte - Igss</t>
  </si>
  <si>
    <t>1583</t>
  </si>
  <si>
    <t>Red De Salud Lima Ciudad - Igss</t>
  </si>
  <si>
    <t>1584</t>
  </si>
  <si>
    <t>Instituto Nacional De Salud Del Niño - San Borja- Igss</t>
  </si>
  <si>
    <t>1585</t>
  </si>
  <si>
    <t>Hospital De Huaycan - Igss</t>
  </si>
  <si>
    <t>1586</t>
  </si>
  <si>
    <t>Red De Salud Lima Norte Iv - Igss</t>
  </si>
  <si>
    <t>1652</t>
  </si>
  <si>
    <t>Red De Salud Lima Este Metropolitana Iv - Igss</t>
  </si>
  <si>
    <t>Red Asistencial: Hospital Nacional Edgardo Rebagliati Martins</t>
  </si>
  <si>
    <t>0870</t>
  </si>
  <si>
    <t>Loreto - Salud Loreto</t>
  </si>
  <si>
    <t>0871</t>
  </si>
  <si>
    <t>Loreto - Salud Yurimaguas</t>
  </si>
  <si>
    <t>0872</t>
  </si>
  <si>
    <t>Loreto - Salud Hospital De Apoyo Iquitos</t>
  </si>
  <si>
    <t>0874</t>
  </si>
  <si>
    <t>Loreto - Salud Hospital Al De Loreto</t>
  </si>
  <si>
    <t>1391</t>
  </si>
  <si>
    <t>Gob. Reg. Loreto - Red De Salud Datem Del Marañon</t>
  </si>
  <si>
    <t>1407</t>
  </si>
  <si>
    <t>Gob. Reg. De Loreto- Hospital Santa Gema De Yurimaguas</t>
  </si>
  <si>
    <t>0879</t>
  </si>
  <si>
    <t>Madre De Dios - Salud</t>
  </si>
  <si>
    <t>1003</t>
  </si>
  <si>
    <t>Region Madre De Dios - Hospital Santa Rosa De Puerto Maldonado</t>
  </si>
  <si>
    <t>Red Asistencial: Hospital I Victor Alfredo Lazo Peralta</t>
  </si>
  <si>
    <t>0884</t>
  </si>
  <si>
    <t>Moquegua - Salud</t>
  </si>
  <si>
    <t>1172</t>
  </si>
  <si>
    <t>Moquegua - Salud Ilo</t>
  </si>
  <si>
    <t>1394</t>
  </si>
  <si>
    <t>Region Moquegua - Hospital Regional De Moquegua</t>
  </si>
  <si>
    <t>Red Asistencial: Hospital Ii Moquegua</t>
  </si>
  <si>
    <t>0889</t>
  </si>
  <si>
    <t>Pasco - Salud</t>
  </si>
  <si>
    <t>0890</t>
  </si>
  <si>
    <t>Pasco - Salud Hospital Daniel A. Carrion</t>
  </si>
  <si>
    <t>0891</t>
  </si>
  <si>
    <t>Pasco - Salud Utes Oxapampa</t>
  </si>
  <si>
    <t>0899</t>
  </si>
  <si>
    <t>Piura - Salud</t>
  </si>
  <si>
    <t>0900</t>
  </si>
  <si>
    <t>Piura - Salud Luciano Castillo Colonna</t>
  </si>
  <si>
    <t>0901</t>
  </si>
  <si>
    <t>Region Piura - Hospital De Apoyo Iii Sullana</t>
  </si>
  <si>
    <t>1026</t>
  </si>
  <si>
    <t>Piura - Salud Morropon- Chulucanas</t>
  </si>
  <si>
    <t>1116</t>
  </si>
  <si>
    <t>Piura - Hospital De Apoyo I Chulucanas</t>
  </si>
  <si>
    <t>1117</t>
  </si>
  <si>
    <t>Piura - Hospital Apoyo I Nuestra Sra. De Las Mercedes - Paita</t>
  </si>
  <si>
    <t>1306</t>
  </si>
  <si>
    <t>Piura - Hospital De Apoyo I Santa Rosa</t>
  </si>
  <si>
    <t>0915</t>
  </si>
  <si>
    <t>Puno - Salud Melgar</t>
  </si>
  <si>
    <t>0916</t>
  </si>
  <si>
    <t>Puno - Salud Azangaro</t>
  </si>
  <si>
    <t>0917</t>
  </si>
  <si>
    <t>Puno - Salud San Roman</t>
  </si>
  <si>
    <t>0918</t>
  </si>
  <si>
    <t>Puno - Salud Huancane</t>
  </si>
  <si>
    <t>0919</t>
  </si>
  <si>
    <t>Puno - Salud Puno</t>
  </si>
  <si>
    <t>0920</t>
  </si>
  <si>
    <t>Puno - Salud Chucuito</t>
  </si>
  <si>
    <t>0967</t>
  </si>
  <si>
    <t>Puno - Salud Yunguyo</t>
  </si>
  <si>
    <t>0968</t>
  </si>
  <si>
    <t>Puno - Salud Collao</t>
  </si>
  <si>
    <t>1006</t>
  </si>
  <si>
    <t>Puno - Salud Macusani</t>
  </si>
  <si>
    <t>1007</t>
  </si>
  <si>
    <t>Puno - Salud Sandia</t>
  </si>
  <si>
    <t>1435</t>
  </si>
  <si>
    <t>Gob. Reg. Puno - Hospital Regional Manuel Nuñez Butron</t>
  </si>
  <si>
    <t>1621</t>
  </si>
  <si>
    <t>Gob. Reg. Dpto. Puno- Salud Lampa</t>
  </si>
  <si>
    <t>San Martin</t>
  </si>
  <si>
    <t>0930</t>
  </si>
  <si>
    <t>San Martin - Salud</t>
  </si>
  <si>
    <t>1058</t>
  </si>
  <si>
    <t>San Martin - Salud Alto Mayo</t>
  </si>
  <si>
    <t>1059</t>
  </si>
  <si>
    <t>San Martin - Salud Huallaga Central</t>
  </si>
  <si>
    <t>1060</t>
  </si>
  <si>
    <t>San Martin - Salud Alto Huallaga</t>
  </si>
  <si>
    <t>1400</t>
  </si>
  <si>
    <t>Gob. Reg. San Martin - Hodpital Ii Tarapoto</t>
  </si>
  <si>
    <t>0935</t>
  </si>
  <si>
    <t>Tacna - Salud</t>
  </si>
  <si>
    <t>0970</t>
  </si>
  <si>
    <t>Region Tacna - Hospital De Apoyo Hipolito Unanue</t>
  </si>
  <si>
    <t>Red Asistencial: Hospital Iii Daniel Alcides Carrión</t>
  </si>
  <si>
    <t>0940</t>
  </si>
  <si>
    <t>Tumbes - Salud</t>
  </si>
  <si>
    <t>1436</t>
  </si>
  <si>
    <t>Gob.Reg.Tumbes - Hosp.Al Jose Alfredo Mendoza Olavarria - Jamo Ii-2 Tumbes</t>
  </si>
  <si>
    <t>0950</t>
  </si>
  <si>
    <t>Ucayali - Salud</t>
  </si>
  <si>
    <t>0951</t>
  </si>
  <si>
    <t>Ucayali - Hospital Regional De Pucallpa</t>
  </si>
  <si>
    <t>0952</t>
  </si>
  <si>
    <t>Region Ucayali - Hospital Amazonico</t>
  </si>
  <si>
    <t>1175</t>
  </si>
  <si>
    <t>Ucayali - Direccion De Red De Salud N° 3 Atalaya</t>
  </si>
  <si>
    <t>1341</t>
  </si>
  <si>
    <t>Ucayali - Direccion De Red De Salud Nº 04 Aguaytia - San Alejandro</t>
  </si>
  <si>
    <r>
      <t xml:space="preserve">Estadísticas Elaboradas: </t>
    </r>
    <r>
      <rPr>
        <sz val="9"/>
        <rFont val="Arial Narrow"/>
        <family val="2"/>
      </rPr>
      <t>19.04.2017</t>
    </r>
  </si>
  <si>
    <t xml:space="preserve">Fuente: Base de Datos SIS - Central </t>
  </si>
  <si>
    <t xml:space="preserve">Se define como atendido  a aquella persona que recibió una o más atenciones (oferta fija o movil) en un periodo determinado, debemos indicar que los totales por departamento no son sumables debido a que existe la posibilidad que un paciente se atienda en diferentes establecimientos de salud sea por referencia, migración, viaje o afiliación en distintos departamentos, por ello el total nacional no es la sumatoria de atendidos los departamentos. Asimismo, se considera la edad que tuvo la persona en la última atención. </t>
  </si>
  <si>
    <t>1/. A partir del año 2016 se estandariza el cálculo de los atendidos a traves de los criterios para identificar a los asegurados que tienen o no DNI. En base a 25 combinaciones de los datos disponibles del usuario, que inciden en el cálculo del número de atendidos, sobre todo en caso de niños y personas indocumentadas.</t>
  </si>
  <si>
    <t>Poblacion red Abancay 2017</t>
  </si>
  <si>
    <t>% de Afiliados al SIS de menores de 5 años para Prev Odont</t>
  </si>
  <si>
    <t>% de Afiliados al SIS de 5 a 11 años para Prev Odont</t>
  </si>
  <si>
    <t>Poblacion de 0 a 4 años</t>
  </si>
  <si>
    <t>Poblacion de 5 a 11 años</t>
  </si>
  <si>
    <t>Aplicación de Fluor</t>
  </si>
  <si>
    <t>Seran derivados al Hospital por cercania</t>
  </si>
  <si>
    <t>PROMOCION DE LA SALUD 
(Sala de Atención Extramural)</t>
  </si>
  <si>
    <t>ACTIVIDADES DE SALUD FAMILIAR Y COMUNITARIA</t>
  </si>
  <si>
    <t>ACTIVIDADES DE ATENCION DE URGENCIAS Y EMERGENCIAS</t>
  </si>
  <si>
    <t>ACTIVIDADES DE ATENCION A LA GESTANTE EN PARTOS</t>
  </si>
  <si>
    <t>ACTIVIDADES DE INTERNAMIENTO</t>
  </si>
  <si>
    <t xml:space="preserve">ACTIVIDADES DE DESINFECCIÓN Y ESTERILIZACIÓN </t>
  </si>
  <si>
    <t>ATENCION INMEDIATA AL RECIEN NACIDO PARTO HORIZONTAL</t>
  </si>
  <si>
    <t>ATENCION INMEDIATA AL RECIEN NACIDO PARTO VERTICAL</t>
  </si>
  <si>
    <t>SALA DE RADIOLOGIA CONVENCIONAL DIGITAL</t>
  </si>
  <si>
    <t>Radiología convencional digital</t>
  </si>
  <si>
    <t>Proceso de cálculo de la brecha de RHUS para el Primer Nivel de Atención</t>
  </si>
  <si>
    <t>Momento  1: Cálculo de la Necesidad de RHUS según enfoque de demanda</t>
  </si>
  <si>
    <t>Paso 1.1: Estimación de la demanda efectiva de prestaciones de
salud</t>
  </si>
  <si>
    <t>UPSS/
Actividad</t>
  </si>
  <si>
    <t>Prestaciones de la 
Cartera de servicios</t>
  </si>
  <si>
    <t>Ambiente</t>
  </si>
  <si>
    <t>CONSULTORIO PARA ATENCIÓN DE TBC</t>
  </si>
  <si>
    <t>CONSULTORIO PARA ATENCIÓN DE ITS/ VIH/SIDA</t>
  </si>
  <si>
    <t xml:space="preserve">Consulta ambulatoria por médico especialista en medicina interna </t>
  </si>
  <si>
    <t>CONSULTORIO DE MEDICINA INTERNA</t>
  </si>
  <si>
    <t xml:space="preserve">Consulta ambulatoria por médico especialista en pediatría </t>
  </si>
  <si>
    <t xml:space="preserve">Consulta ambulatoria por médico especialista en cirugía general </t>
  </si>
  <si>
    <t>CONSULTORIO DE CIRUGIA GENERAL</t>
  </si>
  <si>
    <t>Consulta ambulatoria por médico especialista en ginecología y obstetricia</t>
  </si>
  <si>
    <t>CONSULTORIO DE GINECO-OBSTETRICIA</t>
  </si>
  <si>
    <t>Consulta ambulatoria por médico especialista en anestesiología</t>
  </si>
  <si>
    <t>CONSULTORIO DE ANESTESIOLOGÍA</t>
  </si>
  <si>
    <t>Consulta ambulatoria por médico especialista en oftalmología</t>
  </si>
  <si>
    <t>CONSULTORIO DE OFTALMOLOGIA</t>
  </si>
  <si>
    <t>Consulta ambulatoria por médico especialista en traumatología y ortopedía</t>
  </si>
  <si>
    <t>CONSULTORIO DE TRAUMATOLOGIA y ORTOPEDIA</t>
  </si>
  <si>
    <t>Consulta ambulatoria por médico especialista en dermatología</t>
  </si>
  <si>
    <t>CONSULTORIO DE DERMATOLOGIA</t>
  </si>
  <si>
    <t>Consulta ambulatoria por médico especialista en endocrinología</t>
  </si>
  <si>
    <t>CONSULTORIO DE ENDOCRINOLOGIA</t>
  </si>
  <si>
    <t>Consulta ambulatoria por médico especialista en oncología</t>
  </si>
  <si>
    <t>CONSULTORIO DE ONCOLOGIA</t>
  </si>
  <si>
    <t>Consulta ambulatoria por médico especialista en neumología</t>
  </si>
  <si>
    <t>CONSULTORIO DE  NEUMOLOGIA</t>
  </si>
  <si>
    <t>Consulta ambulatoria por médico especialista en cardiología</t>
  </si>
  <si>
    <t>CONSULTORIO DE CARDIOLOGIA</t>
  </si>
  <si>
    <t>Consulta ambulatoria por médico especialista en neurología</t>
  </si>
  <si>
    <t>CONSULTORIO DE NEUROLOGIA</t>
  </si>
  <si>
    <t>Consulta ambulatoria por médico especialista en gastroenterología</t>
  </si>
  <si>
    <t>CONSULTORIO DE GASTROENTEROLOGIA</t>
  </si>
  <si>
    <t>Consulta ambulatoria por médico especialista en reumatología</t>
  </si>
  <si>
    <t>CONSULTORIO DE REUMATOLOGIA</t>
  </si>
  <si>
    <t>Consulta ambulatoria por médico especialista en psiquiatría</t>
  </si>
  <si>
    <t>CONSULTORIO DE PSIQUIATRIA</t>
  </si>
  <si>
    <t>Consulta ambulatoria por médico especialista en urología</t>
  </si>
  <si>
    <t>CONSULTORIO DE UROLOGIA</t>
  </si>
  <si>
    <t>Consulta ambulatoria por médico especialista en otorrinolaringología</t>
  </si>
  <si>
    <t>CONSULTORIO DE OTORRINOLARINGOLOGIA</t>
  </si>
  <si>
    <t>Consulta ambulatoria por médico especialista en medicina de rehabilitación</t>
  </si>
  <si>
    <t xml:space="preserve">CONSULTORIO DE MEDICINA DE REHABILITACION  </t>
  </si>
  <si>
    <t xml:space="preserve">Teleconsulta por médico especialista </t>
  </si>
  <si>
    <t xml:space="preserve">TELECONSULTORIO </t>
  </si>
  <si>
    <t>Teleconsulta en servicios subespecializados</t>
  </si>
  <si>
    <t>Atención ambulatoria por enfermera (o)</t>
  </si>
  <si>
    <t>Atencion ambulatoria diferenciada por profesional de la salud</t>
  </si>
  <si>
    <t>CONSEJERÍA Y PREVENCIÓN DE ENFERMEDADES NO TRANSMISIBLES</t>
  </si>
  <si>
    <t>Atención ambulatoria por profesional de la salud capacitado en salud mental</t>
  </si>
  <si>
    <t xml:space="preserve">CONSEJERIA EN   SALUD MENTAL </t>
  </si>
  <si>
    <t>Consulta ambulatoria por médico general capacitado en salud mental</t>
  </si>
  <si>
    <t>CONSULTORIO DE SALUD MENTAL</t>
  </si>
  <si>
    <t>Atención ambulatoria por psicólogo (a)</t>
  </si>
  <si>
    <t>CONSULTORIO DE PSICOLOGÍA</t>
  </si>
  <si>
    <t>Atención ambulatoria por cirujano-dentista</t>
  </si>
  <si>
    <t xml:space="preserve">CONSULTORIO DE ODONTOLOGIA GENERAL  </t>
  </si>
  <si>
    <t xml:space="preserve">Atención ambulatoria por nutricionista </t>
  </si>
  <si>
    <t>Atención de procedimientos ambulatorios en la especialidad de traumatología y ortopedia</t>
  </si>
  <si>
    <t>SALA DE YESOS</t>
  </si>
  <si>
    <t>Atención de procedimientos ambulatorios en la especialidad de gastroenterología</t>
  </si>
  <si>
    <t>SALA DE ENDOSCOPIA DIGESTIVA ALTA</t>
  </si>
  <si>
    <t>SALA DE ENDOSCOPIA DIGESTIVA BAJA</t>
  </si>
  <si>
    <t>Atención de procedimientos ambulatorios en la especialidad de neumología</t>
  </si>
  <si>
    <t>SALA DE BRONCOSCOPIA</t>
  </si>
  <si>
    <t>Atención de procedimientos ambulatorios en la especialidad de cardiología</t>
  </si>
  <si>
    <t>SALA DE ELECTROCARDIOGRAFÍA</t>
  </si>
  <si>
    <t>SALA DE PRUEBA DE ESFUERZO</t>
  </si>
  <si>
    <t>SALA DE HOLTER Y MAPA</t>
  </si>
  <si>
    <t>SALA DE ECOCARDIOGRAFIA</t>
  </si>
  <si>
    <t>Atención de procedimientos ambulatorios en la especialidad de gineco-obstetra</t>
  </si>
  <si>
    <t>SALA DE MONITOREO FETAL</t>
  </si>
  <si>
    <t>SALA DE COLPOSCOPIA</t>
  </si>
  <si>
    <t>Atención de procedimientos ambulatorios en la especialidad de neurología</t>
  </si>
  <si>
    <t>SALA DE ELECTROENCEFALOGRAFIA</t>
  </si>
  <si>
    <t>SALA DE REFRACCION</t>
  </si>
  <si>
    <t>SALA DE PROCEDIMIENTOS DE OFTALMOLOGIA</t>
  </si>
  <si>
    <t>SALA DE CAMPIMETRÍA</t>
  </si>
  <si>
    <t>Atención de procedimientos ambulatorios en la especialidad de otorrinolarongología</t>
  </si>
  <si>
    <t>SALA DE AUDIOMETRIA</t>
  </si>
  <si>
    <t>SALA DE PROCEDIMIENTOS DE OTORRINOLARINGOLOGÍA</t>
  </si>
  <si>
    <t>Atención de procedimientos ambulatorios en la especialidad de urología</t>
  </si>
  <si>
    <t>SALA DE CISTOURETROSCOPIA</t>
  </si>
  <si>
    <t>Visita domiciliaria por profesional de la salud no médico (obst)</t>
  </si>
  <si>
    <t>SALA DE ATENCIÓN EXTRAMURAL</t>
  </si>
  <si>
    <t>Visita domiciliaria por profesional de la salud no médico (enf)</t>
  </si>
  <si>
    <t xml:space="preserve">Visita domiciliaria por médico especialista en medicina familiar </t>
  </si>
  <si>
    <t>Atención de urgencias y emergencias</t>
  </si>
  <si>
    <t>TOPICO DE URGENCIAS Y EMERGENCIAS</t>
  </si>
  <si>
    <t xml:space="preserve">Atención de inyectables y nebulizaciones </t>
  </si>
  <si>
    <t>SALA DE REHIDRATACIÓN Y NEBULIZACIÓN</t>
  </si>
  <si>
    <t xml:space="preserve">Atención de urgencias y emergencias por médico especialista de medicina interna </t>
  </si>
  <si>
    <t>TÓPICO DE MEDICINA</t>
  </si>
  <si>
    <t>Tópico</t>
  </si>
  <si>
    <t>Atención en Sala de Observación de Emergencia</t>
  </si>
  <si>
    <t xml:space="preserve">SALA DE OBSERVACIÓN DE MEDICINA </t>
  </si>
  <si>
    <t>Cama de observación</t>
  </si>
  <si>
    <t>Atención de urgencias y emergencias por médico especialista de pediatría</t>
  </si>
  <si>
    <t>TÓPICO DE PEDIATRÍA</t>
  </si>
  <si>
    <t>SALA DE OBSERVACIÓN DE PEDIATRÍA</t>
  </si>
  <si>
    <t>Atención de urgencias y emergencias por médico especialista en gineco-obstetricia</t>
  </si>
  <si>
    <t>TÓPICO DE GÍNECO-OBSTETRICIA</t>
  </si>
  <si>
    <t>SALA DE OBSERVACIÓN DE GÍNECO-OBSTETRICIA</t>
  </si>
  <si>
    <t>Atención de urgencias y emergencias por médico especialista de cirugía general</t>
  </si>
  <si>
    <t>TÓPICO DE CIRUGÍA</t>
  </si>
  <si>
    <t>Tópicos</t>
  </si>
  <si>
    <t>SALA DE OBSERVACIÓN DE CIRUGÍA</t>
  </si>
  <si>
    <t>Atención de urgencias y emergencias por médico especialista de traumatología y ortopedia</t>
  </si>
  <si>
    <t>TÓPICO DE TRAUMATOLOGÍA</t>
  </si>
  <si>
    <t>SALA DE OBSERVACIÓN DE TRAUMATOLOGÍA</t>
  </si>
  <si>
    <t>Atención en Unidad de Vigilancia Intensiva</t>
  </si>
  <si>
    <t xml:space="preserve">UNIDAD DE VIGILANCIA INTENSIVA </t>
  </si>
  <si>
    <t>Atención de la gestante en periodo de parto</t>
  </si>
  <si>
    <t>Atención del Parto Vaginal por médico general y obstetra</t>
  </si>
  <si>
    <t>Atención de parto vaginal por médico especialista en ginecología y obstetricia, y por obstetra</t>
  </si>
  <si>
    <t>SALA MULTI FUNCIONAL (sin internamiento)</t>
  </si>
  <si>
    <t>SALA MULTI FUNCIONAL (con internamiento)</t>
  </si>
  <si>
    <t>Centro Quirúrgico</t>
  </si>
  <si>
    <t xml:space="preserve">Intervenciones quirúrgicas por médico especialista en cirugía general </t>
  </si>
  <si>
    <t xml:space="preserve">SALA DE OPERACIONES DE CIRUGIA GENERAL </t>
  </si>
  <si>
    <t>Atencion del paciente post operado en el área de observacion de cirugia ambulatoria</t>
  </si>
  <si>
    <t>SALA DE CIRUGIA AMBULATORIA</t>
  </si>
  <si>
    <t xml:space="preserve">Intervenciones quirúrgicas por médico especialista en ginecología y obstetricia </t>
  </si>
  <si>
    <t>SALA DE OPERACIONES DE GINECOLOGÍA Y OBSTETRICIA</t>
  </si>
  <si>
    <t>GINECOLOGICAS</t>
  </si>
  <si>
    <t>OBSTETRICAS</t>
  </si>
  <si>
    <t>LEGRADOS</t>
  </si>
  <si>
    <t>Intervenciones quirúrgicas por médico especialista de otorronolaringología</t>
  </si>
  <si>
    <t>SALA DE OPERACIONES DE OTORRINOLARINGOLOGÍA</t>
  </si>
  <si>
    <t>Intervenciones quirúrgicas por médico especialista de oftalmología</t>
  </si>
  <si>
    <t>SALA DE OPERACIONES DE OFTALMOLOGÍA</t>
  </si>
  <si>
    <t>Intervenciones quirúrgicas por médico especialista de urología</t>
  </si>
  <si>
    <t>SALA DE OPERACIONES DE UROLOGÍA</t>
  </si>
  <si>
    <t>Intervenciones quirúrgicas por médico especialista de traumatología y ortopedía</t>
  </si>
  <si>
    <t>SALA DE OPERACIONES DE TRAUMATOLOGÌA</t>
  </si>
  <si>
    <t>SALA DE INTERNAMIENTO</t>
  </si>
  <si>
    <t>Internamiento de adultos</t>
  </si>
  <si>
    <t>INTERNAMIENTO DE ADULTOS (VARONES, MUJERES, NIÑOS)</t>
  </si>
  <si>
    <t>Hospitalización de medicina interna</t>
  </si>
  <si>
    <t>HOSPITALIZACION DE MEDICINA (VARONES Y MUJERES)</t>
  </si>
  <si>
    <t>Hospitalización de cirugía general</t>
  </si>
  <si>
    <t>HOSPITALIZACION DE CIRUGÍA (VARONES Y MUJERES)</t>
  </si>
  <si>
    <t>Internamiento de pediatría</t>
  </si>
  <si>
    <t>INTERNAMIENTO DE PEDIATRÍA</t>
  </si>
  <si>
    <t xml:space="preserve">Hospitalización de Ginecología y Obstetricía    </t>
  </si>
  <si>
    <t>HOSPITALIZACION DE GINECOLOGÍA Y OBSTETRICIA</t>
  </si>
  <si>
    <t>OBSTETRICIA - PARTO NORMAL</t>
  </si>
  <si>
    <t>OBSTETRICIA - CESAREA</t>
  </si>
  <si>
    <t>Monitoreo de gestantes con complicaciones</t>
  </si>
  <si>
    <t>SALA DE MONITOREO DE GESTANTES CON COMPLICACIONES</t>
  </si>
  <si>
    <t>Atención de observación del recien nacido y monitoreo del recien nacido con patologìa</t>
  </si>
  <si>
    <t>SALA DE MONITOREO DEL RECIEN NACIDO</t>
  </si>
  <si>
    <t>RN PATOLOGICO</t>
  </si>
  <si>
    <t>RN NORMAL O EN RIESGO</t>
  </si>
  <si>
    <t>Pruebas rápidas y toma de muestra</t>
  </si>
  <si>
    <t>Pruebas rapidas de laboratorio clínico y toma de muestras biológicas</t>
  </si>
  <si>
    <t>TOMA DE MUESTRAS Y PRUEBAS RAPIDAS</t>
  </si>
  <si>
    <t>Procedimientos de Laboratorio Clínico Tipos I-3 o I-4</t>
  </si>
  <si>
    <t>LABORATORIO CLÍNICO TIPO I-3</t>
  </si>
  <si>
    <t>CONSULTA + HOSPITALIZACION</t>
  </si>
  <si>
    <t>LABORATORIO CLÍNICO TIPO I-4</t>
  </si>
  <si>
    <t xml:space="preserve">CONSULTA </t>
  </si>
  <si>
    <t>Procedimientos de Laboratorio Clínico Tipo II-1</t>
  </si>
  <si>
    <t>LABORATORIO CLÍNICO TIPO II-1</t>
  </si>
  <si>
    <t>Procedimientos de Laboratorio Clínico de establecimientos de salud de atención especializada</t>
  </si>
  <si>
    <t>LABORATORIO CLÍNICO TIPO II-E</t>
  </si>
  <si>
    <t>Toma de muestras de tejidos o líquidos corporales</t>
  </si>
  <si>
    <t>RECEPCION Y ALMACENAMIENTO DE MUESTRAS DE ANATOMIA PATOLOGICA</t>
  </si>
  <si>
    <t xml:space="preserve">Anatomía Patológica </t>
  </si>
  <si>
    <t>Procedimientos de Anatomía Patológica en establecimientos de salud de atención especializada</t>
  </si>
  <si>
    <t>LABORATORIO DE ANATOMIA PATOLÓGICA</t>
  </si>
  <si>
    <t>Diagnóstico por Imágenes</t>
  </si>
  <si>
    <t>CONSULTA</t>
  </si>
  <si>
    <t>Radiología especializada</t>
  </si>
  <si>
    <t>SALA DE RADIOLOGIA ESPECIALZADA DIGITAL</t>
  </si>
  <si>
    <t>Ecografia general</t>
  </si>
  <si>
    <t xml:space="preserve">SALA DE ECOGRAFIA GENERAL </t>
  </si>
  <si>
    <t>Ecografía general y Dopler</t>
  </si>
  <si>
    <t xml:space="preserve">SALA DE ECOGRAFIA GENERAL Y DOPPLER </t>
  </si>
  <si>
    <t xml:space="preserve">SALA DE ECOGRAFÍA OBSTÉTRICA </t>
  </si>
  <si>
    <t xml:space="preserve">SALA DE ECOGRAFÍA ESPECIALIZADA </t>
  </si>
  <si>
    <t>SALA DE MAMOGRAFÍA</t>
  </si>
  <si>
    <t>Medicina Física y rehabilitación</t>
  </si>
  <si>
    <t>Atención de rehabilitación de discapacidades leves y moderadas mediante terapia física</t>
  </si>
  <si>
    <t>MEDICINA DE REHABILITACIÓN COMPLETA</t>
  </si>
  <si>
    <t>Nutrición y Dietética</t>
  </si>
  <si>
    <t xml:space="preserve">Evaluación nutricional en hospitalización   </t>
  </si>
  <si>
    <t>Soporte nutricional con regímenes dietéticos</t>
  </si>
  <si>
    <t xml:space="preserve">Soporte nutricional con fórmulas lácteas </t>
  </si>
  <si>
    <t xml:space="preserve">Soporte nutricional con fórmulas enterales </t>
  </si>
  <si>
    <t>Centro de hemoterapia y banco de sangre</t>
  </si>
  <si>
    <t>Provisión de unidades sangre y hemoderivados</t>
  </si>
  <si>
    <t>BANCO DE SANGRE (TIPO I)</t>
  </si>
  <si>
    <t>Atención con Medicamentos</t>
  </si>
  <si>
    <t>Expendio de medicamentos y Productos Sanitarios</t>
  </si>
  <si>
    <t>BOTIQUIN</t>
  </si>
  <si>
    <t>FARMACIA</t>
  </si>
  <si>
    <t>Desinfección y Esterilización</t>
  </si>
  <si>
    <t>DESINFECCIÓN Y ESTERILIZACIÓN</t>
  </si>
  <si>
    <t xml:space="preserve">Desinfección de nivel intermedio en Central de Esterilización </t>
  </si>
  <si>
    <t>CENTRAL DE ESTERILIZACIÓN</t>
  </si>
  <si>
    <t xml:space="preserve">Desinfección por medios físicos en Central de Esterilización </t>
  </si>
  <si>
    <t xml:space="preserve">Desinfección por medios químicos en Central de Esterilización </t>
  </si>
  <si>
    <t>Paso 1.2: Estimación del tiempo total de las prestaciones de salud según grupo ocupacional</t>
  </si>
  <si>
    <t>Sub-Paso 1.2.1: Estimación de tiempos para la entrega de
las prestaciones del segundo y tercer nivel de atención por grupo 
ocupacional</t>
  </si>
  <si>
    <t>Sub-Paso 1.2.2: Estimación de tiempos para la entrega de 
prestaciones de los servicios críticos</t>
  </si>
  <si>
    <t>OFERTA</t>
  </si>
  <si>
    <t xml:space="preserve">Medico Cirujano </t>
  </si>
  <si>
    <t>Medico Internista</t>
  </si>
  <si>
    <t>Medico Pediatra</t>
  </si>
  <si>
    <t>Cirujano General</t>
  </si>
  <si>
    <t>Medico Gineco Obstetra</t>
  </si>
  <si>
    <t>Medico Infectologo</t>
  </si>
  <si>
    <t>Medico Neumologo</t>
  </si>
  <si>
    <t>Medico Gastroenterologo</t>
  </si>
  <si>
    <t>Medico Cardiologo</t>
  </si>
  <si>
    <t>Medico Oftalmologo</t>
  </si>
  <si>
    <t>Medico Traumatólogo</t>
  </si>
  <si>
    <t>Medico Dermatólogo</t>
  </si>
  <si>
    <t>Medico Psiquiatra</t>
  </si>
  <si>
    <t>Medico Radiologo</t>
  </si>
  <si>
    <t>Psicologo</t>
  </si>
  <si>
    <t>Odontologo</t>
  </si>
  <si>
    <t>Tecnico Enfermeria</t>
  </si>
  <si>
    <t>Tecnologo Medico - Area Laboratorio</t>
  </si>
  <si>
    <t>Tecnologo Medico - Area Radiologia</t>
  </si>
  <si>
    <t xml:space="preserve">Tecnologo Medico - Area Medicina Fisica </t>
  </si>
  <si>
    <t>Médico Patologo Clínico</t>
  </si>
  <si>
    <t>Médico Anátomo Patologico</t>
  </si>
  <si>
    <t>Médico especialista en Medicina Física y Rehabilitación</t>
  </si>
  <si>
    <t>Quimico Farmaceutico</t>
  </si>
  <si>
    <t>Tecnico en Farmacia</t>
  </si>
  <si>
    <t>Tecnica en Nutricion</t>
  </si>
  <si>
    <t>Tecnico Laboratorio</t>
  </si>
  <si>
    <t>Técnico en Rayos X</t>
  </si>
  <si>
    <t>Tecnico en enfermeria</t>
  </si>
  <si>
    <t>SALA DE ENDOSCOPIA DIGESTIVA ALTA*</t>
  </si>
  <si>
    <t>SALA DE ENDOSCOPIA DIGESTIVA BAJA*</t>
  </si>
  <si>
    <t>SALA DE BRONCOSCOPIA**</t>
  </si>
  <si>
    <t>SALA DE ECOCARDIOGRAFIA***</t>
  </si>
  <si>
    <t>Atención de procedimientos ambulatorios en la especialidad de oftalmología</t>
  </si>
  <si>
    <t>Subtotal Demanda de Consulta Externa</t>
  </si>
  <si>
    <t>UPSS SALUD FAMILIAR Y COMUNITARIA</t>
  </si>
  <si>
    <t>Atención itinerante por equipo multidisciplinario o campañas de salud</t>
  </si>
  <si>
    <t>Subtotal Demanda deSalud familiar y Comunitaria</t>
  </si>
  <si>
    <t>UPSS EMERGENCIA</t>
  </si>
  <si>
    <t>SALA DE OBSERVACIÓN</t>
  </si>
  <si>
    <t>SALA DE OBSERVACIÓN DE MEDICINA</t>
  </si>
  <si>
    <t>Subtotal Demanda de Emergencia</t>
  </si>
  <si>
    <t>HORARIO DE ATENCIÓN DE EMERGENCIA</t>
  </si>
  <si>
    <t>AJUSTE HORARIO DE ATENCIÓN DE EMERGENCIA</t>
  </si>
  <si>
    <t>Subtotal Demanda de Centro Obstetrico</t>
  </si>
  <si>
    <t>HORARIO DE ATENCIÓN DE CENTRO OBSTETRICO</t>
  </si>
  <si>
    <t>AJUSTE HORARIO DE ATENCIÓN DE CENTRO OBSTETRICO</t>
  </si>
  <si>
    <t>UPSS CENTRO QUIRURGICO</t>
  </si>
  <si>
    <t>Subtotal Demanda de Centro Quirurgico</t>
  </si>
  <si>
    <t>HORARIO DE ATENCIÓN DE CENTRO QUIRURGICO</t>
  </si>
  <si>
    <t>AJUSTE HORARIO DE ATENCIÓN DE CENTRO QUIRURGICO</t>
  </si>
  <si>
    <t>UPSS HOSPITALIZACION</t>
  </si>
  <si>
    <t>Hospitalización de adultos</t>
  </si>
  <si>
    <t>HOSPITALIZACION DE ADULTOS (VARONES Y MUJERES)</t>
  </si>
  <si>
    <t>Subtotal Demanda de Internamiento</t>
  </si>
  <si>
    <t xml:space="preserve">INTERNAMIENTO </t>
  </si>
  <si>
    <t>HORARIO DE ATENCIÓN DE INTERNAMIENTO</t>
  </si>
  <si>
    <t>AJUSTE HORARIO DE ATENCIÓN DE INTERNAMIENTO</t>
  </si>
  <si>
    <t>Subtotal Demanda de Patologia Clinica de Emergencia</t>
  </si>
  <si>
    <t>HORARIO DE ATENCIÓN DE PATOLOGIA CLINICA DE EMERGENCIA</t>
  </si>
  <si>
    <t>AJUSTE HORARIO DE ATENCIÓN DE PATOLOGIA CLINICA DE EMERGENCIA</t>
  </si>
  <si>
    <t>UPSS DIAGNOSTICO POR IMÁGENES</t>
  </si>
  <si>
    <t>SALA DE RADIOLOGIA CONVENCIONAL SIMPLE</t>
  </si>
  <si>
    <t>Radiología convencional</t>
  </si>
  <si>
    <t>SALA DE RADIOLOGIA CONVENCIONAL COMPLETA</t>
  </si>
  <si>
    <t>Subtotal Demanda de Diagnostico por Imágenes</t>
  </si>
  <si>
    <t>HORARIO DE ATENCIÓN DE DIAGNOSTICO POR IMAGENES</t>
  </si>
  <si>
    <t>AJUSTE HORARIO DE ATENCIÓN DE DIAGNOSTICO POR IMÁGENES</t>
  </si>
  <si>
    <t>Subtotal Demanda de Diagnóstico por Imágenes</t>
  </si>
  <si>
    <t>UPSS MEDICINA FISICA Y REHABILITACION</t>
  </si>
  <si>
    <t>Subtotal Demanda de rehabilitación de discapacidades leves y moderadas mediante terapia física</t>
  </si>
  <si>
    <t>UPSS NUTRICION Y DIETETICA</t>
  </si>
  <si>
    <t xml:space="preserve">Subtotal Demanda de Soporte nutricional con fórmulas enterales </t>
  </si>
  <si>
    <t>UPSS CENTRO DE HEMOTERAPIA Y BANCO DE SANGRE</t>
  </si>
  <si>
    <t>Subtotal Demanda de Provisión de unidades sangre y hemoderivados</t>
  </si>
  <si>
    <t>Subtotal Demanda de Farmacia de Emergencia</t>
  </si>
  <si>
    <t>HORARIO DE ATENCIÓN DE FARMACIA DE EMERGENCIA</t>
  </si>
  <si>
    <t>AJUSTE HORARIO DE ATENCIÓN DE FARMACIA DE EMERGENCIA</t>
  </si>
  <si>
    <t>UPSS CENTRAL DE ESTERILIZACIÓN</t>
  </si>
  <si>
    <t>Subtotal Demanda de Central de Esterilización</t>
  </si>
  <si>
    <t>Estimación del tiempo total de las prestaciones de salud según grupo ocupacional</t>
  </si>
  <si>
    <t>Profesional Principal</t>
  </si>
  <si>
    <t>Profesional 2 (Tecnico Asistencial)</t>
  </si>
  <si>
    <t>Profesional 3  (Enfermera)</t>
  </si>
  <si>
    <t>Profesional 4 (Obstetra)</t>
  </si>
  <si>
    <t>Profesional 5 (Anestesiologo)</t>
  </si>
  <si>
    <t xml:space="preserve">Tiempo estimado </t>
  </si>
  <si>
    <t xml:space="preserve">Ratio de productividad </t>
  </si>
  <si>
    <t>Fuente</t>
  </si>
  <si>
    <t>Unidad de Medida</t>
  </si>
  <si>
    <t>Valor Referencial</t>
  </si>
  <si>
    <t>Minutos</t>
  </si>
  <si>
    <t>R.M.N° 442 - 2014/MINSA</t>
  </si>
  <si>
    <t>Ministerio de Salud. Dirección General de Salud de las Personas. Documento magnético “Matriz de Costos de Procedimientos Médicos” 2009</t>
  </si>
  <si>
    <t>Lineamientos de Programacion de Prestaciones de Salud 2013</t>
  </si>
  <si>
    <t>Resolución de Oficina Central de Planificación y Desarrollo Nº 015-OCPD-ESSALUD-2007</t>
  </si>
  <si>
    <t>Definiciones Operacionales y Criterios de Programacion 2013</t>
  </si>
  <si>
    <t xml:space="preserve">EsSalud. Reporte final del proceso de estimación de costos de procedimientos médicos seleccionados, 2011. </t>
  </si>
  <si>
    <t>Hospitalización de pediatría</t>
  </si>
  <si>
    <t>HOSPITALIZACION DE PEDIATRÍA</t>
  </si>
  <si>
    <t>Ministerio de Salud. Dirección General de Salud de las Personas. Documento magnético “Matriz de Costos de Procedimientos Médicos” 2010</t>
  </si>
  <si>
    <t>Ministerio de Salud. Dirección General de Salud de las Personas. Documento magnético “Matriz de Costos de Procedimientos Médicos” 2011</t>
  </si>
  <si>
    <t>Ministerio de Salud. Dirección General de Salud de las Personas. Documento magnético “Matriz de Costos de Procedimientos Médicos” 2012</t>
  </si>
  <si>
    <t>Evaluación y soporte nutricional en hospitalización</t>
  </si>
  <si>
    <t>ASEGURA</t>
  </si>
  <si>
    <t>EsSalud. Oficina Central de Planificación y Desarrollo. Gerencia de Planeamiento y Evaluación de Inversiones</t>
  </si>
  <si>
    <t>DESINFECCIÓN Y ESTERILIZACIÓN *</t>
  </si>
  <si>
    <t>CENTRAL DE ESTERILIZACIÓN *</t>
  </si>
  <si>
    <t>UPSS / Actividad</t>
  </si>
  <si>
    <t>grupo de personas</t>
  </si>
  <si>
    <t>Consulta ambulatoria por Obstetriz</t>
  </si>
  <si>
    <t>LINEAMIENTOS 2014 ESSALUD</t>
  </si>
  <si>
    <t>DIAS DE ESTANCIA</t>
  </si>
  <si>
    <t>Día-estancia</t>
  </si>
  <si>
    <t>INTERNAMIENTO DE ADULTOS (VARONES Y MUJERES)</t>
  </si>
  <si>
    <t>Internamiento de medicina interna</t>
  </si>
  <si>
    <t>INTERNAMIENTO DE MEDICINA (VARONES Y MUJERES)</t>
  </si>
  <si>
    <t>Internamiento de cirugía general</t>
  </si>
  <si>
    <t>INTERNAMIENTO DE CIRUGÍA (VARONES Y MUJERES)</t>
  </si>
  <si>
    <t>Estimación de tiempos de participación de cada grupo ocupacional en la realización de intervenciones quirúrgicas en el II Nivel</t>
  </si>
  <si>
    <t>Intervenciones quirúrgicas</t>
  </si>
  <si>
    <t>Enfermera instrumentista</t>
  </si>
  <si>
    <t>Enfermera asistente de quirófano</t>
  </si>
  <si>
    <t>Tiempo total Enfermera</t>
  </si>
  <si>
    <t>Técnico Asistencial de Salud</t>
  </si>
  <si>
    <t>Tiempo total (min)</t>
  </si>
  <si>
    <t>Tiempo (min)</t>
  </si>
  <si>
    <t>Cirugía general</t>
  </si>
  <si>
    <t>Cirugía mayor de Alta complejidad (A)</t>
  </si>
  <si>
    <t>Cirugía mayor de Mediana complejidad (B)</t>
  </si>
  <si>
    <t xml:space="preserve">Cirugía mayor de Baja complejidad (C) </t>
  </si>
  <si>
    <t>Cirugía menor de alto requerimiento (D)</t>
  </si>
  <si>
    <t>Traumatología y Ortopedia</t>
  </si>
  <si>
    <t>Atención de Emergencia</t>
  </si>
  <si>
    <t>Atención en Tópico de Medicina interna</t>
  </si>
  <si>
    <t>Prioridad I: Gravedad súbita extrema</t>
  </si>
  <si>
    <t>Prioridad II: Urgencia mayor</t>
  </si>
  <si>
    <t>Prioridad III: Urgencia menor</t>
  </si>
  <si>
    <t>Prioridad IV: Patología aguda común</t>
  </si>
  <si>
    <t>PROMEDIO</t>
  </si>
  <si>
    <t>Atención en Tópico de GinecoObstetricia</t>
  </si>
  <si>
    <t>Atención en Tópico de Cirugía General</t>
  </si>
  <si>
    <t xml:space="preserve">Atención en Tópico de  Pediatría </t>
  </si>
  <si>
    <t>1.        Resolución de Oficina Central de Planificación y Desarrollo Nº 015-OCPD-ESSALUD-2007. Indicadores de Referencia de Rendimientos Médicos Laborales. Abril 2007</t>
  </si>
  <si>
    <t xml:space="preserve">2.        Estimado a partir de la relación establecida en la Matriz de Costos de Procedimientos Médicos entre el Médico, Enfermera, Obstetriz y Técnico de Salud. </t>
  </si>
  <si>
    <t>Resolucion de Oficina Central de Planificacion y Desarrollo N° 018-OCDP-ESSLUD-2007. Gerencia de Planemiento Corporativo. Subgerencia de Programacion de Recursos Humanos</t>
  </si>
  <si>
    <t>Hemodialisis</t>
  </si>
  <si>
    <t>4 Sillones de Hemodialisis x Enfermera</t>
  </si>
  <si>
    <t xml:space="preserve">Sala de Re Uso </t>
  </si>
  <si>
    <t>1 Enfermera x Turno 6 horas</t>
  </si>
  <si>
    <t>Sala de Procedimientos</t>
  </si>
  <si>
    <t>DIPAC</t>
  </si>
  <si>
    <t>1 Enfermera x 25 Pacientes</t>
  </si>
  <si>
    <t>Unidad de Terapia del Dolor</t>
  </si>
  <si>
    <t>04 Camillas Ocupadas x 1 Enfermer x Turno 6 horas</t>
  </si>
  <si>
    <t>Recuperacion SOP</t>
  </si>
  <si>
    <t>6 Camas Ocupadas x 1 Enfermera</t>
  </si>
  <si>
    <t xml:space="preserve">Enfermeras </t>
  </si>
  <si>
    <t>Grado 
Dependencia</t>
  </si>
  <si>
    <t>Indice de Atención
 de Enfermería</t>
  </si>
  <si>
    <t>Tecnico</t>
  </si>
  <si>
    <t>Hospitalizacion</t>
  </si>
  <si>
    <t>II</t>
  </si>
  <si>
    <t>Intermedios</t>
  </si>
  <si>
    <t>III</t>
  </si>
  <si>
    <t>IV</t>
  </si>
  <si>
    <t>Recuperación</t>
  </si>
  <si>
    <t>V</t>
  </si>
  <si>
    <t>Índice de Atención</t>
  </si>
  <si>
    <t>Promedio de días del mes</t>
  </si>
  <si>
    <t>Horas de Trabajo mensual</t>
  </si>
  <si>
    <t>% para cubrir ausentismo</t>
  </si>
  <si>
    <t>Total Requerimiento personal</t>
  </si>
  <si>
    <t>Técnico</t>
  </si>
  <si>
    <t>Normas de Gestion de la Calidad del Cuidado Enfermero 2008</t>
  </si>
  <si>
    <t>Requerimiento Médicos Intensivistas</t>
  </si>
  <si>
    <t>Estandar</t>
  </si>
  <si>
    <t>Horas Requeridas</t>
  </si>
  <si>
    <t>Horas Disponibles</t>
  </si>
  <si>
    <t>N° de médicos necesarios para cubrir 24 horas</t>
  </si>
  <si>
    <t>N° de camas</t>
  </si>
  <si>
    <t>Relación cama médico</t>
  </si>
  <si>
    <t>N° de médicos</t>
  </si>
  <si>
    <t>Area de Cuidados Intensivos</t>
  </si>
  <si>
    <t>01 médico por 06 camas</t>
  </si>
  <si>
    <t>Area de Cuidados Intermedios</t>
  </si>
  <si>
    <t>01 médico por 08 camas</t>
  </si>
  <si>
    <t>Estandar cuidados intensivos:</t>
  </si>
  <si>
    <t>R.M. N° 489-2005/MINSA que aprueba Norma Técnica N° 031-MINSA/DGSP-V.01 Norma Técnica de los Servicios de Cuidados Intensivos e Intermedios</t>
  </si>
  <si>
    <t xml:space="preserve">Estandar cuidados intermedios: </t>
  </si>
  <si>
    <t>Documento de Trabajo de la Guía para el equipo operativo de categorización - DGSP</t>
  </si>
  <si>
    <t>Resolución de Gerencia General N° 217-GG-ESSALUD-2009 que aprueba la Directiva N° 002-GG-ESSALUD-2009 Normas para elaborar la programación asistencial de los trabajadores de salud profesionales y no profesionales, en los centros asistenciales del Seguro Social de Salud - ESSALUD</t>
  </si>
  <si>
    <t xml:space="preserve">* CENTRAL DE ESTERILIZACIÓN </t>
  </si>
  <si>
    <t>PMA</t>
  </si>
  <si>
    <t>Total de Enfermeras</t>
  </si>
  <si>
    <t>Total Tecnicas</t>
  </si>
  <si>
    <t>turno Horas</t>
  </si>
  <si>
    <t xml:space="preserve"> Ambiente</t>
  </si>
  <si>
    <t>Ambientes</t>
  </si>
  <si>
    <t>6 hrs</t>
  </si>
  <si>
    <t>12 hrs</t>
  </si>
  <si>
    <t>Roja</t>
  </si>
  <si>
    <t>Verde</t>
  </si>
  <si>
    <t>Azul</t>
  </si>
  <si>
    <t>Suministro</t>
  </si>
  <si>
    <t>Turno Noche</t>
  </si>
  <si>
    <t>Central de Esteriliación</t>
  </si>
  <si>
    <t>FUENTE: Essalud Ratios de Producción de Enfermeria</t>
  </si>
  <si>
    <t>RECUPERACION  DE CENTRO QUIRÚRGICO</t>
  </si>
  <si>
    <t>Criterio de Programación de Enfermera(o)s</t>
  </si>
  <si>
    <t>Enfermera(o)s : 1 Enf. X  6 camas X N° Hrs (12)  X N° dias en el mes(25)  / 150 Hrs  + 20% Ausentismo</t>
  </si>
  <si>
    <t>Enfermera(o)s : 1 Enf. X  6 camas X N° Hrs (24) X N° dias en el mes (30.5)  / 150 Hrs  + 20% Ausentismo</t>
  </si>
  <si>
    <t>N° Hrs</t>
  </si>
  <si>
    <t>Dias/mes</t>
  </si>
  <si>
    <t>Hrs /Enf/mes</t>
  </si>
  <si>
    <t>subtotal</t>
  </si>
  <si>
    <t>20% Ausentismo</t>
  </si>
  <si>
    <t>total</t>
  </si>
  <si>
    <t>GRAL</t>
  </si>
  <si>
    <t xml:space="preserve">Criterio de Programación Tecnicos en Enfermería </t>
  </si>
  <si>
    <t>Tec. Enf : 0.1 TE. X  cama X N° Hrs (24) X N° dias en el mes(30.5)  / 150 Hrs  + 20% Ausentismo</t>
  </si>
  <si>
    <t>Tec. Enf : 01 TE. X cama X N° Hrs (12) X N° dias en el mes(25)  / 150 Hrs  + 20% Ausentismo</t>
  </si>
  <si>
    <t>1 x 10</t>
  </si>
  <si>
    <t>Grupo ocupacional</t>
  </si>
  <si>
    <t>Medico Especialista Dermatologia</t>
  </si>
  <si>
    <t>Médico Radiólogo</t>
  </si>
  <si>
    <t>Tecnólogo Medico -  Área Rehabilitación</t>
  </si>
  <si>
    <t>Técnico en RAYOS X</t>
  </si>
  <si>
    <t>Paso 1.3: Estimación de tiempos totales para actividades asistenciales y no asistenciales por grupo ocupacional</t>
  </si>
  <si>
    <t>Sub-Paso 1.3.1: Estimación de la necesidad de RHUS</t>
  </si>
  <si>
    <t>Carga laboral</t>
  </si>
  <si>
    <t>Act. Asist.</t>
  </si>
  <si>
    <t>Act. NO Asist.</t>
  </si>
  <si>
    <t>Técnico en rayos x</t>
  </si>
  <si>
    <t>Horas</t>
  </si>
  <si>
    <t>INTERVALOS DE REDONDEO</t>
  </si>
  <si>
    <t>Sub-Paso 1.3.2: Estimación exacta de las necesidades de RHUS por grupo ocupacional</t>
  </si>
  <si>
    <t>Médico Especialista en Medicina Familiar y Comunitaria</t>
  </si>
  <si>
    <t>Medicina Especialista en Medicina Interna</t>
  </si>
  <si>
    <t>Médico Especialista en Pediatra</t>
  </si>
  <si>
    <t>Medico Especialista en Cirugía General</t>
  </si>
  <si>
    <t>Médico Especialista en Anestesiología</t>
  </si>
  <si>
    <t>Médico Especialista en Traumatología y Ortopedia</t>
  </si>
  <si>
    <t>Médico Especialista en Ginecología y Obstetricia</t>
  </si>
  <si>
    <t>Médico Especialista en Oftalmología</t>
  </si>
  <si>
    <t>Médico Especialista en Dermatologia</t>
  </si>
  <si>
    <t>Médico Especialista en Psiquiatría</t>
  </si>
  <si>
    <t>Médico Especialista en Radiología</t>
  </si>
  <si>
    <t>Tecnólogo Medico en Radiología</t>
  </si>
  <si>
    <t>Tecnólogo Medico en Terapia Fisica y Rehabilitación</t>
  </si>
  <si>
    <t>Tecnólogo Medico en Laboratorio Clinico y Anatomia Patologica</t>
  </si>
  <si>
    <t>Técnico en Rayos x</t>
  </si>
  <si>
    <t>REDONDEAR</t>
  </si>
  <si>
    <t>TOTAL ASISTENCIAL</t>
  </si>
  <si>
    <t>Administrativos</t>
  </si>
  <si>
    <t>UPSS Administración</t>
  </si>
  <si>
    <t>Jefatura / Dirección</t>
  </si>
  <si>
    <t>Secretaria+Archivo</t>
  </si>
  <si>
    <t>Jefe de Administración</t>
  </si>
  <si>
    <t>Jefe RR.HH</t>
  </si>
  <si>
    <t>Secretaria</t>
  </si>
  <si>
    <t>UPSS Consulta Externa</t>
  </si>
  <si>
    <t>RENIEC</t>
  </si>
  <si>
    <t>UPSS Patología Clínica</t>
  </si>
  <si>
    <t>Recepción de Muestra y Entrega de Muestra</t>
  </si>
  <si>
    <t>UPSS Gestión de la Información</t>
  </si>
  <si>
    <t>Estadistica</t>
  </si>
  <si>
    <t>UPSS Transportes</t>
  </si>
  <si>
    <t>Choferes</t>
  </si>
  <si>
    <t>UPSS Complemetarias</t>
  </si>
  <si>
    <t>Lavandería</t>
  </si>
  <si>
    <t>Mantenimiento y Conservación</t>
  </si>
  <si>
    <t>Salud Ambiental y Ocupacional</t>
  </si>
  <si>
    <t>Vigilancia</t>
  </si>
  <si>
    <t>Area de Limpieza  QX</t>
  </si>
  <si>
    <t>TOTAL ADMINISTRATIVOS</t>
  </si>
  <si>
    <t>Momento  2: Determinación de la Disponibilidad de RHUS</t>
  </si>
  <si>
    <t xml:space="preserve">Paso 2.1: Acopio y organización de la información de los RHUS disponibles por grupo ocupacional </t>
  </si>
  <si>
    <t>Paso 2.2: Validación de la información de los RHUS disponibles por grupo</t>
  </si>
  <si>
    <t>SERUMS</t>
  </si>
  <si>
    <t>Personal de la salud Asistencial</t>
  </si>
  <si>
    <t>Médico Dermatologo</t>
  </si>
  <si>
    <t>Técnico en Terapia Física y Rehabilitación</t>
  </si>
  <si>
    <t>Personal  Administrativo</t>
  </si>
  <si>
    <t>Momento 3: Cálculo de la Brecha de RHUS</t>
  </si>
  <si>
    <t>Paso 3.1: Estimación de la brecha y ratio de carga de trabajo por grupo ocupacional para los servicios asistenciales del segundo y tercer nivel de atención</t>
  </si>
  <si>
    <t>Necesidad</t>
  </si>
  <si>
    <t xml:space="preserve">Area de Limpieza </t>
  </si>
  <si>
    <t>Disponibilidad</t>
  </si>
  <si>
    <t xml:space="preserve">Area de Limpieza  </t>
  </si>
  <si>
    <t>O-D=B</t>
  </si>
  <si>
    <t xml:space="preserve">Especialista en redes,soporte informatico y/o estadistico </t>
  </si>
  <si>
    <t>Medico Anestesiologo</t>
  </si>
  <si>
    <t>CASOS NUEVOS DE PERSONAS CON DIAGNÓSTICO VIH -SIDA AÑO</t>
  </si>
  <si>
    <t>POBLACIÓN DEL EE.SS</t>
  </si>
  <si>
    <t xml:space="preserve">CASOS NUEVOS DE PERSONAS CON DIAGNÓSTICO TBC AÑO </t>
  </si>
  <si>
    <t xml:space="preserve">CASOS NUEVOS Y CONTINUADORES CON DX. TBC AÑO </t>
  </si>
  <si>
    <t>CASOS NUEVOS Y CONTINUADORES CON DX. VIH-SIDA AÑO</t>
  </si>
  <si>
    <t>Habitacion de 2 Camas</t>
  </si>
  <si>
    <t>SALA DE ECOGRAFIA OBSTETRICA</t>
  </si>
  <si>
    <t>SALA DE ECOGRAFIA GENERAL</t>
  </si>
  <si>
    <t>DISTRITO/ PROVINCIA/ DEPARTAMENTO:</t>
  </si>
  <si>
    <t>GUIA PARA EL LLENADO DEL FORMATO</t>
  </si>
  <si>
    <t>a)</t>
  </si>
  <si>
    <t>Criterio de Cantidad</t>
  </si>
  <si>
    <t xml:space="preserve"> - Priorizar el equipo biomédico o mobiliario que garantiza la prestación del servicio de salud:</t>
  </si>
  <si>
    <t>No aplica</t>
  </si>
  <si>
    <t>Mobiliario médico (Cama)</t>
  </si>
  <si>
    <t>CENTRO OBSTÉTRICO</t>
  </si>
  <si>
    <t>Mobiliario médico  (Cama)</t>
  </si>
  <si>
    <t>CENTRO QUIRÚRGICO</t>
  </si>
  <si>
    <t>Equipo biomédico  (Máquina de Anestesia)</t>
  </si>
  <si>
    <t>UVI</t>
  </si>
  <si>
    <t>Equipo biomédico (Ventilador mecánico, monitor de funciones)</t>
  </si>
  <si>
    <t>APOYO AL DIAGNÓSTICO Y TRATAMIENTO</t>
  </si>
  <si>
    <t>Equipo biomédico del ambiente (Imagenología: Mamógrafo, Ecógrafo, Rayos x, etc.; Laboratorio Clinico: Centrifuga + Microscopio; Anatomía Patológica: Microtomo + Microscopio)</t>
  </si>
  <si>
    <t>SERVICIO DE SALUD</t>
  </si>
  <si>
    <t>Equipo biomédico del ambiente (Endoscopio, Broncoscopio, Espirómetro, Ecocardiografía, Colposcopio, etc)</t>
  </si>
  <si>
    <t xml:space="preserve"> - Considerar el estándar de producción del ambiente (U. M. Atenciones)</t>
  </si>
  <si>
    <t>b)</t>
  </si>
  <si>
    <t>Criterio de Calidad</t>
  </si>
  <si>
    <t>Utilizar las condiciones establecidas por DGIEM para considerar el equipamiento como recuperable o no.</t>
  </si>
  <si>
    <t>c)</t>
  </si>
  <si>
    <t>Seleccionar aquella producción óptima del equipo biomédico o mobiliario de menor valor.</t>
  </si>
  <si>
    <t>Nota: Para la evaluación de este ítem se debe adjuntar una copia del Informe de Evaluación de Equipamiento validado por la OPI-MINSA.</t>
  </si>
  <si>
    <t>DISTRITO / PROVINCIA /DEPARTAMENTO:</t>
  </si>
  <si>
    <t>AMBIENTE</t>
  </si>
  <si>
    <t xml:space="preserve">CRITERIO DE CANTIDAD </t>
  </si>
  <si>
    <t>CRITERIO DE CALIDAD</t>
  </si>
  <si>
    <t>OFERTA OPTIMIZADA DE EQUIPAMIENTO     D = (A) * (B) * ( C)</t>
  </si>
  <si>
    <t>CANTIDAD ACTUAL (A)</t>
  </si>
  <si>
    <t>VALOR REFERENCIAL DEL VOLUMEN DE PRODUCCIÓN OPTIMIZADA DEL AMBIENTE (B)</t>
  </si>
  <si>
    <t xml:space="preserve">BUENO </t>
  </si>
  <si>
    <t xml:space="preserve">REGULAR </t>
  </si>
  <si>
    <t>MALO</t>
  </si>
  <si>
    <t>RESULTADO (C)</t>
  </si>
  <si>
    <t>RECUPERABLE</t>
  </si>
  <si>
    <t>NO RECUPERABLE</t>
  </si>
  <si>
    <t>Valor = 1</t>
  </si>
  <si>
    <t>Valor = 0</t>
  </si>
  <si>
    <t>URGENCIAS Y EMERGENCIAS</t>
  </si>
  <si>
    <t>TOPICO DE URGENCIAS Y EMERGENCIAS CON AMBIENTE DE OBSERVACIÓN + TOPICO DE EMERGENCIA OBSTETRICIA</t>
  </si>
  <si>
    <t>ASPIRADORA DE SECRECIONES</t>
  </si>
  <si>
    <t>EQUIPO NEBULIZADOR</t>
  </si>
  <si>
    <t>LARINGOSCOPIO PARA ADULTO CON HOJAS INTERCAMBIABLES</t>
  </si>
  <si>
    <t>OXIMETRO DE PULSOS</t>
  </si>
  <si>
    <t>OXIMETRO DE PULSOS DIGITAL</t>
  </si>
  <si>
    <t>PANTOSCOPIO PEDIATRICO</t>
  </si>
  <si>
    <t>COCHE METALICO PARA CURACIONES</t>
  </si>
  <si>
    <t>NEGATOSCOPIO DE 1 CUERPO</t>
  </si>
  <si>
    <t>PORTA SUERO METALICO RODABLE</t>
  </si>
  <si>
    <t>TENSIOMETRO ANEROIDE PARA ADULTO</t>
  </si>
  <si>
    <t>CAMIONETA PICK UP DOBLE CABINA 4X4</t>
  </si>
  <si>
    <t>MONITOR LED</t>
  </si>
  <si>
    <t>UNIDAD CENTRAL DE PROCESO - CPU</t>
  </si>
  <si>
    <t>SERVICIO DE INTERNAMIENTO VARONES, MUJERES Y NIÑOS</t>
  </si>
  <si>
    <t>CAMA CLINICA METALICA RODABLE</t>
  </si>
  <si>
    <t>MESA DE NOCHE DE METAL - VELADOR DE METAL</t>
  </si>
  <si>
    <t>ATENCIÓN DE GESTANTE EN PERIODO DE PARTO</t>
  </si>
  <si>
    <t>SALA DE PARTOS + AREA DE ATENCION DE RECIEN NACIDO + SALA DE DILATACION + SALA DE PUERPERIO</t>
  </si>
  <si>
    <t>PATOLOGÍA CLÍNICA</t>
  </si>
  <si>
    <t>LABORATORIO TIPO I-4</t>
  </si>
  <si>
    <t>CENTRIFUGA PARA 12 A 16 TUBOS</t>
  </si>
  <si>
    <t>HEMOGLOBINOMETRO PORTATIL</t>
  </si>
  <si>
    <t>MICROSCOPIO COMPUESTO BINOCULAR CON OPTICA AL INFINITO</t>
  </si>
  <si>
    <t>OFERTA OPTIMIZADA DE EQUIPAMIENTO</t>
  </si>
  <si>
    <t>EQUIPOS IMPORTANTES</t>
  </si>
  <si>
    <t xml:space="preserve">Medicina </t>
  </si>
  <si>
    <t>Gineco-Obstetricia</t>
  </si>
  <si>
    <t>Medicina Familiar</t>
  </si>
  <si>
    <t>Preventivo</t>
  </si>
  <si>
    <t>Teleconsultas</t>
  </si>
  <si>
    <t>Topico de Urgencia y Emergencia</t>
  </si>
  <si>
    <t>Atención de Gest. en Sala de Parto</t>
  </si>
  <si>
    <t>Internamiento de Varones</t>
  </si>
  <si>
    <t xml:space="preserve">Internamiento de Mujeres </t>
  </si>
  <si>
    <t>Internamiento de Niños</t>
  </si>
  <si>
    <t>Internamiento en Obstetricia-Parto Normal</t>
  </si>
  <si>
    <t>Ecografía Gineco obstetrica</t>
  </si>
  <si>
    <t>FORMATO N° : OFERTA OPTIMIZADA DE EQUIPAMIENTO</t>
  </si>
  <si>
    <t>Servicio de Salud Actual</t>
  </si>
  <si>
    <t>LIMPIEZA</t>
  </si>
  <si>
    <t>CE</t>
  </si>
  <si>
    <t>m2</t>
  </si>
  <si>
    <t>OFERTA OPTIMIZADA DE INFRAESTRUCTURA</t>
  </si>
  <si>
    <t>CS QUINCEMIL</t>
  </si>
  <si>
    <t xml:space="preserve"> CAMANTI /  QUISPICANCHI / CUSCO</t>
  </si>
  <si>
    <t>CRITERIO DE CANTIDAD</t>
  </si>
  <si>
    <t>ESTÁNDAR DE PRODUCCIÓN DEL AMBIENTE 
(C)</t>
  </si>
  <si>
    <t>OFERTA OPTIMIZADA DE INFRAESTRUCTURA
(D) = A*B*C</t>
  </si>
  <si>
    <t>CAPACIDAD ACTUAL
M2</t>
  </si>
  <si>
    <t>CAPACIDAD MÍNIMA REQUERIDA
M2</t>
  </si>
  <si>
    <t>BRECHA
M2</t>
  </si>
  <si>
    <t>CANTIDAD
AMBIENTES FISICOS
(A)</t>
  </si>
  <si>
    <t>Bajo</t>
  </si>
  <si>
    <t>Medio</t>
  </si>
  <si>
    <t>Alto</t>
  </si>
  <si>
    <t xml:space="preserve">GRADO DE SEGURIDAD DE AMBIENTE
</t>
  </si>
  <si>
    <t>CRITERIO DE DECISIÓN (B)</t>
  </si>
  <si>
    <t>VARIABLES EVAL. = 9</t>
  </si>
  <si>
    <t>GS &gt;= 0.63</t>
  </si>
  <si>
    <t>GS &lt; 0.63</t>
  </si>
  <si>
    <t>&gt; 0  - 0.5</t>
  </si>
  <si>
    <t>&gt;0.5 - 1</t>
  </si>
  <si>
    <t>- Si la brecha mayor o igual al 10% de la área requerida se considera cero "0" de ambiente físico.</t>
  </si>
  <si>
    <t>- Si la brecha es mayor o igual al area requerida se considera "1" de ambiente físico.</t>
  </si>
  <si>
    <t>- Se considera la sumatoria de las 09 variabes, las cuales con su respectivo peso (fijos) se multiplican por el grado de seguridad otorgado a las mismas.</t>
  </si>
  <si>
    <t>- El resultante me otorga el grado de seguridad total del ambiente.</t>
  </si>
  <si>
    <t xml:space="preserve">PESO DE LA VARIABLE </t>
  </si>
  <si>
    <t>GRADO DE SEGURIDAD</t>
  </si>
  <si>
    <t>RESULTANTE</t>
  </si>
  <si>
    <t xml:space="preserve">Materiales constructivos: Nivel de seguridad alto, si está construido con material convencional tipo ladrillo, concreto o madera; Nivel de seguridad Medio, si está contruido con material prefabricado no convencional; Nivel de seguridad bajo,si está construido con material ligero tipo adobe sin estabilizar, quincha y similares.  </t>
  </si>
  <si>
    <t>Antigüedad: Nivel de seguridad alto, de 8 a 15 años; Nivel de seguridad Medio, de 16 a 30 años; Nivel de seguridad bajo, mayor a 31 años de antigüedad</t>
  </si>
  <si>
    <t>Bioseguridad: Nivel de seguridad alto, si cuenta con barrera sanitaria; Nivel de seguridad Medio, si es factible de proponer su remodelación con el uso de barrera sanitaria; Nivel de seguridad bajo,si no es posible la inclusión de una barrera sanitaria.</t>
  </si>
  <si>
    <t>Pertinencia/Ubicación: Nivel de seguridad alto, si el ambiente corresponde a la UPSS normativa;  Nivel de seguridad Medio, si el ambiente no cumplen con los criterios de dimensión y ubicación normativos. Nivel de seguridad bajo,si el ambiente no corresponde a la UPSS normativa.</t>
  </si>
  <si>
    <t>Zonificación: Nivel de seguridad alto, si cuenta con las zonas y las dimensiones normativas; Nivel de seguridad Medio, si cuenta con las zonas pero las dimensiones no son normativas; Nivel de seguridad bajo,si no cuenta con las zonas normativas.</t>
  </si>
  <si>
    <t>Estado de Conservación: Nivel de seguridad alto, si recibió mantenimiento correctivo consecutivo en los últimos 5 años en puertas y ventanas, mobiliario fijo, pisos, muros, techos, lavatorios y/o artefactos eléctricos;  Nivel de seguridad Medio, si recibió eventualmente el mantenimiento correctivo en los últimos 10 años en puertas y ventanas, mobiliario fijo, pisos, muros, mobiliario fijo, techos, lavatorios y/o artefactos eléctricos; Nivel de seguridad bajo, si no recibió mantenimiento correctivo en los últimos 10 años.</t>
  </si>
  <si>
    <t>Confort: Nivel de seguridad alto, si las ventanas cumplen con los criterios de dimensión y ubicación normativos;  Nivel de seguridad Medio, si tiene ventilación forzada; Nivel de seguridad bajo, si las ventanas no cumplen con los criterios de dimensión y ubicación normativos.</t>
  </si>
  <si>
    <t xml:space="preserve">Espacios para personas con discapacidad: Cuenta con rampa de acceso y circulación peatonal, cuenta con SH diferenciados, cuenta con espacios para sillas de ruedas en consultorios, cuenta con barandas de apoyo; Nivel de seguridad alto, si cumple los 4 aspectos; Nivel de seguridad Medio, si cumple 3 aspectos; Nivel de seguridad bajo, si cumple al menos 2 aspectos.  </t>
  </si>
  <si>
    <t xml:space="preserve">Servicios generales: Tratamiento acústico en casa de fuerza, equipos mecánicos ubicados en exteriores protegidos, cuenta con cisternas diferenciadas, cuenta con sistema de evacuación pluvial (canaletas, montante y cunetas), cuenta con almacenes y/o talleres apropiados, cuenta con almacenamiento sin tratmiento de residuos sólidos; Nivel de seguridad alto, si cumple los 6 aspectos; Nivel de seguridad Medio, si cumple 4 ó 5 aspectos; Nivel de seguridad bajo, si cumple con 3 o menos.  </t>
  </si>
  <si>
    <t>PATOLOGIA CLINICA</t>
  </si>
  <si>
    <t>ATENCIÓN DE URGENCIAS Y EMERGENCIAS</t>
  </si>
  <si>
    <t>Se debe utilizar el estándar de producción del ambiente vigente establecido por DGSP-MINSA.</t>
  </si>
  <si>
    <t>Nota: Para la evaluación de este ítem se debe adjuntar una copia del Informe de Evaluación Arquitectónica Funcional validado por la OPI-MINSA.</t>
  </si>
  <si>
    <t>OFERTA OPTIMIZADA DE INFRAESTRUCURA</t>
  </si>
  <si>
    <t xml:space="preserve">Consulta ambulatoria por médico general </t>
  </si>
  <si>
    <t>SERVICIO DE SALUD PROYECTADA</t>
  </si>
  <si>
    <t>OFERTA OPTIMIZADA</t>
  </si>
  <si>
    <t>Ambiente de UPSS</t>
  </si>
  <si>
    <t>OFERTA OPTIMIZADA DE RECURSO HUMANO</t>
  </si>
  <si>
    <t xml:space="preserve">OFERTA OPTIMIZADA DEL SERVICIO  </t>
  </si>
  <si>
    <t>Rehabilitadora de discapacidades leves y moderadas</t>
  </si>
  <si>
    <t>PROYECCION DE LA OFERTA OPTIMIZADA</t>
  </si>
  <si>
    <t xml:space="preserve">BRECHA </t>
  </si>
  <si>
    <t>O-D</t>
  </si>
  <si>
    <t>Atenciones/Años</t>
  </si>
  <si>
    <t>D</t>
  </si>
  <si>
    <t>O</t>
  </si>
  <si>
    <t xml:space="preserve">Ecografía General  </t>
  </si>
  <si>
    <t>Sub Total</t>
  </si>
  <si>
    <t>BRECHA DE INFRAESTRUCTURA</t>
  </si>
  <si>
    <t>AREA  NETA EXISTENTE (M2)</t>
  </si>
  <si>
    <t>ÁREA MÍNIMA NORMATIVA NTS 113 (M2)</t>
  </si>
  <si>
    <t>BRECHA (M2)</t>
  </si>
  <si>
    <t>Consultorio de Promocion de la salud PROMSA</t>
  </si>
  <si>
    <t>UPS SERVICIOS GENERALES</t>
  </si>
  <si>
    <t>CADENA DE FRIO</t>
  </si>
  <si>
    <t>ALMACEN</t>
  </si>
  <si>
    <t>UPS COMPLEMENTARIAS</t>
  </si>
  <si>
    <t>SUM</t>
  </si>
  <si>
    <t>AMBIENTES DE CONFORT</t>
  </si>
  <si>
    <t>Dormitorio para gestante adulta - individual</t>
  </si>
  <si>
    <t>Dormitorio para gestante adulta - acompañada</t>
  </si>
  <si>
    <t>Dormitorio para getsante adolescente</t>
  </si>
  <si>
    <t>Sala</t>
  </si>
  <si>
    <t>Cocina - Comedor</t>
  </si>
  <si>
    <t>SS.HH. para gestantes</t>
  </si>
  <si>
    <t>SS.HH. para visitante</t>
  </si>
  <si>
    <t>Consultorio de Gineco Obstetricia 1</t>
  </si>
  <si>
    <t>Consultorio de Gineco Obstetricia 2</t>
  </si>
  <si>
    <t>Consultorio CRED (Crecimiento y Desarrollo) 2</t>
  </si>
  <si>
    <t>Infomes+Admision y citas</t>
  </si>
  <si>
    <t>Archivo Hsitorias clinicas</t>
  </si>
  <si>
    <t>Oficina de Seguros</t>
  </si>
  <si>
    <t>Referencias y Contrareferencias</t>
  </si>
  <si>
    <t>PROGRAMA MÉDICO ARQUITECTÓNICO</t>
  </si>
  <si>
    <t>DISTRITO / PROVINCIA / REGIÓN:</t>
  </si>
  <si>
    <t>ÁREA NORMATIVA (m2)</t>
  </si>
  <si>
    <t>ÁREA  RESULTANTE M2 (en planos)</t>
  </si>
  <si>
    <t>ÁREA TOTAL (m2)</t>
  </si>
  <si>
    <t>AMBIENTES PRESTACIONALES</t>
  </si>
  <si>
    <t>CONSULTORIO CRED (CRECIMIENTO Y DESARROLLO)</t>
  </si>
  <si>
    <t>ZONA DE ADMISIÓN</t>
  </si>
  <si>
    <t>HALL PÚBLICO</t>
  </si>
  <si>
    <t>INFORMES (1 módulo)</t>
  </si>
  <si>
    <t>ADMISIÓN Y CITAS</t>
  </si>
  <si>
    <t>CAJA (1 módulo)</t>
  </si>
  <si>
    <t>SEGUROS</t>
  </si>
  <si>
    <t>REFERENCIA Y CONTRARREFERENCIA</t>
  </si>
  <si>
    <t>ZONA ASISTENCIAL</t>
  </si>
  <si>
    <t xml:space="preserve">TRIAJE </t>
  </si>
  <si>
    <t>SERVICIOS HIGIÉNICOS PÚBLICOS DISCAPACITADOS Y/O GESTANTES</t>
  </si>
  <si>
    <t>ZONA DE APOYO CLÍNICO</t>
  </si>
  <si>
    <t>ALMACÉN INTERMEDIO DE RESIDUOS SÓLIDOS</t>
  </si>
  <si>
    <t>ZONA DE ATENCIÓN DIFERENCIADA</t>
  </si>
  <si>
    <t>SALA DE ESPERA</t>
  </si>
  <si>
    <t>TOMA DE MEDICAMENTOS</t>
  </si>
  <si>
    <t>ALMACEN DE MEDICAMENTOS</t>
  </si>
  <si>
    <t>ALMACEN DE VIVERES</t>
  </si>
  <si>
    <t>SERVICIOS HIGIÉNICOS PACIENTE VARONES - 1 Lavatorio / 1 Inodoro / 1 Urinario</t>
  </si>
  <si>
    <t>SERVICIOS HIGIÉNICOS PACIENTE MUJERES - 1 Lavatorio / 1 Inodoro</t>
  </si>
  <si>
    <t>SERVICIOS HIGIÉNICOS PERSONAL - 1 Lavatorio / 1 Inodoro</t>
  </si>
  <si>
    <t>TOMA DE MUESTRA (ESPUTO)</t>
  </si>
  <si>
    <t>APOYO TECNICO</t>
  </si>
  <si>
    <t>ÁREA RESULTANTE</t>
  </si>
  <si>
    <t>ÁREA DE CIRCULACIÓN Y MUROS</t>
  </si>
  <si>
    <t>ÁREA TOTAL UPSS CONSULTA EXTERNA</t>
  </si>
  <si>
    <t>TOMA DE MUESTRAS BIOLOGICAS</t>
  </si>
  <si>
    <t>LABORATORIO DE BIOQUIMICA</t>
  </si>
  <si>
    <t>ZONA PÚBLICA</t>
  </si>
  <si>
    <t>RECEPCIÓN DE MUESTRAS Y ENTREGA DE RESULTADOS</t>
  </si>
  <si>
    <t>ZONA DE PROCEDIMIENTOS ANALÍTICOS</t>
  </si>
  <si>
    <t>REGISTROS DE LABORATORIO CLÍNICO</t>
  </si>
  <si>
    <t>LAVADO Y DESINFECCIÓN</t>
  </si>
  <si>
    <t>DUCHA DE EMERGENCIA</t>
  </si>
  <si>
    <t>ALMACÉN DE INSUMOS</t>
  </si>
  <si>
    <t>ÁREA TOTAL UPSS PATOLOGIA CLINICA</t>
  </si>
  <si>
    <t>DISPENSACIÓN DE MEDICAMENTOS EN UPSS CONSULTA EXTERNA</t>
  </si>
  <si>
    <t xml:space="preserve">FARMACOVIGILANCIA Y TECNOVIGILANCIA </t>
  </si>
  <si>
    <t xml:space="preserve">DILUCIÓN Y ACONDICIONAMIENTO DE DESINFECTANTES </t>
  </si>
  <si>
    <t>ÁREA TOTAL UPSS FARMACIA</t>
  </si>
  <si>
    <t>PROMOCIÓN DE LA SALUD</t>
  </si>
  <si>
    <t>DEPÓSITO</t>
  </si>
  <si>
    <t>ÁREA TOTAL AADS SALUD FAMILIAR Y COMUNITARIA</t>
  </si>
  <si>
    <t>SALA DE PROCEDIMIENTOS DE ENFERMERIA</t>
  </si>
  <si>
    <t>BOTADERO</t>
  </si>
  <si>
    <t>ÁREA TOTAL AADS URGENCIAS Y EMERGENCIAS</t>
  </si>
  <si>
    <t>AADS GESTANTE EN PERIODO DE PARTO</t>
  </si>
  <si>
    <t>SALA DE PUERPERIO INMEDIATO -02 Camas / 1 Lavatorio / 1 Inodoro / 1 Ducha</t>
  </si>
  <si>
    <t>NO RESTRINGIDA</t>
  </si>
  <si>
    <t>CONTROL DE ACCESO</t>
  </si>
  <si>
    <t>LAVADO PARA PERSONAL ASISTENCIAL</t>
  </si>
  <si>
    <t>ESTAR DE PERSONAL</t>
  </si>
  <si>
    <t>CUARTO DE PRE LAVADO DE INSTRUMENTAL</t>
  </si>
  <si>
    <t>VESTIDOR DE GESTANTE</t>
  </si>
  <si>
    <t>SERVICIOS HIGIÉNICOS Y VESTIDORES PERSONAL HOMBRES - 1 Lavatorio / 1 Inodoro / 1 Urinario / 1 Vestidor</t>
  </si>
  <si>
    <t>SERVICIOS HIGIÉNICOS Y VESTIDORES PERSONAL MUJERES  - 1 Lavatorio / 1 Inodoro /  1 Vestidor</t>
  </si>
  <si>
    <t>ALMACÉN DE EQUIPOS Y MATERIALES</t>
  </si>
  <si>
    <t>CUARTO SEPTICO</t>
  </si>
  <si>
    <t>ÁREA TOTAL AADS GESTANTE EN PERIODO DE PARTO</t>
  </si>
  <si>
    <t>SALA DE INTERNAMIENTO VARONES - 02 Camas / 1 Lavatorio / 1 Inodoro / 1 Ducha</t>
  </si>
  <si>
    <t>SALA DE INTERNAMIENTO MUJERES - 02 Camas / 1 Lavatorio / 1 Inodoro / 1 Ducha</t>
  </si>
  <si>
    <t>SALA DE INTERNAMIENTO OBSTETRICO - 02 Camas / 1 Lavatorio / 1 Inodoro / 1 Ducha</t>
  </si>
  <si>
    <t>SALA DE INTERNAMIENTO NIÑOS - 02 Camas / 1 Lavatorio / 1 Inodoro / 1 Ducha</t>
  </si>
  <si>
    <t>ESTACIÓN DE ENFERMERAS - incluye trabajo sucio y limpio</t>
  </si>
  <si>
    <t>ESTACIONAMIENTO PARA CAMILLAS Y SILLAS DE RUEDAS</t>
  </si>
  <si>
    <t>ÁREA DE APOYO CLÍNICO</t>
  </si>
  <si>
    <t>ROPA LIMPIA</t>
  </si>
  <si>
    <t xml:space="preserve">ALMACEN DE EQUIPOS </t>
  </si>
  <si>
    <t xml:space="preserve">CUARTO DE LIMPIEZA </t>
  </si>
  <si>
    <t>ÁREA TOTAL AADS INTERNAMIENTO</t>
  </si>
  <si>
    <t>AADS ECOGRAFÍA Y RADIOLOGÍA</t>
  </si>
  <si>
    <t>SALA DE ECOGRAFIA GENERAL - incluye ss.hh. y vestidor de 3.45 m2</t>
  </si>
  <si>
    <t>PROCEDIMIENTOS</t>
  </si>
  <si>
    <t>VESTIDOR DEL PACIENTE EN SALA</t>
  </si>
  <si>
    <t>SALA DE IMPRESIÓN</t>
  </si>
  <si>
    <t>SALA DE LECTURA E INFORMES</t>
  </si>
  <si>
    <t>ENTREGA DE RESULTADOS</t>
  </si>
  <si>
    <t>AADS DESINFECCION Y ESTERILIZACIÓN</t>
  </si>
  <si>
    <t>ÁREA ROJA</t>
  </si>
  <si>
    <t>DESCONTAMINACIÓN Y LAVADO - inluye recepción de ropa y material contaminado</t>
  </si>
  <si>
    <t>ÁREA AZUL</t>
  </si>
  <si>
    <t>PREPARACION Y EMPAQUE</t>
  </si>
  <si>
    <t>ÁREA VERDE</t>
  </si>
  <si>
    <t>ESTERILIZACIÓN</t>
  </si>
  <si>
    <t>ALMACENAMIENTO DE MATERIAL ESTERILIZADO - inluye entrega de ropa y material esterilizado</t>
  </si>
  <si>
    <t>ÁREA TOTAL AADS DESINFECCION Y ESTERILIZACION</t>
  </si>
  <si>
    <t>DIRECCIÓN</t>
  </si>
  <si>
    <t xml:space="preserve">JEFATURA / DIRECCIÓN </t>
  </si>
  <si>
    <t>SECRETARÍA</t>
  </si>
  <si>
    <t xml:space="preserve">ARCHIVO </t>
  </si>
  <si>
    <t>SERVICIO HIGIÉNICO PERSONAL VARONES - 1 Lavatorio / 1 Inodoro / 1 Urinario</t>
  </si>
  <si>
    <t>SERVICIO HIGIÉNICO PERSONAL MUJERES  - 1 Lavatorio / 1 Inodoro</t>
  </si>
  <si>
    <t>ÁREA TOTAL UPS ADMINISTRACION</t>
  </si>
  <si>
    <t>UNIDAD BÁSICA I DE GESTIÓN DE LA INFORMACIÓN</t>
  </si>
  <si>
    <t>ESTADISTICA</t>
  </si>
  <si>
    <t>CUARTO DE INGRESO DE SERVICIOS I</t>
  </si>
  <si>
    <t xml:space="preserve">SALA DE TELECOMUNICACIONES II </t>
  </si>
  <si>
    <t>SALA DE EQUIPOS III</t>
  </si>
  <si>
    <t>CENTRAL DE VIGILANCIA Y SEGURIDAD I</t>
  </si>
  <si>
    <t>CENTRAL DE COMUNICACIONES II</t>
  </si>
  <si>
    <t>CENTRO DE COMPUTO II</t>
  </si>
  <si>
    <t>SOPORTE INFORMATICO</t>
  </si>
  <si>
    <t>ÁREA TOTAL UPS GESTION DE LA INFORMACION</t>
  </si>
  <si>
    <t>COCHERA PARA AMBULANCIA TERRESTRE TIPO II</t>
  </si>
  <si>
    <t>COCHERA DE MOVILIDAD TERRESTRE</t>
  </si>
  <si>
    <t>ESTAR DE CHOFERES - incluye ss.hh.</t>
  </si>
  <si>
    <t>ÁREA TOTAL UPS TRANSPORTE</t>
  </si>
  <si>
    <t>TABLERO GENERAL DE BAJA TENSIÓN</t>
  </si>
  <si>
    <t>SUB ESTACION ELÉCTRICA</t>
  </si>
  <si>
    <t>DEPOSITO PARA SAL Y CLORO</t>
  </si>
  <si>
    <t>SISTEMA CONTRAINCENDIO</t>
  </si>
  <si>
    <t>ÁREA TOTAL UPS CASA DE FUERZA</t>
  </si>
  <si>
    <t>ÁREA TOTAL UPS CADENA DE FRIO</t>
  </si>
  <si>
    <t>CENTRAL DE OXÍGENO</t>
  </si>
  <si>
    <t>CENTRAL DE VACÍO</t>
  </si>
  <si>
    <t>CENTRAL DE AIRE COMPRIMIDO MEDICINAL</t>
  </si>
  <si>
    <t>ÁREA TOTAL UPS CENTRAL DE GASES</t>
  </si>
  <si>
    <t>UPS ALM,ACEN</t>
  </si>
  <si>
    <t>ALMACÉN GENERAL</t>
  </si>
  <si>
    <t>ALMACEN DE MATERIALES DE ESCRITORIO</t>
  </si>
  <si>
    <t>ALMACEN DE MATERIALES DE LIMPIEZA</t>
  </si>
  <si>
    <t>ÁREA TOTAL UPS ALMACEN</t>
  </si>
  <si>
    <t>UPS LAVANDERÍA</t>
  </si>
  <si>
    <t>ZONA DE CONTROL Y RECEPCIÓN</t>
  </si>
  <si>
    <t>ENTREGA DE ROPA LIMPIA</t>
  </si>
  <si>
    <t>ZONA HÚMEDA</t>
  </si>
  <si>
    <t>RECEPCIÓN Y SELECCIÓN DE ROPA SUCIA</t>
  </si>
  <si>
    <t>CLASIFICACIÓN DE LA ROPA SUCIA</t>
  </si>
  <si>
    <t>ZONA SECA</t>
  </si>
  <si>
    <t>LAVADO Y CENTRIFUGADO</t>
  </si>
  <si>
    <t>SECADO Y PLANCHADO</t>
  </si>
  <si>
    <t>ALMACÉN DE ROPA LIMPIA</t>
  </si>
  <si>
    <t>ÁREA TOTAL UPS LAVANDERIA</t>
  </si>
  <si>
    <t>TALLER DE MANTENIMIENTO Y PINTURA</t>
  </si>
  <si>
    <t xml:space="preserve">DEPÓSITO DE MATERIALES </t>
  </si>
  <si>
    <t xml:space="preserve">DEPÓSITO DE JARDINERIA </t>
  </si>
  <si>
    <t>ÁREA TOTAL UPS TALLER DE MANTENIMIENTO</t>
  </si>
  <si>
    <t>OFICINA SANEAMIENTO AMBIENTAL</t>
  </si>
  <si>
    <t>OFICINA SALUD OCUPACIONAL</t>
  </si>
  <si>
    <t>MANEJO DE RESIDUOS SOLIDOS</t>
  </si>
  <si>
    <t>CLASIFICACIÓN DE RESIDUOS</t>
  </si>
  <si>
    <t>LAVADO DE COCHES</t>
  </si>
  <si>
    <t>ÁREA TOTAL UPS SALUD AMBIENTAL</t>
  </si>
  <si>
    <t>UPS SALA DE USO MÚLTIPLE</t>
  </si>
  <si>
    <t>SALA DE USO MÚLTIPLE - Incluye SS.HH Mujeres y SS.HH. Varones</t>
  </si>
  <si>
    <t>ÁREA TOTAL UPS SALA DE USO MULTILPLE</t>
  </si>
  <si>
    <t>SALA DE ESTAR</t>
  </si>
  <si>
    <t>SS. HH. VISITANTE</t>
  </si>
  <si>
    <t>COMEDOR COCINA</t>
  </si>
  <si>
    <t>SEGURIDAD</t>
  </si>
  <si>
    <t>CONTROL INGRESO PRINCIPAL  - incluye ss.hh.</t>
  </si>
  <si>
    <t>CONTROL INGRESO DE URGENCIAS Y EMERGENCIAS - incluye ss.hh.</t>
  </si>
  <si>
    <t>CALEFACCIÓN Y CLIMATIZACIÓN</t>
  </si>
  <si>
    <t>AMBIENTE PARA EQUIPOS DE AIRE ACONDICIONADO Y CLIMATIZACIÓN</t>
  </si>
  <si>
    <t>ÁREA TOTAL</t>
  </si>
  <si>
    <t>TOTAL PROGRAMA DE ÁREAS</t>
  </si>
  <si>
    <t xml:space="preserve"> m2</t>
  </si>
  <si>
    <t>Ámbito de influencia</t>
  </si>
  <si>
    <t xml:space="preserve">Tasa ITS/VIH Micro Red </t>
  </si>
  <si>
    <t>Em</t>
  </si>
  <si>
    <t>AD</t>
  </si>
  <si>
    <t>MEDICINA FISICA Y REHABILITACION</t>
  </si>
  <si>
    <t>CENTRO DE SALUD HUANCARAMA</t>
  </si>
  <si>
    <t>HUANCARAMA/ANDAHUAYLAS/APURÍMAC</t>
  </si>
  <si>
    <t>REQUERIMIENTO DE INFORMACIÓN DEL EE.SS. ESTRATÉGICO</t>
  </si>
  <si>
    <t>Atendidos del Establecimiento por distrito de procedencia 2018</t>
  </si>
  <si>
    <t>Atendidos del Establecimiento por sexo y grupo etareo - 2018</t>
  </si>
  <si>
    <t>INSTRUCCION DE HIGIENE ORAL (IHO)</t>
  </si>
  <si>
    <t>INFUSION INTRAVENOSA</t>
  </si>
  <si>
    <t>ASESORIA NUTRICIONAL PARA EL CONTROL DE ENFERMEDADES DENTALES</t>
  </si>
  <si>
    <t>EXODONCIA, REMANTE CORONAL - DIENTE DECIDUO</t>
  </si>
  <si>
    <t>VACUNA SR</t>
  </si>
  <si>
    <t>TECNICA DE RESTAURACION ATRAUMATICA</t>
  </si>
  <si>
    <t>PRUEBA DE SIFILIS CUALITATIVA (VDRL,RPR)</t>
  </si>
  <si>
    <t>RESTAURACION FOTOCURABLE DE UNA SUPERFICIE CON RESINA EN PIEZAS DENTARIAS POSTERIOR (PRIMARIAS O PER</t>
  </si>
  <si>
    <t>ANESTESIA LOCAL NO EN COMBINACION CON PROCEDIMIENTOS QUIRURGICOS</t>
  </si>
  <si>
    <t>CONSULTA ESTOMATOLOGICA ESPECIALIZADA</t>
  </si>
  <si>
    <t>RESTAURACIONES FOTOCURABLES DE DOS SUPERFICIES CON RESINA EN PIEZAS DENTARIAS POSTERIORES (PRIMARIAS</t>
  </si>
  <si>
    <t>INACTIVACION DE CARIES CON IONOMERO DE VIDRIO</t>
  </si>
  <si>
    <t>LAVADO DE OIDO</t>
  </si>
  <si>
    <t>VACUNA ANTIRRABICA, USO IM (CRL)</t>
  </si>
  <si>
    <t>EXODONCIA DIENTE ERUPCIONADO O RAIZ EXPUESTA</t>
  </si>
  <si>
    <t>ULTRASONIDO PELVICO (NO OBSTETRICO)</t>
  </si>
  <si>
    <t>RESTAURACION CON EL USO DE RESINA, DOS SUPERFICIES, POSTERIOR, PERMANENTE</t>
  </si>
  <si>
    <t>EXODONCIA QUIRURGICA DE DIENTE IMPACTADO EN TEJIDO BLANDO</t>
  </si>
  <si>
    <t>APLICACION DE FLUOR BARNIZ</t>
  </si>
  <si>
    <t>RESTAURACION DE DOS SUPERFICIES, CON RESINA, EN PIEZAS DENTARIAS DECIDUAS, POSTERIORES (COMPUESTA)</t>
  </si>
  <si>
    <t>RE-CEMENTACION DE CORONA</t>
  </si>
  <si>
    <t>INCISION Y DRENAJE DE ABSCESO - EXTRAORAL</t>
  </si>
  <si>
    <t>CONTROL DE HEMORRAGIA NASAL, POSTERIOR, CON EMPAQUE POSTNASAL Y/O CAUTERIZACION POSTERIOR, CUALQUIER</t>
  </si>
  <si>
    <t>Morbilidad del Servicio de Medicina del 2018</t>
  </si>
  <si>
    <t>Morbilidad del Servicio de Pediatría del 2018</t>
  </si>
  <si>
    <t>Morbilidad del Servicio de Gineco-Obstetricia del 2018</t>
  </si>
  <si>
    <t>Morbilidad del Servicio de Cirugía del 2018</t>
  </si>
  <si>
    <t xml:space="preserve"> MORBILIDAD GENERAL DEL ÁMBITO  2018</t>
  </si>
  <si>
    <t>EMERGENCIA 2018</t>
  </si>
  <si>
    <t>ATENCION DE EMERGENCIA, PRIORIDAD I, II, III y IV</t>
  </si>
  <si>
    <t>PSICOTERAPIA INDIVIDUAL Y FAMILIAR</t>
  </si>
  <si>
    <t>HEMOGLOBINA / GLUCOSA</t>
  </si>
  <si>
    <t>EXTRACCION DE UÑA</t>
  </si>
  <si>
    <t>PACOBAMBA</t>
  </si>
  <si>
    <t>ANDAHUAYLAS</t>
  </si>
  <si>
    <t>.</t>
  </si>
  <si>
    <t>OTRO ABORTO INCOMPLETO, CON OTRAS COMPLICACIONES ESPECIFICADAS Y LAS NO ESPECIFICADAS</t>
  </si>
  <si>
    <t>OTRO ABORTO INCOMPLETO, SIN COMPLICACION</t>
  </si>
  <si>
    <t>MASTITIS NO PURULENTA ASOCIADA CON EL PARTO</t>
  </si>
  <si>
    <t>O053</t>
  </si>
  <si>
    <t>HEMORRAGIA POSTPARTO SECUNDARIA O TARDIA</t>
  </si>
  <si>
    <t>O722</t>
  </si>
  <si>
    <t>ABSCESO DE LA MAMA ASOCIADO CON EL PARTO</t>
  </si>
  <si>
    <t>O911</t>
  </si>
  <si>
    <t>ANEMIA POR DEFICIENCIA DE HIERRO SIN OTRA ESPECIFICACION</t>
  </si>
  <si>
    <t>D509</t>
  </si>
  <si>
    <r>
      <rPr>
        <b/>
        <sz val="11"/>
        <rFont val="Arial Narrow"/>
        <family val="2"/>
      </rPr>
      <t xml:space="preserve">Nota: </t>
    </r>
    <r>
      <rPr>
        <sz val="11"/>
        <rFont val="Arial Narrow"/>
        <family val="2"/>
      </rPr>
      <t>Consignar los datos estadísticos de los servicios de salud expuestos en el Cuadro de Doble Entrada obtenido en el planeamiento o en los supuestos de estimación de la demanda.</t>
    </r>
  </si>
  <si>
    <r>
      <rPr>
        <b/>
        <sz val="11"/>
        <color indexed="8"/>
        <rFont val="Arial Narrow"/>
        <family val="2"/>
      </rPr>
      <t xml:space="preserve">Nota: </t>
    </r>
    <r>
      <rPr>
        <sz val="11"/>
        <color indexed="8"/>
        <rFont val="Arial Narrow"/>
        <family val="2"/>
      </rPr>
      <t>Consignar los datos estadísticos de los servicios de salud expuestos en el Cuadro de Doble Entrada obtenido en el planeamiento o en los supuestos de estimación de la demanda.</t>
    </r>
  </si>
  <si>
    <t>C.S. Huancarama</t>
  </si>
  <si>
    <t>INFECCIONES ESPECIFICAS DEL PERIODO PERINATAL</t>
  </si>
  <si>
    <t>TRASTORNOS HEMORRAGICOS Y HEMATOLOGICOS DEL FETO Y DEL RECIEN NACIDO</t>
  </si>
  <si>
    <t>ANOMALIAS CROMOSOMICAS, NO CLASIFICADAS EN OTRA PARTE</t>
  </si>
  <si>
    <t xml:space="preserve">MALFORMACIONES CONGENITAS DEL OJO, DEL OIDO, DE LA CARA Y DEL CUELLO </t>
  </si>
  <si>
    <t xml:space="preserve">FISURA DEL PALADAR Y LABIO LEPORICO </t>
  </si>
  <si>
    <t>INSUFICIENCIA CARDIACA, NO ESPECIFICADA</t>
  </si>
  <si>
    <t>SEPSIS DEL RECIEN NACIDO DEBIDA A OTRAS BACTERIAS</t>
  </si>
  <si>
    <t>ANOMALIA CROMOSOMICA, NO ESPECIFICADA</t>
  </si>
  <si>
    <t>P38X</t>
  </si>
  <si>
    <t>Q999</t>
  </si>
  <si>
    <t>P35 - P39</t>
  </si>
  <si>
    <t>P50 - P61</t>
  </si>
  <si>
    <t>Q90 - Q99</t>
  </si>
  <si>
    <t>Q10 - Q18</t>
  </si>
  <si>
    <t>Q35 - Q37</t>
  </si>
  <si>
    <t>TRASTORNOS RELACIONADOS CON LA DURACION DE LA GESTACION Y EL CRECIMIENTO FETAL</t>
  </si>
  <si>
    <t>MALFORMACIONES Y DEFORMIDADES CONGENITAS DEL SISTEMA OSTEOMUSCULAR</t>
  </si>
  <si>
    <t>MALFORMACIONES CONGENITAS DEL SISTEMA RESPIRATORIO</t>
  </si>
  <si>
    <t>MALFORMACIONES CONGENITAS DEL SISTEMA URINARIO</t>
  </si>
  <si>
    <t>P05 - P08</t>
  </si>
  <si>
    <t>Q65 - Q79</t>
  </si>
  <si>
    <t>Q30 - Q34</t>
  </si>
  <si>
    <t>Q60 - Q64</t>
  </si>
  <si>
    <t>TRAUMATISMO DEL NACIMIENTO</t>
  </si>
  <si>
    <t>OTROS TRASTORNOS ORIGINADOS EN EL PERIODO PERINATAL</t>
  </si>
  <si>
    <t>MALFORMACIONES CONGENITAS DEL OJO, DEL OIDO, DE LA CARA Y DEL CUELLO</t>
  </si>
  <si>
    <t>P10 - P15</t>
  </si>
  <si>
    <t>P90 - P96</t>
  </si>
  <si>
    <t>LUXACION CONGENITA DE LA CADERA, NO ESPECIFICADA</t>
  </si>
  <si>
    <t>Q652</t>
  </si>
  <si>
    <t>CONTUSION DEL MUSLO</t>
  </si>
  <si>
    <t>S701</t>
  </si>
  <si>
    <t>TRASTORNOS DEL SISTEMA DIGESTIVO DEL FETO Y DEL RECIEN NACIDO</t>
  </si>
  <si>
    <t>P75 - P78</t>
  </si>
  <si>
    <t xml:space="preserve">INFECCIONES ESPECIFICAS DEL PERIODO PERINATAL </t>
  </si>
  <si>
    <t>Red</t>
  </si>
  <si>
    <t>Microred</t>
  </si>
  <si>
    <t>O429</t>
  </si>
  <si>
    <t>INFECCION GENITAL EN EL EMBARAZO</t>
  </si>
  <si>
    <t>O235</t>
  </si>
  <si>
    <t>PREECLAMPSIA, NO ESPECIFICADA</t>
  </si>
  <si>
    <t>O149</t>
  </si>
  <si>
    <t>PARTO UNICO ESPONTANEO, PRESENTACION CEFALICA DE VERTICE</t>
  </si>
  <si>
    <t>TRABAJO DE PARTO Y PARTO COMPLICADOS POR SUFRIMIENTO FETAL, SIN OTRA ESPECIFICACION</t>
  </si>
  <si>
    <t>COMPLICACION NO ESPECIFICADA DEL TRABAJO DE PARTO Y DEL PARTO</t>
  </si>
  <si>
    <t>O759</t>
  </si>
  <si>
    <t>ATENCION MATERNA POR PROBLEMAS FETALES NO ESPECIFICADOS</t>
  </si>
  <si>
    <t>O369</t>
  </si>
  <si>
    <t>COMPLICACION PUERPERAL, NO ESPECIFICADA</t>
  </si>
  <si>
    <t>O909</t>
  </si>
  <si>
    <t>OTROS HALLAZGOS ANORMALES EN EL EXAMEN PRENATAL DE LA MADRE</t>
  </si>
  <si>
    <t>O288</t>
  </si>
  <si>
    <t>O032</t>
  </si>
  <si>
    <t xml:space="preserve">SÍNDROME DE ASPIRACIÓN NEONATAL </t>
  </si>
  <si>
    <t>P241-P249</t>
  </si>
  <si>
    <t>SÍNDROME DE DIFICULTAD RESPIRATORIA DEL RECIEN NAC.</t>
  </si>
  <si>
    <t>ANESTESIOLOGIA</t>
  </si>
  <si>
    <r>
      <rPr>
        <b/>
        <sz val="10"/>
        <color indexed="8"/>
        <rFont val="Calibri"/>
        <family val="2"/>
        <scheme val="minor"/>
      </rPr>
      <t xml:space="preserve">Nota: </t>
    </r>
    <r>
      <rPr>
        <sz val="10"/>
        <color theme="1"/>
        <rFont val="Calibri"/>
        <family val="2"/>
        <scheme val="minor"/>
      </rPr>
      <t>Consignar los datos estadísticos de los servicios de salud expuestos en el Cuadro de Doble Entrada obtenido en el planeamiento o en los supuestos de estimación de la demanda.</t>
    </r>
  </si>
  <si>
    <t>}</t>
  </si>
  <si>
    <r>
      <rPr>
        <b/>
        <sz val="10"/>
        <color indexed="8"/>
        <rFont val="Calibri"/>
        <family val="2"/>
        <scheme val="minor"/>
      </rPr>
      <t xml:space="preserve">Nota: </t>
    </r>
    <r>
      <rPr>
        <sz val="10"/>
        <color indexed="8"/>
        <rFont val="Calibri"/>
        <family val="2"/>
        <scheme val="minor"/>
      </rPr>
      <t>Consignar los datos estadísticos de los servicios de salud expuestos en el Cuadro de Doble Entrada obtenido en el planeamiento o en los supuestos de estimación de la demanda.</t>
    </r>
  </si>
  <si>
    <t>RATIO RN PATOLOGICO / PARTOS + CESAREAS</t>
  </si>
  <si>
    <t>Morbilidad del Servicio de Pediatría del 2018 (Todos los diagnósticos)</t>
  </si>
  <si>
    <t>Morbilidad del Servicio de Gineco-Obstetricia del 2018 (Todos los diagnósticos)</t>
  </si>
  <si>
    <t>Morbilidad del Servicio de Cirugía del 2018 (Todos los diagnósticos)</t>
  </si>
  <si>
    <t>Morbilidad del Servicio de Medicina del 2018 (Todos los diagnósticos)</t>
  </si>
  <si>
    <t>SUMA('3 Pob x Edad y EESS P1 P2'!N38:AB38)</t>
  </si>
  <si>
    <t>IMPORTANTE CONSIDERAR ESTA REALIDAD PARA EL CÁLCULO DE LA DEMANDA</t>
  </si>
  <si>
    <t>FORMATO DE POBLACION SEGÚN DIRESA POR ESTABLECIMIENTO DE SALUD AÑO 2019</t>
  </si>
  <si>
    <t>% de poblacion P1 que requiere servicio de Consul. Externa en el C.S. Huancarama</t>
  </si>
  <si>
    <t>Poblacion Huancarama 2007</t>
  </si>
  <si>
    <t>Poblacion Huancarama 2017</t>
  </si>
  <si>
    <t>Superficie dist Huancarama</t>
  </si>
  <si>
    <t>Superficie dist Pacobamba</t>
  </si>
  <si>
    <t>Poblacion 2017</t>
  </si>
  <si>
    <t>Censo 2017</t>
  </si>
  <si>
    <t>Densidad Poblacional distrito de Huancarama 2017</t>
  </si>
  <si>
    <t>Densidad Poblacional distrito de Huancarama 2007</t>
  </si>
  <si>
    <t>Densidad Poblacional distrito de Huancarama 1993</t>
  </si>
  <si>
    <t>Poblacion Pacobamba 2007</t>
  </si>
  <si>
    <t>Poblacion Pacobamba 2017</t>
  </si>
  <si>
    <t>Densidad Poblacional distrito de Pacobamba 2017</t>
  </si>
  <si>
    <t>Densidad Poblacional distrito de Pacobamba 2007</t>
  </si>
  <si>
    <t>Densidad Poblacional distrito de Pacobamba 1993</t>
  </si>
  <si>
    <t>Huancarama</t>
  </si>
  <si>
    <t>Pacobamba</t>
  </si>
  <si>
    <t>Poblacion Pacobamba 1993</t>
  </si>
  <si>
    <t>Poblacion Huancarama 1993</t>
  </si>
  <si>
    <t>hab/km2</t>
  </si>
  <si>
    <t>DEPARTAMENTO, PROVINCIA Y DISTRITO</t>
  </si>
  <si>
    <t>Tipo</t>
  </si>
  <si>
    <t>C. S. Huancarama (APURIMAC)</t>
  </si>
  <si>
    <t>Calculado a partir del Censo 2007 y Censo 2017</t>
  </si>
  <si>
    <t>Poporcion porcentual según Censo de Población y Vivienda INEI 2017</t>
  </si>
  <si>
    <t>Total de Atenciones medicas  &gt;  15 años</t>
  </si>
  <si>
    <t>DEMANDA EFECTIVA CONSOLIDADA CENTRO DE SALUD HUANCARAMA</t>
  </si>
  <si>
    <t>CONDICION LABORAL SEGÚN GRUPO OCUPACIONAL- DEL ESTABLECIMIENTO DE SALUD ESTRATEGICO - AÑO 2018</t>
  </si>
  <si>
    <t>DISTRIBUCIÓN DE RECURSOS HUMANOS SEGÚN UPSS Y GRUPO OCUPACIONAL 2018</t>
  </si>
  <si>
    <t>ESTABLECIMIENTO DE SALUD HUANCARAMA</t>
  </si>
  <si>
    <t>Huancarama/Andahuaylas/Apurimac</t>
  </si>
  <si>
    <t>N° Camas- 2018</t>
  </si>
  <si>
    <t>Exclusivo por tipo de Atencion y Paciente/Incluye ecografo</t>
  </si>
  <si>
    <t>Se atendera en el SUM</t>
  </si>
  <si>
    <t>Por tema intercultural se adicionara Sala de parto</t>
  </si>
  <si>
    <t>2 Cuna</t>
  </si>
  <si>
    <t>Se equipara en el Consultorio de Gineco Obstetricia</t>
  </si>
  <si>
    <t>Ambientes compartidos funcionalmente</t>
  </si>
  <si>
    <t>CLAS</t>
  </si>
  <si>
    <t>G/C</t>
  </si>
  <si>
    <t>Tec. En Farmacia</t>
  </si>
  <si>
    <t>PROP</t>
  </si>
  <si>
    <t>Micro Red Huancarama</t>
  </si>
  <si>
    <t>Asesoria Nutriconal Control de Enfermedades Bucales</t>
  </si>
  <si>
    <t>Instrucción de Higiene Bucal</t>
  </si>
  <si>
    <t>Fuente: Centro de Salud  2018</t>
  </si>
  <si>
    <t>ENAHO 2016</t>
  </si>
  <si>
    <t>ACTIVIDADES DE ECOGRAFÍA Y RADIOLOGÍA</t>
  </si>
  <si>
    <t>Hombres</t>
  </si>
  <si>
    <t>Mujeres</t>
  </si>
  <si>
    <t>Poblacion del distrito de:</t>
  </si>
  <si>
    <t>Ubigeo</t>
  </si>
  <si>
    <t xml:space="preserve"> 0 - 4 </t>
  </si>
  <si>
    <t xml:space="preserve"> 5 - 9 </t>
  </si>
  <si>
    <t xml:space="preserve"> 10 - 14 </t>
  </si>
  <si>
    <t xml:space="preserve"> 15 - 19 </t>
  </si>
  <si>
    <t xml:space="preserve"> 20 - 24 </t>
  </si>
  <si>
    <t xml:space="preserve"> 25 - 29 </t>
  </si>
  <si>
    <t xml:space="preserve"> 30 - 34 </t>
  </si>
  <si>
    <t xml:space="preserve"> 35 - 39 </t>
  </si>
  <si>
    <t xml:space="preserve"> 40 - 44 </t>
  </si>
  <si>
    <t xml:space="preserve"> 45 - 49 </t>
  </si>
  <si>
    <t xml:space="preserve"> 50 - 54 </t>
  </si>
  <si>
    <t xml:space="preserve"> 55 - 59 </t>
  </si>
  <si>
    <t xml:space="preserve"> 60 - 64 </t>
  </si>
  <si>
    <t xml:space="preserve"> 65 - 69 </t>
  </si>
  <si>
    <t xml:space="preserve"> 70 - 74 </t>
  </si>
  <si>
    <t xml:space="preserve"> 75 - 79 </t>
  </si>
  <si>
    <t xml:space="preserve">80 y más </t>
  </si>
  <si>
    <t>030204</t>
  </si>
  <si>
    <t>030208</t>
  </si>
  <si>
    <t>EDAD</t>
  </si>
  <si>
    <t>AÑO 2019</t>
  </si>
  <si>
    <t>II-2</t>
  </si>
  <si>
    <t>X</t>
  </si>
  <si>
    <t>I-5</t>
  </si>
  <si>
    <t>FORMATO DE DISTRIBUCIÓN DE RECURSOS HUMANOS SEGÚN UPSS Y GRUPO OCUPACIONAL 2018</t>
  </si>
  <si>
    <t>ESTABLECIMIENTO DE SALUD : CENTRO DE SALUD HUANCARAMA</t>
  </si>
  <si>
    <t>C.S. HUANC4RAMA</t>
  </si>
  <si>
    <t>ITEM</t>
  </si>
  <si>
    <t xml:space="preserve">CONSULTORIO GINECO-OBSTETRICIA - (S.H.  1 Lavatorio / 1 Inodoro) </t>
  </si>
  <si>
    <t>SALA DE ESTIMULACION TEMPRANA - (S.H. 1 Lavatorio baby/1 Inodoro baby/1 cambiador de pañales 3m2)</t>
  </si>
  <si>
    <t>ATENCIÓN INTEGRAL Y CONSEJERIA DEL ADULTO MAYOR  - (S.H. 1 Lavatorio / 1 Inodoro)</t>
  </si>
  <si>
    <t>CONTROL PRENATAL (INC. CONTROL PUERPERAL) - (S.H. 1 Lavatorio / 1 Inodoro)</t>
  </si>
  <si>
    <t>CONSULTORIO DE ODONTOLOGIA G. CON SOPORTE DE RADIOLOGIA ORAL 6m2</t>
  </si>
  <si>
    <t>TÓPICO DE PROCEDIMIENTOS DE CONSULTA EXTERNA</t>
  </si>
  <si>
    <t xml:space="preserve">ARCHIVO DE HISTORIAS CLÍNICAS </t>
  </si>
  <si>
    <t xml:space="preserve">SERVICIOS HIGIÉNICOS PERSONAL VARONES - 2 Lavatorios / 2 Inodoros / 2 Urinarios </t>
  </si>
  <si>
    <t xml:space="preserve">SERVICIOS HIGIÉNICOS PERSONAL MUJERES - 2 Lavatorios / 2 Inodoros </t>
  </si>
  <si>
    <t xml:space="preserve">SERVICIOS HIGIÉNICOS PÚBLICOS HOMBRES - 3 Lavatorios / 2 Inodoros / 2 Urinarios </t>
  </si>
  <si>
    <t>SERVICIOS HIGIÉNICOS PÚBLICOS MUJERES - 3 Lavatorios / 2 Inodoros</t>
  </si>
  <si>
    <r>
      <t>SERVICIOS HIGIÉNICOS PRE-ESCOLAR -</t>
    </r>
    <r>
      <rPr>
        <b/>
        <sz val="14"/>
        <color indexed="8"/>
        <rFont val="Arial Narrow"/>
        <family val="2"/>
      </rPr>
      <t xml:space="preserve"> </t>
    </r>
    <r>
      <rPr>
        <sz val="14"/>
        <color indexed="8"/>
        <rFont val="Arial Narrow"/>
        <family val="2"/>
      </rPr>
      <t>2 lavatorio baby / 2 Inodoros baby / 1 cambiador</t>
    </r>
  </si>
  <si>
    <t>CUARTO DE LIMPIEZA</t>
  </si>
  <si>
    <t>CUARTO TECNICO</t>
  </si>
  <si>
    <t>SALA DE TELECOMUNICACIONES</t>
  </si>
  <si>
    <t>SERVICIOS HIGIÉNICOS PÚBLICOS HOMBRES - 1 Lavatorios / 1 Inodoros / 1 Urinarios</t>
  </si>
  <si>
    <t>SERVICIOS HIGIÉNICOS PÚBLICOS MUJERES - 1 Lavatorios / 1 Inodoros</t>
  </si>
  <si>
    <t>SERVICIOS HIGIÉNICOS Y VESTIDORES PARA PERSONAL VARONES</t>
  </si>
  <si>
    <t>SERVICIOS HIGIÉNICOS Y VESTIDORES PARA PERSONAL MUJERES</t>
  </si>
  <si>
    <r>
      <t xml:space="preserve">ALMACÉN ESPECIALIZADO DE PRODUCTOS FARMACÉUTICOS, DISPOSITIVOS MÉDICOS Y PRODUCTOS SANITARIOS </t>
    </r>
    <r>
      <rPr>
        <b/>
        <sz val="14"/>
        <color indexed="8"/>
        <rFont val="Arial Narrow"/>
        <family val="2"/>
      </rPr>
      <t xml:space="preserve"> </t>
    </r>
  </si>
  <si>
    <r>
      <t>SEGUIMIENTO FARMACOTERAPEUTICO AMBULATORIO</t>
    </r>
    <r>
      <rPr>
        <b/>
        <sz val="14"/>
        <color indexed="8"/>
        <rFont val="Arial Narrow"/>
        <family val="2"/>
      </rPr>
      <t xml:space="preserve"> </t>
    </r>
  </si>
  <si>
    <r>
      <t xml:space="preserve">MEZCLAS INTRAVENOSAS </t>
    </r>
    <r>
      <rPr>
        <b/>
        <sz val="14"/>
        <color indexed="8"/>
        <rFont val="Arial Narrow"/>
        <family val="2"/>
      </rPr>
      <t xml:space="preserve"> </t>
    </r>
  </si>
  <si>
    <t>SERVICIO HIGIENICO PERSONAL</t>
  </si>
  <si>
    <t>TOPICO DE URGENCIAS Y EMERGENCIAS  (MEDICO ESPECIALISTA) - (S.H. 1 Lavatorio / 1 Inodoro)</t>
  </si>
  <si>
    <t xml:space="preserve">OBSERVACIÓN DE EMERGENCIA 2 Cama - 1 Lavatorio / 1 Inodoro / 1 Ducha </t>
  </si>
  <si>
    <t xml:space="preserve">SALA DE DILATACION - 02 Camas / (S.H. 1 Lavatorio / 1 Inodoro / 1 Ducha) </t>
  </si>
  <si>
    <t>SALA DE PARTO - 01 Cama</t>
  </si>
  <si>
    <t>ATENCION AL RECIEN NACIDO PARTO HORIZONTAL - 01 Cuna</t>
  </si>
  <si>
    <t>ATENCION AL RECIEN NACIDO PARTO VERTICAL - 01 Cuna</t>
  </si>
  <si>
    <t>SALA DE ESPERA DE FAMILIARES</t>
  </si>
  <si>
    <t>ESTACION DE OBSTETRICIA</t>
  </si>
  <si>
    <t>ALMACENAMIENTO INTERMEDIO DE RESIDUOS SÓLIDOS</t>
  </si>
  <si>
    <t>ATENCION AL RECIEN NACIDO - 03 Cunas</t>
  </si>
  <si>
    <r>
      <t xml:space="preserve">SALA DE ESPERA DE FAMILIARES - incluye 01 ss.hh. Varones , </t>
    </r>
    <r>
      <rPr>
        <b/>
        <sz val="14"/>
        <color theme="1"/>
        <rFont val="Arial Narrow"/>
        <family val="2"/>
      </rPr>
      <t xml:space="preserve">01 ss.hh. Mujeres </t>
    </r>
  </si>
  <si>
    <t>ÁREA TOTAL AADS ECOGRAFIA Y RADIOLOGIA</t>
  </si>
  <si>
    <t>COMPLEMENTARIOS</t>
  </si>
  <si>
    <t>VESTIDOR  Y SERVICIO HIGIENICO PERSONAL</t>
  </si>
  <si>
    <t>ESTACIONAMIENTO Y LAVADO DE CARRITOS</t>
  </si>
  <si>
    <t>POOL ADMINISTRATIVO</t>
  </si>
  <si>
    <t>DEPÓSITO TEMPORAL DE RESIDUOS SÓLIDOS</t>
  </si>
  <si>
    <t>TANQUE DE PETROLEO</t>
  </si>
  <si>
    <t>SISTEMA DE TRATAMIENTO DE AGUA *</t>
  </si>
  <si>
    <t>SISTEMA DE ABASTECIMIENTO DE AGUA *</t>
  </si>
  <si>
    <t>ÁREA CLIMATIZADA</t>
  </si>
  <si>
    <t>DEPOSITO DE EQUIPOS Y/O MOBILIARIO DE BAJA</t>
  </si>
  <si>
    <t xml:space="preserve">SS.HH. Y VESTIDORES PARA PERSONAL VARONES </t>
  </si>
  <si>
    <t>SS.HH. Y VESTIDORES PARA PERSONAL MUJERES</t>
  </si>
  <si>
    <t>ACOPIO DE RESIDUOS SÓLIDOS</t>
  </si>
  <si>
    <t>ÁREA DE LIMPIEZA</t>
  </si>
  <si>
    <t>S.H. DE PERSONAL (Inc. ducha)</t>
  </si>
  <si>
    <t>DORMITORIO PARA GESTANTE ADULTA - Individual (Incl. SH)</t>
  </si>
  <si>
    <t>DORMITORIO PARA GESTANTE ADULTA - Acompañada (incl. SH)</t>
  </si>
  <si>
    <t>DORMITORIO PARA GESTANTE ADOLESCENTE (incl. SH)</t>
  </si>
  <si>
    <t>AMBIENTES DE APOYO</t>
  </si>
  <si>
    <t>CORRAL PARA ANIMALES Y BIOHUERTO</t>
  </si>
  <si>
    <t>ÁREA TOTAL UPS CASA MATERNA</t>
  </si>
  <si>
    <t>HABITACIÓN HOMBRES 2 camas (INCLUYE SS. HH. CON DUCHA) - 1 Lavatorio / 1 Inodoro / 1 Ducha</t>
  </si>
  <si>
    <r>
      <t>HABITACIÓN MUJERES 2 camas (INCLUYE SS. HH. CON DUCHA)</t>
    </r>
    <r>
      <rPr>
        <b/>
        <sz val="14"/>
        <color theme="1"/>
        <rFont val="Arial Narrow"/>
        <family val="2"/>
      </rPr>
      <t xml:space="preserve"> - </t>
    </r>
    <r>
      <rPr>
        <sz val="14"/>
        <color theme="1"/>
        <rFont val="Arial Narrow"/>
        <family val="2"/>
      </rPr>
      <t>1 Lavatorio / 1 Inodoro / 1 Ducha</t>
    </r>
  </si>
  <si>
    <r>
      <t>HABITACIÓN MUJERES 1 camas (INCLUYE SS. HH. CON DUCHA)</t>
    </r>
    <r>
      <rPr>
        <b/>
        <sz val="14"/>
        <color theme="1"/>
        <rFont val="Arial Narrow"/>
        <family val="2"/>
      </rPr>
      <t xml:space="preserve"> - </t>
    </r>
    <r>
      <rPr>
        <sz val="14"/>
        <color theme="1"/>
        <rFont val="Arial Narrow"/>
        <family val="2"/>
      </rPr>
      <t>1 Lavatorio / 1 Inodoro / 1 Ducha</t>
    </r>
  </si>
  <si>
    <t>ÁREA TOTAL UPS RESIDENCIA DE PERSONAL</t>
  </si>
  <si>
    <t>ÁREA TOTAL SEGURIDAD</t>
  </si>
  <si>
    <t>ESCALERAS PARA PERSONAL</t>
  </si>
  <si>
    <t>ESCALERAS PARA PÚBLICO</t>
  </si>
  <si>
    <t>RESUMEN PMA / PROYECTO</t>
  </si>
  <si>
    <t>ÁREAS PMA (m2)</t>
  </si>
  <si>
    <t>ÁREAS PROY. (m2)</t>
  </si>
  <si>
    <t>VARIACION</t>
  </si>
  <si>
    <t>ÁREA TOTAL  NETA UTIL(m2)</t>
  </si>
  <si>
    <t>AREA DE CIRCULACION INTERNA</t>
  </si>
  <si>
    <t>%  DE CIRCULACION INTERNA</t>
  </si>
  <si>
    <t>VACUNACIÓN INFLUENZA</t>
  </si>
  <si>
    <t>Adulto mayor</t>
  </si>
  <si>
    <t>Fuentes: Red de Salud Abancay</t>
  </si>
  <si>
    <t>Consultorio de Medicina General 1</t>
  </si>
  <si>
    <t>Consultorio de Medicina General 2</t>
  </si>
  <si>
    <t>Consultorio CRED (Crecimiento y Desarrollo) 1</t>
  </si>
  <si>
    <t>Consultorio Odontológico General con Soporte Radiología Oral 1</t>
  </si>
  <si>
    <t>Consultorio Odontológico General con Soporte Radiología Oral 2</t>
  </si>
  <si>
    <t>ATENCIÓN DE LA GESTANTE EN PERIODO DE PARTO</t>
  </si>
  <si>
    <t>ACTIVIDADES DE DESINFECCIÓN Y ESTERILIZACIÓN</t>
  </si>
  <si>
    <t>HUANCARAMA/ ANDAHUAYLAS/ APURIMAC</t>
  </si>
  <si>
    <t>MANOMETRO DE OXIGENO</t>
  </si>
  <si>
    <t>AMBULANCIA</t>
  </si>
  <si>
    <t>CAMILLA (OTRAS)</t>
  </si>
  <si>
    <t>SILLA DE RUEDAS METALICA</t>
  </si>
  <si>
    <t>CAMIONETA</t>
  </si>
  <si>
    <t>MOTOCICLETA</t>
  </si>
  <si>
    <t>ARCHIVADOR DE METAL</t>
  </si>
  <si>
    <t>ESCRITORIO DE METAL</t>
  </si>
  <si>
    <t>CAMA DE METAL</t>
  </si>
  <si>
    <t>CAMA DE METAL QUIRURGICA HOSPITALARIA</t>
  </si>
  <si>
    <t>MESA METALICA RODABLE PARA MULTIPLE USO</t>
  </si>
  <si>
    <t>ESTUFA</t>
  </si>
  <si>
    <t>MESA DE MAYO</t>
  </si>
  <si>
    <t>CAMA DE MADERA</t>
  </si>
  <si>
    <t>CALEFACTOR</t>
  </si>
  <si>
    <t>BALANZA PEDIATRICA</t>
  </si>
  <si>
    <t>CENTRIFUGA DE MESA 16 A 28 TUBOS</t>
  </si>
  <si>
    <t>MICROSCOPIO BINOCULAR CON LENTE DE INMERSION</t>
  </si>
  <si>
    <t>CENTRIFUGA</t>
  </si>
  <si>
    <t>Atención Rehabilitadora discapacidades leves y moderadas</t>
  </si>
  <si>
    <t>AÑOS</t>
  </si>
  <si>
    <r>
      <t>N°</t>
    </r>
    <r>
      <rPr>
        <b/>
        <vertAlign val="superscript"/>
        <sz val="9"/>
        <color theme="0"/>
        <rFont val="Arial Narrow"/>
        <family val="2"/>
      </rPr>
      <t>1</t>
    </r>
  </si>
  <si>
    <r>
      <t>Tiempo (min)</t>
    </r>
    <r>
      <rPr>
        <b/>
        <vertAlign val="superscript"/>
        <sz val="9"/>
        <color theme="0"/>
        <rFont val="Arial Narrow"/>
        <family val="2"/>
      </rPr>
      <t>2</t>
    </r>
  </si>
  <si>
    <r>
      <t>N°</t>
    </r>
    <r>
      <rPr>
        <b/>
        <vertAlign val="superscript"/>
        <sz val="9"/>
        <color theme="0"/>
        <rFont val="Arial Narrow"/>
        <family val="2"/>
      </rPr>
      <t>3</t>
    </r>
  </si>
  <si>
    <r>
      <t> </t>
    </r>
    <r>
      <rPr>
        <b/>
        <sz val="9"/>
        <color theme="0"/>
        <rFont val="Arial Narrow"/>
        <family val="2"/>
      </rPr>
      <t>Tiempo de participación (min)</t>
    </r>
  </si>
  <si>
    <r>
      <t>Fuente</t>
    </r>
    <r>
      <rPr>
        <sz val="9"/>
        <rFont val="Arial Narrow"/>
        <family val="2"/>
      </rPr>
      <t xml:space="preserve">: </t>
    </r>
  </si>
  <si>
    <t>PLOMO</t>
  </si>
  <si>
    <t>AUZL OSCURO</t>
  </si>
  <si>
    <t>CELESTE</t>
  </si>
  <si>
    <r>
      <t>Brecha RHUS</t>
    </r>
    <r>
      <rPr>
        <sz val="9"/>
        <color indexed="8"/>
        <rFont val="Arial Narrow"/>
        <family val="2"/>
      </rPr>
      <t xml:space="preserve"> </t>
    </r>
  </si>
  <si>
    <r>
      <rPr>
        <sz val="9"/>
        <color theme="1"/>
        <rFont val="Arial Narrow"/>
        <family val="2"/>
      </rPr>
      <t>PROGRAMACIÓN NECESIDAD AJUSTADA DE RECURSOS HUMANOS</t>
    </r>
  </si>
  <si>
    <r>
      <rPr>
        <sz val="9"/>
        <color theme="1"/>
        <rFont val="Arial Narrow"/>
        <family val="2"/>
      </rPr>
      <t>INCREMENTAL DE LA PROGRAMACIÓN AJUSTADA DE RECURSOS HUMANOS</t>
    </r>
  </si>
  <si>
    <t>NUEVA CONSTRUCCION EN TERRENO NUEVO</t>
  </si>
  <si>
    <t>Monto de Inversión a Precios Privados y Precios Sociales - Alternativa Unica</t>
  </si>
  <si>
    <t>Presupuesto de Inversión</t>
  </si>
  <si>
    <t xml:space="preserve">Presupuesto de Inversión </t>
  </si>
  <si>
    <t>Alternativa Unica: En Nuevos Soles (S/.)</t>
  </si>
  <si>
    <t>Presupuesto de Inversión a Precios de Mercado</t>
  </si>
  <si>
    <t>Presupuesto de Inversión a Precios Sociales</t>
  </si>
  <si>
    <t>Item</t>
  </si>
  <si>
    <t>Componentes del PI</t>
  </si>
  <si>
    <t>U.M</t>
  </si>
  <si>
    <t>Cantidad</t>
  </si>
  <si>
    <t>Parcial</t>
  </si>
  <si>
    <t>Componente del PI</t>
  </si>
  <si>
    <t>U.M.</t>
  </si>
  <si>
    <t>Monto Participación x Comp. C.D.</t>
  </si>
  <si>
    <r>
      <t xml:space="preserve">Factor de Conversión </t>
    </r>
    <r>
      <rPr>
        <b/>
        <vertAlign val="superscript"/>
        <sz val="10"/>
        <color theme="0"/>
        <rFont val="Arial Narrow"/>
        <family val="2"/>
      </rPr>
      <t>(*)</t>
    </r>
    <r>
      <rPr>
        <b/>
        <sz val="10"/>
        <color theme="0"/>
        <rFont val="Arial Narrow"/>
        <family val="2"/>
      </rPr>
      <t xml:space="preserve"> 
(D)</t>
    </r>
  </si>
  <si>
    <t xml:space="preserve">Parcial </t>
  </si>
  <si>
    <t>01.00.00</t>
  </si>
  <si>
    <t>01.01.00</t>
  </si>
  <si>
    <t>M2</t>
  </si>
  <si>
    <t>01.02.00</t>
  </si>
  <si>
    <t>01.03.00</t>
  </si>
  <si>
    <t>UPSS FAMILIAR Y COMUNITARIA</t>
  </si>
  <si>
    <t>01.04.00</t>
  </si>
  <si>
    <t>UPSS URGENCIAS Y EMERGENCIAS</t>
  </si>
  <si>
    <t>01.05.00</t>
  </si>
  <si>
    <t>UPSS RADIOLOGIA Y ECOGRAFIA</t>
  </si>
  <si>
    <t>01.06.00</t>
  </si>
  <si>
    <t>01.07.00</t>
  </si>
  <si>
    <t>UPSS DESINFECCION Y ESTERILIZACIÓN</t>
  </si>
  <si>
    <t>01.08.00</t>
  </si>
  <si>
    <t>01.09.00</t>
  </si>
  <si>
    <t>01.10.00</t>
  </si>
  <si>
    <t>01.11.00</t>
  </si>
  <si>
    <t>01.12.00</t>
  </si>
  <si>
    <t>01.13.00</t>
  </si>
  <si>
    <t>01.14.00</t>
  </si>
  <si>
    <t>01.15.00</t>
  </si>
  <si>
    <t>01.16.00</t>
  </si>
  <si>
    <t>01.17.00</t>
  </si>
  <si>
    <t>01.18.00</t>
  </si>
  <si>
    <t>01.19.00</t>
  </si>
  <si>
    <t>01.20.00</t>
  </si>
  <si>
    <t>01.21.00</t>
  </si>
  <si>
    <t>Costo Directo (A)</t>
  </si>
  <si>
    <t>Sub-total</t>
  </si>
  <si>
    <t>I.G.V. (18%)</t>
  </si>
  <si>
    <t>02.00.00</t>
  </si>
  <si>
    <t xml:space="preserve">Equipamiento (Incluye IGV) </t>
  </si>
  <si>
    <t>02.01.00</t>
  </si>
  <si>
    <t>03.01.00</t>
  </si>
  <si>
    <t>04.00.00</t>
  </si>
  <si>
    <t>Expediente Técnico de Obra y Equipamiento</t>
  </si>
  <si>
    <t>Estudio</t>
  </si>
  <si>
    <t>Programa</t>
  </si>
  <si>
    <t>Meses</t>
  </si>
  <si>
    <t>Monto de Inversión a Precios de Mercado</t>
  </si>
  <si>
    <t>Monto Total de Inversión a Precios Sociales</t>
  </si>
  <si>
    <t>(*) Anexo SNIP 10 - Parámetros de evaluación.</t>
  </si>
  <si>
    <t>A PRECIOS DE MERCADO</t>
  </si>
  <si>
    <t>A PRECIOS SOCIALES</t>
  </si>
  <si>
    <t>TANGIBLES</t>
  </si>
  <si>
    <t>Unidad</t>
  </si>
  <si>
    <t xml:space="preserve">OBRAS CIVILES </t>
  </si>
  <si>
    <t>SUB-TOTAL 01</t>
  </si>
  <si>
    <t>EQUIPAMIENTO</t>
  </si>
  <si>
    <t>Und</t>
  </si>
  <si>
    <t>SUB-TOTAL 02</t>
  </si>
  <si>
    <t>INTANGIBLES</t>
  </si>
  <si>
    <t>SUB-TOTAL 03</t>
  </si>
  <si>
    <t>MONTO DE INVERSIÓN A PRECIOS DE MERCADO</t>
  </si>
  <si>
    <t>MONTO DE INVERSIÓN A PRECIOS SOCIALES</t>
  </si>
  <si>
    <t>PRESUPUESTO ESTABLECIMIENTO DE SALUD HUANCARAMA - ANDAHUAYLAS - APURIMAC</t>
  </si>
  <si>
    <t xml:space="preserve">Paso 2.1: ACOPIO  Y ORGANIZACION DE LA INFORMACION DE LOS RHUS DISPONIBLESPOR GRUPO OCUPACIONAL </t>
  </si>
  <si>
    <t>AÑO 2018</t>
  </si>
  <si>
    <t>MATRIZ PLANILLA NOMBRADOS AÑO 2018.</t>
  </si>
  <si>
    <t>PROFESIÓN</t>
  </si>
  <si>
    <t>TOTAL RR.HH</t>
  </si>
  <si>
    <t>PERMANENTES</t>
  </si>
  <si>
    <t>OCASIONALES</t>
  </si>
  <si>
    <t>REMUNERACIONES Y OBLIGACIONES</t>
  </si>
  <si>
    <t>AGUINALDO</t>
  </si>
  <si>
    <t>REMUNERACIÓN IMPONIBLE</t>
  </si>
  <si>
    <t>GUARDIAS</t>
  </si>
  <si>
    <t>CARGA SOCIAL</t>
  </si>
  <si>
    <t>HONORARIOS</t>
  </si>
  <si>
    <t>BONO DL1153 (1)</t>
  </si>
  <si>
    <t>BONO DL1153 (2)</t>
  </si>
  <si>
    <t>BONO DL1153 (3)</t>
  </si>
  <si>
    <t>ESSALUD</t>
  </si>
  <si>
    <t>ESCOLARIDAD</t>
  </si>
  <si>
    <t>AGUI/GRAT.JULIO</t>
  </si>
  <si>
    <t>AGUI/GRAT.DICIEMBRE</t>
  </si>
  <si>
    <t>PERSONAL ASISTENCIAL</t>
  </si>
  <si>
    <t>MEDICO ESPECIALISTA</t>
  </si>
  <si>
    <t>0301-MEDICO I</t>
  </si>
  <si>
    <t>0301-MEDICO PEDIATRA</t>
  </si>
  <si>
    <t>0428-ODONTOLOGO</t>
  </si>
  <si>
    <t>0430-ENFERMERA/O</t>
  </si>
  <si>
    <t>0410-BIOLOGO</t>
  </si>
  <si>
    <t>0470-OBSTETRA</t>
  </si>
  <si>
    <t>0475-PSICOLOGO</t>
  </si>
  <si>
    <t>0471-NUTRICIONISTA</t>
  </si>
  <si>
    <t>0501- QUIMICO FARMACEUTICO</t>
  </si>
  <si>
    <t>1581-TEC. EN ENFERMERIA I</t>
  </si>
  <si>
    <t>1651-TEC. EN LABORATORIO I</t>
  </si>
  <si>
    <t>1701-TEC. FARMACIA</t>
  </si>
  <si>
    <t>PERSONAL ADMINISTRATIVO</t>
  </si>
  <si>
    <t>1411-OPERADOR P.A.D. I</t>
  </si>
  <si>
    <t>2131-TRABAJADOR DE SERVIC. I</t>
  </si>
  <si>
    <t>1231-CHOFER I</t>
  </si>
  <si>
    <t>MATRIZ PLANILLA CONTRATADOS - CAS  AÑO 2018</t>
  </si>
  <si>
    <t xml:space="preserve">TOTAL </t>
  </si>
  <si>
    <t>0495-QUIMICO FARMACEUTICO</t>
  </si>
  <si>
    <t>1651-TEC. FARMACIA</t>
  </si>
  <si>
    <t>FUENTE: Elaboración Propia  en  base:</t>
  </si>
  <si>
    <t>1/ Aneo 1 del D.S. N° 223-2013-EF. Aprueban montos de valorización principal, valorización priorizada por atención primaria de salud y por atención especializada, y la bonificación  por guardias hospitalarias para los profesionales de la salud a que se refiere el D.L. 1153</t>
  </si>
  <si>
    <t>2/ Dispisición complementaria transitoria. Única .- bonificación de guardias hospitalarias. D.S. 223-2013-EF</t>
  </si>
  <si>
    <t xml:space="preserve">3/ Norma de Guardias </t>
  </si>
  <si>
    <t>TOTAL TRABAJADORES</t>
  </si>
  <si>
    <t>REMUNERACION ANUAL POR PERSONA (S/.)</t>
  </si>
  <si>
    <t>SUELDO  ANUAL TOTAL  (S/.)</t>
  </si>
  <si>
    <t>NOMBRADOS</t>
  </si>
  <si>
    <t>Personal asistencial</t>
  </si>
  <si>
    <t>Psicológo</t>
  </si>
  <si>
    <t>Químico Farmaceutico</t>
  </si>
  <si>
    <t>Adminitrativo Profesional (*)</t>
  </si>
  <si>
    <t>Adminitrativo Técnico (**)</t>
  </si>
  <si>
    <t>Adminstrativo Auxiliar (***)</t>
  </si>
  <si>
    <t>REMUNERACIONES SIN PROYECTO</t>
  </si>
  <si>
    <t>RESUMEN : REMUNERACION SIN PROYECTO A PRECIOS DE MERCADO</t>
  </si>
  <si>
    <t>Remuneraciones</t>
  </si>
  <si>
    <t xml:space="preserve">FACTOR DE CORRECCION </t>
  </si>
  <si>
    <t>RESUMEN : REMUNERACION SIN PROYECTO A PRECIOS SOCIALES</t>
  </si>
  <si>
    <t>TABLAS PRECIOS SOCIALES</t>
  </si>
  <si>
    <t>Concepto</t>
  </si>
  <si>
    <t>(%)</t>
  </si>
  <si>
    <t>Factor Correccion (Precio Social)</t>
  </si>
  <si>
    <t>Notas</t>
  </si>
  <si>
    <t>IGV</t>
  </si>
  <si>
    <t>Materiales y Equipos / Insumo de origen nacional (ion)</t>
  </si>
  <si>
    <t>Impuesto a la Renta</t>
  </si>
  <si>
    <t>Mano de obra calificada (moc)</t>
  </si>
  <si>
    <t>Ajuste Salario Bruto (moNc)</t>
  </si>
  <si>
    <t>Mano de obra NO calificada (moNc)- Region Sierra Urbano</t>
  </si>
  <si>
    <t>Precio Social de la Divisa</t>
  </si>
  <si>
    <t>Tasa Social de Descuento General</t>
  </si>
  <si>
    <t>Data SNPMGI</t>
  </si>
  <si>
    <t>PROGRAMACION DE NECESIDADES DE RECURSOS HUMANOS</t>
  </si>
  <si>
    <t>VALORIZACIONES PRINCIPAL DL 1153</t>
  </si>
  <si>
    <t>Medicina Especialista en Medicina 
Interna</t>
  </si>
  <si>
    <t>MEDICO GENERAL</t>
  </si>
  <si>
    <t>NO MÉDICOS</t>
  </si>
  <si>
    <t>Médico Especialista en Traumatología y 
Ortopedia</t>
  </si>
  <si>
    <t>TECNICOS</t>
  </si>
  <si>
    <t>Médico Especialista en Ginecología y 
Obstetricia</t>
  </si>
  <si>
    <t>AUXILIARES</t>
  </si>
  <si>
    <t>PROFESIONALES</t>
  </si>
  <si>
    <t>PERSONAL APOYO</t>
  </si>
  <si>
    <t>Tecnólogo Medico en Terapia Fisica y 
Rehabilitación</t>
  </si>
  <si>
    <t>Recepción de Muestra y Entrega de
 Muestra</t>
  </si>
  <si>
    <t xml:space="preserve">Especialista en redes,soporte informaticoy/o estadistico </t>
  </si>
  <si>
    <t xml:space="preserve">PROYECCION DE COSTOS DE OPERACIÓN DEL RECURSO HUMANO CON PROYECTO  A PRECIOS DE MERCADO EN S/. </t>
  </si>
  <si>
    <t>REMUNERACIONES CON PROYECTO</t>
  </si>
  <si>
    <t xml:space="preserve">TOTAL REMUNERACION </t>
  </si>
  <si>
    <t>RESUMEN : REMUNERACION CON PROYECTO Y SIN PROYECTO A PRECIOS DE MERCADO</t>
  </si>
  <si>
    <t>Remuneraciones CON PROYECTO</t>
  </si>
  <si>
    <t>Remuneraciones SIN PROYECTO</t>
  </si>
  <si>
    <t>RESUMEN : REMUNERACION CON PROYECTO  A PRECIOS SOCIALES</t>
  </si>
  <si>
    <r>
      <rPr>
        <b/>
        <sz val="9"/>
        <color rgb="FF000000"/>
        <rFont val="Arial Narrow"/>
        <family val="2"/>
      </rPr>
      <t>Fuente: D.S 022-2019</t>
    </r>
    <r>
      <rPr>
        <sz val="9"/>
        <color rgb="FF000000"/>
        <rFont val="Arial Narrow"/>
        <family val="2"/>
      </rPr>
      <t xml:space="preserve"> Aprueban nuevos montos de la valorización principal que forma parte de la compensación económica que se otorga al personal de la salud en el marco del Decreto Legislativo N° 1153 y autorizan Transferencia de Partidas en el Presupuesto del Sector Público para el Año Fiscal 2019 a favor de diversos pliegos del Gobierno Nacional y Gobiernos Regionales </t>
    </r>
  </si>
  <si>
    <t>FALTA</t>
  </si>
  <si>
    <t>PROYECCION DE COSTOS DE OPERACIÓN Y MANTENIMIENTO ANUAL A PRECIOS PRIVADOS Y SOCIALES SIN PROYECTO</t>
  </si>
  <si>
    <t xml:space="preserve">COSTOS DE OPERACIÓN Y MANTENIMIENTO SIN PROYECTO  A PRECIOS DE MERCADO EN S/. </t>
  </si>
  <si>
    <t>Recursos Ordinarios</t>
  </si>
  <si>
    <t>Donaciones y Transferencias (SIS)</t>
  </si>
  <si>
    <t>Recursos Directamente Recaudados</t>
  </si>
  <si>
    <t>Recursos Determinados (Decretos de Urgencia)</t>
  </si>
  <si>
    <t xml:space="preserve">COSTOS DE OPERACIÓN Y MANTENIMIENTO SIN PROYECTO  A PRECIOS DE MERCADO EN S/.  </t>
  </si>
  <si>
    <t>01</t>
  </si>
  <si>
    <t xml:space="preserve">COSTOS DE OPERACIÓN </t>
  </si>
  <si>
    <t>Recursos Humanos</t>
  </si>
  <si>
    <t>Asistencial</t>
  </si>
  <si>
    <t>Administrativo</t>
  </si>
  <si>
    <t>Bienes y Servicios</t>
  </si>
  <si>
    <t>Materiales e Insumos</t>
  </si>
  <si>
    <t>Medicamentos</t>
  </si>
  <si>
    <t>PORCENTAJE (%)</t>
  </si>
  <si>
    <t>Combustibles y Lubricantes</t>
  </si>
  <si>
    <t>Repuestos y Accesorios</t>
  </si>
  <si>
    <t>Servicio de Terceros</t>
  </si>
  <si>
    <t>02</t>
  </si>
  <si>
    <t xml:space="preserve">COSTOS DE MANTENIMIENTO </t>
  </si>
  <si>
    <t>Mantenimiento de Equipos</t>
  </si>
  <si>
    <t>Mantenimiento de Infraestructura</t>
  </si>
  <si>
    <t>Factor de Conversión (*)</t>
  </si>
  <si>
    <t>Mano de Obra Calificada</t>
  </si>
  <si>
    <t>Bienes Nacionales</t>
  </si>
  <si>
    <t xml:space="preserve">PROYECCION DE COSTOS DE OPERACIÓN Y MANTENIMIENTO ANUAL A PRECIOS SOCIALES SIN PROYECTO </t>
  </si>
  <si>
    <t>Canon Sobrecanon</t>
  </si>
  <si>
    <t>Presupuesto Analítico-Elaboración del Expediente Técnico- Programa de Capacitación y Plan de Promoción, difusión, Sensibilización de los servicios de salud</t>
  </si>
  <si>
    <t xml:space="preserve"> Terceros</t>
  </si>
  <si>
    <t>Serums</t>
  </si>
  <si>
    <t>Destacados*</t>
  </si>
  <si>
    <t>% Particp</t>
  </si>
  <si>
    <t>Tarifa S/.</t>
  </si>
  <si>
    <t>Parcial S/.</t>
  </si>
  <si>
    <t>Total a Precios Privados S/.</t>
  </si>
  <si>
    <t>TOTAL A PRECIOS SOCIALES</t>
  </si>
  <si>
    <t>A</t>
  </si>
  <si>
    <t>Sueldos y Salarios</t>
  </si>
  <si>
    <t>a.1.0</t>
  </si>
  <si>
    <t>Personal Profesional</t>
  </si>
  <si>
    <t>a.1.1</t>
  </si>
  <si>
    <t>Jefe de Estudio-Profesional de Salud</t>
  </si>
  <si>
    <t>Mes</t>
  </si>
  <si>
    <t>a.1.2</t>
  </si>
  <si>
    <t>Especialista en Capacitación y Rendimiento</t>
  </si>
  <si>
    <t>a.1.3</t>
  </si>
  <si>
    <t>Especialista en Gestión de la Comunicación Social</t>
  </si>
  <si>
    <t>B</t>
  </si>
  <si>
    <t>Material Mobiliario y Útiles de Oficina</t>
  </si>
  <si>
    <t>b.1.0</t>
  </si>
  <si>
    <t>Copias e impresiones</t>
  </si>
  <si>
    <t>b.2.0</t>
  </si>
  <si>
    <t>Materiales de oficina y útiles de escritorio</t>
  </si>
  <si>
    <t>b.3.0</t>
  </si>
  <si>
    <t>Material fotográfico y de filmación</t>
  </si>
  <si>
    <t>Costo de Elaboración</t>
  </si>
  <si>
    <t>Utilidad</t>
  </si>
  <si>
    <t>Costo Sub Total</t>
  </si>
  <si>
    <t>Costo Total</t>
  </si>
  <si>
    <t>Costos referencial de Inversión del Programa de Capacitación y plan de Promoción, sensibilización y difusión</t>
  </si>
  <si>
    <t>PRECIOS SOCIALES</t>
  </si>
  <si>
    <t>Costo Referencial Total (S/.)</t>
  </si>
  <si>
    <t>FACT. CORRECC.</t>
  </si>
  <si>
    <t>TOTAL S/.</t>
  </si>
  <si>
    <t xml:space="preserve">Costo Referencial del Programa de capacitación al personal de salud </t>
  </si>
  <si>
    <t>Costo Referencial del Plan de Promoción, difusión y sensibilización de los servicios de salud</t>
  </si>
  <si>
    <t>Medio fundamental 3: Suficiente Capacitación en gestión, metodologías de atención y en manejo de procesos administrativos de los servicios de salud.</t>
  </si>
  <si>
    <t>Accion 3.1: Capacitación al personal asistencial y administrativo en gestión, metodologías de atención y manejo de procesos administrativos.</t>
  </si>
  <si>
    <t>2.- Costos del Programa de Capacitación al personal de salud</t>
  </si>
  <si>
    <t xml:space="preserve">Costo Referencial del Programa de Capacitación al personal de Salud  </t>
  </si>
  <si>
    <t>C.-Costo referencial de Capacitación Interinstitucional en EESS de mayor capacidad resolutiva</t>
  </si>
  <si>
    <t>Capacitación/Monto Total</t>
  </si>
  <si>
    <t xml:space="preserve">Programa de Capacitación a Personal Asistencial  </t>
  </si>
  <si>
    <t>A. Costo referencial de los Cursos - Taller de Actualización al Personal Asistencial y Administrativo</t>
  </si>
  <si>
    <t>Acciones de capacitación</t>
  </si>
  <si>
    <t>N°  Participantes</t>
  </si>
  <si>
    <t>Duración en días</t>
  </si>
  <si>
    <t>Costo Referencial Total S/.</t>
  </si>
  <si>
    <t>PROFILAXIS DENTAL PEDIATRICO Y ADULTO</t>
  </si>
  <si>
    <t>Curso-Taller</t>
  </si>
  <si>
    <t xml:space="preserve">PREVENCIÓN Y CONTROL DE INFECCIONES AGUDAS
 RESPIRATORIAS </t>
  </si>
  <si>
    <t xml:space="preserve">PREVENCIÓN Y CONTROL DE INFECCIONES  AGUDAS 
DIARREICA </t>
  </si>
  <si>
    <t xml:space="preserve">ENFERMEDADES NO TRANSMISIBLES: HIPERTENSIÓN ARTERIAL,  DIABETES, CÁNCER </t>
  </si>
  <si>
    <t>MONITOREO MATERNO FETAL ELECTRÓNICO</t>
  </si>
  <si>
    <t xml:space="preserve">EMERGENCIAS OBSTÉTRICAS, NEONATALES  Y PERINATALES </t>
  </si>
  <si>
    <t>Curso -Taller</t>
  </si>
  <si>
    <t xml:space="preserve">PREVENCIÓN Y CONTROL DE PROBLEMAS DE NUTRICIÓN </t>
  </si>
  <si>
    <t>ATENCION DE URGENCIAS Y EMERGENCIAS ( PRIORIDAD I, II,III, IV)</t>
  </si>
  <si>
    <t>PREVENCION, MONITOREO Y RESPUESTA EN SALUD ANTE EMERGENCIAS Y DESASTRES: DIRIGIDO AL PERSONAL DE SALUD</t>
  </si>
  <si>
    <t>POBLACION CON PRACTICAS SEGURA EN SALUD FRENTE A OCURENCIAS DE PELIGROS NATURALES : DIRIGIFO AL PERSONAL DE SALUD</t>
  </si>
  <si>
    <t>ATENCION  INTEGRAL DE SALUD DE LAS PERSONAS ADULTAS MAYORES</t>
  </si>
  <si>
    <t xml:space="preserve">PSICOPATOLOGIAS CLINICAS ACTUALES Y SALUD MENTAL EN ATENCION PRIMARIA </t>
  </si>
  <si>
    <t>MANTENIMIENTO Y MANEJO DE EQUIPOS BIOMÉDICOS RADIOLOGICOS (ecografía y radiografía)</t>
  </si>
  <si>
    <t>SISTEMA DE DISPENSACIÓN DE MEDICAMENTOS EN DOSIS UNITARIAS
 PARA LOS ESTABLECIMIENTOS DEL PRIMER NIVEL ATENCIÓN.</t>
  </si>
  <si>
    <t>MANTENIMIENTO Y MANEJO DE EQUIPOS INFORMÁTICOS (cámara de
 videovigilancia, Sistema Historia Clínica, electrónica, REFCON y TELECONSULTAS)</t>
  </si>
  <si>
    <t>BIOSEGURIDAD, MANEJO DE RESIGUOS SOLIDOS EHIGIENEHOSPITALARIA</t>
  </si>
  <si>
    <t>CLIMA ORGANIZACIONAL Y CULTURA ORGANIZACIONAL</t>
  </si>
  <si>
    <t>Tipo de Capacitación</t>
  </si>
  <si>
    <t>CAPACITACIONES INTERINSTITUCIONALES PATOLOGÍA CLÍNICA I-4: 
TOMA DE MUESTRAS, LABORATORIO DE HEMATOLOGIA, LABORATORIO
 DE BIOQUIMICA, LABORATORIO DE MICROBIOLOGIA</t>
  </si>
  <si>
    <t>Capacitación Interinstitucional</t>
  </si>
  <si>
    <t>Medio fundamental 4: Suficiente Promoción, difusión y sensibilización en cuidados de la persona, familia y comunidad.</t>
  </si>
  <si>
    <t>Accion 4.1: Plan de Promoción, difusión y sensibilización a la persona, familia y comunidad.</t>
  </si>
  <si>
    <t>3.- Costos Programa de Promoción, difusión y Sensibilización de la Servicios de Salud a la persona, familia y comunidad.</t>
  </si>
  <si>
    <t>Costo Unitario (S/.)</t>
  </si>
  <si>
    <t>Costo Total (S/.)</t>
  </si>
  <si>
    <t>Marketing y Promocion de servicios de salud</t>
  </si>
  <si>
    <t>Mes-Consultor</t>
  </si>
  <si>
    <t xml:space="preserve">Encuesta de Mercadeo </t>
  </si>
  <si>
    <t>Global</t>
  </si>
  <si>
    <t xml:space="preserve">Elaboración de Spot de radios </t>
  </si>
  <si>
    <t>Servicios de Difusión de cartera de servicios por medios radiales</t>
  </si>
  <si>
    <t>Mes-Difusión</t>
  </si>
  <si>
    <t>Servicios de difusión de Cartera de Servicio en medios Escritos (prensa,revista, articulos,afiches, tripticos e impresiones,etc).</t>
  </si>
  <si>
    <t>Souvenirs, banderolas, llaveros, etc.</t>
  </si>
  <si>
    <t>Campañas de atencion integral de salud</t>
  </si>
  <si>
    <t>Campaña</t>
  </si>
  <si>
    <t xml:space="preserve">Total del Programa de Promoción de los servicios de salud </t>
  </si>
  <si>
    <t>COSTOS UNITARIOS REFERENCIALES DE FORMACIÓN LABORAL</t>
  </si>
  <si>
    <t xml:space="preserve">A. CURSOS TALLER </t>
  </si>
  <si>
    <t>Rubro</t>
  </si>
  <si>
    <t>Costo Referencial Unitario</t>
  </si>
  <si>
    <t>Costo Referencial Total</t>
  </si>
  <si>
    <t xml:space="preserve">EXPOSITOR </t>
  </si>
  <si>
    <t>EXPOSITOR VIATICOS</t>
  </si>
  <si>
    <t>PASAJE TERRESTRE</t>
  </si>
  <si>
    <t>IDA Y VUELTA</t>
  </si>
  <si>
    <t>MATERIALES TALLER</t>
  </si>
  <si>
    <t>UNIDAD</t>
  </si>
  <si>
    <t>ALQUILER DE EQUIPOS</t>
  </si>
  <si>
    <t>HORAS</t>
  </si>
  <si>
    <t>REFRIGERIO ( Mañana y Tarde)</t>
  </si>
  <si>
    <t>PARTICIPANTES</t>
  </si>
  <si>
    <t>COSTO TOTAL</t>
  </si>
  <si>
    <t xml:space="preserve">PREVENCIÓN Y CONTROL DE INFECCIONES AGUDAS RESPIRATORIAS </t>
  </si>
  <si>
    <t xml:space="preserve">PREVENCIÓN Y CONTROL DE INFECCIONES  AGUDAS DIARREICA </t>
  </si>
  <si>
    <t xml:space="preserve">ENFERMEDADES NO TRANSMISIBLES: HIPERTENSIÓN ARTERIAL, DIABETES, CÁNCER </t>
  </si>
  <si>
    <t>ATENCION DE URGENCIAS Y EMERGENCIAS ( PRIORIDAD I, II, III, IV)</t>
  </si>
  <si>
    <t xml:space="preserve"> NNNN  </t>
  </si>
  <si>
    <t xml:space="preserve">VG                                                            </t>
  </si>
  <si>
    <t>POBLACION CON PRACTICAS SEGURA EN SALUD FRENTE A OCURENCIAS DE PELIGROS NATURALES : DIRIGIDO AL 
PERSONAL DE SALUD</t>
  </si>
  <si>
    <t>SISTEMA DE DISPENSACIÓN DE MEDICAMENTOS EN DOSIS UNITARIAS PARA LOS ESTABLECIMIENTOS DEL PRIMER NIVELATENCIÓN.</t>
  </si>
  <si>
    <t>MANTENIMIENTO Y MANEJO DE EQUIPOS INFORMÁTICOS (cámara de videovigilancia, Sistema Historia Clínica, electrónica,
 REFCON y TELECONSULTAS)</t>
  </si>
  <si>
    <t>BIOSEGURIDAD, MANEJO DE RESIGUOS SOLIDOS E HIGIENE HOSPITALARIA</t>
  </si>
  <si>
    <t>VIATICOS DEL EXPOSITOR</t>
  </si>
  <si>
    <t>2.CAPACITACIÓN INTERINSTITUCIONAL</t>
  </si>
  <si>
    <t>CAPACITACIONES INTERINSTITUCIONALES PATOLOGÍA CLÍNICA I-4: TOMA DE MUESTRAS, LABORATORIO DE HEMATOLOGIA,
 LABORATORIO DE BIOQUIMICA, LABORATORIO DE MICROBIOLOGIA</t>
  </si>
  <si>
    <t>Días de pasantía</t>
  </si>
  <si>
    <t>Costo Unitario</t>
  </si>
  <si>
    <t>GESTION Y ASESORIA EN ACOMPAÑAMIENTO DE CAPACITACIÓN INTERINSTITUCIONAL</t>
  </si>
  <si>
    <t>GLOBAL</t>
  </si>
  <si>
    <t>ALIMENTACION, HOSPEDAJE Y MOVILIDAD</t>
  </si>
  <si>
    <t>PASAJE TERRESTRE PARTICIPANTE (NACIONAL)</t>
  </si>
  <si>
    <t>COSTOS UNITARIOS PROGRAMA DE PROMOCIÓN Y SENSIBILIZACION DE LOS SERVICIOS DE SALUD</t>
  </si>
  <si>
    <t>Ingresos  por fuentes de financiamiento del Centro de Salud Huancarama 2014-2018</t>
  </si>
  <si>
    <t>Gastos  por fuentes de financiamiento del Centro de Salud Huancarama 2014-2018</t>
  </si>
  <si>
    <t xml:space="preserve">PROYECCION DE COSTOS DE OPERACIÓN Y MANTENIMIENTO ANUAL A PRECIOS PRIVADOS Y SOCIALES CON PROYECTO </t>
  </si>
  <si>
    <t xml:space="preserve">COSTOS DE OPERACIÓN Y MANTENIMIENTO CON PROYECTO  A PRECIOS DE MERCADO EN S/.   </t>
  </si>
  <si>
    <t>01.01</t>
  </si>
  <si>
    <t>RECURSOS HUMANOS</t>
  </si>
  <si>
    <t>01.01.01</t>
  </si>
  <si>
    <t>01.01.02</t>
  </si>
  <si>
    <t>ADMINISTRATIVOS</t>
  </si>
  <si>
    <t>01.02</t>
  </si>
  <si>
    <t>INSUMOS</t>
  </si>
  <si>
    <t>01.02.01</t>
  </si>
  <si>
    <t>01.03</t>
  </si>
  <si>
    <t>SERVICIOS BASICOS</t>
  </si>
  <si>
    <t>01.03.01</t>
  </si>
  <si>
    <t>SERVICIO DE ENERGIA ELECTRICA</t>
  </si>
  <si>
    <t>01.03.02</t>
  </si>
  <si>
    <t>SERVICIO DE AGUA Y DESAGUE</t>
  </si>
  <si>
    <t>01.03.03</t>
  </si>
  <si>
    <t xml:space="preserve">SERVICIO DE TELEFONIA </t>
  </si>
  <si>
    <t>01.03.04</t>
  </si>
  <si>
    <t>SERVICIO DE INTERNET</t>
  </si>
  <si>
    <t>MANTENIMIENTO EQUIPAMIENTO</t>
  </si>
  <si>
    <t>MANTENIMIENTO INFRAESTRUCTURA</t>
  </si>
  <si>
    <t xml:space="preserve">PROYECCION DE COSTOS DE OPERACIÓN Y MANTENIMIENTO ANUAL A PRECIOS SOCIALES CON PROYECTO </t>
  </si>
  <si>
    <t>COSTOS DE OPERACIÓN Y MANTENIMIENTO CON PROYECTO  A PRECIOS DE MERCADO EN S/</t>
  </si>
  <si>
    <t>(*) Anexo 11 - Parámetros de Parámetros de Evaluación Social - SNPMGI.</t>
  </si>
  <si>
    <t xml:space="preserve">FLUJO DE INGRESOS TOTALES POR PRESTACIONES DE SALUD </t>
  </si>
  <si>
    <t>INGRESO POR ATENCIONES SIS</t>
  </si>
  <si>
    <t>INGRESO POR ATENCIONES NO SIS</t>
  </si>
  <si>
    <t>|</t>
  </si>
  <si>
    <t>FLUJO DE INGRESOS DIRECTAMENTE RECAUDADOS POR PACIENTES SIN COBERTURA DE SEGURO DE SALUD</t>
  </si>
  <si>
    <t>FLUJO DE INGRESO POR REEMBOLSO DE PACIENTES AFILIADOS AL SIS</t>
  </si>
  <si>
    <t xml:space="preserve">          </t>
  </si>
  <si>
    <t>mamografia</t>
  </si>
  <si>
    <t>DEMANDA EFECTIVA CONSOLIDADA CP</t>
  </si>
  <si>
    <t>Tarifa SIS*</t>
  </si>
  <si>
    <t>Tarifa</t>
  </si>
  <si>
    <t>% Afiliados SIS</t>
  </si>
  <si>
    <t>*RM 226-2011/MINSA</t>
  </si>
  <si>
    <t>% Sin Seguro de Salud</t>
  </si>
  <si>
    <t>FLUJO DE INGRESOS POR PRESTACIONES DE SALUD - C.S. HUANC4RAMA - ANDAHUAYLAS - APURIMAC</t>
  </si>
  <si>
    <t>PROYECCION DE COSTOS DE OPERACIÓN POR CONCEPTO DE INSUMOS  CON PROYECTO  A PRECIOS DE MERCADO EN S/</t>
  </si>
  <si>
    <t xml:space="preserve">Luz </t>
  </si>
  <si>
    <t>Agua</t>
  </si>
  <si>
    <t>Telefono</t>
  </si>
  <si>
    <t>Internet</t>
  </si>
  <si>
    <t>Gasto en servicios Básico</t>
  </si>
  <si>
    <t>Servicio de agua potable</t>
  </si>
  <si>
    <t>Consumo
 (Mes)</t>
  </si>
  <si>
    <t>Costo Promedio
 (S/.)</t>
  </si>
  <si>
    <t>Parcial (mes)</t>
  </si>
  <si>
    <t>Anual</t>
  </si>
  <si>
    <t>m3</t>
  </si>
  <si>
    <t>Servicio de energía electrica</t>
  </si>
  <si>
    <t>Cuadro de Cargas</t>
  </si>
  <si>
    <t>Carga
 Unitaria w/m2</t>
  </si>
  <si>
    <t>Potencia
  Instalada (W)</t>
  </si>
  <si>
    <t>Factor de
 Demanda</t>
  </si>
  <si>
    <t>Demanda
 Máxima (W)</t>
  </si>
  <si>
    <t>Maxima
 Demanda (KW)</t>
  </si>
  <si>
    <t>Factor de
 Demanda a uso día</t>
  </si>
  <si>
    <t>Area Total  m2</t>
  </si>
  <si>
    <t>Primeros 900m2</t>
  </si>
  <si>
    <t>Consumo</t>
  </si>
  <si>
    <t>Consumo al mes (Pot. Inst. *30/1000)</t>
  </si>
  <si>
    <t>Gasto en Servicios Básicos</t>
  </si>
  <si>
    <t>Energía factor de demanda de uso</t>
  </si>
  <si>
    <t>Servicio de telefonía fija, celular e internet.</t>
  </si>
  <si>
    <t>Monto</t>
  </si>
  <si>
    <t>Servicio de Telefonía Movil</t>
  </si>
  <si>
    <t>Servicio de Telefonia Fija e Internet</t>
  </si>
  <si>
    <t>Celular</t>
  </si>
  <si>
    <t>RPM</t>
  </si>
  <si>
    <t>Monto Mensual</t>
  </si>
  <si>
    <t>MES</t>
  </si>
  <si>
    <t>ANUAL</t>
  </si>
  <si>
    <t xml:space="preserve">Celular </t>
  </si>
  <si>
    <t>Incluye IGV</t>
  </si>
  <si>
    <t>Cantidad por Mb</t>
  </si>
  <si>
    <t>Costo de Mb</t>
  </si>
  <si>
    <t>Servicio de INTERNET (velocidad de 20 Mbps, siendo importante garantizar el 100% del servicio de ancho de banda)</t>
  </si>
  <si>
    <t>TOTAL ANUAL  ( 1er año)</t>
  </si>
  <si>
    <t xml:space="preserve">Mbps </t>
  </si>
  <si>
    <t>Costo unitario</t>
  </si>
  <si>
    <t xml:space="preserve">Monto mensual </t>
  </si>
  <si>
    <t>Monto anual</t>
  </si>
  <si>
    <t xml:space="preserve">* </t>
  </si>
  <si>
    <t>es importante garantizar el 100 del servicio del ancho de banda</t>
  </si>
  <si>
    <t>BIENES Y SERVICIOS - C.S. HUANC4RAMA</t>
  </si>
  <si>
    <t>PROYECCION DE COSTOS DE OPERACIÓN POR CONCEPTO DE SERVICIOS CON PROYECTO  A PRECIOS DE MERCADO EN S/</t>
  </si>
  <si>
    <t>factor de correccion</t>
  </si>
  <si>
    <t>Gastos en Servicios Básicos - Precios de Mercado</t>
  </si>
  <si>
    <t>Gastos en Servicios Básicos - Precios Sociales</t>
  </si>
  <si>
    <t>Kw/h</t>
  </si>
  <si>
    <t>Consumo (Mes)</t>
  </si>
  <si>
    <t>Costo Promedio (S/.x KW-H)</t>
  </si>
  <si>
    <t>I.G.V.</t>
  </si>
  <si>
    <t>Cargo por afianciamiento de la seguridad</t>
  </si>
  <si>
    <t>Compensacion por distribuidora</t>
  </si>
  <si>
    <t>Ley 28749 - Electrificacion Rural</t>
  </si>
  <si>
    <t>Redondeo del mes</t>
  </si>
  <si>
    <t>Redondeo mes anterior</t>
  </si>
  <si>
    <t>Sub Total (mensual)</t>
  </si>
  <si>
    <t>Total/año</t>
  </si>
  <si>
    <t>Monto de Mantenimiento y Reposición</t>
  </si>
  <si>
    <t>Costo de Mantenimiento de Equipos a precios privados</t>
  </si>
  <si>
    <t xml:space="preserve">DESCRIPCION </t>
  </si>
  <si>
    <t>TIPO DE MANT.</t>
  </si>
  <si>
    <t>PREVENTIVO</t>
  </si>
  <si>
    <t>CORRECTIVO</t>
  </si>
  <si>
    <t>Costo de Reposición o Reemplazo-Fase Post Inversión</t>
  </si>
  <si>
    <t>REPOSICIONES</t>
  </si>
  <si>
    <t>MONTO APROXIMADOS DE EQUIPOS RECUPERABLES</t>
  </si>
  <si>
    <t>CANT.</t>
  </si>
  <si>
    <t>PRECIO</t>
  </si>
  <si>
    <t>Tasa incremental año x año</t>
  </si>
  <si>
    <t>Tiempo de reposicion del bien según NT 003-2008</t>
  </si>
  <si>
    <t>EQUIPOS BIOMEDICOS</t>
  </si>
  <si>
    <t>EQUIPOS COMPLEMENTARIOS</t>
  </si>
  <si>
    <t>EQUIPOS ELECTROMECANICOS</t>
  </si>
  <si>
    <t>EQUIPOS INFORMATICOS</t>
  </si>
  <si>
    <t>MOBILIARIO CLINICO</t>
  </si>
  <si>
    <t>MOBILIARIO ADMINISTRATIVO</t>
  </si>
  <si>
    <t>VEHICULO</t>
  </si>
  <si>
    <t>% COSTOS DE MANTENIMIENTO DE EQUIPAMIENTO RECUPERABLE</t>
  </si>
  <si>
    <t>FASE DE INVERSION</t>
  </si>
  <si>
    <t>HORIZONTE DEL PROYECTO</t>
  </si>
  <si>
    <t>REINVERSION</t>
  </si>
  <si>
    <t>COSTOS DE MANTENIMIENTO PREVENTIVO</t>
  </si>
  <si>
    <t>PROGRAMA DE EQUIPAMIENTO PROPUESTO</t>
  </si>
  <si>
    <t>MONTO APROXIMADOS DE EQUIPOS NUEVOS</t>
  </si>
  <si>
    <t>% Mntenimiento Anual</t>
  </si>
  <si>
    <t>Tiempo de reposicion del bien</t>
  </si>
  <si>
    <t>INSTRUMENTAL</t>
  </si>
  <si>
    <t>% COSTOS DE MANTENIMIENTO DE EQUIPAMIENTO</t>
  </si>
  <si>
    <t>GARANTIA</t>
  </si>
  <si>
    <t>TRANSPORTE</t>
  </si>
  <si>
    <t>COSTOS DE MANTENIMIENTO DE EQUIPAMIENTO</t>
  </si>
  <si>
    <t>REINVERSIÓN</t>
  </si>
  <si>
    <t>FASE DE FUNCIONAMIENTO</t>
  </si>
  <si>
    <t>FASE DE FORMULACION Y EVALUACION</t>
  </si>
  <si>
    <t>RESUMEN DE COSTOS</t>
  </si>
  <si>
    <t>RD 043-2013-DGIEM/MINSA</t>
  </si>
  <si>
    <t>COSTOS DE EQUIPAMIENTO MEDICO</t>
  </si>
  <si>
    <t xml:space="preserve">DESCRIPCIÓN </t>
  </si>
  <si>
    <t>PRECIO ESTIMADO</t>
  </si>
  <si>
    <t>ALMACENAJE, FLETE Y SEGUROS (*)</t>
  </si>
  <si>
    <t>COSTO DE INSTALACIÓN DE EQUIPOS (**)</t>
  </si>
  <si>
    <t xml:space="preserve">CODIGO </t>
  </si>
  <si>
    <t>PROVEED</t>
  </si>
  <si>
    <t>TIPO</t>
  </si>
  <si>
    <t>BRECHA-CANTIDAD</t>
  </si>
  <si>
    <t>COSTO UNIT.</t>
  </si>
  <si>
    <t>COSTO
TOTAL</t>
  </si>
  <si>
    <t>EQUIPOS BIOMÉDICOS</t>
  </si>
  <si>
    <t>D-339</t>
  </si>
  <si>
    <t>Agitador de tubos</t>
  </si>
  <si>
    <t>EQ</t>
  </si>
  <si>
    <t>EQUIPOS ELECTROMECÁNICOS</t>
  </si>
  <si>
    <t>D-368</t>
  </si>
  <si>
    <t>Analizador automático de hemocultivo</t>
  </si>
  <si>
    <t>EQUIPOS INFORMÁTICOS (***)</t>
  </si>
  <si>
    <t>D-243</t>
  </si>
  <si>
    <t>Analizador automático para microbiología</t>
  </si>
  <si>
    <t>D-245</t>
  </si>
  <si>
    <t>Analizador bioquímico semi automático</t>
  </si>
  <si>
    <t>D-246</t>
  </si>
  <si>
    <t>Analizador de electrolíticos y gases de sangre portátil</t>
  </si>
  <si>
    <t>MOBILIARIO CLÍNICO</t>
  </si>
  <si>
    <t>D-448</t>
  </si>
  <si>
    <t>Analizador hematológico</t>
  </si>
  <si>
    <t>D-86</t>
  </si>
  <si>
    <t>Aspirador de secreciones portátil</t>
  </si>
  <si>
    <t>EQUIPOS LIGADOS A OBRA</t>
  </si>
  <si>
    <t>D-88</t>
  </si>
  <si>
    <t>Aspirador de secreciones rodable</t>
  </si>
  <si>
    <t>D-280</t>
  </si>
  <si>
    <t>Balanza analítica de precisión</t>
  </si>
  <si>
    <t>Fuente Costos Dgiem 2014, 2015 y cotizaciones 2015 -2018</t>
  </si>
  <si>
    <t>D-402</t>
  </si>
  <si>
    <t>Balanza de precisión 2 kg</t>
  </si>
  <si>
    <t>D-248</t>
  </si>
  <si>
    <t xml:space="preserve">Baño María de 10 a 15 lt </t>
  </si>
  <si>
    <t>(*) Almacenaje,Flete y Seguros 3%</t>
  </si>
  <si>
    <t>E-130</t>
  </si>
  <si>
    <t>Bidestilador de agua 4 litros/h</t>
  </si>
  <si>
    <t>(**) Costo de instalación de equipos  5%</t>
  </si>
  <si>
    <t>D-193</t>
  </si>
  <si>
    <t xml:space="preserve">Bolsa perfusora                                                                                      </t>
  </si>
  <si>
    <t xml:space="preserve">(***)Se considera sólo equipos que no están incluidos en el TIC (Tecnología de la Información y la Comunicación). </t>
  </si>
  <si>
    <t>D-104</t>
  </si>
  <si>
    <t>Bomba de infusión de 1 canal</t>
  </si>
  <si>
    <t>D-105</t>
  </si>
  <si>
    <t>Bomba de infusión de 2 canales</t>
  </si>
  <si>
    <t>COSTOS DE EQUIPAMIENTO DE TECNOLOGÍA DE INFORMACIÓN Y COMUNICACIÓN TIC</t>
  </si>
  <si>
    <t>D-250</t>
  </si>
  <si>
    <t>Cabina de flujo laminar horizontal</t>
  </si>
  <si>
    <t>D-376</t>
  </si>
  <si>
    <t>Cabina de flujo laminar vertical (4 pies tipo a/b 3)</t>
  </si>
  <si>
    <t>EQUIPOS INFORMÁTICOS TIC</t>
  </si>
  <si>
    <t>D-414</t>
  </si>
  <si>
    <t xml:space="preserve">Cámara intraoral                                                           </t>
  </si>
  <si>
    <t>D-268</t>
  </si>
  <si>
    <t>Centrifuga para 24 tubos</t>
  </si>
  <si>
    <t xml:space="preserve">El presupuesto y la cantidad detallada de los equipos informáticos del TIC se encuentran dentro de la memoria descriptiva de las Instalaciones del sistema informático y de comunicaciones. </t>
  </si>
  <si>
    <t>D-269</t>
  </si>
  <si>
    <t>Centrifuga para microhematocrito</t>
  </si>
  <si>
    <t>D-109</t>
  </si>
  <si>
    <t xml:space="preserve">Coche de paro equipado                                                  </t>
  </si>
  <si>
    <t>COSTO TOTAL DE EQUIPAMIENTO</t>
  </si>
  <si>
    <t>D-235</t>
  </si>
  <si>
    <t>Contador de células (digital)</t>
  </si>
  <si>
    <t>D-350</t>
  </si>
  <si>
    <t>Cuna de calor radiante</t>
  </si>
  <si>
    <t>D-447</t>
  </si>
  <si>
    <t>Desfibrilador con monitor y paletas externas</t>
  </si>
  <si>
    <t>D-373</t>
  </si>
  <si>
    <t>Desfibrilador externo automático</t>
  </si>
  <si>
    <t>D-39</t>
  </si>
  <si>
    <t>Destartarizador ultrasónico</t>
  </si>
  <si>
    <t>D-92</t>
  </si>
  <si>
    <t>Destructor de agujas hipodérmicas</t>
  </si>
  <si>
    <t>D-96</t>
  </si>
  <si>
    <t>Detector de latidos fetales de sobremesa</t>
  </si>
  <si>
    <t>D-97</t>
  </si>
  <si>
    <t>Detector de latidos fetales portátil</t>
  </si>
  <si>
    <t>D-100</t>
  </si>
  <si>
    <t>Ecógrafo doppler color 4D</t>
  </si>
  <si>
    <t>D-103</t>
  </si>
  <si>
    <t>Ecógrafo portátil</t>
  </si>
  <si>
    <t>D-1</t>
  </si>
  <si>
    <t xml:space="preserve">Electrocardiógrafo </t>
  </si>
  <si>
    <t>D-21</t>
  </si>
  <si>
    <t>Equipo de rayos X dental rodable digital</t>
  </si>
  <si>
    <t>D-20</t>
  </si>
  <si>
    <t>Equipo de rayos X estacionario digital</t>
  </si>
  <si>
    <t>D-258</t>
  </si>
  <si>
    <t>Espectrofotómetro</t>
  </si>
  <si>
    <t>D-212</t>
  </si>
  <si>
    <t>Esterilizador con generador eléctrico de vapor de 20 Ls.</t>
  </si>
  <si>
    <t>D-217</t>
  </si>
  <si>
    <t>Esterilizador con generador eléctrico de vapor de 50 Ls.</t>
  </si>
  <si>
    <t>D-352</t>
  </si>
  <si>
    <t xml:space="preserve">Esterilizador con generador eléctrico de vapor vertical de 30 litros                      </t>
  </si>
  <si>
    <t>D-301</t>
  </si>
  <si>
    <t>Esterilizador por calor seco 50 litros</t>
  </si>
  <si>
    <t>D-322</t>
  </si>
  <si>
    <t xml:space="preserve">Estimulador fetal                                          </t>
  </si>
  <si>
    <t>D-259</t>
  </si>
  <si>
    <t>Glucómetro portátil</t>
  </si>
  <si>
    <t>D-271</t>
  </si>
  <si>
    <t>Hemoglobinómetro</t>
  </si>
  <si>
    <t>D-112</t>
  </si>
  <si>
    <t>Incubadora de transporte</t>
  </si>
  <si>
    <t>D-369</t>
  </si>
  <si>
    <t>Incubadora para cultivo</t>
  </si>
  <si>
    <t>D-28</t>
  </si>
  <si>
    <t xml:space="preserve">Lámpara de examen clínico                 </t>
  </si>
  <si>
    <t>D-449</t>
  </si>
  <si>
    <t>Lámpara de fotocurado</t>
  </si>
  <si>
    <t>D-34</t>
  </si>
  <si>
    <t>Lámpara quirúrgica rodable</t>
  </si>
  <si>
    <t>D-33</t>
  </si>
  <si>
    <t>Lámpara quirúrgica de techo simple</t>
  </si>
  <si>
    <t>D-219</t>
  </si>
  <si>
    <t>Lavador ultrasónico de instrumental quirúrgico</t>
  </si>
  <si>
    <t>D-155</t>
  </si>
  <si>
    <t>Mechero bunsen</t>
  </si>
  <si>
    <t>D-60</t>
  </si>
  <si>
    <t>Microscopio binocular estándar</t>
  </si>
  <si>
    <t>D-18</t>
  </si>
  <si>
    <t>Monitor de funciones vitales de 5 parámetros</t>
  </si>
  <si>
    <t>D-17</t>
  </si>
  <si>
    <t xml:space="preserve">Pulsioxímetro </t>
  </si>
  <si>
    <t xml:space="preserve">D-334 </t>
  </si>
  <si>
    <t>Pulsioxímetro portátil</t>
  </si>
  <si>
    <t>D-156</t>
  </si>
  <si>
    <t>Reloj cronómetro para laboratorio</t>
  </si>
  <si>
    <t>D-41</t>
  </si>
  <si>
    <t>Unidad dental completa</t>
  </si>
  <si>
    <t>SUB - TOTAL EQUIPOS BIOMÉDICOS</t>
  </si>
  <si>
    <t>C</t>
  </si>
  <si>
    <t>D-54</t>
  </si>
  <si>
    <t>Amnioscopio</t>
  </si>
  <si>
    <t>D-325</t>
  </si>
  <si>
    <t>Balanza digital con tallimetro adulto</t>
  </si>
  <si>
    <t>D-326</t>
  </si>
  <si>
    <t>Balanza digital con tallímetro neonatal</t>
  </si>
  <si>
    <t>D-188</t>
  </si>
  <si>
    <t>Balanza digital con tallímetro pediátrica</t>
  </si>
  <si>
    <t>D-187</t>
  </si>
  <si>
    <t>Balanza digital neonatal</t>
  </si>
  <si>
    <t>D-412</t>
  </si>
  <si>
    <t>Balanza digital portátil</t>
  </si>
  <si>
    <t>M-65</t>
  </si>
  <si>
    <t>Cajetines de almacenamiento múltiple para dosis unitaria (coche)</t>
  </si>
  <si>
    <t>D-91</t>
  </si>
  <si>
    <t>Calentador para sangre/soluciones</t>
  </si>
  <si>
    <t>D-234</t>
  </si>
  <si>
    <t>Canastilla (gradilla) de coloración de 20 láminas</t>
  </si>
  <si>
    <t>D-153</t>
  </si>
  <si>
    <t>Canastilla (gradilla) para transporte de muestras</t>
  </si>
  <si>
    <t>M-120</t>
  </si>
  <si>
    <t>Carro para el transporte pesado</t>
  </si>
  <si>
    <t>D-328</t>
  </si>
  <si>
    <t>Cinta métrica</t>
  </si>
  <si>
    <t>D-413</t>
  </si>
  <si>
    <t>Cinta obstétrica CLAP</t>
  </si>
  <si>
    <t>D-159</t>
  </si>
  <si>
    <t>Colchoneta 2.0 x 0.80 m</t>
  </si>
  <si>
    <t>D-314</t>
  </si>
  <si>
    <t>Collarín emplomado</t>
  </si>
  <si>
    <t>D-285</t>
  </si>
  <si>
    <t>Cooler para transporte de vacunas</t>
  </si>
  <si>
    <t>D-216</t>
  </si>
  <si>
    <t>Cortadora eléctrica de gasas</t>
  </si>
  <si>
    <t>D-140</t>
  </si>
  <si>
    <t>Equipo de oxigenoterapia rodable</t>
  </si>
  <si>
    <t>D-124</t>
  </si>
  <si>
    <t>Estetoscopio adulto</t>
  </si>
  <si>
    <t>D-125</t>
  </si>
  <si>
    <t>Estetoscopio adulto pediátrico</t>
  </si>
  <si>
    <t>D-349</t>
  </si>
  <si>
    <t>Estetoscopio fetoscopio</t>
  </si>
  <si>
    <t>D-123</t>
  </si>
  <si>
    <t>Estetoscopio neonatal</t>
  </si>
  <si>
    <t>D-126</t>
  </si>
  <si>
    <t>Fronto luz</t>
  </si>
  <si>
    <t>O-26</t>
  </si>
  <si>
    <t>Gestograma</t>
  </si>
  <si>
    <t>E-70</t>
  </si>
  <si>
    <t>Herramientas para jardinero</t>
  </si>
  <si>
    <t>D-343</t>
  </si>
  <si>
    <t>Infantómetro</t>
  </si>
  <si>
    <t>O-6</t>
  </si>
  <si>
    <t>Juegos para estimulación sensorial</t>
  </si>
  <si>
    <t>O-5</t>
  </si>
  <si>
    <t>Juegos para estimulación temprana</t>
  </si>
  <si>
    <t>D-128</t>
  </si>
  <si>
    <t>Linterna para exámen clínico</t>
  </si>
  <si>
    <t>D-200</t>
  </si>
  <si>
    <t xml:space="preserve">Maletín de atención médica </t>
  </si>
  <si>
    <t>Maletín de reanimación - adulto pediátrico</t>
  </si>
  <si>
    <t>D-203</t>
  </si>
  <si>
    <t>Maletín de reanimación neonatal</t>
  </si>
  <si>
    <t>D-147</t>
  </si>
  <si>
    <t>Mandil emplomado</t>
  </si>
  <si>
    <t>D-129</t>
  </si>
  <si>
    <t>Martillo de reflejos</t>
  </si>
  <si>
    <t>D-320</t>
  </si>
  <si>
    <t xml:space="preserve">Medidor de índice de masa corporal                                                                  </t>
  </si>
  <si>
    <t>D-330</t>
  </si>
  <si>
    <t>Módulos de Psicomotricidad para niños 1 a 3 años</t>
  </si>
  <si>
    <t>D-331</t>
  </si>
  <si>
    <t>Módulos de Psicomotricidad para niños 3 años a más</t>
  </si>
  <si>
    <t>D-332</t>
  </si>
  <si>
    <t>Módulos de Psicomotricidad para niños menores de 12 meses</t>
  </si>
  <si>
    <t>D-201</t>
  </si>
  <si>
    <t xml:space="preserve">Nebulizador                                                                            </t>
  </si>
  <si>
    <t>D-131</t>
  </si>
  <si>
    <t>Pantoscopio</t>
  </si>
  <si>
    <t>D-132</t>
  </si>
  <si>
    <t>Pantoscopio pediátrico</t>
  </si>
  <si>
    <t>D-333</t>
  </si>
  <si>
    <t xml:space="preserve">Pelotas para ejercicios 3 medidas </t>
  </si>
  <si>
    <t>M-136</t>
  </si>
  <si>
    <t>Piso microporoso</t>
  </si>
  <si>
    <t>I-59</t>
  </si>
  <si>
    <t>Plicómetro estandarizado</t>
  </si>
  <si>
    <t>E-2</t>
  </si>
  <si>
    <t>Selladora de bolsas</t>
  </si>
  <si>
    <t>O-27</t>
  </si>
  <si>
    <t>Set de rodillos de espuma para gestante</t>
  </si>
  <si>
    <t>M-129</t>
  </si>
  <si>
    <t>Tabla de transporte de politraumatizado</t>
  </si>
  <si>
    <t>D-345</t>
  </si>
  <si>
    <t xml:space="preserve">Tallímetro pediátrico                                                              </t>
  </si>
  <si>
    <t>D-418</t>
  </si>
  <si>
    <t>Tensiómetro aneroide  pediátrico - neonatal</t>
  </si>
  <si>
    <t>D-133</t>
  </si>
  <si>
    <t>Tensiómetro aneroide adulto</t>
  </si>
  <si>
    <t>D-135</t>
  </si>
  <si>
    <t>Tensiómetro aneroide rodable adulto</t>
  </si>
  <si>
    <t>D-136</t>
  </si>
  <si>
    <t>Tensiómetro aneroide rodable pediátrico - neonatal</t>
  </si>
  <si>
    <t>D-289</t>
  </si>
  <si>
    <t xml:space="preserve">Termo porta vacunas </t>
  </si>
  <si>
    <t>D-158</t>
  </si>
  <si>
    <t>Termómetro / higrómetro digital</t>
  </si>
  <si>
    <t>E-191</t>
  </si>
  <si>
    <t>Termómetro para porta vacunas</t>
  </si>
  <si>
    <t>O-20</t>
  </si>
  <si>
    <t>Test abreviado peruano (TAP) (Bateria)</t>
  </si>
  <si>
    <t>O-13</t>
  </si>
  <si>
    <t>Test de desarrollo psicomotor (TEPSI) (Bateria)</t>
  </si>
  <si>
    <t>O-25</t>
  </si>
  <si>
    <t>Test de Stanford Binet (Bateria)</t>
  </si>
  <si>
    <t>O-24</t>
  </si>
  <si>
    <t>Test de WAIS adultos  (completo)</t>
  </si>
  <si>
    <t>O-23</t>
  </si>
  <si>
    <t>Test de WISC-R escolar (completo)</t>
  </si>
  <si>
    <t>O-22</t>
  </si>
  <si>
    <t>Test de WPPSI pre escolar (completo)</t>
  </si>
  <si>
    <t>O-21</t>
  </si>
  <si>
    <t>Test EEDP (escala de evaluación de desarrollo psicomotor) (Bateria)</t>
  </si>
  <si>
    <t>SUB - TOTAL EQUIPOS COMPEMENTARIOS</t>
  </si>
  <si>
    <t>E</t>
  </si>
  <si>
    <t>D-186</t>
  </si>
  <si>
    <t>Balanza de mesa de 20 kilos</t>
  </si>
  <si>
    <t>E-104</t>
  </si>
  <si>
    <t>Balanza de plataforma fuerza 160 kg.</t>
  </si>
  <si>
    <t>E-103</t>
  </si>
  <si>
    <t>Balanza de plataforma, fuerza 100 kg digital</t>
  </si>
  <si>
    <t>E-80</t>
  </si>
  <si>
    <t>Cocina a gas de 4 hornillas y horno</t>
  </si>
  <si>
    <t>E-81</t>
  </si>
  <si>
    <t>Cocina eléctrica de dos hornillas de mesa</t>
  </si>
  <si>
    <t>D-430</t>
  </si>
  <si>
    <t>Congeladora para vacunas horizontal 271 lt.</t>
  </si>
  <si>
    <t>E-83</t>
  </si>
  <si>
    <t>Equipo de pistola para lavado de coches (a vapor)</t>
  </si>
  <si>
    <t>E-152</t>
  </si>
  <si>
    <t xml:space="preserve">Extinguidor contra incendios de agente extintor limpio de 3 kg. </t>
  </si>
  <si>
    <t>E-153</t>
  </si>
  <si>
    <t>Extinguidor contra incendios de agente extintor limpio de 6Kg.</t>
  </si>
  <si>
    <t>E-115</t>
  </si>
  <si>
    <t>Extintor contra incendios de polvo químico seco 12Kg o 30Lb aprox.</t>
  </si>
  <si>
    <t>E-86</t>
  </si>
  <si>
    <t>Horno microondas con panel digital</t>
  </si>
  <si>
    <t>E-208</t>
  </si>
  <si>
    <t xml:space="preserve">Lavador desinfector                                                                                       </t>
  </si>
  <si>
    <t>D-220</t>
  </si>
  <si>
    <t>Lavadora automática de chatas</t>
  </si>
  <si>
    <t>E-210</t>
  </si>
  <si>
    <t xml:space="preserve">Lavadora centrifuga automática de 2 puertas (barrera sanitaria), industrial 50 Kg.                  </t>
  </si>
  <si>
    <t>E-88</t>
  </si>
  <si>
    <t>Licuadora eléctrica</t>
  </si>
  <si>
    <t>E-58</t>
  </si>
  <si>
    <t xml:space="preserve">Máquina lustradora tipo industrial con escobilla </t>
  </si>
  <si>
    <t>E-211</t>
  </si>
  <si>
    <t>Plancha de mano</t>
  </si>
  <si>
    <t>E-53</t>
  </si>
  <si>
    <t xml:space="preserve">Planchadora de sabanas  </t>
  </si>
  <si>
    <t>E-159</t>
  </si>
  <si>
    <t>Refrigerador de 4 p3.</t>
  </si>
  <si>
    <t>E-129</t>
  </si>
  <si>
    <t>Refrigeradora de 14 pies cúbicos</t>
  </si>
  <si>
    <t>D-287</t>
  </si>
  <si>
    <t>Refrigeradora para laboratorio de 14 pies cúbicos</t>
  </si>
  <si>
    <t>D-288</t>
  </si>
  <si>
    <t>Refrigeradora para medicamentos</t>
  </si>
  <si>
    <t>R-49</t>
  </si>
  <si>
    <t>Refrigeradora conservadora horizontal de vacunas 48 L</t>
  </si>
  <si>
    <t>E-162</t>
  </si>
  <si>
    <t>Secador eléctrico de manos</t>
  </si>
  <si>
    <t>E-56</t>
  </si>
  <si>
    <t>Secadora de ropa</t>
  </si>
  <si>
    <t>E-57</t>
  </si>
  <si>
    <t>Tabla de planchar a mano</t>
  </si>
  <si>
    <t>SUB - TOTAL EQUIPOS ELECTROMECÁNICOS</t>
  </si>
  <si>
    <t>INF</t>
  </si>
  <si>
    <t>EQUIPOS INFORMÁTICOS</t>
  </si>
  <si>
    <t>T-49</t>
  </si>
  <si>
    <t>Caja registradora digital</t>
  </si>
  <si>
    <t>E-160</t>
  </si>
  <si>
    <t>T-6</t>
  </si>
  <si>
    <t>Equipo de sonido</t>
  </si>
  <si>
    <t>E-161</t>
  </si>
  <si>
    <t>Lector de código de barras</t>
  </si>
  <si>
    <t>D-15</t>
  </si>
  <si>
    <t>Monitor fetal</t>
  </si>
  <si>
    <t>D-16</t>
  </si>
  <si>
    <t>Monitor fetal gemelar</t>
  </si>
  <si>
    <t>T-78</t>
  </si>
  <si>
    <t>Reloj cronómetro de pared</t>
  </si>
  <si>
    <t>T-79</t>
  </si>
  <si>
    <t>Reloj de una esfera de pared</t>
  </si>
  <si>
    <t>SUB - TOTAL EQUIPOS INFORMÁTICOS</t>
  </si>
  <si>
    <t>I</t>
  </si>
  <si>
    <t>INSTRUMENTAL QUIRÚRGICO</t>
  </si>
  <si>
    <t>D-196</t>
  </si>
  <si>
    <t xml:space="preserve">Set de collarin para politraumatizados </t>
  </si>
  <si>
    <t>Set de instrumental para retirar puntos</t>
  </si>
  <si>
    <t xml:space="preserve">Set de instrumental para sutura </t>
  </si>
  <si>
    <t>D-145</t>
  </si>
  <si>
    <t>Set de riñoneras de acero quirúrgico</t>
  </si>
  <si>
    <t>D-146</t>
  </si>
  <si>
    <t>Set de tambores de acero quirúrgico</t>
  </si>
  <si>
    <t>I-15</t>
  </si>
  <si>
    <t xml:space="preserve">Set de toma de muestras gineco obstétricos </t>
  </si>
  <si>
    <t>I-25</t>
  </si>
  <si>
    <t>Set instrumental de cirugía dental</t>
  </si>
  <si>
    <t>Set instrumental de cirugía menor</t>
  </si>
  <si>
    <t>I-18</t>
  </si>
  <si>
    <t>Set instrumental de inserción y retiro de DIU</t>
  </si>
  <si>
    <t>I-20</t>
  </si>
  <si>
    <t>Set instrumental de legrado uterino</t>
  </si>
  <si>
    <t>I-21</t>
  </si>
  <si>
    <t>Set instrumental de parto</t>
  </si>
  <si>
    <t>I-10</t>
  </si>
  <si>
    <t>Set instrumental de suturas</t>
  </si>
  <si>
    <t>I-26</t>
  </si>
  <si>
    <t>Set instrumental para curación dental</t>
  </si>
  <si>
    <t>I-11</t>
  </si>
  <si>
    <t>Set instrumental para curaciones</t>
  </si>
  <si>
    <t>I-27</t>
  </si>
  <si>
    <t>Set instrumental para diagnostico odontológico</t>
  </si>
  <si>
    <t>I-28</t>
  </si>
  <si>
    <t>Set instrumental para endodoncia</t>
  </si>
  <si>
    <t>I-22</t>
  </si>
  <si>
    <t>Set instrumental para examen ginecológico I</t>
  </si>
  <si>
    <t>I-29</t>
  </si>
  <si>
    <t>Set instrumental para exodoncia</t>
  </si>
  <si>
    <t>I-12</t>
  </si>
  <si>
    <t>Set instrumental para extraccion de cuerpo extraño</t>
  </si>
  <si>
    <t>I-56</t>
  </si>
  <si>
    <t>Set instrumental para punción lumbar</t>
  </si>
  <si>
    <t>I-23</t>
  </si>
  <si>
    <t>Set instrumental para revisión de cuello uterino</t>
  </si>
  <si>
    <t>SUB - TOTAL INSTRUMENTAL</t>
  </si>
  <si>
    <t>MA</t>
  </si>
  <si>
    <t>M-1</t>
  </si>
  <si>
    <t>Archivador metálico de 4 gavetas</t>
  </si>
  <si>
    <t>M-2</t>
  </si>
  <si>
    <t>Armario metálico de 2 puertas</t>
  </si>
  <si>
    <t>M-138</t>
  </si>
  <si>
    <t>Atril rotafolio</t>
  </si>
  <si>
    <t>M-16</t>
  </si>
  <si>
    <t>Banco de madera para vestuario</t>
  </si>
  <si>
    <t>M-17</t>
  </si>
  <si>
    <t>Bandeja acrilica doble para escritorio</t>
  </si>
  <si>
    <t>M-18</t>
  </si>
  <si>
    <t>Butaca metálica de 3 cuerpos</t>
  </si>
  <si>
    <t>M-78</t>
  </si>
  <si>
    <t>Cama de 1½  plaza</t>
  </si>
  <si>
    <t>T-53</t>
  </si>
  <si>
    <t>Ecran de pared enrollable</t>
  </si>
  <si>
    <t>M-6</t>
  </si>
  <si>
    <t>Escalera de aluminio de 3 pasos</t>
  </si>
  <si>
    <t>M-7</t>
  </si>
  <si>
    <t>Escalera de aluminio tipo tijera de 06 pasos</t>
  </si>
  <si>
    <t>M-21</t>
  </si>
  <si>
    <t>Escritorio ejecutivo</t>
  </si>
  <si>
    <t>M-22</t>
  </si>
  <si>
    <t>Escritorio estándar</t>
  </si>
  <si>
    <t>M-133</t>
  </si>
  <si>
    <t>Estantes con juguetes y material didáctico diverso para niños 1 a 3 años</t>
  </si>
  <si>
    <t>M-123</t>
  </si>
  <si>
    <t xml:space="preserve">Mesa de comedor para 4 personas </t>
  </si>
  <si>
    <t>M-26</t>
  </si>
  <si>
    <t>Mesa de madera de trabajo de 240 x 120 cm</t>
  </si>
  <si>
    <t>M-28</t>
  </si>
  <si>
    <t>Mesa de madera para niños</t>
  </si>
  <si>
    <t>M-30</t>
  </si>
  <si>
    <t>Mesa metálica de centro</t>
  </si>
  <si>
    <t>M-98</t>
  </si>
  <si>
    <t>Mesa metálica de uso múltiple de 90 x 45 cm.</t>
  </si>
  <si>
    <t>M-31</t>
  </si>
  <si>
    <t>Mesa metálica esquinera</t>
  </si>
  <si>
    <t>M-32</t>
  </si>
  <si>
    <t>Modulo para computo</t>
  </si>
  <si>
    <t>M-101</t>
  </si>
  <si>
    <t>Papelera de acero inoxidable de forma cilíndrica</t>
  </si>
  <si>
    <t>M-15</t>
  </si>
  <si>
    <t>Papelera metálica de piso</t>
  </si>
  <si>
    <t>M-53</t>
  </si>
  <si>
    <t>Parihuelas para depósito</t>
  </si>
  <si>
    <t>M-9</t>
  </si>
  <si>
    <t>Percha metálica de pared con 4 ganchos</t>
  </si>
  <si>
    <t>M-33</t>
  </si>
  <si>
    <t>Pizarra acrílica de 150 x 100 cm para adosar en la pared</t>
  </si>
  <si>
    <t>M-34</t>
  </si>
  <si>
    <t xml:space="preserve">Silla de madera para niños </t>
  </si>
  <si>
    <t>M-36</t>
  </si>
  <si>
    <t>Silla metálica apilable</t>
  </si>
  <si>
    <t>M-37</t>
  </si>
  <si>
    <t>M-39</t>
  </si>
  <si>
    <t>Silla metálica giratoria rodable</t>
  </si>
  <si>
    <t>M-40</t>
  </si>
  <si>
    <t>Silla metálica giratoria rodable con asiento alto</t>
  </si>
  <si>
    <t>M-38</t>
  </si>
  <si>
    <t>Silla metálica giratoria rodable con brazos</t>
  </si>
  <si>
    <t>M-42</t>
  </si>
  <si>
    <t>Sillón metálico confortable reclinable para reposo</t>
  </si>
  <si>
    <t>M-43</t>
  </si>
  <si>
    <t>Sillón metálico semiconfortable con portabrazos unipersonal</t>
  </si>
  <si>
    <t>M-44</t>
  </si>
  <si>
    <t>Sillón metálico semiconfortable sin portabrazos 2 cuerpos</t>
  </si>
  <si>
    <t>M-45</t>
  </si>
  <si>
    <t>Sillón metálico semiconfortable sin portabrazos 3 cuerpos</t>
  </si>
  <si>
    <t>M-46</t>
  </si>
  <si>
    <t>Sillón metálico semiconfortable sin portabrazos unipersonal</t>
  </si>
  <si>
    <t>M-108</t>
  </si>
  <si>
    <t xml:space="preserve">Velador metálico                    </t>
  </si>
  <si>
    <t>M-10</t>
  </si>
  <si>
    <t>Vitrina metálica para anuncios con puertas corredizas de vidrio</t>
  </si>
  <si>
    <t>M-11</t>
  </si>
  <si>
    <t>Vitrina metálica para libros</t>
  </si>
  <si>
    <t>SUB - TOTAL MOBILIARIO ADMINISTRATIVO</t>
  </si>
  <si>
    <t>MC</t>
  </si>
  <si>
    <t>M-163</t>
  </si>
  <si>
    <t>Archivador metálico de placas radiográficas</t>
  </si>
  <si>
    <t>M-57</t>
  </si>
  <si>
    <t>Armario de acero inoxidable para instrumental dental de 2 cuerpos</t>
  </si>
  <si>
    <t>M-3</t>
  </si>
  <si>
    <t>Armario metálico de un cuerpo y dos compartimientos</t>
  </si>
  <si>
    <t>M-72</t>
  </si>
  <si>
    <t>Biombo de acero inoxidable de 2 cuerpos</t>
  </si>
  <si>
    <t>M-73</t>
  </si>
  <si>
    <t>Cama camilla multipropósito</t>
  </si>
  <si>
    <t>M-75</t>
  </si>
  <si>
    <t>Cama clínica rodable para adultos</t>
  </si>
  <si>
    <t>M-76</t>
  </si>
  <si>
    <t>Cama clínica rodable para niños escolares</t>
  </si>
  <si>
    <t>M-161</t>
  </si>
  <si>
    <t>Cama para trabajo de parto</t>
  </si>
  <si>
    <t>M-80</t>
  </si>
  <si>
    <t>Camilla metálica sobre bastidor rodable</t>
  </si>
  <si>
    <t>M-70</t>
  </si>
  <si>
    <t xml:space="preserve">Camilla para parto vertical </t>
  </si>
  <si>
    <t>M-81</t>
  </si>
  <si>
    <t>Carro metálico fichero para 20 porta historias clínicas</t>
  </si>
  <si>
    <t>M-58</t>
  </si>
  <si>
    <t xml:space="preserve">Carro para el transporte de material estéril </t>
  </si>
  <si>
    <t>M-67</t>
  </si>
  <si>
    <t>Carro para transporte de dosis unitaria</t>
  </si>
  <si>
    <t>M-113</t>
  </si>
  <si>
    <t xml:space="preserve">Carro para útiles de limpieza                      </t>
  </si>
  <si>
    <t>D-141</t>
  </si>
  <si>
    <t>Chata de acero inoxidable</t>
  </si>
  <si>
    <t>M-13</t>
  </si>
  <si>
    <t>Cilíndro de plástico con tapa vaivén</t>
  </si>
  <si>
    <t>M-83</t>
  </si>
  <si>
    <t>Coche metálico de curaciones rodable</t>
  </si>
  <si>
    <t>M-111</t>
  </si>
  <si>
    <t>Coche para transporte de ropa limpia</t>
  </si>
  <si>
    <t>M-84</t>
  </si>
  <si>
    <t>Coche para transporte de ropa sucia.</t>
  </si>
  <si>
    <t>M-164</t>
  </si>
  <si>
    <t>Contenedor rodable para residuos solidos (coche contenedor 140LT.)</t>
  </si>
  <si>
    <t>M-114</t>
  </si>
  <si>
    <t>Cubo de acero inoxidable para desperdicios, con tapa accionada a pedal</t>
  </si>
  <si>
    <t>M-85</t>
  </si>
  <si>
    <t>Cuna acrílica con base metálica rodable</t>
  </si>
  <si>
    <t>M-165</t>
  </si>
  <si>
    <t>Escalinata de acero inoxidable de 2 peldaños</t>
  </si>
  <si>
    <t>M-86</t>
  </si>
  <si>
    <t>Escalinata metálica 2 peldaños</t>
  </si>
  <si>
    <t>M-59</t>
  </si>
  <si>
    <t>Estantería de acero inoxidable de 01 cuerpo 03 divisiones</t>
  </si>
  <si>
    <t>M-60</t>
  </si>
  <si>
    <t xml:space="preserve">Estantería de acero inoxidable de 01 cuerpo 05 divisiones </t>
  </si>
  <si>
    <t>M-8</t>
  </si>
  <si>
    <t xml:space="preserve">EstanterÍa metálica de ángulos ranurados de 01 cuerpo 05 anaqueles </t>
  </si>
  <si>
    <t>M-160</t>
  </si>
  <si>
    <t>Estantería para historias clínicas</t>
  </si>
  <si>
    <t>M-68</t>
  </si>
  <si>
    <t>Mesa (diván) para exámenes gineco obstétricos</t>
  </si>
  <si>
    <t>M-88</t>
  </si>
  <si>
    <t>Mesa (diván) para exámenes y curaciones</t>
  </si>
  <si>
    <t>M-91</t>
  </si>
  <si>
    <t>Mesa de acero inoxidable rodable para múltiples usos</t>
  </si>
  <si>
    <t>M-90</t>
  </si>
  <si>
    <t>Mesa de acero inoxidable tipo mayo</t>
  </si>
  <si>
    <t>M-92</t>
  </si>
  <si>
    <t xml:space="preserve">Mesa de partos </t>
  </si>
  <si>
    <t>M-94</t>
  </si>
  <si>
    <t>Mesa de trabajo de acero inoxidable de 140 x 70 cm</t>
  </si>
  <si>
    <t>M-159</t>
  </si>
  <si>
    <t>Mesa de uso múltiple de acero inoxidable de 90x45cm</t>
  </si>
  <si>
    <t>M-95</t>
  </si>
  <si>
    <t>Mesa especial en acero inoxidable para tópico</t>
  </si>
  <si>
    <t>M-96</t>
  </si>
  <si>
    <t>Mesa metálica de noche</t>
  </si>
  <si>
    <t>M-97</t>
  </si>
  <si>
    <t>Mesa metálica para exámenes y cambiar pañales</t>
  </si>
  <si>
    <t>M-99</t>
  </si>
  <si>
    <t>Mesa rodable de acero inoxidable para curaciones con tablero</t>
  </si>
  <si>
    <t>M-124</t>
  </si>
  <si>
    <t>Mesa rodable para alimentos</t>
  </si>
  <si>
    <t>D-148</t>
  </si>
  <si>
    <t>Negatoscopio de 2 campos</t>
  </si>
  <si>
    <t>D-143</t>
  </si>
  <si>
    <t>Papagayo de acero inoxidable</t>
  </si>
  <si>
    <t>D-144</t>
  </si>
  <si>
    <t>Papagayo de acero inoxidable pediátrico</t>
  </si>
  <si>
    <t>M-100</t>
  </si>
  <si>
    <t>Papelera de acero inoxidable con tapa y ventana batible accionamiento a pedal</t>
  </si>
  <si>
    <t>M-14</t>
  </si>
  <si>
    <t>Papelera de plástico con tapa y ventana batible</t>
  </si>
  <si>
    <t>M-115</t>
  </si>
  <si>
    <t xml:space="preserve">Porta balde de acero inoxidable rodable con balde de acero inoxidable </t>
  </si>
  <si>
    <t>M-116</t>
  </si>
  <si>
    <t>Porta lavatorio doble metálico rodable, incluye lavatorio de acero inoxidable</t>
  </si>
  <si>
    <t>M-117</t>
  </si>
  <si>
    <t>Porta bolsa metálica rodable, con bolsa de lona</t>
  </si>
  <si>
    <t>M-102</t>
  </si>
  <si>
    <t>Porta chatas y papagayos de pared</t>
  </si>
  <si>
    <t>M-105</t>
  </si>
  <si>
    <t xml:space="preserve">Porta suero metálico rodable </t>
  </si>
  <si>
    <t>M-106</t>
  </si>
  <si>
    <t>Silla de ruedas estándar</t>
  </si>
  <si>
    <t>M-107</t>
  </si>
  <si>
    <t>Silla de ruedas pediátrica</t>
  </si>
  <si>
    <t>M-109</t>
  </si>
  <si>
    <t>Silla especial para toma de muestras</t>
  </si>
  <si>
    <t>M-47</t>
  </si>
  <si>
    <t>Taburete de acero inoxidable asiento giratorio rodable</t>
  </si>
  <si>
    <t>M-162</t>
  </si>
  <si>
    <t>Taburete de acero inoxidable con asiento giratorio rodable con respaldo</t>
  </si>
  <si>
    <t>M-51</t>
  </si>
  <si>
    <t>Taburete metálico con asiento de madera para taller</t>
  </si>
  <si>
    <t>M-48</t>
  </si>
  <si>
    <t>Taburete metálico fijo con asiento giratorio</t>
  </si>
  <si>
    <t>M-64</t>
  </si>
  <si>
    <t>Vitrina de acero inoxidable para instrumental y material estéril de 2 cuerpos</t>
  </si>
  <si>
    <t>M-55</t>
  </si>
  <si>
    <t>Vitrina de acero inoxidable para instrumentos o material estéril de un cuerpo</t>
  </si>
  <si>
    <t>SUB - TOTAL MOBILIARIO CLÍNICO</t>
  </si>
  <si>
    <t>VEHÍCULOS DE TRANSPORTE</t>
  </si>
  <si>
    <t>V-2</t>
  </si>
  <si>
    <t>Ambulancia rural tipo II</t>
  </si>
  <si>
    <t>V-5</t>
  </si>
  <si>
    <t>Carro para transporte de personal, tipo todo terreno</t>
  </si>
  <si>
    <t>SUB - TOTAL TRANSPORTE</t>
  </si>
  <si>
    <t>OC</t>
  </si>
  <si>
    <t>H-10</t>
  </si>
  <si>
    <t>Dispensador automático metálico de papel de toalla</t>
  </si>
  <si>
    <t>F-1b</t>
  </si>
  <si>
    <t>Ducha de emergencia para laboratorio</t>
  </si>
  <si>
    <t>F-4</t>
  </si>
  <si>
    <t>Ducha tipo teléfono</t>
  </si>
  <si>
    <t>H-4</t>
  </si>
  <si>
    <t>Jabonera cromada tipo bola para jabón líquido</t>
  </si>
  <si>
    <t>M-157</t>
  </si>
  <si>
    <t xml:space="preserve">Mueble para baño de artesa                                                             </t>
  </si>
  <si>
    <t>H-6</t>
  </si>
  <si>
    <t>Papelera de losa de 15cm x 15cm para empotrar</t>
  </si>
  <si>
    <t>H-3</t>
  </si>
  <si>
    <t xml:space="preserve">Toallero de cerámica </t>
  </si>
  <si>
    <t>SUB - TOTAL EQUIPOS LIGADOS A OBRA</t>
  </si>
  <si>
    <t>COSTO TOTAL DEL EQUIPAMIENTO</t>
  </si>
  <si>
    <t>PARTIDA</t>
  </si>
  <si>
    <t>DESCRIPCIÓN DE SOLUCION</t>
  </si>
  <si>
    <t>METRADO</t>
  </si>
  <si>
    <t>UNITARIO</t>
  </si>
  <si>
    <t>PARCIAL</t>
  </si>
  <si>
    <t>UNID</t>
  </si>
  <si>
    <t>(S/.)</t>
  </si>
  <si>
    <t>SISTEMA DE CONECTIVIDAD/ALAMBRICO E INALAMBRICO Y SEGURIDAD INFORMATICA</t>
  </si>
  <si>
    <t>1.1</t>
  </si>
  <si>
    <t>ADQUISICIÓN DE SUMINISTROS PARA LA IMPLEMENTACIÓN DE LA INTRANET Y OTROS</t>
  </si>
  <si>
    <t>1.1.1</t>
  </si>
  <si>
    <t>und</t>
  </si>
  <si>
    <t>1.1.2</t>
  </si>
  <si>
    <t>1.1.3</t>
  </si>
  <si>
    <t>Gabinete de Piso de 45 RU (Incluye Kit de Ventilación, Barra de  Aterramiento y Regleta de alimentación)</t>
  </si>
  <si>
    <t>1.1.4</t>
  </si>
  <si>
    <t>Access Point para exterior</t>
  </si>
  <si>
    <t>Ordenadores de Cable Hr 2u</t>
  </si>
  <si>
    <t>Ordenadores de Cable Vt 2u</t>
  </si>
  <si>
    <t>Patch Panel de 48 puertos RJ45 F/UTP  CAT 6A</t>
  </si>
  <si>
    <t>Patch Panel de 24 puertos RJ45 F/UTP  CAT 6A</t>
  </si>
  <si>
    <t>Patch Cord F/UTP de 3 m  Cat. 6A</t>
  </si>
  <si>
    <t>Patch Cord F/UTP de 1 m  Cat. 6A</t>
  </si>
  <si>
    <t>Switch de 8p de F.O a 10 Gbps + 24p RJ45 de 10 Gbps + 2p de F.O Administrable - SW Core y Dist - PRI</t>
  </si>
  <si>
    <t>Switch 48p RJ45 + (PoE)  de 1Gbps + 4 X Gibabit SFP - Desktop, Rack moutable - ADM.  - SW Borde</t>
  </si>
  <si>
    <t>Switch 24p RJ45 + (PoE) de 1 Gbps + 2 X Gibabit SFP - Desktop, Rack moutable - ADM.  - SW Borde</t>
  </si>
  <si>
    <t xml:space="preserve">Rack gabinete de Piso </t>
  </si>
  <si>
    <t xml:space="preserve">Rack gabinete de Pared </t>
  </si>
  <si>
    <t>Termometro/Higrometro digital</t>
  </si>
  <si>
    <t>UPS 2 Kva on line</t>
  </si>
  <si>
    <t>Cable F/UTP o U/UTP Cat.6 A  de 4 Pares - Carrete (305m o 500 m)</t>
  </si>
  <si>
    <t>Bandeja Tipo Rejilla 30x10 (Incluye Kit de Unión, Accesorios)</t>
  </si>
  <si>
    <t>m</t>
  </si>
  <si>
    <t>Bandeja Tipo Rejilla 20x10 (Incluye Kit de Unión, Accesorios)</t>
  </si>
  <si>
    <t>EQUIPO DE COMPUTO Y OTROS</t>
  </si>
  <si>
    <t>2.1</t>
  </si>
  <si>
    <t>ADQUISICIÓN DE EQUIPOS DE COMPUTO</t>
  </si>
  <si>
    <t>2.1.1</t>
  </si>
  <si>
    <t>Computadora Personal</t>
  </si>
  <si>
    <t>2.1.2</t>
  </si>
  <si>
    <t>Computadora Portatil</t>
  </si>
  <si>
    <t>2.1.3</t>
  </si>
  <si>
    <t>2.1.4</t>
  </si>
  <si>
    <t>Impresora Laser de Baja Demanda</t>
  </si>
  <si>
    <t>2.1.5</t>
  </si>
  <si>
    <t xml:space="preserve">Impresora Laser Multifuncional </t>
  </si>
  <si>
    <t>Monitor Led 15"</t>
  </si>
  <si>
    <t>Proyector Tiro Largo / Inalambrico</t>
  </si>
  <si>
    <t>Reproductor BLU RAY</t>
  </si>
  <si>
    <t>Televisor Led Full HD Smart TV de 50" aprox. Inc. Rack</t>
  </si>
  <si>
    <t>Televisor Led Full HD Smart TV de 42" aprox. Inc. Rack</t>
  </si>
  <si>
    <t>SISTEMA DE VIDEO VIGILANCIA</t>
  </si>
  <si>
    <t>ADQUISICION DE SUMINISTROS DEL SISTEMA DE SEGURIDAD</t>
  </si>
  <si>
    <t>3.1.1</t>
  </si>
  <si>
    <t>Cámara de Video IP Fija Interior Tipo Domo</t>
  </si>
  <si>
    <t>3.1.2</t>
  </si>
  <si>
    <t>Cámara de Video IP Movil Interior Tipo Domo</t>
  </si>
  <si>
    <t>3.1.3</t>
  </si>
  <si>
    <t xml:space="preserve">Cámara IP PTZ domo / Motorizadas para Exterior </t>
  </si>
  <si>
    <t>NVR  de 12p (Administración y Grabación de video en Red incluye Software)</t>
  </si>
  <si>
    <t>Sistema de Almacenamiento Centralizado para Datos y Video</t>
  </si>
  <si>
    <t>Servidor de Video Vigilancia</t>
  </si>
  <si>
    <t>Estación de Monitoreo de CCTV</t>
  </si>
  <si>
    <t>Monitor Led 32" Full HD + Accesorios</t>
  </si>
  <si>
    <t>Monitor Led 42" Full HD + Accesorios</t>
  </si>
  <si>
    <t>Teclado / Joystick</t>
  </si>
  <si>
    <t>Equipamiento medico</t>
  </si>
  <si>
    <t>Equipamiento TIC</t>
  </si>
  <si>
    <t xml:space="preserve">PROYECTO                                </t>
  </si>
  <si>
    <t>LISTADO CONSOLIDADO EQUIPAMIENTO CON COSTOS POR GRUPO GENÉRICO DEL PROYECTO</t>
  </si>
  <si>
    <t>UNIDAD PRODUCTORA DE SERVICIOS DE SALUD (UPSS)/UPS</t>
  </si>
  <si>
    <t>SERVICIO Y/O AMBIENTE</t>
  </si>
  <si>
    <t>DESCRIPCIÓN DEL BIEN</t>
  </si>
  <si>
    <t xml:space="preserve">TIPO </t>
  </si>
  <si>
    <t>MARCA</t>
  </si>
  <si>
    <t>MODELO</t>
  </si>
  <si>
    <t>SERIE</t>
  </si>
  <si>
    <t>CODIGO
PATRIMONIAL</t>
  </si>
  <si>
    <t>COSTO ESTIMADO DEL VALOR DEL EQUIPO (*) SOLES</t>
  </si>
  <si>
    <t>COSTO DE MANTENIMIENTO ANUAL (SOLES)</t>
  </si>
  <si>
    <t>N° DE EQUIPOS EXISTENTES RECUPERABLES EN EL EE.SS.</t>
  </si>
  <si>
    <t>FORZA</t>
  </si>
  <si>
    <t>S/S</t>
  </si>
  <si>
    <t>SIN MARCA</t>
  </si>
  <si>
    <t>S/M</t>
  </si>
  <si>
    <t>SALUD SEXUAL Y MATERNO NEONATAL</t>
  </si>
  <si>
    <t>CONSULTORIO NIÑO</t>
  </si>
  <si>
    <t>SAMSUNG</t>
  </si>
  <si>
    <t>ESCRITORIO DE MELAMINA DE 3 GAVETAS</t>
  </si>
  <si>
    <t>CUADRO CONSOLIDADO DE COSTOS DE EQUIPOS RECUPERABLES PARA EL PROYECTO</t>
  </si>
  <si>
    <t>TIPO DE EQUIPAMIENTO POR GRUPO GENERICO</t>
  </si>
  <si>
    <t>PORCENTAJE (%) ANUAL DEL COSTO DE MANTENIMIENTO DEL EQUIPO (*)</t>
  </si>
  <si>
    <t>COSTO ESTIMADO DEL VALOR DEL EQUIPO</t>
  </si>
  <si>
    <t>COSTO DE MANTENIMIENTO</t>
  </si>
  <si>
    <t>VEHÍCULOS</t>
  </si>
  <si>
    <t>ANEXO N° 6: COSTO DE MANTENIMIENTO ANUAL DEL EQUIPAMIENTO EXISTENTE RECUPERABLE EFECTIVO PARA EL PROYECTO DEL C.S. HUANC4RAMA</t>
  </si>
  <si>
    <t xml:space="preserve">COSTOS DE CONSERVACIÓN Y MANTENIMIENTO DE LA INFRAESTRUCTURA A PRECIOS PRIVADOS CON PROYECTO </t>
  </si>
  <si>
    <t>Mantenimiento de
Infraestructura</t>
  </si>
  <si>
    <t xml:space="preserve">COSTOS DE CONSERVACIÓN Y MANTENIMIENTO DE LA INFRAESTRUCTURA A PRECIOS SOCIALES CON PROYECTO </t>
  </si>
  <si>
    <t>Tipos de Mantenimiento</t>
  </si>
  <si>
    <t>Partidas</t>
  </si>
  <si>
    <t>UND</t>
  </si>
  <si>
    <t>CANT</t>
  </si>
  <si>
    <t>Costo Unit.</t>
  </si>
  <si>
    <t>COSTO REF. Mensual</t>
  </si>
  <si>
    <t>COSTO ANUAL</t>
  </si>
  <si>
    <t>INVERSION INFRA.</t>
  </si>
  <si>
    <t>SHARON</t>
  </si>
  <si>
    <t>ARQUITECTURA</t>
  </si>
  <si>
    <t>PREVENTIVA</t>
  </si>
  <si>
    <t>MANTENIMIENTO DE CIELO RAZO PINTURA ESMALTE</t>
  </si>
  <si>
    <t>anual</t>
  </si>
  <si>
    <t>CARPINTERIA METALICA</t>
  </si>
  <si>
    <t>GLB</t>
  </si>
  <si>
    <t>CARPINTERIA DE MADERA</t>
  </si>
  <si>
    <t>MANTENIMIENTO DE CERRAJERÍA</t>
  </si>
  <si>
    <t xml:space="preserve">MANTENIMIENTO PINTURA PAREDES INTERIORES </t>
  </si>
  <si>
    <t>MANTENIMIENTO DE ESCALERAS Y BARANDAS INTERIORES</t>
  </si>
  <si>
    <t>MANTENIMIENTO DE CANALETAS/COBERTURAS</t>
  </si>
  <si>
    <t>ML</t>
  </si>
  <si>
    <t>MANTENIMIENTO DE CERCO PERIMETRICO</t>
  </si>
  <si>
    <t xml:space="preserve">12 x año </t>
  </si>
  <si>
    <t>AREAS VERDES Y JARDINES</t>
  </si>
  <si>
    <t>PINTURA PAREDES EXTERIORES</t>
  </si>
  <si>
    <t>cada 5 años</t>
  </si>
  <si>
    <t>CAMBIO DE BALDOSAS DE FALSO CIELO RASO</t>
  </si>
  <si>
    <t>Cada 3 años</t>
  </si>
  <si>
    <t>CAMBIO DE COBERTURA</t>
  </si>
  <si>
    <t>VIDRIOS</t>
  </si>
  <si>
    <t>cada 4 años</t>
  </si>
  <si>
    <t>CARPINETERIA DE MADERA</t>
  </si>
  <si>
    <t>CAMBIO CERRADURAS</t>
  </si>
  <si>
    <t>cada 3 años</t>
  </si>
  <si>
    <t>REPARACION DE PISOS</t>
  </si>
  <si>
    <t>cada 6 años</t>
  </si>
  <si>
    <t>REPARACION DE  PISOS EXTERIORES</t>
  </si>
  <si>
    <t>REPARACION DE ZOCALOS DE CERAMICO</t>
  </si>
  <si>
    <t>SUSTITUCION DE SEÑALETICA DETERIORADA</t>
  </si>
  <si>
    <t>SUB  TOTAL</t>
  </si>
  <si>
    <t>PORCENTAJE DE INCIDENCIA</t>
  </si>
  <si>
    <t>INSTALACIONES SANITARIAS</t>
  </si>
  <si>
    <t>AGUA POTABLE</t>
  </si>
  <si>
    <t>MEDIDOR</t>
  </si>
  <si>
    <t>12 X AÑO</t>
  </si>
  <si>
    <t>VALVULAS</t>
  </si>
  <si>
    <t>4 X AÑO</t>
  </si>
  <si>
    <t>APARATOS SANITARIO</t>
  </si>
  <si>
    <t>GRIFERIAS</t>
  </si>
  <si>
    <t>DESAGUE</t>
  </si>
  <si>
    <t>CAJA DE REGISTRO</t>
  </si>
  <si>
    <t>REGISTROS ROSCADOS</t>
  </si>
  <si>
    <t>3 X AÑO</t>
  </si>
  <si>
    <t>TRAMPAS</t>
  </si>
  <si>
    <t>2 X AÑO</t>
  </si>
  <si>
    <t>SUMIDEROS</t>
  </si>
  <si>
    <t>DRENAJE PLUVIAL</t>
  </si>
  <si>
    <t>CANALETAS DE PISO</t>
  </si>
  <si>
    <t>CAJAS DE REGISTRO</t>
  </si>
  <si>
    <t>ABRAZADERAS DE FIJACION</t>
  </si>
  <si>
    <t>1 AÑO</t>
  </si>
  <si>
    <t xml:space="preserve">TUBERIAS DE PVC </t>
  </si>
  <si>
    <t>cada 10 años</t>
  </si>
  <si>
    <t xml:space="preserve">ACCESORIOS DE PVC </t>
  </si>
  <si>
    <t>ACOMETIDA</t>
  </si>
  <si>
    <t>APARATOS SANITARIOS</t>
  </si>
  <si>
    <t>TUBERIAS PVC PESADAS</t>
  </si>
  <si>
    <t>cada  año</t>
  </si>
  <si>
    <t>TUBERIAS</t>
  </si>
  <si>
    <t>EDGAR</t>
  </si>
  <si>
    <t>SUBESTACION</t>
  </si>
  <si>
    <t>TRANSFORMADOR DE 250 KVA</t>
  </si>
  <si>
    <t>SISTEMA DE GRUPO ELECTROGENO</t>
  </si>
  <si>
    <t>MANTENIMIENTO DE GRUPO ELECTROGENO</t>
  </si>
  <si>
    <t>ASCENSOR</t>
  </si>
  <si>
    <t>MANTENIMIENTO DE ASCENSOR</t>
  </si>
  <si>
    <t>TABLEROS ELECTRICOS</t>
  </si>
  <si>
    <t>MANTENIMIENTO DEL TABLERO GENERAL TG</t>
  </si>
  <si>
    <t>MANTENIMIENTO DEL TABLERO GENERAL DE DISTRIBUCION</t>
  </si>
  <si>
    <t>MANTENIMIENTO DEL TABLERO DE TRANSFERENCIA AUTOMATICA TTA</t>
  </si>
  <si>
    <t>MANTENIMIENTO DEL TABLEROS DE DISTRIBUCION TD</t>
  </si>
  <si>
    <t>PUESTA  A  TIERRA</t>
  </si>
  <si>
    <t>MANTENIMIENTO DE POZOS A TIERRA</t>
  </si>
  <si>
    <t>CAMBIO BATERIA DE ARRANQUE</t>
  </si>
  <si>
    <t>GEORGIOS</t>
  </si>
  <si>
    <t>COMUNICACIONES</t>
  </si>
  <si>
    <t>Equipos Tecnologicos TIC</t>
  </si>
  <si>
    <t>EQUIPOS</t>
  </si>
  <si>
    <t xml:space="preserve">Equipos de Telefonia IP </t>
  </si>
  <si>
    <t>PUNTOS</t>
  </si>
  <si>
    <t xml:space="preserve">Equipos de videovigilancia </t>
  </si>
  <si>
    <t>Equipos de deteccion de incendios</t>
  </si>
  <si>
    <t>Equipos Sistema de comunicación por Radio VHF/HF</t>
  </si>
  <si>
    <t>Mantenimiento preventivo de control de acceso y seguridad</t>
  </si>
  <si>
    <t>Mantenimiento preventivo  de procesamiento centralizado</t>
  </si>
  <si>
    <t>GBL</t>
  </si>
  <si>
    <t>Mantenimiento preventivo de almacenamiento centralizado</t>
  </si>
  <si>
    <t>Mantenimiento correctivo de  conectividad y seguridad informatica</t>
  </si>
  <si>
    <t>Mantenimiento preventivo  de  gestion de imágenes (pacs/ris)</t>
  </si>
  <si>
    <t>Mantenimiento preventivo de  gestion de salud (His)</t>
  </si>
  <si>
    <t xml:space="preserve">Mantenimiento preventivo del Sistema de Telepresencia </t>
  </si>
  <si>
    <t>1 X AÑO</t>
  </si>
  <si>
    <t>Mantenimiento preventivo de  softwares</t>
  </si>
  <si>
    <t>Equipos Sistema Sonido ambiental y perifoneo</t>
  </si>
  <si>
    <t>Equipos Activos de Conectividad</t>
  </si>
  <si>
    <t>Cada 3 AÑOS</t>
  </si>
  <si>
    <t>COMP</t>
  </si>
  <si>
    <t>Mantenimiento correctivo de television IP</t>
  </si>
  <si>
    <t>Mantenimiento correctivo  de procesamiento centralizado</t>
  </si>
  <si>
    <t>Mantenimiento correctivo de almacenamiento centralizado</t>
  </si>
  <si>
    <t>Mantenimiento correctivo  de  gestion de imágenes (pacs/ris)</t>
  </si>
  <si>
    <t xml:space="preserve">Mantenimiento correctivo de  softwares </t>
  </si>
  <si>
    <t xml:space="preserve">COSTOS DE MANTENIMIENTO INFRAESTRUCTURA </t>
  </si>
  <si>
    <t xml:space="preserve">PROYECCION DE COSTOS DE CONSERVACIÓN Y MANTENIMIENTO DE LA INFRAESTRUCTURA A PRECIOS PRIVADOS CON PROYECTO </t>
  </si>
  <si>
    <t>ACU</t>
  </si>
  <si>
    <t>COSTO REF.</t>
  </si>
  <si>
    <t>COSTO / AÑO</t>
  </si>
  <si>
    <t>MANT. PREV. Y CORREC.</t>
  </si>
  <si>
    <t>INST. SANITARIAS</t>
  </si>
  <si>
    <t>Periodicidad
x Año</t>
  </si>
  <si>
    <t>COSTEO DE MANTENIMIENTO CON CUADRO DE VALORES UNITARIOS OFICIALES DE EDIFICACION PARA SIERRA , POR UNIDAD PRODUCTORA DE SERVICIOS - C.S. HUANC4RAMA</t>
  </si>
  <si>
    <t>(*) costo de adquisición presente en el Inventario Patrimonial C.S. HUANC4RAMA</t>
  </si>
  <si>
    <t>FLUJO DE COSTOS INCREMENTALES A PRECIOS DE MERCADO</t>
  </si>
  <si>
    <t xml:space="preserve"> En Soles (S/.)</t>
  </si>
  <si>
    <t>A) COSTOS INVERSIÓN</t>
  </si>
  <si>
    <t>- INVERSIÓN INICIAL</t>
  </si>
  <si>
    <t>C) COSTOS DE OPERACIÓN MANTENIMIENTO CON PIP</t>
  </si>
  <si>
    <t>- COSTOS DE OPERACIÓN</t>
  </si>
  <si>
    <t>- COSTOS DE MANTENIMIENTO</t>
  </si>
  <si>
    <t>1) TOTAL COSTOS CON PROYECTO (A + B + C)</t>
  </si>
  <si>
    <t>2) TOTAL COSTOS SIN PROYECTO (D)</t>
  </si>
  <si>
    <t>3) TOTAL COSTOS INCREMENTALES (1 - 2)</t>
  </si>
  <si>
    <t>FLUJO DE COSTOS INCREMENTALES A PRECIOS SOCIALES</t>
  </si>
  <si>
    <t xml:space="preserve"> En Nuevos Soles (S/.)</t>
  </si>
  <si>
    <t xml:space="preserve">B) COSTO POR REPOSICIÓN </t>
  </si>
  <si>
    <t>EVALUACIÓN SOCIAL COSTO - EFECTIVIDAD</t>
  </si>
  <si>
    <t>VACST</t>
  </si>
  <si>
    <t>IE</t>
  </si>
  <si>
    <t>INV. INICIAL</t>
  </si>
  <si>
    <t>Alternativas</t>
  </si>
  <si>
    <t>VACST (S/.)</t>
  </si>
  <si>
    <t>Meta en el indicador de eficacia</t>
  </si>
  <si>
    <t>CE (S/.)</t>
  </si>
  <si>
    <t>Alternativa Unica</t>
  </si>
  <si>
    <t>Indicadores</t>
  </si>
  <si>
    <t>Datos</t>
  </si>
  <si>
    <t>Tasa Social de descuento</t>
  </si>
  <si>
    <t>Inversion Inicial</t>
  </si>
  <si>
    <t>FLUJO DE COSTOS INCREMENTALES A PRECIOS DE MERCADO Y SOCIALES - C.S. HUANC4RAMA</t>
  </si>
  <si>
    <t>UM (Tarea / Acción)</t>
  </si>
  <si>
    <t>Metas</t>
  </si>
  <si>
    <t>Área / Órgano Encargado Ejecución</t>
  </si>
  <si>
    <t>Área / Responsable / Supervisión</t>
  </si>
  <si>
    <t xml:space="preserve">Recursos Humanos </t>
  </si>
  <si>
    <t xml:space="preserve">Recursos Físicos </t>
  </si>
  <si>
    <t>I. Expediente Técnico de Obra y Equipamiento</t>
  </si>
  <si>
    <t>1. Actos Previos (Marco Presupuestal, inclusión al PAC, creación del Comité Especial, Elaboración de TDR, Estudio de Mercado, Elaboración y aprobación de Bases)</t>
  </si>
  <si>
    <t>DOCUMENTOS</t>
  </si>
  <si>
    <t>Bases aprobadas</t>
  </si>
  <si>
    <t>Unidad Ejecutora / Gobierno Regional-Sede Central / Gerencia Regional de Infraestructura / Sub Gerencia de Obras</t>
  </si>
  <si>
    <t>Oficina Regional de Control Institucional</t>
  </si>
  <si>
    <t>Equipo Profesional del área de Sub Gerencia de Obras de la Región</t>
  </si>
  <si>
    <t xml:space="preserve">Útiles de oficina </t>
  </si>
  <si>
    <t>ACCION</t>
  </si>
  <si>
    <t>Firma Contrato con Empresas Contratistas</t>
  </si>
  <si>
    <t>3. Elaboración de E.T de Obra y Equipamiento</t>
  </si>
  <si>
    <t>Empresa Consultora Seleccionada E-1</t>
  </si>
  <si>
    <t xml:space="preserve"> Sub Gerencia de Estudios Definitivos de la Región</t>
  </si>
  <si>
    <t>Equipo Profesional del área de Sub Gerencia de Estudios de la Región</t>
  </si>
  <si>
    <t>Útiles de oficina, unidades móviles</t>
  </si>
  <si>
    <t>4. Evaluación del E.T. de Obra  y Equipamiento</t>
  </si>
  <si>
    <t>Informe de observaciones</t>
  </si>
  <si>
    <t>Empresa Contratista Seleccionada B-2</t>
  </si>
  <si>
    <t>Equipo Profesional del área de Sub Gerencia de Estudios de la Región / Dirección Regional de Salud (DIRESA)</t>
  </si>
  <si>
    <t>5. Levantamiento de Observaciones del E.T. de Obra  y Equipamiento</t>
  </si>
  <si>
    <t>6. Conformidad del E.T. de Obra  y Equipamiento</t>
  </si>
  <si>
    <t>Unidad Ejecutora / Gobierno Regional-Sede Central / Gerencia Regional de Infraestructura / Sub Gerencia de Estudios - Dirección Regional de Salud</t>
  </si>
  <si>
    <t>7. Elaboración del Informe de Consistencia</t>
  </si>
  <si>
    <t>Unidad Ejecutora / Gobierno Regional-Sede Central / Gerencia Regional de Infraestructura / Sub Gerencia de Estudios Definitivos</t>
  </si>
  <si>
    <t>Útiles de oficina</t>
  </si>
  <si>
    <t>8. Aprobación de Informe de Consistencia</t>
  </si>
  <si>
    <t>Unidad Ejecutora / Gobierno Regional-Sede Central / Gerencia Regional de Infraestructura / Sub Gerencia de Estudios / UF</t>
  </si>
  <si>
    <t>Equipo Profesional del Área de Dirección de Estudios Definitivos de la Región / UF</t>
  </si>
  <si>
    <t>9. Resolución de Aprobación de Expediente Técnico</t>
  </si>
  <si>
    <t>Equipo Profesional del área de Sub Gerencia de Estudios Definitivos de la Región</t>
  </si>
  <si>
    <t>10. Obtención de la Licencia de Construcción y otras relacionadas</t>
  </si>
  <si>
    <t>Autorización de construcción</t>
  </si>
  <si>
    <t>II. Supervisión de Expediente Técnico</t>
  </si>
  <si>
    <t>3. Ejecución labores de supervisión de la elaboración del E.T. de Obra  y Equipamiento</t>
  </si>
  <si>
    <t>Informe de supervisión</t>
  </si>
  <si>
    <t>Empresa Supervisora Seleccionada G</t>
  </si>
  <si>
    <t>Equipo Profesional de la Empresa Supervisora Seleccionada G</t>
  </si>
  <si>
    <t>Útiles de oficina, unidades móviles.</t>
  </si>
  <si>
    <t>4. Conformidad del Informe de Supervisión de la elaboración del E.T. de Obra  y Equipamiento</t>
  </si>
  <si>
    <t>Informe de Liquidación  Aprobado</t>
  </si>
  <si>
    <t>III. Infraestructura</t>
  </si>
  <si>
    <t xml:space="preserve">2 Proceso de selección y contratación de las empresas responsables de la ejecución de obra  (Concurso Público) </t>
  </si>
  <si>
    <t>3 Ejecución de la Infraestructura</t>
  </si>
  <si>
    <t>Infraestructura concluida</t>
  </si>
  <si>
    <t>Empresa Contratista Seleccionada E-2</t>
  </si>
  <si>
    <t>Empresa Supervisora Seleccionada F</t>
  </si>
  <si>
    <t>Equipo Profesional de la Empresa  Seleccionada E-2</t>
  </si>
  <si>
    <t>Insumos, materiales y equipos de construcción</t>
  </si>
  <si>
    <t xml:space="preserve">4 Mitigación de impacto ambiental </t>
  </si>
  <si>
    <t>5 Conformidad del Informe de Supervisión de la Ejecución de Obra, Equipamiento y Liquidación de Obra</t>
  </si>
  <si>
    <t xml:space="preserve"> Dirección de OBRAS de la Región</t>
  </si>
  <si>
    <t>Equipo Profesional de la Sub Gerencia de OBRAS de la Región</t>
  </si>
  <si>
    <t>Útiles de oficina y unidades móviles</t>
  </si>
  <si>
    <t>IV. Equipamiento</t>
  </si>
  <si>
    <t>Bases Aprobado</t>
  </si>
  <si>
    <t>Equipo Profesional</t>
  </si>
  <si>
    <t>2. Procesos de selección de proveedores</t>
  </si>
  <si>
    <t>Firma Contrato</t>
  </si>
  <si>
    <t>Empresa Contratista</t>
  </si>
  <si>
    <t>3.  Adquisición e inst. de equipos biomédicos</t>
  </si>
  <si>
    <t>Insumo, útiles de oficina y unidades móviles</t>
  </si>
  <si>
    <t>4. Adquisición e inst. de equipos informáticos</t>
  </si>
  <si>
    <t>5. Adquisición e inst. de mobiliario</t>
  </si>
  <si>
    <t>6. Adquisición de unidades móviles</t>
  </si>
  <si>
    <t>Adquisición de unidad móvil</t>
  </si>
  <si>
    <t>Empresa Contratista Seleccionada E-3</t>
  </si>
  <si>
    <t>V. Expediente Técnico de Capacitación</t>
  </si>
  <si>
    <t>Unidad Ejecutora / Gobierno Regional-Sede Central / Gerencia Regional de Desarrollo Social / Dirección Regional de Salud (DIRESA)</t>
  </si>
  <si>
    <t>Equipo Profesional de la Dirección Regional de Salud (DIRESA)</t>
  </si>
  <si>
    <t>2. Proceso de convocatoria y selección del responsable de la elaboración del Expediente Técnico de Capacitación</t>
  </si>
  <si>
    <t>Firma Contrato con Empresa Consultora</t>
  </si>
  <si>
    <t>3. Elaboración de Expediente Tecnico de Capacitación</t>
  </si>
  <si>
    <t>Expediente de capacitación</t>
  </si>
  <si>
    <t>Empresa Consultora Seleccionada I</t>
  </si>
  <si>
    <t>Oficina de Recursos Humanos de la Región</t>
  </si>
  <si>
    <t>Equipo Profesional de la Empresa Consultora I</t>
  </si>
  <si>
    <t>4. Conformidad del Plan de Expediente Técnico de Capacitación</t>
  </si>
  <si>
    <t>Informe de conformidad</t>
  </si>
  <si>
    <t>5. Resolución de Aprobación del Expediente Técnico de Capacitación</t>
  </si>
  <si>
    <t>Resolución</t>
  </si>
  <si>
    <t>6. Implementación del Expediente Técnico de Capacitación</t>
  </si>
  <si>
    <t>Personal Capacitado</t>
  </si>
  <si>
    <t>VI. Capacitación de Personal Asistencial y Administrativo</t>
  </si>
  <si>
    <t>2. Proceso de convocatoria y selección del responsable de la elaboración del Plan de Capacitación (AMC ó ADS)</t>
  </si>
  <si>
    <t>3. Elaboración del Plan de Capacitación</t>
  </si>
  <si>
    <t>4. Conformidad del Plan de Capacitación de Personal</t>
  </si>
  <si>
    <t>5. Resolución de Aprobación de Plan de Capacitación</t>
  </si>
  <si>
    <t>6. Implementación y Capacitación del Personal</t>
  </si>
  <si>
    <t xml:space="preserve">VII. Promoción, Sensibilización y Difusión de los Servicios de Salud </t>
  </si>
  <si>
    <t>2. Proceso de convocatoria y selección del responsable de la Elaboración e Implementación del Programa de Difusión y Sensibilización (ADS)</t>
  </si>
  <si>
    <t>Firma Contrato con Empresa Contratada J</t>
  </si>
  <si>
    <t>3. Elaboración del Programa de Difusión y Sensibilización</t>
  </si>
  <si>
    <t>Documento técnico</t>
  </si>
  <si>
    <t>Empresa Contratada Seleccionada J</t>
  </si>
  <si>
    <t>Equipo Profesional de la empresa seleccionada J</t>
  </si>
  <si>
    <t>4. Conformidad del Programa de Difusión y Sensibilización</t>
  </si>
  <si>
    <t>5. Ejecución del Programa de Difusión y Sensibilización</t>
  </si>
  <si>
    <t>Población informada y sensibilizada</t>
  </si>
  <si>
    <t>Área de Recursos Humanos y Capacitación de la DIRESA</t>
  </si>
  <si>
    <t>Equipo Profesional de la Empresa seleccionada J</t>
  </si>
  <si>
    <t>VIII. Estudio ambiental (Monitoreo ambiental y pago de trámites)</t>
  </si>
  <si>
    <t xml:space="preserve">2. Proceso de selección  de Consultores para el Estudio para certificación Ambiental </t>
  </si>
  <si>
    <t>Firma Contrato con Consultores</t>
  </si>
  <si>
    <t xml:space="preserve">3. Elaboración del Estudio  Semi-Detallado  para certificación Ambiental </t>
  </si>
  <si>
    <t>Estudio Semi-Detallado para Certificación Ambiental</t>
  </si>
  <si>
    <t>Empresa Consultora Seleccionada E-2</t>
  </si>
  <si>
    <t xml:space="preserve"> Gerencia de Estudios Definitivos de la Región</t>
  </si>
  <si>
    <t xml:space="preserve">6. Conformidad del Estudio Semi-Detallado  para certificación Ambiental </t>
  </si>
  <si>
    <t>Resolución de Certificación ambiental Semi-Detallado</t>
  </si>
  <si>
    <t>Unidad Ejecutora / Gobierno Regional-Sede Central / Gerencia Regional de Infraestructura / Sub Gerencia de Estudios - Gerencia Regional de Salud</t>
  </si>
  <si>
    <t>XI. Supervisión de obra y equipamiento</t>
  </si>
  <si>
    <t>2. Proceso de selección del Supervisor de la Ejecución de Obra y Equipamiento</t>
  </si>
  <si>
    <t>Firma Contrato con Empresa Supervisora G (Supervisión de la Ejecución de Obra y Equipamiento y Liquidación de Obra)</t>
  </si>
  <si>
    <t xml:space="preserve">5. Ejecución labores de supervisión de la Ejecución de Obra y Equipamiento </t>
  </si>
  <si>
    <t>Equipo Profesional de la Empresa Supervisora Seleccionada F</t>
  </si>
  <si>
    <t>6. Conformidad del Informe de Supervisión de la Ejecución de Obra y Equipamiento</t>
  </si>
  <si>
    <t>X. Liquidación de obra y equipamiento</t>
  </si>
  <si>
    <t xml:space="preserve">2. Proceso de selección del Liquidador de la Ejecución de Obra y Equipamiento </t>
  </si>
  <si>
    <t>5. Ejecución labores de Liquidación de la Ejecución de Obra y Equipamiento</t>
  </si>
  <si>
    <t xml:space="preserve">6. Conformidad del Informe de Liquidaciónn de la Ejecución de Obra y Equipamiento </t>
  </si>
  <si>
    <t>Equipo Profesional del Área de  Dirección de OBRAS de la Región</t>
  </si>
  <si>
    <t>PLAN DE IMPLEMENTACIÓN DEL PROYECTO DEL C.S HUANC4RAMA</t>
  </si>
  <si>
    <t>Expediente Técnico Final</t>
  </si>
  <si>
    <t>Expediente Técnico Preliminar</t>
  </si>
  <si>
    <t>Informe Técnico</t>
  </si>
  <si>
    <t>Informe Técnico / Formato 08-A de la Directiva General N° 001-2019-EF/63.01</t>
  </si>
  <si>
    <t>Expediente Técnico aprobado</t>
  </si>
  <si>
    <t>Bases Aprobadas</t>
  </si>
  <si>
    <t>Firma Contrato con Empresa Supervisora ( Supervisión de la elaboración del E.T. de Obra  y Equipamiento)</t>
  </si>
  <si>
    <t>Informe de Supervisión</t>
  </si>
  <si>
    <t>Equipamiento Biomédico</t>
  </si>
  <si>
    <t>Equipamiento Informático</t>
  </si>
  <si>
    <t>Equipamiento Mobiliario</t>
  </si>
  <si>
    <t>Expediente de Capacitación</t>
  </si>
  <si>
    <t>Firma Contrato con Empresa Consultora F</t>
  </si>
  <si>
    <t>Unidad Ejecutora de Inversiones - UEI</t>
  </si>
  <si>
    <t>Sub Gerencia de Estudios Definitivos de la Región</t>
  </si>
  <si>
    <t>Gerencia Regional de Recursos Naturales y Gestión del Medio Ambiente / Sub Gerencia Regional de Medio Ambiente</t>
  </si>
  <si>
    <t xml:space="preserve"> Sub Gerencia de Obras de la Región</t>
  </si>
  <si>
    <t>Proyecto:</t>
  </si>
  <si>
    <t>Codigo Unico:</t>
  </si>
  <si>
    <t>Localizacion:</t>
  </si>
  <si>
    <t>Modalidad de Ejecucion:</t>
  </si>
  <si>
    <t>Administracion Indirecta</t>
  </si>
  <si>
    <t>Presupuesto:</t>
  </si>
  <si>
    <t xml:space="preserve">CRONOGRAMA FISICO DE  EJECUCION DE OBRA </t>
  </si>
  <si>
    <t>TIEMPO TOTAL : FASE DE EJECUCION DEL PI</t>
  </si>
  <si>
    <t>DESCRIPCION DE ACTIVIDADES</t>
  </si>
  <si>
    <t>DURACION</t>
  </si>
  <si>
    <t>AÑO 1</t>
  </si>
  <si>
    <t>AÑO 2</t>
  </si>
  <si>
    <t>AÑO 3</t>
  </si>
  <si>
    <t>AÑO 2020</t>
  </si>
  <si>
    <t>AÑO 2021</t>
  </si>
  <si>
    <t>AÑO 2022</t>
  </si>
  <si>
    <t>TRIMESTRE 1</t>
  </si>
  <si>
    <t>TRIMESTRE 2</t>
  </si>
  <si>
    <t>TRIMESTRE 3</t>
  </si>
  <si>
    <t>TRIMESTRE 4</t>
  </si>
  <si>
    <t>MES 1</t>
  </si>
  <si>
    <t>MES 2</t>
  </si>
  <si>
    <t>MES 3</t>
  </si>
  <si>
    <t>1.-</t>
  </si>
  <si>
    <t>4 MESES</t>
  </si>
  <si>
    <t>2.-</t>
  </si>
  <si>
    <t>3.-</t>
  </si>
  <si>
    <t>2 MESES</t>
  </si>
  <si>
    <t>4.-</t>
  </si>
  <si>
    <t>5.-</t>
  </si>
  <si>
    <t xml:space="preserve">EJECUCION DE OBRA </t>
  </si>
  <si>
    <t>12 MESES</t>
  </si>
  <si>
    <t>6.-</t>
  </si>
  <si>
    <t>7.-</t>
  </si>
  <si>
    <t>8.-</t>
  </si>
  <si>
    <t>9.-</t>
  </si>
  <si>
    <t>10.-</t>
  </si>
  <si>
    <t>9 MESES</t>
  </si>
  <si>
    <t>3 MESES</t>
  </si>
  <si>
    <t>PRESUPUESTO 
INC. IGV (S/)</t>
  </si>
  <si>
    <t>RESUMEN DEL CRONOGRAMA FISICO</t>
  </si>
  <si>
    <t>INFRAESTRUCTURA</t>
  </si>
  <si>
    <t>PORCENTAJE DE AVANCE (%)</t>
  </si>
  <si>
    <t>PORCENTAJE DE AVANECE ACUMULADO (%)</t>
  </si>
  <si>
    <t>CRONOGRAMA FISICO DEL PI</t>
  </si>
  <si>
    <t>TRIM 1</t>
  </si>
  <si>
    <t>CRONOGRAMA FINANCIERO DE  EJECUCION DE OBRA - A PRECIOS DE MERCADO</t>
  </si>
  <si>
    <t>RESUMEN DEL CRONOGRAMA FINANCIERO - A PRECIOS DE MERCADO</t>
  </si>
  <si>
    <t>CRONOGRAMA FINANCIERO DE  EJECUCION DE OBRA - A PRECIOS SOCIALES</t>
  </si>
  <si>
    <t>"MEJORAMIENTO DE LOS SERVICIOS DE SALUD EN EL CENTRO DE SALUD HUANC4RAMA, DISTRITO DE HUANCARAMA, PROVINCIA DE ANDAHUAYLAS - DEPARTAMENTO DE APURIMAC"</t>
  </si>
  <si>
    <t xml:space="preserve"> 2445283</t>
  </si>
  <si>
    <t>Localidad de Huancarama - Distrito de Huancarama - Provincia de Andahuaylas - Apurimac</t>
  </si>
  <si>
    <t>BENEFICIOS DEL PROYECTO DEL C.S HUANC4RAMA</t>
  </si>
  <si>
    <t xml:space="preserve">                                CALENDARIO VALORIZADO DE AVANCE DE OBRA</t>
  </si>
  <si>
    <t>PARTIDAY/O DESCRIPCION</t>
  </si>
  <si>
    <t>Tipo de Item</t>
  </si>
  <si>
    <t xml:space="preserve">MES 01  </t>
  </si>
  <si>
    <t xml:space="preserve">MES 02 </t>
  </si>
  <si>
    <t>MES 03</t>
  </si>
  <si>
    <t>MES 04</t>
  </si>
  <si>
    <t>MES 05</t>
  </si>
  <si>
    <t>MES 06</t>
  </si>
  <si>
    <t>MES 07</t>
  </si>
  <si>
    <t>MES 08</t>
  </si>
  <si>
    <t>MES 09</t>
  </si>
  <si>
    <t>MES 10</t>
  </si>
  <si>
    <t>MES 11</t>
  </si>
  <si>
    <t>MES 12</t>
  </si>
  <si>
    <t>% AVANCE</t>
  </si>
  <si>
    <t xml:space="preserve">         I.- INFRAESTRUCTURA </t>
  </si>
  <si>
    <t>CONSULTORIOS</t>
  </si>
  <si>
    <t>SALA</t>
  </si>
  <si>
    <t>ESPACIOS FISICOS</t>
  </si>
  <si>
    <t xml:space="preserve">COSTO DIRECTO </t>
  </si>
  <si>
    <t>GASTOS GENERALES</t>
  </si>
  <si>
    <t>PORCENTAJE DE AVANCE ACUMULADO (%)</t>
  </si>
  <si>
    <t>ANALISIS DE SENSIBILIDAD</t>
  </si>
  <si>
    <t>Análisis de Sensibilidad a Precios Sociales por Variación del Índice de Efectividad</t>
  </si>
  <si>
    <t>Análisis de Sensibilidad a Precios Sociales por Variación del Valor Actual de Costos Sociales Netos</t>
  </si>
  <si>
    <t>% de Variación del IE</t>
  </si>
  <si>
    <t>CE Alternativa Única</t>
  </si>
  <si>
    <t>% de Variación del VACSN</t>
  </si>
  <si>
    <t>VACSN
Alternativa Única</t>
  </si>
  <si>
    <t>Fuente: Elaboración propia</t>
  </si>
  <si>
    <t>Alternativa
Única</t>
  </si>
  <si>
    <t>VACSN  (S/.)</t>
  </si>
  <si>
    <r>
      <t>Indicador de Eficiencia</t>
    </r>
    <r>
      <rPr>
        <sz val="9"/>
        <color theme="1"/>
        <rFont val="Arial Narrow"/>
        <family val="2"/>
      </rPr>
      <t>(1)</t>
    </r>
    <r>
      <rPr>
        <sz val="9"/>
        <rFont val="Arial Narrow"/>
        <family val="2"/>
      </rPr>
      <t xml:space="preserve"> </t>
    </r>
  </si>
  <si>
    <t>COSTO-EFECTIVIDAD (CE)</t>
  </si>
  <si>
    <t>Analisis de Sensibilidad a Precios Sociales Variación de Valor Actual de Costos</t>
  </si>
  <si>
    <t>Variación %</t>
  </si>
  <si>
    <t>VAC1</t>
  </si>
  <si>
    <t>CE1</t>
  </si>
  <si>
    <t>Elaboración: Equipo Consultor</t>
  </si>
  <si>
    <t>ANALISIS DE SENSIBILIDAD POR VARIACION EN COSTOS DE OPER. Y MANT.</t>
  </si>
  <si>
    <t>Variación</t>
  </si>
  <si>
    <t>VACT</t>
  </si>
  <si>
    <t>ANALISIS DE SENSIBILIDAD POR VARIACION COSTOS DE INVERSION</t>
  </si>
  <si>
    <t xml:space="preserve">Inversión </t>
  </si>
  <si>
    <t>MATRIZ DE MARCO LOGICO DEL PROYECTO DE INVERSION</t>
  </si>
  <si>
    <t>RESUMEN DE OBJETIVOS</t>
  </si>
  <si>
    <t>INDICADORES</t>
  </si>
  <si>
    <t>MEDIOS DE VERIFICACION</t>
  </si>
  <si>
    <t>SUPUESTOS</t>
  </si>
  <si>
    <t>FIN</t>
  </si>
  <si>
    <t>PROPOSITO</t>
  </si>
  <si>
    <t>Reporte estadístico de producción del establecimiento de salud, complementariamente comparativo con la linea de base, evaluaciones semestrales y anuales. Reportes de servicios de salud del establecimiento de salud.</t>
  </si>
  <si>
    <t>COMPONENTES</t>
  </si>
  <si>
    <t>* Informes de Supervisión y Liquidación (Programa Nacional de Inversiones de Salud).
* Registro de la oficina de Administracción (además de logística y patrimonio de los establecimiento de salud).</t>
  </si>
  <si>
    <t>* Los contratistas y los proveedores con los requerimiento y plazos establecidos.
Se ejecuta un adecuado plan de mantemiento de Infraestructura y equipamiento.
* La población acude de los servicios del establecimiento de salud, por encontrarse en buenas condiciones para la atención.  
* Respaldo de las autoridades parar la sostenibilidad del proyecto.
Personal de salud identificado para el cumplimiento de objetivos y metas del proyecto.
* El equipo de las Áreas de Patrimonio y Logística de la Red de Salud y DIRESA cuentan con el recurso humano y las competencias técnicas para llevar a cabo las acciones de supervisión.</t>
  </si>
  <si>
    <t>* Informes de Supervisión y Liquidación (Programa Nacional de Inversiones de Salud).
* Registro de la oficina de Administracción (además de logistica y patrimonio de los establecimiento de salud).
* Informe de la Unidad de Mantenimiento de los establecimiento de salud.
* Informes de Evaluación de la Dirección de Servicios de Salud de la Dirección Regional de Salud de Apurimac.
* Informes de Evaluación de la Oficina de Informática de la Dirección Regional de Salud de Apurimac.</t>
  </si>
  <si>
    <t>Informes de Gestión del área de personal y logística de la DIRESA</t>
  </si>
  <si>
    <t>Personal de Salud identificado para cumplimiento de objetivos y metas del proyecto.</t>
  </si>
  <si>
    <t>Reportes de  Promoción de la Salud,  de la DIRESA</t>
  </si>
  <si>
    <t>La poblacion beneficiaria esta bien informada sobre los beneficios de las atenciones asistenciales</t>
  </si>
  <si>
    <t>ACCIONES</t>
  </si>
  <si>
    <t>ACCION 1.1  Con un costo de         S/</t>
  </si>
  <si>
    <t>* Actas  de conformidad de la obra.
* Guías de remisión, facturas, actas de entrega de Equipos según expediente técnico. 
* Recibos/facturas por servicio/estudio.</t>
  </si>
  <si>
    <t>Gobierno Regional de Apurímac garantiza la disponibilidad presupuestal para el financiamiento oportuno según plan de implementación, cumpliendo los contratos suscritos con los proveedores y contratistas. Las autoridades y la comunidad estan a favor del desarrollo del proyecto.</t>
  </si>
  <si>
    <t>ACCION 2.1  Con un costo de         S/</t>
  </si>
  <si>
    <t>ACCION 3.1  Con un costo de         S/</t>
  </si>
  <si>
    <t>ACCION 4.1  Con un costo de         S/</t>
  </si>
  <si>
    <t>Expediente Técnico de Obra y Equipamiento                                    S/</t>
  </si>
  <si>
    <t>Supervisión de Expediente Tecnico S/</t>
  </si>
  <si>
    <t xml:space="preserve">Expediente Técnico de Capacitacion S/ </t>
  </si>
  <si>
    <t>Estudio Ambiental (Monitoreo ambiental y pago de  tramites)                                S/</t>
  </si>
  <si>
    <t xml:space="preserve">Costo Total de Inversion </t>
  </si>
  <si>
    <t>EJECUCIÓN - ATENCIÓN DE COMPROMISO MENSUAL</t>
  </si>
  <si>
    <t>400-755: REGION APURIMAC-SALUD APURIMAC</t>
  </si>
  <si>
    <t xml:space="preserve">5-21: PERSONAL Y OBLIGACIONES SOCIALES </t>
  </si>
  <si>
    <t>5-22: PENSIONES Y OTRAS PRESTACIONES SOCIALES</t>
  </si>
  <si>
    <t>5-23: BIENES Y SERVICIOS</t>
  </si>
  <si>
    <t xml:space="preserve">5-25: OTROS GASTOS </t>
  </si>
  <si>
    <t xml:space="preserve">6-26: ADQUISICIÓN DE ACTIVOS NO FINANCIEROS </t>
  </si>
  <si>
    <t>401-756: REGION APURIMAC-SALUD CHANKA</t>
  </si>
  <si>
    <t>5-25: OTROS GASTOS</t>
  </si>
  <si>
    <t>402-1037: REGION APURIMAC-HOSPITAL GUILLERMO DIAZ DE LA VEGA-ABANCAY</t>
  </si>
  <si>
    <t>403-1038: REGION APURIMAC-HOSPITAL SUBREGIONAL DE ANDAHUAYLAS</t>
  </si>
  <si>
    <t>404-1497: GOB. REG. APURIMAC - RED DE SALUD VIRGEN DE COCHARCAS</t>
  </si>
  <si>
    <t>405-1498: GOB. REG. APURIMAC - RED DE SALUD ABANCAY</t>
  </si>
  <si>
    <t>406-1499: GOB. REG. APURIMAC - RED DE SALUD GRAU</t>
  </si>
  <si>
    <t>407-1500: GOB. REG. APURIMAC - RED DE SALUD COTABAMBAS</t>
  </si>
  <si>
    <t>408-1501: GOB. REG. APURIMAC - RED DE SALUD ANTABAMBA</t>
  </si>
  <si>
    <t>409-1502: GOB. REG. APURIMAC - RED DE SALUD AYMARAES</t>
  </si>
  <si>
    <t xml:space="preserve">CONSOLIDADO </t>
  </si>
  <si>
    <t>PIA EJECUTORA DE SALUD - REGIÓN APURÍMAC</t>
  </si>
  <si>
    <t>PIM EJECUTORA DE SALUD - REGIÓN APURÍMAC</t>
  </si>
  <si>
    <t>EJECUCIÓN FINANCIERA A NIVEL DE DEVENGADO CON RESPECTO AL PIA</t>
  </si>
  <si>
    <t>EJECUCIÓN FINANCIERA A NIVEL DE DEVENGADO CON RESPECTO AL PIM</t>
  </si>
  <si>
    <t>SALDO PRESUPUESTAL C/R. PIA</t>
  </si>
  <si>
    <t>SALDO PRESUPUESTAL C/R. PIM</t>
  </si>
  <si>
    <t>EJECUCIÓN FINANCIERA A NIVEL DE DEVENGADO</t>
  </si>
  <si>
    <t>GENERICA DE GASTOS</t>
  </si>
  <si>
    <t>DEVENGADO ANUAL TOTAL</t>
  </si>
  <si>
    <t>PIA</t>
  </si>
  <si>
    <t>EJECUTORA</t>
  </si>
  <si>
    <t>DEVENGADO ANUAL</t>
  </si>
  <si>
    <t>% de Ejecución con Respecto al PIA Anual</t>
  </si>
  <si>
    <t>PIM</t>
  </si>
  <si>
    <t>% de Ejecución con Respecto al PIM Anual</t>
  </si>
  <si>
    <t>Identificación de Espacios presupuestales y compromiso del pliego</t>
  </si>
  <si>
    <t xml:space="preserve">Flujo de ingresos totales </t>
  </si>
  <si>
    <t>COSTOS DE OPERACIÓN</t>
  </si>
  <si>
    <t>COSTOS DE MANTENIMIENTO</t>
  </si>
  <si>
    <t>TOTAL COSTOS INCREMENTALES (A - B)</t>
  </si>
  <si>
    <t>Cobertura</t>
  </si>
  <si>
    <t xml:space="preserve">Cobertura promedio             </t>
  </si>
  <si>
    <t xml:space="preserve">Espacios Financieros de UE 400 - 755: Region Apurimac - Salud Apurimac (Actividades - Gastos Corrientes) </t>
  </si>
  <si>
    <t>Compromiso del pliego</t>
  </si>
  <si>
    <t>Monto total a cubrir de la O y M</t>
  </si>
  <si>
    <t>Saldo para realizar las gestiones ante el MEF</t>
  </si>
  <si>
    <t xml:space="preserve">Cobertura porcentual del espacio Presupuestal </t>
  </si>
  <si>
    <t xml:space="preserve">Incremento anual </t>
  </si>
  <si>
    <t>Ingresos  por  Sub especifica de gastos del Centro de Salud Huancarama 2014-2018</t>
  </si>
  <si>
    <t>PERSONAL Y OBLIGACIONES SOCIALES</t>
  </si>
  <si>
    <t>BIENES Y SERVICIOS</t>
  </si>
  <si>
    <t>ADQUISICION DE ACTIVOS NO FINANCIEROS</t>
  </si>
  <si>
    <t>INGRESOS</t>
  </si>
  <si>
    <t>GASTOS</t>
  </si>
  <si>
    <t>Gastos  por especifica del Centro de Salud Huancarama 2014-2018</t>
  </si>
  <si>
    <t>ANEXO N° 3: LISTADO CONSOLIDADO DEL EQUIPAMIENTO CON COSTOS POR GRUPO GENÉRICO DEL C.S. HUANCARAMA</t>
  </si>
  <si>
    <t>E-116</t>
  </si>
  <si>
    <t>E-209</t>
  </si>
  <si>
    <t>Pistola para lavado de coche</t>
  </si>
  <si>
    <t>PRESUPUESTO GENERAL POR SOLUCION TECNOLOGICA</t>
  </si>
  <si>
    <t>SISTEMA DE TELEFONIA IP</t>
  </si>
  <si>
    <t>ADQUISICIÓN DE EQUIPOS DEL SISTEMA DE TELEFONIA IP</t>
  </si>
  <si>
    <t>Servidor PBX IP</t>
  </si>
  <si>
    <t>Gateway 24 puertos</t>
  </si>
  <si>
    <t>Sistema de Gestion para Central Telefonica</t>
  </si>
  <si>
    <t>Telefono IP</t>
  </si>
  <si>
    <t>SISTEMA DE SONIDO AMBIENTAL Y PERIFONEO</t>
  </si>
  <si>
    <t>ADQUISICION DE SUMINISTROS DEL SISTEMA DE SONIDO AMBIENTAL Y PERIFONEO</t>
  </si>
  <si>
    <t>Central de Sonido / Consola de Sonido</t>
  </si>
  <si>
    <t>Amplificador de Zona</t>
  </si>
  <si>
    <t>Parlantes techo / Inc. Accesorios</t>
  </si>
  <si>
    <t>Micrófono</t>
  </si>
  <si>
    <t>Control de Volumen</t>
  </si>
  <si>
    <t>SISTEMA DE TV DIGITAL</t>
  </si>
  <si>
    <t>ADQUISICION DE SUMINISTROS DEL SISTEMA DE TV DIGITAL</t>
  </si>
  <si>
    <t>Amplificador de Video de 16 puertos de 1Ghz (3 Circuitos)</t>
  </si>
  <si>
    <t>Plataforma Receptor de Señal - Conversor de 10/100 Mbps</t>
  </si>
  <si>
    <t>Central de Video</t>
  </si>
  <si>
    <t>SISTEMA DE CONTROL DE ACCESO</t>
  </si>
  <si>
    <t>4.1</t>
  </si>
  <si>
    <t>ADQUISICION DE SUMINISTROS DEL SISTEMA DE CONTROL DE ACCESO</t>
  </si>
  <si>
    <t>Gbl</t>
  </si>
  <si>
    <t>4.1.1</t>
  </si>
  <si>
    <t>Control de Acceso con Apertura a Puerta</t>
  </si>
  <si>
    <t>4.1.2</t>
  </si>
  <si>
    <t xml:space="preserve">Control de Asistencia  </t>
  </si>
  <si>
    <t>4.1.3</t>
  </si>
  <si>
    <t>Software</t>
  </si>
  <si>
    <t>SISTEMA DE TELEPRESENCIA</t>
  </si>
  <si>
    <t>ADQUISICION E IMPLEMENTACIÒN DEL SISTEMA DE TELEPRESENCIA</t>
  </si>
  <si>
    <t>5.1.1</t>
  </si>
  <si>
    <t xml:space="preserve">Unidad Movil de Telemedicina  </t>
  </si>
  <si>
    <t>5.1.2</t>
  </si>
  <si>
    <t>Computadora</t>
  </si>
  <si>
    <t>5.1.3</t>
  </si>
  <si>
    <t xml:space="preserve">Pantallas - 01 de 27" </t>
  </si>
  <si>
    <t>5.1.4</t>
  </si>
  <si>
    <t>Sistema de Video Conferencia</t>
  </si>
  <si>
    <t>SISTEMA COMUNICACIÓN POR RADIO VHF/HF</t>
  </si>
  <si>
    <t>ADQUISICION DE SUMINISTROS DEL SISTEMA DE COMUNICACIÓN</t>
  </si>
  <si>
    <t>6.1.1</t>
  </si>
  <si>
    <t>Radio Base HF</t>
  </si>
  <si>
    <t>6.1.2</t>
  </si>
  <si>
    <t>Repetidora</t>
  </si>
  <si>
    <t>6.1.3</t>
  </si>
  <si>
    <t>Pararrayos</t>
  </si>
  <si>
    <t>6.1.4</t>
  </si>
  <si>
    <t>Pozo a Tierra</t>
  </si>
  <si>
    <t>6.1.5</t>
  </si>
  <si>
    <t>Infraestructura</t>
  </si>
  <si>
    <t>6.1.6</t>
  </si>
  <si>
    <t>Radios Portátiles y Móviles</t>
  </si>
  <si>
    <t>SISTEMA DE DETECCION Y ALARMA DE INCENDIOS</t>
  </si>
  <si>
    <t>ADQUISICIÓN DE EQUIPOS DEL SISTEMA DE DETECCION Y ALARMA DE INCENDIOS</t>
  </si>
  <si>
    <t>7.1.1</t>
  </si>
  <si>
    <t>Panel de Alarmas Contra Incendios</t>
  </si>
  <si>
    <t>7.1.2</t>
  </si>
  <si>
    <t>Sensor de Humo</t>
  </si>
  <si>
    <t>7.1.3</t>
  </si>
  <si>
    <t>Sensor de Temperatura</t>
  </si>
  <si>
    <t>7.1.4</t>
  </si>
  <si>
    <t>Estacion Manual de Activacion de Alarma</t>
  </si>
  <si>
    <t>7.1.5</t>
  </si>
  <si>
    <t>Sistema Audiovisual</t>
  </si>
  <si>
    <t>7.1.6</t>
  </si>
  <si>
    <t>Modulo para Telefono de Bomberos</t>
  </si>
  <si>
    <t>SISTEMA DE PROCESAMIENTO Y ALMACENAMIENTO CENTRALIZADO</t>
  </si>
  <si>
    <t>ADQUISICION DE SUMINISTROS DEL SISTEMA DEL PROCESAMIENTO Y ALMACENAMIENTO CENTRALIZADO</t>
  </si>
  <si>
    <t>8.1.1</t>
  </si>
  <si>
    <t>Servidor Tipo Blade de Alamcenamiento y Procesamiento</t>
  </si>
  <si>
    <t>8.1.2</t>
  </si>
  <si>
    <t>Chassis de Servidor</t>
  </si>
  <si>
    <t>8.1.3</t>
  </si>
  <si>
    <t>Almacenamiento de Información: arquitectura SAN</t>
  </si>
  <si>
    <t>9.1.1</t>
  </si>
  <si>
    <t>Firewall 16 puertos RJ45 + 2p X GE RJ45/SFP</t>
  </si>
  <si>
    <t>9.1.2</t>
  </si>
  <si>
    <t>Gabinete de Pared de 8 RU (Incluye Kit de Ventilación y Regleta de alimentación)</t>
  </si>
  <si>
    <t>9.1.3</t>
  </si>
  <si>
    <t>9.1.4</t>
  </si>
  <si>
    <t>9.1.5</t>
  </si>
  <si>
    <t>9.1.6</t>
  </si>
  <si>
    <t>9.1.7</t>
  </si>
  <si>
    <t>9.1.8</t>
  </si>
  <si>
    <t>9.1.9</t>
  </si>
  <si>
    <t>9.1.10</t>
  </si>
  <si>
    <t>9.1.11</t>
  </si>
  <si>
    <t>9.1.12</t>
  </si>
  <si>
    <t>9.1.13</t>
  </si>
  <si>
    <t>9.1.14</t>
  </si>
  <si>
    <t>9.1.15</t>
  </si>
  <si>
    <t>9.1.16</t>
  </si>
  <si>
    <t>9.1.17</t>
  </si>
  <si>
    <t>9.1.18</t>
  </si>
  <si>
    <t>9.1.19</t>
  </si>
  <si>
    <t>9.1.20</t>
  </si>
  <si>
    <t>9.1.21</t>
  </si>
  <si>
    <t>Bandeja Tipo Rejilla 10x6.5 (Incluye Kit de Unión, Accesorios)</t>
  </si>
  <si>
    <t>9.1.22</t>
  </si>
  <si>
    <t>Tuberia PVC Electricas  (Ø 1")</t>
  </si>
  <si>
    <t>9.1.23</t>
  </si>
  <si>
    <t>Tuberia PVC Electricas  (Ø 2")</t>
  </si>
  <si>
    <t>SISTEMA DE GESTION EN SALUD</t>
  </si>
  <si>
    <t>DESARROLLO E IMPLEMENTACION DEL SISTEMA DE GESTION EN SALUD</t>
  </si>
  <si>
    <t>10.1.1</t>
  </si>
  <si>
    <t>SISTEMA DE GESTION en SALUD</t>
  </si>
  <si>
    <t>10.1.2</t>
  </si>
  <si>
    <t>Licencia de GBD del Sistema</t>
  </si>
  <si>
    <t>10.1.3</t>
  </si>
  <si>
    <t>Licencia de Lenguaje de Programacion</t>
  </si>
  <si>
    <t>10.1.4</t>
  </si>
  <si>
    <t>Licencias de Servidor, Clientes</t>
  </si>
  <si>
    <t>SISTEMA DE GESTION DE IMÁGENES</t>
  </si>
  <si>
    <t xml:space="preserve">ADQUISICIÓN DE EQUIPOS DEL SISTEMA DE GESTION DE IMÁGENES </t>
  </si>
  <si>
    <t>11.1.1</t>
  </si>
  <si>
    <t>Estacion de Diagnostico</t>
  </si>
  <si>
    <t>11.1.2</t>
  </si>
  <si>
    <t>Servidor PACS</t>
  </si>
  <si>
    <t>11.1.3</t>
  </si>
  <si>
    <t>Sistema de Gestion de Imágenes Medicas</t>
  </si>
  <si>
    <t>11.1.4</t>
  </si>
  <si>
    <t>UPS de Línea Interactiva</t>
  </si>
  <si>
    <t>11.1.5</t>
  </si>
  <si>
    <t>Impresora Laser en Seco</t>
  </si>
  <si>
    <t>12.1.1</t>
  </si>
  <si>
    <t>12.1.2</t>
  </si>
  <si>
    <t>12.1.3</t>
  </si>
  <si>
    <t>Ecran Electrico 100"</t>
  </si>
  <si>
    <t>12.1.4</t>
  </si>
  <si>
    <t>12.1.6</t>
  </si>
  <si>
    <t>12.1.7</t>
  </si>
  <si>
    <t>12.1.8</t>
  </si>
  <si>
    <t>12.1.9</t>
  </si>
  <si>
    <t>12.1.10</t>
  </si>
  <si>
    <t>12.1.11</t>
  </si>
  <si>
    <t>13.1.1</t>
  </si>
  <si>
    <t>13.1.2</t>
  </si>
  <si>
    <t>13.1.3</t>
  </si>
  <si>
    <t>13.1.4</t>
  </si>
  <si>
    <t>13.1.5</t>
  </si>
  <si>
    <t>13.1.6</t>
  </si>
  <si>
    <t>13.1.7</t>
  </si>
  <si>
    <t>13.1.8</t>
  </si>
  <si>
    <t>13.1.9</t>
  </si>
  <si>
    <t>13.1.10</t>
  </si>
  <si>
    <t>SISTEMA DE AIRE ACONDICIONADO</t>
  </si>
  <si>
    <t>ADQUISICION E IMPLEMENTACIÒN DEL DISPOSITIVO DE AIRE ACONDICIONADO</t>
  </si>
  <si>
    <t>14.1.1</t>
  </si>
  <si>
    <t>Equipo de Aire Acondicionado Tipo Split</t>
  </si>
  <si>
    <t>PRESUPUESTO OBRAS EXTERIORES</t>
  </si>
  <si>
    <t>TOTAL PRESUPUESTO</t>
  </si>
  <si>
    <t xml:space="preserve">                         : "MEJORAMIENTO DE LOS SERVICIOS DE SALUD DEL CENTRO DE SALUD HUANCARAMA, DISTRITO DE HUANCARAMA, PROVINCIA DE ANDAHUAYLAS, DEPARTAMENTO DE APURÍMAC       </t>
  </si>
  <si>
    <t xml:space="preserve">Nombre de EE.SS                           </t>
  </si>
  <si>
    <t xml:space="preserve">                         : CENTRO DE SALUD HUANCARAMA</t>
  </si>
  <si>
    <t xml:space="preserve">Categoria del EE.SS                      </t>
  </si>
  <si>
    <t xml:space="preserve">                         : I-4</t>
  </si>
  <si>
    <t xml:space="preserve">Especialidad                                     </t>
  </si>
  <si>
    <t xml:space="preserve">                         : Instalaciones para el sistema informático y de comunicaciones</t>
  </si>
  <si>
    <t xml:space="preserve">Especialista  Formulador         </t>
  </si>
  <si>
    <t xml:space="preserve">                         : Ing. Wildor Loayza Carrasco</t>
  </si>
  <si>
    <t>AREA DE ETAPA DE NIÑO VIDA</t>
  </si>
  <si>
    <t>GENERADOR ELECTRICO</t>
  </si>
  <si>
    <t>HYUNDAI</t>
  </si>
  <si>
    <t>HY10000LE-3</t>
  </si>
  <si>
    <t>16120176S</t>
  </si>
  <si>
    <t>462261830003</t>
  </si>
  <si>
    <t>PODOSCOPIO</t>
  </si>
  <si>
    <t>DISEÑO FLORES</t>
  </si>
  <si>
    <t>SIN SERIE</t>
  </si>
  <si>
    <t>536485220003</t>
  </si>
  <si>
    <t>BANCA DE MADERA 36 cm X 46 cm X 1.20 m</t>
  </si>
  <si>
    <t>PINO</t>
  </si>
  <si>
    <t>BANCA  DE MADERA 36CM X46CMX1.2</t>
  </si>
  <si>
    <t>746411350073</t>
  </si>
  <si>
    <t>ESTANTE DE MELAMINA 1.50 m X 60 cm X 1.10 m</t>
  </si>
  <si>
    <t>NOVOPAN</t>
  </si>
  <si>
    <t>ESTANTE DE MELAMINA</t>
  </si>
  <si>
    <t>746441520066</t>
  </si>
  <si>
    <t>SILLA FIJA DE MADERA</t>
  </si>
  <si>
    <t>SILLA FIJA DE MADERA -PINO</t>
  </si>
  <si>
    <t>746481190423</t>
  </si>
  <si>
    <t>ARTICULADO NUTRICIONAL</t>
  </si>
  <si>
    <t>EQUIPO DE SONIDO</t>
  </si>
  <si>
    <t>HINETIC</t>
  </si>
  <si>
    <t>EQUIPO DE SONIDO MIC-56009BT</t>
  </si>
  <si>
    <t>3553MICS6009BT0229</t>
  </si>
  <si>
    <t>952233750023</t>
  </si>
  <si>
    <t>CONGELADORA PARA VACUNAS Y PAQUETES FRIOS 271 L</t>
  </si>
  <si>
    <t>VESTFROST</t>
  </si>
  <si>
    <t>MF314</t>
  </si>
  <si>
    <t>2012401496</t>
  </si>
  <si>
    <t>112260390024</t>
  </si>
  <si>
    <t>746437450157</t>
  </si>
  <si>
    <t>746437450158</t>
  </si>
  <si>
    <t>CONSULTORIO OBSTETRICO</t>
  </si>
  <si>
    <t>LAMPARA INCANDESCENTE DE BASE MOVIL</t>
  </si>
  <si>
    <t>532271820179</t>
  </si>
  <si>
    <t>TABURETE GIRATORIO DE METAL RODANTE</t>
  </si>
  <si>
    <t>NACIONAL</t>
  </si>
  <si>
    <t>746495430040</t>
  </si>
  <si>
    <t>ADMINISTRACION</t>
  </si>
  <si>
    <t>S.I.S</t>
  </si>
  <si>
    <t>ACUMULADOR DE ENERGIA - EQUIPO DE UPS</t>
  </si>
  <si>
    <t>NT-752U</t>
  </si>
  <si>
    <t>180323500979</t>
  </si>
  <si>
    <t>462200500120</t>
  </si>
  <si>
    <t>BLAZER</t>
  </si>
  <si>
    <t>SIN MODELO</t>
  </si>
  <si>
    <t>462200500112</t>
  </si>
  <si>
    <t>EQUIPO ECOGRAFO - ULTRASONIDO</t>
  </si>
  <si>
    <t>MINDRAY</t>
  </si>
  <si>
    <t>DP-10</t>
  </si>
  <si>
    <t>6N-85017391</t>
  </si>
  <si>
    <t>532250000011</t>
  </si>
  <si>
    <t>VIDEOIMPRESORA DE ECOGRAFO</t>
  </si>
  <si>
    <t>SONY</t>
  </si>
  <si>
    <t>UP-X898MD</t>
  </si>
  <si>
    <t>7085245</t>
  </si>
  <si>
    <t>532298070002</t>
  </si>
  <si>
    <t>CAMA DE METAL RODABLE PARA PARTO</t>
  </si>
  <si>
    <t>536423350002</t>
  </si>
  <si>
    <t>CAMILLA METALICA PARA EXAMEN GINECOLOGICO</t>
  </si>
  <si>
    <t>536427150156</t>
  </si>
  <si>
    <t>SERVICIO EMERGENCIA</t>
  </si>
  <si>
    <t>WESTERN</t>
  </si>
  <si>
    <t>M1-450-15FM</t>
  </si>
  <si>
    <t>M1144230-1800119</t>
  </si>
  <si>
    <t>602254240035</t>
  </si>
  <si>
    <t>MERCEDES BENZ</t>
  </si>
  <si>
    <t>RETTUNGSWAGEN</t>
  </si>
  <si>
    <t>WDB9046121R951229</t>
  </si>
  <si>
    <t>678200500009</t>
  </si>
  <si>
    <t>COCHE METALICO PARA CURACIONES DE 2 GAVETAS</t>
  </si>
  <si>
    <t>536430960286</t>
  </si>
  <si>
    <t>IMPRESORA LASER</t>
  </si>
  <si>
    <t>KYOCERA</t>
  </si>
  <si>
    <t>ECOSYS FS-1040 220 240V</t>
  </si>
  <si>
    <t>V265901840</t>
  </si>
  <si>
    <t>740841000078</t>
  </si>
  <si>
    <t>746441520084</t>
  </si>
  <si>
    <t>TOPICO EMERGENCIA OBSTETRICIA</t>
  </si>
  <si>
    <t>CA-MI</t>
  </si>
  <si>
    <t>99889</t>
  </si>
  <si>
    <t>532208120069</t>
  </si>
  <si>
    <t>UNIDAD DE SEGUROS PRIVADOS</t>
  </si>
  <si>
    <t>LS22F355FHLXPE</t>
  </si>
  <si>
    <t>ZZQYH4TK501035</t>
  </si>
  <si>
    <t>740880370108</t>
  </si>
  <si>
    <t>VASTEC</t>
  </si>
  <si>
    <t>: VASTER PRIME G8 HE10VA809</t>
  </si>
  <si>
    <t>558071</t>
  </si>
  <si>
    <t>740899500356</t>
  </si>
  <si>
    <t>SILLA GIRATORIA DE METAL CON BRAZOS ESPALDAR ALTA</t>
  </si>
  <si>
    <t>746483900314</t>
  </si>
  <si>
    <t>VERIFICAR CORRIDA</t>
  </si>
  <si>
    <t xml:space="preserve">VERIFICAR </t>
  </si>
  <si>
    <r>
      <rPr>
        <b/>
        <u/>
        <sz val="8"/>
        <rFont val="Arial Narrow"/>
        <family val="2"/>
      </rPr>
      <t>FIN ÚLTIMO</t>
    </r>
    <r>
      <rPr>
        <sz val="8"/>
        <rFont val="Arial Narrow"/>
        <family val="2"/>
      </rPr>
      <t xml:space="preserve">
Reducción  de la Tasa de Morbilidad y Mortalidad de la población asignada al Centro de Salud Huancarama</t>
    </r>
  </si>
  <si>
    <r>
      <rPr>
        <b/>
        <u/>
        <sz val="8"/>
        <rFont val="Arial Narrow"/>
        <family val="2"/>
      </rPr>
      <t>COMPONENTE I</t>
    </r>
    <r>
      <rPr>
        <sz val="8"/>
        <rFont val="Arial Narrow"/>
        <family val="2"/>
      </rPr>
      <t xml:space="preserve">
Adecuada y suficiente Infraestructura para la atención del servicio de salud</t>
    </r>
  </si>
  <si>
    <r>
      <rPr>
        <b/>
        <u/>
        <sz val="8"/>
        <rFont val="Arial Narrow"/>
        <family val="2"/>
      </rPr>
      <t>COMPONNETE II</t>
    </r>
    <r>
      <rPr>
        <sz val="8"/>
        <rFont val="Arial Narrow"/>
        <family val="2"/>
      </rPr>
      <t xml:space="preserve">
Suficiente y adecuado Equipamiento Médico</t>
    </r>
  </si>
  <si>
    <r>
      <rPr>
        <b/>
        <u/>
        <sz val="8"/>
        <rFont val="Arial Narrow"/>
        <family val="2"/>
      </rPr>
      <t>COMPONENTE III</t>
    </r>
    <r>
      <rPr>
        <sz val="8"/>
        <rFont val="Arial Narrow"/>
        <family val="2"/>
      </rPr>
      <t xml:space="preserve">
Suficiente capacitación en gestión, metodologías de atención, manejo de procesos administrativos, uso y mantenimiento de equipos medicos</t>
    </r>
  </si>
  <si>
    <r>
      <rPr>
        <b/>
        <u/>
        <sz val="8"/>
        <rFont val="Arial Narrow"/>
        <family val="2"/>
      </rPr>
      <t>COMPONENTE IV</t>
    </r>
    <r>
      <rPr>
        <sz val="8"/>
        <rFont val="Arial Narrow"/>
        <family val="2"/>
      </rPr>
      <t xml:space="preserve">
Suficiente promoción, difusión y sensibilización en cuidados de salud de la familia y comunidad</t>
    </r>
  </si>
  <si>
    <r>
      <rPr>
        <b/>
        <sz val="8"/>
        <rFont val="Arial Narrow"/>
        <family val="2"/>
      </rPr>
      <t xml:space="preserve">ACCION 1.1  </t>
    </r>
    <r>
      <rPr>
        <sz val="8"/>
        <rFont val="Arial Narrow"/>
        <family val="2"/>
      </rPr>
      <t xml:space="preserve">
Construcción de la nueva infraestructura en el terreno actual</t>
    </r>
  </si>
  <si>
    <r>
      <rPr>
        <b/>
        <sz val="8"/>
        <rFont val="Arial Narrow"/>
        <family val="2"/>
      </rPr>
      <t>ACCION 2.1</t>
    </r>
    <r>
      <rPr>
        <sz val="8"/>
        <rFont val="Arial Narrow"/>
        <family val="2"/>
      </rPr>
      <t xml:space="preserve">
Adquisición de equipos, mobiliarios médicos y tecnologías de información y comunicación</t>
    </r>
  </si>
  <si>
    <r>
      <rPr>
        <b/>
        <sz val="8"/>
        <rFont val="Arial Narrow"/>
        <family val="2"/>
      </rPr>
      <t>ACCION 3.1</t>
    </r>
    <r>
      <rPr>
        <sz val="8"/>
        <rFont val="Arial Narrow"/>
        <family val="2"/>
      </rPr>
      <t xml:space="preserve">
Implementación de un plan de capacitación al personal administrativo y asistencial en gestión, metodologías de atención integral de la salud y manejo de procesos administrativos de los servicios de salud, uso y mantenimiento de equipos médicos</t>
    </r>
  </si>
  <si>
    <r>
      <rPr>
        <b/>
        <sz val="8"/>
        <rFont val="Arial Narrow"/>
        <family val="2"/>
      </rPr>
      <t>ACCION 4.1.</t>
    </r>
    <r>
      <rPr>
        <sz val="8"/>
        <rFont val="Arial Narrow"/>
        <family val="2"/>
      </rPr>
      <t xml:space="preserve">
Plan de promoción, difusión y sensibilización de la persona, familia y comunidad</t>
    </r>
  </si>
  <si>
    <r>
      <rPr>
        <sz val="8"/>
        <rFont val="Arial Narrow"/>
        <family val="2"/>
      </rPr>
      <t>Incremento de las atenciones:
* UPSS Consulta Externa 41,850 atenciones (año 2018) a 44,691 atenciones (2034).</t>
    </r>
    <r>
      <rPr>
        <sz val="8"/>
        <color rgb="FFFF0000"/>
        <rFont val="Arial Narrow"/>
        <family val="2"/>
      </rPr>
      <t xml:space="preserve">
</t>
    </r>
    <r>
      <rPr>
        <sz val="8"/>
        <rFont val="Arial Narrow"/>
        <family val="2"/>
      </rPr>
      <t>* UPSS Emergencia: 2,294 atenciones (año 2018) a 2,579 atenciones (2034).</t>
    </r>
    <r>
      <rPr>
        <sz val="8"/>
        <color rgb="FFFF0000"/>
        <rFont val="Arial Narrow"/>
        <family val="2"/>
      </rPr>
      <t xml:space="preserve">
</t>
    </r>
    <r>
      <rPr>
        <sz val="8"/>
        <rFont val="Arial Narrow"/>
        <family val="2"/>
      </rPr>
      <t>* Partos: 437 partos (año 2018) a 440 partos (2034).</t>
    </r>
    <r>
      <rPr>
        <sz val="8"/>
        <color rgb="FFFF0000"/>
        <rFont val="Arial Narrow"/>
        <family val="2"/>
      </rPr>
      <t xml:space="preserve">
</t>
    </r>
    <r>
      <rPr>
        <sz val="8"/>
        <rFont val="Arial Narrow"/>
        <family val="2"/>
      </rPr>
      <t>* UPSS Internamiento: 1,112 atenciones (año 2018) a 1,206 atenciones (2034).</t>
    </r>
    <r>
      <rPr>
        <sz val="8"/>
        <color rgb="FFFF0000"/>
        <rFont val="Arial Narrow"/>
        <family val="2"/>
      </rPr>
      <t xml:space="preserve">
</t>
    </r>
    <r>
      <rPr>
        <sz val="8"/>
        <rFont val="Arial Narrow"/>
        <family val="2"/>
      </rPr>
      <t>* Apoyo al Diagnostico: 49,565 atenciones (año 2018) a 53,248 atenciones (2034).</t>
    </r>
    <r>
      <rPr>
        <sz val="8"/>
        <color rgb="FFFF0000"/>
        <rFont val="Arial Narrow"/>
        <family val="2"/>
      </rPr>
      <t xml:space="preserve">
</t>
    </r>
    <r>
      <rPr>
        <sz val="8"/>
        <rFont val="Arial Narrow"/>
        <family val="2"/>
      </rPr>
      <t xml:space="preserve">* Disminucion del porcentaje de poblacion sin SIS del distrito de Huancarama de </t>
    </r>
    <r>
      <rPr>
        <sz val="8"/>
        <color rgb="FFFF0000"/>
        <rFont val="Arial Narrow"/>
        <family val="2"/>
      </rPr>
      <t>12.9%</t>
    </r>
    <r>
      <rPr>
        <sz val="8"/>
        <rFont val="Arial Narrow"/>
        <family val="2"/>
      </rPr>
      <t xml:space="preserve"> a 5% al año 2034.</t>
    </r>
  </si>
  <si>
    <t xml:space="preserve">El Proyecto propone la adquisición de equipos nuevos desagregados de la siguiente forma: 
* Equipos Biomédicos: 117, 
* Equipos Complementarios: 198, 
* Equipos Electromecánico: 62,
*Equipos Informáticos: 67,
* Set instrumental: 67, 
* Mobiliario administrativo: 748, 
* Mobiliario clinico: 601 
* Vehiculos: 2
* Equipos ligado a obra: 170
Haciendo un total de 2.032 equipos. </t>
  </si>
  <si>
    <t>8 Meses de Promoción, Sensibilización y Difusión en el area de influencia de la cartera de servicios, se emitirá comunicados por  medios radiales y escritos (diarios locales, prensa a modo de trípticos y díptico, etc).</t>
  </si>
  <si>
    <t>ASIS de la Red de Salud Abancay,
ASIS de la provincia de Abancay,
ASIS de la Región Apurimac; Estadísticas generales de INEI, ENAHO, ENDES y MINSA.
 Estadísticas Institucionales de epidemiológica en el Centro de Salud Huancarama.</t>
  </si>
  <si>
    <t>Incremento de afiliaciones SIS, incremento de la demanda efectiva en el ambito de influencia del establecimiento de salud debido a la nueva oferta de servicios de salud.
Fortalecimiento sostenido del sistema Referencia y contrarreferencia (Se incrementa la demanda e indicadores de cobertura por el fortalecimiento de la oferta actual de servicio de baja complejidad en el establecimiento de salud), en la Micro Red Huancarama perteneciente a la Red de Salud Abancay.</t>
  </si>
  <si>
    <t>* El proyecto propone un Plan de Capacitación para el personal asistencial y administrativa de Servicios de salud elaborado y aprobado: 17 cursos - taller.
* 01 Programa de Capacitación Interinstitucional Nacional en patología clínica, dirigido al profesional de salud asistencial (CAS) 01 Servidor de la Salud.</t>
  </si>
  <si>
    <t>442. PLIEGO GOBIERNO REGIONAL APURIMAC</t>
  </si>
  <si>
    <t>Cod. Und. Ejec.</t>
  </si>
  <si>
    <t xml:space="preserve">UNIDAD EJECUTORA </t>
  </si>
  <si>
    <t>001-747</t>
  </si>
  <si>
    <t>REGION APURIMAC-SEDE CENTRAL</t>
  </si>
  <si>
    <t>002-748</t>
  </si>
  <si>
    <t>REGION APURIMAC- SEDE CHANKA</t>
  </si>
  <si>
    <t>003-1359</t>
  </si>
  <si>
    <t>GOB.REG. APURIMAC- SUB REGION CHINCHEROS</t>
  </si>
  <si>
    <t>004-1408</t>
  </si>
  <si>
    <t>GOB. REG. DE APURIMAC- PRO DESARROLLO APURIMAC</t>
  </si>
  <si>
    <t>005-1546</t>
  </si>
  <si>
    <t>GOB. REG. DE APURIMAC- GERENCIA SUB REGIONAL COTABAMBAS</t>
  </si>
  <si>
    <t>100-749</t>
  </si>
  <si>
    <t>REGION APURIMAC-AGRICULTURA APURIMAC</t>
  </si>
  <si>
    <t>101-750</t>
  </si>
  <si>
    <t>REGION APURIMAC-AGRICULTURA CHANKA</t>
  </si>
  <si>
    <t>200-751</t>
  </si>
  <si>
    <t>REGION APURIMAC-TRANSPORTES APURIMAC</t>
  </si>
  <si>
    <t>201-752</t>
  </si>
  <si>
    <t>REGION APURIMAC-TRANSPORTES CHANKA</t>
  </si>
  <si>
    <t>300-753</t>
  </si>
  <si>
    <t>REGION APURIMAC-EDUCACION APURIMAC</t>
  </si>
  <si>
    <t>301-754</t>
  </si>
  <si>
    <t>REGION APURIMAC-EDUCACION CHANKA</t>
  </si>
  <si>
    <t>302-1010</t>
  </si>
  <si>
    <t>REGION APURIMAC-EDUCACION COTABAMBAS</t>
  </si>
  <si>
    <t>303-1011</t>
  </si>
  <si>
    <t>REGION APURIMAC-EDUCACION CHINCHEROS</t>
  </si>
  <si>
    <t>304-1430</t>
  </si>
  <si>
    <t>GOB.REG.APURIMAC- EDUCACION GRAU</t>
  </si>
  <si>
    <t>305-1431</t>
  </si>
  <si>
    <t>GOB.REG. APURIMAC- EDUCACION HUANCARAMA</t>
  </si>
  <si>
    <t>306-1432</t>
  </si>
  <si>
    <t>GOB.REG. DE APURIMAC- EDUCACION AYMARAES</t>
  </si>
  <si>
    <t>307-1433</t>
  </si>
  <si>
    <t>GOB. REG. APURIMAC- EDUCACION ABANCAY</t>
  </si>
  <si>
    <t>308-1538</t>
  </si>
  <si>
    <t>GOB. REG. APURIMAC - EDUCACION ANTABAMBA</t>
  </si>
  <si>
    <t>400-755</t>
  </si>
  <si>
    <t>REGION APURIMAC-SALUD APURIMAC</t>
  </si>
  <si>
    <t>401-756</t>
  </si>
  <si>
    <t>REGION APURIMAC-SALUD CHANKA</t>
  </si>
  <si>
    <t>402-1037</t>
  </si>
  <si>
    <t>REGION APURIMAC-HOSPITAL 
GUILLERMO DIAZ DE LA VEGA-ABANCAY</t>
  </si>
  <si>
    <t>403-1038</t>
  </si>
  <si>
    <t>REGION APURIMAC-HOSPITAL SUBREGIONAL DE ANDAHUAYLAS</t>
  </si>
  <si>
    <t>404-1497</t>
  </si>
  <si>
    <t>GOB. REG. APURIMAC - RED DE SALUD VIRGEN DE COCHARCAS</t>
  </si>
  <si>
    <t>405-1498</t>
  </si>
  <si>
    <t>GOB. REG. APURIMAC - RED DE SALUD ABANCAY</t>
  </si>
  <si>
    <t>406-1499</t>
  </si>
  <si>
    <t>GOB. REG. APURIMAC - RED DE SALUD GRAU</t>
  </si>
  <si>
    <t>407-1500</t>
  </si>
  <si>
    <t>GOB. REG. APURIMAC - RED DE SALUD COTABAMBAS</t>
  </si>
  <si>
    <t>408-1501</t>
  </si>
  <si>
    <t>GOB. REG. APURIMAC - RED DE SALUD ANTABAMBA</t>
  </si>
  <si>
    <t>409-1502</t>
  </si>
  <si>
    <t>GOB. REG. APURIMAC - RED DE SALUD AYMARAES</t>
  </si>
  <si>
    <t>PIA Pliego Regional y Ejecutoras de Salud Apurímac (CONSULTA AMIGABLE)</t>
  </si>
  <si>
    <t xml:space="preserve">442: GOBIERNO REGIONAL APURÍMAC </t>
  </si>
  <si>
    <t xml:space="preserve">EJECUTORA DE SALUD - REGIÓN APURÍMAC </t>
  </si>
  <si>
    <t>REGION APURIMAC-HOSPITAL GUILLERMO DIAZ DE LA VEGA-ABANCAY</t>
  </si>
  <si>
    <t>ASIGNACION ANUAL PIA 2014 – 2018/EJECUTORAS DE SALUD</t>
  </si>
  <si>
    <t>Años</t>
  </si>
  <si>
    <t>2. ASIGNACION DEL PRESUPUESTO INSTITUCIONAL MODIFICADO (PIM) PARA LAS UNIDADES EJECUTORAS DE SALUD.</t>
  </si>
  <si>
    <t>PIM Pliego Regional y Ejecutoras de Salud Apurímac</t>
  </si>
  <si>
    <t>PIM ASIGNACION ANUAL 2014 – 2018</t>
  </si>
  <si>
    <t xml:space="preserve">  </t>
  </si>
  <si>
    <t>405-1498: GOB. REG. APURIMAC - RED DE SALUD ABANCAY (DEVENGADOS)</t>
  </si>
  <si>
    <t>A) INGRESOS  CON PIP</t>
  </si>
  <si>
    <t>B) COSTOS DE OPERACIÓN MANTENIMIENTO CON PIP</t>
  </si>
  <si>
    <t>HORIZONTE DE EVALUACION</t>
  </si>
  <si>
    <t>FASE DE EJECUCION DEL PI</t>
  </si>
  <si>
    <t>AÑO 4</t>
  </si>
  <si>
    <t>AÑO 5</t>
  </si>
  <si>
    <t>AÑO 6</t>
  </si>
  <si>
    <t>AÑO 7</t>
  </si>
  <si>
    <t>AÑO 8</t>
  </si>
  <si>
    <t>AÑO 9</t>
  </si>
  <si>
    <t>AÑO 10</t>
  </si>
  <si>
    <t>AÑO 11</t>
  </si>
  <si>
    <t>AÑO 12</t>
  </si>
  <si>
    <t>AÑO 13</t>
  </si>
  <si>
    <t>AÑO 14</t>
  </si>
  <si>
    <t>AÑO 15</t>
  </si>
  <si>
    <t>TRIM 2</t>
  </si>
  <si>
    <t>TRIM 3</t>
  </si>
  <si>
    <t>TRIM 4</t>
  </si>
  <si>
    <t>Operación y Mantenimiento</t>
  </si>
  <si>
    <t>Proyecto</t>
  </si>
  <si>
    <t>Codigo Unico</t>
  </si>
  <si>
    <t>Localizacion</t>
  </si>
  <si>
    <t>Modalidad de Ejecucion</t>
  </si>
  <si>
    <t>Presupuesto</t>
  </si>
  <si>
    <t>: "MEJORAMIENTO DE LOS SERVICIOS DE SALUD EN EL CENTRO DE SALUD HUANC4RAMA, DISTRITO DE HUANCARAMA, PROVINCIA DE ANDAHUAYLAS - DEPARTAMENTO DE APURIMAC"</t>
  </si>
  <si>
    <t>: 2445283</t>
  </si>
  <si>
    <t>: Localidad de Huancarama - Distrito de Huancarama - Provincia de Andahuaylas - Apurimac</t>
  </si>
  <si>
    <t>: Administracion Indirecta</t>
  </si>
  <si>
    <t>En pob 3-59 años</t>
  </si>
  <si>
    <t>Pob</t>
  </si>
  <si>
    <t>UPSS GESTANTE EN PERIODO DE PARTO</t>
  </si>
  <si>
    <t>UPSS INTERNAMIENTO</t>
  </si>
  <si>
    <t>01.22.00</t>
  </si>
  <si>
    <t>01.23.00</t>
  </si>
  <si>
    <t>01.24.00</t>
  </si>
  <si>
    <t>01.25.00</t>
  </si>
  <si>
    <t>OBRAS COMPLEMENTARIAS E INSTALACIONES FIJAS Y  PERMANENTES</t>
  </si>
  <si>
    <t>VALOR REFERENCIAL</t>
  </si>
  <si>
    <t>O-14</t>
  </si>
  <si>
    <t>Lampa recta</t>
  </si>
  <si>
    <t>O-17</t>
  </si>
  <si>
    <t>Lampita jardinera</t>
  </si>
  <si>
    <t>D-204</t>
  </si>
  <si>
    <t>O-19</t>
  </si>
  <si>
    <t>Picota</t>
  </si>
  <si>
    <t>O-18</t>
  </si>
  <si>
    <t>Rastrillo</t>
  </si>
  <si>
    <t>O-16</t>
  </si>
  <si>
    <t>Regadera</t>
  </si>
  <si>
    <t>O-15</t>
  </si>
  <si>
    <t>Zapapico</t>
  </si>
  <si>
    <t>Extintores contra incendios de polvo ABC - Polivalente de 6 kg</t>
  </si>
  <si>
    <t xml:space="preserve">Registrador de datos - Data logger </t>
  </si>
  <si>
    <t>I-9</t>
  </si>
  <si>
    <t xml:space="preserve">Set instrumental de pequeñas intervenciones quirurgicas </t>
  </si>
  <si>
    <t>M-29</t>
  </si>
  <si>
    <t>Mesa de reuniones de 90 x 180 cm.</t>
  </si>
  <si>
    <t>INSTALACIONES ELECTRICAS</t>
  </si>
  <si>
    <t>INSTALACIONES MECANICAS</t>
  </si>
  <si>
    <t>INST. ELECTRICAS</t>
  </si>
  <si>
    <t>INST. MECANICAS</t>
  </si>
  <si>
    <t>SISTEMA DE GASES MEDICINALES</t>
  </si>
  <si>
    <t>MANTENIMIENTO DE CENTRAL DE OXIGENO</t>
  </si>
  <si>
    <t>MANTENIMIENTO DE CENTRAL DE VACIO</t>
  </si>
  <si>
    <t>SISTEMA DE COMBUSTIBLE</t>
  </si>
  <si>
    <t>MANTENIMIENTO DE TANQUE DE PETROLEO</t>
  </si>
  <si>
    <t>SISTEMA DE CIRCULACION VERTICAL</t>
  </si>
  <si>
    <t>6 X AÑO</t>
  </si>
  <si>
    <t>SISTEMA DE AIRE ACONDICIONADO Y VENTILACION MECANICA</t>
  </si>
  <si>
    <t>MANTENIMIENTO DE CONDENSADORES</t>
  </si>
  <si>
    <t>MANTENIMIENTO DE EVAPORADORES</t>
  </si>
  <si>
    <t>MANTENIMIENTO DE EXTRACTORES DE AIRE</t>
  </si>
  <si>
    <t>MANTENIMIENTO DE INYECTORES DE AIRE</t>
  </si>
  <si>
    <t>MANTENIMIENTO DE TANQUE DIARIO DE COMBUSTIBLE</t>
  </si>
  <si>
    <t>2X AÑO</t>
  </si>
  <si>
    <t>SISTEMA DE CALENTAMIENTO DE AGUA</t>
  </si>
  <si>
    <t>MANTENIMIENTO DE TANQUE DE ALMACENAMIENTO DE AGUA</t>
  </si>
  <si>
    <t>SISTEMA DE BOMBEO DE AGUA</t>
  </si>
  <si>
    <t>MANTENIMIENTO DE ELECTROBOMBAS</t>
  </si>
  <si>
    <t>CAMBIO DE FAJAS DE TRANSMISION</t>
  </si>
  <si>
    <t>REPARACION DE MOTORES ELECTRICOS</t>
  </si>
  <si>
    <t>CAMBIO DE FILTRO DE AIRE</t>
  </si>
  <si>
    <t>CAMBIO RODAMIENTOS</t>
  </si>
  <si>
    <t>SISTEMA DE BOMBEO DE COMBUSTIBLE</t>
  </si>
  <si>
    <t>3X AÑO</t>
  </si>
  <si>
    <t>REPARACION DE BOMBAS DE COMBUSTIBLE</t>
  </si>
  <si>
    <r>
      <t xml:space="preserve">PSICOPROFILAXIS </t>
    </r>
    <r>
      <rPr>
        <b/>
        <sz val="14"/>
        <color indexed="8"/>
        <rFont val="Arial Narrow"/>
        <family val="2"/>
      </rPr>
      <t>(1)</t>
    </r>
  </si>
  <si>
    <r>
      <t>(1) S</t>
    </r>
    <r>
      <rPr>
        <sz val="14"/>
        <color theme="1"/>
        <rFont val="Arial Narrow"/>
        <family val="2"/>
      </rPr>
      <t>e atendera en SUM</t>
    </r>
  </si>
  <si>
    <r>
      <t xml:space="preserve">SALA DE ECOGRAFIA OBSTETRICA </t>
    </r>
    <r>
      <rPr>
        <b/>
        <sz val="14"/>
        <color theme="1"/>
        <rFont val="Arial Narrow"/>
        <family val="2"/>
      </rPr>
      <t>(2)</t>
    </r>
  </si>
  <si>
    <r>
      <t>(2) S</t>
    </r>
    <r>
      <rPr>
        <sz val="14"/>
        <color theme="1"/>
        <rFont val="Arial Narrow"/>
        <family val="2"/>
      </rPr>
      <t>e equipara en el consultorio de Gineco Obstetricia</t>
    </r>
  </si>
  <si>
    <r>
      <t xml:space="preserve">GRUPO ELECTRÓGENO PARA SUBESTACIÓN ELÉCTRICA </t>
    </r>
    <r>
      <rPr>
        <b/>
        <sz val="14"/>
        <color theme="1"/>
        <rFont val="Arial Narrow"/>
        <family val="2"/>
      </rPr>
      <t>(3)</t>
    </r>
  </si>
  <si>
    <t>(3) el area se calculo según requerimiento por especialidad</t>
  </si>
  <si>
    <t>RAMPA 01</t>
  </si>
  <si>
    <t>RAMPA 02</t>
  </si>
  <si>
    <t>Unidad Física</t>
  </si>
  <si>
    <t>Unidades de Tamaño</t>
  </si>
  <si>
    <t>LABOREATORIOS</t>
  </si>
  <si>
    <t>OTRAS ACCIONES DE INFRAESTRUCTURA</t>
  </si>
  <si>
    <t>PRESUPUESTO TOTAL INFRAESTRUCTURA</t>
  </si>
  <si>
    <t>CRONOGRAMA DE EJECUCION DEL PROYECTO DE INVERSION</t>
  </si>
  <si>
    <t>UTILIDAD (5% del C.D.)</t>
  </si>
  <si>
    <t xml:space="preserve">EQUIPAMIENTO (Incluye IGV) </t>
  </si>
  <si>
    <t>EXPEDIENTE TÉCNICO DE OBRA Y EQUIPAMIENTO</t>
  </si>
  <si>
    <t>SUPERVISIÓN DE EXPEDIENTE TÉCNICO</t>
  </si>
  <si>
    <t>EXPEDIENTE TÉCNICO DE CAPACITACIÓN</t>
  </si>
  <si>
    <t>CAPACITACIÓN AL PERSONAL ASISTENCIAL Y ADMINISTRATIVO</t>
  </si>
  <si>
    <t>PROMOCIÓN, SENSIBILIZACIÓN Y DIFUSIÓN DE LOS SERVICIOS DE SALUD</t>
  </si>
  <si>
    <t>EQUIPAMIENTO MÉDICO Y MOBILIARIO</t>
  </si>
  <si>
    <t>03.00.00</t>
  </si>
  <si>
    <t>04.01.00</t>
  </si>
  <si>
    <t>05.00.00</t>
  </si>
  <si>
    <t xml:space="preserve">COSTOS INDIRECTOS (Incluye IGV) </t>
  </si>
  <si>
    <t>05.01.00</t>
  </si>
  <si>
    <t>05.02.00</t>
  </si>
  <si>
    <t>05.03.00</t>
  </si>
  <si>
    <t>05.06.00</t>
  </si>
  <si>
    <t>05.04.00</t>
  </si>
  <si>
    <t>05.05.00</t>
  </si>
  <si>
    <t>Capacitación al personal asistencial y administrativo</t>
  </si>
  <si>
    <t>Promoción, Sensibilización y Difusión de los Servicios de salud</t>
  </si>
  <si>
    <t>Supervisión de Expediente Técnico</t>
  </si>
  <si>
    <t>Expediente Técnico de Capacitación</t>
  </si>
  <si>
    <t xml:space="preserve">ADECUADA Y SUFICIENTE INFRAESTRUCTURA </t>
  </si>
  <si>
    <t>Supervisión</t>
  </si>
  <si>
    <t>Liquidación</t>
  </si>
  <si>
    <t>SUPERVISIÓN</t>
  </si>
  <si>
    <t>LIQUIDACIÓN</t>
  </si>
  <si>
    <t xml:space="preserve">ESTUDIO DE IMPACTO AMBIENTAL </t>
  </si>
  <si>
    <t>Estudio de Impacto Ambiental (Monitoreo ambiental y pago de  tramites)</t>
  </si>
  <si>
    <t>N° de capacitaciones</t>
  </si>
  <si>
    <t>Informes</t>
  </si>
  <si>
    <t>Documento</t>
  </si>
  <si>
    <t>N° de 
capacitaciones</t>
  </si>
  <si>
    <t>RESUMEN DEL CRONOGRAMA FINANCIERO - A PRECIOS SOCIALES</t>
  </si>
  <si>
    <t>6 MESES</t>
  </si>
  <si>
    <t>2. Proceso de selección del Supervisor de la elaboración del E.T. de Obra  y Equipamiento (Licitacion Pública)</t>
  </si>
  <si>
    <t xml:space="preserve">2. Proceso de selección y contratación de las empresas responsables de la elaboración, evaluación y ejecución del E.T. de obra y equipamiento (Adjudicacion Simplicacion) </t>
  </si>
  <si>
    <t>MONTO (S/)</t>
  </si>
  <si>
    <t>OTROS (aire acondicionado y climatización; ascensor, escaleras, rampas)</t>
  </si>
  <si>
    <t>AREA CONSTRUIDA</t>
  </si>
  <si>
    <t>D) COSTOS DE OPERACIÓN MANTENIMIENTO SIN PI</t>
  </si>
  <si>
    <t>C) COSTOS DE OPERACIÓN MANTENIMIENTO CON PI</t>
  </si>
  <si>
    <t>27 meses</t>
  </si>
  <si>
    <t>12 años</t>
  </si>
  <si>
    <t xml:space="preserve">* El Proyecto propone un area construida total de 2,254.43m2 (de acuerdo a la normativa de arquitectura y seguridad, al fin de primer año del proyecto), en el terreno actual para el Centro de Salud Huancarama, al final del periodo de ejecución.
* Plazo de ejecución de Obra de infraestructura: 27 meses </t>
  </si>
  <si>
    <t>Supervisión S/</t>
  </si>
  <si>
    <t>Liquidacion S/</t>
  </si>
  <si>
    <r>
      <t>* Disminución de la tasa de morbilidad de la población del Distrito de Huancarama en 0.5 puntos anual, desde la operación del proyecto.
* Incrementa la esperanza de vida al nacer</t>
    </r>
    <r>
      <rPr>
        <sz val="8"/>
        <color rgb="FFFF0000"/>
        <rFont val="Arial Narrow"/>
        <family val="2"/>
      </rPr>
      <t xml:space="preserve"> </t>
    </r>
    <r>
      <rPr>
        <sz val="8"/>
        <rFont val="Arial Narrow"/>
        <family val="2"/>
      </rPr>
      <t>(actual 72.62 años) de la población de del distrito de Huancarama en 0.5% anual, desde la  puesta en operación del proyecto.</t>
    </r>
  </si>
  <si>
    <r>
      <rPr>
        <b/>
        <u/>
        <sz val="8"/>
        <rFont val="Arial Narrow"/>
        <family val="2"/>
      </rPr>
      <t>OBJETIVO CENTRAL</t>
    </r>
    <r>
      <rPr>
        <sz val="8"/>
        <rFont val="Arial Narrow"/>
        <family val="2"/>
      </rPr>
      <t xml:space="preserve">
Adecuado accesode la poblacion del area de influencia a los servicios de salud del Centro de Salud Huancarama</t>
    </r>
  </si>
  <si>
    <t>MICRORRED CHUQUIBAMBILLA (AMBITO DE INFLUENCIA)</t>
  </si>
  <si>
    <t>CHUQUIBAMBILLA/GRAU/APURÍMAC</t>
  </si>
  <si>
    <t>Amigdalitis Aguda, no Especificada</t>
  </si>
  <si>
    <t>Lumbago no Especificado</t>
  </si>
  <si>
    <t>M545</t>
  </si>
  <si>
    <t>Sintomatico Respiratorio</t>
  </si>
  <si>
    <t>U200</t>
  </si>
  <si>
    <t>Bronquitis, no Especificada como Aguda o Cronica</t>
  </si>
  <si>
    <t>J40X</t>
  </si>
  <si>
    <t>Cefalea debida a Tension</t>
  </si>
  <si>
    <t>G442</t>
  </si>
  <si>
    <t>Parasitosis Intestinal, sin otra Especificacion</t>
  </si>
  <si>
    <t>B829</t>
  </si>
  <si>
    <t>Muerte que Ocurre en Menos de 24 Horas del Inicio de los Sintomas, no Explicada de Otra</t>
  </si>
  <si>
    <t>Desaparicion o Muerte de Miembro de la Familia</t>
  </si>
  <si>
    <t>Atencion Materna por Muerte Intrauterina</t>
  </si>
  <si>
    <t>Muerte sin Asistencia</t>
  </si>
  <si>
    <t>Otras Causas Mal definidas y las no Especificadas de Mortalidad</t>
  </si>
  <si>
    <t>OTRAS</t>
  </si>
  <si>
    <t>P.S. KILCATA</t>
  </si>
  <si>
    <t>I - 1</t>
  </si>
  <si>
    <t>OROPESA/ANTABAMBA/APURIMAC</t>
  </si>
  <si>
    <t>ANTABAMBA</t>
  </si>
  <si>
    <t>HUAQUIRCA</t>
  </si>
  <si>
    <t>OROPESA</t>
  </si>
  <si>
    <t>CHUQUIBAMBILLA</t>
  </si>
  <si>
    <t>HUAYLLATI</t>
  </si>
  <si>
    <t>CERRO COLORADO</t>
  </si>
  <si>
    <t>MARIANO MELGAR</t>
  </si>
  <si>
    <t>GRAU</t>
  </si>
  <si>
    <t>AREQUIPA</t>
  </si>
  <si>
    <t>PUESTO  DE SALUD KILCATA</t>
  </si>
  <si>
    <t>OROPESA/ANTABAMBA/APURÍMAC</t>
  </si>
  <si>
    <t>ATENDIDOS POR SERVICIOS Y GRUPO ETÁREO P.S. KILCATA - 2018</t>
  </si>
  <si>
    <t>ATENDIDOS POR SERVICIOS Y GRUPO ETÁREO P.S. KILCATA - 2014</t>
  </si>
  <si>
    <t>ATENDIDOS POR SERVICIOS Y GRUPO ETÁREO P.S. KILCATA - 2015</t>
  </si>
  <si>
    <t>ATENDIDOS POR SERVICIOS Y GRUPO ETÁREO P.S. KILCATA - 2016</t>
  </si>
  <si>
    <t>ATENDIDOS POR SERVICIOS Y GRUPO ETÁREO P.S. KILCATA - 2017</t>
  </si>
  <si>
    <t>ATENCIONES POR SERVICIOS Y GRUPO ETÁREO P.S. KILCATA - 2018</t>
  </si>
  <si>
    <t>ATENCIONES POR SERVICIOS Y GRUPO ETÁREO P.S. KILCATA - 2014</t>
  </si>
  <si>
    <t>ATENCIONES POR SERVICIOS Y GRUPO ETÁREO P.S. KILCATA - 2015</t>
  </si>
  <si>
    <t>ATENCIONES POR SERVICIOS Y GRUPO ETÁREO P.S. KILCATA - 2016</t>
  </si>
  <si>
    <t>ATENCIONES POR SERVICIOS Y GRUPO ETÁREO P.S. KILCATA - 2017</t>
  </si>
  <si>
    <t>PUESTO DE SALUD KILCATA</t>
  </si>
  <si>
    <t>APLICACIÓN DE BARNIZ FLUORADO</t>
  </si>
  <si>
    <t>RASPAJE DENTAL (DESTARTRAJE)</t>
  </si>
  <si>
    <t>CONSULTA ESTOMATOLÓGICA</t>
  </si>
  <si>
    <t>CRECIMIENTO Y DESARROLLO</t>
  </si>
  <si>
    <t>MATERNO PERINATAL</t>
  </si>
  <si>
    <t>SALUD ESCOLAR</t>
  </si>
  <si>
    <t>CONSEJERIA PLANIFICACION FAMILIAR</t>
  </si>
  <si>
    <t>CONSEJERIA</t>
  </si>
  <si>
    <t>ATENCION INTEGRAL DEL ADULTO MAYOR</t>
  </si>
  <si>
    <t>MEDICINA FETAL</t>
  </si>
  <si>
    <t>CONSULTORIO CONTROL TUBERCULOSIS</t>
  </si>
  <si>
    <t>CURACIÓN DE HERIDAS</t>
  </si>
  <si>
    <t>OTROS PROCEDIMIENTOS MÉDICOS (limpieza de quemaduras, suturas, retiro de puntos, aplicación de yeso, etc)</t>
  </si>
  <si>
    <t>TIRA REACTIVA PARA BACTERIURIA</t>
  </si>
  <si>
    <t>ECOGRAFIA, UTERO GRAVIDO, RASTREO B Y/O EN TIEMPO REAL CON DOCUMENTACION DE LA IMAGEN; COMPLETA (EVA</t>
  </si>
  <si>
    <t>SUTURA DE LAS RECIENTES HERIDAS PEQUEÑAS DE HASTA 5CM</t>
  </si>
  <si>
    <t>CONSULTA PSICOLOGICA (UPA)</t>
  </si>
  <si>
    <t xml:space="preserve">INFECCIONES AGUDAS DE LAS VIAS RESPIRATORIAS SUPERIORES </t>
  </si>
  <si>
    <t>ENFERMEDADES DE LA CAVIDAD BUCAL, DE LAS GLANDULAS SALIVALES Y DE LOS MAXILARES</t>
  </si>
  <si>
    <t xml:space="preserve">TRASTORNOS EPISODICOS Y PAROXISTICOS </t>
  </si>
  <si>
    <t>ENFERMEDADES DEL ESOFAGO, DEL ESTOMAGO Y DEL DUODENO</t>
  </si>
  <si>
    <t xml:space="preserve">DORSOPATIAS </t>
  </si>
  <si>
    <t xml:space="preserve">DESNUTRICION </t>
  </si>
  <si>
    <t xml:space="preserve">ENFERMEDADES INFECCIOSAS INTESTINALES </t>
  </si>
  <si>
    <t xml:space="preserve">ARTROPATIAS </t>
  </si>
  <si>
    <t xml:space="preserve">OBESIDAD Y OTROS DE HIPERALIMENTACION </t>
  </si>
  <si>
    <t xml:space="preserve">OTRAS ENFERMEDADES DEL SISTEMA URINARIO </t>
  </si>
  <si>
    <t>J00 - J06</t>
  </si>
  <si>
    <t xml:space="preserve"> K00 - K14</t>
  </si>
  <si>
    <t>G40 - G47</t>
  </si>
  <si>
    <t>K20 - K31</t>
  </si>
  <si>
    <t>M40 - M54</t>
  </si>
  <si>
    <t>E40 - E46</t>
  </si>
  <si>
    <t>A00 - A09</t>
  </si>
  <si>
    <t>M00 - M25</t>
  </si>
  <si>
    <t>E65 - E68</t>
  </si>
  <si>
    <t>N30 - N39</t>
  </si>
  <si>
    <t>INFECCIONES AGUDAS DE LAS VIAS RESPIRATORIAS SUPERIORES</t>
  </si>
  <si>
    <t xml:space="preserve">ENFERMEDADES DE LA CAVIDAD BUCAL, DE LAS GLANDULAS SALIVALES Y DE LOS MAXILARES </t>
  </si>
  <si>
    <t>DESNUTRICION</t>
  </si>
  <si>
    <t xml:space="preserve">OTRAS ENFERMEDADES DE LAS VIAS RESPIRATORIAS SUPERIORES </t>
  </si>
  <si>
    <t>TRASTORNOS EPISODICOS Y PAROXISTICOS</t>
  </si>
  <si>
    <t xml:space="preserve">ANEMIAS NUTRICIONALES </t>
  </si>
  <si>
    <t xml:space="preserve"> J00 - J06</t>
  </si>
  <si>
    <t>K00 - K14</t>
  </si>
  <si>
    <t xml:space="preserve"> E40 - E46</t>
  </si>
  <si>
    <t>J30 - J39</t>
  </si>
  <si>
    <t xml:space="preserve"> G40 - G47</t>
  </si>
  <si>
    <t>D50 - D53</t>
  </si>
  <si>
    <t>OTRAS ENFERMEDADES DE LAS VIAS RESPIRATORIAS SUPERIORES</t>
  </si>
  <si>
    <t>OTRAS INFECCIONES AGUDAS DE LAS VIAS RESPIRATORIAS INFERIORES</t>
  </si>
  <si>
    <t xml:space="preserve"> J30 - J39</t>
  </si>
  <si>
    <t xml:space="preserve"> J20 - J22</t>
  </si>
  <si>
    <t>…....................................................................................................................................................................................................................................................................................................................0</t>
  </si>
  <si>
    <t>…</t>
  </si>
  <si>
    <t>…........................01</t>
  </si>
  <si>
    <t>INEI</t>
  </si>
  <si>
    <t>Morbilidad de consulta externa del AMBITO de la Micro Red  Chuquibambilla  años 2014 al 2018</t>
  </si>
  <si>
    <t>Morbilidad de Emergencia del AMBITO de la Micro Red  Chuquibambilla años 2014 al 2018</t>
  </si>
  <si>
    <t>Morbilidad de Internamiento del AMBITO de la Micro Red  Chuquibambilla años 2014 al 2018</t>
  </si>
  <si>
    <t>HOSPITALIZACIÓN 2013</t>
  </si>
  <si>
    <t>HOSPITALIZACIÓN 2015</t>
  </si>
  <si>
    <t>HOSPITALIZACIÓN 2016</t>
  </si>
  <si>
    <t>HOSPITALIZACIÓN 2017</t>
  </si>
  <si>
    <t>HOSPITALIZACIÓN 2018</t>
  </si>
  <si>
    <t>Mortalidad del AMBITO de la Micro Red  Chuquibambilla años 2014 al 2018</t>
  </si>
  <si>
    <t>10 Primeras causas de Mortalidad del AMBITO de Influencia de la MR Micaela bastidas años 2014 al 2018</t>
  </si>
  <si>
    <t>Mortalidad Neonatal del AMBITO de la Micro Red  Chuquibambilla años 2014 al 2018</t>
  </si>
  <si>
    <t>Mortalidad Infantil del AMBITO de la Micro Red  Chuquibambilla años 2014 al 2018</t>
  </si>
  <si>
    <t>Mortalidad Materna del AMBITO de la Micro Red  Chuquibambilla años 2014 al 2018</t>
  </si>
  <si>
    <t>Tasa de Mortalidad del AMBITO de la Micro Red  Micaela bastidas años 2014 al 2018</t>
  </si>
  <si>
    <t>Casos de IRAs en Menores de 5 años del AMBITO de la Micro Red  Chuquibambilla años 2014 al 2018</t>
  </si>
  <si>
    <t>Casos de Neumonias y neumonias graves del AMBITO de la Micro Red  Micaela bastidas años 2014 al 2018</t>
  </si>
  <si>
    <t>Casos de EDAs en Menores de 5 años del AMBITO de la Micro Red  Micaela bastidas años 2014 al 2018</t>
  </si>
  <si>
    <t>Casos de TBC del AMBITO de la Micro Red  Micaela bastidas año 2018</t>
  </si>
  <si>
    <t>Tasa de Incidencia y Prevalencia de TBC del AMBITO de la Micro Red  Micaela bastidas año 2018</t>
  </si>
  <si>
    <t>Casos de ITS y VIH del AMBITO de la Micro Red  Micaela bastidas año 2018</t>
  </si>
  <si>
    <t>Tasa de Incidencia  de VIH y ITS del AMBITO de la Micro Red  Micaela bastidas año 2018</t>
  </si>
  <si>
    <t>Casos de Metaxenicas y brotes del AMBITO de la Micro Red  Micaela bastidas años 2014 al 2018</t>
  </si>
  <si>
    <t>Casos de Desnutrición en menores de 5 años del AMBITO de la Micro Red  Micaela bastidas años 2014 al 2018</t>
  </si>
  <si>
    <t>Casos de Desnutrición  del AMBITO de la Micro Red  Micaela bastidas años 2014 al 2018</t>
  </si>
  <si>
    <t>Casos de Prevalencia de enfermedades crónicas degenerativas  del AMBITO de la Micro Red  Micaela bastidas años 2014 al 2018</t>
  </si>
  <si>
    <t>Otros Problemas de salud Crónicos del AMBITO de la Micro Red  Micaela bastidas años 2014 al 2018</t>
  </si>
  <si>
    <t>Cobertura de niños menores 1 año CRED MR. Chuquibambilla</t>
  </si>
  <si>
    <t>Cobertura de gestantes controladas MR. Chuquibambilla</t>
  </si>
  <si>
    <t>OSTEOPATIAS Y CONDROPATIAS (M80 - M94)</t>
  </si>
  <si>
    <t>ENFERMEDADES DEL OIDO MEDIO Y DE LA MASTOIDES (H65 - H75)</t>
  </si>
  <si>
    <t>TRASTORNOS DE LA CONJUNTIVA (H10 - H13)</t>
  </si>
  <si>
    <t>Morbilidad del Servicio de Medicina del 2016(Todos los diagnósticos)</t>
  </si>
  <si>
    <t>Nefritis Tubulointersticial Aguda</t>
  </si>
  <si>
    <t>Envenenamiento por, y Exposicion a otros Productos Quimicos y Sustancias Nocivas, y Los</t>
  </si>
  <si>
    <t>A Termino (Producto Unico Nacido en Hospital)</t>
  </si>
  <si>
    <t>Y191</t>
  </si>
  <si>
    <t>Insuficiencia Cardiaca, no Especificada</t>
  </si>
  <si>
    <t>R042</t>
  </si>
  <si>
    <t>Hemoptisis</t>
  </si>
  <si>
    <t>K746</t>
  </si>
  <si>
    <t>Otras Cirrosis del Higado y las no Especificadas</t>
  </si>
  <si>
    <t>Insuficiencia Respiratoria, no Especificada</t>
  </si>
  <si>
    <t>Y181</t>
  </si>
  <si>
    <t>J181</t>
  </si>
  <si>
    <t>Neumonia Lobar, no Especificada</t>
  </si>
  <si>
    <t>Pielonefritis Cronica Obstructiva</t>
  </si>
  <si>
    <t>J451</t>
  </si>
  <si>
    <t>Asma no Alergica.</t>
  </si>
  <si>
    <t>Bronconeumonia, no Especificada</t>
  </si>
  <si>
    <t>No específica</t>
  </si>
  <si>
    <t>Parto Unico Espontaneo  sin otra Especificacion</t>
  </si>
  <si>
    <t>Amenaza de Parto Prematuro</t>
  </si>
  <si>
    <t>Z3591</t>
  </si>
  <si>
    <t>Gestante con Factor de Riesgo Control 1er. Trimestre (12 Semanas)</t>
  </si>
  <si>
    <t>Otros Partos Unicos por Cesarea</t>
  </si>
  <si>
    <t>Z3592</t>
  </si>
  <si>
    <t>Leiomioma del Utero, sin otra Especificacion</t>
  </si>
  <si>
    <t>Gestante con Factor de Riesgo Control 2do. Trimestre (24 Semanas)</t>
  </si>
  <si>
    <t>Quiste Folicular del Ovario</t>
  </si>
  <si>
    <t>O064</t>
  </si>
  <si>
    <t>Aborto no Especificado, Incompleto, sin Complicacion</t>
  </si>
  <si>
    <t>Prolapso Genital Femenino, no Especificado</t>
  </si>
  <si>
    <t>Calculo de la Vesicula Biliar con otra Colecistitis</t>
  </si>
  <si>
    <t>N220</t>
  </si>
  <si>
    <t>Litiasis Urinaria en Esquistosomiasis [Bilharziasis] (B65.-+)</t>
  </si>
  <si>
    <t>Apendicitis Aguda con Absceso Peritoneal</t>
  </si>
  <si>
    <t>K36X</t>
  </si>
  <si>
    <t>Otros Tipos de Apendicitis</t>
  </si>
  <si>
    <t>W579</t>
  </si>
  <si>
    <t>Mordedura o Picadura de Insectos y otros Artropodos no Venenosos, en Lugar no Especifica</t>
  </si>
  <si>
    <t>G440</t>
  </si>
  <si>
    <t>Sindrome de Cefalea en Racimos</t>
  </si>
  <si>
    <t>F419</t>
  </si>
  <si>
    <t>Trastorno de Ansiedad, no Especificado</t>
  </si>
  <si>
    <t>L509</t>
  </si>
  <si>
    <t>Urticaria, no Especificada</t>
  </si>
  <si>
    <t>A084</t>
  </si>
  <si>
    <t>Infeccion Intestinal Viral, sin otra Especificacion</t>
  </si>
  <si>
    <t>Retencion de Orina</t>
  </si>
  <si>
    <t>J312</t>
  </si>
  <si>
    <t>Faringitis Cronica</t>
  </si>
  <si>
    <t>S524</t>
  </si>
  <si>
    <t>Fractura de la diafisis del Cubito y del Radio</t>
  </si>
  <si>
    <t>P.S. YUMIRI</t>
  </si>
  <si>
    <t>Otros prestadores de salud en el area de Influencia</t>
  </si>
  <si>
    <t>El CS Totora Oropesa pertenece a la Microred Chuquibambilla, el mismo que tiene 05 establecimientos: P.S. Yumire, P.S. Kilcata y P.S. Sonccoccocha pertenecen al distrito de Oropesa, Provincia de Antabamba; P.S. Turpay pertenece al Distrito de Turpay, Provincia de Grau y P.S. Mamara pertenece al distrito de Mamara, Provincia de Grau (Observar gráfico).</t>
  </si>
  <si>
    <r>
      <t xml:space="preserve">1.1 </t>
    </r>
    <r>
      <rPr>
        <b/>
        <u/>
        <sz val="9"/>
        <color theme="1"/>
        <rFont val="Arial Narrow"/>
        <family val="2"/>
      </rPr>
      <t>ANÁLISIS DEL ÁMBITO</t>
    </r>
  </si>
  <si>
    <t>Cartera de Servicios de CS Totora Oropesa</t>
  </si>
  <si>
    <t>Código del 
Servicio</t>
  </si>
  <si>
    <t>C.S. Totora Oropesa
I-3</t>
  </si>
  <si>
    <t>P.S. Kilcata
I-1</t>
  </si>
  <si>
    <t>P.S. Sonccoccocha
I-1</t>
  </si>
  <si>
    <t>P.S. Yumiri
I-1</t>
  </si>
  <si>
    <t>P.S. Mamara
I-2</t>
  </si>
  <si>
    <t>P.S. Turpay
I-1</t>
  </si>
  <si>
    <t>Consulta Ambulatoria por Medico General</t>
  </si>
  <si>
    <t>Atención ambulatoria por Obstetriz</t>
  </si>
  <si>
    <t>NO</t>
  </si>
  <si>
    <t xml:space="preserve">AADS Radiología </t>
  </si>
  <si>
    <t xml:space="preserve">SRX - CON </t>
  </si>
  <si>
    <t>Teleradiologia convencional</t>
  </si>
  <si>
    <t xml:space="preserve">General </t>
  </si>
  <si>
    <t>Procedimientos de Laboratorio Clínico Tipo I-3</t>
  </si>
  <si>
    <t>Atencion con Medicamentos</t>
  </si>
  <si>
    <t>Farmacia y Botiquín</t>
  </si>
  <si>
    <t>Expendio y dispensación de medicamentos y productos sanitarios</t>
  </si>
  <si>
    <t>Cuadro de distancias (km), tiempos de desplazamiento (h’m’’), en el medio de transporte y vías de comunicación más frecuentes desde los establecimientos de salud hacia los establecimientos de salud estratégicos del ámbito</t>
  </si>
  <si>
    <t>Nº</t>
  </si>
  <si>
    <t>Nombre del establecimiento de Salud</t>
  </si>
  <si>
    <t>REFERENCIA PARA EMERGENCIA (En Situación Actual)</t>
  </si>
  <si>
    <t>A QUE ESTABLECIMIENTO DE SALUD REFIERE</t>
  </si>
  <si>
    <t>EE.SS.</t>
  </si>
  <si>
    <t>Distancia (km)</t>
  </si>
  <si>
    <t>Tiempo (usual)</t>
  </si>
  <si>
    <t>Oropesa</t>
  </si>
  <si>
    <t>P.S. Kilcata</t>
  </si>
  <si>
    <t>C.S. Totora Oropesa</t>
  </si>
  <si>
    <t>4 horas</t>
  </si>
  <si>
    <t>Sin afirmar</t>
  </si>
  <si>
    <t>P.S. Sonccoccocha</t>
  </si>
  <si>
    <t>6 horas</t>
  </si>
  <si>
    <t>Trocha</t>
  </si>
  <si>
    <t>P.S. Yumiri</t>
  </si>
  <si>
    <t>5 horas</t>
  </si>
  <si>
    <t>Mamara</t>
  </si>
  <si>
    <t>P.S. Mamara</t>
  </si>
  <si>
    <t>30 minutos</t>
  </si>
  <si>
    <t>Turpay</t>
  </si>
  <si>
    <t>P.S. Turpay</t>
  </si>
  <si>
    <t>Afirmada</t>
  </si>
  <si>
    <t xml:space="preserve">Cuadro de distancias (km), tiempos de desplazamiento (h’m’’), en el medio de transporte y vías de comunicación más frecuentes desde el establecimientos de salud estratégico hacia los establecimientos de referencia. </t>
  </si>
  <si>
    <t>Chuquibambilla</t>
  </si>
  <si>
    <t>C.S. San Camilo de Lellis (CHUQUIBAMBILLA)</t>
  </si>
  <si>
    <t>Hospital Guillermo Diaz de la Vega</t>
  </si>
  <si>
    <t>3.30 horas</t>
  </si>
  <si>
    <t>RESUMEN</t>
  </si>
  <si>
    <t>REFERENCIAS EN SITUACION CON PROYECTO</t>
  </si>
  <si>
    <t>REFERENCIA PARA EMERGENCIA (En Situacion con Proyecto)</t>
  </si>
  <si>
    <t>3 horas</t>
  </si>
  <si>
    <t>Asfaltado</t>
  </si>
  <si>
    <t>REFERENCIA PARA CONSULTA EXTERNA (En Situación Actual)</t>
  </si>
  <si>
    <t>REFERENCIA PARA CONSULTA EXTERNA (En Situacion con Proyecto)</t>
  </si>
  <si>
    <t>REFERENCIA PARA APOYO AL DIAGNOSTICO (En Situación Actual)</t>
  </si>
  <si>
    <t>REFERENCIA PARA APOYO AL DIAGNOSTICO (En Situacion con Proyecto)</t>
  </si>
  <si>
    <t>REFERENCIA PARA ATENCION DE PARTOS (En Situación Actual)</t>
  </si>
  <si>
    <t>REFERENCIA PARA ATENCION DE PARTOS (En Situacion con Proyecto)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</si>
</sst>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8">
    <numFmt numFmtId="43" formatCode="_-* #,##0.00_-;\-* #,##0.00_-;_-* &quot;-&quot;??_-;_-@_-"/>
    <numFmt numFmtId="164" formatCode="&quot;S/.&quot;\ #,##0;&quot;S/.&quot;\ \-#,##0"/>
    <numFmt numFmtId="165" formatCode="&quot;S/.&quot;\ #,##0.00;&quot;S/.&quot;\ \-#,##0.00"/>
    <numFmt numFmtId="166" formatCode="&quot;S/.&quot;\ #,##0.00;[Red]&quot;S/.&quot;\ \-#,##0.00"/>
    <numFmt numFmtId="167" formatCode="_ * #,##0_ ;_ * \-#,##0_ ;_ * &quot;-&quot;_ ;_ @_ "/>
    <numFmt numFmtId="168" formatCode="_ &quot;S/.&quot;\ * #,##0.00_ ;_ &quot;S/.&quot;\ * \-#,##0.00_ ;_ &quot;S/.&quot;\ * &quot;-&quot;??_ ;_ @_ "/>
    <numFmt numFmtId="169" formatCode="_ * #,##0.00_ ;_ * \-#,##0.00_ ;_ * &quot;-&quot;??_ ;_ @_ "/>
    <numFmt numFmtId="170" formatCode="_(* #,##0.00_);_(* \(#,##0.00\);_(* &quot;-&quot;??_);_(@_)"/>
    <numFmt numFmtId="171" formatCode="#,##0.0"/>
    <numFmt numFmtId="172" formatCode="0.0%"/>
    <numFmt numFmtId="173" formatCode="0.0"/>
    <numFmt numFmtId="174" formatCode="_-* #,##0_-;\-* #,##0_-;_-* &quot;-&quot;??_-;_-@_-"/>
    <numFmt numFmtId="175" formatCode="_ * #,##0_ ;_ * \-#,##0_ ;_ * \-??_ ;_ @_ "/>
    <numFmt numFmtId="176" formatCode="_ * #,##0_ ;_ * \-#,##0_ ;_ * &quot;-&quot;??_ ;_ @_ "/>
    <numFmt numFmtId="177" formatCode="0.0000%"/>
    <numFmt numFmtId="178" formatCode="#,##0_ ;\-#,##0\ "/>
    <numFmt numFmtId="179" formatCode="0.00000000"/>
    <numFmt numFmtId="180" formatCode="0.000%"/>
    <numFmt numFmtId="181" formatCode="0.000000000000000%"/>
    <numFmt numFmtId="182" formatCode="_ * #,##0.0000_ ;_ * \-#,##0.0000_ ;_ * &quot;-&quot;??_ ;_ @_ "/>
    <numFmt numFmtId="183" formatCode="#,##0_ ;[Red]\-#,##0\ "/>
    <numFmt numFmtId="184" formatCode="###\ ###\ ###\ ###\ ###;\ ###\ ###\ ###\ ###\ ###;\ \-;\ \-"/>
    <numFmt numFmtId="185" formatCode="###\ ###\ ###\ ###\ ###"/>
    <numFmt numFmtId="186" formatCode="_-* #,##0.0_-;\-* #,##0.0_-;_-* &quot;-&quot;??_-;_-@_-"/>
    <numFmt numFmtId="187" formatCode="#,##0.0_ ;\-#,##0.0\ "/>
    <numFmt numFmtId="188" formatCode="#,##0;[Red]#,##0"/>
    <numFmt numFmtId="189" formatCode="0.000"/>
    <numFmt numFmtId="190" formatCode="_-* #,##0.00\ _€_-;\-* #,##0.00\ _€_-;_-* &quot;-&quot;??\ _€_-;_-@_-"/>
    <numFmt numFmtId="191" formatCode="_ [$-2]* #,##0.00_ ;_ [$-2]* \-#,##0.00_ ;_ [$-2]* &quot;-&quot;??_ ;_ @_ "/>
    <numFmt numFmtId="192" formatCode="\$#.00"/>
    <numFmt numFmtId="193" formatCode="#.00"/>
    <numFmt numFmtId="194" formatCode="#,##0.000"/>
    <numFmt numFmtId="195" formatCode="%#.00"/>
    <numFmt numFmtId="196" formatCode="0.0000000%"/>
    <numFmt numFmtId="197" formatCode="0.0000000000%"/>
    <numFmt numFmtId="198" formatCode="0.000000000%"/>
    <numFmt numFmtId="199" formatCode="&quot;S/.&quot;\ #,##0.00"/>
    <numFmt numFmtId="200" formatCode="&quot;S/.&quot;#,##0.00"/>
    <numFmt numFmtId="201" formatCode="&quot;S/.&quot;#,##0"/>
    <numFmt numFmtId="202" formatCode="&quot;S/.&quot;\ #,##0"/>
    <numFmt numFmtId="203" formatCode="#0"/>
    <numFmt numFmtId="204" formatCode="#0.00"/>
    <numFmt numFmtId="205" formatCode="_ [$S/.-280A]\ * #,##0.00_ ;_ [$S/.-280A]\ * \-#,##0.00_ ;_ [$S/.-280A]\ * &quot;-&quot;??_ ;_ @_ "/>
    <numFmt numFmtId="206" formatCode="&quot;S/.&quot;\ #,##0.000"/>
    <numFmt numFmtId="207" formatCode="_ &quot;S/.&quot;\ * #,##0_ ;_ &quot;S/.&quot;\ * \-#,##0_ ;_ &quot;S/.&quot;\ * &quot;-&quot;??_ ;_ @_ "/>
    <numFmt numFmtId="208" formatCode="#,##0.00_ ;\-#,##0.00\ "/>
    <numFmt numFmtId="209" formatCode="[$S/.-280A]\ #,##0.00"/>
    <numFmt numFmtId="210" formatCode="&quot;S/&quot;#,##0.00"/>
  </numFmts>
  <fonts count="246" x14ac:knownFonts="1">
    <font>
      <sz val="11"/>
      <color theme="1"/>
      <name val="Calibri"/>
      <family val="2"/>
      <scheme val="minor"/>
    </font>
    <font>
      <sz val="11"/>
      <color theme="1"/>
      <name val="Calibri"/>
      <family val="2"/>
      <scheme val="minor"/>
    </font>
    <font>
      <sz val="10"/>
      <name val="Arial"/>
      <family val="2"/>
    </font>
    <font>
      <sz val="11"/>
      <color indexed="8"/>
      <name val="Calibri"/>
      <family val="2"/>
    </font>
    <font>
      <sz val="12"/>
      <name val="Courier"/>
      <family val="3"/>
    </font>
    <font>
      <sz val="11"/>
      <name val="Arial Narrow"/>
      <family val="2"/>
    </font>
    <font>
      <sz val="11"/>
      <color theme="1"/>
      <name val="Arial Narrow"/>
      <family val="2"/>
    </font>
    <font>
      <b/>
      <sz val="11"/>
      <color theme="1"/>
      <name val="Arial Narrow"/>
      <family val="2"/>
    </font>
    <font>
      <b/>
      <sz val="11"/>
      <color indexed="8"/>
      <name val="Arial Narrow"/>
      <family val="2"/>
    </font>
    <font>
      <b/>
      <sz val="11"/>
      <name val="Arial Narrow"/>
      <family val="2"/>
    </font>
    <font>
      <b/>
      <sz val="11"/>
      <color theme="0"/>
      <name val="Arial Narrow"/>
      <family val="2"/>
    </font>
    <font>
      <sz val="11"/>
      <color theme="1"/>
      <name val="Arial Narrow"/>
      <family val="2"/>
    </font>
    <font>
      <b/>
      <sz val="11"/>
      <color theme="1"/>
      <name val="Arial Narrow"/>
      <family val="2"/>
    </font>
    <font>
      <sz val="11"/>
      <color theme="0"/>
      <name val="Arial Narrow"/>
      <family val="2"/>
    </font>
    <font>
      <b/>
      <sz val="11"/>
      <name val="Arial Narrow"/>
      <family val="2"/>
    </font>
    <font>
      <sz val="11"/>
      <name val="Arial Narrow"/>
      <family val="2"/>
    </font>
    <font>
      <sz val="8"/>
      <color theme="1"/>
      <name val="Arial"/>
      <family val="2"/>
    </font>
    <font>
      <sz val="11"/>
      <color theme="1"/>
      <name val="Arial Narrow"/>
      <family val="2"/>
    </font>
    <font>
      <b/>
      <sz val="11"/>
      <color theme="1"/>
      <name val="Arial Narrow"/>
      <family val="2"/>
    </font>
    <font>
      <sz val="8"/>
      <color theme="1"/>
      <name val="Arial"/>
      <family val="2"/>
    </font>
    <font>
      <b/>
      <sz val="8"/>
      <color theme="1"/>
      <name val="Arial"/>
      <family val="2"/>
    </font>
    <font>
      <sz val="8"/>
      <color theme="1"/>
      <name val="Arial Narrow"/>
      <family val="2"/>
    </font>
    <font>
      <b/>
      <sz val="8"/>
      <color theme="1"/>
      <name val="Arial Narrow"/>
      <family val="2"/>
    </font>
    <font>
      <sz val="8"/>
      <name val="Arial Narrow"/>
      <family val="2"/>
    </font>
    <font>
      <b/>
      <sz val="8"/>
      <color theme="0"/>
      <name val="Arial Narrow"/>
      <family val="2"/>
    </font>
    <font>
      <sz val="11"/>
      <color indexed="8"/>
      <name val="Arial Narrow"/>
      <family val="2"/>
    </font>
    <font>
      <sz val="11"/>
      <color rgb="FFFF0000"/>
      <name val="Arial Narrow"/>
      <family val="2"/>
    </font>
    <font>
      <b/>
      <sz val="11"/>
      <color rgb="FFFF0000"/>
      <name val="Arial Narrow"/>
      <family val="2"/>
    </font>
    <font>
      <sz val="11"/>
      <color rgb="FF000000"/>
      <name val="Arial Narrow"/>
      <family val="2"/>
    </font>
    <font>
      <b/>
      <sz val="16"/>
      <color theme="1"/>
      <name val="Arial Narrow"/>
      <family val="2"/>
    </font>
    <font>
      <sz val="11"/>
      <color theme="1"/>
      <name val="Cambria"/>
      <family val="1"/>
    </font>
    <font>
      <sz val="11"/>
      <color theme="1"/>
      <name val="Arial"/>
      <family val="2"/>
    </font>
    <font>
      <b/>
      <sz val="8"/>
      <color theme="0"/>
      <name val="Arial"/>
      <family val="2"/>
    </font>
    <font>
      <sz val="8"/>
      <name val="Arial"/>
      <family val="2"/>
    </font>
    <font>
      <sz val="8"/>
      <color indexed="8"/>
      <name val="Arial"/>
      <family val="2"/>
    </font>
    <font>
      <b/>
      <sz val="8"/>
      <name val="Arial"/>
      <family val="2"/>
    </font>
    <font>
      <b/>
      <sz val="9"/>
      <color indexed="81"/>
      <name val="Tahoma"/>
      <family val="2"/>
    </font>
    <font>
      <sz val="9"/>
      <color indexed="81"/>
      <name val="Tahoma"/>
      <family val="2"/>
    </font>
    <font>
      <b/>
      <sz val="11"/>
      <color theme="1"/>
      <name val="Calibri"/>
      <family val="2"/>
      <scheme val="minor"/>
    </font>
    <font>
      <sz val="11"/>
      <color theme="0"/>
      <name val="Calibri"/>
      <family val="2"/>
      <scheme val="minor"/>
    </font>
    <font>
      <sz val="8"/>
      <color theme="1"/>
      <name val="Cambria"/>
      <family val="1"/>
    </font>
    <font>
      <b/>
      <sz val="10"/>
      <name val="Calibri"/>
      <family val="2"/>
      <scheme val="minor"/>
    </font>
    <font>
      <sz val="10"/>
      <name val="Calibri"/>
      <family val="2"/>
      <scheme val="minor"/>
    </font>
    <font>
      <sz val="10"/>
      <name val="Calibri"/>
      <family val="2"/>
    </font>
    <font>
      <b/>
      <sz val="10"/>
      <color theme="1"/>
      <name val="Calibri"/>
      <family val="2"/>
      <scheme val="minor"/>
    </font>
    <font>
      <sz val="10"/>
      <color theme="1"/>
      <name val="Calibri"/>
      <family val="2"/>
      <scheme val="minor"/>
    </font>
    <font>
      <b/>
      <sz val="14"/>
      <color theme="1"/>
      <name val="Cambria"/>
      <family val="1"/>
    </font>
    <font>
      <b/>
      <sz val="12"/>
      <color theme="1"/>
      <name val="Arial"/>
      <family val="2"/>
    </font>
    <font>
      <b/>
      <sz val="9"/>
      <color rgb="FF000000"/>
      <name val="Arial Narrow"/>
      <family val="2"/>
    </font>
    <font>
      <sz val="9"/>
      <color rgb="FF000000"/>
      <name val="Arial Narrow"/>
      <family val="2"/>
    </font>
    <font>
      <sz val="9"/>
      <color theme="1"/>
      <name val="Cambria"/>
      <family val="1"/>
    </font>
    <font>
      <sz val="9"/>
      <name val="Cambria"/>
      <family val="1"/>
    </font>
    <font>
      <sz val="7"/>
      <color indexed="81"/>
      <name val="Tahoma"/>
      <family val="2"/>
    </font>
    <font>
      <sz val="8"/>
      <color indexed="81"/>
      <name val="Arial"/>
      <family val="2"/>
    </font>
    <font>
      <b/>
      <sz val="8"/>
      <name val="Cambria"/>
      <family val="1"/>
    </font>
    <font>
      <sz val="8"/>
      <name val="Cambria"/>
      <family val="1"/>
    </font>
    <font>
      <b/>
      <sz val="8"/>
      <color theme="1"/>
      <name val="Cambria"/>
      <family val="1"/>
    </font>
    <font>
      <b/>
      <sz val="8"/>
      <color theme="0"/>
      <name val="Cambria"/>
      <family val="1"/>
    </font>
    <font>
      <sz val="11"/>
      <color rgb="FF00B0F0"/>
      <name val="Arial Narrow"/>
      <family val="2"/>
    </font>
    <font>
      <sz val="8"/>
      <color theme="1"/>
      <name val="Tahoma"/>
      <family val="2"/>
    </font>
    <font>
      <b/>
      <sz val="14"/>
      <color theme="3"/>
      <name val="Arial Narrow"/>
      <family val="2"/>
    </font>
    <font>
      <b/>
      <sz val="13"/>
      <color theme="3" tint="-0.249977111117893"/>
      <name val="Arial Narrow"/>
      <family val="2"/>
    </font>
    <font>
      <sz val="10"/>
      <name val="Arial Narrow"/>
      <family val="2"/>
    </font>
    <font>
      <b/>
      <sz val="12"/>
      <color theme="1"/>
      <name val="Arial Narrow"/>
      <family val="2"/>
    </font>
    <font>
      <sz val="12"/>
      <name val="Arial Narrow"/>
      <family val="2"/>
    </font>
    <font>
      <sz val="12"/>
      <color theme="1"/>
      <name val="Arial Narrow"/>
      <family val="2"/>
    </font>
    <font>
      <sz val="10"/>
      <name val="Courier"/>
      <family val="3"/>
    </font>
    <font>
      <b/>
      <sz val="9"/>
      <name val="Arial Narrow"/>
      <family val="2"/>
    </font>
    <font>
      <sz val="9"/>
      <name val="Arial Narrow"/>
      <family val="2"/>
    </font>
    <font>
      <b/>
      <sz val="10"/>
      <name val="Arial Narrow"/>
      <family val="2"/>
    </font>
    <font>
      <b/>
      <sz val="7"/>
      <name val="Arial Narrow"/>
      <family val="2"/>
    </font>
    <font>
      <sz val="7"/>
      <name val="Arial Narrow"/>
      <family val="2"/>
    </font>
    <font>
      <sz val="9"/>
      <color rgb="FF686868"/>
      <name val="Calibri"/>
      <family val="2"/>
      <scheme val="minor"/>
    </font>
    <font>
      <sz val="8"/>
      <color rgb="FFFF0000"/>
      <name val="Cambria"/>
      <family val="1"/>
    </font>
    <font>
      <b/>
      <i/>
      <sz val="8"/>
      <name val="Cambria"/>
      <family val="1"/>
    </font>
    <font>
      <sz val="10"/>
      <color rgb="FF000000"/>
      <name val="Times New Roman"/>
      <family val="1"/>
    </font>
    <font>
      <b/>
      <u/>
      <sz val="8"/>
      <name val="Arial"/>
      <family val="2"/>
    </font>
    <font>
      <sz val="8"/>
      <color theme="1"/>
      <name val="Calibri"/>
      <family val="2"/>
      <scheme val="minor"/>
    </font>
    <font>
      <u/>
      <sz val="11"/>
      <color theme="10"/>
      <name val="Calibri"/>
      <family val="2"/>
    </font>
    <font>
      <sz val="10"/>
      <color indexed="8"/>
      <name val="MS Sans Serif"/>
      <family val="2"/>
    </font>
    <font>
      <sz val="10"/>
      <color theme="1"/>
      <name val="Arial"/>
      <family val="2"/>
    </font>
    <font>
      <b/>
      <sz val="10"/>
      <color theme="1"/>
      <name val="Arial"/>
      <family val="2"/>
    </font>
    <font>
      <b/>
      <sz val="10"/>
      <color theme="0"/>
      <name val="Arial"/>
      <family val="2"/>
    </font>
    <font>
      <sz val="10"/>
      <color indexed="8"/>
      <name val="Arial"/>
      <family val="2"/>
    </font>
    <font>
      <b/>
      <sz val="10"/>
      <name val="Arial"/>
      <family val="2"/>
    </font>
    <font>
      <b/>
      <u/>
      <sz val="10"/>
      <name val="Arial"/>
      <family val="2"/>
    </font>
    <font>
      <u/>
      <sz val="11"/>
      <color theme="10"/>
      <name val="Calibri"/>
      <family val="2"/>
      <scheme val="minor"/>
    </font>
    <font>
      <b/>
      <sz val="11"/>
      <color theme="1"/>
      <name val="Arial"/>
      <family val="2"/>
    </font>
    <font>
      <sz val="10"/>
      <color theme="0"/>
      <name val="Arial"/>
      <family val="2"/>
    </font>
    <font>
      <b/>
      <sz val="14"/>
      <color theme="1"/>
      <name val="Arial Narrow"/>
      <family val="2"/>
    </font>
    <font>
      <b/>
      <sz val="10"/>
      <color theme="1"/>
      <name val="Arial Narrow"/>
      <family val="2"/>
    </font>
    <font>
      <sz val="10"/>
      <color theme="1"/>
      <name val="Arial Narrow"/>
      <family val="2"/>
    </font>
    <font>
      <b/>
      <sz val="10"/>
      <color indexed="8"/>
      <name val="Arial"/>
      <family val="2"/>
    </font>
    <font>
      <b/>
      <sz val="10"/>
      <color rgb="FFFF0000"/>
      <name val="Arial"/>
      <family val="2"/>
    </font>
    <font>
      <sz val="10"/>
      <color rgb="FFFF0000"/>
      <name val="Arial"/>
      <family val="2"/>
    </font>
    <font>
      <b/>
      <sz val="10"/>
      <color indexed="8"/>
      <name val="Calibri"/>
      <family val="2"/>
      <scheme val="minor"/>
    </font>
    <font>
      <sz val="10"/>
      <color rgb="FF00B0F0"/>
      <name val="Arial"/>
      <family val="2"/>
    </font>
    <font>
      <sz val="10"/>
      <color indexed="8"/>
      <name val="Calibri"/>
      <family val="2"/>
      <scheme val="minor"/>
    </font>
    <font>
      <u/>
      <sz val="9"/>
      <name val="Arial Narrow"/>
      <family val="2"/>
    </font>
    <font>
      <sz val="9"/>
      <color theme="1"/>
      <name val="Arial Narrow"/>
      <family val="2"/>
    </font>
    <font>
      <b/>
      <sz val="9"/>
      <color indexed="8"/>
      <name val="Arial Narrow"/>
      <family val="2"/>
    </font>
    <font>
      <b/>
      <sz val="9"/>
      <color theme="1"/>
      <name val="Arial Narrow"/>
      <family val="2"/>
    </font>
    <font>
      <b/>
      <u/>
      <sz val="9"/>
      <color theme="1"/>
      <name val="Arial Narrow"/>
      <family val="2"/>
    </font>
    <font>
      <b/>
      <sz val="12"/>
      <color theme="0"/>
      <name val="Arial Narrow"/>
      <family val="2"/>
    </font>
    <font>
      <b/>
      <sz val="9"/>
      <color theme="0"/>
      <name val="Arial Narrow"/>
      <family val="2"/>
    </font>
    <font>
      <b/>
      <sz val="9"/>
      <color indexed="10"/>
      <name val="Arial Narrow"/>
      <family val="2"/>
    </font>
    <font>
      <sz val="9"/>
      <color indexed="10"/>
      <name val="Arial Narrow"/>
      <family val="2"/>
    </font>
    <font>
      <b/>
      <sz val="9"/>
      <color indexed="9"/>
      <name val="Arial Narrow"/>
      <family val="2"/>
    </font>
    <font>
      <sz val="9"/>
      <color rgb="FF3399FF"/>
      <name val="Arial Narrow"/>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indexed="9"/>
      <name val="Calibri"/>
      <family val="2"/>
    </font>
    <font>
      <sz val="11"/>
      <color indexed="20"/>
      <name val="Calibri"/>
      <family val="2"/>
    </font>
    <font>
      <u/>
      <sz val="9"/>
      <color indexed="36"/>
      <name val="Courier"/>
      <family val="3"/>
    </font>
    <font>
      <b/>
      <sz val="11"/>
      <color indexed="52"/>
      <name val="Calibri"/>
      <family val="2"/>
    </font>
    <font>
      <b/>
      <sz val="11"/>
      <color indexed="9"/>
      <name val="Calibri"/>
      <family val="2"/>
    </font>
    <font>
      <sz val="1"/>
      <color indexed="8"/>
      <name val="Courier"/>
      <family val="3"/>
    </font>
    <font>
      <i/>
      <sz val="11"/>
      <color indexed="23"/>
      <name val="Calibri"/>
      <family val="2"/>
    </font>
    <font>
      <i/>
      <sz val="1"/>
      <color indexed="8"/>
      <name val="Courier"/>
      <family val="3"/>
    </font>
    <font>
      <sz val="11"/>
      <color indexed="17"/>
      <name val="Calibri"/>
      <family val="2"/>
    </font>
    <font>
      <b/>
      <sz val="15"/>
      <color indexed="62"/>
      <name val="Calibri"/>
      <family val="2"/>
    </font>
    <font>
      <b/>
      <sz val="13"/>
      <color indexed="62"/>
      <name val="Calibri"/>
      <family val="2"/>
    </font>
    <font>
      <b/>
      <sz val="11"/>
      <color indexed="62"/>
      <name val="Calibri"/>
      <family val="2"/>
    </font>
    <font>
      <b/>
      <sz val="1"/>
      <color indexed="8"/>
      <name val="Courier"/>
      <family val="3"/>
    </font>
    <font>
      <u/>
      <sz val="9"/>
      <color indexed="12"/>
      <name val="Courier"/>
      <family val="3"/>
    </font>
    <font>
      <sz val="11"/>
      <color indexed="62"/>
      <name val="Calibri"/>
      <family val="2"/>
    </font>
    <font>
      <sz val="11"/>
      <color indexed="52"/>
      <name val="Calibri"/>
      <family val="2"/>
    </font>
    <font>
      <sz val="6.25"/>
      <color indexed="8"/>
      <name val="Arial Narrow"/>
      <family val="2"/>
    </font>
    <font>
      <b/>
      <sz val="11"/>
      <color indexed="63"/>
      <name val="Calibri"/>
      <family val="2"/>
    </font>
    <font>
      <b/>
      <sz val="18"/>
      <color indexed="62"/>
      <name val="Cambria"/>
      <family val="2"/>
    </font>
    <font>
      <sz val="11"/>
      <color indexed="10"/>
      <name val="Calibri"/>
      <family val="2"/>
    </font>
    <font>
      <u/>
      <sz val="8.8000000000000007"/>
      <color theme="10"/>
      <name val="Calibri"/>
      <family val="2"/>
    </font>
    <font>
      <sz val="11"/>
      <color rgb="FF9C5700"/>
      <name val="Calibri"/>
      <family val="2"/>
      <scheme val="minor"/>
    </font>
    <font>
      <sz val="9"/>
      <color rgb="FFFF0000"/>
      <name val="Arial Narrow"/>
      <family val="2"/>
    </font>
    <font>
      <sz val="9"/>
      <color theme="0"/>
      <name val="Arial Narrow"/>
      <family val="2"/>
    </font>
    <font>
      <b/>
      <u/>
      <sz val="9"/>
      <name val="Arial Narrow"/>
      <family val="2"/>
    </font>
    <font>
      <b/>
      <u/>
      <sz val="9"/>
      <color indexed="30"/>
      <name val="Arial Narrow"/>
      <family val="2"/>
    </font>
    <font>
      <b/>
      <sz val="9"/>
      <color indexed="30"/>
      <name val="Arial Narrow"/>
      <family val="2"/>
    </font>
    <font>
      <sz val="9"/>
      <color indexed="8"/>
      <name val="Arial Narrow"/>
      <family val="2"/>
    </font>
    <font>
      <b/>
      <sz val="9"/>
      <color rgb="FF002060"/>
      <name val="Arial Narrow"/>
      <family val="2"/>
    </font>
    <font>
      <b/>
      <sz val="9"/>
      <color indexed="36"/>
      <name val="Arial Narrow"/>
      <family val="2"/>
    </font>
    <font>
      <b/>
      <sz val="9"/>
      <color indexed="56"/>
      <name val="Arial Narrow"/>
      <family val="2"/>
    </font>
    <font>
      <sz val="6"/>
      <color indexed="8"/>
      <name val="Arial Narrow"/>
      <family val="2"/>
    </font>
    <font>
      <b/>
      <u/>
      <sz val="9"/>
      <color theme="4"/>
      <name val="Arial Narrow"/>
      <family val="2"/>
    </font>
    <font>
      <b/>
      <sz val="9"/>
      <color rgb="FFFF0000"/>
      <name val="Arial Narrow"/>
      <family val="2"/>
    </font>
    <font>
      <b/>
      <u/>
      <sz val="9"/>
      <color rgb="FFFF0000"/>
      <name val="Arial Narrow"/>
      <family val="2"/>
    </font>
    <font>
      <b/>
      <sz val="9"/>
      <color indexed="62"/>
      <name val="Arial Narrow"/>
      <family val="2"/>
    </font>
    <font>
      <b/>
      <u/>
      <sz val="9"/>
      <color indexed="62"/>
      <name val="Arial Narrow"/>
      <family val="2"/>
    </font>
    <font>
      <b/>
      <sz val="9"/>
      <color indexed="60"/>
      <name val="Arial Narrow"/>
      <family val="2"/>
    </font>
    <font>
      <b/>
      <sz val="8"/>
      <color indexed="8"/>
      <name val="Arial Narrow"/>
      <family val="2"/>
    </font>
    <font>
      <b/>
      <u/>
      <sz val="9"/>
      <color theme="5" tint="-0.249977111117893"/>
      <name val="Arial Narrow"/>
      <family val="2"/>
    </font>
    <font>
      <sz val="9"/>
      <color indexed="36"/>
      <name val="Arial Narrow"/>
      <family val="2"/>
    </font>
    <font>
      <b/>
      <u/>
      <sz val="10"/>
      <color theme="5" tint="-0.249977111117893"/>
      <name val="Arial Narrow"/>
      <family val="2"/>
    </font>
    <font>
      <b/>
      <u/>
      <sz val="10"/>
      <color theme="4"/>
      <name val="Arial Narrow"/>
      <family val="2"/>
    </font>
    <font>
      <b/>
      <u/>
      <sz val="10"/>
      <name val="Arial Narrow"/>
      <family val="2"/>
    </font>
    <font>
      <b/>
      <sz val="9"/>
      <color indexed="12"/>
      <name val="Arial Narrow"/>
      <family val="2"/>
    </font>
    <font>
      <b/>
      <u/>
      <sz val="9"/>
      <color indexed="10"/>
      <name val="Arial Narrow"/>
      <family val="2"/>
    </font>
    <font>
      <sz val="11"/>
      <color rgb="FFFF5050"/>
      <name val="Arial Narrow"/>
      <family val="2"/>
    </font>
    <font>
      <sz val="14"/>
      <color theme="1"/>
      <name val="Arial Narrow"/>
      <family val="2"/>
    </font>
    <font>
      <b/>
      <sz val="14"/>
      <name val="Arial Narrow"/>
      <family val="2"/>
    </font>
    <font>
      <b/>
      <sz val="14"/>
      <color theme="0"/>
      <name val="Arial Narrow"/>
      <family val="2"/>
    </font>
    <font>
      <sz val="14"/>
      <name val="Arial Narrow"/>
      <family val="2"/>
    </font>
    <font>
      <sz val="14"/>
      <color indexed="8"/>
      <name val="Arial Narrow"/>
      <family val="2"/>
    </font>
    <font>
      <b/>
      <sz val="11"/>
      <color rgb="FF0070C0"/>
      <name val="Arial Narrow"/>
      <family val="2"/>
    </font>
    <font>
      <b/>
      <sz val="11"/>
      <color rgb="FF00B0F0"/>
      <name val="Arial Narrow"/>
      <family val="2"/>
    </font>
    <font>
      <b/>
      <sz val="11"/>
      <color rgb="FFFFFFFF"/>
      <name val="Arial Narrow"/>
      <family val="2"/>
    </font>
    <font>
      <sz val="11"/>
      <color rgb="FF000000"/>
      <name val="Arial Narrow"/>
      <family val="2"/>
      <charset val="1"/>
    </font>
    <font>
      <b/>
      <sz val="10"/>
      <color indexed="81"/>
      <name val="Tahoma"/>
      <family val="2"/>
    </font>
    <font>
      <sz val="10"/>
      <color indexed="81"/>
      <name val="Tahoma"/>
      <family val="2"/>
    </font>
    <font>
      <sz val="14"/>
      <color theme="1"/>
      <name val="Cambria"/>
      <family val="1"/>
    </font>
    <font>
      <b/>
      <sz val="14"/>
      <color indexed="8"/>
      <name val="Arial Narrow"/>
      <family val="2"/>
    </font>
    <font>
      <b/>
      <sz val="12"/>
      <color indexed="8"/>
      <name val="Arial Narrow"/>
      <family val="2"/>
    </font>
    <font>
      <sz val="12"/>
      <color indexed="8"/>
      <name val="Arial Narrow"/>
      <family val="2"/>
    </font>
    <font>
      <sz val="14"/>
      <color theme="1"/>
      <name val="Calibri"/>
      <family val="2"/>
      <scheme val="minor"/>
    </font>
    <font>
      <sz val="14"/>
      <color rgb="FFFF0000"/>
      <name val="Arial Narrow"/>
      <family val="2"/>
    </font>
    <font>
      <b/>
      <sz val="8"/>
      <color rgb="FFFF0000"/>
      <name val="Arial"/>
      <family val="2"/>
    </font>
    <font>
      <sz val="11"/>
      <color rgb="FFFF0000"/>
      <name val="Arial"/>
      <family val="2"/>
    </font>
    <font>
      <b/>
      <sz val="11"/>
      <color rgb="FFFF0000"/>
      <name val="Arial"/>
      <family val="2"/>
    </font>
    <font>
      <sz val="8"/>
      <color rgb="FFFF0000"/>
      <name val="Arial"/>
      <family val="2"/>
    </font>
    <font>
      <b/>
      <sz val="12"/>
      <color theme="0"/>
      <name val="Arial"/>
      <family val="2"/>
    </font>
    <font>
      <sz val="8"/>
      <color theme="3"/>
      <name val="Arial"/>
      <family val="2"/>
    </font>
    <font>
      <b/>
      <u/>
      <sz val="9"/>
      <color indexed="8"/>
      <name val="Arial Narrow"/>
      <family val="2"/>
    </font>
    <font>
      <i/>
      <sz val="9"/>
      <color indexed="56"/>
      <name val="Arial Narrow"/>
      <family val="2"/>
    </font>
    <font>
      <sz val="9"/>
      <color indexed="12"/>
      <name val="Arial Narrow"/>
      <family val="2"/>
    </font>
    <font>
      <b/>
      <sz val="10"/>
      <color indexed="8"/>
      <name val="Arial Narrow"/>
      <family val="2"/>
    </font>
    <font>
      <b/>
      <sz val="10"/>
      <color indexed="9"/>
      <name val="Arial Narrow"/>
      <family val="2"/>
    </font>
    <font>
      <b/>
      <sz val="10"/>
      <color theme="0"/>
      <name val="Arial Narrow"/>
      <family val="2"/>
    </font>
    <font>
      <b/>
      <vertAlign val="superscript"/>
      <sz val="9"/>
      <color theme="0"/>
      <name val="Arial Narrow"/>
      <family val="2"/>
    </font>
    <font>
      <vertAlign val="superscript"/>
      <sz val="9"/>
      <name val="Arial Narrow"/>
      <family val="2"/>
    </font>
    <font>
      <i/>
      <sz val="9"/>
      <color theme="1"/>
      <name val="Arial Narrow"/>
      <family val="2"/>
    </font>
    <font>
      <b/>
      <i/>
      <sz val="9"/>
      <name val="Arial Narrow"/>
      <family val="2"/>
    </font>
    <font>
      <b/>
      <i/>
      <sz val="9"/>
      <color theme="0"/>
      <name val="Arial Narrow"/>
      <family val="2"/>
    </font>
    <font>
      <b/>
      <vertAlign val="superscript"/>
      <sz val="10"/>
      <color theme="0"/>
      <name val="Arial Narrow"/>
      <family val="2"/>
    </font>
    <font>
      <sz val="10"/>
      <color indexed="8"/>
      <name val="Arial Narrow"/>
      <family val="2"/>
    </font>
    <font>
      <sz val="10"/>
      <color rgb="FFFF0000"/>
      <name val="Arial Narrow"/>
      <family val="2"/>
    </font>
    <font>
      <b/>
      <sz val="10"/>
      <color rgb="FF000000"/>
      <name val="Arial Narrow"/>
      <family val="2"/>
    </font>
    <font>
      <sz val="10"/>
      <color rgb="FF000000"/>
      <name val="Arial Narrow"/>
      <family val="2"/>
    </font>
    <font>
      <b/>
      <sz val="8"/>
      <name val="Arial Narrow"/>
      <family val="2"/>
    </font>
    <font>
      <sz val="9"/>
      <color theme="4" tint="0.59999389629810485"/>
      <name val="Arial Narrow"/>
      <family val="2"/>
    </font>
    <font>
      <sz val="8"/>
      <color rgb="FFFF0000"/>
      <name val="Arial Narrow"/>
      <family val="2"/>
    </font>
    <font>
      <b/>
      <u/>
      <sz val="9"/>
      <color rgb="FF0070C0"/>
      <name val="Arial Narrow"/>
      <family val="2"/>
    </font>
    <font>
      <b/>
      <u/>
      <sz val="8"/>
      <name val="Arial Narrow"/>
      <family val="2"/>
    </font>
    <font>
      <sz val="8"/>
      <color theme="0"/>
      <name val="Arial Narrow"/>
      <family val="2"/>
    </font>
    <font>
      <b/>
      <sz val="9"/>
      <color theme="5"/>
      <name val="Arial Narrow"/>
      <family val="2"/>
    </font>
    <font>
      <b/>
      <sz val="16"/>
      <color theme="0"/>
      <name val="Arial Narrow"/>
      <family val="2"/>
    </font>
    <font>
      <b/>
      <sz val="9"/>
      <color rgb="FF006100"/>
      <name val="Arial Narrow"/>
      <family val="2"/>
    </font>
    <font>
      <u/>
      <sz val="9"/>
      <color theme="10"/>
      <name val="Arial Narrow"/>
      <family val="2"/>
    </font>
    <font>
      <b/>
      <sz val="18"/>
      <color theme="0"/>
      <name val="Arial"/>
      <family val="2"/>
    </font>
    <font>
      <b/>
      <u/>
      <sz val="10"/>
      <color theme="1"/>
      <name val="Arial"/>
      <family val="2"/>
    </font>
    <font>
      <i/>
      <sz val="10"/>
      <name val="Arial"/>
      <family val="2"/>
    </font>
    <font>
      <b/>
      <u/>
      <sz val="12"/>
      <color theme="0"/>
      <name val="Arial"/>
      <family val="2"/>
    </font>
    <font>
      <b/>
      <sz val="9"/>
      <color theme="8" tint="-0.499984740745262"/>
      <name val="Arial Narrow"/>
      <family val="2"/>
    </font>
    <font>
      <b/>
      <sz val="9"/>
      <color theme="4" tint="-0.499984740745262"/>
      <name val="Arial Narrow"/>
      <family val="2"/>
    </font>
    <font>
      <sz val="9"/>
      <color theme="8" tint="-0.499984740745262"/>
      <name val="Arial Narrow"/>
      <family val="2"/>
    </font>
    <font>
      <b/>
      <sz val="9"/>
      <color theme="4" tint="-0.249977111117893"/>
      <name val="Arial Narrow"/>
      <family val="2"/>
    </font>
    <font>
      <b/>
      <sz val="9"/>
      <color rgb="FF0070C0"/>
      <name val="Arial Narrow"/>
      <family val="2"/>
    </font>
    <font>
      <sz val="9"/>
      <color theme="4" tint="-0.249977111117893"/>
      <name val="Arial Narrow"/>
      <family val="2"/>
    </font>
    <font>
      <sz val="9"/>
      <color rgb="FF0070C0"/>
      <name val="Arial Narrow"/>
      <family val="2"/>
    </font>
    <font>
      <b/>
      <sz val="9"/>
      <color theme="4" tint="0.59999389629810485"/>
      <name val="Arial Narrow"/>
      <family val="2"/>
    </font>
    <font>
      <sz val="9"/>
      <color theme="5" tint="-0.499984740745262"/>
      <name val="Arial Narrow"/>
      <family val="2"/>
    </font>
    <font>
      <b/>
      <sz val="9"/>
      <color indexed="18"/>
      <name val="Arial Narrow"/>
      <family val="2"/>
    </font>
    <font>
      <b/>
      <u/>
      <sz val="11"/>
      <name val="Arial Narrow"/>
      <family val="2"/>
    </font>
    <font>
      <b/>
      <sz val="9"/>
      <color rgb="FFC00000"/>
      <name val="Arial Narrow"/>
      <family val="2"/>
    </font>
    <font>
      <sz val="9"/>
      <color rgb="FFC00000"/>
      <name val="Arial Narrow"/>
      <family val="2"/>
    </font>
    <font>
      <sz val="10"/>
      <color theme="0"/>
      <name val="Arial Narrow"/>
      <family val="2"/>
    </font>
    <font>
      <sz val="8"/>
      <color indexed="8"/>
      <name val="Arial Narrow"/>
      <family val="2"/>
    </font>
    <font>
      <sz val="14"/>
      <color rgb="FFFF0000"/>
      <name val="Cambria"/>
      <family val="1"/>
    </font>
    <font>
      <b/>
      <sz val="18"/>
      <color theme="0"/>
      <name val="Arial Narrow"/>
      <family val="2"/>
    </font>
    <font>
      <sz val="11"/>
      <color theme="4" tint="-0.499984740745262"/>
      <name val="Arial Narrow"/>
      <family val="2"/>
    </font>
    <font>
      <b/>
      <sz val="11"/>
      <color theme="4" tint="-0.249977111117893"/>
      <name val="Arial Narrow"/>
      <family val="2"/>
    </font>
    <font>
      <b/>
      <sz val="11"/>
      <color indexed="8"/>
      <name val="Cambria"/>
      <family val="1"/>
    </font>
    <font>
      <b/>
      <sz val="11"/>
      <color indexed="8"/>
      <name val="Calibri"/>
      <family val="2"/>
      <scheme val="minor"/>
    </font>
    <font>
      <sz val="8"/>
      <color theme="0"/>
      <name val="Cambria"/>
      <family val="1"/>
    </font>
    <font>
      <sz val="7"/>
      <color theme="0"/>
      <name val="Cambria"/>
      <family val="1"/>
    </font>
    <font>
      <sz val="8"/>
      <color rgb="FF000000"/>
      <name val="Cambria"/>
      <family val="1"/>
    </font>
  </fonts>
  <fills count="127">
    <fill>
      <patternFill patternType="none"/>
    </fill>
    <fill>
      <patternFill patternType="gray125"/>
    </fill>
    <fill>
      <patternFill patternType="solid">
        <fgColor theme="0"/>
        <bgColor indexed="64"/>
      </patternFill>
    </fill>
    <fill>
      <patternFill patternType="solid">
        <fgColor theme="8"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C000"/>
        <bgColor indexed="64"/>
      </patternFill>
    </fill>
    <fill>
      <patternFill patternType="solid">
        <fgColor rgb="FF0070C0"/>
        <bgColor indexed="64"/>
      </patternFill>
    </fill>
    <fill>
      <patternFill patternType="solid">
        <fgColor rgb="FF0070C0"/>
        <bgColor indexed="31"/>
      </patternFill>
    </fill>
    <fill>
      <patternFill patternType="solid">
        <fgColor theme="0" tint="-0.14999847407452621"/>
        <bgColor indexed="64"/>
      </patternFill>
    </fill>
    <fill>
      <patternFill patternType="solid">
        <fgColor theme="8" tint="0.79998168889431442"/>
        <bgColor indexed="64"/>
      </patternFill>
    </fill>
    <fill>
      <patternFill patternType="solid">
        <fgColor rgb="FF00B0F0"/>
        <bgColor indexed="64"/>
      </patternFill>
    </fill>
    <fill>
      <patternFill patternType="solid">
        <fgColor indexed="9"/>
        <bgColor indexed="64"/>
      </patternFill>
    </fill>
    <fill>
      <patternFill patternType="solid">
        <fgColor theme="0" tint="-0.34998626667073579"/>
        <bgColor indexed="64"/>
      </patternFill>
    </fill>
    <fill>
      <patternFill patternType="solid">
        <fgColor rgb="FF92D050"/>
        <bgColor indexed="64"/>
      </patternFill>
    </fill>
    <fill>
      <patternFill patternType="solid">
        <fgColor theme="9" tint="-0.249977111117893"/>
        <bgColor indexed="64"/>
      </patternFill>
    </fill>
    <fill>
      <patternFill patternType="solid">
        <fgColor theme="0" tint="-0.249977111117893"/>
        <bgColor indexed="64"/>
      </patternFill>
    </fill>
    <fill>
      <patternFill patternType="solid">
        <fgColor rgb="FFFF0000"/>
        <bgColor indexed="64"/>
      </patternFill>
    </fill>
    <fill>
      <patternFill patternType="solid">
        <fgColor theme="4"/>
        <bgColor indexed="31"/>
      </patternFill>
    </fill>
    <fill>
      <patternFill patternType="solid">
        <fgColor rgb="FFFFC000"/>
        <bgColor indexed="31"/>
      </patternFill>
    </fill>
    <fill>
      <patternFill patternType="solid">
        <fgColor theme="0"/>
        <bgColor indexed="31"/>
      </patternFill>
    </fill>
    <fill>
      <patternFill patternType="solid">
        <fgColor rgb="FFFF0000"/>
        <bgColor indexed="31"/>
      </patternFill>
    </fill>
    <fill>
      <patternFill patternType="solid">
        <fgColor rgb="FFF0E6EF"/>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5"/>
      </patternFill>
    </fill>
    <fill>
      <patternFill patternType="solid">
        <fgColor theme="8" tint="0.39997558519241921"/>
        <bgColor indexed="65"/>
      </patternFill>
    </fill>
    <fill>
      <patternFill patternType="solid">
        <fgColor theme="4" tint="0.59999389629810485"/>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8"/>
        <bgColor theme="8"/>
      </patternFill>
    </fill>
    <fill>
      <patternFill patternType="solid">
        <fgColor theme="5" tint="0.79998168889431442"/>
        <bgColor indexed="64"/>
      </patternFill>
    </fill>
    <fill>
      <patternFill patternType="solid">
        <fgColor theme="5"/>
        <bgColor indexed="64"/>
      </patternFill>
    </fill>
    <fill>
      <patternFill patternType="solid">
        <fgColor rgb="FFFFFF99"/>
        <bgColor indexed="64"/>
      </patternFill>
    </fill>
    <fill>
      <patternFill patternType="solid">
        <fgColor theme="0" tint="-4.9989318521683403E-2"/>
        <bgColor indexed="64"/>
      </patternFill>
    </fill>
    <fill>
      <patternFill patternType="solid">
        <fgColor rgb="FFFFFFFF"/>
        <bgColor indexed="64"/>
      </patternFill>
    </fill>
    <fill>
      <patternFill patternType="solid">
        <fgColor rgb="FFCCCCFF"/>
        <bgColor indexed="64"/>
      </patternFill>
    </fill>
    <fill>
      <patternFill patternType="solid">
        <fgColor theme="7" tint="0.39997558519241921"/>
        <bgColor indexed="64"/>
      </patternFill>
    </fill>
    <fill>
      <patternFill patternType="solid">
        <fgColor rgb="FF002060"/>
        <bgColor indexed="64"/>
      </patternFill>
    </fill>
    <fill>
      <patternFill patternType="solid">
        <fgColor theme="4"/>
      </patternFill>
    </fill>
    <fill>
      <patternFill patternType="solid">
        <fgColor theme="4" tint="0.59999389629810485"/>
        <bgColor indexed="65"/>
      </patternFill>
    </fill>
    <fill>
      <patternFill patternType="solid">
        <fgColor theme="3" tint="0.59999389629810485"/>
        <bgColor indexed="64"/>
      </patternFill>
    </fill>
    <fill>
      <patternFill patternType="solid">
        <fgColor rgb="FF8DB4E2"/>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indexed="22"/>
        <bgColor indexed="64"/>
      </patternFill>
    </fill>
    <fill>
      <patternFill patternType="solid">
        <fgColor indexed="11"/>
        <bgColor indexed="64"/>
      </patternFill>
    </fill>
    <fill>
      <patternFill patternType="solid">
        <fgColor indexed="15"/>
        <bgColor indexed="64"/>
      </patternFill>
    </fill>
    <fill>
      <patternFill patternType="solid">
        <fgColor indexed="44"/>
        <bgColor indexed="64"/>
      </patternFill>
    </fill>
    <fill>
      <patternFill patternType="solid">
        <fgColor indexed="50"/>
        <bgColor indexed="64"/>
      </patternFill>
    </fill>
    <fill>
      <patternFill patternType="solid">
        <fgColor rgb="FF009900"/>
        <bgColor rgb="FF000000"/>
      </patternFill>
    </fill>
    <fill>
      <patternFill patternType="solid">
        <fgColor theme="5" tint="0.59999389629810485"/>
        <bgColor indexed="64"/>
      </patternFill>
    </fill>
    <fill>
      <patternFill patternType="solid">
        <fgColor indexed="31"/>
        <bgColor indexed="64"/>
      </patternFill>
    </fill>
    <fill>
      <patternFill patternType="solid">
        <fgColor rgb="FF0A0FE6"/>
        <bgColor indexed="64"/>
      </patternFill>
    </fill>
    <fill>
      <patternFill patternType="solid">
        <fgColor theme="6" tint="0.79998168889431442"/>
        <bgColor indexed="64"/>
      </patternFill>
    </fill>
    <fill>
      <patternFill patternType="solid">
        <fgColor indexed="4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7"/>
      </patternFill>
    </fill>
    <fill>
      <patternFill patternType="solid">
        <fgColor indexed="29"/>
      </patternFill>
    </fill>
    <fill>
      <patternFill patternType="solid">
        <fgColor indexed="26"/>
      </patternFill>
    </fill>
    <fill>
      <patternFill patternType="solid">
        <fgColor indexed="27"/>
      </patternFill>
    </fill>
    <fill>
      <patternFill patternType="solid">
        <fgColor indexed="22"/>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9"/>
      </patternFill>
    </fill>
    <fill>
      <patternFill patternType="solid">
        <fgColor indexed="55"/>
      </patternFill>
    </fill>
    <fill>
      <patternFill patternType="solid">
        <fgColor indexed="42"/>
      </patternFill>
    </fill>
    <fill>
      <patternFill patternType="solid">
        <fgColor rgb="FF99FF66"/>
        <bgColor indexed="64"/>
      </patternFill>
    </fill>
    <fill>
      <patternFill patternType="solid">
        <fgColor theme="6" tint="0.59999389629810485"/>
        <bgColor indexed="64"/>
      </patternFill>
    </fill>
    <fill>
      <patternFill patternType="solid">
        <fgColor rgb="FF0070C0"/>
      </patternFill>
    </fill>
    <fill>
      <patternFill patternType="solid">
        <fgColor theme="8"/>
        <bgColor rgb="FFF2F2F2"/>
      </patternFill>
    </fill>
    <fill>
      <patternFill patternType="solid">
        <fgColor theme="2"/>
        <bgColor indexed="64"/>
      </patternFill>
    </fill>
    <fill>
      <patternFill patternType="solid">
        <fgColor rgb="FFFFFFFF"/>
        <bgColor rgb="FFF2F2F2"/>
      </patternFill>
    </fill>
    <fill>
      <patternFill patternType="solid">
        <fgColor rgb="FF0070C0"/>
        <bgColor rgb="FF000000"/>
      </patternFill>
    </fill>
    <fill>
      <patternFill patternType="solid">
        <fgColor rgb="FFCCFF66"/>
        <bgColor indexed="64"/>
      </patternFill>
    </fill>
    <fill>
      <patternFill patternType="solid">
        <fgColor theme="2" tint="-9.9978637043366805E-2"/>
        <bgColor indexed="64"/>
      </patternFill>
    </fill>
    <fill>
      <patternFill patternType="solid">
        <fgColor rgb="FF00CC99"/>
        <bgColor indexed="64"/>
      </patternFill>
    </fill>
    <fill>
      <patternFill patternType="solid">
        <fgColor theme="7" tint="0.59999389629810485"/>
        <bgColor indexed="64"/>
      </patternFill>
    </fill>
    <fill>
      <patternFill patternType="solid">
        <fgColor rgb="FF0070C0"/>
        <bgColor theme="0" tint="-0.14996795556505021"/>
      </patternFill>
    </fill>
    <fill>
      <patternFill patternType="solid">
        <fgColor rgb="FFCCFF99"/>
        <bgColor indexed="64"/>
      </patternFill>
    </fill>
    <fill>
      <patternFill patternType="solid">
        <fgColor rgb="FF0070C0"/>
        <bgColor indexed="22"/>
      </patternFill>
    </fill>
    <fill>
      <patternFill patternType="solid">
        <fgColor rgb="FFFFC000"/>
        <bgColor theme="0" tint="-0.14996795556505021"/>
      </patternFill>
    </fill>
    <fill>
      <patternFill patternType="solid">
        <fgColor rgb="FF0099FF"/>
        <bgColor indexed="64"/>
      </patternFill>
    </fill>
    <fill>
      <patternFill patternType="solid">
        <fgColor theme="0"/>
        <bgColor indexed="0"/>
      </patternFill>
    </fill>
    <fill>
      <patternFill patternType="solid">
        <fgColor rgb="FFCCFFFF"/>
        <bgColor indexed="64"/>
      </patternFill>
    </fill>
    <fill>
      <patternFill patternType="solid">
        <fgColor rgb="FFFF99FF"/>
        <bgColor indexed="64"/>
      </patternFill>
    </fill>
    <fill>
      <patternFill patternType="solid">
        <fgColor theme="0"/>
        <bgColor rgb="FF000000"/>
      </patternFill>
    </fill>
    <fill>
      <patternFill patternType="solid">
        <fgColor theme="4" tint="0.79998168889431442"/>
        <bgColor rgb="FF000000"/>
      </patternFill>
    </fill>
    <fill>
      <patternFill patternType="solid">
        <fgColor theme="5" tint="-0.249977111117893"/>
        <bgColor indexed="64"/>
      </patternFill>
    </fill>
    <fill>
      <patternFill patternType="solid">
        <fgColor theme="1" tint="0.34998626667073579"/>
        <bgColor indexed="64"/>
      </patternFill>
    </fill>
    <fill>
      <patternFill patternType="solid">
        <fgColor theme="4" tint="0.79998168889431442"/>
        <bgColor indexed="0"/>
      </patternFill>
    </fill>
    <fill>
      <patternFill patternType="solid">
        <fgColor rgb="FF009900"/>
        <bgColor indexed="64"/>
      </patternFill>
    </fill>
    <fill>
      <patternFill patternType="solid">
        <fgColor rgb="FFFFC000"/>
        <bgColor indexed="0"/>
      </patternFill>
    </fill>
    <fill>
      <patternFill patternType="solid">
        <fgColor theme="2" tint="-9.9978637043366805E-2"/>
        <bgColor indexed="0"/>
      </patternFill>
    </fill>
    <fill>
      <patternFill patternType="solid">
        <fgColor rgb="FF0070C0"/>
        <bgColor indexed="0"/>
      </patternFill>
    </fill>
  </fills>
  <borders count="318">
    <border>
      <left/>
      <right/>
      <top/>
      <bottom/>
      <diagonal/>
    </border>
    <border>
      <left style="medium">
        <color indexed="64"/>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3" tint="0.39997558519241921"/>
      </left>
      <right style="thin">
        <color theme="3" tint="0.39997558519241921"/>
      </right>
      <top style="thin">
        <color theme="3" tint="0.39997558519241921"/>
      </top>
      <bottom style="thin">
        <color theme="3" tint="0.39997558519241921"/>
      </bottom>
      <diagonal/>
    </border>
    <border>
      <left style="medium">
        <color indexed="64"/>
      </left>
      <right/>
      <top/>
      <bottom style="medium">
        <color indexed="64"/>
      </bottom>
      <diagonal/>
    </border>
    <border>
      <left/>
      <right/>
      <top/>
      <bottom style="medium">
        <color indexed="64"/>
      </bottom>
      <diagonal/>
    </border>
    <border>
      <left style="thin">
        <color theme="0"/>
      </left>
      <right/>
      <top style="thin">
        <color theme="0"/>
      </top>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top style="thin">
        <color theme="0"/>
      </top>
      <bottom style="thin">
        <color theme="0"/>
      </bottom>
      <diagonal/>
    </border>
    <border>
      <left/>
      <right style="thin">
        <color theme="0"/>
      </right>
      <top/>
      <bottom/>
      <diagonal/>
    </border>
    <border>
      <left/>
      <right/>
      <top style="thin">
        <color theme="0"/>
      </top>
      <bottom style="thin">
        <color theme="0"/>
      </bottom>
      <diagonal/>
    </border>
    <border>
      <left/>
      <right/>
      <top style="thin">
        <color theme="3" tint="0.39997558519241921"/>
      </top>
      <bottom/>
      <diagonal/>
    </border>
    <border>
      <left style="thin">
        <color theme="0"/>
      </left>
      <right/>
      <top/>
      <bottom/>
      <diagonal/>
    </border>
    <border>
      <left style="thin">
        <color theme="0"/>
      </left>
      <right style="thin">
        <color theme="0"/>
      </right>
      <top/>
      <bottom/>
      <diagonal/>
    </border>
    <border>
      <left style="thin">
        <color rgb="FF0070C0"/>
      </left>
      <right style="thin">
        <color rgb="FF0070C0"/>
      </right>
      <top style="thin">
        <color rgb="FF0070C0"/>
      </top>
      <bottom style="thin">
        <color rgb="FF0070C0"/>
      </bottom>
      <diagonal/>
    </border>
    <border>
      <left style="thin">
        <color rgb="FF0070C0"/>
      </left>
      <right style="thin">
        <color rgb="FF0070C0"/>
      </right>
      <top/>
      <bottom style="thin">
        <color rgb="FF0070C0"/>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theme="0"/>
      </left>
      <right style="thin">
        <color theme="0"/>
      </right>
      <top/>
      <bottom style="thin">
        <color rgb="FF0070C0"/>
      </bottom>
      <diagonal/>
    </border>
    <border>
      <left style="thin">
        <color theme="0"/>
      </left>
      <right/>
      <top style="thin">
        <color theme="0"/>
      </top>
      <bottom style="thin">
        <color rgb="FF0070C0"/>
      </bottom>
      <diagonal/>
    </border>
    <border>
      <left/>
      <right/>
      <top style="thin">
        <color theme="0"/>
      </top>
      <bottom style="thin">
        <color rgb="FF0070C0"/>
      </bottom>
      <diagonal/>
    </border>
    <border>
      <left/>
      <right style="thin">
        <color theme="0"/>
      </right>
      <top style="thin">
        <color theme="0"/>
      </top>
      <bottom style="thin">
        <color rgb="FF0070C0"/>
      </bottom>
      <diagonal/>
    </border>
    <border>
      <left style="thin">
        <color theme="0"/>
      </left>
      <right/>
      <top/>
      <bottom style="thin">
        <color rgb="FF0070C0"/>
      </bottom>
      <diagonal/>
    </border>
    <border>
      <left/>
      <right/>
      <top/>
      <bottom style="thin">
        <color rgb="FF0070C0"/>
      </bottom>
      <diagonal/>
    </border>
    <border>
      <left/>
      <right style="thin">
        <color theme="0"/>
      </right>
      <top/>
      <bottom style="thin">
        <color rgb="FF0070C0"/>
      </bottom>
      <diagonal/>
    </border>
    <border>
      <left/>
      <right/>
      <top style="thin">
        <color rgb="FF0070C0"/>
      </top>
      <bottom/>
      <diagonal/>
    </border>
    <border>
      <left style="thin">
        <color rgb="FF0070C0"/>
      </left>
      <right style="thin">
        <color rgb="FF0070C0"/>
      </right>
      <top style="thin">
        <color rgb="FF0070C0"/>
      </top>
      <bottom/>
      <diagonal/>
    </border>
    <border>
      <left style="thin">
        <color theme="3" tint="0.39997558519241921"/>
      </left>
      <right/>
      <top/>
      <bottom/>
      <diagonal/>
    </border>
    <border>
      <left style="thin">
        <color theme="3" tint="0.39997558519241921"/>
      </left>
      <right/>
      <top style="thin">
        <color theme="3" tint="0.39997558519241921"/>
      </top>
      <bottom style="thin">
        <color theme="3" tint="0.39997558519241921"/>
      </bottom>
      <diagonal/>
    </border>
    <border>
      <left/>
      <right/>
      <top style="thin">
        <color theme="3" tint="0.39997558519241921"/>
      </top>
      <bottom style="thin">
        <color theme="3" tint="0.39997558519241921"/>
      </bottom>
      <diagonal/>
    </border>
    <border>
      <left/>
      <right style="thin">
        <color theme="3" tint="0.39997558519241921"/>
      </right>
      <top style="thin">
        <color theme="3" tint="0.39997558519241921"/>
      </top>
      <bottom style="thin">
        <color theme="3" tint="0.39997558519241921"/>
      </bottom>
      <diagonal/>
    </border>
    <border>
      <left style="thin">
        <color theme="0"/>
      </left>
      <right style="thin">
        <color theme="0"/>
      </right>
      <top/>
      <bottom style="thin">
        <color theme="0"/>
      </bottom>
      <diagonal/>
    </border>
    <border>
      <left style="thin">
        <color rgb="FF0070C0"/>
      </left>
      <right style="thin">
        <color rgb="FF0070C0"/>
      </right>
      <top/>
      <bottom/>
      <diagonal/>
    </border>
    <border>
      <left/>
      <right style="thin">
        <color theme="0"/>
      </right>
      <top/>
      <bottom style="thin">
        <color theme="3" tint="0.39997558519241921"/>
      </bottom>
      <diagonal/>
    </border>
    <border>
      <left style="thin">
        <color theme="0"/>
      </left>
      <right/>
      <top style="thin">
        <color theme="0"/>
      </top>
      <bottom style="thin">
        <color theme="3" tint="0.39997558519241921"/>
      </bottom>
      <diagonal/>
    </border>
    <border>
      <left/>
      <right style="thin">
        <color theme="0"/>
      </right>
      <top style="thin">
        <color theme="0"/>
      </top>
      <bottom style="thin">
        <color theme="3" tint="0.39997558519241921"/>
      </bottom>
      <diagonal/>
    </border>
    <border>
      <left style="thin">
        <color theme="0"/>
      </left>
      <right/>
      <top/>
      <bottom style="thin">
        <color theme="3" tint="0.39997558519241921"/>
      </bottom>
      <diagonal/>
    </border>
    <border>
      <left style="thin">
        <color theme="4" tint="-0.249977111117893"/>
      </left>
      <right/>
      <top style="thin">
        <color theme="4" tint="-0.249977111117893"/>
      </top>
      <bottom style="thin">
        <color theme="4" tint="-0.249977111117893"/>
      </bottom>
      <diagonal/>
    </border>
    <border>
      <left/>
      <right/>
      <top style="thin">
        <color theme="4" tint="-0.249977111117893"/>
      </top>
      <bottom style="thin">
        <color theme="4" tint="-0.249977111117893"/>
      </bottom>
      <diagonal/>
    </border>
    <border>
      <left/>
      <right style="thin">
        <color theme="4" tint="-0.249977111117893"/>
      </right>
      <top style="thin">
        <color theme="4" tint="-0.249977111117893"/>
      </top>
      <bottom style="thin">
        <color theme="4" tint="-0.249977111117893"/>
      </bottom>
      <diagonal/>
    </border>
    <border>
      <left/>
      <right/>
      <top/>
      <bottom style="medium">
        <color rgb="FF00B0F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3" tint="0.39997558519241921"/>
      </left>
      <right style="thin">
        <color theme="3" tint="0.39997558519241921"/>
      </right>
      <top style="thin">
        <color theme="3" tint="0.39997558519241921"/>
      </top>
      <bottom/>
      <diagonal/>
    </border>
    <border>
      <left style="thin">
        <color theme="3" tint="0.39997558519241921"/>
      </left>
      <right style="thin">
        <color theme="3" tint="0.39997558519241921"/>
      </right>
      <top/>
      <bottom/>
      <diagonal/>
    </border>
    <border>
      <left style="thin">
        <color theme="3" tint="0.39997558519241921"/>
      </left>
      <right style="thin">
        <color theme="3" tint="0.39997558519241921"/>
      </right>
      <top/>
      <bottom style="thin">
        <color theme="3" tint="0.39997558519241921"/>
      </bottom>
      <diagonal/>
    </border>
    <border>
      <left style="thin">
        <color theme="3" tint="0.39997558519241921"/>
      </left>
      <right/>
      <top/>
      <bottom style="thin">
        <color theme="3" tint="0.39997558519241921"/>
      </bottom>
      <diagonal/>
    </border>
    <border>
      <left/>
      <right/>
      <top/>
      <bottom style="thin">
        <color theme="3" tint="0.39997558519241921"/>
      </bottom>
      <diagonal/>
    </border>
    <border>
      <left style="thin">
        <color theme="0"/>
      </left>
      <right style="thin">
        <color theme="0"/>
      </right>
      <top/>
      <bottom style="thin">
        <color theme="3" tint="0.39997558519241921"/>
      </bottom>
      <diagonal/>
    </border>
    <border>
      <left style="thin">
        <color rgb="FF999999"/>
      </left>
      <right/>
      <top style="thin">
        <color rgb="FF999999"/>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8"/>
      </left>
      <right/>
      <top/>
      <bottom/>
      <diagonal/>
    </border>
    <border>
      <left style="thin">
        <color theme="8"/>
      </left>
      <right/>
      <top style="thin">
        <color theme="8"/>
      </top>
      <bottom/>
      <diagonal/>
    </border>
    <border>
      <left style="thin">
        <color theme="8"/>
      </left>
      <right style="thin">
        <color theme="8"/>
      </right>
      <top style="thin">
        <color theme="8"/>
      </top>
      <bottom/>
      <diagonal/>
    </border>
    <border>
      <left style="thin">
        <color rgb="FF4BACC6"/>
      </left>
      <right style="thin">
        <color rgb="FF4BACC6"/>
      </right>
      <top style="thin">
        <color rgb="FF4BACC6"/>
      </top>
      <bottom/>
      <diagonal/>
    </border>
    <border>
      <left style="thin">
        <color theme="8"/>
      </left>
      <right/>
      <top style="thin">
        <color theme="8"/>
      </top>
      <bottom style="thin">
        <color theme="8"/>
      </bottom>
      <diagonal/>
    </border>
    <border>
      <left style="thin">
        <color theme="8"/>
      </left>
      <right style="thin">
        <color theme="8"/>
      </right>
      <top style="thin">
        <color theme="8"/>
      </top>
      <bottom style="thin">
        <color theme="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rgb="FF00B0F0"/>
      </top>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style="thin">
        <color indexed="64"/>
      </left>
      <right style="thin">
        <color indexed="64"/>
      </right>
      <top/>
      <bottom/>
      <diagonal/>
    </border>
    <border>
      <left style="thin">
        <color indexed="64"/>
      </left>
      <right style="thin">
        <color auto="1"/>
      </right>
      <top/>
      <bottom style="thin">
        <color indexed="64"/>
      </bottom>
      <diagonal/>
    </border>
    <border>
      <left style="thin">
        <color theme="1"/>
      </left>
      <right/>
      <top style="thin">
        <color theme="1"/>
      </top>
      <bottom/>
      <diagonal/>
    </border>
    <border>
      <left/>
      <right style="thin">
        <color indexed="65"/>
      </right>
      <top style="thin">
        <color theme="1"/>
      </top>
      <bottom/>
      <diagonal/>
    </border>
    <border>
      <left style="thin">
        <color indexed="65"/>
      </left>
      <right/>
      <top style="thin">
        <color theme="1"/>
      </top>
      <bottom/>
      <diagonal/>
    </border>
    <border>
      <left style="thin">
        <color indexed="65"/>
      </left>
      <right style="thin">
        <color indexed="64"/>
      </right>
      <top style="thin">
        <color indexed="64"/>
      </top>
      <bottom/>
      <diagonal/>
    </border>
    <border>
      <left style="thin">
        <color indexed="64"/>
      </left>
      <right/>
      <top style="thin">
        <color indexed="65"/>
      </top>
      <bottom/>
      <diagonal/>
    </border>
    <border>
      <left style="thin">
        <color theme="1"/>
      </left>
      <right/>
      <top/>
      <bottom/>
      <diagonal/>
    </border>
    <border>
      <left style="thin">
        <color theme="1"/>
      </left>
      <right/>
      <top style="thin">
        <color indexed="65"/>
      </top>
      <bottom/>
      <diagonal/>
    </border>
    <border>
      <left style="thin">
        <color indexed="64"/>
      </left>
      <right/>
      <top style="thin">
        <color indexed="65"/>
      </top>
      <bottom style="thin">
        <color indexed="64"/>
      </bottom>
      <diagonal/>
    </border>
    <border>
      <left style="thin">
        <color indexed="64"/>
      </left>
      <right style="thin">
        <color indexed="64"/>
      </right>
      <top style="thin">
        <color theme="1"/>
      </top>
      <bottom/>
      <diagonal/>
    </border>
    <border>
      <left style="thin">
        <color indexed="64"/>
      </left>
      <right style="thin">
        <color indexed="64"/>
      </right>
      <top/>
      <bottom style="thin">
        <color theme="1"/>
      </bottom>
      <diagonal/>
    </border>
    <border>
      <left style="thin">
        <color theme="4" tint="-0.249977111117893"/>
      </left>
      <right style="thin">
        <color theme="4" tint="-0.249977111117893"/>
      </right>
      <top style="thin">
        <color theme="4" tint="-0.249977111117893"/>
      </top>
      <bottom style="thin">
        <color theme="4" tint="-0.249977111117893"/>
      </bottom>
      <diagonal/>
    </border>
    <border>
      <left style="thin">
        <color theme="4" tint="-0.249977111117893"/>
      </left>
      <right style="thin">
        <color theme="4" tint="-0.249977111117893"/>
      </right>
      <top style="thin">
        <color theme="4" tint="-0.249977111117893"/>
      </top>
      <bottom/>
      <diagonal/>
    </border>
    <border>
      <left style="thin">
        <color theme="4" tint="-0.249977111117893"/>
      </left>
      <right style="thin">
        <color theme="4" tint="-0.249977111117893"/>
      </right>
      <top/>
      <bottom style="thin">
        <color theme="4" tint="-0.249977111117893"/>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theme="8" tint="-0.249977111117893"/>
      </left>
      <right style="thin">
        <color theme="8" tint="-0.249977111117893"/>
      </right>
      <top style="thin">
        <color theme="8" tint="-0.249977111117893"/>
      </top>
      <bottom style="thin">
        <color theme="8" tint="-0.249977111117893"/>
      </bottom>
      <diagonal/>
    </border>
    <border>
      <left style="thin">
        <color indexed="64"/>
      </left>
      <right style="thin">
        <color indexed="64"/>
      </right>
      <top style="medium">
        <color indexed="64"/>
      </top>
      <bottom style="dotted">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theme="8" tint="-0.249977111117893"/>
      </left>
      <right style="thin">
        <color theme="8" tint="-0.249977111117893"/>
      </right>
      <top style="thin">
        <color theme="8" tint="-0.249977111117893"/>
      </top>
      <bottom/>
      <diagonal/>
    </border>
    <border>
      <left style="thin">
        <color theme="8" tint="-0.249977111117893"/>
      </left>
      <right style="thin">
        <color theme="8" tint="-0.249977111117893"/>
      </right>
      <top/>
      <bottom style="thin">
        <color theme="8" tint="-0.249977111117893"/>
      </bottom>
      <diagonal/>
    </border>
    <border>
      <left style="medium">
        <color rgb="FF0070C0"/>
      </left>
      <right style="thin">
        <color rgb="FF0070C0"/>
      </right>
      <top style="thin">
        <color rgb="FF0070C0"/>
      </top>
      <bottom style="thin">
        <color rgb="FF0070C0"/>
      </bottom>
      <diagonal/>
    </border>
    <border>
      <left style="medium">
        <color rgb="FF0070C0"/>
      </left>
      <right style="thin">
        <color rgb="FF0070C0"/>
      </right>
      <top style="thin">
        <color rgb="FF0070C0"/>
      </top>
      <bottom style="medium">
        <color rgb="FF0070C0"/>
      </bottom>
      <diagonal/>
    </border>
    <border>
      <left style="thin">
        <color rgb="FF0070C0"/>
      </left>
      <right style="thin">
        <color rgb="FF0070C0"/>
      </right>
      <top style="thin">
        <color rgb="FF0070C0"/>
      </top>
      <bottom style="medium">
        <color rgb="FF0070C0"/>
      </bottom>
      <diagonal/>
    </border>
    <border>
      <left/>
      <right/>
      <top style="medium">
        <color indexed="64"/>
      </top>
      <bottom/>
      <diagonal/>
    </border>
    <border>
      <left style="thin">
        <color rgb="FF0070C0"/>
      </left>
      <right style="medium">
        <color rgb="FF0070C0"/>
      </right>
      <top style="thin">
        <color rgb="FF0070C0"/>
      </top>
      <bottom style="thin">
        <color rgb="FF0070C0"/>
      </bottom>
      <diagonal/>
    </border>
    <border>
      <left style="thin">
        <color rgb="FF0070C0"/>
      </left>
      <right style="medium">
        <color rgb="FF0070C0"/>
      </right>
      <top style="thin">
        <color rgb="FF0070C0"/>
      </top>
      <bottom style="medium">
        <color rgb="FF0070C0"/>
      </bottom>
      <diagonal/>
    </border>
    <border>
      <left style="medium">
        <color indexed="64"/>
      </left>
      <right/>
      <top style="medium">
        <color indexed="64"/>
      </top>
      <bottom/>
      <diagonal/>
    </border>
    <border>
      <left style="thin">
        <color indexed="64"/>
      </left>
      <right/>
      <top style="thin">
        <color indexed="64"/>
      </top>
      <bottom style="thin">
        <color theme="3" tint="0.39997558519241921"/>
      </bottom>
      <diagonal/>
    </border>
    <border>
      <left/>
      <right/>
      <top style="thin">
        <color indexed="64"/>
      </top>
      <bottom style="thin">
        <color theme="3" tint="0.39997558519241921"/>
      </bottom>
      <diagonal/>
    </border>
    <border>
      <left/>
      <right style="thin">
        <color indexed="64"/>
      </right>
      <top style="thin">
        <color indexed="64"/>
      </top>
      <bottom style="thin">
        <color theme="3" tint="0.39997558519241921"/>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style="medium">
        <color rgb="FFFF0000"/>
      </bottom>
      <diagonal/>
    </border>
    <border>
      <left style="thin">
        <color theme="3" tint="0.39997558519241921"/>
      </left>
      <right/>
      <top style="thin">
        <color theme="0"/>
      </top>
      <bottom style="thin">
        <color theme="3" tint="0.39997558519241921"/>
      </bottom>
      <diagonal/>
    </border>
    <border>
      <left/>
      <right style="thin">
        <color theme="3" tint="0.39997558519241921"/>
      </right>
      <top style="thin">
        <color theme="0"/>
      </top>
      <bottom style="thin">
        <color theme="3" tint="0.39997558519241921"/>
      </bottom>
      <diagonal/>
    </border>
    <border>
      <left/>
      <right/>
      <top style="thin">
        <color theme="0"/>
      </top>
      <bottom style="thin">
        <color theme="3" tint="0.39997558519241921"/>
      </bottom>
      <diagonal/>
    </border>
    <border>
      <left/>
      <right style="medium">
        <color rgb="FFFF0000"/>
      </right>
      <top/>
      <bottom/>
      <diagonal/>
    </border>
    <border>
      <left/>
      <right style="medium">
        <color theme="0"/>
      </right>
      <top style="medium">
        <color rgb="FF0070C0"/>
      </top>
      <bottom style="medium">
        <color theme="0"/>
      </bottom>
      <diagonal/>
    </border>
    <border>
      <left style="medium">
        <color theme="0"/>
      </left>
      <right style="medium">
        <color rgb="FF0070C0"/>
      </right>
      <top style="medium">
        <color rgb="FF0070C0"/>
      </top>
      <bottom style="medium">
        <color theme="0"/>
      </bottom>
      <diagonal/>
    </border>
    <border>
      <left style="medium">
        <color rgb="FF0070C0"/>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style="medium">
        <color rgb="FF0070C0"/>
      </right>
      <top style="medium">
        <color theme="0"/>
      </top>
      <bottom style="medium">
        <color theme="0"/>
      </bottom>
      <diagonal/>
    </border>
    <border>
      <left/>
      <right style="medium">
        <color theme="0"/>
      </right>
      <top style="medium">
        <color theme="0"/>
      </top>
      <bottom style="medium">
        <color theme="0"/>
      </bottom>
      <diagonal/>
    </border>
    <border>
      <left style="medium">
        <color rgb="FF0070C0"/>
      </left>
      <right style="medium">
        <color theme="0"/>
      </right>
      <top style="medium">
        <color theme="0"/>
      </top>
      <bottom style="medium">
        <color rgb="FF0070C0"/>
      </bottom>
      <diagonal/>
    </border>
    <border>
      <left style="medium">
        <color theme="0"/>
      </left>
      <right style="medium">
        <color theme="0"/>
      </right>
      <top style="medium">
        <color theme="0"/>
      </top>
      <bottom style="medium">
        <color rgb="FF0070C0"/>
      </bottom>
      <diagonal/>
    </border>
    <border>
      <left style="medium">
        <color theme="0"/>
      </left>
      <right style="medium">
        <color rgb="FF0070C0"/>
      </right>
      <top style="medium">
        <color theme="0"/>
      </top>
      <bottom style="medium">
        <color rgb="FF0070C0"/>
      </bottom>
      <diagonal/>
    </border>
    <border>
      <left/>
      <right style="medium">
        <color theme="0"/>
      </right>
      <top style="medium">
        <color theme="0"/>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style="medium">
        <color rgb="FF0070C0"/>
      </left>
      <right/>
      <top style="medium">
        <color rgb="FF0070C0"/>
      </top>
      <bottom/>
      <diagonal/>
    </border>
    <border>
      <left/>
      <right style="medium">
        <color rgb="FF0070C0"/>
      </right>
      <top style="medium">
        <color rgb="FF0070C0"/>
      </top>
      <bottom/>
      <diagonal/>
    </border>
    <border>
      <left style="medium">
        <color rgb="FF0070C0"/>
      </left>
      <right/>
      <top/>
      <bottom style="medium">
        <color rgb="FF0070C0"/>
      </bottom>
      <diagonal/>
    </border>
    <border>
      <left/>
      <right style="medium">
        <color rgb="FF0070C0"/>
      </right>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theme="0"/>
      </right>
      <top style="medium">
        <color rgb="FF0070C0"/>
      </top>
      <bottom/>
      <diagonal/>
    </border>
    <border>
      <left style="medium">
        <color theme="0"/>
      </left>
      <right style="medium">
        <color theme="0"/>
      </right>
      <top style="medium">
        <color rgb="FF0070C0"/>
      </top>
      <bottom/>
      <diagonal/>
    </border>
    <border>
      <left style="medium">
        <color rgb="FF0070C0"/>
      </left>
      <right style="medium">
        <color theme="0"/>
      </right>
      <top/>
      <bottom/>
      <diagonal/>
    </border>
    <border>
      <left style="medium">
        <color theme="0"/>
      </left>
      <right style="medium">
        <color theme="0"/>
      </right>
      <top/>
      <bottom/>
      <diagonal/>
    </border>
    <border>
      <left style="medium">
        <color theme="0"/>
      </left>
      <right style="medium">
        <color rgb="FF0070C0"/>
      </right>
      <top/>
      <bottom/>
      <diagonal/>
    </border>
    <border>
      <left style="medium">
        <color rgb="FF0070C0"/>
      </left>
      <right style="medium">
        <color theme="0"/>
      </right>
      <top/>
      <bottom style="medium">
        <color rgb="FF0070C0"/>
      </bottom>
      <diagonal/>
    </border>
    <border>
      <left style="medium">
        <color theme="0"/>
      </left>
      <right style="medium">
        <color theme="0"/>
      </right>
      <top/>
      <bottom style="medium">
        <color rgb="FF0070C0"/>
      </bottom>
      <diagonal/>
    </border>
    <border>
      <left style="medium">
        <color theme="0"/>
      </left>
      <right style="medium">
        <color rgb="FF0070C0"/>
      </right>
      <top/>
      <bottom style="medium">
        <color rgb="FF0070C0"/>
      </bottom>
      <diagonal/>
    </border>
    <border>
      <left style="medium">
        <color rgb="FF0070C0"/>
      </left>
      <right/>
      <top/>
      <bottom/>
      <diagonal/>
    </border>
    <border>
      <left/>
      <right style="medium">
        <color rgb="FF0070C0"/>
      </right>
      <top/>
      <bottom/>
      <diagonal/>
    </border>
    <border>
      <left/>
      <right/>
      <top style="medium">
        <color rgb="FF0070C0"/>
      </top>
      <bottom style="medium">
        <color rgb="FF0070C0"/>
      </bottom>
      <diagonal/>
    </border>
    <border>
      <left style="medium">
        <color rgb="FF0070C0"/>
      </left>
      <right style="medium">
        <color theme="0"/>
      </right>
      <top style="medium">
        <color rgb="FF0070C0"/>
      </top>
      <bottom style="medium">
        <color theme="0"/>
      </bottom>
      <diagonal/>
    </border>
    <border>
      <left style="medium">
        <color theme="0"/>
      </left>
      <right style="medium">
        <color theme="0"/>
      </right>
      <top style="medium">
        <color rgb="FF0070C0"/>
      </top>
      <bottom style="medium">
        <color theme="0"/>
      </bottom>
      <diagonal/>
    </border>
    <border>
      <left style="medium">
        <color rgb="FF0070C0"/>
      </left>
      <right style="thin">
        <color rgb="FF0070C0"/>
      </right>
      <top style="medium">
        <color rgb="FF0070C0"/>
      </top>
      <bottom style="thin">
        <color rgb="FF0070C0"/>
      </bottom>
      <diagonal/>
    </border>
    <border>
      <left style="thin">
        <color rgb="FF0070C0"/>
      </left>
      <right style="thin">
        <color rgb="FF0070C0"/>
      </right>
      <top style="medium">
        <color rgb="FF0070C0"/>
      </top>
      <bottom style="thin">
        <color rgb="FF0070C0"/>
      </bottom>
      <diagonal/>
    </border>
    <border>
      <left style="thin">
        <color rgb="FF0070C0"/>
      </left>
      <right style="medium">
        <color rgb="FF0070C0"/>
      </right>
      <top style="medium">
        <color rgb="FF0070C0"/>
      </top>
      <bottom style="thin">
        <color rgb="FF0070C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rgb="FF0070C0"/>
      </left>
      <right style="thin">
        <color theme="0"/>
      </right>
      <top style="thin">
        <color rgb="FF0070C0"/>
      </top>
      <bottom style="thin">
        <color rgb="FF0070C0"/>
      </bottom>
      <diagonal/>
    </border>
    <border>
      <left style="thin">
        <color theme="0"/>
      </left>
      <right style="thin">
        <color theme="0"/>
      </right>
      <top style="thin">
        <color rgb="FF0070C0"/>
      </top>
      <bottom style="thin">
        <color rgb="FF0070C0"/>
      </bottom>
      <diagonal/>
    </border>
    <border>
      <left style="thin">
        <color theme="0"/>
      </left>
      <right style="thin">
        <color rgb="FF0070C0"/>
      </right>
      <top style="thin">
        <color rgb="FF0070C0"/>
      </top>
      <bottom style="thin">
        <color rgb="FF0070C0"/>
      </bottom>
      <diagonal/>
    </border>
    <border>
      <left style="thin">
        <color rgb="FF0070C0"/>
      </left>
      <right/>
      <top style="thin">
        <color rgb="FF0070C0"/>
      </top>
      <bottom/>
      <diagonal/>
    </border>
    <border>
      <left/>
      <right style="thin">
        <color rgb="FF0070C0"/>
      </right>
      <top style="thin">
        <color rgb="FF0070C0"/>
      </top>
      <bottom/>
      <diagonal/>
    </border>
    <border>
      <left/>
      <right style="thin">
        <color rgb="FF0070C0"/>
      </right>
      <top/>
      <bottom/>
      <diagonal/>
    </border>
    <border>
      <left style="thin">
        <color rgb="FF0070C0"/>
      </left>
      <right/>
      <top/>
      <bottom style="thin">
        <color rgb="FF0070C0"/>
      </bottom>
      <diagonal/>
    </border>
    <border>
      <left/>
      <right style="thin">
        <color rgb="FF0070C0"/>
      </right>
      <top/>
      <bottom style="thin">
        <color rgb="FF0070C0"/>
      </bottom>
      <diagonal/>
    </border>
    <border>
      <left style="medium">
        <color rgb="FF0070C0"/>
      </left>
      <right/>
      <top style="thin">
        <color rgb="FF0070C0"/>
      </top>
      <bottom/>
      <diagonal/>
    </border>
    <border>
      <left style="medium">
        <color rgb="FF0070C0"/>
      </left>
      <right/>
      <top/>
      <bottom style="thin">
        <color rgb="FF0070C0"/>
      </bottom>
      <diagonal/>
    </border>
    <border>
      <left style="medium">
        <color rgb="FF0070C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style="medium">
        <color theme="0"/>
      </top>
      <bottom/>
      <diagonal/>
    </border>
    <border>
      <left/>
      <right style="medium">
        <color rgb="FF0070C0"/>
      </right>
      <top style="medium">
        <color theme="0"/>
      </top>
      <bottom/>
      <diagonal/>
    </border>
    <border>
      <left style="medium">
        <color rgb="FF0070C0"/>
      </left>
      <right style="medium">
        <color theme="0"/>
      </right>
      <top style="medium">
        <color rgb="FF0070C0"/>
      </top>
      <bottom style="medium">
        <color rgb="FF0070C0"/>
      </bottom>
      <diagonal/>
    </border>
    <border>
      <left style="medium">
        <color theme="0"/>
      </left>
      <right style="medium">
        <color theme="0"/>
      </right>
      <top style="medium">
        <color rgb="FF0070C0"/>
      </top>
      <bottom style="medium">
        <color rgb="FF0070C0"/>
      </bottom>
      <diagonal/>
    </border>
    <border>
      <left style="medium">
        <color theme="0"/>
      </left>
      <right style="medium">
        <color rgb="FF0070C0"/>
      </right>
      <top style="medium">
        <color rgb="FF0070C0"/>
      </top>
      <bottom style="medium">
        <color rgb="FF0070C0"/>
      </bottom>
      <diagonal/>
    </border>
    <border>
      <left style="thin">
        <color rgb="FF0070C0"/>
      </left>
      <right style="thin">
        <color rgb="FF0070C0"/>
      </right>
      <top style="thin">
        <color rgb="FF0070C0"/>
      </top>
      <bottom style="thin">
        <color theme="0"/>
      </bottom>
      <diagonal/>
    </border>
    <border>
      <left style="thin">
        <color rgb="FF0070C0"/>
      </left>
      <right style="thin">
        <color rgb="FF0070C0"/>
      </right>
      <top style="thin">
        <color theme="0"/>
      </top>
      <bottom style="thin">
        <color theme="0"/>
      </bottom>
      <diagonal/>
    </border>
    <border>
      <left style="thin">
        <color rgb="FF0070C0"/>
      </left>
      <right style="thin">
        <color rgb="FF0070C0"/>
      </right>
      <top style="thin">
        <color theme="0"/>
      </top>
      <bottom style="thin">
        <color rgb="FF0070C0"/>
      </bottom>
      <diagonal/>
    </border>
    <border>
      <left style="thin">
        <color rgb="FF0070C0"/>
      </left>
      <right style="thin">
        <color theme="0"/>
      </right>
      <top style="thin">
        <color rgb="FF0070C0"/>
      </top>
      <bottom style="thin">
        <color theme="0"/>
      </bottom>
      <diagonal/>
    </border>
    <border>
      <left style="thin">
        <color theme="0"/>
      </left>
      <right style="thin">
        <color rgb="FF0070C0"/>
      </right>
      <top style="thin">
        <color rgb="FF0070C0"/>
      </top>
      <bottom style="thin">
        <color theme="0"/>
      </bottom>
      <diagonal/>
    </border>
    <border>
      <left style="thin">
        <color rgb="FF0070C0"/>
      </left>
      <right style="thin">
        <color theme="0"/>
      </right>
      <top style="thin">
        <color theme="0"/>
      </top>
      <bottom style="thin">
        <color rgb="FF0070C0"/>
      </bottom>
      <diagonal/>
    </border>
    <border>
      <left style="thin">
        <color theme="0"/>
      </left>
      <right style="thin">
        <color rgb="FF0070C0"/>
      </right>
      <top style="thin">
        <color theme="0"/>
      </top>
      <bottom style="thin">
        <color rgb="FF0070C0"/>
      </bottom>
      <diagonal/>
    </border>
    <border>
      <left style="thin">
        <color theme="0"/>
      </left>
      <right style="thin">
        <color theme="0"/>
      </right>
      <top style="thin">
        <color rgb="FF0070C0"/>
      </top>
      <bottom style="thin">
        <color theme="0"/>
      </bottom>
      <diagonal/>
    </border>
    <border>
      <left style="thin">
        <color theme="0"/>
      </left>
      <right style="thin">
        <color theme="0"/>
      </right>
      <top style="thin">
        <color theme="0"/>
      </top>
      <bottom style="thin">
        <color rgb="FF0070C0"/>
      </bottom>
      <diagonal/>
    </border>
    <border>
      <left style="thin">
        <color rgb="FF0070C0"/>
      </left>
      <right style="thin">
        <color theme="0"/>
      </right>
      <top style="thin">
        <color theme="0"/>
      </top>
      <bottom style="thin">
        <color theme="0"/>
      </bottom>
      <diagonal/>
    </border>
    <border>
      <left style="medium">
        <color rgb="FF0070C0"/>
      </left>
      <right style="thin">
        <color theme="0"/>
      </right>
      <top style="medium">
        <color rgb="FF0070C0"/>
      </top>
      <bottom style="medium">
        <color rgb="FF0070C0"/>
      </bottom>
      <diagonal/>
    </border>
    <border>
      <left style="thin">
        <color theme="0"/>
      </left>
      <right style="thin">
        <color theme="0"/>
      </right>
      <top style="medium">
        <color rgb="FF0070C0"/>
      </top>
      <bottom style="medium">
        <color rgb="FF0070C0"/>
      </bottom>
      <diagonal/>
    </border>
    <border>
      <left style="thin">
        <color theme="0"/>
      </left>
      <right style="medium">
        <color rgb="FF0070C0"/>
      </right>
      <top style="medium">
        <color rgb="FF0070C0"/>
      </top>
      <bottom style="medium">
        <color rgb="FF0070C0"/>
      </bottom>
      <diagonal/>
    </border>
    <border>
      <left style="medium">
        <color rgb="FF0070C0"/>
      </left>
      <right style="thin">
        <color theme="0"/>
      </right>
      <top style="medium">
        <color rgb="FF0070C0"/>
      </top>
      <bottom style="thin">
        <color theme="0"/>
      </bottom>
      <diagonal/>
    </border>
    <border>
      <left style="thin">
        <color theme="0"/>
      </left>
      <right style="thin">
        <color theme="0"/>
      </right>
      <top style="medium">
        <color rgb="FF0070C0"/>
      </top>
      <bottom style="thin">
        <color theme="0"/>
      </bottom>
      <diagonal/>
    </border>
    <border>
      <left style="thin">
        <color theme="0"/>
      </left>
      <right style="medium">
        <color rgb="FF0070C0"/>
      </right>
      <top style="medium">
        <color rgb="FF0070C0"/>
      </top>
      <bottom style="thin">
        <color theme="0"/>
      </bottom>
      <diagonal/>
    </border>
    <border>
      <left style="medium">
        <color rgb="FF0070C0"/>
      </left>
      <right style="thin">
        <color theme="0"/>
      </right>
      <top style="thin">
        <color theme="0"/>
      </top>
      <bottom style="medium">
        <color rgb="FF0070C0"/>
      </bottom>
      <diagonal/>
    </border>
    <border>
      <left style="thin">
        <color theme="0"/>
      </left>
      <right style="thin">
        <color theme="0"/>
      </right>
      <top style="thin">
        <color theme="0"/>
      </top>
      <bottom style="medium">
        <color rgb="FF0070C0"/>
      </bottom>
      <diagonal/>
    </border>
    <border>
      <left style="thin">
        <color theme="0"/>
      </left>
      <right style="medium">
        <color rgb="FF0070C0"/>
      </right>
      <top style="thin">
        <color theme="0"/>
      </top>
      <bottom style="medium">
        <color rgb="FF0070C0"/>
      </bottom>
      <diagonal/>
    </border>
    <border>
      <left style="medium">
        <color rgb="FF0070C0"/>
      </left>
      <right style="thin">
        <color theme="0"/>
      </right>
      <top style="thin">
        <color theme="0"/>
      </top>
      <bottom style="thin">
        <color theme="0"/>
      </bottom>
      <diagonal/>
    </border>
    <border>
      <left style="thin">
        <color theme="0"/>
      </left>
      <right style="medium">
        <color rgb="FF0070C0"/>
      </right>
      <top style="thin">
        <color theme="0"/>
      </top>
      <bottom style="thin">
        <color theme="0"/>
      </bottom>
      <diagonal/>
    </border>
    <border>
      <left style="medium">
        <color theme="0"/>
      </left>
      <right/>
      <top style="medium">
        <color rgb="FF0070C0"/>
      </top>
      <bottom style="medium">
        <color rgb="FF0070C0"/>
      </bottom>
      <diagonal/>
    </border>
    <border>
      <left style="thin">
        <color theme="0"/>
      </left>
      <right style="thin">
        <color rgb="FF0070C0"/>
      </right>
      <top style="thin">
        <color theme="0"/>
      </top>
      <bottom style="thin">
        <color theme="0"/>
      </bottom>
      <diagonal/>
    </border>
    <border>
      <left/>
      <right style="medium">
        <color theme="0"/>
      </right>
      <top style="medium">
        <color rgb="FF0070C0"/>
      </top>
      <bottom style="medium">
        <color rgb="FF0070C0"/>
      </bottom>
      <diagonal/>
    </border>
    <border>
      <left style="thin">
        <color rgb="FF0070C0"/>
      </left>
      <right/>
      <top/>
      <bottom/>
      <diagonal/>
    </border>
    <border>
      <left style="thin">
        <color rgb="FFFFFFFF"/>
      </left>
      <right style="thin">
        <color rgb="FFFFFFFF"/>
      </right>
      <top style="thin">
        <color rgb="FFFFFFFF"/>
      </top>
      <bottom/>
      <diagonal/>
    </border>
    <border>
      <left style="thin">
        <color auto="1"/>
      </left>
      <right style="thin">
        <color auto="1"/>
      </right>
      <top style="thin">
        <color auto="1"/>
      </top>
      <bottom style="thin">
        <color auto="1"/>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right style="thin">
        <color theme="0"/>
      </right>
      <top style="thin">
        <color rgb="FF0070C0"/>
      </top>
      <bottom style="thin">
        <color rgb="FF0070C0"/>
      </bottom>
      <diagonal/>
    </border>
    <border>
      <left style="thin">
        <color rgb="FF0070C0"/>
      </left>
      <right style="thin">
        <color theme="0"/>
      </right>
      <top/>
      <bottom style="thin">
        <color rgb="FF0070C0"/>
      </bottom>
      <diagonal/>
    </border>
    <border>
      <left style="thin">
        <color theme="0"/>
      </left>
      <right style="medium">
        <color rgb="FF0070C0"/>
      </right>
      <top style="medium">
        <color rgb="FF0070C0"/>
      </top>
      <bottom/>
      <diagonal/>
    </border>
    <border>
      <left style="thin">
        <color theme="0"/>
      </left>
      <right style="medium">
        <color rgb="FF0070C0"/>
      </right>
      <top/>
      <bottom style="medium">
        <color rgb="FF0070C0"/>
      </bottom>
      <diagonal/>
    </border>
    <border>
      <left/>
      <right style="medium">
        <color rgb="FF0070C0"/>
      </right>
      <top style="medium">
        <color indexed="9"/>
      </top>
      <bottom style="medium">
        <color indexed="9"/>
      </bottom>
      <diagonal/>
    </border>
    <border>
      <left style="thin">
        <color rgb="FF0070C0"/>
      </left>
      <right style="thin">
        <color theme="0"/>
      </right>
      <top style="thin">
        <color theme="0"/>
      </top>
      <bottom/>
      <diagonal/>
    </border>
    <border>
      <left style="thin">
        <color theme="0"/>
      </left>
      <right style="thin">
        <color rgb="FF0070C0"/>
      </right>
      <top style="thin">
        <color theme="0"/>
      </top>
      <bottom/>
      <diagonal/>
    </border>
    <border>
      <left style="medium">
        <color rgb="FF0070C0"/>
      </left>
      <right style="thin">
        <color theme="0"/>
      </right>
      <top style="thin">
        <color theme="0"/>
      </top>
      <bottom/>
      <diagonal/>
    </border>
    <border>
      <left style="thin">
        <color theme="0"/>
      </left>
      <right style="medium">
        <color rgb="FF0070C0"/>
      </right>
      <top style="thin">
        <color theme="0"/>
      </top>
      <bottom/>
      <diagonal/>
    </border>
    <border>
      <left style="thin">
        <color rgb="FF0070C0"/>
      </left>
      <right style="thin">
        <color theme="4" tint="-0.249977111117893"/>
      </right>
      <top style="thin">
        <color theme="4" tint="-0.249977111117893"/>
      </top>
      <bottom style="thin">
        <color theme="4" tint="-0.249977111117893"/>
      </bottom>
      <diagonal/>
    </border>
    <border>
      <left style="thin">
        <color theme="4" tint="-0.249977111117893"/>
      </left>
      <right style="thin">
        <color rgb="FF0070C0"/>
      </right>
      <top style="thin">
        <color theme="4" tint="-0.249977111117893"/>
      </top>
      <bottom style="thin">
        <color theme="4" tint="-0.249977111117893"/>
      </bottom>
      <diagonal/>
    </border>
    <border>
      <left style="thin">
        <color rgb="FF0070C0"/>
      </left>
      <right style="thin">
        <color theme="4" tint="-0.249977111117893"/>
      </right>
      <top style="thin">
        <color theme="4" tint="-0.249977111117893"/>
      </top>
      <bottom style="thin">
        <color rgb="FF0070C0"/>
      </bottom>
      <diagonal/>
    </border>
    <border>
      <left style="thin">
        <color theme="4" tint="-0.249977111117893"/>
      </left>
      <right style="thin">
        <color theme="4" tint="-0.249977111117893"/>
      </right>
      <top style="thin">
        <color theme="4" tint="-0.249977111117893"/>
      </top>
      <bottom style="thin">
        <color rgb="FF0070C0"/>
      </bottom>
      <diagonal/>
    </border>
    <border>
      <left style="thin">
        <color theme="4" tint="-0.249977111117893"/>
      </left>
      <right style="thin">
        <color rgb="FF0070C0"/>
      </right>
      <top style="thin">
        <color theme="4" tint="-0.249977111117893"/>
      </top>
      <bottom style="thin">
        <color rgb="FF0070C0"/>
      </bottom>
      <diagonal/>
    </border>
    <border>
      <left style="thin">
        <color rgb="FF0070C0"/>
      </left>
      <right style="thin">
        <color rgb="FF0070C0"/>
      </right>
      <top style="thin">
        <color theme="4" tint="-0.249977111117893"/>
      </top>
      <bottom style="thin">
        <color rgb="FF0070C0"/>
      </bottom>
      <diagonal/>
    </border>
    <border>
      <left/>
      <right/>
      <top style="thin">
        <color theme="4" tint="-0.249977111117893"/>
      </top>
      <bottom/>
      <diagonal/>
    </border>
    <border>
      <left/>
      <right style="thin">
        <color theme="4" tint="-0.249977111117893"/>
      </right>
      <top style="thin">
        <color theme="4" tint="-0.249977111117893"/>
      </top>
      <bottom/>
      <diagonal/>
    </border>
    <border>
      <left/>
      <right style="thin">
        <color theme="4" tint="-0.249977111117893"/>
      </right>
      <top style="thin">
        <color theme="0"/>
      </top>
      <bottom style="thin">
        <color theme="0"/>
      </bottom>
      <diagonal/>
    </border>
    <border>
      <left style="thin">
        <color theme="0"/>
      </left>
      <right style="thin">
        <color theme="0"/>
      </right>
      <top style="thin">
        <color theme="0"/>
      </top>
      <bottom style="thin">
        <color theme="4" tint="-0.249977111117893"/>
      </bottom>
      <diagonal/>
    </border>
    <border>
      <left style="thin">
        <color theme="0"/>
      </left>
      <right style="thin">
        <color theme="4" tint="-0.249977111117893"/>
      </right>
      <top style="thin">
        <color theme="0"/>
      </top>
      <bottom style="thin">
        <color theme="4" tint="-0.249977111117893"/>
      </bottom>
      <diagonal/>
    </border>
    <border>
      <left style="thin">
        <color rgb="FF0070C0"/>
      </left>
      <right style="thin">
        <color theme="0"/>
      </right>
      <top/>
      <bottom style="thin">
        <color theme="0"/>
      </bottom>
      <diagonal/>
    </border>
    <border>
      <left style="thin">
        <color theme="4" tint="-0.249977111117893"/>
      </left>
      <right style="thin">
        <color theme="0"/>
      </right>
      <top style="thin">
        <color theme="4" tint="-0.249977111117893"/>
      </top>
      <bottom style="thin">
        <color theme="0"/>
      </bottom>
      <diagonal/>
    </border>
    <border>
      <left style="thin">
        <color theme="0"/>
      </left>
      <right style="thin">
        <color theme="0"/>
      </right>
      <top style="thin">
        <color theme="4" tint="-0.249977111117893"/>
      </top>
      <bottom style="thin">
        <color theme="0"/>
      </bottom>
      <diagonal/>
    </border>
    <border>
      <left style="thin">
        <color theme="0"/>
      </left>
      <right style="thin">
        <color theme="4" tint="-0.249977111117893"/>
      </right>
      <top style="thin">
        <color theme="4" tint="-0.249977111117893"/>
      </top>
      <bottom style="thin">
        <color theme="0"/>
      </bottom>
      <diagonal/>
    </border>
    <border>
      <left style="thin">
        <color theme="4" tint="-0.249977111117893"/>
      </left>
      <right style="thin">
        <color theme="0"/>
      </right>
      <top style="thin">
        <color theme="0"/>
      </top>
      <bottom style="thin">
        <color theme="4" tint="-0.249977111117893"/>
      </bottom>
      <diagonal/>
    </border>
    <border>
      <left style="medium">
        <color theme="0"/>
      </left>
      <right/>
      <top style="medium">
        <color rgb="FF0070C0"/>
      </top>
      <bottom/>
      <diagonal/>
    </border>
    <border>
      <left/>
      <right style="medium">
        <color theme="0"/>
      </right>
      <top style="medium">
        <color rgb="FF0070C0"/>
      </top>
      <bottom/>
      <diagonal/>
    </border>
    <border>
      <left style="medium">
        <color theme="0"/>
      </left>
      <right/>
      <top/>
      <bottom style="medium">
        <color rgb="FF0070C0"/>
      </bottom>
      <diagonal/>
    </border>
    <border>
      <left/>
      <right style="medium">
        <color theme="0"/>
      </right>
      <top/>
      <bottom style="medium">
        <color rgb="FF0070C0"/>
      </bottom>
      <diagonal/>
    </border>
    <border>
      <left style="thin">
        <color rgb="FF0070C0"/>
      </left>
      <right style="thin">
        <color theme="0"/>
      </right>
      <top style="thin">
        <color rgb="FF0070C0"/>
      </top>
      <bottom/>
      <diagonal/>
    </border>
    <border>
      <left/>
      <right style="thin">
        <color theme="0"/>
      </right>
      <top style="thin">
        <color rgb="FF0070C0"/>
      </top>
      <bottom style="thin">
        <color theme="0"/>
      </bottom>
      <diagonal/>
    </border>
    <border>
      <left style="medium">
        <color rgb="FF0070C0"/>
      </left>
      <right style="medium">
        <color rgb="FF0070C0"/>
      </right>
      <top style="medium">
        <color rgb="FF0070C0"/>
      </top>
      <bottom style="thin">
        <color rgb="FF0070C0"/>
      </bottom>
      <diagonal/>
    </border>
    <border>
      <left style="medium">
        <color rgb="FF0070C0"/>
      </left>
      <right style="medium">
        <color rgb="FF0070C0"/>
      </right>
      <top style="thin">
        <color rgb="FF0070C0"/>
      </top>
      <bottom style="thin">
        <color rgb="FF0070C0"/>
      </bottom>
      <diagonal/>
    </border>
    <border>
      <left style="medium">
        <color rgb="FF0070C0"/>
      </left>
      <right style="medium">
        <color rgb="FF0070C0"/>
      </right>
      <top style="thin">
        <color rgb="FF0070C0"/>
      </top>
      <bottom style="medium">
        <color rgb="FF0070C0"/>
      </bottom>
      <diagonal/>
    </border>
    <border>
      <left style="thin">
        <color theme="0"/>
      </left>
      <right/>
      <top style="thin">
        <color rgb="FF0070C0"/>
      </top>
      <bottom style="thin">
        <color theme="0"/>
      </bottom>
      <diagonal/>
    </border>
    <border>
      <left/>
      <right/>
      <top style="thin">
        <color rgb="FF0070C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theme="0"/>
      </right>
      <top style="thin">
        <color theme="0"/>
      </top>
      <bottom style="thin">
        <color theme="0"/>
      </bottom>
      <diagonal/>
    </border>
    <border>
      <left style="thin">
        <color theme="4" tint="-0.249977111117893"/>
      </left>
      <right/>
      <top/>
      <bottom/>
      <diagonal/>
    </border>
    <border>
      <left style="thick">
        <color theme="0"/>
      </left>
      <right/>
      <top/>
      <bottom/>
      <diagonal/>
    </border>
    <border>
      <left style="thick">
        <color theme="0"/>
      </left>
      <right style="thick">
        <color theme="0"/>
      </right>
      <top/>
      <bottom/>
      <diagonal/>
    </border>
    <border>
      <left style="thin">
        <color indexed="9"/>
      </left>
      <right/>
      <top/>
      <bottom/>
      <diagonal/>
    </border>
    <border>
      <left style="slantDashDot">
        <color rgb="FF0070C0"/>
      </left>
      <right/>
      <top style="slantDashDot">
        <color rgb="FF0070C0"/>
      </top>
      <bottom/>
      <diagonal/>
    </border>
    <border>
      <left/>
      <right/>
      <top style="slantDashDot">
        <color rgb="FF0070C0"/>
      </top>
      <bottom/>
      <diagonal/>
    </border>
    <border>
      <left/>
      <right style="slantDashDot">
        <color rgb="FF0070C0"/>
      </right>
      <top style="slantDashDot">
        <color rgb="FF0070C0"/>
      </top>
      <bottom/>
      <diagonal/>
    </border>
    <border>
      <left style="slantDashDot">
        <color rgb="FF0070C0"/>
      </left>
      <right/>
      <top/>
      <bottom/>
      <diagonal/>
    </border>
    <border>
      <left/>
      <right style="slantDashDot">
        <color rgb="FF0070C0"/>
      </right>
      <top/>
      <bottom/>
      <diagonal/>
    </border>
    <border>
      <left style="slantDashDot">
        <color rgb="FF0070C0"/>
      </left>
      <right/>
      <top/>
      <bottom style="slantDashDot">
        <color rgb="FF0070C0"/>
      </bottom>
      <diagonal/>
    </border>
    <border>
      <left/>
      <right/>
      <top/>
      <bottom style="slantDashDot">
        <color rgb="FF0070C0"/>
      </bottom>
      <diagonal/>
    </border>
    <border>
      <left/>
      <right style="slantDashDot">
        <color rgb="FF0070C0"/>
      </right>
      <top/>
      <bottom style="slantDashDot">
        <color rgb="FF0070C0"/>
      </bottom>
      <diagonal/>
    </border>
    <border>
      <left style="thin">
        <color theme="0"/>
      </left>
      <right style="thin">
        <color theme="0"/>
      </right>
      <top style="thin">
        <color rgb="FF0070C0"/>
      </top>
      <bottom/>
      <diagonal/>
    </border>
    <border>
      <left style="thin">
        <color theme="0"/>
      </left>
      <right/>
      <top style="thin">
        <color rgb="FF0070C0"/>
      </top>
      <bottom/>
      <diagonal/>
    </border>
    <border>
      <left/>
      <right style="thin">
        <color theme="0"/>
      </right>
      <top style="thin">
        <color rgb="FF0070C0"/>
      </top>
      <bottom/>
      <diagonal/>
    </border>
    <border>
      <left/>
      <right style="thin">
        <color rgb="FF0070C0"/>
      </right>
      <top style="thin">
        <color theme="0"/>
      </top>
      <bottom style="thin">
        <color theme="0"/>
      </bottom>
      <diagonal/>
    </border>
    <border>
      <left style="thin">
        <color rgb="FF0070C0"/>
      </left>
      <right style="thin">
        <color theme="0"/>
      </right>
      <top/>
      <bottom/>
      <diagonal/>
    </border>
    <border>
      <left/>
      <right style="thin">
        <color rgb="FF0070C0"/>
      </right>
      <top style="thin">
        <color rgb="FF0070C0"/>
      </top>
      <bottom style="thin">
        <color theme="0"/>
      </bottom>
      <diagonal/>
    </border>
    <border>
      <left style="medium">
        <color rgb="FF0070C0"/>
      </left>
      <right style="thin">
        <color indexed="64"/>
      </right>
      <top/>
      <bottom/>
      <diagonal/>
    </border>
    <border>
      <left style="medium">
        <color theme="0"/>
      </left>
      <right/>
      <top style="medium">
        <color rgb="FF0070C0"/>
      </top>
      <bottom style="medium">
        <color theme="0"/>
      </bottom>
      <diagonal/>
    </border>
    <border>
      <left style="medium">
        <color rgb="FF0070C0"/>
      </left>
      <right style="medium">
        <color rgb="FF0070C0"/>
      </right>
      <top style="medium">
        <color theme="0"/>
      </top>
      <bottom style="medium">
        <color theme="0"/>
      </bottom>
      <diagonal/>
    </border>
    <border>
      <left style="medium">
        <color rgb="FF0070C0"/>
      </left>
      <right/>
      <top style="medium">
        <color theme="0"/>
      </top>
      <bottom style="medium">
        <color theme="0"/>
      </bottom>
      <diagonal/>
    </border>
    <border>
      <left style="medium">
        <color rgb="FF0070C0"/>
      </left>
      <right/>
      <top style="medium">
        <color theme="0"/>
      </top>
      <bottom style="medium">
        <color rgb="FF0070C0"/>
      </bottom>
      <diagonal/>
    </border>
    <border>
      <left style="thin">
        <color theme="8" tint="0.39997558519241921"/>
      </left>
      <right/>
      <top style="thin">
        <color theme="8" tint="0.39997558519241921"/>
      </top>
      <bottom/>
      <diagonal/>
    </border>
    <border>
      <left style="thin">
        <color theme="8" tint="0.39997558519241921"/>
      </left>
      <right/>
      <top/>
      <bottom/>
      <diagonal/>
    </border>
    <border>
      <left style="thin">
        <color theme="8" tint="0.39997558519241921"/>
      </left>
      <right/>
      <top/>
      <bottom style="thin">
        <color theme="8" tint="0.39997558519241921"/>
      </bottom>
      <diagonal/>
    </border>
    <border>
      <left/>
      <right/>
      <top/>
      <bottom style="thin">
        <color theme="8" tint="0.39997558519241921"/>
      </bottom>
      <diagonal/>
    </border>
    <border>
      <left style="medium">
        <color rgb="FF0070C0"/>
      </left>
      <right/>
      <top style="medium">
        <color rgb="FF0070C0"/>
      </top>
      <bottom style="thin">
        <color rgb="FF0070C0"/>
      </bottom>
      <diagonal/>
    </border>
    <border>
      <left/>
      <right/>
      <top style="medium">
        <color rgb="FF0070C0"/>
      </top>
      <bottom style="thin">
        <color rgb="FF0070C0"/>
      </bottom>
      <diagonal/>
    </border>
    <border>
      <left/>
      <right style="medium">
        <color rgb="FF0070C0"/>
      </right>
      <top style="medium">
        <color rgb="FF0070C0"/>
      </top>
      <bottom style="thin">
        <color rgb="FF0070C0"/>
      </bottom>
      <diagonal/>
    </border>
    <border>
      <left style="medium">
        <color rgb="FF0070C0"/>
      </left>
      <right style="medium">
        <color rgb="FF0070C0"/>
      </right>
      <top/>
      <bottom style="medium">
        <color theme="0"/>
      </bottom>
      <diagonal/>
    </border>
    <border>
      <left style="medium">
        <color theme="0"/>
      </left>
      <right style="medium">
        <color rgb="FF0070C0"/>
      </right>
      <top style="medium">
        <color theme="0"/>
      </top>
      <bottom/>
      <diagonal/>
    </border>
    <border>
      <left style="medium">
        <color rgb="FF0070C0"/>
      </left>
      <right style="thin">
        <color rgb="FF0070C0"/>
      </right>
      <top/>
      <bottom style="thin">
        <color rgb="FF0070C0"/>
      </bottom>
      <diagonal/>
    </border>
    <border>
      <left style="medium">
        <color rgb="FF0070C0"/>
      </left>
      <right/>
      <top style="thin">
        <color rgb="FF0070C0"/>
      </top>
      <bottom style="thin">
        <color rgb="FF0070C0"/>
      </bottom>
      <diagonal/>
    </border>
    <border>
      <left style="thin">
        <color rgb="FF0070C0"/>
      </left>
      <right style="medium">
        <color rgb="FF0070C0"/>
      </right>
      <top/>
      <bottom style="thin">
        <color rgb="FF0070C0"/>
      </bottom>
      <diagonal/>
    </border>
    <border>
      <left style="thin">
        <color rgb="FF0070C0"/>
      </left>
      <right style="thin">
        <color indexed="64"/>
      </right>
      <top/>
      <bottom style="thin">
        <color rgb="FF0070C0"/>
      </bottom>
      <diagonal/>
    </border>
    <border>
      <left/>
      <right style="medium">
        <color rgb="FF0070C0"/>
      </right>
      <top/>
      <bottom style="thin">
        <color rgb="FF0070C0"/>
      </bottom>
      <diagonal/>
    </border>
    <border>
      <left style="thin">
        <color rgb="FF0070C0"/>
      </left>
      <right/>
      <top style="thin">
        <color theme="0"/>
      </top>
      <bottom style="thin">
        <color rgb="FF0070C0"/>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rgb="FF0070C0"/>
      </right>
      <top style="medium">
        <color theme="0"/>
      </top>
      <bottom style="medium">
        <color theme="0"/>
      </bottom>
      <diagonal/>
    </border>
    <border>
      <left style="medium">
        <color rgb="FF0070C0"/>
      </left>
      <right/>
      <top/>
      <bottom style="medium">
        <color theme="0"/>
      </bottom>
      <diagonal/>
    </border>
    <border>
      <left/>
      <right/>
      <top/>
      <bottom style="medium">
        <color theme="0"/>
      </bottom>
      <diagonal/>
    </border>
    <border>
      <left/>
      <right style="medium">
        <color rgb="FF0070C0"/>
      </right>
      <top/>
      <bottom style="medium">
        <color theme="0"/>
      </bottom>
      <diagonal/>
    </border>
    <border>
      <left/>
      <right style="medium">
        <color theme="0"/>
      </right>
      <top/>
      <bottom style="medium">
        <color theme="0"/>
      </bottom>
      <diagonal/>
    </border>
    <border>
      <left style="medium">
        <color theme="0"/>
      </left>
      <right/>
      <top/>
      <bottom style="medium">
        <color theme="0"/>
      </bottom>
      <diagonal/>
    </border>
    <border>
      <left style="medium">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theme="8" tint="-0.249977111117893"/>
      </left>
      <right style="thin">
        <color theme="8" tint="-0.249977111117893"/>
      </right>
      <top/>
      <bottom style="medium">
        <color indexed="64"/>
      </bottom>
      <diagonal/>
    </border>
    <border>
      <left style="thin">
        <color indexed="64"/>
      </left>
      <right style="medium">
        <color indexed="64"/>
      </right>
      <top style="medium">
        <color indexed="64"/>
      </top>
      <bottom style="dotted">
        <color indexed="64"/>
      </bottom>
      <diagonal/>
    </border>
    <border>
      <left style="thin">
        <color indexed="64"/>
      </left>
      <right style="thin">
        <color indexed="64"/>
      </right>
      <top style="dotted">
        <color indexed="64"/>
      </top>
      <bottom style="medium">
        <color indexed="64"/>
      </bottom>
      <diagonal/>
    </border>
    <border>
      <left style="thin">
        <color indexed="64"/>
      </left>
      <right style="medium">
        <color indexed="64"/>
      </right>
      <top style="dotted">
        <color indexed="64"/>
      </top>
      <bottom style="medium">
        <color indexed="64"/>
      </bottom>
      <diagonal/>
    </border>
  </borders>
  <cellStyleXfs count="206">
    <xf numFmtId="0" fontId="0" fillId="0" borderId="0"/>
    <xf numFmtId="9" fontId="1" fillId="0" borderId="0" applyFont="0" applyFill="0" applyBorder="0" applyAlignment="0" applyProtection="0"/>
    <xf numFmtId="0" fontId="2" fillId="0" borderId="0"/>
    <xf numFmtId="0" fontId="2" fillId="0" borderId="0"/>
    <xf numFmtId="0" fontId="2" fillId="0" borderId="0"/>
    <xf numFmtId="0" fontId="2" fillId="0" borderId="0"/>
    <xf numFmtId="9" fontId="3" fillId="0" borderId="0" applyFont="0" applyFill="0" applyBorder="0" applyAlignment="0" applyProtection="0"/>
    <xf numFmtId="0" fontId="4" fillId="0" borderId="0"/>
    <xf numFmtId="0" fontId="1" fillId="0" borderId="0"/>
    <xf numFmtId="0" fontId="2" fillId="0" borderId="0"/>
    <xf numFmtId="9" fontId="1" fillId="0" borderId="0" applyFont="0" applyFill="0" applyBorder="0" applyAlignment="0" applyProtection="0"/>
    <xf numFmtId="0" fontId="2" fillId="0" borderId="0"/>
    <xf numFmtId="0" fontId="2" fillId="0" borderId="0"/>
    <xf numFmtId="0" fontId="2" fillId="0" borderId="0"/>
    <xf numFmtId="170" fontId="1" fillId="0" borderId="0" applyFont="0" applyFill="0" applyBorder="0" applyAlignment="0" applyProtection="0"/>
    <xf numFmtId="0" fontId="2" fillId="0" borderId="0"/>
    <xf numFmtId="0" fontId="2" fillId="0" borderId="0"/>
    <xf numFmtId="0" fontId="1" fillId="0" borderId="0"/>
    <xf numFmtId="0" fontId="39" fillId="26"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9" fontId="3" fillId="0" borderId="0" applyFont="0" applyFill="0" applyBorder="0" applyAlignment="0" applyProtection="0"/>
    <xf numFmtId="0" fontId="2" fillId="0" borderId="0"/>
    <xf numFmtId="9" fontId="3" fillId="0" borderId="0" applyFont="0" applyFill="0" applyBorder="0" applyAlignment="0" applyProtection="0"/>
    <xf numFmtId="0" fontId="2" fillId="0" borderId="0"/>
    <xf numFmtId="0" fontId="39" fillId="39" borderId="0" applyNumberFormat="0" applyBorder="0" applyAlignment="0" applyProtection="0"/>
    <xf numFmtId="0" fontId="1" fillId="40" borderId="0" applyNumberFormat="0" applyBorder="0" applyAlignment="0" applyProtection="0"/>
    <xf numFmtId="0" fontId="66" fillId="0" borderId="0"/>
    <xf numFmtId="0" fontId="2" fillId="0" borderId="0"/>
    <xf numFmtId="0" fontId="2" fillId="0" borderId="0"/>
    <xf numFmtId="169" fontId="1" fillId="0" borderId="0" applyFont="0" applyFill="0" applyBorder="0" applyAlignment="0" applyProtection="0"/>
    <xf numFmtId="169" fontId="3" fillId="0" borderId="0" applyFont="0" applyFill="0" applyBorder="0" applyAlignment="0" applyProtection="0"/>
    <xf numFmtId="0" fontId="1" fillId="0" borderId="0"/>
    <xf numFmtId="169" fontId="3" fillId="0" borderId="0" applyFont="0" applyFill="0" applyBorder="0" applyAlignment="0" applyProtection="0"/>
    <xf numFmtId="9" fontId="1" fillId="0" borderId="0" applyFont="0" applyFill="0" applyBorder="0" applyAlignment="0" applyProtection="0"/>
    <xf numFmtId="0" fontId="75" fillId="0" borderId="0"/>
    <xf numFmtId="169" fontId="1" fillId="0" borderId="0" applyFont="0" applyFill="0" applyBorder="0" applyAlignment="0" applyProtection="0"/>
    <xf numFmtId="0" fontId="78" fillId="0" borderId="0" applyNumberFormat="0" applyFill="0" applyBorder="0" applyAlignment="0" applyProtection="0">
      <alignment vertical="top"/>
      <protection locked="0"/>
    </xf>
    <xf numFmtId="169" fontId="3" fillId="0" borderId="0" applyFont="0" applyFill="0" applyBorder="0" applyAlignment="0" applyProtection="0"/>
    <xf numFmtId="0" fontId="2" fillId="0" borderId="0"/>
    <xf numFmtId="9" fontId="2" fillId="0" borderId="0" applyFont="0" applyFill="0" applyBorder="0" applyAlignment="0" applyProtection="0"/>
    <xf numFmtId="0" fontId="79" fillId="0" borderId="0"/>
    <xf numFmtId="169" fontId="3" fillId="0" borderId="0" applyFont="0" applyFill="0" applyBorder="0" applyAlignment="0" applyProtection="0"/>
    <xf numFmtId="0" fontId="2" fillId="0" borderId="0"/>
    <xf numFmtId="0" fontId="1" fillId="0" borderId="0"/>
    <xf numFmtId="169" fontId="1" fillId="0" borderId="0" applyFont="0" applyFill="0" applyBorder="0" applyAlignment="0" applyProtection="0"/>
    <xf numFmtId="169" fontId="3" fillId="0" borderId="0" applyFont="0" applyFill="0" applyBorder="0" applyAlignment="0" applyProtection="0"/>
    <xf numFmtId="0" fontId="86" fillId="0" borderId="0" applyNumberFormat="0" applyFill="0" applyBorder="0" applyAlignment="0" applyProtection="0"/>
    <xf numFmtId="169" fontId="1" fillId="0" borderId="0" applyFont="0" applyFill="0" applyBorder="0" applyAlignment="0" applyProtection="0"/>
    <xf numFmtId="0" fontId="2" fillId="0" borderId="0"/>
    <xf numFmtId="168" fontId="1" fillId="0" borderId="0" applyFont="0" applyFill="0" applyBorder="0" applyAlignment="0" applyProtection="0"/>
    <xf numFmtId="9" fontId="1" fillId="0" borderId="0" applyFont="0" applyFill="0" applyBorder="0" applyAlignment="0" applyProtection="0"/>
    <xf numFmtId="0" fontId="83" fillId="0" borderId="0"/>
    <xf numFmtId="169" fontId="3" fillId="0" borderId="0" applyFont="0" applyFill="0" applyBorder="0" applyAlignment="0" applyProtection="0"/>
    <xf numFmtId="16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169" fontId="3" fillId="0" borderId="0" applyFont="0" applyFill="0" applyBorder="0" applyAlignment="0" applyProtection="0"/>
    <xf numFmtId="0" fontId="2" fillId="0" borderId="0"/>
    <xf numFmtId="168" fontId="3" fillId="0" borderId="0" applyFont="0" applyFill="0" applyBorder="0" applyAlignment="0" applyProtection="0"/>
    <xf numFmtId="168" fontId="3" fillId="0" borderId="0" applyFont="0" applyFill="0" applyBorder="0" applyAlignment="0" applyProtection="0"/>
    <xf numFmtId="0" fontId="109" fillId="0" borderId="0" applyNumberFormat="0" applyFill="0" applyBorder="0" applyAlignment="0" applyProtection="0"/>
    <xf numFmtId="0" fontId="110" fillId="0" borderId="161" applyNumberFormat="0" applyFill="0" applyAlignment="0" applyProtection="0"/>
    <xf numFmtId="0" fontId="111" fillId="0" borderId="162" applyNumberFormat="0" applyFill="0" applyAlignment="0" applyProtection="0"/>
    <xf numFmtId="0" fontId="112" fillId="0" borderId="163" applyNumberFormat="0" applyFill="0" applyAlignment="0" applyProtection="0"/>
    <xf numFmtId="0" fontId="112" fillId="0" borderId="0" applyNumberFormat="0" applyFill="0" applyBorder="0" applyAlignment="0" applyProtection="0"/>
    <xf numFmtId="0" fontId="113" fillId="56" borderId="0" applyNumberFormat="0" applyBorder="0" applyAlignment="0" applyProtection="0"/>
    <xf numFmtId="0" fontId="114" fillId="57" borderId="0" applyNumberFormat="0" applyBorder="0" applyAlignment="0" applyProtection="0"/>
    <xf numFmtId="0" fontId="115" fillId="59" borderId="164" applyNumberFormat="0" applyAlignment="0" applyProtection="0"/>
    <xf numFmtId="0" fontId="116" fillId="60" borderId="165" applyNumberFormat="0" applyAlignment="0" applyProtection="0"/>
    <xf numFmtId="0" fontId="117" fillId="60" borderId="164" applyNumberFormat="0" applyAlignment="0" applyProtection="0"/>
    <xf numFmtId="0" fontId="118" fillId="0" borderId="166" applyNumberFormat="0" applyFill="0" applyAlignment="0" applyProtection="0"/>
    <xf numFmtId="0" fontId="119" fillId="61" borderId="167" applyNumberFormat="0" applyAlignment="0" applyProtection="0"/>
    <xf numFmtId="0" fontId="120" fillId="0" borderId="0" applyNumberFormat="0" applyFill="0" applyBorder="0" applyAlignment="0" applyProtection="0"/>
    <xf numFmtId="0" fontId="1" fillId="62" borderId="168" applyNumberFormat="0" applyFont="0" applyAlignment="0" applyProtection="0"/>
    <xf numFmtId="0" fontId="121" fillId="0" borderId="0" applyNumberFormat="0" applyFill="0" applyBorder="0" applyAlignment="0" applyProtection="0"/>
    <xf numFmtId="0" fontId="38" fillId="0" borderId="169" applyNumberFormat="0" applyFill="0" applyAlignment="0" applyProtection="0"/>
    <xf numFmtId="0" fontId="1" fillId="63" borderId="0" applyNumberFormat="0" applyBorder="0" applyAlignment="0" applyProtection="0"/>
    <xf numFmtId="0" fontId="39" fillId="65" borderId="0" applyNumberFormat="0" applyBorder="0" applyAlignment="0" applyProtection="0"/>
    <xf numFmtId="0" fontId="1" fillId="66" borderId="0" applyNumberFormat="0" applyBorder="0" applyAlignment="0" applyProtection="0"/>
    <xf numFmtId="0" fontId="1" fillId="67" borderId="0" applyNumberFormat="0" applyBorder="0" applyAlignment="0" applyProtection="0"/>
    <xf numFmtId="0" fontId="39" fillId="69" borderId="0" applyNumberFormat="0" applyBorder="0" applyAlignment="0" applyProtection="0"/>
    <xf numFmtId="0" fontId="1" fillId="70" borderId="0" applyNumberFormat="0" applyBorder="0" applyAlignment="0" applyProtection="0"/>
    <xf numFmtId="0" fontId="1" fillId="71" borderId="0" applyNumberFormat="0" applyBorder="0" applyAlignment="0" applyProtection="0"/>
    <xf numFmtId="0" fontId="39" fillId="73" borderId="0" applyNumberFormat="0" applyBorder="0" applyAlignment="0" applyProtection="0"/>
    <xf numFmtId="0" fontId="1" fillId="74" borderId="0" applyNumberFormat="0" applyBorder="0" applyAlignment="0" applyProtection="0"/>
    <xf numFmtId="0" fontId="1" fillId="75" borderId="0" applyNumberFormat="0" applyBorder="0" applyAlignment="0" applyProtection="0"/>
    <xf numFmtId="0" fontId="39" fillId="77" borderId="0" applyNumberFormat="0" applyBorder="0" applyAlignment="0" applyProtection="0"/>
    <xf numFmtId="0" fontId="1" fillId="25" borderId="0" applyNumberFormat="0" applyBorder="0" applyAlignment="0" applyProtection="0"/>
    <xf numFmtId="0" fontId="1" fillId="78" borderId="0" applyNumberFormat="0" applyBorder="0" applyAlignment="0" applyProtection="0"/>
    <xf numFmtId="0" fontId="39" fillId="79"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169" fontId="1" fillId="0" borderId="0" applyFont="0" applyFill="0" applyBorder="0" applyAlignment="0" applyProtection="0"/>
    <xf numFmtId="0" fontId="2" fillId="0" borderId="0"/>
    <xf numFmtId="0" fontId="1" fillId="0" borderId="0"/>
    <xf numFmtId="0" fontId="3" fillId="83" borderId="0" applyNumberFormat="0" applyBorder="0" applyAlignment="0" applyProtection="0"/>
    <xf numFmtId="0" fontId="3" fillId="84" borderId="0" applyNumberFormat="0" applyBorder="0" applyAlignment="0" applyProtection="0"/>
    <xf numFmtId="0" fontId="3" fillId="85"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5" borderId="0" applyNumberFormat="0" applyBorder="0" applyAlignment="0" applyProtection="0"/>
    <xf numFmtId="0" fontId="3" fillId="87" borderId="0" applyNumberFormat="0" applyBorder="0" applyAlignment="0" applyProtection="0"/>
    <xf numFmtId="0" fontId="3" fillId="84" borderId="0" applyNumberFormat="0" applyBorder="0" applyAlignment="0" applyProtection="0"/>
    <xf numFmtId="0" fontId="3" fillId="88" borderId="0" applyNumberFormat="0" applyBorder="0" applyAlignment="0" applyProtection="0"/>
    <xf numFmtId="0" fontId="3" fillId="87" borderId="0" applyNumberFormat="0" applyBorder="0" applyAlignment="0" applyProtection="0"/>
    <xf numFmtId="0" fontId="3" fillId="89" borderId="0" applyNumberFormat="0" applyBorder="0" applyAlignment="0" applyProtection="0"/>
    <xf numFmtId="0" fontId="3" fillId="88" borderId="0" applyNumberFormat="0" applyBorder="0" applyAlignment="0" applyProtection="0"/>
    <xf numFmtId="0" fontId="122" fillId="90" borderId="0" applyNumberFormat="0" applyBorder="0" applyAlignment="0" applyProtection="0"/>
    <xf numFmtId="0" fontId="122" fillId="84" borderId="0" applyNumberFormat="0" applyBorder="0" applyAlignment="0" applyProtection="0"/>
    <xf numFmtId="0" fontId="122" fillId="88" borderId="0" applyNumberFormat="0" applyBorder="0" applyAlignment="0" applyProtection="0"/>
    <xf numFmtId="0" fontId="122" fillId="87" borderId="0" applyNumberFormat="0" applyBorder="0" applyAlignment="0" applyProtection="0"/>
    <xf numFmtId="0" fontId="122" fillId="90" borderId="0" applyNumberFormat="0" applyBorder="0" applyAlignment="0" applyProtection="0"/>
    <xf numFmtId="0" fontId="122" fillId="84" borderId="0" applyNumberFormat="0" applyBorder="0" applyAlignment="0" applyProtection="0"/>
    <xf numFmtId="0" fontId="122" fillId="90" borderId="0" applyNumberFormat="0" applyBorder="0" applyAlignment="0" applyProtection="0"/>
    <xf numFmtId="0" fontId="122" fillId="91" borderId="0" applyNumberFormat="0" applyBorder="0" applyAlignment="0" applyProtection="0"/>
    <xf numFmtId="0" fontId="122" fillId="92" borderId="0" applyNumberFormat="0" applyBorder="0" applyAlignment="0" applyProtection="0"/>
    <xf numFmtId="0" fontId="122" fillId="93" borderId="0" applyNumberFormat="0" applyBorder="0" applyAlignment="0" applyProtection="0"/>
    <xf numFmtId="0" fontId="122" fillId="90" borderId="0" applyNumberFormat="0" applyBorder="0" applyAlignment="0" applyProtection="0"/>
    <xf numFmtId="0" fontId="122" fillId="94" borderId="0" applyNumberFormat="0" applyBorder="0" applyAlignment="0" applyProtection="0"/>
    <xf numFmtId="0" fontId="123" fillId="95" borderId="0" applyNumberFormat="0" applyBorder="0" applyAlignment="0" applyProtection="0"/>
    <xf numFmtId="0" fontId="124" fillId="0" borderId="0" applyNumberFormat="0" applyFill="0" applyBorder="0" applyAlignment="0" applyProtection="0">
      <alignment vertical="top"/>
      <protection locked="0"/>
    </xf>
    <xf numFmtId="0" fontId="125" fillId="96" borderId="170" applyNumberFormat="0" applyAlignment="0" applyProtection="0"/>
    <xf numFmtId="0" fontId="126" fillId="97" borderId="171" applyNumberFormat="0" applyAlignment="0" applyProtection="0"/>
    <xf numFmtId="4" fontId="127" fillId="0" borderId="0">
      <protection locked="0"/>
    </xf>
    <xf numFmtId="192" fontId="127" fillId="0" borderId="0">
      <protection locked="0"/>
    </xf>
    <xf numFmtId="0" fontId="127" fillId="0" borderId="0">
      <protection locked="0"/>
    </xf>
    <xf numFmtId="191" fontId="2" fillId="0" borderId="0" applyFont="0" applyFill="0" applyBorder="0" applyAlignment="0" applyProtection="0"/>
    <xf numFmtId="0" fontId="128" fillId="0" borderId="0" applyNumberFormat="0" applyFill="0" applyBorder="0" applyAlignment="0" applyProtection="0"/>
    <xf numFmtId="0" fontId="127" fillId="0" borderId="0">
      <protection locked="0"/>
    </xf>
    <xf numFmtId="0" fontId="127" fillId="0" borderId="0">
      <protection locked="0"/>
    </xf>
    <xf numFmtId="0" fontId="129" fillId="0" borderId="0">
      <protection locked="0"/>
    </xf>
    <xf numFmtId="0" fontId="127" fillId="0" borderId="0">
      <protection locked="0"/>
    </xf>
    <xf numFmtId="0" fontId="127" fillId="0" borderId="0">
      <protection locked="0"/>
    </xf>
    <xf numFmtId="0" fontId="127" fillId="0" borderId="0">
      <protection locked="0"/>
    </xf>
    <xf numFmtId="0" fontId="129" fillId="0" borderId="0">
      <protection locked="0"/>
    </xf>
    <xf numFmtId="193" fontId="127" fillId="0" borderId="0">
      <protection locked="0"/>
    </xf>
    <xf numFmtId="0" fontId="130" fillId="98" borderId="0" applyNumberFormat="0" applyBorder="0" applyAlignment="0" applyProtection="0"/>
    <xf numFmtId="0" fontId="131" fillId="0" borderId="172" applyNumberFormat="0" applyFill="0" applyAlignment="0" applyProtection="0"/>
    <xf numFmtId="0" fontId="132" fillId="0" borderId="173" applyNumberFormat="0" applyFill="0" applyAlignment="0" applyProtection="0"/>
    <xf numFmtId="0" fontId="133" fillId="0" borderId="174" applyNumberFormat="0" applyFill="0" applyAlignment="0" applyProtection="0"/>
    <xf numFmtId="0" fontId="133" fillId="0" borderId="0" applyNumberFormat="0" applyFill="0" applyBorder="0" applyAlignment="0" applyProtection="0"/>
    <xf numFmtId="0" fontId="134" fillId="0" borderId="0">
      <protection locked="0"/>
    </xf>
    <xf numFmtId="0" fontId="134" fillId="0" borderId="0">
      <protection locked="0"/>
    </xf>
    <xf numFmtId="0" fontId="135" fillId="0" borderId="0" applyNumberFormat="0" applyFill="0" applyBorder="0" applyAlignment="0" applyProtection="0">
      <alignment vertical="top"/>
      <protection locked="0"/>
    </xf>
    <xf numFmtId="0" fontId="136" fillId="88" borderId="170" applyNumberFormat="0" applyAlignment="0" applyProtection="0"/>
    <xf numFmtId="0" fontId="137" fillId="0" borderId="175" applyNumberFormat="0" applyFill="0" applyAlignment="0" applyProtection="0"/>
    <xf numFmtId="169" fontId="2" fillId="0" borderId="0" applyFont="0" applyFill="0" applyBorder="0" applyAlignment="0" applyProtection="0"/>
    <xf numFmtId="43" fontId="2" fillId="0" borderId="0" applyFont="0" applyFill="0" applyBorder="0" applyAlignment="0" applyProtection="0"/>
    <xf numFmtId="190" fontId="1" fillId="0" borderId="0" applyFont="0" applyFill="0" applyBorder="0" applyAlignment="0" applyProtection="0"/>
    <xf numFmtId="169" fontId="2" fillId="0" borderId="0" applyFont="0" applyFill="0" applyBorder="0" applyAlignment="0" applyProtection="0"/>
    <xf numFmtId="169" fontId="138" fillId="0" borderId="0" applyFont="0" applyFill="0" applyBorder="0" applyAlignment="0" applyProtection="0"/>
    <xf numFmtId="169" fontId="3" fillId="0" borderId="0" applyFont="0" applyFill="0" applyBorder="0" applyAlignment="0" applyProtection="0"/>
    <xf numFmtId="173" fontId="2" fillId="0" borderId="0" applyFont="0" applyFill="0" applyBorder="0" applyAlignment="0" applyProtection="0"/>
    <xf numFmtId="194" fontId="2" fillId="0" borderId="0" applyFont="0" applyFill="0" applyBorder="0" applyAlignment="0" applyProtection="0"/>
    <xf numFmtId="168" fontId="79" fillId="0" borderId="0" applyFont="0" applyFill="0" applyBorder="0" applyAlignment="0" applyProtection="0"/>
    <xf numFmtId="168" fontId="1" fillId="0" borderId="0" applyFont="0" applyFill="0" applyBorder="0" applyAlignment="0" applyProtection="0"/>
    <xf numFmtId="0" fontId="2" fillId="0" borderId="0"/>
    <xf numFmtId="0" fontId="79" fillId="0" borderId="0"/>
    <xf numFmtId="0" fontId="2" fillId="0" borderId="0"/>
    <xf numFmtId="0" fontId="2" fillId="0" borderId="0"/>
    <xf numFmtId="0" fontId="79" fillId="0" borderId="0"/>
    <xf numFmtId="0" fontId="2" fillId="0" borderId="0"/>
    <xf numFmtId="0" fontId="1" fillId="0" borderId="0"/>
    <xf numFmtId="0" fontId="79" fillId="0" borderId="0"/>
    <xf numFmtId="0" fontId="1" fillId="0" borderId="0"/>
    <xf numFmtId="0" fontId="2" fillId="0" borderId="0"/>
    <xf numFmtId="0" fontId="2" fillId="0" borderId="0"/>
    <xf numFmtId="0" fontId="83" fillId="85" borderId="176" applyNumberFormat="0" applyFont="0" applyAlignment="0" applyProtection="0"/>
    <xf numFmtId="0" fontId="139" fillId="96" borderId="177" applyNumberFormat="0" applyAlignment="0" applyProtection="0"/>
    <xf numFmtId="195" fontId="127" fillId="0" borderId="0">
      <protection locked="0"/>
    </xf>
    <xf numFmtId="9" fontId="2" fillId="0" borderId="0" applyFont="0" applyFill="0" applyBorder="0" applyAlignment="0" applyProtection="0"/>
    <xf numFmtId="9" fontId="138" fillId="0" borderId="0" applyFont="0" applyFill="0" applyBorder="0" applyAlignment="0" applyProtection="0"/>
    <xf numFmtId="9" fontId="2" fillId="0" borderId="0" applyFont="0" applyFill="0" applyBorder="0" applyAlignment="0" applyProtection="0"/>
    <xf numFmtId="0" fontId="140" fillId="0" borderId="0" applyNumberFormat="0" applyFill="0" applyBorder="0" applyAlignment="0" applyProtection="0"/>
    <xf numFmtId="0" fontId="141" fillId="0" borderId="0" applyNumberFormat="0" applyFill="0" applyBorder="0" applyAlignment="0" applyProtection="0"/>
    <xf numFmtId="0" fontId="142" fillId="0" borderId="0" applyNumberFormat="0" applyFill="0" applyBorder="0" applyAlignment="0" applyProtection="0">
      <alignment vertical="top"/>
      <protection locked="0"/>
    </xf>
    <xf numFmtId="169" fontId="2" fillId="0" borderId="0" applyFont="0" applyFill="0" applyBorder="0" applyAlignment="0" applyProtection="0"/>
    <xf numFmtId="0" fontId="2" fillId="0" borderId="0"/>
    <xf numFmtId="0" fontId="143" fillId="58"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82" borderId="0" applyNumberFormat="0" applyBorder="0" applyAlignment="0" applyProtection="0"/>
    <xf numFmtId="0" fontId="2" fillId="0" borderId="0"/>
    <xf numFmtId="0" fontId="2" fillId="0" borderId="0"/>
    <xf numFmtId="9"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5321">
    <xf numFmtId="0" fontId="0" fillId="0" borderId="0" xfId="0"/>
    <xf numFmtId="0" fontId="6" fillId="2" borderId="0" xfId="0" applyFont="1" applyFill="1"/>
    <xf numFmtId="0" fontId="6" fillId="2" borderId="0" xfId="0" applyFont="1" applyFill="1" applyAlignment="1">
      <alignment vertical="center" wrapText="1"/>
    </xf>
    <xf numFmtId="0" fontId="7" fillId="2" borderId="0" xfId="0" applyFont="1" applyFill="1"/>
    <xf numFmtId="0" fontId="6" fillId="0" borderId="0" xfId="0" applyFont="1"/>
    <xf numFmtId="0" fontId="6" fillId="0" borderId="0" xfId="0" applyFont="1" applyAlignment="1">
      <alignment horizontal="center" vertical="center"/>
    </xf>
    <xf numFmtId="0" fontId="7" fillId="0" borderId="0" xfId="0" applyFont="1"/>
    <xf numFmtId="0" fontId="6" fillId="0" borderId="20" xfId="0" applyFont="1" applyBorder="1"/>
    <xf numFmtId="0" fontId="7" fillId="0" borderId="20" xfId="0" applyFont="1" applyBorder="1"/>
    <xf numFmtId="0" fontId="7" fillId="0" borderId="0" xfId="0" applyFont="1" applyAlignment="1">
      <alignment vertical="center"/>
    </xf>
    <xf numFmtId="0" fontId="6" fillId="0" borderId="20" xfId="0" applyFont="1" applyBorder="1" applyAlignment="1">
      <alignment horizontal="center" vertical="center"/>
    </xf>
    <xf numFmtId="0" fontId="6" fillId="0" borderId="0" xfId="0" applyFont="1" applyAlignment="1">
      <alignment horizontal="center"/>
    </xf>
    <xf numFmtId="0" fontId="7" fillId="0" borderId="0" xfId="0" applyFont="1" applyAlignment="1">
      <alignment horizontal="left" vertical="center"/>
    </xf>
    <xf numFmtId="0" fontId="6" fillId="0" borderId="0" xfId="0" applyFont="1" applyAlignment="1">
      <alignment vertical="center"/>
    </xf>
    <xf numFmtId="0" fontId="6" fillId="2" borderId="0" xfId="0" applyFont="1" applyFill="1" applyAlignment="1">
      <alignment horizontal="center" vertical="center"/>
    </xf>
    <xf numFmtId="0" fontId="6" fillId="0" borderId="20" xfId="0" applyFont="1" applyBorder="1" applyAlignment="1">
      <alignment horizontal="center"/>
    </xf>
    <xf numFmtId="0" fontId="6" fillId="0" borderId="0" xfId="0" applyFont="1" applyAlignment="1">
      <alignment horizontal="left"/>
    </xf>
    <xf numFmtId="0" fontId="7" fillId="2" borderId="0" xfId="0" applyFont="1" applyFill="1" applyAlignment="1">
      <alignment horizontal="left" vertical="center"/>
    </xf>
    <xf numFmtId="0" fontId="6" fillId="2" borderId="0" xfId="0" applyFont="1" applyFill="1" applyAlignment="1">
      <alignment horizontal="left" vertical="center"/>
    </xf>
    <xf numFmtId="0" fontId="7" fillId="2" borderId="0" xfId="0" applyFont="1" applyFill="1" applyAlignment="1">
      <alignment horizontal="center" vertical="center"/>
    </xf>
    <xf numFmtId="0" fontId="10" fillId="8" borderId="5" xfId="8" applyFont="1" applyFill="1" applyBorder="1" applyAlignment="1">
      <alignment horizontal="center" vertical="center" wrapText="1"/>
    </xf>
    <xf numFmtId="0" fontId="6" fillId="2" borderId="0" xfId="0" applyFont="1" applyFill="1" applyAlignment="1">
      <alignment vertical="center"/>
    </xf>
    <xf numFmtId="0" fontId="9" fillId="0" borderId="0" xfId="0" applyFont="1"/>
    <xf numFmtId="3" fontId="6" fillId="0" borderId="20" xfId="0" applyNumberFormat="1" applyFont="1" applyBorder="1"/>
    <xf numFmtId="3" fontId="9" fillId="0" borderId="20" xfId="9" applyNumberFormat="1" applyFont="1" applyBorder="1" applyAlignment="1">
      <alignment horizontal="center" vertical="center"/>
    </xf>
    <xf numFmtId="0" fontId="19" fillId="2" borderId="0" xfId="0" applyFont="1" applyFill="1"/>
    <xf numFmtId="0" fontId="16" fillId="0" borderId="0" xfId="0" applyFont="1"/>
    <xf numFmtId="3" fontId="7" fillId="0" borderId="20" xfId="0" applyNumberFormat="1" applyFont="1" applyBorder="1"/>
    <xf numFmtId="0" fontId="7" fillId="6" borderId="20" xfId="0" applyFont="1" applyFill="1" applyBorder="1"/>
    <xf numFmtId="3" fontId="7" fillId="0" borderId="20" xfId="0" applyNumberFormat="1" applyFont="1" applyBorder="1" applyAlignment="1">
      <alignment vertical="center"/>
    </xf>
    <xf numFmtId="1" fontId="7" fillId="0" borderId="20" xfId="0" applyNumberFormat="1" applyFont="1" applyBorder="1" applyAlignment="1">
      <alignment horizontal="center"/>
    </xf>
    <xf numFmtId="0" fontId="6" fillId="0" borderId="21" xfId="0" applyFont="1" applyBorder="1" applyAlignment="1">
      <alignment vertical="center"/>
    </xf>
    <xf numFmtId="0" fontId="25" fillId="0" borderId="20" xfId="0" applyFont="1" applyBorder="1" applyAlignment="1">
      <alignment vertical="center"/>
    </xf>
    <xf numFmtId="3" fontId="25" fillId="0" borderId="20" xfId="0" applyNumberFormat="1" applyFont="1" applyBorder="1" applyAlignment="1">
      <alignment vertical="center"/>
    </xf>
    <xf numFmtId="0" fontId="25" fillId="0" borderId="0" xfId="0" applyFont="1" applyAlignment="1">
      <alignment vertical="center"/>
    </xf>
    <xf numFmtId="0" fontId="26" fillId="0" borderId="0" xfId="0" applyFont="1"/>
    <xf numFmtId="0" fontId="25" fillId="0" borderId="20" xfId="0" applyFont="1" applyBorder="1" applyAlignment="1">
      <alignment vertical="center" wrapText="1"/>
    </xf>
    <xf numFmtId="0" fontId="25" fillId="0" borderId="0" xfId="0" applyFont="1" applyAlignment="1">
      <alignment vertical="center" wrapText="1"/>
    </xf>
    <xf numFmtId="0" fontId="27" fillId="0" borderId="0" xfId="0" applyFont="1"/>
    <xf numFmtId="0" fontId="8" fillId="0" borderId="20" xfId="0" applyFont="1" applyBorder="1" applyAlignment="1">
      <alignment horizontal="center" vertical="center" wrapText="1"/>
    </xf>
    <xf numFmtId="0" fontId="10" fillId="7" borderId="3" xfId="0" applyFont="1" applyFill="1" applyBorder="1" applyAlignment="1">
      <alignment horizontal="center" vertical="center"/>
    </xf>
    <xf numFmtId="0" fontId="6" fillId="13" borderId="21" xfId="0" applyFont="1" applyFill="1" applyBorder="1" applyAlignment="1">
      <alignment vertical="center"/>
    </xf>
    <xf numFmtId="0" fontId="5" fillId="0" borderId="20" xfId="0" applyFont="1" applyBorder="1"/>
    <xf numFmtId="9" fontId="26" fillId="0" borderId="0" xfId="1" applyFont="1"/>
    <xf numFmtId="0" fontId="6" fillId="13" borderId="20" xfId="0" applyFont="1" applyFill="1" applyBorder="1"/>
    <xf numFmtId="0" fontId="6" fillId="13" borderId="20" xfId="0" applyFont="1" applyFill="1" applyBorder="1" applyAlignment="1">
      <alignment vertical="center"/>
    </xf>
    <xf numFmtId="0" fontId="6" fillId="13" borderId="20" xfId="0" applyFont="1" applyFill="1" applyBorder="1" applyAlignment="1">
      <alignment horizontal="center"/>
    </xf>
    <xf numFmtId="0" fontId="6" fillId="13" borderId="20" xfId="0" applyFont="1" applyFill="1" applyBorder="1" applyAlignment="1">
      <alignment horizontal="center" vertical="center"/>
    </xf>
    <xf numFmtId="3" fontId="5" fillId="0" borderId="20" xfId="0" applyNumberFormat="1" applyFont="1" applyBorder="1" applyAlignment="1">
      <alignment horizontal="left" vertical="center"/>
    </xf>
    <xf numFmtId="0" fontId="7" fillId="0" borderId="20" xfId="0" applyFont="1" applyBorder="1" applyAlignment="1">
      <alignment horizontal="center"/>
    </xf>
    <xf numFmtId="0" fontId="6" fillId="0" borderId="20" xfId="0" applyFont="1" applyBorder="1" applyAlignment="1">
      <alignment horizontal="left" vertical="center"/>
    </xf>
    <xf numFmtId="0" fontId="7" fillId="0" borderId="0" xfId="0" applyFont="1" applyAlignment="1">
      <alignment horizontal="center"/>
    </xf>
    <xf numFmtId="0" fontId="30" fillId="0" borderId="47" xfId="0" applyFont="1" applyBorder="1"/>
    <xf numFmtId="0" fontId="9" fillId="0" borderId="0" xfId="0" applyFont="1" applyAlignment="1">
      <alignment horizontal="center"/>
    </xf>
    <xf numFmtId="0" fontId="6" fillId="0" borderId="0" xfId="0" applyFont="1" applyAlignment="1">
      <alignment horizontal="right"/>
    </xf>
    <xf numFmtId="0" fontId="5" fillId="0" borderId="0" xfId="0" applyFont="1"/>
    <xf numFmtId="3" fontId="5" fillId="16" borderId="20" xfId="0" applyNumberFormat="1" applyFont="1" applyFill="1" applyBorder="1"/>
    <xf numFmtId="3" fontId="5" fillId="0" borderId="20" xfId="0" applyNumberFormat="1" applyFont="1" applyBorder="1"/>
    <xf numFmtId="0" fontId="6" fillId="0" borderId="20" xfId="0" applyFont="1" applyBorder="1" applyAlignment="1">
      <alignment wrapText="1"/>
    </xf>
    <xf numFmtId="3" fontId="9" fillId="0" borderId="0" xfId="0" applyNumberFormat="1" applyFont="1" applyAlignment="1">
      <alignment horizontal="center" vertical="center"/>
    </xf>
    <xf numFmtId="3" fontId="5" fillId="0" borderId="20" xfId="0" applyNumberFormat="1" applyFont="1" applyBorder="1" applyAlignment="1">
      <alignment horizontal="center" vertical="center"/>
    </xf>
    <xf numFmtId="3" fontId="9" fillId="0" borderId="20" xfId="0" applyNumberFormat="1" applyFont="1" applyBorder="1" applyAlignment="1">
      <alignment horizontal="center" vertical="center" wrapText="1"/>
    </xf>
    <xf numFmtId="0" fontId="10" fillId="8" borderId="19" xfId="8" applyFont="1" applyFill="1" applyBorder="1" applyAlignment="1">
      <alignment horizontal="center" vertical="center" wrapText="1"/>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2" borderId="12" xfId="0" applyFont="1" applyFill="1" applyBorder="1" applyAlignment="1">
      <alignment horizontal="center" vertical="center"/>
    </xf>
    <xf numFmtId="0" fontId="7" fillId="2" borderId="20" xfId="0" applyFont="1" applyFill="1" applyBorder="1" applyAlignment="1">
      <alignment horizontal="center" vertical="center"/>
    </xf>
    <xf numFmtId="0" fontId="7" fillId="0" borderId="35" xfId="0" applyFont="1" applyBorder="1" applyAlignment="1">
      <alignment horizontal="center" vertical="center"/>
    </xf>
    <xf numFmtId="0" fontId="7" fillId="0" borderId="36" xfId="0" applyFont="1" applyBorder="1" applyAlignment="1">
      <alignment horizontal="center" vertical="center"/>
    </xf>
    <xf numFmtId="3" fontId="9" fillId="0" borderId="20" xfId="0" applyNumberFormat="1" applyFont="1" applyBorder="1" applyAlignment="1">
      <alignment horizontal="center" vertical="center"/>
    </xf>
    <xf numFmtId="9" fontId="9" fillId="0" borderId="20" xfId="1" applyFont="1" applyBorder="1" applyAlignment="1">
      <alignment horizontal="center" vertical="center"/>
    </xf>
    <xf numFmtId="0" fontId="6" fillId="14" borderId="0" xfId="0" applyFont="1" applyFill="1"/>
    <xf numFmtId="0" fontId="6" fillId="14" borderId="0" xfId="0" applyFont="1" applyFill="1" applyAlignment="1">
      <alignment horizontal="center" vertical="center"/>
    </xf>
    <xf numFmtId="0" fontId="6" fillId="14" borderId="0" xfId="0" applyFont="1" applyFill="1" applyAlignment="1">
      <alignment horizontal="center"/>
    </xf>
    <xf numFmtId="0" fontId="6" fillId="16" borderId="20" xfId="0" applyFont="1" applyFill="1" applyBorder="1"/>
    <xf numFmtId="0" fontId="6" fillId="16" borderId="20" xfId="0" applyFont="1" applyFill="1" applyBorder="1" applyAlignment="1">
      <alignment horizontal="center" vertical="center"/>
    </xf>
    <xf numFmtId="0" fontId="6" fillId="16" borderId="20" xfId="0" applyFont="1" applyFill="1" applyBorder="1" applyAlignment="1">
      <alignment horizontal="center"/>
    </xf>
    <xf numFmtId="0" fontId="6" fillId="16" borderId="22" xfId="0" applyFont="1" applyFill="1" applyBorder="1" applyAlignment="1">
      <alignment horizontal="center"/>
    </xf>
    <xf numFmtId="0" fontId="6" fillId="16" borderId="24" xfId="0" applyFont="1" applyFill="1" applyBorder="1" applyAlignment="1">
      <alignment horizontal="center"/>
    </xf>
    <xf numFmtId="0" fontId="16" fillId="2" borderId="0" xfId="0" applyFont="1" applyFill="1"/>
    <xf numFmtId="0" fontId="16" fillId="0" borderId="6" xfId="0" applyFont="1" applyBorder="1" applyAlignment="1">
      <alignment horizontal="center"/>
    </xf>
    <xf numFmtId="3" fontId="16" fillId="2" borderId="0" xfId="0" applyNumberFormat="1" applyFont="1" applyFill="1"/>
    <xf numFmtId="9" fontId="16" fillId="2" borderId="0" xfId="1" applyFont="1" applyFill="1"/>
    <xf numFmtId="0" fontId="16" fillId="0" borderId="6" xfId="0" applyFont="1" applyBorder="1"/>
    <xf numFmtId="0" fontId="16" fillId="2" borderId="0" xfId="0" applyFont="1" applyFill="1" applyAlignment="1">
      <alignment vertical="center" wrapText="1"/>
    </xf>
    <xf numFmtId="3" fontId="16" fillId="0" borderId="6" xfId="0" applyNumberFormat="1" applyFont="1" applyBorder="1"/>
    <xf numFmtId="0" fontId="16" fillId="2" borderId="0" xfId="0" applyFont="1" applyFill="1" applyAlignment="1">
      <alignment horizontal="left" vertical="center"/>
    </xf>
    <xf numFmtId="0" fontId="16" fillId="0" borderId="6" xfId="0" applyFont="1" applyBorder="1" applyAlignment="1">
      <alignment vertical="center"/>
    </xf>
    <xf numFmtId="1" fontId="16" fillId="0" borderId="6" xfId="0" applyNumberFormat="1" applyFont="1" applyBorder="1" applyAlignment="1">
      <alignment vertical="center"/>
    </xf>
    <xf numFmtId="3" fontId="16" fillId="0" borderId="6" xfId="0" applyNumberFormat="1" applyFont="1" applyBorder="1" applyAlignment="1">
      <alignment vertical="center"/>
    </xf>
    <xf numFmtId="0" fontId="16" fillId="0" borderId="6" xfId="0" applyFont="1" applyBorder="1" applyAlignment="1">
      <alignment horizontal="right" vertical="center"/>
    </xf>
    <xf numFmtId="0" fontId="16" fillId="0" borderId="6" xfId="0" applyFont="1" applyBorder="1" applyAlignment="1">
      <alignment horizontal="left" vertical="center"/>
    </xf>
    <xf numFmtId="1" fontId="16" fillId="0" borderId="6" xfId="0" applyNumberFormat="1" applyFont="1" applyBorder="1" applyAlignment="1">
      <alignment horizontal="right" vertical="center"/>
    </xf>
    <xf numFmtId="0" fontId="16" fillId="0" borderId="6" xfId="0" applyFont="1" applyBorder="1" applyAlignment="1">
      <alignment horizontal="left"/>
    </xf>
    <xf numFmtId="0" fontId="16" fillId="0" borderId="6" xfId="0" applyFont="1" applyBorder="1" applyAlignment="1">
      <alignment horizontal="center" vertical="center"/>
    </xf>
    <xf numFmtId="1" fontId="16" fillId="0" borderId="6" xfId="0" applyNumberFormat="1" applyFont="1" applyBorder="1"/>
    <xf numFmtId="3" fontId="16" fillId="0" borderId="6" xfId="0" applyNumberFormat="1" applyFont="1" applyBorder="1" applyAlignment="1">
      <alignment horizontal="right" vertical="center"/>
    </xf>
    <xf numFmtId="0" fontId="0" fillId="0" borderId="56" xfId="0" applyBorder="1"/>
    <xf numFmtId="0" fontId="16" fillId="0" borderId="0" xfId="0" applyFont="1" applyAlignment="1">
      <alignment horizontal="center" vertical="center"/>
    </xf>
    <xf numFmtId="1" fontId="6" fillId="0" borderId="0" xfId="0" applyNumberFormat="1" applyFont="1"/>
    <xf numFmtId="0" fontId="7" fillId="6" borderId="0" xfId="0" applyFont="1" applyFill="1"/>
    <xf numFmtId="0" fontId="7" fillId="6" borderId="0" xfId="0" applyFont="1" applyFill="1" applyAlignment="1">
      <alignment horizontal="left" vertical="center"/>
    </xf>
    <xf numFmtId="0" fontId="7" fillId="6" borderId="0" xfId="0" applyFont="1" applyFill="1" applyAlignment="1">
      <alignment horizontal="center"/>
    </xf>
    <xf numFmtId="0" fontId="9" fillId="6" borderId="0" xfId="0" applyFont="1" applyFill="1"/>
    <xf numFmtId="0" fontId="28" fillId="0" borderId="0" xfId="0" applyFont="1" applyAlignment="1">
      <alignment vertical="center"/>
    </xf>
    <xf numFmtId="3" fontId="6" fillId="0" borderId="0" xfId="0" applyNumberFormat="1" applyFont="1"/>
    <xf numFmtId="3" fontId="6" fillId="0" borderId="21" xfId="0" applyNumberFormat="1" applyFont="1" applyBorder="1"/>
    <xf numFmtId="0" fontId="6" fillId="0" borderId="20" xfId="0" applyFont="1" applyBorder="1" applyAlignment="1">
      <alignment horizontal="right" vertical="center"/>
    </xf>
    <xf numFmtId="0" fontId="6" fillId="6" borderId="0" xfId="0" applyFont="1" applyFill="1" applyAlignment="1">
      <alignment horizontal="center" vertical="center"/>
    </xf>
    <xf numFmtId="9" fontId="6" fillId="0" borderId="0" xfId="0" applyNumberFormat="1" applyFont="1"/>
    <xf numFmtId="9" fontId="7" fillId="0" borderId="0" xfId="1" applyFont="1"/>
    <xf numFmtId="0" fontId="6" fillId="0" borderId="24" xfId="0" applyFont="1" applyBorder="1" applyAlignment="1">
      <alignment horizontal="left"/>
    </xf>
    <xf numFmtId="0" fontId="7" fillId="0" borderId="20" xfId="0" applyFont="1" applyBorder="1" applyAlignment="1">
      <alignment vertical="center"/>
    </xf>
    <xf numFmtId="0" fontId="6" fillId="0" borderId="21" xfId="0" applyFont="1" applyBorder="1" applyAlignment="1">
      <alignment vertical="center" wrapText="1"/>
    </xf>
    <xf numFmtId="1" fontId="6" fillId="0" borderId="21" xfId="1" applyNumberFormat="1" applyFont="1" applyBorder="1" applyAlignment="1">
      <alignment vertical="center"/>
    </xf>
    <xf numFmtId="0" fontId="38" fillId="0" borderId="0" xfId="0" applyFont="1" applyAlignment="1">
      <alignment vertical="center"/>
    </xf>
    <xf numFmtId="0" fontId="41" fillId="30" borderId="60" xfId="18" applyFont="1" applyFill="1" applyBorder="1" applyAlignment="1">
      <alignment horizontal="center" vertical="center" wrapText="1"/>
    </xf>
    <xf numFmtId="0" fontId="41" fillId="0" borderId="61" xfId="0" applyFont="1" applyBorder="1"/>
    <xf numFmtId="2" fontId="42" fillId="0" borderId="62" xfId="1" applyNumberFormat="1" applyFont="1" applyBorder="1" applyAlignment="1">
      <alignment horizontal="center"/>
    </xf>
    <xf numFmtId="179" fontId="0" fillId="0" borderId="0" xfId="0" applyNumberFormat="1"/>
    <xf numFmtId="179" fontId="0" fillId="31" borderId="0" xfId="0" applyNumberFormat="1" applyFill="1"/>
    <xf numFmtId="2" fontId="43" fillId="0" borderId="63" xfId="1" applyNumberFormat="1" applyFont="1" applyBorder="1" applyAlignment="1">
      <alignment horizontal="center"/>
    </xf>
    <xf numFmtId="176" fontId="44" fillId="25" borderId="64" xfId="14" applyNumberFormat="1" applyFont="1" applyFill="1" applyBorder="1" applyAlignment="1">
      <alignment horizontal="left" vertical="center"/>
    </xf>
    <xf numFmtId="2" fontId="45" fillId="25" borderId="65" xfId="1" applyNumberFormat="1" applyFont="1" applyFill="1" applyBorder="1" applyAlignment="1">
      <alignment horizontal="center" vertical="center"/>
    </xf>
    <xf numFmtId="179" fontId="0" fillId="32" borderId="0" xfId="0" applyNumberFormat="1" applyFill="1"/>
    <xf numFmtId="0" fontId="42" fillId="0" borderId="60" xfId="0" applyFont="1" applyBorder="1"/>
    <xf numFmtId="2" fontId="0" fillId="0" borderId="0" xfId="0" applyNumberFormat="1"/>
    <xf numFmtId="0" fontId="35" fillId="2" borderId="0" xfId="3" applyFont="1" applyFill="1" applyAlignment="1">
      <alignment horizontal="right" vertical="center"/>
    </xf>
    <xf numFmtId="0" fontId="33" fillId="2" borderId="0" xfId="3" applyFont="1" applyFill="1" applyAlignment="1">
      <alignment vertical="center"/>
    </xf>
    <xf numFmtId="1" fontId="6" fillId="2" borderId="0" xfId="0" applyNumberFormat="1" applyFont="1" applyFill="1"/>
    <xf numFmtId="9" fontId="58" fillId="2" borderId="0" xfId="1" applyFont="1" applyFill="1"/>
    <xf numFmtId="0" fontId="58" fillId="0" borderId="0" xfId="0" applyFont="1"/>
    <xf numFmtId="3" fontId="58" fillId="0" borderId="0" xfId="0" applyNumberFormat="1" applyFont="1" applyAlignment="1">
      <alignment horizontal="left" vertical="center"/>
    </xf>
    <xf numFmtId="9" fontId="58" fillId="0" borderId="0" xfId="1" applyFont="1"/>
    <xf numFmtId="3" fontId="58" fillId="0" borderId="0" xfId="0" applyNumberFormat="1" applyFont="1"/>
    <xf numFmtId="172" fontId="58" fillId="0" borderId="0" xfId="1" applyNumberFormat="1" applyFont="1"/>
    <xf numFmtId="9" fontId="6" fillId="0" borderId="0" xfId="1" applyFont="1"/>
    <xf numFmtId="3" fontId="9" fillId="0" borderId="32" xfId="0" applyNumberFormat="1" applyFont="1" applyBorder="1" applyAlignment="1">
      <alignment horizontal="center" vertical="center" wrapText="1"/>
    </xf>
    <xf numFmtId="9" fontId="58" fillId="0" borderId="0" xfId="1" applyFont="1" applyAlignment="1">
      <alignment horizontal="center" vertical="center"/>
    </xf>
    <xf numFmtId="0" fontId="59" fillId="0" borderId="80" xfId="0" applyFont="1" applyBorder="1"/>
    <xf numFmtId="0" fontId="16" fillId="0" borderId="6" xfId="0" applyFont="1" applyBorder="1" applyAlignment="1">
      <alignment horizontal="right"/>
    </xf>
    <xf numFmtId="0" fontId="0" fillId="2" borderId="0" xfId="0" applyFill="1"/>
    <xf numFmtId="0" fontId="38" fillId="42" borderId="69" xfId="0" applyFont="1" applyFill="1" applyBorder="1"/>
    <xf numFmtId="0" fontId="38" fillId="42" borderId="70" xfId="0" applyFont="1" applyFill="1" applyBorder="1"/>
    <xf numFmtId="0" fontId="6" fillId="42" borderId="71" xfId="0" applyFont="1" applyFill="1" applyBorder="1"/>
    <xf numFmtId="0" fontId="38" fillId="42" borderId="72" xfId="0" applyFont="1" applyFill="1" applyBorder="1"/>
    <xf numFmtId="0" fontId="38" fillId="42" borderId="0" xfId="0" applyFont="1" applyFill="1"/>
    <xf numFmtId="0" fontId="6" fillId="42" borderId="73" xfId="0" applyFont="1" applyFill="1" applyBorder="1"/>
    <xf numFmtId="0" fontId="38" fillId="42" borderId="74" xfId="0" applyFont="1" applyFill="1" applyBorder="1"/>
    <xf numFmtId="0" fontId="38" fillId="42" borderId="75" xfId="0" applyFont="1" applyFill="1" applyBorder="1" applyAlignment="1">
      <alignment horizontal="center" vertical="center"/>
    </xf>
    <xf numFmtId="0" fontId="38" fillId="42" borderId="75" xfId="0" applyFont="1" applyFill="1" applyBorder="1"/>
    <xf numFmtId="0" fontId="6" fillId="42" borderId="76" xfId="0" applyFont="1" applyFill="1" applyBorder="1"/>
    <xf numFmtId="0" fontId="7" fillId="2" borderId="82" xfId="0" applyFont="1" applyFill="1" applyBorder="1"/>
    <xf numFmtId="0" fontId="63" fillId="2" borderId="83" xfId="28" applyFont="1" applyFill="1" applyBorder="1"/>
    <xf numFmtId="0" fontId="63" fillId="2" borderId="84" xfId="28" applyFont="1" applyFill="1" applyBorder="1"/>
    <xf numFmtId="184" fontId="7" fillId="2" borderId="48" xfId="0" applyNumberFormat="1" applyFont="1" applyFill="1" applyBorder="1"/>
    <xf numFmtId="184" fontId="7" fillId="2" borderId="66" xfId="0" applyNumberFormat="1" applyFont="1" applyFill="1" applyBorder="1"/>
    <xf numFmtId="184" fontId="7" fillId="2" borderId="68" xfId="0" applyNumberFormat="1" applyFont="1" applyFill="1" applyBorder="1"/>
    <xf numFmtId="0" fontId="6" fillId="2" borderId="67" xfId="0" applyFont="1" applyFill="1" applyBorder="1"/>
    <xf numFmtId="0" fontId="62" fillId="2" borderId="0" xfId="2" applyFont="1" applyFill="1" applyAlignment="1">
      <alignment horizontal="left" vertical="center"/>
    </xf>
    <xf numFmtId="0" fontId="63" fillId="2" borderId="69" xfId="28" applyFont="1" applyFill="1" applyBorder="1"/>
    <xf numFmtId="0" fontId="6" fillId="2" borderId="70" xfId="0" applyFont="1" applyFill="1" applyBorder="1"/>
    <xf numFmtId="0" fontId="63" fillId="2" borderId="85" xfId="28" applyFont="1" applyFill="1" applyBorder="1"/>
    <xf numFmtId="184" fontId="7" fillId="2" borderId="49" xfId="0" applyNumberFormat="1" applyFont="1" applyFill="1" applyBorder="1"/>
    <xf numFmtId="184" fontId="7" fillId="2" borderId="69" xfId="0" applyNumberFormat="1" applyFont="1" applyFill="1" applyBorder="1"/>
    <xf numFmtId="184" fontId="7" fillId="2" borderId="70" xfId="0" applyNumberFormat="1" applyFont="1" applyFill="1" applyBorder="1"/>
    <xf numFmtId="0" fontId="6" fillId="2" borderId="71" xfId="0" applyFont="1" applyFill="1" applyBorder="1"/>
    <xf numFmtId="0" fontId="64" fillId="2" borderId="72" xfId="2" applyFont="1" applyFill="1" applyBorder="1"/>
    <xf numFmtId="49" fontId="64" fillId="2" borderId="0" xfId="2" applyNumberFormat="1" applyFont="1" applyFill="1" applyAlignment="1">
      <alignment horizontal="left"/>
    </xf>
    <xf numFmtId="0" fontId="64" fillId="2" borderId="73" xfId="2" applyFont="1" applyFill="1" applyBorder="1"/>
    <xf numFmtId="184" fontId="6" fillId="2" borderId="80" xfId="0" applyNumberFormat="1" applyFont="1" applyFill="1" applyBorder="1"/>
    <xf numFmtId="184" fontId="6" fillId="2" borderId="72" xfId="0" applyNumberFormat="1" applyFont="1" applyFill="1" applyBorder="1"/>
    <xf numFmtId="184" fontId="6" fillId="2" borderId="0" xfId="0" applyNumberFormat="1" applyFont="1" applyFill="1"/>
    <xf numFmtId="184" fontId="0" fillId="2" borderId="0" xfId="0" applyNumberFormat="1" applyFill="1"/>
    <xf numFmtId="0" fontId="6" fillId="2" borderId="73" xfId="0" applyFont="1" applyFill="1" applyBorder="1"/>
    <xf numFmtId="0" fontId="64" fillId="2" borderId="0" xfId="2" applyFont="1" applyFill="1"/>
    <xf numFmtId="185" fontId="6" fillId="2" borderId="0" xfId="0" applyNumberFormat="1" applyFont="1" applyFill="1"/>
    <xf numFmtId="0" fontId="64" fillId="2" borderId="86" xfId="2" applyFont="1" applyFill="1" applyBorder="1"/>
    <xf numFmtId="0" fontId="64" fillId="2" borderId="0" xfId="2" applyFont="1" applyFill="1" applyAlignment="1">
      <alignment horizontal="left"/>
    </xf>
    <xf numFmtId="0" fontId="64" fillId="2" borderId="74" xfId="2" applyFont="1" applyFill="1" applyBorder="1"/>
    <xf numFmtId="0" fontId="64" fillId="2" borderId="75" xfId="2" applyFont="1" applyFill="1" applyBorder="1" applyAlignment="1">
      <alignment horizontal="left"/>
    </xf>
    <xf numFmtId="0" fontId="64" fillId="2" borderId="76" xfId="2" applyFont="1" applyFill="1" applyBorder="1"/>
    <xf numFmtId="184" fontId="6" fillId="2" borderId="74" xfId="0" applyNumberFormat="1" applyFont="1" applyFill="1" applyBorder="1"/>
    <xf numFmtId="184" fontId="0" fillId="2" borderId="75" xfId="0" applyNumberFormat="1" applyFill="1" applyBorder="1"/>
    <xf numFmtId="0" fontId="6" fillId="2" borderId="76" xfId="0" applyFont="1" applyFill="1" applyBorder="1"/>
    <xf numFmtId="0" fontId="63" fillId="2" borderId="87" xfId="28" applyFont="1" applyFill="1" applyBorder="1"/>
    <xf numFmtId="0" fontId="64" fillId="2" borderId="87" xfId="2" applyFont="1" applyFill="1" applyBorder="1"/>
    <xf numFmtId="49" fontId="64" fillId="2" borderId="0" xfId="2" applyNumberFormat="1" applyFont="1" applyFill="1"/>
    <xf numFmtId="0" fontId="64" fillId="2" borderId="88" xfId="2" applyFont="1" applyFill="1" applyBorder="1"/>
    <xf numFmtId="184" fontId="6" fillId="2" borderId="81" xfId="0" applyNumberFormat="1" applyFont="1" applyFill="1" applyBorder="1"/>
    <xf numFmtId="184" fontId="6" fillId="2" borderId="75" xfId="0" applyNumberFormat="1" applyFont="1" applyFill="1" applyBorder="1"/>
    <xf numFmtId="0" fontId="64" fillId="2" borderId="71" xfId="2" applyFont="1" applyFill="1" applyBorder="1"/>
    <xf numFmtId="184" fontId="7" fillId="2" borderId="80" xfId="0" applyNumberFormat="1" applyFont="1" applyFill="1" applyBorder="1"/>
    <xf numFmtId="184" fontId="7" fillId="2" borderId="72" xfId="0" applyNumberFormat="1" applyFont="1" applyFill="1" applyBorder="1"/>
    <xf numFmtId="184" fontId="7" fillId="2" borderId="0" xfId="0" applyNumberFormat="1" applyFont="1" applyFill="1"/>
    <xf numFmtId="49" fontId="64" fillId="2" borderId="75" xfId="2" applyNumberFormat="1" applyFont="1" applyFill="1" applyBorder="1"/>
    <xf numFmtId="0" fontId="7" fillId="2" borderId="73" xfId="0" applyFont="1" applyFill="1" applyBorder="1"/>
    <xf numFmtId="0" fontId="63" fillId="2" borderId="72" xfId="28" applyFont="1" applyFill="1" applyBorder="1"/>
    <xf numFmtId="49" fontId="65" fillId="2" borderId="0" xfId="28" applyNumberFormat="1" applyFont="1" applyFill="1"/>
    <xf numFmtId="49" fontId="65" fillId="2" borderId="70" xfId="28" applyNumberFormat="1" applyFont="1" applyFill="1" applyBorder="1"/>
    <xf numFmtId="0" fontId="65" fillId="2" borderId="0" xfId="28" applyFont="1" applyFill="1"/>
    <xf numFmtId="0" fontId="64" fillId="2" borderId="89" xfId="2" applyFont="1" applyFill="1" applyBorder="1"/>
    <xf numFmtId="184" fontId="7" fillId="2" borderId="90" xfId="0" applyNumberFormat="1" applyFont="1" applyFill="1" applyBorder="1"/>
    <xf numFmtId="184" fontId="6" fillId="2" borderId="91" xfId="0" applyNumberFormat="1" applyFont="1" applyFill="1" applyBorder="1"/>
    <xf numFmtId="0" fontId="64" fillId="2" borderId="70" xfId="2" applyFont="1" applyFill="1" applyBorder="1"/>
    <xf numFmtId="0" fontId="64" fillId="2" borderId="75" xfId="2" applyFont="1" applyFill="1" applyBorder="1"/>
    <xf numFmtId="0" fontId="69" fillId="2" borderId="0" xfId="0" applyFont="1" applyFill="1" applyAlignment="1">
      <alignment vertical="center"/>
    </xf>
    <xf numFmtId="0" fontId="69" fillId="2" borderId="0" xfId="2" applyFont="1" applyFill="1" applyAlignment="1">
      <alignment horizontal="left" vertical="center"/>
    </xf>
    <xf numFmtId="0" fontId="62" fillId="2" borderId="0" xfId="2" applyFont="1" applyFill="1"/>
    <xf numFmtId="0" fontId="70" fillId="2" borderId="0" xfId="2" applyFont="1" applyFill="1" applyAlignment="1">
      <alignment horizontal="left" vertical="center"/>
    </xf>
    <xf numFmtId="173" fontId="71" fillId="2" borderId="0" xfId="2" applyNumberFormat="1" applyFont="1" applyFill="1" applyAlignment="1">
      <alignment horizontal="right" vertical="center"/>
    </xf>
    <xf numFmtId="0" fontId="62" fillId="2" borderId="0" xfId="0" applyFont="1" applyFill="1" applyAlignment="1">
      <alignment vertical="center"/>
    </xf>
    <xf numFmtId="0" fontId="64" fillId="4" borderId="72" xfId="2" applyFont="1" applyFill="1" applyBorder="1"/>
    <xf numFmtId="49" fontId="64" fillId="4" borderId="0" xfId="2" applyNumberFormat="1" applyFont="1" applyFill="1"/>
    <xf numFmtId="0" fontId="64" fillId="4" borderId="73" xfId="2" applyFont="1" applyFill="1" applyBorder="1"/>
    <xf numFmtId="184" fontId="6" fillId="4" borderId="80" xfId="0" applyNumberFormat="1" applyFont="1" applyFill="1" applyBorder="1"/>
    <xf numFmtId="184" fontId="6" fillId="4" borderId="72" xfId="0" applyNumberFormat="1" applyFont="1" applyFill="1" applyBorder="1"/>
    <xf numFmtId="184" fontId="6" fillId="4" borderId="0" xfId="0" applyNumberFormat="1" applyFont="1" applyFill="1"/>
    <xf numFmtId="184" fontId="0" fillId="4" borderId="0" xfId="0" applyNumberFormat="1" applyFill="1"/>
    <xf numFmtId="0" fontId="6" fillId="4" borderId="73" xfId="0" applyFont="1" applyFill="1" applyBorder="1"/>
    <xf numFmtId="0" fontId="62" fillId="4" borderId="0" xfId="2" applyFont="1" applyFill="1" applyAlignment="1">
      <alignment horizontal="left" vertical="center"/>
    </xf>
    <xf numFmtId="0" fontId="64" fillId="4" borderId="0" xfId="2" applyFont="1" applyFill="1"/>
    <xf numFmtId="0" fontId="6" fillId="4" borderId="0" xfId="0" applyFont="1" applyFill="1"/>
    <xf numFmtId="0" fontId="5" fillId="2" borderId="0" xfId="0" applyFont="1" applyFill="1"/>
    <xf numFmtId="0" fontId="5" fillId="4" borderId="0" xfId="0" applyFont="1" applyFill="1"/>
    <xf numFmtId="9" fontId="6" fillId="2" borderId="0" xfId="1" applyFont="1" applyFill="1"/>
    <xf numFmtId="0" fontId="20" fillId="0" borderId="0" xfId="0" applyFont="1" applyAlignment="1">
      <alignment horizontal="center" vertical="center"/>
    </xf>
    <xf numFmtId="0" fontId="72" fillId="0" borderId="0" xfId="0" applyFont="1" applyAlignment="1">
      <alignment wrapText="1"/>
    </xf>
    <xf numFmtId="0" fontId="80" fillId="0" borderId="0" xfId="0" applyFont="1"/>
    <xf numFmtId="0" fontId="80" fillId="2" borderId="0" xfId="0" applyFont="1" applyFill="1"/>
    <xf numFmtId="0" fontId="81" fillId="2" borderId="0" xfId="0" applyFont="1" applyFill="1"/>
    <xf numFmtId="0" fontId="6" fillId="0" borderId="20" xfId="0" applyFont="1" applyBorder="1" applyAlignment="1">
      <alignment horizontal="center" vertical="center"/>
    </xf>
    <xf numFmtId="0" fontId="6" fillId="0" borderId="20" xfId="0" applyFont="1" applyFill="1" applyBorder="1" applyAlignment="1">
      <alignment horizontal="center" vertical="center"/>
    </xf>
    <xf numFmtId="3" fontId="6" fillId="0" borderId="20" xfId="0" applyNumberFormat="1" applyFont="1" applyFill="1" applyBorder="1"/>
    <xf numFmtId="0" fontId="6" fillId="0" borderId="20" xfId="0" applyFont="1" applyFill="1" applyBorder="1"/>
    <xf numFmtId="0" fontId="0" fillId="0" borderId="0" xfId="0" applyFill="1"/>
    <xf numFmtId="0" fontId="7" fillId="0" borderId="0" xfId="0" applyFont="1" applyAlignment="1">
      <alignment horizontal="center" vertical="center"/>
    </xf>
    <xf numFmtId="0" fontId="0" fillId="0" borderId="0" xfId="0" applyAlignment="1">
      <alignment horizontal="center" vertical="center"/>
    </xf>
    <xf numFmtId="0" fontId="45" fillId="0" borderId="0" xfId="0" applyFont="1" applyFill="1" applyBorder="1" applyAlignment="1">
      <alignment horizontal="center" vertical="center"/>
    </xf>
    <xf numFmtId="0" fontId="6" fillId="0" borderId="20" xfId="0" applyFont="1" applyBorder="1" applyAlignment="1">
      <alignment horizontal="left" wrapText="1"/>
    </xf>
    <xf numFmtId="0" fontId="10" fillId="8" borderId="19" xfId="8" applyFont="1" applyFill="1" applyBorder="1" applyAlignment="1">
      <alignment horizontal="center" vertical="center" wrapText="1"/>
    </xf>
    <xf numFmtId="0" fontId="7" fillId="0" borderId="20" xfId="0" applyFont="1" applyBorder="1" applyAlignment="1">
      <alignment horizontal="center"/>
    </xf>
    <xf numFmtId="0" fontId="6" fillId="13" borderId="20" xfId="0" applyFont="1" applyFill="1" applyBorder="1" applyAlignment="1">
      <alignment horizontal="center"/>
    </xf>
    <xf numFmtId="0" fontId="6" fillId="0" borderId="20" xfId="0" applyFont="1" applyBorder="1" applyAlignment="1">
      <alignment horizontal="center"/>
    </xf>
    <xf numFmtId="0" fontId="7" fillId="0" borderId="20" xfId="0" applyFont="1" applyBorder="1" applyAlignment="1">
      <alignment horizontal="center" vertical="center"/>
    </xf>
    <xf numFmtId="0" fontId="10" fillId="7" borderId="5" xfId="8" applyFont="1" applyFill="1" applyBorder="1" applyAlignment="1">
      <alignment horizontal="center" vertical="center" wrapText="1"/>
    </xf>
    <xf numFmtId="0" fontId="7" fillId="0" borderId="20" xfId="0" applyFont="1" applyBorder="1" applyAlignment="1">
      <alignment horizontal="center" vertical="center" wrapText="1"/>
    </xf>
    <xf numFmtId="0" fontId="6" fillId="0" borderId="20" xfId="0" applyFont="1" applyBorder="1" applyAlignment="1">
      <alignment horizontal="center" vertical="center"/>
    </xf>
    <xf numFmtId="3" fontId="5" fillId="0" borderId="20" xfId="9" applyNumberFormat="1" applyFont="1" applyFill="1" applyBorder="1" applyAlignment="1">
      <alignment horizontal="center" vertical="center"/>
    </xf>
    <xf numFmtId="3" fontId="5" fillId="0" borderId="20" xfId="0" applyNumberFormat="1" applyFont="1" applyFill="1" applyBorder="1" applyAlignment="1">
      <alignment horizontal="center" vertical="center" wrapText="1"/>
    </xf>
    <xf numFmtId="3" fontId="5" fillId="0" borderId="20" xfId="0" applyNumberFormat="1" applyFont="1" applyFill="1" applyBorder="1"/>
    <xf numFmtId="0" fontId="5" fillId="0" borderId="20" xfId="0" applyFont="1" applyFill="1" applyBorder="1" applyAlignment="1">
      <alignment vertical="center" wrapText="1"/>
    </xf>
    <xf numFmtId="0" fontId="6" fillId="0" borderId="1" xfId="0" applyFont="1" applyBorder="1"/>
    <xf numFmtId="0" fontId="7" fillId="0" borderId="1" xfId="0" applyFont="1" applyBorder="1"/>
    <xf numFmtId="3" fontId="5" fillId="16" borderId="20" xfId="9" applyNumberFormat="1" applyFont="1" applyFill="1" applyBorder="1" applyAlignment="1">
      <alignment horizontal="center" vertical="center"/>
    </xf>
    <xf numFmtId="3" fontId="5" fillId="0" borderId="20" xfId="9" applyNumberFormat="1" applyFont="1" applyBorder="1" applyAlignment="1">
      <alignment horizontal="center" vertical="center"/>
    </xf>
    <xf numFmtId="9" fontId="8" fillId="0" borderId="20" xfId="1" applyFont="1" applyBorder="1" applyAlignment="1">
      <alignment vertical="center"/>
    </xf>
    <xf numFmtId="0" fontId="8" fillId="0" borderId="20" xfId="0" applyFont="1" applyBorder="1" applyAlignment="1">
      <alignment vertical="center"/>
    </xf>
    <xf numFmtId="3" fontId="8" fillId="0" borderId="20" xfId="0" applyNumberFormat="1" applyFont="1" applyBorder="1" applyAlignment="1">
      <alignment vertical="center"/>
    </xf>
    <xf numFmtId="0" fontId="7" fillId="13" borderId="20" xfId="0" applyFont="1" applyFill="1" applyBorder="1" applyAlignment="1">
      <alignment horizontal="center" vertical="center"/>
    </xf>
    <xf numFmtId="3" fontId="7" fillId="0" borderId="20" xfId="0" applyNumberFormat="1" applyFont="1" applyBorder="1" applyAlignment="1">
      <alignment horizontal="center" vertical="center"/>
    </xf>
    <xf numFmtId="3" fontId="6" fillId="13" borderId="20" xfId="0" applyNumberFormat="1" applyFont="1" applyFill="1" applyBorder="1" applyAlignment="1">
      <alignment horizontal="center" vertical="center"/>
    </xf>
    <xf numFmtId="3" fontId="7" fillId="0" borderId="22" xfId="0" applyNumberFormat="1" applyFont="1" applyBorder="1" applyAlignment="1">
      <alignment vertical="center"/>
    </xf>
    <xf numFmtId="3" fontId="7" fillId="0" borderId="23" xfId="0" applyNumberFormat="1" applyFont="1" applyBorder="1" applyAlignment="1">
      <alignment vertical="center"/>
    </xf>
    <xf numFmtId="3" fontId="7" fillId="0" borderId="24" xfId="0" applyNumberFormat="1" applyFont="1" applyBorder="1" applyAlignment="1">
      <alignment vertical="center"/>
    </xf>
    <xf numFmtId="3" fontId="5" fillId="13" borderId="20" xfId="9" applyNumberFormat="1" applyFont="1" applyFill="1" applyBorder="1" applyAlignment="1">
      <alignment horizontal="center" vertical="center"/>
    </xf>
    <xf numFmtId="3" fontId="5" fillId="0" borderId="20" xfId="0" applyNumberFormat="1" applyFont="1" applyBorder="1" applyAlignment="1">
      <alignment horizontal="center" vertical="center" wrapText="1"/>
    </xf>
    <xf numFmtId="3" fontId="6" fillId="0" borderId="22" xfId="0" applyNumberFormat="1" applyFont="1" applyBorder="1" applyAlignment="1">
      <alignment vertical="center"/>
    </xf>
    <xf numFmtId="3" fontId="6" fillId="0" borderId="23" xfId="0" applyNumberFormat="1" applyFont="1" applyBorder="1" applyAlignment="1">
      <alignment vertical="center"/>
    </xf>
    <xf numFmtId="3" fontId="6" fillId="0" borderId="24" xfId="0" applyNumberFormat="1" applyFont="1" applyBorder="1" applyAlignment="1">
      <alignment vertical="center"/>
    </xf>
    <xf numFmtId="171" fontId="6" fillId="0" borderId="20" xfId="0" applyNumberFormat="1" applyFont="1" applyBorder="1" applyAlignment="1">
      <alignment horizontal="center" vertical="center"/>
    </xf>
    <xf numFmtId="3" fontId="5" fillId="13" borderId="20" xfId="0" applyNumberFormat="1" applyFont="1" applyFill="1" applyBorder="1" applyAlignment="1">
      <alignment horizontal="center" vertical="center" wrapText="1"/>
    </xf>
    <xf numFmtId="171" fontId="5" fillId="0" borderId="20" xfId="9" applyNumberFormat="1" applyFont="1" applyBorder="1" applyAlignment="1">
      <alignment horizontal="center" vertical="center"/>
    </xf>
    <xf numFmtId="3" fontId="9" fillId="13" borderId="20" xfId="9" applyNumberFormat="1" applyFont="1" applyFill="1" applyBorder="1" applyAlignment="1">
      <alignment horizontal="center" vertical="center"/>
    </xf>
    <xf numFmtId="3" fontId="7" fillId="0" borderId="20" xfId="0" applyNumberFormat="1" applyFont="1" applyBorder="1" applyAlignment="1">
      <alignment horizontal="center"/>
    </xf>
    <xf numFmtId="3" fontId="6" fillId="13" borderId="20" xfId="0" applyNumberFormat="1" applyFont="1" applyFill="1" applyBorder="1" applyAlignment="1">
      <alignment horizontal="center"/>
    </xf>
    <xf numFmtId="0" fontId="7" fillId="0" borderId="22" xfId="0" applyFont="1" applyBorder="1" applyAlignment="1">
      <alignment vertical="center"/>
    </xf>
    <xf numFmtId="0" fontId="7" fillId="0" borderId="23" xfId="0" applyFont="1" applyBorder="1" applyAlignment="1">
      <alignment vertical="center"/>
    </xf>
    <xf numFmtId="0" fontId="7" fillId="0" borderId="24" xfId="0" applyFont="1" applyBorder="1" applyAlignment="1">
      <alignment vertical="center"/>
    </xf>
    <xf numFmtId="9" fontId="6" fillId="0" borderId="0" xfId="1" applyFont="1" applyAlignment="1">
      <alignment horizontal="left"/>
    </xf>
    <xf numFmtId="3" fontId="6" fillId="0" borderId="23" xfId="0" applyNumberFormat="1" applyFont="1" applyBorder="1" applyAlignment="1">
      <alignment horizontal="left" vertical="center"/>
    </xf>
    <xf numFmtId="3" fontId="6" fillId="0" borderId="24" xfId="0" applyNumberFormat="1" applyFont="1" applyBorder="1" applyAlignment="1">
      <alignment horizontal="left" vertical="center"/>
    </xf>
    <xf numFmtId="3" fontId="9" fillId="0" borderId="0" xfId="0" applyNumberFormat="1" applyFont="1" applyAlignment="1">
      <alignment horizontal="left" vertical="center"/>
    </xf>
    <xf numFmtId="3" fontId="9" fillId="0" borderId="0" xfId="9" applyNumberFormat="1" applyFont="1" applyAlignment="1">
      <alignment horizontal="center" vertical="center"/>
    </xf>
    <xf numFmtId="3" fontId="9" fillId="0" borderId="0" xfId="0" applyNumberFormat="1" applyFont="1" applyAlignment="1">
      <alignment horizontal="center" vertical="center" wrapText="1"/>
    </xf>
    <xf numFmtId="171" fontId="6" fillId="0" borderId="0" xfId="0" applyNumberFormat="1" applyFont="1"/>
    <xf numFmtId="9" fontId="6" fillId="0" borderId="0" xfId="1" applyFont="1" applyAlignment="1">
      <alignment horizontal="right"/>
    </xf>
    <xf numFmtId="0" fontId="10" fillId="0" borderId="0" xfId="8" applyFont="1" applyAlignment="1">
      <alignment horizontal="center" vertical="center" wrapText="1"/>
    </xf>
    <xf numFmtId="0" fontId="10" fillId="15" borderId="5" xfId="8" applyFont="1" applyFill="1" applyBorder="1" applyAlignment="1">
      <alignment horizontal="center" vertical="center" wrapText="1"/>
    </xf>
    <xf numFmtId="3" fontId="5" fillId="0" borderId="0" xfId="0" applyNumberFormat="1" applyFont="1" applyAlignment="1">
      <alignment horizontal="center" vertical="center" wrapText="1"/>
    </xf>
    <xf numFmtId="0" fontId="6" fillId="0" borderId="0" xfId="0" applyFont="1" applyAlignment="1">
      <alignment vertical="center" wrapText="1"/>
    </xf>
    <xf numFmtId="3" fontId="5" fillId="0" borderId="0" xfId="0" applyNumberFormat="1" applyFont="1" applyAlignment="1">
      <alignment horizontal="center" vertical="center"/>
    </xf>
    <xf numFmtId="0" fontId="7" fillId="0" borderId="96" xfId="0" applyFont="1" applyBorder="1"/>
    <xf numFmtId="0" fontId="8" fillId="0" borderId="20" xfId="0" applyFont="1" applyBorder="1" applyAlignment="1">
      <alignment vertical="center" wrapText="1"/>
    </xf>
    <xf numFmtId="3" fontId="5" fillId="0" borderId="0" xfId="9" applyNumberFormat="1" applyFont="1" applyAlignment="1">
      <alignment horizontal="center" vertical="center"/>
    </xf>
    <xf numFmtId="9" fontId="5" fillId="0" borderId="0" xfId="1" applyFont="1" applyAlignment="1">
      <alignment horizontal="center" vertical="center" wrapText="1"/>
    </xf>
    <xf numFmtId="3" fontId="5" fillId="0" borderId="20" xfId="0" applyNumberFormat="1" applyFont="1" applyFill="1" applyBorder="1" applyAlignment="1">
      <alignment horizontal="center" vertical="center"/>
    </xf>
    <xf numFmtId="0" fontId="8" fillId="0" borderId="0" xfId="0" applyFont="1" applyAlignment="1">
      <alignment horizontal="center" vertical="center" wrapText="1"/>
    </xf>
    <xf numFmtId="9" fontId="5" fillId="0" borderId="20" xfId="1" applyFont="1" applyBorder="1" applyAlignment="1">
      <alignment horizontal="center" vertical="center"/>
    </xf>
    <xf numFmtId="3" fontId="9" fillId="0" borderId="20" xfId="0" applyNumberFormat="1" applyFont="1" applyBorder="1" applyAlignment="1">
      <alignment vertical="center"/>
    </xf>
    <xf numFmtId="3" fontId="9" fillId="0" borderId="0" xfId="0" applyNumberFormat="1" applyFont="1" applyAlignment="1">
      <alignment vertical="center"/>
    </xf>
    <xf numFmtId="9" fontId="5" fillId="0" borderId="0" xfId="1" applyFont="1" applyAlignment="1">
      <alignment horizontal="center" vertical="center"/>
    </xf>
    <xf numFmtId="0" fontId="6" fillId="0" borderId="0" xfId="0" applyFont="1" applyFill="1" applyBorder="1"/>
    <xf numFmtId="0" fontId="6" fillId="0" borderId="0" xfId="0" applyFont="1" applyFill="1" applyBorder="1" applyAlignment="1">
      <alignment horizontal="center" vertical="center"/>
    </xf>
    <xf numFmtId="0" fontId="7" fillId="0" borderId="1" xfId="0" applyFont="1" applyBorder="1" applyAlignment="1">
      <alignment horizontal="left"/>
    </xf>
    <xf numFmtId="0" fontId="5" fillId="0" borderId="20" xfId="14" applyNumberFormat="1" applyFont="1" applyBorder="1" applyAlignment="1">
      <alignment horizontal="center" vertical="center"/>
    </xf>
    <xf numFmtId="0" fontId="7" fillId="14" borderId="1" xfId="0" applyFont="1" applyFill="1" applyBorder="1"/>
    <xf numFmtId="0" fontId="7" fillId="14" borderId="0" xfId="0" applyFont="1" applyFill="1" applyAlignment="1">
      <alignment horizontal="center" vertical="center"/>
    </xf>
    <xf numFmtId="3" fontId="6" fillId="13" borderId="21" xfId="0" applyNumberFormat="1" applyFont="1" applyFill="1" applyBorder="1" applyAlignment="1">
      <alignment vertical="center"/>
    </xf>
    <xf numFmtId="3" fontId="6" fillId="13" borderId="21" xfId="0" applyNumberFormat="1" applyFont="1" applyFill="1" applyBorder="1"/>
    <xf numFmtId="1" fontId="6" fillId="13" borderId="21" xfId="1" applyNumberFormat="1" applyFont="1" applyFill="1" applyBorder="1" applyAlignment="1">
      <alignment vertical="center"/>
    </xf>
    <xf numFmtId="3" fontId="6" fillId="0" borderId="21" xfId="0" applyNumberFormat="1" applyFont="1" applyBorder="1" applyAlignment="1">
      <alignment vertical="center"/>
    </xf>
    <xf numFmtId="0" fontId="7" fillId="17" borderId="0" xfId="0" applyFont="1" applyFill="1"/>
    <xf numFmtId="0" fontId="6" fillId="17" borderId="0" xfId="0" applyFont="1" applyFill="1"/>
    <xf numFmtId="0" fontId="6" fillId="0" borderId="20" xfId="0" applyFont="1" applyBorder="1" applyAlignment="1">
      <alignment horizontal="left" vertical="center" wrapText="1"/>
    </xf>
    <xf numFmtId="0" fontId="7" fillId="0" borderId="1" xfId="0" applyFont="1" applyFill="1" applyBorder="1"/>
    <xf numFmtId="0" fontId="6" fillId="0" borderId="0" xfId="0" applyFont="1" applyFill="1"/>
    <xf numFmtId="0" fontId="5" fillId="0" borderId="20" xfId="0" applyFont="1" applyFill="1" applyBorder="1"/>
    <xf numFmtId="9" fontId="5" fillId="0" borderId="0" xfId="1" applyFont="1" applyFill="1"/>
    <xf numFmtId="3" fontId="5" fillId="0" borderId="0" xfId="0" applyNumberFormat="1" applyFont="1" applyFill="1" applyBorder="1" applyAlignment="1">
      <alignment horizontal="center" vertical="center" wrapText="1"/>
    </xf>
    <xf numFmtId="0" fontId="7" fillId="0" borderId="0" xfId="0" applyFont="1" applyFill="1"/>
    <xf numFmtId="0" fontId="25" fillId="0" borderId="0" xfId="0" applyFont="1" applyFill="1" applyBorder="1" applyAlignment="1">
      <alignment vertical="center"/>
    </xf>
    <xf numFmtId="3" fontId="9" fillId="0" borderId="0" xfId="9" applyNumberFormat="1" applyFont="1" applyFill="1" applyBorder="1" applyAlignment="1">
      <alignment horizontal="center" vertical="center"/>
    </xf>
    <xf numFmtId="3" fontId="5" fillId="0" borderId="0" xfId="9" applyNumberFormat="1" applyFont="1" applyFill="1" applyBorder="1" applyAlignment="1">
      <alignment horizontal="center" vertical="center"/>
    </xf>
    <xf numFmtId="3" fontId="6" fillId="0" borderId="0" xfId="0" applyNumberFormat="1" applyFont="1" applyFill="1" applyBorder="1" applyAlignment="1">
      <alignment horizontal="center" vertical="center"/>
    </xf>
    <xf numFmtId="0" fontId="6" fillId="0" borderId="20" xfId="0" applyFont="1" applyBorder="1" applyAlignment="1">
      <alignment horizontal="center" vertical="center"/>
    </xf>
    <xf numFmtId="0" fontId="6" fillId="0" borderId="0" xfId="0" applyFont="1" applyFill="1" applyAlignment="1">
      <alignment horizontal="center" vertical="center"/>
    </xf>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3" fontId="5" fillId="0" borderId="24" xfId="0" applyNumberFormat="1" applyFont="1" applyBorder="1" applyAlignment="1">
      <alignment horizontal="center" vertical="center"/>
    </xf>
    <xf numFmtId="3" fontId="9" fillId="0" borderId="24"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7" fillId="0" borderId="20" xfId="0" applyFont="1" applyBorder="1" applyAlignment="1">
      <alignment horizontal="center" vertical="center" wrapText="1"/>
    </xf>
    <xf numFmtId="0" fontId="6" fillId="0" borderId="20" xfId="0" applyFont="1" applyBorder="1" applyAlignment="1">
      <alignment horizontal="center" vertical="center"/>
    </xf>
    <xf numFmtId="0" fontId="6" fillId="0" borderId="0" xfId="0" applyFont="1" applyAlignment="1">
      <alignment horizontal="left" vertical="center"/>
    </xf>
    <xf numFmtId="0" fontId="25" fillId="0" borderId="20" xfId="0" applyFont="1" applyBorder="1" applyAlignment="1">
      <alignment horizontal="center" vertical="center"/>
    </xf>
    <xf numFmtId="0" fontId="8" fillId="0" borderId="20" xfId="0" applyFont="1" applyBorder="1" applyAlignment="1">
      <alignment horizontal="center" vertical="center"/>
    </xf>
    <xf numFmtId="0" fontId="26" fillId="0" borderId="0" xfId="0" applyFont="1" applyAlignment="1">
      <alignment horizontal="center" vertical="center"/>
    </xf>
    <xf numFmtId="3" fontId="5" fillId="16" borderId="20" xfId="0" applyNumberFormat="1" applyFont="1" applyFill="1" applyBorder="1" applyAlignment="1">
      <alignment horizontal="center" vertical="center"/>
    </xf>
    <xf numFmtId="0" fontId="5" fillId="0" borderId="0" xfId="0" applyFont="1" applyAlignment="1">
      <alignment horizontal="center" vertical="center"/>
    </xf>
    <xf numFmtId="9" fontId="6" fillId="0" borderId="0" xfId="1" applyFont="1" applyAlignment="1">
      <alignment horizontal="center" vertical="center"/>
    </xf>
    <xf numFmtId="0" fontId="9" fillId="0" borderId="0" xfId="0" applyFont="1" applyAlignment="1">
      <alignment horizontal="center" vertical="center"/>
    </xf>
    <xf numFmtId="9" fontId="7" fillId="0" borderId="20" xfId="1" applyFont="1" applyBorder="1" applyAlignment="1">
      <alignment horizontal="center" vertical="center"/>
    </xf>
    <xf numFmtId="3" fontId="5" fillId="0" borderId="24" xfId="0" applyNumberFormat="1" applyFont="1" applyBorder="1" applyAlignment="1">
      <alignment horizontal="left"/>
    </xf>
    <xf numFmtId="0" fontId="6" fillId="0" borderId="0" xfId="0" applyFont="1" applyFill="1" applyBorder="1" applyAlignment="1">
      <alignment horizontal="left" vertical="center"/>
    </xf>
    <xf numFmtId="0" fontId="80" fillId="2" borderId="111" xfId="0" applyFont="1" applyFill="1" applyBorder="1"/>
    <xf numFmtId="0" fontId="80" fillId="2" borderId="108" xfId="0" applyFont="1" applyFill="1" applyBorder="1"/>
    <xf numFmtId="0" fontId="81" fillId="2" borderId="108" xfId="0" applyFont="1" applyFill="1" applyBorder="1"/>
    <xf numFmtId="0" fontId="80" fillId="2" borderId="96" xfId="0" applyFont="1" applyFill="1" applyBorder="1"/>
    <xf numFmtId="0" fontId="81" fillId="2" borderId="96" xfId="0" applyFont="1" applyFill="1" applyBorder="1"/>
    <xf numFmtId="0" fontId="80" fillId="2" borderId="0" xfId="0" applyFont="1" applyFill="1" applyAlignment="1">
      <alignment horizontal="center"/>
    </xf>
    <xf numFmtId="0" fontId="90" fillId="0" borderId="0" xfId="0" applyFont="1"/>
    <xf numFmtId="0" fontId="91" fillId="0" borderId="0" xfId="0" applyFont="1"/>
    <xf numFmtId="3" fontId="2" fillId="2" borderId="6" xfId="0" applyNumberFormat="1" applyFont="1" applyFill="1" applyBorder="1" applyAlignment="1">
      <alignment horizontal="center" vertical="center" wrapText="1"/>
    </xf>
    <xf numFmtId="0" fontId="81" fillId="0" borderId="96" xfId="0" applyFont="1" applyBorder="1"/>
    <xf numFmtId="0" fontId="80" fillId="3" borderId="6" xfId="0" applyFont="1" applyFill="1" applyBorder="1" applyAlignment="1">
      <alignment horizontal="center" vertical="center"/>
    </xf>
    <xf numFmtId="3" fontId="80" fillId="3" borderId="6" xfId="0" applyNumberFormat="1" applyFont="1" applyFill="1" applyBorder="1" applyAlignment="1">
      <alignment horizontal="right" vertical="center"/>
    </xf>
    <xf numFmtId="0" fontId="2" fillId="0" borderId="6" xfId="0" applyFont="1" applyBorder="1" applyAlignment="1">
      <alignment vertical="center"/>
    </xf>
    <xf numFmtId="3" fontId="2" fillId="0" borderId="6" xfId="0" applyNumberFormat="1" applyFont="1" applyBorder="1" applyAlignment="1">
      <alignment horizontal="right" vertical="center" wrapText="1"/>
    </xf>
    <xf numFmtId="3" fontId="80" fillId="0" borderId="0" xfId="0" applyNumberFormat="1" applyFont="1"/>
    <xf numFmtId="0" fontId="83" fillId="0" borderId="6" xfId="0" applyFont="1" applyBorder="1" applyAlignment="1">
      <alignment vertical="center"/>
    </xf>
    <xf numFmtId="3" fontId="2" fillId="2" borderId="6" xfId="0" applyNumberFormat="1" applyFont="1" applyFill="1" applyBorder="1" applyAlignment="1">
      <alignment horizontal="right" vertical="center" wrapText="1"/>
    </xf>
    <xf numFmtId="0" fontId="83" fillId="0" borderId="35" xfId="0" applyFont="1" applyBorder="1" applyAlignment="1">
      <alignment vertical="center"/>
    </xf>
    <xf numFmtId="0" fontId="80" fillId="0" borderId="6" xfId="0" applyFont="1" applyBorder="1" applyAlignment="1">
      <alignment horizontal="center"/>
    </xf>
    <xf numFmtId="3" fontId="80" fillId="0" borderId="6" xfId="0" applyNumberFormat="1" applyFont="1" applyBorder="1" applyAlignment="1">
      <alignment horizontal="right"/>
    </xf>
    <xf numFmtId="0" fontId="2" fillId="0" borderId="35" xfId="0" applyFont="1" applyBorder="1" applyAlignment="1">
      <alignment horizontal="left" vertical="center"/>
    </xf>
    <xf numFmtId="0" fontId="83" fillId="0" borderId="6" xfId="0" applyFont="1" applyBorder="1" applyAlignment="1">
      <alignment horizontal="left" vertical="center" indent="1"/>
    </xf>
    <xf numFmtId="3" fontId="2" fillId="0" borderId="6" xfId="9" applyNumberFormat="1" applyBorder="1" applyAlignment="1">
      <alignment horizontal="right" vertical="center"/>
    </xf>
    <xf numFmtId="0" fontId="80" fillId="3" borderId="6" xfId="0" applyFont="1" applyFill="1" applyBorder="1" applyAlignment="1">
      <alignment horizontal="center"/>
    </xf>
    <xf numFmtId="3" fontId="80" fillId="3" borderId="6" xfId="0" applyNumberFormat="1" applyFont="1" applyFill="1" applyBorder="1" applyAlignment="1">
      <alignment horizontal="right"/>
    </xf>
    <xf numFmtId="0" fontId="83" fillId="2" borderId="0" xfId="0" applyFont="1" applyFill="1" applyAlignment="1">
      <alignment vertical="center"/>
    </xf>
    <xf numFmtId="3" fontId="84" fillId="2" borderId="0" xfId="0" applyNumberFormat="1" applyFont="1" applyFill="1" applyAlignment="1">
      <alignment horizontal="left" vertical="center"/>
    </xf>
    <xf numFmtId="3" fontId="84" fillId="2" borderId="0" xfId="9" applyNumberFormat="1" applyFont="1" applyFill="1" applyAlignment="1">
      <alignment horizontal="center" vertical="center"/>
    </xf>
    <xf numFmtId="3" fontId="84" fillId="2" borderId="0" xfId="0" applyNumberFormat="1" applyFont="1" applyFill="1" applyAlignment="1">
      <alignment horizontal="center" vertical="center" wrapText="1"/>
    </xf>
    <xf numFmtId="1" fontId="80" fillId="2" borderId="0" xfId="0" applyNumberFormat="1" applyFont="1" applyFill="1"/>
    <xf numFmtId="173" fontId="80" fillId="2" borderId="0" xfId="0" applyNumberFormat="1" applyFont="1" applyFill="1"/>
    <xf numFmtId="0" fontId="81" fillId="0" borderId="0" xfId="0" applyFont="1"/>
    <xf numFmtId="0" fontId="93" fillId="0" borderId="0" xfId="0" applyFont="1"/>
    <xf numFmtId="0" fontId="82" fillId="18" borderId="49" xfId="8" applyFont="1" applyFill="1" applyBorder="1" applyAlignment="1">
      <alignment horizontal="center" vertical="center" wrapText="1"/>
    </xf>
    <xf numFmtId="0" fontId="81" fillId="2" borderId="6" xfId="0" applyFont="1" applyFill="1" applyBorder="1" applyAlignment="1">
      <alignment horizontal="center" vertical="center"/>
    </xf>
    <xf numFmtId="0" fontId="81" fillId="2" borderId="6" xfId="0" applyFont="1" applyFill="1" applyBorder="1" applyAlignment="1">
      <alignment horizontal="center" vertical="center" wrapText="1"/>
    </xf>
    <xf numFmtId="9" fontId="80" fillId="2" borderId="0" xfId="10" applyFont="1" applyFill="1" applyAlignment="1">
      <alignment horizontal="right"/>
    </xf>
    <xf numFmtId="9" fontId="80" fillId="0" borderId="0" xfId="10" applyFont="1" applyAlignment="1">
      <alignment horizontal="right"/>
    </xf>
    <xf numFmtId="0" fontId="80" fillId="0" borderId="0" xfId="0" applyFont="1" applyAlignment="1">
      <alignment horizontal="center"/>
    </xf>
    <xf numFmtId="3" fontId="2" fillId="0" borderId="6" xfId="0" applyNumberFormat="1" applyFont="1" applyBorder="1" applyAlignment="1">
      <alignment horizontal="right"/>
    </xf>
    <xf numFmtId="173" fontId="80" fillId="3" borderId="6" xfId="0" applyNumberFormat="1" applyFont="1" applyFill="1" applyBorder="1" applyAlignment="1">
      <alignment horizontal="right"/>
    </xf>
    <xf numFmtId="1" fontId="80" fillId="3" borderId="6" xfId="0" applyNumberFormat="1" applyFont="1" applyFill="1" applyBorder="1" applyAlignment="1">
      <alignment horizontal="right"/>
    </xf>
    <xf numFmtId="2" fontId="80" fillId="2" borderId="0" xfId="0" applyNumberFormat="1" applyFont="1" applyFill="1"/>
    <xf numFmtId="3" fontId="81" fillId="2" borderId="96" xfId="0" applyNumberFormat="1" applyFont="1" applyFill="1" applyBorder="1"/>
    <xf numFmtId="3" fontId="80" fillId="2" borderId="0" xfId="0" applyNumberFormat="1" applyFont="1" applyFill="1"/>
    <xf numFmtId="0" fontId="84" fillId="20" borderId="0" xfId="8" applyFont="1" applyFill="1" applyAlignment="1">
      <alignment horizontal="center" vertical="center" wrapText="1"/>
    </xf>
    <xf numFmtId="3" fontId="2" fillId="2" borderId="0" xfId="0" applyNumberFormat="1" applyFont="1" applyFill="1"/>
    <xf numFmtId="172" fontId="94" fillId="4" borderId="115" xfId="1" applyNumberFormat="1" applyFont="1" applyFill="1" applyBorder="1"/>
    <xf numFmtId="172" fontId="94" fillId="4" borderId="116" xfId="1" applyNumberFormat="1" applyFont="1" applyFill="1" applyBorder="1"/>
    <xf numFmtId="172" fontId="94" fillId="4" borderId="117" xfId="1" applyNumberFormat="1" applyFont="1" applyFill="1" applyBorder="1"/>
    <xf numFmtId="0" fontId="94" fillId="2" borderId="0" xfId="0" applyFont="1" applyFill="1"/>
    <xf numFmtId="0" fontId="2" fillId="2" borderId="0" xfId="0" applyFont="1" applyFill="1"/>
    <xf numFmtId="0" fontId="94" fillId="0" borderId="0" xfId="0" applyFont="1"/>
    <xf numFmtId="0" fontId="2" fillId="0" borderId="0" xfId="0" applyFont="1"/>
    <xf numFmtId="3" fontId="2" fillId="0" borderId="0" xfId="0" applyNumberFormat="1" applyFont="1"/>
    <xf numFmtId="3" fontId="94" fillId="0" borderId="0" xfId="0" applyNumberFormat="1" applyFont="1"/>
    <xf numFmtId="0" fontId="94" fillId="2" borderId="0" xfId="0" applyFont="1" applyFill="1" applyAlignment="1">
      <alignment horizontal="center"/>
    </xf>
    <xf numFmtId="0" fontId="82" fillId="18" borderId="3" xfId="8" applyFont="1" applyFill="1" applyBorder="1" applyAlignment="1">
      <alignment horizontal="center" vertical="center" wrapText="1"/>
    </xf>
    <xf numFmtId="3" fontId="2" fillId="0" borderId="6" xfId="0" applyNumberFormat="1" applyFont="1" applyBorder="1" applyAlignment="1">
      <alignment horizontal="center"/>
    </xf>
    <xf numFmtId="3" fontId="2" fillId="0" borderId="35" xfId="0" applyNumberFormat="1" applyFont="1" applyBorder="1" applyAlignment="1">
      <alignment horizontal="center"/>
    </xf>
    <xf numFmtId="0" fontId="94" fillId="4" borderId="118" xfId="0" applyFont="1" applyFill="1" applyBorder="1"/>
    <xf numFmtId="2" fontId="94" fillId="4" borderId="118" xfId="0" applyNumberFormat="1" applyFont="1" applyFill="1" applyBorder="1"/>
    <xf numFmtId="0" fontId="84" fillId="0" borderId="96" xfId="0" applyFont="1" applyBorder="1"/>
    <xf numFmtId="3" fontId="2" fillId="2" borderId="6" xfId="9" applyNumberFormat="1" applyFill="1" applyBorder="1" applyAlignment="1">
      <alignment horizontal="center" vertical="center"/>
    </xf>
    <xf numFmtId="3" fontId="94" fillId="2" borderId="0" xfId="0" applyNumberFormat="1" applyFont="1" applyFill="1"/>
    <xf numFmtId="0" fontId="84" fillId="2" borderId="6" xfId="0" applyFont="1" applyFill="1" applyBorder="1" applyAlignment="1">
      <alignment horizontal="left" vertical="center"/>
    </xf>
    <xf numFmtId="9" fontId="94" fillId="2" borderId="0" xfId="1" applyFont="1" applyFill="1"/>
    <xf numFmtId="9" fontId="80" fillId="2" borderId="0" xfId="1" applyFont="1" applyFill="1"/>
    <xf numFmtId="0" fontId="80" fillId="2" borderId="0" xfId="0" applyFont="1" applyFill="1" applyAlignment="1">
      <alignment horizontal="left"/>
    </xf>
    <xf numFmtId="0" fontId="82" fillId="18" borderId="95" xfId="8" applyFont="1" applyFill="1" applyBorder="1" applyAlignment="1">
      <alignment horizontal="center" vertical="center" wrapText="1"/>
    </xf>
    <xf numFmtId="0" fontId="81" fillId="2" borderId="95" xfId="0" applyFont="1" applyFill="1" applyBorder="1" applyAlignment="1">
      <alignment horizontal="left" vertical="center"/>
    </xf>
    <xf numFmtId="3" fontId="80" fillId="2" borderId="95" xfId="0" applyNumberFormat="1" applyFont="1" applyFill="1" applyBorder="1" applyAlignment="1">
      <alignment horizontal="center" vertical="center"/>
    </xf>
    <xf numFmtId="0" fontId="80" fillId="2" borderId="52" xfId="0" applyFont="1" applyFill="1" applyBorder="1"/>
    <xf numFmtId="3" fontId="80" fillId="0" borderId="52" xfId="0" applyNumberFormat="1" applyFont="1" applyBorder="1" applyAlignment="1">
      <alignment horizontal="center"/>
    </xf>
    <xf numFmtId="0" fontId="80" fillId="2" borderId="6" xfId="0" applyFont="1" applyFill="1" applyBorder="1"/>
    <xf numFmtId="3" fontId="80" fillId="0" borderId="6" xfId="0" applyNumberFormat="1" applyFont="1" applyBorder="1" applyAlignment="1">
      <alignment horizontal="center"/>
    </xf>
    <xf numFmtId="0" fontId="81" fillId="2" borderId="95" xfId="0" applyFont="1" applyFill="1" applyBorder="1" applyAlignment="1">
      <alignment horizontal="center" vertical="center"/>
    </xf>
    <xf numFmtId="3" fontId="81" fillId="2" borderId="95" xfId="0" applyNumberFormat="1" applyFont="1" applyFill="1" applyBorder="1" applyAlignment="1">
      <alignment horizontal="center" vertical="center"/>
    </xf>
    <xf numFmtId="3" fontId="80" fillId="9" borderId="6" xfId="0" applyNumberFormat="1" applyFont="1" applyFill="1" applyBorder="1" applyAlignment="1">
      <alignment horizontal="center"/>
    </xf>
    <xf numFmtId="3" fontId="80" fillId="0" borderId="51" xfId="0" applyNumberFormat="1" applyFont="1" applyBorder="1" applyAlignment="1">
      <alignment horizontal="center"/>
    </xf>
    <xf numFmtId="3" fontId="80" fillId="4" borderId="6" xfId="0" applyNumberFormat="1" applyFont="1" applyFill="1" applyBorder="1" applyAlignment="1">
      <alignment horizontal="center"/>
    </xf>
    <xf numFmtId="3" fontId="80" fillId="4" borderId="35" xfId="0" applyNumberFormat="1" applyFont="1" applyFill="1" applyBorder="1" applyAlignment="1">
      <alignment horizontal="center"/>
    </xf>
    <xf numFmtId="3" fontId="80" fillId="4" borderId="118" xfId="0" applyNumberFormat="1" applyFont="1" applyFill="1" applyBorder="1" applyAlignment="1">
      <alignment horizontal="center"/>
    </xf>
    <xf numFmtId="3" fontId="80" fillId="4" borderId="36" xfId="0" applyNumberFormat="1" applyFont="1" applyFill="1" applyBorder="1" applyAlignment="1">
      <alignment horizontal="center"/>
    </xf>
    <xf numFmtId="10" fontId="94" fillId="4" borderId="118" xfId="1" applyNumberFormat="1" applyFont="1" applyFill="1" applyBorder="1"/>
    <xf numFmtId="0" fontId="2" fillId="2" borderId="6" xfId="1" applyNumberFormat="1" applyFont="1" applyFill="1" applyBorder="1" applyAlignment="1">
      <alignment horizontal="center" vertical="center" wrapText="1"/>
    </xf>
    <xf numFmtId="171" fontId="2" fillId="2" borderId="6" xfId="0" applyNumberFormat="1" applyFont="1" applyFill="1" applyBorder="1" applyAlignment="1">
      <alignment horizontal="center" vertical="center" wrapText="1"/>
    </xf>
    <xf numFmtId="9" fontId="80" fillId="0" borderId="0" xfId="0" applyNumberFormat="1" applyFont="1" applyAlignment="1">
      <alignment vertical="center" wrapText="1"/>
    </xf>
    <xf numFmtId="0" fontId="80" fillId="0" borderId="0" xfId="0" applyFont="1" applyAlignment="1">
      <alignment vertical="center" wrapText="1"/>
    </xf>
    <xf numFmtId="3" fontId="2" fillId="2" borderId="0" xfId="0" applyNumberFormat="1" applyFont="1" applyFill="1" applyAlignment="1">
      <alignment horizontal="center" vertical="center"/>
    </xf>
    <xf numFmtId="3" fontId="2" fillId="2" borderId="0" xfId="9" applyNumberFormat="1" applyFill="1" applyAlignment="1">
      <alignment horizontal="center" vertical="center"/>
    </xf>
    <xf numFmtId="3" fontId="2" fillId="2" borderId="0" xfId="0" applyNumberFormat="1" applyFont="1" applyFill="1" applyAlignment="1">
      <alignment horizontal="center" vertical="center" wrapText="1"/>
    </xf>
    <xf numFmtId="0" fontId="81" fillId="2" borderId="12" xfId="0" applyFont="1" applyFill="1" applyBorder="1" applyAlignment="1">
      <alignment horizontal="center" vertical="center"/>
    </xf>
    <xf numFmtId="0" fontId="82" fillId="21" borderId="41" xfId="8" applyFont="1" applyFill="1" applyBorder="1" applyAlignment="1">
      <alignment horizontal="center" vertical="center" wrapText="1"/>
    </xf>
    <xf numFmtId="0" fontId="80" fillId="2" borderId="95" xfId="0" applyFont="1" applyFill="1" applyBorder="1"/>
    <xf numFmtId="3" fontId="80" fillId="2" borderId="95" xfId="0" applyNumberFormat="1" applyFont="1" applyFill="1" applyBorder="1"/>
    <xf numFmtId="3" fontId="2" fillId="0" borderId="6" xfId="0" applyNumberFormat="1" applyFont="1" applyBorder="1" applyAlignment="1">
      <alignment horizontal="left" vertical="center" wrapText="1"/>
    </xf>
    <xf numFmtId="3" fontId="2" fillId="0" borderId="6" xfId="0" applyNumberFormat="1" applyFont="1" applyBorder="1" applyAlignment="1">
      <alignment horizontal="center" vertical="center" wrapText="1"/>
    </xf>
    <xf numFmtId="3" fontId="2" fillId="0" borderId="6" xfId="9" applyNumberFormat="1" applyBorder="1" applyAlignment="1">
      <alignment horizontal="center" vertical="center"/>
    </xf>
    <xf numFmtId="0" fontId="80" fillId="2" borderId="6" xfId="0" applyFont="1" applyFill="1" applyBorder="1" applyAlignment="1">
      <alignment horizontal="left" vertical="center"/>
    </xf>
    <xf numFmtId="173" fontId="80" fillId="0" borderId="6" xfId="0" applyNumberFormat="1" applyFont="1" applyBorder="1" applyAlignment="1">
      <alignment horizontal="center" vertical="center"/>
    </xf>
    <xf numFmtId="0" fontId="80" fillId="0" borderId="6" xfId="0" applyFont="1" applyBorder="1"/>
    <xf numFmtId="172" fontId="80" fillId="2" borderId="0" xfId="1" applyNumberFormat="1" applyFont="1" applyFill="1" applyAlignment="1">
      <alignment horizontal="center" vertical="center"/>
    </xf>
    <xf numFmtId="0" fontId="83" fillId="0" borderId="6" xfId="0" applyFont="1" applyBorder="1" applyAlignment="1">
      <alignment vertical="center" wrapText="1"/>
    </xf>
    <xf numFmtId="3" fontId="96" fillId="0" borderId="0" xfId="0" applyNumberFormat="1" applyFont="1"/>
    <xf numFmtId="9" fontId="96" fillId="0" borderId="0" xfId="1" applyFont="1" applyAlignment="1">
      <alignment horizontal="left"/>
    </xf>
    <xf numFmtId="0" fontId="83" fillId="2" borderId="6" xfId="0" applyFont="1" applyFill="1" applyBorder="1" applyAlignment="1">
      <alignment vertical="center" wrapText="1"/>
    </xf>
    <xf numFmtId="3" fontId="94" fillId="2" borderId="0" xfId="0" applyNumberFormat="1" applyFont="1" applyFill="1" applyAlignment="1">
      <alignment horizontal="center" vertical="center"/>
    </xf>
    <xf numFmtId="3" fontId="94" fillId="2" borderId="0" xfId="9" applyNumberFormat="1" applyFont="1" applyFill="1" applyAlignment="1">
      <alignment horizontal="center" vertical="center"/>
    </xf>
    <xf numFmtId="3" fontId="94" fillId="2" borderId="0" xfId="0" applyNumberFormat="1" applyFont="1" applyFill="1" applyAlignment="1">
      <alignment horizontal="center" vertical="center" wrapText="1"/>
    </xf>
    <xf numFmtId="9" fontId="94" fillId="2" borderId="0" xfId="1" applyFont="1" applyFill="1" applyAlignment="1">
      <alignment horizontal="center" vertical="center" wrapText="1"/>
    </xf>
    <xf numFmtId="9" fontId="94" fillId="2" borderId="0" xfId="0" applyNumberFormat="1" applyFont="1" applyFill="1"/>
    <xf numFmtId="0" fontId="2" fillId="2" borderId="6" xfId="0" applyFont="1" applyFill="1" applyBorder="1" applyAlignment="1">
      <alignment vertical="center" wrapText="1"/>
    </xf>
    <xf numFmtId="10" fontId="80" fillId="2" borderId="0" xfId="1" applyNumberFormat="1" applyFont="1" applyFill="1"/>
    <xf numFmtId="176" fontId="80" fillId="2" borderId="0" xfId="14" applyNumberFormat="1" applyFont="1" applyFill="1"/>
    <xf numFmtId="0" fontId="2" fillId="2" borderId="6" xfId="0" applyFont="1" applyFill="1" applyBorder="1" applyAlignment="1">
      <alignment horizontal="center" vertical="center" wrapText="1"/>
    </xf>
    <xf numFmtId="3" fontId="80" fillId="0" borderId="0" xfId="9" applyNumberFormat="1" applyFont="1" applyAlignment="1">
      <alignment horizontal="center" vertical="center"/>
    </xf>
    <xf numFmtId="3" fontId="80" fillId="0" borderId="0" xfId="0" applyNumberFormat="1" applyFont="1" applyAlignment="1">
      <alignment horizontal="center" vertical="center" wrapText="1"/>
    </xf>
    <xf numFmtId="0" fontId="80" fillId="2" borderId="6" xfId="0" applyFont="1" applyFill="1" applyBorder="1" applyAlignment="1">
      <alignment vertical="center" wrapText="1"/>
    </xf>
    <xf numFmtId="3" fontId="80" fillId="2" borderId="6" xfId="0" applyNumberFormat="1" applyFont="1" applyFill="1" applyBorder="1" applyAlignment="1">
      <alignment horizontal="center" vertical="center" wrapText="1"/>
    </xf>
    <xf numFmtId="0" fontId="80" fillId="2" borderId="0" xfId="0" applyFont="1" applyFill="1" applyAlignment="1">
      <alignment vertical="center" wrapText="1"/>
    </xf>
    <xf numFmtId="3" fontId="80" fillId="2" borderId="0" xfId="9" applyNumberFormat="1" applyFont="1" applyFill="1" applyAlignment="1">
      <alignment horizontal="center" vertical="center"/>
    </xf>
    <xf numFmtId="3" fontId="80" fillId="2" borderId="0" xfId="0" applyNumberFormat="1" applyFont="1" applyFill="1" applyAlignment="1">
      <alignment horizontal="center" vertical="center" wrapText="1"/>
    </xf>
    <xf numFmtId="172" fontId="80" fillId="2" borderId="0" xfId="1" applyNumberFormat="1" applyFont="1" applyFill="1"/>
    <xf numFmtId="0" fontId="2" fillId="0" borderId="6" xfId="0" applyFont="1" applyBorder="1" applyAlignment="1">
      <alignment vertical="center" wrapText="1"/>
    </xf>
    <xf numFmtId="189" fontId="2" fillId="0" borderId="0" xfId="0" applyNumberFormat="1" applyFont="1"/>
    <xf numFmtId="0" fontId="84" fillId="2" borderId="6" xfId="0" applyFont="1" applyFill="1" applyBorder="1" applyAlignment="1">
      <alignment horizontal="center" vertical="center" wrapText="1"/>
    </xf>
    <xf numFmtId="3" fontId="2" fillId="2" borderId="6" xfId="0" applyNumberFormat="1" applyFont="1" applyFill="1" applyBorder="1" applyAlignment="1">
      <alignment horizontal="center" vertical="center"/>
    </xf>
    <xf numFmtId="0" fontId="92" fillId="2" borderId="6" xfId="0" applyFont="1" applyFill="1" applyBorder="1" applyAlignment="1">
      <alignment horizontal="center" vertical="center" wrapText="1"/>
    </xf>
    <xf numFmtId="0" fontId="92" fillId="2" borderId="0" xfId="0" applyFont="1" applyFill="1" applyAlignment="1">
      <alignment horizontal="center" vertical="center" wrapText="1"/>
    </xf>
    <xf numFmtId="0" fontId="80" fillId="6" borderId="0" xfId="0" applyFont="1" applyFill="1"/>
    <xf numFmtId="3" fontId="2" fillId="22" borderId="6" xfId="0" applyNumberFormat="1" applyFont="1" applyFill="1" applyBorder="1" applyAlignment="1">
      <alignment horizontal="center" vertical="center"/>
    </xf>
    <xf numFmtId="3" fontId="80" fillId="2" borderId="6" xfId="0" applyNumberFormat="1" applyFont="1" applyFill="1" applyBorder="1" applyAlignment="1">
      <alignment horizontal="left" vertical="center"/>
    </xf>
    <xf numFmtId="9" fontId="80" fillId="2" borderId="6" xfId="1" applyFont="1" applyFill="1" applyBorder="1" applyAlignment="1">
      <alignment horizontal="left" vertical="center"/>
    </xf>
    <xf numFmtId="3" fontId="2" fillId="2" borderId="50" xfId="0" applyNumberFormat="1" applyFont="1" applyFill="1" applyBorder="1" applyAlignment="1">
      <alignment horizontal="center" vertical="center"/>
    </xf>
    <xf numFmtId="0" fontId="80" fillId="2" borderId="50" xfId="0" applyFont="1" applyFill="1" applyBorder="1" applyAlignment="1">
      <alignment horizontal="left" vertical="center"/>
    </xf>
    <xf numFmtId="3" fontId="2" fillId="2" borderId="6" xfId="0" applyNumberFormat="1" applyFont="1" applyFill="1" applyBorder="1" applyAlignment="1">
      <alignment horizontal="left" vertical="center"/>
    </xf>
    <xf numFmtId="3" fontId="2" fillId="2" borderId="53" xfId="0" applyNumberFormat="1" applyFont="1" applyFill="1" applyBorder="1" applyAlignment="1">
      <alignment horizontal="center" vertical="center"/>
    </xf>
    <xf numFmtId="3" fontId="2" fillId="2" borderId="35" xfId="0" applyNumberFormat="1" applyFont="1" applyFill="1" applyBorder="1" applyAlignment="1">
      <alignment horizontal="center" vertical="center"/>
    </xf>
    <xf numFmtId="1" fontId="80" fillId="2" borderId="6" xfId="0" applyNumberFormat="1" applyFont="1" applyFill="1" applyBorder="1" applyAlignment="1">
      <alignment horizontal="left" vertical="center"/>
    </xf>
    <xf numFmtId="3" fontId="83" fillId="2" borderId="0" xfId="0" applyNumberFormat="1" applyFont="1" applyFill="1" applyAlignment="1">
      <alignment vertical="center" wrapText="1"/>
    </xf>
    <xf numFmtId="3" fontId="80" fillId="2" borderId="6" xfId="0" applyNumberFormat="1" applyFont="1" applyFill="1" applyBorder="1"/>
    <xf numFmtId="0" fontId="80" fillId="2" borderId="6" xfId="0" applyFont="1" applyFill="1" applyBorder="1" applyAlignment="1">
      <alignment horizontal="center" vertical="center"/>
    </xf>
    <xf numFmtId="9" fontId="2" fillId="2" borderId="6" xfId="1" applyFont="1" applyFill="1" applyBorder="1" applyAlignment="1">
      <alignment horizontal="center" vertical="center"/>
    </xf>
    <xf numFmtId="10" fontId="80" fillId="4" borderId="118" xfId="1" applyNumberFormat="1" applyFont="1" applyFill="1" applyBorder="1" applyAlignment="1">
      <alignment horizontal="center" vertical="center"/>
    </xf>
    <xf numFmtId="0" fontId="80" fillId="2" borderId="0" xfId="0" applyFont="1" applyFill="1" applyAlignment="1">
      <alignment vertical="center"/>
    </xf>
    <xf numFmtId="3" fontId="2" fillId="0" borderId="6" xfId="0" applyNumberFormat="1" applyFont="1" applyBorder="1" applyAlignment="1">
      <alignment horizontal="center" vertical="center"/>
    </xf>
    <xf numFmtId="172" fontId="2" fillId="2" borderId="0" xfId="1" applyNumberFormat="1" applyFont="1" applyFill="1" applyAlignment="1">
      <alignment horizontal="center" vertical="center" wrapText="1"/>
    </xf>
    <xf numFmtId="0" fontId="82" fillId="18" borderId="5" xfId="8" applyFont="1" applyFill="1" applyBorder="1" applyAlignment="1">
      <alignment horizontal="center" vertical="center"/>
    </xf>
    <xf numFmtId="0" fontId="82" fillId="21" borderId="5" xfId="8" applyFont="1" applyFill="1" applyBorder="1" applyAlignment="1">
      <alignment horizontal="center" vertical="center" wrapText="1"/>
    </xf>
    <xf numFmtId="0" fontId="82" fillId="21" borderId="9" xfId="8" applyFont="1" applyFill="1" applyBorder="1" applyAlignment="1">
      <alignment horizontal="center" vertical="center" wrapText="1"/>
    </xf>
    <xf numFmtId="3" fontId="80" fillId="2" borderId="6" xfId="0" applyNumberFormat="1" applyFont="1" applyFill="1" applyBorder="1" applyAlignment="1">
      <alignment horizontal="center"/>
    </xf>
    <xf numFmtId="3" fontId="80" fillId="0" borderId="6" xfId="0" applyNumberFormat="1" applyFont="1" applyBorder="1"/>
    <xf numFmtId="0" fontId="82" fillId="18" borderId="19" xfId="8" applyFont="1" applyFill="1" applyBorder="1" applyAlignment="1">
      <alignment horizontal="center" vertical="center" wrapText="1"/>
    </xf>
    <xf numFmtId="0" fontId="80" fillId="2" borderId="0" xfId="0" applyFont="1" applyFill="1" applyAlignment="1">
      <alignment horizontal="right"/>
    </xf>
    <xf numFmtId="0" fontId="80" fillId="2" borderId="6" xfId="0" applyFont="1" applyFill="1" applyBorder="1" applyAlignment="1">
      <alignment wrapText="1"/>
    </xf>
    <xf numFmtId="1" fontId="80" fillId="2" borderId="6" xfId="0" applyNumberFormat="1" applyFont="1" applyFill="1" applyBorder="1"/>
    <xf numFmtId="0" fontId="81" fillId="2" borderId="0" xfId="0" applyFont="1" applyFill="1" applyAlignment="1">
      <alignment horizontal="center" vertical="center"/>
    </xf>
    <xf numFmtId="0" fontId="80" fillId="16" borderId="0" xfId="0" applyFont="1" applyFill="1"/>
    <xf numFmtId="0" fontId="81" fillId="2" borderId="7" xfId="0" applyFont="1" applyFill="1" applyBorder="1"/>
    <xf numFmtId="0" fontId="80" fillId="2" borderId="8" xfId="0" applyFont="1" applyFill="1" applyBorder="1"/>
    <xf numFmtId="3" fontId="21" fillId="0" borderId="6" xfId="0" applyNumberFormat="1" applyFont="1" applyBorder="1" applyAlignment="1">
      <alignment vertical="center"/>
    </xf>
    <xf numFmtId="0" fontId="21" fillId="0" borderId="6" xfId="0" applyFont="1" applyBorder="1"/>
    <xf numFmtId="3" fontId="21" fillId="0" borderId="6" xfId="0" applyNumberFormat="1" applyFont="1" applyBorder="1"/>
    <xf numFmtId="0" fontId="16" fillId="4" borderId="6" xfId="0" applyFont="1" applyFill="1" applyBorder="1"/>
    <xf numFmtId="0" fontId="21" fillId="0" borderId="0" xfId="0" applyFont="1" applyAlignment="1">
      <alignment vertical="center"/>
    </xf>
    <xf numFmtId="0" fontId="99" fillId="0" borderId="0" xfId="0" applyFont="1" applyAlignment="1">
      <alignment horizontal="center" vertical="center"/>
    </xf>
    <xf numFmtId="0" fontId="99" fillId="0" borderId="0" xfId="0" applyFont="1" applyAlignment="1">
      <alignment vertical="center"/>
    </xf>
    <xf numFmtId="0" fontId="99" fillId="0" borderId="0" xfId="0" applyFont="1" applyFill="1" applyBorder="1" applyAlignment="1">
      <alignment vertical="center"/>
    </xf>
    <xf numFmtId="0" fontId="100" fillId="0" borderId="0" xfId="0" applyFont="1" applyAlignment="1">
      <alignment vertical="center"/>
    </xf>
    <xf numFmtId="0" fontId="101" fillId="0" borderId="0" xfId="0" applyFont="1" applyAlignment="1">
      <alignment vertical="center"/>
    </xf>
    <xf numFmtId="0" fontId="48" fillId="2" borderId="159" xfId="0" applyFont="1" applyFill="1" applyBorder="1" applyAlignment="1">
      <alignment horizontal="left" vertical="center" wrapText="1"/>
    </xf>
    <xf numFmtId="0" fontId="49" fillId="2" borderId="20" xfId="0" applyFont="1" applyFill="1" applyBorder="1" applyAlignment="1">
      <alignment horizontal="left" vertical="center" wrapText="1"/>
    </xf>
    <xf numFmtId="0" fontId="68" fillId="2" borderId="0" xfId="2" applyFont="1" applyFill="1" applyAlignment="1">
      <alignment horizontal="right" vertical="center"/>
    </xf>
    <xf numFmtId="0" fontId="68" fillId="2" borderId="139" xfId="2" applyFont="1" applyFill="1" applyBorder="1" applyAlignment="1">
      <alignment horizontal="right" vertical="center"/>
    </xf>
    <xf numFmtId="0" fontId="67" fillId="2" borderId="143" xfId="3" applyFont="1" applyFill="1" applyBorder="1" applyAlignment="1">
      <alignment horizontal="right" vertical="center"/>
    </xf>
    <xf numFmtId="0" fontId="68" fillId="2" borderId="143" xfId="3" applyFont="1" applyFill="1" applyBorder="1" applyAlignment="1">
      <alignment vertical="center"/>
    </xf>
    <xf numFmtId="0" fontId="68" fillId="2" borderId="143" xfId="2" applyFont="1" applyFill="1" applyBorder="1" applyAlignment="1">
      <alignment horizontal="right" vertical="center"/>
    </xf>
    <xf numFmtId="0" fontId="68" fillId="2" borderId="140" xfId="2" applyFont="1" applyFill="1" applyBorder="1" applyAlignment="1">
      <alignment horizontal="right" vertical="center"/>
    </xf>
    <xf numFmtId="0" fontId="68" fillId="2" borderId="153" xfId="2" applyFont="1" applyFill="1" applyBorder="1" applyAlignment="1">
      <alignment horizontal="right" vertical="center"/>
    </xf>
    <xf numFmtId="0" fontId="67" fillId="2" borderId="0" xfId="3" applyFont="1" applyFill="1" applyBorder="1" applyAlignment="1">
      <alignment horizontal="right" vertical="center"/>
    </xf>
    <xf numFmtId="0" fontId="68" fillId="2" borderId="0" xfId="3" applyFont="1" applyFill="1" applyBorder="1" applyAlignment="1">
      <alignment vertical="center"/>
    </xf>
    <xf numFmtId="0" fontId="101" fillId="2" borderId="0" xfId="0" applyFont="1" applyFill="1" applyBorder="1" applyAlignment="1">
      <alignment horizontal="left" vertical="center"/>
    </xf>
    <xf numFmtId="0" fontId="68" fillId="2" borderId="0" xfId="2" applyFont="1" applyFill="1" applyBorder="1" applyAlignment="1">
      <alignment horizontal="right" vertical="center"/>
    </xf>
    <xf numFmtId="0" fontId="68" fillId="2" borderId="154" xfId="2" applyFont="1" applyFill="1" applyBorder="1" applyAlignment="1">
      <alignment horizontal="right" vertical="center"/>
    </xf>
    <xf numFmtId="0" fontId="68" fillId="2" borderId="153" xfId="2" applyFont="1" applyFill="1" applyBorder="1" applyAlignment="1">
      <alignment horizontal="left" vertical="center"/>
    </xf>
    <xf numFmtId="0" fontId="68" fillId="2" borderId="154" xfId="2" applyFont="1" applyFill="1" applyBorder="1" applyAlignment="1">
      <alignment horizontal="left" vertical="center"/>
    </xf>
    <xf numFmtId="0" fontId="68" fillId="2" borderId="0" xfId="2" applyFont="1" applyFill="1" applyAlignment="1">
      <alignment horizontal="left" vertical="center"/>
    </xf>
    <xf numFmtId="0" fontId="68" fillId="2" borderId="0" xfId="2" applyFont="1" applyFill="1" applyBorder="1" applyAlignment="1">
      <alignment horizontal="left" vertical="center" wrapText="1"/>
    </xf>
    <xf numFmtId="0" fontId="68" fillId="2" borderId="0" xfId="2" applyFont="1" applyFill="1" applyBorder="1" applyAlignment="1">
      <alignment horizontal="left" vertical="center"/>
    </xf>
    <xf numFmtId="0" fontId="105" fillId="2" borderId="0" xfId="2" applyFont="1" applyFill="1" applyBorder="1" applyAlignment="1">
      <alignment horizontal="left" vertical="center" wrapText="1"/>
    </xf>
    <xf numFmtId="0" fontId="106" fillId="2" borderId="0" xfId="2" applyFont="1" applyFill="1" applyBorder="1" applyAlignment="1">
      <alignment horizontal="left" vertical="center" wrapText="1"/>
    </xf>
    <xf numFmtId="0" fontId="67" fillId="2" borderId="0" xfId="2" applyFont="1" applyFill="1" applyBorder="1" applyAlignment="1">
      <alignment horizontal="left" vertical="center"/>
    </xf>
    <xf numFmtId="1" fontId="104" fillId="7" borderId="130" xfId="2" quotePrefix="1" applyNumberFormat="1" applyFont="1" applyFill="1" applyBorder="1" applyAlignment="1">
      <alignment horizontal="center" vertical="center" wrapText="1"/>
    </xf>
    <xf numFmtId="0" fontId="104" fillId="7" borderId="130" xfId="2" applyFont="1" applyFill="1" applyBorder="1" applyAlignment="1">
      <alignment horizontal="center" vertical="center" wrapText="1"/>
    </xf>
    <xf numFmtId="1" fontId="104" fillId="7" borderId="130" xfId="2" quotePrefix="1" applyNumberFormat="1" applyFont="1" applyFill="1" applyBorder="1" applyAlignment="1">
      <alignment horizontal="center" vertical="center"/>
    </xf>
    <xf numFmtId="1" fontId="104" fillId="7" borderId="131" xfId="2" applyNumberFormat="1" applyFont="1" applyFill="1" applyBorder="1" applyAlignment="1">
      <alignment horizontal="center" vertical="center" wrapText="1"/>
    </xf>
    <xf numFmtId="0" fontId="67" fillId="2" borderId="153" xfId="2" applyFont="1" applyFill="1" applyBorder="1" applyAlignment="1">
      <alignment horizontal="right" vertical="center"/>
    </xf>
    <xf numFmtId="1" fontId="67" fillId="2" borderId="158" xfId="4" applyNumberFormat="1" applyFont="1" applyFill="1" applyBorder="1" applyAlignment="1">
      <alignment horizontal="center" vertical="center"/>
    </xf>
    <xf numFmtId="0" fontId="67" fillId="2" borderId="159" xfId="4" applyFont="1" applyFill="1" applyBorder="1" applyAlignment="1">
      <alignment horizontal="center" vertical="center"/>
    </xf>
    <xf numFmtId="0" fontId="67" fillId="2" borderId="159" xfId="4" applyNumberFormat="1" applyFont="1" applyFill="1" applyBorder="1" applyAlignment="1">
      <alignment horizontal="center" vertical="center"/>
    </xf>
    <xf numFmtId="0" fontId="67" fillId="2" borderId="159" xfId="4" applyNumberFormat="1" applyFont="1" applyFill="1" applyBorder="1" applyAlignment="1">
      <alignment horizontal="left" vertical="center"/>
    </xf>
    <xf numFmtId="1" fontId="67" fillId="2" borderId="159" xfId="4" applyNumberFormat="1" applyFont="1" applyFill="1" applyBorder="1" applyAlignment="1">
      <alignment horizontal="center" vertical="center"/>
    </xf>
    <xf numFmtId="3" fontId="67" fillId="2" borderId="159" xfId="4" applyNumberFormat="1" applyFont="1" applyFill="1" applyBorder="1" applyAlignment="1">
      <alignment horizontal="center" vertical="center"/>
    </xf>
    <xf numFmtId="1" fontId="67" fillId="2" borderId="160" xfId="4" applyNumberFormat="1" applyFont="1" applyFill="1" applyBorder="1" applyAlignment="1">
      <alignment horizontal="center" vertical="center"/>
    </xf>
    <xf numFmtId="167" fontId="67" fillId="2" borderId="154" xfId="2" applyNumberFormat="1" applyFont="1" applyFill="1" applyBorder="1" applyAlignment="1">
      <alignment horizontal="right" vertical="center"/>
    </xf>
    <xf numFmtId="1" fontId="67" fillId="2" borderId="0" xfId="2" applyNumberFormat="1" applyFont="1" applyFill="1" applyAlignment="1">
      <alignment horizontal="right" vertical="center"/>
    </xf>
    <xf numFmtId="0" fontId="67" fillId="2" borderId="0" xfId="2" applyFont="1" applyFill="1" applyAlignment="1">
      <alignment horizontal="right" vertical="center"/>
    </xf>
    <xf numFmtId="0" fontId="68" fillId="2" borderId="105" xfId="4" applyNumberFormat="1" applyFont="1" applyFill="1" applyBorder="1" applyAlignment="1">
      <alignment horizontal="center" vertical="center"/>
    </xf>
    <xf numFmtId="0" fontId="68" fillId="2" borderId="20" xfId="4" applyFont="1" applyFill="1" applyBorder="1" applyAlignment="1">
      <alignment horizontal="center" vertical="center"/>
    </xf>
    <xf numFmtId="0" fontId="68" fillId="2" borderId="20" xfId="4" applyNumberFormat="1" applyFont="1" applyFill="1" applyBorder="1" applyAlignment="1">
      <alignment horizontal="center" vertical="center"/>
    </xf>
    <xf numFmtId="0" fontId="68" fillId="2" borderId="20" xfId="4" applyNumberFormat="1" applyFont="1" applyFill="1" applyBorder="1" applyAlignment="1">
      <alignment horizontal="left" vertical="center"/>
    </xf>
    <xf numFmtId="1" fontId="68" fillId="2" borderId="20" xfId="4" applyNumberFormat="1" applyFont="1" applyFill="1" applyBorder="1" applyAlignment="1">
      <alignment horizontal="center" vertical="center"/>
    </xf>
    <xf numFmtId="3" fontId="68" fillId="2" borderId="20" xfId="4" applyNumberFormat="1" applyFont="1" applyFill="1" applyBorder="1" applyAlignment="1">
      <alignment horizontal="center" vertical="center"/>
    </xf>
    <xf numFmtId="1" fontId="68" fillId="2" borderId="109" xfId="4" applyNumberFormat="1" applyFont="1" applyFill="1" applyBorder="1" applyAlignment="1">
      <alignment horizontal="center" vertical="center"/>
    </xf>
    <xf numFmtId="167" fontId="68" fillId="2" borderId="154" xfId="2" applyNumberFormat="1" applyFont="1" applyFill="1" applyBorder="1" applyAlignment="1">
      <alignment horizontal="right" vertical="center"/>
    </xf>
    <xf numFmtId="1" fontId="68" fillId="2" borderId="0" xfId="2" applyNumberFormat="1" applyFont="1" applyFill="1" applyAlignment="1">
      <alignment horizontal="right" vertical="center"/>
    </xf>
    <xf numFmtId="10" fontId="68" fillId="2" borderId="154" xfId="6" applyNumberFormat="1" applyFont="1" applyFill="1" applyBorder="1" applyAlignment="1">
      <alignment horizontal="right" vertical="center"/>
    </xf>
    <xf numFmtId="3" fontId="68" fillId="2" borderId="0" xfId="2" applyNumberFormat="1" applyFont="1" applyFill="1" applyAlignment="1">
      <alignment horizontal="right" vertical="center"/>
    </xf>
    <xf numFmtId="10" fontId="68" fillId="2" borderId="0" xfId="6" applyNumberFormat="1" applyFont="1" applyFill="1" applyAlignment="1">
      <alignment horizontal="right" vertical="center"/>
    </xf>
    <xf numFmtId="0" fontId="68" fillId="2" borderId="107" xfId="4" applyNumberFormat="1" applyFont="1" applyFill="1" applyBorder="1" applyAlignment="1">
      <alignment horizontal="center" vertical="center"/>
    </xf>
    <xf numFmtId="0" fontId="68" fillId="2" borderId="107" xfId="4" applyFont="1" applyFill="1" applyBorder="1" applyAlignment="1">
      <alignment horizontal="left" vertical="center"/>
    </xf>
    <xf numFmtId="1" fontId="68" fillId="2" borderId="107" xfId="4" applyNumberFormat="1" applyFont="1" applyFill="1" applyBorder="1" applyAlignment="1">
      <alignment horizontal="center" vertical="center"/>
    </xf>
    <xf numFmtId="1" fontId="68" fillId="2" borderId="110" xfId="4" applyNumberFormat="1" applyFont="1" applyFill="1" applyBorder="1" applyAlignment="1">
      <alignment horizontal="center" vertical="center"/>
    </xf>
    <xf numFmtId="0" fontId="68" fillId="2" borderId="154" xfId="2" applyFont="1" applyFill="1" applyBorder="1" applyAlignment="1">
      <alignment horizontal="right" vertical="center" wrapText="1"/>
    </xf>
    <xf numFmtId="0" fontId="68" fillId="2" borderId="0" xfId="2" applyFont="1" applyFill="1" applyAlignment="1">
      <alignment horizontal="right" vertical="center" wrapText="1"/>
    </xf>
    <xf numFmtId="169" fontId="68" fillId="2" borderId="0" xfId="2" applyNumberFormat="1" applyFont="1" applyFill="1" applyAlignment="1">
      <alignment horizontal="right" vertical="center" wrapText="1"/>
    </xf>
    <xf numFmtId="0" fontId="68" fillId="2" borderId="0" xfId="4" applyFont="1" applyFill="1" applyBorder="1" applyAlignment="1">
      <alignment horizontal="left" vertical="center"/>
    </xf>
    <xf numFmtId="0" fontId="67" fillId="2" borderId="0" xfId="4" applyFont="1" applyFill="1" applyBorder="1" applyAlignment="1">
      <alignment horizontal="center" vertical="center"/>
    </xf>
    <xf numFmtId="1" fontId="68" fillId="2" borderId="0" xfId="4" applyNumberFormat="1" applyFont="1" applyFill="1" applyBorder="1" applyAlignment="1">
      <alignment horizontal="center" vertical="center"/>
    </xf>
    <xf numFmtId="0" fontId="68" fillId="2" borderId="0" xfId="4" applyFont="1" applyFill="1" applyBorder="1" applyAlignment="1">
      <alignment horizontal="center" vertical="center"/>
    </xf>
    <xf numFmtId="167" fontId="68" fillId="2" borderId="0" xfId="5" applyNumberFormat="1" applyFont="1" applyFill="1" applyBorder="1" applyAlignment="1">
      <alignment horizontal="center" vertical="center"/>
    </xf>
    <xf numFmtId="1" fontId="68" fillId="2" borderId="0" xfId="2" applyNumberFormat="1" applyFont="1" applyFill="1" applyBorder="1" applyAlignment="1">
      <alignment horizontal="right" vertical="center"/>
    </xf>
    <xf numFmtId="3" fontId="67" fillId="2" borderId="158" xfId="0" applyNumberFormat="1" applyFont="1" applyFill="1" applyBorder="1" applyAlignment="1">
      <alignment horizontal="center" vertical="center"/>
    </xf>
    <xf numFmtId="0" fontId="67" fillId="2" borderId="159" xfId="0" applyFont="1" applyFill="1" applyBorder="1" applyAlignment="1">
      <alignment horizontal="center" vertical="center"/>
    </xf>
    <xf numFmtId="3" fontId="68" fillId="2" borderId="159" xfId="7" applyNumberFormat="1" applyFont="1" applyFill="1" applyBorder="1" applyAlignment="1">
      <alignment horizontal="center" vertical="center"/>
    </xf>
    <xf numFmtId="3" fontId="68" fillId="44" borderId="159" xfId="7" applyNumberFormat="1" applyFont="1" applyFill="1" applyBorder="1" applyAlignment="1">
      <alignment horizontal="center" vertical="center"/>
    </xf>
    <xf numFmtId="3" fontId="67" fillId="2" borderId="159" xfId="7" applyNumberFormat="1" applyFont="1" applyFill="1" applyBorder="1" applyAlignment="1">
      <alignment horizontal="center" vertical="center"/>
    </xf>
    <xf numFmtId="3" fontId="68" fillId="2" borderId="160" xfId="7" applyNumberFormat="1" applyFont="1" applyFill="1" applyBorder="1" applyAlignment="1">
      <alignment horizontal="center" vertical="center"/>
    </xf>
    <xf numFmtId="3" fontId="67" fillId="2" borderId="105" xfId="0" applyNumberFormat="1" applyFont="1" applyFill="1" applyBorder="1" applyAlignment="1">
      <alignment horizontal="center" vertical="center"/>
    </xf>
    <xf numFmtId="0" fontId="67" fillId="2" borderId="20" xfId="0" applyFont="1" applyFill="1" applyBorder="1" applyAlignment="1">
      <alignment horizontal="center" vertical="center"/>
    </xf>
    <xf numFmtId="3" fontId="68" fillId="2" borderId="20" xfId="0" applyNumberFormat="1" applyFont="1" applyFill="1" applyBorder="1" applyAlignment="1">
      <alignment horizontal="center" vertical="center"/>
    </xf>
    <xf numFmtId="3" fontId="68" fillId="44" borderId="20" xfId="0" applyNumberFormat="1" applyFont="1" applyFill="1" applyBorder="1" applyAlignment="1">
      <alignment horizontal="center" vertical="center"/>
    </xf>
    <xf numFmtId="3" fontId="67" fillId="2" borderId="20" xfId="0" applyNumberFormat="1" applyFont="1" applyFill="1" applyBorder="1" applyAlignment="1">
      <alignment horizontal="center" vertical="center"/>
    </xf>
    <xf numFmtId="3" fontId="68" fillId="2" borderId="109" xfId="0" applyNumberFormat="1" applyFont="1" applyFill="1" applyBorder="1" applyAlignment="1">
      <alignment horizontal="center" vertical="center"/>
    </xf>
    <xf numFmtId="3" fontId="67" fillId="2" borderId="106" xfId="0" applyNumberFormat="1" applyFont="1" applyFill="1" applyBorder="1" applyAlignment="1">
      <alignment horizontal="center" vertical="center"/>
    </xf>
    <xf numFmtId="0" fontId="67" fillId="2" borderId="107" xfId="0" applyFont="1" applyFill="1" applyBorder="1" applyAlignment="1">
      <alignment horizontal="center" vertical="center"/>
    </xf>
    <xf numFmtId="3" fontId="67" fillId="2" borderId="107" xfId="7" applyNumberFormat="1" applyFont="1" applyFill="1" applyBorder="1" applyAlignment="1">
      <alignment horizontal="center" vertical="center"/>
    </xf>
    <xf numFmtId="3" fontId="67" fillId="44" borderId="107" xfId="7" applyNumberFormat="1" applyFont="1" applyFill="1" applyBorder="1" applyAlignment="1">
      <alignment horizontal="center" vertical="center"/>
    </xf>
    <xf numFmtId="3" fontId="67" fillId="2" borderId="110" xfId="7" applyNumberFormat="1" applyFont="1" applyFill="1" applyBorder="1" applyAlignment="1">
      <alignment horizontal="center" vertical="center"/>
    </xf>
    <xf numFmtId="0" fontId="99" fillId="2" borderId="0" xfId="0" applyFont="1" applyFill="1" applyBorder="1" applyAlignment="1">
      <alignment vertical="center"/>
    </xf>
    <xf numFmtId="0" fontId="68" fillId="2" borderId="0" xfId="0" applyFont="1" applyFill="1" applyBorder="1" applyAlignment="1">
      <alignment vertical="center"/>
    </xf>
    <xf numFmtId="10" fontId="67" fillId="2" borderId="159" xfId="6" applyNumberFormat="1" applyFont="1" applyFill="1" applyBorder="1" applyAlignment="1">
      <alignment horizontal="center" vertical="center"/>
    </xf>
    <xf numFmtId="10" fontId="67" fillId="44" borderId="159" xfId="6" applyNumberFormat="1" applyFont="1" applyFill="1" applyBorder="1" applyAlignment="1">
      <alignment horizontal="center" vertical="center"/>
    </xf>
    <xf numFmtId="10" fontId="67" fillId="2" borderId="160" xfId="6" applyNumberFormat="1" applyFont="1" applyFill="1" applyBorder="1" applyAlignment="1">
      <alignment horizontal="center" vertical="center"/>
    </xf>
    <xf numFmtId="10" fontId="67" fillId="2" borderId="20" xfId="6" applyNumberFormat="1" applyFont="1" applyFill="1" applyBorder="1" applyAlignment="1">
      <alignment horizontal="center" vertical="center"/>
    </xf>
    <xf numFmtId="10" fontId="67" fillId="44" borderId="20" xfId="6" applyNumberFormat="1" applyFont="1" applyFill="1" applyBorder="1" applyAlignment="1">
      <alignment horizontal="center" vertical="center"/>
    </xf>
    <xf numFmtId="10" fontId="67" fillId="2" borderId="109" xfId="6" applyNumberFormat="1" applyFont="1" applyFill="1" applyBorder="1" applyAlignment="1">
      <alignment horizontal="center" vertical="center"/>
    </xf>
    <xf numFmtId="10" fontId="67" fillId="2" borderId="107" xfId="6" applyNumberFormat="1" applyFont="1" applyFill="1" applyBorder="1" applyAlignment="1">
      <alignment horizontal="center" vertical="center"/>
    </xf>
    <xf numFmtId="10" fontId="67" fillId="44" borderId="107" xfId="6" applyNumberFormat="1" applyFont="1" applyFill="1" applyBorder="1" applyAlignment="1">
      <alignment horizontal="center" vertical="center"/>
    </xf>
    <xf numFmtId="10" fontId="67" fillId="2" borderId="110" xfId="6" applyNumberFormat="1" applyFont="1" applyFill="1" applyBorder="1" applyAlignment="1">
      <alignment horizontal="center" vertical="center"/>
    </xf>
    <xf numFmtId="0" fontId="68" fillId="2" borderId="141" xfId="2" applyFont="1" applyFill="1" applyBorder="1" applyAlignment="1">
      <alignment horizontal="right" vertical="center"/>
    </xf>
    <xf numFmtId="0" fontId="68" fillId="2" borderId="144" xfId="2" applyFont="1" applyFill="1" applyBorder="1" applyAlignment="1">
      <alignment horizontal="right" vertical="center"/>
    </xf>
    <xf numFmtId="0" fontId="68" fillId="2" borderId="142" xfId="2" applyFont="1" applyFill="1" applyBorder="1" applyAlignment="1">
      <alignment horizontal="right" vertical="center"/>
    </xf>
    <xf numFmtId="9" fontId="108" fillId="2" borderId="0" xfId="1" applyFont="1" applyFill="1" applyAlignment="1">
      <alignment horizontal="left" vertical="center"/>
    </xf>
    <xf numFmtId="0" fontId="107" fillId="7" borderId="133" xfId="4" applyFont="1" applyFill="1" applyBorder="1" applyAlignment="1">
      <alignment horizontal="center" vertical="center" wrapText="1"/>
    </xf>
    <xf numFmtId="0" fontId="6" fillId="2" borderId="0" xfId="0" applyFont="1" applyFill="1" applyAlignment="1">
      <alignment horizontal="center" vertical="center"/>
    </xf>
    <xf numFmtId="0" fontId="67" fillId="0" borderId="0" xfId="0" applyFont="1" applyAlignment="1">
      <alignment horizontal="left" vertical="center"/>
    </xf>
    <xf numFmtId="0" fontId="68" fillId="0" borderId="0" xfId="0" applyFont="1" applyAlignment="1">
      <alignment horizontal="left" vertical="center"/>
    </xf>
    <xf numFmtId="0" fontId="99" fillId="0" borderId="0" xfId="0" applyFont="1" applyAlignment="1">
      <alignment horizontal="right" vertical="center"/>
    </xf>
    <xf numFmtId="3" fontId="99" fillId="0" borderId="0" xfId="0" applyNumberFormat="1" applyFont="1" applyAlignment="1">
      <alignment vertical="center"/>
    </xf>
    <xf numFmtId="9" fontId="99" fillId="0" borderId="0" xfId="0" applyNumberFormat="1" applyFont="1" applyAlignment="1">
      <alignment vertical="center"/>
    </xf>
    <xf numFmtId="9" fontId="99" fillId="0" borderId="0" xfId="1" applyFont="1" applyAlignment="1">
      <alignment vertical="center"/>
    </xf>
    <xf numFmtId="0" fontId="144" fillId="0" borderId="0" xfId="0" applyFont="1" applyAlignment="1">
      <alignment vertical="center"/>
    </xf>
    <xf numFmtId="0" fontId="99" fillId="0" borderId="0" xfId="0" applyFont="1" applyFill="1" applyAlignment="1">
      <alignment vertical="center"/>
    </xf>
    <xf numFmtId="1" fontId="99" fillId="0" borderId="0" xfId="0" applyNumberFormat="1" applyFont="1" applyAlignment="1">
      <alignment vertical="center"/>
    </xf>
    <xf numFmtId="2" fontId="68" fillId="0" borderId="0" xfId="0" applyNumberFormat="1" applyFont="1" applyFill="1" applyAlignment="1">
      <alignment vertical="center"/>
    </xf>
    <xf numFmtId="176" fontId="99" fillId="0" borderId="0" xfId="14" applyNumberFormat="1" applyFont="1" applyFill="1" applyAlignment="1">
      <alignment vertical="center"/>
    </xf>
    <xf numFmtId="178" fontId="101" fillId="0" borderId="0" xfId="0" applyNumberFormat="1" applyFont="1" applyAlignment="1">
      <alignment vertical="center"/>
    </xf>
    <xf numFmtId="176" fontId="99" fillId="0" borderId="0" xfId="14" applyNumberFormat="1" applyFont="1" applyFill="1" applyAlignment="1">
      <alignment horizontal="center" vertical="center"/>
    </xf>
    <xf numFmtId="9" fontId="101" fillId="0" borderId="0" xfId="1" applyFont="1" applyAlignment="1">
      <alignment vertical="center"/>
    </xf>
    <xf numFmtId="0" fontId="68" fillId="0" borderId="0" xfId="0" applyFont="1" applyFill="1" applyAlignment="1">
      <alignment vertical="center"/>
    </xf>
    <xf numFmtId="176" fontId="101" fillId="0" borderId="0" xfId="14" applyNumberFormat="1" applyFont="1" applyAlignment="1">
      <alignment vertical="center"/>
    </xf>
    <xf numFmtId="177" fontId="99" fillId="0" borderId="0" xfId="1" applyNumberFormat="1" applyFont="1" applyAlignment="1">
      <alignment vertical="center"/>
    </xf>
    <xf numFmtId="3" fontId="101" fillId="0" borderId="0" xfId="0" applyNumberFormat="1" applyFont="1" applyAlignment="1">
      <alignment vertical="center"/>
    </xf>
    <xf numFmtId="0" fontId="99" fillId="0" borderId="57" xfId="0" applyFont="1" applyBorder="1" applyAlignment="1">
      <alignment vertical="center"/>
    </xf>
    <xf numFmtId="0" fontId="99" fillId="0" borderId="58" xfId="0" applyFont="1" applyBorder="1" applyAlignment="1">
      <alignment vertical="center"/>
    </xf>
    <xf numFmtId="3" fontId="99" fillId="0" borderId="59" xfId="0" applyNumberFormat="1" applyFont="1" applyBorder="1" applyAlignment="1">
      <alignment vertical="center"/>
    </xf>
    <xf numFmtId="0" fontId="104" fillId="7" borderId="126" xfId="0" applyFont="1" applyFill="1" applyBorder="1" applyAlignment="1">
      <alignment horizontal="center" vertical="center"/>
    </xf>
    <xf numFmtId="0" fontId="104" fillId="7" borderId="130" xfId="0" applyFont="1" applyFill="1" applyBorder="1" applyAlignment="1">
      <alignment horizontal="center" vertical="center"/>
    </xf>
    <xf numFmtId="0" fontId="104" fillId="7" borderId="131" xfId="0" applyFont="1" applyFill="1" applyBorder="1" applyAlignment="1">
      <alignment horizontal="center" vertical="center"/>
    </xf>
    <xf numFmtId="0" fontId="99" fillId="0" borderId="153" xfId="0" applyFont="1" applyBorder="1" applyAlignment="1">
      <alignment vertical="center"/>
    </xf>
    <xf numFmtId="0" fontId="99" fillId="0" borderId="0" xfId="0" applyFont="1" applyBorder="1" applyAlignment="1">
      <alignment vertical="center"/>
    </xf>
    <xf numFmtId="0" fontId="99" fillId="0" borderId="154" xfId="0" applyFont="1" applyBorder="1" applyAlignment="1">
      <alignment vertical="center"/>
    </xf>
    <xf numFmtId="0" fontId="101" fillId="5" borderId="153" xfId="0" applyFont="1" applyFill="1" applyBorder="1" applyAlignment="1">
      <alignment horizontal="left" vertical="center"/>
    </xf>
    <xf numFmtId="0" fontId="101" fillId="5" borderId="0" xfId="0" applyFont="1" applyFill="1" applyBorder="1" applyAlignment="1">
      <alignment horizontal="left" vertical="center"/>
    </xf>
    <xf numFmtId="3" fontId="101" fillId="5" borderId="0" xfId="0" applyNumberFormat="1" applyFont="1" applyFill="1" applyBorder="1" applyAlignment="1">
      <alignment horizontal="right" vertical="center"/>
    </xf>
    <xf numFmtId="9" fontId="101" fillId="5" borderId="0" xfId="0" applyNumberFormat="1" applyFont="1" applyFill="1" applyBorder="1" applyAlignment="1">
      <alignment horizontal="right" vertical="center"/>
    </xf>
    <xf numFmtId="3" fontId="101" fillId="5" borderId="0" xfId="0" applyNumberFormat="1" applyFont="1" applyFill="1" applyBorder="1" applyAlignment="1">
      <alignment horizontal="center" vertical="center"/>
    </xf>
    <xf numFmtId="9" fontId="101" fillId="5" borderId="0" xfId="1" applyFont="1" applyFill="1" applyBorder="1" applyAlignment="1">
      <alignment horizontal="right" vertical="center"/>
    </xf>
    <xf numFmtId="3" fontId="67" fillId="5" borderId="0" xfId="19" applyNumberFormat="1" applyFont="1" applyFill="1" applyBorder="1" applyAlignment="1">
      <alignment horizontal="center" vertical="center"/>
    </xf>
    <xf numFmtId="3" fontId="67" fillId="5" borderId="154" xfId="19" applyNumberFormat="1" applyFont="1" applyFill="1" applyBorder="1" applyAlignment="1">
      <alignment horizontal="center" vertical="center"/>
    </xf>
    <xf numFmtId="3" fontId="67" fillId="5" borderId="0" xfId="19" applyNumberFormat="1" applyFont="1" applyFill="1" applyBorder="1" applyAlignment="1">
      <alignment vertical="center"/>
    </xf>
    <xf numFmtId="3" fontId="67" fillId="5" borderId="0" xfId="0" applyNumberFormat="1" applyFont="1" applyFill="1" applyBorder="1" applyAlignment="1">
      <alignment horizontal="right" vertical="center"/>
    </xf>
    <xf numFmtId="9" fontId="67" fillId="5" borderId="0" xfId="1" applyFont="1" applyFill="1" applyBorder="1" applyAlignment="1">
      <alignment horizontal="right" vertical="center"/>
    </xf>
    <xf numFmtId="3" fontId="67" fillId="5" borderId="154" xfId="19" applyNumberFormat="1" applyFont="1" applyFill="1" applyBorder="1" applyAlignment="1">
      <alignment vertical="center"/>
    </xf>
    <xf numFmtId="9" fontId="101" fillId="0" borderId="0" xfId="0" applyNumberFormat="1" applyFont="1" applyBorder="1" applyAlignment="1">
      <alignment horizontal="right" vertical="center"/>
    </xf>
    <xf numFmtId="9" fontId="101" fillId="0" borderId="0" xfId="1" applyFont="1" applyBorder="1" applyAlignment="1">
      <alignment horizontal="right" vertical="center"/>
    </xf>
    <xf numFmtId="0" fontId="67" fillId="5" borderId="153" xfId="0" applyFont="1" applyFill="1" applyBorder="1" applyAlignment="1">
      <alignment horizontal="left" vertical="center"/>
    </xf>
    <xf numFmtId="0" fontId="67" fillId="5" borderId="0" xfId="0" applyFont="1" applyFill="1" applyBorder="1" applyAlignment="1">
      <alignment horizontal="left" vertical="center"/>
    </xf>
    <xf numFmtId="9" fontId="67" fillId="5" borderId="0" xfId="0" applyNumberFormat="1" applyFont="1" applyFill="1" applyBorder="1" applyAlignment="1">
      <alignment horizontal="right" vertical="center"/>
    </xf>
    <xf numFmtId="0" fontId="67" fillId="0" borderId="153" xfId="0" applyFont="1" applyBorder="1" applyAlignment="1">
      <alignment horizontal="left" vertical="center"/>
    </xf>
    <xf numFmtId="0" fontId="67" fillId="0" borderId="0" xfId="0" applyFont="1" applyBorder="1" applyAlignment="1">
      <alignment horizontal="left" vertical="center"/>
    </xf>
    <xf numFmtId="3" fontId="67" fillId="0" borderId="0" xfId="0" applyNumberFormat="1" applyFont="1" applyBorder="1" applyAlignment="1">
      <alignment horizontal="right" vertical="center"/>
    </xf>
    <xf numFmtId="9" fontId="67" fillId="0" borderId="0" xfId="0" applyNumberFormat="1" applyFont="1" applyBorder="1" applyAlignment="1">
      <alignment horizontal="right" vertical="center"/>
    </xf>
    <xf numFmtId="9" fontId="67" fillId="0" borderId="0" xfId="1" applyFont="1" applyBorder="1" applyAlignment="1">
      <alignment horizontal="right" vertical="center"/>
    </xf>
    <xf numFmtId="3" fontId="67" fillId="0" borderId="0" xfId="19" applyNumberFormat="1" applyFont="1" applyBorder="1" applyAlignment="1">
      <alignment vertical="center"/>
    </xf>
    <xf numFmtId="3" fontId="67" fillId="0" borderId="154" xfId="19" applyNumberFormat="1" applyFont="1" applyBorder="1" applyAlignment="1">
      <alignment vertical="center"/>
    </xf>
    <xf numFmtId="0" fontId="68" fillId="5" borderId="153" xfId="0" applyFont="1" applyFill="1" applyBorder="1" applyAlignment="1">
      <alignment horizontal="left" vertical="center"/>
    </xf>
    <xf numFmtId="0" fontId="68" fillId="5" borderId="0" xfId="0" applyFont="1" applyFill="1" applyBorder="1" applyAlignment="1">
      <alignment horizontal="left" vertical="center"/>
    </xf>
    <xf numFmtId="3" fontId="68" fillId="5" borderId="0" xfId="0" applyNumberFormat="1" applyFont="1" applyFill="1" applyBorder="1" applyAlignment="1">
      <alignment horizontal="right" vertical="center"/>
    </xf>
    <xf numFmtId="9" fontId="68" fillId="5" borderId="0" xfId="0" applyNumberFormat="1" applyFont="1" applyFill="1" applyBorder="1" applyAlignment="1">
      <alignment horizontal="right" vertical="center"/>
    </xf>
    <xf numFmtId="3" fontId="68" fillId="5" borderId="154" xfId="0" applyNumberFormat="1" applyFont="1" applyFill="1" applyBorder="1" applyAlignment="1">
      <alignment horizontal="right" vertical="center"/>
    </xf>
    <xf numFmtId="0" fontId="68" fillId="0" borderId="153" xfId="0" applyFont="1" applyBorder="1" applyAlignment="1">
      <alignment horizontal="left" vertical="center"/>
    </xf>
    <xf numFmtId="0" fontId="68" fillId="0" borderId="0" xfId="0" applyFont="1" applyBorder="1" applyAlignment="1">
      <alignment horizontal="left" vertical="center"/>
    </xf>
    <xf numFmtId="3" fontId="68" fillId="0" borderId="0" xfId="0" applyNumberFormat="1" applyFont="1" applyBorder="1" applyAlignment="1">
      <alignment horizontal="right" vertical="center"/>
    </xf>
    <xf numFmtId="9" fontId="68" fillId="0" borderId="0" xfId="0" applyNumberFormat="1" applyFont="1" applyBorder="1" applyAlignment="1">
      <alignment horizontal="right" vertical="center"/>
    </xf>
    <xf numFmtId="3" fontId="68" fillId="0" borderId="154" xfId="0" applyNumberFormat="1" applyFont="1" applyBorder="1" applyAlignment="1">
      <alignment horizontal="right" vertical="center"/>
    </xf>
    <xf numFmtId="0" fontId="68" fillId="5" borderId="141" xfId="0" applyFont="1" applyFill="1" applyBorder="1" applyAlignment="1">
      <alignment horizontal="left" vertical="center"/>
    </xf>
    <xf numFmtId="0" fontId="68" fillId="5" borderId="144" xfId="0" applyFont="1" applyFill="1" applyBorder="1" applyAlignment="1">
      <alignment horizontal="left" vertical="center"/>
    </xf>
    <xf numFmtId="3" fontId="68" fillId="5" borderId="144" xfId="0" applyNumberFormat="1" applyFont="1" applyFill="1" applyBorder="1" applyAlignment="1">
      <alignment horizontal="right" vertical="center"/>
    </xf>
    <xf numFmtId="9" fontId="68" fillId="5" borderId="144" xfId="0" applyNumberFormat="1" applyFont="1" applyFill="1" applyBorder="1" applyAlignment="1">
      <alignment horizontal="right" vertical="center"/>
    </xf>
    <xf numFmtId="9" fontId="67" fillId="5" borderId="144" xfId="1" applyFont="1" applyFill="1" applyBorder="1" applyAlignment="1">
      <alignment horizontal="right" vertical="center"/>
    </xf>
    <xf numFmtId="3" fontId="68" fillId="5" borderId="142" xfId="0" applyNumberFormat="1" applyFont="1" applyFill="1" applyBorder="1" applyAlignment="1">
      <alignment horizontal="right" vertical="center"/>
    </xf>
    <xf numFmtId="0" fontId="99" fillId="0" borderId="20" xfId="0" applyFont="1" applyBorder="1" applyAlignment="1">
      <alignment horizontal="center" vertical="center"/>
    </xf>
    <xf numFmtId="178" fontId="99" fillId="0" borderId="20" xfId="14" applyNumberFormat="1" applyFont="1" applyBorder="1" applyAlignment="1">
      <alignment horizontal="center" vertical="center"/>
    </xf>
    <xf numFmtId="0" fontId="104" fillId="7" borderId="178" xfId="0" applyFont="1" applyFill="1" applyBorder="1" applyAlignment="1">
      <alignment horizontal="center" vertical="center"/>
    </xf>
    <xf numFmtId="0" fontId="104" fillId="7" borderId="179" xfId="0" applyFont="1" applyFill="1" applyBorder="1" applyAlignment="1">
      <alignment horizontal="center" vertical="center"/>
    </xf>
    <xf numFmtId="0" fontId="104" fillId="7" borderId="180" xfId="0" applyFont="1" applyFill="1" applyBorder="1" applyAlignment="1">
      <alignment horizontal="center" vertical="center"/>
    </xf>
    <xf numFmtId="9" fontId="99" fillId="0" borderId="20" xfId="1" applyFont="1" applyBorder="1" applyAlignment="1">
      <alignment horizontal="center" vertical="center"/>
    </xf>
    <xf numFmtId="0" fontId="7" fillId="2" borderId="0" xfId="0" applyFont="1" applyFill="1" applyAlignment="1">
      <alignment vertical="center"/>
    </xf>
    <xf numFmtId="0" fontId="101" fillId="2" borderId="0" xfId="0" applyFont="1" applyFill="1" applyAlignment="1">
      <alignment vertical="center"/>
    </xf>
    <xf numFmtId="0" fontId="99" fillId="2" borderId="0" xfId="0" applyFont="1" applyFill="1" applyAlignment="1">
      <alignment horizontal="center" vertical="center"/>
    </xf>
    <xf numFmtId="0" fontId="99" fillId="2" borderId="0" xfId="0" applyFont="1" applyFill="1" applyAlignment="1">
      <alignment vertical="center"/>
    </xf>
    <xf numFmtId="0" fontId="99" fillId="2" borderId="0" xfId="0" applyFont="1" applyFill="1" applyAlignment="1">
      <alignment horizontal="left" vertical="center"/>
    </xf>
    <xf numFmtId="0" fontId="68" fillId="2" borderId="0" xfId="0" applyFont="1" applyFill="1" applyAlignment="1">
      <alignment vertical="center" wrapText="1"/>
    </xf>
    <xf numFmtId="0" fontId="68" fillId="2" borderId="0" xfId="0" applyFont="1" applyFill="1" applyAlignment="1">
      <alignment vertical="center"/>
    </xf>
    <xf numFmtId="0" fontId="99" fillId="2" borderId="0" xfId="0" applyFont="1" applyFill="1" applyAlignment="1">
      <alignment horizontal="center" vertical="center" wrapText="1"/>
    </xf>
    <xf numFmtId="178" fontId="6" fillId="2" borderId="0" xfId="0" applyNumberFormat="1" applyFont="1" applyFill="1" applyAlignment="1">
      <alignment vertical="center"/>
    </xf>
    <xf numFmtId="178" fontId="7" fillId="2" borderId="32" xfId="14" applyNumberFormat="1" applyFont="1" applyFill="1" applyBorder="1" applyAlignment="1">
      <alignment horizontal="center" vertical="center"/>
    </xf>
    <xf numFmtId="0" fontId="5" fillId="2" borderId="32" xfId="0" applyFont="1" applyFill="1" applyBorder="1" applyAlignment="1">
      <alignment horizontal="left" vertical="center"/>
    </xf>
    <xf numFmtId="178" fontId="5" fillId="33" borderId="32" xfId="14" applyNumberFormat="1" applyFont="1" applyFill="1" applyBorder="1" applyAlignment="1">
      <alignment horizontal="center" vertical="center"/>
    </xf>
    <xf numFmtId="0" fontId="6" fillId="2" borderId="32" xfId="0" applyFont="1" applyFill="1" applyBorder="1" applyAlignment="1">
      <alignment vertical="center"/>
    </xf>
    <xf numFmtId="0" fontId="5" fillId="2" borderId="32" xfId="0" applyFont="1" applyFill="1" applyBorder="1" applyAlignment="1">
      <alignment vertical="center" wrapText="1"/>
    </xf>
    <xf numFmtId="0" fontId="6" fillId="2" borderId="182" xfId="0" applyFont="1" applyFill="1" applyBorder="1" applyAlignment="1">
      <alignment vertical="center"/>
    </xf>
    <xf numFmtId="178" fontId="5" fillId="33" borderId="0" xfId="14" applyNumberFormat="1" applyFont="1" applyFill="1" applyBorder="1" applyAlignment="1">
      <alignment horizontal="center" vertical="center"/>
    </xf>
    <xf numFmtId="176" fontId="5" fillId="2" borderId="0" xfId="14" applyNumberFormat="1" applyFont="1" applyFill="1" applyBorder="1" applyAlignment="1">
      <alignment horizontal="left" vertical="center"/>
    </xf>
    <xf numFmtId="0" fontId="5" fillId="2" borderId="0" xfId="0" applyFont="1" applyFill="1" applyBorder="1" applyAlignment="1">
      <alignment horizontal="left" vertical="center"/>
    </xf>
    <xf numFmtId="0" fontId="5" fillId="2" borderId="0" xfId="0" applyFont="1" applyFill="1" applyBorder="1" applyAlignment="1">
      <alignment vertical="center"/>
    </xf>
    <xf numFmtId="0" fontId="6" fillId="2" borderId="0" xfId="0" applyFont="1" applyFill="1" applyBorder="1" applyAlignment="1">
      <alignment horizontal="left" vertical="center"/>
    </xf>
    <xf numFmtId="178" fontId="6" fillId="2" borderId="0" xfId="14" applyNumberFormat="1" applyFont="1" applyFill="1" applyBorder="1" applyAlignment="1">
      <alignment horizontal="center" vertical="center"/>
    </xf>
    <xf numFmtId="169" fontId="26" fillId="2" borderId="0" xfId="0" applyNumberFormat="1" applyFont="1" applyFill="1" applyBorder="1" applyAlignment="1">
      <alignment vertical="center"/>
    </xf>
    <xf numFmtId="0" fontId="5" fillId="2" borderId="0" xfId="0" applyFont="1" applyFill="1" applyBorder="1" applyAlignment="1">
      <alignment vertical="center" wrapText="1"/>
    </xf>
    <xf numFmtId="0" fontId="6" fillId="2" borderId="0" xfId="0" applyFont="1" applyFill="1" applyBorder="1" applyAlignment="1">
      <alignment vertical="center"/>
    </xf>
    <xf numFmtId="0" fontId="26" fillId="2" borderId="0" xfId="0" applyFont="1" applyFill="1" applyBorder="1" applyAlignment="1">
      <alignment vertical="center"/>
    </xf>
    <xf numFmtId="0" fontId="6" fillId="2" borderId="183" xfId="0" applyFont="1" applyFill="1" applyBorder="1" applyAlignment="1">
      <alignment vertical="center"/>
    </xf>
    <xf numFmtId="3" fontId="5" fillId="2" borderId="0" xfId="0" applyNumberFormat="1" applyFont="1" applyFill="1" applyBorder="1" applyAlignment="1">
      <alignment vertical="center"/>
    </xf>
    <xf numFmtId="10" fontId="5" fillId="33" borderId="0" xfId="10" applyNumberFormat="1" applyFont="1" applyFill="1" applyBorder="1" applyAlignment="1">
      <alignment horizontal="center" vertical="center"/>
    </xf>
    <xf numFmtId="0" fontId="6" fillId="2" borderId="0" xfId="0" applyFont="1" applyFill="1" applyBorder="1" applyAlignment="1">
      <alignment horizontal="center" vertical="center"/>
    </xf>
    <xf numFmtId="9" fontId="6" fillId="2" borderId="0" xfId="0" applyNumberFormat="1" applyFont="1" applyFill="1" applyBorder="1" applyAlignment="1">
      <alignment horizontal="center" vertical="center"/>
    </xf>
    <xf numFmtId="0" fontId="26" fillId="2" borderId="0" xfId="0" applyFont="1" applyFill="1" applyBorder="1" applyAlignment="1">
      <alignment horizontal="left" vertical="center"/>
    </xf>
    <xf numFmtId="0" fontId="6" fillId="2" borderId="30" xfId="0" applyFont="1" applyFill="1" applyBorder="1" applyAlignment="1">
      <alignment vertical="center"/>
    </xf>
    <xf numFmtId="0" fontId="6" fillId="2" borderId="185" xfId="0" applyFont="1" applyFill="1" applyBorder="1" applyAlignment="1">
      <alignment vertical="center"/>
    </xf>
    <xf numFmtId="0" fontId="5" fillId="2" borderId="143" xfId="0" applyFont="1" applyFill="1" applyBorder="1" applyAlignment="1">
      <alignment vertical="center"/>
    </xf>
    <xf numFmtId="0" fontId="6" fillId="2" borderId="143" xfId="0" applyFont="1" applyFill="1" applyBorder="1" applyAlignment="1">
      <alignment vertical="center"/>
    </xf>
    <xf numFmtId="0" fontId="6" fillId="2" borderId="140" xfId="0" applyFont="1" applyFill="1" applyBorder="1" applyAlignment="1">
      <alignment vertical="center"/>
    </xf>
    <xf numFmtId="0" fontId="6" fillId="2" borderId="154" xfId="0" applyFont="1" applyFill="1" applyBorder="1" applyAlignment="1">
      <alignment vertical="center"/>
    </xf>
    <xf numFmtId="0" fontId="6" fillId="2" borderId="153" xfId="0" applyFont="1" applyFill="1" applyBorder="1" applyAlignment="1">
      <alignment horizontal="center" vertical="center"/>
    </xf>
    <xf numFmtId="0" fontId="6" fillId="2" borderId="141" xfId="0" applyFont="1" applyFill="1" applyBorder="1" applyAlignment="1">
      <alignment horizontal="left" vertical="center"/>
    </xf>
    <xf numFmtId="0" fontId="6" fillId="2" borderId="144" xfId="0" applyFont="1" applyFill="1" applyBorder="1" applyAlignment="1">
      <alignment horizontal="center" vertical="center"/>
    </xf>
    <xf numFmtId="0" fontId="6" fillId="2" borderId="144" xfId="0" applyFont="1" applyFill="1" applyBorder="1" applyAlignment="1">
      <alignment vertical="center"/>
    </xf>
    <xf numFmtId="0" fontId="6" fillId="2" borderId="142" xfId="0" applyFont="1" applyFill="1" applyBorder="1" applyAlignment="1">
      <alignment vertical="center"/>
    </xf>
    <xf numFmtId="0" fontId="13" fillId="7" borderId="153" xfId="0" applyFont="1" applyFill="1" applyBorder="1" applyAlignment="1">
      <alignment horizontal="center" vertical="center"/>
    </xf>
    <xf numFmtId="178" fontId="13" fillId="7" borderId="0" xfId="14" applyNumberFormat="1" applyFont="1" applyFill="1" applyBorder="1" applyAlignment="1">
      <alignment horizontal="center" vertical="center"/>
    </xf>
    <xf numFmtId="9" fontId="13" fillId="7" borderId="0" xfId="1" applyFont="1" applyFill="1" applyBorder="1" applyAlignment="1">
      <alignment horizontal="center" vertical="center"/>
    </xf>
    <xf numFmtId="0" fontId="13" fillId="7" borderId="0" xfId="0" applyFont="1" applyFill="1" applyBorder="1" applyAlignment="1">
      <alignment vertical="center"/>
    </xf>
    <xf numFmtId="178" fontId="6" fillId="2" borderId="154" xfId="14" applyNumberFormat="1" applyFont="1" applyFill="1" applyBorder="1" applyAlignment="1">
      <alignment horizontal="center" vertical="center"/>
    </xf>
    <xf numFmtId="0" fontId="5" fillId="2" borderId="154" xfId="0" applyFont="1" applyFill="1" applyBorder="1" applyAlignment="1">
      <alignment vertical="center"/>
    </xf>
    <xf numFmtId="0" fontId="6" fillId="2" borderId="153" xfId="0" applyFont="1" applyFill="1" applyBorder="1" applyAlignment="1">
      <alignment horizontal="left" vertical="center"/>
    </xf>
    <xf numFmtId="0" fontId="6" fillId="2" borderId="153" xfId="0" applyFont="1" applyFill="1" applyBorder="1" applyAlignment="1">
      <alignment vertical="center"/>
    </xf>
    <xf numFmtId="0" fontId="6" fillId="2" borderId="141" xfId="0" applyFont="1" applyFill="1" applyBorder="1" applyAlignment="1">
      <alignment vertical="center"/>
    </xf>
    <xf numFmtId="0" fontId="7" fillId="2" borderId="139" xfId="0" applyFont="1" applyFill="1" applyBorder="1" applyAlignment="1">
      <alignment vertical="center"/>
    </xf>
    <xf numFmtId="0" fontId="6" fillId="2" borderId="143" xfId="0" applyFont="1" applyFill="1" applyBorder="1" applyAlignment="1">
      <alignment horizontal="center" vertical="center"/>
    </xf>
    <xf numFmtId="0" fontId="6" fillId="2" borderId="139" xfId="0" applyFont="1" applyFill="1" applyBorder="1" applyAlignment="1">
      <alignment vertical="center"/>
    </xf>
    <xf numFmtId="0" fontId="5" fillId="2" borderId="30" xfId="0" applyFont="1" applyFill="1" applyBorder="1" applyAlignment="1">
      <alignment vertical="center"/>
    </xf>
    <xf numFmtId="0" fontId="5" fillId="2" borderId="182" xfId="0" applyFont="1" applyFill="1" applyBorder="1" applyAlignment="1">
      <alignment horizontal="left" vertical="center"/>
    </xf>
    <xf numFmtId="0" fontId="5" fillId="2" borderId="183" xfId="0" applyFont="1" applyFill="1" applyBorder="1" applyAlignment="1">
      <alignment horizontal="left" vertical="center"/>
    </xf>
    <xf numFmtId="178" fontId="6" fillId="2" borderId="183" xfId="14" applyNumberFormat="1" applyFont="1" applyFill="1" applyBorder="1" applyAlignment="1">
      <alignment horizontal="center" vertical="center"/>
    </xf>
    <xf numFmtId="3" fontId="5" fillId="2" borderId="183" xfId="0" applyNumberFormat="1" applyFont="1" applyFill="1" applyBorder="1" applyAlignment="1">
      <alignment vertical="center"/>
    </xf>
    <xf numFmtId="0" fontId="5" fillId="2" borderId="183" xfId="0" applyFont="1" applyFill="1" applyBorder="1" applyAlignment="1">
      <alignment vertical="center"/>
    </xf>
    <xf numFmtId="0" fontId="5" fillId="2" borderId="185" xfId="0" applyFont="1" applyFill="1" applyBorder="1" applyAlignment="1">
      <alignment vertical="center"/>
    </xf>
    <xf numFmtId="0" fontId="13" fillId="7" borderId="153" xfId="0" applyFont="1" applyFill="1" applyBorder="1" applyAlignment="1">
      <alignment horizontal="left" vertical="center"/>
    </xf>
    <xf numFmtId="0" fontId="13" fillId="7" borderId="0" xfId="0" applyFont="1" applyFill="1" applyBorder="1" applyAlignment="1">
      <alignment horizontal="left" vertical="center"/>
    </xf>
    <xf numFmtId="0" fontId="13" fillId="7" borderId="187" xfId="0" applyFont="1" applyFill="1" applyBorder="1" applyAlignment="1">
      <alignment vertical="center"/>
    </xf>
    <xf numFmtId="0" fontId="13" fillId="7" borderId="30" xfId="0" applyFont="1" applyFill="1" applyBorder="1" applyAlignment="1">
      <alignment vertical="center"/>
    </xf>
    <xf numFmtId="9" fontId="6" fillId="2" borderId="30" xfId="0" applyNumberFormat="1" applyFont="1" applyFill="1" applyBorder="1" applyAlignment="1">
      <alignment vertical="center"/>
    </xf>
    <xf numFmtId="0" fontId="26" fillId="2" borderId="30" xfId="0" applyFont="1" applyFill="1" applyBorder="1" applyAlignment="1">
      <alignment horizontal="left" vertical="center"/>
    </xf>
    <xf numFmtId="0" fontId="13" fillId="7" borderId="187" xfId="0" applyFont="1" applyFill="1" applyBorder="1" applyAlignment="1">
      <alignment vertical="center" wrapText="1"/>
    </xf>
    <xf numFmtId="0" fontId="13" fillId="7" borderId="30" xfId="0" applyFont="1" applyFill="1" applyBorder="1" applyAlignment="1">
      <alignment vertical="center" wrapText="1"/>
    </xf>
    <xf numFmtId="178" fontId="6" fillId="33" borderId="32" xfId="14" applyNumberFormat="1" applyFont="1" applyFill="1" applyBorder="1" applyAlignment="1">
      <alignment horizontal="center" vertical="center"/>
    </xf>
    <xf numFmtId="0" fontId="7" fillId="2" borderId="0" xfId="0" applyFont="1" applyFill="1" applyBorder="1" applyAlignment="1">
      <alignment vertical="center"/>
    </xf>
    <xf numFmtId="0" fontId="7" fillId="2" borderId="153" xfId="0" applyFont="1" applyFill="1" applyBorder="1" applyAlignment="1">
      <alignment horizontal="left" vertical="center"/>
    </xf>
    <xf numFmtId="176" fontId="6" fillId="2" borderId="0" xfId="14" applyNumberFormat="1" applyFont="1" applyFill="1" applyBorder="1" applyAlignment="1">
      <alignment horizontal="center" vertical="center"/>
    </xf>
    <xf numFmtId="9" fontId="6" fillId="2" borderId="0" xfId="1" applyFont="1" applyFill="1" applyBorder="1" applyAlignment="1">
      <alignment vertical="center"/>
    </xf>
    <xf numFmtId="0" fontId="6" fillId="2" borderId="153" xfId="0" applyFont="1" applyFill="1" applyBorder="1" applyAlignment="1">
      <alignment horizontal="center" vertical="center" wrapText="1"/>
    </xf>
    <xf numFmtId="170" fontId="6" fillId="2" borderId="0" xfId="14" applyFont="1" applyFill="1" applyBorder="1" applyAlignment="1">
      <alignment vertical="center"/>
    </xf>
    <xf numFmtId="176" fontId="6" fillId="2" borderId="0" xfId="0" applyNumberFormat="1" applyFont="1" applyFill="1" applyBorder="1" applyAlignment="1">
      <alignment vertical="center"/>
    </xf>
    <xf numFmtId="9" fontId="26" fillId="2" borderId="0" xfId="1" applyFont="1" applyFill="1" applyBorder="1" applyAlignment="1">
      <alignment vertical="center"/>
    </xf>
    <xf numFmtId="176" fontId="6" fillId="2" borderId="0" xfId="14" applyNumberFormat="1" applyFont="1" applyFill="1" applyBorder="1" applyAlignment="1">
      <alignment vertical="center"/>
    </xf>
    <xf numFmtId="0" fontId="7" fillId="2" borderId="153" xfId="0" applyFont="1" applyFill="1" applyBorder="1" applyAlignment="1">
      <alignment vertical="center"/>
    </xf>
    <xf numFmtId="9" fontId="6" fillId="2" borderId="0" xfId="0" applyNumberFormat="1" applyFont="1" applyFill="1" applyBorder="1" applyAlignment="1">
      <alignment horizontal="center" vertical="center" wrapText="1"/>
    </xf>
    <xf numFmtId="178" fontId="6" fillId="2" borderId="0" xfId="0" applyNumberFormat="1" applyFont="1" applyFill="1" applyBorder="1" applyAlignment="1">
      <alignment vertical="center"/>
    </xf>
    <xf numFmtId="169" fontId="6" fillId="2" borderId="0" xfId="0" applyNumberFormat="1" applyFont="1" applyFill="1" applyBorder="1" applyAlignment="1">
      <alignment vertical="center"/>
    </xf>
    <xf numFmtId="0" fontId="7" fillId="2" borderId="154" xfId="0" applyFont="1" applyFill="1" applyBorder="1" applyAlignment="1">
      <alignment vertical="center"/>
    </xf>
    <xf numFmtId="176" fontId="6" fillId="2" borderId="0" xfId="0" applyNumberFormat="1" applyFont="1" applyFill="1" applyBorder="1" applyAlignment="1">
      <alignment horizontal="center" vertical="center"/>
    </xf>
    <xf numFmtId="0" fontId="6" fillId="2" borderId="141" xfId="0" applyFont="1" applyFill="1" applyBorder="1" applyAlignment="1">
      <alignment horizontal="center" vertical="center"/>
    </xf>
    <xf numFmtId="0" fontId="7" fillId="2" borderId="0" xfId="0" applyFont="1" applyFill="1" applyBorder="1" applyAlignment="1">
      <alignment horizontal="left" vertical="center"/>
    </xf>
    <xf numFmtId="0" fontId="6" fillId="2" borderId="0" xfId="0" applyFont="1" applyFill="1" applyBorder="1" applyAlignment="1">
      <alignment horizontal="center" vertical="center" wrapText="1"/>
    </xf>
    <xf numFmtId="10" fontId="6" fillId="2" borderId="0" xfId="0" applyNumberFormat="1" applyFont="1" applyFill="1" applyBorder="1" applyAlignment="1">
      <alignment horizontal="center" vertical="center"/>
    </xf>
    <xf numFmtId="170" fontId="6" fillId="2" borderId="0" xfId="0" applyNumberFormat="1" applyFont="1" applyFill="1" applyBorder="1" applyAlignment="1">
      <alignment vertical="center"/>
    </xf>
    <xf numFmtId="10" fontId="6" fillId="2" borderId="0" xfId="0" applyNumberFormat="1" applyFont="1" applyFill="1" applyBorder="1" applyAlignment="1">
      <alignment horizontal="center" vertical="center" wrapText="1"/>
    </xf>
    <xf numFmtId="178" fontId="6" fillId="2" borderId="0" xfId="14" applyNumberFormat="1" applyFont="1" applyFill="1" applyBorder="1" applyAlignment="1">
      <alignment vertical="center"/>
    </xf>
    <xf numFmtId="9" fontId="7" fillId="2" borderId="0" xfId="0" applyNumberFormat="1" applyFont="1" applyFill="1" applyBorder="1" applyAlignment="1">
      <alignment horizontal="center" vertical="center"/>
    </xf>
    <xf numFmtId="174" fontId="6" fillId="2" borderId="0" xfId="14" applyNumberFormat="1" applyFont="1" applyFill="1" applyBorder="1" applyAlignment="1">
      <alignment horizontal="center" vertical="center"/>
    </xf>
    <xf numFmtId="0" fontId="10" fillId="7" borderId="153" xfId="0" applyFont="1" applyFill="1" applyBorder="1" applyAlignment="1">
      <alignment horizontal="left" vertical="center"/>
    </xf>
    <xf numFmtId="0" fontId="13" fillId="7" borderId="0" xfId="0" applyFont="1" applyFill="1" applyBorder="1" applyAlignment="1">
      <alignment horizontal="center" vertical="center"/>
    </xf>
    <xf numFmtId="0" fontId="13" fillId="7" borderId="154" xfId="0" applyFont="1" applyFill="1" applyBorder="1" applyAlignment="1">
      <alignment vertical="center"/>
    </xf>
    <xf numFmtId="9" fontId="5" fillId="2" borderId="20" xfId="0" applyNumberFormat="1" applyFont="1" applyFill="1" applyBorder="1" applyAlignment="1">
      <alignment horizontal="center" vertical="center"/>
    </xf>
    <xf numFmtId="9" fontId="5" fillId="0" borderId="20" xfId="0" applyNumberFormat="1" applyFont="1" applyFill="1" applyBorder="1" applyAlignment="1">
      <alignment horizontal="center" vertical="center"/>
    </xf>
    <xf numFmtId="180" fontId="6" fillId="2" borderId="20" xfId="0" applyNumberFormat="1" applyFont="1" applyFill="1" applyBorder="1" applyAlignment="1">
      <alignment horizontal="center" vertical="center" wrapText="1"/>
    </xf>
    <xf numFmtId="179" fontId="6" fillId="2" borderId="20" xfId="0" applyNumberFormat="1" applyFont="1" applyFill="1" applyBorder="1" applyAlignment="1">
      <alignment horizontal="center" vertical="center" wrapText="1"/>
    </xf>
    <xf numFmtId="0" fontId="13" fillId="7" borderId="20" xfId="0" applyFont="1" applyFill="1" applyBorder="1" applyAlignment="1">
      <alignment horizontal="center" vertical="center" wrapText="1"/>
    </xf>
    <xf numFmtId="0" fontId="6" fillId="2" borderId="133" xfId="0" applyFont="1" applyFill="1" applyBorder="1" applyAlignment="1">
      <alignment horizontal="center" vertical="center"/>
    </xf>
    <xf numFmtId="0" fontId="10" fillId="7" borderId="193" xfId="0" applyFont="1" applyFill="1" applyBorder="1" applyAlignment="1">
      <alignment horizontal="center" vertical="center"/>
    </xf>
    <xf numFmtId="0" fontId="10" fillId="7" borderId="194" xfId="0" applyFont="1" applyFill="1" applyBorder="1" applyAlignment="1">
      <alignment horizontal="center" vertical="center"/>
    </xf>
    <xf numFmtId="0" fontId="10" fillId="7" borderId="194" xfId="0" applyFont="1" applyFill="1" applyBorder="1" applyAlignment="1">
      <alignment horizontal="center" vertical="center" wrapText="1"/>
    </xf>
    <xf numFmtId="0" fontId="10" fillId="7" borderId="195" xfId="0" applyFont="1" applyFill="1" applyBorder="1" applyAlignment="1">
      <alignment horizontal="center" vertical="center" wrapText="1"/>
    </xf>
    <xf numFmtId="0" fontId="6" fillId="54" borderId="133" xfId="0" applyFont="1" applyFill="1" applyBorder="1" applyAlignment="1">
      <alignment horizontal="center" vertical="center"/>
    </xf>
    <xf numFmtId="3" fontId="6" fillId="2" borderId="133" xfId="0" applyNumberFormat="1" applyFont="1" applyFill="1" applyBorder="1" applyAlignment="1">
      <alignment horizontal="center" vertical="center"/>
    </xf>
    <xf numFmtId="3" fontId="6" fillId="2" borderId="133" xfId="14" applyNumberFormat="1" applyFont="1" applyFill="1" applyBorder="1" applyAlignment="1">
      <alignment horizontal="center" vertical="center"/>
    </xf>
    <xf numFmtId="3" fontId="6" fillId="2" borderId="133" xfId="1" applyNumberFormat="1" applyFont="1" applyFill="1" applyBorder="1" applyAlignment="1">
      <alignment horizontal="center" vertical="center"/>
    </xf>
    <xf numFmtId="3" fontId="6" fillId="54" borderId="133" xfId="14" applyNumberFormat="1" applyFont="1" applyFill="1" applyBorder="1" applyAlignment="1">
      <alignment horizontal="center" vertical="center"/>
    </xf>
    <xf numFmtId="0" fontId="6" fillId="2" borderId="20" xfId="0" applyFont="1" applyFill="1" applyBorder="1" applyAlignment="1">
      <alignment horizontal="center" vertical="center"/>
    </xf>
    <xf numFmtId="0" fontId="10" fillId="7" borderId="203" xfId="0" applyFont="1" applyFill="1" applyBorder="1" applyAlignment="1">
      <alignment horizontal="center" vertical="center" wrapText="1"/>
    </xf>
    <xf numFmtId="0" fontId="10" fillId="7" borderId="203" xfId="0" applyFont="1" applyFill="1" applyBorder="1" applyAlignment="1">
      <alignment horizontal="center" vertical="center"/>
    </xf>
    <xf numFmtId="0" fontId="10" fillId="7" borderId="200" xfId="0" applyFont="1" applyFill="1" applyBorder="1" applyAlignment="1">
      <alignment horizontal="center" vertical="center"/>
    </xf>
    <xf numFmtId="0" fontId="10" fillId="7" borderId="204" xfId="0" applyFont="1" applyFill="1" applyBorder="1" applyAlignment="1">
      <alignment horizontal="center" vertical="center" wrapText="1"/>
    </xf>
    <xf numFmtId="0" fontId="10" fillId="7" borderId="202" xfId="0" applyFont="1" applyFill="1" applyBorder="1" applyAlignment="1">
      <alignment horizontal="center" vertical="center" wrapText="1"/>
    </xf>
    <xf numFmtId="0" fontId="13" fillId="7" borderId="198" xfId="0" applyFont="1" applyFill="1" applyBorder="1" applyAlignment="1">
      <alignment vertical="center"/>
    </xf>
    <xf numFmtId="37" fontId="6" fillId="2" borderId="20" xfId="0" applyNumberFormat="1" applyFont="1" applyFill="1" applyBorder="1" applyAlignment="1">
      <alignment horizontal="center" vertical="center"/>
    </xf>
    <xf numFmtId="172" fontId="7" fillId="5" borderId="20" xfId="0" applyNumberFormat="1" applyFont="1" applyFill="1" applyBorder="1" applyAlignment="1">
      <alignment horizontal="center" vertical="center"/>
    </xf>
    <xf numFmtId="0" fontId="7" fillId="5" borderId="20" xfId="0" applyFont="1" applyFill="1" applyBorder="1" applyAlignment="1">
      <alignment horizontal="center" vertical="center"/>
    </xf>
    <xf numFmtId="9" fontId="7" fillId="5" borderId="20" xfId="0" applyNumberFormat="1" applyFont="1" applyFill="1" applyBorder="1" applyAlignment="1">
      <alignment horizontal="center" vertical="center"/>
    </xf>
    <xf numFmtId="3" fontId="6" fillId="54" borderId="133" xfId="0" applyNumberFormat="1" applyFont="1" applyFill="1" applyBorder="1" applyAlignment="1">
      <alignment horizontal="center" vertical="center"/>
    </xf>
    <xf numFmtId="3" fontId="6" fillId="54" borderId="133" xfId="1" applyNumberFormat="1" applyFont="1" applyFill="1" applyBorder="1" applyAlignment="1">
      <alignment horizontal="center" vertical="center"/>
    </xf>
    <xf numFmtId="0" fontId="149" fillId="0" borderId="0" xfId="0" applyFont="1" applyAlignment="1">
      <alignment vertical="center" wrapText="1"/>
    </xf>
    <xf numFmtId="3" fontId="68" fillId="0" borderId="0" xfId="8" applyNumberFormat="1" applyFont="1" applyAlignment="1">
      <alignment horizontal="center" vertical="center"/>
    </xf>
    <xf numFmtId="3" fontId="67" fillId="0" borderId="0" xfId="8" applyNumberFormat="1" applyFont="1" applyAlignment="1">
      <alignment horizontal="center" vertical="center"/>
    </xf>
    <xf numFmtId="0" fontId="68" fillId="0" borderId="0" xfId="0" applyFont="1" applyAlignment="1">
      <alignment horizontal="center" vertical="center"/>
    </xf>
    <xf numFmtId="0" fontId="99" fillId="0" borderId="0" xfId="0" applyFont="1" applyAlignment="1">
      <alignment vertical="center" wrapText="1"/>
    </xf>
    <xf numFmtId="0" fontId="101" fillId="0" borderId="0" xfId="0" applyFont="1" applyAlignment="1">
      <alignment horizontal="center" vertical="center" wrapText="1"/>
    </xf>
    <xf numFmtId="0" fontId="149" fillId="12" borderId="0" xfId="0" applyFont="1" applyFill="1" applyAlignment="1">
      <alignment horizontal="center" vertical="center" wrapText="1"/>
    </xf>
    <xf numFmtId="0" fontId="68" fillId="0" borderId="0" xfId="0" applyFont="1" applyAlignment="1">
      <alignment horizontal="left" vertical="center" wrapText="1"/>
    </xf>
    <xf numFmtId="0" fontId="100" fillId="12" borderId="0" xfId="8" applyFont="1" applyFill="1" applyAlignment="1">
      <alignment horizontal="center" vertical="center"/>
    </xf>
    <xf numFmtId="3" fontId="68" fillId="12" borderId="0" xfId="8" applyNumberFormat="1" applyFont="1" applyFill="1" applyAlignment="1">
      <alignment horizontal="center" vertical="center"/>
    </xf>
    <xf numFmtId="10" fontId="100" fillId="0" borderId="0" xfId="23" applyNumberFormat="1" applyFont="1" applyAlignment="1">
      <alignment horizontal="center" vertical="center"/>
    </xf>
    <xf numFmtId="9" fontId="100" fillId="0" borderId="0" xfId="23" applyFont="1" applyAlignment="1">
      <alignment horizontal="center" vertical="center"/>
    </xf>
    <xf numFmtId="0" fontId="100" fillId="0" borderId="0" xfId="0" applyFont="1" applyAlignment="1">
      <alignment horizontal="center" vertical="center"/>
    </xf>
    <xf numFmtId="0" fontId="100" fillId="0" borderId="0" xfId="8" applyFont="1" applyAlignment="1">
      <alignment horizontal="center" vertical="center"/>
    </xf>
    <xf numFmtId="0" fontId="106" fillId="0" borderId="0" xfId="0" applyFont="1" applyAlignment="1">
      <alignment horizontal="left" vertical="center"/>
    </xf>
    <xf numFmtId="0" fontId="67" fillId="0" borderId="0" xfId="15" applyFont="1" applyAlignment="1" applyProtection="1">
      <alignment horizontal="center" vertical="center" wrapText="1"/>
      <protection locked="0"/>
    </xf>
    <xf numFmtId="0" fontId="68" fillId="0" borderId="0" xfId="0" applyFont="1" applyAlignment="1" applyProtection="1">
      <alignment vertical="center"/>
      <protection locked="0"/>
    </xf>
    <xf numFmtId="0" fontId="101" fillId="0" borderId="0" xfId="0" applyFont="1" applyAlignment="1">
      <alignment horizontal="center" vertical="center"/>
    </xf>
    <xf numFmtId="0" fontId="67" fillId="0" borderId="0" xfId="0" applyFont="1" applyAlignment="1">
      <alignment horizontal="center" vertical="center" wrapText="1"/>
    </xf>
    <xf numFmtId="0" fontId="67" fillId="0" borderId="0" xfId="8" applyFont="1" applyAlignment="1">
      <alignment horizontal="center" vertical="center" wrapText="1"/>
    </xf>
    <xf numFmtId="0" fontId="100" fillId="0" borderId="0" xfId="0" applyFont="1" applyAlignment="1">
      <alignment horizontal="center" vertical="center" wrapText="1"/>
    </xf>
    <xf numFmtId="9" fontId="68" fillId="0" borderId="0" xfId="23" applyFont="1" applyAlignment="1" applyProtection="1">
      <alignment horizontal="center" vertical="center"/>
      <protection locked="0"/>
    </xf>
    <xf numFmtId="0" fontId="149" fillId="0" borderId="0" xfId="0" applyFont="1" applyAlignment="1">
      <alignment horizontal="left" vertical="center"/>
    </xf>
    <xf numFmtId="0" fontId="149" fillId="0" borderId="0" xfId="0" applyFont="1" applyAlignment="1">
      <alignment horizontal="center" vertical="center"/>
    </xf>
    <xf numFmtId="3" fontId="149" fillId="0" borderId="0" xfId="0" applyNumberFormat="1" applyFont="1" applyAlignment="1">
      <alignment horizontal="center" vertical="center" wrapText="1"/>
    </xf>
    <xf numFmtId="9" fontId="68" fillId="0" borderId="0" xfId="25" applyFont="1" applyAlignment="1">
      <alignment horizontal="center" vertical="center"/>
    </xf>
    <xf numFmtId="0" fontId="149" fillId="0" borderId="0" xfId="0" applyFont="1" applyAlignment="1">
      <alignment horizontal="center" vertical="center" wrapText="1"/>
    </xf>
    <xf numFmtId="173" fontId="68" fillId="0" borderId="0" xfId="23" applyNumberFormat="1" applyFont="1" applyAlignment="1" applyProtection="1">
      <alignment horizontal="center" vertical="center"/>
      <protection locked="0"/>
    </xf>
    <xf numFmtId="1" fontId="149" fillId="0" borderId="0" xfId="0" applyNumberFormat="1" applyFont="1" applyAlignment="1">
      <alignment horizontal="center" vertical="center" wrapText="1"/>
    </xf>
    <xf numFmtId="0" fontId="146" fillId="12" borderId="0" xfId="0" applyFont="1" applyFill="1" applyAlignment="1">
      <alignment vertical="center"/>
    </xf>
    <xf numFmtId="0" fontId="147" fillId="12" borderId="0" xfId="0" applyFont="1" applyFill="1" applyAlignment="1">
      <alignment vertical="center" wrapText="1"/>
    </xf>
    <xf numFmtId="0" fontId="147" fillId="0" borderId="0" xfId="0" applyFont="1" applyAlignment="1">
      <alignment vertical="center" wrapText="1"/>
    </xf>
    <xf numFmtId="0" fontId="148" fillId="12" borderId="0" xfId="0" applyFont="1" applyFill="1" applyAlignment="1">
      <alignment horizontal="center" vertical="center" wrapText="1"/>
    </xf>
    <xf numFmtId="0" fontId="148" fillId="0" borderId="0" xfId="0" applyFont="1" applyAlignment="1">
      <alignment horizontal="center" vertical="center" wrapText="1"/>
    </xf>
    <xf numFmtId="0" fontId="99" fillId="17" borderId="0" xfId="0" applyFont="1" applyFill="1" applyAlignment="1">
      <alignment vertical="center"/>
    </xf>
    <xf numFmtId="0" fontId="149" fillId="0" borderId="0" xfId="0" applyFont="1" applyAlignment="1">
      <alignment vertical="center"/>
    </xf>
    <xf numFmtId="0" fontId="148" fillId="12" borderId="0" xfId="0" applyFont="1" applyFill="1" applyAlignment="1">
      <alignment horizontal="left" vertical="center" wrapText="1"/>
    </xf>
    <xf numFmtId="0" fontId="149" fillId="12" borderId="0" xfId="0" applyFont="1" applyFill="1" applyAlignment="1">
      <alignment vertical="center"/>
    </xf>
    <xf numFmtId="0" fontId="100" fillId="12" borderId="0" xfId="0" applyFont="1" applyFill="1" applyAlignment="1">
      <alignment horizontal="center" vertical="center"/>
    </xf>
    <xf numFmtId="0" fontId="68" fillId="2" borderId="0" xfId="21" applyFont="1" applyFill="1" applyAlignment="1">
      <alignment horizontal="left" vertical="center" wrapText="1"/>
    </xf>
    <xf numFmtId="0" fontId="68" fillId="0" borderId="0" xfId="0" applyFont="1" applyAlignment="1">
      <alignment horizontal="center" vertical="center" wrapText="1"/>
    </xf>
    <xf numFmtId="0" fontId="149" fillId="12" borderId="0" xfId="0" applyFont="1" applyFill="1" applyAlignment="1">
      <alignment horizontal="center" vertical="center"/>
    </xf>
    <xf numFmtId="0" fontId="68" fillId="12" borderId="0" xfId="21" applyFont="1" applyFill="1" applyAlignment="1">
      <alignment vertical="center" wrapText="1"/>
    </xf>
    <xf numFmtId="3" fontId="149" fillId="0" borderId="0" xfId="0" applyNumberFormat="1" applyFont="1" applyAlignment="1">
      <alignment vertical="center"/>
    </xf>
    <xf numFmtId="0" fontId="146" fillId="0" borderId="0" xfId="0" applyFont="1" applyAlignment="1">
      <alignment vertical="center"/>
    </xf>
    <xf numFmtId="0" fontId="67" fillId="0" borderId="0" xfId="0" applyFont="1" applyAlignment="1">
      <alignment vertical="center"/>
    </xf>
    <xf numFmtId="0" fontId="150" fillId="0" borderId="0" xfId="0" applyFont="1" applyAlignment="1">
      <alignment horizontal="center" vertical="center" wrapText="1"/>
    </xf>
    <xf numFmtId="0" fontId="67" fillId="12" borderId="0" xfId="0" applyFont="1" applyFill="1" applyAlignment="1">
      <alignment vertical="center"/>
    </xf>
    <xf numFmtId="3" fontId="68" fillId="0" borderId="0" xfId="0" applyNumberFormat="1" applyFont="1" applyAlignment="1">
      <alignment horizontal="center" vertical="center"/>
    </xf>
    <xf numFmtId="0" fontId="99" fillId="0" borderId="0" xfId="0" applyFont="1" applyAlignment="1">
      <alignment horizontal="left" vertical="center"/>
    </xf>
    <xf numFmtId="3" fontId="149" fillId="12" borderId="0" xfId="0" applyNumberFormat="1" applyFont="1" applyFill="1" applyAlignment="1">
      <alignment vertical="center"/>
    </xf>
    <xf numFmtId="0" fontId="149" fillId="12" borderId="0" xfId="0" applyFont="1" applyFill="1" applyAlignment="1">
      <alignment horizontal="left" vertical="center"/>
    </xf>
    <xf numFmtId="0" fontId="151" fillId="0" borderId="0" xfId="0" applyFont="1" applyAlignment="1">
      <alignment vertical="center"/>
    </xf>
    <xf numFmtId="0" fontId="152" fillId="12" borderId="0" xfId="0" applyFont="1" applyFill="1" applyAlignment="1">
      <alignment horizontal="center" vertical="center" wrapText="1"/>
    </xf>
    <xf numFmtId="0" fontId="67" fillId="0" borderId="0" xfId="4" applyFont="1" applyAlignment="1">
      <alignment horizontal="left" vertical="center"/>
    </xf>
    <xf numFmtId="0" fontId="68" fillId="0" borderId="0" xfId="4" applyFont="1" applyAlignment="1">
      <alignment horizontal="center" vertical="center"/>
    </xf>
    <xf numFmtId="172" fontId="68" fillId="0" borderId="0" xfId="22" applyNumberFormat="1" applyFont="1" applyAlignment="1">
      <alignment horizontal="center" vertical="center"/>
    </xf>
    <xf numFmtId="1" fontId="149" fillId="12" borderId="0" xfId="0" applyNumberFormat="1" applyFont="1" applyFill="1" applyAlignment="1">
      <alignment horizontal="center" vertical="center"/>
    </xf>
    <xf numFmtId="0" fontId="68" fillId="12" borderId="0" xfId="0" applyFont="1" applyFill="1" applyAlignment="1">
      <alignment horizontal="center" vertical="center" wrapText="1"/>
    </xf>
    <xf numFmtId="3" fontId="67" fillId="0" borderId="0" xfId="0" applyNumberFormat="1" applyFont="1" applyAlignment="1">
      <alignment horizontal="center" vertical="center" wrapText="1"/>
    </xf>
    <xf numFmtId="0" fontId="68" fillId="12" borderId="0" xfId="0" applyFont="1" applyFill="1" applyAlignment="1">
      <alignment vertical="center"/>
    </xf>
    <xf numFmtId="0" fontId="149" fillId="17" borderId="0" xfId="0" applyFont="1" applyFill="1" applyAlignment="1">
      <alignment vertical="center"/>
    </xf>
    <xf numFmtId="3" fontId="149" fillId="12" borderId="0" xfId="0" applyNumberFormat="1" applyFont="1" applyFill="1" applyAlignment="1">
      <alignment horizontal="left" vertical="center"/>
    </xf>
    <xf numFmtId="180" fontId="68" fillId="0" borderId="0" xfId="1" applyNumberFormat="1" applyFont="1" applyAlignment="1">
      <alignment horizontal="center" vertical="center"/>
    </xf>
    <xf numFmtId="0" fontId="153" fillId="12" borderId="0" xfId="0" applyFont="1" applyFill="1" applyAlignment="1">
      <alignment vertical="center"/>
    </xf>
    <xf numFmtId="10" fontId="149" fillId="12" borderId="0" xfId="0" applyNumberFormat="1" applyFont="1" applyFill="1" applyAlignment="1">
      <alignment horizontal="center" vertical="center"/>
    </xf>
    <xf numFmtId="0" fontId="68" fillId="17" borderId="0" xfId="0" applyFont="1" applyFill="1" applyAlignment="1">
      <alignment vertical="center"/>
    </xf>
    <xf numFmtId="0" fontId="68" fillId="0" borderId="0" xfId="0" applyFont="1" applyAlignment="1">
      <alignment vertical="center"/>
    </xf>
    <xf numFmtId="0" fontId="154" fillId="0" borderId="0" xfId="0" applyFont="1" applyAlignment="1">
      <alignment horizontal="left" vertical="center" wrapText="1"/>
    </xf>
    <xf numFmtId="0" fontId="155" fillId="0" borderId="0" xfId="0" applyFont="1" applyAlignment="1">
      <alignment horizontal="center" vertical="center"/>
    </xf>
    <xf numFmtId="0" fontId="99" fillId="0" borderId="0" xfId="24" applyFont="1" applyAlignment="1">
      <alignment vertical="center"/>
    </xf>
    <xf numFmtId="1" fontId="99" fillId="0" borderId="0" xfId="0" applyNumberFormat="1" applyFont="1" applyAlignment="1">
      <alignment horizontal="center" vertical="center"/>
    </xf>
    <xf numFmtId="0" fontId="99" fillId="0" borderId="0" xfId="24" applyFont="1" applyAlignment="1">
      <alignment horizontal="center" vertical="center"/>
    </xf>
    <xf numFmtId="0" fontId="156" fillId="0" borderId="0" xfId="0" applyFont="1" applyAlignment="1">
      <alignment vertical="center"/>
    </xf>
    <xf numFmtId="0" fontId="100" fillId="12" borderId="133" xfId="0" applyFont="1" applyFill="1" applyBorder="1" applyAlignment="1">
      <alignment horizontal="center" vertical="center"/>
    </xf>
    <xf numFmtId="0" fontId="67" fillId="14" borderId="133" xfId="0" applyFont="1" applyFill="1" applyBorder="1" applyAlignment="1">
      <alignment horizontal="center" vertical="center"/>
    </xf>
    <xf numFmtId="0" fontId="68" fillId="0" borderId="133" xfId="0" applyFont="1" applyBorder="1" applyAlignment="1">
      <alignment horizontal="center" vertical="center" wrapText="1"/>
    </xf>
    <xf numFmtId="3" fontId="68" fillId="0" borderId="133" xfId="8" applyNumberFormat="1" applyFont="1" applyBorder="1" applyAlignment="1">
      <alignment horizontal="center" vertical="center"/>
    </xf>
    <xf numFmtId="3" fontId="67" fillId="0" borderId="133" xfId="8" applyNumberFormat="1" applyFont="1" applyBorder="1" applyAlignment="1">
      <alignment horizontal="center" vertical="center"/>
    </xf>
    <xf numFmtId="0" fontId="68" fillId="0" borderId="133" xfId="0" applyFont="1" applyBorder="1" applyAlignment="1">
      <alignment horizontal="left" vertical="center" wrapText="1"/>
    </xf>
    <xf numFmtId="0" fontId="68" fillId="12" borderId="133" xfId="0" applyFont="1" applyFill="1" applyBorder="1" applyAlignment="1">
      <alignment horizontal="center" vertical="center" wrapText="1"/>
    </xf>
    <xf numFmtId="3" fontId="68" fillId="0" borderId="133" xfId="0" applyNumberFormat="1" applyFont="1" applyBorder="1" applyAlignment="1">
      <alignment horizontal="center" vertical="center" wrapText="1"/>
    </xf>
    <xf numFmtId="0" fontId="68" fillId="12" borderId="133" xfId="0" applyFont="1" applyFill="1" applyBorder="1" applyAlignment="1">
      <alignment horizontal="center" vertical="center"/>
    </xf>
    <xf numFmtId="3" fontId="68" fillId="0" borderId="133" xfId="0" applyNumberFormat="1" applyFont="1" applyBorder="1" applyAlignment="1">
      <alignment horizontal="center" vertical="center"/>
    </xf>
    <xf numFmtId="0" fontId="149" fillId="12" borderId="133" xfId="0" applyFont="1" applyFill="1" applyBorder="1" applyAlignment="1" applyProtection="1">
      <alignment horizontal="left" vertical="center"/>
      <protection locked="0"/>
    </xf>
    <xf numFmtId="0" fontId="149" fillId="12" borderId="133" xfId="0" applyFont="1" applyFill="1" applyBorder="1" applyAlignment="1" applyProtection="1">
      <alignment horizontal="center" vertical="center"/>
      <protection locked="0"/>
    </xf>
    <xf numFmtId="3" fontId="149" fillId="12" borderId="133" xfId="0" applyNumberFormat="1" applyFont="1" applyFill="1" applyBorder="1" applyAlignment="1">
      <alignment horizontal="center" vertical="center"/>
    </xf>
    <xf numFmtId="0" fontId="68" fillId="12" borderId="133" xfId="0" applyFont="1" applyFill="1" applyBorder="1" applyAlignment="1" applyProtection="1">
      <alignment horizontal="left" vertical="center"/>
      <protection locked="0"/>
    </xf>
    <xf numFmtId="1" fontId="149" fillId="12" borderId="133" xfId="0" applyNumberFormat="1" applyFont="1" applyFill="1" applyBorder="1" applyAlignment="1">
      <alignment horizontal="center" vertical="center"/>
    </xf>
    <xf numFmtId="0" fontId="149" fillId="12" borderId="133" xfId="0" applyFont="1" applyFill="1" applyBorder="1" applyAlignment="1" applyProtection="1">
      <alignment vertical="center"/>
      <protection locked="0"/>
    </xf>
    <xf numFmtId="0" fontId="149" fillId="0" borderId="133" xfId="0" applyFont="1" applyBorder="1" applyAlignment="1" applyProtection="1">
      <alignment horizontal="center" vertical="center"/>
      <protection locked="0"/>
    </xf>
    <xf numFmtId="0" fontId="100" fillId="14" borderId="133" xfId="0" applyFont="1" applyFill="1" applyBorder="1" applyAlignment="1">
      <alignment horizontal="center" vertical="center"/>
    </xf>
    <xf numFmtId="0" fontId="68" fillId="9" borderId="133" xfId="0" applyFont="1" applyFill="1" applyBorder="1" applyAlignment="1">
      <alignment horizontal="center" vertical="center" wrapText="1"/>
    </xf>
    <xf numFmtId="3" fontId="68" fillId="9" borderId="133" xfId="0" applyNumberFormat="1" applyFont="1" applyFill="1" applyBorder="1" applyAlignment="1">
      <alignment horizontal="center" vertical="center" wrapText="1"/>
    </xf>
    <xf numFmtId="3" fontId="67" fillId="9" borderId="133" xfId="0" applyNumberFormat="1" applyFont="1" applyFill="1" applyBorder="1" applyAlignment="1">
      <alignment horizontal="center" vertical="center" wrapText="1"/>
    </xf>
    <xf numFmtId="3" fontId="67" fillId="0" borderId="133" xfId="0" applyNumberFormat="1" applyFont="1" applyBorder="1" applyAlignment="1">
      <alignment horizontal="center" vertical="center" wrapText="1"/>
    </xf>
    <xf numFmtId="3" fontId="68" fillId="2" borderId="133" xfId="0" applyNumberFormat="1" applyFont="1" applyFill="1" applyBorder="1" applyAlignment="1">
      <alignment horizontal="center" vertical="center" wrapText="1"/>
    </xf>
    <xf numFmtId="0" fontId="101" fillId="14" borderId="133" xfId="0" applyFont="1" applyFill="1" applyBorder="1" applyAlignment="1">
      <alignment horizontal="center" vertical="center"/>
    </xf>
    <xf numFmtId="0" fontId="99" fillId="2" borderId="133" xfId="24" applyFont="1" applyFill="1" applyBorder="1" applyAlignment="1">
      <alignment horizontal="center" vertical="center"/>
    </xf>
    <xf numFmtId="0" fontId="99" fillId="0" borderId="133" xfId="24" applyFont="1" applyBorder="1" applyAlignment="1">
      <alignment horizontal="center" vertical="center"/>
    </xf>
    <xf numFmtId="1" fontId="99" fillId="0" borderId="133" xfId="0" applyNumberFormat="1" applyFont="1" applyBorder="1" applyAlignment="1">
      <alignment horizontal="center" vertical="center"/>
    </xf>
    <xf numFmtId="0" fontId="149" fillId="0" borderId="20" xfId="0" applyFont="1" applyBorder="1" applyAlignment="1">
      <alignment vertical="center"/>
    </xf>
    <xf numFmtId="0" fontId="149" fillId="12" borderId="20" xfId="0" applyFont="1" applyFill="1" applyBorder="1" applyAlignment="1">
      <alignment horizontal="center" vertical="center"/>
    </xf>
    <xf numFmtId="0" fontId="104" fillId="7" borderId="206" xfId="21" applyFont="1" applyFill="1" applyBorder="1" applyAlignment="1">
      <alignment horizontal="center" vertical="center" wrapText="1"/>
    </xf>
    <xf numFmtId="0" fontId="104" fillId="7" borderId="178" xfId="0" applyFont="1" applyFill="1" applyBorder="1" applyAlignment="1">
      <alignment horizontal="center" vertical="center" wrapText="1"/>
    </xf>
    <xf numFmtId="0" fontId="104" fillId="7" borderId="180" xfId="0" applyFont="1" applyFill="1" applyBorder="1" applyAlignment="1">
      <alignment horizontal="center" vertical="center" wrapText="1"/>
    </xf>
    <xf numFmtId="0" fontId="104" fillId="8" borderId="210" xfId="8" applyFont="1" applyFill="1" applyBorder="1" applyAlignment="1">
      <alignment horizontal="center" vertical="center" wrapText="1"/>
    </xf>
    <xf numFmtId="0" fontId="104" fillId="8" borderId="211" xfId="8" applyFont="1" applyFill="1" applyBorder="1" applyAlignment="1">
      <alignment horizontal="center" vertical="center" wrapText="1"/>
    </xf>
    <xf numFmtId="9" fontId="104" fillId="8" borderId="213" xfId="8" applyNumberFormat="1" applyFont="1" applyFill="1" applyBorder="1" applyAlignment="1">
      <alignment horizontal="center" vertical="center" wrapText="1"/>
    </xf>
    <xf numFmtId="173" fontId="104" fillId="8" borderId="214" xfId="8" applyNumberFormat="1" applyFont="1" applyFill="1" applyBorder="1" applyAlignment="1">
      <alignment horizontal="center" vertical="center" wrapText="1"/>
    </xf>
    <xf numFmtId="0" fontId="104" fillId="7" borderId="211" xfId="0" applyFont="1" applyFill="1" applyBorder="1" applyAlignment="1">
      <alignment horizontal="center" vertical="center" wrapText="1"/>
    </xf>
    <xf numFmtId="0" fontId="104" fillId="7" borderId="214" xfId="0" applyFont="1" applyFill="1" applyBorder="1" applyAlignment="1">
      <alignment horizontal="center" vertical="center" wrapText="1"/>
    </xf>
    <xf numFmtId="0" fontId="104" fillId="7" borderId="210" xfId="0" applyFont="1" applyFill="1" applyBorder="1" applyAlignment="1">
      <alignment horizontal="center" vertical="center" wrapText="1"/>
    </xf>
    <xf numFmtId="9" fontId="104" fillId="7" borderId="211" xfId="0" applyNumberFormat="1" applyFont="1" applyFill="1" applyBorder="1" applyAlignment="1">
      <alignment horizontal="center" vertical="center" wrapText="1"/>
    </xf>
    <xf numFmtId="0" fontId="104" fillId="7" borderId="213" xfId="0" applyFont="1" applyFill="1" applyBorder="1" applyAlignment="1">
      <alignment horizontal="center" vertical="center" wrapText="1"/>
    </xf>
    <xf numFmtId="10" fontId="104" fillId="8" borderId="3" xfId="8" applyNumberFormat="1" applyFont="1" applyFill="1" applyBorder="1" applyAlignment="1">
      <alignment horizontal="center" vertical="center" wrapText="1"/>
    </xf>
    <xf numFmtId="0" fontId="104" fillId="8" borderId="3" xfId="8" applyFont="1" applyFill="1" applyBorder="1" applyAlignment="1">
      <alignment horizontal="center" vertical="center" wrapText="1"/>
    </xf>
    <xf numFmtId="9" fontId="104" fillId="8" borderId="3" xfId="8" applyNumberFormat="1" applyFont="1" applyFill="1" applyBorder="1" applyAlignment="1">
      <alignment horizontal="center" vertical="center" wrapText="1"/>
    </xf>
    <xf numFmtId="9" fontId="104" fillId="7" borderId="3" xfId="10" applyFont="1" applyFill="1" applyBorder="1" applyAlignment="1">
      <alignment horizontal="center" vertical="center" wrapText="1"/>
    </xf>
    <xf numFmtId="9" fontId="104" fillId="7" borderId="213" xfId="23" applyFont="1" applyFill="1" applyBorder="1" applyAlignment="1">
      <alignment horizontal="center" vertical="center"/>
    </xf>
    <xf numFmtId="0" fontId="104" fillId="8" borderId="213" xfId="8" applyFont="1" applyFill="1" applyBorder="1" applyAlignment="1">
      <alignment horizontal="center" vertical="center" wrapText="1"/>
    </xf>
    <xf numFmtId="0" fontId="104" fillId="7" borderId="213" xfId="0" applyFont="1" applyFill="1" applyBorder="1" applyAlignment="1">
      <alignment horizontal="center" vertical="center"/>
    </xf>
    <xf numFmtId="9" fontId="104" fillId="7" borderId="213" xfId="10" applyFont="1" applyFill="1" applyBorder="1" applyAlignment="1">
      <alignment horizontal="center" vertical="center" wrapText="1"/>
    </xf>
    <xf numFmtId="0" fontId="104" fillId="8" borderId="216" xfId="8" applyFont="1" applyFill="1" applyBorder="1" applyAlignment="1">
      <alignment horizontal="center" vertical="center" wrapText="1"/>
    </xf>
    <xf numFmtId="0" fontId="104" fillId="8" borderId="20" xfId="8" applyFont="1" applyFill="1" applyBorder="1" applyAlignment="1">
      <alignment horizontal="center" vertical="center" wrapText="1"/>
    </xf>
    <xf numFmtId="180" fontId="149" fillId="0" borderId="20" xfId="1" applyNumberFormat="1" applyFont="1" applyBorder="1" applyAlignment="1">
      <alignment horizontal="center" vertical="center"/>
    </xf>
    <xf numFmtId="10" fontId="149" fillId="0" borderId="20" xfId="0" applyNumberFormat="1" applyFont="1" applyBorder="1" applyAlignment="1">
      <alignment horizontal="center" vertical="center"/>
    </xf>
    <xf numFmtId="0" fontId="104" fillId="8" borderId="178" xfId="8" applyFont="1" applyFill="1" applyBorder="1" applyAlignment="1">
      <alignment horizontal="center" vertical="center" wrapText="1"/>
    </xf>
    <xf numFmtId="0" fontId="104" fillId="8" borderId="180" xfId="8" applyFont="1" applyFill="1" applyBorder="1" applyAlignment="1">
      <alignment horizontal="center" vertical="center" wrapText="1"/>
    </xf>
    <xf numFmtId="0" fontId="68" fillId="54" borderId="133" xfId="0" applyFont="1" applyFill="1" applyBorder="1" applyAlignment="1">
      <alignment horizontal="center" vertical="center" wrapText="1"/>
    </xf>
    <xf numFmtId="3" fontId="68" fillId="54" borderId="133" xfId="8" applyNumberFormat="1" applyFont="1" applyFill="1" applyBorder="1" applyAlignment="1">
      <alignment horizontal="center" vertical="center"/>
    </xf>
    <xf numFmtId="3" fontId="67" fillId="54" borderId="133" xfId="8" applyNumberFormat="1" applyFont="1" applyFill="1" applyBorder="1" applyAlignment="1">
      <alignment horizontal="center" vertical="center"/>
    </xf>
    <xf numFmtId="0" fontId="68" fillId="100" borderId="133" xfId="0" applyFont="1" applyFill="1" applyBorder="1" applyAlignment="1">
      <alignment horizontal="center" vertical="center" wrapText="1"/>
    </xf>
    <xf numFmtId="3" fontId="68" fillId="100" borderId="133" xfId="8" applyNumberFormat="1" applyFont="1" applyFill="1" applyBorder="1" applyAlignment="1">
      <alignment horizontal="center" vertical="center"/>
    </xf>
    <xf numFmtId="3" fontId="67" fillId="100" borderId="133" xfId="8" applyNumberFormat="1" applyFont="1" applyFill="1" applyBorder="1" applyAlignment="1">
      <alignment horizontal="center" vertical="center"/>
    </xf>
    <xf numFmtId="0" fontId="68" fillId="5" borderId="133" xfId="0" applyFont="1" applyFill="1" applyBorder="1" applyAlignment="1">
      <alignment horizontal="center" vertical="center" wrapText="1"/>
    </xf>
    <xf numFmtId="3" fontId="68" fillId="5" borderId="133" xfId="8" applyNumberFormat="1" applyFont="1" applyFill="1" applyBorder="1" applyAlignment="1">
      <alignment horizontal="center" vertical="center"/>
    </xf>
    <xf numFmtId="3" fontId="67" fillId="5" borderId="133" xfId="8" applyNumberFormat="1" applyFont="1" applyFill="1" applyBorder="1" applyAlignment="1">
      <alignment horizontal="center" vertical="center"/>
    </xf>
    <xf numFmtId="1" fontId="68" fillId="54" borderId="133" xfId="8" applyNumberFormat="1" applyFont="1" applyFill="1" applyBorder="1" applyAlignment="1">
      <alignment horizontal="center" vertical="center"/>
    </xf>
    <xf numFmtId="1" fontId="149" fillId="54" borderId="133" xfId="0" applyNumberFormat="1" applyFont="1" applyFill="1" applyBorder="1" applyAlignment="1">
      <alignment horizontal="center" vertical="center"/>
    </xf>
    <xf numFmtId="3" fontId="68" fillId="54" borderId="133" xfId="0" applyNumberFormat="1" applyFont="1" applyFill="1" applyBorder="1" applyAlignment="1">
      <alignment horizontal="center" vertical="center" wrapText="1"/>
    </xf>
    <xf numFmtId="3" fontId="67" fillId="5" borderId="133" xfId="0" applyNumberFormat="1" applyFont="1" applyFill="1" applyBorder="1" applyAlignment="1">
      <alignment horizontal="center" vertical="center" wrapText="1"/>
    </xf>
    <xf numFmtId="0" fontId="106" fillId="0" borderId="0" xfId="15" applyFont="1" applyAlignment="1">
      <alignment horizontal="center" vertical="center" wrapText="1"/>
    </xf>
    <xf numFmtId="0" fontId="105" fillId="2" borderId="0" xfId="15" applyFont="1" applyFill="1" applyAlignment="1">
      <alignment horizontal="center" vertical="center" wrapText="1"/>
    </xf>
    <xf numFmtId="0" fontId="68" fillId="0" borderId="0" xfId="15" applyFont="1" applyAlignment="1">
      <alignment vertical="center" wrapText="1"/>
    </xf>
    <xf numFmtId="0" fontId="21" fillId="35" borderId="0" xfId="0" applyFont="1" applyFill="1" applyAlignment="1">
      <alignment horizontal="left" vertical="center" wrapText="1"/>
    </xf>
    <xf numFmtId="0" fontId="159" fillId="0" borderId="0" xfId="0" applyFont="1" applyAlignment="1">
      <alignment vertical="center" wrapText="1"/>
    </xf>
    <xf numFmtId="0" fontId="107" fillId="0" borderId="0" xfId="0" applyFont="1" applyAlignment="1">
      <alignment horizontal="center" vertical="center"/>
    </xf>
    <xf numFmtId="0" fontId="107" fillId="0" borderId="0" xfId="8" applyFont="1" applyAlignment="1">
      <alignment vertical="center" wrapText="1"/>
    </xf>
    <xf numFmtId="3" fontId="68" fillId="0" borderId="0" xfId="8" applyNumberFormat="1" applyFont="1" applyAlignment="1">
      <alignment horizontal="left" vertical="center"/>
    </xf>
    <xf numFmtId="3" fontId="67" fillId="12" borderId="0" xfId="8" applyNumberFormat="1" applyFont="1" applyFill="1" applyAlignment="1">
      <alignment horizontal="center" vertical="center"/>
    </xf>
    <xf numFmtId="3" fontId="68" fillId="12" borderId="0" xfId="8" applyNumberFormat="1" applyFont="1" applyFill="1" applyAlignment="1">
      <alignment horizontal="left" vertical="center"/>
    </xf>
    <xf numFmtId="10" fontId="68" fillId="12" borderId="0" xfId="25" applyNumberFormat="1" applyFont="1" applyFill="1" applyAlignment="1">
      <alignment horizontal="center" vertical="center"/>
    </xf>
    <xf numFmtId="3" fontId="162" fillId="12" borderId="0" xfId="8" applyNumberFormat="1" applyFont="1" applyFill="1" applyAlignment="1">
      <alignment horizontal="center" vertical="center"/>
    </xf>
    <xf numFmtId="3" fontId="68" fillId="2" borderId="0" xfId="8" applyNumberFormat="1" applyFont="1" applyFill="1" applyAlignment="1">
      <alignment horizontal="center" vertical="center"/>
    </xf>
    <xf numFmtId="173" fontId="67" fillId="0" borderId="0" xfId="0" applyNumberFormat="1" applyFont="1" applyAlignment="1">
      <alignment vertical="center" wrapText="1"/>
    </xf>
    <xf numFmtId="9" fontId="67" fillId="0" borderId="0" xfId="0" applyNumberFormat="1" applyFont="1" applyAlignment="1">
      <alignment horizontal="center" vertical="center" wrapText="1"/>
    </xf>
    <xf numFmtId="0" fontId="67" fillId="0" borderId="0" xfId="0" applyFont="1" applyAlignment="1">
      <alignment vertical="center" wrapText="1"/>
    </xf>
    <xf numFmtId="10" fontId="67" fillId="0" borderId="0" xfId="0" applyNumberFormat="1" applyFont="1" applyAlignment="1">
      <alignment horizontal="center" vertical="center" wrapText="1"/>
    </xf>
    <xf numFmtId="172" fontId="67" fillId="0" borderId="0" xfId="0" applyNumberFormat="1" applyFont="1" applyAlignment="1">
      <alignment horizontal="center" vertical="center" wrapText="1"/>
    </xf>
    <xf numFmtId="173" fontId="67" fillId="0" borderId="0" xfId="0" applyNumberFormat="1" applyFont="1" applyAlignment="1">
      <alignment horizontal="center" vertical="center" wrapText="1"/>
    </xf>
    <xf numFmtId="4" fontId="68" fillId="12" borderId="0" xfId="8" applyNumberFormat="1" applyFont="1" applyFill="1" applyAlignment="1">
      <alignment horizontal="center" vertical="center"/>
    </xf>
    <xf numFmtId="9" fontId="68" fillId="0" borderId="0" xfId="1" applyFont="1" applyAlignment="1">
      <alignment horizontal="center" vertical="center"/>
    </xf>
    <xf numFmtId="3" fontId="68" fillId="17" borderId="0" xfId="8" applyNumberFormat="1" applyFont="1" applyFill="1" applyAlignment="1">
      <alignment horizontal="center" vertical="center"/>
    </xf>
    <xf numFmtId="3" fontId="23" fillId="2" borderId="0" xfId="8" applyNumberFormat="1" applyFont="1" applyFill="1" applyAlignment="1">
      <alignment horizontal="center" vertical="center"/>
    </xf>
    <xf numFmtId="3" fontId="23" fillId="0" borderId="0" xfId="8" applyNumberFormat="1" applyFont="1" applyAlignment="1">
      <alignment horizontal="center" vertical="center"/>
    </xf>
    <xf numFmtId="0" fontId="157" fillId="12" borderId="0" xfId="0" applyFont="1" applyFill="1" applyAlignment="1">
      <alignment vertical="center" wrapText="1"/>
    </xf>
    <xf numFmtId="0" fontId="158" fillId="12" borderId="0" xfId="0" applyFont="1" applyFill="1" applyAlignment="1">
      <alignment horizontal="left" vertical="center" wrapText="1"/>
    </xf>
    <xf numFmtId="0" fontId="68" fillId="0" borderId="0" xfId="21" applyFont="1" applyAlignment="1">
      <alignment horizontal="left" vertical="center" wrapText="1"/>
    </xf>
    <xf numFmtId="0" fontId="158" fillId="12" borderId="0" xfId="0" applyFont="1" applyFill="1" applyAlignment="1">
      <alignment horizontal="left" vertical="center"/>
    </xf>
    <xf numFmtId="0" fontId="158" fillId="17" borderId="0" xfId="0" applyFont="1" applyFill="1" applyAlignment="1">
      <alignment horizontal="left" vertical="center" wrapText="1"/>
    </xf>
    <xf numFmtId="0" fontId="68" fillId="17" borderId="0" xfId="21" applyFont="1" applyFill="1" applyAlignment="1">
      <alignment horizontal="left" vertical="center" wrapText="1"/>
    </xf>
    <xf numFmtId="0" fontId="149" fillId="12" borderId="0" xfId="0" applyFont="1" applyFill="1" applyAlignment="1">
      <alignment horizontal="right" vertical="center"/>
    </xf>
    <xf numFmtId="0" fontId="68" fillId="12" borderId="0" xfId="0" applyFont="1" applyFill="1" applyAlignment="1">
      <alignment horizontal="left" vertical="center" wrapText="1"/>
    </xf>
    <xf numFmtId="0" fontId="68" fillId="17" borderId="0" xfId="0" applyFont="1" applyFill="1" applyAlignment="1">
      <alignment horizontal="center" vertical="center" wrapText="1"/>
    </xf>
    <xf numFmtId="0" fontId="158" fillId="0" borderId="0" xfId="0" applyFont="1" applyAlignment="1">
      <alignment horizontal="left" vertical="center" wrapText="1"/>
    </xf>
    <xf numFmtId="181" fontId="99" fillId="0" borderId="0" xfId="0" applyNumberFormat="1" applyFont="1" applyAlignment="1">
      <alignment vertical="center"/>
    </xf>
    <xf numFmtId="10" fontId="99" fillId="0" borderId="0" xfId="0" applyNumberFormat="1" applyFont="1" applyAlignment="1">
      <alignment vertical="center"/>
    </xf>
    <xf numFmtId="0" fontId="149" fillId="12" borderId="0" xfId="0" applyFont="1" applyFill="1" applyAlignment="1">
      <alignment vertical="center" wrapText="1"/>
    </xf>
    <xf numFmtId="0" fontId="149" fillId="12" borderId="0" xfId="0" applyFont="1" applyFill="1" applyAlignment="1">
      <alignment horizontal="left" vertical="center" wrapText="1"/>
    </xf>
    <xf numFmtId="172" fontId="158" fillId="12" borderId="0" xfId="1" applyNumberFormat="1" applyFont="1" applyFill="1" applyAlignment="1">
      <alignment horizontal="left" vertical="center" wrapText="1"/>
    </xf>
    <xf numFmtId="10" fontId="149" fillId="0" borderId="0" xfId="0" applyNumberFormat="1" applyFont="1" applyAlignment="1">
      <alignment horizontal="left" vertical="center"/>
    </xf>
    <xf numFmtId="0" fontId="161" fillId="12" borderId="0" xfId="0" applyFont="1" applyFill="1" applyAlignment="1">
      <alignment vertical="center"/>
    </xf>
    <xf numFmtId="0" fontId="68" fillId="12" borderId="0" xfId="0" applyFont="1" applyFill="1" applyAlignment="1">
      <alignment vertical="center" wrapText="1"/>
    </xf>
    <xf numFmtId="0" fontId="149" fillId="2" borderId="0" xfId="0" applyFont="1" applyFill="1" applyAlignment="1">
      <alignment vertical="center"/>
    </xf>
    <xf numFmtId="0" fontId="146" fillId="0" borderId="0" xfId="0" applyFont="1" applyAlignment="1">
      <alignment horizontal="left" vertical="center" wrapText="1"/>
    </xf>
    <xf numFmtId="0" fontId="67" fillId="12" borderId="78" xfId="0" applyFont="1" applyFill="1" applyBorder="1" applyAlignment="1">
      <alignment horizontal="center" vertical="center"/>
    </xf>
    <xf numFmtId="0" fontId="67" fillId="12" borderId="78" xfId="0" applyFont="1" applyFill="1" applyBorder="1" applyAlignment="1">
      <alignment vertical="center"/>
    </xf>
    <xf numFmtId="0" fontId="67" fillId="0" borderId="0" xfId="0" applyFont="1" applyAlignment="1">
      <alignment horizontal="center" vertical="center"/>
    </xf>
    <xf numFmtId="0" fontId="104" fillId="0" borderId="0" xfId="0" applyFont="1" applyAlignment="1">
      <alignment horizontal="center" vertical="center" wrapText="1"/>
    </xf>
    <xf numFmtId="0" fontId="104" fillId="0" borderId="0" xfId="0" applyFont="1" applyAlignment="1">
      <alignment horizontal="center" vertical="center"/>
    </xf>
    <xf numFmtId="1" fontId="68" fillId="12" borderId="78" xfId="0" applyNumberFormat="1" applyFont="1" applyFill="1" applyBorder="1" applyAlignment="1">
      <alignment horizontal="center" vertical="center"/>
    </xf>
    <xf numFmtId="10" fontId="68" fillId="12" borderId="0" xfId="25" applyNumberFormat="1" applyFont="1" applyFill="1" applyAlignment="1">
      <alignment vertical="center"/>
    </xf>
    <xf numFmtId="0" fontId="145" fillId="0" borderId="0" xfId="0" applyFont="1" applyAlignment="1">
      <alignment vertical="center"/>
    </xf>
    <xf numFmtId="10" fontId="144" fillId="0" borderId="0" xfId="25" applyNumberFormat="1" applyFont="1" applyAlignment="1">
      <alignment horizontal="center" vertical="center"/>
    </xf>
    <xf numFmtId="10" fontId="145" fillId="0" borderId="0" xfId="25" applyNumberFormat="1" applyFont="1" applyAlignment="1">
      <alignment horizontal="center" vertical="center"/>
    </xf>
    <xf numFmtId="3" fontId="104" fillId="0" borderId="0" xfId="0" applyNumberFormat="1" applyFont="1" applyAlignment="1">
      <alignment horizontal="center" vertical="center"/>
    </xf>
    <xf numFmtId="9" fontId="67" fillId="12" borderId="0" xfId="25" applyFont="1" applyFill="1" applyAlignment="1">
      <alignment horizontal="right" vertical="center"/>
    </xf>
    <xf numFmtId="0" fontId="145" fillId="0" borderId="0" xfId="0" applyFont="1" applyAlignment="1">
      <alignment vertical="center" wrapText="1"/>
    </xf>
    <xf numFmtId="0" fontId="155" fillId="12" borderId="0" xfId="0" applyFont="1" applyFill="1" applyAlignment="1">
      <alignment horizontal="center" vertical="center" wrapText="1"/>
    </xf>
    <xf numFmtId="0" fontId="68" fillId="2" borderId="0" xfId="0" applyFont="1" applyFill="1" applyAlignment="1">
      <alignment horizontal="center" vertical="center" wrapText="1"/>
    </xf>
    <xf numFmtId="0" fontId="68" fillId="2" borderId="77" xfId="0" applyFont="1" applyFill="1" applyBorder="1" applyAlignment="1">
      <alignment vertical="center"/>
    </xf>
    <xf numFmtId="0" fontId="157" fillId="0" borderId="0" xfId="0" applyFont="1" applyAlignment="1">
      <alignment vertical="center" wrapText="1"/>
    </xf>
    <xf numFmtId="0" fontId="163" fillId="2" borderId="0" xfId="0" applyFont="1" applyFill="1" applyAlignment="1">
      <alignment vertical="center"/>
    </xf>
    <xf numFmtId="0" fontId="164" fillId="2" borderId="0" xfId="0" applyFont="1" applyFill="1" applyAlignment="1">
      <alignment vertical="center"/>
    </xf>
    <xf numFmtId="0" fontId="23" fillId="2" borderId="0" xfId="0" applyFont="1" applyFill="1" applyAlignment="1">
      <alignment horizontal="center" vertical="center" wrapText="1"/>
    </xf>
    <xf numFmtId="0" fontId="165" fillId="2" borderId="0" xfId="0" applyFont="1" applyFill="1" applyAlignment="1">
      <alignment vertical="center"/>
    </xf>
    <xf numFmtId="0" fontId="23" fillId="12" borderId="0" xfId="0" applyFont="1" applyFill="1" applyAlignment="1">
      <alignment horizontal="center" vertical="center" wrapText="1"/>
    </xf>
    <xf numFmtId="0" fontId="100" fillId="0" borderId="133" xfId="0" applyFont="1" applyBorder="1" applyAlignment="1">
      <alignment horizontal="center" vertical="center"/>
    </xf>
    <xf numFmtId="0" fontId="149" fillId="0" borderId="133" xfId="0" applyFont="1" applyBorder="1" applyAlignment="1">
      <alignment vertical="center"/>
    </xf>
    <xf numFmtId="0" fontId="149" fillId="12" borderId="133" xfId="0" applyFont="1" applyFill="1" applyBorder="1" applyAlignment="1">
      <alignment horizontal="center" vertical="center"/>
    </xf>
    <xf numFmtId="3" fontId="68" fillId="2" borderId="133" xfId="8" applyNumberFormat="1" applyFont="1" applyFill="1" applyBorder="1" applyAlignment="1">
      <alignment horizontal="center" vertical="center"/>
    </xf>
    <xf numFmtId="1" fontId="68" fillId="2" borderId="133" xfId="8" applyNumberFormat="1" applyFont="1" applyFill="1" applyBorder="1" applyAlignment="1">
      <alignment horizontal="center" vertical="center"/>
    </xf>
    <xf numFmtId="0" fontId="160" fillId="14" borderId="133" xfId="0" applyFont="1" applyFill="1" applyBorder="1" applyAlignment="1">
      <alignment horizontal="center" vertical="center"/>
    </xf>
    <xf numFmtId="10" fontId="149" fillId="0" borderId="133" xfId="1" applyNumberFormat="1" applyFont="1" applyBorder="1" applyAlignment="1">
      <alignment horizontal="center" vertical="center"/>
    </xf>
    <xf numFmtId="180" fontId="149" fillId="12" borderId="133" xfId="25" applyNumberFormat="1" applyFont="1" applyFill="1" applyBorder="1" applyAlignment="1">
      <alignment horizontal="center" vertical="center"/>
    </xf>
    <xf numFmtId="0" fontId="68" fillId="0" borderId="133" xfId="0" applyFont="1" applyBorder="1" applyAlignment="1">
      <alignment horizontal="center" vertical="center"/>
    </xf>
    <xf numFmtId="10" fontId="68" fillId="0" borderId="133" xfId="0" applyNumberFormat="1" applyFont="1" applyBorder="1" applyAlignment="1">
      <alignment horizontal="center" vertical="center"/>
    </xf>
    <xf numFmtId="10" fontId="68" fillId="0" borderId="133" xfId="25" applyNumberFormat="1" applyFont="1" applyBorder="1" applyAlignment="1">
      <alignment horizontal="center" vertical="center"/>
    </xf>
    <xf numFmtId="0" fontId="104" fillId="7" borderId="133" xfId="8" applyFont="1" applyFill="1" applyBorder="1" applyAlignment="1">
      <alignment horizontal="center" vertical="center" wrapText="1"/>
    </xf>
    <xf numFmtId="3" fontId="104" fillId="7" borderId="133" xfId="8" applyNumberFormat="1" applyFont="1" applyFill="1" applyBorder="1" applyAlignment="1">
      <alignment horizontal="left" vertical="center" wrapText="1"/>
    </xf>
    <xf numFmtId="0" fontId="104" fillId="7" borderId="193" xfId="21" applyFont="1" applyFill="1" applyBorder="1" applyAlignment="1">
      <alignment horizontal="center" vertical="center" wrapText="1"/>
    </xf>
    <xf numFmtId="0" fontId="104" fillId="7" borderId="193" xfId="0" applyFont="1" applyFill="1" applyBorder="1" applyAlignment="1">
      <alignment horizontal="center" vertical="center" wrapText="1"/>
    </xf>
    <xf numFmtId="0" fontId="104" fillId="7" borderId="195" xfId="0" applyFont="1" applyFill="1" applyBorder="1" applyAlignment="1">
      <alignment horizontal="center" vertical="center" wrapText="1"/>
    </xf>
    <xf numFmtId="0" fontId="104" fillId="8" borderId="157" xfId="8" applyFont="1" applyFill="1" applyBorder="1" applyAlignment="1">
      <alignment horizontal="center" vertical="center" wrapText="1"/>
    </xf>
    <xf numFmtId="0" fontId="104" fillId="8" borderId="124" xfId="8" applyFont="1" applyFill="1" applyBorder="1" applyAlignment="1">
      <alignment horizontal="center" vertical="center" wrapText="1"/>
    </xf>
    <xf numFmtId="9" fontId="104" fillId="8" borderId="130" xfId="8" applyNumberFormat="1" applyFont="1" applyFill="1" applyBorder="1" applyAlignment="1">
      <alignment horizontal="center" vertical="center" wrapText="1"/>
    </xf>
    <xf numFmtId="173" fontId="104" fillId="8" borderId="131" xfId="8" applyNumberFormat="1" applyFont="1" applyFill="1" applyBorder="1" applyAlignment="1">
      <alignment horizontal="center" vertical="center" wrapText="1"/>
    </xf>
    <xf numFmtId="0" fontId="104" fillId="8" borderId="130" xfId="8" applyFont="1" applyFill="1" applyBorder="1" applyAlignment="1">
      <alignment horizontal="center" vertical="center" wrapText="1"/>
    </xf>
    <xf numFmtId="0" fontId="104" fillId="7" borderId="126" xfId="0" applyFont="1" applyFill="1" applyBorder="1" applyAlignment="1">
      <alignment horizontal="center" vertical="center" wrapText="1"/>
    </xf>
    <xf numFmtId="10" fontId="104" fillId="7" borderId="126" xfId="0" applyNumberFormat="1" applyFont="1" applyFill="1" applyBorder="1" applyAlignment="1">
      <alignment horizontal="center" vertical="center" wrapText="1"/>
    </xf>
    <xf numFmtId="9" fontId="104" fillId="7" borderId="126" xfId="23" applyFont="1" applyFill="1" applyBorder="1" applyAlignment="1" applyProtection="1">
      <alignment horizontal="center" vertical="center" wrapText="1"/>
      <protection locked="0"/>
    </xf>
    <xf numFmtId="10" fontId="104" fillId="7" borderId="126" xfId="23" applyNumberFormat="1" applyFont="1" applyFill="1" applyBorder="1" applyAlignment="1" applyProtection="1">
      <alignment horizontal="center" vertical="center" wrapText="1"/>
      <protection locked="0"/>
    </xf>
    <xf numFmtId="0" fontId="104" fillId="7" borderId="130" xfId="0" applyFont="1" applyFill="1" applyBorder="1" applyAlignment="1">
      <alignment horizontal="center" vertical="center" wrapText="1"/>
    </xf>
    <xf numFmtId="0" fontId="104" fillId="7" borderId="157" xfId="0" applyFont="1" applyFill="1" applyBorder="1" applyAlignment="1">
      <alignment horizontal="center" vertical="center" wrapText="1"/>
    </xf>
    <xf numFmtId="0" fontId="104" fillId="7" borderId="124" xfId="0" applyFont="1" applyFill="1" applyBorder="1" applyAlignment="1">
      <alignment horizontal="center" vertical="center" wrapText="1"/>
    </xf>
    <xf numFmtId="172" fontId="104" fillId="7" borderId="126" xfId="0" applyNumberFormat="1" applyFont="1" applyFill="1" applyBorder="1" applyAlignment="1">
      <alignment horizontal="center" vertical="center" wrapText="1"/>
    </xf>
    <xf numFmtId="0" fontId="104" fillId="7" borderId="131" xfId="0" applyFont="1" applyFill="1" applyBorder="1" applyAlignment="1">
      <alignment horizontal="center" vertical="center" wrapText="1"/>
    </xf>
    <xf numFmtId="9" fontId="104" fillId="7" borderId="126" xfId="0" applyNumberFormat="1" applyFont="1" applyFill="1" applyBorder="1" applyAlignment="1">
      <alignment horizontal="center" vertical="center" wrapText="1"/>
    </xf>
    <xf numFmtId="10" fontId="104" fillId="7" borderId="130" xfId="0" applyNumberFormat="1" applyFont="1" applyFill="1" applyBorder="1" applyAlignment="1">
      <alignment horizontal="center" vertical="center" wrapText="1"/>
    </xf>
    <xf numFmtId="0" fontId="104" fillId="8" borderId="193" xfId="8" applyFont="1" applyFill="1" applyBorder="1" applyAlignment="1">
      <alignment horizontal="center" vertical="center" wrapText="1"/>
    </xf>
    <xf numFmtId="0" fontId="104" fillId="8" borderId="195" xfId="8" applyFont="1" applyFill="1" applyBorder="1" applyAlignment="1">
      <alignment horizontal="center" vertical="center" wrapText="1"/>
    </xf>
    <xf numFmtId="180" fontId="104" fillId="7" borderId="126" xfId="25" applyNumberFormat="1" applyFont="1" applyFill="1" applyBorder="1" applyAlignment="1">
      <alignment horizontal="center" vertical="center"/>
    </xf>
    <xf numFmtId="9" fontId="104" fillId="7" borderId="130" xfId="0" applyNumberFormat="1" applyFont="1" applyFill="1" applyBorder="1" applyAlignment="1">
      <alignment horizontal="center" vertical="center"/>
    </xf>
    <xf numFmtId="1" fontId="104" fillId="7" borderId="130" xfId="0" applyNumberFormat="1" applyFont="1" applyFill="1" applyBorder="1" applyAlignment="1">
      <alignment horizontal="center" vertical="center"/>
    </xf>
    <xf numFmtId="9" fontId="104" fillId="7" borderId="126" xfId="1" applyFont="1" applyFill="1" applyBorder="1" applyAlignment="1">
      <alignment horizontal="center" vertical="center" wrapText="1"/>
    </xf>
    <xf numFmtId="173" fontId="104" fillId="7" borderId="130" xfId="0" applyNumberFormat="1" applyFont="1" applyFill="1" applyBorder="1" applyAlignment="1">
      <alignment horizontal="center" vertical="center" wrapText="1"/>
    </xf>
    <xf numFmtId="1" fontId="104" fillId="7" borderId="130" xfId="0" applyNumberFormat="1" applyFont="1" applyFill="1" applyBorder="1" applyAlignment="1">
      <alignment horizontal="center" vertical="center" wrapText="1"/>
    </xf>
    <xf numFmtId="0" fontId="24" fillId="7" borderId="130" xfId="8" applyFont="1" applyFill="1" applyBorder="1" applyAlignment="1">
      <alignment horizontal="center" vertical="center" wrapText="1"/>
    </xf>
    <xf numFmtId="1" fontId="24" fillId="7" borderId="130" xfId="0" applyNumberFormat="1" applyFont="1" applyFill="1" applyBorder="1" applyAlignment="1">
      <alignment horizontal="center" vertical="center"/>
    </xf>
    <xf numFmtId="10" fontId="24" fillId="7" borderId="130" xfId="6" applyNumberFormat="1" applyFont="1" applyFill="1" applyBorder="1" applyAlignment="1">
      <alignment horizontal="center" vertical="center" wrapText="1"/>
    </xf>
    <xf numFmtId="1" fontId="24" fillId="7" borderId="130" xfId="0" applyNumberFormat="1" applyFont="1" applyFill="1" applyBorder="1" applyAlignment="1">
      <alignment horizontal="center" vertical="center" wrapText="1"/>
    </xf>
    <xf numFmtId="9" fontId="104" fillId="7" borderId="130" xfId="1" applyFont="1" applyFill="1" applyBorder="1" applyAlignment="1">
      <alignment horizontal="center" vertical="center" wrapText="1"/>
    </xf>
    <xf numFmtId="9" fontId="104" fillId="7" borderId="130" xfId="24" applyNumberFormat="1" applyFont="1" applyFill="1" applyBorder="1" applyAlignment="1">
      <alignment horizontal="center" vertical="center" wrapText="1"/>
    </xf>
    <xf numFmtId="0" fontId="104" fillId="7" borderId="126" xfId="24" applyFont="1" applyFill="1" applyBorder="1" applyAlignment="1">
      <alignment horizontal="center" vertical="center" wrapText="1"/>
    </xf>
    <xf numFmtId="9" fontId="104" fillId="7" borderId="130" xfId="10" applyFont="1" applyFill="1" applyBorder="1" applyAlignment="1">
      <alignment horizontal="center" vertical="center" wrapText="1"/>
    </xf>
    <xf numFmtId="3" fontId="68" fillId="5" borderId="133" xfId="0" applyNumberFormat="1" applyFont="1" applyFill="1" applyBorder="1" applyAlignment="1">
      <alignment horizontal="center" vertical="center" wrapText="1"/>
    </xf>
    <xf numFmtId="1" fontId="68" fillId="5" borderId="133" xfId="8" applyNumberFormat="1" applyFont="1" applyFill="1" applyBorder="1" applyAlignment="1">
      <alignment horizontal="center" vertical="center"/>
    </xf>
    <xf numFmtId="0" fontId="107" fillId="12" borderId="0" xfId="0" applyFont="1" applyFill="1" applyAlignment="1">
      <alignment horizontal="center" vertical="center" wrapText="1"/>
    </xf>
    <xf numFmtId="3" fontId="68" fillId="12" borderId="0" xfId="8" applyNumberFormat="1" applyFont="1" applyFill="1" applyAlignment="1">
      <alignment vertical="center" wrapText="1"/>
    </xf>
    <xf numFmtId="3" fontId="68" fillId="12" borderId="0" xfId="8" applyNumberFormat="1" applyFont="1" applyFill="1" applyAlignment="1">
      <alignment vertical="center"/>
    </xf>
    <xf numFmtId="3" fontId="68" fillId="0" borderId="0" xfId="8" applyNumberFormat="1" applyFont="1" applyAlignment="1">
      <alignment vertical="center"/>
    </xf>
    <xf numFmtId="3" fontId="68" fillId="17" borderId="0" xfId="8" applyNumberFormat="1" applyFont="1" applyFill="1" applyAlignment="1">
      <alignment vertical="center"/>
    </xf>
    <xf numFmtId="10" fontId="155" fillId="0" borderId="0" xfId="0" applyNumberFormat="1" applyFont="1" applyAlignment="1">
      <alignment horizontal="center" vertical="center" wrapText="1"/>
    </xf>
    <xf numFmtId="9" fontId="67" fillId="0" borderId="0" xfId="25" applyFont="1" applyAlignment="1">
      <alignment horizontal="center" vertical="center" wrapText="1"/>
    </xf>
    <xf numFmtId="10" fontId="67" fillId="0" borderId="0" xfId="25" applyNumberFormat="1" applyFont="1" applyAlignment="1">
      <alignment horizontal="center" vertical="center" wrapText="1"/>
    </xf>
    <xf numFmtId="0" fontId="101" fillId="0" borderId="0" xfId="0" applyFont="1" applyAlignment="1" applyProtection="1">
      <alignment horizontal="center" vertical="center" wrapText="1"/>
      <protection locked="0"/>
    </xf>
    <xf numFmtId="0" fontId="107" fillId="0" borderId="0" xfId="0" applyFont="1" applyAlignment="1" applyProtection="1">
      <alignment vertical="center"/>
      <protection locked="0"/>
    </xf>
    <xf numFmtId="172" fontId="67" fillId="0" borderId="0" xfId="25" applyNumberFormat="1" applyFont="1" applyAlignment="1">
      <alignment horizontal="center" vertical="center" wrapText="1"/>
    </xf>
    <xf numFmtId="9" fontId="101" fillId="0" borderId="0" xfId="25" applyFont="1" applyAlignment="1">
      <alignment horizontal="center" vertical="center"/>
    </xf>
    <xf numFmtId="173" fontId="67" fillId="0" borderId="0" xfId="14" applyNumberFormat="1" applyFont="1" applyAlignment="1">
      <alignment horizontal="center" vertical="center" wrapText="1"/>
    </xf>
    <xf numFmtId="0" fontId="107" fillId="0" borderId="0" xfId="0" applyFont="1" applyAlignment="1">
      <alignment vertical="center"/>
    </xf>
    <xf numFmtId="0" fontId="149" fillId="0" borderId="0" xfId="0" applyFont="1" applyAlignment="1" applyProtection="1">
      <alignment vertical="center"/>
      <protection locked="0"/>
    </xf>
    <xf numFmtId="171" fontId="68" fillId="0" borderId="0" xfId="8" applyNumberFormat="1" applyFont="1" applyAlignment="1">
      <alignment horizontal="center" vertical="center"/>
    </xf>
    <xf numFmtId="172" fontId="101" fillId="0" borderId="0" xfId="0" applyNumberFormat="1" applyFont="1" applyAlignment="1">
      <alignment horizontal="center" vertical="center"/>
    </xf>
    <xf numFmtId="0" fontId="107" fillId="0" borderId="0" xfId="21" applyFont="1" applyAlignment="1">
      <alignment horizontal="center" vertical="center" wrapText="1"/>
    </xf>
    <xf numFmtId="0" fontId="107" fillId="12" borderId="0" xfId="21" applyFont="1" applyFill="1" applyAlignment="1">
      <alignment horizontal="center" vertical="center" wrapText="1"/>
    </xf>
    <xf numFmtId="0" fontId="67" fillId="0" borderId="0" xfId="21" applyFont="1" applyAlignment="1">
      <alignment horizontal="left" vertical="center" wrapText="1"/>
    </xf>
    <xf numFmtId="0" fontId="99" fillId="35" borderId="0" xfId="0" applyFont="1" applyFill="1" applyAlignment="1">
      <alignment vertical="center" wrapText="1"/>
    </xf>
    <xf numFmtId="0" fontId="68" fillId="0" borderId="0" xfId="21" applyFont="1" applyAlignment="1">
      <alignment horizontal="justify" vertical="center" wrapText="1"/>
    </xf>
    <xf numFmtId="0" fontId="68" fillId="0" borderId="0" xfId="21" applyFont="1" applyAlignment="1">
      <alignment vertical="center" wrapText="1"/>
    </xf>
    <xf numFmtId="0" fontId="106" fillId="12" borderId="0" xfId="0" applyFont="1" applyFill="1" applyAlignment="1">
      <alignment horizontal="justify" vertical="center" wrapText="1"/>
    </xf>
    <xf numFmtId="172" fontId="68" fillId="0" borderId="0" xfId="0" applyNumberFormat="1" applyFont="1" applyAlignment="1">
      <alignment horizontal="center" vertical="center" wrapText="1"/>
    </xf>
    <xf numFmtId="4" fontId="68" fillId="0" borderId="0" xfId="8" applyNumberFormat="1" applyFont="1" applyAlignment="1">
      <alignment horizontal="center" vertical="center"/>
    </xf>
    <xf numFmtId="0" fontId="104" fillId="0" borderId="0" xfId="0" applyFont="1" applyAlignment="1">
      <alignment vertical="center"/>
    </xf>
    <xf numFmtId="0" fontId="149" fillId="0" borderId="0" xfId="0" applyFont="1" applyAlignment="1" applyProtection="1">
      <alignment horizontal="center" vertical="center"/>
      <protection locked="0"/>
    </xf>
    <xf numFmtId="0" fontId="100" fillId="0" borderId="0" xfId="0" applyFont="1" applyAlignment="1" applyProtection="1">
      <alignment vertical="center"/>
      <protection locked="0"/>
    </xf>
    <xf numFmtId="0" fontId="67" fillId="0" borderId="0" xfId="0" applyFont="1" applyAlignment="1" applyProtection="1">
      <alignment horizontal="center" vertical="center" wrapText="1"/>
      <protection locked="0"/>
    </xf>
    <xf numFmtId="10" fontId="67" fillId="0" borderId="0" xfId="10" applyNumberFormat="1" applyFont="1" applyAlignment="1">
      <alignment horizontal="center" vertical="center" wrapText="1"/>
    </xf>
    <xf numFmtId="172" fontId="67" fillId="0" borderId="0" xfId="10" applyNumberFormat="1" applyFont="1" applyAlignment="1">
      <alignment horizontal="center" vertical="center" wrapText="1"/>
    </xf>
    <xf numFmtId="0" fontId="68" fillId="2" borderId="0" xfId="15" applyFont="1" applyFill="1" applyAlignment="1">
      <alignment vertical="center" wrapText="1"/>
    </xf>
    <xf numFmtId="0" fontId="158" fillId="0" borderId="0" xfId="0" applyFont="1" applyAlignment="1">
      <alignment vertical="center" wrapText="1"/>
    </xf>
    <xf numFmtId="0" fontId="107" fillId="0" borderId="79" xfId="0" applyFont="1" applyBorder="1" applyAlignment="1">
      <alignment vertical="center"/>
    </xf>
    <xf numFmtId="9" fontId="155" fillId="0" borderId="0" xfId="0" applyNumberFormat="1" applyFont="1" applyAlignment="1">
      <alignment horizontal="center" vertical="center"/>
    </xf>
    <xf numFmtId="0" fontId="99" fillId="53" borderId="0" xfId="0" applyFont="1" applyFill="1" applyAlignment="1">
      <alignment vertical="center"/>
    </xf>
    <xf numFmtId="9" fontId="166" fillId="0" borderId="0" xfId="0" applyNumberFormat="1" applyFont="1" applyAlignment="1">
      <alignment horizontal="center" vertical="center"/>
    </xf>
    <xf numFmtId="0" fontId="144" fillId="0" borderId="0" xfId="0" applyFont="1" applyAlignment="1">
      <alignment horizontal="center" vertical="center"/>
    </xf>
    <xf numFmtId="1" fontId="101" fillId="0" borderId="0" xfId="0" applyNumberFormat="1" applyFont="1" applyAlignment="1">
      <alignment horizontal="center" vertical="center"/>
    </xf>
    <xf numFmtId="3" fontId="99" fillId="0" borderId="0" xfId="0" applyNumberFormat="1" applyFont="1" applyAlignment="1">
      <alignment horizontal="center" vertical="center"/>
    </xf>
    <xf numFmtId="172" fontId="101" fillId="0" borderId="0" xfId="10" applyNumberFormat="1" applyFont="1" applyAlignment="1">
      <alignment horizontal="center" vertical="center"/>
    </xf>
    <xf numFmtId="171" fontId="99" fillId="0" borderId="0" xfId="0" applyNumberFormat="1" applyFont="1" applyAlignment="1">
      <alignment vertical="center"/>
    </xf>
    <xf numFmtId="171" fontId="99" fillId="0" borderId="0" xfId="0" applyNumberFormat="1" applyFont="1" applyAlignment="1">
      <alignment horizontal="right" vertical="center"/>
    </xf>
    <xf numFmtId="9" fontId="104" fillId="7" borderId="130" xfId="0" applyNumberFormat="1" applyFont="1" applyFill="1" applyBorder="1" applyAlignment="1">
      <alignment horizontal="center" vertical="center" wrapText="1"/>
    </xf>
    <xf numFmtId="0" fontId="107" fillId="2" borderId="0" xfId="21" applyFont="1" applyFill="1" applyAlignment="1">
      <alignment horizontal="center" vertical="center" wrapText="1"/>
    </xf>
    <xf numFmtId="0" fontId="107" fillId="2" borderId="0" xfId="21" applyFont="1" applyFill="1" applyAlignment="1">
      <alignment horizontal="left" vertical="center" wrapText="1"/>
    </xf>
    <xf numFmtId="0" fontId="68" fillId="2" borderId="0" xfId="21" applyFont="1" applyFill="1" applyAlignment="1">
      <alignment horizontal="justify" vertical="center" wrapText="1"/>
    </xf>
    <xf numFmtId="0" fontId="106" fillId="2" borderId="0" xfId="0" applyFont="1" applyFill="1" applyAlignment="1">
      <alignment horizontal="justify" vertical="center" wrapText="1"/>
    </xf>
    <xf numFmtId="3" fontId="67" fillId="2" borderId="0" xfId="8" applyNumberFormat="1" applyFont="1" applyFill="1" applyAlignment="1">
      <alignment horizontal="center" vertical="center"/>
    </xf>
    <xf numFmtId="0" fontId="67" fillId="2" borderId="0" xfId="26" applyFont="1" applyFill="1" applyAlignment="1">
      <alignment vertical="center"/>
    </xf>
    <xf numFmtId="0" fontId="68" fillId="2" borderId="0" xfId="26" applyFont="1" applyFill="1" applyAlignment="1">
      <alignment horizontal="center" vertical="center"/>
    </xf>
    <xf numFmtId="0" fontId="67" fillId="2" borderId="0" xfId="0" applyFont="1" applyFill="1" applyAlignment="1">
      <alignment horizontal="center" vertical="center" wrapText="1"/>
    </xf>
    <xf numFmtId="3" fontId="67" fillId="2" borderId="0" xfId="0" applyNumberFormat="1" applyFont="1" applyFill="1" applyAlignment="1">
      <alignment horizontal="center" vertical="center" wrapText="1"/>
    </xf>
    <xf numFmtId="0" fontId="149" fillId="2" borderId="0" xfId="0" applyFont="1" applyFill="1" applyAlignment="1">
      <alignment horizontal="center" vertical="center"/>
    </xf>
    <xf numFmtId="0" fontId="67" fillId="2" borderId="0" xfId="26" applyFont="1" applyFill="1" applyAlignment="1">
      <alignment horizontal="center" vertical="center" wrapText="1"/>
    </xf>
    <xf numFmtId="0" fontId="67" fillId="2" borderId="0" xfId="24" applyFont="1" applyFill="1" applyAlignment="1">
      <alignment horizontal="center" vertical="center" wrapText="1"/>
    </xf>
    <xf numFmtId="10" fontId="67" fillId="2" borderId="0" xfId="0" applyNumberFormat="1" applyFont="1" applyFill="1" applyAlignment="1">
      <alignment horizontal="center" vertical="center"/>
    </xf>
    <xf numFmtId="10" fontId="67" fillId="2" borderId="0" xfId="10" applyNumberFormat="1" applyFont="1" applyFill="1" applyAlignment="1">
      <alignment horizontal="center" vertical="center" wrapText="1"/>
    </xf>
    <xf numFmtId="10" fontId="67" fillId="2" borderId="0" xfId="21" applyNumberFormat="1" applyFont="1" applyFill="1" applyAlignment="1" applyProtection="1">
      <alignment horizontal="center" vertical="center" wrapText="1"/>
      <protection locked="0"/>
    </xf>
    <xf numFmtId="172" fontId="67" fillId="2" borderId="0" xfId="21" applyNumberFormat="1" applyFont="1" applyFill="1" applyAlignment="1" applyProtection="1">
      <alignment horizontal="center" vertical="center" wrapText="1"/>
      <protection locked="0"/>
    </xf>
    <xf numFmtId="10" fontId="67" fillId="2" borderId="0" xfId="0" applyNumberFormat="1" applyFont="1" applyFill="1" applyAlignment="1">
      <alignment vertical="center"/>
    </xf>
    <xf numFmtId="1" fontId="67" fillId="2" borderId="0" xfId="21" applyNumberFormat="1" applyFont="1" applyFill="1" applyAlignment="1" applyProtection="1">
      <alignment horizontal="center" vertical="center" wrapText="1"/>
      <protection locked="0"/>
    </xf>
    <xf numFmtId="0" fontId="67" fillId="2" borderId="0" xfId="21" applyFont="1" applyFill="1" applyAlignment="1" applyProtection="1">
      <alignment horizontal="center" vertical="center" wrapText="1"/>
      <protection locked="0"/>
    </xf>
    <xf numFmtId="167" fontId="100" fillId="2" borderId="0" xfId="0" applyNumberFormat="1" applyFont="1" applyFill="1" applyAlignment="1">
      <alignment vertical="center"/>
    </xf>
    <xf numFmtId="0" fontId="100" fillId="2" borderId="0" xfId="0" applyFont="1" applyFill="1" applyAlignment="1">
      <alignment horizontal="center" vertical="center"/>
    </xf>
    <xf numFmtId="9" fontId="67" fillId="2" borderId="0" xfId="0" applyNumberFormat="1" applyFont="1" applyFill="1" applyAlignment="1">
      <alignment horizontal="center" vertical="center" wrapText="1"/>
    </xf>
    <xf numFmtId="0" fontId="158" fillId="2" borderId="0" xfId="0" applyFont="1" applyFill="1" applyAlignment="1">
      <alignment vertical="center" wrapText="1"/>
    </xf>
    <xf numFmtId="0" fontId="157" fillId="2" borderId="0" xfId="0" applyFont="1" applyFill="1" applyAlignment="1">
      <alignment vertical="center" wrapText="1"/>
    </xf>
    <xf numFmtId="0" fontId="68" fillId="2" borderId="0" xfId="0" applyFont="1" applyFill="1" applyAlignment="1">
      <alignment horizontal="left" vertical="center" wrapText="1"/>
    </xf>
    <xf numFmtId="0" fontId="158" fillId="2" borderId="0" xfId="0" applyFont="1" applyFill="1" applyAlignment="1">
      <alignment horizontal="left" vertical="center" wrapText="1"/>
    </xf>
    <xf numFmtId="0" fontId="68" fillId="2" borderId="0" xfId="0" applyFont="1" applyFill="1" applyAlignment="1">
      <alignment horizontal="center" vertical="center"/>
    </xf>
    <xf numFmtId="0" fontId="167" fillId="2" borderId="0" xfId="0" applyFont="1" applyFill="1" applyAlignment="1">
      <alignment horizontal="left" vertical="center" wrapText="1"/>
    </xf>
    <xf numFmtId="0" fontId="67" fillId="2" borderId="0" xfId="0" applyFont="1" applyFill="1" applyAlignment="1">
      <alignment vertical="center"/>
    </xf>
    <xf numFmtId="0" fontId="161" fillId="2" borderId="0" xfId="0" applyFont="1" applyFill="1" applyAlignment="1">
      <alignment vertical="center"/>
    </xf>
    <xf numFmtId="0" fontId="158" fillId="2" borderId="0" xfId="0" applyFont="1" applyFill="1" applyAlignment="1">
      <alignment vertical="center"/>
    </xf>
    <xf numFmtId="0" fontId="146" fillId="2" borderId="0" xfId="0" applyFont="1" applyFill="1" applyAlignment="1">
      <alignment vertical="center"/>
    </xf>
    <xf numFmtId="182" fontId="99" fillId="2" borderId="0" xfId="0" applyNumberFormat="1" applyFont="1" applyFill="1" applyAlignment="1">
      <alignment vertical="center"/>
    </xf>
    <xf numFmtId="0" fontId="100" fillId="2" borderId="133" xfId="0" applyFont="1" applyFill="1" applyBorder="1" applyAlignment="1">
      <alignment horizontal="center" vertical="center"/>
    </xf>
    <xf numFmtId="0" fontId="68" fillId="2" borderId="133" xfId="0" applyFont="1" applyFill="1" applyBorder="1" applyAlignment="1">
      <alignment horizontal="center" vertical="center" wrapText="1"/>
    </xf>
    <xf numFmtId="3" fontId="67" fillId="2" borderId="133" xfId="8" applyNumberFormat="1" applyFont="1" applyFill="1" applyBorder="1" applyAlignment="1">
      <alignment horizontal="center" vertical="center"/>
    </xf>
    <xf numFmtId="0" fontId="104" fillId="7" borderId="157" xfId="26" applyFont="1" applyFill="1" applyBorder="1" applyAlignment="1">
      <alignment horizontal="center" vertical="center" wrapText="1"/>
    </xf>
    <xf numFmtId="0" fontId="104" fillId="7" borderId="157" xfId="26" applyFont="1" applyFill="1" applyBorder="1" applyAlignment="1">
      <alignment horizontal="center" vertical="center"/>
    </xf>
    <xf numFmtId="9" fontId="104" fillId="7" borderId="130" xfId="1" applyFont="1" applyFill="1" applyBorder="1" applyAlignment="1">
      <alignment horizontal="center" vertical="center"/>
    </xf>
    <xf numFmtId="0" fontId="104" fillId="7" borderId="126" xfId="26" applyFont="1" applyFill="1" applyBorder="1" applyAlignment="1">
      <alignment horizontal="center" vertical="center" wrapText="1"/>
    </xf>
    <xf numFmtId="1" fontId="104" fillId="7" borderId="130" xfId="1" applyNumberFormat="1" applyFont="1" applyFill="1" applyBorder="1" applyAlignment="1">
      <alignment horizontal="center" vertical="center"/>
    </xf>
    <xf numFmtId="172" fontId="104" fillId="7" borderId="130" xfId="1" applyNumberFormat="1" applyFont="1" applyFill="1" applyBorder="1" applyAlignment="1">
      <alignment horizontal="center" vertical="center"/>
    </xf>
    <xf numFmtId="0" fontId="100" fillId="99" borderId="133" xfId="0" applyFont="1" applyFill="1" applyBorder="1" applyAlignment="1">
      <alignment horizontal="center" vertical="center"/>
    </xf>
    <xf numFmtId="0" fontId="146" fillId="2" borderId="0" xfId="13" applyFont="1" applyFill="1" applyBorder="1" applyAlignment="1">
      <alignment horizontal="left" vertical="center"/>
    </xf>
    <xf numFmtId="0" fontId="68" fillId="2" borderId="0" xfId="13" applyFont="1" applyFill="1" applyBorder="1" applyAlignment="1">
      <alignment horizontal="center" vertical="center"/>
    </xf>
    <xf numFmtId="0" fontId="104" fillId="7" borderId="157" xfId="13" applyFont="1" applyFill="1" applyBorder="1" applyAlignment="1">
      <alignment horizontal="center" vertical="center"/>
    </xf>
    <xf numFmtId="0" fontId="104" fillId="7" borderId="124" xfId="13" applyFont="1" applyFill="1" applyBorder="1" applyAlignment="1">
      <alignment horizontal="center" vertical="center"/>
    </xf>
    <xf numFmtId="0" fontId="104" fillId="7" borderId="130" xfId="13" applyFont="1" applyFill="1" applyBorder="1" applyAlignment="1">
      <alignment horizontal="center" vertical="center" wrapText="1"/>
    </xf>
    <xf numFmtId="0" fontId="67" fillId="37" borderId="133" xfId="13" applyFont="1" applyFill="1" applyBorder="1" applyAlignment="1">
      <alignment horizontal="center" vertical="center"/>
    </xf>
    <xf numFmtId="0" fontId="107" fillId="37" borderId="133" xfId="13" applyFont="1" applyFill="1" applyBorder="1" applyAlignment="1">
      <alignment horizontal="center" vertical="center" wrapText="1"/>
    </xf>
    <xf numFmtId="0" fontId="68" fillId="2" borderId="133" xfId="0" applyFont="1" applyFill="1" applyBorder="1" applyAlignment="1">
      <alignment horizontal="left" vertical="center" wrapText="1"/>
    </xf>
    <xf numFmtId="0" fontId="100" fillId="37" borderId="133" xfId="0" applyFont="1" applyFill="1" applyBorder="1" applyAlignment="1">
      <alignment horizontal="center" vertical="center" wrapText="1"/>
    </xf>
    <xf numFmtId="3" fontId="99" fillId="2" borderId="133" xfId="0" applyNumberFormat="1" applyFont="1" applyFill="1" applyBorder="1" applyAlignment="1">
      <alignment horizontal="center" vertical="center"/>
    </xf>
    <xf numFmtId="0" fontId="149" fillId="2" borderId="133" xfId="0" applyFont="1" applyFill="1" applyBorder="1" applyAlignment="1">
      <alignment horizontal="left" vertical="center" wrapText="1"/>
    </xf>
    <xf numFmtId="0" fontId="67" fillId="37" borderId="133" xfId="0" applyFont="1" applyFill="1" applyBorder="1" applyAlignment="1">
      <alignment horizontal="center" vertical="center" wrapText="1"/>
    </xf>
    <xf numFmtId="0" fontId="99" fillId="2" borderId="133" xfId="0" applyFont="1" applyFill="1" applyBorder="1" applyAlignment="1">
      <alignment horizontal="left" vertical="center" wrapText="1"/>
    </xf>
    <xf numFmtId="0" fontId="100" fillId="37" borderId="133" xfId="0" applyFont="1" applyFill="1" applyBorder="1" applyAlignment="1">
      <alignment horizontal="center" vertical="center"/>
    </xf>
    <xf numFmtId="3" fontId="100" fillId="37" borderId="133" xfId="0" applyNumberFormat="1" applyFont="1" applyFill="1" applyBorder="1" applyAlignment="1">
      <alignment horizontal="center" vertical="center"/>
    </xf>
    <xf numFmtId="3" fontId="99" fillId="2" borderId="0" xfId="0" applyNumberFormat="1" applyFont="1" applyFill="1" applyBorder="1" applyAlignment="1">
      <alignment vertical="center"/>
    </xf>
    <xf numFmtId="10" fontId="99" fillId="2" borderId="0" xfId="1" applyNumberFormat="1" applyFont="1" applyFill="1" applyBorder="1" applyAlignment="1">
      <alignment vertical="center"/>
    </xf>
    <xf numFmtId="1" fontId="99" fillId="2" borderId="0" xfId="0" applyNumberFormat="1" applyFont="1" applyFill="1" applyBorder="1" applyAlignment="1">
      <alignment vertical="center"/>
    </xf>
    <xf numFmtId="10" fontId="99" fillId="2" borderId="0" xfId="0" applyNumberFormat="1" applyFont="1" applyFill="1" applyBorder="1" applyAlignment="1">
      <alignment vertical="center"/>
    </xf>
    <xf numFmtId="3" fontId="99" fillId="2" borderId="133" xfId="0" quotePrefix="1" applyNumberFormat="1" applyFont="1" applyFill="1" applyBorder="1" applyAlignment="1">
      <alignment horizontal="center" vertical="center"/>
    </xf>
    <xf numFmtId="0" fontId="146" fillId="12" borderId="0" xfId="13" applyFont="1" applyFill="1" applyAlignment="1">
      <alignment horizontal="left" vertical="center"/>
    </xf>
    <xf numFmtId="0" fontId="68" fillId="12" borderId="0" xfId="13" applyFont="1" applyFill="1" applyAlignment="1">
      <alignment horizontal="center" vertical="center"/>
    </xf>
    <xf numFmtId="0" fontId="68" fillId="0" borderId="0" xfId="13" applyFont="1" applyAlignment="1">
      <alignment horizontal="center" vertical="center"/>
    </xf>
    <xf numFmtId="0" fontId="99" fillId="4" borderId="0" xfId="0" applyFont="1" applyFill="1" applyAlignment="1">
      <alignment vertical="center"/>
    </xf>
    <xf numFmtId="0" fontId="99" fillId="0" borderId="133" xfId="0" applyFont="1" applyBorder="1" applyAlignment="1">
      <alignment horizontal="left" vertical="center" wrapText="1"/>
    </xf>
    <xf numFmtId="0" fontId="104" fillId="7" borderId="131" xfId="13" applyFont="1" applyFill="1" applyBorder="1" applyAlignment="1">
      <alignment horizontal="center" vertical="center" wrapText="1"/>
    </xf>
    <xf numFmtId="0" fontId="67" fillId="37" borderId="133" xfId="13" applyFont="1" applyFill="1" applyBorder="1" applyAlignment="1">
      <alignment horizontal="left" vertical="center"/>
    </xf>
    <xf numFmtId="0" fontId="67" fillId="37" borderId="133" xfId="0" applyFont="1" applyFill="1" applyBorder="1" applyAlignment="1">
      <alignment horizontal="left" vertical="center" wrapText="1"/>
    </xf>
    <xf numFmtId="0" fontId="67" fillId="37" borderId="133" xfId="0" applyFont="1" applyFill="1" applyBorder="1" applyAlignment="1">
      <alignment vertical="center"/>
    </xf>
    <xf numFmtId="0" fontId="104" fillId="7" borderId="193" xfId="0" applyFont="1" applyFill="1" applyBorder="1" applyAlignment="1">
      <alignment horizontal="center" vertical="center"/>
    </xf>
    <xf numFmtId="3" fontId="104" fillId="7" borderId="194" xfId="0" applyNumberFormat="1" applyFont="1" applyFill="1" applyBorder="1" applyAlignment="1">
      <alignment horizontal="center" vertical="center"/>
    </xf>
    <xf numFmtId="3" fontId="104" fillId="7" borderId="195" xfId="0" applyNumberFormat="1" applyFont="1" applyFill="1" applyBorder="1" applyAlignment="1">
      <alignment horizontal="center" vertical="center"/>
    </xf>
    <xf numFmtId="3" fontId="99" fillId="0" borderId="133" xfId="0" applyNumberFormat="1" applyFont="1" applyBorder="1" applyAlignment="1">
      <alignment horizontal="center" vertical="center"/>
    </xf>
    <xf numFmtId="3" fontId="100" fillId="37" borderId="133" xfId="0" applyNumberFormat="1" applyFont="1" applyFill="1" applyBorder="1" applyAlignment="1">
      <alignment horizontal="center" vertical="center" wrapText="1"/>
    </xf>
    <xf numFmtId="0" fontId="68" fillId="0" borderId="0" xfId="0" applyFont="1" applyBorder="1" applyAlignment="1">
      <alignment vertical="center"/>
    </xf>
    <xf numFmtId="0" fontId="104" fillId="7" borderId="156" xfId="13" applyFont="1" applyFill="1" applyBorder="1" applyAlignment="1">
      <alignment horizontal="center" vertical="center" wrapText="1"/>
    </xf>
    <xf numFmtId="0" fontId="104" fillId="7" borderId="157" xfId="13" applyFont="1" applyFill="1" applyBorder="1" applyAlignment="1">
      <alignment horizontal="center" vertical="center" wrapText="1"/>
    </xf>
    <xf numFmtId="0" fontId="104" fillId="7" borderId="129" xfId="13" applyFont="1" applyFill="1" applyBorder="1" applyAlignment="1">
      <alignment horizontal="center" vertical="center" wrapText="1"/>
    </xf>
    <xf numFmtId="0" fontId="99" fillId="0" borderId="133" xfId="0" applyFont="1" applyBorder="1" applyAlignment="1">
      <alignment horizontal="center" vertical="center"/>
    </xf>
    <xf numFmtId="9" fontId="99" fillId="37" borderId="133" xfId="1" applyFont="1" applyFill="1" applyBorder="1" applyAlignment="1">
      <alignment horizontal="center" vertical="center"/>
    </xf>
    <xf numFmtId="9" fontId="99" fillId="0" borderId="133" xfId="0" applyNumberFormat="1" applyFont="1" applyBorder="1" applyAlignment="1">
      <alignment horizontal="center" vertical="center"/>
    </xf>
    <xf numFmtId="9" fontId="99" fillId="0" borderId="133" xfId="1" applyFont="1" applyBorder="1" applyAlignment="1">
      <alignment horizontal="center" vertical="center"/>
    </xf>
    <xf numFmtId="9" fontId="144" fillId="0" borderId="133" xfId="1" applyFont="1" applyBorder="1" applyAlignment="1">
      <alignment horizontal="center" vertical="center"/>
    </xf>
    <xf numFmtId="0" fontId="12" fillId="2" borderId="0" xfId="0" applyFont="1" applyFill="1" applyAlignment="1">
      <alignment vertical="center"/>
    </xf>
    <xf numFmtId="0" fontId="15" fillId="2" borderId="0" xfId="3" applyFont="1" applyFill="1" applyAlignment="1">
      <alignment horizontal="center" vertical="center"/>
    </xf>
    <xf numFmtId="0" fontId="14" fillId="2" borderId="20" xfId="0" applyFont="1" applyFill="1" applyBorder="1" applyAlignment="1">
      <alignment vertical="center" wrapText="1"/>
    </xf>
    <xf numFmtId="0" fontId="9" fillId="2" borderId="20" xfId="0" applyFont="1" applyFill="1" applyBorder="1" applyAlignment="1">
      <alignment vertical="center" wrapText="1"/>
    </xf>
    <xf numFmtId="0" fontId="11" fillId="2" borderId="0" xfId="0" applyFont="1" applyFill="1" applyAlignment="1">
      <alignment vertical="center"/>
    </xf>
    <xf numFmtId="10" fontId="11" fillId="2" borderId="0" xfId="0" applyNumberFormat="1" applyFont="1" applyFill="1" applyAlignment="1">
      <alignment vertical="center"/>
    </xf>
    <xf numFmtId="0" fontId="11" fillId="2" borderId="0" xfId="0" applyFont="1" applyFill="1" applyAlignment="1">
      <alignment horizontal="center" vertical="center"/>
    </xf>
    <xf numFmtId="0" fontId="15" fillId="2" borderId="20" xfId="0" applyFont="1" applyFill="1" applyBorder="1" applyAlignment="1">
      <alignment horizontal="left" vertical="center" wrapText="1"/>
    </xf>
    <xf numFmtId="0" fontId="5" fillId="2" borderId="20" xfId="0" applyFont="1" applyFill="1" applyBorder="1" applyAlignment="1">
      <alignment vertical="center"/>
    </xf>
    <xf numFmtId="0" fontId="15" fillId="2" borderId="20" xfId="0" applyFont="1" applyFill="1" applyBorder="1" applyAlignment="1">
      <alignment vertical="center"/>
    </xf>
    <xf numFmtId="0" fontId="0" fillId="2" borderId="0" xfId="0" applyFill="1" applyAlignment="1">
      <alignment vertical="center"/>
    </xf>
    <xf numFmtId="0" fontId="11" fillId="2" borderId="20" xfId="0" applyFont="1" applyFill="1" applyBorder="1" applyAlignment="1">
      <alignment vertical="center"/>
    </xf>
    <xf numFmtId="9" fontId="15" fillId="2" borderId="20" xfId="1" applyFont="1" applyFill="1" applyBorder="1" applyAlignment="1">
      <alignment vertical="center"/>
    </xf>
    <xf numFmtId="0" fontId="15" fillId="2" borderId="0" xfId="0" applyFont="1" applyFill="1" applyAlignment="1">
      <alignment vertical="center"/>
    </xf>
    <xf numFmtId="9" fontId="15" fillId="2" borderId="20" xfId="0" applyNumberFormat="1" applyFont="1" applyFill="1" applyBorder="1" applyAlignment="1">
      <alignment vertical="center"/>
    </xf>
    <xf numFmtId="0" fontId="15" fillId="2" borderId="20" xfId="0" applyFont="1" applyFill="1" applyBorder="1" applyAlignment="1">
      <alignment vertical="center" wrapText="1"/>
    </xf>
    <xf numFmtId="0" fontId="15" fillId="2" borderId="20" xfId="0" applyFont="1" applyFill="1" applyBorder="1" applyAlignment="1">
      <alignment horizontal="left" vertical="center"/>
    </xf>
    <xf numFmtId="0" fontId="14" fillId="2" borderId="20" xfId="0" applyFont="1" applyFill="1" applyBorder="1" applyAlignment="1">
      <alignment vertical="center"/>
    </xf>
    <xf numFmtId="0" fontId="14" fillId="2" borderId="0" xfId="0" applyFont="1" applyFill="1" applyAlignment="1">
      <alignment vertical="center"/>
    </xf>
    <xf numFmtId="0" fontId="14" fillId="2" borderId="20" xfId="0" applyFont="1" applyFill="1" applyBorder="1" applyAlignment="1">
      <alignment horizontal="left" vertical="center" wrapText="1"/>
    </xf>
    <xf numFmtId="9" fontId="14" fillId="2" borderId="20" xfId="1" applyFont="1" applyFill="1" applyBorder="1" applyAlignment="1">
      <alignment vertical="center"/>
    </xf>
    <xf numFmtId="9" fontId="9" fillId="2" borderId="20" xfId="1" applyFont="1" applyFill="1" applyBorder="1" applyAlignment="1">
      <alignment vertical="center"/>
    </xf>
    <xf numFmtId="9" fontId="12" fillId="2" borderId="20" xfId="1" applyFont="1" applyFill="1" applyBorder="1" applyAlignment="1">
      <alignment vertical="center"/>
    </xf>
    <xf numFmtId="0" fontId="9" fillId="2" borderId="20" xfId="0" applyFont="1" applyFill="1" applyBorder="1" applyAlignment="1">
      <alignment vertical="center"/>
    </xf>
    <xf numFmtId="9" fontId="7" fillId="2" borderId="20" xfId="0" applyNumberFormat="1" applyFont="1" applyFill="1" applyBorder="1" applyAlignment="1">
      <alignment vertical="center"/>
    </xf>
    <xf numFmtId="9" fontId="11" fillId="2" borderId="20" xfId="1" applyFont="1" applyFill="1" applyBorder="1" applyAlignment="1">
      <alignment vertical="center"/>
    </xf>
    <xf numFmtId="0" fontId="9" fillId="2" borderId="20" xfId="0" applyFont="1" applyFill="1" applyBorder="1" applyAlignment="1">
      <alignment horizontal="left" vertical="center" wrapText="1"/>
    </xf>
    <xf numFmtId="0" fontId="7" fillId="2" borderId="20" xfId="0" applyFont="1" applyFill="1" applyBorder="1" applyAlignment="1">
      <alignment vertical="center"/>
    </xf>
    <xf numFmtId="9" fontId="11" fillId="2" borderId="20" xfId="0" applyNumberFormat="1" applyFont="1" applyFill="1" applyBorder="1" applyAlignment="1">
      <alignment vertical="center"/>
    </xf>
    <xf numFmtId="0" fontId="9" fillId="2" borderId="0" xfId="0" applyFont="1" applyFill="1" applyAlignment="1">
      <alignment vertical="center"/>
    </xf>
    <xf numFmtId="9" fontId="7" fillId="2" borderId="20" xfId="1" applyFont="1" applyFill="1" applyBorder="1" applyAlignment="1">
      <alignment vertical="center"/>
    </xf>
    <xf numFmtId="9" fontId="9" fillId="2" borderId="20" xfId="0" applyNumberFormat="1" applyFont="1" applyFill="1" applyBorder="1" applyAlignment="1">
      <alignment vertical="center"/>
    </xf>
    <xf numFmtId="0" fontId="12" fillId="2" borderId="20" xfId="0" applyFont="1" applyFill="1" applyBorder="1" applyAlignment="1">
      <alignment vertical="center"/>
    </xf>
    <xf numFmtId="9" fontId="12" fillId="2" borderId="20" xfId="0" applyNumberFormat="1" applyFont="1" applyFill="1" applyBorder="1" applyAlignment="1">
      <alignment vertical="center"/>
    </xf>
    <xf numFmtId="0" fontId="11" fillId="2" borderId="139" xfId="0" applyFont="1" applyFill="1" applyBorder="1" applyAlignment="1">
      <alignment vertical="center"/>
    </xf>
    <xf numFmtId="0" fontId="11" fillId="2" borderId="143" xfId="0" applyFont="1" applyFill="1" applyBorder="1" applyAlignment="1">
      <alignment vertical="center"/>
    </xf>
    <xf numFmtId="0" fontId="12" fillId="2" borderId="143" xfId="0" applyFont="1" applyFill="1" applyBorder="1" applyAlignment="1">
      <alignment vertical="center"/>
    </xf>
    <xf numFmtId="0" fontId="11" fillId="2" borderId="140" xfId="0" applyFont="1" applyFill="1" applyBorder="1" applyAlignment="1">
      <alignment vertical="center"/>
    </xf>
    <xf numFmtId="0" fontId="11" fillId="2" borderId="153" xfId="0" applyFont="1" applyFill="1" applyBorder="1" applyAlignment="1">
      <alignment vertical="center"/>
    </xf>
    <xf numFmtId="0" fontId="11" fillId="2" borderId="0" xfId="0" applyFont="1" applyFill="1" applyBorder="1" applyAlignment="1">
      <alignment vertical="center"/>
    </xf>
    <xf numFmtId="0" fontId="12" fillId="2" borderId="0" xfId="0" applyFont="1" applyFill="1" applyBorder="1" applyAlignment="1">
      <alignment vertical="center"/>
    </xf>
    <xf numFmtId="0" fontId="11" fillId="2" borderId="154" xfId="0" applyFont="1" applyFill="1" applyBorder="1" applyAlignment="1">
      <alignment vertical="center"/>
    </xf>
    <xf numFmtId="0" fontId="12" fillId="2" borderId="153" xfId="0" applyFont="1" applyFill="1" applyBorder="1" applyAlignment="1">
      <alignment vertical="center"/>
    </xf>
    <xf numFmtId="0" fontId="12" fillId="2" borderId="154" xfId="0" applyFont="1" applyFill="1" applyBorder="1" applyAlignment="1">
      <alignment vertical="center"/>
    </xf>
    <xf numFmtId="0" fontId="11" fillId="2" borderId="0" xfId="0" applyFont="1" applyFill="1" applyBorder="1" applyAlignment="1">
      <alignment horizontal="center" vertical="center"/>
    </xf>
    <xf numFmtId="0" fontId="11" fillId="2" borderId="154" xfId="0" applyFont="1" applyFill="1" applyBorder="1" applyAlignment="1">
      <alignment horizontal="center" vertical="center"/>
    </xf>
    <xf numFmtId="0" fontId="14" fillId="2" borderId="0" xfId="3" applyFont="1" applyFill="1" applyBorder="1" applyAlignment="1">
      <alignment vertical="center"/>
    </xf>
    <xf numFmtId="0" fontId="15" fillId="2" borderId="0" xfId="3" applyFont="1" applyFill="1" applyBorder="1" applyAlignment="1">
      <alignment vertical="center"/>
    </xf>
    <xf numFmtId="0" fontId="15" fillId="2" borderId="0" xfId="3" applyFont="1" applyFill="1" applyBorder="1" applyAlignment="1">
      <alignment horizontal="center" vertical="center"/>
    </xf>
    <xf numFmtId="0" fontId="15" fillId="2" borderId="154" xfId="3" applyFont="1" applyFill="1" applyBorder="1" applyAlignment="1">
      <alignment horizontal="center" vertical="center"/>
    </xf>
    <xf numFmtId="0" fontId="11" fillId="2" borderId="141" xfId="0" applyFont="1" applyFill="1" applyBorder="1" applyAlignment="1">
      <alignment vertical="center"/>
    </xf>
    <xf numFmtId="0" fontId="11" fillId="2" borderId="144" xfId="0" applyFont="1" applyFill="1" applyBorder="1" applyAlignment="1">
      <alignment vertical="center"/>
    </xf>
    <xf numFmtId="0" fontId="11" fillId="2" borderId="142" xfId="0" applyFont="1" applyFill="1" applyBorder="1" applyAlignment="1">
      <alignment vertical="center"/>
    </xf>
    <xf numFmtId="0" fontId="10" fillId="7" borderId="178" xfId="0" applyFont="1" applyFill="1" applyBorder="1" applyAlignment="1">
      <alignment horizontal="center" vertical="center"/>
    </xf>
    <xf numFmtId="0" fontId="10" fillId="7" borderId="179" xfId="0" applyFont="1" applyFill="1" applyBorder="1" applyAlignment="1">
      <alignment horizontal="center" vertical="center"/>
    </xf>
    <xf numFmtId="0" fontId="10" fillId="7" borderId="179" xfId="0" applyFont="1" applyFill="1" applyBorder="1" applyAlignment="1">
      <alignment horizontal="center" vertical="center" wrapText="1"/>
    </xf>
    <xf numFmtId="0" fontId="10" fillId="7" borderId="180" xfId="0" applyFont="1" applyFill="1" applyBorder="1" applyAlignment="1">
      <alignment horizontal="center" vertical="center"/>
    </xf>
    <xf numFmtId="0" fontId="17" fillId="2" borderId="0" xfId="0" applyFont="1" applyFill="1"/>
    <xf numFmtId="0" fontId="18" fillId="2" borderId="0" xfId="0" applyFont="1" applyFill="1" applyAlignment="1">
      <alignment vertical="center"/>
    </xf>
    <xf numFmtId="0" fontId="17" fillId="2" borderId="0" xfId="0" applyFont="1" applyFill="1" applyAlignment="1">
      <alignment horizontal="center"/>
    </xf>
    <xf numFmtId="0" fontId="17" fillId="2" borderId="0" xfId="0" applyFont="1" applyFill="1" applyAlignment="1">
      <alignment horizontal="center" vertical="center"/>
    </xf>
    <xf numFmtId="0" fontId="18" fillId="2" borderId="0" xfId="0" applyFont="1" applyFill="1"/>
    <xf numFmtId="0" fontId="17" fillId="2" borderId="0" xfId="0" applyFont="1" applyFill="1" applyAlignment="1">
      <alignment vertical="center"/>
    </xf>
    <xf numFmtId="0" fontId="26" fillId="2" borderId="0" xfId="0" applyFont="1" applyFill="1"/>
    <xf numFmtId="0" fontId="17" fillId="2" borderId="20" xfId="0" applyFont="1" applyFill="1" applyBorder="1"/>
    <xf numFmtId="2" fontId="17" fillId="2" borderId="0" xfId="0" applyNumberFormat="1" applyFont="1" applyFill="1"/>
    <xf numFmtId="1" fontId="17" fillId="2" borderId="20" xfId="0" applyNumberFormat="1" applyFont="1" applyFill="1" applyBorder="1"/>
    <xf numFmtId="1" fontId="17" fillId="2" borderId="0" xfId="0" applyNumberFormat="1" applyFont="1" applyFill="1" applyAlignment="1">
      <alignment vertical="center"/>
    </xf>
    <xf numFmtId="0" fontId="6" fillId="2" borderId="0" xfId="0" applyFont="1" applyFill="1" applyAlignment="1">
      <alignment horizontal="right"/>
    </xf>
    <xf numFmtId="1" fontId="17" fillId="2" borderId="0" xfId="0" applyNumberFormat="1" applyFont="1" applyFill="1"/>
    <xf numFmtId="0" fontId="10" fillId="7" borderId="204" xfId="0" applyFont="1" applyFill="1" applyBorder="1" applyAlignment="1">
      <alignment horizontal="center" vertical="center"/>
    </xf>
    <xf numFmtId="0" fontId="10" fillId="7" borderId="202" xfId="0" applyFont="1" applyFill="1" applyBorder="1" applyAlignment="1">
      <alignment horizontal="center" vertical="center"/>
    </xf>
    <xf numFmtId="0" fontId="6" fillId="2" borderId="20" xfId="0" applyFont="1" applyFill="1" applyBorder="1" applyAlignment="1">
      <alignment horizontal="center"/>
    </xf>
    <xf numFmtId="1" fontId="6" fillId="2" borderId="20" xfId="0" applyNumberFormat="1" applyFont="1" applyFill="1" applyBorder="1" applyAlignment="1">
      <alignment horizontal="center"/>
    </xf>
    <xf numFmtId="0" fontId="104" fillId="7" borderId="204" xfId="0" applyFont="1" applyFill="1" applyBorder="1" applyAlignment="1">
      <alignment horizontal="center" vertical="center"/>
    </xf>
    <xf numFmtId="0" fontId="104" fillId="7" borderId="202" xfId="0" applyFont="1" applyFill="1" applyBorder="1" applyAlignment="1">
      <alignment horizontal="center" vertical="center"/>
    </xf>
    <xf numFmtId="0" fontId="99" fillId="2" borderId="20" xfId="0" applyFont="1" applyFill="1" applyBorder="1" applyAlignment="1">
      <alignment vertical="center"/>
    </xf>
    <xf numFmtId="3" fontId="99" fillId="2" borderId="20" xfId="0" applyNumberFormat="1" applyFont="1" applyFill="1" applyBorder="1" applyAlignment="1">
      <alignment horizontal="center" vertical="center"/>
    </xf>
    <xf numFmtId="9" fontId="99" fillId="2" borderId="20" xfId="0" applyNumberFormat="1" applyFont="1" applyFill="1" applyBorder="1" applyAlignment="1">
      <alignment horizontal="center" vertical="center"/>
    </xf>
    <xf numFmtId="0" fontId="99" fillId="2" borderId="20" xfId="0" applyFont="1" applyFill="1" applyBorder="1" applyAlignment="1">
      <alignment horizontal="center" vertical="center"/>
    </xf>
    <xf numFmtId="3" fontId="99" fillId="2" borderId="20" xfId="0" applyNumberFormat="1" applyFont="1" applyFill="1" applyBorder="1" applyAlignment="1">
      <alignment vertical="center"/>
    </xf>
    <xf numFmtId="0" fontId="67" fillId="2" borderId="0" xfId="11" applyFont="1" applyFill="1" applyAlignment="1">
      <alignment horizontal="left" vertical="center"/>
    </xf>
    <xf numFmtId="0" fontId="67" fillId="2" borderId="0" xfId="11" applyFont="1" applyFill="1" applyAlignment="1">
      <alignment horizontal="center" vertical="center"/>
    </xf>
    <xf numFmtId="0" fontId="68" fillId="2" borderId="0" xfId="11" applyFont="1" applyFill="1" applyAlignment="1">
      <alignment vertical="center"/>
    </xf>
    <xf numFmtId="0" fontId="101" fillId="2" borderId="20" xfId="0" applyFont="1" applyFill="1" applyBorder="1" applyAlignment="1">
      <alignment vertical="center"/>
    </xf>
    <xf numFmtId="3" fontId="101" fillId="2" borderId="20" xfId="0" applyNumberFormat="1" applyFont="1" applyFill="1" applyBorder="1" applyAlignment="1">
      <alignment vertical="center"/>
    </xf>
    <xf numFmtId="9" fontId="99" fillId="2" borderId="20" xfId="0" applyNumberFormat="1" applyFont="1" applyFill="1" applyBorder="1" applyAlignment="1">
      <alignment vertical="center"/>
    </xf>
    <xf numFmtId="0" fontId="68" fillId="2" borderId="0" xfId="11" applyFont="1" applyFill="1" applyAlignment="1">
      <alignment horizontal="left" vertical="center"/>
    </xf>
    <xf numFmtId="0" fontId="106" fillId="2" borderId="0" xfId="0" applyFont="1" applyFill="1" applyAlignment="1">
      <alignment horizontal="left" vertical="center"/>
    </xf>
    <xf numFmtId="3" fontId="68" fillId="2" borderId="0" xfId="11" applyNumberFormat="1" applyFont="1" applyFill="1" applyAlignment="1">
      <alignment horizontal="center" vertical="center"/>
    </xf>
    <xf numFmtId="4" fontId="68" fillId="2" borderId="0" xfId="11" applyNumberFormat="1" applyFont="1" applyFill="1" applyAlignment="1">
      <alignment horizontal="center" vertical="center"/>
    </xf>
    <xf numFmtId="2" fontId="68" fillId="2" borderId="0" xfId="11" applyNumberFormat="1" applyFont="1" applyFill="1" applyAlignment="1">
      <alignment horizontal="center" vertical="center"/>
    </xf>
    <xf numFmtId="9" fontId="99" fillId="2" borderId="20" xfId="1" applyFont="1" applyFill="1" applyBorder="1" applyAlignment="1">
      <alignment vertical="center"/>
    </xf>
    <xf numFmtId="9" fontId="99" fillId="2" borderId="0" xfId="1" applyFont="1" applyFill="1" applyAlignment="1">
      <alignment vertical="center"/>
    </xf>
    <xf numFmtId="3" fontId="99" fillId="2" borderId="0" xfId="0" applyNumberFormat="1" applyFont="1" applyFill="1" applyAlignment="1">
      <alignment vertical="center"/>
    </xf>
    <xf numFmtId="3" fontId="68" fillId="2" borderId="0" xfId="11" applyNumberFormat="1" applyFont="1" applyFill="1" applyAlignment="1">
      <alignment vertical="center"/>
    </xf>
    <xf numFmtId="3" fontId="67" fillId="2" borderId="0" xfId="11" applyNumberFormat="1" applyFont="1" applyFill="1" applyAlignment="1">
      <alignment vertical="center"/>
    </xf>
    <xf numFmtId="0" fontId="67" fillId="2" borderId="0" xfId="11" applyFont="1" applyFill="1" applyAlignment="1">
      <alignment vertical="center"/>
    </xf>
    <xf numFmtId="0" fontId="149" fillId="2" borderId="0" xfId="0" applyFont="1" applyFill="1" applyAlignment="1">
      <alignment horizontal="left" vertical="center"/>
    </xf>
    <xf numFmtId="9" fontId="68" fillId="2" borderId="0" xfId="10" applyFont="1" applyFill="1" applyAlignment="1">
      <alignment horizontal="center" vertical="center"/>
    </xf>
    <xf numFmtId="9" fontId="67" fillId="2" borderId="0" xfId="11" applyNumberFormat="1" applyFont="1" applyFill="1" applyAlignment="1">
      <alignment horizontal="center" vertical="center"/>
    </xf>
    <xf numFmtId="1" fontId="99" fillId="2" borderId="20" xfId="0" applyNumberFormat="1" applyFont="1" applyFill="1" applyBorder="1" applyAlignment="1">
      <alignment vertical="center"/>
    </xf>
    <xf numFmtId="1" fontId="101" fillId="2" borderId="20" xfId="0" applyNumberFormat="1" applyFont="1" applyFill="1" applyBorder="1" applyAlignment="1">
      <alignment vertical="center"/>
    </xf>
    <xf numFmtId="9" fontId="101" fillId="2" borderId="20" xfId="1" applyFont="1" applyFill="1" applyBorder="1" applyAlignment="1">
      <alignment vertical="center"/>
    </xf>
    <xf numFmtId="3" fontId="68" fillId="2" borderId="0" xfId="12" applyNumberFormat="1" applyFont="1" applyFill="1" applyAlignment="1">
      <alignment vertical="center"/>
    </xf>
    <xf numFmtId="0" fontId="68" fillId="2" borderId="0" xfId="12" applyFont="1" applyFill="1" applyAlignment="1">
      <alignment vertical="center"/>
    </xf>
    <xf numFmtId="0" fontId="68" fillId="2" borderId="0" xfId="12" applyFont="1" applyFill="1" applyAlignment="1">
      <alignment horizontal="center" vertical="center"/>
    </xf>
    <xf numFmtId="9" fontId="68" fillId="2" borderId="0" xfId="12" applyNumberFormat="1" applyFont="1" applyFill="1" applyAlignment="1">
      <alignment horizontal="center" vertical="center"/>
    </xf>
    <xf numFmtId="9" fontId="106" fillId="2" borderId="0" xfId="12" applyNumberFormat="1" applyFont="1" applyFill="1" applyAlignment="1">
      <alignment horizontal="center" vertical="center"/>
    </xf>
    <xf numFmtId="9" fontId="101" fillId="2" borderId="20" xfId="1" applyFont="1" applyFill="1" applyBorder="1" applyAlignment="1">
      <alignment horizontal="right" vertical="center"/>
    </xf>
    <xf numFmtId="9" fontId="99" fillId="2" borderId="20" xfId="1" applyFont="1" applyFill="1" applyBorder="1" applyAlignment="1">
      <alignment horizontal="right" vertical="center"/>
    </xf>
    <xf numFmtId="3" fontId="101" fillId="2" borderId="0" xfId="0" applyNumberFormat="1" applyFont="1" applyFill="1" applyAlignment="1">
      <alignment vertical="center"/>
    </xf>
    <xf numFmtId="0" fontId="67" fillId="2" borderId="0" xfId="12" applyFont="1" applyFill="1" applyAlignment="1">
      <alignment vertical="center"/>
    </xf>
    <xf numFmtId="3" fontId="67" fillId="2" borderId="0" xfId="12" applyNumberFormat="1" applyFont="1" applyFill="1" applyAlignment="1">
      <alignment horizontal="center" vertical="center"/>
    </xf>
    <xf numFmtId="3" fontId="68" fillId="2" borderId="0" xfId="12" applyNumberFormat="1" applyFont="1" applyFill="1" applyAlignment="1">
      <alignment horizontal="center" vertical="center"/>
    </xf>
    <xf numFmtId="171" fontId="68" fillId="2" borderId="0" xfId="12" applyNumberFormat="1" applyFont="1" applyFill="1" applyAlignment="1">
      <alignment horizontal="center" vertical="center"/>
    </xf>
    <xf numFmtId="4" fontId="68" fillId="2" borderId="0" xfId="12" applyNumberFormat="1" applyFont="1" applyFill="1" applyAlignment="1">
      <alignment horizontal="center" vertical="center"/>
    </xf>
    <xf numFmtId="2" fontId="68" fillId="2" borderId="0" xfId="12" applyNumberFormat="1" applyFont="1" applyFill="1" applyAlignment="1">
      <alignment horizontal="center" vertical="center"/>
    </xf>
    <xf numFmtId="3" fontId="68" fillId="2" borderId="0" xfId="10" applyNumberFormat="1" applyFont="1" applyFill="1" applyAlignment="1">
      <alignment horizontal="center" vertical="center"/>
    </xf>
    <xf numFmtId="3" fontId="67" fillId="2" borderId="0" xfId="12" applyNumberFormat="1" applyFont="1" applyFill="1" applyAlignment="1">
      <alignment vertical="center"/>
    </xf>
    <xf numFmtId="0" fontId="99" fillId="2" borderId="20" xfId="0" applyFont="1" applyFill="1" applyBorder="1" applyAlignment="1">
      <alignment vertical="center" wrapText="1"/>
    </xf>
    <xf numFmtId="0" fontId="104" fillId="7" borderId="201" xfId="0" applyFont="1" applyFill="1" applyBorder="1" applyAlignment="1">
      <alignment horizontal="center" vertical="center" wrapText="1"/>
    </xf>
    <xf numFmtId="0" fontId="104" fillId="7" borderId="204" xfId="0" applyFont="1" applyFill="1" applyBorder="1" applyAlignment="1">
      <alignment horizontal="center" vertical="center" wrapText="1"/>
    </xf>
    <xf numFmtId="0" fontId="104" fillId="7" borderId="202" xfId="0" applyFont="1" applyFill="1" applyBorder="1" applyAlignment="1">
      <alignment horizontal="center" vertical="center" wrapText="1"/>
    </xf>
    <xf numFmtId="0" fontId="145" fillId="7" borderId="180" xfId="0" applyFont="1" applyFill="1" applyBorder="1" applyAlignment="1">
      <alignment horizontal="center" vertical="center" wrapText="1"/>
    </xf>
    <xf numFmtId="0" fontId="146" fillId="0" borderId="0" xfId="11" applyFont="1" applyFill="1" applyAlignment="1">
      <alignment horizontal="center" vertical="center" wrapText="1"/>
    </xf>
    <xf numFmtId="0" fontId="68" fillId="0" borderId="0" xfId="11" applyFont="1" applyFill="1" applyAlignment="1">
      <alignment vertical="center"/>
    </xf>
    <xf numFmtId="0" fontId="104" fillId="7" borderId="179" xfId="0" applyFont="1" applyFill="1" applyBorder="1" applyAlignment="1">
      <alignment horizontal="center" vertical="center" wrapText="1"/>
    </xf>
    <xf numFmtId="0" fontId="101" fillId="2" borderId="33" xfId="0" applyFont="1" applyFill="1" applyBorder="1" applyAlignment="1">
      <alignment vertical="center"/>
    </xf>
    <xf numFmtId="0" fontId="9" fillId="2" borderId="0" xfId="0" applyFont="1" applyFill="1" applyAlignment="1">
      <alignment horizontal="center" vertical="center" wrapText="1"/>
    </xf>
    <xf numFmtId="2" fontId="5" fillId="2" borderId="133" xfId="0" applyNumberFormat="1" applyFont="1" applyFill="1" applyBorder="1" applyAlignment="1">
      <alignment horizontal="center" vertical="center" wrapText="1"/>
    </xf>
    <xf numFmtId="0" fontId="5" fillId="2" borderId="133" xfId="0" applyFont="1" applyFill="1" applyBorder="1" applyAlignment="1">
      <alignment vertical="center" wrapText="1"/>
    </xf>
    <xf numFmtId="0" fontId="5" fillId="2" borderId="133" xfId="0" applyFont="1" applyFill="1" applyBorder="1" applyAlignment="1">
      <alignment horizontal="center" vertical="center" wrapText="1"/>
    </xf>
    <xf numFmtId="4" fontId="5" fillId="2" borderId="133" xfId="0" applyNumberFormat="1" applyFont="1" applyFill="1" applyBorder="1" applyAlignment="1">
      <alignment horizontal="center" vertical="center" wrapText="1"/>
    </xf>
    <xf numFmtId="0" fontId="9" fillId="2" borderId="133" xfId="0" applyFont="1" applyFill="1" applyBorder="1" applyAlignment="1">
      <alignment horizontal="center" vertical="center" wrapText="1"/>
    </xf>
    <xf numFmtId="0" fontId="5" fillId="2" borderId="133" xfId="0" applyFont="1" applyFill="1" applyBorder="1" applyAlignment="1">
      <alignment horizontal="left" vertical="center" wrapText="1"/>
    </xf>
    <xf numFmtId="0" fontId="9" fillId="2" borderId="133" xfId="0" applyFont="1" applyFill="1" applyBorder="1" applyAlignment="1">
      <alignment horizontal="center" vertical="center"/>
    </xf>
    <xf numFmtId="169" fontId="9" fillId="2" borderId="133" xfId="0" applyNumberFormat="1" applyFont="1" applyFill="1" applyBorder="1" applyAlignment="1">
      <alignment horizontal="center" vertical="center"/>
    </xf>
    <xf numFmtId="0" fontId="9" fillId="2" borderId="133" xfId="0" applyFont="1" applyFill="1" applyBorder="1" applyAlignment="1">
      <alignment vertical="center"/>
    </xf>
    <xf numFmtId="4" fontId="9" fillId="2" borderId="133" xfId="0" applyNumberFormat="1" applyFont="1" applyFill="1" applyBorder="1" applyAlignment="1">
      <alignment horizontal="center" vertical="center"/>
    </xf>
    <xf numFmtId="0" fontId="10" fillId="7" borderId="193" xfId="0" applyFont="1" applyFill="1" applyBorder="1" applyAlignment="1">
      <alignment horizontal="center" vertical="center" wrapText="1"/>
    </xf>
    <xf numFmtId="2" fontId="10" fillId="7" borderId="194" xfId="0" applyNumberFormat="1" applyFont="1" applyFill="1" applyBorder="1" applyAlignment="1">
      <alignment horizontal="center" vertical="center" wrapText="1"/>
    </xf>
    <xf numFmtId="0" fontId="5" fillId="2" borderId="0" xfId="0" applyFont="1" applyFill="1" applyAlignment="1">
      <alignment vertical="center"/>
    </xf>
    <xf numFmtId="2" fontId="5" fillId="2" borderId="0" xfId="0" applyNumberFormat="1" applyFont="1" applyFill="1" applyAlignment="1">
      <alignment vertical="center"/>
    </xf>
    <xf numFmtId="170" fontId="5" fillId="2" borderId="0" xfId="0" applyNumberFormat="1" applyFont="1" applyFill="1" applyAlignment="1">
      <alignment vertical="center"/>
    </xf>
    <xf numFmtId="0" fontId="5" fillId="2" borderId="133" xfId="0" applyFont="1" applyFill="1" applyBorder="1" applyAlignment="1">
      <alignment vertical="center"/>
    </xf>
    <xf numFmtId="2" fontId="5" fillId="2" borderId="133" xfId="0" applyNumberFormat="1" applyFont="1" applyFill="1" applyBorder="1" applyAlignment="1">
      <alignment horizontal="center" vertical="center"/>
    </xf>
    <xf numFmtId="4" fontId="9" fillId="2" borderId="0" xfId="0" applyNumberFormat="1" applyFont="1" applyFill="1" applyAlignment="1">
      <alignment vertical="center"/>
    </xf>
    <xf numFmtId="1" fontId="6" fillId="2" borderId="0" xfId="0" applyNumberFormat="1" applyFont="1" applyFill="1" applyAlignment="1">
      <alignment horizontal="center" vertical="center"/>
    </xf>
    <xf numFmtId="0" fontId="9" fillId="2" borderId="0" xfId="0" applyFont="1" applyFill="1" applyAlignment="1">
      <alignment horizontal="center" vertical="center"/>
    </xf>
    <xf numFmtId="183" fontId="6" fillId="2" borderId="0" xfId="0" applyNumberFormat="1" applyFont="1" applyFill="1" applyAlignment="1">
      <alignment vertical="center"/>
    </xf>
    <xf numFmtId="0" fontId="5" fillId="2" borderId="0" xfId="0" applyFont="1" applyFill="1" applyAlignment="1">
      <alignment horizontal="center" vertical="center"/>
    </xf>
    <xf numFmtId="183" fontId="5" fillId="2" borderId="133" xfId="0" applyNumberFormat="1" applyFont="1" applyFill="1" applyBorder="1" applyAlignment="1">
      <alignment horizontal="center" vertical="center" wrapText="1"/>
    </xf>
    <xf numFmtId="9" fontId="168" fillId="2" borderId="133" xfId="1" applyFont="1" applyFill="1" applyBorder="1" applyAlignment="1">
      <alignment horizontal="center" vertical="center" wrapText="1"/>
    </xf>
    <xf numFmtId="9" fontId="168" fillId="2" borderId="133" xfId="1" quotePrefix="1" applyFont="1" applyFill="1" applyBorder="1" applyAlignment="1">
      <alignment horizontal="center" vertical="center" wrapText="1"/>
    </xf>
    <xf numFmtId="0" fontId="8" fillId="2" borderId="133" xfId="0" applyFont="1" applyFill="1" applyBorder="1" applyAlignment="1">
      <alignment horizontal="center" vertical="center"/>
    </xf>
    <xf numFmtId="183" fontId="9" fillId="2" borderId="133" xfId="0" applyNumberFormat="1" applyFont="1" applyFill="1" applyBorder="1" applyAlignment="1">
      <alignment horizontal="center" vertical="center" wrapText="1"/>
    </xf>
    <xf numFmtId="0" fontId="10" fillId="7" borderId="157" xfId="0" applyFont="1" applyFill="1" applyBorder="1" applyAlignment="1">
      <alignment horizontal="center" vertical="center" wrapText="1"/>
    </xf>
    <xf numFmtId="0" fontId="10" fillId="7" borderId="124" xfId="0" applyFont="1" applyFill="1" applyBorder="1" applyAlignment="1">
      <alignment horizontal="center" vertical="center" wrapText="1"/>
    </xf>
    <xf numFmtId="0" fontId="10" fillId="7" borderId="130" xfId="0" applyFont="1" applyFill="1" applyBorder="1" applyAlignment="1">
      <alignment horizontal="center" vertical="center" wrapText="1"/>
    </xf>
    <xf numFmtId="0" fontId="10" fillId="7" borderId="131" xfId="0" applyFont="1" applyFill="1" applyBorder="1" applyAlignment="1">
      <alignment horizontal="center" vertical="center" wrapText="1"/>
    </xf>
    <xf numFmtId="1" fontId="169" fillId="2" borderId="0" xfId="0" applyNumberFormat="1" applyFont="1" applyFill="1" applyAlignment="1">
      <alignment horizontal="center" vertical="center"/>
    </xf>
    <xf numFmtId="0" fontId="169" fillId="2" borderId="0" xfId="0" applyFont="1" applyFill="1" applyAlignment="1">
      <alignment horizontal="center" vertical="center"/>
    </xf>
    <xf numFmtId="0" fontId="169" fillId="2" borderId="0" xfId="0" applyFont="1" applyFill="1" applyAlignment="1">
      <alignment vertical="center"/>
    </xf>
    <xf numFmtId="0" fontId="170" fillId="2" borderId="0" xfId="0" applyFont="1" applyFill="1" applyAlignment="1">
      <alignment horizontal="center" vertical="center" wrapText="1"/>
    </xf>
    <xf numFmtId="0" fontId="172" fillId="2" borderId="0" xfId="0" applyFont="1" applyFill="1" applyAlignment="1">
      <alignment horizontal="left" vertical="center" wrapText="1"/>
    </xf>
    <xf numFmtId="3" fontId="172" fillId="2" borderId="0" xfId="0" applyNumberFormat="1" applyFont="1" applyFill="1" applyAlignment="1">
      <alignment horizontal="center" vertical="center" wrapText="1"/>
    </xf>
    <xf numFmtId="3" fontId="173" fillId="2" borderId="0" xfId="0" applyNumberFormat="1" applyFont="1" applyFill="1" applyAlignment="1">
      <alignment horizontal="center" vertical="center" wrapText="1"/>
    </xf>
    <xf numFmtId="4" fontId="173" fillId="2" borderId="0" xfId="0" applyNumberFormat="1" applyFont="1" applyFill="1" applyAlignment="1">
      <alignment horizontal="center" vertical="center" wrapText="1"/>
    </xf>
    <xf numFmtId="0" fontId="89" fillId="2" borderId="0" xfId="0" applyFont="1" applyFill="1" applyAlignment="1">
      <alignment horizontal="center" vertical="center" wrapText="1"/>
    </xf>
    <xf numFmtId="0" fontId="169" fillId="0" borderId="0" xfId="0" applyFont="1" applyAlignment="1">
      <alignment horizontal="left" vertical="center" wrapText="1"/>
    </xf>
    <xf numFmtId="0" fontId="172" fillId="2" borderId="0" xfId="0" applyFont="1" applyFill="1" applyAlignment="1">
      <alignment horizontal="center" vertical="center" wrapText="1"/>
    </xf>
    <xf numFmtId="0" fontId="169" fillId="2" borderId="0" xfId="0" applyFont="1" applyFill="1" applyAlignment="1">
      <alignment vertical="center" wrapText="1"/>
    </xf>
    <xf numFmtId="0" fontId="169" fillId="0" borderId="0" xfId="0" applyFont="1" applyAlignment="1">
      <alignment horizontal="center" vertical="center"/>
    </xf>
    <xf numFmtId="1" fontId="169" fillId="0" borderId="0" xfId="0" applyNumberFormat="1" applyFont="1" applyAlignment="1">
      <alignment horizontal="center" vertical="center"/>
    </xf>
    <xf numFmtId="3" fontId="173" fillId="0" borderId="133" xfId="0" applyNumberFormat="1" applyFont="1" applyBorder="1" applyAlignment="1">
      <alignment horizontal="center" vertical="center" wrapText="1"/>
    </xf>
    <xf numFmtId="1" fontId="171" fillId="38" borderId="194" xfId="0" applyNumberFormat="1" applyFont="1" applyFill="1" applyBorder="1" applyAlignment="1">
      <alignment horizontal="center" vertical="center" wrapText="1"/>
    </xf>
    <xf numFmtId="0" fontId="9" fillId="5" borderId="133" xfId="13" applyFont="1" applyFill="1" applyBorder="1" applyAlignment="1">
      <alignment horizontal="left" vertical="center"/>
    </xf>
    <xf numFmtId="0" fontId="8" fillId="5" borderId="133" xfId="0" applyFont="1" applyFill="1" applyBorder="1" applyAlignment="1">
      <alignment horizontal="left" vertical="center" wrapText="1"/>
    </xf>
    <xf numFmtId="0" fontId="8" fillId="5" borderId="133" xfId="0" applyFont="1" applyFill="1" applyBorder="1" applyAlignment="1">
      <alignment vertical="center"/>
    </xf>
    <xf numFmtId="183" fontId="10" fillId="7" borderId="194" xfId="0" applyNumberFormat="1" applyFont="1" applyFill="1" applyBorder="1" applyAlignment="1">
      <alignment horizontal="center" vertical="center" wrapText="1"/>
    </xf>
    <xf numFmtId="183" fontId="174" fillId="2" borderId="133" xfId="0" applyNumberFormat="1" applyFont="1" applyFill="1" applyBorder="1" applyAlignment="1">
      <alignment horizontal="center" vertical="center" wrapText="1"/>
    </xf>
    <xf numFmtId="183" fontId="175" fillId="2" borderId="133" xfId="0" applyNumberFormat="1" applyFont="1" applyFill="1" applyBorder="1" applyAlignment="1">
      <alignment horizontal="center" vertical="center" wrapText="1"/>
    </xf>
    <xf numFmtId="0" fontId="169" fillId="0" borderId="0" xfId="0" applyFont="1" applyAlignment="1">
      <alignment vertical="center"/>
    </xf>
    <xf numFmtId="0" fontId="169" fillId="0" borderId="0" xfId="0" applyFont="1" applyAlignment="1">
      <alignment vertical="center" wrapText="1"/>
    </xf>
    <xf numFmtId="3" fontId="169" fillId="2" borderId="0" xfId="0" applyNumberFormat="1" applyFont="1" applyFill="1" applyAlignment="1">
      <alignment vertical="center"/>
    </xf>
    <xf numFmtId="0" fontId="172" fillId="2" borderId="133" xfId="0" applyFont="1" applyFill="1" applyBorder="1" applyAlignment="1">
      <alignment vertical="center" wrapText="1"/>
    </xf>
    <xf numFmtId="10" fontId="99" fillId="2" borderId="20" xfId="0" applyNumberFormat="1" applyFont="1" applyFill="1" applyBorder="1" applyAlignment="1">
      <alignment horizontal="center" vertical="center"/>
    </xf>
    <xf numFmtId="0" fontId="25" fillId="0" borderId="0" xfId="0" applyFont="1" applyFill="1" applyAlignment="1">
      <alignment vertical="center" wrapText="1"/>
    </xf>
    <xf numFmtId="3" fontId="5" fillId="0" borderId="0" xfId="0" applyNumberFormat="1" applyFont="1" applyFill="1" applyAlignment="1">
      <alignment horizontal="center" vertical="center"/>
    </xf>
    <xf numFmtId="3" fontId="5" fillId="0" borderId="0" xfId="9" applyNumberFormat="1" applyFont="1" applyFill="1" applyAlignment="1">
      <alignment horizontal="center" vertical="center"/>
    </xf>
    <xf numFmtId="3" fontId="5" fillId="0" borderId="0" xfId="0" applyNumberFormat="1" applyFont="1" applyFill="1" applyAlignment="1">
      <alignment horizontal="center" vertical="center" wrapText="1"/>
    </xf>
    <xf numFmtId="9" fontId="104" fillId="7" borderId="130" xfId="1" applyFont="1" applyFill="1" applyBorder="1" applyAlignment="1">
      <alignment horizontal="center" vertical="center" wrapText="1"/>
    </xf>
    <xf numFmtId="0" fontId="176" fillId="102" borderId="221" xfId="0" applyFont="1" applyFill="1" applyBorder="1" applyAlignment="1">
      <alignment horizontal="center" vertical="center"/>
    </xf>
    <xf numFmtId="0" fontId="176" fillId="102" borderId="221" xfId="0" applyFont="1" applyFill="1" applyBorder="1" applyAlignment="1">
      <alignment horizontal="center" vertical="center" wrapText="1"/>
    </xf>
    <xf numFmtId="0" fontId="17" fillId="103" borderId="20" xfId="0" applyFont="1" applyFill="1" applyBorder="1" applyAlignment="1">
      <alignment vertical="center"/>
    </xf>
    <xf numFmtId="0" fontId="17" fillId="103" borderId="20" xfId="0" applyFont="1" applyFill="1" applyBorder="1"/>
    <xf numFmtId="1" fontId="17" fillId="103" borderId="20" xfId="0" applyNumberFormat="1" applyFont="1" applyFill="1" applyBorder="1"/>
    <xf numFmtId="0" fontId="6" fillId="103" borderId="20" xfId="0" applyFont="1" applyFill="1" applyBorder="1" applyAlignment="1">
      <alignment horizontal="center" vertical="center"/>
    </xf>
    <xf numFmtId="0" fontId="6" fillId="103" borderId="20" xfId="0" applyFont="1" applyFill="1" applyBorder="1" applyAlignment="1">
      <alignment horizontal="center"/>
    </xf>
    <xf numFmtId="1" fontId="6" fillId="103" borderId="20" xfId="0" applyNumberFormat="1" applyFont="1" applyFill="1" applyBorder="1" applyAlignment="1">
      <alignment horizontal="center"/>
    </xf>
    <xf numFmtId="0" fontId="17" fillId="0" borderId="20" xfId="0" applyFont="1" applyFill="1" applyBorder="1"/>
    <xf numFmtId="0" fontId="17" fillId="9" borderId="20" xfId="0" applyFont="1" applyFill="1" applyBorder="1" applyAlignment="1">
      <alignment vertical="center"/>
    </xf>
    <xf numFmtId="0" fontId="17" fillId="9" borderId="20" xfId="0" applyFont="1" applyFill="1" applyBorder="1"/>
    <xf numFmtId="1" fontId="17" fillId="9" borderId="20" xfId="0" applyNumberFormat="1" applyFont="1" applyFill="1" applyBorder="1"/>
    <xf numFmtId="0" fontId="10" fillId="13" borderId="20" xfId="0" applyFont="1" applyFill="1" applyBorder="1"/>
    <xf numFmtId="0" fontId="10" fillId="13" borderId="20" xfId="0" applyFont="1" applyFill="1" applyBorder="1" applyAlignment="1">
      <alignment horizontal="right"/>
    </xf>
    <xf numFmtId="0" fontId="7" fillId="0" borderId="1" xfId="0" applyNumberFormat="1" applyFont="1" applyBorder="1"/>
    <xf numFmtId="0" fontId="6" fillId="0" borderId="0" xfId="0" applyNumberFormat="1" applyFont="1"/>
    <xf numFmtId="0" fontId="5" fillId="0" borderId="0" xfId="0" applyNumberFormat="1" applyFont="1" applyAlignment="1">
      <alignment horizontal="center" vertical="center"/>
    </xf>
    <xf numFmtId="0" fontId="5" fillId="0" borderId="0" xfId="9" applyNumberFormat="1" applyFont="1" applyAlignment="1">
      <alignment horizontal="center" vertical="center"/>
    </xf>
    <xf numFmtId="0" fontId="5" fillId="0" borderId="0" xfId="1" applyNumberFormat="1" applyFont="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0" borderId="37" xfId="0" applyFont="1" applyBorder="1" applyAlignment="1">
      <alignment horizontal="center" vertical="center"/>
    </xf>
    <xf numFmtId="0" fontId="7" fillId="0" borderId="20" xfId="0" applyFont="1" applyBorder="1" applyAlignment="1">
      <alignment horizontal="center"/>
    </xf>
    <xf numFmtId="0" fontId="7" fillId="2" borderId="0" xfId="0" applyFont="1" applyFill="1" applyAlignment="1">
      <alignment horizontal="center" vertical="center"/>
    </xf>
    <xf numFmtId="0" fontId="7" fillId="2" borderId="20" xfId="0" applyFont="1" applyFill="1" applyBorder="1" applyAlignment="1">
      <alignment horizontal="center" vertical="center"/>
    </xf>
    <xf numFmtId="0" fontId="7" fillId="16" borderId="20" xfId="0" applyFont="1" applyFill="1" applyBorder="1" applyAlignment="1">
      <alignment horizontal="center" vertical="center"/>
    </xf>
    <xf numFmtId="0" fontId="7" fillId="14" borderId="0" xfId="0" applyFont="1" applyFill="1"/>
    <xf numFmtId="0" fontId="7" fillId="13" borderId="20" xfId="0" applyFont="1" applyFill="1" applyBorder="1" applyAlignment="1">
      <alignment vertical="center"/>
    </xf>
    <xf numFmtId="0" fontId="7" fillId="16" borderId="20" xfId="0" applyFont="1" applyFill="1" applyBorder="1" applyAlignment="1">
      <alignment vertical="center"/>
    </xf>
    <xf numFmtId="0" fontId="6" fillId="2" borderId="0" xfId="0" applyFont="1" applyFill="1" applyAlignment="1">
      <alignment horizontal="center" vertical="center" wrapText="1"/>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6" fillId="2" borderId="0" xfId="0" applyFont="1" applyFill="1" applyAlignment="1">
      <alignment horizontal="center" vertical="center"/>
    </xf>
    <xf numFmtId="0" fontId="7" fillId="2" borderId="0" xfId="0" applyFont="1" applyFill="1" applyAlignment="1">
      <alignment horizontal="center" vertical="center"/>
    </xf>
    <xf numFmtId="1" fontId="7" fillId="2" borderId="0" xfId="0" applyNumberFormat="1" applyFont="1" applyFill="1" applyAlignment="1">
      <alignment horizontal="center" vertical="center"/>
    </xf>
    <xf numFmtId="1" fontId="99" fillId="2" borderId="0" xfId="0" applyNumberFormat="1" applyFont="1" applyFill="1" applyAlignment="1">
      <alignment vertical="center"/>
    </xf>
    <xf numFmtId="3" fontId="68" fillId="2" borderId="133" xfId="0" applyNumberFormat="1" applyFont="1" applyFill="1" applyBorder="1" applyAlignment="1">
      <alignment horizontal="center" vertical="center"/>
    </xf>
    <xf numFmtId="0" fontId="104" fillId="105" borderId="157" xfId="0" applyFont="1" applyFill="1" applyBorder="1" applyAlignment="1">
      <alignment horizontal="center" vertical="center" wrapText="1"/>
    </xf>
    <xf numFmtId="0" fontId="104" fillId="105" borderId="124" xfId="0" applyFont="1" applyFill="1" applyBorder="1" applyAlignment="1">
      <alignment horizontal="center" vertical="center" wrapText="1"/>
    </xf>
    <xf numFmtId="0" fontId="104" fillId="105" borderId="130" xfId="0" applyFont="1" applyFill="1" applyBorder="1" applyAlignment="1">
      <alignment horizontal="center" vertical="center" wrapText="1"/>
    </xf>
    <xf numFmtId="0" fontId="104" fillId="105" borderId="131" xfId="0" applyFont="1" applyFill="1" applyBorder="1" applyAlignment="1">
      <alignment horizontal="center" vertical="center" wrapText="1"/>
    </xf>
    <xf numFmtId="0" fontId="68" fillId="14" borderId="133" xfId="0" applyFont="1" applyFill="1" applyBorder="1" applyAlignment="1">
      <alignment horizontal="left" vertical="center" wrapText="1"/>
    </xf>
    <xf numFmtId="3" fontId="68" fillId="14" borderId="133" xfId="0" applyNumberFormat="1" applyFont="1" applyFill="1" applyBorder="1" applyAlignment="1">
      <alignment horizontal="left" vertical="center"/>
    </xf>
    <xf numFmtId="3" fontId="68" fillId="16" borderId="133" xfId="0" applyNumberFormat="1" applyFont="1" applyFill="1" applyBorder="1" applyAlignment="1">
      <alignment horizontal="center" vertical="center"/>
    </xf>
    <xf numFmtId="0" fontId="7" fillId="0" borderId="20" xfId="0" applyFont="1" applyBorder="1" applyAlignment="1">
      <alignment horizontal="center" vertical="center"/>
    </xf>
    <xf numFmtId="0" fontId="6" fillId="0" borderId="20" xfId="0" applyFont="1" applyBorder="1" applyAlignment="1">
      <alignment horizontal="center"/>
    </xf>
    <xf numFmtId="3" fontId="6" fillId="2" borderId="0" xfId="0" applyNumberFormat="1" applyFont="1" applyFill="1"/>
    <xf numFmtId="3" fontId="6" fillId="4" borderId="133" xfId="14" applyNumberFormat="1" applyFont="1" applyFill="1" applyBorder="1" applyAlignment="1">
      <alignment horizontal="center" vertical="center"/>
    </xf>
    <xf numFmtId="3" fontId="6" fillId="2" borderId="0" xfId="0" applyNumberFormat="1" applyFont="1" applyFill="1" applyAlignment="1">
      <alignment vertical="center"/>
    </xf>
    <xf numFmtId="9" fontId="6" fillId="2" borderId="0" xfId="1" applyFont="1" applyFill="1" applyAlignment="1">
      <alignment vertical="center"/>
    </xf>
    <xf numFmtId="0" fontId="104" fillId="7" borderId="157" xfId="0" applyFont="1" applyFill="1" applyBorder="1" applyAlignment="1">
      <alignment horizontal="center" vertical="center" wrapText="1"/>
    </xf>
    <xf numFmtId="0" fontId="104" fillId="7" borderId="126" xfId="0" applyFont="1" applyFill="1" applyBorder="1" applyAlignment="1">
      <alignment horizontal="center" vertical="center" wrapText="1"/>
    </xf>
    <xf numFmtId="0" fontId="104" fillId="7" borderId="130" xfId="0" applyFont="1" applyFill="1" applyBorder="1" applyAlignment="1">
      <alignment horizontal="center" vertical="center" wrapText="1"/>
    </xf>
    <xf numFmtId="0" fontId="24" fillId="7" borderId="126" xfId="0" applyFont="1" applyFill="1" applyBorder="1" applyAlignment="1">
      <alignment horizontal="center" vertical="center" wrapText="1"/>
    </xf>
    <xf numFmtId="0" fontId="104" fillId="8" borderId="157" xfId="8" applyFont="1" applyFill="1" applyBorder="1" applyAlignment="1">
      <alignment horizontal="center" vertical="center" wrapText="1"/>
    </xf>
    <xf numFmtId="3" fontId="144" fillId="54" borderId="133" xfId="8" applyNumberFormat="1" applyFont="1" applyFill="1" applyBorder="1" applyAlignment="1">
      <alignment horizontal="center" vertical="center"/>
    </xf>
    <xf numFmtId="10" fontId="155" fillId="8" borderId="213" xfId="8" applyNumberFormat="1" applyFont="1" applyFill="1" applyBorder="1" applyAlignment="1">
      <alignment horizontal="center" vertical="center" wrapText="1"/>
    </xf>
    <xf numFmtId="3" fontId="144" fillId="5" borderId="133" xfId="8" applyNumberFormat="1" applyFont="1" applyFill="1" applyBorder="1" applyAlignment="1">
      <alignment horizontal="center" vertical="center"/>
    </xf>
    <xf numFmtId="3" fontId="144" fillId="0" borderId="133" xfId="8" applyNumberFormat="1" applyFont="1" applyBorder="1" applyAlignment="1">
      <alignment horizontal="center" vertical="center"/>
    </xf>
    <xf numFmtId="1" fontId="144" fillId="54" borderId="133" xfId="8" applyNumberFormat="1" applyFont="1" applyFill="1" applyBorder="1" applyAlignment="1">
      <alignment horizontal="center" vertical="center"/>
    </xf>
    <xf numFmtId="3" fontId="68" fillId="0" borderId="133" xfId="8" applyNumberFormat="1" applyFont="1" applyFill="1" applyBorder="1" applyAlignment="1">
      <alignment horizontal="center" vertical="center"/>
    </xf>
    <xf numFmtId="3" fontId="144" fillId="0" borderId="133" xfId="8" applyNumberFormat="1" applyFont="1" applyFill="1" applyBorder="1" applyAlignment="1">
      <alignment horizontal="center" vertical="center"/>
    </xf>
    <xf numFmtId="3" fontId="144" fillId="9" borderId="133" xfId="8" applyNumberFormat="1" applyFont="1" applyFill="1" applyBorder="1" applyAlignment="1">
      <alignment horizontal="center" vertical="center"/>
    </xf>
    <xf numFmtId="1" fontId="144" fillId="54" borderId="133" xfId="0" applyNumberFormat="1" applyFont="1" applyFill="1" applyBorder="1" applyAlignment="1">
      <alignment horizontal="center" vertical="center"/>
    </xf>
    <xf numFmtId="3" fontId="144" fillId="54" borderId="133" xfId="0" applyNumberFormat="1" applyFont="1" applyFill="1" applyBorder="1" applyAlignment="1">
      <alignment horizontal="center" vertical="center" wrapText="1"/>
    </xf>
    <xf numFmtId="1" fontId="144" fillId="5" borderId="133" xfId="0" applyNumberFormat="1" applyFont="1" applyFill="1" applyBorder="1" applyAlignment="1">
      <alignment horizontal="center" vertical="center"/>
    </xf>
    <xf numFmtId="3" fontId="144" fillId="5" borderId="133" xfId="0" applyNumberFormat="1" applyFont="1" applyFill="1" applyBorder="1" applyAlignment="1">
      <alignment horizontal="center" vertical="center" wrapText="1"/>
    </xf>
    <xf numFmtId="0" fontId="68" fillId="0" borderId="133" xfId="0" applyFont="1" applyFill="1" applyBorder="1" applyAlignment="1">
      <alignment horizontal="center" vertical="center" wrapText="1"/>
    </xf>
    <xf numFmtId="1" fontId="144" fillId="0" borderId="133" xfId="0" applyNumberFormat="1" applyFont="1" applyFill="1" applyBorder="1" applyAlignment="1">
      <alignment horizontal="center" vertical="center"/>
    </xf>
    <xf numFmtId="3" fontId="68" fillId="0" borderId="133" xfId="0" applyNumberFormat="1" applyFont="1" applyFill="1" applyBorder="1" applyAlignment="1">
      <alignment horizontal="center" vertical="center" wrapText="1"/>
    </xf>
    <xf numFmtId="3" fontId="144" fillId="0" borderId="133" xfId="0" applyNumberFormat="1" applyFont="1" applyFill="1" applyBorder="1" applyAlignment="1">
      <alignment horizontal="center" vertical="center" wrapText="1"/>
    </xf>
    <xf numFmtId="3" fontId="67" fillId="0" borderId="133" xfId="8" applyNumberFormat="1" applyFont="1" applyFill="1" applyBorder="1" applyAlignment="1">
      <alignment horizontal="center" vertical="center"/>
    </xf>
    <xf numFmtId="3" fontId="144" fillId="0" borderId="133" xfId="0" applyNumberFormat="1" applyFont="1" applyBorder="1" applyAlignment="1">
      <alignment horizontal="center" vertical="center" wrapText="1"/>
    </xf>
    <xf numFmtId="10" fontId="68" fillId="12" borderId="0" xfId="0" applyNumberFormat="1" applyFont="1" applyFill="1" applyAlignment="1">
      <alignment horizontal="center" vertical="center" wrapText="1"/>
    </xf>
    <xf numFmtId="10" fontId="68" fillId="12" borderId="0" xfId="1" applyNumberFormat="1" applyFont="1" applyFill="1" applyAlignment="1">
      <alignment horizontal="center" vertical="center" wrapText="1"/>
    </xf>
    <xf numFmtId="197" fontId="68" fillId="12" borderId="0" xfId="0" applyNumberFormat="1" applyFont="1" applyFill="1" applyAlignment="1">
      <alignment horizontal="center" vertical="center" wrapText="1"/>
    </xf>
    <xf numFmtId="181" fontId="149" fillId="12" borderId="0" xfId="0" applyNumberFormat="1" applyFont="1" applyFill="1" applyAlignment="1">
      <alignment horizontal="center" vertical="center"/>
    </xf>
    <xf numFmtId="198" fontId="99" fillId="0" borderId="0" xfId="0" applyNumberFormat="1" applyFont="1" applyAlignment="1">
      <alignment vertical="center"/>
    </xf>
    <xf numFmtId="196" fontId="99" fillId="0" borderId="0" xfId="0" applyNumberFormat="1" applyFont="1" applyAlignment="1">
      <alignment vertical="center"/>
    </xf>
    <xf numFmtId="10" fontId="99" fillId="0" borderId="0" xfId="0" applyNumberFormat="1" applyFont="1" applyAlignment="1">
      <alignment horizontal="center" vertical="center"/>
    </xf>
    <xf numFmtId="172" fontId="99" fillId="0" borderId="0" xfId="1" applyNumberFormat="1" applyFont="1" applyAlignment="1">
      <alignment horizontal="center" vertical="center"/>
    </xf>
    <xf numFmtId="4" fontId="5" fillId="4" borderId="0" xfId="0" applyNumberFormat="1" applyFont="1" applyFill="1"/>
    <xf numFmtId="4" fontId="6" fillId="4" borderId="0" xfId="0" applyNumberFormat="1" applyFont="1" applyFill="1"/>
    <xf numFmtId="9" fontId="6" fillId="2" borderId="0" xfId="1" applyNumberFormat="1" applyFont="1" applyFill="1"/>
    <xf numFmtId="3" fontId="144" fillId="2" borderId="133" xfId="8" applyNumberFormat="1" applyFont="1" applyFill="1" applyBorder="1" applyAlignment="1">
      <alignment horizontal="center" vertical="center"/>
    </xf>
    <xf numFmtId="9" fontId="144" fillId="4" borderId="0" xfId="1" applyFont="1" applyFill="1" applyAlignment="1">
      <alignment horizontal="center" vertical="center"/>
    </xf>
    <xf numFmtId="9" fontId="155" fillId="7" borderId="130" xfId="1" applyFont="1" applyFill="1" applyBorder="1" applyAlignment="1">
      <alignment horizontal="center" vertical="center" wrapText="1"/>
    </xf>
    <xf numFmtId="9" fontId="58" fillId="4" borderId="0" xfId="1" applyFont="1" applyFill="1"/>
    <xf numFmtId="10" fontId="26" fillId="4" borderId="0" xfId="1" applyNumberFormat="1" applyFont="1" applyFill="1" applyAlignment="1">
      <alignment horizontal="center" vertical="center" wrapText="1"/>
    </xf>
    <xf numFmtId="10" fontId="155" fillId="7" borderId="131" xfId="25" applyNumberFormat="1" applyFont="1" applyFill="1" applyBorder="1" applyAlignment="1">
      <alignment horizontal="center" vertical="center"/>
    </xf>
    <xf numFmtId="3" fontId="155" fillId="54" borderId="133" xfId="8" applyNumberFormat="1" applyFont="1" applyFill="1" applyBorder="1" applyAlignment="1">
      <alignment horizontal="center" vertical="center"/>
    </xf>
    <xf numFmtId="3" fontId="155" fillId="5" borderId="133" xfId="8" applyNumberFormat="1" applyFont="1" applyFill="1" applyBorder="1" applyAlignment="1">
      <alignment horizontal="center" vertical="center"/>
    </xf>
    <xf numFmtId="3" fontId="155" fillId="0" borderId="133" xfId="8" applyNumberFormat="1" applyFont="1" applyBorder="1" applyAlignment="1">
      <alignment horizontal="center" vertical="center"/>
    </xf>
    <xf numFmtId="9" fontId="155" fillId="7" borderId="131" xfId="0" applyNumberFormat="1" applyFont="1" applyFill="1" applyBorder="1" applyAlignment="1">
      <alignment horizontal="center" vertical="center" wrapText="1"/>
    </xf>
    <xf numFmtId="9" fontId="155" fillId="8" borderId="130" xfId="8" applyNumberFormat="1" applyFont="1" applyFill="1" applyBorder="1" applyAlignment="1">
      <alignment horizontal="center" vertical="center" wrapText="1"/>
    </xf>
    <xf numFmtId="9" fontId="26" fillId="2" borderId="0" xfId="0" applyNumberFormat="1" applyFont="1" applyFill="1" applyBorder="1" applyAlignment="1">
      <alignment horizontal="center" vertical="center"/>
    </xf>
    <xf numFmtId="10" fontId="26" fillId="106" borderId="0" xfId="0" applyNumberFormat="1" applyFont="1" applyFill="1" applyBorder="1" applyAlignment="1">
      <alignment horizontal="center" vertical="center"/>
    </xf>
    <xf numFmtId="9" fontId="26" fillId="106" borderId="0" xfId="0" applyNumberFormat="1" applyFont="1" applyFill="1" applyBorder="1" applyAlignment="1">
      <alignment horizontal="center" vertical="center"/>
    </xf>
    <xf numFmtId="37" fontId="6" fillId="108" borderId="20" xfId="0" applyNumberFormat="1" applyFont="1" applyFill="1" applyBorder="1" applyAlignment="1">
      <alignment horizontal="center" vertical="center"/>
    </xf>
    <xf numFmtId="176" fontId="6" fillId="108" borderId="0" xfId="0" applyNumberFormat="1" applyFont="1" applyFill="1" applyBorder="1" applyAlignment="1">
      <alignment vertical="center"/>
    </xf>
    <xf numFmtId="10" fontId="5" fillId="33" borderId="0" xfId="1" applyNumberFormat="1" applyFont="1" applyFill="1" applyBorder="1" applyAlignment="1">
      <alignment horizontal="center" vertical="center"/>
    </xf>
    <xf numFmtId="0" fontId="5" fillId="0" borderId="0" xfId="0" applyFont="1" applyFill="1" applyBorder="1" applyAlignment="1">
      <alignment horizontal="center" vertical="center"/>
    </xf>
    <xf numFmtId="3" fontId="7" fillId="0" borderId="20" xfId="0" applyNumberFormat="1" applyFont="1" applyFill="1" applyBorder="1" applyAlignment="1">
      <alignment horizontal="center" vertical="center"/>
    </xf>
    <xf numFmtId="9" fontId="6" fillId="0" borderId="0" xfId="1" applyNumberFormat="1" applyFont="1"/>
    <xf numFmtId="173" fontId="27" fillId="4" borderId="0" xfId="0" applyNumberFormat="1" applyFont="1" applyFill="1" applyAlignment="1">
      <alignment horizontal="center" vertical="center"/>
    </xf>
    <xf numFmtId="10" fontId="68" fillId="12" borderId="0" xfId="1" applyNumberFormat="1" applyFont="1" applyFill="1" applyAlignment="1">
      <alignment horizontal="center" vertical="center"/>
    </xf>
    <xf numFmtId="10" fontId="162" fillId="12" borderId="0" xfId="1" applyNumberFormat="1" applyFont="1" applyFill="1" applyAlignment="1">
      <alignment horizontal="center" vertical="center"/>
    </xf>
    <xf numFmtId="9" fontId="99" fillId="0" borderId="0" xfId="1" applyNumberFormat="1" applyFont="1" applyAlignment="1">
      <alignment vertical="center"/>
    </xf>
    <xf numFmtId="3" fontId="5" fillId="4" borderId="20" xfId="9" applyNumberFormat="1" applyFont="1" applyFill="1" applyBorder="1" applyAlignment="1">
      <alignment horizontal="center" vertical="center"/>
    </xf>
    <xf numFmtId="3" fontId="7" fillId="4" borderId="20" xfId="0" applyNumberFormat="1" applyFont="1" applyFill="1" applyBorder="1" applyAlignment="1">
      <alignment horizontal="center" vertical="center"/>
    </xf>
    <xf numFmtId="3" fontId="9" fillId="4" borderId="20" xfId="0" applyNumberFormat="1" applyFont="1" applyFill="1" applyBorder="1" applyAlignment="1">
      <alignment horizontal="center" vertical="center" wrapText="1"/>
    </xf>
    <xf numFmtId="0" fontId="26" fillId="4" borderId="0" xfId="0" applyFont="1" applyFill="1"/>
    <xf numFmtId="4" fontId="172" fillId="0" borderId="133" xfId="0" applyNumberFormat="1" applyFont="1" applyFill="1" applyBorder="1" applyAlignment="1">
      <alignment horizontal="center" vertical="center" wrapText="1"/>
    </xf>
    <xf numFmtId="10" fontId="6" fillId="108" borderId="0" xfId="0" applyNumberFormat="1" applyFont="1" applyFill="1" applyBorder="1" applyAlignment="1">
      <alignment horizontal="center" vertical="center"/>
    </xf>
    <xf numFmtId="0" fontId="170" fillId="2" borderId="133" xfId="0" applyFont="1" applyFill="1" applyBorder="1" applyAlignment="1">
      <alignment horizontal="center" vertical="center" wrapText="1"/>
    </xf>
    <xf numFmtId="0" fontId="172" fillId="0" borderId="133" xfId="0" applyFont="1" applyFill="1" applyBorder="1" applyAlignment="1">
      <alignment horizontal="center" vertical="center" wrapText="1"/>
    </xf>
    <xf numFmtId="1" fontId="173" fillId="0" borderId="133" xfId="0" applyNumberFormat="1" applyFont="1" applyFill="1" applyBorder="1" applyAlignment="1">
      <alignment horizontal="center" vertical="center" wrapText="1"/>
    </xf>
    <xf numFmtId="3" fontId="173" fillId="0" borderId="133" xfId="0" applyNumberFormat="1" applyFont="1" applyFill="1" applyBorder="1" applyAlignment="1">
      <alignment horizontal="center" vertical="center" wrapText="1"/>
    </xf>
    <xf numFmtId="4" fontId="173" fillId="0" borderId="133" xfId="0" applyNumberFormat="1" applyFont="1" applyFill="1" applyBorder="1" applyAlignment="1">
      <alignment horizontal="center" vertical="center" wrapText="1"/>
    </xf>
    <xf numFmtId="0" fontId="170" fillId="0" borderId="133" xfId="0" applyFont="1" applyFill="1" applyBorder="1" applyAlignment="1">
      <alignment horizontal="center" vertical="center" wrapText="1"/>
    </xf>
    <xf numFmtId="3" fontId="173" fillId="2" borderId="133" xfId="0" applyNumberFormat="1" applyFont="1" applyFill="1" applyBorder="1" applyAlignment="1">
      <alignment horizontal="center" vertical="center" wrapText="1"/>
    </xf>
    <xf numFmtId="0" fontId="171" fillId="38" borderId="193" xfId="0" applyFont="1" applyFill="1" applyBorder="1" applyAlignment="1">
      <alignment horizontal="center" vertical="center" wrapText="1"/>
    </xf>
    <xf numFmtId="0" fontId="171" fillId="38" borderId="194" xfId="0" applyFont="1" applyFill="1" applyBorder="1" applyAlignment="1">
      <alignment horizontal="center" vertical="center" wrapText="1"/>
    </xf>
    <xf numFmtId="0" fontId="171" fillId="38" borderId="195" xfId="0" applyFont="1" applyFill="1" applyBorder="1" applyAlignment="1">
      <alignment horizontal="center" vertical="center" wrapText="1"/>
    </xf>
    <xf numFmtId="0" fontId="172" fillId="0" borderId="133" xfId="0" applyFont="1" applyFill="1" applyBorder="1" applyAlignment="1">
      <alignment horizontal="left" vertical="center" wrapText="1"/>
    </xf>
    <xf numFmtId="3" fontId="172" fillId="0" borderId="133" xfId="0" applyNumberFormat="1" applyFont="1" applyFill="1" applyBorder="1" applyAlignment="1">
      <alignment horizontal="center" vertical="center" wrapText="1"/>
    </xf>
    <xf numFmtId="1" fontId="172" fillId="0" borderId="133" xfId="0" applyNumberFormat="1" applyFont="1" applyFill="1" applyBorder="1" applyAlignment="1">
      <alignment horizontal="center" vertical="center" wrapText="1"/>
    </xf>
    <xf numFmtId="0" fontId="172" fillId="2" borderId="133" xfId="0" applyFont="1" applyFill="1" applyBorder="1" applyAlignment="1">
      <alignment horizontal="center" vertical="center" wrapText="1"/>
    </xf>
    <xf numFmtId="0" fontId="169" fillId="0" borderId="133" xfId="0" applyFont="1" applyFill="1" applyBorder="1" applyAlignment="1">
      <alignment vertical="center" wrapText="1"/>
    </xf>
    <xf numFmtId="0" fontId="169" fillId="0" borderId="0" xfId="0" applyFont="1" applyFill="1" applyAlignment="1">
      <alignment vertical="center"/>
    </xf>
    <xf numFmtId="0" fontId="172" fillId="0" borderId="0" xfId="0" applyFont="1" applyFill="1" applyAlignment="1">
      <alignment vertical="center"/>
    </xf>
    <xf numFmtId="0" fontId="172" fillId="0" borderId="0" xfId="0" applyFont="1" applyFill="1" applyAlignment="1">
      <alignment horizontal="right" vertical="center"/>
    </xf>
    <xf numFmtId="0" fontId="169" fillId="2" borderId="153" xfId="0" applyFont="1" applyFill="1" applyBorder="1" applyAlignment="1">
      <alignment vertical="center"/>
    </xf>
    <xf numFmtId="0" fontId="169" fillId="2" borderId="0" xfId="0" applyFont="1" applyFill="1" applyBorder="1" applyAlignment="1">
      <alignment vertical="center"/>
    </xf>
    <xf numFmtId="1" fontId="169" fillId="2" borderId="0" xfId="0" applyNumberFormat="1" applyFont="1" applyFill="1" applyBorder="1" applyAlignment="1">
      <alignment horizontal="center" vertical="center"/>
    </xf>
    <xf numFmtId="0" fontId="169" fillId="2" borderId="0" xfId="0" applyFont="1" applyFill="1" applyBorder="1" applyAlignment="1">
      <alignment horizontal="center" vertical="center"/>
    </xf>
    <xf numFmtId="0" fontId="169" fillId="2" borderId="154" xfId="0" applyFont="1" applyFill="1" applyBorder="1" applyAlignment="1">
      <alignment vertical="center"/>
    </xf>
    <xf numFmtId="0" fontId="89" fillId="2" borderId="153" xfId="0" applyFont="1" applyFill="1" applyBorder="1" applyAlignment="1">
      <alignment vertical="center"/>
    </xf>
    <xf numFmtId="0" fontId="89" fillId="2" borderId="0" xfId="0" applyFont="1" applyFill="1" applyBorder="1" applyAlignment="1">
      <alignment vertical="center"/>
    </xf>
    <xf numFmtId="0" fontId="104" fillId="7" borderId="130" xfId="0" applyFont="1" applyFill="1" applyBorder="1" applyAlignment="1">
      <alignment horizontal="center" vertical="center"/>
    </xf>
    <xf numFmtId="0" fontId="68" fillId="2" borderId="20" xfId="2" applyFont="1" applyFill="1" applyBorder="1" applyAlignment="1">
      <alignment horizontal="center" vertical="center"/>
    </xf>
    <xf numFmtId="0" fontId="145" fillId="7" borderId="178" xfId="2" applyFont="1" applyFill="1" applyBorder="1" applyAlignment="1">
      <alignment horizontal="center" vertical="center"/>
    </xf>
    <xf numFmtId="1" fontId="67" fillId="2" borderId="20" xfId="2" applyNumberFormat="1" applyFont="1" applyFill="1" applyBorder="1" applyAlignment="1">
      <alignment horizontal="center" vertical="center"/>
    </xf>
    <xf numFmtId="3" fontId="68" fillId="2" borderId="20" xfId="2" applyNumberFormat="1" applyFont="1" applyFill="1" applyBorder="1" applyAlignment="1">
      <alignment horizontal="center" vertical="center"/>
    </xf>
    <xf numFmtId="3" fontId="67" fillId="2" borderId="20" xfId="2" applyNumberFormat="1" applyFont="1" applyFill="1" applyBorder="1" applyAlignment="1">
      <alignment horizontal="center" vertical="center"/>
    </xf>
    <xf numFmtId="0" fontId="68" fillId="2" borderId="20" xfId="2" quotePrefix="1" applyFont="1" applyFill="1" applyBorder="1" applyAlignment="1">
      <alignment horizontal="center" vertical="center"/>
    </xf>
    <xf numFmtId="0" fontId="68" fillId="0" borderId="105" xfId="4" applyNumberFormat="1" applyFont="1" applyFill="1" applyBorder="1" applyAlignment="1">
      <alignment horizontal="center" vertical="center"/>
    </xf>
    <xf numFmtId="0" fontId="68" fillId="0" borderId="20" xfId="4" applyFont="1" applyFill="1" applyBorder="1" applyAlignment="1">
      <alignment horizontal="center" vertical="center"/>
    </xf>
    <xf numFmtId="0" fontId="68" fillId="0" borderId="20" xfId="4" applyNumberFormat="1" applyFont="1" applyFill="1" applyBorder="1" applyAlignment="1">
      <alignment horizontal="center" vertical="center"/>
    </xf>
    <xf numFmtId="0" fontId="68" fillId="0" borderId="20" xfId="4" applyNumberFormat="1" applyFont="1" applyFill="1" applyBorder="1" applyAlignment="1">
      <alignment horizontal="left" vertical="center"/>
    </xf>
    <xf numFmtId="0" fontId="68" fillId="0" borderId="106" xfId="4" applyNumberFormat="1" applyFont="1" applyFill="1" applyBorder="1" applyAlignment="1">
      <alignment horizontal="center" vertical="center"/>
    </xf>
    <xf numFmtId="0" fontId="68" fillId="0" borderId="107" xfId="4" applyFont="1" applyFill="1" applyBorder="1" applyAlignment="1">
      <alignment horizontal="center" vertical="center"/>
    </xf>
    <xf numFmtId="0" fontId="68" fillId="0" borderId="107" xfId="4" applyNumberFormat="1" applyFont="1" applyFill="1" applyBorder="1" applyAlignment="1">
      <alignment horizontal="center" vertical="center"/>
    </xf>
    <xf numFmtId="0" fontId="68" fillId="0" borderId="107" xfId="4" applyNumberFormat="1" applyFont="1" applyFill="1" applyBorder="1" applyAlignment="1">
      <alignment horizontal="left" vertical="center"/>
    </xf>
    <xf numFmtId="0" fontId="145" fillId="7" borderId="179" xfId="2" applyFont="1" applyFill="1" applyBorder="1" applyAlignment="1">
      <alignment horizontal="center" vertical="center"/>
    </xf>
    <xf numFmtId="0" fontId="145" fillId="7" borderId="180" xfId="2" applyFont="1" applyFill="1" applyBorder="1" applyAlignment="1">
      <alignment horizontal="center" vertical="center"/>
    </xf>
    <xf numFmtId="10" fontId="68" fillId="2" borderId="0" xfId="2" applyNumberFormat="1" applyFont="1" applyFill="1" applyAlignment="1">
      <alignment horizontal="right" vertical="center"/>
    </xf>
    <xf numFmtId="0" fontId="67" fillId="2" borderId="133" xfId="0" applyFont="1" applyFill="1" applyBorder="1" applyAlignment="1">
      <alignment horizontal="center" vertical="center" wrapText="1"/>
    </xf>
    <xf numFmtId="3" fontId="68" fillId="2" borderId="133" xfId="2" applyNumberFormat="1" applyFont="1" applyFill="1" applyBorder="1" applyAlignment="1">
      <alignment horizontal="center" vertical="center"/>
    </xf>
    <xf numFmtId="0" fontId="99" fillId="2" borderId="133" xfId="0" applyFont="1" applyFill="1" applyBorder="1" applyAlignment="1">
      <alignment vertical="center" wrapText="1"/>
    </xf>
    <xf numFmtId="0" fontId="99" fillId="2" borderId="0" xfId="0" applyFont="1" applyFill="1" applyAlignment="1">
      <alignment vertical="center" wrapText="1"/>
    </xf>
    <xf numFmtId="0" fontId="180" fillId="2" borderId="0" xfId="0" applyFont="1" applyFill="1" applyAlignment="1">
      <alignment horizontal="center" vertical="center"/>
    </xf>
    <xf numFmtId="0" fontId="171" fillId="7" borderId="179" xfId="0" applyFont="1" applyFill="1" applyBorder="1" applyAlignment="1">
      <alignment horizontal="center" vertical="center" wrapText="1"/>
    </xf>
    <xf numFmtId="0" fontId="171" fillId="7" borderId="20" xfId="0" applyFont="1" applyFill="1" applyBorder="1" applyAlignment="1">
      <alignment vertical="center" wrapText="1"/>
    </xf>
    <xf numFmtId="0" fontId="169" fillId="2" borderId="21" xfId="0" applyFont="1" applyFill="1" applyBorder="1" applyAlignment="1">
      <alignment horizontal="center" vertical="center" wrapText="1"/>
    </xf>
    <xf numFmtId="0" fontId="172" fillId="2" borderId="20" xfId="0" applyFont="1" applyFill="1" applyBorder="1" applyAlignment="1">
      <alignment horizontal="center" vertical="center" wrapText="1"/>
    </xf>
    <xf numFmtId="0" fontId="171" fillId="7" borderId="201" xfId="0" applyFont="1" applyFill="1" applyBorder="1" applyAlignment="1">
      <alignment horizontal="center" vertical="center"/>
    </xf>
    <xf numFmtId="0" fontId="171" fillId="7" borderId="204" xfId="0" applyFont="1" applyFill="1" applyBorder="1" applyAlignment="1">
      <alignment horizontal="center" vertical="center" wrapText="1"/>
    </xf>
    <xf numFmtId="0" fontId="99" fillId="2" borderId="133" xfId="0" applyFont="1" applyFill="1" applyBorder="1" applyAlignment="1">
      <alignment horizontal="center" vertical="center" wrapText="1"/>
    </xf>
    <xf numFmtId="0" fontId="104" fillId="7" borderId="210" xfId="0" applyFont="1" applyFill="1" applyBorder="1" applyAlignment="1">
      <alignment horizontal="center" vertical="center" wrapText="1"/>
    </xf>
    <xf numFmtId="0" fontId="104" fillId="7" borderId="213" xfId="0" applyFont="1" applyFill="1" applyBorder="1" applyAlignment="1">
      <alignment horizontal="center" vertical="center" wrapText="1"/>
    </xf>
    <xf numFmtId="3" fontId="172" fillId="0" borderId="136" xfId="0" applyNumberFormat="1" applyFont="1" applyFill="1" applyBorder="1" applyAlignment="1">
      <alignment horizontal="center" vertical="center" wrapText="1"/>
    </xf>
    <xf numFmtId="4" fontId="185" fillId="4" borderId="133" xfId="0" applyNumberFormat="1" applyFont="1" applyFill="1" applyBorder="1" applyAlignment="1">
      <alignment horizontal="center" vertical="center" wrapText="1"/>
    </xf>
    <xf numFmtId="3" fontId="155" fillId="107" borderId="92" xfId="0" applyNumberFormat="1" applyFont="1" applyFill="1" applyBorder="1" applyAlignment="1">
      <alignment horizontal="center" vertical="center"/>
    </xf>
    <xf numFmtId="3" fontId="68" fillId="107" borderId="92" xfId="0" applyNumberFormat="1" applyFont="1" applyFill="1" applyBorder="1" applyAlignment="1">
      <alignment horizontal="center" vertical="center"/>
    </xf>
    <xf numFmtId="3" fontId="68" fillId="2" borderId="92" xfId="0" applyNumberFormat="1" applyFont="1" applyFill="1" applyBorder="1" applyAlignment="1">
      <alignment horizontal="center" vertical="center"/>
    </xf>
    <xf numFmtId="1" fontId="155" fillId="107" borderId="92" xfId="0" applyNumberFormat="1" applyFont="1" applyFill="1" applyBorder="1" applyAlignment="1">
      <alignment horizontal="center" vertical="center" wrapText="1"/>
    </xf>
    <xf numFmtId="3" fontId="67" fillId="2" borderId="92" xfId="0" applyNumberFormat="1" applyFont="1" applyFill="1" applyBorder="1" applyAlignment="1">
      <alignment horizontal="center" vertical="center"/>
    </xf>
    <xf numFmtId="1" fontId="68" fillId="2" borderId="92" xfId="0" applyNumberFormat="1" applyFont="1" applyFill="1" applyBorder="1" applyAlignment="1">
      <alignment horizontal="center" vertical="center" wrapText="1"/>
    </xf>
    <xf numFmtId="3" fontId="68" fillId="0" borderId="92" xfId="0" applyNumberFormat="1" applyFont="1" applyBorder="1" applyAlignment="1">
      <alignment horizontal="center" vertical="center" wrapText="1"/>
    </xf>
    <xf numFmtId="3" fontId="68" fillId="4" borderId="92" xfId="0" applyNumberFormat="1" applyFont="1" applyFill="1" applyBorder="1" applyAlignment="1">
      <alignment horizontal="center" vertical="center" wrapText="1"/>
    </xf>
    <xf numFmtId="0" fontId="99" fillId="2" borderId="92" xfId="0" applyFont="1" applyFill="1" applyBorder="1" applyAlignment="1">
      <alignment vertical="center" wrapText="1"/>
    </xf>
    <xf numFmtId="0" fontId="68" fillId="0" borderId="92" xfId="0" applyFont="1" applyBorder="1" applyAlignment="1">
      <alignment vertical="center" wrapText="1"/>
    </xf>
    <xf numFmtId="0" fontId="99" fillId="107" borderId="0" xfId="0" applyFont="1" applyFill="1" applyAlignment="1">
      <alignment vertical="center"/>
    </xf>
    <xf numFmtId="0" fontId="68" fillId="0" borderId="92" xfId="0" applyFont="1" applyBorder="1" applyAlignment="1">
      <alignment horizontal="center" vertical="center"/>
    </xf>
    <xf numFmtId="1" fontId="68" fillId="0" borderId="92" xfId="0" applyNumberFormat="1" applyFont="1" applyBorder="1" applyAlignment="1">
      <alignment horizontal="center" vertical="center"/>
    </xf>
    <xf numFmtId="3" fontId="67" fillId="107" borderId="92" xfId="0" applyNumberFormat="1" applyFont="1" applyFill="1" applyBorder="1" applyAlignment="1">
      <alignment horizontal="center" vertical="center"/>
    </xf>
    <xf numFmtId="0" fontId="104" fillId="7" borderId="126" xfId="0" applyFont="1" applyFill="1" applyBorder="1" applyAlignment="1">
      <alignment horizontal="center" vertical="center" wrapText="1"/>
    </xf>
    <xf numFmtId="0" fontId="104" fillId="7" borderId="130" xfId="0" applyFont="1" applyFill="1" applyBorder="1" applyAlignment="1">
      <alignment horizontal="center" vertical="center" wrapText="1"/>
    </xf>
    <xf numFmtId="0" fontId="104" fillId="7" borderId="127" xfId="0" applyFont="1" applyFill="1" applyBorder="1" applyAlignment="1">
      <alignment horizontal="center" vertical="center" wrapText="1"/>
    </xf>
    <xf numFmtId="0" fontId="68" fillId="0" borderId="0" xfId="0" applyFont="1" applyAlignment="1">
      <alignment horizontal="left" vertical="center" wrapText="1"/>
    </xf>
    <xf numFmtId="0" fontId="68" fillId="0" borderId="133" xfId="0" applyFont="1" applyBorder="1" applyAlignment="1">
      <alignment horizontal="left" vertical="center" wrapText="1"/>
    </xf>
    <xf numFmtId="0" fontId="104" fillId="7" borderId="131" xfId="0" applyFont="1" applyFill="1" applyBorder="1" applyAlignment="1">
      <alignment horizontal="center" vertical="center" wrapText="1"/>
    </xf>
    <xf numFmtId="0" fontId="67" fillId="2" borderId="0" xfId="0" applyFont="1" applyFill="1" applyAlignment="1">
      <alignment horizontal="center" vertical="center" wrapText="1"/>
    </xf>
    <xf numFmtId="0" fontId="68" fillId="2" borderId="0" xfId="0" applyFont="1" applyFill="1" applyBorder="1" applyAlignment="1">
      <alignment horizontal="left" vertical="center" wrapText="1"/>
    </xf>
    <xf numFmtId="0" fontId="101" fillId="2" borderId="0" xfId="0" applyFont="1" applyFill="1" applyAlignment="1">
      <alignment horizontal="center" vertical="center"/>
    </xf>
    <xf numFmtId="0" fontId="99" fillId="2" borderId="0" xfId="0" applyFont="1" applyFill="1" applyAlignment="1">
      <alignment horizontal="center" vertical="center"/>
    </xf>
    <xf numFmtId="0" fontId="104" fillId="7" borderId="201" xfId="0" applyFont="1" applyFill="1" applyBorder="1" applyAlignment="1">
      <alignment horizontal="center" vertical="center" wrapText="1"/>
    </xf>
    <xf numFmtId="0" fontId="104" fillId="7" borderId="3" xfId="0" applyFont="1" applyFill="1" applyBorder="1" applyAlignment="1">
      <alignment horizontal="center" vertical="center" wrapText="1"/>
    </xf>
    <xf numFmtId="0" fontId="104" fillId="7" borderId="204" xfId="0" applyFont="1" applyFill="1" applyBorder="1" applyAlignment="1">
      <alignment horizontal="center" vertical="center" wrapText="1"/>
    </xf>
    <xf numFmtId="0" fontId="104" fillId="7" borderId="199" xfId="0" applyFont="1" applyFill="1" applyBorder="1" applyAlignment="1">
      <alignment horizontal="center" vertical="center"/>
    </xf>
    <xf numFmtId="0" fontId="104" fillId="7" borderId="193" xfId="13" applyFont="1" applyFill="1" applyBorder="1" applyAlignment="1">
      <alignment horizontal="center" vertical="center" wrapText="1"/>
    </xf>
    <xf numFmtId="0" fontId="104" fillId="7" borderId="194" xfId="13" applyFont="1" applyFill="1" applyBorder="1" applyAlignment="1">
      <alignment horizontal="center" vertical="center" wrapText="1"/>
    </xf>
    <xf numFmtId="0" fontId="104" fillId="7" borderId="157" xfId="13" applyFont="1" applyFill="1" applyBorder="1" applyAlignment="1">
      <alignment horizontal="center" vertical="center" wrapText="1"/>
    </xf>
    <xf numFmtId="0" fontId="104" fillId="7" borderId="130" xfId="13" applyFont="1" applyFill="1" applyBorder="1" applyAlignment="1">
      <alignment horizontal="center" vertical="center" wrapText="1"/>
    </xf>
    <xf numFmtId="0" fontId="99" fillId="2" borderId="133" xfId="0" applyFont="1" applyFill="1" applyBorder="1" applyAlignment="1">
      <alignment horizontal="left" vertical="center" wrapText="1"/>
    </xf>
    <xf numFmtId="0" fontId="68" fillId="0" borderId="133" xfId="0" applyFont="1" applyFill="1" applyBorder="1" applyAlignment="1">
      <alignment horizontal="left" vertical="center" wrapText="1"/>
    </xf>
    <xf numFmtId="0" fontId="68" fillId="2" borderId="133" xfId="0" applyFont="1" applyFill="1" applyBorder="1" applyAlignment="1">
      <alignment horizontal="left" vertical="center" wrapText="1"/>
    </xf>
    <xf numFmtId="0" fontId="68" fillId="2" borderId="92" xfId="0" applyFont="1" applyFill="1" applyBorder="1" applyAlignment="1">
      <alignment horizontal="left" vertical="center" wrapText="1"/>
    </xf>
    <xf numFmtId="0" fontId="99" fillId="2" borderId="92" xfId="0" applyFont="1" applyFill="1" applyBorder="1" applyAlignment="1">
      <alignment horizontal="left" vertical="center" wrapText="1"/>
    </xf>
    <xf numFmtId="0" fontId="99" fillId="2" borderId="92" xfId="0" applyFont="1" applyFill="1" applyBorder="1" applyAlignment="1">
      <alignment horizontal="center" vertical="center" wrapText="1"/>
    </xf>
    <xf numFmtId="0" fontId="68" fillId="0" borderId="92" xfId="0" applyFont="1" applyBorder="1" applyAlignment="1">
      <alignment horizontal="left" vertical="center" wrapText="1"/>
    </xf>
    <xf numFmtId="0" fontId="35" fillId="2" borderId="139" xfId="3" applyFont="1" applyFill="1" applyBorder="1" applyAlignment="1">
      <alignment horizontal="right" vertical="center"/>
    </xf>
    <xf numFmtId="0" fontId="33" fillId="2" borderId="143" xfId="3" applyFont="1" applyFill="1" applyBorder="1" applyAlignment="1">
      <alignment vertical="center"/>
    </xf>
    <xf numFmtId="0" fontId="33" fillId="2" borderId="140" xfId="3" applyFont="1" applyFill="1" applyBorder="1" applyAlignment="1">
      <alignment vertical="center"/>
    </xf>
    <xf numFmtId="0" fontId="35" fillId="2" borderId="153" xfId="3" applyFont="1" applyFill="1" applyBorder="1" applyAlignment="1">
      <alignment horizontal="right" vertical="center"/>
    </xf>
    <xf numFmtId="0" fontId="33" fillId="2" borderId="0" xfId="3" applyFont="1" applyFill="1" applyBorder="1" applyAlignment="1">
      <alignment vertical="center"/>
    </xf>
    <xf numFmtId="0" fontId="33" fillId="2" borderId="154" xfId="3" applyFont="1" applyFill="1" applyBorder="1" applyAlignment="1">
      <alignment vertical="center"/>
    </xf>
    <xf numFmtId="0" fontId="47" fillId="2" borderId="0" xfId="0" applyFont="1" applyFill="1" applyBorder="1" applyAlignment="1">
      <alignment horizontal="left" vertical="center"/>
    </xf>
    <xf numFmtId="0" fontId="35" fillId="2" borderId="0" xfId="3" applyFont="1" applyFill="1" applyBorder="1" applyAlignment="1">
      <alignment horizontal="left" vertical="center"/>
    </xf>
    <xf numFmtId="0" fontId="84" fillId="2" borderId="0" xfId="0" applyFont="1" applyFill="1" applyBorder="1" applyAlignment="1">
      <alignment horizontal="center" vertical="center" wrapText="1"/>
    </xf>
    <xf numFmtId="0" fontId="84" fillId="2" borderId="0" xfId="0" applyFont="1" applyFill="1" applyBorder="1" applyAlignment="1">
      <alignment horizontal="center" vertical="center"/>
    </xf>
    <xf numFmtId="1" fontId="2" fillId="2" borderId="0" xfId="0" applyNumberFormat="1" applyFont="1" applyFill="1" applyBorder="1" applyAlignment="1">
      <alignment horizontal="center" vertical="center"/>
    </xf>
    <xf numFmtId="173" fontId="2" fillId="2" borderId="0" xfId="0" applyNumberFormat="1" applyFont="1" applyFill="1" applyBorder="1" applyAlignment="1">
      <alignment horizontal="center" vertical="center"/>
    </xf>
    <xf numFmtId="1" fontId="80" fillId="2" borderId="0" xfId="0" applyNumberFormat="1" applyFont="1" applyFill="1" applyBorder="1" applyAlignment="1">
      <alignment horizontal="center" vertical="center"/>
    </xf>
    <xf numFmtId="173" fontId="80" fillId="2" borderId="0" xfId="0" applyNumberFormat="1" applyFont="1" applyFill="1" applyBorder="1" applyAlignment="1">
      <alignment horizontal="center" vertical="center"/>
    </xf>
    <xf numFmtId="3" fontId="80" fillId="2" borderId="0" xfId="0" applyNumberFormat="1" applyFont="1" applyFill="1" applyBorder="1" applyAlignment="1">
      <alignment vertical="center"/>
    </xf>
    <xf numFmtId="3" fontId="2" fillId="2" borderId="0" xfId="0" applyNumberFormat="1" applyFont="1" applyFill="1" applyBorder="1" applyAlignment="1">
      <alignment vertical="center" wrapText="1"/>
    </xf>
    <xf numFmtId="0" fontId="85" fillId="2" borderId="0" xfId="3" applyFont="1" applyFill="1" applyBorder="1" applyAlignment="1">
      <alignment vertical="center"/>
    </xf>
    <xf numFmtId="0" fontId="84" fillId="2" borderId="0" xfId="0" applyFont="1" applyFill="1" applyBorder="1" applyAlignment="1">
      <alignment horizontal="left" vertical="center"/>
    </xf>
    <xf numFmtId="0" fontId="2" fillId="2" borderId="0" xfId="0" quotePrefix="1" applyFont="1" applyFill="1" applyBorder="1" applyAlignment="1">
      <alignment horizontal="left" vertical="center"/>
    </xf>
    <xf numFmtId="2" fontId="2" fillId="2" borderId="0" xfId="0" applyNumberFormat="1" applyFont="1" applyFill="1" applyBorder="1" applyAlignment="1">
      <alignment horizontal="center" vertical="center"/>
    </xf>
    <xf numFmtId="2" fontId="84" fillId="2" borderId="0" xfId="0" applyNumberFormat="1" applyFont="1" applyFill="1" applyBorder="1" applyAlignment="1">
      <alignment horizontal="center" vertical="center"/>
    </xf>
    <xf numFmtId="2" fontId="80" fillId="0" borderId="133" xfId="0" applyNumberFormat="1" applyFont="1" applyBorder="1" applyAlignment="1">
      <alignment horizontal="center" vertical="center"/>
    </xf>
    <xf numFmtId="1" fontId="80" fillId="34" borderId="133" xfId="0" applyNumberFormat="1" applyFont="1" applyFill="1" applyBorder="1" applyAlignment="1">
      <alignment horizontal="center" vertical="center"/>
    </xf>
    <xf numFmtId="173" fontId="80" fillId="34" borderId="133" xfId="0" applyNumberFormat="1" applyFont="1" applyFill="1" applyBorder="1" applyAlignment="1">
      <alignment horizontal="center" vertical="center"/>
    </xf>
    <xf numFmtId="1" fontId="80" fillId="0" borderId="133" xfId="0" applyNumberFormat="1" applyFont="1" applyBorder="1" applyAlignment="1">
      <alignment horizontal="center" vertical="center"/>
    </xf>
    <xf numFmtId="3" fontId="80" fillId="5" borderId="133" xfId="0" applyNumberFormat="1" applyFont="1" applyFill="1" applyBorder="1" applyAlignment="1">
      <alignment vertical="center"/>
    </xf>
    <xf numFmtId="3" fontId="2" fillId="5" borderId="133" xfId="0" applyNumberFormat="1" applyFont="1" applyFill="1" applyBorder="1" applyAlignment="1">
      <alignment vertical="center" wrapText="1"/>
    </xf>
    <xf numFmtId="173" fontId="80" fillId="0" borderId="133" xfId="0" applyNumberFormat="1" applyFont="1" applyBorder="1" applyAlignment="1">
      <alignment horizontal="center" vertical="center"/>
    </xf>
    <xf numFmtId="0" fontId="84" fillId="0" borderId="133" xfId="0" applyFont="1" applyBorder="1" applyAlignment="1">
      <alignment horizontal="center" vertical="center"/>
    </xf>
    <xf numFmtId="0" fontId="82" fillId="7" borderId="126" xfId="0" applyFont="1" applyFill="1" applyBorder="1" applyAlignment="1">
      <alignment horizontal="center" vertical="center" wrapText="1"/>
    </xf>
    <xf numFmtId="173" fontId="82" fillId="7" borderId="130" xfId="0" applyNumberFormat="1" applyFont="1" applyFill="1" applyBorder="1" applyAlignment="1">
      <alignment horizontal="center" vertical="center" wrapText="1"/>
    </xf>
    <xf numFmtId="0" fontId="82" fillId="7" borderId="130" xfId="0" applyFont="1" applyFill="1" applyBorder="1" applyAlignment="1">
      <alignment horizontal="center" vertical="center" wrapText="1"/>
    </xf>
    <xf numFmtId="0" fontId="2" fillId="2" borderId="133" xfId="0" applyFont="1" applyFill="1" applyBorder="1" applyAlignment="1">
      <alignment horizontal="center" vertical="center"/>
    </xf>
    <xf numFmtId="2" fontId="80" fillId="2" borderId="133" xfId="0" applyNumberFormat="1" applyFont="1" applyFill="1" applyBorder="1" applyAlignment="1">
      <alignment horizontal="center" vertical="center"/>
    </xf>
    <xf numFmtId="2" fontId="2" fillId="2" borderId="133" xfId="0" applyNumberFormat="1" applyFont="1" applyFill="1" applyBorder="1" applyAlignment="1">
      <alignment horizontal="center" vertical="center"/>
    </xf>
    <xf numFmtId="2" fontId="84" fillId="2" borderId="133" xfId="0" applyNumberFormat="1" applyFont="1" applyFill="1" applyBorder="1" applyAlignment="1">
      <alignment horizontal="center" vertical="center"/>
    </xf>
    <xf numFmtId="0" fontId="84" fillId="2" borderId="133" xfId="0" applyFont="1" applyFill="1" applyBorder="1" applyAlignment="1">
      <alignment horizontal="center" vertical="center"/>
    </xf>
    <xf numFmtId="0" fontId="2" fillId="2" borderId="133" xfId="0" applyFont="1" applyFill="1" applyBorder="1" applyAlignment="1">
      <alignment horizontal="center" vertical="center" wrapText="1"/>
    </xf>
    <xf numFmtId="2" fontId="80" fillId="2" borderId="133" xfId="0" applyNumberFormat="1" applyFont="1" applyFill="1" applyBorder="1" applyAlignment="1">
      <alignment horizontal="center" vertical="center" wrapText="1"/>
    </xf>
    <xf numFmtId="2" fontId="2" fillId="2" borderId="133" xfId="0" applyNumberFormat="1" applyFont="1" applyFill="1" applyBorder="1" applyAlignment="1">
      <alignment horizontal="center" vertical="center" wrapText="1"/>
    </xf>
    <xf numFmtId="1" fontId="2" fillId="2" borderId="133" xfId="0" applyNumberFormat="1" applyFont="1" applyFill="1" applyBorder="1" applyAlignment="1">
      <alignment horizontal="center" vertical="center" wrapText="1"/>
    </xf>
    <xf numFmtId="173" fontId="80" fillId="2" borderId="133" xfId="0" applyNumberFormat="1" applyFont="1" applyFill="1" applyBorder="1" applyAlignment="1">
      <alignment horizontal="center" vertical="center"/>
    </xf>
    <xf numFmtId="1" fontId="80" fillId="2" borderId="133" xfId="0" applyNumberFormat="1" applyFont="1" applyFill="1" applyBorder="1" applyAlignment="1">
      <alignment horizontal="center" vertical="center"/>
    </xf>
    <xf numFmtId="3" fontId="80" fillId="2" borderId="133" xfId="0" applyNumberFormat="1" applyFont="1" applyFill="1" applyBorder="1" applyAlignment="1">
      <alignment vertical="center"/>
    </xf>
    <xf numFmtId="3" fontId="2" fillId="2" borderId="133" xfId="0" applyNumberFormat="1" applyFont="1" applyFill="1" applyBorder="1" applyAlignment="1">
      <alignment vertical="center" wrapText="1"/>
    </xf>
    <xf numFmtId="0" fontId="80" fillId="2" borderId="133" xfId="0" applyFont="1" applyFill="1" applyBorder="1" applyAlignment="1">
      <alignment horizontal="justify" vertical="center"/>
    </xf>
    <xf numFmtId="173" fontId="2" fillId="2" borderId="133" xfId="0" applyNumberFormat="1" applyFont="1" applyFill="1" applyBorder="1" applyAlignment="1">
      <alignment horizontal="center" vertical="center" wrapText="1"/>
    </xf>
    <xf numFmtId="0" fontId="51" fillId="0" borderId="133" xfId="0" applyFont="1" applyBorder="1" applyAlignment="1">
      <alignment horizontal="left" vertical="center" wrapText="1"/>
    </xf>
    <xf numFmtId="0" fontId="50" fillId="0" borderId="133" xfId="0" applyFont="1" applyBorder="1" applyAlignment="1">
      <alignment horizontal="left" vertical="center" wrapText="1"/>
    </xf>
    <xf numFmtId="0" fontId="31" fillId="2" borderId="0" xfId="0" applyFont="1" applyFill="1" applyAlignment="1">
      <alignment vertical="center"/>
    </xf>
    <xf numFmtId="0" fontId="87" fillId="2" borderId="153" xfId="0" applyFont="1" applyFill="1" applyBorder="1" applyAlignment="1">
      <alignment horizontal="right" vertical="center"/>
    </xf>
    <xf numFmtId="0" fontId="31" fillId="2" borderId="0" xfId="0" applyFont="1" applyFill="1" applyBorder="1" applyAlignment="1">
      <alignment vertical="center"/>
    </xf>
    <xf numFmtId="0" fontId="31" fillId="2" borderId="154" xfId="0" applyFont="1" applyFill="1" applyBorder="1" applyAlignment="1">
      <alignment vertical="center"/>
    </xf>
    <xf numFmtId="0" fontId="31" fillId="0" borderId="0" xfId="0" applyFont="1" applyAlignment="1">
      <alignment vertical="center"/>
    </xf>
    <xf numFmtId="0" fontId="80" fillId="2" borderId="0" xfId="0" applyFont="1" applyFill="1" applyBorder="1" applyAlignment="1">
      <alignment vertical="center"/>
    </xf>
    <xf numFmtId="0" fontId="81" fillId="2" borderId="0" xfId="0" applyFont="1" applyFill="1" applyBorder="1" applyAlignment="1">
      <alignment horizontal="right" vertical="center"/>
    </xf>
    <xf numFmtId="0" fontId="16" fillId="2" borderId="0" xfId="0" applyFont="1" applyFill="1" applyAlignment="1">
      <alignment vertical="center"/>
    </xf>
    <xf numFmtId="0" fontId="20" fillId="2" borderId="153" xfId="0" applyFont="1" applyFill="1" applyBorder="1" applyAlignment="1">
      <alignment horizontal="right" vertical="center"/>
    </xf>
    <xf numFmtId="0" fontId="81" fillId="2" borderId="0" xfId="0" applyFont="1" applyFill="1" applyBorder="1" applyAlignment="1">
      <alignment vertical="center"/>
    </xf>
    <xf numFmtId="0" fontId="16" fillId="2" borderId="154" xfId="0" applyFont="1" applyFill="1" applyBorder="1" applyAlignment="1">
      <alignment vertical="center"/>
    </xf>
    <xf numFmtId="0" fontId="20" fillId="2" borderId="153" xfId="0" applyFont="1" applyFill="1" applyBorder="1" applyAlignment="1">
      <alignment horizontal="right" vertical="center" wrapText="1"/>
    </xf>
    <xf numFmtId="0" fontId="80" fillId="2" borderId="0" xfId="0" applyFont="1" applyFill="1" applyBorder="1" applyAlignment="1">
      <alignment vertical="center" wrapText="1"/>
    </xf>
    <xf numFmtId="0" fontId="16" fillId="2" borderId="154" xfId="0" applyFont="1" applyFill="1" applyBorder="1" applyAlignment="1">
      <alignment vertical="center" wrapText="1"/>
    </xf>
    <xf numFmtId="0" fontId="80" fillId="2" borderId="133" xfId="0" applyFont="1" applyFill="1" applyBorder="1" applyAlignment="1">
      <alignment vertical="center"/>
    </xf>
    <xf numFmtId="0" fontId="187" fillId="2" borderId="0" xfId="0" applyFont="1" applyFill="1" applyAlignment="1">
      <alignment vertical="center"/>
    </xf>
    <xf numFmtId="0" fontId="188" fillId="2" borderId="153" xfId="0" applyFont="1" applyFill="1" applyBorder="1" applyAlignment="1">
      <alignment horizontal="right" vertical="center"/>
    </xf>
    <xf numFmtId="0" fontId="187" fillId="2" borderId="154" xfId="0" applyFont="1" applyFill="1" applyBorder="1" applyAlignment="1">
      <alignment vertical="center"/>
    </xf>
    <xf numFmtId="0" fontId="189" fillId="2" borderId="0" xfId="0" applyFont="1" applyFill="1" applyAlignment="1">
      <alignment vertical="center"/>
    </xf>
    <xf numFmtId="0" fontId="186" fillId="2" borderId="153" xfId="0" applyFont="1" applyFill="1" applyBorder="1" applyAlignment="1">
      <alignment horizontal="right" vertical="center"/>
    </xf>
    <xf numFmtId="0" fontId="94" fillId="2" borderId="0" xfId="0" applyFont="1" applyFill="1" applyBorder="1" applyAlignment="1">
      <alignment vertical="center"/>
    </xf>
    <xf numFmtId="0" fontId="189" fillId="2" borderId="154" xfId="0" applyFont="1" applyFill="1" applyBorder="1" applyAlignment="1">
      <alignment vertical="center"/>
    </xf>
    <xf numFmtId="0" fontId="16" fillId="2" borderId="0" xfId="0" applyFont="1" applyFill="1" applyBorder="1" applyAlignment="1">
      <alignment vertical="center"/>
    </xf>
    <xf numFmtId="0" fontId="20" fillId="2" borderId="141" xfId="0" applyFont="1" applyFill="1" applyBorder="1" applyAlignment="1">
      <alignment horizontal="right" vertical="center"/>
    </xf>
    <xf numFmtId="0" fontId="16" fillId="2" borderId="144" xfId="0" applyFont="1" applyFill="1" applyBorder="1" applyAlignment="1">
      <alignment vertical="center"/>
    </xf>
    <xf numFmtId="0" fontId="16" fillId="2" borderId="142" xfId="0" applyFont="1" applyFill="1" applyBorder="1" applyAlignment="1">
      <alignment vertical="center"/>
    </xf>
    <xf numFmtId="0" fontId="20" fillId="2" borderId="0" xfId="0" applyFont="1" applyFill="1" applyAlignment="1">
      <alignment horizontal="right" vertical="center"/>
    </xf>
    <xf numFmtId="0" fontId="20" fillId="2" borderId="0" xfId="0" applyFont="1" applyFill="1" applyAlignment="1">
      <alignment horizontal="left" vertical="center"/>
    </xf>
    <xf numFmtId="0" fontId="87" fillId="2" borderId="0" xfId="0" applyFont="1" applyFill="1" applyAlignment="1">
      <alignment horizontal="right" vertical="center"/>
    </xf>
    <xf numFmtId="0" fontId="10" fillId="13" borderId="133" xfId="0" applyFont="1" applyFill="1" applyBorder="1" applyAlignment="1">
      <alignment vertical="center"/>
    </xf>
    <xf numFmtId="3" fontId="6" fillId="0" borderId="133" xfId="0" applyNumberFormat="1" applyFont="1" applyBorder="1" applyAlignment="1">
      <alignment vertical="center"/>
    </xf>
    <xf numFmtId="0" fontId="82" fillId="7" borderId="127" xfId="0" applyFont="1" applyFill="1" applyBorder="1" applyAlignment="1">
      <alignment horizontal="center" vertical="center" wrapText="1"/>
    </xf>
    <xf numFmtId="173" fontId="82" fillId="7" borderId="130" xfId="1" applyNumberFormat="1" applyFont="1" applyFill="1" applyBorder="1" applyAlignment="1">
      <alignment horizontal="center" vertical="center" wrapText="1"/>
    </xf>
    <xf numFmtId="0" fontId="82" fillId="7" borderId="131" xfId="0" applyFont="1" applyFill="1" applyBorder="1" applyAlignment="1">
      <alignment horizontal="center" vertical="center" wrapText="1"/>
    </xf>
    <xf numFmtId="0" fontId="88" fillId="7" borderId="126" xfId="0" applyFont="1" applyFill="1" applyBorder="1" applyAlignment="1">
      <alignment horizontal="center" vertical="center" wrapText="1"/>
    </xf>
    <xf numFmtId="0" fontId="88" fillId="7" borderId="130" xfId="0" applyFont="1" applyFill="1" applyBorder="1" applyAlignment="1">
      <alignment horizontal="center" vertical="center" wrapText="1"/>
    </xf>
    <xf numFmtId="0" fontId="88" fillId="7" borderId="127" xfId="0" applyFont="1" applyFill="1" applyBorder="1" applyAlignment="1">
      <alignment horizontal="center" vertical="center" wrapText="1"/>
    </xf>
    <xf numFmtId="173" fontId="88" fillId="7" borderId="130" xfId="1" applyNumberFormat="1" applyFont="1" applyFill="1" applyBorder="1" applyAlignment="1">
      <alignment horizontal="center" vertical="center" wrapText="1"/>
    </xf>
    <xf numFmtId="0" fontId="88" fillId="7" borderId="131" xfId="0" applyFont="1" applyFill="1" applyBorder="1" applyAlignment="1">
      <alignment horizontal="center" vertical="center" wrapText="1"/>
    </xf>
    <xf numFmtId="0" fontId="5" fillId="4" borderId="133" xfId="0" applyFont="1" applyFill="1" applyBorder="1" applyAlignment="1">
      <alignment vertical="center" wrapText="1"/>
    </xf>
    <xf numFmtId="0" fontId="5" fillId="4" borderId="133" xfId="0" applyFont="1" applyFill="1" applyBorder="1" applyAlignment="1">
      <alignment horizontal="center" vertical="center" wrapText="1"/>
    </xf>
    <xf numFmtId="0" fontId="2" fillId="4" borderId="133" xfId="0" applyFont="1" applyFill="1" applyBorder="1" applyAlignment="1">
      <alignment horizontal="justify" vertical="center" wrapText="1"/>
    </xf>
    <xf numFmtId="0" fontId="80" fillId="4" borderId="133" xfId="0" applyFont="1" applyFill="1" applyBorder="1" applyAlignment="1">
      <alignment horizontal="justify" vertical="center" wrapText="1"/>
    </xf>
    <xf numFmtId="1" fontId="2" fillId="4" borderId="133" xfId="0" applyNumberFormat="1" applyFont="1" applyFill="1" applyBorder="1" applyAlignment="1">
      <alignment horizontal="center" vertical="center" wrapText="1"/>
    </xf>
    <xf numFmtId="0" fontId="80" fillId="4" borderId="133" xfId="0" applyFont="1" applyFill="1" applyBorder="1" applyAlignment="1">
      <alignment horizontal="justify" vertical="center"/>
    </xf>
    <xf numFmtId="1" fontId="84" fillId="2" borderId="133" xfId="0" applyNumberFormat="1" applyFont="1" applyFill="1" applyBorder="1" applyAlignment="1">
      <alignment horizontal="center" vertical="center"/>
    </xf>
    <xf numFmtId="173" fontId="84" fillId="2" borderId="133" xfId="0" applyNumberFormat="1" applyFont="1" applyFill="1" applyBorder="1" applyAlignment="1">
      <alignment horizontal="center" vertical="center"/>
    </xf>
    <xf numFmtId="1" fontId="81" fillId="2" borderId="133" xfId="0" applyNumberFormat="1" applyFont="1" applyFill="1" applyBorder="1" applyAlignment="1">
      <alignment horizontal="center" vertical="center"/>
    </xf>
    <xf numFmtId="173" fontId="81" fillId="2" borderId="133" xfId="0" applyNumberFormat="1" applyFont="1" applyFill="1" applyBorder="1" applyAlignment="1">
      <alignment horizontal="center" vertical="center"/>
    </xf>
    <xf numFmtId="3" fontId="81" fillId="2" borderId="133" xfId="0" applyNumberFormat="1" applyFont="1" applyFill="1" applyBorder="1" applyAlignment="1">
      <alignment vertical="center"/>
    </xf>
    <xf numFmtId="3" fontId="84" fillId="2" borderId="133" xfId="0" applyNumberFormat="1" applyFont="1" applyFill="1" applyBorder="1" applyAlignment="1">
      <alignment vertical="center" wrapText="1"/>
    </xf>
    <xf numFmtId="0" fontId="20" fillId="2" borderId="153" xfId="0" applyFont="1" applyFill="1" applyBorder="1" applyAlignment="1">
      <alignment horizontal="center" vertical="center"/>
    </xf>
    <xf numFmtId="0" fontId="9" fillId="4" borderId="133" xfId="0" applyFont="1" applyFill="1" applyBorder="1" applyAlignment="1">
      <alignment horizontal="center" vertical="center" wrapText="1"/>
    </xf>
    <xf numFmtId="0" fontId="87" fillId="2" borderId="0" xfId="0" applyFont="1" applyFill="1" applyAlignment="1">
      <alignment vertical="center"/>
    </xf>
    <xf numFmtId="2" fontId="81" fillId="2" borderId="133" xfId="0" applyNumberFormat="1" applyFont="1" applyFill="1" applyBorder="1" applyAlignment="1">
      <alignment horizontal="center" vertical="center"/>
    </xf>
    <xf numFmtId="0" fontId="87" fillId="2" borderId="154" xfId="0" applyFont="1" applyFill="1" applyBorder="1" applyAlignment="1">
      <alignment vertical="center"/>
    </xf>
    <xf numFmtId="0" fontId="191" fillId="2" borderId="0" xfId="0" applyFont="1" applyFill="1" applyBorder="1" applyAlignment="1">
      <alignment vertical="center"/>
    </xf>
    <xf numFmtId="0" fontId="31" fillId="0" borderId="0" xfId="0" applyFont="1" applyFill="1" applyAlignment="1">
      <alignment vertical="center"/>
    </xf>
    <xf numFmtId="2" fontId="80" fillId="0" borderId="133" xfId="0" applyNumberFormat="1" applyFont="1" applyFill="1" applyBorder="1" applyAlignment="1">
      <alignment horizontal="center" vertical="center"/>
    </xf>
    <xf numFmtId="2" fontId="2" fillId="4" borderId="133" xfId="0" applyNumberFormat="1" applyFont="1" applyFill="1" applyBorder="1" applyAlignment="1">
      <alignment horizontal="center" vertical="center" wrapText="1"/>
    </xf>
    <xf numFmtId="173" fontId="2" fillId="4" borderId="133" xfId="0" applyNumberFormat="1" applyFont="1" applyFill="1" applyBorder="1" applyAlignment="1">
      <alignment horizontal="center" vertical="center" wrapText="1"/>
    </xf>
    <xf numFmtId="1" fontId="84" fillId="0" borderId="133" xfId="0" applyNumberFormat="1" applyFont="1" applyBorder="1" applyAlignment="1">
      <alignment horizontal="center" vertical="center"/>
    </xf>
    <xf numFmtId="173" fontId="84" fillId="0" borderId="133" xfId="0" applyNumberFormat="1" applyFont="1" applyBorder="1" applyAlignment="1">
      <alignment horizontal="center" vertical="center"/>
    </xf>
    <xf numFmtId="1" fontId="81" fillId="0" borderId="133" xfId="0" applyNumberFormat="1" applyFont="1" applyBorder="1" applyAlignment="1">
      <alignment horizontal="center" vertical="center"/>
    </xf>
    <xf numFmtId="173" fontId="81" fillId="0" borderId="133" xfId="0" applyNumberFormat="1" applyFont="1" applyBorder="1" applyAlignment="1">
      <alignment horizontal="center" vertical="center"/>
    </xf>
    <xf numFmtId="3" fontId="81" fillId="5" borderId="133" xfId="0" applyNumberFormat="1" applyFont="1" applyFill="1" applyBorder="1" applyAlignment="1">
      <alignment vertical="center"/>
    </xf>
    <xf numFmtId="3" fontId="84" fillId="5" borderId="133" xfId="0" applyNumberFormat="1" applyFont="1" applyFill="1" applyBorder="1" applyAlignment="1">
      <alignment vertical="center" wrapText="1"/>
    </xf>
    <xf numFmtId="0" fontId="87" fillId="0" borderId="0" xfId="0" applyFont="1" applyAlignment="1">
      <alignment vertical="center"/>
    </xf>
    <xf numFmtId="0" fontId="2" fillId="2" borderId="0" xfId="0" applyFont="1" applyFill="1" applyBorder="1" applyAlignment="1">
      <alignment horizontal="center" vertical="center"/>
    </xf>
    <xf numFmtId="0" fontId="2" fillId="2" borderId="0" xfId="0" applyFont="1" applyFill="1" applyBorder="1" applyAlignment="1">
      <alignment horizontal="justify" vertical="center" wrapText="1"/>
    </xf>
    <xf numFmtId="0" fontId="5" fillId="17" borderId="133" xfId="0" applyFont="1" applyFill="1" applyBorder="1" applyAlignment="1">
      <alignment vertical="center" wrapText="1"/>
    </xf>
    <xf numFmtId="0" fontId="5" fillId="17" borderId="133" xfId="0" applyFont="1" applyFill="1" applyBorder="1" applyAlignment="1">
      <alignment horizontal="center" vertical="center" wrapText="1"/>
    </xf>
    <xf numFmtId="2" fontId="5" fillId="17" borderId="133" xfId="0" applyNumberFormat="1" applyFont="1" applyFill="1" applyBorder="1" applyAlignment="1">
      <alignment horizontal="center" vertical="center" wrapText="1"/>
    </xf>
    <xf numFmtId="0" fontId="2" fillId="17" borderId="133" xfId="0" applyFont="1" applyFill="1" applyBorder="1" applyAlignment="1">
      <alignment horizontal="justify" vertical="center" wrapText="1"/>
    </xf>
    <xf numFmtId="1" fontId="2" fillId="17" borderId="133" xfId="0" applyNumberFormat="1" applyFont="1" applyFill="1" applyBorder="1" applyAlignment="1">
      <alignment horizontal="center" vertical="center" wrapText="1"/>
    </xf>
    <xf numFmtId="2" fontId="2" fillId="17" borderId="133" xfId="0" applyNumberFormat="1" applyFont="1" applyFill="1" applyBorder="1" applyAlignment="1">
      <alignment horizontal="center" vertical="center" wrapText="1"/>
    </xf>
    <xf numFmtId="173" fontId="2" fillId="17" borderId="133" xfId="0" applyNumberFormat="1" applyFont="1" applyFill="1" applyBorder="1" applyAlignment="1">
      <alignment horizontal="center" vertical="center" wrapText="1"/>
    </xf>
    <xf numFmtId="0" fontId="81" fillId="17" borderId="0" xfId="0" applyFont="1" applyFill="1" applyBorder="1" applyAlignment="1">
      <alignment vertical="center"/>
    </xf>
    <xf numFmtId="0" fontId="104" fillId="7" borderId="157" xfId="0" applyFont="1" applyFill="1" applyBorder="1" applyAlignment="1">
      <alignment horizontal="center" vertical="center" wrapText="1"/>
    </xf>
    <xf numFmtId="0" fontId="104" fillId="7" borderId="130" xfId="0" applyFont="1" applyFill="1" applyBorder="1" applyAlignment="1">
      <alignment horizontal="center" vertical="center" wrapText="1"/>
    </xf>
    <xf numFmtId="0" fontId="104" fillId="7" borderId="124" xfId="0" applyFont="1" applyFill="1" applyBorder="1" applyAlignment="1">
      <alignment horizontal="center" vertical="center" wrapText="1"/>
    </xf>
    <xf numFmtId="0" fontId="104" fillId="7" borderId="157" xfId="0" applyFont="1" applyFill="1" applyBorder="1" applyAlignment="1">
      <alignment horizontal="center" vertical="center"/>
    </xf>
    <xf numFmtId="0" fontId="104" fillId="7" borderId="124" xfId="0" applyFont="1" applyFill="1" applyBorder="1" applyAlignment="1">
      <alignment horizontal="center" vertical="center"/>
    </xf>
    <xf numFmtId="0" fontId="104" fillId="7" borderId="130" xfId="0" applyFont="1" applyFill="1" applyBorder="1" applyAlignment="1">
      <alignment horizontal="center" vertical="center"/>
    </xf>
    <xf numFmtId="0" fontId="104" fillId="7" borderId="131" xfId="0" applyFont="1" applyFill="1" applyBorder="1" applyAlignment="1">
      <alignment horizontal="center" vertical="center" wrapText="1"/>
    </xf>
    <xf numFmtId="0" fontId="104" fillId="7" borderId="124" xfId="13" applyFont="1" applyFill="1" applyBorder="1" applyAlignment="1">
      <alignment horizontal="center" vertical="center"/>
    </xf>
    <xf numFmtId="0" fontId="15" fillId="2" borderId="0" xfId="0" applyFont="1" applyFill="1" applyBorder="1" applyAlignment="1">
      <alignment horizontal="left" vertical="center" wrapText="1"/>
    </xf>
    <xf numFmtId="0" fontId="104" fillId="7" borderId="3" xfId="0" applyFont="1" applyFill="1" applyBorder="1" applyAlignment="1">
      <alignment horizontal="center" vertical="center"/>
    </xf>
    <xf numFmtId="0" fontId="101" fillId="2" borderId="0" xfId="0" applyFont="1" applyFill="1" applyAlignment="1">
      <alignment horizontal="center" vertical="center"/>
    </xf>
    <xf numFmtId="0" fontId="99" fillId="2" borderId="0" xfId="0" applyFont="1" applyFill="1" applyAlignment="1">
      <alignment horizontal="center" vertical="center"/>
    </xf>
    <xf numFmtId="0" fontId="104" fillId="7" borderId="199" xfId="0" applyFont="1" applyFill="1" applyBorder="1" applyAlignment="1">
      <alignment horizontal="center" vertical="center" wrapText="1"/>
    </xf>
    <xf numFmtId="0" fontId="104" fillId="7" borderId="201" xfId="0" applyFont="1" applyFill="1" applyBorder="1" applyAlignment="1">
      <alignment horizontal="center" vertical="center" wrapText="1"/>
    </xf>
    <xf numFmtId="0" fontId="104" fillId="7" borderId="204" xfId="0" applyFont="1" applyFill="1" applyBorder="1" applyAlignment="1">
      <alignment horizontal="center" vertical="center" wrapText="1"/>
    </xf>
    <xf numFmtId="0" fontId="9" fillId="2" borderId="133" xfId="0" applyFont="1" applyFill="1" applyBorder="1" applyAlignment="1">
      <alignment horizontal="center" vertical="center" wrapText="1"/>
    </xf>
    <xf numFmtId="0" fontId="104" fillId="7" borderId="157" xfId="13" applyFont="1" applyFill="1" applyBorder="1" applyAlignment="1">
      <alignment horizontal="center" vertical="center"/>
    </xf>
    <xf numFmtId="0" fontId="99" fillId="2" borderId="133" xfId="0" applyFont="1" applyFill="1" applyBorder="1" applyAlignment="1">
      <alignment horizontal="left" vertical="center" wrapText="1"/>
    </xf>
    <xf numFmtId="0" fontId="68" fillId="2" borderId="133" xfId="0" applyFont="1" applyFill="1" applyBorder="1" applyAlignment="1">
      <alignment horizontal="left" vertical="center" wrapText="1"/>
    </xf>
    <xf numFmtId="0" fontId="99" fillId="2" borderId="0" xfId="0" applyFont="1" applyFill="1"/>
    <xf numFmtId="0" fontId="99" fillId="2" borderId="0" xfId="0" applyFont="1" applyFill="1" applyAlignment="1">
      <alignment horizontal="center"/>
    </xf>
    <xf numFmtId="0" fontId="48" fillId="2" borderId="0" xfId="0" applyFont="1" applyFill="1" applyAlignment="1">
      <alignment horizontal="center" vertical="center" wrapText="1"/>
    </xf>
    <xf numFmtId="0" fontId="67" fillId="2" borderId="133" xfId="13" applyFont="1" applyFill="1" applyBorder="1" applyAlignment="1">
      <alignment horizontal="left" vertical="center"/>
    </xf>
    <xf numFmtId="0" fontId="100" fillId="2" borderId="133" xfId="0" applyFont="1" applyFill="1" applyBorder="1" applyAlignment="1">
      <alignment horizontal="left" vertical="center" wrapText="1"/>
    </xf>
    <xf numFmtId="3" fontId="67" fillId="2" borderId="0" xfId="13" applyNumberFormat="1" applyFont="1" applyFill="1" applyAlignment="1">
      <alignment horizontal="center" vertical="center"/>
    </xf>
    <xf numFmtId="3" fontId="68" fillId="2" borderId="0" xfId="0" applyNumberFormat="1" applyFont="1" applyFill="1" applyAlignment="1">
      <alignment horizontal="center" vertical="center" wrapText="1"/>
    </xf>
    <xf numFmtId="3" fontId="68" fillId="2" borderId="0" xfId="0" applyNumberFormat="1" applyFont="1" applyFill="1" applyAlignment="1">
      <alignment horizontal="left" vertical="center" wrapText="1"/>
    </xf>
    <xf numFmtId="0" fontId="100" fillId="2" borderId="133" xfId="0" applyFont="1" applyFill="1" applyBorder="1" applyAlignment="1">
      <alignment vertical="center"/>
    </xf>
    <xf numFmtId="3" fontId="149" fillId="2" borderId="133" xfId="0" applyNumberFormat="1" applyFont="1" applyFill="1" applyBorder="1" applyAlignment="1">
      <alignment horizontal="left" vertical="center" wrapText="1"/>
    </xf>
    <xf numFmtId="0" fontId="149" fillId="2" borderId="0" xfId="0" applyFont="1" applyFill="1" applyAlignment="1">
      <alignment horizontal="left" vertical="center" wrapText="1"/>
    </xf>
    <xf numFmtId="0" fontId="99" fillId="2" borderId="0" xfId="0" applyFont="1" applyFill="1" applyAlignment="1">
      <alignment horizontal="left" vertical="center" wrapText="1"/>
    </xf>
    <xf numFmtId="0" fontId="149" fillId="2" borderId="133" xfId="0" applyFont="1" applyFill="1" applyBorder="1" applyAlignment="1">
      <alignment horizontal="left" vertical="center" wrapText="1"/>
    </xf>
    <xf numFmtId="183" fontId="68" fillId="2" borderId="133" xfId="0" applyNumberFormat="1" applyFont="1" applyFill="1" applyBorder="1" applyAlignment="1">
      <alignment horizontal="center" vertical="center" wrapText="1"/>
    </xf>
    <xf numFmtId="188" fontId="68" fillId="2" borderId="133" xfId="0" applyNumberFormat="1" applyFont="1" applyFill="1" applyBorder="1" applyAlignment="1">
      <alignment horizontal="center" vertical="center" wrapText="1"/>
    </xf>
    <xf numFmtId="0" fontId="101" fillId="2" borderId="0" xfId="0" applyFont="1" applyFill="1" applyAlignment="1">
      <alignment horizontal="left" vertical="center" wrapText="1"/>
    </xf>
    <xf numFmtId="183" fontId="68" fillId="2" borderId="0" xfId="0" applyNumberFormat="1" applyFont="1" applyFill="1" applyAlignment="1">
      <alignment horizontal="center" vertical="center" wrapText="1"/>
    </xf>
    <xf numFmtId="183" fontId="99" fillId="2" borderId="0" xfId="0" applyNumberFormat="1" applyFont="1" applyFill="1" applyAlignment="1">
      <alignment horizontal="center" vertical="center" wrapText="1"/>
    </xf>
    <xf numFmtId="0" fontId="104" fillId="7" borderId="195" xfId="13" applyFont="1" applyFill="1" applyBorder="1" applyAlignment="1">
      <alignment horizontal="center" vertical="center" wrapText="1"/>
    </xf>
    <xf numFmtId="0" fontId="104" fillId="7" borderId="124" xfId="13" applyFont="1" applyFill="1" applyBorder="1" applyAlignment="1">
      <alignment horizontal="center" vertical="center" wrapText="1"/>
    </xf>
    <xf numFmtId="0" fontId="104" fillId="7" borderId="148" xfId="13" applyFont="1" applyFill="1" applyBorder="1" applyAlignment="1">
      <alignment horizontal="center" vertical="center" wrapText="1"/>
    </xf>
    <xf numFmtId="0" fontId="104" fillId="7" borderId="149" xfId="13" applyFont="1" applyFill="1" applyBorder="1" applyAlignment="1">
      <alignment horizontal="center" vertical="center" wrapText="1"/>
    </xf>
    <xf numFmtId="0" fontId="67" fillId="109" borderId="133" xfId="13" applyFont="1" applyFill="1" applyBorder="1" applyAlignment="1">
      <alignment horizontal="left" vertical="center"/>
    </xf>
    <xf numFmtId="0" fontId="100" fillId="109" borderId="133" xfId="0" applyFont="1" applyFill="1" applyBorder="1" applyAlignment="1">
      <alignment horizontal="left" vertical="center" wrapText="1"/>
    </xf>
    <xf numFmtId="0" fontId="67" fillId="109" borderId="133" xfId="0" applyFont="1" applyFill="1" applyBorder="1" applyAlignment="1">
      <alignment horizontal="left" vertical="center" wrapText="1"/>
    </xf>
    <xf numFmtId="0" fontId="100" fillId="109" borderId="133" xfId="0" applyFont="1" applyFill="1" applyBorder="1" applyAlignment="1">
      <alignment vertical="center"/>
    </xf>
    <xf numFmtId="0" fontId="192" fillId="2" borderId="0" xfId="0" applyFont="1" applyFill="1" applyAlignment="1">
      <alignment vertical="center"/>
    </xf>
    <xf numFmtId="3" fontId="99" fillId="2" borderId="133" xfId="0" applyNumberFormat="1" applyFont="1" applyFill="1" applyBorder="1" applyAlignment="1">
      <alignment vertical="center"/>
    </xf>
    <xf numFmtId="3" fontId="99" fillId="2" borderId="133" xfId="0" applyNumberFormat="1" applyFont="1" applyFill="1" applyBorder="1" applyAlignment="1">
      <alignment horizontal="right" vertical="center"/>
    </xf>
    <xf numFmtId="3" fontId="99" fillId="2" borderId="0" xfId="0" applyNumberFormat="1" applyFont="1" applyFill="1" applyAlignment="1">
      <alignment horizontal="center" vertical="center"/>
    </xf>
    <xf numFmtId="3" fontId="10" fillId="7" borderId="193" xfId="0" applyNumberFormat="1" applyFont="1" applyFill="1" applyBorder="1" applyAlignment="1">
      <alignment vertical="center"/>
    </xf>
    <xf numFmtId="3" fontId="10" fillId="7" borderId="195" xfId="0" applyNumberFormat="1" applyFont="1" applyFill="1" applyBorder="1" applyAlignment="1">
      <alignment vertical="center"/>
    </xf>
    <xf numFmtId="0" fontId="104" fillId="13" borderId="20" xfId="0" applyFont="1" applyFill="1" applyBorder="1" applyAlignment="1">
      <alignment vertical="center"/>
    </xf>
    <xf numFmtId="0" fontId="99" fillId="2" borderId="133" xfId="0" applyFont="1" applyFill="1" applyBorder="1" applyAlignment="1">
      <alignment horizontal="left" vertical="center"/>
    </xf>
    <xf numFmtId="0" fontId="99" fillId="2" borderId="0" xfId="0" applyFont="1" applyFill="1" applyAlignment="1">
      <alignment wrapText="1"/>
    </xf>
    <xf numFmtId="0" fontId="157" fillId="2" borderId="139" xfId="0" applyFont="1" applyFill="1" applyBorder="1"/>
    <xf numFmtId="0" fontId="149" fillId="2" borderId="143" xfId="0" applyFont="1" applyFill="1" applyBorder="1"/>
    <xf numFmtId="0" fontId="149" fillId="2" borderId="143" xfId="0" applyFont="1" applyFill="1" applyBorder="1" applyAlignment="1">
      <alignment horizontal="center"/>
    </xf>
    <xf numFmtId="0" fontId="149" fillId="2" borderId="140" xfId="0" applyFont="1" applyFill="1" applyBorder="1"/>
    <xf numFmtId="0" fontId="100" fillId="2" borderId="153" xfId="0" applyFont="1" applyFill="1" applyBorder="1" applyAlignment="1">
      <alignment horizontal="right"/>
    </xf>
    <xf numFmtId="0" fontId="146" fillId="2" borderId="0" xfId="3" applyFont="1" applyFill="1" applyBorder="1" applyAlignment="1">
      <alignment vertical="center"/>
    </xf>
    <xf numFmtId="0" fontId="149" fillId="2" borderId="0" xfId="0" applyFont="1" applyFill="1" applyBorder="1"/>
    <xf numFmtId="0" fontId="149" fillId="2" borderId="0" xfId="0" applyFont="1" applyFill="1" applyBorder="1" applyAlignment="1">
      <alignment horizontal="center"/>
    </xf>
    <xf numFmtId="0" fontId="149" fillId="2" borderId="154" xfId="0" applyFont="1" applyFill="1" applyBorder="1"/>
    <xf numFmtId="0" fontId="157" fillId="2" borderId="153" xfId="0" applyFont="1" applyFill="1" applyBorder="1"/>
    <xf numFmtId="0" fontId="67" fillId="2" borderId="0" xfId="0" applyFont="1" applyFill="1" applyBorder="1" applyAlignment="1">
      <alignment horizontal="left" vertical="center"/>
    </xf>
    <xf numFmtId="3" fontId="68" fillId="2" borderId="0" xfId="0" applyNumberFormat="1" applyFont="1" applyFill="1" applyBorder="1" applyAlignment="1">
      <alignment horizontal="left" vertical="center"/>
    </xf>
    <xf numFmtId="0" fontId="149" fillId="2" borderId="0" xfId="0" applyFont="1" applyFill="1" applyBorder="1" applyAlignment="1">
      <alignment horizontal="center" vertical="center"/>
    </xf>
    <xf numFmtId="3" fontId="149" fillId="2" borderId="0" xfId="0" applyNumberFormat="1" applyFont="1" applyFill="1" applyBorder="1" applyAlignment="1">
      <alignment horizontal="center" vertical="center" wrapText="1"/>
    </xf>
    <xf numFmtId="0" fontId="68" fillId="2" borderId="0" xfId="0" applyFont="1" applyFill="1" applyBorder="1" applyAlignment="1">
      <alignment vertical="center" wrapText="1"/>
    </xf>
    <xf numFmtId="0" fontId="149" fillId="2" borderId="0" xfId="0" applyFont="1" applyFill="1" applyBorder="1" applyAlignment="1">
      <alignment horizontal="center" vertical="center" wrapText="1"/>
    </xf>
    <xf numFmtId="0" fontId="149" fillId="2" borderId="154" xfId="0" applyFont="1" applyFill="1" applyBorder="1" applyAlignment="1">
      <alignment horizontal="center" vertical="center"/>
    </xf>
    <xf numFmtId="0" fontId="67" fillId="2" borderId="153" xfId="0" applyFont="1" applyFill="1" applyBorder="1"/>
    <xf numFmtId="0" fontId="67" fillId="2" borderId="0" xfId="0" applyFont="1" applyFill="1" applyBorder="1" applyAlignment="1">
      <alignment horizontal="left" vertical="center" wrapText="1"/>
    </xf>
    <xf numFmtId="0" fontId="68" fillId="2" borderId="0" xfId="0" applyFont="1" applyFill="1" applyBorder="1" applyAlignment="1">
      <alignment horizontal="center" vertical="center"/>
    </xf>
    <xf numFmtId="3" fontId="68" fillId="2" borderId="0" xfId="0" applyNumberFormat="1" applyFont="1" applyFill="1" applyBorder="1" applyAlignment="1">
      <alignment horizontal="center" vertical="center" wrapText="1"/>
    </xf>
    <xf numFmtId="0" fontId="68" fillId="2" borderId="0" xfId="0" applyFont="1" applyFill="1" applyBorder="1" applyAlignment="1">
      <alignment horizontal="center" vertical="center" wrapText="1"/>
    </xf>
    <xf numFmtId="0" fontId="68" fillId="2" borderId="0" xfId="0" applyFont="1" applyFill="1" applyBorder="1"/>
    <xf numFmtId="0" fontId="68" fillId="2" borderId="154" xfId="0" applyFont="1" applyFill="1" applyBorder="1" applyAlignment="1">
      <alignment horizontal="center" vertical="center"/>
    </xf>
    <xf numFmtId="0" fontId="68" fillId="2" borderId="20" xfId="0" applyFont="1" applyFill="1" applyBorder="1" applyAlignment="1">
      <alignment horizontal="left" vertical="center" wrapText="1"/>
    </xf>
    <xf numFmtId="0" fontId="68" fillId="2" borderId="20" xfId="0" applyFont="1" applyFill="1" applyBorder="1" applyAlignment="1">
      <alignment horizontal="justify" vertical="center" wrapText="1"/>
    </xf>
    <xf numFmtId="0" fontId="68" fillId="2" borderId="20" xfId="0" applyFont="1" applyFill="1" applyBorder="1" applyAlignment="1">
      <alignment horizontal="center" vertical="center" wrapText="1"/>
    </xf>
    <xf numFmtId="0" fontId="68" fillId="2" borderId="0" xfId="0" applyFont="1" applyFill="1" applyBorder="1" applyAlignment="1">
      <alignment horizontal="justify" vertical="center" wrapText="1"/>
    </xf>
    <xf numFmtId="0" fontId="68" fillId="2" borderId="0" xfId="0" applyFont="1" applyFill="1" applyBorder="1" applyAlignment="1">
      <alignment horizontal="left" vertical="center"/>
    </xf>
    <xf numFmtId="0" fontId="67" fillId="2" borderId="153" xfId="0" applyFont="1" applyFill="1" applyBorder="1" applyAlignment="1">
      <alignment horizontal="right" vertical="center" wrapText="1"/>
    </xf>
    <xf numFmtId="0" fontId="193" fillId="2" borderId="0" xfId="0" applyFont="1" applyFill="1" applyBorder="1"/>
    <xf numFmtId="0" fontId="157" fillId="2" borderId="141" xfId="0" applyFont="1" applyFill="1" applyBorder="1"/>
    <xf numFmtId="0" fontId="149" fillId="2" borderId="144" xfId="0" applyFont="1" applyFill="1" applyBorder="1"/>
    <xf numFmtId="0" fontId="149" fillId="2" borderId="144" xfId="0" applyFont="1" applyFill="1" applyBorder="1" applyAlignment="1">
      <alignment horizontal="center"/>
    </xf>
    <xf numFmtId="0" fontId="149" fillId="2" borderId="142" xfId="0" applyFont="1" applyFill="1" applyBorder="1"/>
    <xf numFmtId="0" fontId="68" fillId="2" borderId="139" xfId="3" applyFont="1" applyFill="1" applyBorder="1" applyAlignment="1">
      <alignment vertical="center"/>
    </xf>
    <xf numFmtId="0" fontId="68" fillId="2" borderId="143" xfId="3" applyFont="1" applyFill="1" applyBorder="1" applyAlignment="1">
      <alignment horizontal="center" vertical="center"/>
    </xf>
    <xf numFmtId="0" fontId="68" fillId="2" borderId="140" xfId="3" applyFont="1" applyFill="1" applyBorder="1" applyAlignment="1">
      <alignment vertical="center"/>
    </xf>
    <xf numFmtId="0" fontId="68" fillId="2" borderId="0" xfId="3" applyFont="1" applyFill="1" applyAlignment="1">
      <alignment vertical="center"/>
    </xf>
    <xf numFmtId="0" fontId="68" fillId="2" borderId="153" xfId="3" applyFont="1" applyFill="1" applyBorder="1" applyAlignment="1">
      <alignment vertical="center"/>
    </xf>
    <xf numFmtId="0" fontId="100" fillId="2" borderId="229" xfId="0" applyFont="1" applyFill="1" applyBorder="1" applyAlignment="1">
      <alignment vertical="center"/>
    </xf>
    <xf numFmtId="0" fontId="68" fillId="2" borderId="0" xfId="3" applyFont="1" applyFill="1" applyBorder="1" applyAlignment="1">
      <alignment horizontal="center" vertical="center"/>
    </xf>
    <xf numFmtId="0" fontId="68" fillId="2" borderId="154" xfId="3" applyFont="1" applyFill="1" applyBorder="1" applyAlignment="1">
      <alignment vertical="center"/>
    </xf>
    <xf numFmtId="0" fontId="67" fillId="2" borderId="0" xfId="3" applyFont="1" applyFill="1" applyBorder="1" applyAlignment="1">
      <alignment horizontal="left" vertical="center"/>
    </xf>
    <xf numFmtId="0" fontId="67" fillId="2" borderId="0" xfId="3" applyFont="1" applyFill="1" applyBorder="1" applyAlignment="1">
      <alignment vertical="center"/>
    </xf>
    <xf numFmtId="0" fontId="157" fillId="2" borderId="0" xfId="0" applyFont="1" applyFill="1"/>
    <xf numFmtId="0" fontId="149" fillId="2" borderId="0" xfId="0" applyFont="1" applyFill="1"/>
    <xf numFmtId="0" fontId="68" fillId="2" borderId="20" xfId="0" applyFont="1" applyFill="1" applyBorder="1" applyAlignment="1">
      <alignment horizontal="center" vertical="center"/>
    </xf>
    <xf numFmtId="3" fontId="149" fillId="2" borderId="0" xfId="0" applyNumberFormat="1" applyFont="1" applyFill="1" applyBorder="1" applyAlignment="1">
      <alignment horizontal="center" vertical="center"/>
    </xf>
    <xf numFmtId="0" fontId="149" fillId="2" borderId="0" xfId="0" applyFont="1" applyFill="1" applyAlignment="1">
      <alignment horizontal="center"/>
    </xf>
    <xf numFmtId="0" fontId="99" fillId="2" borderId="0" xfId="0" applyFont="1" applyFill="1" applyAlignment="1">
      <alignment horizontal="center" wrapText="1"/>
    </xf>
    <xf numFmtId="0" fontId="68" fillId="2" borderId="20" xfId="0" applyFont="1" applyFill="1" applyBorder="1" applyAlignment="1">
      <alignment vertical="center" wrapText="1"/>
    </xf>
    <xf numFmtId="9" fontId="104" fillId="7" borderId="5" xfId="0" applyNumberFormat="1" applyFont="1" applyFill="1" applyBorder="1" applyAlignment="1">
      <alignment horizontal="center" vertical="center" wrapText="1"/>
    </xf>
    <xf numFmtId="0" fontId="16" fillId="0" borderId="159" xfId="0" applyFont="1" applyBorder="1" applyAlignment="1" applyProtection="1">
      <alignment horizontal="left" vertical="center" wrapText="1"/>
      <protection locked="0"/>
    </xf>
    <xf numFmtId="0" fontId="33" fillId="12" borderId="159" xfId="0" applyFont="1" applyFill="1" applyBorder="1" applyAlignment="1">
      <alignment horizontal="center" vertical="center" wrapText="1"/>
    </xf>
    <xf numFmtId="3" fontId="34" fillId="0" borderId="159" xfId="0" applyNumberFormat="1" applyFont="1" applyBorder="1" applyAlignment="1">
      <alignment horizontal="center" vertical="center" wrapText="1"/>
    </xf>
    <xf numFmtId="0" fontId="33" fillId="0" borderId="159" xfId="0" applyFont="1" applyBorder="1" applyAlignment="1">
      <alignment horizontal="center" vertical="center"/>
    </xf>
    <xf numFmtId="3" fontId="34" fillId="12" borderId="159" xfId="0" applyNumberFormat="1" applyFont="1" applyFill="1" applyBorder="1" applyAlignment="1">
      <alignment horizontal="center" vertical="center"/>
    </xf>
    <xf numFmtId="3" fontId="34" fillId="0" borderId="160" xfId="0" applyNumberFormat="1" applyFont="1" applyBorder="1" applyAlignment="1">
      <alignment horizontal="center" vertical="center"/>
    </xf>
    <xf numFmtId="0" fontId="16" fillId="0" borderId="20" xfId="0" applyFont="1" applyBorder="1" applyAlignment="1" applyProtection="1">
      <alignment horizontal="left" vertical="center"/>
      <protection locked="0"/>
    </xf>
    <xf numFmtId="0" fontId="33" fillId="12" borderId="20" xfId="0" applyFont="1" applyFill="1" applyBorder="1" applyAlignment="1">
      <alignment horizontal="center" vertical="center" wrapText="1"/>
    </xf>
    <xf numFmtId="3" fontId="34" fillId="0" borderId="20" xfId="0" applyNumberFormat="1" applyFont="1" applyBorder="1" applyAlignment="1">
      <alignment horizontal="center" vertical="center" wrapText="1"/>
    </xf>
    <xf numFmtId="0" fontId="33" fillId="0" borderId="20" xfId="0" applyFont="1" applyBorder="1" applyAlignment="1">
      <alignment horizontal="center" vertical="center"/>
    </xf>
    <xf numFmtId="3" fontId="34" fillId="12" borderId="20" xfId="0" applyNumberFormat="1" applyFont="1" applyFill="1" applyBorder="1" applyAlignment="1">
      <alignment horizontal="center" vertical="center"/>
    </xf>
    <xf numFmtId="3" fontId="34" fillId="0" borderId="109" xfId="0" applyNumberFormat="1" applyFont="1" applyBorder="1" applyAlignment="1">
      <alignment horizontal="center" vertical="center"/>
    </xf>
    <xf numFmtId="0" fontId="16" fillId="0" borderId="107" xfId="0" applyFont="1" applyBorder="1" applyAlignment="1" applyProtection="1">
      <alignment horizontal="left" vertical="center" wrapText="1"/>
      <protection locked="0"/>
    </xf>
    <xf numFmtId="0" fontId="33" fillId="12" borderId="107" xfId="0" applyFont="1" applyFill="1" applyBorder="1" applyAlignment="1">
      <alignment horizontal="center" vertical="center" wrapText="1"/>
    </xf>
    <xf numFmtId="3" fontId="34" fillId="0" borderId="107" xfId="0" applyNumberFormat="1" applyFont="1" applyBorder="1" applyAlignment="1">
      <alignment horizontal="center" vertical="center" wrapText="1"/>
    </xf>
    <xf numFmtId="0" fontId="33" fillId="0" borderId="107" xfId="0" applyFont="1" applyBorder="1" applyAlignment="1">
      <alignment horizontal="center" vertical="center"/>
    </xf>
    <xf numFmtId="3" fontId="34" fillId="12" borderId="107" xfId="0" applyNumberFormat="1" applyFont="1" applyFill="1" applyBorder="1" applyAlignment="1">
      <alignment horizontal="center" vertical="center"/>
    </xf>
    <xf numFmtId="3" fontId="34" fillId="0" borderId="110" xfId="0" applyNumberFormat="1" applyFont="1" applyBorder="1" applyAlignment="1">
      <alignment horizontal="center" vertical="center"/>
    </xf>
    <xf numFmtId="0" fontId="77" fillId="0" borderId="159" xfId="0" applyFont="1" applyBorder="1" applyAlignment="1" applyProtection="1">
      <alignment horizontal="center" vertical="center" wrapText="1"/>
      <protection locked="0"/>
    </xf>
    <xf numFmtId="0" fontId="16" fillId="0" borderId="20" xfId="0" applyFont="1" applyBorder="1" applyAlignment="1" applyProtection="1">
      <alignment horizontal="left" vertical="center" wrapText="1"/>
      <protection locked="0"/>
    </xf>
    <xf numFmtId="0" fontId="99" fillId="0" borderId="133" xfId="0" applyFont="1" applyFill="1" applyBorder="1" applyAlignment="1">
      <alignment horizontal="left" vertical="center" wrapText="1"/>
    </xf>
    <xf numFmtId="0" fontId="68" fillId="0" borderId="133" xfId="13" applyFont="1" applyBorder="1" applyAlignment="1">
      <alignment horizontal="left" vertical="center"/>
    </xf>
    <xf numFmtId="3" fontId="149" fillId="0" borderId="133" xfId="0" applyNumberFormat="1" applyFont="1" applyBorder="1" applyAlignment="1">
      <alignment horizontal="center" vertical="center"/>
    </xf>
    <xf numFmtId="0" fontId="149" fillId="0" borderId="133" xfId="0" applyFont="1" applyBorder="1" applyAlignment="1">
      <alignment horizontal="center" vertical="center"/>
    </xf>
    <xf numFmtId="1" fontId="149" fillId="0" borderId="133" xfId="0" applyNumberFormat="1" applyFont="1" applyBorder="1" applyAlignment="1">
      <alignment horizontal="center" vertical="center"/>
    </xf>
    <xf numFmtId="176" fontId="194" fillId="12" borderId="133" xfId="39" applyNumberFormat="1" applyFont="1" applyFill="1" applyBorder="1" applyAlignment="1" applyProtection="1">
      <alignment horizontal="center" vertical="center"/>
    </xf>
    <xf numFmtId="0" fontId="99" fillId="0" borderId="133" xfId="0" applyFont="1" applyBorder="1" applyAlignment="1">
      <alignment vertical="center"/>
    </xf>
    <xf numFmtId="0" fontId="149" fillId="12" borderId="133" xfId="0" applyFont="1" applyFill="1" applyBorder="1" applyAlignment="1">
      <alignment vertical="center"/>
    </xf>
    <xf numFmtId="3" fontId="100" fillId="12" borderId="133" xfId="0" applyNumberFormat="1" applyFont="1" applyFill="1" applyBorder="1" applyAlignment="1">
      <alignment horizontal="center" vertical="center" wrapText="1"/>
    </xf>
    <xf numFmtId="0" fontId="149" fillId="12" borderId="133" xfId="0" applyFont="1" applyFill="1" applyBorder="1" applyAlignment="1">
      <alignment vertical="center" wrapText="1"/>
    </xf>
    <xf numFmtId="0" fontId="69" fillId="52" borderId="133" xfId="13" applyFont="1" applyFill="1" applyBorder="1" applyAlignment="1">
      <alignment horizontal="left" vertical="center"/>
    </xf>
    <xf numFmtId="0" fontId="195" fillId="52" borderId="133" xfId="0" applyFont="1" applyFill="1" applyBorder="1" applyAlignment="1">
      <alignment horizontal="left" vertical="center" wrapText="1"/>
    </xf>
    <xf numFmtId="0" fontId="69" fillId="36" borderId="133" xfId="13" applyFont="1" applyFill="1" applyBorder="1" applyAlignment="1">
      <alignment horizontal="left" vertical="center"/>
    </xf>
    <xf numFmtId="0" fontId="195" fillId="36" borderId="133" xfId="0" applyFont="1" applyFill="1" applyBorder="1" applyAlignment="1">
      <alignment horizontal="center" vertical="center"/>
    </xf>
    <xf numFmtId="0" fontId="195" fillId="29" borderId="133" xfId="0" applyFont="1" applyFill="1" applyBorder="1" applyAlignment="1">
      <alignment vertical="center"/>
    </xf>
    <xf numFmtId="0" fontId="195" fillId="29" borderId="133" xfId="0" applyFont="1" applyFill="1" applyBorder="1" applyAlignment="1">
      <alignment horizontal="center" vertical="center" wrapText="1"/>
    </xf>
    <xf numFmtId="176" fontId="195" fillId="29" borderId="133" xfId="40" applyNumberFormat="1" applyFont="1" applyFill="1" applyBorder="1" applyAlignment="1">
      <alignment horizontal="center" vertical="center"/>
    </xf>
    <xf numFmtId="0" fontId="195" fillId="29" borderId="133" xfId="0" applyFont="1" applyFill="1" applyBorder="1" applyAlignment="1">
      <alignment horizontal="left" vertical="center" wrapText="1"/>
    </xf>
    <xf numFmtId="0" fontId="69" fillId="29" borderId="133" xfId="13" applyFont="1" applyFill="1" applyBorder="1" applyAlignment="1">
      <alignment horizontal="left" vertical="center"/>
    </xf>
    <xf numFmtId="0" fontId="196" fillId="29" borderId="133" xfId="13" applyFont="1" applyFill="1" applyBorder="1" applyAlignment="1">
      <alignment horizontal="center" vertical="center" wrapText="1"/>
    </xf>
    <xf numFmtId="0" fontId="197" fillId="7" borderId="193" xfId="13" applyFont="1" applyFill="1" applyBorder="1" applyAlignment="1">
      <alignment horizontal="center" vertical="center" wrapText="1"/>
    </xf>
    <xf numFmtId="0" fontId="197" fillId="7" borderId="194" xfId="13" applyFont="1" applyFill="1" applyBorder="1" applyAlignment="1">
      <alignment horizontal="center" vertical="center" wrapText="1"/>
    </xf>
    <xf numFmtId="0" fontId="197" fillId="7" borderId="195" xfId="13" applyFont="1" applyFill="1" applyBorder="1" applyAlignment="1">
      <alignment horizontal="center" vertical="center" wrapText="1"/>
    </xf>
    <xf numFmtId="0" fontId="90" fillId="2" borderId="0" xfId="0" applyFont="1" applyFill="1" applyAlignment="1">
      <alignment horizontal="center" vertical="center"/>
    </xf>
    <xf numFmtId="3" fontId="99" fillId="0" borderId="133" xfId="0" applyNumberFormat="1" applyFont="1" applyFill="1" applyBorder="1" applyAlignment="1">
      <alignment horizontal="center" vertical="center"/>
    </xf>
    <xf numFmtId="9" fontId="99" fillId="0" borderId="133" xfId="1" applyFont="1" applyFill="1" applyBorder="1" applyAlignment="1">
      <alignment horizontal="center" vertical="center"/>
    </xf>
    <xf numFmtId="9" fontId="99" fillId="0" borderId="133" xfId="0" applyNumberFormat="1" applyFont="1" applyFill="1" applyBorder="1" applyAlignment="1">
      <alignment horizontal="center" vertical="center"/>
    </xf>
    <xf numFmtId="9" fontId="99" fillId="0" borderId="0" xfId="1" applyFont="1" applyFill="1" applyAlignment="1">
      <alignment vertical="center"/>
    </xf>
    <xf numFmtId="0" fontId="104" fillId="7" borderId="130" xfId="13" applyFont="1" applyFill="1" applyBorder="1" applyAlignment="1">
      <alignment vertical="center"/>
    </xf>
    <xf numFmtId="0" fontId="104" fillId="7" borderId="131" xfId="13" applyFont="1" applyFill="1" applyBorder="1" applyAlignment="1">
      <alignment vertical="center"/>
    </xf>
    <xf numFmtId="183" fontId="5" fillId="0" borderId="133" xfId="0" applyNumberFormat="1" applyFont="1" applyFill="1" applyBorder="1" applyAlignment="1">
      <alignment horizontal="center" vertical="center" wrapText="1"/>
    </xf>
    <xf numFmtId="183" fontId="6" fillId="0" borderId="0" xfId="0" applyNumberFormat="1" applyFont="1" applyFill="1" applyAlignment="1">
      <alignment vertical="center"/>
    </xf>
    <xf numFmtId="0" fontId="6" fillId="0" borderId="0" xfId="0" applyFont="1" applyFill="1" applyAlignment="1">
      <alignment vertical="center"/>
    </xf>
    <xf numFmtId="9" fontId="168" fillId="0" borderId="133" xfId="1" applyFont="1" applyFill="1" applyBorder="1" applyAlignment="1">
      <alignment horizontal="center" vertical="center" wrapText="1"/>
    </xf>
    <xf numFmtId="183" fontId="9" fillId="6" borderId="133" xfId="0" applyNumberFormat="1" applyFont="1" applyFill="1" applyBorder="1" applyAlignment="1">
      <alignment horizontal="center" vertical="center" wrapText="1"/>
    </xf>
    <xf numFmtId="183" fontId="174" fillId="51" borderId="133" xfId="0" applyNumberFormat="1" applyFont="1" applyFill="1" applyBorder="1" applyAlignment="1">
      <alignment horizontal="center" vertical="center" wrapText="1"/>
    </xf>
    <xf numFmtId="183" fontId="9" fillId="51" borderId="133" xfId="0" applyNumberFormat="1" applyFont="1" applyFill="1" applyBorder="1" applyAlignment="1">
      <alignment horizontal="center" vertical="center" wrapText="1"/>
    </xf>
    <xf numFmtId="0" fontId="104" fillId="11" borderId="3" xfId="0" applyFont="1" applyFill="1" applyBorder="1" applyAlignment="1">
      <alignment horizontal="center" vertical="center" wrapText="1"/>
    </xf>
    <xf numFmtId="0" fontId="104" fillId="14" borderId="3" xfId="0" applyFont="1" applyFill="1" applyBorder="1" applyAlignment="1">
      <alignment horizontal="center" vertical="center" wrapText="1"/>
    </xf>
    <xf numFmtId="0" fontId="104" fillId="43" borderId="5" xfId="0" applyFont="1" applyFill="1" applyBorder="1" applyAlignment="1">
      <alignment horizontal="center" vertical="center" wrapText="1"/>
    </xf>
    <xf numFmtId="0" fontId="104" fillId="11" borderId="5" xfId="0" applyFont="1" applyFill="1" applyBorder="1" applyAlignment="1">
      <alignment horizontal="center" vertical="center" wrapText="1"/>
    </xf>
    <xf numFmtId="0" fontId="104" fillId="14" borderId="5" xfId="0" applyFont="1" applyFill="1" applyBorder="1" applyAlignment="1">
      <alignment horizontal="center" vertical="center" wrapText="1"/>
    </xf>
    <xf numFmtId="0" fontId="68" fillId="14" borderId="92" xfId="0" applyFont="1" applyFill="1" applyBorder="1" applyAlignment="1">
      <alignment horizontal="center" vertical="center"/>
    </xf>
    <xf numFmtId="173" fontId="68" fillId="0" borderId="92" xfId="0" applyNumberFormat="1" applyFont="1" applyBorder="1" applyAlignment="1">
      <alignment horizontal="center" vertical="center"/>
    </xf>
    <xf numFmtId="0" fontId="68" fillId="2" borderId="92" xfId="0" applyFont="1" applyFill="1" applyBorder="1" applyAlignment="1">
      <alignment vertical="center" wrapText="1"/>
    </xf>
    <xf numFmtId="3" fontId="68" fillId="2" borderId="92" xfId="0" applyNumberFormat="1" applyFont="1" applyFill="1" applyBorder="1" applyAlignment="1">
      <alignment horizontal="center" vertical="center" wrapText="1"/>
    </xf>
    <xf numFmtId="0" fontId="68" fillId="0" borderId="92" xfId="0" applyFont="1" applyBorder="1" applyAlignment="1">
      <alignment horizontal="center" vertical="center" wrapText="1"/>
    </xf>
    <xf numFmtId="0" fontId="68" fillId="0" borderId="0" xfId="0" applyFont="1" applyAlignment="1">
      <alignment vertical="center" wrapText="1"/>
    </xf>
    <xf numFmtId="0" fontId="68" fillId="11" borderId="0" xfId="0" applyFont="1" applyFill="1" applyAlignment="1">
      <alignment vertical="center" wrapText="1"/>
    </xf>
    <xf numFmtId="171" fontId="68" fillId="0" borderId="92" xfId="0" applyNumberFormat="1" applyFont="1" applyBorder="1" applyAlignment="1">
      <alignment horizontal="center" vertical="center" wrapText="1"/>
    </xf>
    <xf numFmtId="0" fontId="104" fillId="43" borderId="5" xfId="0" applyFont="1" applyFill="1" applyBorder="1" applyAlignment="1">
      <alignment horizontal="center" vertical="center"/>
    </xf>
    <xf numFmtId="0" fontId="104" fillId="11" borderId="5" xfId="0" applyFont="1" applyFill="1" applyBorder="1" applyAlignment="1">
      <alignment horizontal="center" vertical="center"/>
    </xf>
    <xf numFmtId="9" fontId="68" fillId="0" borderId="92" xfId="0" applyNumberFormat="1" applyFont="1" applyBorder="1" applyAlignment="1">
      <alignment horizontal="center" vertical="center"/>
    </xf>
    <xf numFmtId="9" fontId="68" fillId="11" borderId="92" xfId="0" applyNumberFormat="1" applyFont="1" applyFill="1" applyBorder="1" applyAlignment="1">
      <alignment horizontal="center" vertical="center"/>
    </xf>
    <xf numFmtId="0" fontId="145" fillId="43" borderId="5" xfId="0" applyFont="1" applyFill="1" applyBorder="1" applyAlignment="1">
      <alignment horizontal="center" vertical="center" wrapText="1"/>
    </xf>
    <xf numFmtId="0" fontId="145" fillId="11" borderId="5" xfId="0" applyFont="1" applyFill="1" applyBorder="1" applyAlignment="1">
      <alignment horizontal="center" vertical="center" wrapText="1"/>
    </xf>
    <xf numFmtId="0" fontId="68" fillId="11" borderId="92" xfId="0" applyFont="1" applyFill="1" applyBorder="1" applyAlignment="1">
      <alignment horizontal="center" vertical="center"/>
    </xf>
    <xf numFmtId="0" fontId="67" fillId="11" borderId="0" xfId="0" applyFont="1" applyFill="1" applyAlignment="1">
      <alignment vertical="center"/>
    </xf>
    <xf numFmtId="0" fontId="67" fillId="14" borderId="0" xfId="0" applyFont="1" applyFill="1" applyAlignment="1">
      <alignment vertical="center"/>
    </xf>
    <xf numFmtId="3" fontId="145" fillId="11" borderId="3" xfId="31" applyNumberFormat="1" applyFont="1" applyFill="1" applyBorder="1" applyAlignment="1">
      <alignment horizontal="center" vertical="center" wrapText="1"/>
    </xf>
    <xf numFmtId="3" fontId="145" fillId="43" borderId="5" xfId="31" applyNumberFormat="1" applyFont="1" applyFill="1" applyBorder="1" applyAlignment="1">
      <alignment horizontal="center" vertical="center" wrapText="1"/>
    </xf>
    <xf numFmtId="3" fontId="145" fillId="11" borderId="5" xfId="31" applyNumberFormat="1" applyFont="1" applyFill="1" applyBorder="1" applyAlignment="1">
      <alignment horizontal="center" vertical="center" wrapText="1"/>
    </xf>
    <xf numFmtId="0" fontId="68" fillId="0" borderId="92" xfId="0" applyFont="1" applyBorder="1" applyAlignment="1">
      <alignment horizontal="left" vertical="center"/>
    </xf>
    <xf numFmtId="0" fontId="68" fillId="11" borderId="93" xfId="0" applyFont="1" applyFill="1" applyBorder="1" applyAlignment="1">
      <alignment horizontal="center" vertical="center"/>
    </xf>
    <xf numFmtId="0" fontId="68" fillId="0" borderId="93" xfId="0" applyFont="1" applyBorder="1" applyAlignment="1">
      <alignment horizontal="center" vertical="center"/>
    </xf>
    <xf numFmtId="0" fontId="68" fillId="14" borderId="93" xfId="0" applyFont="1" applyFill="1" applyBorder="1" applyAlignment="1">
      <alignment horizontal="center" vertical="center"/>
    </xf>
    <xf numFmtId="0" fontId="145" fillId="11" borderId="3" xfId="0" applyFont="1" applyFill="1" applyBorder="1" applyAlignment="1">
      <alignment horizontal="center" vertical="center"/>
    </xf>
    <xf numFmtId="0" fontId="145" fillId="43" borderId="3" xfId="0" applyFont="1" applyFill="1" applyBorder="1" applyAlignment="1">
      <alignment horizontal="center" vertical="center"/>
    </xf>
    <xf numFmtId="0" fontId="145" fillId="14" borderId="3" xfId="0" applyFont="1" applyFill="1" applyBorder="1" applyAlignment="1">
      <alignment horizontal="center" vertical="center"/>
    </xf>
    <xf numFmtId="0" fontId="68" fillId="11" borderId="0" xfId="0" applyFont="1" applyFill="1" applyAlignment="1">
      <alignment horizontal="center" vertical="center"/>
    </xf>
    <xf numFmtId="0" fontId="68" fillId="14" borderId="0" xfId="0" applyFont="1" applyFill="1" applyAlignment="1">
      <alignment horizontal="center" vertical="center"/>
    </xf>
    <xf numFmtId="169" fontId="68" fillId="0" borderId="92" xfId="32" applyFont="1" applyBorder="1" applyAlignment="1">
      <alignment horizontal="center" vertical="center" wrapText="1"/>
    </xf>
    <xf numFmtId="174" fontId="68" fillId="0" borderId="92" xfId="32" applyNumberFormat="1" applyFont="1" applyBorder="1" applyAlignment="1">
      <alignment horizontal="center" vertical="center" wrapText="1"/>
    </xf>
    <xf numFmtId="186" fontId="68" fillId="0" borderId="92" xfId="32" applyNumberFormat="1" applyFont="1" applyBorder="1" applyAlignment="1">
      <alignment horizontal="center" vertical="center" wrapText="1"/>
    </xf>
    <xf numFmtId="174" fontId="68" fillId="11" borderId="92" xfId="32" applyNumberFormat="1" applyFont="1" applyFill="1" applyBorder="1" applyAlignment="1">
      <alignment horizontal="center" vertical="center" wrapText="1"/>
    </xf>
    <xf numFmtId="174" fontId="67" fillId="47" borderId="92" xfId="32" applyNumberFormat="1" applyFont="1" applyFill="1" applyBorder="1" applyAlignment="1">
      <alignment horizontal="center" vertical="center" wrapText="1"/>
    </xf>
    <xf numFmtId="186" fontId="68" fillId="12" borderId="92" xfId="32" applyNumberFormat="1" applyFont="1" applyFill="1" applyBorder="1" applyAlignment="1">
      <alignment horizontal="center" vertical="center" wrapText="1"/>
    </xf>
    <xf numFmtId="174" fontId="67" fillId="49" borderId="92" xfId="32" applyNumberFormat="1" applyFont="1" applyFill="1" applyBorder="1" applyAlignment="1">
      <alignment horizontal="center" vertical="center" wrapText="1"/>
    </xf>
    <xf numFmtId="3" fontId="68" fillId="0" borderId="0" xfId="0" applyNumberFormat="1" applyFont="1" applyAlignment="1">
      <alignment vertical="center"/>
    </xf>
    <xf numFmtId="0" fontId="68" fillId="28" borderId="0" xfId="0" applyFont="1" applyFill="1" applyAlignment="1">
      <alignment vertical="center"/>
    </xf>
    <xf numFmtId="3" fontId="68" fillId="2" borderId="0" xfId="0" applyNumberFormat="1" applyFont="1" applyFill="1" applyAlignment="1">
      <alignment vertical="center"/>
    </xf>
    <xf numFmtId="0" fontId="68" fillId="14" borderId="0" xfId="0" applyFont="1" applyFill="1" applyAlignment="1">
      <alignment vertical="center"/>
    </xf>
    <xf numFmtId="0" fontId="68" fillId="11" borderId="0" xfId="0" applyFont="1" applyFill="1" applyAlignment="1">
      <alignment vertical="center"/>
    </xf>
    <xf numFmtId="0" fontId="68" fillId="12" borderId="92" xfId="0" applyFont="1" applyFill="1" applyBorder="1" applyAlignment="1">
      <alignment vertical="center"/>
    </xf>
    <xf numFmtId="0" fontId="68" fillId="12" borderId="92" xfId="0" applyFont="1" applyFill="1" applyBorder="1" applyAlignment="1">
      <alignment horizontal="center" vertical="center"/>
    </xf>
    <xf numFmtId="0" fontId="68" fillId="11" borderId="92" xfId="0" applyFont="1" applyFill="1" applyBorder="1" applyAlignment="1">
      <alignment horizontal="center" vertical="center" wrapText="1"/>
    </xf>
    <xf numFmtId="0" fontId="68" fillId="12" borderId="92" xfId="0" applyFont="1" applyFill="1" applyBorder="1" applyAlignment="1">
      <alignment horizontal="center" vertical="center" wrapText="1"/>
    </xf>
    <xf numFmtId="0" fontId="68" fillId="14" borderId="92" xfId="0" applyFont="1" applyFill="1" applyBorder="1" applyAlignment="1">
      <alignment horizontal="center" vertical="center" wrapText="1"/>
    </xf>
    <xf numFmtId="0" fontId="199" fillId="0" borderId="0" xfId="0" applyFont="1" applyAlignment="1">
      <alignment vertical="center"/>
    </xf>
    <xf numFmtId="0" fontId="199" fillId="11" borderId="0" xfId="0" applyFont="1" applyFill="1" applyAlignment="1">
      <alignment vertical="center"/>
    </xf>
    <xf numFmtId="0" fontId="199" fillId="14" borderId="0" xfId="0" applyFont="1" applyFill="1" applyAlignment="1">
      <alignment vertical="center"/>
    </xf>
    <xf numFmtId="0" fontId="145" fillId="43" borderId="5" xfId="0" applyFont="1" applyFill="1" applyBorder="1" applyAlignment="1">
      <alignment vertical="center"/>
    </xf>
    <xf numFmtId="0" fontId="145" fillId="11" borderId="5" xfId="0" applyFont="1" applyFill="1" applyBorder="1" applyAlignment="1">
      <alignment vertical="center"/>
    </xf>
    <xf numFmtId="0" fontId="68" fillId="45" borderId="80" xfId="0" applyFont="1" applyFill="1" applyBorder="1" applyAlignment="1">
      <alignment vertical="center"/>
    </xf>
    <xf numFmtId="0" fontId="68" fillId="45" borderId="80" xfId="0" applyFont="1" applyFill="1" applyBorder="1" applyAlignment="1">
      <alignment horizontal="center" vertical="center"/>
    </xf>
    <xf numFmtId="0" fontId="68" fillId="11" borderId="80" xfId="0" applyFont="1" applyFill="1" applyBorder="1" applyAlignment="1">
      <alignment horizontal="center" vertical="center"/>
    </xf>
    <xf numFmtId="0" fontId="68" fillId="45" borderId="80" xfId="0" applyFont="1" applyFill="1" applyBorder="1" applyAlignment="1">
      <alignment horizontal="center" vertical="center" wrapText="1"/>
    </xf>
    <xf numFmtId="0" fontId="145" fillId="43" borderId="5" xfId="0" applyFont="1" applyFill="1" applyBorder="1" applyAlignment="1">
      <alignment horizontal="center" vertical="center"/>
    </xf>
    <xf numFmtId="0" fontId="145" fillId="11" borderId="5" xfId="0" applyFont="1" applyFill="1" applyBorder="1" applyAlignment="1">
      <alignment horizontal="center" vertical="center"/>
    </xf>
    <xf numFmtId="0" fontId="68" fillId="45" borderId="92" xfId="0" applyFont="1" applyFill="1" applyBorder="1" applyAlignment="1">
      <alignment vertical="center"/>
    </xf>
    <xf numFmtId="0" fontId="68" fillId="45" borderId="92" xfId="0" applyFont="1" applyFill="1" applyBorder="1" applyAlignment="1">
      <alignment horizontal="center" vertical="center"/>
    </xf>
    <xf numFmtId="0" fontId="68" fillId="45" borderId="92" xfId="0" applyFont="1" applyFill="1" applyBorder="1" applyAlignment="1">
      <alignment horizontal="center" vertical="center" wrapText="1"/>
    </xf>
    <xf numFmtId="0" fontId="98" fillId="0" borderId="0" xfId="0" applyFont="1" applyAlignment="1">
      <alignment horizontal="left" vertical="center"/>
    </xf>
    <xf numFmtId="2" fontId="68" fillId="0" borderId="92" xfId="0" applyNumberFormat="1" applyFont="1" applyBorder="1" applyAlignment="1">
      <alignment horizontal="center" vertical="center"/>
    </xf>
    <xf numFmtId="2" fontId="68" fillId="11" borderId="92" xfId="0" applyNumberFormat="1" applyFont="1" applyFill="1" applyBorder="1" applyAlignment="1">
      <alignment horizontal="center" vertical="center"/>
    </xf>
    <xf numFmtId="0" fontId="68" fillId="14" borderId="0" xfId="0" applyFont="1" applyFill="1" applyAlignment="1">
      <alignment horizontal="center" vertical="center" wrapText="1"/>
    </xf>
    <xf numFmtId="0" fontId="68" fillId="11" borderId="0" xfId="0" applyFont="1" applyFill="1" applyAlignment="1">
      <alignment horizontal="center" vertical="center" wrapText="1"/>
    </xf>
    <xf numFmtId="0" fontId="67" fillId="46" borderId="0" xfId="0" applyFont="1" applyFill="1" applyAlignment="1">
      <alignment vertical="center"/>
    </xf>
    <xf numFmtId="0" fontId="68" fillId="46" borderId="0" xfId="0" applyFont="1" applyFill="1" applyAlignment="1">
      <alignment vertical="center"/>
    </xf>
    <xf numFmtId="2" fontId="68" fillId="14" borderId="0" xfId="0" applyNumberFormat="1" applyFont="1" applyFill="1" applyAlignment="1">
      <alignment vertical="center"/>
    </xf>
    <xf numFmtId="169" fontId="68" fillId="12" borderId="92" xfId="32" applyFont="1" applyFill="1" applyBorder="1" applyAlignment="1">
      <alignment vertical="center"/>
    </xf>
    <xf numFmtId="174" fontId="68" fillId="12" borderId="92" xfId="32" applyNumberFormat="1" applyFont="1" applyFill="1" applyBorder="1" applyAlignment="1">
      <alignment vertical="center"/>
    </xf>
    <xf numFmtId="174" fontId="68" fillId="0" borderId="92" xfId="32" applyNumberFormat="1" applyFont="1" applyBorder="1" applyAlignment="1">
      <alignment horizontal="center" vertical="center"/>
    </xf>
    <xf numFmtId="186" fontId="68" fillId="0" borderId="92" xfId="32" applyNumberFormat="1" applyFont="1" applyBorder="1" applyAlignment="1">
      <alignment horizontal="center" vertical="center"/>
    </xf>
    <xf numFmtId="186" fontId="68" fillId="0" borderId="92" xfId="32" applyNumberFormat="1" applyFont="1" applyBorder="1" applyAlignment="1">
      <alignment vertical="center"/>
    </xf>
    <xf numFmtId="174" fontId="68" fillId="11" borderId="92" xfId="32" applyNumberFormat="1" applyFont="1" applyFill="1" applyBorder="1" applyAlignment="1">
      <alignment horizontal="center" vertical="center"/>
    </xf>
    <xf numFmtId="0" fontId="67" fillId="48" borderId="0" xfId="0" applyFont="1" applyFill="1" applyAlignment="1">
      <alignment vertical="center"/>
    </xf>
    <xf numFmtId="0" fontId="104" fillId="7" borderId="5" xfId="0" applyFont="1" applyFill="1" applyBorder="1" applyAlignment="1">
      <alignment horizontal="center" vertical="center" wrapText="1"/>
    </xf>
    <xf numFmtId="0" fontId="68" fillId="0" borderId="234" xfId="0" applyFont="1" applyBorder="1" applyAlignment="1">
      <alignment vertical="center" wrapText="1"/>
    </xf>
    <xf numFmtId="0" fontId="68" fillId="0" borderId="236" xfId="0" applyFont="1" applyBorder="1" applyAlignment="1">
      <alignment vertical="center" wrapText="1"/>
    </xf>
    <xf numFmtId="0" fontId="68" fillId="0" borderId="237" xfId="0" applyFont="1" applyBorder="1" applyAlignment="1">
      <alignment vertical="center" wrapText="1"/>
    </xf>
    <xf numFmtId="0" fontId="68" fillId="0" borderId="239" xfId="0" applyFont="1" applyBorder="1" applyAlignment="1">
      <alignment vertical="center" wrapText="1"/>
    </xf>
    <xf numFmtId="3" fontId="68" fillId="0" borderId="239" xfId="0" applyNumberFormat="1" applyFont="1" applyBorder="1" applyAlignment="1">
      <alignment horizontal="center" vertical="center" wrapText="1"/>
    </xf>
    <xf numFmtId="4" fontId="68" fillId="11" borderId="239" xfId="0" applyNumberFormat="1" applyFont="1" applyFill="1" applyBorder="1" applyAlignment="1">
      <alignment horizontal="center" vertical="center" wrapText="1"/>
    </xf>
    <xf numFmtId="4" fontId="68" fillId="14" borderId="239" xfId="0" applyNumberFormat="1" applyFont="1" applyFill="1" applyBorder="1" applyAlignment="1">
      <alignment horizontal="center" vertical="center" wrapText="1"/>
    </xf>
    <xf numFmtId="0" fontId="68" fillId="13" borderId="239" xfId="0" applyFont="1" applyFill="1" applyBorder="1" applyAlignment="1">
      <alignment vertical="center"/>
    </xf>
    <xf numFmtId="0" fontId="68" fillId="0" borderId="20" xfId="0" applyFont="1" applyBorder="1" applyAlignment="1">
      <alignment vertical="center" wrapText="1"/>
    </xf>
    <xf numFmtId="3" fontId="68" fillId="0" borderId="20" xfId="0" applyNumberFormat="1" applyFont="1" applyBorder="1" applyAlignment="1">
      <alignment horizontal="center" vertical="center" wrapText="1"/>
    </xf>
    <xf numFmtId="4" fontId="68" fillId="11" borderId="20" xfId="0" applyNumberFormat="1" applyFont="1" applyFill="1" applyBorder="1" applyAlignment="1">
      <alignment horizontal="center" vertical="center" wrapText="1"/>
    </xf>
    <xf numFmtId="4" fontId="68" fillId="14" borderId="20" xfId="0" applyNumberFormat="1" applyFont="1" applyFill="1" applyBorder="1" applyAlignment="1">
      <alignment horizontal="center" vertical="center" wrapText="1"/>
    </xf>
    <xf numFmtId="0" fontId="68" fillId="13" borderId="20" xfId="0" applyFont="1" applyFill="1" applyBorder="1" applyAlignment="1">
      <alignment vertical="center"/>
    </xf>
    <xf numFmtId="0" fontId="68" fillId="14" borderId="20" xfId="0" applyFont="1" applyFill="1" applyBorder="1" applyAlignment="1">
      <alignment vertical="center"/>
    </xf>
    <xf numFmtId="0" fontId="68" fillId="0" borderId="20" xfId="0" applyFont="1" applyFill="1" applyBorder="1" applyAlignment="1">
      <alignment vertical="center" wrapText="1"/>
    </xf>
    <xf numFmtId="3" fontId="68" fillId="0" borderId="20" xfId="0" applyNumberFormat="1" applyFont="1" applyFill="1" applyBorder="1" applyAlignment="1">
      <alignment horizontal="center" vertical="center" wrapText="1"/>
    </xf>
    <xf numFmtId="4" fontId="68" fillId="0" borderId="20" xfId="0" applyNumberFormat="1" applyFont="1" applyFill="1" applyBorder="1" applyAlignment="1">
      <alignment horizontal="center" vertical="center" wrapText="1"/>
    </xf>
    <xf numFmtId="171" fontId="68" fillId="11" borderId="20" xfId="0" applyNumberFormat="1" applyFont="1" applyFill="1" applyBorder="1" applyAlignment="1">
      <alignment horizontal="center" vertical="center" wrapText="1"/>
    </xf>
    <xf numFmtId="0" fontId="68" fillId="2" borderId="20" xfId="0" applyFont="1" applyFill="1" applyBorder="1" applyAlignment="1">
      <alignment horizontal="left" vertical="center" wrapText="1"/>
    </xf>
    <xf numFmtId="3" fontId="68" fillId="13" borderId="20" xfId="0" applyNumberFormat="1" applyFont="1" applyFill="1" applyBorder="1" applyAlignment="1">
      <alignment horizontal="center" vertical="center" wrapText="1"/>
    </xf>
    <xf numFmtId="0" fontId="68" fillId="0" borderId="20" xfId="0" applyFont="1" applyBorder="1" applyAlignment="1">
      <alignment horizontal="center" vertical="center"/>
    </xf>
    <xf numFmtId="0" fontId="68" fillId="14" borderId="20" xfId="0" applyFont="1" applyFill="1" applyBorder="1" applyAlignment="1">
      <alignment horizontal="center" vertical="center"/>
    </xf>
    <xf numFmtId="173" fontId="68" fillId="14" borderId="20" xfId="0" applyNumberFormat="1" applyFont="1" applyFill="1" applyBorder="1" applyAlignment="1">
      <alignment horizontal="center" vertical="center"/>
    </xf>
    <xf numFmtId="0" fontId="68" fillId="28" borderId="20" xfId="0" applyFont="1" applyFill="1" applyBorder="1" applyAlignment="1">
      <alignment vertical="center" wrapText="1"/>
    </xf>
    <xf numFmtId="0" fontId="68" fillId="28" borderId="20" xfId="0" applyFont="1" applyFill="1" applyBorder="1" applyAlignment="1">
      <alignment horizontal="left" vertical="center" wrapText="1"/>
    </xf>
    <xf numFmtId="3" fontId="68" fillId="28" borderId="20" xfId="0" applyNumberFormat="1" applyFont="1" applyFill="1" applyBorder="1" applyAlignment="1">
      <alignment horizontal="center" vertical="center" wrapText="1"/>
    </xf>
    <xf numFmtId="4" fontId="68" fillId="28" borderId="20" xfId="0" applyNumberFormat="1" applyFont="1" applyFill="1" applyBorder="1" applyAlignment="1">
      <alignment horizontal="center" vertical="center" wrapText="1"/>
    </xf>
    <xf numFmtId="173" fontId="68" fillId="28" borderId="20" xfId="0" applyNumberFormat="1" applyFont="1" applyFill="1" applyBorder="1" applyAlignment="1">
      <alignment horizontal="center" vertical="center"/>
    </xf>
    <xf numFmtId="0" fontId="68" fillId="0" borderId="20" xfId="0" applyFont="1" applyBorder="1" applyAlignment="1">
      <alignment horizontal="left" vertical="center" wrapText="1"/>
    </xf>
    <xf numFmtId="3" fontId="68" fillId="6" borderId="20" xfId="0" applyNumberFormat="1" applyFont="1" applyFill="1" applyBorder="1" applyAlignment="1">
      <alignment horizontal="center" vertical="center" wrapText="1"/>
    </xf>
    <xf numFmtId="0" fontId="68" fillId="6" borderId="20" xfId="0" applyFont="1" applyFill="1" applyBorder="1" applyAlignment="1">
      <alignment vertical="center" wrapText="1"/>
    </xf>
    <xf numFmtId="0" fontId="68" fillId="6" borderId="20" xfId="0" applyFont="1" applyFill="1" applyBorder="1" applyAlignment="1">
      <alignment vertical="center"/>
    </xf>
    <xf numFmtId="0" fontId="68" fillId="0" borderId="20" xfId="0" applyFont="1" applyFill="1" applyBorder="1" applyAlignment="1">
      <alignment horizontal="left" vertical="center" wrapText="1"/>
    </xf>
    <xf numFmtId="171" fontId="68" fillId="0" borderId="20" xfId="0" applyNumberFormat="1" applyFont="1" applyFill="1" applyBorder="1" applyAlignment="1">
      <alignment horizontal="center" vertical="center" wrapText="1"/>
    </xf>
    <xf numFmtId="0" fontId="68" fillId="0" borderId="20" xfId="0" applyFont="1" applyFill="1" applyBorder="1" applyAlignment="1">
      <alignment horizontal="center" vertical="center"/>
    </xf>
    <xf numFmtId="173" fontId="68" fillId="0" borderId="20" xfId="0" applyNumberFormat="1" applyFont="1" applyFill="1" applyBorder="1" applyAlignment="1">
      <alignment horizontal="center" vertical="center"/>
    </xf>
    <xf numFmtId="173" fontId="68" fillId="0" borderId="20" xfId="0" applyNumberFormat="1" applyFont="1" applyBorder="1" applyAlignment="1">
      <alignment horizontal="center" vertical="center"/>
    </xf>
    <xf numFmtId="171" fontId="68" fillId="14" borderId="20" xfId="0" applyNumberFormat="1" applyFont="1" applyFill="1" applyBorder="1" applyAlignment="1">
      <alignment horizontal="center" vertical="center" wrapText="1"/>
    </xf>
    <xf numFmtId="171" fontId="68" fillId="28" borderId="20" xfId="0" applyNumberFormat="1" applyFont="1" applyFill="1" applyBorder="1" applyAlignment="1">
      <alignment horizontal="center" vertical="center" wrapText="1"/>
    </xf>
    <xf numFmtId="0" fontId="68" fillId="28" borderId="20" xfId="0" applyFont="1" applyFill="1" applyBorder="1" applyAlignment="1">
      <alignment vertical="center"/>
    </xf>
    <xf numFmtId="0" fontId="68" fillId="13" borderId="20" xfId="0" applyFont="1" applyFill="1" applyBorder="1" applyAlignment="1">
      <alignment vertical="center" wrapText="1"/>
    </xf>
    <xf numFmtId="0" fontId="68" fillId="28" borderId="20" xfId="0" applyFont="1" applyFill="1" applyBorder="1" applyAlignment="1">
      <alignment horizontal="center" vertical="center"/>
    </xf>
    <xf numFmtId="3" fontId="68" fillId="2" borderId="20" xfId="0" applyNumberFormat="1" applyFont="1" applyFill="1" applyBorder="1" applyAlignment="1">
      <alignment horizontal="center" vertical="center" wrapText="1"/>
    </xf>
    <xf numFmtId="3" fontId="68" fillId="0" borderId="20" xfId="0" applyNumberFormat="1" applyFont="1" applyBorder="1" applyAlignment="1">
      <alignment horizontal="left" vertical="center" wrapText="1"/>
    </xf>
    <xf numFmtId="0" fontId="68" fillId="0" borderId="20" xfId="0" applyFont="1" applyBorder="1" applyAlignment="1">
      <alignment horizontal="center" vertical="center" wrapText="1"/>
    </xf>
    <xf numFmtId="2" fontId="68" fillId="11" borderId="20" xfId="0" applyNumberFormat="1" applyFont="1" applyFill="1" applyBorder="1" applyAlignment="1">
      <alignment horizontal="center" vertical="center" wrapText="1"/>
    </xf>
    <xf numFmtId="2" fontId="68" fillId="0" borderId="20" xfId="0" applyNumberFormat="1" applyFont="1" applyBorder="1" applyAlignment="1">
      <alignment horizontal="center" vertical="center" wrapText="1"/>
    </xf>
    <xf numFmtId="1" fontId="68" fillId="0" borderId="20" xfId="0" applyNumberFormat="1" applyFont="1" applyBorder="1" applyAlignment="1">
      <alignment horizontal="center" vertical="center" wrapText="1"/>
    </xf>
    <xf numFmtId="2" fontId="68" fillId="14" borderId="20" xfId="0" applyNumberFormat="1" applyFont="1" applyFill="1" applyBorder="1" applyAlignment="1">
      <alignment horizontal="center" vertical="center" wrapText="1"/>
    </xf>
    <xf numFmtId="0" fontId="68" fillId="11" borderId="20" xfId="0" applyFont="1" applyFill="1" applyBorder="1" applyAlignment="1">
      <alignment vertical="center" wrapText="1"/>
    </xf>
    <xf numFmtId="0" fontId="104" fillId="7" borderId="231" xfId="0" applyFont="1" applyFill="1" applyBorder="1" applyAlignment="1">
      <alignment horizontal="center" vertical="center" wrapText="1"/>
    </xf>
    <xf numFmtId="0" fontId="67" fillId="12" borderId="234" xfId="0" applyFont="1" applyFill="1" applyBorder="1" applyAlignment="1">
      <alignment vertical="center"/>
    </xf>
    <xf numFmtId="0" fontId="68" fillId="12" borderId="235" xfId="0" applyFont="1" applyFill="1" applyBorder="1" applyAlignment="1">
      <alignment horizontal="center" vertical="center" wrapText="1"/>
    </xf>
    <xf numFmtId="0" fontId="68" fillId="12" borderId="234" xfId="0" applyFont="1" applyFill="1" applyBorder="1" applyAlignment="1">
      <alignment horizontal="left" vertical="center"/>
    </xf>
    <xf numFmtId="0" fontId="68" fillId="12" borderId="236" xfId="0" applyFont="1" applyFill="1" applyBorder="1" applyAlignment="1">
      <alignment horizontal="left" vertical="center"/>
    </xf>
    <xf numFmtId="0" fontId="68" fillId="12" borderId="237" xfId="0" applyFont="1" applyFill="1" applyBorder="1" applyAlignment="1">
      <alignment horizontal="center" vertical="center"/>
    </xf>
    <xf numFmtId="0" fontId="68" fillId="11" borderId="237" xfId="0" applyFont="1" applyFill="1" applyBorder="1" applyAlignment="1">
      <alignment horizontal="center" vertical="center" wrapText="1"/>
    </xf>
    <xf numFmtId="0" fontId="68" fillId="14" borderId="237" xfId="0" applyFont="1" applyFill="1" applyBorder="1" applyAlignment="1">
      <alignment horizontal="center" vertical="center"/>
    </xf>
    <xf numFmtId="0" fontId="68" fillId="12" borderId="237" xfId="0" applyFont="1" applyFill="1" applyBorder="1" applyAlignment="1">
      <alignment horizontal="center" vertical="center" wrapText="1"/>
    </xf>
    <xf numFmtId="0" fontId="68" fillId="12" borderId="238" xfId="0" applyFont="1" applyFill="1" applyBorder="1" applyAlignment="1">
      <alignment horizontal="center" vertical="center" wrapText="1"/>
    </xf>
    <xf numFmtId="3" fontId="68" fillId="11" borderId="235" xfId="0" applyNumberFormat="1" applyFont="1" applyFill="1" applyBorder="1" applyAlignment="1">
      <alignment horizontal="center" vertical="center" wrapText="1"/>
    </xf>
    <xf numFmtId="3" fontId="68" fillId="0" borderId="237" xfId="0" applyNumberFormat="1" applyFont="1" applyBorder="1" applyAlignment="1">
      <alignment horizontal="center" vertical="center" wrapText="1"/>
    </xf>
    <xf numFmtId="3" fontId="68" fillId="11" borderId="238" xfId="0" applyNumberFormat="1" applyFont="1" applyFill="1" applyBorder="1" applyAlignment="1">
      <alignment horizontal="center" vertical="center" wrapText="1"/>
    </xf>
    <xf numFmtId="0" fontId="104" fillId="11" borderId="203" xfId="0" applyFont="1" applyFill="1" applyBorder="1" applyAlignment="1">
      <alignment horizontal="center" vertical="center" wrapText="1"/>
    </xf>
    <xf numFmtId="4" fontId="68" fillId="11" borderId="237" xfId="0" applyNumberFormat="1" applyFont="1" applyFill="1" applyBorder="1" applyAlignment="1">
      <alignment horizontal="center" vertical="center" wrapText="1"/>
    </xf>
    <xf numFmtId="0" fontId="68" fillId="0" borderId="238" xfId="0" applyFont="1" applyBorder="1" applyAlignment="1">
      <alignment horizontal="center" vertical="center"/>
    </xf>
    <xf numFmtId="0" fontId="101" fillId="2" borderId="0" xfId="0" applyFont="1" applyFill="1" applyAlignment="1">
      <alignment horizontal="left" vertical="center"/>
    </xf>
    <xf numFmtId="0" fontId="104" fillId="2" borderId="0" xfId="0" applyFont="1" applyFill="1" applyAlignment="1">
      <alignment horizontal="center" vertical="center"/>
    </xf>
    <xf numFmtId="0" fontId="144" fillId="2" borderId="0" xfId="0" applyFont="1" applyFill="1" applyAlignment="1">
      <alignment vertical="center"/>
    </xf>
    <xf numFmtId="3" fontId="155" fillId="2" borderId="92" xfId="0" applyNumberFormat="1" applyFont="1" applyFill="1" applyBorder="1" applyAlignment="1">
      <alignment horizontal="center" vertical="center"/>
    </xf>
    <xf numFmtId="3" fontId="99" fillId="2" borderId="92" xfId="0" applyNumberFormat="1" applyFont="1" applyFill="1" applyBorder="1" applyAlignment="1">
      <alignment horizontal="left" vertical="center" wrapText="1"/>
    </xf>
    <xf numFmtId="3" fontId="99" fillId="2" borderId="92" xfId="0" applyNumberFormat="1" applyFont="1" applyFill="1" applyBorder="1" applyAlignment="1">
      <alignment vertical="center" wrapText="1"/>
    </xf>
    <xf numFmtId="0" fontId="68" fillId="2" borderId="92" xfId="0" applyFont="1" applyFill="1" applyBorder="1" applyAlignment="1">
      <alignment horizontal="center" vertical="center" wrapText="1"/>
    </xf>
    <xf numFmtId="1" fontId="68" fillId="2" borderId="92" xfId="0" applyNumberFormat="1" applyFont="1" applyFill="1" applyBorder="1" applyAlignment="1">
      <alignment horizontal="center" vertical="center"/>
    </xf>
    <xf numFmtId="0" fontId="68" fillId="2" borderId="92" xfId="0" applyFont="1" applyFill="1" applyBorder="1" applyAlignment="1">
      <alignment horizontal="center" vertical="center"/>
    </xf>
    <xf numFmtId="3" fontId="101" fillId="2" borderId="92" xfId="0" applyNumberFormat="1" applyFont="1" applyFill="1" applyBorder="1" applyAlignment="1">
      <alignment horizontal="right" vertical="center" wrapText="1"/>
    </xf>
    <xf numFmtId="3" fontId="67" fillId="2" borderId="92" xfId="0" applyNumberFormat="1" applyFont="1" applyFill="1" applyBorder="1" applyAlignment="1">
      <alignment horizontal="center" vertical="center" wrapText="1"/>
    </xf>
    <xf numFmtId="0" fontId="101" fillId="2" borderId="92" xfId="0" applyFont="1" applyFill="1" applyBorder="1" applyAlignment="1">
      <alignment horizontal="right" vertical="center" wrapText="1"/>
    </xf>
    <xf numFmtId="0" fontId="67" fillId="2" borderId="92" xfId="0" applyFont="1" applyFill="1" applyBorder="1" applyAlignment="1">
      <alignment horizontal="center" vertical="center" wrapText="1"/>
    </xf>
    <xf numFmtId="0" fontId="104" fillId="7" borderId="16" xfId="0" applyFont="1" applyFill="1" applyBorder="1" applyAlignment="1">
      <alignment horizontal="center" vertical="center" wrapText="1"/>
    </xf>
    <xf numFmtId="0" fontId="104" fillId="105" borderId="16" xfId="0" applyFont="1" applyFill="1" applyBorder="1" applyAlignment="1">
      <alignment horizontal="center" vertical="center" wrapText="1"/>
    </xf>
    <xf numFmtId="0" fontId="104" fillId="7" borderId="240" xfId="0" applyFont="1" applyFill="1" applyBorder="1" applyAlignment="1">
      <alignment horizontal="center" vertical="center"/>
    </xf>
    <xf numFmtId="0" fontId="145" fillId="7" borderId="240" xfId="0" applyFont="1" applyFill="1" applyBorder="1" applyAlignment="1">
      <alignment vertical="center"/>
    </xf>
    <xf numFmtId="0" fontId="145" fillId="7" borderId="241" xfId="0" applyFont="1" applyFill="1" applyBorder="1" applyAlignment="1">
      <alignment vertical="center"/>
    </xf>
    <xf numFmtId="0" fontId="104" fillId="105" borderId="243" xfId="0" applyFont="1" applyFill="1" applyBorder="1" applyAlignment="1">
      <alignment horizontal="center" vertical="center" wrapText="1"/>
    </xf>
    <xf numFmtId="3" fontId="104" fillId="7" borderId="243" xfId="0" applyNumberFormat="1" applyFont="1" applyFill="1" applyBorder="1" applyAlignment="1">
      <alignment horizontal="center" vertical="center"/>
    </xf>
    <xf numFmtId="3" fontId="104" fillId="7" borderId="244" xfId="0" applyNumberFormat="1" applyFont="1" applyFill="1" applyBorder="1" applyAlignment="1">
      <alignment horizontal="center" vertical="center"/>
    </xf>
    <xf numFmtId="0" fontId="68" fillId="107" borderId="0" xfId="0" applyFont="1" applyFill="1" applyAlignment="1">
      <alignment vertical="center"/>
    </xf>
    <xf numFmtId="0" fontId="68" fillId="107" borderId="92" xfId="0" applyFont="1" applyFill="1" applyBorder="1" applyAlignment="1">
      <alignment horizontal="left" vertical="center" wrapText="1"/>
    </xf>
    <xf numFmtId="0" fontId="68" fillId="107" borderId="92" xfId="0" applyFont="1" applyFill="1" applyBorder="1" applyAlignment="1">
      <alignment vertical="center" wrapText="1"/>
    </xf>
    <xf numFmtId="0" fontId="144" fillId="107" borderId="0" xfId="0" applyFont="1" applyFill="1" applyAlignment="1">
      <alignment vertical="center"/>
    </xf>
    <xf numFmtId="3" fontId="155" fillId="107" borderId="94" xfId="0" applyNumberFormat="1" applyFont="1" applyFill="1" applyBorder="1" applyAlignment="1">
      <alignment horizontal="left" vertical="center"/>
    </xf>
    <xf numFmtId="3" fontId="155" fillId="107" borderId="94" xfId="0" applyNumberFormat="1" applyFont="1" applyFill="1" applyBorder="1" applyAlignment="1">
      <alignment horizontal="center" vertical="center"/>
    </xf>
    <xf numFmtId="0" fontId="155" fillId="107" borderId="92" xfId="0" applyFont="1" applyFill="1" applyBorder="1" applyAlignment="1">
      <alignment horizontal="center" vertical="center" wrapText="1"/>
    </xf>
    <xf numFmtId="3" fontId="155" fillId="107" borderId="92" xfId="0" applyNumberFormat="1" applyFont="1" applyFill="1" applyBorder="1" applyAlignment="1">
      <alignment horizontal="center" vertical="center" wrapText="1"/>
    </xf>
    <xf numFmtId="3" fontId="104" fillId="7" borderId="246" xfId="30" applyNumberFormat="1" applyFont="1" applyFill="1" applyBorder="1" applyAlignment="1">
      <alignment horizontal="left" vertical="center"/>
    </xf>
    <xf numFmtId="3" fontId="104" fillId="7" borderId="247" xfId="30" applyNumberFormat="1" applyFont="1" applyFill="1" applyBorder="1" applyAlignment="1">
      <alignment horizontal="right" vertical="center"/>
    </xf>
    <xf numFmtId="3" fontId="104" fillId="7" borderId="247" xfId="30" applyNumberFormat="1" applyFont="1" applyFill="1" applyBorder="1" applyAlignment="1">
      <alignment horizontal="center" vertical="center"/>
    </xf>
    <xf numFmtId="3" fontId="104" fillId="7" borderId="248" xfId="30" applyNumberFormat="1" applyFont="1" applyFill="1" applyBorder="1" applyAlignment="1">
      <alignment horizontal="center" vertical="center"/>
    </xf>
    <xf numFmtId="3" fontId="104" fillId="7" borderId="249" xfId="30" applyNumberFormat="1" applyFont="1" applyFill="1" applyBorder="1" applyAlignment="1">
      <alignment horizontal="left" vertical="center"/>
    </xf>
    <xf numFmtId="3" fontId="104" fillId="7" borderId="243" xfId="30" applyNumberFormat="1" applyFont="1" applyFill="1" applyBorder="1" applyAlignment="1">
      <alignment horizontal="right" vertical="center"/>
    </xf>
    <xf numFmtId="3" fontId="104" fillId="7" borderId="243" xfId="30" applyNumberFormat="1" applyFont="1" applyFill="1" applyBorder="1" applyAlignment="1">
      <alignment horizontal="center" vertical="center"/>
    </xf>
    <xf numFmtId="3" fontId="104" fillId="7" borderId="244" xfId="30" applyNumberFormat="1" applyFont="1" applyFill="1" applyBorder="1" applyAlignment="1">
      <alignment horizontal="center" vertical="center"/>
    </xf>
    <xf numFmtId="0" fontId="200" fillId="2" borderId="0" xfId="0" applyFont="1" applyFill="1" applyAlignment="1">
      <alignment vertical="center"/>
    </xf>
    <xf numFmtId="176" fontId="200" fillId="2" borderId="0" xfId="0" applyNumberFormat="1" applyFont="1" applyFill="1" applyAlignment="1">
      <alignment vertical="center"/>
    </xf>
    <xf numFmtId="9" fontId="200" fillId="2" borderId="0" xfId="0" applyNumberFormat="1" applyFont="1" applyFill="1" applyAlignment="1">
      <alignment vertical="center"/>
    </xf>
    <xf numFmtId="0" fontId="104" fillId="105" borderId="203" xfId="0" applyFont="1" applyFill="1" applyBorder="1" applyAlignment="1">
      <alignment horizontal="center" vertical="center" wrapText="1"/>
    </xf>
    <xf numFmtId="0" fontId="104" fillId="105" borderId="200" xfId="0" applyFont="1" applyFill="1" applyBorder="1" applyAlignment="1">
      <alignment horizontal="center" vertical="center" wrapText="1"/>
    </xf>
    <xf numFmtId="0" fontId="104" fillId="105" borderId="204" xfId="0" applyFont="1" applyFill="1" applyBorder="1" applyAlignment="1">
      <alignment horizontal="center" vertical="center" wrapText="1"/>
    </xf>
    <xf numFmtId="0" fontId="104" fillId="105" borderId="202" xfId="0" applyFont="1" applyFill="1" applyBorder="1" applyAlignment="1">
      <alignment horizontal="center" vertical="center" wrapText="1"/>
    </xf>
    <xf numFmtId="0" fontId="74" fillId="2" borderId="0" xfId="0" applyFont="1" applyFill="1" applyBorder="1" applyAlignment="1">
      <alignment vertical="center" readingOrder="1"/>
    </xf>
    <xf numFmtId="0" fontId="40" fillId="2" borderId="0" xfId="0" applyFont="1" applyFill="1" applyBorder="1"/>
    <xf numFmtId="0" fontId="73" fillId="2" borderId="0" xfId="0" applyFont="1" applyFill="1" applyBorder="1"/>
    <xf numFmtId="0" fontId="56" fillId="2" borderId="0" xfId="0" applyFont="1" applyFill="1" applyBorder="1"/>
    <xf numFmtId="0" fontId="55" fillId="2" borderId="133" xfId="0" applyFont="1" applyFill="1" applyBorder="1" applyAlignment="1">
      <alignment horizontal="left" vertical="center" wrapText="1" indent="1" readingOrder="1"/>
    </xf>
    <xf numFmtId="0" fontId="55" fillId="2" borderId="133" xfId="0" applyFont="1" applyFill="1" applyBorder="1" applyAlignment="1">
      <alignment horizontal="center" vertical="center" wrapText="1" readingOrder="1"/>
    </xf>
    <xf numFmtId="3" fontId="55" fillId="2" borderId="133" xfId="0" applyNumberFormat="1" applyFont="1" applyFill="1" applyBorder="1" applyAlignment="1">
      <alignment horizontal="center" vertical="center" wrapText="1" readingOrder="1"/>
    </xf>
    <xf numFmtId="3" fontId="55" fillId="2" borderId="133" xfId="0" applyNumberFormat="1" applyFont="1" applyFill="1" applyBorder="1" applyAlignment="1">
      <alignment horizontal="center" vertical="center"/>
    </xf>
    <xf numFmtId="171" fontId="55" fillId="2" borderId="133" xfId="0" applyNumberFormat="1" applyFont="1" applyFill="1" applyBorder="1" applyAlignment="1">
      <alignment horizontal="center" vertical="center" wrapText="1" readingOrder="1"/>
    </xf>
    <xf numFmtId="0" fontId="57" fillId="105" borderId="157" xfId="0" applyFont="1" applyFill="1" applyBorder="1" applyAlignment="1">
      <alignment horizontal="center" vertical="center" wrapText="1"/>
    </xf>
    <xf numFmtId="0" fontId="57" fillId="105" borderId="124" xfId="0" applyFont="1" applyFill="1" applyBorder="1" applyAlignment="1">
      <alignment horizontal="center" vertical="center" wrapText="1"/>
    </xf>
    <xf numFmtId="0" fontId="57" fillId="105" borderId="130" xfId="0" applyFont="1" applyFill="1" applyBorder="1" applyAlignment="1">
      <alignment horizontal="center" vertical="center" wrapText="1"/>
    </xf>
    <xf numFmtId="0" fontId="57" fillId="105" borderId="130" xfId="0" applyFont="1" applyFill="1" applyBorder="1" applyAlignment="1">
      <alignment vertical="center" wrapText="1"/>
    </xf>
    <xf numFmtId="0" fontId="57" fillId="105" borderId="131" xfId="0" applyFont="1" applyFill="1" applyBorder="1" applyAlignment="1">
      <alignment vertical="center" wrapText="1"/>
    </xf>
    <xf numFmtId="0" fontId="57" fillId="105" borderId="126" xfId="0" applyFont="1" applyFill="1" applyBorder="1" applyAlignment="1">
      <alignment horizontal="center" vertical="center" wrapText="1"/>
    </xf>
    <xf numFmtId="0" fontId="57" fillId="105" borderId="127" xfId="0" applyFont="1" applyFill="1" applyBorder="1" applyAlignment="1">
      <alignment horizontal="center" vertical="center" wrapText="1"/>
    </xf>
    <xf numFmtId="0" fontId="57" fillId="105" borderId="131" xfId="0" applyFont="1" applyFill="1" applyBorder="1" applyAlignment="1">
      <alignment horizontal="center" vertical="center" wrapText="1"/>
    </xf>
    <xf numFmtId="0" fontId="55" fillId="44" borderId="133" xfId="0" applyFont="1" applyFill="1" applyBorder="1" applyAlignment="1">
      <alignment horizontal="left" vertical="center" wrapText="1" indent="1" readingOrder="1"/>
    </xf>
    <xf numFmtId="0" fontId="55" fillId="44" borderId="133" xfId="0" applyFont="1" applyFill="1" applyBorder="1" applyAlignment="1">
      <alignment horizontal="center" vertical="center" wrapText="1" readingOrder="1"/>
    </xf>
    <xf numFmtId="3" fontId="55" fillId="44" borderId="133" xfId="0" applyNumberFormat="1" applyFont="1" applyFill="1" applyBorder="1" applyAlignment="1">
      <alignment horizontal="center" vertical="center"/>
    </xf>
    <xf numFmtId="171" fontId="55" fillId="44" borderId="133" xfId="0" applyNumberFormat="1" applyFont="1" applyFill="1" applyBorder="1" applyAlignment="1">
      <alignment horizontal="center" vertical="center" wrapText="1" readingOrder="1"/>
    </xf>
    <xf numFmtId="0" fontId="54" fillId="2" borderId="0" xfId="0" applyFont="1" applyFill="1" applyBorder="1" applyAlignment="1">
      <alignment vertical="center" readingOrder="1"/>
    </xf>
    <xf numFmtId="0" fontId="201" fillId="2" borderId="0" xfId="0" applyFont="1" applyFill="1" applyAlignment="1">
      <alignment vertical="center" readingOrder="1"/>
    </xf>
    <xf numFmtId="173" fontId="99" fillId="2" borderId="0" xfId="0" applyNumberFormat="1" applyFont="1" applyFill="1" applyAlignment="1">
      <alignment vertical="center"/>
    </xf>
    <xf numFmtId="9" fontId="99" fillId="2" borderId="0" xfId="0" applyNumberFormat="1" applyFont="1" applyFill="1" applyAlignment="1">
      <alignment vertical="center"/>
    </xf>
    <xf numFmtId="0" fontId="99" fillId="2" borderId="92" xfId="0" applyFont="1" applyFill="1" applyBorder="1" applyAlignment="1">
      <alignment vertical="center"/>
    </xf>
    <xf numFmtId="0" fontId="68" fillId="2" borderId="20" xfId="0" applyFont="1" applyFill="1" applyBorder="1" applyAlignment="1">
      <alignment horizontal="left" vertical="center" wrapText="1" readingOrder="1"/>
    </xf>
    <xf numFmtId="0" fontId="99" fillId="44" borderId="20" xfId="0" applyFont="1" applyFill="1" applyBorder="1" applyAlignment="1">
      <alignment vertical="center"/>
    </xf>
    <xf numFmtId="0" fontId="99" fillId="11" borderId="20" xfId="0" applyFont="1" applyFill="1" applyBorder="1" applyAlignment="1">
      <alignment vertical="center"/>
    </xf>
    <xf numFmtId="0" fontId="104" fillId="105" borderId="178" xfId="0" applyFont="1" applyFill="1" applyBorder="1" applyAlignment="1">
      <alignment horizontal="left" vertical="center" wrapText="1"/>
    </xf>
    <xf numFmtId="3" fontId="104" fillId="110" borderId="179" xfId="0" applyNumberFormat="1" applyFont="1" applyFill="1" applyBorder="1" applyAlignment="1">
      <alignment horizontal="center" vertical="center"/>
    </xf>
    <xf numFmtId="3" fontId="104" fillId="110" borderId="180" xfId="0" applyNumberFormat="1" applyFont="1" applyFill="1" applyBorder="1" applyAlignment="1">
      <alignment horizontal="center" vertical="center"/>
    </xf>
    <xf numFmtId="0" fontId="104" fillId="7" borderId="199" xfId="0" applyFont="1" applyFill="1" applyBorder="1" applyAlignment="1">
      <alignment horizontal="center" vertical="center" wrapText="1" readingOrder="1"/>
    </xf>
    <xf numFmtId="173" fontId="104" fillId="7" borderId="203" xfId="0" applyNumberFormat="1" applyFont="1" applyFill="1" applyBorder="1" applyAlignment="1">
      <alignment horizontal="center" vertical="center" wrapText="1" readingOrder="1"/>
    </xf>
    <xf numFmtId="173" fontId="104" fillId="7" borderId="200" xfId="0" applyNumberFormat="1" applyFont="1" applyFill="1" applyBorder="1" applyAlignment="1">
      <alignment horizontal="center" vertical="center" wrapText="1" readingOrder="1"/>
    </xf>
    <xf numFmtId="0" fontId="104" fillId="105" borderId="178" xfId="0" applyFont="1" applyFill="1" applyBorder="1" applyAlignment="1">
      <alignment horizontal="center" vertical="center" wrapText="1"/>
    </xf>
    <xf numFmtId="0" fontId="67" fillId="2" borderId="0" xfId="0" applyFont="1" applyFill="1" applyAlignment="1">
      <alignment vertical="center" readingOrder="1"/>
    </xf>
    <xf numFmtId="0" fontId="68" fillId="107" borderId="20" xfId="0" applyFont="1" applyFill="1" applyBorder="1" applyAlignment="1">
      <alignment horizontal="left" vertical="center" wrapText="1" readingOrder="1"/>
    </xf>
    <xf numFmtId="171" fontId="68" fillId="2" borderId="20" xfId="0" applyNumberFormat="1" applyFont="1" applyFill="1" applyBorder="1" applyAlignment="1">
      <alignment horizontal="center" vertical="center" wrapText="1" readingOrder="1"/>
    </xf>
    <xf numFmtId="171" fontId="68" fillId="107" borderId="20" xfId="0" applyNumberFormat="1" applyFont="1" applyFill="1" applyBorder="1" applyAlignment="1">
      <alignment horizontal="center" vertical="center" wrapText="1" readingOrder="1"/>
    </xf>
    <xf numFmtId="0" fontId="202" fillId="7" borderId="199" xfId="0" applyFont="1" applyFill="1" applyBorder="1" applyAlignment="1">
      <alignment horizontal="center" vertical="center" wrapText="1" readingOrder="1"/>
    </xf>
    <xf numFmtId="0" fontId="104" fillId="50" borderId="3" xfId="0" applyFont="1" applyFill="1" applyBorder="1" applyAlignment="1">
      <alignment horizontal="center" vertical="center" wrapText="1"/>
    </xf>
    <xf numFmtId="0" fontId="104" fillId="50" borderId="5" xfId="0" applyFont="1" applyFill="1" applyBorder="1" applyAlignment="1">
      <alignment horizontal="center" vertical="center" wrapText="1"/>
    </xf>
    <xf numFmtId="0" fontId="101" fillId="11" borderId="20" xfId="0" applyFont="1" applyFill="1" applyBorder="1" applyAlignment="1">
      <alignment vertical="center"/>
    </xf>
    <xf numFmtId="0" fontId="104" fillId="2" borderId="0" xfId="0" applyFont="1" applyFill="1" applyAlignment="1">
      <alignment horizontal="center" vertical="center" wrapText="1"/>
    </xf>
    <xf numFmtId="0" fontId="67" fillId="2" borderId="20" xfId="0" applyFont="1" applyFill="1" applyBorder="1" applyAlignment="1">
      <alignment vertical="center" wrapText="1"/>
    </xf>
    <xf numFmtId="0" fontId="68" fillId="2" borderId="20" xfId="0" applyFont="1" applyFill="1" applyBorder="1" applyAlignment="1">
      <alignment horizontal="center" vertical="center" wrapText="1" readingOrder="1"/>
    </xf>
    <xf numFmtId="0" fontId="68" fillId="2" borderId="20" xfId="0" applyFont="1" applyFill="1" applyBorder="1" applyAlignment="1">
      <alignment vertical="center"/>
    </xf>
    <xf numFmtId="0" fontId="67" fillId="2" borderId="0" xfId="0" applyFont="1" applyFill="1" applyAlignment="1">
      <alignment horizontal="center" vertical="center"/>
    </xf>
    <xf numFmtId="0" fontId="67" fillId="2" borderId="20" xfId="0" applyFont="1" applyFill="1" applyBorder="1" applyAlignment="1">
      <alignment horizontal="left" vertical="center" wrapText="1"/>
    </xf>
    <xf numFmtId="0" fontId="67" fillId="2" borderId="20" xfId="0" applyFont="1" applyFill="1" applyBorder="1" applyAlignment="1">
      <alignment horizontal="center" vertical="center" wrapText="1"/>
    </xf>
    <xf numFmtId="3" fontId="104" fillId="105" borderId="179" xfId="0" applyNumberFormat="1" applyFont="1" applyFill="1" applyBorder="1" applyAlignment="1">
      <alignment horizontal="center" vertical="center" wrapText="1"/>
    </xf>
    <xf numFmtId="3" fontId="104" fillId="105" borderId="180" xfId="0" applyNumberFormat="1" applyFont="1" applyFill="1" applyBorder="1" applyAlignment="1">
      <alignment horizontal="center" vertical="center" wrapText="1"/>
    </xf>
    <xf numFmtId="0" fontId="104" fillId="105" borderId="179" xfId="0" applyFont="1" applyFill="1" applyBorder="1" applyAlignment="1">
      <alignment horizontal="center" vertical="center" wrapText="1"/>
    </xf>
    <xf numFmtId="0" fontId="104" fillId="105" borderId="180" xfId="0" applyFont="1" applyFill="1" applyBorder="1" applyAlignment="1">
      <alignment horizontal="center" vertical="center" wrapText="1"/>
    </xf>
    <xf numFmtId="0" fontId="67" fillId="5" borderId="20" xfId="0" applyFont="1" applyFill="1" applyBorder="1" applyAlignment="1">
      <alignment horizontal="center" vertical="center" wrapText="1"/>
    </xf>
    <xf numFmtId="0" fontId="67" fillId="27" borderId="20" xfId="0" applyFont="1" applyFill="1" applyBorder="1" applyAlignment="1">
      <alignment horizontal="center" vertical="center" wrapText="1"/>
    </xf>
    <xf numFmtId="9" fontId="68" fillId="2" borderId="20" xfId="0" applyNumberFormat="1" applyFont="1" applyFill="1" applyBorder="1" applyAlignment="1">
      <alignment horizontal="center" vertical="center"/>
    </xf>
    <xf numFmtId="9" fontId="101" fillId="2" borderId="20" xfId="0" applyNumberFormat="1" applyFont="1" applyFill="1" applyBorder="1" applyAlignment="1">
      <alignment horizontal="center" vertical="center"/>
    </xf>
    <xf numFmtId="172" fontId="101" fillId="2" borderId="20" xfId="0" applyNumberFormat="1" applyFont="1" applyFill="1" applyBorder="1" applyAlignment="1">
      <alignment horizontal="center" vertical="center"/>
    </xf>
    <xf numFmtId="9" fontId="101" fillId="2" borderId="20" xfId="1" applyFont="1" applyFill="1" applyBorder="1" applyAlignment="1">
      <alignment horizontal="center" vertical="center"/>
    </xf>
    <xf numFmtId="0" fontId="101" fillId="2" borderId="20" xfId="0" applyFont="1" applyFill="1" applyBorder="1" applyAlignment="1">
      <alignment horizontal="center" vertical="center"/>
    </xf>
    <xf numFmtId="0" fontId="67" fillId="5" borderId="20" xfId="0" applyFont="1" applyFill="1" applyBorder="1" applyAlignment="1">
      <alignment vertical="center" wrapText="1"/>
    </xf>
    <xf numFmtId="9" fontId="99" fillId="5" borderId="20" xfId="0" applyNumberFormat="1" applyFont="1" applyFill="1" applyBorder="1" applyAlignment="1">
      <alignment horizontal="center" vertical="center"/>
    </xf>
    <xf numFmtId="0" fontId="104" fillId="110" borderId="203" xfId="0" applyFont="1" applyFill="1" applyBorder="1" applyAlignment="1">
      <alignment horizontal="center" vertical="center"/>
    </xf>
    <xf numFmtId="0" fontId="104" fillId="110" borderId="200" xfId="0" applyFont="1" applyFill="1" applyBorder="1" applyAlignment="1">
      <alignment horizontal="center" vertical="center"/>
    </xf>
    <xf numFmtId="0" fontId="104" fillId="110" borderId="204" xfId="0" applyFont="1" applyFill="1" applyBorder="1" applyAlignment="1">
      <alignment horizontal="center" vertical="center"/>
    </xf>
    <xf numFmtId="0" fontId="104" fillId="110" borderId="202" xfId="0" applyFont="1" applyFill="1" applyBorder="1" applyAlignment="1">
      <alignment horizontal="center" vertical="center"/>
    </xf>
    <xf numFmtId="0" fontId="104" fillId="110" borderId="178" xfId="0" applyFont="1" applyFill="1" applyBorder="1" applyAlignment="1">
      <alignment horizontal="center" vertical="center" wrapText="1"/>
    </xf>
    <xf numFmtId="0" fontId="104" fillId="110" borderId="179" xfId="0" applyFont="1" applyFill="1" applyBorder="1" applyAlignment="1">
      <alignment horizontal="center" vertical="center"/>
    </xf>
    <xf numFmtId="0" fontId="104" fillId="110" borderId="180" xfId="0" applyFont="1" applyFill="1" applyBorder="1" applyAlignment="1">
      <alignment horizontal="center" vertical="center"/>
    </xf>
    <xf numFmtId="0" fontId="104" fillId="110" borderId="178" xfId="0" applyFont="1" applyFill="1" applyBorder="1" applyAlignment="1">
      <alignment horizontal="center" vertical="center"/>
    </xf>
    <xf numFmtId="0" fontId="99" fillId="44" borderId="20" xfId="0" applyFont="1" applyFill="1" applyBorder="1" applyAlignment="1">
      <alignment horizontal="center" vertical="center"/>
    </xf>
    <xf numFmtId="0" fontId="101" fillId="27" borderId="20" xfId="0" applyFont="1" applyFill="1" applyBorder="1" applyAlignment="1">
      <alignment vertical="center"/>
    </xf>
    <xf numFmtId="0" fontId="99" fillId="27" borderId="20" xfId="0" applyFont="1" applyFill="1" applyBorder="1" applyAlignment="1">
      <alignment horizontal="center" vertical="center"/>
    </xf>
    <xf numFmtId="0" fontId="99" fillId="27" borderId="20" xfId="0" applyFont="1" applyFill="1" applyBorder="1" applyAlignment="1">
      <alignment vertical="center"/>
    </xf>
    <xf numFmtId="0" fontId="6" fillId="2" borderId="0" xfId="0" applyFont="1" applyFill="1" applyAlignment="1">
      <alignment horizontal="center" vertical="center"/>
    </xf>
    <xf numFmtId="0" fontId="6" fillId="2" borderId="0" xfId="0" applyFont="1" applyFill="1" applyBorder="1" applyAlignment="1">
      <alignment horizontal="center" vertical="center" wrapText="1"/>
    </xf>
    <xf numFmtId="0" fontId="6" fillId="2" borderId="0" xfId="0" applyFont="1" applyFill="1" applyBorder="1" applyAlignment="1">
      <alignment vertical="center" wrapText="1"/>
    </xf>
    <xf numFmtId="0" fontId="6" fillId="2" borderId="0" xfId="0" applyFont="1" applyFill="1" applyBorder="1" applyAlignment="1">
      <alignment horizontal="center" vertical="center"/>
    </xf>
    <xf numFmtId="0" fontId="24" fillId="7" borderId="157" xfId="0" applyFont="1" applyFill="1" applyBorder="1" applyAlignment="1">
      <alignment horizontal="center" vertical="center" wrapText="1"/>
    </xf>
    <xf numFmtId="0" fontId="0" fillId="2" borderId="0" xfId="0" applyFill="1" applyBorder="1" applyAlignment="1">
      <alignment vertical="center"/>
    </xf>
    <xf numFmtId="0" fontId="7" fillId="4" borderId="0" xfId="0" applyFont="1" applyFill="1" applyBorder="1" applyAlignment="1">
      <alignment vertical="center"/>
    </xf>
    <xf numFmtId="0" fontId="11" fillId="4" borderId="0" xfId="0" applyFont="1" applyFill="1" applyBorder="1" applyAlignment="1">
      <alignment vertical="center"/>
    </xf>
    <xf numFmtId="0" fontId="10" fillId="102" borderId="20" xfId="0" applyFont="1" applyFill="1" applyBorder="1" applyAlignment="1">
      <alignment horizontal="center" vertical="center" wrapText="1"/>
    </xf>
    <xf numFmtId="0" fontId="10" fillId="102" borderId="20" xfId="0" applyFont="1" applyFill="1" applyBorder="1" applyAlignment="1">
      <alignment horizontal="center" vertical="center"/>
    </xf>
    <xf numFmtId="0" fontId="15" fillId="107" borderId="20" xfId="0" applyFont="1" applyFill="1" applyBorder="1" applyAlignment="1">
      <alignment horizontal="left" vertical="center" wrapText="1"/>
    </xf>
    <xf numFmtId="0" fontId="5" fillId="107" borderId="20" xfId="0" applyFont="1" applyFill="1" applyBorder="1" applyAlignment="1">
      <alignment vertical="center"/>
    </xf>
    <xf numFmtId="0" fontId="15" fillId="107" borderId="20" xfId="0" applyFont="1" applyFill="1" applyBorder="1" applyAlignment="1">
      <alignment vertical="center"/>
    </xf>
    <xf numFmtId="0" fontId="15" fillId="107" borderId="20" xfId="0" applyFont="1" applyFill="1" applyBorder="1" applyAlignment="1">
      <alignment vertical="center" wrapText="1"/>
    </xf>
    <xf numFmtId="9" fontId="15" fillId="107" borderId="20" xfId="0" applyNumberFormat="1" applyFont="1" applyFill="1" applyBorder="1" applyAlignment="1">
      <alignment vertical="center"/>
    </xf>
    <xf numFmtId="0" fontId="11" fillId="107" borderId="20" xfId="0" applyFont="1" applyFill="1" applyBorder="1" applyAlignment="1">
      <alignment vertical="center"/>
    </xf>
    <xf numFmtId="9" fontId="11" fillId="107" borderId="20" xfId="0" applyNumberFormat="1" applyFont="1" applyFill="1" applyBorder="1" applyAlignment="1">
      <alignment vertical="center"/>
    </xf>
    <xf numFmtId="0" fontId="15" fillId="107" borderId="20" xfId="0" applyFont="1" applyFill="1" applyBorder="1" applyAlignment="1">
      <alignment horizontal="left" vertical="center"/>
    </xf>
    <xf numFmtId="3" fontId="99" fillId="2" borderId="20" xfId="0" applyNumberFormat="1" applyFont="1" applyFill="1" applyBorder="1" applyAlignment="1">
      <alignment horizontal="right" vertical="center"/>
    </xf>
    <xf numFmtId="9" fontId="101" fillId="2" borderId="20" xfId="0" applyNumberFormat="1" applyFont="1" applyFill="1" applyBorder="1" applyAlignment="1">
      <alignment horizontal="right" vertical="center"/>
    </xf>
    <xf numFmtId="0" fontId="104" fillId="44" borderId="20" xfId="0" applyFont="1" applyFill="1" applyBorder="1" applyAlignment="1">
      <alignment horizontal="right" vertical="center"/>
    </xf>
    <xf numFmtId="0" fontId="101" fillId="2" borderId="20" xfId="0" applyFont="1" applyFill="1" applyBorder="1" applyAlignment="1">
      <alignment horizontal="right" vertical="center"/>
    </xf>
    <xf numFmtId="0" fontId="104" fillId="7" borderId="5" xfId="0" applyFont="1" applyFill="1" applyBorder="1" applyAlignment="1">
      <alignment horizontal="center" vertical="center"/>
    </xf>
    <xf numFmtId="0" fontId="104" fillId="44" borderId="256" xfId="0" applyFont="1" applyFill="1" applyBorder="1" applyAlignment="1">
      <alignment vertical="center"/>
    </xf>
    <xf numFmtId="0" fontId="99" fillId="2" borderId="257" xfId="0" applyFont="1" applyFill="1" applyBorder="1" applyAlignment="1">
      <alignment vertical="center"/>
    </xf>
    <xf numFmtId="0" fontId="101" fillId="2" borderId="257" xfId="0" applyFont="1" applyFill="1" applyBorder="1" applyAlignment="1">
      <alignment vertical="center"/>
    </xf>
    <xf numFmtId="0" fontId="104" fillId="44" borderId="257" xfId="0" applyFont="1" applyFill="1" applyBorder="1" applyAlignment="1">
      <alignment vertical="center"/>
    </xf>
    <xf numFmtId="0" fontId="101" fillId="2" borderId="258" xfId="0" applyFont="1" applyFill="1" applyBorder="1" applyAlignment="1">
      <alignment vertical="center"/>
    </xf>
    <xf numFmtId="3" fontId="99" fillId="2" borderId="257" xfId="0" applyNumberFormat="1" applyFont="1" applyFill="1" applyBorder="1" applyAlignment="1">
      <alignment vertical="center"/>
    </xf>
    <xf numFmtId="0" fontId="104" fillId="44" borderId="158" xfId="0" applyFont="1" applyFill="1" applyBorder="1" applyAlignment="1">
      <alignment horizontal="center" vertical="center"/>
    </xf>
    <xf numFmtId="0" fontId="104" fillId="44" borderId="159" xfId="0" applyFont="1" applyFill="1" applyBorder="1" applyAlignment="1">
      <alignment horizontal="center" vertical="center"/>
    </xf>
    <xf numFmtId="0" fontId="104" fillId="44" borderId="160" xfId="0" applyFont="1" applyFill="1" applyBorder="1" applyAlignment="1">
      <alignment horizontal="center" vertical="center"/>
    </xf>
    <xf numFmtId="3" fontId="99" fillId="2" borderId="105" xfId="0" applyNumberFormat="1" applyFont="1" applyFill="1" applyBorder="1" applyAlignment="1">
      <alignment horizontal="right" vertical="center"/>
    </xf>
    <xf numFmtId="3" fontId="99" fillId="2" borderId="109" xfId="0" applyNumberFormat="1" applyFont="1" applyFill="1" applyBorder="1" applyAlignment="1">
      <alignment horizontal="right" vertical="center"/>
    </xf>
    <xf numFmtId="9" fontId="101" fillId="2" borderId="105" xfId="0" applyNumberFormat="1" applyFont="1" applyFill="1" applyBorder="1" applyAlignment="1">
      <alignment horizontal="right" vertical="center"/>
    </xf>
    <xf numFmtId="9" fontId="101" fillId="2" borderId="109" xfId="0" applyNumberFormat="1" applyFont="1" applyFill="1" applyBorder="1" applyAlignment="1">
      <alignment horizontal="right" vertical="center"/>
    </xf>
    <xf numFmtId="0" fontId="104" fillId="44" borderId="105" xfId="0" applyFont="1" applyFill="1" applyBorder="1" applyAlignment="1">
      <alignment horizontal="right" vertical="center"/>
    </xf>
    <xf numFmtId="0" fontId="104" fillId="44" borderId="109" xfId="0" applyFont="1" applyFill="1" applyBorder="1" applyAlignment="1">
      <alignment horizontal="right" vertical="center"/>
    </xf>
    <xf numFmtId="9" fontId="101" fillId="2" borderId="105" xfId="1" applyFont="1" applyFill="1" applyBorder="1" applyAlignment="1">
      <alignment horizontal="right" vertical="center"/>
    </xf>
    <xf numFmtId="9" fontId="101" fillId="2" borderId="109" xfId="1" applyFont="1" applyFill="1" applyBorder="1" applyAlignment="1">
      <alignment horizontal="right" vertical="center"/>
    </xf>
    <xf numFmtId="0" fontId="101" fillId="2" borderId="105" xfId="0" applyFont="1" applyFill="1" applyBorder="1" applyAlignment="1">
      <alignment horizontal="right" vertical="center"/>
    </xf>
    <xf numFmtId="0" fontId="101" fillId="2" borderId="109" xfId="0" applyFont="1" applyFill="1" applyBorder="1" applyAlignment="1">
      <alignment horizontal="right" vertical="center"/>
    </xf>
    <xf numFmtId="0" fontId="101" fillId="2" borderId="106" xfId="0" applyFont="1" applyFill="1" applyBorder="1" applyAlignment="1">
      <alignment horizontal="right" vertical="center"/>
    </xf>
    <xf numFmtId="0" fontId="101" fillId="2" borderId="107" xfId="0" applyFont="1" applyFill="1" applyBorder="1" applyAlignment="1">
      <alignment horizontal="right" vertical="center"/>
    </xf>
    <xf numFmtId="9" fontId="101" fillId="2" borderId="110" xfId="1" applyFont="1" applyFill="1" applyBorder="1" applyAlignment="1">
      <alignment horizontal="right" vertical="center"/>
    </xf>
    <xf numFmtId="9" fontId="101" fillId="2" borderId="106" xfId="1" applyFont="1" applyFill="1" applyBorder="1" applyAlignment="1">
      <alignment horizontal="right" vertical="center"/>
    </xf>
    <xf numFmtId="9" fontId="101" fillId="2" borderId="107" xfId="1" applyFont="1" applyFill="1" applyBorder="1" applyAlignment="1">
      <alignment horizontal="right" vertical="center"/>
    </xf>
    <xf numFmtId="0" fontId="104" fillId="7" borderId="233" xfId="0" applyFont="1" applyFill="1" applyBorder="1" applyAlignment="1">
      <alignment horizontal="center" vertical="center"/>
    </xf>
    <xf numFmtId="187" fontId="145" fillId="38" borderId="3" xfId="33" applyNumberFormat="1" applyFont="1" applyFill="1" applyBorder="1" applyAlignment="1">
      <alignment horizontal="center" vertical="center"/>
    </xf>
    <xf numFmtId="187" fontId="145" fillId="38" borderId="218" xfId="33" applyNumberFormat="1" applyFont="1" applyFill="1" applyBorder="1" applyAlignment="1">
      <alignment horizontal="center" vertical="center"/>
    </xf>
    <xf numFmtId="178" fontId="104" fillId="38" borderId="204" xfId="33" applyNumberFormat="1" applyFont="1" applyFill="1" applyBorder="1" applyAlignment="1">
      <alignment horizontal="center" vertical="center"/>
    </xf>
    <xf numFmtId="178" fontId="104" fillId="38" borderId="202" xfId="33" applyNumberFormat="1" applyFont="1" applyFill="1" applyBorder="1" applyAlignment="1">
      <alignment horizontal="center" vertical="center"/>
    </xf>
    <xf numFmtId="0" fontId="68" fillId="44" borderId="20" xfId="0" applyFont="1" applyFill="1" applyBorder="1" applyAlignment="1">
      <alignment horizontal="left" vertical="center" wrapText="1"/>
    </xf>
    <xf numFmtId="0" fontId="68" fillId="44" borderId="20" xfId="0" applyFont="1" applyFill="1" applyBorder="1" applyAlignment="1">
      <alignment horizontal="center" vertical="center"/>
    </xf>
    <xf numFmtId="9" fontId="68" fillId="44" borderId="20" xfId="0" applyNumberFormat="1" applyFont="1" applyFill="1" applyBorder="1" applyAlignment="1">
      <alignment horizontal="center" vertical="center"/>
    </xf>
    <xf numFmtId="9" fontId="99" fillId="44" borderId="20" xfId="0" applyNumberFormat="1" applyFont="1" applyFill="1" applyBorder="1" applyAlignment="1">
      <alignment horizontal="center" vertical="center"/>
    </xf>
    <xf numFmtId="0" fontId="68" fillId="44" borderId="20" xfId="0" applyFont="1" applyFill="1" applyBorder="1" applyAlignment="1">
      <alignment horizontal="left" vertical="center" wrapText="1" readingOrder="1"/>
    </xf>
    <xf numFmtId="0" fontId="68" fillId="44" borderId="20" xfId="0" applyFont="1" applyFill="1" applyBorder="1" applyAlignment="1">
      <alignment horizontal="center" vertical="center" wrapText="1" readingOrder="1"/>
    </xf>
    <xf numFmtId="3" fontId="99" fillId="44" borderId="20" xfId="0" applyNumberFormat="1" applyFont="1" applyFill="1" applyBorder="1" applyAlignment="1">
      <alignment horizontal="center" vertical="center"/>
    </xf>
    <xf numFmtId="0" fontId="104" fillId="7" borderId="178" xfId="0" applyFont="1" applyFill="1" applyBorder="1" applyAlignment="1">
      <alignment vertical="center"/>
    </xf>
    <xf numFmtId="1" fontId="104" fillId="7" borderId="179" xfId="0" applyNumberFormat="1" applyFont="1" applyFill="1" applyBorder="1" applyAlignment="1">
      <alignment horizontal="center" vertical="center" wrapText="1"/>
    </xf>
    <xf numFmtId="1" fontId="104" fillId="7" borderId="180" xfId="0" applyNumberFormat="1" applyFont="1" applyFill="1" applyBorder="1" applyAlignment="1">
      <alignment horizontal="center" vertical="center" wrapText="1"/>
    </xf>
    <xf numFmtId="0" fontId="99" fillId="0" borderId="20" xfId="0" applyFont="1" applyFill="1" applyBorder="1" applyAlignment="1">
      <alignment vertical="center"/>
    </xf>
    <xf numFmtId="3" fontId="99" fillId="0" borderId="20" xfId="0" applyNumberFormat="1" applyFont="1" applyFill="1" applyBorder="1" applyAlignment="1">
      <alignment horizontal="center" vertical="center"/>
    </xf>
    <xf numFmtId="0" fontId="99" fillId="0" borderId="92" xfId="0" applyFont="1" applyBorder="1" applyAlignment="1">
      <alignment horizontal="center"/>
    </xf>
    <xf numFmtId="0" fontId="99" fillId="2" borderId="92" xfId="0" applyFont="1" applyFill="1" applyBorder="1" applyAlignment="1">
      <alignment horizontal="center"/>
    </xf>
    <xf numFmtId="0" fontId="99" fillId="44" borderId="92" xfId="0" applyFont="1" applyFill="1" applyBorder="1" applyAlignment="1">
      <alignment horizontal="center"/>
    </xf>
    <xf numFmtId="0" fontId="62" fillId="2" borderId="0" xfId="41" applyFont="1" applyFill="1" applyAlignment="1">
      <alignment vertical="center"/>
    </xf>
    <xf numFmtId="0" fontId="62" fillId="2" borderId="0" xfId="41" applyFont="1" applyFill="1" applyBorder="1" applyAlignment="1">
      <alignment vertical="center"/>
    </xf>
    <xf numFmtId="4" fontId="62" fillId="2" borderId="0" xfId="41" applyNumberFormat="1" applyFont="1" applyFill="1" applyBorder="1" applyAlignment="1">
      <alignment vertical="center"/>
    </xf>
    <xf numFmtId="0" fontId="62" fillId="2" borderId="0" xfId="3" applyFont="1" applyFill="1" applyBorder="1" applyAlignment="1">
      <alignment horizontal="center" vertical="center"/>
    </xf>
    <xf numFmtId="0" fontId="69" fillId="2" borderId="0" xfId="0" applyFont="1" applyFill="1" applyBorder="1" applyAlignment="1">
      <alignment horizontal="center"/>
    </xf>
    <xf numFmtId="0" fontId="62" fillId="2" borderId="0" xfId="3" applyFont="1" applyFill="1" applyBorder="1" applyAlignment="1">
      <alignment vertical="center"/>
    </xf>
    <xf numFmtId="0" fontId="69" fillId="2" borderId="0" xfId="41" applyNumberFormat="1" applyFont="1" applyFill="1" applyBorder="1" applyAlignment="1" applyProtection="1">
      <alignment horizontal="center" vertical="center" wrapText="1"/>
    </xf>
    <xf numFmtId="0" fontId="197" fillId="2" borderId="0" xfId="41" applyNumberFormat="1" applyFont="1" applyFill="1" applyBorder="1" applyAlignment="1" applyProtection="1">
      <alignment horizontal="center" vertical="center" wrapText="1"/>
    </xf>
    <xf numFmtId="0" fontId="197" fillId="7" borderId="3" xfId="41" applyNumberFormat="1" applyFont="1" applyFill="1" applyBorder="1" applyAlignment="1" applyProtection="1">
      <alignment horizontal="center" vertical="center" wrapText="1"/>
    </xf>
    <xf numFmtId="4" fontId="197" fillId="112" borderId="3" xfId="41" applyNumberFormat="1" applyFont="1" applyFill="1" applyBorder="1" applyAlignment="1">
      <alignment horizontal="center" vertical="center"/>
    </xf>
    <xf numFmtId="199" fontId="195" fillId="2" borderId="0" xfId="41" applyNumberFormat="1" applyFont="1" applyFill="1" applyBorder="1" applyAlignment="1" applyProtection="1">
      <alignment horizontal="right" vertical="center" wrapText="1"/>
    </xf>
    <xf numFmtId="0" fontId="62" fillId="2" borderId="20" xfId="3" applyFont="1" applyFill="1" applyBorder="1" applyAlignment="1">
      <alignment horizontal="center" vertical="center"/>
    </xf>
    <xf numFmtId="4" fontId="62" fillId="2" borderId="20" xfId="41" applyNumberFormat="1" applyFont="1" applyFill="1" applyBorder="1" applyAlignment="1" applyProtection="1">
      <alignment horizontal="right" vertical="center"/>
    </xf>
    <xf numFmtId="199" fontId="62" fillId="2" borderId="0" xfId="41" applyNumberFormat="1" applyFont="1" applyFill="1" applyBorder="1" applyAlignment="1" applyProtection="1">
      <alignment horizontal="right" vertical="center"/>
    </xf>
    <xf numFmtId="1" fontId="204" fillId="2" borderId="20" xfId="41" applyNumberFormat="1" applyFont="1" applyFill="1" applyBorder="1" applyAlignment="1">
      <alignment horizontal="center" vertical="center" wrapText="1"/>
    </xf>
    <xf numFmtId="4" fontId="62" fillId="2" borderId="20" xfId="41" applyNumberFormat="1" applyFont="1" applyFill="1" applyBorder="1" applyAlignment="1" applyProtection="1">
      <alignment horizontal="center" vertical="center"/>
    </xf>
    <xf numFmtId="0" fontId="69" fillId="5" borderId="20" xfId="3" applyFont="1" applyFill="1" applyBorder="1" applyAlignment="1">
      <alignment vertical="center"/>
    </xf>
    <xf numFmtId="0" fontId="69" fillId="5" borderId="20" xfId="41" applyNumberFormat="1" applyFont="1" applyFill="1" applyBorder="1" applyAlignment="1" applyProtection="1">
      <alignment horizontal="left" vertical="center"/>
    </xf>
    <xf numFmtId="0" fontId="69" fillId="5" borderId="20" xfId="41" applyNumberFormat="1" applyFont="1" applyFill="1" applyBorder="1" applyAlignment="1" applyProtection="1">
      <alignment horizontal="center" vertical="center"/>
    </xf>
    <xf numFmtId="0" fontId="69" fillId="5" borderId="20" xfId="41" applyNumberFormat="1" applyFont="1" applyFill="1" applyBorder="1" applyAlignment="1" applyProtection="1">
      <alignment vertical="center"/>
    </xf>
    <xf numFmtId="4" fontId="69" fillId="5" borderId="20" xfId="41" applyNumberFormat="1" applyFont="1" applyFill="1" applyBorder="1" applyAlignment="1" applyProtection="1">
      <alignment horizontal="right" vertical="center"/>
    </xf>
    <xf numFmtId="199" fontId="69" fillId="2" borderId="0" xfId="41" applyNumberFormat="1" applyFont="1" applyFill="1" applyBorder="1" applyAlignment="1" applyProtection="1">
      <alignment horizontal="right" vertical="center"/>
    </xf>
    <xf numFmtId="199" fontId="62" fillId="2" borderId="0" xfId="41" applyNumberFormat="1" applyFont="1" applyFill="1" applyBorder="1" applyAlignment="1">
      <alignment vertical="center"/>
    </xf>
    <xf numFmtId="4" fontId="62" fillId="5" borderId="20" xfId="41" applyNumberFormat="1" applyFont="1" applyFill="1" applyBorder="1" applyAlignment="1" applyProtection="1">
      <alignment horizontal="center" vertical="center"/>
    </xf>
    <xf numFmtId="4" fontId="69" fillId="5" borderId="20" xfId="41" applyNumberFormat="1" applyFont="1" applyFill="1" applyBorder="1" applyAlignment="1" applyProtection="1">
      <alignment vertical="center"/>
    </xf>
    <xf numFmtId="0" fontId="69" fillId="2" borderId="20" xfId="3" applyFont="1" applyFill="1" applyBorder="1" applyAlignment="1">
      <alignment vertical="center"/>
    </xf>
    <xf numFmtId="0" fontId="62" fillId="2" borderId="20" xfId="41" applyNumberFormat="1" applyFont="1" applyFill="1" applyBorder="1" applyAlignment="1" applyProtection="1">
      <alignment horizontal="left" vertical="center"/>
    </xf>
    <xf numFmtId="9" fontId="204" fillId="2" borderId="20" xfId="1" applyNumberFormat="1" applyFont="1" applyFill="1" applyBorder="1" applyAlignment="1">
      <alignment horizontal="center" vertical="center"/>
    </xf>
    <xf numFmtId="0" fontId="62" fillId="2" borderId="20" xfId="41" applyNumberFormat="1" applyFont="1" applyFill="1" applyBorder="1" applyAlignment="1" applyProtection="1">
      <alignment vertical="center"/>
    </xf>
    <xf numFmtId="9" fontId="204" fillId="2" borderId="20" xfId="43" applyNumberFormat="1" applyFont="1" applyFill="1" applyBorder="1" applyAlignment="1">
      <alignment horizontal="center" vertical="center"/>
    </xf>
    <xf numFmtId="169" fontId="62" fillId="2" borderId="0" xfId="32" applyFont="1" applyFill="1" applyBorder="1" applyAlignment="1">
      <alignment vertical="center"/>
    </xf>
    <xf numFmtId="0" fontId="62" fillId="5" borderId="20" xfId="41" applyFont="1" applyFill="1" applyBorder="1" applyAlignment="1">
      <alignment vertical="center"/>
    </xf>
    <xf numFmtId="0" fontId="62" fillId="2" borderId="20" xfId="41" applyFont="1" applyFill="1" applyBorder="1" applyAlignment="1">
      <alignment vertical="center"/>
    </xf>
    <xf numFmtId="199" fontId="204" fillId="2" borderId="0" xfId="41" applyNumberFormat="1" applyFont="1" applyFill="1" applyBorder="1" applyAlignment="1" applyProtection="1">
      <alignment horizontal="right" vertical="center"/>
    </xf>
    <xf numFmtId="4" fontId="195" fillId="5" borderId="20" xfId="41" applyNumberFormat="1" applyFont="1" applyFill="1" applyBorder="1" applyAlignment="1" applyProtection="1">
      <alignment horizontal="right" vertical="center"/>
    </xf>
    <xf numFmtId="199" fontId="195" fillId="2" borderId="0" xfId="41" applyNumberFormat="1" applyFont="1" applyFill="1" applyBorder="1" applyAlignment="1" applyProtection="1">
      <alignment horizontal="right" vertical="center"/>
    </xf>
    <xf numFmtId="0" fontId="62" fillId="2" borderId="20" xfId="3" applyFont="1" applyFill="1" applyBorder="1" applyAlignment="1">
      <alignment horizontal="left" vertical="center"/>
    </xf>
    <xf numFmtId="0" fontId="204" fillId="2" borderId="20" xfId="43" applyFont="1" applyFill="1" applyBorder="1" applyAlignment="1">
      <alignment horizontal="center" vertical="center"/>
    </xf>
    <xf numFmtId="4" fontId="204" fillId="2" borderId="20" xfId="41" applyNumberFormat="1" applyFont="1" applyFill="1" applyBorder="1" applyAlignment="1" applyProtection="1">
      <alignment vertical="center"/>
    </xf>
    <xf numFmtId="0" fontId="62" fillId="2" borderId="20" xfId="41" applyNumberFormat="1" applyFont="1" applyFill="1" applyBorder="1" applyAlignment="1" applyProtection="1">
      <alignment horizontal="center" vertical="center" wrapText="1"/>
    </xf>
    <xf numFmtId="4" fontId="204" fillId="2" borderId="20" xfId="41" applyNumberFormat="1" applyFont="1" applyFill="1" applyBorder="1" applyAlignment="1" applyProtection="1">
      <alignment horizontal="right" vertical="center"/>
    </xf>
    <xf numFmtId="172" fontId="62" fillId="2" borderId="0" xfId="1" applyNumberFormat="1" applyFont="1" applyFill="1" applyBorder="1" applyAlignment="1">
      <alignment vertical="center"/>
    </xf>
    <xf numFmtId="0" fontId="62" fillId="2" borderId="20" xfId="41" applyNumberFormat="1" applyFont="1" applyFill="1" applyBorder="1" applyAlignment="1" applyProtection="1">
      <alignment vertical="center" wrapText="1"/>
    </xf>
    <xf numFmtId="4" fontId="69" fillId="28" borderId="20" xfId="41" applyNumberFormat="1" applyFont="1" applyFill="1" applyBorder="1" applyAlignment="1" applyProtection="1">
      <alignment horizontal="right" vertical="center"/>
    </xf>
    <xf numFmtId="0" fontId="69" fillId="28" borderId="22" xfId="41" applyNumberFormat="1" applyFont="1" applyFill="1" applyBorder="1" applyAlignment="1" applyProtection="1">
      <alignment vertical="center"/>
    </xf>
    <xf numFmtId="0" fontId="69" fillId="28" borderId="23" xfId="41" applyNumberFormat="1" applyFont="1" applyFill="1" applyBorder="1" applyAlignment="1" applyProtection="1">
      <alignment vertical="center"/>
    </xf>
    <xf numFmtId="0" fontId="69" fillId="28" borderId="24" xfId="41" applyNumberFormat="1" applyFont="1" applyFill="1" applyBorder="1" applyAlignment="1" applyProtection="1">
      <alignment vertical="center"/>
    </xf>
    <xf numFmtId="4" fontId="62" fillId="2" borderId="0" xfId="41" applyNumberFormat="1" applyFont="1" applyFill="1" applyBorder="1" applyAlignment="1">
      <alignment horizontal="left" vertical="center"/>
    </xf>
    <xf numFmtId="0" fontId="62" fillId="2" borderId="0" xfId="3" applyFont="1" applyFill="1" applyBorder="1" applyAlignment="1"/>
    <xf numFmtId="10" fontId="62" fillId="2" borderId="0" xfId="1" applyNumberFormat="1" applyFont="1" applyFill="1" applyBorder="1" applyAlignment="1">
      <alignment vertical="center"/>
    </xf>
    <xf numFmtId="4" fontId="69" fillId="2" borderId="0" xfId="41" applyNumberFormat="1" applyFont="1" applyFill="1" applyBorder="1" applyAlignment="1" applyProtection="1">
      <alignment horizontal="right" vertical="center"/>
    </xf>
    <xf numFmtId="0" fontId="206" fillId="2" borderId="0" xfId="0" applyFont="1" applyFill="1" applyBorder="1" applyAlignment="1">
      <alignment horizontal="center" vertical="center" wrapText="1"/>
    </xf>
    <xf numFmtId="0" fontId="197" fillId="7" borderId="3" xfId="0" applyFont="1" applyFill="1" applyBorder="1" applyAlignment="1">
      <alignment horizontal="center" vertical="center" wrapText="1"/>
    </xf>
    <xf numFmtId="0" fontId="197" fillId="7" borderId="3" xfId="0" applyFont="1" applyFill="1" applyBorder="1" applyAlignment="1">
      <alignment horizontal="center" vertical="center"/>
    </xf>
    <xf numFmtId="0" fontId="90" fillId="2" borderId="20" xfId="0" applyFont="1" applyFill="1" applyBorder="1" applyAlignment="1">
      <alignment horizontal="center" vertical="center"/>
    </xf>
    <xf numFmtId="0" fontId="90" fillId="2" borderId="20" xfId="0" applyFont="1" applyFill="1" applyBorder="1" applyAlignment="1">
      <alignment vertical="center"/>
    </xf>
    <xf numFmtId="0" fontId="91" fillId="2" borderId="20" xfId="0" applyFont="1" applyFill="1" applyBorder="1" applyAlignment="1">
      <alignment horizontal="center" vertical="center" wrapText="1"/>
    </xf>
    <xf numFmtId="0" fontId="62" fillId="2" borderId="20" xfId="0" applyFont="1" applyFill="1" applyBorder="1" applyAlignment="1">
      <alignment horizontal="center" vertical="center" wrapText="1"/>
    </xf>
    <xf numFmtId="200" fontId="91" fillId="2" borderId="20" xfId="0" applyNumberFormat="1" applyFont="1" applyFill="1" applyBorder="1" applyAlignment="1">
      <alignment vertical="center" wrapText="1"/>
    </xf>
    <xf numFmtId="201" fontId="91" fillId="2" borderId="0" xfId="0" applyNumberFormat="1" applyFont="1" applyFill="1" applyBorder="1" applyAlignment="1">
      <alignment vertical="center" wrapText="1"/>
    </xf>
    <xf numFmtId="0" fontId="91" fillId="2" borderId="20" xfId="0" applyFont="1" applyFill="1" applyBorder="1" applyAlignment="1">
      <alignment vertical="center" wrapText="1"/>
    </xf>
    <xf numFmtId="0" fontId="62" fillId="2" borderId="20" xfId="0" applyFont="1" applyFill="1" applyBorder="1" applyAlignment="1">
      <alignment vertical="center" wrapText="1"/>
    </xf>
    <xf numFmtId="201" fontId="91" fillId="2" borderId="20" xfId="0" applyNumberFormat="1" applyFont="1" applyFill="1" applyBorder="1" applyAlignment="1">
      <alignment vertical="center" wrapText="1"/>
    </xf>
    <xf numFmtId="0" fontId="91" fillId="2" borderId="20" xfId="0" applyFont="1" applyFill="1" applyBorder="1" applyAlignment="1">
      <alignment vertical="center"/>
    </xf>
    <xf numFmtId="0" fontId="91" fillId="2" borderId="20" xfId="0" applyFont="1" applyFill="1" applyBorder="1" applyAlignment="1">
      <alignment horizontal="center" vertical="center"/>
    </xf>
    <xf numFmtId="0" fontId="62" fillId="2" borderId="20" xfId="0" applyFont="1" applyFill="1" applyBorder="1" applyAlignment="1">
      <alignment horizontal="center" vertical="center"/>
    </xf>
    <xf numFmtId="200" fontId="90" fillId="2" borderId="20" xfId="0" applyNumberFormat="1" applyFont="1" applyFill="1" applyBorder="1" applyAlignment="1">
      <alignment horizontal="right" vertical="center"/>
    </xf>
    <xf numFmtId="201" fontId="90" fillId="2" borderId="0" xfId="0" applyNumberFormat="1" applyFont="1" applyFill="1" applyBorder="1" applyAlignment="1">
      <alignment horizontal="right" vertical="center"/>
    </xf>
    <xf numFmtId="201" fontId="90" fillId="2" borderId="20" xfId="0" applyNumberFormat="1" applyFont="1" applyFill="1" applyBorder="1" applyAlignment="1">
      <alignment horizontal="right" vertical="center"/>
    </xf>
    <xf numFmtId="200" fontId="91" fillId="2" borderId="20" xfId="0" applyNumberFormat="1" applyFont="1" applyFill="1" applyBorder="1" applyAlignment="1">
      <alignment vertical="center"/>
    </xf>
    <xf numFmtId="201" fontId="91" fillId="2" borderId="0" xfId="0" applyNumberFormat="1" applyFont="1" applyFill="1" applyBorder="1" applyAlignment="1">
      <alignment vertical="center"/>
    </xf>
    <xf numFmtId="201" fontId="91" fillId="2" borderId="20" xfId="0" applyNumberFormat="1" applyFont="1" applyFill="1" applyBorder="1" applyAlignment="1">
      <alignment vertical="center"/>
    </xf>
    <xf numFmtId="200" fontId="91" fillId="2" borderId="20" xfId="0" applyNumberFormat="1" applyFont="1" applyFill="1" applyBorder="1" applyAlignment="1">
      <alignment horizontal="right" vertical="center"/>
    </xf>
    <xf numFmtId="201" fontId="91" fillId="2" borderId="0" xfId="0" applyNumberFormat="1" applyFont="1" applyFill="1" applyBorder="1" applyAlignment="1">
      <alignment horizontal="right" vertical="center"/>
    </xf>
    <xf numFmtId="201" fontId="91" fillId="2" borderId="20" xfId="0" applyNumberFormat="1" applyFont="1" applyFill="1" applyBorder="1" applyAlignment="1">
      <alignment horizontal="right" vertical="center"/>
    </xf>
    <xf numFmtId="202" fontId="62" fillId="2" borderId="0" xfId="41" applyNumberFormat="1" applyFont="1" applyFill="1" applyAlignment="1">
      <alignment vertical="center"/>
    </xf>
    <xf numFmtId="0" fontId="90" fillId="2" borderId="0" xfId="0" applyFont="1" applyFill="1" applyBorder="1" applyAlignment="1">
      <alignment horizontal="center" vertical="center" wrapText="1"/>
    </xf>
    <xf numFmtId="0" fontId="197" fillId="7" borderId="201" xfId="0" applyFont="1" applyFill="1" applyBorder="1" applyAlignment="1">
      <alignment horizontal="center" vertical="center" wrapText="1"/>
    </xf>
    <xf numFmtId="0" fontId="197" fillId="7" borderId="204" xfId="0" applyFont="1" applyFill="1" applyBorder="1" applyAlignment="1">
      <alignment horizontal="center" vertical="center" wrapText="1"/>
    </xf>
    <xf numFmtId="0" fontId="197" fillId="7" borderId="204" xfId="0" applyFont="1" applyFill="1" applyBorder="1" applyAlignment="1">
      <alignment horizontal="center" vertical="center"/>
    </xf>
    <xf numFmtId="0" fontId="197" fillId="7" borderId="202" xfId="0" applyFont="1" applyFill="1" applyBorder="1" applyAlignment="1">
      <alignment horizontal="center" vertical="center" wrapText="1"/>
    </xf>
    <xf numFmtId="1" fontId="91" fillId="2" borderId="20" xfId="0" applyNumberFormat="1" applyFont="1" applyFill="1" applyBorder="1" applyAlignment="1">
      <alignment horizontal="center" vertical="center" wrapText="1"/>
    </xf>
    <xf numFmtId="4" fontId="91" fillId="2" borderId="20" xfId="0" applyNumberFormat="1" applyFont="1" applyFill="1" applyBorder="1" applyAlignment="1">
      <alignment horizontal="right" vertical="center"/>
    </xf>
    <xf numFmtId="201" fontId="206" fillId="2" borderId="0" xfId="0" applyNumberFormat="1" applyFont="1" applyFill="1" applyBorder="1" applyAlignment="1">
      <alignment horizontal="right" vertical="center"/>
    </xf>
    <xf numFmtId="0" fontId="90" fillId="2" borderId="0" xfId="0" applyFont="1" applyFill="1" applyBorder="1" applyAlignment="1">
      <alignment vertical="center"/>
    </xf>
    <xf numFmtId="4" fontId="206" fillId="2" borderId="0" xfId="0" applyNumberFormat="1" applyFont="1" applyFill="1" applyBorder="1" applyAlignment="1">
      <alignment horizontal="right" vertical="center"/>
    </xf>
    <xf numFmtId="0" fontId="62" fillId="2" borderId="139" xfId="41" applyFont="1" applyFill="1" applyBorder="1" applyAlignment="1">
      <alignment vertical="center"/>
    </xf>
    <xf numFmtId="0" fontId="62" fillId="2" borderId="143" xfId="41" applyFont="1" applyFill="1" applyBorder="1" applyAlignment="1">
      <alignment vertical="center"/>
    </xf>
    <xf numFmtId="0" fontId="62" fillId="2" borderId="140" xfId="41" applyFont="1" applyFill="1" applyBorder="1" applyAlignment="1">
      <alignment vertical="center"/>
    </xf>
    <xf numFmtId="0" fontId="62" fillId="2" borderId="153" xfId="41" applyFont="1" applyFill="1" applyBorder="1" applyAlignment="1">
      <alignment vertical="center"/>
    </xf>
    <xf numFmtId="0" fontId="62" fillId="2" borderId="154" xfId="41" applyFont="1" applyFill="1" applyBorder="1" applyAlignment="1">
      <alignment vertical="center"/>
    </xf>
    <xf numFmtId="202" fontId="62" fillId="2" borderId="154" xfId="41" applyNumberFormat="1" applyFont="1" applyFill="1" applyBorder="1" applyAlignment="1">
      <alignment vertical="center"/>
    </xf>
    <xf numFmtId="0" fontId="62" fillId="2" borderId="141" xfId="41" applyFont="1" applyFill="1" applyBorder="1" applyAlignment="1">
      <alignment vertical="center"/>
    </xf>
    <xf numFmtId="0" fontId="62" fillId="2" borderId="144" xfId="41" applyFont="1" applyFill="1" applyBorder="1" applyAlignment="1">
      <alignment vertical="center"/>
    </xf>
    <xf numFmtId="0" fontId="62" fillId="2" borderId="142" xfId="41" applyFont="1" applyFill="1" applyBorder="1" applyAlignment="1">
      <alignment vertical="center"/>
    </xf>
    <xf numFmtId="0" fontId="197" fillId="7" borderId="20" xfId="0" applyFont="1" applyFill="1" applyBorder="1" applyAlignment="1">
      <alignment vertical="center"/>
    </xf>
    <xf numFmtId="4" fontId="197" fillId="7" borderId="20" xfId="0" applyNumberFormat="1" applyFont="1" applyFill="1" applyBorder="1" applyAlignment="1">
      <alignment horizontal="right" vertical="center"/>
    </xf>
    <xf numFmtId="0" fontId="197" fillId="7" borderId="205" xfId="41" applyNumberFormat="1" applyFont="1" applyFill="1" applyBorder="1" applyAlignment="1" applyProtection="1">
      <alignment horizontal="center" vertical="center" wrapText="1"/>
    </xf>
    <xf numFmtId="0" fontId="197" fillId="7" borderId="218" xfId="41" applyNumberFormat="1" applyFont="1" applyFill="1" applyBorder="1" applyAlignment="1" applyProtection="1">
      <alignment horizontal="center" vertical="center" wrapText="1"/>
    </xf>
    <xf numFmtId="0" fontId="197" fillId="7" borderId="205" xfId="0" applyFont="1" applyFill="1" applyBorder="1" applyAlignment="1">
      <alignment horizontal="center" vertical="center" wrapText="1"/>
    </xf>
    <xf numFmtId="0" fontId="197" fillId="7" borderId="218" xfId="0" applyFont="1" applyFill="1" applyBorder="1" applyAlignment="1">
      <alignment horizontal="center" vertical="center" wrapText="1"/>
    </xf>
    <xf numFmtId="49" fontId="197" fillId="7" borderId="218" xfId="41" applyNumberFormat="1" applyFont="1" applyFill="1" applyBorder="1" applyAlignment="1" applyProtection="1">
      <alignment horizontal="center" vertical="center" wrapText="1"/>
    </xf>
    <xf numFmtId="1" fontId="67" fillId="2" borderId="0" xfId="0" applyNumberFormat="1" applyFont="1" applyFill="1" applyAlignment="1">
      <alignment horizontal="center" vertical="center"/>
    </xf>
    <xf numFmtId="3" fontId="68" fillId="2" borderId="0" xfId="0" applyNumberFormat="1" applyFont="1" applyFill="1" applyAlignment="1">
      <alignment horizontal="left" vertical="center"/>
    </xf>
    <xf numFmtId="3" fontId="68" fillId="2" borderId="0" xfId="0" applyNumberFormat="1" applyFont="1" applyFill="1" applyAlignment="1">
      <alignment horizontal="center" vertical="center"/>
    </xf>
    <xf numFmtId="1" fontId="101" fillId="2" borderId="0" xfId="0" applyNumberFormat="1" applyFont="1" applyFill="1" applyAlignment="1">
      <alignment horizontal="center" vertical="center"/>
    </xf>
    <xf numFmtId="0" fontId="104" fillId="2" borderId="5" xfId="0" applyFont="1" applyFill="1" applyBorder="1" applyAlignment="1">
      <alignment vertical="center" wrapText="1"/>
    </xf>
    <xf numFmtId="0" fontId="104" fillId="2" borderId="3" xfId="0" applyFont="1" applyFill="1" applyBorder="1" applyAlignment="1">
      <alignment horizontal="center" vertical="center" wrapText="1"/>
    </xf>
    <xf numFmtId="3" fontId="99" fillId="2" borderId="0" xfId="35" applyNumberFormat="1" applyFont="1" applyFill="1" applyAlignment="1">
      <alignment horizontal="center" vertical="center"/>
    </xf>
    <xf numFmtId="1" fontId="68" fillId="2" borderId="0" xfId="0" applyNumberFormat="1" applyFont="1" applyFill="1" applyAlignment="1">
      <alignment horizontal="center" vertical="center" wrapText="1"/>
    </xf>
    <xf numFmtId="0" fontId="104" fillId="2" borderId="5" xfId="0" applyFont="1" applyFill="1" applyBorder="1" applyAlignment="1">
      <alignment horizontal="center" vertical="center" wrapText="1"/>
    </xf>
    <xf numFmtId="9" fontId="68" fillId="2" borderId="20" xfId="0" applyNumberFormat="1" applyFont="1" applyFill="1" applyBorder="1" applyAlignment="1">
      <alignment vertical="center"/>
    </xf>
    <xf numFmtId="9" fontId="101" fillId="2" borderId="20" xfId="0" applyNumberFormat="1" applyFont="1" applyFill="1" applyBorder="1" applyAlignment="1">
      <alignment vertical="center"/>
    </xf>
    <xf numFmtId="172" fontId="101" fillId="2" borderId="20" xfId="0" applyNumberFormat="1" applyFont="1" applyFill="1" applyBorder="1" applyAlignment="1">
      <alignment vertical="center"/>
    </xf>
    <xf numFmtId="0" fontId="144" fillId="2" borderId="0" xfId="0" applyFont="1" applyFill="1" applyAlignment="1">
      <alignment horizontal="center" vertical="center"/>
    </xf>
    <xf numFmtId="0" fontId="99" fillId="2" borderId="0" xfId="34" applyFont="1" applyFill="1" applyAlignment="1">
      <alignment vertical="center"/>
    </xf>
    <xf numFmtId="204" fontId="68" fillId="2" borderId="0" xfId="0" applyNumberFormat="1" applyFont="1" applyFill="1" applyAlignment="1">
      <alignment vertical="center"/>
    </xf>
    <xf numFmtId="0" fontId="99" fillId="2" borderId="0" xfId="0" applyFont="1" applyFill="1" applyBorder="1" applyAlignment="1">
      <alignment horizontal="center" vertical="center"/>
    </xf>
    <xf numFmtId="3" fontId="101" fillId="2" borderId="0" xfId="0" applyNumberFormat="1" applyFont="1" applyFill="1" applyBorder="1" applyAlignment="1">
      <alignment horizontal="center" vertical="center"/>
    </xf>
    <xf numFmtId="3" fontId="68" fillId="2" borderId="20" xfId="0" applyNumberFormat="1" applyFont="1" applyFill="1" applyBorder="1" applyAlignment="1">
      <alignment vertical="center"/>
    </xf>
    <xf numFmtId="204" fontId="68" fillId="2" borderId="20" xfId="0" applyNumberFormat="1" applyFont="1" applyFill="1" applyBorder="1" applyAlignment="1">
      <alignment vertical="center"/>
    </xf>
    <xf numFmtId="203" fontId="68" fillId="2" borderId="20" xfId="0" applyNumberFormat="1" applyFont="1" applyFill="1" applyBorder="1" applyAlignment="1">
      <alignment horizontal="center" vertical="center"/>
    </xf>
    <xf numFmtId="203" fontId="68" fillId="2" borderId="20" xfId="0" applyNumberFormat="1" applyFont="1" applyFill="1" applyBorder="1" applyAlignment="1">
      <alignment horizontal="right" vertical="center"/>
    </xf>
    <xf numFmtId="203" fontId="99" fillId="2" borderId="20" xfId="0" applyNumberFormat="1" applyFont="1" applyFill="1" applyBorder="1" applyAlignment="1">
      <alignment horizontal="center" vertical="center"/>
    </xf>
    <xf numFmtId="203" fontId="99" fillId="2" borderId="20" xfId="0" applyNumberFormat="1" applyFont="1" applyFill="1" applyBorder="1" applyAlignment="1">
      <alignment horizontal="right" vertical="center"/>
    </xf>
    <xf numFmtId="3" fontId="99" fillId="2" borderId="20" xfId="0" applyNumberFormat="1" applyFont="1" applyFill="1" applyBorder="1" applyAlignment="1">
      <alignment horizontal="center" vertical="center" wrapText="1"/>
    </xf>
    <xf numFmtId="3" fontId="68" fillId="2" borderId="20" xfId="0" applyNumberFormat="1" applyFont="1" applyFill="1" applyBorder="1" applyAlignment="1">
      <alignment horizontal="left" vertical="center" wrapText="1"/>
    </xf>
    <xf numFmtId="3" fontId="99" fillId="2" borderId="20" xfId="35" applyNumberFormat="1" applyFont="1" applyFill="1" applyBorder="1" applyAlignment="1">
      <alignment horizontal="center" vertical="center" wrapText="1"/>
    </xf>
    <xf numFmtId="0" fontId="99" fillId="2" borderId="20" xfId="0" applyFont="1" applyFill="1" applyBorder="1" applyAlignment="1">
      <alignment horizontal="left" vertical="center" wrapText="1"/>
    </xf>
    <xf numFmtId="9" fontId="67" fillId="2" borderId="20" xfId="0" applyNumberFormat="1" applyFont="1" applyFill="1" applyBorder="1" applyAlignment="1">
      <alignment horizontal="center" vertical="center" wrapText="1"/>
    </xf>
    <xf numFmtId="4" fontId="101" fillId="2" borderId="20" xfId="0" applyNumberFormat="1" applyFont="1" applyFill="1" applyBorder="1" applyAlignment="1">
      <alignment horizontal="center" vertical="center" wrapText="1"/>
    </xf>
    <xf numFmtId="0" fontId="99" fillId="2" borderId="20" xfId="0" applyFont="1" applyFill="1" applyBorder="1" applyAlignment="1">
      <alignment horizontal="center" vertical="center" wrapText="1"/>
    </xf>
    <xf numFmtId="0" fontId="104" fillId="7" borderId="203" xfId="0" applyFont="1" applyFill="1" applyBorder="1" applyAlignment="1">
      <alignment vertical="center"/>
    </xf>
    <xf numFmtId="0" fontId="104" fillId="7" borderId="3" xfId="0" applyFont="1" applyFill="1" applyBorder="1" applyAlignment="1">
      <alignment vertical="center"/>
    </xf>
    <xf numFmtId="3" fontId="104" fillId="7" borderId="204" xfId="0" applyNumberFormat="1" applyFont="1" applyFill="1" applyBorder="1" applyAlignment="1">
      <alignment horizontal="center" vertical="center" wrapText="1"/>
    </xf>
    <xf numFmtId="4" fontId="104" fillId="7" borderId="204" xfId="0" applyNumberFormat="1" applyFont="1" applyFill="1" applyBorder="1" applyAlignment="1">
      <alignment horizontal="center" vertical="center" wrapText="1"/>
    </xf>
    <xf numFmtId="4" fontId="104" fillId="7" borderId="202" xfId="0" applyNumberFormat="1" applyFont="1" applyFill="1" applyBorder="1" applyAlignment="1">
      <alignment horizontal="center" vertical="center" wrapText="1"/>
    </xf>
    <xf numFmtId="0" fontId="104" fillId="7" borderId="178" xfId="0" applyFont="1" applyFill="1" applyBorder="1" applyAlignment="1">
      <alignment vertical="center" wrapText="1"/>
    </xf>
    <xf numFmtId="3" fontId="104" fillId="7" borderId="201" xfId="0" applyNumberFormat="1" applyFont="1" applyFill="1" applyBorder="1" applyAlignment="1">
      <alignment horizontal="center" vertical="center" wrapText="1"/>
    </xf>
    <xf numFmtId="3" fontId="104" fillId="7" borderId="202" xfId="0" applyNumberFormat="1" applyFont="1" applyFill="1" applyBorder="1" applyAlignment="1">
      <alignment horizontal="center" vertical="center" wrapText="1"/>
    </xf>
    <xf numFmtId="0" fontId="104" fillId="7" borderId="178" xfId="0" applyFont="1" applyFill="1" applyBorder="1" applyAlignment="1">
      <alignment horizontal="left" vertical="center" wrapText="1"/>
    </xf>
    <xf numFmtId="0" fontId="68" fillId="27" borderId="20" xfId="0" applyFont="1" applyFill="1" applyBorder="1" applyAlignment="1">
      <alignment vertical="center"/>
    </xf>
    <xf numFmtId="0" fontId="68" fillId="44" borderId="20" xfId="0" applyFont="1" applyFill="1" applyBorder="1" applyAlignment="1">
      <alignment vertical="center"/>
    </xf>
    <xf numFmtId="9" fontId="68" fillId="44" borderId="20" xfId="0" applyNumberFormat="1" applyFont="1" applyFill="1" applyBorder="1" applyAlignment="1">
      <alignment vertical="center"/>
    </xf>
    <xf numFmtId="9" fontId="99" fillId="44" borderId="20" xfId="0" applyNumberFormat="1" applyFont="1" applyFill="1" applyBorder="1" applyAlignment="1">
      <alignment vertical="center"/>
    </xf>
    <xf numFmtId="0" fontId="67" fillId="27" borderId="20" xfId="0" applyFont="1" applyFill="1" applyBorder="1" applyAlignment="1">
      <alignment vertical="center" wrapText="1"/>
    </xf>
    <xf numFmtId="9" fontId="99" fillId="27" borderId="20" xfId="0" applyNumberFormat="1" applyFont="1" applyFill="1" applyBorder="1" applyAlignment="1">
      <alignment vertical="center"/>
    </xf>
    <xf numFmtId="0" fontId="67" fillId="6" borderId="20" xfId="0" applyFont="1" applyFill="1" applyBorder="1" applyAlignment="1">
      <alignment vertical="center" wrapText="1"/>
    </xf>
    <xf numFmtId="0" fontId="67" fillId="6" borderId="20" xfId="0" applyFont="1" applyFill="1" applyBorder="1" applyAlignment="1">
      <alignment vertical="center"/>
    </xf>
    <xf numFmtId="9" fontId="68" fillId="6" borderId="20" xfId="0" applyNumberFormat="1" applyFont="1" applyFill="1" applyBorder="1" applyAlignment="1">
      <alignment vertical="center"/>
    </xf>
    <xf numFmtId="9" fontId="99" fillId="6" borderId="20" xfId="0" applyNumberFormat="1" applyFont="1" applyFill="1" applyBorder="1" applyAlignment="1">
      <alignment vertical="center"/>
    </xf>
    <xf numFmtId="0" fontId="67" fillId="27" borderId="20" xfId="0" applyFont="1" applyFill="1" applyBorder="1" applyAlignment="1">
      <alignment horizontal="left" vertical="center" wrapText="1"/>
    </xf>
    <xf numFmtId="0" fontId="68" fillId="27" borderId="20" xfId="0" applyFont="1" applyFill="1" applyBorder="1" applyAlignment="1">
      <alignment horizontal="center" vertical="center" wrapText="1"/>
    </xf>
    <xf numFmtId="0" fontId="209" fillId="27" borderId="20" xfId="0" applyFont="1" applyFill="1" applyBorder="1" applyAlignment="1">
      <alignment horizontal="center" vertical="center" wrapText="1"/>
    </xf>
    <xf numFmtId="3" fontId="67" fillId="27" borderId="20" xfId="0" applyNumberFormat="1" applyFont="1" applyFill="1" applyBorder="1" applyAlignment="1">
      <alignment horizontal="center" vertical="center" wrapText="1"/>
    </xf>
    <xf numFmtId="3" fontId="101" fillId="27" borderId="20" xfId="0" applyNumberFormat="1" applyFont="1" applyFill="1" applyBorder="1" applyAlignment="1">
      <alignment horizontal="center" vertical="center"/>
    </xf>
    <xf numFmtId="3" fontId="67" fillId="27" borderId="20" xfId="0" applyNumberFormat="1" applyFont="1" applyFill="1" applyBorder="1" applyAlignment="1">
      <alignment vertical="center"/>
    </xf>
    <xf numFmtId="203" fontId="67" fillId="27" borderId="20" xfId="0" applyNumberFormat="1" applyFont="1" applyFill="1" applyBorder="1" applyAlignment="1">
      <alignment horizontal="center" vertical="center"/>
    </xf>
    <xf numFmtId="3" fontId="101" fillId="27" borderId="20" xfId="0" applyNumberFormat="1" applyFont="1" applyFill="1" applyBorder="1" applyAlignment="1">
      <alignment vertical="center"/>
    </xf>
    <xf numFmtId="203" fontId="67" fillId="27" borderId="20" xfId="0" applyNumberFormat="1" applyFont="1" applyFill="1" applyBorder="1" applyAlignment="1">
      <alignment horizontal="center" vertical="center" wrapText="1"/>
    </xf>
    <xf numFmtId="203" fontId="101" fillId="27" borderId="20" xfId="0" applyNumberFormat="1" applyFont="1" applyFill="1" applyBorder="1" applyAlignment="1">
      <alignment horizontal="center" vertical="center"/>
    </xf>
    <xf numFmtId="3" fontId="100" fillId="27" borderId="20" xfId="0" applyNumberFormat="1" applyFont="1" applyFill="1" applyBorder="1" applyAlignment="1">
      <alignment vertical="center"/>
    </xf>
    <xf numFmtId="3" fontId="67" fillId="27" borderId="20" xfId="0" applyNumberFormat="1" applyFont="1" applyFill="1" applyBorder="1" applyAlignment="1">
      <alignment horizontal="center" vertical="center"/>
    </xf>
    <xf numFmtId="3" fontId="99" fillId="27" borderId="20" xfId="0" applyNumberFormat="1" applyFont="1" applyFill="1" applyBorder="1" applyAlignment="1">
      <alignment horizontal="center" vertical="center"/>
    </xf>
    <xf numFmtId="3" fontId="99" fillId="27" borderId="20" xfId="0" applyNumberFormat="1" applyFont="1" applyFill="1" applyBorder="1" applyAlignment="1">
      <alignment horizontal="center" vertical="center" wrapText="1"/>
    </xf>
    <xf numFmtId="0" fontId="67" fillId="6" borderId="178" xfId="0" applyFont="1" applyFill="1" applyBorder="1" applyAlignment="1">
      <alignment horizontal="center" vertical="center" wrapText="1"/>
    </xf>
    <xf numFmtId="3" fontId="67" fillId="6" borderId="179" xfId="0" applyNumberFormat="1" applyFont="1" applyFill="1" applyBorder="1" applyAlignment="1">
      <alignment horizontal="center" vertical="center" wrapText="1"/>
    </xf>
    <xf numFmtId="4" fontId="67" fillId="6" borderId="179" xfId="0" applyNumberFormat="1" applyFont="1" applyFill="1" applyBorder="1" applyAlignment="1">
      <alignment horizontal="center" vertical="center" wrapText="1"/>
    </xf>
    <xf numFmtId="4" fontId="67" fillId="6" borderId="180" xfId="0" applyNumberFormat="1" applyFont="1" applyFill="1" applyBorder="1" applyAlignment="1">
      <alignment horizontal="center" vertical="center" wrapText="1"/>
    </xf>
    <xf numFmtId="0" fontId="67" fillId="6" borderId="199" xfId="0" applyFont="1" applyFill="1" applyBorder="1" applyAlignment="1">
      <alignment horizontal="center" vertical="center" wrapText="1"/>
    </xf>
    <xf numFmtId="3" fontId="67" fillId="6" borderId="203" xfId="0" applyNumberFormat="1" applyFont="1" applyFill="1" applyBorder="1" applyAlignment="1">
      <alignment horizontal="center" vertical="center" wrapText="1"/>
    </xf>
    <xf numFmtId="3" fontId="67" fillId="6" borderId="200" xfId="0" applyNumberFormat="1" applyFont="1" applyFill="1" applyBorder="1" applyAlignment="1">
      <alignment horizontal="center" vertical="center" wrapText="1"/>
    </xf>
    <xf numFmtId="0" fontId="104" fillId="50" borderId="179" xfId="0" applyFont="1" applyFill="1" applyBorder="1" applyAlignment="1">
      <alignment horizontal="center" vertical="center" wrapText="1"/>
    </xf>
    <xf numFmtId="0" fontId="104" fillId="2" borderId="0" xfId="0" applyFont="1" applyFill="1" applyBorder="1" applyAlignment="1">
      <alignment vertical="center" wrapText="1"/>
    </xf>
    <xf numFmtId="0" fontId="104" fillId="2" borderId="0" xfId="0" applyFont="1" applyFill="1" applyBorder="1" applyAlignment="1">
      <alignment horizontal="center" vertical="center" wrapText="1"/>
    </xf>
    <xf numFmtId="0" fontId="104" fillId="2" borderId="19" xfId="0" applyFont="1" applyFill="1" applyBorder="1" applyAlignment="1">
      <alignment horizontal="center" vertical="center" wrapText="1"/>
    </xf>
    <xf numFmtId="0" fontId="104" fillId="2" borderId="38" xfId="0" applyFont="1" applyFill="1" applyBorder="1" applyAlignment="1">
      <alignment horizontal="center" vertical="center" wrapText="1"/>
    </xf>
    <xf numFmtId="0" fontId="101" fillId="2" borderId="0" xfId="0" applyFont="1" applyFill="1" applyBorder="1" applyAlignment="1">
      <alignment vertical="center"/>
    </xf>
    <xf numFmtId="1" fontId="99" fillId="2" borderId="0" xfId="1" applyNumberFormat="1" applyFont="1" applyFill="1" applyBorder="1" applyAlignment="1">
      <alignment horizontal="center" vertical="center"/>
    </xf>
    <xf numFmtId="3" fontId="67" fillId="27" borderId="178" xfId="0" applyNumberFormat="1" applyFont="1" applyFill="1" applyBorder="1" applyAlignment="1">
      <alignment horizontal="center" vertical="center" wrapText="1"/>
    </xf>
    <xf numFmtId="3" fontId="67" fillId="27" borderId="179" xfId="0" applyNumberFormat="1" applyFont="1" applyFill="1" applyBorder="1" applyAlignment="1">
      <alignment horizontal="center" vertical="center" wrapText="1"/>
    </xf>
    <xf numFmtId="3" fontId="67" fillId="27" borderId="180" xfId="0" applyNumberFormat="1" applyFont="1" applyFill="1" applyBorder="1" applyAlignment="1">
      <alignment horizontal="center" vertical="center" wrapText="1"/>
    </xf>
    <xf numFmtId="3" fontId="67" fillId="27" borderId="199" xfId="0" applyNumberFormat="1" applyFont="1" applyFill="1" applyBorder="1" applyAlignment="1">
      <alignment horizontal="center" vertical="center" wrapText="1"/>
    </xf>
    <xf numFmtId="3" fontId="67" fillId="27" borderId="203" xfId="0" applyNumberFormat="1" applyFont="1" applyFill="1" applyBorder="1" applyAlignment="1">
      <alignment horizontal="center" vertical="center" wrapText="1"/>
    </xf>
    <xf numFmtId="3" fontId="67" fillId="27" borderId="200" xfId="0" applyNumberFormat="1" applyFont="1" applyFill="1" applyBorder="1" applyAlignment="1">
      <alignment horizontal="center" vertical="center" wrapText="1"/>
    </xf>
    <xf numFmtId="0" fontId="21" fillId="2" borderId="0" xfId="0" applyFont="1" applyFill="1" applyAlignment="1">
      <alignment vertical="center"/>
    </xf>
    <xf numFmtId="0" fontId="104" fillId="7" borderId="180" xfId="0" applyFont="1" applyFill="1" applyBorder="1" applyAlignment="1">
      <alignment vertical="center" wrapText="1"/>
    </xf>
    <xf numFmtId="3" fontId="21" fillId="2" borderId="0" xfId="0" applyNumberFormat="1" applyFont="1" applyFill="1" applyAlignment="1">
      <alignment vertical="center"/>
    </xf>
    <xf numFmtId="0" fontId="210" fillId="2" borderId="0" xfId="0" applyFont="1" applyFill="1" applyAlignment="1">
      <alignment vertical="center"/>
    </xf>
    <xf numFmtId="0" fontId="21" fillId="2" borderId="0" xfId="0" applyFont="1" applyFill="1" applyAlignment="1">
      <alignment horizontal="center" vertical="center" wrapText="1"/>
    </xf>
    <xf numFmtId="0" fontId="104" fillId="2" borderId="5" xfId="0" applyFont="1" applyFill="1" applyBorder="1" applyAlignment="1">
      <alignment horizontal="center" vertical="center"/>
    </xf>
    <xf numFmtId="0" fontId="49" fillId="2" borderId="0" xfId="0" applyFont="1" applyFill="1" applyAlignment="1">
      <alignment vertical="center" wrapText="1"/>
    </xf>
    <xf numFmtId="0" fontId="49" fillId="2" borderId="0" xfId="0" applyFont="1" applyFill="1" applyAlignment="1">
      <alignment horizontal="left" vertical="center" wrapText="1"/>
    </xf>
    <xf numFmtId="0" fontId="67" fillId="2" borderId="0" xfId="0" applyFont="1" applyFill="1" applyBorder="1" applyAlignment="1">
      <alignment vertical="center"/>
    </xf>
    <xf numFmtId="0" fontId="211" fillId="2" borderId="0" xfId="0" applyFont="1" applyFill="1" applyAlignment="1">
      <alignment vertical="center"/>
    </xf>
    <xf numFmtId="0" fontId="104" fillId="110" borderId="201" xfId="0" applyFont="1" applyFill="1" applyBorder="1" applyAlignment="1">
      <alignment horizontal="center" vertical="center" wrapText="1"/>
    </xf>
    <xf numFmtId="3" fontId="104" fillId="110" borderId="204" xfId="0" applyNumberFormat="1" applyFont="1" applyFill="1" applyBorder="1" applyAlignment="1">
      <alignment horizontal="center" vertical="center" wrapText="1"/>
    </xf>
    <xf numFmtId="3" fontId="104" fillId="110" borderId="202" xfId="0" applyNumberFormat="1" applyFont="1" applyFill="1" applyBorder="1" applyAlignment="1">
      <alignment horizontal="center" vertical="center" wrapText="1"/>
    </xf>
    <xf numFmtId="4" fontId="99" fillId="2" borderId="0" xfId="0" applyNumberFormat="1" applyFont="1" applyFill="1" applyAlignment="1">
      <alignment horizontal="center" vertical="center"/>
    </xf>
    <xf numFmtId="9" fontId="99" fillId="2" borderId="0" xfId="0" applyNumberFormat="1" applyFont="1" applyFill="1" applyAlignment="1">
      <alignment horizontal="center" vertical="center"/>
    </xf>
    <xf numFmtId="0" fontId="101" fillId="2" borderId="12" xfId="0" applyFont="1" applyFill="1" applyBorder="1" applyAlignment="1">
      <alignment vertical="center"/>
    </xf>
    <xf numFmtId="0" fontId="67" fillId="27" borderId="20" xfId="0" applyFont="1" applyFill="1" applyBorder="1" applyAlignment="1">
      <alignment vertical="center"/>
    </xf>
    <xf numFmtId="0" fontId="67" fillId="113" borderId="178" xfId="0" applyFont="1" applyFill="1" applyBorder="1" applyAlignment="1">
      <alignment horizontal="center" vertical="center" wrapText="1"/>
    </xf>
    <xf numFmtId="3" fontId="67" fillId="113" borderId="179" xfId="0" applyNumberFormat="1" applyFont="1" applyFill="1" applyBorder="1" applyAlignment="1">
      <alignment horizontal="center" vertical="center"/>
    </xf>
    <xf numFmtId="3" fontId="67" fillId="113" borderId="180" xfId="0" applyNumberFormat="1" applyFont="1" applyFill="1" applyBorder="1" applyAlignment="1">
      <alignment horizontal="center" vertical="center"/>
    </xf>
    <xf numFmtId="0" fontId="67" fillId="113" borderId="199" xfId="0" applyFont="1" applyFill="1" applyBorder="1" applyAlignment="1">
      <alignment horizontal="center" vertical="center" wrapText="1"/>
    </xf>
    <xf numFmtId="3" fontId="67" fillId="113" borderId="203" xfId="0" applyNumberFormat="1" applyFont="1" applyFill="1" applyBorder="1" applyAlignment="1">
      <alignment horizontal="center" vertical="center"/>
    </xf>
    <xf numFmtId="3" fontId="67" fillId="113" borderId="200" xfId="0" applyNumberFormat="1" applyFont="1" applyFill="1" applyBorder="1" applyAlignment="1">
      <alignment horizontal="center" vertical="center"/>
    </xf>
    <xf numFmtId="0" fontId="99" fillId="44" borderId="20" xfId="0" applyFont="1" applyFill="1" applyBorder="1" applyAlignment="1">
      <alignment vertical="center" wrapText="1"/>
    </xf>
    <xf numFmtId="0" fontId="155" fillId="2" borderId="0" xfId="41" applyFont="1" applyFill="1" applyAlignment="1">
      <alignment vertical="center"/>
    </xf>
    <xf numFmtId="1" fontId="99" fillId="2" borderId="0" xfId="0" applyNumberFormat="1" applyFont="1" applyFill="1" applyAlignment="1">
      <alignment horizontal="center" vertical="center"/>
    </xf>
    <xf numFmtId="9" fontId="144" fillId="2" borderId="0" xfId="0" applyNumberFormat="1" applyFont="1" applyFill="1" applyBorder="1" applyAlignment="1">
      <alignment vertical="center"/>
    </xf>
    <xf numFmtId="0" fontId="144" fillId="2" borderId="0" xfId="0" applyFont="1" applyFill="1" applyBorder="1" applyAlignment="1">
      <alignment vertical="center"/>
    </xf>
    <xf numFmtId="0" fontId="99" fillId="2" borderId="0" xfId="0" applyFont="1" applyFill="1" applyBorder="1" applyAlignment="1">
      <alignment vertical="center" wrapText="1"/>
    </xf>
    <xf numFmtId="0" fontId="99" fillId="2" borderId="139" xfId="0" applyFont="1" applyFill="1" applyBorder="1" applyAlignment="1">
      <alignment vertical="center"/>
    </xf>
    <xf numFmtId="0" fontId="99" fillId="2" borderId="143" xfId="0" applyFont="1" applyFill="1" applyBorder="1" applyAlignment="1">
      <alignment vertical="center"/>
    </xf>
    <xf numFmtId="0" fontId="99" fillId="2" borderId="140" xfId="0" applyFont="1" applyFill="1" applyBorder="1" applyAlignment="1">
      <alignment vertical="center"/>
    </xf>
    <xf numFmtId="0" fontId="99" fillId="2" borderId="153" xfId="0" applyFont="1" applyFill="1" applyBorder="1" applyAlignment="1">
      <alignment vertical="center"/>
    </xf>
    <xf numFmtId="0" fontId="99" fillId="2" borderId="154" xfId="0" applyFont="1" applyFill="1" applyBorder="1" applyAlignment="1">
      <alignment vertical="center"/>
    </xf>
    <xf numFmtId="1" fontId="99" fillId="2" borderId="0" xfId="0" applyNumberFormat="1" applyFont="1" applyFill="1" applyBorder="1" applyAlignment="1">
      <alignment horizontal="center" vertical="center"/>
    </xf>
    <xf numFmtId="0" fontId="99" fillId="2" borderId="141" xfId="0" applyFont="1" applyFill="1" applyBorder="1" applyAlignment="1">
      <alignment vertical="center"/>
    </xf>
    <xf numFmtId="0" fontId="99" fillId="2" borderId="144" xfId="0" applyFont="1" applyFill="1" applyBorder="1" applyAlignment="1">
      <alignment vertical="center"/>
    </xf>
    <xf numFmtId="0" fontId="99" fillId="2" borderId="142" xfId="0" applyFont="1" applyFill="1" applyBorder="1" applyAlignment="1">
      <alignment vertical="center"/>
    </xf>
    <xf numFmtId="0" fontId="48" fillId="2" borderId="133" xfId="0" applyFont="1" applyFill="1" applyBorder="1" applyAlignment="1">
      <alignment horizontal="center" vertical="center" wrapText="1"/>
    </xf>
    <xf numFmtId="0" fontId="49" fillId="2" borderId="133" xfId="0" applyFont="1" applyFill="1" applyBorder="1" applyAlignment="1">
      <alignment horizontal="center" vertical="center" wrapText="1"/>
    </xf>
    <xf numFmtId="4" fontId="49" fillId="2" borderId="133" xfId="0" applyNumberFormat="1" applyFont="1" applyFill="1" applyBorder="1" applyAlignment="1">
      <alignment horizontal="center" vertical="center" wrapText="1"/>
    </xf>
    <xf numFmtId="4" fontId="48" fillId="2" borderId="133" xfId="0" applyNumberFormat="1" applyFont="1" applyFill="1" applyBorder="1" applyAlignment="1">
      <alignment horizontal="center" vertical="center" wrapText="1"/>
    </xf>
    <xf numFmtId="0" fontId="67" fillId="2" borderId="133" xfId="0" applyFont="1" applyFill="1" applyBorder="1" applyAlignment="1">
      <alignment horizontal="center" vertical="center"/>
    </xf>
    <xf numFmtId="0" fontId="67" fillId="2" borderId="133" xfId="0" applyFont="1" applyFill="1" applyBorder="1" applyAlignment="1">
      <alignment horizontal="left" vertical="center"/>
    </xf>
    <xf numFmtId="0" fontId="67" fillId="2" borderId="133" xfId="0" applyFont="1" applyFill="1" applyBorder="1" applyAlignment="1">
      <alignment vertical="center"/>
    </xf>
    <xf numFmtId="3" fontId="67" fillId="2" borderId="133" xfId="0" applyNumberFormat="1" applyFont="1" applyFill="1" applyBorder="1" applyAlignment="1">
      <alignment horizontal="right" vertical="center"/>
    </xf>
    <xf numFmtId="0" fontId="144" fillId="2" borderId="133" xfId="0" applyFont="1" applyFill="1" applyBorder="1" applyAlignment="1">
      <alignment vertical="center"/>
    </xf>
    <xf numFmtId="0" fontId="48" fillId="2" borderId="133" xfId="0" applyFont="1" applyFill="1" applyBorder="1" applyAlignment="1">
      <alignment horizontal="left" vertical="center"/>
    </xf>
    <xf numFmtId="3" fontId="48" fillId="2" borderId="133" xfId="0" applyNumberFormat="1" applyFont="1" applyFill="1" applyBorder="1" applyAlignment="1">
      <alignment horizontal="right" vertical="center"/>
    </xf>
    <xf numFmtId="0" fontId="49" fillId="2" borderId="133" xfId="0" applyFont="1" applyFill="1" applyBorder="1" applyAlignment="1">
      <alignment horizontal="left" vertical="center"/>
    </xf>
    <xf numFmtId="3" fontId="49" fillId="2" borderId="133" xfId="0" applyNumberFormat="1" applyFont="1" applyFill="1" applyBorder="1" applyAlignment="1">
      <alignment horizontal="right" vertical="center"/>
    </xf>
    <xf numFmtId="0" fontId="99" fillId="2" borderId="133" xfId="0" applyFont="1" applyFill="1" applyBorder="1" applyAlignment="1">
      <alignment vertical="center"/>
    </xf>
    <xf numFmtId="3" fontId="67" fillId="2" borderId="133" xfId="0" applyNumberFormat="1" applyFont="1" applyFill="1" applyBorder="1" applyAlignment="1">
      <alignment horizontal="center" vertical="center"/>
    </xf>
    <xf numFmtId="3" fontId="67" fillId="2" borderId="133" xfId="0" applyNumberFormat="1" applyFont="1" applyFill="1" applyBorder="1" applyAlignment="1">
      <alignment vertical="center"/>
    </xf>
    <xf numFmtId="3" fontId="48" fillId="2" borderId="133" xfId="0" applyNumberFormat="1" applyFont="1" applyFill="1" applyBorder="1" applyAlignment="1">
      <alignment horizontal="center" vertical="center"/>
    </xf>
    <xf numFmtId="3" fontId="49" fillId="2" borderId="133" xfId="0" applyNumberFormat="1" applyFont="1" applyFill="1" applyBorder="1" applyAlignment="1">
      <alignment horizontal="center" vertical="center"/>
    </xf>
    <xf numFmtId="0" fontId="104" fillId="7" borderId="194" xfId="0" applyFont="1" applyFill="1" applyBorder="1" applyAlignment="1">
      <alignment horizontal="center" vertical="center" wrapText="1"/>
    </xf>
    <xf numFmtId="0" fontId="104" fillId="7" borderId="129" xfId="0" applyFont="1" applyFill="1" applyBorder="1" applyAlignment="1">
      <alignment horizontal="center" vertical="center"/>
    </xf>
    <xf numFmtId="3" fontId="104" fillId="2" borderId="0" xfId="0" applyNumberFormat="1" applyFont="1" applyFill="1" applyBorder="1" applyAlignment="1">
      <alignment vertical="center" wrapText="1"/>
    </xf>
    <xf numFmtId="0" fontId="149" fillId="2" borderId="0" xfId="0" applyFont="1" applyFill="1" applyBorder="1" applyAlignment="1">
      <alignment vertical="center" wrapText="1"/>
    </xf>
    <xf numFmtId="0" fontId="68" fillId="0" borderId="0" xfId="0" applyFont="1" applyFill="1" applyBorder="1" applyAlignment="1">
      <alignment horizontal="center" vertical="center"/>
    </xf>
    <xf numFmtId="0" fontId="145" fillId="2" borderId="0" xfId="0" applyFont="1" applyFill="1" applyBorder="1" applyAlignment="1">
      <alignment vertical="center"/>
    </xf>
    <xf numFmtId="3" fontId="145" fillId="2" borderId="0" xfId="0" applyNumberFormat="1" applyFont="1" applyFill="1" applyBorder="1" applyAlignment="1">
      <alignment vertical="center"/>
    </xf>
    <xf numFmtId="3" fontId="104" fillId="2" borderId="0" xfId="0" applyNumberFormat="1" applyFont="1" applyFill="1" applyBorder="1" applyAlignment="1">
      <alignment horizontal="center" vertical="center"/>
    </xf>
    <xf numFmtId="0" fontId="101" fillId="2" borderId="0" xfId="0" applyFont="1" applyFill="1" applyBorder="1" applyAlignment="1">
      <alignment horizontal="center" vertical="center"/>
    </xf>
    <xf numFmtId="0" fontId="99" fillId="0" borderId="0" xfId="0" applyFont="1" applyFill="1" applyBorder="1" applyAlignment="1">
      <alignment horizontal="center" vertical="center"/>
    </xf>
    <xf numFmtId="3" fontId="99" fillId="2" borderId="0" xfId="0" applyNumberFormat="1" applyFont="1" applyFill="1" applyBorder="1" applyAlignment="1">
      <alignment horizontal="center" vertical="center"/>
    </xf>
    <xf numFmtId="4" fontId="101" fillId="2" borderId="0" xfId="0" applyNumberFormat="1" applyFont="1" applyFill="1" applyBorder="1" applyAlignment="1">
      <alignment horizontal="center" vertical="center"/>
    </xf>
    <xf numFmtId="0" fontId="145" fillId="2" borderId="38" xfId="0" applyFont="1" applyFill="1" applyBorder="1" applyAlignment="1">
      <alignment vertical="center"/>
    </xf>
    <xf numFmtId="0" fontId="104" fillId="2" borderId="38" xfId="0" applyFont="1" applyFill="1" applyBorder="1" applyAlignment="1">
      <alignment vertical="center"/>
    </xf>
    <xf numFmtId="4" fontId="104" fillId="2" borderId="38" xfId="0" applyNumberFormat="1" applyFont="1" applyFill="1" applyBorder="1" applyAlignment="1">
      <alignment horizontal="right" vertical="center"/>
    </xf>
    <xf numFmtId="0" fontId="67" fillId="2" borderId="0" xfId="0" applyFont="1" applyFill="1" applyBorder="1" applyAlignment="1">
      <alignment horizontal="center" vertical="center"/>
    </xf>
    <xf numFmtId="9" fontId="99" fillId="2" borderId="0" xfId="1" applyFont="1" applyFill="1" applyAlignment="1">
      <alignment horizontal="center" vertical="center"/>
    </xf>
    <xf numFmtId="2" fontId="99" fillId="2" borderId="0" xfId="0" applyNumberFormat="1" applyFont="1" applyFill="1" applyAlignment="1">
      <alignment horizontal="center" vertical="center"/>
    </xf>
    <xf numFmtId="0" fontId="99" fillId="2" borderId="0" xfId="0" applyFont="1" applyFill="1" applyBorder="1" applyAlignment="1">
      <alignment horizontal="left" vertical="center"/>
    </xf>
    <xf numFmtId="0" fontId="149" fillId="2" borderId="0" xfId="0" applyFont="1" applyFill="1" applyBorder="1" applyAlignment="1">
      <alignment vertical="center"/>
    </xf>
    <xf numFmtId="0" fontId="104" fillId="2" borderId="0" xfId="0" applyFont="1" applyFill="1" applyBorder="1" applyAlignment="1">
      <alignment horizontal="center" vertical="center"/>
    </xf>
    <xf numFmtId="199" fontId="99" fillId="2" borderId="0" xfId="0" applyNumberFormat="1" applyFont="1" applyFill="1" applyAlignment="1">
      <alignment vertical="center"/>
    </xf>
    <xf numFmtId="0" fontId="100" fillId="2" borderId="0" xfId="0" applyFont="1" applyFill="1" applyAlignment="1">
      <alignment horizontal="left" vertical="center"/>
    </xf>
    <xf numFmtId="0" fontId="100" fillId="2" borderId="0" xfId="0" applyFont="1" applyFill="1" applyAlignment="1">
      <alignment vertical="center"/>
    </xf>
    <xf numFmtId="0" fontId="101" fillId="2" borderId="0" xfId="0" applyFont="1" applyFill="1" applyBorder="1" applyAlignment="1">
      <alignment horizontal="center" vertical="center" wrapText="1"/>
    </xf>
    <xf numFmtId="205" fontId="99" fillId="2" borderId="0" xfId="0" applyNumberFormat="1" applyFont="1" applyFill="1" applyBorder="1" applyAlignment="1">
      <alignment horizontal="center" vertical="center"/>
    </xf>
    <xf numFmtId="4" fontId="67" fillId="2" borderId="0" xfId="0" applyNumberFormat="1" applyFont="1" applyFill="1" applyBorder="1" applyAlignment="1">
      <alignment horizontal="left" vertical="center"/>
    </xf>
    <xf numFmtId="0" fontId="144" fillId="2" borderId="0" xfId="0" applyFont="1" applyFill="1" applyBorder="1" applyAlignment="1">
      <alignment horizontal="center" vertical="center"/>
    </xf>
    <xf numFmtId="0" fontId="68" fillId="2" borderId="20" xfId="0" applyFont="1" applyFill="1" applyBorder="1" applyAlignment="1">
      <alignment horizontal="left" vertical="center"/>
    </xf>
    <xf numFmtId="0" fontId="146" fillId="2" borderId="20" xfId="0" applyFont="1" applyFill="1" applyBorder="1" applyAlignment="1">
      <alignment vertical="center"/>
    </xf>
    <xf numFmtId="4" fontId="68" fillId="2" borderId="20" xfId="0" applyNumberFormat="1" applyFont="1" applyFill="1" applyBorder="1" applyAlignment="1">
      <alignment vertical="center"/>
    </xf>
    <xf numFmtId="4" fontId="68" fillId="2" borderId="20" xfId="0" applyNumberFormat="1" applyFont="1" applyFill="1" applyBorder="1" applyAlignment="1">
      <alignment horizontal="right" vertical="center"/>
    </xf>
    <xf numFmtId="9" fontId="68" fillId="2" borderId="20" xfId="36" applyFont="1" applyFill="1" applyBorder="1" applyAlignment="1">
      <alignment horizontal="center" vertical="center"/>
    </xf>
    <xf numFmtId="4" fontId="68" fillId="2" borderId="20" xfId="0" applyNumberFormat="1" applyFont="1" applyFill="1" applyBorder="1" applyAlignment="1">
      <alignment horizontal="center" vertical="center"/>
    </xf>
    <xf numFmtId="2" fontId="99" fillId="2" borderId="20" xfId="0" applyNumberFormat="1" applyFont="1" applyFill="1" applyBorder="1" applyAlignment="1">
      <alignment horizontal="center" vertical="center"/>
    </xf>
    <xf numFmtId="9" fontId="68" fillId="2" borderId="20" xfId="36" applyFont="1" applyFill="1" applyBorder="1" applyAlignment="1">
      <alignment horizontal="right" vertical="center"/>
    </xf>
    <xf numFmtId="4" fontId="67" fillId="2" borderId="20" xfId="0" applyNumberFormat="1" applyFont="1" applyFill="1" applyBorder="1" applyAlignment="1">
      <alignment horizontal="right" vertical="center"/>
    </xf>
    <xf numFmtId="3" fontId="68" fillId="2" borderId="20" xfId="0" applyNumberFormat="1" applyFont="1" applyFill="1" applyBorder="1" applyAlignment="1">
      <alignment horizontal="left" vertical="center"/>
    </xf>
    <xf numFmtId="9" fontId="68" fillId="2" borderId="20" xfId="1" applyFont="1" applyFill="1" applyBorder="1" applyAlignment="1">
      <alignment horizontal="right" vertical="center"/>
    </xf>
    <xf numFmtId="0" fontId="68" fillId="2" borderId="20" xfId="0" applyNumberFormat="1" applyFont="1" applyFill="1" applyBorder="1" applyAlignment="1">
      <alignment horizontal="left" vertical="center" wrapText="1"/>
    </xf>
    <xf numFmtId="1" fontId="99" fillId="2" borderId="20" xfId="0" applyNumberFormat="1" applyFont="1" applyFill="1" applyBorder="1" applyAlignment="1">
      <alignment horizontal="center" vertical="center"/>
    </xf>
    <xf numFmtId="199" fontId="99" fillId="2" borderId="20" xfId="0" applyNumberFormat="1" applyFont="1" applyFill="1" applyBorder="1" applyAlignment="1">
      <alignment horizontal="center" vertical="center" wrapText="1"/>
    </xf>
    <xf numFmtId="4" fontId="149" fillId="2" borderId="20" xfId="0" applyNumberFormat="1" applyFont="1" applyFill="1" applyBorder="1" applyAlignment="1">
      <alignment horizontal="center" vertical="center" wrapText="1"/>
    </xf>
    <xf numFmtId="0" fontId="99" fillId="2" borderId="20" xfId="0" applyFont="1" applyFill="1" applyBorder="1" applyAlignment="1">
      <alignment horizontal="left" vertical="center"/>
    </xf>
    <xf numFmtId="0" fontId="149" fillId="2" borderId="20" xfId="0" applyFont="1" applyFill="1" applyBorder="1" applyAlignment="1">
      <alignment vertical="center" wrapText="1"/>
    </xf>
    <xf numFmtId="199" fontId="149" fillId="2" borderId="20" xfId="0" applyNumberFormat="1" applyFont="1" applyFill="1" applyBorder="1" applyAlignment="1">
      <alignment horizontal="right" vertical="center"/>
    </xf>
    <xf numFmtId="0" fontId="149" fillId="2" borderId="20" xfId="0" applyFont="1" applyFill="1" applyBorder="1" applyAlignment="1">
      <alignment horizontal="center" vertical="center"/>
    </xf>
    <xf numFmtId="3" fontId="149" fillId="2" borderId="20" xfId="0" applyNumberFormat="1" applyFont="1" applyFill="1" applyBorder="1" applyAlignment="1">
      <alignment horizontal="center" vertical="center"/>
    </xf>
    <xf numFmtId="0" fontId="99" fillId="2" borderId="20" xfId="0" applyFont="1" applyFill="1" applyBorder="1" applyAlignment="1">
      <alignment horizontal="justify" vertical="center" wrapText="1"/>
    </xf>
    <xf numFmtId="0" fontId="149" fillId="2" borderId="20" xfId="0" applyFont="1" applyFill="1" applyBorder="1" applyAlignment="1">
      <alignment horizontal="center" vertical="center" wrapText="1"/>
    </xf>
    <xf numFmtId="205" fontId="99" fillId="2" borderId="20" xfId="0" applyNumberFormat="1" applyFont="1" applyFill="1" applyBorder="1" applyAlignment="1">
      <alignment horizontal="center" vertical="center"/>
    </xf>
    <xf numFmtId="1" fontId="68" fillId="2" borderId="20" xfId="0" applyNumberFormat="1" applyFont="1" applyFill="1" applyBorder="1" applyAlignment="1">
      <alignment horizontal="center" vertical="center"/>
    </xf>
    <xf numFmtId="199" fontId="104" fillId="7" borderId="179" xfId="32" applyNumberFormat="1" applyFont="1" applyFill="1" applyBorder="1" applyAlignment="1">
      <alignment horizontal="right" vertical="center"/>
    </xf>
    <xf numFmtId="199" fontId="104" fillId="7" borderId="180" xfId="32" applyNumberFormat="1" applyFont="1" applyFill="1" applyBorder="1" applyAlignment="1">
      <alignment horizontal="right" vertical="center"/>
    </xf>
    <xf numFmtId="0" fontId="155" fillId="27" borderId="20" xfId="0" applyFont="1" applyFill="1" applyBorder="1" applyAlignment="1">
      <alignment horizontal="center" vertical="center" wrapText="1"/>
    </xf>
    <xf numFmtId="0" fontId="67" fillId="27" borderId="20" xfId="0" applyFont="1" applyFill="1" applyBorder="1" applyAlignment="1">
      <alignment horizontal="left" vertical="center"/>
    </xf>
    <xf numFmtId="4" fontId="67" fillId="27" borderId="20" xfId="0" applyNumberFormat="1" applyFont="1" applyFill="1" applyBorder="1" applyAlignment="1">
      <alignment horizontal="right" vertical="center"/>
    </xf>
    <xf numFmtId="0" fontId="68" fillId="27" borderId="20" xfId="0" applyFont="1" applyFill="1" applyBorder="1" applyAlignment="1">
      <alignment horizontal="center" vertical="center"/>
    </xf>
    <xf numFmtId="3" fontId="68" fillId="27" borderId="20" xfId="0" applyNumberFormat="1" applyFont="1" applyFill="1" applyBorder="1" applyAlignment="1">
      <alignment horizontal="center" vertical="center"/>
    </xf>
    <xf numFmtId="4" fontId="68" fillId="27" borderId="20" xfId="0" applyNumberFormat="1" applyFont="1" applyFill="1" applyBorder="1" applyAlignment="1">
      <alignment horizontal="center" vertical="center"/>
    </xf>
    <xf numFmtId="199" fontId="67" fillId="27" borderId="20" xfId="32" applyNumberFormat="1" applyFont="1" applyFill="1" applyBorder="1" applyAlignment="1">
      <alignment horizontal="right" vertical="center"/>
    </xf>
    <xf numFmtId="199" fontId="67" fillId="27" borderId="20" xfId="0" applyNumberFormat="1" applyFont="1" applyFill="1" applyBorder="1" applyAlignment="1">
      <alignment horizontal="center" vertical="center" wrapText="1"/>
    </xf>
    <xf numFmtId="4" fontId="67" fillId="27" borderId="20" xfId="0" applyNumberFormat="1" applyFont="1" applyFill="1" applyBorder="1" applyAlignment="1">
      <alignment horizontal="center" vertical="center" wrapText="1"/>
    </xf>
    <xf numFmtId="0" fontId="67" fillId="27" borderId="20" xfId="0" applyFont="1" applyFill="1" applyBorder="1" applyAlignment="1">
      <alignment horizontal="center" vertical="center"/>
    </xf>
    <xf numFmtId="0" fontId="68" fillId="27" borderId="20" xfId="0" applyFont="1" applyFill="1" applyBorder="1" applyAlignment="1">
      <alignment horizontal="left" vertical="center"/>
    </xf>
    <xf numFmtId="199" fontId="67" fillId="27" borderId="20" xfId="38" applyNumberFormat="1" applyFont="1" applyFill="1" applyBorder="1" applyAlignment="1">
      <alignment horizontal="right" vertical="center"/>
    </xf>
    <xf numFmtId="0" fontId="68" fillId="27" borderId="20" xfId="0" applyFont="1" applyFill="1" applyBorder="1" applyAlignment="1">
      <alignment horizontal="justify" vertical="center"/>
    </xf>
    <xf numFmtId="199" fontId="67" fillId="27" borderId="20" xfId="0" applyNumberFormat="1" applyFont="1" applyFill="1" applyBorder="1" applyAlignment="1">
      <alignment horizontal="center" vertical="center"/>
    </xf>
    <xf numFmtId="3" fontId="68" fillId="27" borderId="20" xfId="0" applyNumberFormat="1" applyFont="1" applyFill="1" applyBorder="1" applyAlignment="1">
      <alignment vertical="center"/>
    </xf>
    <xf numFmtId="3" fontId="67" fillId="27" borderId="20" xfId="0" applyNumberFormat="1" applyFont="1" applyFill="1" applyBorder="1" applyAlignment="1">
      <alignment vertical="center" wrapText="1"/>
    </xf>
    <xf numFmtId="199" fontId="67" fillId="27" borderId="20" xfId="0" applyNumberFormat="1" applyFont="1" applyFill="1" applyBorder="1" applyAlignment="1">
      <alignment horizontal="right" vertical="center"/>
    </xf>
    <xf numFmtId="4" fontId="67" fillId="27" borderId="20" xfId="0" applyNumberFormat="1" applyFont="1" applyFill="1" applyBorder="1" applyAlignment="1">
      <alignment horizontal="right" vertical="center" wrapText="1"/>
    </xf>
    <xf numFmtId="0" fontId="67" fillId="6" borderId="20" xfId="0" applyFont="1" applyFill="1" applyBorder="1" applyAlignment="1">
      <alignment horizontal="center" vertical="center" wrapText="1"/>
    </xf>
    <xf numFmtId="9" fontId="68" fillId="2" borderId="20" xfId="1" applyNumberFormat="1" applyFont="1" applyFill="1" applyBorder="1" applyAlignment="1">
      <alignment vertical="center"/>
    </xf>
    <xf numFmtId="0" fontId="67" fillId="27" borderId="20" xfId="0" applyNumberFormat="1" applyFont="1" applyFill="1" applyBorder="1" applyAlignment="1">
      <alignment vertical="center" wrapText="1"/>
    </xf>
    <xf numFmtId="1" fontId="67" fillId="27" borderId="20" xfId="0" applyNumberFormat="1" applyFont="1" applyFill="1" applyBorder="1" applyAlignment="1">
      <alignment horizontal="center" vertical="center" wrapText="1"/>
    </xf>
    <xf numFmtId="9" fontId="101" fillId="27" borderId="20" xfId="1" applyFont="1" applyFill="1" applyBorder="1" applyAlignment="1">
      <alignment horizontal="right" vertical="center"/>
    </xf>
    <xf numFmtId="9" fontId="67" fillId="27" borderId="20" xfId="1" applyFont="1" applyFill="1" applyBorder="1" applyAlignment="1">
      <alignment vertical="center"/>
    </xf>
    <xf numFmtId="0" fontId="67" fillId="27" borderId="20" xfId="0" applyNumberFormat="1" applyFont="1" applyFill="1" applyBorder="1" applyAlignment="1">
      <alignment horizontal="left" vertical="center" wrapText="1"/>
    </xf>
    <xf numFmtId="9" fontId="67" fillId="27" borderId="20" xfId="1" applyFont="1" applyFill="1" applyBorder="1" applyAlignment="1">
      <alignment horizontal="center" vertical="center"/>
    </xf>
    <xf numFmtId="9" fontId="67" fillId="27" borderId="20" xfId="1" applyFont="1" applyFill="1" applyBorder="1" applyAlignment="1">
      <alignment horizontal="right" vertical="center"/>
    </xf>
    <xf numFmtId="9" fontId="101" fillId="27" borderId="20" xfId="1" applyFont="1" applyFill="1" applyBorder="1" applyAlignment="1">
      <alignment horizontal="center" vertical="center"/>
    </xf>
    <xf numFmtId="1" fontId="104" fillId="7" borderId="203" xfId="0" applyNumberFormat="1" applyFont="1" applyFill="1" applyBorder="1" applyAlignment="1">
      <alignment horizontal="center" vertical="center" wrapText="1"/>
    </xf>
    <xf numFmtId="9" fontId="104" fillId="7" borderId="200" xfId="0" applyNumberFormat="1" applyFont="1" applyFill="1" applyBorder="1" applyAlignment="1">
      <alignment horizontal="right" vertical="center" wrapText="1"/>
    </xf>
    <xf numFmtId="9" fontId="104" fillId="7" borderId="204" xfId="0" applyNumberFormat="1" applyFont="1" applyFill="1" applyBorder="1" applyAlignment="1">
      <alignment horizontal="center" vertical="center" wrapText="1"/>
    </xf>
    <xf numFmtId="0" fontId="67" fillId="2" borderId="20" xfId="0" applyFont="1" applyFill="1" applyBorder="1" applyAlignment="1">
      <alignment horizontal="left" vertical="center"/>
    </xf>
    <xf numFmtId="0" fontId="146" fillId="2" borderId="20" xfId="0" applyFont="1" applyFill="1" applyBorder="1" applyAlignment="1">
      <alignment horizontal="center" vertical="center"/>
    </xf>
    <xf numFmtId="0" fontId="145" fillId="2" borderId="0" xfId="0" applyFont="1" applyFill="1" applyBorder="1" applyAlignment="1">
      <alignment horizontal="center" vertical="center"/>
    </xf>
    <xf numFmtId="2" fontId="68" fillId="2" borderId="0" xfId="0" applyNumberFormat="1" applyFont="1" applyFill="1" applyAlignment="1">
      <alignment horizontal="center" vertical="center"/>
    </xf>
    <xf numFmtId="0" fontId="68" fillId="2" borderId="0" xfId="0" applyFont="1" applyFill="1" applyAlignment="1">
      <alignment horizontal="right" vertical="center"/>
    </xf>
    <xf numFmtId="0" fontId="49" fillId="0" borderId="133" xfId="0" applyFont="1" applyBorder="1" applyAlignment="1">
      <alignment horizontal="center" vertical="center" wrapText="1"/>
    </xf>
    <xf numFmtId="4" fontId="49" fillId="35" borderId="133" xfId="0" applyNumberFormat="1" applyFont="1" applyFill="1" applyBorder="1" applyAlignment="1">
      <alignment horizontal="center" vertical="center" wrapText="1"/>
    </xf>
    <xf numFmtId="2" fontId="99" fillId="0" borderId="133" xfId="0" applyNumberFormat="1" applyFont="1" applyBorder="1" applyAlignment="1">
      <alignment horizontal="center"/>
    </xf>
    <xf numFmtId="10" fontId="104" fillId="7" borderId="194" xfId="0" applyNumberFormat="1" applyFont="1" applyFill="1" applyBorder="1" applyAlignment="1">
      <alignment horizontal="center" vertical="center" wrapText="1"/>
    </xf>
    <xf numFmtId="10" fontId="104" fillId="7" borderId="195" xfId="0" applyNumberFormat="1" applyFont="1" applyFill="1" applyBorder="1" applyAlignment="1">
      <alignment horizontal="center" vertical="center" wrapText="1"/>
    </xf>
    <xf numFmtId="0" fontId="48" fillId="5" borderId="133" xfId="0" applyFont="1" applyFill="1" applyBorder="1" applyAlignment="1">
      <alignment horizontal="center" vertical="center" wrapText="1"/>
    </xf>
    <xf numFmtId="0" fontId="48" fillId="27" borderId="133" xfId="0" applyFont="1" applyFill="1" applyBorder="1" applyAlignment="1">
      <alignment horizontal="center" vertical="center" wrapText="1"/>
    </xf>
    <xf numFmtId="4" fontId="48" fillId="27" borderId="133" xfId="0" applyNumberFormat="1" applyFont="1" applyFill="1" applyBorder="1" applyAlignment="1">
      <alignment horizontal="center" vertical="center" wrapText="1"/>
    </xf>
    <xf numFmtId="3" fontId="67" fillId="2" borderId="133" xfId="44" applyNumberFormat="1" applyFont="1" applyFill="1" applyBorder="1" applyAlignment="1">
      <alignment vertical="center" wrapText="1"/>
    </xf>
    <xf numFmtId="0" fontId="68" fillId="2" borderId="133" xfId="3" applyFont="1" applyFill="1" applyBorder="1" applyAlignment="1">
      <alignment horizontal="left" vertical="center"/>
    </xf>
    <xf numFmtId="3" fontId="68" fillId="2" borderId="133" xfId="44" applyNumberFormat="1" applyFont="1" applyFill="1" applyBorder="1" applyAlignment="1">
      <alignment vertical="center" wrapText="1"/>
    </xf>
    <xf numFmtId="0" fontId="68" fillId="2" borderId="133" xfId="0" applyFont="1" applyFill="1" applyBorder="1" applyAlignment="1">
      <alignment horizontal="left" vertical="center"/>
    </xf>
    <xf numFmtId="0" fontId="68" fillId="2" borderId="133" xfId="0" applyFont="1" applyFill="1" applyBorder="1" applyAlignment="1">
      <alignment vertical="center"/>
    </xf>
    <xf numFmtId="0" fontId="104" fillId="7" borderId="193" xfId="0" applyFont="1" applyFill="1" applyBorder="1" applyAlignment="1">
      <alignment horizontal="left" vertical="center"/>
    </xf>
    <xf numFmtId="0" fontId="104" fillId="7" borderId="194" xfId="0" applyFont="1" applyFill="1" applyBorder="1" applyAlignment="1">
      <alignment horizontal="center" vertical="center"/>
    </xf>
    <xf numFmtId="3" fontId="104" fillId="7" borderId="194" xfId="44" applyNumberFormat="1" applyFont="1" applyFill="1" applyBorder="1" applyAlignment="1">
      <alignment vertical="center" wrapText="1"/>
    </xf>
    <xf numFmtId="3" fontId="104" fillId="7" borderId="195" xfId="44" applyNumberFormat="1" applyFont="1" applyFill="1" applyBorder="1" applyAlignment="1">
      <alignment vertical="center" wrapText="1"/>
    </xf>
    <xf numFmtId="0" fontId="67" fillId="27" borderId="133" xfId="0" applyFont="1" applyFill="1" applyBorder="1" applyAlignment="1">
      <alignment horizontal="left" vertical="center"/>
    </xf>
    <xf numFmtId="0" fontId="67" fillId="27" borderId="133" xfId="0" applyFont="1" applyFill="1" applyBorder="1" applyAlignment="1">
      <alignment vertical="center"/>
    </xf>
    <xf numFmtId="3" fontId="67" fillId="27" borderId="133" xfId="44" applyNumberFormat="1" applyFont="1" applyFill="1" applyBorder="1" applyAlignment="1">
      <alignment vertical="center" wrapText="1"/>
    </xf>
    <xf numFmtId="0" fontId="104" fillId="7" borderId="194" xfId="0" applyFont="1" applyFill="1" applyBorder="1" applyAlignment="1">
      <alignment vertical="center"/>
    </xf>
    <xf numFmtId="0" fontId="155" fillId="4" borderId="0" xfId="41" applyFont="1" applyFill="1" applyAlignment="1">
      <alignment vertical="center"/>
    </xf>
    <xf numFmtId="0" fontId="149" fillId="2" borderId="0" xfId="0" applyFont="1" applyFill="1" applyBorder="1" applyAlignment="1">
      <alignment horizontal="left" vertical="center" wrapText="1"/>
    </xf>
    <xf numFmtId="0" fontId="214" fillId="2" borderId="0" xfId="0" applyFont="1" applyFill="1" applyAlignment="1">
      <alignment horizontal="center" vertical="center"/>
    </xf>
    <xf numFmtId="9" fontId="99" fillId="2" borderId="0" xfId="1" applyFont="1" applyFill="1" applyBorder="1" applyAlignment="1">
      <alignment vertical="center"/>
    </xf>
    <xf numFmtId="0" fontId="155" fillId="2" borderId="0" xfId="0" applyFont="1" applyFill="1" applyBorder="1" applyAlignment="1">
      <alignment horizontal="center" vertical="center"/>
    </xf>
    <xf numFmtId="3" fontId="100" fillId="2" borderId="133" xfId="0" applyNumberFormat="1" applyFont="1" applyFill="1" applyBorder="1" applyAlignment="1">
      <alignment horizontal="center" vertical="center"/>
    </xf>
    <xf numFmtId="9" fontId="99" fillId="2" borderId="133" xfId="1" applyFont="1" applyFill="1" applyBorder="1" applyAlignment="1">
      <alignment vertical="center"/>
    </xf>
    <xf numFmtId="0" fontId="67" fillId="6" borderId="133" xfId="13" applyFont="1" applyFill="1" applyBorder="1" applyAlignment="1">
      <alignment horizontal="left" vertical="center"/>
    </xf>
    <xf numFmtId="0" fontId="107" fillId="6" borderId="133" xfId="13" applyFont="1" applyFill="1" applyBorder="1" applyAlignment="1">
      <alignment horizontal="center" vertical="center" wrapText="1"/>
    </xf>
    <xf numFmtId="0" fontId="100" fillId="6" borderId="133" xfId="0" applyFont="1" applyFill="1" applyBorder="1" applyAlignment="1">
      <alignment horizontal="left" vertical="center" wrapText="1"/>
    </xf>
    <xf numFmtId="0" fontId="67" fillId="6" borderId="133" xfId="0" applyFont="1" applyFill="1" applyBorder="1" applyAlignment="1">
      <alignment horizontal="left" vertical="center" wrapText="1"/>
    </xf>
    <xf numFmtId="0" fontId="100" fillId="6" borderId="133" xfId="0" applyFont="1" applyFill="1" applyBorder="1" applyAlignment="1">
      <alignment vertical="center"/>
    </xf>
    <xf numFmtId="0" fontId="99" fillId="6" borderId="133" xfId="0" applyFont="1" applyFill="1" applyBorder="1" applyAlignment="1">
      <alignment vertical="center"/>
    </xf>
    <xf numFmtId="3" fontId="107" fillId="6" borderId="133" xfId="13" applyNumberFormat="1" applyFont="1" applyFill="1" applyBorder="1" applyAlignment="1">
      <alignment horizontal="center" vertical="center" wrapText="1"/>
    </xf>
    <xf numFmtId="0" fontId="149" fillId="0" borderId="133" xfId="0" applyFont="1" applyFill="1" applyBorder="1" applyAlignment="1">
      <alignment horizontal="left" vertical="center" wrapText="1"/>
    </xf>
    <xf numFmtId="3" fontId="99" fillId="0" borderId="133" xfId="0" applyNumberFormat="1" applyFont="1" applyFill="1" applyBorder="1" applyAlignment="1">
      <alignment vertical="center"/>
    </xf>
    <xf numFmtId="0" fontId="214" fillId="2" borderId="153" xfId="0" applyFont="1" applyFill="1" applyBorder="1" applyAlignment="1">
      <alignment vertical="center"/>
    </xf>
    <xf numFmtId="0" fontId="149" fillId="2" borderId="0" xfId="45" applyFont="1" applyFill="1" applyBorder="1" applyAlignment="1">
      <alignment vertical="center"/>
    </xf>
    <xf numFmtId="3" fontId="149" fillId="2" borderId="0" xfId="45" applyNumberFormat="1" applyFont="1" applyFill="1" applyBorder="1" applyAlignment="1">
      <alignment horizontal="center" vertical="center"/>
    </xf>
    <xf numFmtId="169" fontId="149" fillId="2" borderId="0" xfId="48" applyFont="1" applyFill="1" applyBorder="1" applyAlignment="1">
      <alignment vertical="center"/>
    </xf>
    <xf numFmtId="206" fontId="149" fillId="2" borderId="0" xfId="45" applyNumberFormat="1" applyFont="1" applyFill="1" applyBorder="1" applyAlignment="1">
      <alignment horizontal="center" vertical="center"/>
    </xf>
    <xf numFmtId="0" fontId="68" fillId="2" borderId="0" xfId="45" applyFont="1" applyFill="1" applyAlignment="1">
      <alignment vertical="center"/>
    </xf>
    <xf numFmtId="0" fontId="68" fillId="2" borderId="0" xfId="45" applyFont="1" applyFill="1" applyBorder="1" applyAlignment="1">
      <alignment vertical="center"/>
    </xf>
    <xf numFmtId="0" fontId="99" fillId="2" borderId="0" xfId="46" applyFont="1" applyFill="1" applyBorder="1" applyAlignment="1">
      <alignment horizontal="center" vertical="center"/>
    </xf>
    <xf numFmtId="2" fontId="99" fillId="2" borderId="0" xfId="46" applyNumberFormat="1" applyFont="1" applyFill="1" applyBorder="1" applyAlignment="1">
      <alignment horizontal="center" vertical="center"/>
    </xf>
    <xf numFmtId="2" fontId="99" fillId="2" borderId="0" xfId="46" applyNumberFormat="1" applyFont="1" applyFill="1" applyBorder="1" applyAlignment="1">
      <alignment horizontal="right" vertical="center"/>
    </xf>
    <xf numFmtId="0" fontId="99" fillId="2" borderId="0" xfId="46" applyFont="1" applyFill="1" applyBorder="1" applyAlignment="1">
      <alignment vertical="center"/>
    </xf>
    <xf numFmtId="0" fontId="99" fillId="2" borderId="0" xfId="0" applyFont="1" applyFill="1" applyBorder="1" applyAlignment="1">
      <alignment horizontal="left" vertical="center" wrapText="1"/>
    </xf>
    <xf numFmtId="165" fontId="99" fillId="2" borderId="0" xfId="47" applyNumberFormat="1" applyFont="1" applyFill="1" applyBorder="1" applyAlignment="1">
      <alignment horizontal="left" vertical="center"/>
    </xf>
    <xf numFmtId="4" fontId="101" fillId="2" borderId="0" xfId="0" applyNumberFormat="1" applyFont="1" applyFill="1" applyBorder="1" applyAlignment="1">
      <alignment horizontal="center" vertical="center" wrapText="1"/>
    </xf>
    <xf numFmtId="2" fontId="67" fillId="2" borderId="0" xfId="45" applyNumberFormat="1" applyFont="1" applyFill="1" applyBorder="1" applyAlignment="1">
      <alignment vertical="center"/>
    </xf>
    <xf numFmtId="0" fontId="67" fillId="2" borderId="0" xfId="45" applyFont="1" applyFill="1" applyBorder="1" applyAlignment="1">
      <alignment horizontal="center" vertical="center"/>
    </xf>
    <xf numFmtId="0" fontId="192" fillId="2" borderId="0" xfId="45" applyFont="1" applyFill="1" applyBorder="1" applyAlignment="1">
      <alignment horizontal="left" vertical="center"/>
    </xf>
    <xf numFmtId="0" fontId="100" fillId="2" borderId="0" xfId="45" applyFont="1" applyFill="1" applyBorder="1" applyAlignment="1">
      <alignment horizontal="center" vertical="center"/>
    </xf>
    <xf numFmtId="0" fontId="100" fillId="2" borderId="0" xfId="45" applyFont="1" applyFill="1" applyBorder="1" applyAlignment="1">
      <alignment horizontal="left" vertical="center"/>
    </xf>
    <xf numFmtId="0" fontId="149" fillId="2" borderId="0" xfId="45" applyFont="1" applyFill="1" applyAlignment="1">
      <alignment vertical="center"/>
    </xf>
    <xf numFmtId="0" fontId="149" fillId="2" borderId="0" xfId="45" applyFont="1" applyFill="1" applyBorder="1" applyAlignment="1">
      <alignment horizontal="center" vertical="center"/>
    </xf>
    <xf numFmtId="4" fontId="149" fillId="2" borderId="0" xfId="45" applyNumberFormat="1" applyFont="1" applyFill="1" applyBorder="1" applyAlignment="1">
      <alignment horizontal="center" vertical="center"/>
    </xf>
    <xf numFmtId="165" fontId="149" fillId="2" borderId="0" xfId="45" applyNumberFormat="1" applyFont="1" applyFill="1" applyBorder="1" applyAlignment="1">
      <alignment horizontal="center" vertical="center"/>
    </xf>
    <xf numFmtId="4" fontId="216" fillId="2" borderId="0" xfId="0" applyNumberFormat="1" applyFont="1" applyFill="1" applyBorder="1" applyAlignment="1">
      <alignment horizontal="center" vertical="center"/>
    </xf>
    <xf numFmtId="0" fontId="216" fillId="2" borderId="0" xfId="0" applyFont="1" applyFill="1" applyBorder="1" applyAlignment="1">
      <alignment horizontal="center" vertical="center"/>
    </xf>
    <xf numFmtId="166" fontId="48" fillId="2" borderId="0" xfId="0" applyNumberFormat="1" applyFont="1" applyFill="1" applyBorder="1" applyAlignment="1">
      <alignment horizontal="center" vertical="center"/>
    </xf>
    <xf numFmtId="0" fontId="146" fillId="2" borderId="0" xfId="45" applyFont="1" applyFill="1" applyBorder="1" applyAlignment="1">
      <alignment vertical="center"/>
    </xf>
    <xf numFmtId="4" fontId="155" fillId="2" borderId="0" xfId="0" applyNumberFormat="1" applyFont="1" applyFill="1" applyBorder="1" applyAlignment="1">
      <alignment horizontal="center" vertical="center"/>
    </xf>
    <xf numFmtId="166" fontId="155" fillId="2" borderId="0" xfId="0" applyNumberFormat="1" applyFont="1" applyFill="1" applyBorder="1" applyAlignment="1">
      <alignment horizontal="center" vertical="center"/>
    </xf>
    <xf numFmtId="4" fontId="217" fillId="2" borderId="0" xfId="49" applyNumberFormat="1" applyFont="1" applyFill="1" applyBorder="1" applyAlignment="1">
      <alignment horizontal="center" vertical="center"/>
    </xf>
    <xf numFmtId="0" fontId="49" fillId="2" borderId="0" xfId="0" applyFont="1" applyFill="1" applyBorder="1" applyAlignment="1">
      <alignment horizontal="center" vertical="center"/>
    </xf>
    <xf numFmtId="0" fontId="48" fillId="2" borderId="0" xfId="0" applyFont="1" applyFill="1" applyBorder="1" applyAlignment="1">
      <alignment horizontal="center" vertical="center"/>
    </xf>
    <xf numFmtId="0" fontId="68" fillId="2" borderId="139" xfId="45" applyFont="1" applyFill="1" applyBorder="1" applyAlignment="1">
      <alignment vertical="center"/>
    </xf>
    <xf numFmtId="0" fontId="68" fillId="2" borderId="143" xfId="45" applyFont="1" applyFill="1" applyBorder="1" applyAlignment="1">
      <alignment vertical="center"/>
    </xf>
    <xf numFmtId="0" fontId="68" fillId="2" borderId="140" xfId="45" applyFont="1" applyFill="1" applyBorder="1" applyAlignment="1">
      <alignment vertical="center"/>
    </xf>
    <xf numFmtId="0" fontId="68" fillId="2" borderId="153" xfId="45" applyFont="1" applyFill="1" applyBorder="1" applyAlignment="1">
      <alignment vertical="center"/>
    </xf>
    <xf numFmtId="0" fontId="68" fillId="2" borderId="154" xfId="45" applyFont="1" applyFill="1" applyBorder="1" applyAlignment="1">
      <alignment vertical="center"/>
    </xf>
    <xf numFmtId="0" fontId="99" fillId="2" borderId="154" xfId="46" applyFont="1" applyFill="1" applyBorder="1" applyAlignment="1">
      <alignment vertical="center"/>
    </xf>
    <xf numFmtId="0" fontId="149" fillId="2" borderId="154" xfId="45" applyFont="1" applyFill="1" applyBorder="1" applyAlignment="1">
      <alignment vertical="center"/>
    </xf>
    <xf numFmtId="0" fontId="68" fillId="2" borderId="141" xfId="45" applyFont="1" applyFill="1" applyBorder="1" applyAlignment="1">
      <alignment vertical="center"/>
    </xf>
    <xf numFmtId="0" fontId="68" fillId="2" borderId="144" xfId="45" applyFont="1" applyFill="1" applyBorder="1" applyAlignment="1">
      <alignment vertical="center"/>
    </xf>
    <xf numFmtId="0" fontId="68" fillId="2" borderId="142" xfId="45" applyFont="1" applyFill="1" applyBorder="1" applyAlignment="1">
      <alignment vertical="center"/>
    </xf>
    <xf numFmtId="0" fontId="101" fillId="2" borderId="133" xfId="13" applyFont="1" applyFill="1" applyBorder="1" applyAlignment="1">
      <alignment horizontal="center" vertical="center" wrapText="1"/>
    </xf>
    <xf numFmtId="0" fontId="99" fillId="2" borderId="133" xfId="0" applyFont="1" applyFill="1" applyBorder="1" applyAlignment="1">
      <alignment horizontal="center" vertical="center"/>
    </xf>
    <xf numFmtId="165" fontId="101" fillId="2" borderId="133" xfId="13" applyNumberFormat="1" applyFont="1" applyFill="1" applyBorder="1" applyAlignment="1">
      <alignment horizontal="right" vertical="center" wrapText="1"/>
    </xf>
    <xf numFmtId="165" fontId="101" fillId="2" borderId="133" xfId="47" applyNumberFormat="1" applyFont="1" applyFill="1" applyBorder="1" applyAlignment="1">
      <alignment horizontal="right" vertical="center"/>
    </xf>
    <xf numFmtId="165" fontId="99" fillId="2" borderId="133" xfId="47" applyNumberFormat="1" applyFont="1" applyFill="1" applyBorder="1" applyAlignment="1">
      <alignment horizontal="right" vertical="center"/>
    </xf>
    <xf numFmtId="166" fontId="101" fillId="2" borderId="133" xfId="13" applyNumberFormat="1" applyFont="1" applyFill="1" applyBorder="1" applyAlignment="1">
      <alignment horizontal="right" vertical="center" wrapText="1"/>
    </xf>
    <xf numFmtId="0" fontId="101" fillId="2" borderId="133" xfId="0" applyFont="1" applyFill="1" applyBorder="1" applyAlignment="1">
      <alignment horizontal="left" vertical="center" wrapText="1"/>
    </xf>
    <xf numFmtId="165" fontId="101" fillId="2" borderId="133" xfId="47" applyNumberFormat="1" applyFont="1" applyFill="1" applyBorder="1" applyAlignment="1">
      <alignment horizontal="center" vertical="center"/>
    </xf>
    <xf numFmtId="165" fontId="99" fillId="2" borderId="133" xfId="47" applyNumberFormat="1" applyFont="1" applyFill="1" applyBorder="1" applyAlignment="1">
      <alignment horizontal="center" vertical="center"/>
    </xf>
    <xf numFmtId="0" fontId="149" fillId="2" borderId="133" xfId="45" applyFont="1" applyFill="1" applyBorder="1" applyAlignment="1">
      <alignment horizontal="center" vertical="center"/>
    </xf>
    <xf numFmtId="3" fontId="149" fillId="2" borderId="133" xfId="45" applyNumberFormat="1" applyFont="1" applyFill="1" applyBorder="1" applyAlignment="1">
      <alignment horizontal="center" vertical="center"/>
    </xf>
    <xf numFmtId="0" fontId="68" fillId="2" borderId="133" xfId="45" applyFont="1" applyFill="1" applyBorder="1" applyAlignment="1">
      <alignment vertical="center"/>
    </xf>
    <xf numFmtId="4" fontId="149" fillId="2" borderId="133" xfId="45" applyNumberFormat="1" applyFont="1" applyFill="1" applyBorder="1" applyAlignment="1">
      <alignment horizontal="center" vertical="center"/>
    </xf>
    <xf numFmtId="4" fontId="100" fillId="2" borderId="133" xfId="45" applyNumberFormat="1" applyFont="1" applyFill="1" applyBorder="1" applyAlignment="1">
      <alignment horizontal="center" vertical="center"/>
    </xf>
    <xf numFmtId="0" fontId="149" fillId="2" borderId="133" xfId="45" applyFont="1" applyFill="1" applyBorder="1" applyAlignment="1">
      <alignment vertical="center"/>
    </xf>
    <xf numFmtId="0" fontId="68" fillId="2" borderId="133" xfId="45" applyFont="1" applyFill="1" applyBorder="1" applyAlignment="1">
      <alignment vertical="center" wrapText="1"/>
    </xf>
    <xf numFmtId="0" fontId="100" fillId="2" borderId="133" xfId="45" applyFont="1" applyFill="1" applyBorder="1" applyAlignment="1">
      <alignment vertical="center"/>
    </xf>
    <xf numFmtId="4" fontId="100" fillId="2" borderId="133" xfId="45" applyNumberFormat="1" applyFont="1" applyFill="1" applyBorder="1" applyAlignment="1">
      <alignment vertical="center"/>
    </xf>
    <xf numFmtId="0" fontId="100" fillId="2" borderId="133" xfId="45" applyFont="1" applyFill="1" applyBorder="1" applyAlignment="1">
      <alignment horizontal="left" vertical="center"/>
    </xf>
    <xf numFmtId="166" fontId="68" fillId="2" borderId="133" xfId="45" applyNumberFormat="1" applyFont="1" applyFill="1" applyBorder="1" applyAlignment="1">
      <alignment horizontal="right" vertical="center"/>
    </xf>
    <xf numFmtId="169" fontId="68" fillId="2" borderId="133" xfId="45" applyNumberFormat="1" applyFont="1" applyFill="1" applyBorder="1" applyAlignment="1">
      <alignment horizontal="right" vertical="center"/>
    </xf>
    <xf numFmtId="0" fontId="67" fillId="2" borderId="133" xfId="45" applyFont="1" applyFill="1" applyBorder="1" applyAlignment="1">
      <alignment horizontal="center" vertical="center"/>
    </xf>
    <xf numFmtId="166" fontId="67" fillId="2" borderId="133" xfId="45" applyNumberFormat="1" applyFont="1" applyFill="1" applyBorder="1" applyAlignment="1">
      <alignment horizontal="center" vertical="center"/>
    </xf>
    <xf numFmtId="183" fontId="49" fillId="2" borderId="133" xfId="0" applyNumberFormat="1" applyFont="1" applyFill="1" applyBorder="1" applyAlignment="1">
      <alignment horizontal="center" vertical="center"/>
    </xf>
    <xf numFmtId="166" fontId="67" fillId="2" borderId="133" xfId="0" applyNumberFormat="1" applyFont="1" applyFill="1" applyBorder="1" applyAlignment="1">
      <alignment horizontal="center" vertical="center"/>
    </xf>
    <xf numFmtId="0" fontId="49" fillId="2" borderId="133" xfId="0" applyFont="1" applyFill="1" applyBorder="1" applyAlignment="1">
      <alignment horizontal="left" vertical="center" wrapText="1"/>
    </xf>
    <xf numFmtId="0" fontId="49" fillId="2" borderId="133" xfId="0" applyFont="1" applyFill="1" applyBorder="1" applyAlignment="1">
      <alignment horizontal="center" vertical="center"/>
    </xf>
    <xf numFmtId="169" fontId="49" fillId="2" borderId="133" xfId="0" applyNumberFormat="1" applyFont="1" applyFill="1" applyBorder="1" applyAlignment="1">
      <alignment horizontal="center" vertical="center"/>
    </xf>
    <xf numFmtId="0" fontId="48" fillId="2" borderId="133" xfId="0" applyFont="1" applyFill="1" applyBorder="1" applyAlignment="1">
      <alignment horizontal="right" vertical="center"/>
    </xf>
    <xf numFmtId="169" fontId="48" fillId="2" borderId="133" xfId="0" applyNumberFormat="1" applyFont="1" applyFill="1" applyBorder="1" applyAlignment="1">
      <alignment horizontal="center" vertical="center"/>
    </xf>
    <xf numFmtId="0" fontId="104" fillId="7" borderId="193" xfId="45" applyFont="1" applyFill="1" applyBorder="1" applyAlignment="1">
      <alignment horizontal="center" vertical="center"/>
    </xf>
    <xf numFmtId="0" fontId="104" fillId="7" borderId="195" xfId="0" applyFont="1" applyFill="1" applyBorder="1" applyAlignment="1">
      <alignment horizontal="center" vertical="center"/>
    </xf>
    <xf numFmtId="0" fontId="104" fillId="7" borderId="193" xfId="45" applyFont="1" applyFill="1" applyBorder="1" applyAlignment="1">
      <alignment vertical="center"/>
    </xf>
    <xf numFmtId="0" fontId="104" fillId="7" borderId="195" xfId="45" applyFont="1" applyFill="1" applyBorder="1" applyAlignment="1">
      <alignment horizontal="center" vertical="center"/>
    </xf>
    <xf numFmtId="0" fontId="104" fillId="7" borderId="194" xfId="45" applyFont="1" applyFill="1" applyBorder="1" applyAlignment="1">
      <alignment horizontal="center" vertical="center" wrapText="1"/>
    </xf>
    <xf numFmtId="0" fontId="104" fillId="7" borderId="195" xfId="45" applyFont="1" applyFill="1" applyBorder="1" applyAlignment="1">
      <alignment horizontal="center" vertical="center" wrapText="1"/>
    </xf>
    <xf numFmtId="0" fontId="101" fillId="2" borderId="20" xfId="46" applyFont="1" applyFill="1" applyBorder="1" applyAlignment="1">
      <alignment horizontal="center" vertical="center"/>
    </xf>
    <xf numFmtId="0" fontId="104" fillId="7" borderId="126" xfId="13" applyFont="1" applyFill="1" applyBorder="1" applyAlignment="1">
      <alignment horizontal="center" vertical="center"/>
    </xf>
    <xf numFmtId="0" fontId="104" fillId="7" borderId="127" xfId="13" applyFont="1" applyFill="1" applyBorder="1" applyAlignment="1">
      <alignment horizontal="center" vertical="center"/>
    </xf>
    <xf numFmtId="0" fontId="104" fillId="7" borderId="129" xfId="45" applyFont="1" applyFill="1" applyBorder="1" applyAlignment="1">
      <alignment horizontal="center" vertical="center"/>
    </xf>
    <xf numFmtId="0" fontId="104" fillId="7" borderId="130" xfId="45" applyFont="1" applyFill="1" applyBorder="1" applyAlignment="1">
      <alignment horizontal="center" vertical="center"/>
    </xf>
    <xf numFmtId="0" fontId="104" fillId="7" borderId="130" xfId="45" applyFont="1" applyFill="1" applyBorder="1" applyAlignment="1">
      <alignment horizontal="center" vertical="center" wrapText="1"/>
    </xf>
    <xf numFmtId="0" fontId="104" fillId="7" borderId="131" xfId="45" applyFont="1" applyFill="1" applyBorder="1" applyAlignment="1">
      <alignment horizontal="center" vertical="center"/>
    </xf>
    <xf numFmtId="0" fontId="67" fillId="2" borderId="153" xfId="45" applyFont="1" applyFill="1" applyBorder="1" applyAlignment="1">
      <alignment vertical="center"/>
    </xf>
    <xf numFmtId="0" fontId="192" fillId="2" borderId="153" xfId="45" applyFont="1" applyFill="1" applyBorder="1" applyAlignment="1">
      <alignment horizontal="left" vertical="center"/>
    </xf>
    <xf numFmtId="206" fontId="149" fillId="4" borderId="133" xfId="45" applyNumberFormat="1" applyFont="1" applyFill="1" applyBorder="1" applyAlignment="1">
      <alignment horizontal="center" vertical="center"/>
    </xf>
    <xf numFmtId="165" fontId="149" fillId="4" borderId="133" xfId="48" applyNumberFormat="1" applyFont="1" applyFill="1" applyBorder="1" applyAlignment="1">
      <alignment horizontal="center" vertical="center"/>
    </xf>
    <xf numFmtId="0" fontId="68" fillId="0" borderId="133" xfId="45" applyFont="1" applyFill="1" applyBorder="1" applyAlignment="1">
      <alignment horizontal="left" vertical="center"/>
    </xf>
    <xf numFmtId="3" fontId="68" fillId="0" borderId="133" xfId="45" applyNumberFormat="1" applyFont="1" applyFill="1" applyBorder="1" applyAlignment="1">
      <alignment horizontal="center" vertical="center"/>
    </xf>
    <xf numFmtId="0" fontId="68" fillId="0" borderId="133" xfId="45" applyFont="1" applyFill="1" applyBorder="1" applyAlignment="1">
      <alignment horizontal="left" vertical="center" wrapText="1"/>
    </xf>
    <xf numFmtId="4" fontId="68" fillId="0" borderId="133" xfId="45" applyNumberFormat="1" applyFont="1" applyFill="1" applyBorder="1" applyAlignment="1">
      <alignment horizontal="center" vertical="center"/>
    </xf>
    <xf numFmtId="0" fontId="67" fillId="0" borderId="133" xfId="45" applyFont="1" applyFill="1" applyBorder="1" applyAlignment="1">
      <alignment horizontal="left" vertical="center"/>
    </xf>
    <xf numFmtId="4" fontId="67" fillId="0" borderId="133" xfId="45" applyNumberFormat="1" applyFont="1" applyFill="1" applyBorder="1" applyAlignment="1">
      <alignment horizontal="center" vertical="center"/>
    </xf>
    <xf numFmtId="0" fontId="67" fillId="27" borderId="133" xfId="45" applyFont="1" applyFill="1" applyBorder="1" applyAlignment="1">
      <alignment horizontal="left" vertical="center"/>
    </xf>
    <xf numFmtId="4" fontId="67" fillId="27" borderId="133" xfId="45" applyNumberFormat="1" applyFont="1" applyFill="1" applyBorder="1" applyAlignment="1">
      <alignment horizontal="center" vertical="center"/>
    </xf>
    <xf numFmtId="4" fontId="104" fillId="7" borderId="195" xfId="45" applyNumberFormat="1" applyFont="1" applyFill="1" applyBorder="1" applyAlignment="1">
      <alignment horizontal="center" vertical="center"/>
    </xf>
    <xf numFmtId="0" fontId="83" fillId="2" borderId="0" xfId="0" applyFont="1" applyFill="1" applyAlignment="1">
      <alignment horizontal="left" vertical="center"/>
    </xf>
    <xf numFmtId="2" fontId="81" fillId="2" borderId="20" xfId="0" applyNumberFormat="1" applyFont="1" applyFill="1" applyBorder="1" applyAlignment="1">
      <alignment horizontal="center" vertical="center"/>
    </xf>
    <xf numFmtId="164" fontId="80" fillId="2" borderId="20" xfId="50" applyNumberFormat="1" applyFont="1" applyFill="1" applyBorder="1" applyAlignment="1" applyProtection="1">
      <alignment horizontal="center" vertical="center"/>
      <protection hidden="1"/>
    </xf>
    <xf numFmtId="0" fontId="92" fillId="2" borderId="20" xfId="0" applyFont="1" applyFill="1" applyBorder="1" applyAlignment="1">
      <alignment horizontal="center" vertical="center" wrapText="1"/>
    </xf>
    <xf numFmtId="0" fontId="81" fillId="2" borderId="20" xfId="0" applyFont="1" applyFill="1" applyBorder="1" applyAlignment="1">
      <alignment horizontal="center" vertical="center"/>
    </xf>
    <xf numFmtId="168" fontId="81" fillId="2" borderId="20" xfId="50" applyNumberFormat="1" applyFont="1" applyFill="1" applyBorder="1" applyAlignment="1">
      <alignment horizontal="center" vertical="center"/>
    </xf>
    <xf numFmtId="207" fontId="80" fillId="2" borderId="20" xfId="52" applyNumberFormat="1" applyFont="1" applyFill="1" applyBorder="1" applyAlignment="1" applyProtection="1">
      <alignment horizontal="center" vertical="center"/>
      <protection hidden="1"/>
    </xf>
    <xf numFmtId="10" fontId="80" fillId="2" borderId="20" xfId="0" applyNumberFormat="1" applyFont="1" applyFill="1" applyBorder="1" applyAlignment="1" applyProtection="1">
      <alignment horizontal="center" vertical="center"/>
      <protection hidden="1"/>
    </xf>
    <xf numFmtId="10" fontId="80" fillId="2" borderId="20" xfId="0" applyNumberFormat="1" applyFont="1" applyFill="1" applyBorder="1" applyAlignment="1" applyProtection="1">
      <alignment vertical="center"/>
      <protection hidden="1"/>
    </xf>
    <xf numFmtId="0" fontId="80" fillId="2" borderId="20" xfId="0" applyFont="1" applyFill="1" applyBorder="1" applyAlignment="1">
      <alignment vertical="center"/>
    </xf>
    <xf numFmtId="0" fontId="81" fillId="2" borderId="20" xfId="0" applyFont="1" applyFill="1" applyBorder="1" applyAlignment="1">
      <alignment vertical="center"/>
    </xf>
    <xf numFmtId="2" fontId="80" fillId="2" borderId="20" xfId="0" applyNumberFormat="1" applyFont="1" applyFill="1" applyBorder="1" applyAlignment="1" applyProtection="1">
      <alignment horizontal="right" vertical="center"/>
      <protection hidden="1"/>
    </xf>
    <xf numFmtId="2" fontId="80" fillId="2" borderId="20" xfId="0" applyNumberFormat="1" applyFont="1" applyFill="1" applyBorder="1" applyAlignment="1" applyProtection="1">
      <alignment horizontal="center" vertical="center"/>
      <protection hidden="1"/>
    </xf>
    <xf numFmtId="0" fontId="80" fillId="2" borderId="20" xfId="0" applyFont="1" applyFill="1" applyBorder="1" applyAlignment="1" applyProtection="1">
      <alignment horizontal="center" vertical="center"/>
      <protection hidden="1"/>
    </xf>
    <xf numFmtId="10" fontId="81" fillId="2" borderId="20" xfId="0" applyNumberFormat="1" applyFont="1" applyFill="1" applyBorder="1" applyAlignment="1" applyProtection="1">
      <alignment horizontal="center" vertical="center"/>
      <protection hidden="1"/>
    </xf>
    <xf numFmtId="10" fontId="80" fillId="2" borderId="20" xfId="0" applyNumberFormat="1" applyFont="1" applyFill="1" applyBorder="1" applyAlignment="1">
      <alignment horizontal="center" vertical="center"/>
    </xf>
    <xf numFmtId="10" fontId="80" fillId="2" borderId="20" xfId="0" applyNumberFormat="1" applyFont="1" applyFill="1" applyBorder="1" applyAlignment="1" applyProtection="1">
      <alignment horizontal="right" vertical="center"/>
      <protection hidden="1"/>
    </xf>
    <xf numFmtId="0" fontId="83" fillId="2" borderId="20" xfId="0" applyFont="1" applyFill="1" applyBorder="1" applyAlignment="1">
      <alignment horizontal="center" vertical="center" wrapText="1" shrinkToFit="1"/>
    </xf>
    <xf numFmtId="0" fontId="80" fillId="2" borderId="20" xfId="0" applyFont="1" applyFill="1" applyBorder="1" applyAlignment="1">
      <alignment horizontal="center" vertical="center"/>
    </xf>
    <xf numFmtId="168" fontId="80" fillId="2" borderId="20" xfId="52" applyFont="1" applyFill="1" applyBorder="1" applyAlignment="1">
      <alignment horizontal="center" vertical="center"/>
    </xf>
    <xf numFmtId="168" fontId="81" fillId="2" borderId="20" xfId="52" applyFont="1" applyFill="1" applyBorder="1" applyAlignment="1">
      <alignment vertical="center"/>
    </xf>
    <xf numFmtId="168" fontId="81" fillId="2" borderId="20" xfId="52" applyFont="1" applyFill="1" applyBorder="1" applyAlignment="1" applyProtection="1">
      <alignment horizontal="center" vertical="center"/>
      <protection hidden="1"/>
    </xf>
    <xf numFmtId="168" fontId="80" fillId="2" borderId="272" xfId="50" applyNumberFormat="1" applyFont="1" applyFill="1" applyBorder="1" applyAlignment="1" applyProtection="1">
      <alignment horizontal="center" vertical="center"/>
      <protection hidden="1"/>
    </xf>
    <xf numFmtId="0" fontId="82" fillId="7" borderId="20" xfId="0" applyFont="1" applyFill="1" applyBorder="1" applyAlignment="1">
      <alignment horizontal="center" vertical="center"/>
    </xf>
    <xf numFmtId="0" fontId="82" fillId="7" borderId="203" xfId="0" applyFont="1" applyFill="1" applyBorder="1" applyAlignment="1">
      <alignment horizontal="center" vertical="center"/>
    </xf>
    <xf numFmtId="0" fontId="82" fillId="7" borderId="200" xfId="0" applyFont="1" applyFill="1" applyBorder="1" applyAlignment="1">
      <alignment horizontal="center" vertical="center"/>
    </xf>
    <xf numFmtId="0" fontId="82" fillId="7" borderId="204" xfId="0" applyFont="1" applyFill="1" applyBorder="1" applyAlignment="1">
      <alignment horizontal="center" vertical="center"/>
    </xf>
    <xf numFmtId="0" fontId="82" fillId="7" borderId="202" xfId="0" applyFont="1" applyFill="1" applyBorder="1" applyAlignment="1">
      <alignment horizontal="center" vertical="center"/>
    </xf>
    <xf numFmtId="0" fontId="82" fillId="7" borderId="178" xfId="0" applyFont="1" applyFill="1" applyBorder="1" applyAlignment="1">
      <alignment horizontal="center" vertical="center"/>
    </xf>
    <xf numFmtId="0" fontId="82" fillId="7" borderId="179" xfId="0" applyFont="1" applyFill="1" applyBorder="1" applyAlignment="1">
      <alignment horizontal="center" vertical="center"/>
    </xf>
    <xf numFmtId="0" fontId="82" fillId="7" borderId="179" xfId="0" applyFont="1" applyFill="1" applyBorder="1" applyAlignment="1">
      <alignment horizontal="center" vertical="center" wrapText="1"/>
    </xf>
    <xf numFmtId="0" fontId="82" fillId="7" borderId="180" xfId="0" applyFont="1" applyFill="1" applyBorder="1" applyAlignment="1">
      <alignment horizontal="center" vertical="center" wrapText="1"/>
    </xf>
    <xf numFmtId="0" fontId="0" fillId="2" borderId="268" xfId="0" applyFill="1" applyBorder="1" applyAlignment="1">
      <alignment vertical="center"/>
    </xf>
    <xf numFmtId="0" fontId="0" fillId="2" borderId="269" xfId="0" applyFill="1" applyBorder="1" applyAlignment="1">
      <alignment vertical="center"/>
    </xf>
    <xf numFmtId="0" fontId="83" fillId="2" borderId="269" xfId="0" applyFont="1" applyFill="1" applyBorder="1" applyAlignment="1">
      <alignment vertical="center"/>
    </xf>
    <xf numFmtId="0" fontId="83" fillId="2" borderId="270" xfId="0" applyFont="1" applyFill="1" applyBorder="1" applyAlignment="1">
      <alignment vertical="center"/>
    </xf>
    <xf numFmtId="0" fontId="0" fillId="2" borderId="271" xfId="0" applyFill="1" applyBorder="1" applyAlignment="1">
      <alignment vertical="center"/>
    </xf>
    <xf numFmtId="0" fontId="83" fillId="2" borderId="272" xfId="0" applyFont="1" applyFill="1" applyBorder="1" applyAlignment="1">
      <alignment vertical="center"/>
    </xf>
    <xf numFmtId="0" fontId="81" fillId="2" borderId="0" xfId="0" applyFont="1" applyFill="1" applyBorder="1" applyAlignment="1">
      <alignment horizontal="center" vertical="center"/>
    </xf>
    <xf numFmtId="0" fontId="80" fillId="2" borderId="272" xfId="0" applyFont="1" applyFill="1" applyBorder="1" applyAlignment="1">
      <alignment vertical="center"/>
    </xf>
    <xf numFmtId="0" fontId="80" fillId="2" borderId="272" xfId="0" applyFont="1" applyFill="1" applyBorder="1" applyAlignment="1">
      <alignment vertical="center" wrapText="1"/>
    </xf>
    <xf numFmtId="0" fontId="220" fillId="2" borderId="0" xfId="51" applyFont="1" applyFill="1" applyBorder="1" applyAlignment="1">
      <alignment vertical="center"/>
    </xf>
    <xf numFmtId="2" fontId="80" fillId="2" borderId="0" xfId="0" applyNumberFormat="1" applyFont="1" applyFill="1" applyBorder="1" applyAlignment="1">
      <alignment horizontal="center" vertical="center"/>
    </xf>
    <xf numFmtId="2" fontId="80" fillId="2" borderId="0" xfId="0" applyNumberFormat="1" applyFont="1" applyFill="1" applyBorder="1" applyAlignment="1">
      <alignment horizontal="right" vertical="center"/>
    </xf>
    <xf numFmtId="0" fontId="80" fillId="2" borderId="0" xfId="0" applyFont="1" applyFill="1" applyBorder="1" applyAlignment="1">
      <alignment horizontal="center" vertical="center"/>
    </xf>
    <xf numFmtId="0" fontId="219" fillId="2" borderId="0" xfId="0" applyFont="1" applyFill="1" applyBorder="1" applyAlignment="1">
      <alignment vertical="center"/>
    </xf>
    <xf numFmtId="2" fontId="80" fillId="2" borderId="0" xfId="0" applyNumberFormat="1" applyFont="1" applyFill="1" applyBorder="1" applyAlignment="1">
      <alignment horizontal="left" vertical="center"/>
    </xf>
    <xf numFmtId="0" fontId="0" fillId="2" borderId="273" xfId="0" applyFill="1" applyBorder="1" applyAlignment="1">
      <alignment vertical="center"/>
    </xf>
    <xf numFmtId="0" fontId="80" fillId="2" borderId="274" xfId="0" applyFont="1" applyFill="1" applyBorder="1" applyAlignment="1">
      <alignment vertical="center"/>
    </xf>
    <xf numFmtId="0" fontId="80" fillId="2" borderId="275" xfId="0" applyFont="1" applyFill="1" applyBorder="1" applyAlignment="1">
      <alignment vertical="center"/>
    </xf>
    <xf numFmtId="164" fontId="80" fillId="2" borderId="20" xfId="0" applyNumberFormat="1" applyFont="1" applyFill="1" applyBorder="1" applyAlignment="1">
      <alignment vertical="center"/>
    </xf>
    <xf numFmtId="0" fontId="83" fillId="2" borderId="20" xfId="0" applyFont="1" applyFill="1" applyBorder="1" applyAlignment="1">
      <alignment vertical="center"/>
    </xf>
    <xf numFmtId="0" fontId="2" fillId="2" borderId="20" xfId="0" applyFont="1" applyFill="1" applyBorder="1" applyAlignment="1" applyProtection="1">
      <alignment horizontal="center" vertical="center"/>
      <protection hidden="1"/>
    </xf>
    <xf numFmtId="10" fontId="83" fillId="2" borderId="20" xfId="53" applyNumberFormat="1" applyFont="1" applyFill="1" applyBorder="1" applyAlignment="1" applyProtection="1">
      <alignment horizontal="center" vertical="center"/>
      <protection hidden="1"/>
    </xf>
    <xf numFmtId="0" fontId="83" fillId="2" borderId="20" xfId="0" applyFont="1" applyFill="1" applyBorder="1" applyAlignment="1">
      <alignment horizontal="center" vertical="center"/>
    </xf>
    <xf numFmtId="168" fontId="92" fillId="2" borderId="0" xfId="0" applyNumberFormat="1" applyFont="1" applyFill="1" applyBorder="1" applyAlignment="1" applyProtection="1">
      <alignment vertical="center"/>
      <protection hidden="1"/>
    </xf>
    <xf numFmtId="0" fontId="83" fillId="2" borderId="0" xfId="0" applyFont="1" applyFill="1" applyAlignment="1" applyProtection="1">
      <alignment vertical="center"/>
      <protection hidden="1"/>
    </xf>
    <xf numFmtId="0" fontId="81" fillId="2" borderId="0" xfId="0" applyFont="1" applyFill="1" applyAlignment="1">
      <alignment vertical="center"/>
    </xf>
    <xf numFmtId="0" fontId="80" fillId="2" borderId="0" xfId="0" applyFont="1" applyFill="1" applyAlignment="1">
      <alignment horizontal="left" vertical="center"/>
    </xf>
    <xf numFmtId="0" fontId="80" fillId="2" borderId="0" xfId="0" applyFont="1" applyFill="1" applyAlignment="1">
      <alignment horizontal="center" vertical="center"/>
    </xf>
    <xf numFmtId="2" fontId="80" fillId="2" borderId="0" xfId="0" applyNumberFormat="1" applyFont="1" applyFill="1" applyAlignment="1">
      <alignment horizontal="center" vertical="center"/>
    </xf>
    <xf numFmtId="2" fontId="80" fillId="2" borderId="20" xfId="0" applyNumberFormat="1" applyFont="1" applyFill="1" applyBorder="1" applyAlignment="1">
      <alignment horizontal="center" vertical="center"/>
    </xf>
    <xf numFmtId="9" fontId="80" fillId="2" borderId="20" xfId="1" applyFont="1" applyFill="1" applyBorder="1" applyAlignment="1">
      <alignment horizontal="center" vertical="center"/>
    </xf>
    <xf numFmtId="0" fontId="219" fillId="2" borderId="0" xfId="0" applyFont="1" applyFill="1" applyAlignment="1">
      <alignment vertical="center"/>
    </xf>
    <xf numFmtId="168" fontId="80" fillId="2" borderId="20" xfId="52" applyFont="1" applyFill="1" applyBorder="1" applyAlignment="1" applyProtection="1">
      <alignment horizontal="center" vertical="center"/>
      <protection hidden="1"/>
    </xf>
    <xf numFmtId="0" fontId="219" fillId="2" borderId="0" xfId="0" applyFont="1" applyFill="1" applyAlignment="1">
      <alignment horizontal="center" vertical="center"/>
    </xf>
    <xf numFmtId="0" fontId="94" fillId="2" borderId="0" xfId="0" applyFont="1" applyFill="1" applyAlignment="1">
      <alignment vertical="center"/>
    </xf>
    <xf numFmtId="43" fontId="80" fillId="2" borderId="0" xfId="0" applyNumberFormat="1" applyFont="1" applyFill="1" applyAlignment="1">
      <alignment vertical="center"/>
    </xf>
    <xf numFmtId="0" fontId="81" fillId="27" borderId="20" xfId="0" applyFont="1" applyFill="1" applyBorder="1" applyAlignment="1">
      <alignment horizontal="center" vertical="center"/>
    </xf>
    <xf numFmtId="178" fontId="81" fillId="27" borderId="20" xfId="0" applyNumberFormat="1" applyFont="1" applyFill="1" applyBorder="1" applyAlignment="1">
      <alignment horizontal="center" vertical="center"/>
    </xf>
    <xf numFmtId="168" fontId="81" fillId="27" borderId="20" xfId="52" applyFont="1" applyFill="1" applyBorder="1" applyAlignment="1">
      <alignment horizontal="center" vertical="center"/>
    </xf>
    <xf numFmtId="2" fontId="81" fillId="27" borderId="20" xfId="0" applyNumberFormat="1" applyFont="1" applyFill="1" applyBorder="1" applyAlignment="1">
      <alignment horizontal="center" vertical="center"/>
    </xf>
    <xf numFmtId="10" fontId="81" fillId="27" borderId="20" xfId="0" applyNumberFormat="1" applyFont="1" applyFill="1" applyBorder="1" applyAlignment="1">
      <alignment horizontal="center" vertical="center"/>
    </xf>
    <xf numFmtId="10" fontId="81" fillId="27" borderId="20" xfId="0" applyNumberFormat="1" applyFont="1" applyFill="1" applyBorder="1" applyAlignment="1" applyProtection="1">
      <alignment horizontal="right" vertical="center"/>
      <protection hidden="1"/>
    </xf>
    <xf numFmtId="208" fontId="81" fillId="27" borderId="20" xfId="0" applyNumberFormat="1" applyFont="1" applyFill="1" applyBorder="1" applyAlignment="1">
      <alignment horizontal="center" vertical="center"/>
    </xf>
    <xf numFmtId="10" fontId="81" fillId="27" borderId="20" xfId="0" applyNumberFormat="1" applyFont="1" applyFill="1" applyBorder="1" applyAlignment="1" applyProtection="1">
      <alignment horizontal="center" vertical="center"/>
      <protection hidden="1"/>
    </xf>
    <xf numFmtId="10" fontId="81" fillId="27" borderId="20" xfId="0" applyNumberFormat="1" applyFont="1" applyFill="1" applyBorder="1" applyAlignment="1" applyProtection="1">
      <alignment vertical="center"/>
      <protection hidden="1"/>
    </xf>
    <xf numFmtId="3" fontId="2" fillId="2" borderId="20" xfId="0" applyNumberFormat="1" applyFont="1" applyFill="1" applyBorder="1" applyAlignment="1" applyProtection="1">
      <alignment horizontal="center" vertical="center"/>
      <protection hidden="1"/>
    </xf>
    <xf numFmtId="0" fontId="92" fillId="27" borderId="20" xfId="0" applyFont="1" applyFill="1" applyBorder="1" applyAlignment="1">
      <alignment horizontal="center" vertical="center"/>
    </xf>
    <xf numFmtId="3" fontId="92" fillId="27" borderId="20" xfId="0" applyNumberFormat="1" applyFont="1" applyFill="1" applyBorder="1" applyAlignment="1" applyProtection="1">
      <alignment horizontal="center" vertical="center"/>
      <protection hidden="1"/>
    </xf>
    <xf numFmtId="0" fontId="92" fillId="27" borderId="20" xfId="0" applyFont="1" applyFill="1" applyBorder="1" applyAlignment="1">
      <alignment horizontal="right" vertical="center"/>
    </xf>
    <xf numFmtId="0" fontId="92" fillId="27" borderId="20" xfId="0" applyFont="1" applyFill="1" applyBorder="1" applyAlignment="1" applyProtection="1">
      <alignment horizontal="center" vertical="center"/>
      <protection hidden="1"/>
    </xf>
    <xf numFmtId="0" fontId="81" fillId="27" borderId="20" xfId="0" applyFont="1" applyFill="1" applyBorder="1" applyAlignment="1">
      <alignment horizontal="center" vertical="center" wrapText="1"/>
    </xf>
    <xf numFmtId="164" fontId="81" fillId="27" borderId="20" xfId="50" applyNumberFormat="1" applyFont="1" applyFill="1" applyBorder="1" applyAlignment="1">
      <alignment horizontal="center" vertical="center" wrapText="1"/>
    </xf>
    <xf numFmtId="0" fontId="82" fillId="7" borderId="3" xfId="0" applyFont="1" applyFill="1" applyBorder="1" applyAlignment="1">
      <alignment horizontal="center" vertical="center" wrapText="1"/>
    </xf>
    <xf numFmtId="0" fontId="82" fillId="7" borderId="3" xfId="0" applyFont="1" applyFill="1" applyBorder="1" applyAlignment="1">
      <alignment horizontal="center" vertical="center"/>
    </xf>
    <xf numFmtId="0" fontId="82" fillId="7" borderId="218" xfId="0" applyFont="1" applyFill="1" applyBorder="1" applyAlignment="1">
      <alignment horizontal="center" vertical="center"/>
    </xf>
    <xf numFmtId="169" fontId="149" fillId="2" borderId="0" xfId="33" applyFont="1" applyFill="1" applyAlignment="1">
      <alignment vertical="center"/>
    </xf>
    <xf numFmtId="176" fontId="149" fillId="2" borderId="0" xfId="33" applyNumberFormat="1" applyFont="1" applyFill="1" applyAlignment="1">
      <alignment horizontal="center" vertical="center"/>
    </xf>
    <xf numFmtId="169" fontId="149" fillId="2" borderId="0" xfId="33" applyFont="1" applyFill="1" applyAlignment="1">
      <alignment horizontal="center" vertical="center"/>
    </xf>
    <xf numFmtId="176" fontId="149" fillId="2" borderId="0" xfId="33" applyNumberFormat="1" applyFont="1" applyFill="1" applyBorder="1" applyAlignment="1">
      <alignment horizontal="center" vertical="center"/>
    </xf>
    <xf numFmtId="0" fontId="100" fillId="2" borderId="0" xfId="0" applyFont="1" applyFill="1" applyBorder="1" applyAlignment="1">
      <alignment vertical="center"/>
    </xf>
    <xf numFmtId="0" fontId="159" fillId="2" borderId="0" xfId="0" applyFont="1" applyFill="1" applyBorder="1" applyAlignment="1">
      <alignment vertical="center" wrapText="1"/>
    </xf>
    <xf numFmtId="176" fontId="99" fillId="2" borderId="0" xfId="33" applyNumberFormat="1" applyFont="1" applyFill="1" applyBorder="1" applyAlignment="1">
      <alignment horizontal="center" vertical="center" wrapText="1"/>
    </xf>
    <xf numFmtId="169" fontId="149" fillId="2" borderId="0" xfId="33" applyFont="1" applyFill="1" applyBorder="1" applyAlignment="1">
      <alignment vertical="center"/>
    </xf>
    <xf numFmtId="169" fontId="99" fillId="2" borderId="0" xfId="0" applyNumberFormat="1" applyFont="1" applyFill="1" applyAlignment="1">
      <alignment vertical="center"/>
    </xf>
    <xf numFmtId="0" fontId="100" fillId="2" borderId="0" xfId="0" applyFont="1" applyFill="1" applyBorder="1" applyAlignment="1">
      <alignment horizontal="center" vertical="center"/>
    </xf>
    <xf numFmtId="169" fontId="99" fillId="2" borderId="0" xfId="32" applyNumberFormat="1" applyFont="1" applyFill="1" applyBorder="1" applyAlignment="1">
      <alignment horizontal="center" vertical="center"/>
    </xf>
    <xf numFmtId="10" fontId="99" fillId="2" borderId="0" xfId="1" applyNumberFormat="1" applyFont="1" applyFill="1" applyBorder="1" applyAlignment="1">
      <alignment horizontal="center" vertical="center"/>
    </xf>
    <xf numFmtId="0" fontId="149" fillId="2" borderId="0" xfId="54" applyFont="1" applyFill="1" applyAlignment="1">
      <alignment horizontal="left" vertical="center" wrapText="1"/>
    </xf>
    <xf numFmtId="0" fontId="149" fillId="2" borderId="0" xfId="54" applyFont="1" applyFill="1" applyAlignment="1">
      <alignment horizontal="left" vertical="center"/>
    </xf>
    <xf numFmtId="0" fontId="49" fillId="2" borderId="0" xfId="0" applyFont="1" applyFill="1" applyAlignment="1">
      <alignment horizontal="left" vertical="center"/>
    </xf>
    <xf numFmtId="0" fontId="149" fillId="2" borderId="0" xfId="54" applyFont="1" applyFill="1" applyAlignment="1">
      <alignment vertical="center" wrapText="1"/>
    </xf>
    <xf numFmtId="176" fontId="99" fillId="2" borderId="0" xfId="0" applyNumberFormat="1" applyFont="1" applyFill="1" applyBorder="1" applyAlignment="1">
      <alignment horizontal="center" vertical="center" wrapText="1"/>
    </xf>
    <xf numFmtId="169" fontId="99" fillId="2" borderId="0" xfId="33" applyFont="1" applyFill="1" applyBorder="1" applyAlignment="1">
      <alignment vertical="center"/>
    </xf>
    <xf numFmtId="176" fontId="159" fillId="2" borderId="0" xfId="33" applyNumberFormat="1" applyFont="1" applyFill="1" applyBorder="1" applyAlignment="1">
      <alignment horizontal="center" vertical="center" wrapText="1"/>
    </xf>
    <xf numFmtId="176" fontId="149" fillId="2" borderId="0" xfId="33" applyNumberFormat="1" applyFont="1" applyFill="1" applyAlignment="1">
      <alignment vertical="center"/>
    </xf>
    <xf numFmtId="0" fontId="149" fillId="2" borderId="0" xfId="54" applyFont="1" applyFill="1" applyBorder="1" applyAlignment="1">
      <alignment vertical="center"/>
    </xf>
    <xf numFmtId="0" fontId="101" fillId="2" borderId="133" xfId="0" applyFont="1" applyFill="1" applyBorder="1" applyAlignment="1">
      <alignment horizontal="center" vertical="center"/>
    </xf>
    <xf numFmtId="0" fontId="68" fillId="2" borderId="133" xfId="0" applyFont="1" applyFill="1" applyBorder="1" applyAlignment="1">
      <alignment horizontal="center" vertical="center"/>
    </xf>
    <xf numFmtId="0" fontId="68" fillId="2" borderId="133" xfId="0" applyFont="1" applyFill="1" applyBorder="1" applyAlignment="1">
      <alignment vertical="center" wrapText="1"/>
    </xf>
    <xf numFmtId="169" fontId="99" fillId="2" borderId="133" xfId="32" applyFont="1" applyFill="1" applyBorder="1" applyAlignment="1">
      <alignment horizontal="center" vertical="center"/>
    </xf>
    <xf numFmtId="0" fontId="68" fillId="2" borderId="133" xfId="0" applyFont="1" applyFill="1" applyBorder="1" applyAlignment="1">
      <alignment horizontal="justify" vertical="center" wrapText="1"/>
    </xf>
    <xf numFmtId="0" fontId="68" fillId="2" borderId="133" xfId="0" applyFont="1" applyFill="1" applyBorder="1" applyAlignment="1">
      <alignment horizontal="justify" vertical="center"/>
    </xf>
    <xf numFmtId="169" fontId="68" fillId="2" borderId="133" xfId="32" applyFont="1" applyFill="1" applyBorder="1" applyAlignment="1">
      <alignment horizontal="center" vertical="center"/>
    </xf>
    <xf numFmtId="4" fontId="99" fillId="2" borderId="133" xfId="0" applyNumberFormat="1" applyFont="1" applyFill="1" applyBorder="1" applyAlignment="1">
      <alignment horizontal="right" vertical="center"/>
    </xf>
    <xf numFmtId="1" fontId="99" fillId="2" borderId="133" xfId="0" applyNumberFormat="1" applyFont="1" applyFill="1" applyBorder="1" applyAlignment="1">
      <alignment horizontal="center" vertical="center"/>
    </xf>
    <xf numFmtId="0" fontId="49" fillId="2" borderId="133" xfId="0" applyFont="1" applyFill="1" applyBorder="1" applyAlignment="1">
      <alignment vertical="center" wrapText="1"/>
    </xf>
    <xf numFmtId="0" fontId="49" fillId="2" borderId="133" xfId="0" applyFont="1" applyFill="1" applyBorder="1" applyAlignment="1">
      <alignment vertical="center"/>
    </xf>
    <xf numFmtId="169" fontId="99" fillId="2" borderId="133" xfId="32" applyNumberFormat="1" applyFont="1" applyFill="1" applyBorder="1" applyAlignment="1">
      <alignment vertical="center"/>
    </xf>
    <xf numFmtId="1" fontId="99" fillId="2" borderId="133" xfId="0" applyNumberFormat="1" applyFont="1" applyFill="1" applyBorder="1" applyAlignment="1">
      <alignment horizontal="right" vertical="center"/>
    </xf>
    <xf numFmtId="209" fontId="99" fillId="2" borderId="133" xfId="0" applyNumberFormat="1" applyFont="1" applyFill="1" applyBorder="1" applyAlignment="1">
      <alignment horizontal="right" vertical="center"/>
    </xf>
    <xf numFmtId="4" fontId="104" fillId="7" borderId="130" xfId="0" applyNumberFormat="1" applyFont="1" applyFill="1" applyBorder="1" applyAlignment="1">
      <alignment horizontal="center" vertical="center" wrapText="1"/>
    </xf>
    <xf numFmtId="4" fontId="104" fillId="7" borderId="131" xfId="0" applyNumberFormat="1" applyFont="1" applyFill="1" applyBorder="1" applyAlignment="1">
      <alignment horizontal="center" vertical="center" wrapText="1"/>
    </xf>
    <xf numFmtId="0" fontId="145" fillId="7" borderId="194" xfId="0" applyFont="1" applyFill="1" applyBorder="1" applyAlignment="1">
      <alignment horizontal="center" vertical="center"/>
    </xf>
    <xf numFmtId="169" fontId="104" fillId="7" borderId="194" xfId="32" applyFont="1" applyFill="1" applyBorder="1" applyAlignment="1">
      <alignment horizontal="center" vertical="center" wrapText="1"/>
    </xf>
    <xf numFmtId="169" fontId="104" fillId="7" borderId="195" xfId="32" applyFont="1" applyFill="1" applyBorder="1" applyAlignment="1">
      <alignment horizontal="center" vertical="center"/>
    </xf>
    <xf numFmtId="0" fontId="145" fillId="7" borderId="193" xfId="0" applyFont="1" applyFill="1" applyBorder="1" applyAlignment="1">
      <alignment vertical="center"/>
    </xf>
    <xf numFmtId="0" fontId="104" fillId="7" borderId="194" xfId="0" applyFont="1" applyFill="1" applyBorder="1" applyAlignment="1">
      <alignment horizontal="right" vertical="center"/>
    </xf>
    <xf numFmtId="176" fontId="104" fillId="7" borderId="194" xfId="0" applyNumberFormat="1" applyFont="1" applyFill="1" applyBorder="1" applyAlignment="1">
      <alignment horizontal="right" vertical="center"/>
    </xf>
    <xf numFmtId="168" fontId="67" fillId="0" borderId="133" xfId="0" applyNumberFormat="1" applyFont="1" applyFill="1" applyBorder="1" applyAlignment="1">
      <alignment horizontal="center" vertical="center"/>
    </xf>
    <xf numFmtId="0" fontId="101" fillId="6" borderId="133" xfId="0" applyFont="1" applyFill="1" applyBorder="1" applyAlignment="1">
      <alignment horizontal="center" vertical="center"/>
    </xf>
    <xf numFmtId="0" fontId="101" fillId="6" borderId="133" xfId="0" applyFont="1" applyFill="1" applyBorder="1" applyAlignment="1">
      <alignment horizontal="left" vertical="center"/>
    </xf>
    <xf numFmtId="0" fontId="99" fillId="6" borderId="133" xfId="0" applyFont="1" applyFill="1" applyBorder="1" applyAlignment="1">
      <alignment horizontal="center" vertical="center"/>
    </xf>
    <xf numFmtId="4" fontId="99" fillId="6" borderId="133" xfId="0" applyNumberFormat="1" applyFont="1" applyFill="1" applyBorder="1" applyAlignment="1">
      <alignment horizontal="center" vertical="center" wrapText="1"/>
    </xf>
    <xf numFmtId="0" fontId="101" fillId="27" borderId="133" xfId="0" applyFont="1" applyFill="1" applyBorder="1" applyAlignment="1">
      <alignment horizontal="left" vertical="center"/>
    </xf>
    <xf numFmtId="0" fontId="99" fillId="27" borderId="133" xfId="0" applyFont="1" applyFill="1" applyBorder="1" applyAlignment="1">
      <alignment horizontal="center" vertical="center" wrapText="1"/>
    </xf>
    <xf numFmtId="0" fontId="99" fillId="27" borderId="133" xfId="0" applyFont="1" applyFill="1" applyBorder="1" applyAlignment="1">
      <alignment horizontal="center" vertical="center"/>
    </xf>
    <xf numFmtId="0" fontId="101" fillId="27" borderId="133" xfId="0" applyFont="1" applyFill="1" applyBorder="1" applyAlignment="1">
      <alignment horizontal="center" vertical="center"/>
    </xf>
    <xf numFmtId="4" fontId="101" fillId="27" borderId="133" xfId="0" applyNumberFormat="1" applyFont="1" applyFill="1" applyBorder="1" applyAlignment="1">
      <alignment horizontal="center" vertical="center" wrapText="1"/>
    </xf>
    <xf numFmtId="169" fontId="101" fillId="27" borderId="133" xfId="32" applyFont="1" applyFill="1" applyBorder="1" applyAlignment="1">
      <alignment horizontal="center" vertical="center"/>
    </xf>
    <xf numFmtId="169" fontId="101" fillId="27" borderId="133" xfId="32" applyFont="1" applyFill="1" applyBorder="1" applyAlignment="1">
      <alignment horizontal="center" vertical="center" wrapText="1"/>
    </xf>
    <xf numFmtId="0" fontId="67" fillId="6" borderId="133" xfId="0" applyFont="1" applyFill="1" applyBorder="1" applyAlignment="1">
      <alignment vertical="center"/>
    </xf>
    <xf numFmtId="0" fontId="91" fillId="2" borderId="0" xfId="0" applyFont="1" applyFill="1" applyBorder="1" applyAlignment="1">
      <alignment horizontal="center" vertical="center"/>
    </xf>
    <xf numFmtId="0" fontId="91" fillId="2" borderId="0" xfId="0" applyFont="1" applyFill="1" applyAlignment="1">
      <alignment horizontal="center" vertical="center"/>
    </xf>
    <xf numFmtId="0" fontId="99" fillId="2" borderId="0" xfId="0" applyFont="1" applyFill="1" applyBorder="1" applyAlignment="1" applyProtection="1">
      <alignment horizontal="left" vertical="center"/>
      <protection locked="0"/>
    </xf>
    <xf numFmtId="169" fontId="101" fillId="2" borderId="0" xfId="33" applyFont="1" applyFill="1" applyBorder="1" applyAlignment="1">
      <alignment horizontal="center" vertical="center" wrapText="1"/>
    </xf>
    <xf numFmtId="0" fontId="99" fillId="2" borderId="0" xfId="0" applyFont="1" applyFill="1" applyBorder="1" applyAlignment="1">
      <alignment horizontal="center" vertical="center" wrapText="1"/>
    </xf>
    <xf numFmtId="169" fontId="99" fillId="2" borderId="133" xfId="0" applyNumberFormat="1" applyFont="1" applyFill="1" applyBorder="1" applyAlignment="1" applyProtection="1">
      <alignment horizontal="center" vertical="center"/>
      <protection locked="0"/>
    </xf>
    <xf numFmtId="4" fontId="101" fillId="2" borderId="133" xfId="0" applyNumberFormat="1" applyFont="1" applyFill="1" applyBorder="1" applyAlignment="1">
      <alignment horizontal="center" vertical="center"/>
    </xf>
    <xf numFmtId="0" fontId="149" fillId="2" borderId="133" xfId="0" applyFont="1" applyFill="1" applyBorder="1" applyAlignment="1">
      <alignment horizontal="center" vertical="center"/>
    </xf>
    <xf numFmtId="0" fontId="100" fillId="2" borderId="133" xfId="32" applyNumberFormat="1" applyFont="1" applyFill="1" applyBorder="1" applyAlignment="1">
      <alignment horizontal="center" vertical="center"/>
    </xf>
    <xf numFmtId="0" fontId="99" fillId="2" borderId="133" xfId="0" applyFont="1" applyFill="1" applyBorder="1" applyAlignment="1" applyProtection="1">
      <alignment horizontal="left" vertical="center" wrapText="1"/>
      <protection locked="0"/>
    </xf>
    <xf numFmtId="0" fontId="99" fillId="2" borderId="133" xfId="0" applyFont="1" applyFill="1" applyBorder="1" applyAlignment="1" applyProtection="1">
      <alignment vertical="center" wrapText="1"/>
      <protection locked="0"/>
    </xf>
    <xf numFmtId="0" fontId="99" fillId="2" borderId="0" xfId="46" applyFont="1" applyFill="1" applyAlignment="1">
      <alignment vertical="center"/>
    </xf>
    <xf numFmtId="0" fontId="99" fillId="2" borderId="0" xfId="46" applyFont="1" applyFill="1" applyAlignment="1">
      <alignment horizontal="left" vertical="center"/>
    </xf>
    <xf numFmtId="0" fontId="99" fillId="2" borderId="0" xfId="46" applyFont="1" applyFill="1" applyAlignment="1">
      <alignment horizontal="center" vertical="center"/>
    </xf>
    <xf numFmtId="2" fontId="99" fillId="2" borderId="0" xfId="46" applyNumberFormat="1" applyFont="1" applyFill="1" applyAlignment="1">
      <alignment horizontal="center" vertical="center"/>
    </xf>
    <xf numFmtId="2" fontId="99" fillId="2" borderId="0" xfId="46" applyNumberFormat="1" applyFont="1" applyFill="1" applyAlignment="1">
      <alignment horizontal="right" vertical="center"/>
    </xf>
    <xf numFmtId="0" fontId="99" fillId="2" borderId="0" xfId="46" applyFont="1" applyFill="1" applyBorder="1" applyAlignment="1">
      <alignment horizontal="left" vertical="center"/>
    </xf>
    <xf numFmtId="0" fontId="101" fillId="2" borderId="0" xfId="46" applyFont="1" applyFill="1" applyAlignment="1">
      <alignment vertical="center"/>
    </xf>
    <xf numFmtId="0" fontId="101" fillId="2" borderId="0" xfId="46" applyFont="1" applyFill="1" applyBorder="1" applyAlignment="1">
      <alignment vertical="center"/>
    </xf>
    <xf numFmtId="0" fontId="68" fillId="2" borderId="0" xfId="51" applyFont="1" applyFill="1" applyBorder="1" applyAlignment="1">
      <alignment vertical="center"/>
    </xf>
    <xf numFmtId="0" fontId="99" fillId="2" borderId="139" xfId="46" applyFont="1" applyFill="1" applyBorder="1" applyAlignment="1">
      <alignment vertical="center"/>
    </xf>
    <xf numFmtId="0" fontId="99" fillId="2" borderId="143" xfId="46" applyFont="1" applyFill="1" applyBorder="1" applyAlignment="1">
      <alignment vertical="center"/>
    </xf>
    <xf numFmtId="0" fontId="99" fillId="2" borderId="143" xfId="46" applyFont="1" applyFill="1" applyBorder="1" applyAlignment="1">
      <alignment horizontal="left" vertical="center"/>
    </xf>
    <xf numFmtId="0" fontId="99" fillId="2" borderId="143" xfId="46" applyFont="1" applyFill="1" applyBorder="1" applyAlignment="1">
      <alignment horizontal="center" vertical="center"/>
    </xf>
    <xf numFmtId="2" fontId="99" fillId="2" borderId="143" xfId="46" applyNumberFormat="1" applyFont="1" applyFill="1" applyBorder="1" applyAlignment="1">
      <alignment horizontal="center" vertical="center"/>
    </xf>
    <xf numFmtId="2" fontId="99" fillId="2" borderId="143" xfId="46" applyNumberFormat="1" applyFont="1" applyFill="1" applyBorder="1" applyAlignment="1">
      <alignment horizontal="right" vertical="center"/>
    </xf>
    <xf numFmtId="0" fontId="99" fillId="2" borderId="140" xfId="46" applyFont="1" applyFill="1" applyBorder="1" applyAlignment="1">
      <alignment vertical="center"/>
    </xf>
    <xf numFmtId="0" fontId="99" fillId="2" borderId="153" xfId="46" applyFont="1" applyFill="1" applyBorder="1" applyAlignment="1">
      <alignment vertical="center"/>
    </xf>
    <xf numFmtId="0" fontId="101" fillId="2" borderId="154" xfId="46" applyFont="1" applyFill="1" applyBorder="1" applyAlignment="1">
      <alignment vertical="center"/>
    </xf>
    <xf numFmtId="0" fontId="101" fillId="2" borderId="153" xfId="46" applyFont="1" applyFill="1" applyBorder="1" applyAlignment="1">
      <alignment vertical="center"/>
    </xf>
    <xf numFmtId="0" fontId="99" fillId="2" borderId="141" xfId="46" applyFont="1" applyFill="1" applyBorder="1" applyAlignment="1">
      <alignment vertical="center"/>
    </xf>
    <xf numFmtId="0" fontId="99" fillId="2" borderId="144" xfId="46" applyFont="1" applyFill="1" applyBorder="1" applyAlignment="1">
      <alignment vertical="center"/>
    </xf>
    <xf numFmtId="0" fontId="99" fillId="2" borderId="144" xfId="46" applyFont="1" applyFill="1" applyBorder="1" applyAlignment="1">
      <alignment horizontal="center" vertical="center"/>
    </xf>
    <xf numFmtId="0" fontId="99" fillId="2" borderId="142" xfId="46" applyFont="1" applyFill="1" applyBorder="1" applyAlignment="1">
      <alignment vertical="center"/>
    </xf>
    <xf numFmtId="165" fontId="99" fillId="2" borderId="133" xfId="32" applyNumberFormat="1" applyFont="1" applyFill="1" applyBorder="1" applyAlignment="1">
      <alignment horizontal="left" vertical="center"/>
    </xf>
    <xf numFmtId="0" fontId="101" fillId="2" borderId="133" xfId="46" applyFont="1" applyFill="1" applyBorder="1" applyAlignment="1">
      <alignment horizontal="left" vertical="center" wrapText="1"/>
    </xf>
    <xf numFmtId="2" fontId="101" fillId="2" borderId="133" xfId="46" applyNumberFormat="1" applyFont="1" applyFill="1" applyBorder="1" applyAlignment="1">
      <alignment horizontal="center" vertical="center" wrapText="1"/>
    </xf>
    <xf numFmtId="169" fontId="101" fillId="2" borderId="133" xfId="55" applyFont="1" applyFill="1" applyBorder="1" applyAlignment="1">
      <alignment horizontal="right" vertical="center" wrapText="1"/>
    </xf>
    <xf numFmtId="169" fontId="101" fillId="2" borderId="133" xfId="55" applyFont="1" applyFill="1" applyBorder="1" applyAlignment="1">
      <alignment horizontal="right" vertical="center"/>
    </xf>
    <xf numFmtId="0" fontId="101" fillId="2" borderId="133" xfId="46" applyFont="1" applyFill="1" applyBorder="1" applyAlignment="1">
      <alignment vertical="center" wrapText="1"/>
    </xf>
    <xf numFmtId="3" fontId="101" fillId="2" borderId="133" xfId="46" applyNumberFormat="1" applyFont="1" applyFill="1" applyBorder="1" applyAlignment="1">
      <alignment vertical="center"/>
    </xf>
    <xf numFmtId="169" fontId="68" fillId="2" borderId="133" xfId="55" applyNumberFormat="1" applyFont="1" applyFill="1" applyBorder="1" applyAlignment="1">
      <alignment horizontal="center" vertical="center" wrapText="1"/>
    </xf>
    <xf numFmtId="169" fontId="68" fillId="2" borderId="133" xfId="56" applyFont="1" applyFill="1" applyBorder="1" applyAlignment="1">
      <alignment horizontal="right" vertical="center" wrapText="1"/>
    </xf>
    <xf numFmtId="0" fontId="68" fillId="2" borderId="133" xfId="46" applyFont="1" applyFill="1" applyBorder="1" applyAlignment="1">
      <alignment horizontal="center" vertical="center" wrapText="1"/>
    </xf>
    <xf numFmtId="0" fontId="101" fillId="2" borderId="133" xfId="46" applyFont="1" applyFill="1" applyBorder="1" applyAlignment="1">
      <alignment vertical="center"/>
    </xf>
    <xf numFmtId="3" fontId="99" fillId="2" borderId="133" xfId="46" applyNumberFormat="1" applyFont="1" applyFill="1" applyBorder="1" applyAlignment="1">
      <alignment vertical="center"/>
    </xf>
    <xf numFmtId="0" fontId="99" fillId="2" borderId="133" xfId="46" applyFont="1" applyFill="1" applyBorder="1" applyAlignment="1">
      <alignment horizontal="left" vertical="center" wrapText="1"/>
    </xf>
    <xf numFmtId="2" fontId="227" fillId="2" borderId="133" xfId="0" applyNumberFormat="1" applyFont="1" applyFill="1" applyBorder="1" applyAlignment="1">
      <alignment horizontal="center" vertical="center" wrapText="1"/>
    </xf>
    <xf numFmtId="0" fontId="68" fillId="2" borderId="133" xfId="46" applyFont="1" applyFill="1" applyBorder="1" applyAlignment="1">
      <alignment horizontal="center" vertical="center"/>
    </xf>
    <xf numFmtId="169" fontId="99" fillId="2" borderId="133" xfId="56" applyFont="1" applyFill="1" applyBorder="1" applyAlignment="1">
      <alignment horizontal="right" vertical="center" wrapText="1"/>
    </xf>
    <xf numFmtId="169" fontId="99" fillId="2" borderId="133" xfId="55" applyFont="1" applyFill="1" applyBorder="1" applyAlignment="1">
      <alignment horizontal="right" vertical="center" wrapText="1"/>
    </xf>
    <xf numFmtId="0" fontId="99" fillId="2" borderId="133" xfId="46" applyFont="1" applyFill="1" applyBorder="1" applyAlignment="1">
      <alignment vertical="center"/>
    </xf>
    <xf numFmtId="2" fontId="227" fillId="2" borderId="133" xfId="46" applyNumberFormat="1" applyFont="1" applyFill="1" applyBorder="1" applyAlignment="1">
      <alignment horizontal="center" vertical="center" wrapText="1"/>
    </xf>
    <xf numFmtId="169" fontId="101" fillId="2" borderId="133" xfId="55" applyNumberFormat="1" applyFont="1" applyFill="1" applyBorder="1" applyAlignment="1">
      <alignment horizontal="center" vertical="center" wrapText="1"/>
    </xf>
    <xf numFmtId="169" fontId="68" fillId="2" borderId="133" xfId="56" applyNumberFormat="1" applyFont="1" applyFill="1" applyBorder="1" applyAlignment="1">
      <alignment horizontal="center" vertical="center" wrapText="1"/>
    </xf>
    <xf numFmtId="0" fontId="68" fillId="2" borderId="133" xfId="46" applyFont="1" applyFill="1" applyBorder="1" applyAlignment="1">
      <alignment horizontal="left" vertical="center" wrapText="1"/>
    </xf>
    <xf numFmtId="0" fontId="101" fillId="2" borderId="133" xfId="46" applyFont="1" applyFill="1" applyBorder="1" applyAlignment="1">
      <alignment horizontal="center" vertical="center"/>
    </xf>
    <xf numFmtId="0" fontId="98" fillId="2" borderId="133" xfId="46" applyFont="1" applyFill="1" applyBorder="1" applyAlignment="1">
      <alignment horizontal="left" vertical="center" wrapText="1"/>
    </xf>
    <xf numFmtId="176" fontId="99" fillId="2" borderId="133" xfId="46" applyNumberFormat="1" applyFont="1" applyFill="1" applyBorder="1" applyAlignment="1">
      <alignment vertical="center"/>
    </xf>
    <xf numFmtId="0" fontId="98" fillId="2" borderId="133" xfId="46" applyFont="1" applyFill="1" applyBorder="1" applyAlignment="1">
      <alignment vertical="center"/>
    </xf>
    <xf numFmtId="0" fontId="68" fillId="2" borderId="133" xfId="46" applyFont="1" applyFill="1" applyBorder="1" applyAlignment="1">
      <alignment vertical="center"/>
    </xf>
    <xf numFmtId="169" fontId="68" fillId="2" borderId="133" xfId="55" applyFont="1" applyFill="1" applyBorder="1" applyAlignment="1">
      <alignment horizontal="right" vertical="center"/>
    </xf>
    <xf numFmtId="0" fontId="228" fillId="2" borderId="133" xfId="46" applyFont="1" applyFill="1" applyBorder="1" applyAlignment="1">
      <alignment horizontal="center" vertical="center"/>
    </xf>
    <xf numFmtId="0" fontId="146" fillId="2" borderId="133" xfId="46" applyFont="1" applyFill="1" applyBorder="1" applyAlignment="1">
      <alignment vertical="center"/>
    </xf>
    <xf numFmtId="0" fontId="209" fillId="2" borderId="133" xfId="46" applyFont="1" applyFill="1" applyBorder="1" applyAlignment="1">
      <alignment horizontal="center" vertical="center" wrapText="1"/>
    </xf>
    <xf numFmtId="0" fontId="209" fillId="2" borderId="133" xfId="46" applyFont="1" applyFill="1" applyBorder="1" applyAlignment="1">
      <alignment horizontal="center" vertical="center"/>
    </xf>
    <xf numFmtId="169" fontId="229" fillId="2" borderId="133" xfId="38" applyNumberFormat="1" applyFont="1" applyFill="1" applyBorder="1" applyAlignment="1">
      <alignment horizontal="center" vertical="center"/>
    </xf>
    <xf numFmtId="169" fontId="209" fillId="2" borderId="133" xfId="56" applyFont="1" applyFill="1" applyBorder="1" applyAlignment="1">
      <alignment horizontal="right" vertical="center"/>
    </xf>
    <xf numFmtId="169" fontId="209" fillId="2" borderId="133" xfId="56" applyFont="1" applyFill="1" applyBorder="1" applyAlignment="1">
      <alignment horizontal="right" vertical="center" wrapText="1"/>
    </xf>
    <xf numFmtId="169" fontId="68" fillId="2" borderId="133" xfId="38" applyNumberFormat="1" applyFont="1" applyFill="1" applyBorder="1" applyAlignment="1">
      <alignment horizontal="center" vertical="center"/>
    </xf>
    <xf numFmtId="169" fontId="68" fillId="2" borderId="133" xfId="56" applyFont="1" applyFill="1" applyBorder="1" applyAlignment="1">
      <alignment horizontal="right" vertical="center"/>
    </xf>
    <xf numFmtId="169" fontId="67" fillId="2" borderId="133" xfId="38" applyNumberFormat="1" applyFont="1" applyFill="1" applyBorder="1" applyAlignment="1">
      <alignment horizontal="center" vertical="center"/>
    </xf>
    <xf numFmtId="0" fontId="209" fillId="2" borderId="133" xfId="46" applyFont="1" applyFill="1" applyBorder="1" applyAlignment="1">
      <alignment vertical="center"/>
    </xf>
    <xf numFmtId="169" fontId="99" fillId="2" borderId="133" xfId="55" applyNumberFormat="1" applyFont="1" applyFill="1" applyBorder="1" applyAlignment="1">
      <alignment horizontal="center" vertical="center"/>
    </xf>
    <xf numFmtId="169" fontId="99" fillId="2" borderId="133" xfId="55" applyFont="1" applyFill="1" applyBorder="1" applyAlignment="1">
      <alignment horizontal="right" vertical="center"/>
    </xf>
    <xf numFmtId="0" fontId="230" fillId="2" borderId="133" xfId="46" applyFont="1" applyFill="1" applyBorder="1" applyAlignment="1">
      <alignment horizontal="center" vertical="center"/>
    </xf>
    <xf numFmtId="0" fontId="99" fillId="2" borderId="133" xfId="46" applyFont="1" applyFill="1" applyBorder="1" applyAlignment="1">
      <alignment horizontal="left" vertical="center"/>
    </xf>
    <xf numFmtId="2" fontId="99" fillId="2" borderId="133" xfId="46" applyNumberFormat="1" applyFont="1" applyFill="1" applyBorder="1" applyAlignment="1">
      <alignment horizontal="center" vertical="center"/>
    </xf>
    <xf numFmtId="2" fontId="99" fillId="2" borderId="133" xfId="46" applyNumberFormat="1" applyFont="1" applyFill="1" applyBorder="1" applyAlignment="1">
      <alignment horizontal="right" vertical="center"/>
    </xf>
    <xf numFmtId="169" fontId="99" fillId="2" borderId="133" xfId="55" applyFont="1" applyFill="1" applyBorder="1" applyAlignment="1">
      <alignment horizontal="center" vertical="center"/>
    </xf>
    <xf numFmtId="4" fontId="99" fillId="2" borderId="133" xfId="46" applyNumberFormat="1" applyFont="1" applyFill="1" applyBorder="1" applyAlignment="1">
      <alignment vertical="center"/>
    </xf>
    <xf numFmtId="0" fontId="82" fillId="7" borderId="130" xfId="0" applyFont="1" applyFill="1" applyBorder="1" applyAlignment="1">
      <alignment horizontal="center" vertical="center"/>
    </xf>
    <xf numFmtId="0" fontId="82" fillId="7" borderId="131" xfId="0" applyFont="1" applyFill="1" applyBorder="1" applyAlignment="1">
      <alignment horizontal="center" vertical="center"/>
    </xf>
    <xf numFmtId="0" fontId="101" fillId="5" borderId="133" xfId="46" applyFont="1" applyFill="1" applyBorder="1" applyAlignment="1">
      <alignment horizontal="left" vertical="center" wrapText="1"/>
    </xf>
    <xf numFmtId="2" fontId="101" fillId="5" borderId="133" xfId="46" applyNumberFormat="1" applyFont="1" applyFill="1" applyBorder="1" applyAlignment="1">
      <alignment horizontal="center" vertical="center" wrapText="1"/>
    </xf>
    <xf numFmtId="169" fontId="101" fillId="5" borderId="133" xfId="55" applyNumberFormat="1" applyFont="1" applyFill="1" applyBorder="1" applyAlignment="1">
      <alignment horizontal="center" vertical="center" wrapText="1"/>
    </xf>
    <xf numFmtId="169" fontId="101" fillId="5" borderId="133" xfId="55" applyFont="1" applyFill="1" applyBorder="1" applyAlignment="1">
      <alignment horizontal="right" vertical="center" wrapText="1"/>
    </xf>
    <xf numFmtId="169" fontId="101" fillId="5" borderId="133" xfId="55" applyFont="1" applyFill="1" applyBorder="1" applyAlignment="1">
      <alignment horizontal="right" vertical="center"/>
    </xf>
    <xf numFmtId="0" fontId="101" fillId="5" borderId="133" xfId="46" applyFont="1" applyFill="1" applyBorder="1" applyAlignment="1">
      <alignment vertical="center" wrapText="1"/>
    </xf>
    <xf numFmtId="0" fontId="101" fillId="5" borderId="133" xfId="46" applyFont="1" applyFill="1" applyBorder="1" applyAlignment="1">
      <alignment vertical="center"/>
    </xf>
    <xf numFmtId="3" fontId="101" fillId="5" borderId="133" xfId="46" applyNumberFormat="1" applyFont="1" applyFill="1" applyBorder="1" applyAlignment="1">
      <alignment vertical="center"/>
    </xf>
    <xf numFmtId="0" fontId="68" fillId="5" borderId="133" xfId="0" applyFont="1" applyFill="1" applyBorder="1" applyAlignment="1">
      <alignment horizontal="left" vertical="center" wrapText="1"/>
    </xf>
    <xf numFmtId="0" fontId="68" fillId="5" borderId="133" xfId="46" applyFont="1" applyFill="1" applyBorder="1" applyAlignment="1">
      <alignment horizontal="center" vertical="center" wrapText="1"/>
    </xf>
    <xf numFmtId="2" fontId="68" fillId="5" borderId="133" xfId="0" applyNumberFormat="1" applyFont="1" applyFill="1" applyBorder="1" applyAlignment="1">
      <alignment horizontal="center" vertical="center" wrapText="1"/>
    </xf>
    <xf numFmtId="169" fontId="68" fillId="5" borderId="133" xfId="56" applyNumberFormat="1" applyFont="1" applyFill="1" applyBorder="1" applyAlignment="1">
      <alignment horizontal="center" vertical="center" wrapText="1"/>
    </xf>
    <xf numFmtId="169" fontId="68" fillId="5" borderId="133" xfId="56" applyFont="1" applyFill="1" applyBorder="1" applyAlignment="1">
      <alignment horizontal="right" vertical="center" wrapText="1"/>
    </xf>
    <xf numFmtId="0" fontId="68" fillId="5" borderId="133" xfId="46" applyFont="1" applyFill="1" applyBorder="1" applyAlignment="1">
      <alignment horizontal="center" vertical="center"/>
    </xf>
    <xf numFmtId="0" fontId="99" fillId="5" borderId="133" xfId="46" applyFont="1" applyFill="1" applyBorder="1" applyAlignment="1">
      <alignment vertical="center"/>
    </xf>
    <xf numFmtId="3" fontId="99" fillId="5" borderId="133" xfId="46" applyNumberFormat="1" applyFont="1" applyFill="1" applyBorder="1" applyAlignment="1">
      <alignment vertical="center"/>
    </xf>
    <xf numFmtId="0" fontId="68" fillId="5" borderId="133" xfId="46" applyFont="1" applyFill="1" applyBorder="1" applyAlignment="1">
      <alignment horizontal="left" vertical="center" wrapText="1"/>
    </xf>
    <xf numFmtId="2" fontId="68" fillId="5" borderId="133" xfId="46" applyNumberFormat="1" applyFont="1" applyFill="1" applyBorder="1" applyAlignment="1">
      <alignment horizontal="center" vertical="center" wrapText="1"/>
    </xf>
    <xf numFmtId="169" fontId="99" fillId="5" borderId="133" xfId="46" applyNumberFormat="1" applyFont="1" applyFill="1" applyBorder="1" applyAlignment="1">
      <alignment vertical="center"/>
    </xf>
    <xf numFmtId="0" fontId="99" fillId="5" borderId="133" xfId="46" applyFont="1" applyFill="1" applyBorder="1" applyAlignment="1">
      <alignment horizontal="left" vertical="center" wrapText="1"/>
    </xf>
    <xf numFmtId="0" fontId="99" fillId="5" borderId="133" xfId="46" applyFont="1" applyFill="1" applyBorder="1" applyAlignment="1">
      <alignment horizontal="center" vertical="center" wrapText="1"/>
    </xf>
    <xf numFmtId="2" fontId="144" fillId="5" borderId="133" xfId="46" applyNumberFormat="1" applyFont="1" applyFill="1" applyBorder="1" applyAlignment="1">
      <alignment horizontal="center" vertical="center" wrapText="1"/>
    </xf>
    <xf numFmtId="169" fontId="99" fillId="5" borderId="133" xfId="55" applyNumberFormat="1" applyFont="1" applyFill="1" applyBorder="1" applyAlignment="1">
      <alignment horizontal="center" vertical="center" wrapText="1"/>
    </xf>
    <xf numFmtId="169" fontId="99" fillId="5" borderId="133" xfId="55" applyFont="1" applyFill="1" applyBorder="1" applyAlignment="1">
      <alignment horizontal="right" vertical="center" wrapText="1"/>
    </xf>
    <xf numFmtId="0" fontId="99" fillId="5" borderId="133" xfId="46" applyFont="1" applyFill="1" applyBorder="1" applyAlignment="1">
      <alignment horizontal="center" vertical="center"/>
    </xf>
    <xf numFmtId="0" fontId="101" fillId="27" borderId="133" xfId="46" applyFont="1" applyFill="1" applyBorder="1" applyAlignment="1">
      <alignment horizontal="left" vertical="center" wrapText="1"/>
    </xf>
    <xf numFmtId="169" fontId="101" fillId="27" borderId="133" xfId="55" applyNumberFormat="1" applyFont="1" applyFill="1" applyBorder="1" applyAlignment="1">
      <alignment horizontal="center" vertical="center" wrapText="1"/>
    </xf>
    <xf numFmtId="169" fontId="101" fillId="27" borderId="133" xfId="55" applyFont="1" applyFill="1" applyBorder="1" applyAlignment="1">
      <alignment horizontal="right" vertical="center" wrapText="1"/>
    </xf>
    <xf numFmtId="169" fontId="101" fillId="27" borderId="133" xfId="55" applyFont="1" applyFill="1" applyBorder="1" applyAlignment="1">
      <alignment horizontal="right" vertical="center"/>
    </xf>
    <xf numFmtId="0" fontId="101" fillId="27" borderId="133" xfId="46" applyFont="1" applyFill="1" applyBorder="1" applyAlignment="1">
      <alignment vertical="center" wrapText="1"/>
    </xf>
    <xf numFmtId="0" fontId="101" fillId="27" borderId="133" xfId="46" applyFont="1" applyFill="1" applyBorder="1" applyAlignment="1">
      <alignment vertical="center"/>
    </xf>
    <xf numFmtId="3" fontId="101" fillId="27" borderId="133" xfId="46" applyNumberFormat="1" applyFont="1" applyFill="1" applyBorder="1" applyAlignment="1">
      <alignment vertical="center"/>
    </xf>
    <xf numFmtId="0" fontId="68" fillId="27" borderId="133" xfId="46" applyFont="1" applyFill="1" applyBorder="1" applyAlignment="1">
      <alignment horizontal="center" vertical="center" wrapText="1"/>
    </xf>
    <xf numFmtId="169" fontId="68" fillId="27" borderId="133" xfId="56" applyNumberFormat="1" applyFont="1" applyFill="1" applyBorder="1" applyAlignment="1">
      <alignment horizontal="center" vertical="center" wrapText="1"/>
    </xf>
    <xf numFmtId="169" fontId="68" fillId="27" borderId="133" xfId="56" applyFont="1" applyFill="1" applyBorder="1" applyAlignment="1">
      <alignment horizontal="right" vertical="center" wrapText="1"/>
    </xf>
    <xf numFmtId="0" fontId="68" fillId="27" borderId="133" xfId="46" applyFont="1" applyFill="1" applyBorder="1" applyAlignment="1">
      <alignment horizontal="center" vertical="center"/>
    </xf>
    <xf numFmtId="0" fontId="99" fillId="27" borderId="133" xfId="46" applyFont="1" applyFill="1" applyBorder="1" applyAlignment="1">
      <alignment vertical="center"/>
    </xf>
    <xf numFmtId="3" fontId="99" fillId="27" borderId="133" xfId="46" applyNumberFormat="1" applyFont="1" applyFill="1" applyBorder="1" applyAlignment="1">
      <alignment vertical="center"/>
    </xf>
    <xf numFmtId="0" fontId="68" fillId="27" borderId="133" xfId="46" applyFont="1" applyFill="1" applyBorder="1" applyAlignment="1">
      <alignment horizontal="left" vertical="center" wrapText="1"/>
    </xf>
    <xf numFmtId="169" fontId="99" fillId="27" borderId="133" xfId="46" applyNumberFormat="1" applyFont="1" applyFill="1" applyBorder="1" applyAlignment="1">
      <alignment vertical="center"/>
    </xf>
    <xf numFmtId="0" fontId="99" fillId="27" borderId="133" xfId="46" applyFont="1" applyFill="1" applyBorder="1" applyAlignment="1">
      <alignment horizontal="left" vertical="center" wrapText="1"/>
    </xf>
    <xf numFmtId="0" fontId="99" fillId="27" borderId="133" xfId="46" applyFont="1" applyFill="1" applyBorder="1" applyAlignment="1">
      <alignment horizontal="center" vertical="center" wrapText="1"/>
    </xf>
    <xf numFmtId="169" fontId="99" fillId="27" borderId="133" xfId="55" applyFont="1" applyFill="1" applyBorder="1" applyAlignment="1">
      <alignment horizontal="right" vertical="center" wrapText="1"/>
    </xf>
    <xf numFmtId="0" fontId="99" fillId="27" borderId="133" xfId="46" applyFont="1" applyFill="1" applyBorder="1" applyAlignment="1">
      <alignment horizontal="center" vertical="center"/>
    </xf>
    <xf numFmtId="0" fontId="101" fillId="27" borderId="133" xfId="46" applyFont="1" applyFill="1" applyBorder="1" applyAlignment="1">
      <alignment horizontal="center" vertical="center"/>
    </xf>
    <xf numFmtId="0" fontId="98" fillId="27" borderId="133" xfId="46" applyFont="1" applyFill="1" applyBorder="1" applyAlignment="1">
      <alignment horizontal="left" vertical="center" wrapText="1"/>
    </xf>
    <xf numFmtId="0" fontId="68" fillId="27" borderId="133" xfId="46" applyFont="1" applyFill="1" applyBorder="1" applyAlignment="1">
      <alignment vertical="center"/>
    </xf>
    <xf numFmtId="169" fontId="68" fillId="27" borderId="133" xfId="55" applyFont="1" applyFill="1" applyBorder="1" applyAlignment="1">
      <alignment horizontal="right" vertical="center"/>
    </xf>
    <xf numFmtId="176" fontId="99" fillId="27" borderId="133" xfId="46" applyNumberFormat="1" applyFont="1" applyFill="1" applyBorder="1" applyAlignment="1">
      <alignment vertical="center"/>
    </xf>
    <xf numFmtId="0" fontId="228" fillId="27" borderId="133" xfId="46" applyFont="1" applyFill="1" applyBorder="1" applyAlignment="1">
      <alignment horizontal="center" vertical="center"/>
    </xf>
    <xf numFmtId="0" fontId="146" fillId="27" borderId="133" xfId="46" applyFont="1" applyFill="1" applyBorder="1" applyAlignment="1">
      <alignment vertical="center"/>
    </xf>
    <xf numFmtId="169" fontId="68" fillId="27" borderId="133" xfId="38" applyNumberFormat="1" applyFont="1" applyFill="1" applyBorder="1" applyAlignment="1">
      <alignment horizontal="center" vertical="center"/>
    </xf>
    <xf numFmtId="169" fontId="68" fillId="27" borderId="133" xfId="56" applyFont="1" applyFill="1" applyBorder="1" applyAlignment="1">
      <alignment horizontal="right" vertical="center"/>
    </xf>
    <xf numFmtId="0" fontId="226" fillId="27" borderId="133" xfId="46" applyFont="1" applyFill="1" applyBorder="1" applyAlignment="1">
      <alignment horizontal="center" vertical="center" wrapText="1"/>
    </xf>
    <xf numFmtId="169" fontId="99" fillId="27" borderId="133" xfId="55" applyNumberFormat="1" applyFont="1" applyFill="1" applyBorder="1" applyAlignment="1">
      <alignment horizontal="center" vertical="center"/>
    </xf>
    <xf numFmtId="9" fontId="101" fillId="6" borderId="133" xfId="46" applyNumberFormat="1" applyFont="1" applyFill="1" applyBorder="1" applyAlignment="1">
      <alignment horizontal="center" vertical="center" wrapText="1"/>
    </xf>
    <xf numFmtId="0" fontId="101" fillId="6" borderId="133" xfId="46" applyFont="1" applyFill="1" applyBorder="1" applyAlignment="1">
      <alignment horizontal="left" vertical="center" wrapText="1"/>
    </xf>
    <xf numFmtId="169" fontId="101" fillId="6" borderId="133" xfId="55" applyNumberFormat="1" applyFont="1" applyFill="1" applyBorder="1" applyAlignment="1">
      <alignment horizontal="center" vertical="center" wrapText="1"/>
    </xf>
    <xf numFmtId="169" fontId="101" fillId="6" borderId="133" xfId="55" applyFont="1" applyFill="1" applyBorder="1" applyAlignment="1">
      <alignment horizontal="right" vertical="center" wrapText="1"/>
    </xf>
    <xf numFmtId="169" fontId="101" fillId="6" borderId="133" xfId="55" applyFont="1" applyFill="1" applyBorder="1" applyAlignment="1">
      <alignment horizontal="right" vertical="center"/>
    </xf>
    <xf numFmtId="0" fontId="101" fillId="6" borderId="133" xfId="46" applyFont="1" applyFill="1" applyBorder="1" applyAlignment="1">
      <alignment horizontal="center" vertical="center"/>
    </xf>
    <xf numFmtId="0" fontId="101" fillId="6" borderId="133" xfId="46" applyFont="1" applyFill="1" applyBorder="1" applyAlignment="1">
      <alignment vertical="center"/>
    </xf>
    <xf numFmtId="3" fontId="101" fillId="6" borderId="133" xfId="46" applyNumberFormat="1" applyFont="1" applyFill="1" applyBorder="1" applyAlignment="1">
      <alignment vertical="center"/>
    </xf>
    <xf numFmtId="4" fontId="101" fillId="6" borderId="133" xfId="46" applyNumberFormat="1" applyFont="1" applyFill="1" applyBorder="1" applyAlignment="1">
      <alignment vertical="center"/>
    </xf>
    <xf numFmtId="10" fontId="101" fillId="6" borderId="133" xfId="57" applyNumberFormat="1" applyFont="1" applyFill="1" applyBorder="1" applyAlignment="1">
      <alignment vertical="center"/>
    </xf>
    <xf numFmtId="9" fontId="101" fillId="111" borderId="133" xfId="46" applyNumberFormat="1" applyFont="1" applyFill="1" applyBorder="1" applyAlignment="1">
      <alignment horizontal="center" vertical="center" wrapText="1"/>
    </xf>
    <xf numFmtId="0" fontId="101" fillId="111" borderId="133" xfId="46" applyFont="1" applyFill="1" applyBorder="1" applyAlignment="1">
      <alignment horizontal="left" vertical="center" wrapText="1"/>
    </xf>
    <xf numFmtId="169" fontId="101" fillId="111" borderId="133" xfId="55" applyNumberFormat="1" applyFont="1" applyFill="1" applyBorder="1" applyAlignment="1">
      <alignment horizontal="center" vertical="center" wrapText="1"/>
    </xf>
    <xf numFmtId="169" fontId="101" fillId="111" borderId="133" xfId="55" applyFont="1" applyFill="1" applyBorder="1" applyAlignment="1">
      <alignment horizontal="right" vertical="center" wrapText="1"/>
    </xf>
    <xf numFmtId="169" fontId="101" fillId="111" borderId="133" xfId="55" applyFont="1" applyFill="1" applyBorder="1" applyAlignment="1">
      <alignment horizontal="right" vertical="center"/>
    </xf>
    <xf numFmtId="0" fontId="101" fillId="111" borderId="133" xfId="46" applyFont="1" applyFill="1" applyBorder="1" applyAlignment="1">
      <alignment horizontal="center" vertical="center"/>
    </xf>
    <xf numFmtId="0" fontId="101" fillId="111" borderId="133" xfId="46" applyFont="1" applyFill="1" applyBorder="1" applyAlignment="1">
      <alignment vertical="center"/>
    </xf>
    <xf numFmtId="3" fontId="101" fillId="111" borderId="133" xfId="46" applyNumberFormat="1" applyFont="1" applyFill="1" applyBorder="1" applyAlignment="1">
      <alignment vertical="center"/>
    </xf>
    <xf numFmtId="4" fontId="101" fillId="111" borderId="133" xfId="46" applyNumberFormat="1" applyFont="1" applyFill="1" applyBorder="1" applyAlignment="1">
      <alignment vertical="center"/>
    </xf>
    <xf numFmtId="10" fontId="101" fillId="111" borderId="133" xfId="57" applyNumberFormat="1" applyFont="1" applyFill="1" applyBorder="1" applyAlignment="1">
      <alignment vertical="center"/>
    </xf>
    <xf numFmtId="2" fontId="101" fillId="6" borderId="133" xfId="46" applyNumberFormat="1" applyFont="1" applyFill="1" applyBorder="1" applyAlignment="1">
      <alignment horizontal="center" vertical="center" wrapText="1"/>
    </xf>
    <xf numFmtId="2" fontId="101" fillId="6" borderId="133" xfId="46" applyNumberFormat="1" applyFont="1" applyFill="1" applyBorder="1" applyAlignment="1">
      <alignment horizontal="right" vertical="center" wrapText="1"/>
    </xf>
    <xf numFmtId="4" fontId="101" fillId="6" borderId="133" xfId="46" applyNumberFormat="1" applyFont="1" applyFill="1" applyBorder="1" applyAlignment="1">
      <alignment horizontal="center" vertical="center"/>
    </xf>
    <xf numFmtId="3" fontId="101" fillId="6" borderId="133" xfId="46" applyNumberFormat="1" applyFont="1" applyFill="1" applyBorder="1" applyAlignment="1">
      <alignment horizontal="center" vertical="center"/>
    </xf>
    <xf numFmtId="0" fontId="104" fillId="7" borderId="194" xfId="46" applyFont="1" applyFill="1" applyBorder="1" applyAlignment="1">
      <alignment horizontal="center" vertical="center" wrapText="1"/>
    </xf>
    <xf numFmtId="2" fontId="104" fillId="7" borderId="194" xfId="46" applyNumberFormat="1" applyFont="1" applyFill="1" applyBorder="1" applyAlignment="1">
      <alignment horizontal="center" vertical="center" wrapText="1"/>
    </xf>
    <xf numFmtId="2" fontId="104" fillId="7" borderId="194" xfId="46" applyNumberFormat="1" applyFont="1" applyFill="1" applyBorder="1" applyAlignment="1">
      <alignment horizontal="right" vertical="center" wrapText="1"/>
    </xf>
    <xf numFmtId="4" fontId="104" fillId="7" borderId="194" xfId="46" applyNumberFormat="1" applyFont="1" applyFill="1" applyBorder="1" applyAlignment="1">
      <alignment horizontal="center" vertical="center"/>
    </xf>
    <xf numFmtId="0" fontId="104" fillId="7" borderId="194" xfId="46" applyFont="1" applyFill="1" applyBorder="1" applyAlignment="1">
      <alignment horizontal="center" vertical="center"/>
    </xf>
    <xf numFmtId="0" fontId="104" fillId="7" borderId="194" xfId="46" applyFont="1" applyFill="1" applyBorder="1" applyAlignment="1">
      <alignment vertical="center"/>
    </xf>
    <xf numFmtId="3" fontId="104" fillId="7" borderId="194" xfId="46" applyNumberFormat="1" applyFont="1" applyFill="1" applyBorder="1" applyAlignment="1">
      <alignment vertical="center"/>
    </xf>
    <xf numFmtId="3" fontId="104" fillId="7" borderId="195" xfId="46" applyNumberFormat="1" applyFont="1" applyFill="1" applyBorder="1" applyAlignment="1">
      <alignment vertical="center"/>
    </xf>
    <xf numFmtId="169" fontId="104" fillId="7" borderId="194" xfId="55" applyFont="1" applyFill="1" applyBorder="1" applyAlignment="1">
      <alignment horizontal="center" vertical="center" wrapText="1"/>
    </xf>
    <xf numFmtId="202" fontId="104" fillId="7" borderId="194" xfId="46" applyNumberFormat="1" applyFont="1" applyFill="1" applyBorder="1" applyAlignment="1">
      <alignment vertical="center"/>
    </xf>
    <xf numFmtId="169" fontId="99" fillId="5" borderId="133" xfId="55" applyFont="1" applyFill="1" applyBorder="1" applyAlignment="1">
      <alignment horizontal="center" vertical="center"/>
    </xf>
    <xf numFmtId="10" fontId="99" fillId="5" borderId="133" xfId="46" applyNumberFormat="1" applyFont="1" applyFill="1" applyBorder="1" applyAlignment="1">
      <alignment vertical="center"/>
    </xf>
    <xf numFmtId="169" fontId="99" fillId="5" borderId="133" xfId="55" applyFont="1" applyFill="1" applyBorder="1" applyAlignment="1">
      <alignment vertical="center"/>
    </xf>
    <xf numFmtId="0" fontId="149" fillId="2" borderId="0" xfId="0" applyFont="1" applyFill="1" applyAlignment="1">
      <alignment horizontal="right" vertical="center"/>
    </xf>
    <xf numFmtId="3" fontId="149" fillId="2" borderId="0" xfId="0" applyNumberFormat="1" applyFont="1" applyFill="1" applyBorder="1" applyAlignment="1">
      <alignment vertical="center"/>
    </xf>
    <xf numFmtId="10" fontId="149" fillId="2" borderId="0" xfId="58" applyNumberFormat="1" applyFont="1" applyFill="1" applyBorder="1" applyAlignment="1">
      <alignment horizontal="right" vertical="center"/>
    </xf>
    <xf numFmtId="10" fontId="149" fillId="2" borderId="0" xfId="58" applyNumberFormat="1" applyFont="1" applyFill="1" applyBorder="1" applyAlignment="1">
      <alignment vertical="center"/>
    </xf>
    <xf numFmtId="4" fontId="149" fillId="2" borderId="0" xfId="0" applyNumberFormat="1" applyFont="1" applyFill="1" applyBorder="1" applyAlignment="1">
      <alignment vertical="center"/>
    </xf>
    <xf numFmtId="0" fontId="149" fillId="2" borderId="0" xfId="0" applyFont="1" applyFill="1" applyBorder="1" applyAlignment="1">
      <alignment horizontal="right" vertical="center"/>
    </xf>
    <xf numFmtId="0" fontId="231" fillId="2" borderId="0" xfId="41" applyFont="1" applyFill="1" applyBorder="1" applyAlignment="1">
      <alignment horizontal="center" vertical="center"/>
    </xf>
    <xf numFmtId="0" fontId="67" fillId="2" borderId="0" xfId="41" applyFont="1" applyFill="1" applyBorder="1" applyAlignment="1">
      <alignment horizontal="right" vertical="center"/>
    </xf>
    <xf numFmtId="0" fontId="67" fillId="2" borderId="0" xfId="41" applyFont="1" applyFill="1" applyBorder="1" applyAlignment="1">
      <alignment horizontal="center" vertical="center"/>
    </xf>
    <xf numFmtId="3" fontId="149" fillId="2" borderId="0" xfId="0" applyNumberFormat="1" applyFont="1" applyFill="1" applyAlignment="1">
      <alignment vertical="center"/>
    </xf>
    <xf numFmtId="3" fontId="100" fillId="2" borderId="0" xfId="0" applyNumberFormat="1" applyFont="1" applyFill="1" applyBorder="1" applyAlignment="1">
      <alignment horizontal="right" vertical="center"/>
    </xf>
    <xf numFmtId="3" fontId="100" fillId="2" borderId="0" xfId="0" applyNumberFormat="1" applyFont="1" applyFill="1" applyBorder="1" applyAlignment="1">
      <alignment vertical="center"/>
    </xf>
    <xf numFmtId="0" fontId="100" fillId="2" borderId="0" xfId="0" applyFont="1" applyFill="1" applyBorder="1" applyAlignment="1">
      <alignment vertical="center" wrapText="1"/>
    </xf>
    <xf numFmtId="0" fontId="100" fillId="2" borderId="0" xfId="0" applyFont="1" applyFill="1" applyBorder="1" applyAlignment="1">
      <alignment horizontal="right" vertical="center"/>
    </xf>
    <xf numFmtId="4" fontId="68" fillId="2" borderId="0" xfId="0" applyNumberFormat="1" applyFont="1" applyFill="1" applyBorder="1" applyAlignment="1">
      <alignment horizontal="right" vertical="center"/>
    </xf>
    <xf numFmtId="0" fontId="231" fillId="2" borderId="0" xfId="41" applyFont="1" applyFill="1" applyBorder="1" applyAlignment="1">
      <alignment horizontal="right" vertical="center"/>
    </xf>
    <xf numFmtId="0" fontId="149" fillId="2" borderId="139" xfId="0" applyFont="1" applyFill="1" applyBorder="1" applyAlignment="1">
      <alignment vertical="center"/>
    </xf>
    <xf numFmtId="3" fontId="149" fillId="2" borderId="143" xfId="0" applyNumberFormat="1" applyFont="1" applyFill="1" applyBorder="1" applyAlignment="1">
      <alignment vertical="center"/>
    </xf>
    <xf numFmtId="10" fontId="149" fillId="2" borderId="143" xfId="58" applyNumberFormat="1" applyFont="1" applyFill="1" applyBorder="1" applyAlignment="1">
      <alignment horizontal="right" vertical="center"/>
    </xf>
    <xf numFmtId="10" fontId="149" fillId="2" borderId="143" xfId="58" applyNumberFormat="1" applyFont="1" applyFill="1" applyBorder="1" applyAlignment="1">
      <alignment vertical="center"/>
    </xf>
    <xf numFmtId="0" fontId="149" fillId="2" borderId="143" xfId="0" applyFont="1" applyFill="1" applyBorder="1" applyAlignment="1">
      <alignment vertical="center"/>
    </xf>
    <xf numFmtId="0" fontId="149" fillId="2" borderId="140" xfId="0" applyFont="1" applyFill="1" applyBorder="1" applyAlignment="1">
      <alignment vertical="center"/>
    </xf>
    <xf numFmtId="0" fontId="149" fillId="2" borderId="153" xfId="0" applyFont="1" applyFill="1" applyBorder="1" applyAlignment="1">
      <alignment vertical="center"/>
    </xf>
    <xf numFmtId="0" fontId="149" fillId="2" borderId="154" xfId="0" applyFont="1" applyFill="1" applyBorder="1" applyAlignment="1">
      <alignment vertical="center"/>
    </xf>
    <xf numFmtId="0" fontId="100" fillId="2" borderId="153" xfId="0" applyFont="1" applyFill="1" applyBorder="1" applyAlignment="1">
      <alignment horizontal="center" vertical="center"/>
    </xf>
    <xf numFmtId="0" fontId="100" fillId="2" borderId="154" xfId="0" applyFont="1" applyFill="1" applyBorder="1" applyAlignment="1">
      <alignment horizontal="center" vertical="center"/>
    </xf>
    <xf numFmtId="0" fontId="149" fillId="2" borderId="153" xfId="0" applyFont="1" applyFill="1" applyBorder="1" applyAlignment="1">
      <alignment horizontal="center" vertical="center"/>
    </xf>
    <xf numFmtId="0" fontId="149" fillId="2" borderId="141" xfId="0" applyFont="1" applyFill="1" applyBorder="1" applyAlignment="1">
      <alignment vertical="center"/>
    </xf>
    <xf numFmtId="0" fontId="149" fillId="2" borderId="144" xfId="0" applyFont="1" applyFill="1" applyBorder="1" applyAlignment="1">
      <alignment vertical="center"/>
    </xf>
    <xf numFmtId="0" fontId="149" fillId="2" borderId="144" xfId="0" applyFont="1" applyFill="1" applyBorder="1" applyAlignment="1">
      <alignment horizontal="right" vertical="center"/>
    </xf>
    <xf numFmtId="0" fontId="149" fillId="2" borderId="142" xfId="0" applyFont="1" applyFill="1" applyBorder="1" applyAlignment="1">
      <alignment vertical="center"/>
    </xf>
    <xf numFmtId="3" fontId="100" fillId="2" borderId="133" xfId="0" applyNumberFormat="1" applyFont="1" applyFill="1" applyBorder="1" applyAlignment="1">
      <alignment horizontal="right" vertical="center"/>
    </xf>
    <xf numFmtId="169" fontId="100" fillId="2" borderId="133" xfId="59" applyFont="1" applyFill="1" applyBorder="1" applyAlignment="1">
      <alignment horizontal="right" vertical="center"/>
    </xf>
    <xf numFmtId="0" fontId="149" fillId="2" borderId="133" xfId="0" quotePrefix="1" applyFont="1" applyFill="1" applyBorder="1" applyAlignment="1">
      <alignment horizontal="left" vertical="center" wrapText="1"/>
    </xf>
    <xf numFmtId="3" fontId="149" fillId="2" borderId="133" xfId="0" applyNumberFormat="1" applyFont="1" applyFill="1" applyBorder="1" applyAlignment="1">
      <alignment horizontal="right" vertical="center"/>
    </xf>
    <xf numFmtId="3" fontId="149" fillId="2" borderId="133" xfId="0" applyNumberFormat="1" applyFont="1" applyFill="1" applyBorder="1" applyAlignment="1">
      <alignment vertical="center"/>
    </xf>
    <xf numFmtId="3" fontId="100" fillId="2" borderId="133" xfId="0" applyNumberFormat="1" applyFont="1" applyFill="1" applyBorder="1" applyAlignment="1">
      <alignment vertical="center"/>
    </xf>
    <xf numFmtId="0" fontId="149" fillId="2" borderId="133" xfId="0" applyFont="1" applyFill="1" applyBorder="1" applyAlignment="1">
      <alignment vertical="center" wrapText="1"/>
    </xf>
    <xf numFmtId="176" fontId="100" fillId="2" borderId="133" xfId="59" applyNumberFormat="1" applyFont="1" applyFill="1" applyBorder="1" applyAlignment="1">
      <alignment horizontal="right" vertical="center"/>
    </xf>
    <xf numFmtId="3" fontId="149" fillId="2" borderId="133" xfId="0" applyNumberFormat="1" applyFont="1" applyFill="1" applyBorder="1" applyAlignment="1">
      <alignment horizontal="center" vertical="center"/>
    </xf>
    <xf numFmtId="4" fontId="149" fillId="2" borderId="133" xfId="0" applyNumberFormat="1" applyFont="1" applyFill="1" applyBorder="1" applyAlignment="1">
      <alignment horizontal="center" vertical="center"/>
    </xf>
    <xf numFmtId="10" fontId="99" fillId="2" borderId="133" xfId="0" applyNumberFormat="1" applyFont="1" applyFill="1" applyBorder="1" applyAlignment="1">
      <alignment horizontal="right" vertical="center"/>
    </xf>
    <xf numFmtId="0" fontId="48" fillId="2" borderId="133" xfId="0" applyFont="1" applyFill="1" applyBorder="1" applyAlignment="1">
      <alignment horizontal="center" vertical="center"/>
    </xf>
    <xf numFmtId="4" fontId="101" fillId="2" borderId="133" xfId="0" applyNumberFormat="1" applyFont="1" applyFill="1" applyBorder="1" applyAlignment="1">
      <alignment horizontal="right" vertical="center"/>
    </xf>
    <xf numFmtId="4" fontId="67" fillId="4" borderId="133" xfId="0" applyNumberFormat="1" applyFont="1" applyFill="1" applyBorder="1" applyAlignment="1">
      <alignment horizontal="right" vertical="center"/>
    </xf>
    <xf numFmtId="0" fontId="100" fillId="6" borderId="133" xfId="0" applyFont="1" applyFill="1" applyBorder="1" applyAlignment="1">
      <alignment vertical="center" wrapText="1"/>
    </xf>
    <xf numFmtId="3" fontId="100" fillId="6" borderId="133" xfId="0" applyNumberFormat="1" applyFont="1" applyFill="1" applyBorder="1" applyAlignment="1">
      <alignment horizontal="right" vertical="center"/>
    </xf>
    <xf numFmtId="0" fontId="91" fillId="2" borderId="0" xfId="0" applyFont="1" applyFill="1" applyAlignment="1">
      <alignment vertical="center"/>
    </xf>
    <xf numFmtId="1" fontId="91" fillId="2" borderId="0" xfId="0" applyNumberFormat="1" applyFont="1" applyFill="1" applyAlignment="1">
      <alignment horizontal="center" vertical="center"/>
    </xf>
    <xf numFmtId="2" fontId="91" fillId="2" borderId="0" xfId="0" applyNumberFormat="1" applyFont="1" applyFill="1" applyAlignment="1">
      <alignment vertical="center"/>
    </xf>
    <xf numFmtId="1" fontId="197" fillId="7" borderId="130" xfId="0" applyNumberFormat="1" applyFont="1" applyFill="1" applyBorder="1" applyAlignment="1">
      <alignment horizontal="center" vertical="center" wrapText="1"/>
    </xf>
    <xf numFmtId="0" fontId="91" fillId="0" borderId="133" xfId="0" applyFont="1" applyBorder="1" applyAlignment="1">
      <alignment horizontal="left" vertical="center" wrapText="1"/>
    </xf>
    <xf numFmtId="1" fontId="91" fillId="0" borderId="133" xfId="0" applyNumberFormat="1" applyFont="1" applyBorder="1" applyAlignment="1">
      <alignment horizontal="center" vertical="center" wrapText="1"/>
    </xf>
    <xf numFmtId="2" fontId="91" fillId="0" borderId="133" xfId="0" applyNumberFormat="1" applyFont="1" applyFill="1" applyBorder="1" applyAlignment="1">
      <alignment horizontal="center" vertical="center" wrapText="1"/>
    </xf>
    <xf numFmtId="2" fontId="90" fillId="0" borderId="133" xfId="0" applyNumberFormat="1" applyFont="1" applyFill="1" applyBorder="1" applyAlignment="1">
      <alignment horizontal="center" vertical="center" wrapText="1"/>
    </xf>
    <xf numFmtId="0" fontId="91" fillId="0" borderId="133" xfId="0" applyFont="1" applyBorder="1" applyAlignment="1">
      <alignment horizontal="center" vertical="center" wrapText="1"/>
    </xf>
    <xf numFmtId="0" fontId="62" fillId="0" borderId="133" xfId="0" applyFont="1" applyBorder="1" applyAlignment="1">
      <alignment horizontal="center" vertical="center" wrapText="1"/>
    </xf>
    <xf numFmtId="0" fontId="62" fillId="0" borderId="133" xfId="0" applyFont="1" applyFill="1" applyBorder="1" applyAlignment="1">
      <alignment horizontal="center" vertical="center" wrapText="1"/>
    </xf>
    <xf numFmtId="0" fontId="91" fillId="0" borderId="133" xfId="0" applyFont="1" applyFill="1" applyBorder="1" applyAlignment="1">
      <alignment horizontal="left" vertical="center" wrapText="1"/>
    </xf>
    <xf numFmtId="2" fontId="90" fillId="2" borderId="133" xfId="0" applyNumberFormat="1" applyFont="1" applyFill="1" applyBorder="1" applyAlignment="1">
      <alignment horizontal="center" vertical="center" wrapText="1"/>
    </xf>
    <xf numFmtId="2" fontId="91" fillId="2" borderId="133" xfId="0" applyNumberFormat="1" applyFont="1" applyFill="1" applyBorder="1" applyAlignment="1">
      <alignment horizontal="center" vertical="center" wrapText="1"/>
    </xf>
    <xf numFmtId="0" fontId="91" fillId="2" borderId="133" xfId="0" applyFont="1" applyFill="1" applyBorder="1" applyAlignment="1">
      <alignment vertical="center"/>
    </xf>
    <xf numFmtId="2" fontId="69" fillId="0" borderId="133" xfId="0" applyNumberFormat="1" applyFont="1" applyFill="1" applyBorder="1" applyAlignment="1">
      <alignment horizontal="center" vertical="center" wrapText="1"/>
    </xf>
    <xf numFmtId="2" fontId="62" fillId="2" borderId="133" xfId="0" applyNumberFormat="1" applyFont="1" applyFill="1" applyBorder="1" applyAlignment="1">
      <alignment horizontal="center" vertical="center" wrapText="1"/>
    </xf>
    <xf numFmtId="2" fontId="69" fillId="2" borderId="133" xfId="0" applyNumberFormat="1" applyFont="1" applyFill="1" applyBorder="1" applyAlignment="1">
      <alignment horizontal="center" vertical="center" wrapText="1"/>
    </xf>
    <xf numFmtId="2" fontId="62" fillId="0" borderId="133" xfId="0" applyNumberFormat="1" applyFont="1" applyFill="1" applyBorder="1" applyAlignment="1">
      <alignment horizontal="center" vertical="center" wrapText="1"/>
    </xf>
    <xf numFmtId="0" fontId="91" fillId="0" borderId="133" xfId="0" applyFont="1" applyFill="1" applyBorder="1" applyAlignment="1">
      <alignment horizontal="center" vertical="center" wrapText="1"/>
    </xf>
    <xf numFmtId="0" fontId="62" fillId="0" borderId="133" xfId="0" applyFont="1" applyFill="1" applyBorder="1" applyAlignment="1">
      <alignment horizontal="left" vertical="center" wrapText="1"/>
    </xf>
    <xf numFmtId="0" fontId="91" fillId="0" borderId="133" xfId="0" applyFont="1" applyBorder="1" applyAlignment="1">
      <alignment vertical="center"/>
    </xf>
    <xf numFmtId="2" fontId="91" fillId="0" borderId="133" xfId="0" applyNumberFormat="1" applyFont="1" applyBorder="1" applyAlignment="1">
      <alignment horizontal="center" vertical="center" wrapText="1"/>
    </xf>
    <xf numFmtId="1" fontId="91" fillId="0" borderId="133" xfId="0" applyNumberFormat="1" applyFont="1" applyFill="1" applyBorder="1" applyAlignment="1">
      <alignment horizontal="center" vertical="center" wrapText="1"/>
    </xf>
    <xf numFmtId="0" fontId="91" fillId="0" borderId="133" xfId="0" applyFont="1" applyFill="1" applyBorder="1" applyAlignment="1">
      <alignment vertical="center"/>
    </xf>
    <xf numFmtId="2" fontId="90" fillId="0" borderId="133" xfId="0" applyNumberFormat="1" applyFont="1" applyBorder="1" applyAlignment="1">
      <alignment horizontal="center" vertical="center" wrapText="1"/>
    </xf>
    <xf numFmtId="0" fontId="62" fillId="0" borderId="133" xfId="0" applyFont="1" applyBorder="1" applyAlignment="1">
      <alignment horizontal="left" vertical="center" wrapText="1"/>
    </xf>
    <xf numFmtId="2" fontId="90" fillId="6" borderId="133" xfId="0" applyNumberFormat="1" applyFont="1" applyFill="1" applyBorder="1" applyAlignment="1">
      <alignment horizontal="center" vertical="center" wrapText="1"/>
    </xf>
    <xf numFmtId="2" fontId="69" fillId="6" borderId="133" xfId="0" applyNumberFormat="1" applyFont="1" applyFill="1" applyBorder="1" applyAlignment="1">
      <alignment horizontal="center" vertical="center" wrapText="1"/>
    </xf>
    <xf numFmtId="0" fontId="5" fillId="2" borderId="0" xfId="169" applyFont="1" applyFill="1" applyAlignment="1">
      <alignment vertical="center"/>
    </xf>
    <xf numFmtId="1" fontId="232" fillId="2" borderId="0" xfId="188" applyNumberFormat="1" applyFont="1" applyFill="1" applyAlignment="1">
      <alignment horizontal="center" vertical="center"/>
    </xf>
    <xf numFmtId="0" fontId="5" fillId="2" borderId="0" xfId="188" applyFont="1" applyFill="1" applyAlignment="1">
      <alignment vertical="center"/>
    </xf>
    <xf numFmtId="0" fontId="9" fillId="2" borderId="0" xfId="188" applyFont="1" applyFill="1" applyBorder="1" applyAlignment="1">
      <alignment vertical="center"/>
    </xf>
    <xf numFmtId="0" fontId="9" fillId="2" borderId="0" xfId="188" applyFont="1" applyFill="1" applyBorder="1" applyAlignment="1">
      <alignment horizontal="center" vertical="center" wrapText="1"/>
    </xf>
    <xf numFmtId="0" fontId="9" fillId="2" borderId="0" xfId="169" applyFont="1" applyFill="1" applyBorder="1" applyAlignment="1">
      <alignment vertical="center"/>
    </xf>
    <xf numFmtId="199" fontId="9" fillId="2" borderId="0" xfId="169" applyNumberFormat="1" applyFont="1" applyFill="1" applyBorder="1" applyAlignment="1">
      <alignment horizontal="left" vertical="center"/>
    </xf>
    <xf numFmtId="0" fontId="10" fillId="7" borderId="126" xfId="169" applyFont="1" applyFill="1" applyBorder="1" applyAlignment="1">
      <alignment horizontal="center" vertical="center"/>
    </xf>
    <xf numFmtId="0" fontId="10" fillId="7" borderId="130" xfId="169" applyFont="1" applyFill="1" applyBorder="1" applyAlignment="1">
      <alignment horizontal="center" vertical="center"/>
    </xf>
    <xf numFmtId="0" fontId="10" fillId="114" borderId="130" xfId="169" applyFont="1" applyFill="1" applyBorder="1" applyAlignment="1">
      <alignment horizontal="center" vertical="center"/>
    </xf>
    <xf numFmtId="0" fontId="5" fillId="115" borderId="133" xfId="0" applyFont="1" applyFill="1" applyBorder="1" applyAlignment="1">
      <alignment horizontal="left" vertical="center"/>
    </xf>
    <xf numFmtId="0" fontId="5" fillId="2" borderId="133" xfId="169" applyFont="1" applyFill="1" applyBorder="1" applyAlignment="1">
      <alignment horizontal="center" vertical="center"/>
    </xf>
    <xf numFmtId="0" fontId="9" fillId="2" borderId="133" xfId="169" applyFont="1" applyFill="1" applyBorder="1" applyAlignment="1">
      <alignment vertical="center"/>
    </xf>
    <xf numFmtId="0" fontId="9" fillId="0" borderId="133" xfId="169" applyFont="1" applyFill="1" applyBorder="1" applyAlignment="1">
      <alignment vertical="center"/>
    </xf>
    <xf numFmtId="10" fontId="9" fillId="2" borderId="133" xfId="1" applyNumberFormat="1" applyFont="1" applyFill="1" applyBorder="1" applyAlignment="1">
      <alignment horizontal="center" vertical="center"/>
    </xf>
    <xf numFmtId="10" fontId="9" fillId="0" borderId="133" xfId="1" applyNumberFormat="1" applyFont="1" applyFill="1" applyBorder="1" applyAlignment="1">
      <alignment horizontal="center" vertical="center"/>
    </xf>
    <xf numFmtId="0" fontId="9" fillId="0" borderId="133" xfId="169" applyFont="1" applyFill="1" applyBorder="1" applyAlignment="1">
      <alignment horizontal="center" vertical="center"/>
    </xf>
    <xf numFmtId="0" fontId="5" fillId="115" borderId="133" xfId="0" applyFont="1" applyFill="1" applyBorder="1" applyAlignment="1">
      <alignment horizontal="left" vertical="center" wrapText="1"/>
    </xf>
    <xf numFmtId="0" fontId="5" fillId="2" borderId="0" xfId="169" applyFont="1" applyFill="1" applyBorder="1" applyAlignment="1">
      <alignment vertical="center"/>
    </xf>
    <xf numFmtId="4" fontId="5" fillId="2" borderId="133" xfId="169" applyNumberFormat="1" applyFont="1" applyFill="1" applyBorder="1" applyAlignment="1">
      <alignment horizontal="center" vertical="center"/>
    </xf>
    <xf numFmtId="9" fontId="9" fillId="2" borderId="133" xfId="1" applyFont="1" applyFill="1" applyBorder="1" applyAlignment="1">
      <alignment horizontal="center" vertical="center"/>
    </xf>
    <xf numFmtId="4" fontId="9" fillId="2" borderId="133" xfId="169" applyNumberFormat="1" applyFont="1" applyFill="1" applyBorder="1" applyAlignment="1">
      <alignment horizontal="center" vertical="center"/>
    </xf>
    <xf numFmtId="4" fontId="9" fillId="2" borderId="133" xfId="1" applyNumberFormat="1" applyFont="1" applyFill="1" applyBorder="1" applyAlignment="1">
      <alignment horizontal="center" vertical="center"/>
    </xf>
    <xf numFmtId="0" fontId="9" fillId="2" borderId="133" xfId="169" applyFont="1" applyFill="1" applyBorder="1" applyAlignment="1">
      <alignment horizontal="right" vertical="center"/>
    </xf>
    <xf numFmtId="4" fontId="9" fillId="6" borderId="133" xfId="1" applyNumberFormat="1" applyFont="1" applyFill="1" applyBorder="1" applyAlignment="1">
      <alignment horizontal="center" vertical="center"/>
    </xf>
    <xf numFmtId="4" fontId="9" fillId="0" borderId="133" xfId="1" applyNumberFormat="1" applyFont="1" applyFill="1" applyBorder="1" applyAlignment="1">
      <alignment vertical="center"/>
    </xf>
    <xf numFmtId="0" fontId="9" fillId="0" borderId="133" xfId="0" applyFont="1" applyFill="1" applyBorder="1" applyAlignment="1">
      <alignment horizontal="center" vertical="center" wrapText="1"/>
    </xf>
    <xf numFmtId="0" fontId="5" fillId="0" borderId="133" xfId="0" applyFont="1" applyFill="1" applyBorder="1" applyAlignment="1">
      <alignment horizontal="left" vertical="center"/>
    </xf>
    <xf numFmtId="4" fontId="5" fillId="0" borderId="133" xfId="169" applyNumberFormat="1" applyFont="1" applyFill="1" applyBorder="1" applyAlignment="1">
      <alignment horizontal="center" vertical="center"/>
    </xf>
    <xf numFmtId="3" fontId="9" fillId="2" borderId="133" xfId="1" applyNumberFormat="1" applyFont="1" applyFill="1" applyBorder="1" applyAlignment="1">
      <alignment horizontal="center" vertical="center"/>
    </xf>
    <xf numFmtId="4" fontId="5" fillId="2" borderId="0" xfId="0" applyNumberFormat="1" applyFont="1" applyFill="1" applyAlignment="1">
      <alignment vertical="center"/>
    </xf>
    <xf numFmtId="4" fontId="9" fillId="116" borderId="133" xfId="1" applyNumberFormat="1" applyFont="1" applyFill="1" applyBorder="1" applyAlignment="1">
      <alignment horizontal="center" vertical="center"/>
    </xf>
    <xf numFmtId="4" fontId="9" fillId="106" borderId="133" xfId="1" applyNumberFormat="1" applyFont="1" applyFill="1" applyBorder="1" applyAlignment="1">
      <alignment horizontal="center" vertical="center"/>
    </xf>
    <xf numFmtId="4" fontId="5" fillId="2" borderId="133" xfId="1" applyNumberFormat="1" applyFont="1" applyFill="1" applyBorder="1" applyAlignment="1">
      <alignment horizontal="center" vertical="center"/>
    </xf>
    <xf numFmtId="4" fontId="9" fillId="37" borderId="133" xfId="1" applyNumberFormat="1" applyFont="1" applyFill="1" applyBorder="1" applyAlignment="1">
      <alignment horizontal="center" vertical="center"/>
    </xf>
    <xf numFmtId="4" fontId="9" fillId="0" borderId="133" xfId="1" applyNumberFormat="1" applyFont="1" applyFill="1" applyBorder="1" applyAlignment="1">
      <alignment horizontal="center" vertical="center"/>
    </xf>
    <xf numFmtId="3" fontId="9" fillId="117" borderId="133" xfId="1" applyNumberFormat="1" applyFont="1" applyFill="1" applyBorder="1" applyAlignment="1">
      <alignment horizontal="center" vertical="center"/>
    </xf>
    <xf numFmtId="4" fontId="9" fillId="4" borderId="133" xfId="1" applyNumberFormat="1" applyFont="1" applyFill="1" applyBorder="1" applyAlignment="1">
      <alignment horizontal="center" vertical="center"/>
    </xf>
    <xf numFmtId="0" fontId="5" fillId="0" borderId="133" xfId="0" applyFont="1" applyFill="1" applyBorder="1" applyAlignment="1">
      <alignment horizontal="left" vertical="center" wrapText="1"/>
    </xf>
    <xf numFmtId="4" fontId="9" fillId="6" borderId="133" xfId="169" applyNumberFormat="1" applyFont="1" applyFill="1" applyBorder="1" applyAlignment="1">
      <alignment vertical="center"/>
    </xf>
    <xf numFmtId="4" fontId="9" fillId="2" borderId="133" xfId="169" applyNumberFormat="1" applyFont="1" applyFill="1" applyBorder="1" applyAlignment="1">
      <alignment vertical="center"/>
    </xf>
    <xf numFmtId="4" fontId="9" fillId="0" borderId="133" xfId="169" applyNumberFormat="1" applyFont="1" applyFill="1" applyBorder="1" applyAlignment="1">
      <alignment vertical="center"/>
    </xf>
    <xf numFmtId="4" fontId="9" fillId="2" borderId="133" xfId="1" applyNumberFormat="1" applyFont="1" applyFill="1" applyBorder="1" applyAlignment="1">
      <alignment horizontal="right" vertical="center"/>
    </xf>
    <xf numFmtId="4" fontId="5" fillId="6" borderId="133" xfId="1" applyNumberFormat="1" applyFont="1" applyFill="1" applyBorder="1" applyAlignment="1">
      <alignment horizontal="center" vertical="center"/>
    </xf>
    <xf numFmtId="4" fontId="9" fillId="116" borderId="133" xfId="169" applyNumberFormat="1" applyFont="1" applyFill="1" applyBorder="1" applyAlignment="1">
      <alignment vertical="center"/>
    </xf>
    <xf numFmtId="4" fontId="5" fillId="0" borderId="133" xfId="1" applyNumberFormat="1" applyFont="1" applyFill="1" applyBorder="1" applyAlignment="1">
      <alignment horizontal="center" vertical="center"/>
    </xf>
    <xf numFmtId="0" fontId="5" fillId="0" borderId="0" xfId="0" applyFont="1" applyFill="1" applyAlignment="1">
      <alignment vertical="center"/>
    </xf>
    <xf numFmtId="4" fontId="9" fillId="99" borderId="133" xfId="169" applyNumberFormat="1" applyFont="1" applyFill="1" applyBorder="1" applyAlignment="1">
      <alignment vertical="center"/>
    </xf>
    <xf numFmtId="4" fontId="5" fillId="2" borderId="133" xfId="0" applyNumberFormat="1" applyFont="1" applyFill="1" applyBorder="1" applyAlignment="1">
      <alignment vertical="center"/>
    </xf>
    <xf numFmtId="4" fontId="9" fillId="37" borderId="133" xfId="169" applyNumberFormat="1" applyFont="1" applyFill="1" applyBorder="1" applyAlignment="1">
      <alignment vertical="center"/>
    </xf>
    <xf numFmtId="4" fontId="9" fillId="117" borderId="133" xfId="169" applyNumberFormat="1" applyFont="1" applyFill="1" applyBorder="1" applyAlignment="1">
      <alignment vertical="center"/>
    </xf>
    <xf numFmtId="4" fontId="9" fillId="0" borderId="133" xfId="169" applyNumberFormat="1" applyFont="1" applyFill="1" applyBorder="1" applyAlignment="1">
      <alignment horizontal="center" vertical="center"/>
    </xf>
    <xf numFmtId="4" fontId="9" fillId="4" borderId="133" xfId="169" applyNumberFormat="1" applyFont="1" applyFill="1" applyBorder="1" applyAlignment="1">
      <alignment vertical="center"/>
    </xf>
    <xf numFmtId="1" fontId="232" fillId="2" borderId="0" xfId="188" applyNumberFormat="1" applyFont="1" applyFill="1" applyBorder="1" applyAlignment="1">
      <alignment horizontal="center" vertical="center"/>
    </xf>
    <xf numFmtId="0" fontId="5" fillId="2" borderId="0" xfId="188" applyFont="1" applyFill="1" applyBorder="1" applyAlignment="1">
      <alignment vertical="center"/>
    </xf>
    <xf numFmtId="0" fontId="5" fillId="2" borderId="153" xfId="169" applyFont="1" applyFill="1" applyBorder="1" applyAlignment="1">
      <alignment vertical="center"/>
    </xf>
    <xf numFmtId="0" fontId="67" fillId="2" borderId="153" xfId="188" applyFont="1" applyFill="1" applyBorder="1" applyAlignment="1">
      <alignment horizontal="left" vertical="center"/>
    </xf>
    <xf numFmtId="0" fontId="9" fillId="2" borderId="153" xfId="169" applyFont="1" applyFill="1" applyBorder="1" applyAlignment="1">
      <alignment horizontal="left" vertical="center"/>
    </xf>
    <xf numFmtId="0" fontId="9" fillId="2" borderId="153" xfId="169" applyFont="1" applyFill="1" applyBorder="1" applyAlignment="1">
      <alignment horizontal="left" vertical="center" wrapText="1"/>
    </xf>
    <xf numFmtId="0" fontId="9" fillId="2" borderId="141" xfId="169" applyFont="1" applyFill="1" applyBorder="1" applyAlignment="1">
      <alignment horizontal="left" vertical="center"/>
    </xf>
    <xf numFmtId="199" fontId="9" fillId="2" borderId="144" xfId="169" applyNumberFormat="1" applyFont="1" applyFill="1" applyBorder="1" applyAlignment="1">
      <alignment horizontal="left" vertical="center"/>
    </xf>
    <xf numFmtId="0" fontId="5" fillId="2" borderId="144" xfId="188" applyFont="1" applyFill="1" applyBorder="1" applyAlignment="1">
      <alignment vertical="center"/>
    </xf>
    <xf numFmtId="49" fontId="67" fillId="2" borderId="0" xfId="188" applyNumberFormat="1" applyFont="1" applyFill="1" applyBorder="1" applyAlignment="1">
      <alignment horizontal="left" vertical="center" wrapText="1"/>
    </xf>
    <xf numFmtId="0" fontId="146" fillId="2" borderId="0" xfId="13" applyFont="1" applyFill="1" applyAlignment="1">
      <alignment horizontal="left" vertical="center"/>
    </xf>
    <xf numFmtId="0" fontId="68" fillId="2" borderId="0" xfId="13" applyFont="1" applyFill="1" applyAlignment="1">
      <alignment horizontal="center" vertical="center"/>
    </xf>
    <xf numFmtId="0" fontId="214" fillId="2" borderId="0" xfId="0" applyFont="1" applyFill="1" applyBorder="1" applyAlignment="1">
      <alignment vertical="center"/>
    </xf>
    <xf numFmtId="3" fontId="68" fillId="2" borderId="133" xfId="8" applyNumberFormat="1" applyFont="1" applyFill="1" applyBorder="1" applyAlignment="1">
      <alignment horizontal="right" vertical="center"/>
    </xf>
    <xf numFmtId="4" fontId="62" fillId="2" borderId="0" xfId="0" applyNumberFormat="1" applyFont="1" applyFill="1" applyAlignment="1">
      <alignment vertical="center"/>
    </xf>
    <xf numFmtId="4" fontId="62" fillId="2" borderId="0" xfId="0" applyNumberFormat="1" applyFont="1" applyFill="1" applyAlignment="1">
      <alignment horizontal="center" vertical="center"/>
    </xf>
    <xf numFmtId="0" fontId="67" fillId="2" borderId="0" xfId="188" applyFont="1" applyFill="1" applyBorder="1" applyAlignment="1">
      <alignment vertical="center"/>
    </xf>
    <xf numFmtId="0" fontId="67" fillId="2" borderId="0" xfId="188" applyFont="1" applyFill="1" applyBorder="1" applyAlignment="1">
      <alignment horizontal="center" vertical="center" wrapText="1"/>
    </xf>
    <xf numFmtId="0" fontId="67" fillId="2" borderId="0" xfId="169" applyFont="1" applyFill="1" applyBorder="1" applyAlignment="1">
      <alignment vertical="center"/>
    </xf>
    <xf numFmtId="199" fontId="67" fillId="2" borderId="0" xfId="169" applyNumberFormat="1" applyFont="1" applyFill="1" applyBorder="1" applyAlignment="1">
      <alignment horizontal="left" vertical="center"/>
    </xf>
    <xf numFmtId="0" fontId="197" fillId="7" borderId="130" xfId="0" applyFont="1" applyFill="1" applyBorder="1" applyAlignment="1">
      <alignment horizontal="center" vertical="center"/>
    </xf>
    <xf numFmtId="0" fontId="62" fillId="115" borderId="133" xfId="0" applyFont="1" applyFill="1" applyBorder="1" applyAlignment="1">
      <alignment horizontal="center" vertical="center"/>
    </xf>
    <xf numFmtId="4" fontId="69" fillId="115" borderId="133" xfId="0" applyNumberFormat="1" applyFont="1" applyFill="1" applyBorder="1" applyAlignment="1">
      <alignment vertical="center"/>
    </xf>
    <xf numFmtId="0" fontId="62" fillId="2" borderId="0" xfId="0" applyFont="1" applyFill="1" applyAlignment="1">
      <alignment horizontal="center" vertical="center"/>
    </xf>
    <xf numFmtId="0" fontId="69" fillId="2" borderId="0" xfId="160" applyFont="1" applyFill="1" applyAlignment="1">
      <alignment horizontal="left" vertical="center" wrapText="1"/>
    </xf>
    <xf numFmtId="0" fontId="62" fillId="2" borderId="0" xfId="160" applyFont="1" applyFill="1" applyAlignment="1">
      <alignment vertical="center"/>
    </xf>
    <xf numFmtId="4" fontId="69" fillId="2" borderId="0" xfId="160" applyNumberFormat="1" applyFont="1" applyFill="1" applyAlignment="1">
      <alignment horizontal="right" vertical="center"/>
    </xf>
    <xf numFmtId="0" fontId="69" fillId="2" borderId="0" xfId="0" applyFont="1" applyFill="1" applyAlignment="1">
      <alignment horizontal="center" vertical="center"/>
    </xf>
    <xf numFmtId="4" fontId="69" fillId="2" borderId="0" xfId="0" applyNumberFormat="1" applyFont="1" applyFill="1" applyAlignment="1">
      <alignment vertical="center"/>
    </xf>
    <xf numFmtId="2" fontId="69" fillId="2" borderId="0" xfId="0" applyNumberFormat="1" applyFont="1" applyFill="1" applyAlignment="1">
      <alignment vertical="center"/>
    </xf>
    <xf numFmtId="4" fontId="62" fillId="2" borderId="0" xfId="0" applyNumberFormat="1" applyFont="1" applyFill="1" applyBorder="1" applyAlignment="1">
      <alignment vertical="center"/>
    </xf>
    <xf numFmtId="0" fontId="62" fillId="2" borderId="0" xfId="0" applyFont="1" applyFill="1" applyBorder="1" applyAlignment="1">
      <alignment vertical="center"/>
    </xf>
    <xf numFmtId="0" fontId="67" fillId="2" borderId="153" xfId="169" applyFont="1" applyFill="1" applyBorder="1" applyAlignment="1">
      <alignment horizontal="left" vertical="center"/>
    </xf>
    <xf numFmtId="0" fontId="67" fillId="2" borderId="153" xfId="169" applyFont="1" applyFill="1" applyBorder="1" applyAlignment="1">
      <alignment horizontal="left" vertical="center" wrapText="1"/>
    </xf>
    <xf numFmtId="0" fontId="68" fillId="2" borderId="0" xfId="188" applyFont="1" applyFill="1" applyBorder="1" applyAlignment="1">
      <alignment vertical="center"/>
    </xf>
    <xf numFmtId="4" fontId="62" fillId="2" borderId="153" xfId="0" applyNumberFormat="1" applyFont="1" applyFill="1" applyBorder="1" applyAlignment="1">
      <alignment horizontal="center" vertical="center"/>
    </xf>
    <xf numFmtId="4" fontId="62" fillId="2" borderId="0" xfId="0" applyNumberFormat="1" applyFont="1" applyFill="1" applyBorder="1" applyAlignment="1">
      <alignment horizontal="center" vertical="center"/>
    </xf>
    <xf numFmtId="0" fontId="68" fillId="2" borderId="0" xfId="41" applyFont="1" applyFill="1" applyBorder="1" applyAlignment="1">
      <alignment vertical="center" wrapText="1"/>
    </xf>
    <xf numFmtId="0" fontId="146" fillId="2" borderId="0" xfId="41" applyFont="1" applyFill="1" applyBorder="1" applyAlignment="1">
      <alignment vertical="center" wrapText="1"/>
    </xf>
    <xf numFmtId="0" fontId="104" fillId="7" borderId="201" xfId="41" applyFont="1" applyFill="1" applyBorder="1" applyAlignment="1">
      <alignment horizontal="center" vertical="center" wrapText="1"/>
    </xf>
    <xf numFmtId="0" fontId="104" fillId="7" borderId="204" xfId="41" applyFont="1" applyFill="1" applyBorder="1" applyAlignment="1">
      <alignment horizontal="center" vertical="center" wrapText="1"/>
    </xf>
    <xf numFmtId="0" fontId="104" fillId="7" borderId="202" xfId="41" applyFont="1" applyFill="1" applyBorder="1" applyAlignment="1">
      <alignment horizontal="center" vertical="center" wrapText="1"/>
    </xf>
    <xf numFmtId="9" fontId="68" fillId="2" borderId="20" xfId="3" applyNumberFormat="1" applyFont="1" applyFill="1" applyBorder="1" applyAlignment="1">
      <alignment horizontal="center" vertical="center"/>
    </xf>
    <xf numFmtId="4" fontId="68" fillId="2" borderId="20" xfId="3" applyNumberFormat="1" applyFont="1" applyFill="1" applyBorder="1" applyAlignment="1">
      <alignment horizontal="center" vertical="center"/>
    </xf>
    <xf numFmtId="3" fontId="68" fillId="2" borderId="20" xfId="3" applyNumberFormat="1" applyFont="1" applyFill="1" applyBorder="1" applyAlignment="1">
      <alignment horizontal="center" vertical="center"/>
    </xf>
    <xf numFmtId="9" fontId="67" fillId="27" borderId="20" xfId="3" applyNumberFormat="1" applyFont="1" applyFill="1" applyBorder="1" applyAlignment="1">
      <alignment horizontal="center" vertical="center"/>
    </xf>
    <xf numFmtId="4" fontId="67" fillId="27" borderId="20" xfId="3" applyNumberFormat="1" applyFont="1" applyFill="1" applyBorder="1" applyAlignment="1">
      <alignment horizontal="center" vertical="center"/>
    </xf>
    <xf numFmtId="0" fontId="104" fillId="7" borderId="178" xfId="41" applyFont="1" applyFill="1" applyBorder="1" applyAlignment="1">
      <alignment horizontal="center" vertical="center" wrapText="1"/>
    </xf>
    <xf numFmtId="0" fontId="104" fillId="7" borderId="180" xfId="41" applyFont="1" applyFill="1" applyBorder="1" applyAlignment="1">
      <alignment horizontal="center" vertical="center" wrapText="1"/>
    </xf>
    <xf numFmtId="0" fontId="68" fillId="2" borderId="20" xfId="3" applyFont="1" applyFill="1" applyBorder="1" applyAlignment="1">
      <alignment horizontal="justify" vertical="center" wrapText="1"/>
    </xf>
    <xf numFmtId="3" fontId="68" fillId="2" borderId="20" xfId="3" applyNumberFormat="1" applyFont="1" applyFill="1" applyBorder="1" applyAlignment="1">
      <alignment horizontal="center" vertical="center" wrapText="1"/>
    </xf>
    <xf numFmtId="0" fontId="68" fillId="2" borderId="20" xfId="3" applyFont="1" applyFill="1" applyBorder="1" applyAlignment="1">
      <alignment vertical="center"/>
    </xf>
    <xf numFmtId="4" fontId="68" fillId="2" borderId="20" xfId="3" applyNumberFormat="1" applyFont="1" applyFill="1" applyBorder="1" applyAlignment="1">
      <alignment horizontal="center" vertical="center" wrapText="1"/>
    </xf>
    <xf numFmtId="0" fontId="67" fillId="2" borderId="20" xfId="3" applyFont="1" applyFill="1" applyBorder="1" applyAlignment="1">
      <alignment horizontal="justify" vertical="center" wrapText="1"/>
    </xf>
    <xf numFmtId="4" fontId="67" fillId="2" borderId="20" xfId="3" applyNumberFormat="1" applyFont="1" applyFill="1" applyBorder="1" applyAlignment="1">
      <alignment horizontal="center" vertical="center" wrapText="1"/>
    </xf>
    <xf numFmtId="0" fontId="68" fillId="2" borderId="141" xfId="3" applyFont="1" applyFill="1" applyBorder="1" applyAlignment="1">
      <alignment vertical="center"/>
    </xf>
    <xf numFmtId="0" fontId="68" fillId="2" borderId="144" xfId="3" applyFont="1" applyFill="1" applyBorder="1" applyAlignment="1">
      <alignment vertical="center"/>
    </xf>
    <xf numFmtId="0" fontId="68" fillId="2" borderId="142" xfId="3" applyFont="1" applyFill="1" applyBorder="1" applyAlignment="1">
      <alignment vertical="center"/>
    </xf>
    <xf numFmtId="0" fontId="104" fillId="7" borderId="204" xfId="189" applyFont="1" applyFill="1" applyBorder="1" applyAlignment="1">
      <alignment horizontal="center"/>
    </xf>
    <xf numFmtId="0" fontId="104" fillId="7" borderId="202" xfId="189" applyFont="1" applyFill="1" applyBorder="1" applyAlignment="1">
      <alignment horizontal="center"/>
    </xf>
    <xf numFmtId="9" fontId="68" fillId="2" borderId="20" xfId="189" applyNumberFormat="1" applyFont="1" applyFill="1" applyBorder="1" applyAlignment="1">
      <alignment horizontal="center"/>
    </xf>
    <xf numFmtId="202" fontId="68" fillId="2" borderId="20" xfId="189" applyNumberFormat="1" applyFont="1" applyFill="1" applyBorder="1" applyAlignment="1">
      <alignment horizontal="center"/>
    </xf>
    <xf numFmtId="3" fontId="68" fillId="2" borderId="20" xfId="189" applyNumberFormat="1" applyFont="1" applyFill="1" applyBorder="1" applyAlignment="1">
      <alignment horizontal="center"/>
    </xf>
    <xf numFmtId="171" fontId="68" fillId="2" borderId="20" xfId="189" applyNumberFormat="1" applyFont="1" applyFill="1" applyBorder="1" applyAlignment="1">
      <alignment horizontal="center"/>
    </xf>
    <xf numFmtId="9" fontId="67" fillId="2" borderId="20" xfId="189" applyNumberFormat="1" applyFont="1" applyFill="1" applyBorder="1" applyAlignment="1">
      <alignment horizontal="center"/>
    </xf>
    <xf numFmtId="202" fontId="67" fillId="2" borderId="20" xfId="189" applyNumberFormat="1" applyFont="1" applyFill="1" applyBorder="1" applyAlignment="1">
      <alignment horizontal="center"/>
    </xf>
    <xf numFmtId="3" fontId="67" fillId="2" borderId="20" xfId="189" applyNumberFormat="1" applyFont="1" applyFill="1" applyBorder="1" applyAlignment="1">
      <alignment horizontal="center"/>
    </xf>
    <xf numFmtId="171" fontId="67" fillId="2" borderId="20" xfId="189" applyNumberFormat="1" applyFont="1" applyFill="1" applyBorder="1" applyAlignment="1">
      <alignment horizontal="center"/>
    </xf>
    <xf numFmtId="0" fontId="68" fillId="2" borderId="0" xfId="189" applyFont="1" applyFill="1"/>
    <xf numFmtId="172" fontId="21" fillId="2" borderId="20" xfId="190" applyNumberFormat="1" applyFont="1" applyFill="1" applyBorder="1" applyAlignment="1">
      <alignment horizontal="center"/>
    </xf>
    <xf numFmtId="3" fontId="21" fillId="2" borderId="20" xfId="0" applyNumberFormat="1" applyFont="1" applyFill="1" applyBorder="1" applyAlignment="1">
      <alignment horizontal="center"/>
    </xf>
    <xf numFmtId="4" fontId="21" fillId="2" borderId="20" xfId="0" applyNumberFormat="1" applyFont="1" applyFill="1" applyBorder="1" applyAlignment="1">
      <alignment horizontal="center"/>
    </xf>
    <xf numFmtId="172" fontId="99" fillId="2" borderId="20" xfId="190" applyNumberFormat="1" applyFont="1" applyFill="1" applyBorder="1" applyAlignment="1">
      <alignment horizontal="center"/>
    </xf>
    <xf numFmtId="3" fontId="99" fillId="2" borderId="20" xfId="0" applyNumberFormat="1" applyFont="1" applyFill="1" applyBorder="1" applyAlignment="1">
      <alignment horizontal="center"/>
    </xf>
    <xf numFmtId="4" fontId="99" fillId="2" borderId="20" xfId="0" applyNumberFormat="1" applyFont="1" applyFill="1" applyBorder="1" applyAlignment="1">
      <alignment horizontal="center"/>
    </xf>
    <xf numFmtId="172" fontId="67" fillId="27" borderId="20" xfId="190" applyNumberFormat="1" applyFont="1" applyFill="1" applyBorder="1" applyAlignment="1">
      <alignment horizontal="center"/>
    </xf>
    <xf numFmtId="3" fontId="67" fillId="27" borderId="20" xfId="0" applyNumberFormat="1" applyFont="1" applyFill="1" applyBorder="1" applyAlignment="1">
      <alignment horizontal="center"/>
    </xf>
    <xf numFmtId="4" fontId="67" fillId="27" borderId="20" xfId="0" applyNumberFormat="1" applyFont="1" applyFill="1" applyBorder="1" applyAlignment="1">
      <alignment horizontal="center"/>
    </xf>
    <xf numFmtId="0" fontId="21" fillId="2" borderId="0" xfId="0" applyFont="1" applyFill="1" applyBorder="1" applyAlignment="1">
      <alignment horizontal="center" vertical="center"/>
    </xf>
    <xf numFmtId="0" fontId="21" fillId="2" borderId="0" xfId="0" applyFont="1" applyFill="1" applyBorder="1" applyAlignment="1">
      <alignment vertical="center"/>
    </xf>
    <xf numFmtId="0" fontId="24" fillId="7" borderId="194" xfId="0" applyFont="1" applyFill="1" applyBorder="1" applyAlignment="1">
      <alignment horizontal="center" vertical="center"/>
    </xf>
    <xf numFmtId="0" fontId="24" fillId="7" borderId="194" xfId="0" applyFont="1" applyFill="1" applyBorder="1" applyAlignment="1">
      <alignment horizontal="center" vertical="center"/>
    </xf>
    <xf numFmtId="0" fontId="24" fillId="7" borderId="195" xfId="0" applyFont="1" applyFill="1" applyBorder="1" applyAlignment="1">
      <alignment horizontal="center" vertical="center"/>
    </xf>
    <xf numFmtId="0" fontId="24" fillId="7" borderId="284" xfId="0" applyFont="1" applyFill="1" applyBorder="1" applyAlignment="1">
      <alignment horizontal="center" vertical="center" textRotation="90"/>
    </xf>
    <xf numFmtId="0" fontId="23" fillId="2" borderId="133" xfId="0" applyFont="1" applyFill="1" applyBorder="1" applyAlignment="1">
      <alignment horizontal="center" vertical="center" wrapText="1"/>
    </xf>
    <xf numFmtId="0" fontId="23" fillId="2" borderId="133" xfId="0" applyFont="1" applyFill="1" applyBorder="1" applyAlignment="1">
      <alignment horizontal="left" vertical="center" wrapText="1"/>
    </xf>
    <xf numFmtId="0" fontId="23" fillId="2" borderId="133" xfId="0" applyFont="1" applyFill="1" applyBorder="1" applyAlignment="1">
      <alignment vertical="center" wrapText="1"/>
    </xf>
    <xf numFmtId="0" fontId="23" fillId="2" borderId="136" xfId="0" applyFont="1" applyFill="1" applyBorder="1" applyAlignment="1">
      <alignment horizontal="center" vertical="center" wrapText="1"/>
    </xf>
    <xf numFmtId="4" fontId="23" fillId="2" borderId="136" xfId="0" applyNumberFormat="1" applyFont="1" applyFill="1" applyBorder="1" applyAlignment="1">
      <alignment horizontal="center" vertical="center" wrapText="1"/>
    </xf>
    <xf numFmtId="4" fontId="23" fillId="2" borderId="137" xfId="0" applyNumberFormat="1" applyFont="1" applyFill="1" applyBorder="1" applyAlignment="1">
      <alignment horizontal="center" vertical="center" wrapText="1"/>
    </xf>
    <xf numFmtId="4" fontId="21" fillId="2" borderId="0" xfId="0" applyNumberFormat="1" applyFont="1" applyFill="1" applyBorder="1" applyAlignment="1">
      <alignment vertical="center"/>
    </xf>
    <xf numFmtId="4" fontId="23" fillId="2" borderId="0" xfId="0" applyNumberFormat="1" applyFont="1" applyFill="1" applyBorder="1" applyAlignment="1">
      <alignment horizontal="center" vertical="center" wrapText="1"/>
    </xf>
    <xf numFmtId="0" fontId="21" fillId="2" borderId="0" xfId="0" applyFont="1" applyFill="1" applyAlignment="1">
      <alignment horizontal="left" vertical="center"/>
    </xf>
    <xf numFmtId="0" fontId="48" fillId="2" borderId="0" xfId="0" applyFont="1" applyFill="1" applyBorder="1" applyAlignment="1">
      <alignment horizontal="center" vertical="center" wrapText="1"/>
    </xf>
    <xf numFmtId="0" fontId="99" fillId="2" borderId="287" xfId="0" applyFont="1" applyFill="1" applyBorder="1" applyAlignment="1">
      <alignment vertical="center"/>
    </xf>
    <xf numFmtId="0" fontId="99" fillId="2" borderId="288" xfId="0" applyFont="1" applyFill="1" applyBorder="1" applyAlignment="1">
      <alignment vertical="center"/>
    </xf>
    <xf numFmtId="0" fontId="99" fillId="2" borderId="289" xfId="0" applyFont="1" applyFill="1" applyBorder="1" applyAlignment="1">
      <alignment vertical="center"/>
    </xf>
    <xf numFmtId="0" fontId="99" fillId="2" borderId="290" xfId="0" applyFont="1" applyFill="1" applyBorder="1" applyAlignment="1">
      <alignment vertical="center"/>
    </xf>
    <xf numFmtId="2" fontId="99" fillId="2" borderId="133" xfId="0" applyNumberFormat="1" applyFont="1" applyFill="1" applyBorder="1" applyAlignment="1">
      <alignment horizontal="center" vertical="center"/>
    </xf>
    <xf numFmtId="10" fontId="101" fillId="2" borderId="133" xfId="0" applyNumberFormat="1" applyFont="1" applyFill="1" applyBorder="1" applyAlignment="1">
      <alignment horizontal="center" vertical="center"/>
    </xf>
    <xf numFmtId="2" fontId="101" fillId="2" borderId="133" xfId="0" applyNumberFormat="1" applyFont="1" applyFill="1" applyBorder="1" applyAlignment="1">
      <alignment horizontal="center" vertical="center"/>
    </xf>
    <xf numFmtId="10" fontId="48" fillId="5" borderId="133" xfId="0" applyNumberFormat="1" applyFont="1" applyFill="1" applyBorder="1" applyAlignment="1">
      <alignment horizontal="center" vertical="center" wrapText="1"/>
    </xf>
    <xf numFmtId="0" fontId="48" fillId="6" borderId="133" xfId="0" applyFont="1" applyFill="1" applyBorder="1" applyAlignment="1">
      <alignment horizontal="center" vertical="center" wrapText="1"/>
    </xf>
    <xf numFmtId="4" fontId="48" fillId="6" borderId="133" xfId="0" applyNumberFormat="1" applyFont="1" applyFill="1" applyBorder="1" applyAlignment="1">
      <alignment horizontal="center" vertical="center" wrapText="1"/>
    </xf>
    <xf numFmtId="0" fontId="223" fillId="2" borderId="0" xfId="0" applyFont="1" applyFill="1" applyBorder="1" applyAlignment="1">
      <alignment horizontal="center" vertical="center" wrapText="1"/>
    </xf>
    <xf numFmtId="49" fontId="68" fillId="2" borderId="0" xfId="0" applyNumberFormat="1" applyFont="1" applyFill="1" applyAlignment="1">
      <alignment horizontal="center" vertical="center"/>
    </xf>
    <xf numFmtId="209" fontId="99" fillId="2" borderId="0" xfId="0" applyNumberFormat="1" applyFont="1" applyFill="1" applyBorder="1" applyAlignment="1">
      <alignment horizontal="right" vertical="center"/>
    </xf>
    <xf numFmtId="209" fontId="68" fillId="2" borderId="0" xfId="0" applyNumberFormat="1" applyFont="1" applyFill="1" applyBorder="1" applyAlignment="1">
      <alignment horizontal="right" vertical="center"/>
    </xf>
    <xf numFmtId="0" fontId="99" fillId="2" borderId="0" xfId="0" applyFont="1" applyFill="1" applyBorder="1" applyAlignment="1">
      <alignment horizontal="right" vertical="center"/>
    </xf>
    <xf numFmtId="0" fontId="225" fillId="2" borderId="0" xfId="0" applyFont="1" applyFill="1" applyBorder="1" applyAlignment="1">
      <alignment horizontal="right" vertical="center"/>
    </xf>
    <xf numFmtId="0" fontId="49" fillId="2" borderId="0" xfId="0" applyFont="1" applyFill="1" applyBorder="1" applyAlignment="1">
      <alignment vertical="center"/>
    </xf>
    <xf numFmtId="209" fontId="68" fillId="2" borderId="0" xfId="0" applyNumberFormat="1" applyFont="1" applyFill="1" applyBorder="1" applyAlignment="1">
      <alignment horizontal="right" vertical="center" wrapText="1"/>
    </xf>
    <xf numFmtId="0" fontId="67" fillId="0" borderId="0" xfId="0" applyFont="1" applyFill="1" applyBorder="1" applyAlignment="1">
      <alignment vertical="center"/>
    </xf>
    <xf numFmtId="0" fontId="101" fillId="5" borderId="139" xfId="28" applyFont="1" applyFill="1" applyBorder="1" applyAlignment="1" applyProtection="1">
      <alignment vertical="center" wrapText="1"/>
      <protection locked="0"/>
    </xf>
    <xf numFmtId="0" fontId="101" fillId="5" borderId="153" xfId="28" applyFont="1" applyFill="1" applyBorder="1" applyAlignment="1" applyProtection="1">
      <alignment horizontal="left" vertical="center"/>
      <protection locked="0"/>
    </xf>
    <xf numFmtId="0" fontId="99" fillId="5" borderId="0" xfId="28" applyFont="1" applyFill="1" applyBorder="1" applyAlignment="1" applyProtection="1">
      <alignment horizontal="left" vertical="center"/>
      <protection locked="0"/>
    </xf>
    <xf numFmtId="0" fontId="99" fillId="5" borderId="154" xfId="28" applyFont="1" applyFill="1" applyBorder="1" applyAlignment="1" applyProtection="1">
      <alignment vertical="center"/>
      <protection locked="0"/>
    </xf>
    <xf numFmtId="0" fontId="101" fillId="5" borderId="141" xfId="28" applyFont="1" applyFill="1" applyBorder="1" applyAlignment="1" applyProtection="1">
      <alignment horizontal="left" vertical="center"/>
      <protection locked="0"/>
    </xf>
    <xf numFmtId="0" fontId="99" fillId="5" borderId="144" xfId="28" applyFont="1" applyFill="1" applyBorder="1" applyAlignment="1" applyProtection="1">
      <alignment horizontal="left" vertical="center"/>
      <protection locked="0"/>
    </xf>
    <xf numFmtId="0" fontId="99" fillId="5" borderId="142" xfId="28" applyFont="1" applyFill="1" applyBorder="1" applyAlignment="1" applyProtection="1">
      <alignment vertical="center"/>
      <protection locked="0"/>
    </xf>
    <xf numFmtId="0" fontId="67" fillId="5" borderId="143" xfId="0" applyFont="1" applyFill="1" applyBorder="1" applyAlignment="1">
      <alignment horizontal="center" vertical="center"/>
    </xf>
    <xf numFmtId="0" fontId="67" fillId="5" borderId="140" xfId="0" applyFont="1" applyFill="1" applyBorder="1" applyAlignment="1">
      <alignment horizontal="center" vertical="center"/>
    </xf>
    <xf numFmtId="0" fontId="67" fillId="5" borderId="144" xfId="0" applyFont="1" applyFill="1" applyBorder="1" applyAlignment="1">
      <alignment horizontal="center" vertical="center"/>
    </xf>
    <xf numFmtId="0" fontId="99" fillId="5" borderId="142" xfId="0" applyFont="1" applyFill="1" applyBorder="1" applyAlignment="1">
      <alignment vertical="center"/>
    </xf>
    <xf numFmtId="0" fontId="101" fillId="2" borderId="153" xfId="0" applyFont="1" applyFill="1" applyBorder="1" applyAlignment="1">
      <alignment vertical="center"/>
    </xf>
    <xf numFmtId="0" fontId="225" fillId="2" borderId="154" xfId="0" applyFont="1" applyFill="1" applyBorder="1" applyAlignment="1">
      <alignment horizontal="right" vertical="center"/>
    </xf>
    <xf numFmtId="209" fontId="225" fillId="2" borderId="154" xfId="0" applyNumberFormat="1" applyFont="1" applyFill="1" applyBorder="1" applyAlignment="1">
      <alignment horizontal="right" vertical="center"/>
    </xf>
    <xf numFmtId="0" fontId="101" fillId="2" borderId="141" xfId="0" applyFont="1" applyFill="1" applyBorder="1" applyAlignment="1">
      <alignment vertical="center"/>
    </xf>
    <xf numFmtId="0" fontId="99" fillId="2" borderId="144" xfId="0" applyFont="1" applyFill="1" applyBorder="1" applyAlignment="1">
      <alignment horizontal="center" vertical="center"/>
    </xf>
    <xf numFmtId="0" fontId="99" fillId="0" borderId="144" xfId="0" applyFont="1" applyFill="1" applyBorder="1" applyAlignment="1">
      <alignment horizontal="center" vertical="center"/>
    </xf>
    <xf numFmtId="209" fontId="99" fillId="2" borderId="144" xfId="0" applyNumberFormat="1" applyFont="1" applyFill="1" applyBorder="1" applyAlignment="1">
      <alignment horizontal="right" vertical="center"/>
    </xf>
    <xf numFmtId="0" fontId="225" fillId="2" borderId="142" xfId="0" applyFont="1" applyFill="1" applyBorder="1" applyAlignment="1">
      <alignment horizontal="right" vertical="center"/>
    </xf>
    <xf numFmtId="0" fontId="68" fillId="2" borderId="144" xfId="0" applyFont="1" applyFill="1" applyBorder="1" applyAlignment="1">
      <alignment vertical="center"/>
    </xf>
    <xf numFmtId="0" fontId="68" fillId="2" borderId="144" xfId="0" applyFont="1" applyFill="1" applyBorder="1" applyAlignment="1">
      <alignment horizontal="center" vertical="center"/>
    </xf>
    <xf numFmtId="209" fontId="68" fillId="2" borderId="144" xfId="0" applyNumberFormat="1" applyFont="1" applyFill="1" applyBorder="1" applyAlignment="1">
      <alignment horizontal="right" vertical="center"/>
    </xf>
    <xf numFmtId="0" fontId="49" fillId="2" borderId="144" xfId="0" applyFont="1" applyFill="1" applyBorder="1" applyAlignment="1">
      <alignment vertical="center"/>
    </xf>
    <xf numFmtId="0" fontId="68" fillId="2" borderId="154" xfId="0" applyFont="1" applyFill="1" applyBorder="1" applyAlignment="1">
      <alignment vertical="center"/>
    </xf>
    <xf numFmtId="0" fontId="68" fillId="2" borderId="142" xfId="0" applyFont="1" applyFill="1" applyBorder="1" applyAlignment="1">
      <alignment vertical="center"/>
    </xf>
    <xf numFmtId="0" fontId="101" fillId="2" borderId="153" xfId="0" applyFont="1" applyFill="1" applyBorder="1" applyAlignment="1">
      <alignment horizontal="left" vertical="center"/>
    </xf>
    <xf numFmtId="0" fontId="101" fillId="2" borderId="141" xfId="0" applyFont="1" applyFill="1" applyBorder="1" applyAlignment="1">
      <alignment horizontal="left" vertical="center"/>
    </xf>
    <xf numFmtId="0" fontId="67" fillId="2" borderId="153" xfId="0" applyFont="1" applyFill="1" applyBorder="1" applyAlignment="1">
      <alignment vertical="center"/>
    </xf>
    <xf numFmtId="0" fontId="67" fillId="2" borderId="141" xfId="0" applyFont="1" applyFill="1" applyBorder="1" applyAlignment="1">
      <alignment vertical="center"/>
    </xf>
    <xf numFmtId="209" fontId="104" fillId="77" borderId="135" xfId="89" applyNumberFormat="1" applyFont="1" applyBorder="1" applyAlignment="1">
      <alignment horizontal="center" vertical="center"/>
    </xf>
    <xf numFmtId="0" fontId="145" fillId="7" borderId="134" xfId="0" applyFont="1" applyFill="1" applyBorder="1" applyAlignment="1">
      <alignment vertical="center"/>
    </xf>
    <xf numFmtId="0" fontId="104" fillId="7" borderId="155" xfId="0" applyFont="1" applyFill="1" applyBorder="1" applyAlignment="1">
      <alignment vertical="center"/>
    </xf>
    <xf numFmtId="0" fontId="145" fillId="7" borderId="155" xfId="0" applyFont="1" applyFill="1" applyBorder="1" applyAlignment="1">
      <alignment vertical="center"/>
    </xf>
    <xf numFmtId="0" fontId="145" fillId="7" borderId="135" xfId="0" applyFont="1" applyFill="1" applyBorder="1" applyAlignment="1">
      <alignment vertical="center"/>
    </xf>
    <xf numFmtId="0" fontId="101" fillId="2" borderId="139" xfId="0" applyFont="1" applyFill="1" applyBorder="1" applyAlignment="1">
      <alignment horizontal="left" vertical="center"/>
    </xf>
    <xf numFmtId="0" fontId="101" fillId="2" borderId="143" xfId="0" applyFont="1" applyFill="1" applyBorder="1" applyAlignment="1">
      <alignment vertical="center"/>
    </xf>
    <xf numFmtId="0" fontId="101" fillId="2" borderId="144" xfId="0" applyFont="1" applyFill="1" applyBorder="1" applyAlignment="1">
      <alignment vertical="center"/>
    </xf>
    <xf numFmtId="200" fontId="99" fillId="2" borderId="0" xfId="0" applyNumberFormat="1" applyFont="1" applyFill="1" applyAlignment="1">
      <alignment vertical="center"/>
    </xf>
    <xf numFmtId="0" fontId="233" fillId="2" borderId="153" xfId="0" applyFont="1" applyFill="1" applyBorder="1" applyAlignment="1">
      <alignment horizontal="left" vertical="center"/>
    </xf>
    <xf numFmtId="0" fontId="233" fillId="2" borderId="0" xfId="0" applyFont="1" applyFill="1" applyBorder="1" applyAlignment="1">
      <alignment vertical="center"/>
    </xf>
    <xf numFmtId="0" fontId="234" fillId="2" borderId="0" xfId="0" applyFont="1" applyFill="1" applyBorder="1" applyAlignment="1">
      <alignment horizontal="center" vertical="center"/>
    </xf>
    <xf numFmtId="209" fontId="101" fillId="2" borderId="0" xfId="0" applyNumberFormat="1" applyFont="1" applyFill="1" applyBorder="1" applyAlignment="1">
      <alignment horizontal="right" vertical="center"/>
    </xf>
    <xf numFmtId="0" fontId="234" fillId="2" borderId="0" xfId="0" applyFont="1" applyFill="1" applyBorder="1" applyAlignment="1">
      <alignment horizontal="right" vertical="center"/>
    </xf>
    <xf numFmtId="209" fontId="234" fillId="2" borderId="0" xfId="0" applyNumberFormat="1" applyFont="1" applyFill="1" applyBorder="1" applyAlignment="1">
      <alignment horizontal="right" vertical="center"/>
    </xf>
    <xf numFmtId="0" fontId="233" fillId="2" borderId="153" xfId="0" applyFont="1" applyFill="1" applyBorder="1" applyAlignment="1">
      <alignment vertical="center"/>
    </xf>
    <xf numFmtId="0" fontId="233" fillId="2" borderId="0" xfId="0" applyFont="1" applyFill="1" applyBorder="1" applyAlignment="1">
      <alignment vertical="center" wrapText="1"/>
    </xf>
    <xf numFmtId="0" fontId="222" fillId="2" borderId="291" xfId="0" applyFont="1" applyFill="1" applyBorder="1" applyAlignment="1">
      <alignment horizontal="left" vertical="center"/>
    </xf>
    <xf numFmtId="0" fontId="222" fillId="2" borderId="292" xfId="0" applyFont="1" applyFill="1" applyBorder="1" applyAlignment="1">
      <alignment vertical="center"/>
    </xf>
    <xf numFmtId="0" fontId="224" fillId="2" borderId="292" xfId="0" applyFont="1" applyFill="1" applyBorder="1" applyAlignment="1">
      <alignment horizontal="center" vertical="center"/>
    </xf>
    <xf numFmtId="209" fontId="99" fillId="2" borderId="292" xfId="0" applyNumberFormat="1" applyFont="1" applyFill="1" applyBorder="1" applyAlignment="1">
      <alignment horizontal="right" vertical="center"/>
    </xf>
    <xf numFmtId="209" fontId="222" fillId="2" borderId="293" xfId="0" applyNumberFormat="1" applyFont="1" applyFill="1" applyBorder="1" applyAlignment="1">
      <alignment horizontal="right" vertical="center"/>
    </xf>
    <xf numFmtId="4" fontId="104" fillId="7" borderId="194" xfId="0" applyNumberFormat="1" applyFont="1" applyFill="1" applyBorder="1" applyAlignment="1">
      <alignment vertical="center"/>
    </xf>
    <xf numFmtId="4" fontId="104" fillId="7" borderId="195" xfId="0" applyNumberFormat="1" applyFont="1" applyFill="1" applyBorder="1" applyAlignment="1">
      <alignment vertical="center"/>
    </xf>
    <xf numFmtId="176" fontId="100" fillId="2" borderId="0" xfId="33" applyNumberFormat="1" applyFont="1" applyFill="1" applyAlignment="1">
      <alignment vertical="center"/>
    </xf>
    <xf numFmtId="176" fontId="100" fillId="2" borderId="0" xfId="33" applyNumberFormat="1" applyFont="1" applyFill="1" applyAlignment="1">
      <alignment horizontal="center" vertical="center"/>
    </xf>
    <xf numFmtId="169" fontId="149" fillId="2" borderId="0" xfId="33" applyNumberFormat="1" applyFont="1" applyFill="1" applyAlignment="1">
      <alignment horizontal="center" vertical="center"/>
    </xf>
    <xf numFmtId="169" fontId="100" fillId="2" borderId="0" xfId="33" applyNumberFormat="1" applyFont="1" applyFill="1" applyAlignment="1">
      <alignment horizontal="center" vertical="center"/>
    </xf>
    <xf numFmtId="9" fontId="99" fillId="2" borderId="133" xfId="1" applyFont="1" applyFill="1" applyBorder="1" applyAlignment="1">
      <alignment horizontal="center" vertical="center"/>
    </xf>
    <xf numFmtId="4" fontId="99" fillId="2" borderId="133" xfId="0" applyNumberFormat="1" applyFont="1" applyFill="1" applyBorder="1" applyAlignment="1">
      <alignment horizontal="center" vertical="center"/>
    </xf>
    <xf numFmtId="39" fontId="100" fillId="2" borderId="133" xfId="32" applyNumberFormat="1" applyFont="1" applyFill="1" applyBorder="1" applyAlignment="1">
      <alignment horizontal="center" vertical="center"/>
    </xf>
    <xf numFmtId="165" fontId="2" fillId="2" borderId="20" xfId="52" applyNumberFormat="1" applyFont="1" applyFill="1" applyBorder="1" applyAlignment="1" applyProtection="1">
      <alignment horizontal="center" vertical="center"/>
      <protection hidden="1"/>
    </xf>
    <xf numFmtId="165" fontId="92" fillId="27" borderId="20" xfId="0" applyNumberFormat="1" applyFont="1" applyFill="1" applyBorder="1" applyAlignment="1" applyProtection="1">
      <alignment horizontal="center" vertical="center"/>
      <protection hidden="1"/>
    </xf>
    <xf numFmtId="199" fontId="80" fillId="2" borderId="20" xfId="52" applyNumberFormat="1" applyFont="1" applyFill="1" applyBorder="1" applyAlignment="1">
      <alignment horizontal="center" vertical="center"/>
    </xf>
    <xf numFmtId="199" fontId="81" fillId="27" borderId="20" xfId="52" applyNumberFormat="1" applyFont="1" applyFill="1" applyBorder="1" applyAlignment="1">
      <alignment horizontal="center" vertical="center"/>
    </xf>
    <xf numFmtId="199" fontId="80" fillId="2" borderId="20" xfId="52" applyNumberFormat="1" applyFont="1" applyFill="1" applyBorder="1" applyAlignment="1" applyProtection="1">
      <alignment horizontal="center" vertical="center"/>
      <protection hidden="1"/>
    </xf>
    <xf numFmtId="199" fontId="80" fillId="2" borderId="20" xfId="0" applyNumberFormat="1" applyFont="1" applyFill="1" applyBorder="1" applyAlignment="1" applyProtection="1">
      <alignment horizontal="center" vertical="center"/>
      <protection hidden="1"/>
    </xf>
    <xf numFmtId="176" fontId="104" fillId="7" borderId="194" xfId="0" applyNumberFormat="1" applyFont="1" applyFill="1" applyBorder="1" applyAlignment="1">
      <alignment horizontal="center" vertical="center"/>
    </xf>
    <xf numFmtId="4" fontId="104" fillId="7" borderId="194" xfId="0" applyNumberFormat="1" applyFont="1" applyFill="1" applyBorder="1" applyAlignment="1">
      <alignment horizontal="center" vertical="center"/>
    </xf>
    <xf numFmtId="4" fontId="104" fillId="7" borderId="195" xfId="0" applyNumberFormat="1" applyFont="1" applyFill="1" applyBorder="1" applyAlignment="1">
      <alignment horizontal="center" vertical="center"/>
    </xf>
    <xf numFmtId="4" fontId="99" fillId="2" borderId="133" xfId="32" applyNumberFormat="1" applyFont="1" applyFill="1" applyBorder="1" applyAlignment="1">
      <alignment horizontal="center" vertical="center"/>
    </xf>
    <xf numFmtId="4" fontId="99" fillId="2" borderId="133" xfId="1" applyNumberFormat="1" applyFont="1" applyFill="1" applyBorder="1" applyAlignment="1">
      <alignment horizontal="center" vertical="center"/>
    </xf>
    <xf numFmtId="0" fontId="83" fillId="44" borderId="20" xfId="0" applyFont="1" applyFill="1" applyBorder="1" applyAlignment="1">
      <alignment vertical="center"/>
    </xf>
    <xf numFmtId="3" fontId="2" fillId="44" borderId="20" xfId="0" applyNumberFormat="1" applyFont="1" applyFill="1" applyBorder="1" applyAlignment="1" applyProtection="1">
      <alignment horizontal="center" vertical="center"/>
      <protection hidden="1"/>
    </xf>
    <xf numFmtId="165" fontId="2" fillId="44" borderId="20" xfId="52" applyNumberFormat="1" applyFont="1" applyFill="1" applyBorder="1" applyAlignment="1" applyProtection="1">
      <alignment horizontal="center" vertical="center"/>
      <protection hidden="1"/>
    </xf>
    <xf numFmtId="10" fontId="83" fillId="44" borderId="20" xfId="53" applyNumberFormat="1" applyFont="1" applyFill="1" applyBorder="1" applyAlignment="1" applyProtection="1">
      <alignment horizontal="center" vertical="center"/>
      <protection hidden="1"/>
    </xf>
    <xf numFmtId="0" fontId="83" fillId="44" borderId="20" xfId="0" applyFont="1" applyFill="1" applyBorder="1" applyAlignment="1">
      <alignment horizontal="center" vertical="center"/>
    </xf>
    <xf numFmtId="165" fontId="92" fillId="2" borderId="0" xfId="0" applyNumberFormat="1" applyFont="1" applyFill="1" applyBorder="1" applyAlignment="1" applyProtection="1">
      <alignment vertical="center"/>
      <protection hidden="1"/>
    </xf>
    <xf numFmtId="9" fontId="80" fillId="2" borderId="20" xfId="0" applyNumberFormat="1" applyFont="1" applyFill="1" applyBorder="1" applyAlignment="1">
      <alignment horizontal="center" vertical="center"/>
    </xf>
    <xf numFmtId="199" fontId="80" fillId="2" borderId="20" xfId="0" applyNumberFormat="1" applyFont="1" applyFill="1" applyBorder="1" applyAlignment="1" applyProtection="1">
      <alignment vertical="center"/>
      <protection hidden="1"/>
    </xf>
    <xf numFmtId="199" fontId="81" fillId="27" borderId="20" xfId="52" applyNumberFormat="1" applyFont="1" applyFill="1" applyBorder="1" applyAlignment="1" applyProtection="1">
      <alignment vertical="center"/>
      <protection hidden="1"/>
    </xf>
    <xf numFmtId="199" fontId="80" fillId="2" borderId="20" xfId="50" applyNumberFormat="1" applyFont="1" applyFill="1" applyBorder="1" applyAlignment="1" applyProtection="1">
      <alignment horizontal="center" vertical="center"/>
      <protection hidden="1"/>
    </xf>
    <xf numFmtId="4" fontId="81" fillId="2" borderId="20" xfId="0" applyNumberFormat="1" applyFont="1" applyFill="1" applyBorder="1" applyAlignment="1">
      <alignment horizontal="center" vertical="center"/>
    </xf>
    <xf numFmtId="0" fontId="24" fillId="7" borderId="294" xfId="0" applyFont="1" applyFill="1" applyBorder="1" applyAlignment="1">
      <alignment horizontal="center" vertical="center" textRotation="90"/>
    </xf>
    <xf numFmtId="0" fontId="23" fillId="2" borderId="138" xfId="0" applyFont="1" applyFill="1" applyBorder="1" applyAlignment="1">
      <alignment horizontal="center" vertical="center" wrapText="1"/>
    </xf>
    <xf numFmtId="0" fontId="213" fillId="7" borderId="134" xfId="0" applyFont="1" applyFill="1" applyBorder="1" applyAlignment="1">
      <alignment horizontal="center" vertical="center"/>
    </xf>
    <xf numFmtId="0" fontId="24" fillId="7" borderId="133" xfId="0" applyFont="1" applyFill="1" applyBorder="1" applyAlignment="1">
      <alignment horizontal="center" vertical="center"/>
    </xf>
    <xf numFmtId="3" fontId="21" fillId="2" borderId="0" xfId="0" applyNumberFormat="1" applyFont="1" applyFill="1" applyBorder="1" applyAlignment="1">
      <alignment horizontal="center" vertical="center" wrapText="1"/>
    </xf>
    <xf numFmtId="3" fontId="90" fillId="2" borderId="0" xfId="0" applyNumberFormat="1" applyFont="1" applyFill="1" applyBorder="1" applyAlignment="1">
      <alignment vertical="center" wrapText="1"/>
    </xf>
    <xf numFmtId="3" fontId="91" fillId="2" borderId="0" xfId="0" applyNumberFormat="1" applyFont="1" applyFill="1" applyBorder="1" applyAlignment="1">
      <alignment horizontal="center" vertical="center" wrapText="1"/>
    </xf>
    <xf numFmtId="3" fontId="91" fillId="2" borderId="0" xfId="0" applyNumberFormat="1" applyFont="1" applyFill="1" applyAlignment="1">
      <alignment vertical="center"/>
    </xf>
    <xf numFmtId="10" fontId="91" fillId="2" borderId="0" xfId="0" applyNumberFormat="1" applyFont="1" applyFill="1" applyAlignment="1">
      <alignment vertical="center"/>
    </xf>
    <xf numFmtId="0" fontId="205" fillId="2" borderId="0" xfId="0" applyFont="1" applyFill="1" applyAlignment="1">
      <alignment vertical="center"/>
    </xf>
    <xf numFmtId="0" fontId="91" fillId="2" borderId="0" xfId="0" applyNumberFormat="1" applyFont="1" applyFill="1" applyAlignment="1">
      <alignment vertical="center"/>
    </xf>
    <xf numFmtId="172" fontId="91" fillId="2" borderId="0" xfId="0" applyNumberFormat="1" applyFont="1" applyFill="1" applyAlignment="1">
      <alignment vertical="center"/>
    </xf>
    <xf numFmtId="0" fontId="91" fillId="2" borderId="133" xfId="0" applyFont="1" applyFill="1" applyBorder="1" applyAlignment="1">
      <alignment horizontal="center" vertical="center"/>
    </xf>
    <xf numFmtId="0" fontId="90" fillId="2" borderId="133" xfId="0" applyFont="1" applyFill="1" applyBorder="1" applyAlignment="1">
      <alignment vertical="center"/>
    </xf>
    <xf numFmtId="3" fontId="90" fillId="2" borderId="133" xfId="0" applyNumberFormat="1" applyFont="1" applyFill="1" applyBorder="1" applyAlignment="1">
      <alignment horizontal="center" vertical="center"/>
    </xf>
    <xf numFmtId="10" fontId="90" fillId="2" borderId="133" xfId="0" applyNumberFormat="1" applyFont="1" applyFill="1" applyBorder="1" applyAlignment="1">
      <alignment horizontal="center" vertical="center"/>
    </xf>
    <xf numFmtId="0" fontId="91" fillId="2" borderId="133" xfId="0" applyFont="1" applyFill="1" applyBorder="1" applyAlignment="1">
      <alignment horizontal="left" vertical="center" wrapText="1"/>
    </xf>
    <xf numFmtId="3" fontId="91" fillId="2" borderId="133" xfId="0" applyNumberFormat="1" applyFont="1" applyFill="1" applyBorder="1" applyAlignment="1">
      <alignment horizontal="center" vertical="center" wrapText="1"/>
    </xf>
    <xf numFmtId="10" fontId="91" fillId="2" borderId="133" xfId="0" applyNumberFormat="1" applyFont="1" applyFill="1" applyBorder="1" applyAlignment="1">
      <alignment horizontal="center" vertical="center"/>
    </xf>
    <xf numFmtId="3" fontId="207" fillId="118" borderId="133" xfId="0" applyNumberFormat="1" applyFont="1" applyFill="1" applyBorder="1" applyAlignment="1">
      <alignment horizontal="right" vertical="center" wrapText="1"/>
    </xf>
    <xf numFmtId="0" fontId="62" fillId="2" borderId="133" xfId="0" applyFont="1" applyFill="1" applyBorder="1" applyAlignment="1">
      <alignment horizontal="left" vertical="center" wrapText="1"/>
    </xf>
    <xf numFmtId="3" fontId="62" fillId="2" borderId="133" xfId="0" applyNumberFormat="1" applyFont="1" applyFill="1" applyBorder="1" applyAlignment="1">
      <alignment horizontal="center" vertical="center" wrapText="1"/>
    </xf>
    <xf numFmtId="10" fontId="62" fillId="2" borderId="133" xfId="0" applyNumberFormat="1" applyFont="1" applyFill="1" applyBorder="1" applyAlignment="1">
      <alignment horizontal="center" vertical="center"/>
    </xf>
    <xf numFmtId="0" fontId="90" fillId="2" borderId="133" xfId="0" applyNumberFormat="1" applyFont="1" applyFill="1" applyBorder="1" applyAlignment="1">
      <alignment vertical="center"/>
    </xf>
    <xf numFmtId="3" fontId="91" fillId="2" borderId="133" xfId="0" applyNumberFormat="1" applyFont="1" applyFill="1" applyBorder="1" applyAlignment="1">
      <alignment horizontal="center" vertical="center"/>
    </xf>
    <xf numFmtId="172" fontId="90" fillId="2" borderId="133" xfId="0" applyNumberFormat="1" applyFont="1" applyFill="1" applyBorder="1" applyAlignment="1">
      <alignment horizontal="center" vertical="center"/>
    </xf>
    <xf numFmtId="3" fontId="91" fillId="2" borderId="133" xfId="0" applyNumberFormat="1" applyFont="1" applyFill="1" applyBorder="1" applyAlignment="1">
      <alignment horizontal="right" vertical="center" wrapText="1"/>
    </xf>
    <xf numFmtId="172" fontId="91" fillId="2" borderId="133" xfId="0" applyNumberFormat="1" applyFont="1" applyFill="1" applyBorder="1" applyAlignment="1">
      <alignment horizontal="center" vertical="center"/>
    </xf>
    <xf numFmtId="3" fontId="62" fillId="2" borderId="133" xfId="0" applyNumberFormat="1" applyFont="1" applyFill="1" applyBorder="1" applyAlignment="1">
      <alignment horizontal="right" vertical="center" wrapText="1"/>
    </xf>
    <xf numFmtId="172" fontId="62" fillId="2" borderId="133" xfId="0" applyNumberFormat="1" applyFont="1" applyFill="1" applyBorder="1" applyAlignment="1">
      <alignment horizontal="center" vertical="center"/>
    </xf>
    <xf numFmtId="3" fontId="90" fillId="2" borderId="133" xfId="0" applyNumberFormat="1" applyFont="1" applyFill="1" applyBorder="1" applyAlignment="1">
      <alignment vertical="center" wrapText="1"/>
    </xf>
    <xf numFmtId="3" fontId="91" fillId="2" borderId="133" xfId="0" applyNumberFormat="1" applyFont="1" applyFill="1" applyBorder="1" applyAlignment="1">
      <alignment vertical="center"/>
    </xf>
    <xf numFmtId="0" fontId="197" fillId="7" borderId="193" xfId="0" applyFont="1" applyFill="1" applyBorder="1" applyAlignment="1">
      <alignment horizontal="center" vertical="center"/>
    </xf>
    <xf numFmtId="0" fontId="197" fillId="7" borderId="194" xfId="0" applyFont="1" applyFill="1" applyBorder="1" applyAlignment="1">
      <alignment horizontal="center" vertical="center"/>
    </xf>
    <xf numFmtId="0" fontId="197" fillId="7" borderId="195" xfId="0" applyFont="1" applyFill="1" applyBorder="1" applyAlignment="1">
      <alignment horizontal="center" vertical="center"/>
    </xf>
    <xf numFmtId="0" fontId="197" fillId="7" borderId="193" xfId="0" applyNumberFormat="1" applyFont="1" applyFill="1" applyBorder="1" applyAlignment="1">
      <alignment horizontal="center" vertical="center"/>
    </xf>
    <xf numFmtId="0" fontId="197" fillId="7" borderId="194" xfId="0" applyNumberFormat="1" applyFont="1" applyFill="1" applyBorder="1" applyAlignment="1">
      <alignment horizontal="center" vertical="center"/>
    </xf>
    <xf numFmtId="0" fontId="197" fillId="7" borderId="195" xfId="0" applyNumberFormat="1" applyFont="1" applyFill="1" applyBorder="1" applyAlignment="1">
      <alignment horizontal="center" vertical="center"/>
    </xf>
    <xf numFmtId="0" fontId="197" fillId="7" borderId="129" xfId="0" applyFont="1" applyFill="1" applyBorder="1" applyAlignment="1">
      <alignment horizontal="center" vertical="center" wrapText="1"/>
    </xf>
    <xf numFmtId="3" fontId="207" fillId="118" borderId="133" xfId="0" applyNumberFormat="1" applyFont="1" applyFill="1" applyBorder="1" applyAlignment="1">
      <alignment horizontal="center" vertical="center" wrapText="1"/>
    </xf>
    <xf numFmtId="3" fontId="62" fillId="118" borderId="133" xfId="0" applyNumberFormat="1" applyFont="1" applyFill="1" applyBorder="1" applyAlignment="1">
      <alignment horizontal="center" vertical="center" wrapText="1"/>
    </xf>
    <xf numFmtId="0" fontId="197" fillId="7" borderId="193" xfId="0" applyFont="1" applyFill="1" applyBorder="1" applyAlignment="1">
      <alignment horizontal="center" vertical="center" wrapText="1"/>
    </xf>
    <xf numFmtId="0" fontId="197" fillId="7" borderId="194" xfId="0" applyFont="1" applyFill="1" applyBorder="1" applyAlignment="1">
      <alignment horizontal="center" vertical="center" wrapText="1"/>
    </xf>
    <xf numFmtId="0" fontId="21" fillId="2" borderId="133" xfId="0" applyFont="1" applyFill="1" applyBorder="1" applyAlignment="1">
      <alignment horizontal="left" vertical="center" wrapText="1"/>
    </xf>
    <xf numFmtId="3" fontId="21" fillId="2" borderId="133" xfId="0" applyNumberFormat="1" applyFont="1" applyFill="1" applyBorder="1" applyAlignment="1">
      <alignment horizontal="center" vertical="center"/>
    </xf>
    <xf numFmtId="3" fontId="21" fillId="2" borderId="133" xfId="0" applyNumberFormat="1" applyFont="1" applyFill="1" applyBorder="1" applyAlignment="1">
      <alignment horizontal="center" vertical="center" wrapText="1"/>
    </xf>
    <xf numFmtId="0" fontId="21" fillId="2" borderId="133" xfId="0" applyFont="1" applyFill="1" applyBorder="1" applyAlignment="1">
      <alignment horizontal="center" vertical="center"/>
    </xf>
    <xf numFmtId="0" fontId="21" fillId="2" borderId="0" xfId="0" applyFont="1" applyFill="1" applyBorder="1" applyAlignment="1">
      <alignment horizontal="left" vertical="center" wrapText="1"/>
    </xf>
    <xf numFmtId="0" fontId="24" fillId="7" borderId="194" xfId="0" applyFont="1" applyFill="1" applyBorder="1" applyAlignment="1">
      <alignment horizontal="center" vertical="center" wrapText="1"/>
    </xf>
    <xf numFmtId="3" fontId="6" fillId="2" borderId="0" xfId="0" applyNumberFormat="1" applyFont="1" applyFill="1" applyAlignment="1">
      <alignment horizontal="center" vertical="center"/>
    </xf>
    <xf numFmtId="3" fontId="21" fillId="2" borderId="0" xfId="0" applyNumberFormat="1" applyFont="1" applyFill="1" applyBorder="1" applyAlignment="1">
      <alignment horizontal="center" vertical="center"/>
    </xf>
    <xf numFmtId="0" fontId="21" fillId="2" borderId="0" xfId="0" applyFont="1" applyFill="1" applyBorder="1" applyAlignment="1">
      <alignment horizontal="center" vertical="center" wrapText="1"/>
    </xf>
    <xf numFmtId="3" fontId="22" fillId="2" borderId="0" xfId="0" applyNumberFormat="1" applyFont="1" applyFill="1" applyBorder="1" applyAlignment="1">
      <alignment horizontal="center" vertical="center"/>
    </xf>
    <xf numFmtId="0" fontId="21" fillId="2" borderId="133" xfId="0" applyFont="1" applyFill="1" applyBorder="1" applyAlignment="1">
      <alignment horizontal="center" vertical="center" wrapText="1"/>
    </xf>
    <xf numFmtId="0" fontId="24" fillId="7" borderId="193" xfId="0" applyFont="1" applyFill="1" applyBorder="1" applyAlignment="1">
      <alignment horizontal="center" vertical="center" wrapText="1"/>
    </xf>
    <xf numFmtId="0" fontId="6" fillId="2" borderId="0" xfId="0" applyNumberFormat="1" applyFont="1" applyFill="1" applyAlignment="1">
      <alignment horizontal="center" vertical="center"/>
    </xf>
    <xf numFmtId="0" fontId="22" fillId="2" borderId="0" xfId="0" applyFont="1" applyFill="1" applyBorder="1" applyAlignment="1">
      <alignment horizontal="center" vertical="center" wrapText="1"/>
    </xf>
    <xf numFmtId="0" fontId="22" fillId="2" borderId="0" xfId="0" applyFont="1" applyFill="1" applyBorder="1" applyAlignment="1">
      <alignment horizontal="center" vertical="center"/>
    </xf>
    <xf numFmtId="3" fontId="208" fillId="2" borderId="0" xfId="0" applyNumberFormat="1" applyFont="1" applyFill="1" applyBorder="1" applyAlignment="1">
      <alignment horizontal="center" vertical="center" wrapText="1"/>
    </xf>
    <xf numFmtId="3" fontId="208" fillId="2" borderId="222" xfId="0" applyNumberFormat="1" applyFont="1" applyFill="1" applyBorder="1" applyAlignment="1">
      <alignment horizontal="center" vertical="center" wrapText="1"/>
    </xf>
    <xf numFmtId="10" fontId="6" fillId="2" borderId="0" xfId="0" applyNumberFormat="1" applyFont="1" applyFill="1" applyAlignment="1">
      <alignment horizontal="center" vertical="center"/>
    </xf>
    <xf numFmtId="171" fontId="208" fillId="2" borderId="80" xfId="0" applyNumberFormat="1" applyFont="1" applyFill="1" applyBorder="1" applyAlignment="1">
      <alignment horizontal="center" vertical="center"/>
    </xf>
    <xf numFmtId="180" fontId="6" fillId="2" borderId="0" xfId="0" applyNumberFormat="1" applyFont="1" applyFill="1" applyAlignment="1">
      <alignment horizontal="center" vertical="center"/>
    </xf>
    <xf numFmtId="0" fontId="89" fillId="2" borderId="0" xfId="0" applyFont="1" applyFill="1" applyBorder="1" applyAlignment="1">
      <alignment horizontal="left" vertical="center" wrapText="1"/>
    </xf>
    <xf numFmtId="3" fontId="21" fillId="2" borderId="133" xfId="0" applyNumberFormat="1" applyFont="1" applyFill="1" applyBorder="1" applyAlignment="1">
      <alignment horizontal="right" vertical="center"/>
    </xf>
    <xf numFmtId="3" fontId="21" fillId="2" borderId="133" xfId="0" applyNumberFormat="1" applyFont="1" applyFill="1" applyBorder="1" applyAlignment="1">
      <alignment horizontal="right" vertical="center" wrapText="1"/>
    </xf>
    <xf numFmtId="0" fontId="21" fillId="2" borderId="133" xfId="0" applyFont="1" applyFill="1" applyBorder="1" applyAlignment="1">
      <alignment horizontal="right" vertical="center" wrapText="1"/>
    </xf>
    <xf numFmtId="0" fontId="6" fillId="2" borderId="0" xfId="0" applyNumberFormat="1" applyFont="1" applyFill="1" applyAlignment="1">
      <alignment vertical="center"/>
    </xf>
    <xf numFmtId="10" fontId="6" fillId="2" borderId="0" xfId="0" applyNumberFormat="1" applyFont="1" applyFill="1" applyAlignment="1">
      <alignment vertical="center"/>
    </xf>
    <xf numFmtId="0" fontId="22" fillId="27" borderId="133" xfId="0" applyFont="1" applyFill="1" applyBorder="1" applyAlignment="1">
      <alignment horizontal="center" vertical="center" wrapText="1"/>
    </xf>
    <xf numFmtId="3" fontId="22" fillId="27" borderId="133" xfId="0" applyNumberFormat="1" applyFont="1" applyFill="1" applyBorder="1" applyAlignment="1">
      <alignment horizontal="center" vertical="center"/>
    </xf>
    <xf numFmtId="0" fontId="236" fillId="2" borderId="76" xfId="0" applyFont="1" applyFill="1" applyBorder="1" applyAlignment="1">
      <alignment vertical="center"/>
    </xf>
    <xf numFmtId="9" fontId="236" fillId="2" borderId="81" xfId="1" applyFont="1" applyFill="1" applyBorder="1" applyAlignment="1">
      <alignment vertical="center"/>
    </xf>
    <xf numFmtId="3" fontId="236" fillId="2" borderId="81" xfId="0" applyNumberFormat="1" applyFont="1" applyFill="1" applyBorder="1" applyAlignment="1">
      <alignment vertical="center"/>
    </xf>
    <xf numFmtId="9" fontId="21" fillId="2" borderId="133" xfId="0" applyNumberFormat="1" applyFont="1" applyFill="1" applyBorder="1" applyAlignment="1">
      <alignment horizontal="center" vertical="center" wrapText="1"/>
    </xf>
    <xf numFmtId="0" fontId="6" fillId="2" borderId="133" xfId="0" applyFont="1" applyFill="1" applyBorder="1" applyAlignment="1">
      <alignment vertical="center"/>
    </xf>
    <xf numFmtId="0" fontId="21" fillId="2" borderId="133" xfId="0" applyNumberFormat="1" applyFont="1" applyFill="1" applyBorder="1" applyAlignment="1">
      <alignment horizontal="left" vertical="center" wrapText="1"/>
    </xf>
    <xf numFmtId="0" fontId="21" fillId="2" borderId="133" xfId="0" applyFont="1" applyFill="1" applyBorder="1" applyAlignment="1">
      <alignment vertical="center" wrapText="1"/>
    </xf>
    <xf numFmtId="10" fontId="21" fillId="2" borderId="133" xfId="0" applyNumberFormat="1" applyFont="1" applyFill="1" applyBorder="1" applyAlignment="1">
      <alignment horizontal="right" vertical="center"/>
    </xf>
    <xf numFmtId="3" fontId="21" fillId="2" borderId="133" xfId="0" applyNumberFormat="1" applyFont="1" applyFill="1" applyBorder="1" applyAlignment="1">
      <alignment vertical="center"/>
    </xf>
    <xf numFmtId="10" fontId="21" fillId="2" borderId="133" xfId="0" applyNumberFormat="1" applyFont="1" applyFill="1" applyBorder="1" applyAlignment="1">
      <alignment vertical="center"/>
    </xf>
    <xf numFmtId="0" fontId="160" fillId="2" borderId="133" xfId="0" applyFont="1" applyFill="1" applyBorder="1" applyAlignment="1">
      <alignment vertical="center"/>
    </xf>
    <xf numFmtId="3" fontId="208" fillId="2" borderId="133" xfId="0" applyNumberFormat="1" applyFont="1" applyFill="1" applyBorder="1" applyAlignment="1">
      <alignment horizontal="center" vertical="center"/>
    </xf>
    <xf numFmtId="0" fontId="236" fillId="2" borderId="133" xfId="0" applyFont="1" applyFill="1" applyBorder="1" applyAlignment="1">
      <alignment vertical="center" wrapText="1"/>
    </xf>
    <xf numFmtId="3" fontId="23" fillId="2" borderId="133" xfId="0" applyNumberFormat="1" applyFont="1" applyFill="1" applyBorder="1" applyAlignment="1">
      <alignment horizontal="center" vertical="center"/>
    </xf>
    <xf numFmtId="0" fontId="208" fillId="2" borderId="133" xfId="0" applyFont="1" applyFill="1" applyBorder="1" applyAlignment="1">
      <alignment vertical="center" wrapText="1"/>
    </xf>
    <xf numFmtId="9" fontId="208" fillId="2" borderId="133" xfId="1" applyFont="1" applyFill="1" applyBorder="1" applyAlignment="1">
      <alignment horizontal="center" vertical="center"/>
    </xf>
    <xf numFmtId="3" fontId="236" fillId="2" borderId="133" xfId="0" applyNumberFormat="1" applyFont="1" applyFill="1" applyBorder="1" applyAlignment="1">
      <alignment vertical="center"/>
    </xf>
    <xf numFmtId="0" fontId="236" fillId="2" borderId="133" xfId="0" applyFont="1" applyFill="1" applyBorder="1" applyAlignment="1">
      <alignment vertical="center"/>
    </xf>
    <xf numFmtId="172" fontId="236" fillId="2" borderId="133" xfId="1" applyNumberFormat="1" applyFont="1" applyFill="1" applyBorder="1" applyAlignment="1">
      <alignment vertical="center"/>
    </xf>
    <xf numFmtId="0" fontId="24" fillId="7" borderId="195" xfId="0" applyFont="1" applyFill="1" applyBorder="1" applyAlignment="1">
      <alignment horizontal="center" vertical="center" wrapText="1"/>
    </xf>
    <xf numFmtId="0" fontId="208" fillId="2" borderId="133" xfId="169" applyFont="1" applyFill="1" applyBorder="1" applyAlignment="1">
      <alignment vertical="center"/>
    </xf>
    <xf numFmtId="0" fontId="208" fillId="0" borderId="133" xfId="169" applyFont="1" applyFill="1" applyBorder="1" applyAlignment="1">
      <alignment vertical="center"/>
    </xf>
    <xf numFmtId="10" fontId="208" fillId="2" borderId="133" xfId="1" applyNumberFormat="1" applyFont="1" applyFill="1" applyBorder="1" applyAlignment="1">
      <alignment horizontal="center" vertical="center"/>
    </xf>
    <xf numFmtId="0" fontId="208" fillId="2" borderId="133" xfId="169" applyFont="1" applyFill="1" applyBorder="1" applyAlignment="1">
      <alignment horizontal="center" vertical="center"/>
    </xf>
    <xf numFmtId="0" fontId="23" fillId="2" borderId="133" xfId="0" applyFont="1" applyFill="1" applyBorder="1" applyAlignment="1">
      <alignment vertical="center"/>
    </xf>
    <xf numFmtId="0" fontId="208" fillId="5" borderId="133" xfId="0" applyFont="1" applyFill="1" applyBorder="1" applyAlignment="1">
      <alignment horizontal="left" vertical="center" wrapText="1"/>
    </xf>
    <xf numFmtId="3" fontId="208" fillId="5" borderId="133" xfId="0" applyNumberFormat="1" applyFont="1" applyFill="1" applyBorder="1" applyAlignment="1">
      <alignment horizontal="center" vertical="center" wrapText="1"/>
    </xf>
    <xf numFmtId="0" fontId="24" fillId="7" borderId="124" xfId="0" applyFont="1" applyFill="1" applyBorder="1" applyAlignment="1">
      <alignment horizontal="center" vertical="center" wrapText="1"/>
    </xf>
    <xf numFmtId="0" fontId="24" fillId="7" borderId="130" xfId="0" applyFont="1" applyFill="1" applyBorder="1" applyAlignment="1">
      <alignment horizontal="center" vertical="center"/>
    </xf>
    <xf numFmtId="0" fontId="24" fillId="7" borderId="131" xfId="0" applyFont="1" applyFill="1" applyBorder="1" applyAlignment="1">
      <alignment horizontal="center" vertical="center"/>
    </xf>
    <xf numFmtId="0" fontId="208" fillId="5" borderId="133" xfId="0" applyFont="1" applyFill="1" applyBorder="1" applyAlignment="1">
      <alignment vertical="center" wrapText="1"/>
    </xf>
    <xf numFmtId="3" fontId="23" fillId="5" borderId="133" xfId="0" applyNumberFormat="1" applyFont="1" applyFill="1" applyBorder="1" applyAlignment="1">
      <alignment horizontal="center" vertical="center"/>
    </xf>
    <xf numFmtId="0" fontId="236" fillId="5" borderId="133" xfId="0" applyFont="1" applyFill="1" applyBorder="1" applyAlignment="1">
      <alignment vertical="center" wrapText="1"/>
    </xf>
    <xf numFmtId="3" fontId="236" fillId="5" borderId="133" xfId="0" applyNumberFormat="1" applyFont="1" applyFill="1" applyBorder="1" applyAlignment="1">
      <alignment vertical="center"/>
    </xf>
    <xf numFmtId="0" fontId="236" fillId="5" borderId="133" xfId="0" applyFont="1" applyFill="1" applyBorder="1" applyAlignment="1">
      <alignment vertical="center"/>
    </xf>
    <xf numFmtId="3" fontId="23" fillId="5" borderId="133" xfId="0" applyNumberFormat="1" applyFont="1" applyFill="1" applyBorder="1" applyAlignment="1">
      <alignment horizontal="right" vertical="center" wrapText="1"/>
    </xf>
    <xf numFmtId="3" fontId="23" fillId="119" borderId="133" xfId="0" applyNumberFormat="1" applyFont="1" applyFill="1" applyBorder="1" applyAlignment="1">
      <alignment horizontal="right" vertical="center" wrapText="1"/>
    </xf>
    <xf numFmtId="3" fontId="23" fillId="5" borderId="133" xfId="0" applyNumberFormat="1" applyFont="1" applyFill="1" applyBorder="1" applyAlignment="1">
      <alignment vertical="center" wrapText="1"/>
    </xf>
    <xf numFmtId="0" fontId="22" fillId="5" borderId="133" xfId="0" applyFont="1" applyFill="1" applyBorder="1" applyAlignment="1">
      <alignment horizontal="center" vertical="center"/>
    </xf>
    <xf numFmtId="3" fontId="22" fillId="5" borderId="133" xfId="0" applyNumberFormat="1" applyFont="1" applyFill="1" applyBorder="1" applyAlignment="1">
      <alignment horizontal="center" vertical="center"/>
    </xf>
    <xf numFmtId="0" fontId="104" fillId="7" borderId="130" xfId="0" applyFont="1" applyFill="1" applyBorder="1" applyAlignment="1">
      <alignment horizontal="center" vertical="center"/>
    </xf>
    <xf numFmtId="0" fontId="67" fillId="2" borderId="133" xfId="0" applyFont="1" applyFill="1" applyBorder="1" applyAlignment="1">
      <alignment horizontal="center" vertical="center" wrapText="1"/>
    </xf>
    <xf numFmtId="0" fontId="68" fillId="2" borderId="133" xfId="0" applyFont="1" applyFill="1" applyBorder="1" applyAlignment="1">
      <alignment horizontal="left" vertical="center" wrapText="1"/>
    </xf>
    <xf numFmtId="0" fontId="104" fillId="7" borderId="126" xfId="0" applyFont="1" applyFill="1" applyBorder="1" applyAlignment="1">
      <alignment vertical="center"/>
    </xf>
    <xf numFmtId="0" fontId="104" fillId="7" borderId="127" xfId="0" applyFont="1" applyFill="1" applyBorder="1" applyAlignment="1">
      <alignment vertical="center"/>
    </xf>
    <xf numFmtId="9" fontId="68" fillId="2" borderId="133" xfId="1" applyFont="1" applyFill="1" applyBorder="1" applyAlignment="1">
      <alignment horizontal="center" vertical="center"/>
    </xf>
    <xf numFmtId="0" fontId="104" fillId="7" borderId="124" xfId="13" applyFont="1" applyFill="1" applyBorder="1" applyAlignment="1">
      <alignment horizontal="center" vertical="center"/>
    </xf>
    <xf numFmtId="0" fontId="104" fillId="7" borderId="157" xfId="13" applyFont="1" applyFill="1" applyBorder="1" applyAlignment="1">
      <alignment horizontal="center" vertical="center"/>
    </xf>
    <xf numFmtId="0" fontId="82" fillId="7" borderId="126" xfId="0" applyFont="1" applyFill="1" applyBorder="1" applyAlignment="1">
      <alignment horizontal="center" vertical="center" wrapText="1"/>
    </xf>
    <xf numFmtId="0" fontId="169" fillId="2" borderId="0" xfId="0" applyFont="1" applyFill="1" applyAlignment="1">
      <alignment horizontal="left" vertical="center" wrapText="1"/>
    </xf>
    <xf numFmtId="0" fontId="68" fillId="2" borderId="133" xfId="0" applyFont="1" applyFill="1" applyBorder="1" applyAlignment="1">
      <alignment horizontal="left" vertical="center" wrapText="1"/>
    </xf>
    <xf numFmtId="4" fontId="182" fillId="2" borderId="20" xfId="0" applyNumberFormat="1" applyFont="1" applyFill="1" applyBorder="1" applyAlignment="1">
      <alignment horizontal="center" vertical="center" wrapText="1"/>
    </xf>
    <xf numFmtId="0" fontId="169" fillId="2" borderId="20" xfId="0" applyFont="1" applyFill="1" applyBorder="1" applyAlignment="1">
      <alignment horizontal="center" vertical="center" wrapText="1"/>
    </xf>
    <xf numFmtId="4" fontId="181" fillId="2" borderId="20" xfId="0" applyNumberFormat="1" applyFont="1" applyFill="1" applyBorder="1" applyAlignment="1">
      <alignment horizontal="center" vertical="center" wrapText="1"/>
    </xf>
    <xf numFmtId="0" fontId="67" fillId="2" borderId="0" xfId="3" applyFont="1" applyFill="1" applyBorder="1" applyAlignment="1">
      <alignment horizontal="center" vertical="center" wrapText="1"/>
    </xf>
    <xf numFmtId="0" fontId="101" fillId="111" borderId="133" xfId="46" applyFont="1" applyFill="1" applyBorder="1" applyAlignment="1">
      <alignment horizontal="center" vertical="center" wrapText="1"/>
    </xf>
    <xf numFmtId="0" fontId="101" fillId="2" borderId="133" xfId="46" applyFont="1" applyFill="1" applyBorder="1" applyAlignment="1">
      <alignment horizontal="center" vertical="center" wrapText="1"/>
    </xf>
    <xf numFmtId="0" fontId="101" fillId="27" borderId="133" xfId="46" applyFont="1" applyFill="1" applyBorder="1" applyAlignment="1">
      <alignment horizontal="center" vertical="center" wrapText="1"/>
    </xf>
    <xf numFmtId="0" fontId="101" fillId="6" borderId="133" xfId="46" applyFont="1" applyFill="1" applyBorder="1" applyAlignment="1">
      <alignment horizontal="center" vertical="center" wrapText="1"/>
    </xf>
    <xf numFmtId="0" fontId="101" fillId="5" borderId="133" xfId="46" applyFont="1" applyFill="1" applyBorder="1" applyAlignment="1">
      <alignment horizontal="center" vertical="center" wrapText="1"/>
    </xf>
    <xf numFmtId="0" fontId="101" fillId="2" borderId="0" xfId="46" applyFont="1" applyFill="1" applyBorder="1" applyAlignment="1">
      <alignment horizontal="center" vertical="center" wrapText="1"/>
    </xf>
    <xf numFmtId="0" fontId="82" fillId="7" borderId="126" xfId="0" applyFont="1" applyFill="1" applyBorder="1" applyAlignment="1">
      <alignment horizontal="center" vertical="center"/>
    </xf>
    <xf numFmtId="0" fontId="82" fillId="7" borderId="127" xfId="0" applyFont="1" applyFill="1" applyBorder="1" applyAlignment="1">
      <alignment horizontal="center" vertical="center"/>
    </xf>
    <xf numFmtId="0" fontId="99" fillId="2" borderId="133" xfId="46" applyFont="1" applyFill="1" applyBorder="1" applyAlignment="1">
      <alignment horizontal="center" vertical="center"/>
    </xf>
    <xf numFmtId="0" fontId="99" fillId="2" borderId="133" xfId="46" applyFont="1" applyFill="1" applyBorder="1" applyAlignment="1">
      <alignment horizontal="center" vertical="center" wrapText="1"/>
    </xf>
    <xf numFmtId="0" fontId="197" fillId="7" borderId="130" xfId="0" applyFont="1" applyFill="1" applyBorder="1" applyAlignment="1">
      <alignment horizontal="center" vertical="center"/>
    </xf>
    <xf numFmtId="0" fontId="62" fillId="2" borderId="0" xfId="0" applyFont="1" applyFill="1" applyBorder="1" applyAlignment="1">
      <alignment horizontal="center" vertical="center" textRotation="90"/>
    </xf>
    <xf numFmtId="4" fontId="69" fillId="115" borderId="133" xfId="0" applyNumberFormat="1" applyFont="1" applyFill="1" applyBorder="1" applyAlignment="1">
      <alignment horizontal="center" vertical="center"/>
    </xf>
    <xf numFmtId="0" fontId="69" fillId="3" borderId="20" xfId="3" applyFont="1" applyFill="1" applyBorder="1" applyAlignment="1">
      <alignment vertical="center"/>
    </xf>
    <xf numFmtId="0" fontId="69" fillId="3" borderId="20" xfId="41" applyNumberFormat="1" applyFont="1" applyFill="1" applyBorder="1" applyAlignment="1" applyProtection="1">
      <alignment vertical="center"/>
    </xf>
    <xf numFmtId="0" fontId="69" fillId="3" borderId="20" xfId="41" applyNumberFormat="1" applyFont="1" applyFill="1" applyBorder="1" applyAlignment="1" applyProtection="1">
      <alignment horizontal="center" vertical="center"/>
    </xf>
    <xf numFmtId="4" fontId="69" fillId="3" borderId="20" xfId="41" applyNumberFormat="1" applyFont="1" applyFill="1" applyBorder="1" applyAlignment="1" applyProtection="1">
      <alignment horizontal="right" vertical="center"/>
    </xf>
    <xf numFmtId="0" fontId="62" fillId="0" borderId="20" xfId="3" applyFont="1" applyFill="1" applyBorder="1" applyAlignment="1">
      <alignment horizontal="center" vertical="center"/>
    </xf>
    <xf numFmtId="0" fontId="62" fillId="0" borderId="20" xfId="3" applyFont="1" applyFill="1" applyBorder="1" applyAlignment="1">
      <alignment vertical="center"/>
    </xf>
    <xf numFmtId="0" fontId="204" fillId="0" borderId="20" xfId="41" applyNumberFormat="1" applyFont="1" applyFill="1" applyBorder="1" applyAlignment="1" applyProtection="1">
      <alignment horizontal="center" vertical="center" wrapText="1"/>
    </xf>
    <xf numFmtId="2" fontId="204" fillId="0" borderId="20" xfId="41" applyNumberFormat="1" applyFont="1" applyFill="1" applyBorder="1" applyAlignment="1">
      <alignment horizontal="center" vertical="center" wrapText="1"/>
    </xf>
    <xf numFmtId="4" fontId="62" fillId="0" borderId="20" xfId="41" applyNumberFormat="1" applyFont="1" applyFill="1" applyBorder="1" applyAlignment="1" applyProtection="1">
      <alignment horizontal="right" vertical="center"/>
    </xf>
    <xf numFmtId="2" fontId="62" fillId="0" borderId="20" xfId="41" applyNumberFormat="1" applyFont="1" applyFill="1" applyBorder="1" applyAlignment="1">
      <alignment horizontal="center" vertical="center" wrapText="1"/>
    </xf>
    <xf numFmtId="1" fontId="62" fillId="0" borderId="20" xfId="41" applyNumberFormat="1" applyFont="1" applyFill="1" applyBorder="1" applyAlignment="1">
      <alignment horizontal="center" vertical="center" wrapText="1"/>
    </xf>
    <xf numFmtId="2" fontId="62" fillId="2" borderId="20" xfId="0" applyNumberFormat="1" applyFont="1" applyFill="1" applyBorder="1" applyAlignment="1">
      <alignment horizontal="center" vertical="center"/>
    </xf>
    <xf numFmtId="1" fontId="62" fillId="2" borderId="20" xfId="41" applyNumberFormat="1" applyFont="1" applyFill="1" applyBorder="1" applyAlignment="1">
      <alignment horizontal="center" vertical="center" wrapText="1"/>
    </xf>
    <xf numFmtId="0" fontId="9" fillId="2" borderId="133" xfId="0" applyFont="1" applyFill="1" applyBorder="1" applyAlignment="1">
      <alignment horizontal="center" vertical="center" wrapText="1"/>
    </xf>
    <xf numFmtId="4" fontId="67" fillId="2" borderId="0" xfId="188" applyNumberFormat="1" applyFont="1" applyFill="1" applyBorder="1" applyAlignment="1">
      <alignment horizontal="left" vertical="center" wrapText="1"/>
    </xf>
    <xf numFmtId="4" fontId="149" fillId="2" borderId="133" xfId="45" applyNumberFormat="1" applyFont="1" applyFill="1" applyBorder="1" applyAlignment="1">
      <alignment horizontal="center" vertical="center" wrapText="1"/>
    </xf>
    <xf numFmtId="176" fontId="100" fillId="2" borderId="133" xfId="48" applyNumberFormat="1" applyFont="1" applyFill="1" applyBorder="1" applyAlignment="1">
      <alignment horizontal="center" vertical="center" wrapText="1"/>
    </xf>
    <xf numFmtId="2" fontId="227" fillId="2" borderId="133" xfId="47" applyNumberFormat="1" applyFont="1" applyFill="1" applyBorder="1" applyAlignment="1">
      <alignment horizontal="center" vertical="center" wrapText="1"/>
    </xf>
    <xf numFmtId="0" fontId="101" fillId="120" borderId="133" xfId="46" applyFont="1" applyFill="1" applyBorder="1" applyAlignment="1">
      <alignment horizontal="center" vertical="center" wrapText="1"/>
    </xf>
    <xf numFmtId="9" fontId="101" fillId="120" borderId="133" xfId="46" applyNumberFormat="1" applyFont="1" applyFill="1" applyBorder="1" applyAlignment="1">
      <alignment horizontal="center" vertical="center" wrapText="1"/>
    </xf>
    <xf numFmtId="0" fontId="101" fillId="120" borderId="133" xfId="46" applyFont="1" applyFill="1" applyBorder="1" applyAlignment="1">
      <alignment horizontal="left" vertical="center" wrapText="1"/>
    </xf>
    <xf numFmtId="169" fontId="101" fillId="120" borderId="133" xfId="55" applyNumberFormat="1" applyFont="1" applyFill="1" applyBorder="1" applyAlignment="1">
      <alignment horizontal="center" vertical="center" wrapText="1"/>
    </xf>
    <xf numFmtId="169" fontId="101" fillId="120" borderId="133" xfId="55" applyFont="1" applyFill="1" applyBorder="1" applyAlignment="1">
      <alignment horizontal="right" vertical="center" wrapText="1"/>
    </xf>
    <xf numFmtId="169" fontId="101" fillId="120" borderId="133" xfId="55" applyFont="1" applyFill="1" applyBorder="1" applyAlignment="1">
      <alignment horizontal="right" vertical="center"/>
    </xf>
    <xf numFmtId="0" fontId="101" fillId="120" borderId="133" xfId="46" applyFont="1" applyFill="1" applyBorder="1" applyAlignment="1">
      <alignment horizontal="center" vertical="center"/>
    </xf>
    <xf numFmtId="0" fontId="101" fillId="120" borderId="133" xfId="46" applyFont="1" applyFill="1" applyBorder="1" applyAlignment="1">
      <alignment vertical="center"/>
    </xf>
    <xf numFmtId="3" fontId="101" fillId="120" borderId="133" xfId="46" applyNumberFormat="1" applyFont="1" applyFill="1" applyBorder="1" applyAlignment="1">
      <alignment vertical="center"/>
    </xf>
    <xf numFmtId="4" fontId="101" fillId="120" borderId="133" xfId="46" applyNumberFormat="1" applyFont="1" applyFill="1" applyBorder="1" applyAlignment="1">
      <alignment vertical="center"/>
    </xf>
    <xf numFmtId="10" fontId="101" fillId="120" borderId="133" xfId="57" applyNumberFormat="1" applyFont="1" applyFill="1" applyBorder="1" applyAlignment="1">
      <alignment vertical="center"/>
    </xf>
    <xf numFmtId="169" fontId="67" fillId="2" borderId="133" xfId="47" applyNumberFormat="1" applyFont="1" applyFill="1" applyBorder="1" applyAlignment="1">
      <alignment horizontal="center" vertical="center"/>
    </xf>
    <xf numFmtId="169" fontId="68" fillId="2" borderId="133" xfId="47" applyNumberFormat="1" applyFont="1" applyFill="1" applyBorder="1" applyAlignment="1">
      <alignment horizontal="center" vertical="center"/>
    </xf>
    <xf numFmtId="169" fontId="68" fillId="27" borderId="133" xfId="47" applyNumberFormat="1" applyFont="1" applyFill="1" applyBorder="1" applyAlignment="1">
      <alignment horizontal="center" vertical="center"/>
    </xf>
    <xf numFmtId="0" fontId="101" fillId="37" borderId="133" xfId="46" applyFont="1" applyFill="1" applyBorder="1" applyAlignment="1">
      <alignment horizontal="center" vertical="center" wrapText="1"/>
    </xf>
    <xf numFmtId="9" fontId="101" fillId="37" borderId="133" xfId="46" applyNumberFormat="1" applyFont="1" applyFill="1" applyBorder="1" applyAlignment="1">
      <alignment horizontal="center" vertical="center" wrapText="1"/>
    </xf>
    <xf numFmtId="0" fontId="101" fillId="37" borderId="133" xfId="46" applyFont="1" applyFill="1" applyBorder="1" applyAlignment="1">
      <alignment horizontal="left" vertical="center" wrapText="1"/>
    </xf>
    <xf numFmtId="169" fontId="101" fillId="37" borderId="133" xfId="55" applyNumberFormat="1" applyFont="1" applyFill="1" applyBorder="1" applyAlignment="1">
      <alignment horizontal="center" vertical="center" wrapText="1"/>
    </xf>
    <xf numFmtId="169" fontId="101" fillId="37" borderId="133" xfId="55" applyFont="1" applyFill="1" applyBorder="1" applyAlignment="1">
      <alignment horizontal="right" vertical="center" wrapText="1"/>
    </xf>
    <xf numFmtId="169" fontId="101" fillId="37" borderId="133" xfId="55" applyFont="1" applyFill="1" applyBorder="1" applyAlignment="1">
      <alignment horizontal="right" vertical="center"/>
    </xf>
    <xf numFmtId="0" fontId="101" fillId="37" borderId="133" xfId="46" applyFont="1" applyFill="1" applyBorder="1" applyAlignment="1">
      <alignment horizontal="center" vertical="center"/>
    </xf>
    <xf numFmtId="0" fontId="101" fillId="37" borderId="133" xfId="46" applyFont="1" applyFill="1" applyBorder="1" applyAlignment="1">
      <alignment vertical="center"/>
    </xf>
    <xf numFmtId="3" fontId="101" fillId="37" borderId="133" xfId="46" applyNumberFormat="1" applyFont="1" applyFill="1" applyBorder="1" applyAlignment="1">
      <alignment vertical="center"/>
    </xf>
    <xf numFmtId="4" fontId="101" fillId="37" borderId="133" xfId="46" applyNumberFormat="1" applyFont="1" applyFill="1" applyBorder="1" applyAlignment="1">
      <alignment vertical="center"/>
    </xf>
    <xf numFmtId="10" fontId="101" fillId="37" borderId="133" xfId="57" applyNumberFormat="1" applyFont="1" applyFill="1" applyBorder="1" applyAlignment="1">
      <alignment vertical="center"/>
    </xf>
    <xf numFmtId="169" fontId="99" fillId="27" borderId="133" xfId="47" applyNumberFormat="1" applyFont="1" applyFill="1" applyBorder="1" applyAlignment="1">
      <alignment horizontal="center" vertical="center"/>
    </xf>
    <xf numFmtId="0" fontId="101" fillId="0" borderId="133" xfId="46" applyFont="1" applyFill="1" applyBorder="1" applyAlignment="1">
      <alignment horizontal="left" vertical="center" wrapText="1"/>
    </xf>
    <xf numFmtId="0" fontId="101" fillId="0" borderId="133" xfId="46" applyFont="1" applyFill="1" applyBorder="1" applyAlignment="1">
      <alignment horizontal="center" vertical="center" wrapText="1"/>
    </xf>
    <xf numFmtId="169" fontId="101" fillId="0" borderId="133" xfId="55" applyNumberFormat="1" applyFont="1" applyFill="1" applyBorder="1" applyAlignment="1">
      <alignment horizontal="center" vertical="center" wrapText="1"/>
    </xf>
    <xf numFmtId="169" fontId="101" fillId="0" borderId="133" xfId="55" applyFont="1" applyFill="1" applyBorder="1" applyAlignment="1">
      <alignment horizontal="right" vertical="center" wrapText="1"/>
    </xf>
    <xf numFmtId="169" fontId="101" fillId="0" borderId="133" xfId="55" applyFont="1" applyFill="1" applyBorder="1" applyAlignment="1">
      <alignment horizontal="right" vertical="center"/>
    </xf>
    <xf numFmtId="0" fontId="101" fillId="0" borderId="133" xfId="46" applyFont="1" applyFill="1" applyBorder="1" applyAlignment="1">
      <alignment vertical="center" wrapText="1"/>
    </xf>
    <xf numFmtId="0" fontId="101" fillId="0" borderId="133" xfId="46" applyFont="1" applyFill="1" applyBorder="1" applyAlignment="1">
      <alignment vertical="center"/>
    </xf>
    <xf numFmtId="3" fontId="101" fillId="0" borderId="133" xfId="46" applyNumberFormat="1" applyFont="1" applyFill="1" applyBorder="1" applyAlignment="1">
      <alignment vertical="center"/>
    </xf>
    <xf numFmtId="0" fontId="68" fillId="0" borderId="133" xfId="46" applyFont="1" applyFill="1" applyBorder="1" applyAlignment="1">
      <alignment vertical="center"/>
    </xf>
    <xf numFmtId="0" fontId="68" fillId="0" borderId="133" xfId="46" applyFont="1" applyFill="1" applyBorder="1" applyAlignment="1">
      <alignment horizontal="center" vertical="center" wrapText="1"/>
    </xf>
    <xf numFmtId="0" fontId="68" fillId="0" borderId="133" xfId="46" applyFont="1" applyFill="1" applyBorder="1" applyAlignment="1">
      <alignment horizontal="center" vertical="center"/>
    </xf>
    <xf numFmtId="169" fontId="68" fillId="0" borderId="133" xfId="38" applyNumberFormat="1" applyFont="1" applyFill="1" applyBorder="1" applyAlignment="1">
      <alignment horizontal="center" vertical="center"/>
    </xf>
    <xf numFmtId="169" fontId="68" fillId="0" borderId="133" xfId="56" applyFont="1" applyFill="1" applyBorder="1" applyAlignment="1">
      <alignment horizontal="right" vertical="center"/>
    </xf>
    <xf numFmtId="169" fontId="68" fillId="0" borderId="133" xfId="56" applyFont="1" applyFill="1" applyBorder="1" applyAlignment="1">
      <alignment horizontal="right" vertical="center" wrapText="1"/>
    </xf>
    <xf numFmtId="0" fontId="99" fillId="0" borderId="133" xfId="46" applyFont="1" applyFill="1" applyBorder="1" applyAlignment="1">
      <alignment vertical="center"/>
    </xf>
    <xf numFmtId="176" fontId="99" fillId="0" borderId="133" xfId="46" applyNumberFormat="1" applyFont="1" applyFill="1" applyBorder="1" applyAlignment="1">
      <alignment vertical="center"/>
    </xf>
    <xf numFmtId="169" fontId="68" fillId="0" borderId="133" xfId="55" applyFont="1" applyFill="1" applyBorder="1" applyAlignment="1">
      <alignment horizontal="right" vertical="center"/>
    </xf>
    <xf numFmtId="0" fontId="80" fillId="0" borderId="133" xfId="46" applyFont="1" applyFill="1" applyBorder="1" applyAlignment="1">
      <alignment horizontal="center" vertical="center" wrapText="1"/>
    </xf>
    <xf numFmtId="0" fontId="2" fillId="0" borderId="133" xfId="46" applyFont="1" applyFill="1" applyBorder="1" applyAlignment="1">
      <alignment horizontal="center" vertical="center"/>
    </xf>
    <xf numFmtId="169" fontId="84" fillId="0" borderId="133" xfId="38" applyNumberFormat="1" applyFont="1" applyFill="1" applyBorder="1" applyAlignment="1">
      <alignment horizontal="center" vertical="center"/>
    </xf>
    <xf numFmtId="169" fontId="68" fillId="0" borderId="133" xfId="55" applyFont="1" applyFill="1" applyBorder="1" applyAlignment="1">
      <alignment horizontal="right" vertical="center" wrapText="1"/>
    </xf>
    <xf numFmtId="176" fontId="68" fillId="0" borderId="133" xfId="46" applyNumberFormat="1" applyFont="1" applyFill="1" applyBorder="1" applyAlignment="1">
      <alignment vertical="center"/>
    </xf>
    <xf numFmtId="0" fontId="2" fillId="0" borderId="133" xfId="46" applyFont="1" applyFill="1" applyBorder="1" applyAlignment="1">
      <alignment vertical="center" wrapText="1"/>
    </xf>
    <xf numFmtId="169" fontId="2" fillId="0" borderId="133" xfId="38" applyNumberFormat="1" applyFont="1" applyFill="1" applyBorder="1" applyAlignment="1">
      <alignment horizontal="center" vertical="center" wrapText="1"/>
    </xf>
    <xf numFmtId="0" fontId="2" fillId="0" borderId="133" xfId="46" applyFont="1" applyFill="1" applyBorder="1" applyAlignment="1">
      <alignment vertical="center"/>
    </xf>
    <xf numFmtId="169" fontId="2" fillId="0" borderId="133" xfId="38" applyNumberFormat="1" applyFont="1" applyFill="1" applyBorder="1" applyAlignment="1">
      <alignment horizontal="center" vertical="center"/>
    </xf>
    <xf numFmtId="0" fontId="85" fillId="0" borderId="133" xfId="46" applyFont="1" applyFill="1" applyBorder="1" applyAlignment="1">
      <alignment vertical="center"/>
    </xf>
    <xf numFmtId="0" fontId="101" fillId="10" borderId="133" xfId="46" applyFont="1" applyFill="1" applyBorder="1" applyAlignment="1">
      <alignment horizontal="left" vertical="center" wrapText="1"/>
    </xf>
    <xf numFmtId="0" fontId="101" fillId="10" borderId="133" xfId="46" applyFont="1" applyFill="1" applyBorder="1" applyAlignment="1">
      <alignment horizontal="center" vertical="center" wrapText="1"/>
    </xf>
    <xf numFmtId="0" fontId="226" fillId="10" borderId="133" xfId="46" applyFont="1" applyFill="1" applyBorder="1" applyAlignment="1">
      <alignment horizontal="center" vertical="center" wrapText="1"/>
    </xf>
    <xf numFmtId="169" fontId="101" fillId="10" borderId="133" xfId="55" applyNumberFormat="1" applyFont="1" applyFill="1" applyBorder="1" applyAlignment="1">
      <alignment horizontal="center" vertical="center" wrapText="1"/>
    </xf>
    <xf numFmtId="169" fontId="101" fillId="10" borderId="133" xfId="55" applyFont="1" applyFill="1" applyBorder="1" applyAlignment="1">
      <alignment horizontal="right" vertical="center" wrapText="1"/>
    </xf>
    <xf numFmtId="169" fontId="101" fillId="10" borderId="133" xfId="55" applyFont="1" applyFill="1" applyBorder="1" applyAlignment="1">
      <alignment horizontal="right" vertical="center"/>
    </xf>
    <xf numFmtId="0" fontId="101" fillId="10" borderId="133" xfId="46" applyFont="1" applyFill="1" applyBorder="1" applyAlignment="1">
      <alignment vertical="center" wrapText="1"/>
    </xf>
    <xf numFmtId="0" fontId="101" fillId="10" borderId="133" xfId="46" applyFont="1" applyFill="1" applyBorder="1" applyAlignment="1">
      <alignment vertical="center"/>
    </xf>
    <xf numFmtId="3" fontId="101" fillId="10" borderId="133" xfId="46" applyNumberFormat="1" applyFont="1" applyFill="1" applyBorder="1" applyAlignment="1">
      <alignment vertical="center"/>
    </xf>
    <xf numFmtId="0" fontId="68" fillId="10" borderId="133" xfId="46" applyFont="1" applyFill="1" applyBorder="1" applyAlignment="1">
      <alignment vertical="center"/>
    </xf>
    <xf numFmtId="0" fontId="99" fillId="10" borderId="133" xfId="46" applyFont="1" applyFill="1" applyBorder="1" applyAlignment="1">
      <alignment horizontal="center" vertical="center" wrapText="1"/>
    </xf>
    <xf numFmtId="0" fontId="228" fillId="10" borderId="133" xfId="46" applyFont="1" applyFill="1" applyBorder="1" applyAlignment="1">
      <alignment horizontal="center" vertical="center"/>
    </xf>
    <xf numFmtId="169" fontId="68" fillId="10" borderId="133" xfId="47" applyNumberFormat="1" applyFont="1" applyFill="1" applyBorder="1" applyAlignment="1">
      <alignment horizontal="center" vertical="center"/>
    </xf>
    <xf numFmtId="169" fontId="68" fillId="10" borderId="133" xfId="55" applyFont="1" applyFill="1" applyBorder="1" applyAlignment="1">
      <alignment horizontal="right" vertical="center"/>
    </xf>
    <xf numFmtId="169" fontId="99" fillId="10" borderId="133" xfId="55" applyFont="1" applyFill="1" applyBorder="1" applyAlignment="1">
      <alignment horizontal="right" vertical="center" wrapText="1"/>
    </xf>
    <xf numFmtId="0" fontId="99" fillId="10" borderId="133" xfId="46" applyFont="1" applyFill="1" applyBorder="1" applyAlignment="1">
      <alignment horizontal="center" vertical="center"/>
    </xf>
    <xf numFmtId="0" fontId="99" fillId="10" borderId="133" xfId="46" applyFont="1" applyFill="1" applyBorder="1" applyAlignment="1">
      <alignment vertical="center"/>
    </xf>
    <xf numFmtId="176" fontId="99" fillId="10" borderId="133" xfId="46" applyNumberFormat="1" applyFont="1" applyFill="1" applyBorder="1" applyAlignment="1">
      <alignment vertical="center"/>
    </xf>
    <xf numFmtId="0" fontId="68" fillId="10" borderId="133" xfId="46" applyFont="1" applyFill="1" applyBorder="1" applyAlignment="1">
      <alignment horizontal="center" vertical="center"/>
    </xf>
    <xf numFmtId="0" fontId="80" fillId="10" borderId="133" xfId="46" applyFont="1" applyFill="1" applyBorder="1" applyAlignment="1">
      <alignment horizontal="center" vertical="center" wrapText="1"/>
    </xf>
    <xf numFmtId="0" fontId="2" fillId="10" borderId="133" xfId="46" applyFont="1" applyFill="1" applyBorder="1" applyAlignment="1">
      <alignment horizontal="center" vertical="center"/>
    </xf>
    <xf numFmtId="169" fontId="2" fillId="10" borderId="133" xfId="38" applyNumberFormat="1" applyFont="1" applyFill="1" applyBorder="1" applyAlignment="1">
      <alignment horizontal="center" vertical="center"/>
    </xf>
    <xf numFmtId="169" fontId="68" fillId="10" borderId="133" xfId="56" applyFont="1" applyFill="1" applyBorder="1" applyAlignment="1">
      <alignment horizontal="right" vertical="center"/>
    </xf>
    <xf numFmtId="169" fontId="68" fillId="10" borderId="133" xfId="56" applyFont="1" applyFill="1" applyBorder="1" applyAlignment="1">
      <alignment horizontal="right" vertical="center" wrapText="1"/>
    </xf>
    <xf numFmtId="43" fontId="68" fillId="10" borderId="133" xfId="46" applyNumberFormat="1" applyFont="1" applyFill="1" applyBorder="1" applyAlignment="1">
      <alignment vertical="center"/>
    </xf>
    <xf numFmtId="3" fontId="68" fillId="10" borderId="133" xfId="46" applyNumberFormat="1" applyFont="1" applyFill="1" applyBorder="1" applyAlignment="1">
      <alignment vertical="center"/>
    </xf>
    <xf numFmtId="0" fontId="2" fillId="10" borderId="133" xfId="46" applyFont="1" applyFill="1" applyBorder="1" applyAlignment="1">
      <alignment vertical="center" wrapText="1"/>
    </xf>
    <xf numFmtId="169" fontId="68" fillId="10" borderId="133" xfId="55" applyFont="1" applyFill="1" applyBorder="1" applyAlignment="1">
      <alignment horizontal="right" vertical="center" wrapText="1"/>
    </xf>
    <xf numFmtId="0" fontId="2" fillId="10" borderId="133" xfId="46" applyFont="1" applyFill="1" applyBorder="1" applyAlignment="1">
      <alignment vertical="center"/>
    </xf>
    <xf numFmtId="169" fontId="84" fillId="10" borderId="133" xfId="38" applyNumberFormat="1" applyFont="1" applyFill="1" applyBorder="1" applyAlignment="1">
      <alignment horizontal="center" vertical="center"/>
    </xf>
    <xf numFmtId="169" fontId="2" fillId="10" borderId="133" xfId="38" applyNumberFormat="1" applyFont="1" applyFill="1" applyBorder="1" applyAlignment="1">
      <alignment horizontal="center" vertical="center" wrapText="1"/>
    </xf>
    <xf numFmtId="176" fontId="68" fillId="10" borderId="133" xfId="46" applyNumberFormat="1" applyFont="1" applyFill="1" applyBorder="1" applyAlignment="1">
      <alignment vertical="center"/>
    </xf>
    <xf numFmtId="0" fontId="85" fillId="10" borderId="133" xfId="46" applyFont="1" applyFill="1" applyBorder="1" applyAlignment="1">
      <alignment vertical="center"/>
    </xf>
    <xf numFmtId="39" fontId="99" fillId="2" borderId="133" xfId="32" applyNumberFormat="1" applyFont="1" applyFill="1" applyBorder="1" applyAlignment="1">
      <alignment horizontal="center" vertical="center"/>
    </xf>
    <xf numFmtId="169" fontId="68" fillId="10" borderId="133" xfId="46" applyNumberFormat="1" applyFont="1" applyFill="1" applyBorder="1" applyAlignment="1">
      <alignment vertical="center"/>
    </xf>
    <xf numFmtId="0" fontId="180" fillId="2" borderId="0" xfId="0" applyFont="1" applyFill="1" applyAlignment="1">
      <alignment vertical="center"/>
    </xf>
    <xf numFmtId="0" fontId="180" fillId="2" borderId="0" xfId="0" applyFont="1" applyFill="1" applyAlignment="1">
      <alignment horizontal="left" vertical="center" wrapText="1"/>
    </xf>
    <xf numFmtId="0" fontId="89" fillId="2" borderId="0" xfId="0" applyFont="1" applyFill="1" applyBorder="1" applyAlignment="1">
      <alignment horizontal="center" vertical="center"/>
    </xf>
    <xf numFmtId="0" fontId="173" fillId="0" borderId="21" xfId="0" applyFont="1" applyFill="1" applyBorder="1" applyAlignment="1">
      <alignment horizontal="left" vertical="center" wrapText="1"/>
    </xf>
    <xf numFmtId="0" fontId="173" fillId="0" borderId="20" xfId="0" applyFont="1" applyFill="1" applyBorder="1" applyAlignment="1">
      <alignment horizontal="left" vertical="center" wrapText="1"/>
    </xf>
    <xf numFmtId="3" fontId="173" fillId="0" borderId="20" xfId="0" applyNumberFormat="1" applyFont="1" applyFill="1" applyBorder="1" applyAlignment="1">
      <alignment horizontal="center" vertical="center" wrapText="1"/>
    </xf>
    <xf numFmtId="0" fontId="169" fillId="2" borderId="154" xfId="0" applyFont="1" applyFill="1" applyBorder="1" applyAlignment="1">
      <alignment horizontal="center" vertical="center"/>
    </xf>
    <xf numFmtId="4" fontId="181" fillId="2" borderId="0" xfId="0" applyNumberFormat="1" applyFont="1" applyFill="1" applyBorder="1" applyAlignment="1">
      <alignment horizontal="right" vertical="center" wrapText="1"/>
    </xf>
    <xf numFmtId="0" fontId="169" fillId="2" borderId="20" xfId="0" applyFont="1" applyFill="1" applyBorder="1" applyAlignment="1">
      <alignment horizontal="left" vertical="center" wrapText="1"/>
    </xf>
    <xf numFmtId="0" fontId="169" fillId="0" borderId="20" xfId="0" applyFont="1" applyFill="1" applyBorder="1" applyAlignment="1">
      <alignment horizontal="center" vertical="center"/>
    </xf>
    <xf numFmtId="0" fontId="169" fillId="2" borderId="20" xfId="0" applyFont="1" applyFill="1" applyBorder="1" applyAlignment="1">
      <alignment horizontal="left" vertical="center"/>
    </xf>
    <xf numFmtId="0" fontId="180" fillId="2" borderId="0" xfId="0" applyFont="1" applyFill="1" applyAlignment="1">
      <alignment horizontal="left" vertical="center"/>
    </xf>
    <xf numFmtId="0" fontId="169" fillId="2" borderId="0" xfId="0" applyFont="1" applyFill="1" applyAlignment="1">
      <alignment horizontal="left" vertical="center"/>
    </xf>
    <xf numFmtId="0" fontId="173" fillId="2" borderId="21" xfId="0" applyFont="1" applyFill="1" applyBorder="1" applyAlignment="1">
      <alignment horizontal="left" vertical="center" wrapText="1"/>
    </xf>
    <xf numFmtId="0" fontId="173" fillId="2" borderId="20" xfId="0" applyFont="1" applyFill="1" applyBorder="1" applyAlignment="1">
      <alignment horizontal="left" vertical="center" wrapText="1"/>
    </xf>
    <xf numFmtId="0" fontId="169" fillId="2" borderId="20" xfId="0" applyFont="1" applyFill="1" applyBorder="1" applyAlignment="1">
      <alignment horizontal="center" vertical="center"/>
    </xf>
    <xf numFmtId="3" fontId="173" fillId="2" borderId="20" xfId="0" applyNumberFormat="1" applyFont="1" applyFill="1" applyBorder="1" applyAlignment="1">
      <alignment horizontal="center" vertical="center" wrapText="1"/>
    </xf>
    <xf numFmtId="4" fontId="173" fillId="2" borderId="20" xfId="0" applyNumberFormat="1" applyFont="1" applyFill="1" applyBorder="1" applyAlignment="1">
      <alignment horizontal="center" vertical="center" wrapText="1"/>
    </xf>
    <xf numFmtId="4" fontId="169" fillId="2" borderId="20" xfId="0" applyNumberFormat="1" applyFont="1" applyFill="1" applyBorder="1" applyAlignment="1">
      <alignment horizontal="center" vertical="center" wrapText="1"/>
    </xf>
    <xf numFmtId="3" fontId="172" fillId="2" borderId="20" xfId="0" applyNumberFormat="1" applyFont="1" applyFill="1" applyBorder="1" applyAlignment="1">
      <alignment horizontal="center" vertical="center" wrapText="1"/>
    </xf>
    <xf numFmtId="3" fontId="169" fillId="2" borderId="20" xfId="0" applyNumberFormat="1" applyFont="1" applyFill="1" applyBorder="1" applyAlignment="1">
      <alignment horizontal="center" vertical="center" wrapText="1"/>
    </xf>
    <xf numFmtId="0" fontId="182" fillId="2" borderId="20" xfId="0" applyFont="1" applyFill="1" applyBorder="1" applyAlignment="1">
      <alignment horizontal="left" vertical="center" wrapText="1"/>
    </xf>
    <xf numFmtId="3" fontId="183" fillId="2" borderId="20" xfId="0" applyNumberFormat="1" applyFont="1" applyFill="1" applyBorder="1" applyAlignment="1">
      <alignment horizontal="center" vertical="center" wrapText="1"/>
    </xf>
    <xf numFmtId="0" fontId="172" fillId="2" borderId="153" xfId="0" applyFont="1" applyFill="1" applyBorder="1" applyAlignment="1">
      <alignment horizontal="center" vertical="center" wrapText="1"/>
    </xf>
    <xf numFmtId="0" fontId="172" fillId="2" borderId="0" xfId="0" applyFont="1" applyFill="1" applyBorder="1" applyAlignment="1">
      <alignment horizontal="center" vertical="center" wrapText="1"/>
    </xf>
    <xf numFmtId="0" fontId="172" fillId="2" borderId="0" xfId="0" applyFont="1" applyFill="1" applyBorder="1" applyAlignment="1">
      <alignment horizontal="left" vertical="center" wrapText="1"/>
    </xf>
    <xf numFmtId="0" fontId="169" fillId="2" borderId="0" xfId="0" applyFont="1" applyFill="1" applyBorder="1" applyAlignment="1">
      <alignment horizontal="left" vertical="center"/>
    </xf>
    <xf numFmtId="0" fontId="180" fillId="2" borderId="0" xfId="0" applyFont="1" applyFill="1" applyBorder="1" applyAlignment="1">
      <alignment vertical="center"/>
    </xf>
    <xf numFmtId="0" fontId="185" fillId="2" borderId="0" xfId="0" applyFont="1" applyFill="1" applyAlignment="1">
      <alignment horizontal="left" vertical="center"/>
    </xf>
    <xf numFmtId="0" fontId="237" fillId="2" borderId="0" xfId="0" applyFont="1" applyFill="1" applyAlignment="1">
      <alignment vertical="center"/>
    </xf>
    <xf numFmtId="0" fontId="181" fillId="2" borderId="20" xfId="0" applyFont="1" applyFill="1" applyBorder="1" applyAlignment="1">
      <alignment horizontal="left" vertical="center" wrapText="1"/>
    </xf>
    <xf numFmtId="0" fontId="181" fillId="2" borderId="0" xfId="0" applyFont="1" applyFill="1" applyBorder="1" applyAlignment="1">
      <alignment horizontal="left" vertical="center" wrapText="1"/>
    </xf>
    <xf numFmtId="3" fontId="173" fillId="2" borderId="0" xfId="0" applyNumberFormat="1" applyFont="1" applyFill="1" applyBorder="1" applyAlignment="1">
      <alignment horizontal="center" vertical="center" wrapText="1"/>
    </xf>
    <xf numFmtId="0" fontId="172" fillId="2" borderId="21" xfId="0" applyFont="1" applyFill="1" applyBorder="1" applyAlignment="1">
      <alignment horizontal="center" vertical="center" wrapText="1"/>
    </xf>
    <xf numFmtId="4" fontId="173" fillId="2" borderId="21" xfId="0" applyNumberFormat="1" applyFont="1" applyFill="1" applyBorder="1" applyAlignment="1">
      <alignment horizontal="center" vertical="center" wrapText="1"/>
    </xf>
    <xf numFmtId="2" fontId="172" fillId="2" borderId="21" xfId="0" applyNumberFormat="1" applyFont="1" applyFill="1" applyBorder="1" applyAlignment="1">
      <alignment horizontal="center" vertical="center" wrapText="1"/>
    </xf>
    <xf numFmtId="2" fontId="172" fillId="2" borderId="20" xfId="0" applyNumberFormat="1" applyFont="1" applyFill="1" applyBorder="1" applyAlignment="1">
      <alignment horizontal="center" vertical="center" wrapText="1"/>
    </xf>
    <xf numFmtId="0" fontId="172" fillId="2" borderId="105" xfId="0" applyFont="1" applyFill="1" applyBorder="1" applyAlignment="1">
      <alignment horizontal="center" vertical="center" wrapText="1"/>
    </xf>
    <xf numFmtId="3" fontId="173" fillId="2" borderId="21" xfId="0" applyNumberFormat="1" applyFont="1" applyFill="1" applyBorder="1" applyAlignment="1">
      <alignment horizontal="center" vertical="center" wrapText="1"/>
    </xf>
    <xf numFmtId="0" fontId="173" fillId="2" borderId="21" xfId="0" applyFont="1" applyFill="1" applyBorder="1" applyAlignment="1">
      <alignment horizontal="center" vertical="center" wrapText="1"/>
    </xf>
    <xf numFmtId="2" fontId="169" fillId="2" borderId="21" xfId="0" applyNumberFormat="1" applyFont="1" applyFill="1" applyBorder="1" applyAlignment="1">
      <alignment horizontal="center" vertical="center"/>
    </xf>
    <xf numFmtId="0" fontId="173" fillId="2" borderId="20" xfId="0" applyFont="1" applyFill="1" applyBorder="1" applyAlignment="1">
      <alignment horizontal="center" vertical="center" wrapText="1"/>
    </xf>
    <xf numFmtId="2" fontId="169" fillId="2" borderId="20" xfId="0" applyNumberFormat="1" applyFont="1" applyFill="1" applyBorder="1" applyAlignment="1">
      <alignment horizontal="center" vertical="center"/>
    </xf>
    <xf numFmtId="0" fontId="169" fillId="2" borderId="21" xfId="0" applyFont="1" applyFill="1" applyBorder="1" applyAlignment="1">
      <alignment horizontal="left" vertical="center" wrapText="1"/>
    </xf>
    <xf numFmtId="4" fontId="173" fillId="2" borderId="299" xfId="0" applyNumberFormat="1" applyFont="1" applyFill="1" applyBorder="1" applyAlignment="1">
      <alignment horizontal="center" vertical="center" wrapText="1"/>
    </xf>
    <xf numFmtId="0" fontId="169" fillId="2" borderId="21" xfId="0" applyFont="1" applyFill="1" applyBorder="1" applyAlignment="1">
      <alignment horizontal="center" vertical="center"/>
    </xf>
    <xf numFmtId="4" fontId="181" fillId="2" borderId="0" xfId="0" applyNumberFormat="1" applyFont="1" applyFill="1" applyBorder="1" applyAlignment="1">
      <alignment horizontal="center" vertical="center" wrapText="1"/>
    </xf>
    <xf numFmtId="2" fontId="171" fillId="2" borderId="154" xfId="0" applyNumberFormat="1" applyFont="1" applyFill="1" applyBorder="1" applyAlignment="1">
      <alignment horizontal="center" vertical="center"/>
    </xf>
    <xf numFmtId="3" fontId="185" fillId="2" borderId="0" xfId="0" applyNumberFormat="1" applyFont="1" applyFill="1" applyBorder="1" applyAlignment="1">
      <alignment horizontal="center" vertical="center" wrapText="1"/>
    </xf>
    <xf numFmtId="0" fontId="169" fillId="2" borderId="0" xfId="0" applyFont="1" applyFill="1" applyBorder="1" applyAlignment="1">
      <alignment horizontal="left" vertical="center" wrapText="1"/>
    </xf>
    <xf numFmtId="0" fontId="184" fillId="2" borderId="0" xfId="0" applyFont="1" applyFill="1" applyAlignment="1">
      <alignment vertical="center"/>
    </xf>
    <xf numFmtId="2" fontId="169" fillId="2" borderId="154" xfId="0" applyNumberFormat="1" applyFont="1" applyFill="1" applyBorder="1" applyAlignment="1">
      <alignment vertical="center"/>
    </xf>
    <xf numFmtId="4" fontId="169" fillId="2" borderId="20" xfId="0" applyNumberFormat="1" applyFont="1" applyFill="1" applyBorder="1" applyAlignment="1">
      <alignment vertical="center"/>
    </xf>
    <xf numFmtId="2" fontId="169" fillId="2" borderId="20" xfId="0" applyNumberFormat="1" applyFont="1" applyFill="1" applyBorder="1" applyAlignment="1">
      <alignment vertical="center"/>
    </xf>
    <xf numFmtId="0" fontId="180" fillId="2" borderId="154" xfId="0" applyFont="1" applyFill="1" applyBorder="1" applyAlignment="1">
      <alignment vertical="center"/>
    </xf>
    <xf numFmtId="0" fontId="180" fillId="2" borderId="153" xfId="0" applyFont="1" applyFill="1" applyBorder="1" applyAlignment="1">
      <alignment vertical="center"/>
    </xf>
    <xf numFmtId="0" fontId="180" fillId="2" borderId="0" xfId="0" applyFont="1" applyFill="1" applyBorder="1" applyAlignment="1">
      <alignment horizontal="center" vertical="center"/>
    </xf>
    <xf numFmtId="0" fontId="180" fillId="2" borderId="0" xfId="0" applyFont="1" applyFill="1" applyBorder="1" applyAlignment="1">
      <alignment horizontal="left" vertical="center" wrapText="1"/>
    </xf>
    <xf numFmtId="4" fontId="180" fillId="2" borderId="0" xfId="0" applyNumberFormat="1" applyFont="1" applyFill="1" applyBorder="1" applyAlignment="1">
      <alignment vertical="center"/>
    </xf>
    <xf numFmtId="4" fontId="46" fillId="2" borderId="0" xfId="1" applyNumberFormat="1" applyFont="1" applyFill="1" applyBorder="1" applyAlignment="1">
      <alignment vertical="center"/>
    </xf>
    <xf numFmtId="4" fontId="180" fillId="2" borderId="0" xfId="0" applyNumberFormat="1" applyFont="1" applyFill="1" applyAlignment="1">
      <alignment vertical="center"/>
    </xf>
    <xf numFmtId="0" fontId="169" fillId="2" borderId="21" xfId="0" applyFont="1" applyFill="1" applyBorder="1" applyAlignment="1">
      <alignment horizontal="left" vertical="center"/>
    </xf>
    <xf numFmtId="4" fontId="169" fillId="2" borderId="21" xfId="0" applyNumberFormat="1" applyFont="1" applyFill="1" applyBorder="1" applyAlignment="1">
      <alignment vertical="center"/>
    </xf>
    <xf numFmtId="0" fontId="171" fillId="7" borderId="203" xfId="0" applyFont="1" applyFill="1" applyBorder="1" applyAlignment="1">
      <alignment horizontal="center" vertical="center" wrapText="1"/>
    </xf>
    <xf numFmtId="0" fontId="171" fillId="7" borderId="200" xfId="0" applyFont="1" applyFill="1" applyBorder="1" applyAlignment="1">
      <alignment horizontal="center" vertical="center" wrapText="1"/>
    </xf>
    <xf numFmtId="0" fontId="171" fillId="7" borderId="204" xfId="0" applyFont="1" applyFill="1" applyBorder="1" applyAlignment="1">
      <alignment vertical="center" wrapText="1"/>
    </xf>
    <xf numFmtId="4" fontId="171" fillId="7" borderId="202" xfId="0" applyNumberFormat="1" applyFont="1" applyFill="1" applyBorder="1" applyAlignment="1">
      <alignment vertical="center" wrapText="1"/>
    </xf>
    <xf numFmtId="0" fontId="171" fillId="7" borderId="178" xfId="0" applyFont="1" applyFill="1" applyBorder="1" applyAlignment="1">
      <alignment vertical="center" wrapText="1"/>
    </xf>
    <xf numFmtId="0" fontId="171" fillId="7" borderId="179" xfId="0" applyFont="1" applyFill="1" applyBorder="1" applyAlignment="1">
      <alignment vertical="center" wrapText="1"/>
    </xf>
    <xf numFmtId="4" fontId="171" fillId="7" borderId="180" xfId="0" applyNumberFormat="1" applyFont="1" applyFill="1" applyBorder="1" applyAlignment="1">
      <alignment vertical="center" wrapText="1"/>
    </xf>
    <xf numFmtId="2" fontId="171" fillId="7" borderId="180" xfId="0" applyNumberFormat="1" applyFont="1" applyFill="1" applyBorder="1" applyAlignment="1">
      <alignment vertical="center" wrapText="1"/>
    </xf>
    <xf numFmtId="2" fontId="171" fillId="7" borderId="180" xfId="0" applyNumberFormat="1" applyFont="1" applyFill="1" applyBorder="1" applyAlignment="1">
      <alignment vertical="center"/>
    </xf>
    <xf numFmtId="0" fontId="171" fillId="7" borderId="200" xfId="0" applyFont="1" applyFill="1" applyBorder="1" applyAlignment="1">
      <alignment vertical="center"/>
    </xf>
    <xf numFmtId="0" fontId="171" fillId="7" borderId="179" xfId="0" applyFont="1" applyFill="1" applyBorder="1" applyAlignment="1">
      <alignment vertical="center"/>
    </xf>
    <xf numFmtId="2" fontId="171" fillId="7" borderId="180" xfId="0" applyNumberFormat="1" applyFont="1" applyFill="1" applyBorder="1" applyAlignment="1">
      <alignment horizontal="right" vertical="center"/>
    </xf>
    <xf numFmtId="0" fontId="171" fillId="7" borderId="179" xfId="0" applyFont="1" applyFill="1" applyBorder="1" applyAlignment="1">
      <alignment horizontal="center" vertical="center"/>
    </xf>
    <xf numFmtId="4" fontId="171" fillId="7" borderId="180" xfId="0" applyNumberFormat="1" applyFont="1" applyFill="1" applyBorder="1" applyAlignment="1">
      <alignment vertical="center"/>
    </xf>
    <xf numFmtId="0" fontId="171" fillId="7" borderId="199" xfId="0" applyFont="1" applyFill="1" applyBorder="1" applyAlignment="1">
      <alignment horizontal="center" vertical="center"/>
    </xf>
    <xf numFmtId="0" fontId="171" fillId="7" borderId="203" xfId="0" applyFont="1" applyFill="1" applyBorder="1" applyAlignment="1">
      <alignment vertical="center"/>
    </xf>
    <xf numFmtId="0" fontId="171" fillId="7" borderId="202" xfId="0" applyFont="1" applyFill="1" applyBorder="1" applyAlignment="1">
      <alignment horizontal="center" vertical="center" wrapText="1"/>
    </xf>
    <xf numFmtId="0" fontId="171" fillId="7" borderId="178" xfId="0" applyFont="1" applyFill="1" applyBorder="1" applyAlignment="1">
      <alignment horizontal="center" vertical="center"/>
    </xf>
    <xf numFmtId="4" fontId="171" fillId="7" borderId="179" xfId="0" applyNumberFormat="1" applyFont="1" applyFill="1" applyBorder="1" applyAlignment="1">
      <alignment vertical="center"/>
    </xf>
    <xf numFmtId="9" fontId="171" fillId="7" borderId="179" xfId="1" applyFont="1" applyFill="1" applyBorder="1" applyAlignment="1">
      <alignment vertical="center"/>
    </xf>
    <xf numFmtId="9" fontId="171" fillId="7" borderId="180" xfId="1" applyFont="1" applyFill="1" applyBorder="1" applyAlignment="1">
      <alignment vertical="center"/>
    </xf>
    <xf numFmtId="0" fontId="171" fillId="121" borderId="179" xfId="0" applyFont="1" applyFill="1" applyBorder="1" applyAlignment="1">
      <alignment horizontal="center" vertical="center"/>
    </xf>
    <xf numFmtId="4" fontId="171" fillId="121" borderId="180" xfId="0" applyNumberFormat="1" applyFont="1" applyFill="1" applyBorder="1" applyAlignment="1">
      <alignment vertical="center"/>
    </xf>
    <xf numFmtId="210" fontId="69" fillId="5" borderId="133" xfId="0" applyNumberFormat="1" applyFont="1" applyFill="1" applyBorder="1" applyAlignment="1">
      <alignment horizontal="center" vertical="center"/>
    </xf>
    <xf numFmtId="10" fontId="62" fillId="2" borderId="0" xfId="1" applyNumberFormat="1" applyFont="1" applyFill="1" applyAlignment="1">
      <alignment horizontal="center" vertical="center"/>
    </xf>
    <xf numFmtId="10" fontId="62" fillId="2" borderId="0" xfId="1" applyNumberFormat="1" applyFont="1" applyFill="1" applyAlignment="1">
      <alignment vertical="center"/>
    </xf>
    <xf numFmtId="10" fontId="69" fillId="2" borderId="0" xfId="1" applyNumberFormat="1" applyFont="1" applyFill="1" applyAlignment="1">
      <alignment horizontal="center" vertical="center"/>
    </xf>
    <xf numFmtId="10" fontId="69" fillId="2" borderId="0" xfId="1" applyNumberFormat="1" applyFont="1" applyFill="1" applyAlignment="1">
      <alignment vertical="center"/>
    </xf>
    <xf numFmtId="0" fontId="67" fillId="2" borderId="141" xfId="169" applyFont="1" applyFill="1" applyBorder="1" applyAlignment="1">
      <alignment horizontal="left" vertical="center"/>
    </xf>
    <xf numFmtId="199" fontId="67" fillId="2" borderId="144" xfId="169" applyNumberFormat="1" applyFont="1" applyFill="1" applyBorder="1" applyAlignment="1">
      <alignment horizontal="left" vertical="center"/>
    </xf>
    <xf numFmtId="0" fontId="68" fillId="2" borderId="144" xfId="188" applyFont="1" applyFill="1" applyBorder="1" applyAlignment="1">
      <alignment vertical="center"/>
    </xf>
    <xf numFmtId="4" fontId="62" fillId="2" borderId="144" xfId="0" applyNumberFormat="1" applyFont="1" applyFill="1" applyBorder="1" applyAlignment="1">
      <alignment vertical="center"/>
    </xf>
    <xf numFmtId="199" fontId="67" fillId="0" borderId="0" xfId="169" applyNumberFormat="1" applyFont="1" applyFill="1" applyBorder="1" applyAlignment="1">
      <alignment horizontal="left" vertical="center"/>
    </xf>
    <xf numFmtId="0" fontId="155" fillId="0" borderId="0" xfId="41" applyFont="1" applyFill="1" applyAlignment="1">
      <alignment vertical="center"/>
    </xf>
    <xf numFmtId="0" fontId="69" fillId="6" borderId="21" xfId="3" applyFont="1" applyFill="1" applyBorder="1" applyAlignment="1">
      <alignment horizontal="center" vertical="center"/>
    </xf>
    <xf numFmtId="0" fontId="69" fillId="6" borderId="21" xfId="41" applyNumberFormat="1" applyFont="1" applyFill="1" applyBorder="1" applyAlignment="1" applyProtection="1">
      <alignment vertical="center"/>
    </xf>
    <xf numFmtId="0" fontId="204" fillId="6" borderId="21" xfId="41" applyNumberFormat="1" applyFont="1" applyFill="1" applyBorder="1" applyAlignment="1" applyProtection="1">
      <alignment horizontal="center" vertical="center" wrapText="1"/>
    </xf>
    <xf numFmtId="1" fontId="204" fillId="6" borderId="21" xfId="41" applyNumberFormat="1" applyFont="1" applyFill="1" applyBorder="1" applyAlignment="1">
      <alignment horizontal="center" vertical="center" wrapText="1"/>
    </xf>
    <xf numFmtId="4" fontId="195" fillId="6" borderId="21" xfId="41" applyNumberFormat="1" applyFont="1" applyFill="1" applyBorder="1" applyAlignment="1" applyProtection="1">
      <alignment horizontal="right" vertical="center" wrapText="1"/>
    </xf>
    <xf numFmtId="0" fontId="69" fillId="6" borderId="20" xfId="3" applyFont="1" applyFill="1" applyBorder="1" applyAlignment="1">
      <alignment horizontal="center" vertical="center"/>
    </xf>
    <xf numFmtId="0" fontId="69" fillId="6" borderId="20" xfId="41" applyNumberFormat="1" applyFont="1" applyFill="1" applyBorder="1" applyAlignment="1" applyProtection="1">
      <alignment vertical="center"/>
    </xf>
    <xf numFmtId="0" fontId="69" fillId="6" borderId="20" xfId="41" applyNumberFormat="1" applyFont="1" applyFill="1" applyBorder="1" applyAlignment="1" applyProtection="1">
      <alignment horizontal="center" vertical="center"/>
    </xf>
    <xf numFmtId="4" fontId="195" fillId="6" borderId="20" xfId="41" applyNumberFormat="1" applyFont="1" applyFill="1" applyBorder="1" applyAlignment="1" applyProtection="1">
      <alignment horizontal="right" vertical="center"/>
    </xf>
    <xf numFmtId="0" fontId="204" fillId="6" borderId="20" xfId="41" applyNumberFormat="1" applyFont="1" applyFill="1" applyBorder="1" applyAlignment="1" applyProtection="1">
      <alignment horizontal="center" vertical="center" wrapText="1"/>
    </xf>
    <xf numFmtId="1" fontId="204" fillId="6" borderId="20" xfId="41" applyNumberFormat="1" applyFont="1" applyFill="1" applyBorder="1" applyAlignment="1">
      <alignment horizontal="center" vertical="center" wrapText="1"/>
    </xf>
    <xf numFmtId="4" fontId="195" fillId="6" borderId="20" xfId="41" applyNumberFormat="1" applyFont="1" applyFill="1" applyBorder="1" applyAlignment="1" applyProtection="1">
      <alignment horizontal="right" vertical="center" wrapText="1"/>
    </xf>
    <xf numFmtId="2" fontId="195" fillId="6" borderId="21" xfId="41" applyNumberFormat="1" applyFont="1" applyFill="1" applyBorder="1" applyAlignment="1" applyProtection="1">
      <alignment horizontal="center" vertical="center" wrapText="1"/>
    </xf>
    <xf numFmtId="4" fontId="69" fillId="6" borderId="21" xfId="41" applyNumberFormat="1" applyFont="1" applyFill="1" applyBorder="1" applyAlignment="1">
      <alignment vertical="center"/>
    </xf>
    <xf numFmtId="4" fontId="69" fillId="6" borderId="20" xfId="41" applyNumberFormat="1" applyFont="1" applyFill="1" applyBorder="1" applyAlignment="1" applyProtection="1">
      <alignment vertical="center"/>
    </xf>
    <xf numFmtId="0" fontId="195" fillId="6" borderId="20" xfId="41" applyNumberFormat="1" applyFont="1" applyFill="1" applyBorder="1" applyAlignment="1" applyProtection="1">
      <alignment vertical="center" wrapText="1"/>
    </xf>
    <xf numFmtId="0" fontId="90" fillId="6" borderId="20" xfId="0" applyFont="1" applyFill="1" applyBorder="1" applyAlignment="1">
      <alignment horizontal="center" vertical="center"/>
    </xf>
    <xf numFmtId="0" fontId="90" fillId="6" borderId="20" xfId="0" applyFont="1" applyFill="1" applyBorder="1" applyAlignment="1">
      <alignment vertical="center"/>
    </xf>
    <xf numFmtId="0" fontId="91" fillId="6" borderId="20" xfId="0" applyFont="1" applyFill="1" applyBorder="1" applyAlignment="1">
      <alignment horizontal="center" vertical="center"/>
    </xf>
    <xf numFmtId="0" fontId="62" fillId="6" borderId="20" xfId="0" applyFont="1" applyFill="1" applyBorder="1" applyAlignment="1">
      <alignment horizontal="center" vertical="center"/>
    </xf>
    <xf numFmtId="200" fontId="90" fillId="6" borderId="20" xfId="0" applyNumberFormat="1" applyFont="1" applyFill="1" applyBorder="1" applyAlignment="1">
      <alignment horizontal="right" vertical="center"/>
    </xf>
    <xf numFmtId="4" fontId="206" fillId="6" borderId="20" xfId="0" applyNumberFormat="1" applyFont="1" applyFill="1" applyBorder="1" applyAlignment="1">
      <alignment horizontal="right" vertical="center"/>
    </xf>
    <xf numFmtId="0" fontId="91" fillId="6" borderId="20" xfId="0" applyFont="1" applyFill="1" applyBorder="1" applyAlignment="1">
      <alignment vertical="center"/>
    </xf>
    <xf numFmtId="201" fontId="90" fillId="6" borderId="20" xfId="0" applyNumberFormat="1" applyFont="1" applyFill="1" applyBorder="1" applyAlignment="1">
      <alignment horizontal="right" vertical="center"/>
    </xf>
    <xf numFmtId="4" fontId="5" fillId="2" borderId="133" xfId="169" applyNumberFormat="1" applyFont="1" applyFill="1" applyBorder="1" applyAlignment="1">
      <alignment horizontal="right" vertical="center"/>
    </xf>
    <xf numFmtId="2" fontId="204" fillId="2" borderId="21" xfId="41" applyNumberFormat="1" applyFont="1" applyFill="1" applyBorder="1" applyAlignment="1" applyProtection="1">
      <alignment horizontal="center" vertical="center" wrapText="1"/>
    </xf>
    <xf numFmtId="199" fontId="9" fillId="0" borderId="144" xfId="169" applyNumberFormat="1" applyFont="1" applyFill="1" applyBorder="1" applyAlignment="1">
      <alignment horizontal="left" vertical="center"/>
    </xf>
    <xf numFmtId="0" fontId="5" fillId="2" borderId="154" xfId="188" applyFont="1" applyFill="1" applyBorder="1" applyAlignment="1">
      <alignment vertical="center"/>
    </xf>
    <xf numFmtId="0" fontId="9" fillId="2" borderId="154" xfId="188" applyFont="1" applyFill="1" applyBorder="1" applyAlignment="1">
      <alignment horizontal="center" vertical="center" wrapText="1"/>
    </xf>
    <xf numFmtId="10" fontId="5" fillId="2" borderId="133" xfId="22" applyNumberFormat="1" applyFont="1" applyFill="1" applyBorder="1" applyAlignment="1">
      <alignment horizontal="center" vertical="center"/>
    </xf>
    <xf numFmtId="10" fontId="5" fillId="2" borderId="133" xfId="0" applyNumberFormat="1" applyFont="1" applyFill="1" applyBorder="1" applyAlignment="1">
      <alignment horizontal="center" vertical="center"/>
    </xf>
    <xf numFmtId="0" fontId="204" fillId="2" borderId="20" xfId="43" applyFont="1" applyFill="1" applyBorder="1" applyAlignment="1">
      <alignment horizontal="center" vertical="center" wrapText="1"/>
    </xf>
    <xf numFmtId="4" fontId="9" fillId="108" borderId="133" xfId="1" applyNumberFormat="1" applyFont="1" applyFill="1" applyBorder="1" applyAlignment="1">
      <alignment horizontal="center" vertical="center"/>
    </xf>
    <xf numFmtId="4" fontId="9" fillId="108" borderId="133" xfId="169" applyNumberFormat="1" applyFont="1" applyFill="1" applyBorder="1" applyAlignment="1">
      <alignment vertical="center"/>
    </xf>
    <xf numFmtId="0" fontId="99" fillId="0" borderId="20" xfId="0" applyFont="1" applyFill="1" applyBorder="1" applyAlignment="1">
      <alignment horizontal="center" vertical="center"/>
    </xf>
    <xf numFmtId="0" fontId="99" fillId="0" borderId="20" xfId="0" applyFont="1" applyFill="1" applyBorder="1" applyAlignment="1">
      <alignment horizontal="center" vertical="center" wrapText="1"/>
    </xf>
    <xf numFmtId="1" fontId="99" fillId="0" borderId="20" xfId="0" applyNumberFormat="1" applyFont="1" applyFill="1" applyBorder="1" applyAlignment="1">
      <alignment horizontal="center" vertical="center"/>
    </xf>
    <xf numFmtId="199" fontId="99" fillId="0" borderId="20" xfId="0" applyNumberFormat="1" applyFont="1" applyFill="1" applyBorder="1" applyAlignment="1">
      <alignment horizontal="center" vertical="center"/>
    </xf>
    <xf numFmtId="0" fontId="99" fillId="0" borderId="20" xfId="0" applyFont="1" applyFill="1" applyBorder="1" applyAlignment="1">
      <alignment vertical="center" wrapText="1"/>
    </xf>
    <xf numFmtId="0" fontId="99" fillId="0" borderId="20" xfId="0" applyFont="1" applyFill="1" applyBorder="1" applyAlignment="1">
      <alignment horizontal="left" vertical="center"/>
    </xf>
    <xf numFmtId="4" fontId="68" fillId="0" borderId="20" xfId="0" applyNumberFormat="1" applyFont="1" applyFill="1" applyBorder="1" applyAlignment="1">
      <alignment horizontal="left" vertical="center"/>
    </xf>
    <xf numFmtId="0" fontId="49" fillId="0" borderId="20" xfId="0" applyFont="1" applyFill="1" applyBorder="1" applyAlignment="1">
      <alignment vertical="center" wrapText="1"/>
    </xf>
    <xf numFmtId="1" fontId="49" fillId="0" borderId="20" xfId="0" applyNumberFormat="1" applyFont="1" applyFill="1" applyBorder="1" applyAlignment="1">
      <alignment horizontal="center" vertical="center" wrapText="1"/>
    </xf>
    <xf numFmtId="0" fontId="49" fillId="0" borderId="20" xfId="0" applyFont="1" applyFill="1" applyBorder="1" applyAlignment="1">
      <alignment horizontal="center" vertical="center" wrapText="1"/>
    </xf>
    <xf numFmtId="3" fontId="49" fillId="0" borderId="20" xfId="0" applyNumberFormat="1" applyFont="1" applyFill="1" applyBorder="1" applyAlignment="1">
      <alignment horizontal="center" vertical="center" wrapText="1"/>
    </xf>
    <xf numFmtId="4" fontId="9" fillId="123" borderId="133" xfId="169" applyNumberFormat="1" applyFont="1" applyFill="1" applyBorder="1" applyAlignment="1">
      <alignment vertical="center"/>
    </xf>
    <xf numFmtId="4" fontId="9" fillId="41" borderId="133" xfId="169" applyNumberFormat="1" applyFont="1" applyFill="1" applyBorder="1" applyAlignment="1">
      <alignment vertical="center"/>
    </xf>
    <xf numFmtId="4" fontId="9" fillId="17" borderId="133" xfId="169" applyNumberFormat="1" applyFont="1" applyFill="1" applyBorder="1" applyAlignment="1">
      <alignment vertical="center"/>
    </xf>
    <xf numFmtId="4" fontId="9" fillId="17" borderId="133" xfId="1" applyNumberFormat="1" applyFont="1" applyFill="1" applyBorder="1" applyAlignment="1">
      <alignment horizontal="center" vertical="center"/>
    </xf>
    <xf numFmtId="0" fontId="5" fillId="2" borderId="133" xfId="169" applyFont="1" applyFill="1" applyBorder="1" applyAlignment="1">
      <alignment horizontal="center" vertical="center" wrapText="1"/>
    </xf>
    <xf numFmtId="1" fontId="204" fillId="4" borderId="20" xfId="41" applyNumberFormat="1" applyFont="1" applyFill="1" applyBorder="1" applyAlignment="1">
      <alignment horizontal="center" vertical="center" wrapText="1"/>
    </xf>
    <xf numFmtId="0" fontId="5" fillId="41" borderId="0" xfId="0" applyFont="1" applyFill="1" applyAlignment="1">
      <alignment vertical="center"/>
    </xf>
    <xf numFmtId="4" fontId="9" fillId="41" borderId="133" xfId="169" applyNumberFormat="1" applyFont="1" applyFill="1" applyBorder="1" applyAlignment="1">
      <alignment horizontal="right" vertical="center"/>
    </xf>
    <xf numFmtId="0" fontId="5" fillId="44" borderId="0" xfId="0" applyFont="1" applyFill="1" applyAlignment="1">
      <alignment vertical="center"/>
    </xf>
    <xf numFmtId="4" fontId="9" fillId="44" borderId="133" xfId="169" applyNumberFormat="1" applyFont="1" applyFill="1" applyBorder="1" applyAlignment="1">
      <alignment horizontal="right" vertical="center"/>
    </xf>
    <xf numFmtId="4" fontId="9" fillId="44" borderId="133" xfId="1" applyNumberFormat="1" applyFont="1" applyFill="1" applyBorder="1" applyAlignment="1">
      <alignment horizontal="center" vertical="center"/>
    </xf>
    <xf numFmtId="10" fontId="9" fillId="6" borderId="133" xfId="1" applyNumberFormat="1" applyFont="1" applyFill="1" applyBorder="1" applyAlignment="1">
      <alignment horizontal="center" vertical="center"/>
    </xf>
    <xf numFmtId="10" fontId="9" fillId="116" borderId="133" xfId="1" applyNumberFormat="1" applyFont="1" applyFill="1" applyBorder="1" applyAlignment="1">
      <alignment horizontal="center" vertical="center"/>
    </xf>
    <xf numFmtId="10" fontId="9" fillId="106" borderId="133" xfId="1" applyNumberFormat="1" applyFont="1" applyFill="1" applyBorder="1" applyAlignment="1">
      <alignment horizontal="center" vertical="center"/>
    </xf>
    <xf numFmtId="10" fontId="9" fillId="37" borderId="133" xfId="1" applyNumberFormat="1" applyFont="1" applyFill="1" applyBorder="1" applyAlignment="1">
      <alignment horizontal="center" vertical="center"/>
    </xf>
    <xf numFmtId="10" fontId="9" fillId="0" borderId="133" xfId="1" applyNumberFormat="1" applyFont="1" applyFill="1" applyBorder="1" applyAlignment="1">
      <alignment vertical="center"/>
    </xf>
    <xf numFmtId="10" fontId="9" fillId="117" borderId="133" xfId="1" applyNumberFormat="1" applyFont="1" applyFill="1" applyBorder="1" applyAlignment="1">
      <alignment horizontal="center" vertical="center"/>
    </xf>
    <xf numFmtId="10" fontId="5" fillId="2" borderId="133" xfId="1" applyNumberFormat="1" applyFont="1" applyFill="1" applyBorder="1" applyAlignment="1">
      <alignment horizontal="center" vertical="center"/>
    </xf>
    <xf numFmtId="10" fontId="9" fillId="108" borderId="133" xfId="1" applyNumberFormat="1" applyFont="1" applyFill="1" applyBorder="1" applyAlignment="1">
      <alignment horizontal="center" vertical="center"/>
    </xf>
    <xf numFmtId="10" fontId="9" fillId="17" borderId="133" xfId="1" applyNumberFormat="1" applyFont="1" applyFill="1" applyBorder="1" applyAlignment="1">
      <alignment horizontal="center" vertical="center"/>
    </xf>
    <xf numFmtId="10" fontId="9" fillId="4" borderId="133" xfId="1" applyNumberFormat="1" applyFont="1" applyFill="1" applyBorder="1" applyAlignment="1">
      <alignment horizontal="center" vertical="center"/>
    </xf>
    <xf numFmtId="4" fontId="9" fillId="6" borderId="133" xfId="1" applyNumberFormat="1" applyFont="1" applyFill="1" applyBorder="1" applyAlignment="1">
      <alignment vertical="center"/>
    </xf>
    <xf numFmtId="4" fontId="9" fillId="41" borderId="133" xfId="1" applyNumberFormat="1" applyFont="1" applyFill="1" applyBorder="1" applyAlignment="1">
      <alignment horizontal="right" vertical="center"/>
    </xf>
    <xf numFmtId="0" fontId="149" fillId="0" borderId="20" xfId="0" applyFont="1" applyFill="1" applyBorder="1" applyAlignment="1">
      <alignment horizontal="center" vertical="center"/>
    </xf>
    <xf numFmtId="0" fontId="149" fillId="0" borderId="20" xfId="0" applyFont="1" applyFill="1" applyBorder="1" applyAlignment="1">
      <alignment vertical="center" wrapText="1"/>
    </xf>
    <xf numFmtId="199" fontId="149" fillId="0" borderId="20" xfId="0" applyNumberFormat="1" applyFont="1" applyFill="1" applyBorder="1" applyAlignment="1">
      <alignment horizontal="right" vertical="center"/>
    </xf>
    <xf numFmtId="0" fontId="99" fillId="0" borderId="0" xfId="0" applyFont="1" applyFill="1" applyAlignment="1">
      <alignment horizontal="center" vertical="center"/>
    </xf>
    <xf numFmtId="0" fontId="99" fillId="0" borderId="20" xfId="0" applyFont="1" applyFill="1" applyBorder="1" applyAlignment="1">
      <alignment horizontal="justify" vertical="center" wrapText="1"/>
    </xf>
    <xf numFmtId="10" fontId="9" fillId="2" borderId="133" xfId="0" applyNumberFormat="1" applyFont="1" applyFill="1" applyBorder="1" applyAlignment="1">
      <alignment horizontal="center" vertical="center"/>
    </xf>
    <xf numFmtId="10" fontId="9" fillId="123" borderId="133" xfId="1" applyNumberFormat="1" applyFont="1" applyFill="1" applyBorder="1" applyAlignment="1">
      <alignment horizontal="center" vertical="center"/>
    </xf>
    <xf numFmtId="4" fontId="9" fillId="123" borderId="133" xfId="169" applyNumberFormat="1" applyFont="1" applyFill="1" applyBorder="1" applyAlignment="1">
      <alignment horizontal="center" vertical="center"/>
    </xf>
    <xf numFmtId="0" fontId="9" fillId="2" borderId="133" xfId="0" applyFont="1" applyFill="1" applyBorder="1" applyAlignment="1">
      <alignment horizontal="center" vertical="center" wrapText="1"/>
    </xf>
    <xf numFmtId="0" fontId="82" fillId="7" borderId="126" xfId="0" applyFont="1" applyFill="1" applyBorder="1" applyAlignment="1">
      <alignment horizontal="center" vertical="center"/>
    </xf>
    <xf numFmtId="0" fontId="82" fillId="7" borderId="127" xfId="0" applyFont="1" applyFill="1" applyBorder="1" applyAlignment="1">
      <alignment horizontal="center" vertical="center"/>
    </xf>
    <xf numFmtId="0" fontId="10" fillId="7" borderId="130" xfId="0" applyFont="1" applyFill="1" applyBorder="1" applyAlignment="1">
      <alignment horizontal="center" vertical="center"/>
    </xf>
    <xf numFmtId="0" fontId="10" fillId="7" borderId="126" xfId="169" applyFont="1" applyFill="1" applyBorder="1" applyAlignment="1">
      <alignment horizontal="center" vertical="center"/>
    </xf>
    <xf numFmtId="0" fontId="9" fillId="44" borderId="133" xfId="169" applyFont="1" applyFill="1" applyBorder="1" applyAlignment="1">
      <alignment horizontal="center" vertical="center"/>
    </xf>
    <xf numFmtId="0" fontId="9" fillId="2" borderId="133" xfId="169" applyFont="1" applyFill="1" applyBorder="1" applyAlignment="1">
      <alignment horizontal="right" vertical="center"/>
    </xf>
    <xf numFmtId="0" fontId="9" fillId="2" borderId="133" xfId="169" applyFont="1" applyFill="1" applyBorder="1" applyAlignment="1">
      <alignment horizontal="center" vertical="center"/>
    </xf>
    <xf numFmtId="4" fontId="67" fillId="2" borderId="0" xfId="188" applyNumberFormat="1" applyFont="1" applyFill="1" applyBorder="1" applyAlignment="1">
      <alignment horizontal="left" vertical="center" wrapText="1"/>
    </xf>
    <xf numFmtId="4" fontId="67" fillId="2" borderId="154" xfId="188" applyNumberFormat="1" applyFont="1" applyFill="1" applyBorder="1" applyAlignment="1">
      <alignment horizontal="left" vertical="center" wrapText="1"/>
    </xf>
    <xf numFmtId="0" fontId="62" fillId="2" borderId="0" xfId="0" applyFont="1" applyFill="1" applyBorder="1" applyAlignment="1">
      <alignment horizontal="center" vertical="center" textRotation="90"/>
    </xf>
    <xf numFmtId="0" fontId="9" fillId="2" borderId="133" xfId="0" applyFont="1" applyFill="1" applyBorder="1" applyAlignment="1">
      <alignment horizontal="center" vertical="center" wrapText="1"/>
    </xf>
    <xf numFmtId="4" fontId="67" fillId="2" borderId="0" xfId="188" applyNumberFormat="1" applyFont="1" applyFill="1" applyBorder="1" applyAlignment="1">
      <alignment horizontal="left" vertical="center" wrapText="1"/>
    </xf>
    <xf numFmtId="0" fontId="10" fillId="7" borderId="130" xfId="0" applyFont="1" applyFill="1" applyBorder="1" applyAlignment="1">
      <alignment horizontal="center" vertical="center"/>
    </xf>
    <xf numFmtId="0" fontId="10" fillId="7" borderId="126" xfId="169" applyFont="1" applyFill="1" applyBorder="1" applyAlignment="1">
      <alignment horizontal="center" vertical="center"/>
    </xf>
    <xf numFmtId="0" fontId="9" fillId="2" borderId="133" xfId="169" applyFont="1" applyFill="1" applyBorder="1" applyAlignment="1">
      <alignment horizontal="center" vertical="center"/>
    </xf>
    <xf numFmtId="0" fontId="9" fillId="44" borderId="133" xfId="169" applyFont="1" applyFill="1" applyBorder="1" applyAlignment="1">
      <alignment vertical="center"/>
    </xf>
    <xf numFmtId="4" fontId="9" fillId="44" borderId="133" xfId="169" applyNumberFormat="1" applyFont="1" applyFill="1" applyBorder="1" applyAlignment="1">
      <alignment horizontal="center" vertical="center"/>
    </xf>
    <xf numFmtId="9" fontId="9" fillId="44" borderId="133" xfId="1" applyFont="1" applyFill="1" applyBorder="1" applyAlignment="1">
      <alignment horizontal="center" vertical="center"/>
    </xf>
    <xf numFmtId="4" fontId="9" fillId="44" borderId="133" xfId="1" applyNumberFormat="1" applyFont="1" applyFill="1" applyBorder="1" applyAlignment="1">
      <alignment horizontal="right" vertical="center"/>
    </xf>
    <xf numFmtId="0" fontId="9" fillId="0" borderId="133" xfId="0" applyFont="1" applyFill="1" applyBorder="1" applyAlignment="1">
      <alignment horizontal="center" vertical="center"/>
    </xf>
    <xf numFmtId="10" fontId="9" fillId="44" borderId="133" xfId="1" applyNumberFormat="1" applyFont="1" applyFill="1" applyBorder="1" applyAlignment="1">
      <alignment horizontal="center" vertical="center"/>
    </xf>
    <xf numFmtId="4" fontId="149" fillId="2" borderId="133" xfId="0" applyNumberFormat="1" applyFont="1" applyFill="1" applyBorder="1" applyAlignment="1">
      <alignment horizontal="right" vertical="center"/>
    </xf>
    <xf numFmtId="4" fontId="100" fillId="2" borderId="133" xfId="0" applyNumberFormat="1" applyFont="1" applyFill="1" applyBorder="1" applyAlignment="1">
      <alignment horizontal="right" vertical="center"/>
    </xf>
    <xf numFmtId="4" fontId="100" fillId="2" borderId="133" xfId="59" applyNumberFormat="1" applyFont="1" applyFill="1" applyBorder="1" applyAlignment="1">
      <alignment horizontal="right" vertical="center"/>
    </xf>
    <xf numFmtId="4" fontId="149" fillId="2" borderId="133" xfId="0" applyNumberFormat="1" applyFont="1" applyFill="1" applyBorder="1" applyAlignment="1">
      <alignment vertical="center"/>
    </xf>
    <xf numFmtId="4" fontId="100" fillId="2" borderId="133" xfId="0" applyNumberFormat="1" applyFont="1" applyFill="1" applyBorder="1" applyAlignment="1">
      <alignment vertical="center"/>
    </xf>
    <xf numFmtId="4" fontId="100" fillId="6" borderId="133" xfId="0" applyNumberFormat="1" applyFont="1" applyFill="1" applyBorder="1" applyAlignment="1">
      <alignment horizontal="right" vertical="center"/>
    </xf>
    <xf numFmtId="4" fontId="149" fillId="2" borderId="0" xfId="0" applyNumberFormat="1" applyFont="1" applyFill="1" applyAlignment="1">
      <alignment vertical="center"/>
    </xf>
    <xf numFmtId="0" fontId="10" fillId="7" borderId="132" xfId="169" applyFont="1" applyFill="1" applyBorder="1" applyAlignment="1">
      <alignment horizontal="center" vertical="center"/>
    </xf>
    <xf numFmtId="0" fontId="9" fillId="2" borderId="135" xfId="169" applyFont="1" applyFill="1" applyBorder="1" applyAlignment="1">
      <alignment vertical="center"/>
    </xf>
    <xf numFmtId="0" fontId="9" fillId="2" borderId="138" xfId="169" applyFont="1" applyFill="1" applyBorder="1" applyAlignment="1">
      <alignment horizontal="center" vertical="center"/>
    </xf>
    <xf numFmtId="0" fontId="10" fillId="114" borderId="131" xfId="169" applyFont="1" applyFill="1" applyBorder="1" applyAlignment="1">
      <alignment horizontal="center" vertical="center"/>
    </xf>
    <xf numFmtId="4" fontId="67" fillId="2" borderId="0" xfId="188" applyNumberFormat="1" applyFont="1" applyFill="1" applyBorder="1" applyAlignment="1">
      <alignment horizontal="center" vertical="center" wrapText="1"/>
    </xf>
    <xf numFmtId="10" fontId="9" fillId="2" borderId="133" xfId="22" applyNumberFormat="1" applyFont="1" applyFill="1" applyBorder="1" applyAlignment="1">
      <alignment horizontal="center" vertical="center"/>
    </xf>
    <xf numFmtId="4" fontId="69" fillId="124" borderId="133" xfId="0" applyNumberFormat="1" applyFont="1" applyFill="1" applyBorder="1" applyAlignment="1">
      <alignment horizontal="center" vertical="center"/>
    </xf>
    <xf numFmtId="4" fontId="68" fillId="2" borderId="0" xfId="188" applyNumberFormat="1" applyFont="1" applyFill="1" applyBorder="1" applyAlignment="1">
      <alignment vertical="center"/>
    </xf>
    <xf numFmtId="4" fontId="68" fillId="2" borderId="144" xfId="188" applyNumberFormat="1" applyFont="1" applyFill="1" applyBorder="1" applyAlignment="1">
      <alignment vertical="center"/>
    </xf>
    <xf numFmtId="4" fontId="197" fillId="7" borderId="130" xfId="0" applyNumberFormat="1" applyFont="1" applyFill="1" applyBorder="1" applyAlignment="1">
      <alignment horizontal="center" vertical="center"/>
    </xf>
    <xf numFmtId="4" fontId="69" fillId="6" borderId="133" xfId="0" applyNumberFormat="1" applyFont="1" applyFill="1" applyBorder="1" applyAlignment="1" applyProtection="1">
      <alignment horizontal="center" vertical="center"/>
      <protection locked="0"/>
    </xf>
    <xf numFmtId="4" fontId="62" fillId="2" borderId="0" xfId="1" applyNumberFormat="1" applyFont="1" applyFill="1" applyAlignment="1">
      <alignment vertical="center"/>
    </xf>
    <xf numFmtId="4" fontId="69" fillId="6" borderId="133" xfId="22" applyNumberFormat="1" applyFont="1" applyFill="1" applyBorder="1" applyAlignment="1">
      <alignment horizontal="center" vertical="center"/>
    </xf>
    <xf numFmtId="4" fontId="62" fillId="2" borderId="0" xfId="22" applyNumberFormat="1" applyFont="1" applyFill="1" applyAlignment="1">
      <alignment vertical="center"/>
    </xf>
    <xf numFmtId="4" fontId="62" fillId="2" borderId="0" xfId="22" applyNumberFormat="1" applyFont="1" applyFill="1" applyBorder="1" applyAlignment="1">
      <alignment vertical="center"/>
    </xf>
    <xf numFmtId="4" fontId="62" fillId="2" borderId="144" xfId="22" applyNumberFormat="1" applyFont="1" applyFill="1" applyBorder="1" applyAlignment="1">
      <alignment vertical="center"/>
    </xf>
    <xf numFmtId="10" fontId="67" fillId="2" borderId="0" xfId="1" applyNumberFormat="1" applyFont="1" applyFill="1" applyBorder="1" applyAlignment="1">
      <alignment horizontal="left" vertical="center" wrapText="1"/>
    </xf>
    <xf numFmtId="10" fontId="67" fillId="2" borderId="0" xfId="1" applyNumberFormat="1" applyFont="1" applyFill="1" applyBorder="1" applyAlignment="1">
      <alignment horizontal="center" vertical="center" wrapText="1"/>
    </xf>
    <xf numFmtId="10" fontId="68" fillId="2" borderId="0" xfId="1" applyNumberFormat="1" applyFont="1" applyFill="1" applyBorder="1" applyAlignment="1">
      <alignment vertical="center"/>
    </xf>
    <xf numFmtId="10" fontId="68" fillId="2" borderId="144" xfId="1" applyNumberFormat="1" applyFont="1" applyFill="1" applyBorder="1" applyAlignment="1">
      <alignment vertical="center"/>
    </xf>
    <xf numFmtId="10" fontId="197" fillId="7" borderId="130" xfId="1" applyNumberFormat="1" applyFont="1" applyFill="1" applyBorder="1" applyAlignment="1">
      <alignment horizontal="center" vertical="center"/>
    </xf>
    <xf numFmtId="10" fontId="69" fillId="115" borderId="133" xfId="1" applyNumberFormat="1" applyFont="1" applyFill="1" applyBorder="1" applyAlignment="1">
      <alignment horizontal="center" vertical="center"/>
    </xf>
    <xf numFmtId="10" fontId="69" fillId="6" borderId="133" xfId="1" applyNumberFormat="1" applyFont="1" applyFill="1" applyBorder="1" applyAlignment="1">
      <alignment horizontal="center" vertical="center"/>
    </xf>
    <xf numFmtId="10" fontId="62" fillId="2" borderId="144" xfId="1" applyNumberFormat="1" applyFont="1" applyFill="1" applyBorder="1" applyAlignment="1">
      <alignment vertical="center"/>
    </xf>
    <xf numFmtId="10" fontId="62" fillId="2" borderId="154" xfId="1" applyNumberFormat="1" applyFont="1" applyFill="1" applyBorder="1" applyAlignment="1">
      <alignment vertical="center"/>
    </xf>
    <xf numFmtId="10" fontId="62" fillId="2" borderId="142" xfId="1" applyNumberFormat="1" applyFont="1" applyFill="1" applyBorder="1" applyAlignment="1">
      <alignment vertical="center"/>
    </xf>
    <xf numFmtId="10" fontId="197" fillId="7" borderId="131" xfId="1" applyNumberFormat="1" applyFont="1" applyFill="1" applyBorder="1" applyAlignment="1">
      <alignment horizontal="center" vertical="center"/>
    </xf>
    <xf numFmtId="10" fontId="69" fillId="124" borderId="133" xfId="1" applyNumberFormat="1" applyFont="1" applyFill="1" applyBorder="1" applyAlignment="1">
      <alignment horizontal="center" vertical="center"/>
    </xf>
    <xf numFmtId="4" fontId="69" fillId="5" borderId="133" xfId="0" applyNumberFormat="1" applyFont="1" applyFill="1" applyBorder="1" applyAlignment="1" applyProtection="1">
      <alignment horizontal="center" vertical="center"/>
      <protection locked="0"/>
    </xf>
    <xf numFmtId="10" fontId="69" fillId="5" borderId="133" xfId="1" applyNumberFormat="1" applyFont="1" applyFill="1" applyBorder="1" applyAlignment="1">
      <alignment horizontal="center" vertical="center"/>
    </xf>
    <xf numFmtId="4" fontId="69" fillId="122" borderId="133" xfId="0" applyNumberFormat="1" applyFont="1" applyFill="1" applyBorder="1" applyAlignment="1">
      <alignment horizontal="center" vertical="center"/>
    </xf>
    <xf numFmtId="10" fontId="69" fillId="122" borderId="133" xfId="1" applyNumberFormat="1" applyFont="1" applyFill="1" applyBorder="1" applyAlignment="1">
      <alignment horizontal="center" vertical="center"/>
    </xf>
    <xf numFmtId="0" fontId="69" fillId="107" borderId="133" xfId="0" applyFont="1" applyFill="1" applyBorder="1" applyAlignment="1">
      <alignment horizontal="center" vertical="center"/>
    </xf>
    <xf numFmtId="4" fontId="69" fillId="107" borderId="133" xfId="0" applyNumberFormat="1" applyFont="1" applyFill="1" applyBorder="1" applyAlignment="1">
      <alignment horizontal="right" vertical="center"/>
    </xf>
    <xf numFmtId="0" fontId="235" fillId="7" borderId="193" xfId="0" applyFont="1" applyFill="1" applyBorder="1" applyAlignment="1">
      <alignment horizontal="center" vertical="center"/>
    </xf>
    <xf numFmtId="4" fontId="197" fillId="126" borderId="194" xfId="0" applyNumberFormat="1" applyFont="1" applyFill="1" applyBorder="1" applyAlignment="1">
      <alignment horizontal="right" vertical="center"/>
    </xf>
    <xf numFmtId="3" fontId="5" fillId="6" borderId="133" xfId="1" applyNumberFormat="1" applyFont="1" applyFill="1" applyBorder="1" applyAlignment="1">
      <alignment horizontal="center" vertical="center"/>
    </xf>
    <xf numFmtId="3" fontId="5" fillId="0" borderId="133" xfId="1" applyNumberFormat="1" applyFont="1" applyFill="1" applyBorder="1" applyAlignment="1">
      <alignment horizontal="center" vertical="center"/>
    </xf>
    <xf numFmtId="10" fontId="5" fillId="6" borderId="133" xfId="1" applyNumberFormat="1" applyFont="1" applyFill="1" applyBorder="1" applyAlignment="1">
      <alignment horizontal="center" vertical="center"/>
    </xf>
    <xf numFmtId="10" fontId="5" fillId="0" borderId="133" xfId="1" applyNumberFormat="1" applyFont="1" applyFill="1" applyBorder="1" applyAlignment="1">
      <alignment horizontal="center" vertical="center"/>
    </xf>
    <xf numFmtId="9" fontId="5" fillId="6" borderId="133" xfId="1" applyFont="1" applyFill="1" applyBorder="1" applyAlignment="1">
      <alignment horizontal="center" vertical="center"/>
    </xf>
    <xf numFmtId="9" fontId="5" fillId="0" borderId="133" xfId="1" applyFont="1" applyFill="1" applyBorder="1" applyAlignment="1">
      <alignment horizontal="center" vertical="center"/>
    </xf>
    <xf numFmtId="4" fontId="67" fillId="2" borderId="133" xfId="0" applyNumberFormat="1" applyFont="1" applyFill="1" applyBorder="1" applyAlignment="1">
      <alignment horizontal="right" vertical="center"/>
    </xf>
    <xf numFmtId="4" fontId="68" fillId="2" borderId="133" xfId="0" applyNumberFormat="1" applyFont="1" applyFill="1" applyBorder="1" applyAlignment="1">
      <alignment horizontal="right" vertical="center"/>
    </xf>
    <xf numFmtId="9" fontId="22" fillId="27" borderId="20" xfId="190" applyNumberFormat="1" applyFont="1" applyFill="1" applyBorder="1" applyAlignment="1">
      <alignment horizontal="center"/>
    </xf>
    <xf numFmtId="3" fontId="22" fillId="27" borderId="20" xfId="0" applyNumberFormat="1" applyFont="1" applyFill="1" applyBorder="1" applyAlignment="1">
      <alignment horizontal="center"/>
    </xf>
    <xf numFmtId="4" fontId="22" fillId="27" borderId="20" xfId="0" applyNumberFormat="1" applyFont="1" applyFill="1" applyBorder="1" applyAlignment="1">
      <alignment horizontal="center"/>
    </xf>
    <xf numFmtId="0" fontId="23" fillId="2" borderId="143" xfId="0" applyFont="1" applyFill="1" applyBorder="1" applyAlignment="1">
      <alignment vertical="center" wrapText="1"/>
    </xf>
    <xf numFmtId="4" fontId="23" fillId="2" borderId="140" xfId="0" applyNumberFormat="1" applyFont="1" applyFill="1" applyBorder="1" applyAlignment="1">
      <alignment horizontal="center" vertical="center" wrapText="1"/>
    </xf>
    <xf numFmtId="0" fontId="23" fillId="2" borderId="0" xfId="0" applyFont="1" applyFill="1" applyBorder="1" applyAlignment="1">
      <alignment vertical="center" wrapText="1"/>
    </xf>
    <xf numFmtId="4" fontId="23" fillId="2" borderId="154" xfId="0" applyNumberFormat="1" applyFont="1" applyFill="1" applyBorder="1" applyAlignment="1">
      <alignment horizontal="center" vertical="center" wrapText="1"/>
    </xf>
    <xf numFmtId="0" fontId="208" fillId="2" borderId="144" xfId="0" applyFont="1" applyFill="1" applyBorder="1" applyAlignment="1">
      <alignment horizontal="left" vertical="center" wrapText="1"/>
    </xf>
    <xf numFmtId="4" fontId="208" fillId="2" borderId="142" xfId="0" applyNumberFormat="1" applyFont="1" applyFill="1" applyBorder="1" applyAlignment="1">
      <alignment horizontal="center" vertical="center" wrapText="1"/>
    </xf>
    <xf numFmtId="0" fontId="7" fillId="0" borderId="20" xfId="0" applyFont="1" applyFill="1" applyBorder="1" applyAlignment="1">
      <alignment horizontal="center" vertical="center"/>
    </xf>
    <xf numFmtId="0" fontId="7" fillId="0" borderId="20" xfId="0" applyFont="1" applyFill="1" applyBorder="1" applyAlignment="1">
      <alignment vertical="center"/>
    </xf>
    <xf numFmtId="0" fontId="5" fillId="0" borderId="21" xfId="0" applyFont="1" applyBorder="1" applyAlignment="1">
      <alignment horizontal="left" vertical="center" wrapText="1"/>
    </xf>
    <xf numFmtId="1" fontId="5" fillId="0" borderId="20" xfId="0" applyNumberFormat="1" applyFont="1" applyBorder="1" applyAlignment="1">
      <alignment horizontal="center" vertical="center"/>
    </xf>
    <xf numFmtId="0" fontId="5" fillId="0" borderId="20" xfId="0" applyFont="1" applyBorder="1" applyAlignment="1">
      <alignment horizontal="left" vertical="center" wrapText="1"/>
    </xf>
    <xf numFmtId="1" fontId="6" fillId="0" borderId="20" xfId="0" applyNumberFormat="1" applyFont="1" applyBorder="1" applyAlignment="1">
      <alignment horizontal="center"/>
    </xf>
    <xf numFmtId="0" fontId="5" fillId="0" borderId="21" xfId="0" applyFont="1" applyBorder="1" applyAlignment="1">
      <alignment horizontal="left" vertical="center"/>
    </xf>
    <xf numFmtId="1" fontId="9" fillId="0" borderId="21" xfId="0" applyNumberFormat="1" applyFont="1" applyBorder="1" applyAlignment="1">
      <alignment horizontal="center" vertical="center"/>
    </xf>
    <xf numFmtId="0" fontId="5" fillId="0" borderId="20" xfId="0" applyFont="1" applyBorder="1" applyAlignment="1">
      <alignment horizontal="left" vertical="center"/>
    </xf>
    <xf numFmtId="0" fontId="9" fillId="0" borderId="20" xfId="0" applyFont="1" applyBorder="1" applyAlignment="1">
      <alignment horizontal="center" vertical="center"/>
    </xf>
    <xf numFmtId="0" fontId="6" fillId="0" borderId="21" xfId="0" applyFont="1" applyBorder="1" applyAlignment="1">
      <alignment horizontal="center" vertical="center"/>
    </xf>
    <xf numFmtId="0" fontId="5" fillId="0" borderId="24" xfId="0" applyFont="1" applyBorder="1" applyAlignment="1">
      <alignment horizontal="left" vertical="center"/>
    </xf>
    <xf numFmtId="0" fontId="28" fillId="0" borderId="20" xfId="0" applyFont="1" applyBorder="1" applyAlignment="1">
      <alignment vertical="center"/>
    </xf>
    <xf numFmtId="3" fontId="6" fillId="0" borderId="21" xfId="0" applyNumberFormat="1" applyFont="1" applyBorder="1" applyAlignment="1">
      <alignment horizontal="center" vertical="center"/>
    </xf>
    <xf numFmtId="1" fontId="6" fillId="0" borderId="21" xfId="1" applyNumberFormat="1" applyFont="1" applyBorder="1" applyAlignment="1">
      <alignment horizontal="center" vertical="center"/>
    </xf>
    <xf numFmtId="3" fontId="239" fillId="0" borderId="21" xfId="0" applyNumberFormat="1" applyFont="1" applyBorder="1" applyAlignment="1">
      <alignment horizontal="center" vertical="center"/>
    </xf>
    <xf numFmtId="0" fontId="6" fillId="0" borderId="20" xfId="0" applyFont="1" applyBorder="1" applyAlignment="1">
      <alignment vertical="center"/>
    </xf>
    <xf numFmtId="0" fontId="6" fillId="0" borderId="20" xfId="0" applyFont="1" applyBorder="1" applyAlignment="1">
      <alignment horizontal="center" vertical="center"/>
    </xf>
    <xf numFmtId="3" fontId="6" fillId="0" borderId="20" xfId="0" applyNumberFormat="1" applyFont="1" applyBorder="1" applyAlignment="1">
      <alignment horizontal="center" vertical="center"/>
    </xf>
    <xf numFmtId="0" fontId="5" fillId="0" borderId="20" xfId="0" applyFont="1" applyBorder="1" applyAlignment="1">
      <alignment vertical="center"/>
    </xf>
    <xf numFmtId="0" fontId="5" fillId="0" borderId="20" xfId="0" applyFont="1" applyBorder="1" applyAlignment="1">
      <alignment horizontal="right" vertical="center"/>
    </xf>
    <xf numFmtId="0" fontId="5" fillId="0" borderId="20" xfId="0" applyFont="1" applyBorder="1" applyAlignment="1">
      <alignment horizontal="center" vertical="center"/>
    </xf>
    <xf numFmtId="175" fontId="89" fillId="0" borderId="0" xfId="0" applyNumberFormat="1" applyFont="1" applyBorder="1"/>
    <xf numFmtId="0" fontId="6" fillId="0" borderId="0" xfId="0" applyFont="1" applyBorder="1"/>
    <xf numFmtId="0" fontId="10" fillId="7" borderId="222" xfId="8" applyFont="1" applyFill="1" applyBorder="1" applyAlignment="1">
      <alignment horizontal="center" vertical="center" wrapText="1"/>
    </xf>
    <xf numFmtId="3" fontId="5" fillId="0" borderId="222" xfId="9" applyNumberFormat="1" applyFont="1" applyBorder="1" applyAlignment="1">
      <alignment horizontal="center" vertical="center"/>
    </xf>
    <xf numFmtId="3" fontId="9" fillId="0" borderId="222" xfId="9" applyNumberFormat="1" applyFont="1" applyBorder="1" applyAlignment="1">
      <alignment horizontal="center" vertical="center"/>
    </xf>
    <xf numFmtId="0" fontId="95" fillId="55" borderId="222" xfId="0" applyFont="1" applyFill="1" applyBorder="1" applyAlignment="1">
      <alignment horizontal="center" vertical="center"/>
    </xf>
    <xf numFmtId="175" fontId="95" fillId="55" borderId="222" xfId="0" applyNumberFormat="1" applyFont="1" applyFill="1" applyBorder="1" applyAlignment="1">
      <alignment horizontal="center" vertical="center"/>
    </xf>
    <xf numFmtId="0" fontId="95" fillId="55" borderId="98" xfId="0" applyFont="1" applyFill="1" applyBorder="1" applyAlignment="1">
      <alignment horizontal="center" vertical="center"/>
    </xf>
    <xf numFmtId="0" fontId="95" fillId="55" borderId="315" xfId="0" applyFont="1" applyFill="1" applyBorder="1" applyAlignment="1">
      <alignment horizontal="center" vertical="center"/>
    </xf>
    <xf numFmtId="175" fontId="95" fillId="55" borderId="316" xfId="0" applyNumberFormat="1" applyFont="1" applyFill="1" applyBorder="1" applyAlignment="1">
      <alignment horizontal="center" vertical="center"/>
    </xf>
    <xf numFmtId="175" fontId="95" fillId="55" borderId="317" xfId="0" applyNumberFormat="1" applyFont="1" applyFill="1" applyBorder="1" applyAlignment="1">
      <alignment horizontal="center" vertical="center"/>
    </xf>
    <xf numFmtId="0" fontId="95" fillId="55" borderId="97" xfId="0" applyFont="1" applyFill="1" applyBorder="1" applyAlignment="1">
      <alignment horizontal="center" vertical="center"/>
    </xf>
    <xf numFmtId="175" fontId="95" fillId="55" borderId="97" xfId="0" applyNumberFormat="1" applyFont="1" applyFill="1" applyBorder="1" applyAlignment="1">
      <alignment horizontal="center" vertical="center"/>
    </xf>
    <xf numFmtId="0" fontId="95" fillId="55" borderId="97" xfId="0" applyFont="1" applyFill="1" applyBorder="1" applyAlignment="1">
      <alignment horizontal="center" vertical="center" wrapText="1"/>
    </xf>
    <xf numFmtId="175" fontId="95" fillId="55" borderId="97" xfId="0" applyNumberFormat="1" applyFont="1" applyFill="1" applyBorder="1" applyAlignment="1">
      <alignment horizontal="center" vertical="center" wrapText="1"/>
    </xf>
    <xf numFmtId="0" fontId="45" fillId="0" borderId="0" xfId="0" applyFont="1" applyAlignment="1">
      <alignment horizontal="center" vertical="center"/>
    </xf>
    <xf numFmtId="0" fontId="45" fillId="2" borderId="0" xfId="0" applyFont="1" applyFill="1" applyAlignment="1">
      <alignment horizontal="center" vertical="center"/>
    </xf>
    <xf numFmtId="0" fontId="45" fillId="2" borderId="0" xfId="0" applyFont="1" applyFill="1"/>
    <xf numFmtId="0" fontId="45" fillId="0" borderId="0" xfId="0" applyFont="1"/>
    <xf numFmtId="0" fontId="44" fillId="0" borderId="0" xfId="0" applyFont="1" applyAlignment="1">
      <alignment horizontal="center" vertical="center"/>
    </xf>
    <xf numFmtId="0" fontId="44" fillId="0" borderId="0" xfId="0" applyFont="1" applyAlignment="1">
      <alignment horizontal="left" vertical="center"/>
    </xf>
    <xf numFmtId="0" fontId="45" fillId="0" borderId="0" xfId="0" applyFont="1" applyFill="1" applyBorder="1"/>
    <xf numFmtId="0" fontId="45" fillId="0" borderId="222" xfId="0" applyFont="1" applyBorder="1"/>
    <xf numFmtId="175" fontId="45" fillId="0" borderId="222" xfId="0" applyNumberFormat="1" applyFont="1" applyBorder="1"/>
    <xf numFmtId="0" fontId="44" fillId="0" borderId="222" xfId="0" applyFont="1" applyBorder="1"/>
    <xf numFmtId="175" fontId="44" fillId="0" borderId="222" xfId="0" applyNumberFormat="1" applyFont="1" applyBorder="1"/>
    <xf numFmtId="0" fontId="45" fillId="0" borderId="0" xfId="0" applyFont="1" applyFill="1" applyAlignment="1">
      <alignment horizontal="center" vertical="center"/>
    </xf>
    <xf numFmtId="0" fontId="45" fillId="0" borderId="0" xfId="0" applyFont="1" applyFill="1"/>
    <xf numFmtId="175" fontId="45" fillId="0" borderId="0" xfId="0" applyNumberFormat="1" applyFont="1" applyFill="1" applyBorder="1" applyAlignment="1">
      <alignment horizontal="center" vertical="center"/>
    </xf>
    <xf numFmtId="0" fontId="45" fillId="0" borderId="0" xfId="0" applyFont="1" applyBorder="1" applyAlignment="1">
      <alignment horizontal="center" vertical="center"/>
    </xf>
    <xf numFmtId="0" fontId="45" fillId="0" borderId="0" xfId="0" applyFont="1" applyBorder="1"/>
    <xf numFmtId="0" fontId="45" fillId="0" borderId="46" xfId="0" applyFont="1" applyBorder="1" applyAlignment="1">
      <alignment horizontal="center" vertical="center"/>
    </xf>
    <xf numFmtId="0" fontId="45" fillId="0" borderId="99" xfId="0" applyFont="1" applyBorder="1"/>
    <xf numFmtId="0" fontId="45" fillId="0" borderId="100" xfId="0" applyFont="1" applyBorder="1"/>
    <xf numFmtId="175" fontId="45" fillId="0" borderId="100" xfId="0" applyNumberFormat="1" applyFont="1" applyBorder="1"/>
    <xf numFmtId="175" fontId="45" fillId="0" borderId="311" xfId="0" applyNumberFormat="1" applyFont="1" applyBorder="1"/>
    <xf numFmtId="0" fontId="45" fillId="0" borderId="310" xfId="0" applyFont="1" applyBorder="1"/>
    <xf numFmtId="0" fontId="45" fillId="0" borderId="80" xfId="0" applyFont="1" applyBorder="1"/>
    <xf numFmtId="175" fontId="45" fillId="0" borderId="80" xfId="0" applyNumberFormat="1" applyFont="1" applyBorder="1"/>
    <xf numFmtId="175" fontId="45" fillId="0" borderId="312" xfId="0" applyNumberFormat="1" applyFont="1" applyBorder="1"/>
    <xf numFmtId="0" fontId="45" fillId="0" borderId="101" xfId="0" applyFont="1" applyBorder="1"/>
    <xf numFmtId="0" fontId="45" fillId="0" borderId="102" xfId="0" applyFont="1" applyBorder="1"/>
    <xf numFmtId="175" fontId="45" fillId="0" borderId="102" xfId="0" applyNumberFormat="1" applyFont="1" applyBorder="1"/>
    <xf numFmtId="175" fontId="45" fillId="0" borderId="313" xfId="0" applyNumberFormat="1" applyFont="1" applyBorder="1"/>
    <xf numFmtId="175" fontId="45" fillId="0" borderId="0" xfId="0" applyNumberFormat="1" applyFont="1" applyBorder="1" applyAlignment="1">
      <alignment horizontal="center" vertical="center"/>
    </xf>
    <xf numFmtId="0" fontId="25" fillId="4" borderId="20" xfId="0" applyFont="1" applyFill="1" applyBorder="1" applyAlignment="1">
      <alignment vertical="center" wrapText="1"/>
    </xf>
    <xf numFmtId="3" fontId="5" fillId="4" borderId="20" xfId="0" applyNumberFormat="1" applyFont="1" applyFill="1" applyBorder="1" applyAlignment="1">
      <alignment horizontal="center" vertical="center" wrapText="1"/>
    </xf>
    <xf numFmtId="0" fontId="7" fillId="4" borderId="1" xfId="0" applyFont="1" applyFill="1" applyBorder="1"/>
    <xf numFmtId="0" fontId="95" fillId="55" borderId="222" xfId="0" applyFont="1" applyFill="1" applyBorder="1" applyAlignment="1">
      <alignment horizontal="center" vertical="center"/>
    </xf>
    <xf numFmtId="0" fontId="7" fillId="0" borderId="0" xfId="0" applyFont="1" applyFill="1" applyAlignment="1">
      <alignment horizontal="center" vertical="center"/>
    </xf>
    <xf numFmtId="0" fontId="45" fillId="0" borderId="222" xfId="0" applyFont="1" applyFill="1" applyBorder="1" applyAlignment="1">
      <alignment horizontal="center" vertical="center"/>
    </xf>
    <xf numFmtId="0" fontId="59" fillId="0" borderId="222" xfId="0" applyFont="1" applyBorder="1"/>
    <xf numFmtId="175" fontId="59" fillId="0" borderId="222" xfId="0" applyNumberFormat="1" applyFont="1" applyBorder="1"/>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0" fontId="6" fillId="0" borderId="20" xfId="0" applyFont="1" applyBorder="1" applyAlignment="1">
      <alignment horizontal="left"/>
    </xf>
    <xf numFmtId="0" fontId="6" fillId="0" borderId="0" xfId="0" applyFont="1" applyAlignment="1">
      <alignment horizontal="center"/>
    </xf>
    <xf numFmtId="3" fontId="5" fillId="0" borderId="22" xfId="0" applyNumberFormat="1" applyFont="1" applyBorder="1" applyAlignment="1">
      <alignment horizontal="center" vertical="center"/>
    </xf>
    <xf numFmtId="0" fontId="10" fillId="7" borderId="14"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10" fillId="7" borderId="2" xfId="8" applyFont="1" applyFill="1" applyBorder="1" applyAlignment="1">
      <alignment horizontal="center" vertical="center" wrapText="1"/>
    </xf>
    <xf numFmtId="0" fontId="10" fillId="7" borderId="19" xfId="8" applyFont="1" applyFill="1" applyBorder="1" applyAlignment="1">
      <alignment horizontal="center" vertical="center" wrapText="1"/>
    </xf>
    <xf numFmtId="0" fontId="7" fillId="0" borderId="20" xfId="0" applyFont="1" applyBorder="1" applyAlignment="1">
      <alignment horizontal="center" vertical="center"/>
    </xf>
    <xf numFmtId="0" fontId="10" fillId="8" borderId="19" xfId="8" applyFont="1" applyFill="1" applyBorder="1" applyAlignment="1">
      <alignment horizontal="center" vertical="center" wrapText="1"/>
    </xf>
    <xf numFmtId="0" fontId="7" fillId="0" borderId="20" xfId="0" applyFont="1" applyBorder="1" applyAlignment="1">
      <alignment horizontal="center"/>
    </xf>
    <xf numFmtId="0" fontId="6" fillId="0" borderId="20" xfId="0" applyFont="1" applyBorder="1" applyAlignment="1">
      <alignment horizontal="center"/>
    </xf>
    <xf numFmtId="0" fontId="10" fillId="7" borderId="5" xfId="0" applyFont="1" applyFill="1" applyBorder="1" applyAlignment="1">
      <alignment horizontal="center" vertical="center"/>
    </xf>
    <xf numFmtId="0" fontId="10" fillId="7" borderId="38"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16" xfId="0" applyFont="1" applyFill="1" applyBorder="1" applyAlignment="1">
      <alignment horizontal="center" vertical="center"/>
    </xf>
    <xf numFmtId="0" fontId="10" fillId="7" borderId="2" xfId="0" applyFont="1" applyFill="1" applyBorder="1" applyAlignment="1">
      <alignment horizontal="center" vertical="center"/>
    </xf>
    <xf numFmtId="0" fontId="80" fillId="2" borderId="35" xfId="0" applyFont="1" applyFill="1" applyBorder="1" applyAlignment="1">
      <alignment horizontal="left"/>
    </xf>
    <xf numFmtId="0" fontId="80" fillId="2" borderId="36" xfId="0" applyFont="1" applyFill="1" applyBorder="1" applyAlignment="1">
      <alignment horizontal="left"/>
    </xf>
    <xf numFmtId="0" fontId="80" fillId="2" borderId="37" xfId="0" applyFont="1" applyFill="1" applyBorder="1" applyAlignment="1">
      <alignment horizontal="left"/>
    </xf>
    <xf numFmtId="0" fontId="82" fillId="18" borderId="5" xfId="8" applyFont="1" applyFill="1" applyBorder="1" applyAlignment="1">
      <alignment horizontal="center" vertical="center" wrapText="1"/>
    </xf>
    <xf numFmtId="0" fontId="80" fillId="2" borderId="37" xfId="0" applyFont="1" applyFill="1" applyBorder="1" applyAlignment="1">
      <alignment horizontal="left" vertical="center"/>
    </xf>
    <xf numFmtId="0" fontId="80" fillId="2" borderId="0" xfId="0" applyFont="1" applyFill="1" applyAlignment="1">
      <alignment horizontal="left" wrapText="1"/>
    </xf>
    <xf numFmtId="0" fontId="84" fillId="0" borderId="35" xfId="0" applyFont="1" applyBorder="1" applyAlignment="1">
      <alignment horizontal="left" vertical="center" wrapText="1"/>
    </xf>
    <xf numFmtId="0" fontId="83" fillId="0" borderId="36" xfId="0" applyFont="1" applyBorder="1" applyAlignment="1">
      <alignment horizontal="left" vertical="center"/>
    </xf>
    <xf numFmtId="0" fontId="83" fillId="0" borderId="37" xfId="0" applyFont="1" applyBorder="1" applyAlignment="1">
      <alignment horizontal="left" vertical="center"/>
    </xf>
    <xf numFmtId="0" fontId="32" fillId="18" borderId="5" xfId="8" applyFont="1" applyFill="1" applyBorder="1" applyAlignment="1">
      <alignment horizontal="center" vertical="center" wrapText="1"/>
    </xf>
    <xf numFmtId="0" fontId="16" fillId="2" borderId="0" xfId="0" applyFont="1" applyFill="1" applyAlignment="1">
      <alignment horizontal="center" vertical="center"/>
    </xf>
    <xf numFmtId="0" fontId="10" fillId="7" borderId="3" xfId="0" applyFont="1" applyFill="1" applyBorder="1" applyAlignment="1">
      <alignment horizontal="center" vertical="center"/>
    </xf>
    <xf numFmtId="0" fontId="7" fillId="0" borderId="183" xfId="0" applyFont="1" applyBorder="1" applyAlignment="1">
      <alignment vertical="center"/>
    </xf>
    <xf numFmtId="3" fontId="7" fillId="0" borderId="20" xfId="0" applyNumberFormat="1" applyFont="1" applyBorder="1" applyAlignment="1">
      <alignment horizontal="right" vertical="center"/>
    </xf>
    <xf numFmtId="0" fontId="7" fillId="6" borderId="0" xfId="0" applyFont="1" applyFill="1" applyAlignment="1">
      <alignment vertical="center"/>
    </xf>
    <xf numFmtId="0" fontId="9" fillId="0" borderId="20" xfId="0" applyFont="1" applyBorder="1" applyAlignment="1">
      <alignment vertical="center"/>
    </xf>
    <xf numFmtId="3" fontId="9" fillId="0" borderId="20" xfId="0" applyNumberFormat="1" applyFont="1" applyBorder="1" applyAlignment="1">
      <alignment horizontal="right" vertical="center"/>
    </xf>
    <xf numFmtId="0" fontId="10" fillId="0" borderId="0" xfId="0" applyFont="1" applyAlignment="1">
      <alignment horizontal="center" vertical="center"/>
    </xf>
    <xf numFmtId="1" fontId="6" fillId="0" borderId="0" xfId="0" applyNumberFormat="1" applyFont="1" applyAlignment="1">
      <alignment vertical="center"/>
    </xf>
    <xf numFmtId="1" fontId="6" fillId="0" borderId="21" xfId="0" applyNumberFormat="1" applyFont="1" applyBorder="1" applyAlignment="1">
      <alignment horizontal="center"/>
    </xf>
    <xf numFmtId="1" fontId="5" fillId="0" borderId="21" xfId="0" applyNumberFormat="1" applyFont="1" applyBorder="1" applyAlignment="1">
      <alignment horizontal="center" vertical="center"/>
    </xf>
    <xf numFmtId="174" fontId="5" fillId="0" borderId="20" xfId="205" applyNumberFormat="1" applyFont="1" applyBorder="1" applyAlignment="1">
      <alignment horizontal="center" vertical="center"/>
    </xf>
    <xf numFmtId="172" fontId="5" fillId="0" borderId="20" xfId="1" applyNumberFormat="1" applyFont="1" applyBorder="1" applyAlignment="1">
      <alignment vertical="center"/>
    </xf>
    <xf numFmtId="3" fontId="5" fillId="0" borderId="20" xfId="1" applyNumberFormat="1" applyFont="1" applyBorder="1" applyAlignment="1">
      <alignment horizontal="center" vertical="center"/>
    </xf>
    <xf numFmtId="3" fontId="5" fillId="0" borderId="21" xfId="0" applyNumberFormat="1" applyFont="1" applyBorder="1" applyAlignment="1">
      <alignment horizontal="center" vertical="center"/>
    </xf>
    <xf numFmtId="0" fontId="5" fillId="0" borderId="21" xfId="0" applyFont="1" applyBorder="1" applyAlignment="1">
      <alignment vertical="center" wrapText="1"/>
    </xf>
    <xf numFmtId="3" fontId="5" fillId="0" borderId="21" xfId="1" applyNumberFormat="1" applyFont="1" applyBorder="1" applyAlignment="1">
      <alignment horizontal="center" vertical="center"/>
    </xf>
    <xf numFmtId="0" fontId="5" fillId="0" borderId="21" xfId="0" applyFont="1" applyBorder="1" applyAlignment="1">
      <alignment vertical="center"/>
    </xf>
    <xf numFmtId="3" fontId="5" fillId="0" borderId="21" xfId="205" applyNumberFormat="1" applyFont="1" applyBorder="1" applyAlignment="1">
      <alignment horizontal="center" vertical="center"/>
    </xf>
    <xf numFmtId="0" fontId="9" fillId="6" borderId="0" xfId="0" applyFont="1" applyFill="1" applyAlignment="1">
      <alignment vertical="center"/>
    </xf>
    <xf numFmtId="177" fontId="7" fillId="0" borderId="0" xfId="1" applyNumberFormat="1" applyFont="1"/>
    <xf numFmtId="3" fontId="6" fillId="0" borderId="0" xfId="0" applyNumberFormat="1" applyFont="1" applyAlignment="1">
      <alignment vertical="center"/>
    </xf>
    <xf numFmtId="173" fontId="6" fillId="0" borderId="20" xfId="0" applyNumberFormat="1" applyFont="1" applyBorder="1"/>
    <xf numFmtId="3" fontId="7" fillId="0" borderId="0" xfId="0" applyNumberFormat="1" applyFont="1"/>
    <xf numFmtId="0" fontId="6" fillId="6" borderId="0" xfId="0" applyFont="1" applyFill="1"/>
    <xf numFmtId="173" fontId="5" fillId="0" borderId="20" xfId="0" applyNumberFormat="1" applyFont="1" applyBorder="1" applyAlignment="1">
      <alignment vertical="center"/>
    </xf>
    <xf numFmtId="3" fontId="7" fillId="0" borderId="21" xfId="0" applyNumberFormat="1" applyFont="1" applyBorder="1" applyAlignment="1">
      <alignment vertical="center"/>
    </xf>
    <xf numFmtId="0" fontId="7" fillId="0" borderId="21" xfId="0" applyFont="1" applyBorder="1" applyAlignment="1">
      <alignment vertical="center"/>
    </xf>
    <xf numFmtId="9" fontId="240" fillId="0" borderId="21" xfId="1" applyFont="1" applyBorder="1" applyAlignment="1">
      <alignment horizontal="center" vertical="center"/>
    </xf>
    <xf numFmtId="0" fontId="6" fillId="0" borderId="20" xfId="0" applyFont="1" applyBorder="1" applyAlignment="1">
      <alignment vertical="center" wrapText="1"/>
    </xf>
    <xf numFmtId="0" fontId="26" fillId="4" borderId="20" xfId="0" applyFont="1" applyFill="1" applyBorder="1" applyAlignment="1">
      <alignment vertical="center"/>
    </xf>
    <xf numFmtId="0" fontId="26" fillId="4" borderId="20" xfId="0" applyFont="1" applyFill="1" applyBorder="1" applyAlignment="1">
      <alignment horizontal="center" vertical="center"/>
    </xf>
    <xf numFmtId="0" fontId="6" fillId="0" borderId="0" xfId="1" applyNumberFormat="1" applyFont="1"/>
    <xf numFmtId="0" fontId="6" fillId="10" borderId="20" xfId="0" applyFont="1" applyFill="1" applyBorder="1" applyAlignment="1">
      <alignment vertical="center"/>
    </xf>
    <xf numFmtId="0" fontId="6" fillId="10" borderId="20" xfId="0" applyFont="1" applyFill="1" applyBorder="1" applyAlignment="1">
      <alignment horizontal="center" vertical="center"/>
    </xf>
    <xf numFmtId="0" fontId="6" fillId="10" borderId="20" xfId="0" applyFont="1" applyFill="1" applyBorder="1" applyAlignment="1">
      <alignment vertical="center" wrapText="1"/>
    </xf>
    <xf numFmtId="0" fontId="16" fillId="2" borderId="0" xfId="0" applyFont="1" applyFill="1" applyAlignment="1">
      <alignment horizontal="center"/>
    </xf>
    <xf numFmtId="0" fontId="68" fillId="0" borderId="0" xfId="21" applyFont="1" applyAlignment="1">
      <alignment horizontal="left" vertical="center" wrapText="1"/>
    </xf>
    <xf numFmtId="0" fontId="104" fillId="7" borderId="157" xfId="0" applyFont="1" applyFill="1" applyBorder="1" applyAlignment="1">
      <alignment horizontal="center" vertical="center" wrapText="1"/>
    </xf>
    <xf numFmtId="0" fontId="104" fillId="7" borderId="126" xfId="0" applyFont="1" applyFill="1" applyBorder="1" applyAlignment="1">
      <alignment horizontal="center" vertical="center" wrapText="1"/>
    </xf>
    <xf numFmtId="0" fontId="104" fillId="7" borderId="130" xfId="0" applyFont="1" applyFill="1" applyBorder="1" applyAlignment="1">
      <alignment horizontal="center" vertical="center" wrapText="1"/>
    </xf>
    <xf numFmtId="0" fontId="104" fillId="7" borderId="156" xfId="0" applyFont="1" applyFill="1" applyBorder="1" applyAlignment="1">
      <alignment horizontal="center" vertical="center" wrapText="1"/>
    </xf>
    <xf numFmtId="0" fontId="104" fillId="7" borderId="125" xfId="0" applyFont="1" applyFill="1" applyBorder="1" applyAlignment="1">
      <alignment horizontal="center" vertical="center" wrapText="1"/>
    </xf>
    <xf numFmtId="0" fontId="104" fillId="7" borderId="129" xfId="0" applyFont="1" applyFill="1" applyBorder="1" applyAlignment="1">
      <alignment horizontal="center" vertical="center" wrapText="1"/>
    </xf>
    <xf numFmtId="0" fontId="104" fillId="7" borderId="124" xfId="0" applyFont="1" applyFill="1" applyBorder="1" applyAlignment="1">
      <alignment horizontal="center" vertical="center" wrapText="1"/>
    </xf>
    <xf numFmtId="0" fontId="104" fillId="7" borderId="127" xfId="0" applyFont="1" applyFill="1" applyBorder="1" applyAlignment="1">
      <alignment horizontal="center" vertical="center" wrapText="1"/>
    </xf>
    <xf numFmtId="0" fontId="103" fillId="7" borderId="134" xfId="2" applyFont="1" applyFill="1" applyBorder="1" applyAlignment="1">
      <alignment horizontal="center" vertical="center"/>
    </xf>
    <xf numFmtId="0" fontId="103" fillId="7" borderId="155" xfId="2" applyFont="1" applyFill="1" applyBorder="1" applyAlignment="1">
      <alignment horizontal="center" vertical="center"/>
    </xf>
    <xf numFmtId="0" fontId="103" fillId="7" borderId="135" xfId="2" applyFont="1" applyFill="1" applyBorder="1" applyAlignment="1">
      <alignment horizontal="center" vertical="center"/>
    </xf>
    <xf numFmtId="0" fontId="107" fillId="7" borderId="156" xfId="4" applyFont="1" applyFill="1" applyBorder="1" applyAlignment="1">
      <alignment horizontal="center" vertical="center" wrapText="1"/>
    </xf>
    <xf numFmtId="0" fontId="107" fillId="7" borderId="129" xfId="4" applyFont="1" applyFill="1" applyBorder="1" applyAlignment="1">
      <alignment horizontal="center" vertical="center" wrapText="1"/>
    </xf>
    <xf numFmtId="0" fontId="107" fillId="7" borderId="157" xfId="20" applyFont="1" applyFill="1" applyBorder="1" applyAlignment="1">
      <alignment horizontal="center" vertical="center" wrapText="1"/>
    </xf>
    <xf numFmtId="0" fontId="107" fillId="7" borderId="130" xfId="20" applyFont="1" applyFill="1" applyBorder="1" applyAlignment="1">
      <alignment horizontal="center" vertical="center" wrapText="1"/>
    </xf>
    <xf numFmtId="1" fontId="107" fillId="7" borderId="157" xfId="4" applyNumberFormat="1" applyFont="1" applyFill="1" applyBorder="1" applyAlignment="1">
      <alignment horizontal="center" vertical="center" wrapText="1"/>
    </xf>
    <xf numFmtId="1" fontId="107" fillId="7" borderId="130" xfId="4" applyNumberFormat="1" applyFont="1" applyFill="1" applyBorder="1" applyAlignment="1">
      <alignment horizontal="center" vertical="center" wrapText="1"/>
    </xf>
    <xf numFmtId="0" fontId="107" fillId="7" borderId="157" xfId="4" applyFont="1" applyFill="1" applyBorder="1" applyAlignment="1">
      <alignment horizontal="center" vertical="center" wrapText="1"/>
    </xf>
    <xf numFmtId="0" fontId="107" fillId="7" borderId="130" xfId="4" applyFont="1" applyFill="1" applyBorder="1" applyAlignment="1">
      <alignment horizontal="center" vertical="center" wrapText="1"/>
    </xf>
    <xf numFmtId="1" fontId="104" fillId="7" borderId="157" xfId="2" applyNumberFormat="1" applyFont="1" applyFill="1" applyBorder="1" applyAlignment="1">
      <alignment horizontal="center" vertical="center" wrapText="1"/>
    </xf>
    <xf numFmtId="1" fontId="104" fillId="7" borderId="130" xfId="2" applyNumberFormat="1" applyFont="1" applyFill="1" applyBorder="1" applyAlignment="1">
      <alignment horizontal="center" vertical="center" wrapText="1"/>
    </xf>
    <xf numFmtId="1" fontId="104" fillId="7" borderId="157" xfId="2" quotePrefix="1" applyNumberFormat="1" applyFont="1" applyFill="1" applyBorder="1" applyAlignment="1">
      <alignment horizontal="center" vertical="center" wrapText="1"/>
    </xf>
    <xf numFmtId="0" fontId="104" fillId="7" borderId="157" xfId="2" applyFont="1" applyFill="1" applyBorder="1" applyAlignment="1">
      <alignment horizontal="center" vertical="center"/>
    </xf>
    <xf numFmtId="0" fontId="104" fillId="7" borderId="124" xfId="2" applyFont="1" applyFill="1" applyBorder="1" applyAlignment="1">
      <alignment horizontal="center" vertical="center"/>
    </xf>
    <xf numFmtId="0" fontId="104" fillId="7" borderId="157" xfId="0" applyFont="1" applyFill="1" applyBorder="1" applyAlignment="1">
      <alignment horizontal="center" vertical="center"/>
    </xf>
    <xf numFmtId="0" fontId="104" fillId="7" borderId="124" xfId="0" applyFont="1" applyFill="1" applyBorder="1" applyAlignment="1">
      <alignment horizontal="center" vertical="center"/>
    </xf>
    <xf numFmtId="0" fontId="104" fillId="7" borderId="126" xfId="0" applyFont="1" applyFill="1" applyBorder="1" applyAlignment="1">
      <alignment horizontal="center" vertical="center"/>
    </xf>
    <xf numFmtId="0" fontId="10" fillId="7" borderId="5" xfId="8" applyFont="1" applyFill="1" applyBorder="1" applyAlignment="1">
      <alignment horizontal="center" vertical="center" wrapText="1"/>
    </xf>
    <xf numFmtId="0" fontId="10" fillId="7" borderId="25" xfId="8" applyFont="1" applyFill="1" applyBorder="1" applyAlignment="1">
      <alignment horizontal="center" vertical="center" wrapText="1"/>
    </xf>
    <xf numFmtId="3" fontId="6" fillId="0" borderId="22" xfId="0" applyNumberFormat="1" applyFont="1" applyBorder="1" applyAlignment="1">
      <alignment horizontal="left" vertical="center"/>
    </xf>
    <xf numFmtId="3" fontId="6" fillId="0" borderId="23" xfId="0" applyNumberFormat="1" applyFont="1" applyBorder="1" applyAlignment="1">
      <alignment horizontal="left" vertical="center"/>
    </xf>
    <xf numFmtId="3" fontId="6" fillId="0" borderId="24" xfId="0" applyNumberFormat="1" applyFont="1" applyBorder="1" applyAlignment="1">
      <alignment horizontal="left" vertical="center"/>
    </xf>
    <xf numFmtId="0" fontId="10" fillId="7" borderId="3" xfId="8" applyFont="1" applyFill="1" applyBorder="1" applyAlignment="1">
      <alignment horizontal="center" vertical="center" wrapText="1"/>
    </xf>
    <xf numFmtId="3" fontId="5" fillId="0" borderId="33" xfId="0" applyNumberFormat="1" applyFont="1" applyBorder="1" applyAlignment="1">
      <alignment horizontal="center" vertical="center" wrapText="1"/>
    </xf>
    <xf numFmtId="3" fontId="5" fillId="0" borderId="39" xfId="0" applyNumberFormat="1" applyFont="1" applyBorder="1" applyAlignment="1">
      <alignment horizontal="center" vertical="center" wrapText="1"/>
    </xf>
    <xf numFmtId="3" fontId="5" fillId="0" borderId="21" xfId="0" applyNumberFormat="1" applyFont="1" applyBorder="1" applyAlignment="1">
      <alignment horizontal="center" vertical="center" wrapText="1"/>
    </xf>
    <xf numFmtId="0" fontId="10" fillId="15" borderId="0" xfId="8" applyFont="1" applyFill="1" applyAlignment="1">
      <alignment horizontal="center" vertical="center" wrapText="1"/>
    </xf>
    <xf numFmtId="0" fontId="10" fillId="15" borderId="15" xfId="8" applyFont="1" applyFill="1" applyBorder="1" applyAlignment="1">
      <alignment horizontal="center" vertical="center" wrapText="1"/>
    </xf>
    <xf numFmtId="0" fontId="6" fillId="0" borderId="20" xfId="0" applyFont="1" applyBorder="1" applyAlignment="1">
      <alignment horizontal="left"/>
    </xf>
    <xf numFmtId="0" fontId="6" fillId="0" borderId="20" xfId="0" applyFont="1" applyBorder="1" applyAlignment="1">
      <alignment horizontal="left" vertical="center"/>
    </xf>
    <xf numFmtId="0" fontId="7" fillId="0" borderId="20" xfId="0" applyFont="1" applyBorder="1" applyAlignment="1">
      <alignment horizontal="center" vertical="center"/>
    </xf>
    <xf numFmtId="0" fontId="10" fillId="7" borderId="26" xfId="8" applyFont="1" applyFill="1" applyBorder="1" applyAlignment="1">
      <alignment horizontal="center" vertical="center" wrapText="1"/>
    </xf>
    <xf numFmtId="0" fontId="10" fillId="7" borderId="27" xfId="8" applyFont="1" applyFill="1" applyBorder="1" applyAlignment="1">
      <alignment horizontal="center" vertical="center" wrapText="1"/>
    </xf>
    <xf numFmtId="0" fontId="10" fillId="7" borderId="28" xfId="8" applyFont="1" applyFill="1" applyBorder="1" applyAlignment="1">
      <alignment horizontal="center" vertical="center" wrapText="1"/>
    </xf>
    <xf numFmtId="0" fontId="10" fillId="7" borderId="9" xfId="8" applyFont="1" applyFill="1" applyBorder="1" applyAlignment="1">
      <alignment horizontal="center" vertical="center" wrapText="1"/>
    </xf>
    <xf numFmtId="0" fontId="10" fillId="7" borderId="10" xfId="8" applyFont="1" applyFill="1" applyBorder="1" applyAlignment="1">
      <alignment horizontal="center" vertical="center" wrapText="1"/>
    </xf>
    <xf numFmtId="0" fontId="10" fillId="7" borderId="4" xfId="8" applyFont="1" applyFill="1" applyBorder="1" applyAlignment="1">
      <alignment horizontal="center" vertical="center" wrapText="1"/>
    </xf>
    <xf numFmtId="0" fontId="10" fillId="7" borderId="18" xfId="8" applyFont="1" applyFill="1" applyBorder="1" applyAlignment="1">
      <alignment horizontal="center" vertical="center" wrapText="1"/>
    </xf>
    <xf numFmtId="0" fontId="10" fillId="7" borderId="0" xfId="8" applyFont="1" applyFill="1" applyAlignment="1">
      <alignment horizontal="center" vertical="center" wrapText="1"/>
    </xf>
    <xf numFmtId="0" fontId="10" fillId="7" borderId="19" xfId="8" applyFont="1" applyFill="1" applyBorder="1" applyAlignment="1">
      <alignment horizontal="center" vertical="center" wrapText="1"/>
    </xf>
    <xf numFmtId="0" fontId="10" fillId="7" borderId="14"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6" fillId="0" borderId="0" xfId="0" applyFont="1" applyAlignment="1">
      <alignment horizontal="left" wrapText="1"/>
    </xf>
    <xf numFmtId="0" fontId="7" fillId="0" borderId="22" xfId="0" applyFont="1" applyBorder="1" applyAlignment="1">
      <alignment horizontal="left" vertical="center"/>
    </xf>
    <xf numFmtId="0" fontId="7" fillId="0" borderId="24" xfId="0" applyFont="1" applyBorder="1" applyAlignment="1">
      <alignment horizontal="left" vertical="center"/>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0" fontId="6" fillId="0" borderId="24" xfId="0" applyFont="1" applyBorder="1" applyAlignment="1">
      <alignment horizontal="left" vertical="center" wrapText="1"/>
    </xf>
    <xf numFmtId="0" fontId="6" fillId="0" borderId="20" xfId="0" applyFont="1" applyBorder="1" applyAlignment="1">
      <alignment horizontal="left" vertical="center" wrapText="1"/>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6" fillId="0" borderId="22" xfId="0" applyFont="1" applyBorder="1" applyAlignment="1">
      <alignment horizontal="left" vertical="center"/>
    </xf>
    <xf numFmtId="0" fontId="6" fillId="0" borderId="24" xfId="0" applyFont="1" applyBorder="1" applyAlignment="1">
      <alignment horizontal="left" vertical="center"/>
    </xf>
    <xf numFmtId="0" fontId="10" fillId="17" borderId="14" xfId="0" applyFont="1" applyFill="1" applyBorder="1" applyAlignment="1">
      <alignment horizontal="center" vertical="center"/>
    </xf>
    <xf numFmtId="0" fontId="10" fillId="17" borderId="16" xfId="0" applyFont="1" applyFill="1" applyBorder="1" applyAlignment="1">
      <alignment horizontal="center" vertical="center"/>
    </xf>
    <xf numFmtId="0" fontId="10" fillId="17" borderId="2" xfId="0" applyFont="1" applyFill="1" applyBorder="1" applyAlignment="1">
      <alignment horizontal="center" vertical="center"/>
    </xf>
    <xf numFmtId="0" fontId="10" fillId="7" borderId="15" xfId="8" applyFont="1" applyFill="1" applyBorder="1" applyAlignment="1">
      <alignment horizontal="center" vertical="center" wrapText="1"/>
    </xf>
    <xf numFmtId="0" fontId="10" fillId="7" borderId="43" xfId="8" applyFont="1" applyFill="1" applyBorder="1" applyAlignment="1">
      <alignment horizontal="center" vertical="center" wrapText="1"/>
    </xf>
    <xf numFmtId="0" fontId="10" fillId="7" borderId="40" xfId="8" applyFont="1" applyFill="1" applyBorder="1" applyAlignment="1">
      <alignment horizontal="center" vertical="center" wrapText="1"/>
    </xf>
    <xf numFmtId="0" fontId="10" fillId="7" borderId="2" xfId="8" applyFont="1" applyFill="1" applyBorder="1" applyAlignment="1">
      <alignment horizontal="center" vertical="center" wrapText="1"/>
    </xf>
    <xf numFmtId="0" fontId="10" fillId="7" borderId="41" xfId="8" applyFont="1" applyFill="1" applyBorder="1" applyAlignment="1">
      <alignment horizontal="center" vertical="center" wrapText="1"/>
    </xf>
    <xf numFmtId="0" fontId="10" fillId="7" borderId="42" xfId="8" applyFont="1" applyFill="1" applyBorder="1" applyAlignment="1">
      <alignment horizontal="center" vertical="center" wrapText="1"/>
    </xf>
    <xf numFmtId="3" fontId="5" fillId="0" borderId="22" xfId="0" applyNumberFormat="1" applyFont="1" applyBorder="1" applyAlignment="1">
      <alignment horizontal="center" vertical="center"/>
    </xf>
    <xf numFmtId="3" fontId="5" fillId="0" borderId="24"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9" fillId="0" borderId="24" xfId="0" applyNumberFormat="1" applyFont="1" applyBorder="1" applyAlignment="1">
      <alignment horizontal="center" vertical="center"/>
    </xf>
    <xf numFmtId="0" fontId="6" fillId="0" borderId="23" xfId="0" applyFont="1" applyBorder="1" applyAlignment="1">
      <alignment horizontal="left" vertical="center"/>
    </xf>
    <xf numFmtId="0" fontId="6" fillId="0" borderId="22" xfId="0" applyFont="1" applyFill="1" applyBorder="1" applyAlignment="1">
      <alignment horizontal="left" vertical="center" wrapText="1"/>
    </xf>
    <xf numFmtId="0" fontId="6" fillId="0" borderId="23" xfId="0" applyFont="1" applyFill="1" applyBorder="1" applyAlignment="1">
      <alignment horizontal="left" vertical="center" wrapText="1"/>
    </xf>
    <xf numFmtId="0" fontId="6" fillId="0" borderId="24" xfId="0" applyFont="1" applyFill="1" applyBorder="1" applyAlignment="1">
      <alignment horizontal="left" vertical="center" wrapText="1"/>
    </xf>
    <xf numFmtId="0" fontId="6" fillId="0" borderId="20" xfId="0" applyFont="1" applyBorder="1" applyAlignment="1">
      <alignment horizontal="left" wrapText="1"/>
    </xf>
    <xf numFmtId="0" fontId="8" fillId="0" borderId="20" xfId="0" applyFont="1" applyBorder="1" applyAlignment="1">
      <alignment horizontal="left" vertical="center"/>
    </xf>
    <xf numFmtId="0" fontId="10" fillId="15" borderId="5" xfId="8" applyFont="1" applyFill="1" applyBorder="1" applyAlignment="1">
      <alignment horizontal="center" vertical="center" wrapText="1"/>
    </xf>
    <xf numFmtId="0" fontId="10" fillId="15" borderId="25" xfId="8" applyFont="1" applyFill="1" applyBorder="1" applyAlignment="1">
      <alignment horizontal="center" vertical="center" wrapText="1"/>
    </xf>
    <xf numFmtId="0" fontId="7" fillId="0" borderId="6" xfId="0" applyFont="1" applyBorder="1" applyAlignment="1">
      <alignment horizontal="center" vertical="center"/>
    </xf>
    <xf numFmtId="0" fontId="6" fillId="0" borderId="0" xfId="0" applyFont="1" applyAlignment="1">
      <alignment horizontal="center"/>
    </xf>
    <xf numFmtId="0" fontId="10" fillId="7" borderId="222" xfId="8" applyFont="1" applyFill="1" applyBorder="1" applyAlignment="1">
      <alignment horizontal="center" vertical="center" wrapText="1"/>
    </xf>
    <xf numFmtId="0" fontId="10" fillId="15" borderId="9" xfId="8" applyFont="1" applyFill="1" applyBorder="1" applyAlignment="1">
      <alignment horizontal="center" vertical="center" wrapText="1"/>
    </xf>
    <xf numFmtId="0" fontId="10" fillId="15" borderId="10" xfId="8" applyFont="1" applyFill="1" applyBorder="1" applyAlignment="1">
      <alignment horizontal="center" vertical="center" wrapText="1"/>
    </xf>
    <xf numFmtId="0" fontId="10" fillId="15" borderId="4" xfId="8" applyFont="1" applyFill="1" applyBorder="1" applyAlignment="1">
      <alignment horizontal="center" vertical="center" wrapText="1"/>
    </xf>
    <xf numFmtId="0" fontId="10" fillId="15" borderId="29" xfId="8" applyFont="1" applyFill="1" applyBorder="1" applyAlignment="1">
      <alignment horizontal="center" vertical="center" wrapText="1"/>
    </xf>
    <xf numFmtId="0" fontId="10" fillId="15" borderId="30" xfId="8" applyFont="1" applyFill="1" applyBorder="1" applyAlignment="1">
      <alignment horizontal="center" vertical="center" wrapText="1"/>
    </xf>
    <xf numFmtId="0" fontId="10" fillId="15" borderId="31" xfId="8" applyFont="1" applyFill="1" applyBorder="1" applyAlignment="1">
      <alignment horizontal="center" vertical="center" wrapText="1"/>
    </xf>
    <xf numFmtId="0" fontId="7" fillId="0" borderId="23" xfId="0" applyFont="1" applyBorder="1" applyAlignment="1">
      <alignment horizontal="left" vertical="center"/>
    </xf>
    <xf numFmtId="0" fontId="7" fillId="0" borderId="33" xfId="0" applyFont="1" applyBorder="1" applyAlignment="1">
      <alignment horizontal="left" vertical="center"/>
    </xf>
    <xf numFmtId="0" fontId="7" fillId="0" borderId="21" xfId="0" applyFont="1" applyBorder="1" applyAlignment="1">
      <alignment horizontal="left" vertical="center"/>
    </xf>
    <xf numFmtId="0" fontId="7" fillId="0" borderId="12" xfId="0" applyFont="1" applyBorder="1" applyAlignment="1">
      <alignment horizontal="center"/>
    </xf>
    <xf numFmtId="0" fontId="10" fillId="7" borderId="11" xfId="8" applyFont="1" applyFill="1" applyBorder="1" applyAlignment="1">
      <alignment horizontal="center" vertical="center" wrapText="1"/>
    </xf>
    <xf numFmtId="0" fontId="10" fillId="7" borderId="12" xfId="8" applyFont="1" applyFill="1" applyBorder="1" applyAlignment="1">
      <alignment horizontal="center" vertical="center" wrapText="1"/>
    </xf>
    <xf numFmtId="0" fontId="10" fillId="7" borderId="13" xfId="8" applyFont="1" applyFill="1" applyBorder="1" applyAlignment="1">
      <alignment horizontal="center" vertical="center" wrapText="1"/>
    </xf>
    <xf numFmtId="0" fontId="7" fillId="0" borderId="22" xfId="0" applyFont="1" applyBorder="1" applyAlignment="1">
      <alignment horizontal="left" vertical="center" wrapText="1"/>
    </xf>
    <xf numFmtId="0" fontId="7" fillId="0" borderId="24" xfId="0" applyFont="1" applyBorder="1" applyAlignment="1">
      <alignment horizontal="left" vertical="center" wrapText="1"/>
    </xf>
    <xf numFmtId="0" fontId="7" fillId="0" borderId="22" xfId="0" applyFont="1" applyBorder="1" applyAlignment="1">
      <alignment horizontal="center" vertical="center" wrapText="1"/>
    </xf>
    <xf numFmtId="0" fontId="7" fillId="0" borderId="24" xfId="0" applyFont="1" applyBorder="1" applyAlignment="1">
      <alignment horizontal="center" vertical="center" wrapText="1"/>
    </xf>
    <xf numFmtId="3" fontId="9" fillId="0" borderId="20" xfId="0" applyNumberFormat="1" applyFont="1" applyBorder="1" applyAlignment="1">
      <alignment horizontal="center" vertical="center"/>
    </xf>
    <xf numFmtId="0" fontId="7" fillId="0" borderId="33" xfId="0" applyFont="1" applyBorder="1" applyAlignment="1">
      <alignment horizontal="left" vertical="center" wrapText="1"/>
    </xf>
    <xf numFmtId="0" fontId="7" fillId="0" borderId="21" xfId="0" applyFont="1" applyBorder="1" applyAlignment="1">
      <alignment horizontal="left" vertical="center" wrapText="1"/>
    </xf>
    <xf numFmtId="0" fontId="95" fillId="55" borderId="103" xfId="0" applyFont="1" applyFill="1" applyBorder="1" applyAlignment="1">
      <alignment horizontal="center" vertical="center" wrapText="1"/>
    </xf>
    <xf numFmtId="0" fontId="95" fillId="55" borderId="314" xfId="0" applyFont="1" applyFill="1" applyBorder="1" applyAlignment="1">
      <alignment horizontal="center" vertical="center" wrapText="1"/>
    </xf>
    <xf numFmtId="0" fontId="95" fillId="55" borderId="97" xfId="0" applyFont="1" applyFill="1" applyBorder="1" applyAlignment="1">
      <alignment horizontal="center" vertical="center"/>
    </xf>
    <xf numFmtId="0" fontId="44" fillId="0" borderId="44" xfId="0" applyFont="1" applyBorder="1" applyAlignment="1">
      <alignment horizontal="center" vertical="center" wrapText="1"/>
    </xf>
    <xf numFmtId="0" fontId="44" fillId="0" borderId="45" xfId="0" applyFont="1" applyBorder="1" applyAlignment="1">
      <alignment horizontal="center" vertical="center" wrapText="1"/>
    </xf>
    <xf numFmtId="0" fontId="44" fillId="0" borderId="46" xfId="0" applyFont="1" applyBorder="1" applyAlignment="1">
      <alignment horizontal="center" vertical="center" wrapText="1"/>
    </xf>
    <xf numFmtId="0" fontId="44" fillId="2" borderId="6" xfId="0" applyFont="1" applyFill="1" applyBorder="1" applyAlignment="1">
      <alignment horizontal="center" vertical="center"/>
    </xf>
    <xf numFmtId="0" fontId="95" fillId="55" borderId="222" xfId="0" applyFont="1" applyFill="1" applyBorder="1" applyAlignment="1">
      <alignment horizontal="center" vertical="center"/>
    </xf>
    <xf numFmtId="0" fontId="95" fillId="55" borderId="99" xfId="0" applyFont="1" applyFill="1" applyBorder="1" applyAlignment="1">
      <alignment horizontal="center" vertical="center"/>
    </xf>
    <xf numFmtId="0" fontId="95" fillId="55" borderId="101" xfId="0" applyFont="1" applyFill="1" applyBorder="1" applyAlignment="1">
      <alignment horizontal="center" vertical="center"/>
    </xf>
    <xf numFmtId="0" fontId="95" fillId="55" borderId="100" xfId="0" applyFont="1" applyFill="1" applyBorder="1" applyAlignment="1">
      <alignment horizontal="center" vertical="center"/>
    </xf>
    <xf numFmtId="0" fontId="95" fillId="55" borderId="102" xfId="0" applyFont="1" applyFill="1" applyBorder="1" applyAlignment="1">
      <alignment horizontal="center" vertical="center"/>
    </xf>
    <xf numFmtId="0" fontId="95" fillId="55" borderId="103" xfId="0" applyFont="1" applyFill="1" applyBorder="1" applyAlignment="1">
      <alignment horizontal="center" vertical="center"/>
    </xf>
    <xf numFmtId="0" fontId="95" fillId="55" borderId="104" xfId="0" applyFont="1" applyFill="1" applyBorder="1" applyAlignment="1">
      <alignment horizontal="center" vertical="center"/>
    </xf>
    <xf numFmtId="0" fontId="7" fillId="2" borderId="12" xfId="0" applyFont="1" applyFill="1" applyBorder="1" applyAlignment="1">
      <alignment horizontal="center" vertical="center"/>
    </xf>
    <xf numFmtId="0" fontId="6" fillId="2" borderId="0" xfId="0" applyFont="1" applyFill="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0" borderId="35" xfId="0" applyFont="1" applyBorder="1" applyAlignment="1">
      <alignment horizontal="center" vertical="center"/>
    </xf>
    <xf numFmtId="0" fontId="7" fillId="0" borderId="36" xfId="0" applyFont="1" applyBorder="1" applyAlignment="1">
      <alignment horizontal="center" vertical="center"/>
    </xf>
    <xf numFmtId="0" fontId="7" fillId="0" borderId="37" xfId="0" applyFont="1" applyBorder="1" applyAlignment="1">
      <alignment horizontal="center" vertical="center"/>
    </xf>
    <xf numFmtId="0" fontId="7" fillId="0" borderId="22" xfId="0" applyFont="1" applyBorder="1" applyAlignment="1">
      <alignment horizontal="center"/>
    </xf>
    <xf numFmtId="0" fontId="7" fillId="0" borderId="24" xfId="0" applyFont="1" applyBorder="1" applyAlignment="1">
      <alignment horizontal="center"/>
    </xf>
    <xf numFmtId="0" fontId="7" fillId="0" borderId="20" xfId="0" applyFont="1" applyBorder="1" applyAlignment="1">
      <alignment horizontal="center"/>
    </xf>
    <xf numFmtId="0" fontId="7" fillId="0" borderId="23" xfId="0" applyFont="1" applyBorder="1" applyAlignment="1">
      <alignment horizontal="center" vertical="center"/>
    </xf>
    <xf numFmtId="0" fontId="6" fillId="0" borderId="20" xfId="0" applyFont="1" applyBorder="1" applyAlignment="1">
      <alignment horizontal="center"/>
    </xf>
    <xf numFmtId="0" fontId="7" fillId="2" borderId="0" xfId="0" applyFont="1" applyFill="1" applyAlignment="1">
      <alignment horizontal="center" vertical="center"/>
    </xf>
    <xf numFmtId="0" fontId="7" fillId="2" borderId="6" xfId="0" applyFont="1" applyFill="1" applyBorder="1" applyAlignment="1">
      <alignment horizontal="center" vertical="center"/>
    </xf>
    <xf numFmtId="0" fontId="6" fillId="2" borderId="17" xfId="0" applyFont="1" applyFill="1" applyBorder="1" applyAlignment="1">
      <alignment horizontal="left" vertical="center"/>
    </xf>
    <xf numFmtId="0" fontId="6" fillId="16" borderId="20" xfId="0" applyFont="1" applyFill="1" applyBorder="1" applyAlignment="1">
      <alignment horizontal="center"/>
    </xf>
    <xf numFmtId="0" fontId="6" fillId="13" borderId="20" xfId="0" applyFont="1" applyFill="1" applyBorder="1" applyAlignment="1">
      <alignment horizontal="center"/>
    </xf>
    <xf numFmtId="0" fontId="7" fillId="2" borderId="22" xfId="0" applyFont="1" applyFill="1" applyBorder="1" applyAlignment="1">
      <alignment horizontal="center" vertical="center"/>
    </xf>
    <xf numFmtId="0" fontId="7" fillId="2" borderId="23" xfId="0" applyFont="1" applyFill="1" applyBorder="1" applyAlignment="1">
      <alignment horizontal="center" vertical="center"/>
    </xf>
    <xf numFmtId="0" fontId="7" fillId="2" borderId="24" xfId="0" applyFont="1" applyFill="1" applyBorder="1" applyAlignment="1">
      <alignment horizontal="center" vertical="center"/>
    </xf>
    <xf numFmtId="0" fontId="6" fillId="16" borderId="22" xfId="0" applyFont="1" applyFill="1" applyBorder="1" applyAlignment="1">
      <alignment horizontal="center"/>
    </xf>
    <xf numFmtId="0" fontId="6" fillId="16" borderId="24" xfId="0" applyFont="1" applyFill="1" applyBorder="1" applyAlignment="1">
      <alignment horizontal="center"/>
    </xf>
    <xf numFmtId="0" fontId="7" fillId="2" borderId="20"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16" xfId="0" applyFont="1" applyFill="1" applyBorder="1" applyAlignment="1">
      <alignment horizontal="center" vertical="center"/>
    </xf>
    <xf numFmtId="0" fontId="10" fillId="7" borderId="5" xfId="0" applyFont="1" applyFill="1" applyBorder="1" applyAlignment="1">
      <alignment horizontal="center" vertical="center"/>
    </xf>
    <xf numFmtId="0" fontId="10" fillId="7" borderId="38" xfId="0" applyFont="1" applyFill="1" applyBorder="1" applyAlignment="1">
      <alignment horizontal="center" vertical="center"/>
    </xf>
    <xf numFmtId="0" fontId="10" fillId="7" borderId="2" xfId="0" applyFont="1" applyFill="1" applyBorder="1" applyAlignment="1">
      <alignment horizontal="center" vertical="center"/>
    </xf>
    <xf numFmtId="0" fontId="9" fillId="6" borderId="14" xfId="0" applyFont="1" applyFill="1" applyBorder="1" applyAlignment="1">
      <alignment horizontal="center" vertical="center"/>
    </xf>
    <xf numFmtId="0" fontId="9" fillId="6" borderId="16" xfId="0" applyFont="1" applyFill="1" applyBorder="1" applyAlignment="1">
      <alignment horizontal="center" vertical="center"/>
    </xf>
    <xf numFmtId="0" fontId="9" fillId="6" borderId="2" xfId="0" applyFont="1" applyFill="1" applyBorder="1" applyAlignment="1">
      <alignment horizontal="center" vertical="center"/>
    </xf>
    <xf numFmtId="0" fontId="6" fillId="0" borderId="22" xfId="0" applyFont="1" applyBorder="1" applyAlignment="1">
      <alignment horizontal="center"/>
    </xf>
    <xf numFmtId="0" fontId="6" fillId="0" borderId="24" xfId="0" applyFont="1" applyBorder="1" applyAlignment="1">
      <alignment horizontal="center"/>
    </xf>
    <xf numFmtId="0" fontId="5" fillId="0" borderId="20" xfId="0" applyFont="1" applyBorder="1" applyAlignment="1">
      <alignment horizontal="center" vertical="center"/>
    </xf>
    <xf numFmtId="0" fontId="7" fillId="0" borderId="12" xfId="0" applyFont="1" applyBorder="1" applyAlignment="1">
      <alignment horizontal="center" vertical="center" wrapText="1"/>
    </xf>
    <xf numFmtId="0" fontId="10" fillId="7" borderId="3" xfId="0" applyFont="1" applyFill="1" applyBorder="1" applyAlignment="1">
      <alignment horizontal="center" vertical="center"/>
    </xf>
    <xf numFmtId="0" fontId="10" fillId="7" borderId="25" xfId="0" applyFont="1" applyFill="1" applyBorder="1" applyAlignment="1">
      <alignment horizontal="center" vertical="center"/>
    </xf>
    <xf numFmtId="0" fontId="6" fillId="0" borderId="22" xfId="0" applyFont="1" applyBorder="1" applyAlignment="1">
      <alignment horizontal="center" vertical="center"/>
    </xf>
    <xf numFmtId="0" fontId="6" fillId="0" borderId="24" xfId="0" applyFont="1" applyBorder="1" applyAlignment="1">
      <alignment horizontal="center" vertical="center"/>
    </xf>
    <xf numFmtId="0" fontId="6" fillId="0" borderId="20" xfId="0" applyFont="1" applyBorder="1" applyAlignment="1">
      <alignment horizontal="center" vertical="center"/>
    </xf>
    <xf numFmtId="0" fontId="29" fillId="2" borderId="35" xfId="0" applyFont="1" applyFill="1" applyBorder="1" applyAlignment="1">
      <alignment horizontal="center" vertical="center"/>
    </xf>
    <xf numFmtId="0" fontId="29" fillId="2" borderId="36" xfId="0" applyFont="1" applyFill="1" applyBorder="1" applyAlignment="1">
      <alignment horizontal="center" vertical="center"/>
    </xf>
    <xf numFmtId="0" fontId="29" fillId="2" borderId="37" xfId="0" applyFont="1" applyFill="1" applyBorder="1" applyAlignment="1">
      <alignment horizontal="center" vertical="center"/>
    </xf>
    <xf numFmtId="0" fontId="6" fillId="2" borderId="17" xfId="0" applyFont="1" applyFill="1" applyBorder="1" applyAlignment="1">
      <alignment horizontal="center"/>
    </xf>
    <xf numFmtId="0" fontId="7" fillId="6" borderId="0" xfId="0" applyFont="1" applyFill="1" applyAlignment="1">
      <alignment horizontal="left" vertical="center" wrapText="1"/>
    </xf>
    <xf numFmtId="0" fontId="9" fillId="0" borderId="20" xfId="0" applyFont="1" applyBorder="1" applyAlignment="1">
      <alignment horizontal="center" vertical="center"/>
    </xf>
    <xf numFmtId="0" fontId="84" fillId="0" borderId="35" xfId="0" applyFont="1" applyBorder="1" applyAlignment="1">
      <alignment horizontal="left" vertical="center" wrapText="1"/>
    </xf>
    <xf numFmtId="0" fontId="84" fillId="0" borderId="37" xfId="0" applyFont="1" applyBorder="1" applyAlignment="1">
      <alignment horizontal="left" vertical="center" wrapText="1"/>
    </xf>
    <xf numFmtId="0" fontId="83" fillId="0" borderId="35" xfId="0" applyFont="1" applyBorder="1" applyAlignment="1">
      <alignment horizontal="left" vertical="center" indent="2"/>
    </xf>
    <xf numFmtId="0" fontId="83" fillId="0" borderId="36" xfId="0" applyFont="1" applyBorder="1" applyAlignment="1">
      <alignment horizontal="left" vertical="center" indent="2"/>
    </xf>
    <xf numFmtId="0" fontId="83" fillId="0" borderId="37" xfId="0" applyFont="1" applyBorder="1" applyAlignment="1">
      <alignment horizontal="left" vertical="center" indent="2"/>
    </xf>
    <xf numFmtId="0" fontId="82" fillId="18" borderId="5" xfId="8" applyFont="1" applyFill="1" applyBorder="1" applyAlignment="1">
      <alignment horizontal="center" vertical="center" wrapText="1"/>
    </xf>
    <xf numFmtId="0" fontId="82" fillId="18" borderId="55" xfId="8" applyFont="1" applyFill="1" applyBorder="1" applyAlignment="1">
      <alignment horizontal="center" vertical="center" wrapText="1"/>
    </xf>
    <xf numFmtId="0" fontId="83" fillId="0" borderId="35" xfId="0" applyFont="1" applyBorder="1" applyAlignment="1">
      <alignment horizontal="left" vertical="center"/>
    </xf>
    <xf numFmtId="0" fontId="83" fillId="0" borderId="36" xfId="0" applyFont="1" applyBorder="1" applyAlignment="1">
      <alignment horizontal="left" vertical="center"/>
    </xf>
    <xf numFmtId="0" fontId="83" fillId="0" borderId="37" xfId="0" applyFont="1" applyBorder="1" applyAlignment="1">
      <alignment horizontal="left" vertical="center"/>
    </xf>
    <xf numFmtId="0" fontId="81" fillId="2" borderId="35" xfId="0" applyFont="1" applyFill="1" applyBorder="1" applyAlignment="1">
      <alignment horizontal="center" vertical="center"/>
    </xf>
    <xf numFmtId="0" fontId="81" fillId="2" borderId="37" xfId="0" applyFont="1" applyFill="1" applyBorder="1" applyAlignment="1">
      <alignment horizontal="center" vertical="center"/>
    </xf>
    <xf numFmtId="0" fontId="82" fillId="18" borderId="14" xfId="8" applyFont="1" applyFill="1" applyBorder="1" applyAlignment="1">
      <alignment horizontal="center" vertical="center" wrapText="1"/>
    </xf>
    <xf numFmtId="0" fontId="82" fillId="18" borderId="16" xfId="8" applyFont="1" applyFill="1" applyBorder="1" applyAlignment="1">
      <alignment horizontal="center" vertical="center" wrapText="1"/>
    </xf>
    <xf numFmtId="0" fontId="82" fillId="18" borderId="2" xfId="8" applyFont="1" applyFill="1" applyBorder="1" applyAlignment="1">
      <alignment horizontal="center" vertical="center" wrapText="1"/>
    </xf>
    <xf numFmtId="0" fontId="82" fillId="18" borderId="11" xfId="8" applyFont="1" applyFill="1" applyBorder="1" applyAlignment="1">
      <alignment horizontal="center" vertical="center" wrapText="1"/>
    </xf>
    <xf numFmtId="0" fontId="82" fillId="18" borderId="12" xfId="8" applyFont="1" applyFill="1" applyBorder="1" applyAlignment="1">
      <alignment horizontal="center" vertical="center" wrapText="1"/>
    </xf>
    <xf numFmtId="0" fontId="82" fillId="18" borderId="9" xfId="8" applyFont="1" applyFill="1" applyBorder="1" applyAlignment="1">
      <alignment horizontal="center" vertical="center" wrapText="1"/>
    </xf>
    <xf numFmtId="0" fontId="82" fillId="18" borderId="4" xfId="8" applyFont="1" applyFill="1" applyBorder="1" applyAlignment="1">
      <alignment horizontal="center" vertical="center" wrapText="1"/>
    </xf>
    <xf numFmtId="0" fontId="82" fillId="18" borderId="43" xfId="8" applyFont="1" applyFill="1" applyBorder="1" applyAlignment="1">
      <alignment horizontal="center" vertical="center" wrapText="1"/>
    </xf>
    <xf numFmtId="0" fontId="82" fillId="18" borderId="40" xfId="8" applyFont="1" applyFill="1" applyBorder="1" applyAlignment="1">
      <alignment horizontal="center" vertical="center" wrapText="1"/>
    </xf>
    <xf numFmtId="0" fontId="80" fillId="2" borderId="35" xfId="0" applyFont="1" applyFill="1" applyBorder="1" applyAlignment="1">
      <alignment horizontal="left"/>
    </xf>
    <xf numFmtId="0" fontId="80" fillId="2" borderId="37" xfId="0" applyFont="1" applyFill="1" applyBorder="1" applyAlignment="1">
      <alignment horizontal="left"/>
    </xf>
    <xf numFmtId="0" fontId="80" fillId="0" borderId="35" xfId="0" applyFont="1" applyBorder="1" applyAlignment="1">
      <alignment horizontal="center"/>
    </xf>
    <xf numFmtId="0" fontId="80" fillId="0" borderId="36" xfId="0" applyFont="1" applyBorder="1" applyAlignment="1">
      <alignment horizontal="center"/>
    </xf>
    <xf numFmtId="0" fontId="80" fillId="0" borderId="37" xfId="0" applyFont="1" applyBorder="1" applyAlignment="1">
      <alignment horizontal="center"/>
    </xf>
    <xf numFmtId="0" fontId="80" fillId="3" borderId="35" xfId="0" applyFont="1" applyFill="1" applyBorder="1" applyAlignment="1">
      <alignment horizontal="center"/>
    </xf>
    <xf numFmtId="0" fontId="80" fillId="3" borderId="36" xfId="0" applyFont="1" applyFill="1" applyBorder="1" applyAlignment="1">
      <alignment horizontal="center"/>
    </xf>
    <xf numFmtId="0" fontId="80" fillId="3" borderId="37" xfId="0" applyFont="1" applyFill="1" applyBorder="1" applyAlignment="1">
      <alignment horizontal="center"/>
    </xf>
    <xf numFmtId="0" fontId="84" fillId="0" borderId="119" xfId="0" applyFont="1" applyBorder="1" applyAlignment="1">
      <alignment horizontal="left" vertical="center" wrapText="1"/>
    </xf>
    <xf numFmtId="0" fontId="84" fillId="0" borderId="120" xfId="0" applyFont="1" applyBorder="1" applyAlignment="1">
      <alignment horizontal="left" vertical="center" wrapText="1"/>
    </xf>
    <xf numFmtId="0" fontId="80" fillId="2" borderId="35" xfId="0" applyFont="1" applyFill="1" applyBorder="1" applyAlignment="1">
      <alignment horizontal="left" vertical="center"/>
    </xf>
    <xf numFmtId="0" fontId="80" fillId="2" borderId="36" xfId="0" applyFont="1" applyFill="1" applyBorder="1" applyAlignment="1">
      <alignment horizontal="left" vertical="center"/>
    </xf>
    <xf numFmtId="0" fontId="80" fillId="2" borderId="37" xfId="0" applyFont="1" applyFill="1" applyBorder="1" applyAlignment="1">
      <alignment horizontal="left" vertical="center"/>
    </xf>
    <xf numFmtId="3" fontId="84" fillId="2" borderId="35" xfId="0" applyNumberFormat="1" applyFont="1" applyFill="1" applyBorder="1" applyAlignment="1">
      <alignment horizontal="center" vertical="center"/>
    </xf>
    <xf numFmtId="3" fontId="84" fillId="2" borderId="36" xfId="0" applyNumberFormat="1" applyFont="1" applyFill="1" applyBorder="1" applyAlignment="1">
      <alignment horizontal="center" vertical="center"/>
    </xf>
    <xf numFmtId="3" fontId="84" fillId="2" borderId="37" xfId="0" applyNumberFormat="1" applyFont="1" applyFill="1" applyBorder="1" applyAlignment="1">
      <alignment horizontal="center" vertical="center"/>
    </xf>
    <xf numFmtId="0" fontId="81" fillId="2" borderId="12" xfId="0" applyFont="1" applyFill="1" applyBorder="1" applyAlignment="1">
      <alignment horizontal="center"/>
    </xf>
    <xf numFmtId="0" fontId="82" fillId="18" borderId="41" xfId="8" applyFont="1" applyFill="1" applyBorder="1" applyAlignment="1">
      <alignment horizontal="center" vertical="center" wrapText="1"/>
    </xf>
    <xf numFmtId="0" fontId="82" fillId="18" borderId="121" xfId="8" applyFont="1" applyFill="1" applyBorder="1" applyAlignment="1">
      <alignment horizontal="center" vertical="center" wrapText="1"/>
    </xf>
    <xf numFmtId="0" fontId="82" fillId="18" borderId="42" xfId="8" applyFont="1" applyFill="1" applyBorder="1" applyAlignment="1">
      <alignment horizontal="center" vertical="center" wrapText="1"/>
    </xf>
    <xf numFmtId="0" fontId="80" fillId="2" borderId="36" xfId="0" applyFont="1" applyFill="1" applyBorder="1" applyAlignment="1">
      <alignment horizontal="left"/>
    </xf>
    <xf numFmtId="0" fontId="81" fillId="2" borderId="36" xfId="0" applyFont="1" applyFill="1" applyBorder="1" applyAlignment="1">
      <alignment horizontal="center" vertical="center"/>
    </xf>
    <xf numFmtId="0" fontId="80" fillId="2" borderId="17" xfId="0" applyFont="1" applyFill="1" applyBorder="1" applyAlignment="1">
      <alignment horizontal="center"/>
    </xf>
    <xf numFmtId="0" fontId="92" fillId="2" borderId="35" xfId="0" applyFont="1" applyFill="1" applyBorder="1" applyAlignment="1">
      <alignment horizontal="left" vertical="center"/>
    </xf>
    <xf numFmtId="0" fontId="92" fillId="2" borderId="36" xfId="0" applyFont="1" applyFill="1" applyBorder="1" applyAlignment="1">
      <alignment horizontal="left" vertical="center"/>
    </xf>
    <xf numFmtId="0" fontId="92" fillId="2" borderId="37" xfId="0" applyFont="1" applyFill="1" applyBorder="1" applyAlignment="1">
      <alignment horizontal="left" vertical="center"/>
    </xf>
    <xf numFmtId="0" fontId="82" fillId="19" borderId="5" xfId="8" applyFont="1" applyFill="1" applyBorder="1" applyAlignment="1">
      <alignment horizontal="center" vertical="center" wrapText="1"/>
    </xf>
    <xf numFmtId="0" fontId="82" fillId="19" borderId="55" xfId="8" applyFont="1" applyFill="1" applyBorder="1" applyAlignment="1">
      <alignment horizontal="center" vertical="center" wrapText="1"/>
    </xf>
    <xf numFmtId="0" fontId="82" fillId="19" borderId="9" xfId="8" applyFont="1" applyFill="1" applyBorder="1" applyAlignment="1">
      <alignment horizontal="center" vertical="center" wrapText="1"/>
    </xf>
    <xf numFmtId="0" fontId="82" fillId="19" borderId="10" xfId="8" applyFont="1" applyFill="1" applyBorder="1" applyAlignment="1">
      <alignment horizontal="center" vertical="center" wrapText="1"/>
    </xf>
    <xf numFmtId="0" fontId="82" fillId="19" borderId="4" xfId="8" applyFont="1" applyFill="1" applyBorder="1" applyAlignment="1">
      <alignment horizontal="center" vertical="center" wrapText="1"/>
    </xf>
    <xf numFmtId="0" fontId="82" fillId="19" borderId="43" xfId="8" applyFont="1" applyFill="1" applyBorder="1" applyAlignment="1">
      <alignment horizontal="center" vertical="center" wrapText="1"/>
    </xf>
    <xf numFmtId="0" fontId="82" fillId="19" borderId="54" xfId="8" applyFont="1" applyFill="1" applyBorder="1" applyAlignment="1">
      <alignment horizontal="center" vertical="center" wrapText="1"/>
    </xf>
    <xf numFmtId="0" fontId="82" fillId="19" borderId="40" xfId="8" applyFont="1" applyFill="1" applyBorder="1" applyAlignment="1">
      <alignment horizontal="center" vertical="center" wrapText="1"/>
    </xf>
    <xf numFmtId="0" fontId="80" fillId="3" borderId="35" xfId="0" applyFont="1" applyFill="1" applyBorder="1" applyAlignment="1">
      <alignment horizontal="center" vertical="center"/>
    </xf>
    <xf numFmtId="0" fontId="80" fillId="3" borderId="36" xfId="0" applyFont="1" applyFill="1" applyBorder="1" applyAlignment="1">
      <alignment horizontal="center" vertical="center"/>
    </xf>
    <xf numFmtId="0" fontId="80" fillId="3" borderId="37" xfId="0" applyFont="1" applyFill="1" applyBorder="1" applyAlignment="1">
      <alignment horizontal="center" vertical="center"/>
    </xf>
    <xf numFmtId="0" fontId="82" fillId="18" borderId="112" xfId="8" applyFont="1" applyFill="1" applyBorder="1" applyAlignment="1">
      <alignment horizontal="center" vertical="center" wrapText="1"/>
    </xf>
    <xf numFmtId="0" fontId="82" fillId="18" borderId="113" xfId="8" applyFont="1" applyFill="1" applyBorder="1" applyAlignment="1">
      <alignment horizontal="center" vertical="center" wrapText="1"/>
    </xf>
    <xf numFmtId="0" fontId="82" fillId="18" borderId="114" xfId="8" applyFont="1" applyFill="1" applyBorder="1" applyAlignment="1">
      <alignment horizontal="center" vertical="center" wrapText="1"/>
    </xf>
    <xf numFmtId="0" fontId="81" fillId="2" borderId="50" xfId="0" applyFont="1" applyFill="1" applyBorder="1" applyAlignment="1">
      <alignment horizontal="center" vertical="center" wrapText="1"/>
    </xf>
    <xf numFmtId="0" fontId="81" fillId="2" borderId="51" xfId="0" applyFont="1" applyFill="1" applyBorder="1" applyAlignment="1">
      <alignment horizontal="center" vertical="center" wrapText="1"/>
    </xf>
    <xf numFmtId="0" fontId="81" fillId="2" borderId="52" xfId="0" applyFont="1" applyFill="1" applyBorder="1" applyAlignment="1">
      <alignment horizontal="center" vertical="center" wrapText="1"/>
    </xf>
    <xf numFmtId="0" fontId="82" fillId="18" borderId="18" xfId="8" applyFont="1" applyFill="1" applyBorder="1" applyAlignment="1">
      <alignment horizontal="center" vertical="center" wrapText="1"/>
    </xf>
    <xf numFmtId="0" fontId="82" fillId="18" borderId="15" xfId="8" applyFont="1" applyFill="1" applyBorder="1" applyAlignment="1">
      <alignment horizontal="center" vertical="center" wrapText="1"/>
    </xf>
    <xf numFmtId="0" fontId="82" fillId="18" borderId="13" xfId="8" applyFont="1" applyFill="1" applyBorder="1" applyAlignment="1">
      <alignment horizontal="center" vertical="center" wrapText="1"/>
    </xf>
    <xf numFmtId="0" fontId="82" fillId="18" borderId="38" xfId="8" applyFont="1" applyFill="1" applyBorder="1" applyAlignment="1">
      <alignment horizontal="center" vertical="center" wrapText="1"/>
    </xf>
    <xf numFmtId="0" fontId="84" fillId="0" borderId="50" xfId="0" applyFont="1" applyBorder="1" applyAlignment="1">
      <alignment horizontal="left" vertical="center" wrapText="1"/>
    </xf>
    <xf numFmtId="0" fontId="84" fillId="0" borderId="52" xfId="0" applyFont="1" applyBorder="1" applyAlignment="1">
      <alignment horizontal="left" vertical="center" wrapText="1"/>
    </xf>
    <xf numFmtId="0" fontId="84" fillId="0" borderId="35" xfId="0" applyFont="1" applyBorder="1" applyAlignment="1">
      <alignment horizontal="left" vertical="center"/>
    </xf>
    <xf numFmtId="0" fontId="84" fillId="0" borderId="37" xfId="0" applyFont="1" applyBorder="1" applyAlignment="1">
      <alignment horizontal="left" vertical="center"/>
    </xf>
    <xf numFmtId="0" fontId="84" fillId="0" borderId="35" xfId="0" applyFont="1" applyBorder="1" applyAlignment="1">
      <alignment horizontal="center" vertical="center" wrapText="1"/>
    </xf>
    <xf numFmtId="0" fontId="84" fillId="0" borderId="37" xfId="0" applyFont="1" applyBorder="1" applyAlignment="1">
      <alignment horizontal="center" vertical="center" wrapText="1"/>
    </xf>
    <xf numFmtId="0" fontId="84" fillId="2" borderId="35" xfId="0" applyFont="1" applyFill="1" applyBorder="1" applyAlignment="1">
      <alignment horizontal="left" vertical="center"/>
    </xf>
    <xf numFmtId="0" fontId="84" fillId="2" borderId="37" xfId="0" applyFont="1" applyFill="1" applyBorder="1" applyAlignment="1">
      <alignment horizontal="left" vertical="center"/>
    </xf>
    <xf numFmtId="0" fontId="2" fillId="3" borderId="51" xfId="0" applyFont="1" applyFill="1" applyBorder="1" applyAlignment="1">
      <alignment horizontal="center" vertical="center"/>
    </xf>
    <xf numFmtId="0" fontId="2" fillId="3" borderId="52" xfId="0" applyFont="1" applyFill="1" applyBorder="1" applyAlignment="1">
      <alignment horizontal="center" vertical="center"/>
    </xf>
    <xf numFmtId="0" fontId="84" fillId="2" borderId="50" xfId="0" applyFont="1" applyFill="1" applyBorder="1" applyAlignment="1">
      <alignment horizontal="left" vertical="center"/>
    </xf>
    <xf numFmtId="0" fontId="84" fillId="2" borderId="52" xfId="0" applyFont="1" applyFill="1" applyBorder="1" applyAlignment="1">
      <alignment horizontal="left" vertical="center"/>
    </xf>
    <xf numFmtId="0" fontId="84" fillId="2" borderId="35" xfId="0" applyFont="1" applyFill="1" applyBorder="1" applyAlignment="1">
      <alignment horizontal="center" vertical="center"/>
    </xf>
    <xf numFmtId="0" fontId="84" fillId="2" borderId="37" xfId="0" applyFont="1" applyFill="1" applyBorder="1" applyAlignment="1">
      <alignment horizontal="center" vertical="center"/>
    </xf>
    <xf numFmtId="0" fontId="82" fillId="18" borderId="54" xfId="8" applyFont="1" applyFill="1" applyBorder="1" applyAlignment="1">
      <alignment horizontal="center" vertical="center" wrapText="1"/>
    </xf>
    <xf numFmtId="3" fontId="2" fillId="2" borderId="50" xfId="0" applyNumberFormat="1" applyFont="1" applyFill="1" applyBorder="1" applyAlignment="1">
      <alignment horizontal="center" vertical="center" wrapText="1"/>
    </xf>
    <xf numFmtId="3" fontId="2" fillId="2" borderId="51" xfId="0" applyNumberFormat="1" applyFont="1" applyFill="1" applyBorder="1" applyAlignment="1">
      <alignment horizontal="center" vertical="center" wrapText="1"/>
    </xf>
    <xf numFmtId="3" fontId="2" fillId="2" borderId="52" xfId="0" applyNumberFormat="1" applyFont="1" applyFill="1" applyBorder="1" applyAlignment="1">
      <alignment horizontal="center" vertical="center" wrapText="1"/>
    </xf>
    <xf numFmtId="0" fontId="80" fillId="2" borderId="17" xfId="0" applyFont="1" applyFill="1" applyBorder="1" applyAlignment="1">
      <alignment horizontal="left" wrapText="1"/>
    </xf>
    <xf numFmtId="0" fontId="80" fillId="2" borderId="0" xfId="0" applyFont="1" applyFill="1" applyAlignment="1">
      <alignment horizontal="left" wrapText="1"/>
    </xf>
    <xf numFmtId="3" fontId="80" fillId="2" borderId="50" xfId="0" applyNumberFormat="1" applyFont="1" applyFill="1" applyBorder="1" applyAlignment="1">
      <alignment horizontal="center" vertical="center" wrapText="1"/>
    </xf>
    <xf numFmtId="3" fontId="80" fillId="2" borderId="51" xfId="0" applyNumberFormat="1" applyFont="1" applyFill="1" applyBorder="1" applyAlignment="1">
      <alignment horizontal="center" vertical="center" wrapText="1"/>
    </xf>
    <xf numFmtId="3" fontId="80" fillId="2" borderId="52" xfId="0" applyNumberFormat="1" applyFont="1" applyFill="1" applyBorder="1" applyAlignment="1">
      <alignment horizontal="center" vertical="center" wrapText="1"/>
    </xf>
    <xf numFmtId="0" fontId="2" fillId="0" borderId="50" xfId="0" applyFont="1" applyBorder="1" applyAlignment="1">
      <alignment horizontal="center" vertical="center"/>
    </xf>
    <xf numFmtId="0" fontId="2" fillId="0" borderId="51" xfId="0" applyFont="1" applyBorder="1" applyAlignment="1">
      <alignment horizontal="center" vertical="center"/>
    </xf>
    <xf numFmtId="0" fontId="2" fillId="0" borderId="52" xfId="0" applyFont="1" applyBorder="1" applyAlignment="1">
      <alignment horizontal="center" vertical="center"/>
    </xf>
    <xf numFmtId="0" fontId="0" fillId="6" borderId="0" xfId="0" applyFill="1" applyAlignment="1">
      <alignment horizontal="center"/>
    </xf>
    <xf numFmtId="0" fontId="0" fillId="6" borderId="122" xfId="0" applyFill="1" applyBorder="1" applyAlignment="1">
      <alignment horizontal="center"/>
    </xf>
    <xf numFmtId="0" fontId="80" fillId="2" borderId="12" xfId="0" applyFont="1" applyFill="1" applyBorder="1" applyAlignment="1">
      <alignment horizontal="center" vertical="center"/>
    </xf>
    <xf numFmtId="0" fontId="80" fillId="2" borderId="35" xfId="0" applyFont="1" applyFill="1" applyBorder="1" applyAlignment="1">
      <alignment horizontal="left" vertical="center" wrapText="1"/>
    </xf>
    <xf numFmtId="0" fontId="80" fillId="2" borderId="37" xfId="0" applyFont="1" applyFill="1" applyBorder="1" applyAlignment="1">
      <alignment horizontal="left" vertical="center" wrapText="1"/>
    </xf>
    <xf numFmtId="0" fontId="32" fillId="18" borderId="5" xfId="8" applyFont="1" applyFill="1" applyBorder="1" applyAlignment="1">
      <alignment horizontal="center" vertical="center" wrapText="1"/>
    </xf>
    <xf numFmtId="0" fontId="32" fillId="18" borderId="55" xfId="8" applyFont="1" applyFill="1" applyBorder="1" applyAlignment="1">
      <alignment horizontal="center" vertical="center" wrapText="1"/>
    </xf>
    <xf numFmtId="0" fontId="32" fillId="18" borderId="14" xfId="8" applyFont="1" applyFill="1" applyBorder="1" applyAlignment="1">
      <alignment horizontal="center" vertical="center" wrapText="1"/>
    </xf>
    <xf numFmtId="0" fontId="32" fillId="18" borderId="16" xfId="8" applyFont="1" applyFill="1" applyBorder="1" applyAlignment="1">
      <alignment horizontal="center" vertical="center" wrapText="1"/>
    </xf>
    <xf numFmtId="0" fontId="32" fillId="18" borderId="2" xfId="8" applyFont="1" applyFill="1" applyBorder="1" applyAlignment="1">
      <alignment horizontal="center" vertical="center" wrapText="1"/>
    </xf>
    <xf numFmtId="0" fontId="20" fillId="6" borderId="6" xfId="0" applyFont="1" applyFill="1" applyBorder="1" applyAlignment="1">
      <alignment horizontal="center" vertical="center"/>
    </xf>
    <xf numFmtId="0" fontId="16" fillId="0" borderId="17" xfId="0" applyFont="1" applyBorder="1" applyAlignment="1">
      <alignment horizontal="center"/>
    </xf>
    <xf numFmtId="0" fontId="20" fillId="14" borderId="6" xfId="0" applyFont="1" applyFill="1" applyBorder="1" applyAlignment="1">
      <alignment horizontal="center" vertical="center"/>
    </xf>
    <xf numFmtId="0" fontId="16" fillId="2" borderId="17" xfId="0" applyFont="1" applyFill="1" applyBorder="1" applyAlignment="1">
      <alignment horizontal="left" vertical="center"/>
    </xf>
    <xf numFmtId="0" fontId="20" fillId="4" borderId="6" xfId="0" applyFont="1" applyFill="1" applyBorder="1" applyAlignment="1">
      <alignment horizontal="center" vertical="center"/>
    </xf>
    <xf numFmtId="0" fontId="16" fillId="2" borderId="0" xfId="0" applyFont="1" applyFill="1" applyAlignment="1">
      <alignment horizontal="center" vertical="center"/>
    </xf>
    <xf numFmtId="0" fontId="20" fillId="2" borderId="6" xfId="0" applyFont="1" applyFill="1" applyBorder="1" applyAlignment="1">
      <alignment horizontal="center" vertical="center"/>
    </xf>
    <xf numFmtId="0" fontId="16" fillId="2" borderId="17" xfId="0" applyFont="1" applyFill="1" applyBorder="1" applyAlignment="1">
      <alignment horizontal="center"/>
    </xf>
    <xf numFmtId="0" fontId="22" fillId="0" borderId="0" xfId="0" applyFont="1" applyAlignment="1">
      <alignment horizontal="left" vertical="center" wrapText="1"/>
    </xf>
    <xf numFmtId="0" fontId="104" fillId="7" borderId="127" xfId="0" applyFont="1" applyFill="1" applyBorder="1" applyAlignment="1">
      <alignment horizontal="center" vertical="center"/>
    </xf>
    <xf numFmtId="0" fontId="104" fillId="7" borderId="130" xfId="0" applyFont="1" applyFill="1" applyBorder="1" applyAlignment="1">
      <alignment horizontal="center" vertical="center"/>
    </xf>
    <xf numFmtId="0" fontId="104" fillId="7" borderId="145" xfId="0" applyFont="1" applyFill="1" applyBorder="1" applyAlignment="1">
      <alignment horizontal="center" vertical="center"/>
    </xf>
    <xf numFmtId="0" fontId="104" fillId="7" borderId="147" xfId="0" applyFont="1" applyFill="1" applyBorder="1" applyAlignment="1">
      <alignment horizontal="center" vertical="center"/>
    </xf>
    <xf numFmtId="0" fontId="104" fillId="7" borderId="150" xfId="0" applyFont="1" applyFill="1" applyBorder="1" applyAlignment="1">
      <alignment horizontal="center" vertical="center"/>
    </xf>
    <xf numFmtId="0" fontId="104" fillId="7" borderId="146" xfId="0" applyFont="1" applyFill="1" applyBorder="1" applyAlignment="1">
      <alignment horizontal="center" vertical="center" wrapText="1"/>
    </xf>
    <xf numFmtId="0" fontId="104" fillId="7" borderId="148" xfId="0" applyFont="1" applyFill="1" applyBorder="1" applyAlignment="1">
      <alignment horizontal="center" vertical="center" wrapText="1"/>
    </xf>
    <xf numFmtId="0" fontId="104" fillId="7" borderId="151" xfId="0" applyFont="1" applyFill="1" applyBorder="1" applyAlignment="1">
      <alignment horizontal="center" vertical="center" wrapText="1"/>
    </xf>
    <xf numFmtId="0" fontId="67" fillId="2" borderId="0" xfId="29" applyFont="1" applyFill="1" applyAlignment="1">
      <alignment horizontal="left" vertical="center"/>
    </xf>
    <xf numFmtId="0" fontId="62" fillId="2" borderId="0" xfId="2" applyFont="1" applyFill="1" applyAlignment="1">
      <alignment horizontal="left" vertical="top" wrapText="1"/>
    </xf>
    <xf numFmtId="0" fontId="0" fillId="0" borderId="0" xfId="0" applyAlignment="1">
      <alignment horizontal="left" wrapText="1"/>
    </xf>
    <xf numFmtId="0" fontId="38" fillId="42" borderId="70" xfId="0" applyFont="1" applyFill="1" applyBorder="1" applyAlignment="1">
      <alignment horizontal="center" vertical="center"/>
    </xf>
    <xf numFmtId="0" fontId="38" fillId="42" borderId="75" xfId="0" applyFont="1" applyFill="1" applyBorder="1" applyAlignment="1">
      <alignment horizontal="center" vertical="center"/>
    </xf>
    <xf numFmtId="0" fontId="60" fillId="2" borderId="12" xfId="0" applyFont="1" applyFill="1" applyBorder="1" applyAlignment="1">
      <alignment horizontal="left" vertical="center"/>
    </xf>
    <xf numFmtId="0" fontId="6" fillId="2" borderId="0" xfId="0" applyFont="1" applyFill="1" applyAlignment="1">
      <alignment horizontal="center"/>
    </xf>
    <xf numFmtId="0" fontId="61" fillId="2" borderId="0" xfId="0" applyFont="1" applyFill="1" applyAlignment="1">
      <alignment horizontal="center" vertical="center"/>
    </xf>
    <xf numFmtId="0" fontId="62" fillId="2" borderId="10" xfId="2" applyFont="1" applyFill="1" applyBorder="1" applyAlignment="1">
      <alignment horizontal="center"/>
    </xf>
    <xf numFmtId="0" fontId="63" fillId="41" borderId="69" xfId="27" applyFont="1" applyFill="1" applyBorder="1" applyAlignment="1">
      <alignment horizontal="center" vertical="center" wrapText="1"/>
    </xf>
    <xf numFmtId="0" fontId="63" fillId="41" borderId="70" xfId="27" applyFont="1" applyFill="1" applyBorder="1" applyAlignment="1">
      <alignment horizontal="center" vertical="center" wrapText="1"/>
    </xf>
    <xf numFmtId="0" fontId="63" fillId="41" borderId="72" xfId="27" applyFont="1" applyFill="1" applyBorder="1" applyAlignment="1">
      <alignment horizontal="center" vertical="center" wrapText="1"/>
    </xf>
    <xf numFmtId="0" fontId="63" fillId="41" borderId="0" xfId="27" applyFont="1" applyFill="1" applyAlignment="1">
      <alignment horizontal="center" vertical="center" wrapText="1"/>
    </xf>
    <xf numFmtId="0" fontId="63" fillId="41" borderId="74" xfId="27" applyFont="1" applyFill="1" applyBorder="1" applyAlignment="1">
      <alignment horizontal="center" vertical="center" wrapText="1"/>
    </xf>
    <xf numFmtId="0" fontId="63" fillId="41" borderId="75" xfId="27" applyFont="1" applyFill="1" applyBorder="1" applyAlignment="1">
      <alignment horizontal="center" vertical="center" wrapText="1"/>
    </xf>
    <xf numFmtId="0" fontId="63" fillId="41" borderId="71" xfId="27" applyFont="1" applyFill="1" applyBorder="1" applyAlignment="1">
      <alignment horizontal="center" vertical="center"/>
    </xf>
    <xf numFmtId="0" fontId="63" fillId="41" borderId="73" xfId="27" applyFont="1" applyFill="1" applyBorder="1" applyAlignment="1">
      <alignment horizontal="center" vertical="center"/>
    </xf>
    <xf numFmtId="0" fontId="63" fillId="41" borderId="76" xfId="27" applyFont="1" applyFill="1" applyBorder="1" applyAlignment="1">
      <alignment horizontal="center" vertical="center"/>
    </xf>
    <xf numFmtId="0" fontId="38" fillId="42" borderId="49" xfId="0" applyFont="1" applyFill="1" applyBorder="1" applyAlignment="1">
      <alignment horizontal="center" vertical="center"/>
    </xf>
    <xf numFmtId="0" fontId="38" fillId="42" borderId="80" xfId="0" applyFont="1" applyFill="1" applyBorder="1" applyAlignment="1">
      <alignment horizontal="center" vertical="center"/>
    </xf>
    <xf numFmtId="0" fontId="38" fillId="42" borderId="81" xfId="0" applyFont="1" applyFill="1" applyBorder="1" applyAlignment="1">
      <alignment horizontal="center" vertical="center"/>
    </xf>
    <xf numFmtId="0" fontId="6" fillId="2" borderId="0" xfId="0" applyFont="1" applyFill="1" applyBorder="1" applyAlignment="1">
      <alignment horizontal="center" vertical="center"/>
    </xf>
    <xf numFmtId="0" fontId="5" fillId="2" borderId="0" xfId="0" applyFont="1" applyFill="1" applyBorder="1" applyAlignment="1">
      <alignment horizontal="left" vertical="center"/>
    </xf>
    <xf numFmtId="0" fontId="7" fillId="2" borderId="20" xfId="0" applyFont="1" applyFill="1" applyBorder="1" applyAlignment="1">
      <alignment horizontal="center" vertical="center" wrapText="1"/>
    </xf>
    <xf numFmtId="0" fontId="5" fillId="33" borderId="20" xfId="0" applyFont="1" applyFill="1" applyBorder="1" applyAlignment="1">
      <alignment horizontal="center" vertical="center"/>
    </xf>
    <xf numFmtId="0" fontId="13" fillId="7" borderId="186" xfId="0" applyFont="1" applyFill="1" applyBorder="1" applyAlignment="1">
      <alignment horizontal="left" vertical="center" wrapText="1"/>
    </xf>
    <xf numFmtId="0" fontId="13" fillId="7" borderId="32" xfId="0" applyFont="1" applyFill="1" applyBorder="1" applyAlignment="1">
      <alignment horizontal="left" vertical="center" wrapText="1"/>
    </xf>
    <xf numFmtId="0" fontId="5" fillId="2" borderId="32" xfId="0" applyFont="1" applyFill="1" applyBorder="1" applyAlignment="1">
      <alignment horizontal="left" vertical="center"/>
    </xf>
    <xf numFmtId="0" fontId="13" fillId="7" borderId="186" xfId="0" applyFont="1" applyFill="1" applyBorder="1" applyAlignment="1">
      <alignment horizontal="left" vertical="center"/>
    </xf>
    <xf numFmtId="0" fontId="13" fillId="7" borderId="32" xfId="0" applyFont="1" applyFill="1" applyBorder="1" applyAlignment="1">
      <alignment horizontal="left" vertical="center"/>
    </xf>
    <xf numFmtId="0" fontId="10" fillId="7" borderId="191" xfId="0" applyFont="1" applyFill="1" applyBorder="1" applyAlignment="1">
      <alignment horizontal="left" vertical="center"/>
    </xf>
    <xf numFmtId="0" fontId="10" fillId="7" borderId="189" xfId="0" applyFont="1" applyFill="1" applyBorder="1" applyAlignment="1">
      <alignment horizontal="left" vertical="center"/>
    </xf>
    <xf numFmtId="0" fontId="10" fillId="7" borderId="190" xfId="0" applyFont="1" applyFill="1" applyBorder="1" applyAlignment="1">
      <alignment horizontal="left" vertical="center"/>
    </xf>
    <xf numFmtId="0" fontId="10" fillId="7" borderId="153" xfId="0" applyFont="1" applyFill="1" applyBorder="1" applyAlignment="1">
      <alignment horizontal="left" vertical="center"/>
    </xf>
    <xf numFmtId="0" fontId="10" fillId="7" borderId="0" xfId="0" applyFont="1" applyFill="1" applyBorder="1" applyAlignment="1">
      <alignment horizontal="left" vertical="center"/>
    </xf>
    <xf numFmtId="0" fontId="10" fillId="7" borderId="154" xfId="0" applyFont="1" applyFill="1" applyBorder="1" applyAlignment="1">
      <alignment horizontal="left" vertical="center"/>
    </xf>
    <xf numFmtId="0" fontId="6" fillId="2" borderId="0" xfId="0" applyFont="1" applyFill="1" applyBorder="1" applyAlignment="1">
      <alignment horizontal="center" vertical="center" wrapText="1"/>
    </xf>
    <xf numFmtId="10" fontId="5" fillId="33" borderId="0" xfId="10" applyNumberFormat="1" applyFont="1" applyFill="1" applyBorder="1" applyAlignment="1">
      <alignment horizontal="center" vertical="center"/>
    </xf>
    <xf numFmtId="0" fontId="10" fillId="7" borderId="157" xfId="0" applyFont="1" applyFill="1" applyBorder="1" applyAlignment="1">
      <alignment horizontal="center" vertical="center"/>
    </xf>
    <xf numFmtId="0" fontId="10" fillId="7" borderId="124" xfId="0" applyFont="1" applyFill="1" applyBorder="1" applyAlignment="1">
      <alignment horizontal="center" vertical="center"/>
    </xf>
    <xf numFmtId="0" fontId="26" fillId="2" borderId="0" xfId="0" applyFont="1" applyFill="1" applyBorder="1" applyAlignment="1">
      <alignment horizontal="left" vertical="center"/>
    </xf>
    <xf numFmtId="0" fontId="13" fillId="7" borderId="153" xfId="0" applyFont="1" applyFill="1" applyBorder="1" applyAlignment="1">
      <alignment horizontal="left" vertical="center" wrapText="1"/>
    </xf>
    <xf numFmtId="0" fontId="13" fillId="7" borderId="0" xfId="0" applyFont="1" applyFill="1" applyBorder="1" applyAlignment="1">
      <alignment horizontal="left" vertical="center" wrapText="1"/>
    </xf>
    <xf numFmtId="0" fontId="6" fillId="2" borderId="30" xfId="0" applyFont="1" applyFill="1" applyBorder="1" applyAlignment="1">
      <alignment horizontal="left" vertical="center"/>
    </xf>
    <xf numFmtId="0" fontId="6" fillId="2" borderId="185" xfId="0" applyFont="1" applyFill="1" applyBorder="1" applyAlignment="1">
      <alignment horizontal="left" vertical="center"/>
    </xf>
    <xf numFmtId="10" fontId="5" fillId="33" borderId="0" xfId="1" applyNumberFormat="1" applyFont="1" applyFill="1" applyBorder="1" applyAlignment="1">
      <alignment horizontal="center" vertical="center"/>
    </xf>
    <xf numFmtId="0" fontId="10" fillId="7" borderId="192" xfId="0" applyFont="1" applyFill="1" applyBorder="1" applyAlignment="1">
      <alignment horizontal="left" vertical="center"/>
    </xf>
    <xf numFmtId="0" fontId="5" fillId="0" borderId="0" xfId="0" applyFont="1" applyFill="1" applyBorder="1" applyAlignment="1">
      <alignment horizontal="left" vertical="center"/>
    </xf>
    <xf numFmtId="0" fontId="13" fillId="7" borderId="153" xfId="0" applyFont="1" applyFill="1" applyBorder="1" applyAlignment="1">
      <alignment horizontal="left" vertical="center"/>
    </xf>
    <xf numFmtId="0" fontId="13" fillId="7" borderId="0" xfId="0" applyFont="1" applyFill="1" applyBorder="1" applyAlignment="1">
      <alignment horizontal="left" vertical="center"/>
    </xf>
    <xf numFmtId="0" fontId="13" fillId="7" borderId="187" xfId="0" applyFont="1" applyFill="1" applyBorder="1" applyAlignment="1">
      <alignment horizontal="left" vertical="center" wrapText="1"/>
    </xf>
    <xf numFmtId="0" fontId="13" fillId="7" borderId="30" xfId="0" applyFont="1" applyFill="1" applyBorder="1" applyAlignment="1">
      <alignment horizontal="left" vertical="center" wrapText="1"/>
    </xf>
    <xf numFmtId="10" fontId="5" fillId="33" borderId="0" xfId="0" applyNumberFormat="1" applyFont="1" applyFill="1" applyBorder="1" applyAlignment="1">
      <alignment horizontal="center" vertical="center"/>
    </xf>
    <xf numFmtId="10" fontId="5" fillId="33" borderId="30" xfId="0" applyNumberFormat="1" applyFont="1" applyFill="1" applyBorder="1" applyAlignment="1">
      <alignment horizontal="center" vertical="center"/>
    </xf>
    <xf numFmtId="0" fontId="5" fillId="2" borderId="0" xfId="0" applyFont="1" applyFill="1" applyBorder="1" applyAlignment="1">
      <alignment horizontal="left" vertical="center" wrapText="1"/>
    </xf>
    <xf numFmtId="0" fontId="5" fillId="2" borderId="30" xfId="0" applyFont="1" applyFill="1" applyBorder="1" applyAlignment="1">
      <alignment horizontal="left" vertical="center" wrapText="1"/>
    </xf>
    <xf numFmtId="0" fontId="10" fillId="7" borderId="188" xfId="0" applyFont="1" applyFill="1" applyBorder="1" applyAlignment="1">
      <alignment horizontal="left" vertical="center"/>
    </xf>
    <xf numFmtId="0" fontId="6" fillId="2" borderId="153" xfId="0" applyFont="1" applyFill="1" applyBorder="1" applyAlignment="1">
      <alignment horizontal="center" vertical="center" wrapText="1"/>
    </xf>
    <xf numFmtId="0" fontId="10" fillId="7" borderId="156" xfId="0" applyFont="1" applyFill="1" applyBorder="1" applyAlignment="1">
      <alignment horizontal="center" vertical="center"/>
    </xf>
    <xf numFmtId="0" fontId="6" fillId="2" borderId="153" xfId="0" applyFont="1" applyFill="1" applyBorder="1" applyAlignment="1">
      <alignment horizontal="left" vertical="center" wrapText="1"/>
    </xf>
    <xf numFmtId="0" fontId="6" fillId="2" borderId="0" xfId="0" applyFont="1" applyFill="1" applyBorder="1" applyAlignment="1">
      <alignment horizontal="left" vertical="center" wrapText="1"/>
    </xf>
    <xf numFmtId="0" fontId="5" fillId="33" borderId="0" xfId="0" applyFont="1" applyFill="1" applyBorder="1" applyAlignment="1">
      <alignment horizontal="left" vertical="center"/>
    </xf>
    <xf numFmtId="0" fontId="6" fillId="2" borderId="153" xfId="0" applyFont="1" applyFill="1" applyBorder="1" applyAlignment="1">
      <alignment vertical="center" wrapText="1"/>
    </xf>
    <xf numFmtId="0" fontId="6" fillId="2" borderId="0" xfId="0" applyFont="1" applyFill="1" applyBorder="1" applyAlignment="1">
      <alignment vertical="center" wrapText="1"/>
    </xf>
    <xf numFmtId="0" fontId="13" fillId="7" borderId="20" xfId="0" applyFont="1" applyFill="1" applyBorder="1" applyAlignment="1">
      <alignment horizontal="left" vertical="center" wrapText="1"/>
    </xf>
    <xf numFmtId="0" fontId="13" fillId="7" borderId="196" xfId="0" applyFont="1" applyFill="1" applyBorder="1" applyAlignment="1">
      <alignment horizontal="center" vertical="center"/>
    </xf>
    <xf numFmtId="0" fontId="13" fillId="7" borderId="197" xfId="0" applyFont="1" applyFill="1" applyBorder="1" applyAlignment="1">
      <alignment horizontal="center" vertical="center"/>
    </xf>
    <xf numFmtId="0" fontId="13" fillId="7" borderId="198" xfId="0" applyFont="1" applyFill="1" applyBorder="1" applyAlignment="1">
      <alignment horizontal="center" vertical="center"/>
    </xf>
    <xf numFmtId="0" fontId="13" fillId="7" borderId="199" xfId="0" applyFont="1" applyFill="1" applyBorder="1" applyAlignment="1">
      <alignment horizontal="center" vertical="center" wrapText="1"/>
    </xf>
    <xf numFmtId="0" fontId="13" fillId="7" borderId="201" xfId="0" applyFont="1" applyFill="1" applyBorder="1" applyAlignment="1">
      <alignment horizontal="center" vertical="center" wrapText="1"/>
    </xf>
    <xf numFmtId="0" fontId="13" fillId="7" borderId="200" xfId="0" applyFont="1" applyFill="1" applyBorder="1" applyAlignment="1">
      <alignment horizontal="center" vertical="center" wrapText="1"/>
    </xf>
    <xf numFmtId="0" fontId="13" fillId="7" borderId="202" xfId="0" applyFont="1" applyFill="1" applyBorder="1" applyAlignment="1">
      <alignment horizontal="center" vertical="center" wrapText="1"/>
    </xf>
    <xf numFmtId="0" fontId="10" fillId="7" borderId="199" xfId="0" applyFont="1" applyFill="1" applyBorder="1" applyAlignment="1">
      <alignment horizontal="center" vertical="center"/>
    </xf>
    <xf numFmtId="0" fontId="10" fillId="7" borderId="205" xfId="0" applyFont="1" applyFill="1" applyBorder="1" applyAlignment="1">
      <alignment horizontal="center" vertical="center"/>
    </xf>
    <xf numFmtId="0" fontId="104" fillId="7" borderId="209" xfId="0" applyFont="1" applyFill="1" applyBorder="1" applyAlignment="1">
      <alignment horizontal="center" vertical="center" wrapText="1"/>
    </xf>
    <xf numFmtId="0" fontId="104" fillId="7" borderId="210" xfId="0" applyFont="1" applyFill="1" applyBorder="1" applyAlignment="1">
      <alignment horizontal="center" vertical="center" wrapText="1"/>
    </xf>
    <xf numFmtId="0" fontId="104" fillId="7" borderId="212" xfId="0" applyFont="1" applyFill="1" applyBorder="1" applyAlignment="1">
      <alignment horizontal="center" vertical="center" wrapText="1"/>
    </xf>
    <xf numFmtId="0" fontId="104" fillId="7" borderId="213" xfId="0" applyFont="1" applyFill="1" applyBorder="1" applyAlignment="1">
      <alignment horizontal="center" vertical="center" wrapText="1"/>
    </xf>
    <xf numFmtId="0" fontId="68" fillId="2" borderId="133" xfId="21" applyFont="1" applyFill="1" applyBorder="1" applyAlignment="1">
      <alignment horizontal="left" vertical="center" wrapText="1"/>
    </xf>
    <xf numFmtId="0" fontId="104" fillId="7" borderId="207" xfId="21" applyFont="1" applyFill="1" applyBorder="1" applyAlignment="1">
      <alignment horizontal="center" vertical="center" wrapText="1"/>
    </xf>
    <xf numFmtId="0" fontId="104" fillId="7" borderId="208" xfId="21" applyFont="1" applyFill="1" applyBorder="1" applyAlignment="1">
      <alignment horizontal="center" vertical="center" wrapText="1"/>
    </xf>
    <xf numFmtId="0" fontId="104" fillId="101" borderId="209" xfId="0" applyFont="1" applyFill="1" applyBorder="1" applyAlignment="1">
      <alignment horizontal="center" vertical="center" wrapText="1"/>
    </xf>
    <xf numFmtId="0" fontId="104" fillId="101" borderId="212" xfId="0" applyFont="1" applyFill="1" applyBorder="1" applyAlignment="1">
      <alignment horizontal="center" vertical="center" wrapText="1"/>
    </xf>
    <xf numFmtId="0" fontId="104" fillId="8" borderId="210" xfId="8" applyFont="1" applyFill="1" applyBorder="1" applyAlignment="1">
      <alignment horizontal="center" vertical="center" wrapText="1"/>
    </xf>
    <xf numFmtId="0" fontId="104" fillId="8" borderId="213" xfId="8" applyFont="1" applyFill="1" applyBorder="1" applyAlignment="1">
      <alignment horizontal="center" vertical="center" wrapText="1"/>
    </xf>
    <xf numFmtId="0" fontId="68" fillId="0" borderId="133" xfId="0" applyFont="1" applyBorder="1" applyAlignment="1">
      <alignment horizontal="left" vertical="center" wrapText="1"/>
    </xf>
    <xf numFmtId="0" fontId="68" fillId="0" borderId="133" xfId="0" applyFont="1" applyBorder="1" applyAlignment="1">
      <alignment horizontal="left" vertical="center"/>
    </xf>
    <xf numFmtId="0" fontId="101" fillId="0" borderId="0" xfId="0" applyFont="1" applyAlignment="1">
      <alignment horizontal="center" vertical="center"/>
    </xf>
    <xf numFmtId="0" fontId="104" fillId="7" borderId="215" xfId="0" applyFont="1" applyFill="1" applyBorder="1" applyAlignment="1">
      <alignment horizontal="center" vertical="center" wrapText="1"/>
    </xf>
    <xf numFmtId="0" fontId="104" fillId="8" borderId="3" xfId="8" applyFont="1" applyFill="1" applyBorder="1" applyAlignment="1">
      <alignment horizontal="center" vertical="center" wrapText="1"/>
    </xf>
    <xf numFmtId="0" fontId="104" fillId="8" borderId="211" xfId="8" applyFont="1" applyFill="1" applyBorder="1" applyAlignment="1">
      <alignment horizontal="center" vertical="center" wrapText="1"/>
    </xf>
    <xf numFmtId="0" fontId="104" fillId="8" borderId="216" xfId="8" applyFont="1" applyFill="1" applyBorder="1" applyAlignment="1">
      <alignment horizontal="center" vertical="center" wrapText="1"/>
    </xf>
    <xf numFmtId="0" fontId="104" fillId="8" borderId="214" xfId="8" applyFont="1" applyFill="1" applyBorder="1" applyAlignment="1">
      <alignment horizontal="center" vertical="center" wrapText="1"/>
    </xf>
    <xf numFmtId="0" fontId="104" fillId="7" borderId="211" xfId="0" applyFont="1" applyFill="1" applyBorder="1" applyAlignment="1">
      <alignment horizontal="center" vertical="center" wrapText="1"/>
    </xf>
    <xf numFmtId="0" fontId="104" fillId="7" borderId="214" xfId="0" applyFont="1" applyFill="1" applyBorder="1" applyAlignment="1">
      <alignment horizontal="center" vertical="center" wrapText="1"/>
    </xf>
    <xf numFmtId="0" fontId="104" fillId="101" borderId="215" xfId="0" applyFont="1" applyFill="1" applyBorder="1" applyAlignment="1">
      <alignment horizontal="center" vertical="center" wrapText="1"/>
    </xf>
    <xf numFmtId="0" fontId="104" fillId="7" borderId="227" xfId="0" applyFont="1" applyFill="1" applyBorder="1" applyAlignment="1">
      <alignment horizontal="center" vertical="center" wrapText="1"/>
    </xf>
    <xf numFmtId="0" fontId="104" fillId="7" borderId="228" xfId="0" applyFont="1" applyFill="1" applyBorder="1" applyAlignment="1">
      <alignment horizontal="center" vertical="center" wrapText="1"/>
    </xf>
    <xf numFmtId="196" fontId="99" fillId="0" borderId="0" xfId="1" applyNumberFormat="1" applyFont="1" applyAlignment="1">
      <alignment horizontal="center" vertical="center"/>
    </xf>
    <xf numFmtId="9" fontId="104" fillId="7" borderId="211" xfId="10" applyFont="1" applyFill="1" applyBorder="1" applyAlignment="1">
      <alignment horizontal="center" vertical="center"/>
    </xf>
    <xf numFmtId="9" fontId="104" fillId="7" borderId="214" xfId="10" applyFont="1" applyFill="1" applyBorder="1" applyAlignment="1">
      <alignment horizontal="center" vertical="center"/>
    </xf>
    <xf numFmtId="0" fontId="67" fillId="0" borderId="0" xfId="0" applyFont="1" applyAlignment="1">
      <alignment horizontal="center" vertical="center"/>
    </xf>
    <xf numFmtId="9" fontId="67" fillId="0" borderId="0" xfId="10" applyFont="1" applyAlignment="1">
      <alignment horizontal="center" vertical="center"/>
    </xf>
    <xf numFmtId="0" fontId="104" fillId="7" borderId="209" xfId="0" applyFont="1" applyFill="1" applyBorder="1" applyAlignment="1">
      <alignment horizontal="center" vertical="center"/>
    </xf>
    <xf numFmtId="0" fontId="104" fillId="7" borderId="212" xfId="0" applyFont="1" applyFill="1" applyBorder="1" applyAlignment="1">
      <alignment horizontal="center" vertical="center"/>
    </xf>
    <xf numFmtId="0" fontId="104" fillId="7" borderId="210" xfId="0" applyFont="1" applyFill="1" applyBorder="1" applyAlignment="1">
      <alignment horizontal="center" vertical="center"/>
    </xf>
    <xf numFmtId="0" fontId="104" fillId="7" borderId="213" xfId="0" applyFont="1" applyFill="1" applyBorder="1" applyAlignment="1">
      <alignment horizontal="center" vertical="center"/>
    </xf>
    <xf numFmtId="0" fontId="68" fillId="0" borderId="0" xfId="0" applyFont="1" applyAlignment="1">
      <alignment horizontal="left" vertical="center" wrapText="1"/>
    </xf>
    <xf numFmtId="0" fontId="21" fillId="35" borderId="0" xfId="0" applyFont="1" applyFill="1" applyAlignment="1">
      <alignment horizontal="left" vertical="center" wrapText="1"/>
    </xf>
    <xf numFmtId="0" fontId="104" fillId="7" borderId="131" xfId="0" applyFont="1" applyFill="1" applyBorder="1" applyAlignment="1">
      <alignment horizontal="center" vertical="center" wrapText="1"/>
    </xf>
    <xf numFmtId="0" fontId="104" fillId="101" borderId="156" xfId="0" applyFont="1" applyFill="1" applyBorder="1" applyAlignment="1">
      <alignment horizontal="center" vertical="center" wrapText="1"/>
    </xf>
    <xf numFmtId="0" fontId="104" fillId="101" borderId="129" xfId="0" applyFont="1" applyFill="1" applyBorder="1" applyAlignment="1">
      <alignment horizontal="center" vertical="center" wrapText="1"/>
    </xf>
    <xf numFmtId="0" fontId="104" fillId="8" borderId="157" xfId="8" applyFont="1" applyFill="1" applyBorder="1" applyAlignment="1">
      <alignment horizontal="center" vertical="center" wrapText="1"/>
    </xf>
    <xf numFmtId="0" fontId="104" fillId="8" borderId="130" xfId="8" applyFont="1" applyFill="1" applyBorder="1" applyAlignment="1">
      <alignment horizontal="center" vertical="center" wrapText="1"/>
    </xf>
    <xf numFmtId="0" fontId="104" fillId="8" borderId="156" xfId="8" applyFont="1" applyFill="1" applyBorder="1" applyAlignment="1">
      <alignment horizontal="center" vertical="center" wrapText="1"/>
    </xf>
    <xf numFmtId="0" fontId="104" fillId="8" borderId="129" xfId="8" applyFont="1" applyFill="1" applyBorder="1" applyAlignment="1">
      <alignment horizontal="center" vertical="center" wrapText="1"/>
    </xf>
    <xf numFmtId="0" fontId="104" fillId="8" borderId="124" xfId="8" applyFont="1" applyFill="1" applyBorder="1" applyAlignment="1">
      <alignment horizontal="center" vertical="center" wrapText="1"/>
    </xf>
    <xf numFmtId="0" fontId="104" fillId="8" borderId="131" xfId="8" applyFont="1" applyFill="1" applyBorder="1" applyAlignment="1">
      <alignment horizontal="center" vertical="center" wrapText="1"/>
    </xf>
    <xf numFmtId="172" fontId="24" fillId="7" borderId="157" xfId="6" applyNumberFormat="1" applyFont="1" applyFill="1" applyBorder="1" applyAlignment="1">
      <alignment horizontal="center" vertical="center" wrapText="1"/>
    </xf>
    <xf numFmtId="172" fontId="24" fillId="7" borderId="126" xfId="6" applyNumberFormat="1" applyFont="1" applyFill="1" applyBorder="1" applyAlignment="1">
      <alignment horizontal="center" vertical="center" wrapText="1"/>
    </xf>
    <xf numFmtId="0" fontId="24" fillId="7" borderId="157" xfId="0" applyFont="1" applyFill="1" applyBorder="1" applyAlignment="1">
      <alignment horizontal="center" vertical="center" wrapText="1"/>
    </xf>
    <xf numFmtId="0" fontId="24" fillId="7" borderId="126" xfId="0" applyFont="1" applyFill="1" applyBorder="1" applyAlignment="1">
      <alignment horizontal="center" vertical="center" wrapText="1"/>
    </xf>
    <xf numFmtId="0" fontId="24" fillId="7" borderId="130" xfId="0" applyFont="1" applyFill="1" applyBorder="1" applyAlignment="1">
      <alignment horizontal="center" vertical="center" wrapText="1"/>
    </xf>
    <xf numFmtId="0" fontId="68" fillId="2" borderId="133" xfId="21" applyFont="1" applyFill="1" applyBorder="1" applyAlignment="1">
      <alignment horizontal="left" vertical="center"/>
    </xf>
    <xf numFmtId="0" fontId="146" fillId="12" borderId="0" xfId="0" applyFont="1" applyFill="1" applyAlignment="1">
      <alignment horizontal="left" vertical="center" wrapText="1"/>
    </xf>
    <xf numFmtId="0" fontId="104" fillId="7" borderId="194" xfId="21" applyFont="1" applyFill="1" applyBorder="1" applyAlignment="1">
      <alignment horizontal="center" vertical="center" wrapText="1"/>
    </xf>
    <xf numFmtId="0" fontId="104" fillId="7" borderId="195" xfId="21" applyFont="1" applyFill="1" applyBorder="1" applyAlignment="1">
      <alignment horizontal="center" vertical="center" wrapText="1"/>
    </xf>
    <xf numFmtId="0" fontId="68" fillId="0" borderId="0" xfId="21" applyFont="1" applyAlignment="1">
      <alignment horizontal="left" vertical="center" wrapText="1"/>
    </xf>
    <xf numFmtId="0" fontId="67" fillId="0" borderId="4" xfId="0" applyFont="1" applyBorder="1" applyAlignment="1">
      <alignment horizontal="center" vertical="center" wrapText="1"/>
    </xf>
    <xf numFmtId="0" fontId="67" fillId="0" borderId="15" xfId="0" applyFont="1" applyBorder="1" applyAlignment="1">
      <alignment horizontal="center" vertical="center" wrapText="1"/>
    </xf>
    <xf numFmtId="0" fontId="67" fillId="0" borderId="13" xfId="0" applyFont="1" applyBorder="1" applyAlignment="1">
      <alignment horizontal="center" vertical="center" wrapText="1"/>
    </xf>
    <xf numFmtId="0" fontId="149" fillId="12" borderId="77" xfId="0" applyFont="1" applyFill="1" applyBorder="1" applyAlignment="1">
      <alignment horizontal="left" vertical="center" wrapText="1"/>
    </xf>
    <xf numFmtId="0" fontId="149" fillId="12" borderId="0" xfId="0" applyFont="1" applyFill="1" applyAlignment="1">
      <alignment horizontal="left" vertical="center" wrapText="1"/>
    </xf>
    <xf numFmtId="9" fontId="104" fillId="7" borderId="126" xfId="1" applyFont="1" applyFill="1" applyBorder="1" applyAlignment="1">
      <alignment horizontal="center" vertical="center" wrapText="1"/>
    </xf>
    <xf numFmtId="9" fontId="104" fillId="7" borderId="130" xfId="1" applyFont="1" applyFill="1" applyBorder="1" applyAlignment="1">
      <alignment horizontal="center" vertical="center" wrapText="1"/>
    </xf>
    <xf numFmtId="9" fontId="104" fillId="7" borderId="126" xfId="0" applyNumberFormat="1" applyFont="1" applyFill="1" applyBorder="1" applyAlignment="1">
      <alignment horizontal="center" vertical="center" wrapText="1"/>
    </xf>
    <xf numFmtId="0" fontId="104" fillId="7" borderId="124" xfId="24" applyFont="1" applyFill="1" applyBorder="1" applyAlignment="1">
      <alignment horizontal="center" vertical="center" wrapText="1"/>
    </xf>
    <xf numFmtId="0" fontId="104" fillId="7" borderId="127" xfId="24" applyFont="1" applyFill="1" applyBorder="1" applyAlignment="1">
      <alignment horizontal="center" vertical="center" wrapText="1"/>
    </xf>
    <xf numFmtId="0" fontId="104" fillId="7" borderId="131" xfId="24" applyFont="1" applyFill="1" applyBorder="1" applyAlignment="1">
      <alignment horizontal="center" vertical="center" wrapText="1"/>
    </xf>
    <xf numFmtId="0" fontId="68" fillId="2" borderId="77" xfId="0" applyFont="1" applyFill="1" applyBorder="1" applyAlignment="1">
      <alignment horizontal="left" vertical="center"/>
    </xf>
    <xf numFmtId="9" fontId="104" fillId="7" borderId="223" xfId="0" applyNumberFormat="1" applyFont="1" applyFill="1" applyBorder="1" applyAlignment="1">
      <alignment horizontal="center" vertical="center" wrapText="1"/>
    </xf>
    <xf numFmtId="9" fontId="104" fillId="7" borderId="224" xfId="0" applyNumberFormat="1" applyFont="1" applyFill="1" applyBorder="1" applyAlignment="1">
      <alignment horizontal="center" vertical="center" wrapText="1"/>
    </xf>
    <xf numFmtId="0" fontId="104" fillId="7" borderId="157" xfId="24" applyFont="1" applyFill="1" applyBorder="1" applyAlignment="1">
      <alignment horizontal="center" vertical="center" wrapText="1"/>
    </xf>
    <xf numFmtId="0" fontId="104" fillId="7" borderId="126" xfId="24" applyFont="1" applyFill="1" applyBorder="1" applyAlignment="1">
      <alignment horizontal="center" vertical="center" wrapText="1"/>
    </xf>
    <xf numFmtId="0" fontId="67" fillId="0" borderId="0" xfId="0" applyFont="1" applyAlignment="1">
      <alignment horizontal="center" vertical="center" wrapText="1"/>
    </xf>
    <xf numFmtId="0" fontId="67" fillId="0" borderId="0" xfId="0" applyFont="1" applyAlignment="1" applyProtection="1">
      <alignment horizontal="center" vertical="center" wrapText="1"/>
      <protection locked="0"/>
    </xf>
    <xf numFmtId="0" fontId="107" fillId="0" borderId="0" xfId="0" applyFont="1" applyAlignment="1" applyProtection="1">
      <alignment horizontal="center" vertical="center"/>
      <protection locked="0"/>
    </xf>
    <xf numFmtId="0" fontId="101" fillId="0" borderId="0" xfId="0" applyFont="1" applyAlignment="1">
      <alignment horizontal="center" vertical="center" wrapText="1"/>
    </xf>
    <xf numFmtId="9" fontId="67" fillId="0" borderId="0" xfId="0" applyNumberFormat="1" applyFont="1" applyAlignment="1">
      <alignment horizontal="center" vertical="center" wrapText="1"/>
    </xf>
    <xf numFmtId="0" fontId="104" fillId="0" borderId="0" xfId="0" applyFont="1" applyAlignment="1">
      <alignment horizontal="center" vertical="center"/>
    </xf>
    <xf numFmtId="0" fontId="101" fillId="0" borderId="0" xfId="0" applyFont="1" applyAlignment="1" applyProtection="1">
      <alignment horizontal="center" vertical="center" wrapText="1"/>
      <protection locked="0"/>
    </xf>
    <xf numFmtId="0" fontId="149" fillId="0" borderId="0" xfId="0" applyFont="1" applyAlignment="1">
      <alignment horizontal="left" vertical="center"/>
    </xf>
    <xf numFmtId="0" fontId="149" fillId="0" borderId="0" xfId="0" applyFont="1" applyAlignment="1">
      <alignment horizontal="left" vertical="center" wrapText="1"/>
    </xf>
    <xf numFmtId="0" fontId="107" fillId="0" borderId="0" xfId="0" applyFont="1" applyAlignment="1">
      <alignment horizontal="center" vertical="center"/>
    </xf>
    <xf numFmtId="0" fontId="107" fillId="7" borderId="133" xfId="0" applyFont="1" applyFill="1" applyBorder="1" applyAlignment="1">
      <alignment horizontal="center" vertical="center" wrapText="1"/>
    </xf>
    <xf numFmtId="0" fontId="107" fillId="7" borderId="134" xfId="0" applyFont="1" applyFill="1" applyBorder="1" applyAlignment="1">
      <alignment horizontal="center" vertical="center"/>
    </xf>
    <xf numFmtId="0" fontId="107" fillId="7" borderId="155" xfId="0" applyFont="1" applyFill="1" applyBorder="1" applyAlignment="1">
      <alignment horizontal="center" vertical="center"/>
    </xf>
    <xf numFmtId="0" fontId="107" fillId="7" borderId="135" xfId="0" applyFont="1" applyFill="1" applyBorder="1" applyAlignment="1">
      <alignment horizontal="center" vertical="center"/>
    </xf>
    <xf numFmtId="0" fontId="158" fillId="12" borderId="0" xfId="0" applyFont="1" applyFill="1" applyAlignment="1">
      <alignment horizontal="left" vertical="center" wrapText="1"/>
    </xf>
    <xf numFmtId="0" fontId="107" fillId="0" borderId="0" xfId="21" applyFont="1" applyAlignment="1">
      <alignment horizontal="left" vertical="center" wrapText="1"/>
    </xf>
    <xf numFmtId="0" fontId="68" fillId="0" borderId="133" xfId="15" applyFont="1" applyBorder="1" applyAlignment="1">
      <alignment horizontal="left" vertical="center" wrapText="1"/>
    </xf>
    <xf numFmtId="0" fontId="68" fillId="2" borderId="133" xfId="15" applyFont="1" applyFill="1" applyBorder="1" applyAlignment="1">
      <alignment horizontal="left" vertical="center" wrapText="1"/>
    </xf>
    <xf numFmtId="0" fontId="107" fillId="7" borderId="134" xfId="0" applyFont="1" applyFill="1" applyBorder="1" applyAlignment="1">
      <alignment horizontal="center" vertical="center" wrapText="1"/>
    </xf>
    <xf numFmtId="0" fontId="107" fillId="7" borderId="155" xfId="0" applyFont="1" applyFill="1" applyBorder="1" applyAlignment="1">
      <alignment horizontal="center" vertical="center" wrapText="1"/>
    </xf>
    <xf numFmtId="0" fontId="107" fillId="7" borderId="135" xfId="0" applyFont="1" applyFill="1" applyBorder="1" applyAlignment="1">
      <alignment horizontal="center" vertical="center" wrapText="1"/>
    </xf>
    <xf numFmtId="0" fontId="68" fillId="2" borderId="134" xfId="15" applyFont="1" applyFill="1" applyBorder="1" applyAlignment="1">
      <alignment horizontal="left" vertical="center" wrapText="1"/>
    </xf>
    <xf numFmtId="0" fontId="68" fillId="2" borderId="155" xfId="15" applyFont="1" applyFill="1" applyBorder="1" applyAlignment="1">
      <alignment horizontal="left" vertical="center" wrapText="1"/>
    </xf>
    <xf numFmtId="0" fontId="68" fillId="2" borderId="135" xfId="15" applyFont="1" applyFill="1" applyBorder="1" applyAlignment="1">
      <alignment horizontal="left" vertical="center" wrapText="1"/>
    </xf>
    <xf numFmtId="0" fontId="158" fillId="2" borderId="0" xfId="0" applyFont="1" applyFill="1" applyAlignment="1">
      <alignment horizontal="center" vertical="center" wrapText="1"/>
    </xf>
    <xf numFmtId="0" fontId="107" fillId="2" borderId="0" xfId="21" applyFont="1" applyFill="1" applyAlignment="1">
      <alignment horizontal="left" vertical="center" wrapText="1"/>
    </xf>
    <xf numFmtId="0" fontId="68" fillId="2" borderId="0" xfId="21" applyFont="1" applyFill="1" applyAlignment="1">
      <alignment horizontal="left" vertical="center" wrapText="1"/>
    </xf>
    <xf numFmtId="0" fontId="104" fillId="7" borderId="124" xfId="26" applyFont="1" applyFill="1" applyBorder="1" applyAlignment="1">
      <alignment horizontal="center" vertical="center" wrapText="1"/>
    </xf>
    <xf numFmtId="0" fontId="104" fillId="7" borderId="127" xfId="26" applyFont="1" applyFill="1" applyBorder="1" applyAlignment="1">
      <alignment horizontal="center" vertical="center" wrapText="1"/>
    </xf>
    <xf numFmtId="0" fontId="104" fillId="7" borderId="157" xfId="26" applyFont="1" applyFill="1" applyBorder="1" applyAlignment="1">
      <alignment horizontal="center" vertical="center" wrapText="1"/>
    </xf>
    <xf numFmtId="0" fontId="68" fillId="2" borderId="0" xfId="0" applyFont="1" applyFill="1" applyBorder="1" applyAlignment="1">
      <alignment horizontal="left" vertical="center" wrapText="1"/>
    </xf>
    <xf numFmtId="0" fontId="107" fillId="7" borderId="78" xfId="0" applyFont="1" applyFill="1" applyBorder="1" applyAlignment="1">
      <alignment horizontal="center" vertical="center"/>
    </xf>
    <xf numFmtId="0" fontId="104" fillId="7" borderId="126" xfId="26" applyFont="1" applyFill="1" applyBorder="1" applyAlignment="1">
      <alignment horizontal="center" vertical="center" wrapText="1"/>
    </xf>
    <xf numFmtId="0" fontId="104" fillId="7" borderId="130" xfId="26" applyFont="1" applyFill="1" applyBorder="1" applyAlignment="1">
      <alignment horizontal="center" vertical="center" wrapText="1"/>
    </xf>
    <xf numFmtId="0" fontId="67" fillId="2" borderId="0" xfId="0" applyFont="1" applyFill="1" applyAlignment="1">
      <alignment horizontal="center" vertical="center" wrapText="1"/>
    </xf>
    <xf numFmtId="0" fontId="67" fillId="2" borderId="0" xfId="24" applyFont="1" applyFill="1" applyAlignment="1">
      <alignment horizontal="center" vertical="center" wrapText="1"/>
    </xf>
    <xf numFmtId="0" fontId="104" fillId="7" borderId="156" xfId="13" applyFont="1" applyFill="1" applyBorder="1" applyAlignment="1">
      <alignment horizontal="center" vertical="center"/>
    </xf>
    <xf numFmtId="0" fontId="104" fillId="7" borderId="129" xfId="13" applyFont="1" applyFill="1" applyBorder="1" applyAlignment="1">
      <alignment horizontal="center" vertical="center"/>
    </xf>
    <xf numFmtId="0" fontId="104" fillId="7" borderId="124" xfId="13" applyFont="1" applyFill="1" applyBorder="1" applyAlignment="1">
      <alignment horizontal="center" vertical="center"/>
    </xf>
    <xf numFmtId="0" fontId="104" fillId="7" borderId="131" xfId="13" applyFont="1" applyFill="1" applyBorder="1" applyAlignment="1">
      <alignment horizontal="center" vertical="center"/>
    </xf>
    <xf numFmtId="0" fontId="104" fillId="7" borderId="220" xfId="0" applyFont="1" applyFill="1" applyBorder="1" applyAlignment="1">
      <alignment horizontal="center" vertical="center"/>
    </xf>
    <xf numFmtId="0" fontId="104" fillId="7" borderId="0" xfId="0" applyFont="1" applyFill="1" applyBorder="1" applyAlignment="1">
      <alignment horizontal="center" vertical="center"/>
    </xf>
    <xf numFmtId="0" fontId="104" fillId="7" borderId="157" xfId="13" applyFont="1" applyFill="1" applyBorder="1" applyAlignment="1">
      <alignment horizontal="center" vertical="center"/>
    </xf>
    <xf numFmtId="0" fontId="104" fillId="7" borderId="193" xfId="13" applyFont="1" applyFill="1" applyBorder="1" applyAlignment="1">
      <alignment horizontal="center" vertical="center" wrapText="1"/>
    </xf>
    <xf numFmtId="0" fontId="104" fillId="7" borderId="194" xfId="13" applyFont="1" applyFill="1" applyBorder="1" applyAlignment="1">
      <alignment horizontal="center" vertical="center" wrapText="1"/>
    </xf>
    <xf numFmtId="0" fontId="104" fillId="7" borderId="194" xfId="13" applyFont="1" applyFill="1" applyBorder="1" applyAlignment="1">
      <alignment horizontal="center" vertical="center"/>
    </xf>
    <xf numFmtId="0" fontId="104" fillId="7" borderId="217" xfId="13" applyFont="1" applyFill="1" applyBorder="1" applyAlignment="1">
      <alignment horizontal="center" vertical="center"/>
    </xf>
    <xf numFmtId="0" fontId="104" fillId="7" borderId="155" xfId="13" applyFont="1" applyFill="1" applyBorder="1" applyAlignment="1">
      <alignment horizontal="center" vertical="center"/>
    </xf>
    <xf numFmtId="0" fontId="104" fillId="7" borderId="135" xfId="13" applyFont="1" applyFill="1" applyBorder="1" applyAlignment="1">
      <alignment horizontal="center" vertical="center"/>
    </xf>
    <xf numFmtId="0" fontId="104" fillId="7" borderId="181" xfId="0" applyFont="1" applyFill="1" applyBorder="1" applyAlignment="1">
      <alignment horizontal="center" vertical="center"/>
    </xf>
    <xf numFmtId="0" fontId="104" fillId="7" borderId="32" xfId="0" applyFont="1" applyFill="1" applyBorder="1" applyAlignment="1">
      <alignment horizontal="center" vertical="center"/>
    </xf>
    <xf numFmtId="0" fontId="104" fillId="7" borderId="182" xfId="0" applyFont="1" applyFill="1" applyBorder="1" applyAlignment="1">
      <alignment horizontal="center" vertical="center"/>
    </xf>
    <xf numFmtId="0" fontId="104" fillId="7" borderId="184" xfId="0" applyFont="1" applyFill="1" applyBorder="1" applyAlignment="1">
      <alignment horizontal="center" vertical="center"/>
    </xf>
    <xf numFmtId="0" fontId="104" fillId="7" borderId="30" xfId="0" applyFont="1" applyFill="1" applyBorder="1" applyAlignment="1">
      <alignment horizontal="center" vertical="center"/>
    </xf>
    <xf numFmtId="0" fontId="104" fillId="7" borderId="185" xfId="0" applyFont="1" applyFill="1" applyBorder="1" applyAlignment="1">
      <alignment horizontal="center" vertical="center"/>
    </xf>
    <xf numFmtId="0" fontId="14" fillId="27" borderId="22" xfId="0" applyFont="1" applyFill="1" applyBorder="1" applyAlignment="1">
      <alignment horizontal="center" vertical="center" wrapText="1"/>
    </xf>
    <xf numFmtId="0" fontId="14" fillId="27" borderId="23" xfId="0" applyFont="1" applyFill="1" applyBorder="1" applyAlignment="1">
      <alignment horizontal="center" vertical="center" wrapText="1"/>
    </xf>
    <xf numFmtId="0" fontId="14" fillId="27" borderId="24" xfId="0" applyFont="1" applyFill="1" applyBorder="1" applyAlignment="1">
      <alignment horizontal="center" vertical="center" wrapText="1"/>
    </xf>
    <xf numFmtId="0" fontId="7" fillId="4" borderId="20" xfId="0" applyFont="1" applyFill="1" applyBorder="1" applyAlignment="1">
      <alignment horizontal="center" vertical="center" wrapText="1"/>
    </xf>
    <xf numFmtId="0" fontId="12" fillId="4" borderId="20" xfId="0" applyFont="1" applyFill="1" applyBorder="1" applyAlignment="1">
      <alignment horizontal="center" vertical="center" wrapText="1"/>
    </xf>
    <xf numFmtId="0" fontId="15" fillId="2" borderId="0" xfId="0" applyFont="1" applyFill="1" applyBorder="1" applyAlignment="1">
      <alignment horizontal="left" vertical="center" wrapText="1"/>
    </xf>
    <xf numFmtId="0" fontId="12" fillId="2" borderId="20" xfId="0" applyFont="1" applyFill="1" applyBorder="1" applyAlignment="1">
      <alignment horizontal="center" vertical="center" wrapText="1"/>
    </xf>
    <xf numFmtId="0" fontId="15" fillId="2" borderId="32" xfId="0" applyFont="1" applyFill="1" applyBorder="1" applyAlignment="1">
      <alignment horizontal="left" vertical="center" wrapText="1"/>
    </xf>
    <xf numFmtId="0" fontId="14" fillId="5" borderId="20" xfId="0" applyFont="1" applyFill="1" applyBorder="1" applyAlignment="1">
      <alignment horizontal="center" vertical="center" wrapText="1"/>
    </xf>
    <xf numFmtId="0" fontId="14" fillId="2" borderId="22" xfId="0" applyFont="1" applyFill="1" applyBorder="1" applyAlignment="1">
      <alignment horizontal="center" vertical="center" wrapText="1"/>
    </xf>
    <xf numFmtId="0" fontId="14" fillId="2" borderId="23" xfId="0" applyFont="1" applyFill="1" applyBorder="1" applyAlignment="1">
      <alignment horizontal="center" vertical="center" wrapText="1"/>
    </xf>
    <xf numFmtId="0" fontId="14" fillId="2" borderId="24" xfId="0" applyFont="1" applyFill="1" applyBorder="1" applyAlignment="1">
      <alignment horizontal="center" vertical="center" wrapText="1"/>
    </xf>
    <xf numFmtId="0" fontId="14" fillId="27" borderId="20" xfId="0" applyFont="1" applyFill="1" applyBorder="1" applyAlignment="1">
      <alignment horizontal="center" vertical="center" wrapText="1"/>
    </xf>
    <xf numFmtId="0" fontId="17" fillId="2" borderId="20" xfId="0" applyFont="1" applyFill="1" applyBorder="1" applyAlignment="1">
      <alignment horizontal="center" vertical="center"/>
    </xf>
    <xf numFmtId="0" fontId="18" fillId="2" borderId="23" xfId="0" applyFont="1" applyFill="1" applyBorder="1" applyAlignment="1">
      <alignment horizontal="center" vertical="center"/>
    </xf>
    <xf numFmtId="0" fontId="18" fillId="2" borderId="24" xfId="0" applyFont="1" applyFill="1" applyBorder="1" applyAlignment="1">
      <alignment horizontal="center" vertical="center"/>
    </xf>
    <xf numFmtId="0" fontId="17" fillId="2" borderId="32" xfId="0" applyFont="1" applyFill="1" applyBorder="1" applyAlignment="1">
      <alignment horizontal="center"/>
    </xf>
    <xf numFmtId="0" fontId="10" fillId="7" borderId="199" xfId="0" applyFont="1" applyFill="1" applyBorder="1" applyAlignment="1">
      <alignment horizontal="center" vertical="center" wrapText="1"/>
    </xf>
    <xf numFmtId="0" fontId="10" fillId="7" borderId="205" xfId="0" applyFont="1" applyFill="1" applyBorder="1" applyAlignment="1">
      <alignment horizontal="center" vertical="center" wrapText="1"/>
    </xf>
    <xf numFmtId="0" fontId="10" fillId="7" borderId="201" xfId="0" applyFont="1" applyFill="1" applyBorder="1" applyAlignment="1">
      <alignment horizontal="center" vertical="center" wrapText="1"/>
    </xf>
    <xf numFmtId="0" fontId="10" fillId="7" borderId="203" xfId="0" applyFont="1" applyFill="1" applyBorder="1" applyAlignment="1">
      <alignment horizontal="center" vertical="center" wrapText="1"/>
    </xf>
    <xf numFmtId="0" fontId="10" fillId="7" borderId="3" xfId="0" applyFont="1" applyFill="1" applyBorder="1" applyAlignment="1">
      <alignment horizontal="center" vertical="center" wrapText="1"/>
    </xf>
    <xf numFmtId="0" fontId="10" fillId="7" borderId="204" xfId="0" applyFont="1" applyFill="1" applyBorder="1" applyAlignment="1">
      <alignment horizontal="center" vertical="center" wrapText="1"/>
    </xf>
    <xf numFmtId="0" fontId="10" fillId="7" borderId="203" xfId="0" applyFont="1" applyFill="1" applyBorder="1" applyAlignment="1">
      <alignment horizontal="center" vertical="center"/>
    </xf>
    <xf numFmtId="0" fontId="10" fillId="7" borderId="200" xfId="0" applyFont="1" applyFill="1" applyBorder="1" applyAlignment="1">
      <alignment horizontal="center" vertical="center"/>
    </xf>
    <xf numFmtId="0" fontId="10" fillId="7" borderId="218" xfId="0" applyFont="1" applyFill="1" applyBorder="1" applyAlignment="1">
      <alignment horizontal="center" vertical="center"/>
    </xf>
    <xf numFmtId="0" fontId="6" fillId="2" borderId="20" xfId="0" applyFont="1" applyFill="1" applyBorder="1" applyAlignment="1">
      <alignment horizontal="center" vertical="center"/>
    </xf>
    <xf numFmtId="0" fontId="5" fillId="2" borderId="20" xfId="0" applyFont="1" applyFill="1" applyBorder="1" applyAlignment="1">
      <alignment horizontal="center" vertical="center"/>
    </xf>
    <xf numFmtId="0" fontId="17" fillId="2" borderId="20" xfId="0" applyFont="1" applyFill="1" applyBorder="1" applyAlignment="1">
      <alignment horizontal="center" vertical="center" wrapText="1"/>
    </xf>
    <xf numFmtId="0" fontId="177" fillId="104" borderId="20" xfId="0" applyFont="1" applyFill="1" applyBorder="1" applyAlignment="1">
      <alignment horizontal="center" vertical="center"/>
    </xf>
    <xf numFmtId="0" fontId="177" fillId="0" borderId="20" xfId="0" applyFont="1" applyBorder="1" applyAlignment="1">
      <alignment horizontal="center" vertical="center"/>
    </xf>
    <xf numFmtId="0" fontId="17" fillId="0" borderId="20" xfId="0" applyFont="1" applyFill="1" applyBorder="1" applyAlignment="1">
      <alignment horizontal="center" vertical="center"/>
    </xf>
    <xf numFmtId="0" fontId="6" fillId="2" borderId="20" xfId="0" applyFont="1" applyFill="1" applyBorder="1" applyAlignment="1">
      <alignment horizontal="center" vertical="center" wrapText="1"/>
    </xf>
    <xf numFmtId="0" fontId="6" fillId="2" borderId="33" xfId="0" applyFont="1" applyFill="1" applyBorder="1" applyAlignment="1">
      <alignment horizontal="center" vertical="center"/>
    </xf>
    <xf numFmtId="0" fontId="6" fillId="2" borderId="39" xfId="0" applyFont="1" applyFill="1" applyBorder="1" applyAlignment="1">
      <alignment horizontal="center" vertical="center"/>
    </xf>
    <xf numFmtId="0" fontId="6" fillId="2" borderId="21" xfId="0" applyFont="1" applyFill="1" applyBorder="1" applyAlignment="1">
      <alignment horizontal="center" vertical="center"/>
    </xf>
    <xf numFmtId="0" fontId="104" fillId="7" borderId="3" xfId="0" applyFont="1" applyFill="1" applyBorder="1" applyAlignment="1">
      <alignment horizontal="center" vertical="center"/>
    </xf>
    <xf numFmtId="0" fontId="104" fillId="7" borderId="216" xfId="0" applyFont="1" applyFill="1" applyBorder="1" applyAlignment="1">
      <alignment horizontal="center" vertical="center"/>
    </xf>
    <xf numFmtId="0" fontId="104" fillId="7" borderId="211" xfId="0" applyFont="1" applyFill="1" applyBorder="1" applyAlignment="1">
      <alignment horizontal="center" vertical="center"/>
    </xf>
    <xf numFmtId="0" fontId="104" fillId="7" borderId="199" xfId="0" applyFont="1" applyFill="1" applyBorder="1" applyAlignment="1">
      <alignment horizontal="center" vertical="center"/>
    </xf>
    <xf numFmtId="0" fontId="104" fillId="7" borderId="203" xfId="0" applyFont="1" applyFill="1" applyBorder="1" applyAlignment="1">
      <alignment horizontal="center" vertical="center"/>
    </xf>
    <xf numFmtId="0" fontId="104" fillId="7" borderId="200" xfId="0" applyFont="1" applyFill="1" applyBorder="1" applyAlignment="1">
      <alignment horizontal="center" vertical="center"/>
    </xf>
    <xf numFmtId="0" fontId="145" fillId="7" borderId="178" xfId="0" applyFont="1" applyFill="1" applyBorder="1" applyAlignment="1">
      <alignment horizontal="center" vertical="center" wrapText="1"/>
    </xf>
    <xf numFmtId="0" fontId="145" fillId="7" borderId="179" xfId="0" applyFont="1" applyFill="1" applyBorder="1" applyAlignment="1">
      <alignment horizontal="center" vertical="center" wrapText="1"/>
    </xf>
    <xf numFmtId="0" fontId="104" fillId="7" borderId="3" xfId="0" applyFont="1" applyFill="1" applyBorder="1" applyAlignment="1">
      <alignment horizontal="center" vertical="center" wrapText="1"/>
    </xf>
    <xf numFmtId="0" fontId="101" fillId="2" borderId="34" xfId="0" applyFont="1" applyFill="1" applyBorder="1" applyAlignment="1">
      <alignment horizontal="center" vertical="center"/>
    </xf>
    <xf numFmtId="0" fontId="101" fillId="2" borderId="0" xfId="0" applyFont="1" applyFill="1" applyAlignment="1">
      <alignment horizontal="center" vertical="center"/>
    </xf>
    <xf numFmtId="0" fontId="99" fillId="2" borderId="0" xfId="0" applyFont="1" applyFill="1" applyAlignment="1">
      <alignment horizontal="center" vertical="center"/>
    </xf>
    <xf numFmtId="0" fontId="104" fillId="7" borderId="232" xfId="0" applyFont="1" applyFill="1" applyBorder="1" applyAlignment="1">
      <alignment horizontal="center" vertical="center" wrapText="1"/>
    </xf>
    <xf numFmtId="0" fontId="104" fillId="7" borderId="5" xfId="0" applyFont="1" applyFill="1" applyBorder="1" applyAlignment="1">
      <alignment horizontal="center" vertical="center" wrapText="1"/>
    </xf>
    <xf numFmtId="0" fontId="9" fillId="2" borderId="0" xfId="0" applyFont="1" applyFill="1" applyAlignment="1">
      <alignment horizontal="center" vertical="center"/>
    </xf>
    <xf numFmtId="0" fontId="5" fillId="4" borderId="133" xfId="0" applyFont="1" applyFill="1" applyBorder="1" applyAlignment="1">
      <alignment horizontal="left" vertical="center" wrapText="1"/>
    </xf>
    <xf numFmtId="0" fontId="5" fillId="4" borderId="133" xfId="0" applyFont="1" applyFill="1" applyBorder="1" applyAlignment="1">
      <alignment horizontal="center" vertical="center" wrapText="1"/>
    </xf>
    <xf numFmtId="0" fontId="9" fillId="2" borderId="136" xfId="0" quotePrefix="1" applyFont="1" applyFill="1" applyBorder="1" applyAlignment="1">
      <alignment horizontal="center" vertical="center" wrapText="1"/>
    </xf>
    <xf numFmtId="0" fontId="9" fillId="2" borderId="137" xfId="0" quotePrefix="1" applyFont="1" applyFill="1" applyBorder="1" applyAlignment="1">
      <alignment horizontal="center" vertical="center" wrapText="1"/>
    </xf>
    <xf numFmtId="0" fontId="9" fillId="2" borderId="138" xfId="0" quotePrefix="1" applyFont="1" applyFill="1" applyBorder="1" applyAlignment="1">
      <alignment horizontal="center" vertical="center" wrapText="1"/>
    </xf>
    <xf numFmtId="0" fontId="5" fillId="4" borderId="136" xfId="0" applyFont="1" applyFill="1" applyBorder="1" applyAlignment="1">
      <alignment horizontal="left" vertical="center" wrapText="1"/>
    </xf>
    <xf numFmtId="0" fontId="5" fillId="4" borderId="138" xfId="0" applyFont="1" applyFill="1" applyBorder="1" applyAlignment="1">
      <alignment horizontal="left" vertical="center" wrapText="1"/>
    </xf>
    <xf numFmtId="0" fontId="5" fillId="4" borderId="136" xfId="0" applyFont="1" applyFill="1" applyBorder="1" applyAlignment="1">
      <alignment horizontal="center" vertical="center" wrapText="1"/>
    </xf>
    <xf numFmtId="0" fontId="5" fillId="4" borderId="138" xfId="0" applyFont="1" applyFill="1" applyBorder="1" applyAlignment="1">
      <alignment horizontal="center" vertical="center" wrapText="1"/>
    </xf>
    <xf numFmtId="0" fontId="9" fillId="2" borderId="133" xfId="0" applyFont="1" applyFill="1" applyBorder="1" applyAlignment="1">
      <alignment horizontal="center" vertical="center" textRotation="90"/>
    </xf>
    <xf numFmtId="0" fontId="9" fillId="5" borderId="133" xfId="0" applyFont="1" applyFill="1" applyBorder="1" applyAlignment="1">
      <alignment horizontal="center" vertical="center" wrapText="1"/>
    </xf>
    <xf numFmtId="0" fontId="9" fillId="4" borderId="133" xfId="0" applyFont="1" applyFill="1" applyBorder="1" applyAlignment="1">
      <alignment horizontal="center" vertical="center"/>
    </xf>
    <xf numFmtId="0" fontId="9" fillId="2" borderId="133" xfId="0" applyFont="1" applyFill="1" applyBorder="1" applyAlignment="1">
      <alignment horizontal="center" vertical="center"/>
    </xf>
    <xf numFmtId="0" fontId="9" fillId="2" borderId="133" xfId="0" applyFont="1" applyFill="1" applyBorder="1" applyAlignment="1">
      <alignment horizontal="center" vertical="center" textRotation="90" wrapText="1"/>
    </xf>
    <xf numFmtId="0" fontId="9" fillId="4" borderId="133" xfId="0" applyFont="1" applyFill="1" applyBorder="1" applyAlignment="1">
      <alignment horizontal="center" vertical="center" wrapText="1"/>
    </xf>
    <xf numFmtId="0" fontId="9" fillId="2" borderId="133" xfId="0" applyFont="1" applyFill="1" applyBorder="1" applyAlignment="1">
      <alignment horizontal="center" vertical="center" wrapText="1"/>
    </xf>
    <xf numFmtId="0" fontId="82" fillId="7" borderId="156" xfId="0" applyFont="1" applyFill="1" applyBorder="1" applyAlignment="1">
      <alignment horizontal="center" vertical="center" wrapText="1"/>
    </xf>
    <xf numFmtId="0" fontId="82" fillId="7" borderId="125" xfId="0" applyFont="1" applyFill="1" applyBorder="1" applyAlignment="1">
      <alignment horizontal="center" vertical="center" wrapText="1"/>
    </xf>
    <xf numFmtId="0" fontId="82" fillId="7" borderId="129" xfId="0" applyFont="1" applyFill="1" applyBorder="1" applyAlignment="1">
      <alignment horizontal="center" vertical="center" wrapText="1"/>
    </xf>
    <xf numFmtId="0" fontId="82" fillId="7" borderId="157" xfId="0" applyFont="1" applyFill="1" applyBorder="1" applyAlignment="1">
      <alignment horizontal="center" vertical="center" wrapText="1"/>
    </xf>
    <xf numFmtId="0" fontId="82" fillId="7" borderId="126" xfId="0" applyFont="1" applyFill="1" applyBorder="1" applyAlignment="1">
      <alignment horizontal="center" vertical="center" wrapText="1"/>
    </xf>
    <xf numFmtId="0" fontId="82" fillId="7" borderId="130" xfId="0" applyFont="1" applyFill="1" applyBorder="1" applyAlignment="1">
      <alignment horizontal="center" vertical="center" wrapText="1"/>
    </xf>
    <xf numFmtId="0" fontId="2" fillId="2" borderId="133" xfId="0" applyFont="1" applyFill="1" applyBorder="1" applyAlignment="1">
      <alignment horizontal="justify" vertical="center" wrapText="1"/>
    </xf>
    <xf numFmtId="0" fontId="87" fillId="2" borderId="144" xfId="0" applyFont="1" applyFill="1" applyBorder="1" applyAlignment="1">
      <alignment horizontal="center" vertical="center"/>
    </xf>
    <xf numFmtId="0" fontId="82" fillId="7" borderId="124" xfId="0" applyFont="1" applyFill="1" applyBorder="1" applyAlignment="1">
      <alignment horizontal="center" vertical="center" wrapText="1"/>
    </xf>
    <xf numFmtId="0" fontId="88" fillId="7" borderId="157" xfId="0" applyFont="1" applyFill="1" applyBorder="1" applyAlignment="1">
      <alignment horizontal="center" vertical="center" wrapText="1"/>
    </xf>
    <xf numFmtId="0" fontId="88" fillId="7" borderId="124" xfId="0" applyFont="1" applyFill="1" applyBorder="1" applyAlignment="1">
      <alignment horizontal="center" vertical="center" wrapText="1"/>
    </xf>
    <xf numFmtId="0" fontId="190" fillId="7" borderId="0" xfId="0" applyFont="1" applyFill="1" applyBorder="1" applyAlignment="1">
      <alignment horizontal="center" vertical="center"/>
    </xf>
    <xf numFmtId="0" fontId="76" fillId="2" borderId="0" xfId="0" applyFont="1" applyFill="1" applyBorder="1" applyAlignment="1">
      <alignment horizontal="left" vertical="center" wrapText="1"/>
    </xf>
    <xf numFmtId="0" fontId="82" fillId="7" borderId="157" xfId="0" applyFont="1" applyFill="1" applyBorder="1" applyAlignment="1">
      <alignment horizontal="center" vertical="center"/>
    </xf>
    <xf numFmtId="0" fontId="82" fillId="7" borderId="127" xfId="0" applyFont="1" applyFill="1" applyBorder="1" applyAlignment="1">
      <alignment horizontal="center" vertical="center" wrapText="1"/>
    </xf>
    <xf numFmtId="0" fontId="82" fillId="7" borderId="131" xfId="0" applyFont="1" applyFill="1" applyBorder="1" applyAlignment="1">
      <alignment horizontal="center" vertical="center" wrapText="1"/>
    </xf>
    <xf numFmtId="0" fontId="2" fillId="2" borderId="133" xfId="0" applyFont="1" applyFill="1" applyBorder="1" applyAlignment="1">
      <alignment horizontal="center" vertical="center" wrapText="1"/>
    </xf>
    <xf numFmtId="0" fontId="88" fillId="7" borderId="156" xfId="0" applyFont="1" applyFill="1" applyBorder="1" applyAlignment="1">
      <alignment horizontal="center" vertical="center" wrapText="1"/>
    </xf>
    <xf numFmtId="0" fontId="88" fillId="7" borderId="125" xfId="0" applyFont="1" applyFill="1" applyBorder="1" applyAlignment="1">
      <alignment horizontal="center" vertical="center" wrapText="1"/>
    </xf>
    <xf numFmtId="0" fontId="88" fillId="7" borderId="129" xfId="0" applyFont="1" applyFill="1" applyBorder="1" applyAlignment="1">
      <alignment horizontal="center" vertical="center" wrapText="1"/>
    </xf>
    <xf numFmtId="0" fontId="88" fillId="7" borderId="126" xfId="0" applyFont="1" applyFill="1" applyBorder="1" applyAlignment="1">
      <alignment horizontal="center" vertical="center" wrapText="1"/>
    </xf>
    <xf numFmtId="0" fontId="88" fillId="7" borderId="130" xfId="0" applyFont="1" applyFill="1" applyBorder="1" applyAlignment="1">
      <alignment horizontal="center" vertical="center" wrapText="1"/>
    </xf>
    <xf numFmtId="0" fontId="88" fillId="7" borderId="127" xfId="0" applyFont="1" applyFill="1" applyBorder="1" applyAlignment="1">
      <alignment horizontal="center" vertical="center" wrapText="1"/>
    </xf>
    <xf numFmtId="0" fontId="88" fillId="7" borderId="131" xfId="0" applyFont="1" applyFill="1" applyBorder="1" applyAlignment="1">
      <alignment horizontal="center" vertical="center" wrapText="1"/>
    </xf>
    <xf numFmtId="0" fontId="84" fillId="2" borderId="133" xfId="0" applyFont="1" applyFill="1" applyBorder="1" applyAlignment="1">
      <alignment horizontal="center" vertical="center" wrapText="1"/>
    </xf>
    <xf numFmtId="0" fontId="84" fillId="0" borderId="139" xfId="0" applyFont="1" applyBorder="1" applyAlignment="1">
      <alignment horizontal="center" vertical="center" wrapText="1"/>
    </xf>
    <xf numFmtId="0" fontId="84" fillId="0" borderId="140" xfId="0" applyFont="1" applyBorder="1" applyAlignment="1">
      <alignment horizontal="center" vertical="center" wrapText="1"/>
    </xf>
    <xf numFmtId="0" fontId="84" fillId="0" borderId="153" xfId="0" applyFont="1" applyBorder="1" applyAlignment="1">
      <alignment horizontal="center" vertical="center" wrapText="1"/>
    </xf>
    <xf numFmtId="0" fontId="84" fillId="0" borderId="154" xfId="0" applyFont="1" applyBorder="1" applyAlignment="1">
      <alignment horizontal="center" vertical="center" wrapText="1"/>
    </xf>
    <xf numFmtId="0" fontId="84" fillId="0" borderId="141" xfId="0" applyFont="1" applyBorder="1" applyAlignment="1">
      <alignment horizontal="center" vertical="center" wrapText="1"/>
    </xf>
    <xf numFmtId="0" fontId="84" fillId="0" borderId="142" xfId="0" applyFont="1" applyBorder="1" applyAlignment="1">
      <alignment horizontal="center" vertical="center" wrapText="1"/>
    </xf>
    <xf numFmtId="0" fontId="84" fillId="0" borderId="134" xfId="0" applyFont="1" applyBorder="1" applyAlignment="1">
      <alignment horizontal="center" vertical="center" wrapText="1"/>
    </xf>
    <xf numFmtId="0" fontId="84" fillId="0" borderId="135" xfId="0" applyFont="1" applyBorder="1" applyAlignment="1">
      <alignment horizontal="center" vertical="center" wrapText="1"/>
    </xf>
    <xf numFmtId="0" fontId="68" fillId="2" borderId="0" xfId="3" applyFont="1" applyFill="1" applyBorder="1" applyAlignment="1">
      <alignment horizontal="left" vertical="center"/>
    </xf>
    <xf numFmtId="0" fontId="104" fillId="7" borderId="216" xfId="0" applyFont="1" applyFill="1" applyBorder="1" applyAlignment="1">
      <alignment horizontal="center" vertical="center" wrapText="1"/>
    </xf>
    <xf numFmtId="0" fontId="104" fillId="7" borderId="233" xfId="0" applyFont="1" applyFill="1" applyBorder="1" applyAlignment="1">
      <alignment horizontal="center" vertical="center" wrapText="1"/>
    </xf>
    <xf numFmtId="0" fontId="99" fillId="0" borderId="133" xfId="0" applyFont="1" applyFill="1" applyBorder="1" applyAlignment="1">
      <alignment horizontal="left" vertical="center" wrapText="1"/>
    </xf>
    <xf numFmtId="0" fontId="99" fillId="0" borderId="133" xfId="0" applyFont="1" applyBorder="1" applyAlignment="1">
      <alignment horizontal="left" vertical="center" wrapText="1"/>
    </xf>
    <xf numFmtId="3" fontId="100" fillId="12" borderId="133" xfId="0" applyNumberFormat="1" applyFont="1" applyFill="1" applyBorder="1" applyAlignment="1">
      <alignment horizontal="center" vertical="center" wrapText="1"/>
    </xf>
    <xf numFmtId="0" fontId="33" fillId="23" borderId="158" xfId="0" applyFont="1" applyFill="1" applyBorder="1" applyAlignment="1">
      <alignment horizontal="center" vertical="center" wrapText="1"/>
    </xf>
    <xf numFmtId="0" fontId="33" fillId="23" borderId="105" xfId="0" applyFont="1" applyFill="1" applyBorder="1" applyAlignment="1">
      <alignment horizontal="center" vertical="center" wrapText="1"/>
    </xf>
    <xf numFmtId="0" fontId="33" fillId="23" borderId="106" xfId="0" applyFont="1" applyFill="1" applyBorder="1" applyAlignment="1">
      <alignment horizontal="center" vertical="center" wrapText="1"/>
    </xf>
    <xf numFmtId="0" fontId="34" fillId="12" borderId="159" xfId="0" applyFont="1" applyFill="1" applyBorder="1" applyAlignment="1">
      <alignment horizontal="center" vertical="center" wrapText="1"/>
    </xf>
    <xf numFmtId="0" fontId="34" fillId="12" borderId="20" xfId="0" applyFont="1" applyFill="1" applyBorder="1" applyAlignment="1">
      <alignment horizontal="center" vertical="center" wrapText="1"/>
    </xf>
    <xf numFmtId="0" fontId="34" fillId="12" borderId="107" xfId="0" applyFont="1" applyFill="1" applyBorder="1" applyAlignment="1">
      <alignment horizontal="center" vertical="center" wrapText="1"/>
    </xf>
    <xf numFmtId="0" fontId="34" fillId="0" borderId="159" xfId="0" applyFont="1" applyBorder="1" applyAlignment="1">
      <alignment horizontal="center" vertical="center" wrapText="1"/>
    </xf>
    <xf numFmtId="0" fontId="34" fillId="0" borderId="20" xfId="0" applyFont="1" applyBorder="1" applyAlignment="1">
      <alignment horizontal="center" vertical="center" wrapText="1"/>
    </xf>
    <xf numFmtId="0" fontId="34" fillId="0" borderId="107" xfId="0" applyFont="1" applyBorder="1" applyAlignment="1">
      <alignment horizontal="center" vertical="center" wrapText="1"/>
    </xf>
    <xf numFmtId="0" fontId="149" fillId="2" borderId="133" xfId="0" applyFont="1" applyFill="1" applyBorder="1" applyAlignment="1">
      <alignment horizontal="left" vertical="center" wrapText="1"/>
    </xf>
    <xf numFmtId="0" fontId="104" fillId="7" borderId="147" xfId="0" applyFont="1" applyFill="1" applyBorder="1" applyAlignment="1">
      <alignment horizontal="center" vertical="center" wrapText="1"/>
    </xf>
    <xf numFmtId="0" fontId="67" fillId="2" borderId="133" xfId="0" applyFont="1" applyFill="1" applyBorder="1" applyAlignment="1">
      <alignment horizontal="center" vertical="center" wrapText="1"/>
    </xf>
    <xf numFmtId="0" fontId="25" fillId="2" borderId="133" xfId="0" applyFont="1" applyFill="1" applyBorder="1" applyAlignment="1">
      <alignment horizontal="left" vertical="center" wrapText="1"/>
    </xf>
    <xf numFmtId="0" fontId="10" fillId="7" borderId="134" xfId="13" applyFont="1" applyFill="1" applyBorder="1" applyAlignment="1">
      <alignment horizontal="center" vertical="center" wrapText="1"/>
    </xf>
    <xf numFmtId="0" fontId="10" fillId="7" borderId="219" xfId="13" applyFont="1" applyFill="1" applyBorder="1" applyAlignment="1">
      <alignment horizontal="center" vertical="center" wrapText="1"/>
    </xf>
    <xf numFmtId="0" fontId="10" fillId="7" borderId="217" xfId="13" applyFont="1" applyFill="1" applyBorder="1" applyAlignment="1">
      <alignment horizontal="center" vertical="center" wrapText="1"/>
    </xf>
    <xf numFmtId="0" fontId="10" fillId="7" borderId="155" xfId="13" applyFont="1" applyFill="1" applyBorder="1" applyAlignment="1">
      <alignment horizontal="center" vertical="center" wrapText="1"/>
    </xf>
    <xf numFmtId="0" fontId="10" fillId="7" borderId="0" xfId="0" applyFont="1" applyFill="1" applyBorder="1" applyAlignment="1">
      <alignment horizontal="center" vertical="center"/>
    </xf>
    <xf numFmtId="0" fontId="10" fillId="7" borderId="156" xfId="0" applyFont="1" applyFill="1" applyBorder="1" applyAlignment="1">
      <alignment horizontal="center" vertical="center" wrapText="1"/>
    </xf>
    <xf numFmtId="0" fontId="10" fillId="7" borderId="129" xfId="0" applyFont="1" applyFill="1" applyBorder="1" applyAlignment="1">
      <alignment horizontal="center" vertical="center" wrapText="1"/>
    </xf>
    <xf numFmtId="0" fontId="10" fillId="7" borderId="217" xfId="13" applyFont="1" applyFill="1" applyBorder="1" applyAlignment="1">
      <alignment horizontal="left" vertical="center"/>
    </xf>
    <xf numFmtId="0" fontId="10" fillId="7" borderId="155" xfId="13" applyFont="1" applyFill="1" applyBorder="1" applyAlignment="1">
      <alignment horizontal="left" vertical="center"/>
    </xf>
    <xf numFmtId="0" fontId="10" fillId="7" borderId="135" xfId="13" applyFont="1" applyFill="1" applyBorder="1" applyAlignment="1">
      <alignment horizontal="left" vertical="center"/>
    </xf>
    <xf numFmtId="0" fontId="25" fillId="0" borderId="133" xfId="0" applyFont="1" applyFill="1" applyBorder="1" applyAlignment="1">
      <alignment horizontal="left" vertical="center" wrapText="1"/>
    </xf>
    <xf numFmtId="3" fontId="172" fillId="0" borderId="136" xfId="0" applyNumberFormat="1" applyFont="1" applyFill="1" applyBorder="1" applyAlignment="1">
      <alignment horizontal="center" vertical="center" wrapText="1"/>
    </xf>
    <xf numFmtId="3" fontId="172" fillId="0" borderId="137" xfId="0" applyNumberFormat="1" applyFont="1" applyFill="1" applyBorder="1" applyAlignment="1">
      <alignment horizontal="center" vertical="center" wrapText="1"/>
    </xf>
    <xf numFmtId="3" fontId="172" fillId="0" borderId="138" xfId="0" applyNumberFormat="1" applyFont="1" applyFill="1" applyBorder="1" applyAlignment="1">
      <alignment horizontal="center" vertical="center" wrapText="1"/>
    </xf>
    <xf numFmtId="3" fontId="173" fillId="0" borderId="136" xfId="0" applyNumberFormat="1" applyFont="1" applyFill="1" applyBorder="1" applyAlignment="1">
      <alignment horizontal="center" vertical="center" wrapText="1"/>
    </xf>
    <xf numFmtId="3" fontId="173" fillId="0" borderId="138" xfId="0" applyNumberFormat="1" applyFont="1" applyFill="1" applyBorder="1" applyAlignment="1">
      <alignment horizontal="center" vertical="center" wrapText="1"/>
    </xf>
    <xf numFmtId="3" fontId="173" fillId="0" borderId="136" xfId="0" applyNumberFormat="1" applyFont="1" applyBorder="1" applyAlignment="1">
      <alignment horizontal="center" vertical="center" wrapText="1"/>
    </xf>
    <xf numFmtId="3" fontId="173" fillId="0" borderId="138" xfId="0" applyNumberFormat="1" applyFont="1" applyBorder="1" applyAlignment="1">
      <alignment horizontal="center" vertical="center" wrapText="1"/>
    </xf>
    <xf numFmtId="3" fontId="173" fillId="2" borderId="136" xfId="0" applyNumberFormat="1" applyFont="1" applyFill="1" applyBorder="1" applyAlignment="1">
      <alignment horizontal="center" vertical="center" wrapText="1"/>
    </xf>
    <xf numFmtId="3" fontId="173" fillId="2" borderId="138" xfId="0" applyNumberFormat="1" applyFont="1" applyFill="1" applyBorder="1" applyAlignment="1">
      <alignment horizontal="center" vertical="center" wrapText="1"/>
    </xf>
    <xf numFmtId="0" fontId="172" fillId="2" borderId="136" xfId="0" applyFont="1" applyFill="1" applyBorder="1" applyAlignment="1">
      <alignment horizontal="center" vertical="center" wrapText="1"/>
    </xf>
    <xf numFmtId="0" fontId="172" fillId="2" borderId="138" xfId="0" applyFont="1" applyFill="1" applyBorder="1" applyAlignment="1">
      <alignment horizontal="center" vertical="center" wrapText="1"/>
    </xf>
    <xf numFmtId="0" fontId="172" fillId="0" borderId="136" xfId="0" applyFont="1" applyFill="1" applyBorder="1" applyAlignment="1">
      <alignment horizontal="center" vertical="center" wrapText="1"/>
    </xf>
    <xf numFmtId="0" fontId="172" fillId="0" borderId="138" xfId="0" applyFont="1" applyFill="1" applyBorder="1" applyAlignment="1">
      <alignment horizontal="center" vertical="center" wrapText="1"/>
    </xf>
    <xf numFmtId="3" fontId="173" fillId="2" borderId="133" xfId="0" applyNumberFormat="1" applyFont="1" applyFill="1" applyBorder="1" applyAlignment="1">
      <alignment horizontal="center" vertical="center" wrapText="1"/>
    </xf>
    <xf numFmtId="0" fontId="171" fillId="7" borderId="133" xfId="0" applyFont="1" applyFill="1" applyBorder="1" applyAlignment="1">
      <alignment horizontal="center" vertical="center" wrapText="1"/>
    </xf>
    <xf numFmtId="0" fontId="170" fillId="0" borderId="133" xfId="0" applyFont="1" applyFill="1" applyBorder="1" applyAlignment="1">
      <alignment horizontal="center" vertical="center" wrapText="1"/>
    </xf>
    <xf numFmtId="0" fontId="172" fillId="0" borderId="133" xfId="0" applyFont="1" applyFill="1" applyBorder="1" applyAlignment="1">
      <alignment horizontal="left" vertical="center" wrapText="1"/>
    </xf>
    <xf numFmtId="1" fontId="173" fillId="0" borderId="133" xfId="0" applyNumberFormat="1" applyFont="1" applyFill="1" applyBorder="1" applyAlignment="1">
      <alignment horizontal="center" vertical="center" wrapText="1"/>
    </xf>
    <xf numFmtId="3" fontId="173" fillId="0" borderId="133" xfId="0" applyNumberFormat="1" applyFont="1" applyFill="1" applyBorder="1" applyAlignment="1">
      <alignment horizontal="center" vertical="center" wrapText="1"/>
    </xf>
    <xf numFmtId="4" fontId="173" fillId="0" borderId="133" xfId="0" applyNumberFormat="1" applyFont="1" applyFill="1" applyBorder="1" applyAlignment="1">
      <alignment horizontal="center" vertical="center" wrapText="1"/>
    </xf>
    <xf numFmtId="0" fontId="173" fillId="0" borderId="133" xfId="0" applyFont="1" applyFill="1" applyBorder="1" applyAlignment="1">
      <alignment horizontal="left" vertical="center" wrapText="1"/>
    </xf>
    <xf numFmtId="0" fontId="173" fillId="0" borderId="133" xfId="0" applyFont="1" applyFill="1" applyBorder="1" applyAlignment="1">
      <alignment vertical="center" wrapText="1"/>
    </xf>
    <xf numFmtId="0" fontId="171" fillId="38" borderId="139" xfId="0" applyFont="1" applyFill="1" applyBorder="1" applyAlignment="1">
      <alignment horizontal="center" vertical="center"/>
    </xf>
    <xf numFmtId="0" fontId="171" fillId="38" borderId="143" xfId="0" applyFont="1" applyFill="1" applyBorder="1" applyAlignment="1">
      <alignment horizontal="center" vertical="center"/>
    </xf>
    <xf numFmtId="0" fontId="171" fillId="38" borderId="140" xfId="0" applyFont="1" applyFill="1" applyBorder="1" applyAlignment="1">
      <alignment horizontal="center" vertical="center"/>
    </xf>
    <xf numFmtId="0" fontId="171" fillId="38" borderId="194" xfId="0" applyFont="1" applyFill="1" applyBorder="1" applyAlignment="1">
      <alignment horizontal="center" vertical="center" wrapText="1"/>
    </xf>
    <xf numFmtId="0" fontId="172" fillId="0" borderId="133" xfId="0" applyFont="1" applyFill="1" applyBorder="1" applyAlignment="1">
      <alignment vertical="center"/>
    </xf>
    <xf numFmtId="0" fontId="172" fillId="0" borderId="133" xfId="0" applyFont="1" applyFill="1" applyBorder="1" applyAlignment="1">
      <alignment horizontal="left" vertical="center"/>
    </xf>
    <xf numFmtId="0" fontId="172" fillId="0" borderId="134" xfId="0" applyFont="1" applyFill="1" applyBorder="1" applyAlignment="1">
      <alignment horizontal="left" vertical="center" wrapText="1"/>
    </xf>
    <xf numFmtId="0" fontId="172" fillId="0" borderId="135" xfId="0" applyFont="1" applyFill="1" applyBorder="1" applyAlignment="1">
      <alignment horizontal="left" vertical="center" wrapText="1"/>
    </xf>
    <xf numFmtId="0" fontId="172" fillId="0" borderId="133" xfId="0" applyFont="1" applyFill="1" applyBorder="1" applyAlignment="1">
      <alignment horizontal="center" vertical="center" wrapText="1"/>
    </xf>
    <xf numFmtId="0" fontId="172" fillId="0" borderId="133" xfId="0" applyFont="1" applyFill="1" applyBorder="1" applyAlignment="1">
      <alignment vertical="center" wrapText="1"/>
    </xf>
    <xf numFmtId="0" fontId="172" fillId="0" borderId="133" xfId="0" applyFont="1" applyBorder="1" applyAlignment="1">
      <alignment horizontal="left" vertical="center" wrapText="1"/>
    </xf>
    <xf numFmtId="3" fontId="172" fillId="2" borderId="133" xfId="0" applyNumberFormat="1" applyFont="1" applyFill="1" applyBorder="1" applyAlignment="1">
      <alignment horizontal="center" vertical="center" wrapText="1"/>
    </xf>
    <xf numFmtId="4" fontId="173" fillId="2" borderId="133" xfId="0" applyNumberFormat="1" applyFont="1" applyFill="1" applyBorder="1" applyAlignment="1">
      <alignment horizontal="center" vertical="center" wrapText="1"/>
    </xf>
    <xf numFmtId="0" fontId="170" fillId="2" borderId="133" xfId="0" applyFont="1" applyFill="1" applyBorder="1" applyAlignment="1">
      <alignment horizontal="center" vertical="center" wrapText="1"/>
    </xf>
    <xf numFmtId="0" fontId="172" fillId="2" borderId="133" xfId="0" applyFont="1" applyFill="1" applyBorder="1" applyAlignment="1">
      <alignment horizontal="center" vertical="center" wrapText="1"/>
    </xf>
    <xf numFmtId="3" fontId="172" fillId="0" borderId="133" xfId="0" applyNumberFormat="1" applyFont="1" applyFill="1" applyBorder="1" applyAlignment="1">
      <alignment horizontal="center" vertical="center" wrapText="1"/>
    </xf>
    <xf numFmtId="1" fontId="172" fillId="0" borderId="133" xfId="0" applyNumberFormat="1" applyFont="1" applyFill="1" applyBorder="1" applyAlignment="1">
      <alignment horizontal="center" vertical="center" wrapText="1"/>
    </xf>
    <xf numFmtId="0" fontId="170" fillId="0" borderId="133" xfId="0" applyFont="1" applyBorder="1" applyAlignment="1">
      <alignment horizontal="center" vertical="center" wrapText="1"/>
    </xf>
    <xf numFmtId="0" fontId="89" fillId="0" borderId="133" xfId="0" applyFont="1" applyFill="1" applyBorder="1" applyAlignment="1">
      <alignment horizontal="center" vertical="center" wrapText="1"/>
    </xf>
    <xf numFmtId="0" fontId="169" fillId="0" borderId="133" xfId="0" applyFont="1" applyFill="1" applyBorder="1" applyAlignment="1">
      <alignment horizontal="left" vertical="center" wrapText="1"/>
    </xf>
    <xf numFmtId="2" fontId="172" fillId="0" borderId="133" xfId="0" applyNumberFormat="1" applyFont="1" applyFill="1" applyBorder="1" applyAlignment="1">
      <alignment horizontal="center" vertical="center" wrapText="1"/>
    </xf>
    <xf numFmtId="0" fontId="89" fillId="0" borderId="136" xfId="0" applyFont="1" applyFill="1" applyBorder="1" applyAlignment="1">
      <alignment horizontal="center" vertical="center" wrapText="1"/>
    </xf>
    <xf numFmtId="0" fontId="89" fillId="0" borderId="138" xfId="0" applyFont="1" applyFill="1" applyBorder="1" applyAlignment="1">
      <alignment horizontal="center" vertical="center" wrapText="1"/>
    </xf>
    <xf numFmtId="0" fontId="172" fillId="0" borderId="133" xfId="15" applyFont="1" applyBorder="1" applyAlignment="1">
      <alignment horizontal="left" vertical="center" wrapText="1"/>
    </xf>
    <xf numFmtId="0" fontId="169" fillId="2" borderId="0" xfId="0" applyFont="1" applyFill="1" applyAlignment="1">
      <alignment horizontal="left" vertical="center" wrapText="1"/>
    </xf>
    <xf numFmtId="0" fontId="171" fillId="38" borderId="193" xfId="0" applyFont="1" applyFill="1" applyBorder="1" applyAlignment="1">
      <alignment horizontal="center" vertical="center" wrapText="1"/>
    </xf>
    <xf numFmtId="0" fontId="171" fillId="38" borderId="195" xfId="0" applyFont="1" applyFill="1" applyBorder="1" applyAlignment="1">
      <alignment horizontal="center" vertical="center" wrapText="1"/>
    </xf>
    <xf numFmtId="0" fontId="172" fillId="2" borderId="133" xfId="0" applyFont="1" applyFill="1" applyBorder="1" applyAlignment="1">
      <alignment horizontal="left" vertical="center" wrapText="1"/>
    </xf>
    <xf numFmtId="0" fontId="89" fillId="2" borderId="133" xfId="0" applyFont="1" applyFill="1" applyBorder="1" applyAlignment="1">
      <alignment horizontal="center" vertical="center" wrapText="1"/>
    </xf>
    <xf numFmtId="4" fontId="172" fillId="0" borderId="133" xfId="0" applyNumberFormat="1" applyFont="1" applyFill="1" applyBorder="1" applyAlignment="1">
      <alignment horizontal="center" vertical="center" wrapText="1"/>
    </xf>
    <xf numFmtId="0" fontId="68" fillId="14" borderId="133" xfId="0" applyFont="1" applyFill="1" applyBorder="1" applyAlignment="1">
      <alignment horizontal="left" vertical="center" wrapText="1"/>
    </xf>
    <xf numFmtId="0" fontId="99" fillId="2" borderId="133" xfId="0" applyFont="1" applyFill="1" applyBorder="1" applyAlignment="1">
      <alignment horizontal="left" vertical="center" wrapText="1"/>
    </xf>
    <xf numFmtId="0" fontId="149" fillId="2" borderId="0" xfId="0" applyFont="1" applyFill="1" applyAlignment="1">
      <alignment horizontal="left" vertical="center"/>
    </xf>
    <xf numFmtId="0" fontId="68" fillId="2" borderId="133" xfId="0" applyFont="1" applyFill="1" applyBorder="1" applyAlignment="1">
      <alignment horizontal="left" vertical="center" wrapText="1"/>
    </xf>
    <xf numFmtId="0" fontId="68" fillId="0" borderId="133" xfId="0" applyFont="1" applyFill="1" applyBorder="1" applyAlignment="1">
      <alignment horizontal="left" vertical="center" wrapText="1"/>
    </xf>
    <xf numFmtId="3" fontId="68" fillId="14" borderId="133" xfId="0" applyNumberFormat="1" applyFont="1" applyFill="1" applyBorder="1" applyAlignment="1">
      <alignment horizontal="left" vertical="center"/>
    </xf>
    <xf numFmtId="0" fontId="104" fillId="105" borderId="156" xfId="0" applyFont="1" applyFill="1" applyBorder="1" applyAlignment="1">
      <alignment horizontal="center" vertical="center" wrapText="1"/>
    </xf>
    <xf numFmtId="0" fontId="104" fillId="105" borderId="129" xfId="0" applyFont="1" applyFill="1" applyBorder="1" applyAlignment="1">
      <alignment horizontal="center" vertical="center" wrapText="1"/>
    </xf>
    <xf numFmtId="0" fontId="104" fillId="105" borderId="157" xfId="0" applyFont="1" applyFill="1" applyBorder="1" applyAlignment="1">
      <alignment horizontal="center" vertical="center" wrapText="1"/>
    </xf>
    <xf numFmtId="0" fontId="104" fillId="105" borderId="130" xfId="0" applyFont="1" applyFill="1" applyBorder="1" applyAlignment="1">
      <alignment horizontal="center" vertical="center" wrapText="1"/>
    </xf>
    <xf numFmtId="3" fontId="145" fillId="14" borderId="3" xfId="31" applyNumberFormat="1" applyFont="1" applyFill="1" applyBorder="1" applyAlignment="1">
      <alignment horizontal="center" vertical="center" wrapText="1"/>
    </xf>
    <xf numFmtId="3" fontId="145" fillId="14" borderId="5" xfId="31" applyNumberFormat="1" applyFont="1" applyFill="1" applyBorder="1" applyAlignment="1">
      <alignment horizontal="center" vertical="center" wrapText="1"/>
    </xf>
    <xf numFmtId="0" fontId="104" fillId="43" borderId="14" xfId="0" applyFont="1" applyFill="1" applyBorder="1" applyAlignment="1">
      <alignment horizontal="left" vertical="center"/>
    </xf>
    <xf numFmtId="0" fontId="104" fillId="43" borderId="16" xfId="0" applyFont="1" applyFill="1" applyBorder="1" applyAlignment="1">
      <alignment horizontal="left" vertical="center"/>
    </xf>
    <xf numFmtId="0" fontId="104" fillId="43" borderId="2" xfId="0" applyFont="1" applyFill="1" applyBorder="1" applyAlignment="1">
      <alignment horizontal="left" vertical="center"/>
    </xf>
    <xf numFmtId="0" fontId="68" fillId="0" borderId="92" xfId="0" applyFont="1" applyBorder="1" applyAlignment="1">
      <alignment horizontal="center" vertical="center"/>
    </xf>
    <xf numFmtId="3" fontId="145" fillId="43" borderId="3" xfId="31" applyNumberFormat="1" applyFont="1" applyFill="1" applyBorder="1" applyAlignment="1">
      <alignment horizontal="center" vertical="center" wrapText="1"/>
    </xf>
    <xf numFmtId="3" fontId="145" fillId="43" borderId="5" xfId="31" applyNumberFormat="1" applyFont="1" applyFill="1" applyBorder="1" applyAlignment="1">
      <alignment horizontal="center" vertical="center" wrapText="1"/>
    </xf>
    <xf numFmtId="0" fontId="104" fillId="7" borderId="218" xfId="0" applyFont="1" applyFill="1" applyBorder="1" applyAlignment="1">
      <alignment horizontal="center" vertical="center"/>
    </xf>
    <xf numFmtId="0" fontId="104" fillId="43" borderId="14" xfId="0" applyFont="1" applyFill="1" applyBorder="1" applyAlignment="1">
      <alignment horizontal="center" vertical="center"/>
    </xf>
    <xf numFmtId="0" fontId="104" fillId="43" borderId="16" xfId="0" applyFont="1" applyFill="1" applyBorder="1" applyAlignment="1">
      <alignment horizontal="center" vertical="center"/>
    </xf>
    <xf numFmtId="0" fontId="104" fillId="43" borderId="2" xfId="0" applyFont="1" applyFill="1" applyBorder="1" applyAlignment="1">
      <alignment horizontal="center" vertical="center"/>
    </xf>
    <xf numFmtId="0" fontId="104" fillId="43" borderId="3" xfId="0" applyFont="1" applyFill="1" applyBorder="1" applyAlignment="1">
      <alignment horizontal="center" vertical="center"/>
    </xf>
    <xf numFmtId="0" fontId="104" fillId="43" borderId="5" xfId="0" applyFont="1" applyFill="1" applyBorder="1" applyAlignment="1">
      <alignment horizontal="center" vertical="center"/>
    </xf>
    <xf numFmtId="0" fontId="145" fillId="43" borderId="3" xfId="0" applyFont="1" applyFill="1" applyBorder="1" applyAlignment="1">
      <alignment horizontal="center" vertical="center"/>
    </xf>
    <xf numFmtId="0" fontId="104" fillId="43" borderId="5" xfId="3" applyFont="1" applyFill="1" applyBorder="1" applyAlignment="1">
      <alignment horizontal="center" vertical="center"/>
    </xf>
    <xf numFmtId="0" fontId="68" fillId="0" borderId="92" xfId="0" applyFont="1" applyBorder="1" applyAlignment="1">
      <alignment horizontal="left" vertical="center" wrapText="1"/>
    </xf>
    <xf numFmtId="0" fontId="68" fillId="0" borderId="234" xfId="0" applyFont="1" applyBorder="1" applyAlignment="1">
      <alignment horizontal="left" vertical="center" wrapText="1"/>
    </xf>
    <xf numFmtId="0" fontId="68" fillId="0" borderId="236" xfId="0" applyFont="1" applyBorder="1" applyAlignment="1">
      <alignment horizontal="left" vertical="center" wrapText="1"/>
    </xf>
    <xf numFmtId="0" fontId="68" fillId="0" borderId="237" xfId="0" applyFont="1" applyBorder="1" applyAlignment="1">
      <alignment horizontal="left" vertical="center" wrapText="1"/>
    </xf>
    <xf numFmtId="0" fontId="104" fillId="7" borderId="205" xfId="0" applyFont="1" applyFill="1" applyBorder="1" applyAlignment="1">
      <alignment horizontal="center" vertical="center"/>
    </xf>
    <xf numFmtId="0" fontId="104" fillId="7" borderId="230" xfId="0" applyFont="1" applyFill="1" applyBorder="1" applyAlignment="1">
      <alignment horizontal="center" vertical="center"/>
    </xf>
    <xf numFmtId="0" fontId="104" fillId="7" borderId="203" xfId="0" applyFont="1" applyFill="1" applyBorder="1" applyAlignment="1">
      <alignment horizontal="center" vertical="center" wrapText="1"/>
    </xf>
    <xf numFmtId="0" fontId="104" fillId="7" borderId="200" xfId="0" applyFont="1" applyFill="1" applyBorder="1" applyAlignment="1">
      <alignment horizontal="center" vertical="center" wrapText="1"/>
    </xf>
    <xf numFmtId="0" fontId="104" fillId="7" borderId="231" xfId="0" applyFont="1" applyFill="1" applyBorder="1" applyAlignment="1">
      <alignment horizontal="center" vertical="center" wrapText="1"/>
    </xf>
    <xf numFmtId="0" fontId="68" fillId="0" borderId="237" xfId="0" applyFont="1" applyBorder="1" applyAlignment="1">
      <alignment horizontal="center" vertical="center" wrapText="1"/>
    </xf>
    <xf numFmtId="0" fontId="104" fillId="7" borderId="181" xfId="0" applyFont="1" applyFill="1" applyBorder="1" applyAlignment="1">
      <alignment horizontal="center" vertical="center" wrapText="1"/>
    </xf>
    <xf numFmtId="0" fontId="104" fillId="7" borderId="32" xfId="0" applyFont="1" applyFill="1" applyBorder="1" applyAlignment="1">
      <alignment horizontal="center" vertical="center" wrapText="1"/>
    </xf>
    <xf numFmtId="0" fontId="104" fillId="7" borderId="182" xfId="0" applyFont="1" applyFill="1" applyBorder="1" applyAlignment="1">
      <alignment horizontal="center" vertical="center" wrapText="1"/>
    </xf>
    <xf numFmtId="0" fontId="68" fillId="0" borderId="20" xfId="0" applyFont="1" applyBorder="1" applyAlignment="1">
      <alignment horizontal="left" vertical="center" wrapText="1"/>
    </xf>
    <xf numFmtId="0" fontId="68" fillId="2" borderId="20" xfId="0" applyFont="1" applyFill="1" applyBorder="1" applyAlignment="1">
      <alignment horizontal="left" vertical="center" wrapText="1"/>
    </xf>
    <xf numFmtId="0" fontId="104" fillId="7" borderId="199" xfId="0" applyFont="1" applyFill="1" applyBorder="1" applyAlignment="1">
      <alignment horizontal="center" vertical="center" wrapText="1"/>
    </xf>
    <xf numFmtId="0" fontId="104" fillId="7" borderId="230" xfId="0" applyFont="1" applyFill="1" applyBorder="1" applyAlignment="1">
      <alignment horizontal="center" vertical="center" wrapText="1"/>
    </xf>
    <xf numFmtId="0" fontId="68" fillId="0" borderId="20" xfId="0" applyFont="1" applyFill="1" applyBorder="1" applyAlignment="1">
      <alignment horizontal="left" vertical="center" wrapText="1"/>
    </xf>
    <xf numFmtId="0" fontId="68" fillId="28" borderId="20" xfId="0" applyFont="1" applyFill="1" applyBorder="1" applyAlignment="1">
      <alignment horizontal="left" vertical="center" wrapText="1"/>
    </xf>
    <xf numFmtId="0" fontId="68" fillId="0" borderId="239" xfId="0" applyFont="1" applyBorder="1" applyAlignment="1">
      <alignment horizontal="left" vertical="center" wrapText="1"/>
    </xf>
    <xf numFmtId="0" fontId="104" fillId="7" borderId="205" xfId="0" applyFont="1" applyFill="1" applyBorder="1" applyAlignment="1">
      <alignment horizontal="center" vertical="center" wrapText="1"/>
    </xf>
    <xf numFmtId="0" fontId="104" fillId="7" borderId="218" xfId="0" applyFont="1" applyFill="1" applyBorder="1" applyAlignment="1">
      <alignment horizontal="center" vertical="center" wrapText="1"/>
    </xf>
    <xf numFmtId="0" fontId="155" fillId="107" borderId="92" xfId="0" applyFont="1" applyFill="1" applyBorder="1" applyAlignment="1">
      <alignment horizontal="center" vertical="center" wrapText="1"/>
    </xf>
    <xf numFmtId="0" fontId="99" fillId="2" borderId="92" xfId="0" applyFont="1" applyFill="1" applyBorder="1" applyAlignment="1">
      <alignment horizontal="left" vertical="center" wrapText="1"/>
    </xf>
    <xf numFmtId="0" fontId="68" fillId="2" borderId="92" xfId="0" applyFont="1" applyFill="1" applyBorder="1" applyAlignment="1">
      <alignment horizontal="left" vertical="center" wrapText="1"/>
    </xf>
    <xf numFmtId="0" fontId="101" fillId="2" borderId="92" xfId="0" applyFont="1" applyFill="1" applyBorder="1" applyAlignment="1">
      <alignment horizontal="left" vertical="center"/>
    </xf>
    <xf numFmtId="0" fontId="99" fillId="2" borderId="92" xfId="0" applyFont="1" applyFill="1" applyBorder="1" applyAlignment="1">
      <alignment horizontal="center" vertical="center" wrapText="1"/>
    </xf>
    <xf numFmtId="3" fontId="99" fillId="2" borderId="92" xfId="0" applyNumberFormat="1" applyFont="1" applyFill="1" applyBorder="1" applyAlignment="1">
      <alignment horizontal="left" vertical="center" wrapText="1"/>
    </xf>
    <xf numFmtId="0" fontId="68" fillId="107" borderId="92" xfId="0" applyFont="1" applyFill="1" applyBorder="1" applyAlignment="1">
      <alignment horizontal="left" vertical="center" wrapText="1"/>
    </xf>
    <xf numFmtId="0" fontId="104" fillId="105" borderId="14" xfId="0" applyFont="1" applyFill="1" applyBorder="1" applyAlignment="1">
      <alignment horizontal="center" vertical="center" wrapText="1"/>
    </xf>
    <xf numFmtId="0" fontId="104" fillId="105" borderId="16" xfId="0" applyFont="1" applyFill="1" applyBorder="1" applyAlignment="1">
      <alignment horizontal="center" vertical="center" wrapText="1"/>
    </xf>
    <xf numFmtId="0" fontId="104" fillId="105" borderId="242" xfId="0" applyFont="1" applyFill="1" applyBorder="1" applyAlignment="1">
      <alignment horizontal="center" vertical="center" wrapText="1"/>
    </xf>
    <xf numFmtId="3" fontId="155" fillId="107" borderId="44" xfId="0" applyNumberFormat="1" applyFont="1" applyFill="1" applyBorder="1" applyAlignment="1">
      <alignment horizontal="center" vertical="center"/>
    </xf>
    <xf numFmtId="3" fontId="155" fillId="107" borderId="46" xfId="0" applyNumberFormat="1" applyFont="1" applyFill="1" applyBorder="1" applyAlignment="1">
      <alignment horizontal="center" vertical="center"/>
    </xf>
    <xf numFmtId="0" fontId="104" fillId="7" borderId="14" xfId="0" applyFont="1" applyFill="1" applyBorder="1" applyAlignment="1">
      <alignment horizontal="center" vertical="center" wrapText="1"/>
    </xf>
    <xf numFmtId="0" fontId="104" fillId="7" borderId="16" xfId="0" applyFont="1" applyFill="1" applyBorder="1" applyAlignment="1">
      <alignment horizontal="center" vertical="center" wrapText="1"/>
    </xf>
    <xf numFmtId="0" fontId="104" fillId="7" borderId="2" xfId="0" applyFont="1" applyFill="1" applyBorder="1" applyAlignment="1">
      <alignment horizontal="center" vertical="center" wrapText="1"/>
    </xf>
    <xf numFmtId="0" fontId="104" fillId="7" borderId="0" xfId="0" applyFont="1" applyFill="1" applyAlignment="1">
      <alignment horizontal="center" vertical="center"/>
    </xf>
    <xf numFmtId="0" fontId="104" fillId="105" borderId="245" xfId="0" applyFont="1" applyFill="1" applyBorder="1" applyAlignment="1">
      <alignment horizontal="center" vertical="center" wrapText="1"/>
    </xf>
    <xf numFmtId="0" fontId="104" fillId="105" borderId="230" xfId="0" applyFont="1" applyFill="1" applyBorder="1" applyAlignment="1">
      <alignment horizontal="center" vertical="center" wrapText="1"/>
    </xf>
    <xf numFmtId="0" fontId="104" fillId="105" borderId="11" xfId="0" applyFont="1" applyFill="1" applyBorder="1" applyAlignment="1">
      <alignment horizontal="center" vertical="center" wrapText="1"/>
    </xf>
    <xf numFmtId="0" fontId="104" fillId="105" borderId="9" xfId="0" applyFont="1" applyFill="1" applyBorder="1" applyAlignment="1">
      <alignment horizontal="center" vertical="center" wrapText="1"/>
    </xf>
    <xf numFmtId="0" fontId="104" fillId="105" borderId="2" xfId="0" applyFont="1" applyFill="1" applyBorder="1" applyAlignment="1">
      <alignment horizontal="center" vertical="center" wrapText="1"/>
    </xf>
    <xf numFmtId="0" fontId="104" fillId="105" borderId="3" xfId="0" applyFont="1" applyFill="1" applyBorder="1" applyAlignment="1">
      <alignment horizontal="center" vertical="center" wrapText="1"/>
    </xf>
    <xf numFmtId="0" fontId="104" fillId="105" borderId="199" xfId="0" applyFont="1" applyFill="1" applyBorder="1" applyAlignment="1">
      <alignment horizontal="center" vertical="center" wrapText="1"/>
    </xf>
    <xf numFmtId="0" fontId="104" fillId="105" borderId="201" xfId="0" applyFont="1" applyFill="1" applyBorder="1" applyAlignment="1">
      <alignment horizontal="center" vertical="center" wrapText="1"/>
    </xf>
    <xf numFmtId="0" fontId="55" fillId="44" borderId="133" xfId="0" applyFont="1" applyFill="1" applyBorder="1" applyAlignment="1">
      <alignment horizontal="center" vertical="center" wrapText="1" readingOrder="1"/>
    </xf>
    <xf numFmtId="0" fontId="55" fillId="2" borderId="133" xfId="0" applyFont="1" applyFill="1" applyBorder="1" applyAlignment="1">
      <alignment horizontal="center" vertical="center" wrapText="1" readingOrder="1"/>
    </xf>
    <xf numFmtId="0" fontId="57" fillId="105" borderId="157" xfId="0" applyFont="1" applyFill="1" applyBorder="1" applyAlignment="1">
      <alignment horizontal="center" vertical="center" wrapText="1" readingOrder="1"/>
    </xf>
    <xf numFmtId="0" fontId="57" fillId="105" borderId="126" xfId="0" applyFont="1" applyFill="1" applyBorder="1" applyAlignment="1">
      <alignment horizontal="center" vertical="center" wrapText="1" readingOrder="1"/>
    </xf>
    <xf numFmtId="0" fontId="57" fillId="105" borderId="156" xfId="0" applyFont="1" applyFill="1" applyBorder="1" applyAlignment="1">
      <alignment horizontal="center" vertical="center" wrapText="1"/>
    </xf>
    <xf numFmtId="0" fontId="57" fillId="105" borderId="125" xfId="0" applyFont="1" applyFill="1" applyBorder="1" applyAlignment="1">
      <alignment horizontal="center" vertical="center" wrapText="1"/>
    </xf>
    <xf numFmtId="0" fontId="57" fillId="105" borderId="129" xfId="0" applyFont="1" applyFill="1" applyBorder="1" applyAlignment="1">
      <alignment horizontal="center" vertical="center" wrapText="1"/>
    </xf>
    <xf numFmtId="0" fontId="57" fillId="105" borderId="157" xfId="0" applyFont="1" applyFill="1" applyBorder="1" applyAlignment="1">
      <alignment horizontal="center" vertical="center" wrapText="1"/>
    </xf>
    <xf numFmtId="0" fontId="57" fillId="105" borderId="124" xfId="0" applyFont="1" applyFill="1" applyBorder="1" applyAlignment="1">
      <alignment horizontal="center" vertical="center" wrapText="1"/>
    </xf>
    <xf numFmtId="0" fontId="57" fillId="105" borderId="145" xfId="0" applyFont="1" applyFill="1" applyBorder="1" applyAlignment="1">
      <alignment horizontal="center" vertical="center" wrapText="1"/>
    </xf>
    <xf numFmtId="0" fontId="57" fillId="105" borderId="150" xfId="0" applyFont="1" applyFill="1" applyBorder="1" applyAlignment="1">
      <alignment horizontal="center" vertical="center" wrapText="1"/>
    </xf>
    <xf numFmtId="0" fontId="57" fillId="105" borderId="250" xfId="0" applyFont="1" applyFill="1" applyBorder="1" applyAlignment="1">
      <alignment horizontal="center" vertical="center" wrapText="1"/>
    </xf>
    <xf numFmtId="0" fontId="57" fillId="105" borderId="251" xfId="0" applyFont="1" applyFill="1" applyBorder="1" applyAlignment="1">
      <alignment horizontal="center" vertical="center" wrapText="1"/>
    </xf>
    <xf numFmtId="0" fontId="57" fillId="105" borderId="252" xfId="0" applyFont="1" applyFill="1" applyBorder="1" applyAlignment="1">
      <alignment horizontal="center" vertical="center" wrapText="1"/>
    </xf>
    <xf numFmtId="0" fontId="57" fillId="105" borderId="253" xfId="0" applyFont="1" applyFill="1" applyBorder="1" applyAlignment="1">
      <alignment horizontal="center" vertical="center" wrapText="1"/>
    </xf>
    <xf numFmtId="0" fontId="145" fillId="38" borderId="205" xfId="0" applyFont="1" applyFill="1" applyBorder="1" applyAlignment="1">
      <alignment horizontal="center" vertical="center" wrapText="1" readingOrder="1"/>
    </xf>
    <xf numFmtId="0" fontId="145" fillId="38" borderId="201" xfId="0" applyFont="1" applyFill="1" applyBorder="1" applyAlignment="1">
      <alignment horizontal="center" vertical="center" wrapText="1" readingOrder="1"/>
    </xf>
    <xf numFmtId="0" fontId="104" fillId="105" borderId="254" xfId="0" applyFont="1" applyFill="1" applyBorder="1" applyAlignment="1">
      <alignment horizontal="center" vertical="center" wrapText="1"/>
    </xf>
    <xf numFmtId="0" fontId="104" fillId="105" borderId="226" xfId="0" applyFont="1" applyFill="1" applyBorder="1" applyAlignment="1">
      <alignment horizontal="center" vertical="center" wrapText="1"/>
    </xf>
    <xf numFmtId="0" fontId="104" fillId="7" borderId="255" xfId="0" applyFont="1" applyFill="1" applyBorder="1" applyAlignment="1">
      <alignment horizontal="center" vertical="center" wrapText="1"/>
    </xf>
    <xf numFmtId="0" fontId="67" fillId="27" borderId="20" xfId="0" applyFont="1" applyFill="1" applyBorder="1" applyAlignment="1">
      <alignment horizontal="center" vertical="center" wrapText="1"/>
    </xf>
    <xf numFmtId="0" fontId="104" fillId="110" borderId="254" xfId="0" applyFont="1" applyFill="1" applyBorder="1" applyAlignment="1">
      <alignment horizontal="center" vertical="center" wrapText="1"/>
    </xf>
    <xf numFmtId="0" fontId="104" fillId="110" borderId="226" xfId="0" applyFont="1" applyFill="1" applyBorder="1" applyAlignment="1">
      <alignment horizontal="center" vertical="center" wrapText="1"/>
    </xf>
    <xf numFmtId="0" fontId="101" fillId="2" borderId="0" xfId="0" applyFont="1" applyFill="1" applyBorder="1" applyAlignment="1">
      <alignment horizontal="left" vertical="center" wrapText="1"/>
    </xf>
    <xf numFmtId="0" fontId="101" fillId="2" borderId="264" xfId="0" applyFont="1" applyFill="1" applyBorder="1" applyAlignment="1">
      <alignment horizontal="left" vertical="center" wrapText="1"/>
    </xf>
    <xf numFmtId="0" fontId="104" fillId="7" borderId="22" xfId="0" applyFont="1" applyFill="1" applyBorder="1" applyAlignment="1">
      <alignment horizontal="center" vertical="center"/>
    </xf>
    <xf numFmtId="0" fontId="104" fillId="7" borderId="23" xfId="0" applyFont="1" applyFill="1" applyBorder="1" applyAlignment="1">
      <alignment horizontal="center" vertical="center"/>
    </xf>
    <xf numFmtId="0" fontId="104" fillId="7" borderId="225" xfId="0" applyFont="1" applyFill="1" applyBorder="1" applyAlignment="1">
      <alignment horizontal="center" vertical="center"/>
    </xf>
    <xf numFmtId="0" fontId="48" fillId="2" borderId="0" xfId="0" applyFont="1" applyFill="1" applyBorder="1" applyAlignment="1">
      <alignment horizontal="left" vertical="center" wrapText="1"/>
    </xf>
    <xf numFmtId="0" fontId="48" fillId="2" borderId="12" xfId="0" applyFont="1" applyFill="1" applyBorder="1" applyAlignment="1">
      <alignment horizontal="left" vertical="center" wrapText="1"/>
    </xf>
    <xf numFmtId="0" fontId="99" fillId="2" borderId="0" xfId="0" applyFont="1" applyFill="1" applyBorder="1" applyAlignment="1">
      <alignment horizontal="left" vertical="center" wrapText="1"/>
    </xf>
    <xf numFmtId="0" fontId="101" fillId="2" borderId="0" xfId="0" applyFont="1" applyFill="1" applyBorder="1" applyAlignment="1">
      <alignment horizontal="center" vertical="center"/>
    </xf>
    <xf numFmtId="0" fontId="99" fillId="2" borderId="0" xfId="0" applyFont="1" applyFill="1" applyBorder="1" applyAlignment="1">
      <alignment horizontal="left" vertical="center"/>
    </xf>
    <xf numFmtId="0" fontId="101" fillId="2" borderId="0" xfId="0" applyFont="1" applyFill="1" applyBorder="1" applyAlignment="1">
      <alignment horizontal="left" vertical="center"/>
    </xf>
    <xf numFmtId="0" fontId="101" fillId="2" borderId="0" xfId="0" applyFont="1" applyFill="1" applyBorder="1" applyAlignment="1">
      <alignment horizontal="center" vertical="center" wrapText="1"/>
    </xf>
    <xf numFmtId="0" fontId="48" fillId="2" borderId="0" xfId="37" applyFont="1" applyFill="1" applyBorder="1" applyAlignment="1">
      <alignment horizontal="center" vertical="center" wrapText="1"/>
    </xf>
    <xf numFmtId="0" fontId="171" fillId="121" borderId="179" xfId="0" applyFont="1" applyFill="1" applyBorder="1" applyAlignment="1">
      <alignment horizontal="center" vertical="center"/>
    </xf>
    <xf numFmtId="2" fontId="169" fillId="2" borderId="20" xfId="0" applyNumberFormat="1" applyFont="1" applyFill="1" applyBorder="1" applyAlignment="1">
      <alignment horizontal="center" vertical="center"/>
    </xf>
    <xf numFmtId="0" fontId="172" fillId="2" borderId="296" xfId="0" applyFont="1" applyFill="1" applyBorder="1" applyAlignment="1">
      <alignment horizontal="center" vertical="center" wrapText="1"/>
    </xf>
    <xf numFmtId="0" fontId="172" fillId="2" borderId="21" xfId="0" applyFont="1" applyFill="1" applyBorder="1" applyAlignment="1">
      <alignment horizontal="center" vertical="center" wrapText="1"/>
    </xf>
    <xf numFmtId="0" fontId="172" fillId="2" borderId="105" xfId="0" applyFont="1" applyFill="1" applyBorder="1" applyAlignment="1">
      <alignment horizontal="center" vertical="center" wrapText="1"/>
    </xf>
    <xf numFmtId="0" fontId="172" fillId="2" borderId="20" xfId="0" applyFont="1" applyFill="1" applyBorder="1" applyAlignment="1">
      <alignment horizontal="center" vertical="center" wrapText="1"/>
    </xf>
    <xf numFmtId="0" fontId="169" fillId="2" borderId="298" xfId="0" applyFont="1" applyFill="1" applyBorder="1" applyAlignment="1">
      <alignment horizontal="center" vertical="center"/>
    </xf>
    <xf numFmtId="0" fontId="169" fillId="2" borderId="109" xfId="0" applyFont="1" applyFill="1" applyBorder="1" applyAlignment="1">
      <alignment horizontal="center" vertical="center"/>
    </xf>
    <xf numFmtId="4" fontId="181" fillId="2" borderId="20" xfId="0" applyNumberFormat="1" applyFont="1" applyFill="1" applyBorder="1" applyAlignment="1">
      <alignment horizontal="right" vertical="center" wrapText="1"/>
    </xf>
    <xf numFmtId="2" fontId="171" fillId="2" borderId="298" xfId="0" applyNumberFormat="1" applyFont="1" applyFill="1" applyBorder="1" applyAlignment="1">
      <alignment horizontal="center" vertical="center"/>
    </xf>
    <xf numFmtId="2" fontId="171" fillId="2" borderId="109" xfId="0" applyNumberFormat="1" applyFont="1" applyFill="1" applyBorder="1" applyAlignment="1">
      <alignment horizontal="center" vertical="center"/>
    </xf>
    <xf numFmtId="2" fontId="169" fillId="2" borderId="21" xfId="0" applyNumberFormat="1" applyFont="1" applyFill="1" applyBorder="1" applyAlignment="1">
      <alignment horizontal="center" vertical="center"/>
    </xf>
    <xf numFmtId="4" fontId="181" fillId="2" borderId="20" xfId="0" applyNumberFormat="1" applyFont="1" applyFill="1" applyBorder="1" applyAlignment="1">
      <alignment horizontal="center" vertical="center" wrapText="1"/>
    </xf>
    <xf numFmtId="0" fontId="171" fillId="121" borderId="22" xfId="0" applyFont="1" applyFill="1" applyBorder="1" applyAlignment="1">
      <alignment horizontal="center" vertical="center"/>
    </xf>
    <xf numFmtId="0" fontId="171" fillId="121" borderId="225" xfId="0" applyFont="1" applyFill="1" applyBorder="1" applyAlignment="1">
      <alignment horizontal="center" vertical="center"/>
    </xf>
    <xf numFmtId="0" fontId="169" fillId="2" borderId="21" xfId="0" applyFont="1" applyFill="1" applyBorder="1" applyAlignment="1">
      <alignment horizontal="center" vertical="center"/>
    </xf>
    <xf numFmtId="0" fontId="169" fillId="2" borderId="20" xfId="0" applyFont="1" applyFill="1" applyBorder="1" applyAlignment="1">
      <alignment horizontal="center" vertical="center"/>
    </xf>
    <xf numFmtId="0" fontId="172" fillId="2" borderId="39" xfId="0" applyFont="1" applyFill="1" applyBorder="1" applyAlignment="1">
      <alignment horizontal="center" vertical="center" wrapText="1"/>
    </xf>
    <xf numFmtId="0" fontId="169" fillId="2" borderId="39" xfId="0" applyFont="1" applyFill="1" applyBorder="1" applyAlignment="1">
      <alignment horizontal="center" vertical="center"/>
    </xf>
    <xf numFmtId="2" fontId="169" fillId="2" borderId="39" xfId="0" applyNumberFormat="1" applyFont="1" applyFill="1" applyBorder="1" applyAlignment="1">
      <alignment horizontal="center" vertical="center"/>
    </xf>
    <xf numFmtId="4" fontId="171" fillId="2" borderId="300" xfId="0" applyNumberFormat="1" applyFont="1" applyFill="1" applyBorder="1" applyAlignment="1">
      <alignment horizontal="center" vertical="center" wrapText="1"/>
    </xf>
    <xf numFmtId="4" fontId="171" fillId="2" borderId="109" xfId="0" applyNumberFormat="1" applyFont="1" applyFill="1" applyBorder="1" applyAlignment="1">
      <alignment horizontal="center" vertical="center" wrapText="1"/>
    </xf>
    <xf numFmtId="4" fontId="173" fillId="2" borderId="20" xfId="0" applyNumberFormat="1" applyFont="1" applyFill="1" applyBorder="1" applyAlignment="1">
      <alignment horizontal="center" vertical="center" wrapText="1"/>
    </xf>
    <xf numFmtId="0" fontId="172" fillId="2" borderId="186" xfId="0" applyFont="1" applyFill="1" applyBorder="1" applyAlignment="1">
      <alignment horizontal="center" vertical="center" wrapText="1"/>
    </xf>
    <xf numFmtId="0" fontId="172" fillId="2" borderId="182" xfId="0" applyFont="1" applyFill="1" applyBorder="1" applyAlignment="1">
      <alignment horizontal="center" vertical="center" wrapText="1"/>
    </xf>
    <xf numFmtId="0" fontId="172" fillId="2" borderId="187" xfId="0" applyFont="1" applyFill="1" applyBorder="1" applyAlignment="1">
      <alignment horizontal="center" vertical="center" wrapText="1"/>
    </xf>
    <xf numFmtId="0" fontId="172" fillId="2" borderId="185" xfId="0" applyFont="1" applyFill="1" applyBorder="1" applyAlignment="1">
      <alignment horizontal="center" vertical="center" wrapText="1"/>
    </xf>
    <xf numFmtId="0" fontId="169" fillId="2" borderId="20" xfId="0" applyFont="1" applyFill="1" applyBorder="1" applyAlignment="1">
      <alignment horizontal="center" vertical="center" wrapText="1"/>
    </xf>
    <xf numFmtId="0" fontId="172" fillId="2" borderId="297" xfId="0" applyFont="1" applyFill="1" applyBorder="1" applyAlignment="1">
      <alignment horizontal="center" vertical="center" wrapText="1"/>
    </xf>
    <xf numFmtId="0" fontId="172" fillId="2" borderId="24" xfId="0" applyFont="1" applyFill="1" applyBorder="1" applyAlignment="1">
      <alignment horizontal="center" vertical="center" wrapText="1"/>
    </xf>
    <xf numFmtId="0" fontId="171" fillId="7" borderId="178" xfId="0" applyFont="1" applyFill="1" applyBorder="1" applyAlignment="1">
      <alignment horizontal="center" vertical="center"/>
    </xf>
    <xf numFmtId="0" fontId="171" fillId="7" borderId="179" xfId="0" applyFont="1" applyFill="1" applyBorder="1" applyAlignment="1">
      <alignment horizontal="center" vertical="center"/>
    </xf>
    <xf numFmtId="0" fontId="171" fillId="7" borderId="180" xfId="0" applyFont="1" applyFill="1" applyBorder="1" applyAlignment="1">
      <alignment horizontal="center" vertical="center"/>
    </xf>
    <xf numFmtId="0" fontId="89" fillId="2" borderId="153" xfId="0" applyFont="1" applyFill="1" applyBorder="1" applyAlignment="1">
      <alignment horizontal="left" vertical="center"/>
    </xf>
    <xf numFmtId="0" fontId="89" fillId="2" borderId="0" xfId="0" applyFont="1" applyFill="1" applyBorder="1" applyAlignment="1">
      <alignment horizontal="left" vertical="center"/>
    </xf>
    <xf numFmtId="0" fontId="171" fillId="7" borderId="199" xfId="0" applyFont="1" applyFill="1" applyBorder="1" applyAlignment="1">
      <alignment horizontal="center" vertical="center" wrapText="1"/>
    </xf>
    <xf numFmtId="0" fontId="171" fillId="7" borderId="203" xfId="0" applyFont="1" applyFill="1" applyBorder="1" applyAlignment="1">
      <alignment horizontal="center" vertical="center" wrapText="1"/>
    </xf>
    <xf numFmtId="4" fontId="182" fillId="2" borderId="20" xfId="0" applyNumberFormat="1" applyFont="1" applyFill="1" applyBorder="1" applyAlignment="1">
      <alignment horizontal="center" vertical="center" wrapText="1"/>
    </xf>
    <xf numFmtId="3" fontId="173" fillId="2" borderId="20" xfId="0" applyNumberFormat="1" applyFont="1" applyFill="1" applyBorder="1" applyAlignment="1">
      <alignment horizontal="center" vertical="center" wrapText="1"/>
    </xf>
    <xf numFmtId="0" fontId="172" fillId="0" borderId="296" xfId="0" applyFont="1" applyFill="1" applyBorder="1" applyAlignment="1">
      <alignment horizontal="center" vertical="center" wrapText="1"/>
    </xf>
    <xf numFmtId="0" fontId="172" fillId="0" borderId="21" xfId="0" applyFont="1" applyFill="1" applyBorder="1" applyAlignment="1">
      <alignment horizontal="center" vertical="center" wrapText="1"/>
    </xf>
    <xf numFmtId="0" fontId="172" fillId="0" borderId="105" xfId="0" applyFont="1" applyFill="1" applyBorder="1" applyAlignment="1">
      <alignment horizontal="center" vertical="center" wrapText="1"/>
    </xf>
    <xf numFmtId="0" fontId="172" fillId="0" borderId="20" xfId="0" applyFont="1" applyFill="1" applyBorder="1" applyAlignment="1">
      <alignment horizontal="center" vertical="center" wrapText="1"/>
    </xf>
    <xf numFmtId="0" fontId="169" fillId="0" borderId="39" xfId="0" applyFont="1" applyFill="1" applyBorder="1" applyAlignment="1">
      <alignment horizontal="center" vertical="center"/>
    </xf>
    <xf numFmtId="0" fontId="169" fillId="0" borderId="21" xfId="0" applyFont="1" applyFill="1" applyBorder="1" applyAlignment="1">
      <alignment horizontal="center" vertical="center"/>
    </xf>
    <xf numFmtId="3" fontId="173" fillId="0" borderId="39" xfId="0" applyNumberFormat="1" applyFont="1" applyFill="1" applyBorder="1" applyAlignment="1">
      <alignment horizontal="center" vertical="center" wrapText="1"/>
    </xf>
    <xf numFmtId="3" fontId="173" fillId="0" borderId="21" xfId="0" applyNumberFormat="1" applyFont="1" applyFill="1" applyBorder="1" applyAlignment="1">
      <alignment horizontal="center" vertical="center" wrapText="1"/>
    </xf>
    <xf numFmtId="4" fontId="173" fillId="2" borderId="39" xfId="0" applyNumberFormat="1" applyFont="1" applyFill="1" applyBorder="1" applyAlignment="1">
      <alignment horizontal="center" vertical="center" wrapText="1"/>
    </xf>
    <xf numFmtId="4" fontId="173" fillId="2" borderId="21" xfId="0" applyNumberFormat="1" applyFont="1" applyFill="1" applyBorder="1" applyAlignment="1">
      <alignment horizontal="center" vertical="center" wrapText="1"/>
    </xf>
    <xf numFmtId="4" fontId="173" fillId="2" borderId="33" xfId="0" applyNumberFormat="1" applyFont="1" applyFill="1" applyBorder="1" applyAlignment="1">
      <alignment horizontal="center" vertical="center" wrapText="1"/>
    </xf>
    <xf numFmtId="0" fontId="169" fillId="0" borderId="20" xfId="0" applyFont="1" applyFill="1" applyBorder="1" applyAlignment="1">
      <alignment horizontal="center" vertical="center"/>
    </xf>
    <xf numFmtId="3" fontId="173" fillId="0" borderId="20" xfId="0" applyNumberFormat="1" applyFont="1" applyFill="1" applyBorder="1" applyAlignment="1">
      <alignment horizontal="center" vertical="center" wrapText="1"/>
    </xf>
    <xf numFmtId="0" fontId="169" fillId="0" borderId="33" xfId="0" applyFont="1" applyFill="1" applyBorder="1" applyAlignment="1">
      <alignment horizontal="center" vertical="center"/>
    </xf>
    <xf numFmtId="3" fontId="173" fillId="0" borderId="33" xfId="0" applyNumberFormat="1" applyFont="1" applyFill="1" applyBorder="1" applyAlignment="1">
      <alignment horizontal="center" vertical="center" wrapText="1"/>
    </xf>
    <xf numFmtId="2" fontId="172" fillId="2" borderId="20" xfId="0" applyNumberFormat="1" applyFont="1" applyFill="1" applyBorder="1" applyAlignment="1">
      <alignment horizontal="center" vertical="center" wrapText="1"/>
    </xf>
    <xf numFmtId="0" fontId="172" fillId="2" borderId="153" xfId="0" applyFont="1" applyFill="1" applyBorder="1" applyAlignment="1">
      <alignment horizontal="center" vertical="center" wrapText="1"/>
    </xf>
    <xf numFmtId="0" fontId="172" fillId="2" borderId="183" xfId="0" applyFont="1" applyFill="1" applyBorder="1" applyAlignment="1">
      <alignment horizontal="center" vertical="center" wrapText="1"/>
    </xf>
    <xf numFmtId="0" fontId="172" fillId="0" borderId="205" xfId="0" applyFont="1" applyFill="1" applyBorder="1" applyAlignment="1">
      <alignment horizontal="center" vertical="center" wrapText="1"/>
    </xf>
    <xf numFmtId="0" fontId="172" fillId="0" borderId="218" xfId="0" applyFont="1" applyFill="1" applyBorder="1" applyAlignment="1">
      <alignment horizontal="center" vertical="center" wrapText="1"/>
    </xf>
    <xf numFmtId="0" fontId="172" fillId="0" borderId="201" xfId="0" applyFont="1" applyFill="1" applyBorder="1" applyAlignment="1">
      <alignment horizontal="center" vertical="center" wrapText="1"/>
    </xf>
    <xf numFmtId="0" fontId="172" fillId="0" borderId="202" xfId="0" applyFont="1" applyFill="1" applyBorder="1" applyAlignment="1">
      <alignment horizontal="center" vertical="center" wrapText="1"/>
    </xf>
    <xf numFmtId="0" fontId="171" fillId="7" borderId="301" xfId="0" applyFont="1" applyFill="1" applyBorder="1" applyAlignment="1">
      <alignment horizontal="center" vertical="center" wrapText="1"/>
    </xf>
    <xf numFmtId="0" fontId="171" fillId="7" borderId="28" xfId="0" applyFont="1" applyFill="1" applyBorder="1" applyAlignment="1">
      <alignment horizontal="center" vertical="center" wrapText="1"/>
    </xf>
    <xf numFmtId="0" fontId="171" fillId="7" borderId="22" xfId="0" applyFont="1" applyFill="1" applyBorder="1" applyAlignment="1">
      <alignment horizontal="center" vertical="center" wrapText="1"/>
    </xf>
    <xf numFmtId="0" fontId="171" fillId="7" borderId="225" xfId="0" applyFont="1" applyFill="1" applyBorder="1" applyAlignment="1">
      <alignment horizontal="center" vertical="center" wrapText="1"/>
    </xf>
    <xf numFmtId="0" fontId="171" fillId="7" borderId="22" xfId="0" applyFont="1" applyFill="1" applyBorder="1" applyAlignment="1">
      <alignment horizontal="center" vertical="center"/>
    </xf>
    <xf numFmtId="0" fontId="171" fillId="7" borderId="225" xfId="0" applyFont="1" applyFill="1" applyBorder="1" applyAlignment="1">
      <alignment horizontal="center" vertical="center"/>
    </xf>
    <xf numFmtId="0" fontId="171" fillId="7" borderId="24" xfId="0" applyFont="1" applyFill="1" applyBorder="1" applyAlignment="1">
      <alignment horizontal="center" vertical="center" wrapText="1"/>
    </xf>
    <xf numFmtId="0" fontId="197" fillId="7" borderId="204" xfId="0" applyFont="1" applyFill="1" applyBorder="1" applyAlignment="1">
      <alignment horizontal="center" vertical="center"/>
    </xf>
    <xf numFmtId="0" fontId="62" fillId="2" borderId="0" xfId="41" applyFont="1" applyFill="1" applyBorder="1" applyAlignment="1">
      <alignment horizontal="left" vertical="center" wrapText="1"/>
    </xf>
    <xf numFmtId="0" fontId="197" fillId="7" borderId="199" xfId="0" applyFont="1" applyFill="1" applyBorder="1" applyAlignment="1">
      <alignment horizontal="center" vertical="center"/>
    </xf>
    <xf numFmtId="0" fontId="197" fillId="7" borderId="203" xfId="0" applyFont="1" applyFill="1" applyBorder="1" applyAlignment="1">
      <alignment horizontal="center" vertical="center"/>
    </xf>
    <xf numFmtId="0" fontId="197" fillId="7" borderId="200" xfId="0" applyFont="1" applyFill="1" applyBorder="1" applyAlignment="1">
      <alignment horizontal="center" vertical="center"/>
    </xf>
    <xf numFmtId="0" fontId="197" fillId="7" borderId="205" xfId="0" applyFont="1" applyFill="1" applyBorder="1" applyAlignment="1">
      <alignment horizontal="center" vertical="center" wrapText="1"/>
    </xf>
    <xf numFmtId="0" fontId="197" fillId="7" borderId="3" xfId="0" applyFont="1" applyFill="1" applyBorder="1" applyAlignment="1">
      <alignment horizontal="center" vertical="center" wrapText="1"/>
    </xf>
    <xf numFmtId="0" fontId="197" fillId="7" borderId="218" xfId="0" applyFont="1" applyFill="1" applyBorder="1" applyAlignment="1">
      <alignment horizontal="center" vertical="center" wrapText="1"/>
    </xf>
    <xf numFmtId="0" fontId="197" fillId="7" borderId="199" xfId="0" applyFont="1" applyFill="1" applyBorder="1" applyAlignment="1">
      <alignment horizontal="center" vertical="center" wrapText="1"/>
    </xf>
    <xf numFmtId="0" fontId="197" fillId="7" borderId="203" xfId="0" applyFont="1" applyFill="1" applyBorder="1" applyAlignment="1">
      <alignment horizontal="center" vertical="center" wrapText="1"/>
    </xf>
    <xf numFmtId="0" fontId="197" fillId="7" borderId="200" xfId="0" applyFont="1" applyFill="1" applyBorder="1" applyAlignment="1">
      <alignment horizontal="center" vertical="center" wrapText="1"/>
    </xf>
    <xf numFmtId="4" fontId="62" fillId="2" borderId="0" xfId="41" applyNumberFormat="1" applyFont="1" applyFill="1" applyBorder="1" applyAlignment="1">
      <alignment horizontal="left" vertical="center"/>
    </xf>
    <xf numFmtId="0" fontId="197" fillId="7" borderId="14" xfId="0" applyFont="1" applyFill="1" applyBorder="1" applyAlignment="1">
      <alignment horizontal="center" vertical="top"/>
    </xf>
    <xf numFmtId="0" fontId="197" fillId="7" borderId="16" xfId="0" applyFont="1" applyFill="1" applyBorder="1" applyAlignment="1">
      <alignment horizontal="center" vertical="top"/>
    </xf>
    <xf numFmtId="0" fontId="197" fillId="7" borderId="2" xfId="0" applyFont="1" applyFill="1" applyBorder="1" applyAlignment="1">
      <alignment horizontal="center" vertical="top"/>
    </xf>
    <xf numFmtId="0" fontId="197" fillId="7" borderId="14" xfId="0" applyFont="1" applyFill="1" applyBorder="1" applyAlignment="1">
      <alignment horizontal="center" vertical="center"/>
    </xf>
    <xf numFmtId="0" fontId="197" fillId="7" borderId="16" xfId="0" applyFont="1" applyFill="1" applyBorder="1" applyAlignment="1">
      <alignment horizontal="center" vertical="center"/>
    </xf>
    <xf numFmtId="0" fontId="197" fillId="7" borderId="2" xfId="0" applyFont="1" applyFill="1" applyBorder="1" applyAlignment="1">
      <alignment horizontal="center" vertical="center"/>
    </xf>
    <xf numFmtId="0" fontId="197" fillId="7" borderId="261" xfId="0" applyFont="1" applyFill="1" applyBorder="1" applyAlignment="1">
      <alignment horizontal="center" vertical="center"/>
    </xf>
    <xf numFmtId="0" fontId="197" fillId="7" borderId="262" xfId="0" applyFont="1" applyFill="1" applyBorder="1" applyAlignment="1">
      <alignment horizontal="center" vertical="center"/>
    </xf>
    <xf numFmtId="0" fontId="197" fillId="7" borderId="263" xfId="0" applyFont="1" applyFill="1" applyBorder="1" applyAlignment="1">
      <alignment horizontal="center" vertical="center"/>
    </xf>
    <xf numFmtId="0" fontId="197" fillId="7" borderId="14" xfId="0" applyFont="1" applyFill="1" applyBorder="1" applyAlignment="1">
      <alignment horizontal="center"/>
    </xf>
    <xf numFmtId="0" fontId="197" fillId="7" borderId="16" xfId="0" applyFont="1" applyFill="1" applyBorder="1" applyAlignment="1">
      <alignment horizontal="center"/>
    </xf>
    <xf numFmtId="0" fontId="197" fillId="7" borderId="2" xfId="0" applyFont="1" applyFill="1" applyBorder="1" applyAlignment="1">
      <alignment horizontal="center"/>
    </xf>
    <xf numFmtId="0" fontId="197" fillId="7" borderId="11" xfId="0" applyFont="1" applyFill="1" applyBorder="1" applyAlignment="1">
      <alignment horizontal="center"/>
    </xf>
    <xf numFmtId="0" fontId="197" fillId="7" borderId="12" xfId="0" applyFont="1" applyFill="1" applyBorder="1" applyAlignment="1">
      <alignment horizontal="center"/>
    </xf>
    <xf numFmtId="0" fontId="197" fillId="7" borderId="13" xfId="0" applyFont="1" applyFill="1" applyBorder="1" applyAlignment="1">
      <alignment horizontal="center"/>
    </xf>
    <xf numFmtId="0" fontId="197" fillId="7" borderId="199" xfId="41" applyNumberFormat="1" applyFont="1" applyFill="1" applyBorder="1" applyAlignment="1" applyProtection="1">
      <alignment horizontal="center" vertical="center" wrapText="1"/>
    </xf>
    <xf numFmtId="0" fontId="197" fillId="7" borderId="203" xfId="41" applyNumberFormat="1" applyFont="1" applyFill="1" applyBorder="1" applyAlignment="1" applyProtection="1">
      <alignment horizontal="center" vertical="center" wrapText="1"/>
    </xf>
    <xf numFmtId="0" fontId="197" fillId="7" borderId="200" xfId="41" applyNumberFormat="1" applyFont="1" applyFill="1" applyBorder="1" applyAlignment="1" applyProtection="1">
      <alignment horizontal="center" vertical="center" wrapText="1"/>
    </xf>
    <xf numFmtId="0" fontId="197" fillId="7" borderId="205" xfId="41" applyNumberFormat="1" applyFont="1" applyFill="1" applyBorder="1" applyAlignment="1" applyProtection="1">
      <alignment horizontal="center" vertical="center" wrapText="1"/>
    </xf>
    <xf numFmtId="0" fontId="197" fillId="7" borderId="3" xfId="41" applyNumberFormat="1" applyFont="1" applyFill="1" applyBorder="1" applyAlignment="1" applyProtection="1">
      <alignment horizontal="center" vertical="center" wrapText="1"/>
    </xf>
    <xf numFmtId="0" fontId="197" fillId="7" borderId="218" xfId="41" applyNumberFormat="1" applyFont="1" applyFill="1" applyBorder="1" applyAlignment="1" applyProtection="1">
      <alignment horizontal="center" vertical="center" wrapText="1"/>
    </xf>
    <xf numFmtId="0" fontId="69" fillId="28" borderId="20" xfId="41" applyNumberFormat="1" applyFont="1" applyFill="1" applyBorder="1" applyAlignment="1" applyProtection="1">
      <alignment horizontal="center" vertical="center"/>
    </xf>
    <xf numFmtId="0" fontId="67" fillId="2" borderId="0" xfId="3" applyFont="1" applyFill="1" applyBorder="1" applyAlignment="1">
      <alignment horizontal="left" vertical="center"/>
    </xf>
    <xf numFmtId="0" fontId="104" fillId="7" borderId="201" xfId="0" applyFont="1" applyFill="1" applyBorder="1" applyAlignment="1">
      <alignment horizontal="center" vertical="center" wrapText="1"/>
    </xf>
    <xf numFmtId="0" fontId="104" fillId="7" borderId="204" xfId="0" applyFont="1" applyFill="1" applyBorder="1" applyAlignment="1">
      <alignment horizontal="center" vertical="center" wrapText="1"/>
    </xf>
    <xf numFmtId="0" fontId="104" fillId="7" borderId="202" xfId="0" applyFont="1" applyFill="1" applyBorder="1" applyAlignment="1">
      <alignment horizontal="center" vertical="center" wrapText="1"/>
    </xf>
    <xf numFmtId="0" fontId="68" fillId="2" borderId="0" xfId="34" applyFont="1" applyFill="1" applyBorder="1" applyAlignment="1">
      <alignment horizontal="left" vertical="center" wrapText="1"/>
    </xf>
    <xf numFmtId="0" fontId="68" fillId="2" borderId="0" xfId="34" applyFont="1" applyFill="1" applyAlignment="1">
      <alignment horizontal="left" vertical="center" wrapText="1"/>
    </xf>
    <xf numFmtId="0" fontId="67" fillId="27" borderId="22" xfId="0" applyFont="1" applyFill="1" applyBorder="1" applyAlignment="1">
      <alignment horizontal="center" vertical="center" wrapText="1"/>
    </xf>
    <xf numFmtId="0" fontId="67" fillId="27" borderId="23" xfId="0" applyFont="1" applyFill="1" applyBorder="1" applyAlignment="1">
      <alignment horizontal="center" vertical="center" wrapText="1"/>
    </xf>
    <xf numFmtId="0" fontId="67" fillId="27" borderId="24" xfId="0" applyFont="1" applyFill="1" applyBorder="1" applyAlignment="1">
      <alignment horizontal="center" vertical="center" wrapText="1"/>
    </xf>
    <xf numFmtId="0" fontId="101" fillId="27" borderId="20" xfId="0" applyFont="1" applyFill="1" applyBorder="1" applyAlignment="1">
      <alignment horizontal="center" vertical="center"/>
    </xf>
    <xf numFmtId="0" fontId="49" fillId="2" borderId="0" xfId="0" applyFont="1" applyFill="1" applyAlignment="1">
      <alignment horizontal="left" vertical="center" wrapText="1"/>
    </xf>
    <xf numFmtId="0" fontId="101" fillId="2" borderId="12" xfId="0" applyFont="1" applyFill="1" applyBorder="1" applyAlignment="1">
      <alignment horizontal="center" vertical="center"/>
    </xf>
    <xf numFmtId="0" fontId="101" fillId="27" borderId="22" xfId="0" applyFont="1" applyFill="1" applyBorder="1" applyAlignment="1">
      <alignment horizontal="center" vertical="center"/>
    </xf>
    <xf numFmtId="0" fontId="101" fillId="27" borderId="24" xfId="0" applyFont="1" applyFill="1" applyBorder="1" applyAlignment="1">
      <alignment horizontal="center" vertical="center"/>
    </xf>
    <xf numFmtId="0" fontId="145" fillId="7" borderId="193" xfId="0" applyFont="1" applyFill="1" applyBorder="1" applyAlignment="1">
      <alignment horizontal="center" vertical="center" wrapText="1"/>
    </xf>
    <xf numFmtId="0" fontId="145" fillId="7" borderId="195" xfId="0" applyFont="1" applyFill="1" applyBorder="1" applyAlignment="1">
      <alignment horizontal="center" vertical="center" wrapText="1"/>
    </xf>
    <xf numFmtId="0" fontId="67" fillId="2" borderId="265" xfId="3" applyFont="1" applyFill="1" applyBorder="1" applyAlignment="1">
      <alignment horizontal="center" vertical="center" wrapText="1"/>
    </xf>
    <xf numFmtId="0" fontId="67" fillId="2" borderId="0" xfId="3" applyFont="1" applyFill="1" applyBorder="1" applyAlignment="1">
      <alignment horizontal="center" vertical="center" wrapText="1"/>
    </xf>
    <xf numFmtId="0" fontId="104" fillId="7" borderId="146" xfId="0" applyFont="1" applyFill="1" applyBorder="1" applyAlignment="1">
      <alignment horizontal="center" vertical="center"/>
    </xf>
    <xf numFmtId="0" fontId="104" fillId="7" borderId="151" xfId="0" applyFont="1" applyFill="1" applyBorder="1" applyAlignment="1">
      <alignment horizontal="center" vertical="center"/>
    </xf>
    <xf numFmtId="0" fontId="104" fillId="7" borderId="193" xfId="0" applyFont="1" applyFill="1" applyBorder="1" applyAlignment="1">
      <alignment horizontal="center" vertical="center"/>
    </xf>
    <xf numFmtId="0" fontId="104" fillId="7" borderId="194" xfId="0" applyFont="1" applyFill="1" applyBorder="1" applyAlignment="1">
      <alignment horizontal="center" vertical="center"/>
    </xf>
    <xf numFmtId="0" fontId="104" fillId="7" borderId="195" xfId="0" applyFont="1" applyFill="1" applyBorder="1" applyAlignment="1">
      <alignment horizontal="center" vertical="center"/>
    </xf>
    <xf numFmtId="0" fontId="104" fillId="7" borderId="0" xfId="0" applyFont="1" applyFill="1" applyBorder="1" applyAlignment="1">
      <alignment horizontal="center" vertical="center" wrapText="1"/>
    </xf>
    <xf numFmtId="0" fontId="67" fillId="2" borderId="266" xfId="3" applyFont="1" applyFill="1" applyBorder="1" applyAlignment="1">
      <alignment horizontal="center" vertical="center" wrapText="1"/>
    </xf>
    <xf numFmtId="0" fontId="104" fillId="7" borderId="130" xfId="13" applyFont="1" applyFill="1" applyBorder="1" applyAlignment="1">
      <alignment horizontal="center" vertical="center"/>
    </xf>
    <xf numFmtId="0" fontId="104" fillId="7" borderId="267" xfId="0" applyFont="1" applyFill="1" applyBorder="1" applyAlignment="1">
      <alignment horizontal="center" vertical="center"/>
    </xf>
    <xf numFmtId="0" fontId="155" fillId="2" borderId="267" xfId="0" applyFont="1" applyFill="1" applyBorder="1" applyAlignment="1">
      <alignment horizontal="center" vertical="center"/>
    </xf>
    <xf numFmtId="0" fontId="155" fillId="2" borderId="0" xfId="0" applyFont="1" applyFill="1" applyBorder="1" applyAlignment="1">
      <alignment horizontal="center" vertical="center"/>
    </xf>
    <xf numFmtId="0" fontId="104" fillId="7" borderId="134" xfId="0" applyFont="1" applyFill="1" applyBorder="1" applyAlignment="1">
      <alignment horizontal="center" vertical="center"/>
    </xf>
    <xf numFmtId="0" fontId="104" fillId="7" borderId="155" xfId="0" applyFont="1" applyFill="1" applyBorder="1" applyAlignment="1">
      <alignment horizontal="center" vertical="center"/>
    </xf>
    <xf numFmtId="0" fontId="104" fillId="7" borderId="135" xfId="0" applyFont="1" applyFill="1" applyBorder="1" applyAlignment="1">
      <alignment horizontal="center" vertical="center"/>
    </xf>
    <xf numFmtId="0" fontId="104" fillId="7" borderId="156" xfId="45" applyFont="1" applyFill="1" applyBorder="1" applyAlignment="1">
      <alignment horizontal="center" vertical="center"/>
    </xf>
    <xf numFmtId="0" fontId="104" fillId="7" borderId="157" xfId="45" applyFont="1" applyFill="1" applyBorder="1" applyAlignment="1">
      <alignment horizontal="center" vertical="center"/>
    </xf>
    <xf numFmtId="0" fontId="104" fillId="7" borderId="124" xfId="45" applyFont="1" applyFill="1" applyBorder="1" applyAlignment="1">
      <alignment horizontal="center" vertical="center"/>
    </xf>
    <xf numFmtId="0" fontId="104" fillId="7" borderId="133" xfId="0" applyFont="1" applyFill="1" applyBorder="1" applyAlignment="1">
      <alignment horizontal="center" vertical="center" wrapText="1"/>
    </xf>
    <xf numFmtId="0" fontId="104" fillId="7" borderId="133" xfId="0" applyFont="1" applyFill="1" applyBorder="1" applyAlignment="1">
      <alignment horizontal="center" vertical="center"/>
    </xf>
    <xf numFmtId="0" fontId="104" fillId="7" borderId="125" xfId="0" applyFont="1" applyFill="1" applyBorder="1" applyAlignment="1">
      <alignment horizontal="center" vertical="center"/>
    </xf>
    <xf numFmtId="0" fontId="104" fillId="7" borderId="129" xfId="0" applyFont="1" applyFill="1" applyBorder="1" applyAlignment="1">
      <alignment horizontal="center" vertical="center"/>
    </xf>
    <xf numFmtId="0" fontId="104" fillId="7" borderId="156" xfId="0" applyFont="1" applyFill="1" applyBorder="1" applyAlignment="1">
      <alignment horizontal="center" vertical="center"/>
    </xf>
    <xf numFmtId="0" fontId="82" fillId="7" borderId="259" xfId="0" applyFont="1" applyFill="1" applyBorder="1" applyAlignment="1">
      <alignment horizontal="center" vertical="center"/>
    </xf>
    <xf numFmtId="0" fontId="82" fillId="7" borderId="260" xfId="0" applyFont="1" applyFill="1" applyBorder="1" applyAlignment="1">
      <alignment horizontal="center" vertical="center"/>
    </xf>
    <xf numFmtId="0" fontId="82" fillId="7" borderId="281" xfId="0" applyFont="1" applyFill="1" applyBorder="1" applyAlignment="1">
      <alignment horizontal="center" vertical="center"/>
    </xf>
    <xf numFmtId="2" fontId="82" fillId="7" borderId="14" xfId="0" applyNumberFormat="1" applyFont="1" applyFill="1" applyBorder="1" applyAlignment="1">
      <alignment horizontal="center" vertical="center"/>
    </xf>
    <xf numFmtId="2" fontId="82" fillId="7" borderId="16" xfId="0" applyNumberFormat="1" applyFont="1" applyFill="1" applyBorder="1" applyAlignment="1">
      <alignment horizontal="center" vertical="center"/>
    </xf>
    <xf numFmtId="2" fontId="82" fillId="7" borderId="2" xfId="0" applyNumberFormat="1" applyFont="1" applyFill="1" applyBorder="1" applyAlignment="1">
      <alignment horizontal="center" vertical="center"/>
    </xf>
    <xf numFmtId="0" fontId="82" fillId="7" borderId="14" xfId="0" applyFont="1" applyFill="1" applyBorder="1" applyAlignment="1">
      <alignment horizontal="center" vertical="center"/>
    </xf>
    <xf numFmtId="0" fontId="82" fillId="7" borderId="16" xfId="0" applyFont="1" applyFill="1" applyBorder="1" applyAlignment="1">
      <alignment horizontal="center" vertical="center"/>
    </xf>
    <xf numFmtId="0" fontId="82" fillId="7" borderId="279" xfId="0" applyFont="1" applyFill="1" applyBorder="1" applyAlignment="1">
      <alignment horizontal="center" vertical="center"/>
    </xf>
    <xf numFmtId="2" fontId="82" fillId="7" borderId="3" xfId="0" applyNumberFormat="1" applyFont="1" applyFill="1" applyBorder="1" applyAlignment="1">
      <alignment horizontal="center" vertical="center"/>
    </xf>
    <xf numFmtId="0" fontId="82" fillId="7" borderId="3" xfId="0" applyFont="1" applyFill="1" applyBorder="1" applyAlignment="1">
      <alignment horizontal="center" vertical="center"/>
    </xf>
    <xf numFmtId="0" fontId="82" fillId="7" borderId="218" xfId="0" applyFont="1" applyFill="1" applyBorder="1" applyAlignment="1">
      <alignment horizontal="center" vertical="center"/>
    </xf>
    <xf numFmtId="0" fontId="82" fillId="7" borderId="203" xfId="0" applyFont="1" applyFill="1" applyBorder="1" applyAlignment="1">
      <alignment horizontal="center" vertical="center"/>
    </xf>
    <xf numFmtId="0" fontId="82" fillId="7" borderId="200" xfId="0" applyFont="1" applyFill="1" applyBorder="1" applyAlignment="1">
      <alignment horizontal="center" vertical="center"/>
    </xf>
    <xf numFmtId="0" fontId="82" fillId="7" borderId="277" xfId="0" applyFont="1" applyFill="1" applyBorder="1" applyAlignment="1">
      <alignment horizontal="center" vertical="center" wrapText="1"/>
    </xf>
    <xf numFmtId="0" fontId="82" fillId="7" borderId="278" xfId="0" applyFont="1" applyFill="1" applyBorder="1" applyAlignment="1">
      <alignment horizontal="center" vertical="center" wrapText="1"/>
    </xf>
    <xf numFmtId="0" fontId="82" fillId="7" borderId="11" xfId="0" applyFont="1" applyFill="1" applyBorder="1" applyAlignment="1">
      <alignment horizontal="center" vertical="center" wrapText="1"/>
    </xf>
    <xf numFmtId="0" fontId="82" fillId="7" borderId="13" xfId="0" applyFont="1" applyFill="1" applyBorder="1" applyAlignment="1">
      <alignment horizontal="center" vertical="center" wrapText="1"/>
    </xf>
    <xf numFmtId="0" fontId="83" fillId="2" borderId="20" xfId="0" applyFont="1" applyFill="1" applyBorder="1" applyAlignment="1">
      <alignment horizontal="center" vertical="center" wrapText="1" shrinkToFit="1"/>
    </xf>
    <xf numFmtId="0" fontId="80" fillId="2" borderId="20" xfId="0" applyFont="1" applyFill="1" applyBorder="1" applyAlignment="1">
      <alignment horizontal="center" vertical="center"/>
    </xf>
    <xf numFmtId="168" fontId="80" fillId="2" borderId="20" xfId="52" applyFont="1" applyFill="1" applyBorder="1" applyAlignment="1">
      <alignment horizontal="center" vertical="center"/>
    </xf>
    <xf numFmtId="0" fontId="92" fillId="2" borderId="20" xfId="0" applyFont="1" applyFill="1" applyBorder="1" applyAlignment="1">
      <alignment horizontal="center" vertical="center" wrapText="1"/>
    </xf>
    <xf numFmtId="0" fontId="218" fillId="7" borderId="178" xfId="0" applyFont="1" applyFill="1" applyBorder="1" applyAlignment="1">
      <alignment horizontal="center" vertical="center"/>
    </xf>
    <xf numFmtId="0" fontId="218" fillId="7" borderId="179" xfId="0" applyFont="1" applyFill="1" applyBorder="1" applyAlignment="1">
      <alignment horizontal="center" vertical="center"/>
    </xf>
    <xf numFmtId="0" fontId="218" fillId="7" borderId="180" xfId="0" applyFont="1" applyFill="1" applyBorder="1" applyAlignment="1">
      <alignment horizontal="center" vertical="center"/>
    </xf>
    <xf numFmtId="0" fontId="82" fillId="7" borderId="22" xfId="0" applyFont="1" applyFill="1" applyBorder="1" applyAlignment="1">
      <alignment horizontal="center" vertical="center"/>
    </xf>
    <xf numFmtId="0" fontId="82" fillId="7" borderId="24" xfId="0" applyFont="1" applyFill="1" applyBorder="1" applyAlignment="1">
      <alignment horizontal="center" vertical="center"/>
    </xf>
    <xf numFmtId="0" fontId="82" fillId="7" borderId="276" xfId="0" applyFont="1" applyFill="1" applyBorder="1" applyAlignment="1">
      <alignment horizontal="center" vertical="center" wrapText="1"/>
    </xf>
    <xf numFmtId="0" fontId="82" fillId="7" borderId="25" xfId="0" applyFont="1" applyFill="1" applyBorder="1" applyAlignment="1">
      <alignment horizontal="center" vertical="center" wrapText="1"/>
    </xf>
    <xf numFmtId="0" fontId="82" fillId="7" borderId="254" xfId="0" applyFont="1" applyFill="1" applyBorder="1" applyAlignment="1">
      <alignment horizontal="center" vertical="center"/>
    </xf>
    <xf numFmtId="0" fontId="82" fillId="7" borderId="226" xfId="0" applyFont="1" applyFill="1" applyBorder="1" applyAlignment="1">
      <alignment horizontal="center" vertical="center"/>
    </xf>
    <xf numFmtId="0" fontId="82" fillId="7" borderId="203" xfId="0" applyFont="1" applyFill="1" applyBorder="1" applyAlignment="1">
      <alignment horizontal="center" vertical="center" wrapText="1"/>
    </xf>
    <xf numFmtId="0" fontId="82" fillId="7" borderId="38" xfId="0" applyFont="1" applyFill="1" applyBorder="1" applyAlignment="1">
      <alignment horizontal="center" vertical="center" wrapText="1"/>
    </xf>
    <xf numFmtId="0" fontId="82" fillId="7" borderId="3" xfId="0" applyFont="1" applyFill="1" applyBorder="1" applyAlignment="1">
      <alignment horizontal="center" vertical="center" wrapText="1"/>
    </xf>
    <xf numFmtId="0" fontId="82" fillId="7" borderId="204" xfId="0" applyFont="1" applyFill="1" applyBorder="1" applyAlignment="1">
      <alignment horizontal="center" vertical="center" wrapText="1"/>
    </xf>
    <xf numFmtId="0" fontId="82" fillId="7" borderId="38" xfId="0" applyFont="1" applyFill="1" applyBorder="1" applyAlignment="1">
      <alignment horizontal="center" vertical="center"/>
    </xf>
    <xf numFmtId="0" fontId="82" fillId="7" borderId="204" xfId="0" applyFont="1" applyFill="1" applyBorder="1" applyAlignment="1">
      <alignment horizontal="center" vertical="center"/>
    </xf>
    <xf numFmtId="0" fontId="83" fillId="2" borderId="20" xfId="0" applyFont="1" applyFill="1" applyBorder="1" applyAlignment="1">
      <alignment horizontal="center" vertical="center" wrapText="1"/>
    </xf>
    <xf numFmtId="0" fontId="219" fillId="2" borderId="0" xfId="0" applyFont="1" applyFill="1" applyAlignment="1">
      <alignment horizontal="left" vertical="center"/>
    </xf>
    <xf numFmtId="0" fontId="82" fillId="7" borderId="280" xfId="0" applyFont="1" applyFill="1" applyBorder="1" applyAlignment="1">
      <alignment horizontal="center" vertical="center"/>
    </xf>
    <xf numFmtId="0" fontId="82" fillId="7" borderId="276" xfId="0" applyFont="1" applyFill="1" applyBorder="1" applyAlignment="1">
      <alignment horizontal="center" vertical="center"/>
    </xf>
    <xf numFmtId="0" fontId="82" fillId="7" borderId="19" xfId="0" applyFont="1" applyFill="1" applyBorder="1" applyAlignment="1">
      <alignment horizontal="center" vertical="center"/>
    </xf>
    <xf numFmtId="0" fontId="82" fillId="7" borderId="25" xfId="0" applyFont="1" applyFill="1" applyBorder="1" applyAlignment="1">
      <alignment horizontal="center" vertical="center"/>
    </xf>
    <xf numFmtId="0" fontId="82" fillId="7" borderId="19" xfId="0" applyFont="1" applyFill="1" applyBorder="1" applyAlignment="1">
      <alignment horizontal="center" vertical="center" wrapText="1"/>
    </xf>
    <xf numFmtId="1" fontId="80" fillId="2" borderId="20" xfId="0" applyNumberFormat="1" applyFont="1" applyFill="1" applyBorder="1" applyAlignment="1">
      <alignment horizontal="center" vertical="center"/>
    </xf>
    <xf numFmtId="0" fontId="221" fillId="7" borderId="178" xfId="0" applyFont="1" applyFill="1" applyBorder="1" applyAlignment="1">
      <alignment horizontal="center" vertical="center"/>
    </xf>
    <xf numFmtId="0" fontId="221" fillId="7" borderId="179" xfId="0" applyFont="1" applyFill="1" applyBorder="1" applyAlignment="1">
      <alignment horizontal="center" vertical="center"/>
    </xf>
    <xf numFmtId="0" fontId="221" fillId="7" borderId="180" xfId="0" applyFont="1" applyFill="1" applyBorder="1" applyAlignment="1">
      <alignment horizontal="center" vertical="center"/>
    </xf>
    <xf numFmtId="168" fontId="83" fillId="2" borderId="20" xfId="52" applyFont="1" applyFill="1" applyBorder="1" applyAlignment="1">
      <alignment horizontal="center" vertical="center" wrapText="1"/>
    </xf>
    <xf numFmtId="199" fontId="83" fillId="2" borderId="20" xfId="52" applyNumberFormat="1" applyFont="1" applyFill="1" applyBorder="1" applyAlignment="1">
      <alignment horizontal="center" vertical="center" wrapText="1"/>
    </xf>
    <xf numFmtId="0" fontId="82" fillId="7" borderId="199" xfId="0" applyFont="1" applyFill="1" applyBorder="1" applyAlignment="1">
      <alignment horizontal="center" vertical="center"/>
    </xf>
    <xf numFmtId="0" fontId="82" fillId="7" borderId="245" xfId="0" applyFont="1" applyFill="1" applyBorder="1" applyAlignment="1">
      <alignment horizontal="center" vertical="center"/>
    </xf>
    <xf numFmtId="0" fontId="82" fillId="7" borderId="205" xfId="0" applyFont="1" applyFill="1" applyBorder="1" applyAlignment="1">
      <alignment horizontal="center" vertical="center"/>
    </xf>
    <xf numFmtId="0" fontId="82" fillId="7" borderId="201" xfId="0" applyFont="1" applyFill="1" applyBorder="1" applyAlignment="1">
      <alignment horizontal="center" vertical="center"/>
    </xf>
    <xf numFmtId="199" fontId="80" fillId="2" borderId="20" xfId="52" applyNumberFormat="1" applyFont="1" applyFill="1" applyBorder="1" applyAlignment="1">
      <alignment horizontal="center" vertical="center"/>
    </xf>
    <xf numFmtId="0" fontId="219" fillId="2" borderId="0" xfId="0" applyFont="1" applyFill="1" applyBorder="1" applyAlignment="1">
      <alignment horizontal="left" vertical="center"/>
    </xf>
    <xf numFmtId="200" fontId="101" fillId="2" borderId="143" xfId="0" applyNumberFormat="1" applyFont="1" applyFill="1" applyBorder="1" applyAlignment="1">
      <alignment horizontal="right" vertical="center"/>
    </xf>
    <xf numFmtId="200" fontId="101" fillId="2" borderId="144" xfId="0" applyNumberFormat="1" applyFont="1" applyFill="1" applyBorder="1" applyAlignment="1">
      <alignment horizontal="right" vertical="center"/>
    </xf>
    <xf numFmtId="200" fontId="104" fillId="7" borderId="155" xfId="0" applyNumberFormat="1" applyFont="1" applyFill="1" applyBorder="1" applyAlignment="1">
      <alignment horizontal="right" vertical="center"/>
    </xf>
    <xf numFmtId="0" fontId="99" fillId="5" borderId="143" xfId="28" applyFont="1" applyFill="1" applyBorder="1" applyAlignment="1" applyProtection="1">
      <alignment horizontal="left" vertical="center" wrapText="1"/>
      <protection locked="0"/>
    </xf>
    <xf numFmtId="0" fontId="99" fillId="5" borderId="140" xfId="28" applyFont="1" applyFill="1" applyBorder="1" applyAlignment="1" applyProtection="1">
      <alignment horizontal="left" vertical="center" wrapText="1"/>
      <protection locked="0"/>
    </xf>
    <xf numFmtId="0" fontId="104" fillId="7" borderId="134" xfId="89" applyFont="1" applyFill="1" applyBorder="1" applyAlignment="1">
      <alignment horizontal="center" vertical="center" wrapText="1"/>
    </xf>
    <xf numFmtId="0" fontId="104" fillId="7" borderId="155" xfId="89" applyFont="1" applyFill="1" applyBorder="1" applyAlignment="1">
      <alignment horizontal="center" vertical="center" wrapText="1"/>
    </xf>
    <xf numFmtId="0" fontId="104" fillId="7" borderId="135" xfId="89" applyFont="1" applyFill="1" applyBorder="1" applyAlignment="1">
      <alignment horizontal="center" vertical="center" wrapText="1"/>
    </xf>
    <xf numFmtId="0" fontId="67" fillId="5" borderId="139" xfId="0" applyFont="1" applyFill="1" applyBorder="1" applyAlignment="1">
      <alignment horizontal="center" vertical="center"/>
    </xf>
    <xf numFmtId="0" fontId="67" fillId="5" borderId="141" xfId="0" applyFont="1" applyFill="1" applyBorder="1" applyAlignment="1">
      <alignment horizontal="center" vertical="center"/>
    </xf>
    <xf numFmtId="0" fontId="67" fillId="5" borderId="143" xfId="0" applyFont="1" applyFill="1" applyBorder="1" applyAlignment="1">
      <alignment horizontal="center" vertical="center"/>
    </xf>
    <xf numFmtId="0" fontId="67" fillId="5" borderId="144" xfId="0" applyFont="1" applyFill="1" applyBorder="1" applyAlignment="1">
      <alignment horizontal="center" vertical="center"/>
    </xf>
    <xf numFmtId="0" fontId="104" fillId="77" borderId="134" xfId="89" applyFont="1" applyBorder="1" applyAlignment="1">
      <alignment horizontal="center" vertical="center"/>
    </xf>
    <xf numFmtId="0" fontId="104" fillId="77" borderId="155" xfId="89" applyFont="1" applyBorder="1" applyAlignment="1">
      <alignment horizontal="center" vertical="center"/>
    </xf>
    <xf numFmtId="0" fontId="100" fillId="2" borderId="0" xfId="0" applyFont="1" applyFill="1" applyAlignment="1">
      <alignment horizontal="center" vertical="center" wrapText="1"/>
    </xf>
    <xf numFmtId="0" fontId="100" fillId="2" borderId="0" xfId="0" applyFont="1" applyFill="1" applyAlignment="1">
      <alignment horizontal="center" vertical="center"/>
    </xf>
    <xf numFmtId="0" fontId="145" fillId="7" borderId="194" xfId="0" applyFont="1" applyFill="1" applyBorder="1" applyAlignment="1">
      <alignment horizontal="center" vertical="center"/>
    </xf>
    <xf numFmtId="0" fontId="99" fillId="2" borderId="0" xfId="0" applyNumberFormat="1" applyFont="1" applyFill="1" applyBorder="1" applyAlignment="1" applyProtection="1">
      <alignment horizontal="left" vertical="center" wrapText="1"/>
      <protection locked="0"/>
    </xf>
    <xf numFmtId="0" fontId="102" fillId="2" borderId="0" xfId="0" applyFont="1" applyFill="1" applyAlignment="1">
      <alignment horizontal="left" vertical="center"/>
    </xf>
    <xf numFmtId="0" fontId="100" fillId="2" borderId="0" xfId="0" applyFont="1" applyFill="1" applyBorder="1" applyAlignment="1">
      <alignment horizontal="center" vertical="center" wrapText="1"/>
    </xf>
    <xf numFmtId="165" fontId="100" fillId="2" borderId="133" xfId="0" applyNumberFormat="1" applyFont="1" applyFill="1" applyBorder="1" applyAlignment="1">
      <alignment horizontal="center" vertical="center" wrapText="1"/>
    </xf>
    <xf numFmtId="0" fontId="145" fillId="2" borderId="282" xfId="46" applyFont="1" applyFill="1" applyBorder="1" applyAlignment="1">
      <alignment horizontal="center" vertical="center" textRotation="90"/>
    </xf>
    <xf numFmtId="0" fontId="101" fillId="111" borderId="133" xfId="46" applyFont="1" applyFill="1" applyBorder="1" applyAlignment="1">
      <alignment horizontal="center" vertical="center" wrapText="1"/>
    </xf>
    <xf numFmtId="0" fontId="82" fillId="7" borderId="124" xfId="0" applyFont="1" applyFill="1" applyBorder="1" applyAlignment="1">
      <alignment horizontal="center" vertical="center"/>
    </xf>
    <xf numFmtId="2" fontId="82" fillId="7" borderId="126" xfId="0" applyNumberFormat="1" applyFont="1" applyFill="1" applyBorder="1" applyAlignment="1">
      <alignment horizontal="center" vertical="center"/>
    </xf>
    <xf numFmtId="0" fontId="82" fillId="7" borderId="126" xfId="0" applyFont="1" applyFill="1" applyBorder="1" applyAlignment="1">
      <alignment horizontal="center" vertical="center"/>
    </xf>
    <xf numFmtId="0" fontId="82" fillId="7" borderId="127" xfId="0" applyFont="1" applyFill="1" applyBorder="1" applyAlignment="1">
      <alignment horizontal="center" vertical="center"/>
    </xf>
    <xf numFmtId="0" fontId="104" fillId="7" borderId="157" xfId="46" applyFont="1" applyFill="1" applyBorder="1" applyAlignment="1">
      <alignment horizontal="center" vertical="center" wrapText="1"/>
    </xf>
    <xf numFmtId="0" fontId="104" fillId="7" borderId="126" xfId="46" applyFont="1" applyFill="1" applyBorder="1" applyAlignment="1">
      <alignment horizontal="center" vertical="center" wrapText="1"/>
    </xf>
    <xf numFmtId="0" fontId="104" fillId="7" borderId="130" xfId="46" applyFont="1" applyFill="1" applyBorder="1" applyAlignment="1">
      <alignment horizontal="center" vertical="center" wrapText="1"/>
    </xf>
    <xf numFmtId="0" fontId="104" fillId="2" borderId="282" xfId="46" applyFont="1" applyFill="1" applyBorder="1" applyAlignment="1">
      <alignment horizontal="center" vertical="center" textRotation="90"/>
    </xf>
    <xf numFmtId="0" fontId="67" fillId="6" borderId="133" xfId="46" applyFont="1" applyFill="1" applyBorder="1" applyAlignment="1">
      <alignment horizontal="center" vertical="center" wrapText="1"/>
    </xf>
    <xf numFmtId="0" fontId="101" fillId="2" borderId="133" xfId="46" applyFont="1" applyFill="1" applyBorder="1" applyAlignment="1">
      <alignment horizontal="center" vertical="center" wrapText="1"/>
    </xf>
    <xf numFmtId="0" fontId="101" fillId="5" borderId="133" xfId="46" applyFont="1" applyFill="1" applyBorder="1" applyAlignment="1">
      <alignment horizontal="center" vertical="center" wrapText="1"/>
    </xf>
    <xf numFmtId="0" fontId="67" fillId="120" borderId="133" xfId="46" applyFont="1" applyFill="1" applyBorder="1" applyAlignment="1">
      <alignment horizontal="center" vertical="center" wrapText="1"/>
    </xf>
    <xf numFmtId="0" fontId="101" fillId="27" borderId="133" xfId="46" applyFont="1" applyFill="1" applyBorder="1" applyAlignment="1">
      <alignment horizontal="center" vertical="center" wrapText="1"/>
    </xf>
    <xf numFmtId="0" fontId="104" fillId="7" borderId="193" xfId="0" applyFont="1" applyFill="1" applyBorder="1" applyAlignment="1">
      <alignment horizontal="center" vertical="center" wrapText="1"/>
    </xf>
    <xf numFmtId="0" fontId="104" fillId="7" borderId="194" xfId="0" applyFont="1" applyFill="1" applyBorder="1" applyAlignment="1">
      <alignment horizontal="center" vertical="center" wrapText="1"/>
    </xf>
    <xf numFmtId="0" fontId="104" fillId="7" borderId="195" xfId="0" applyFont="1" applyFill="1" applyBorder="1" applyAlignment="1">
      <alignment horizontal="center" vertical="center" wrapText="1"/>
    </xf>
    <xf numFmtId="2" fontId="104" fillId="7" borderId="157" xfId="46" applyNumberFormat="1" applyFont="1" applyFill="1" applyBorder="1" applyAlignment="1">
      <alignment horizontal="center" vertical="center" wrapText="1"/>
    </xf>
    <xf numFmtId="2" fontId="104" fillId="7" borderId="126" xfId="46" applyNumberFormat="1" applyFont="1" applyFill="1" applyBorder="1" applyAlignment="1">
      <alignment horizontal="center" vertical="center" wrapText="1"/>
    </xf>
    <xf numFmtId="2" fontId="104" fillId="7" borderId="130" xfId="46" applyNumberFormat="1" applyFont="1" applyFill="1" applyBorder="1" applyAlignment="1">
      <alignment horizontal="center" vertical="center" wrapText="1"/>
    </xf>
    <xf numFmtId="0" fontId="104" fillId="7" borderId="156" xfId="46" applyFont="1" applyFill="1" applyBorder="1" applyAlignment="1">
      <alignment horizontal="center" vertical="center"/>
    </xf>
    <xf numFmtId="0" fontId="104" fillId="7" borderId="125" xfId="46" applyFont="1" applyFill="1" applyBorder="1" applyAlignment="1">
      <alignment horizontal="center" vertical="center"/>
    </xf>
    <xf numFmtId="0" fontId="104" fillId="7" borderId="129" xfId="46" applyFont="1" applyFill="1" applyBorder="1" applyAlignment="1">
      <alignment horizontal="center" vertical="center"/>
    </xf>
    <xf numFmtId="0" fontId="101" fillId="37" borderId="133" xfId="46" applyFont="1" applyFill="1" applyBorder="1" applyAlignment="1">
      <alignment horizontal="center" vertical="center" wrapText="1"/>
    </xf>
    <xf numFmtId="0" fontId="101" fillId="10" borderId="133" xfId="46" applyFont="1" applyFill="1" applyBorder="1" applyAlignment="1">
      <alignment horizontal="center" vertical="center" wrapText="1"/>
    </xf>
    <xf numFmtId="0" fontId="101" fillId="6" borderId="133" xfId="46" applyFont="1" applyFill="1" applyBorder="1" applyAlignment="1">
      <alignment horizontal="center" vertical="center" wrapText="1"/>
    </xf>
    <xf numFmtId="0" fontId="104" fillId="7" borderId="134" xfId="46" applyFont="1" applyFill="1" applyBorder="1" applyAlignment="1">
      <alignment horizontal="center" vertical="center" wrapText="1"/>
    </xf>
    <xf numFmtId="0" fontId="104" fillId="7" borderId="155" xfId="46" applyFont="1" applyFill="1" applyBorder="1" applyAlignment="1">
      <alignment horizontal="center" vertical="center" wrapText="1"/>
    </xf>
    <xf numFmtId="0" fontId="104" fillId="7" borderId="219" xfId="46" applyFont="1" applyFill="1" applyBorder="1" applyAlignment="1">
      <alignment horizontal="center" vertical="center" wrapText="1"/>
    </xf>
    <xf numFmtId="0" fontId="101" fillId="2" borderId="0" xfId="46" applyFont="1" applyFill="1" applyBorder="1" applyAlignment="1">
      <alignment horizontal="center" vertical="center" wrapText="1"/>
    </xf>
    <xf numFmtId="0" fontId="99" fillId="2" borderId="133" xfId="46" applyFont="1" applyFill="1" applyBorder="1" applyAlignment="1">
      <alignment horizontal="center" vertical="center" wrapText="1"/>
    </xf>
    <xf numFmtId="2" fontId="104" fillId="7" borderId="148" xfId="46" applyNumberFormat="1" applyFont="1" applyFill="1" applyBorder="1" applyAlignment="1">
      <alignment horizontal="center" vertical="center" wrapText="1"/>
    </xf>
    <xf numFmtId="2" fontId="104" fillId="7" borderId="157" xfId="46" applyNumberFormat="1" applyFont="1" applyFill="1" applyBorder="1" applyAlignment="1">
      <alignment horizontal="right" vertical="center" wrapText="1"/>
    </xf>
    <xf numFmtId="2" fontId="104" fillId="7" borderId="148" xfId="46" applyNumberFormat="1" applyFont="1" applyFill="1" applyBorder="1" applyAlignment="1">
      <alignment horizontal="right" vertical="center" wrapText="1"/>
    </xf>
    <xf numFmtId="2" fontId="104" fillId="7" borderId="130" xfId="46" applyNumberFormat="1" applyFont="1" applyFill="1" applyBorder="1" applyAlignment="1">
      <alignment horizontal="right" vertical="center" wrapText="1"/>
    </xf>
    <xf numFmtId="0" fontId="104" fillId="7" borderId="147" xfId="46" applyFont="1" applyFill="1" applyBorder="1" applyAlignment="1">
      <alignment horizontal="center" vertical="center"/>
    </xf>
    <xf numFmtId="0" fontId="104" fillId="7" borderId="148" xfId="46" applyFont="1" applyFill="1" applyBorder="1" applyAlignment="1">
      <alignment horizontal="center" vertical="center" wrapText="1"/>
    </xf>
    <xf numFmtId="0" fontId="99" fillId="2" borderId="133" xfId="46" applyFont="1" applyFill="1" applyBorder="1" applyAlignment="1">
      <alignment horizontal="center" vertical="center"/>
    </xf>
    <xf numFmtId="0" fontId="100" fillId="2" borderId="0" xfId="0" applyFont="1" applyFill="1" applyBorder="1" applyAlignment="1">
      <alignment horizontal="center" vertical="center"/>
    </xf>
    <xf numFmtId="0" fontId="67" fillId="2" borderId="0" xfId="41" applyFont="1" applyFill="1" applyBorder="1" applyAlignment="1">
      <alignment horizontal="center" vertical="center"/>
    </xf>
    <xf numFmtId="0" fontId="10" fillId="7" borderId="302" xfId="169" applyFont="1" applyFill="1" applyBorder="1" applyAlignment="1">
      <alignment horizontal="center" vertical="center"/>
    </xf>
    <xf numFmtId="0" fontId="10" fillId="7" borderId="303" xfId="169" applyFont="1" applyFill="1" applyBorder="1" applyAlignment="1">
      <alignment horizontal="center" vertical="center"/>
    </xf>
    <xf numFmtId="0" fontId="10" fillId="7" borderId="128" xfId="169" applyFont="1" applyFill="1" applyBorder="1" applyAlignment="1">
      <alignment horizontal="center" vertical="center"/>
    </xf>
    <xf numFmtId="0" fontId="10" fillId="7" borderId="126" xfId="169" applyFont="1" applyFill="1" applyBorder="1" applyAlignment="1">
      <alignment horizontal="center" vertical="center" wrapText="1"/>
    </xf>
    <xf numFmtId="0" fontId="10" fillId="114" borderId="126" xfId="169" applyFont="1" applyFill="1" applyBorder="1" applyAlignment="1">
      <alignment horizontal="center" vertical="center"/>
    </xf>
    <xf numFmtId="0" fontId="10" fillId="7" borderId="126" xfId="169" applyFont="1" applyFill="1" applyBorder="1" applyAlignment="1">
      <alignment horizontal="center" vertical="center"/>
    </xf>
    <xf numFmtId="0" fontId="10" fillId="7" borderId="302" xfId="169" applyFont="1" applyFill="1" applyBorder="1" applyAlignment="1">
      <alignment horizontal="center" vertical="center" wrapText="1"/>
    </xf>
    <xf numFmtId="0" fontId="10" fillId="7" borderId="303" xfId="169" applyFont="1" applyFill="1" applyBorder="1" applyAlignment="1">
      <alignment horizontal="center" vertical="center" wrapText="1"/>
    </xf>
    <xf numFmtId="0" fontId="10" fillId="7" borderId="128" xfId="169" applyFont="1" applyFill="1" applyBorder="1" applyAlignment="1">
      <alignment horizontal="center" vertical="center" wrapText="1"/>
    </xf>
    <xf numFmtId="0" fontId="171" fillId="7" borderId="134" xfId="188" applyFont="1" applyFill="1" applyBorder="1" applyAlignment="1">
      <alignment horizontal="center" vertical="center" wrapText="1"/>
    </xf>
    <xf numFmtId="0" fontId="171" fillId="7" borderId="155" xfId="188" applyFont="1" applyFill="1" applyBorder="1" applyAlignment="1">
      <alignment horizontal="center" vertical="center" wrapText="1"/>
    </xf>
    <xf numFmtId="0" fontId="171" fillId="7" borderId="135" xfId="188" applyFont="1" applyFill="1" applyBorder="1" applyAlignment="1">
      <alignment horizontal="center" vertical="center" wrapText="1"/>
    </xf>
    <xf numFmtId="0" fontId="10" fillId="7" borderId="156" xfId="169" applyFont="1" applyFill="1" applyBorder="1" applyAlignment="1">
      <alignment horizontal="center" vertical="center" wrapText="1"/>
    </xf>
    <xf numFmtId="0" fontId="10" fillId="7" borderId="157" xfId="169" applyFont="1" applyFill="1" applyBorder="1" applyAlignment="1">
      <alignment horizontal="center" vertical="center" wrapText="1"/>
    </xf>
    <xf numFmtId="0" fontId="10" fillId="7" borderId="283" xfId="169" applyFont="1" applyFill="1" applyBorder="1" applyAlignment="1">
      <alignment horizontal="center" vertical="center" wrapText="1"/>
    </xf>
    <xf numFmtId="0" fontId="10" fillId="7" borderId="124" xfId="169" applyFont="1" applyFill="1" applyBorder="1" applyAlignment="1">
      <alignment horizontal="center" vertical="center" wrapText="1"/>
    </xf>
    <xf numFmtId="0" fontId="9" fillId="41" borderId="133" xfId="169" applyFont="1" applyFill="1" applyBorder="1" applyAlignment="1">
      <alignment horizontal="center" vertical="center"/>
    </xf>
    <xf numFmtId="0" fontId="5" fillId="115" borderId="133" xfId="0" applyFont="1" applyFill="1" applyBorder="1" applyAlignment="1">
      <alignment horizontal="right" vertical="center"/>
    </xf>
    <xf numFmtId="0" fontId="171" fillId="7" borderId="139" xfId="188" applyFont="1" applyFill="1" applyBorder="1" applyAlignment="1">
      <alignment horizontal="center" vertical="center" wrapText="1"/>
    </xf>
    <xf numFmtId="0" fontId="171" fillId="7" borderId="143" xfId="188" applyFont="1" applyFill="1" applyBorder="1" applyAlignment="1">
      <alignment horizontal="center" vertical="center" wrapText="1"/>
    </xf>
    <xf numFmtId="0" fontId="171" fillId="7" borderId="140" xfId="188" applyFont="1" applyFill="1" applyBorder="1" applyAlignment="1">
      <alignment horizontal="center" vertical="center" wrapText="1"/>
    </xf>
    <xf numFmtId="4" fontId="67" fillId="2" borderId="0" xfId="188" applyNumberFormat="1" applyFont="1" applyFill="1" applyBorder="1" applyAlignment="1">
      <alignment horizontal="left" vertical="center" wrapText="1"/>
    </xf>
    <xf numFmtId="4" fontId="67" fillId="2" borderId="154" xfId="188" applyNumberFormat="1" applyFont="1" applyFill="1" applyBorder="1" applyAlignment="1">
      <alignment horizontal="left" vertical="center" wrapText="1"/>
    </xf>
    <xf numFmtId="0" fontId="9" fillId="37" borderId="134" xfId="169" applyFont="1" applyFill="1" applyBorder="1" applyAlignment="1">
      <alignment horizontal="center" vertical="center"/>
    </xf>
    <xf numFmtId="0" fontId="9" fillId="37" borderId="155" xfId="169" applyFont="1" applyFill="1" applyBorder="1" applyAlignment="1">
      <alignment horizontal="center" vertical="center"/>
    </xf>
    <xf numFmtId="0" fontId="9" fillId="37" borderId="135" xfId="169" applyFont="1" applyFill="1" applyBorder="1" applyAlignment="1">
      <alignment horizontal="center" vertical="center"/>
    </xf>
    <xf numFmtId="4" fontId="9" fillId="123" borderId="134" xfId="169" applyNumberFormat="1" applyFont="1" applyFill="1" applyBorder="1" applyAlignment="1">
      <alignment horizontal="center" vertical="center"/>
    </xf>
    <xf numFmtId="4" fontId="9" fillId="123" borderId="155" xfId="169" applyNumberFormat="1" applyFont="1" applyFill="1" applyBorder="1" applyAlignment="1">
      <alignment horizontal="center" vertical="center"/>
    </xf>
    <xf numFmtId="4" fontId="9" fillId="123" borderId="135" xfId="169" applyNumberFormat="1" applyFont="1" applyFill="1" applyBorder="1" applyAlignment="1">
      <alignment horizontal="center" vertical="center"/>
    </xf>
    <xf numFmtId="10" fontId="9" fillId="4" borderId="134" xfId="1" applyNumberFormat="1" applyFont="1" applyFill="1" applyBorder="1" applyAlignment="1">
      <alignment horizontal="center" vertical="center"/>
    </xf>
    <xf numFmtId="10" fontId="9" fillId="4" borderId="155" xfId="1" applyNumberFormat="1" applyFont="1" applyFill="1" applyBorder="1" applyAlignment="1">
      <alignment horizontal="center" vertical="center"/>
    </xf>
    <xf numFmtId="10" fontId="9" fillId="4" borderId="135" xfId="1" applyNumberFormat="1" applyFont="1" applyFill="1" applyBorder="1" applyAlignment="1">
      <alignment horizontal="center" vertical="center"/>
    </xf>
    <xf numFmtId="0" fontId="10" fillId="7" borderId="127" xfId="169" applyFont="1" applyFill="1" applyBorder="1" applyAlignment="1">
      <alignment horizontal="center" vertical="center" wrapText="1"/>
    </xf>
    <xf numFmtId="0" fontId="10" fillId="7" borderId="304" xfId="169" applyFont="1" applyFill="1" applyBorder="1" applyAlignment="1">
      <alignment horizontal="center" vertical="center" wrapText="1"/>
    </xf>
    <xf numFmtId="0" fontId="10" fillId="114" borderId="127" xfId="169" applyFont="1" applyFill="1" applyBorder="1" applyAlignment="1">
      <alignment horizontal="center" vertical="center"/>
    </xf>
    <xf numFmtId="0" fontId="10" fillId="7" borderId="125" xfId="0" applyFont="1" applyFill="1" applyBorder="1" applyAlignment="1">
      <alignment horizontal="center" vertical="center"/>
    </xf>
    <xf numFmtId="0" fontId="10" fillId="7" borderId="129" xfId="0" applyFont="1" applyFill="1" applyBorder="1" applyAlignment="1">
      <alignment horizontal="center" vertical="center"/>
    </xf>
    <xf numFmtId="0" fontId="10" fillId="7" borderId="126" xfId="0" applyFont="1" applyFill="1" applyBorder="1" applyAlignment="1">
      <alignment horizontal="center" vertical="center"/>
    </xf>
    <xf numFmtId="0" fontId="10" fillId="7" borderId="130" xfId="0" applyFont="1" applyFill="1" applyBorder="1" applyAlignment="1">
      <alignment horizontal="center" vertical="center"/>
    </xf>
    <xf numFmtId="0" fontId="10" fillId="7" borderId="126" xfId="0" applyFont="1" applyFill="1" applyBorder="1" applyAlignment="1">
      <alignment horizontal="center" vertical="center" wrapText="1"/>
    </xf>
    <xf numFmtId="0" fontId="10" fillId="7" borderId="130" xfId="0" applyFont="1" applyFill="1" applyBorder="1" applyAlignment="1">
      <alignment horizontal="center" vertical="center" wrapText="1"/>
    </xf>
    <xf numFmtId="0" fontId="10" fillId="7" borderId="127" xfId="169" applyFont="1" applyFill="1" applyBorder="1" applyAlignment="1">
      <alignment horizontal="center" vertical="center"/>
    </xf>
    <xf numFmtId="0" fontId="10" fillId="7" borderId="131" xfId="169" applyFont="1" applyFill="1" applyBorder="1" applyAlignment="1">
      <alignment horizontal="center" vertical="center"/>
    </xf>
    <xf numFmtId="0" fontId="9" fillId="44" borderId="133" xfId="169" applyFont="1" applyFill="1" applyBorder="1" applyAlignment="1">
      <alignment horizontal="center" vertical="center"/>
    </xf>
    <xf numFmtId="0" fontId="9" fillId="2" borderId="133" xfId="169" applyFont="1" applyFill="1" applyBorder="1" applyAlignment="1">
      <alignment horizontal="right" vertical="center"/>
    </xf>
    <xf numFmtId="0" fontId="9" fillId="106" borderId="134" xfId="169" applyFont="1" applyFill="1" applyBorder="1" applyAlignment="1">
      <alignment horizontal="center" vertical="center"/>
    </xf>
    <xf numFmtId="0" fontId="9" fillId="106" borderId="135" xfId="169" applyFont="1" applyFill="1" applyBorder="1" applyAlignment="1">
      <alignment horizontal="center" vertical="center"/>
    </xf>
    <xf numFmtId="0" fontId="9" fillId="108" borderId="134" xfId="169" applyFont="1" applyFill="1" applyBorder="1" applyAlignment="1">
      <alignment horizontal="center" vertical="center"/>
    </xf>
    <xf numFmtId="0" fontId="9" fillId="108" borderId="155" xfId="169" applyFont="1" applyFill="1" applyBorder="1" applyAlignment="1">
      <alignment horizontal="center" vertical="center"/>
    </xf>
    <xf numFmtId="0" fontId="9" fillId="108" borderId="135" xfId="169" applyFont="1" applyFill="1" applyBorder="1" applyAlignment="1">
      <alignment horizontal="center" vertical="center"/>
    </xf>
    <xf numFmtId="10" fontId="9" fillId="6" borderId="134" xfId="1" applyNumberFormat="1" applyFont="1" applyFill="1" applyBorder="1" applyAlignment="1">
      <alignment horizontal="center" vertical="center"/>
    </xf>
    <xf numFmtId="10" fontId="9" fillId="6" borderId="155" xfId="1" applyNumberFormat="1" applyFont="1" applyFill="1" applyBorder="1" applyAlignment="1">
      <alignment horizontal="center" vertical="center"/>
    </xf>
    <xf numFmtId="10" fontId="9" fillId="6" borderId="135" xfId="1" applyNumberFormat="1" applyFont="1" applyFill="1" applyBorder="1" applyAlignment="1">
      <alignment horizontal="center" vertical="center"/>
    </xf>
    <xf numFmtId="10" fontId="9" fillId="17" borderId="134" xfId="1" applyNumberFormat="1" applyFont="1" applyFill="1" applyBorder="1" applyAlignment="1">
      <alignment horizontal="center" vertical="center"/>
    </xf>
    <xf numFmtId="10" fontId="9" fillId="17" borderId="155" xfId="1" applyNumberFormat="1" applyFont="1" applyFill="1" applyBorder="1" applyAlignment="1">
      <alignment horizontal="center" vertical="center"/>
    </xf>
    <xf numFmtId="10" fontId="9" fillId="17" borderId="135" xfId="1" applyNumberFormat="1" applyFont="1" applyFill="1" applyBorder="1" applyAlignment="1">
      <alignment horizontal="center" vertical="center"/>
    </xf>
    <xf numFmtId="0" fontId="10" fillId="7" borderId="283" xfId="0" applyFont="1" applyFill="1" applyBorder="1" applyAlignment="1">
      <alignment horizontal="center" vertical="center"/>
    </xf>
    <xf numFmtId="0" fontId="10" fillId="7" borderId="223" xfId="0" applyFont="1" applyFill="1" applyBorder="1" applyAlignment="1">
      <alignment horizontal="center" vertical="center"/>
    </xf>
    <xf numFmtId="0" fontId="10" fillId="7" borderId="151" xfId="0" applyFont="1" applyFill="1" applyBorder="1" applyAlignment="1">
      <alignment horizontal="center" vertical="center"/>
    </xf>
    <xf numFmtId="0" fontId="9" fillId="2" borderId="138" xfId="169" applyFont="1" applyFill="1" applyBorder="1" applyAlignment="1">
      <alignment horizontal="center" vertical="center"/>
    </xf>
    <xf numFmtId="0" fontId="10" fillId="7" borderId="148" xfId="0" applyFont="1" applyFill="1" applyBorder="1" applyAlignment="1">
      <alignment horizontal="center" vertical="center"/>
    </xf>
    <xf numFmtId="0" fontId="10" fillId="7" borderId="134" xfId="188" applyFont="1" applyFill="1" applyBorder="1" applyAlignment="1">
      <alignment horizontal="center" vertical="center" wrapText="1"/>
    </xf>
    <xf numFmtId="0" fontId="10" fillId="7" borderId="155" xfId="188" applyFont="1" applyFill="1" applyBorder="1" applyAlignment="1">
      <alignment horizontal="center" vertical="center" wrapText="1"/>
    </xf>
    <xf numFmtId="0" fontId="10" fillId="7" borderId="135" xfId="188" applyFont="1" applyFill="1" applyBorder="1" applyAlignment="1">
      <alignment horizontal="center" vertical="center" wrapText="1"/>
    </xf>
    <xf numFmtId="0" fontId="10" fillId="7" borderId="223" xfId="0" applyFont="1" applyFill="1" applyBorder="1" applyAlignment="1">
      <alignment horizontal="center" vertical="center" wrapText="1"/>
    </xf>
    <xf numFmtId="0" fontId="10" fillId="7" borderId="148" xfId="0" applyFont="1" applyFill="1" applyBorder="1" applyAlignment="1">
      <alignment horizontal="center" vertical="center" wrapText="1"/>
    </xf>
    <xf numFmtId="0" fontId="10" fillId="7" borderId="151" xfId="0" applyFont="1" applyFill="1" applyBorder="1" applyAlignment="1">
      <alignment horizontal="center" vertical="center" wrapText="1"/>
    </xf>
    <xf numFmtId="0" fontId="10" fillId="7" borderId="153" xfId="169" applyFont="1" applyFill="1" applyBorder="1" applyAlignment="1">
      <alignment horizontal="center" vertical="center" wrapText="1"/>
    </xf>
    <xf numFmtId="0" fontId="10" fillId="7" borderId="0" xfId="169" applyFont="1" applyFill="1" applyBorder="1" applyAlignment="1">
      <alignment horizontal="center" vertical="center" wrapText="1"/>
    </xf>
    <xf numFmtId="0" fontId="10" fillId="7" borderId="154" xfId="169" applyFont="1" applyFill="1" applyBorder="1" applyAlignment="1">
      <alignment horizontal="center" vertical="center" wrapText="1"/>
    </xf>
    <xf numFmtId="0" fontId="10" fillId="7" borderId="305" xfId="169" applyFont="1" applyFill="1" applyBorder="1" applyAlignment="1">
      <alignment horizontal="center" vertical="center" wrapText="1"/>
    </xf>
    <xf numFmtId="0" fontId="10" fillId="7" borderId="306" xfId="169" applyFont="1" applyFill="1" applyBorder="1" applyAlignment="1">
      <alignment horizontal="center" vertical="center" wrapText="1"/>
    </xf>
    <xf numFmtId="0" fontId="10" fillId="7" borderId="307" xfId="169" applyFont="1" applyFill="1" applyBorder="1" applyAlignment="1">
      <alignment horizontal="center" vertical="center" wrapText="1"/>
    </xf>
    <xf numFmtId="0" fontId="171" fillId="7" borderId="153" xfId="188" applyFont="1" applyFill="1" applyBorder="1" applyAlignment="1">
      <alignment horizontal="center" vertical="center" wrapText="1"/>
    </xf>
    <xf numFmtId="0" fontId="171" fillId="7" borderId="0" xfId="188" applyFont="1" applyFill="1" applyBorder="1" applyAlignment="1">
      <alignment horizontal="center" vertical="center" wrapText="1"/>
    </xf>
    <xf numFmtId="0" fontId="171" fillId="7" borderId="154" xfId="188" applyFont="1" applyFill="1" applyBorder="1" applyAlignment="1">
      <alignment horizontal="center" vertical="center" wrapText="1"/>
    </xf>
    <xf numFmtId="0" fontId="9" fillId="116" borderId="134" xfId="169" applyFont="1" applyFill="1" applyBorder="1" applyAlignment="1">
      <alignment horizontal="center" vertical="center" wrapText="1"/>
    </xf>
    <xf numFmtId="0" fontId="9" fillId="116" borderId="155" xfId="169" applyFont="1" applyFill="1" applyBorder="1" applyAlignment="1">
      <alignment horizontal="center" vertical="center" wrapText="1"/>
    </xf>
    <xf numFmtId="0" fontId="9" fillId="116" borderId="135" xfId="169" applyFont="1" applyFill="1" applyBorder="1" applyAlignment="1">
      <alignment horizontal="center" vertical="center" wrapText="1"/>
    </xf>
    <xf numFmtId="0" fontId="9" fillId="6" borderId="134" xfId="169" applyFont="1" applyFill="1" applyBorder="1" applyAlignment="1">
      <alignment horizontal="center" vertical="center"/>
    </xf>
    <xf numFmtId="0" fontId="9" fillId="6" borderId="155" xfId="169" applyFont="1" applyFill="1" applyBorder="1" applyAlignment="1">
      <alignment horizontal="center" vertical="center"/>
    </xf>
    <xf numFmtId="0" fontId="9" fillId="6" borderId="135" xfId="169" applyFont="1" applyFill="1" applyBorder="1" applyAlignment="1">
      <alignment horizontal="center" vertical="center"/>
    </xf>
    <xf numFmtId="0" fontId="9" fillId="117" borderId="134" xfId="169" applyFont="1" applyFill="1" applyBorder="1" applyAlignment="1">
      <alignment horizontal="center" vertical="center"/>
    </xf>
    <xf numFmtId="0" fontId="9" fillId="117" borderId="155" xfId="169" applyFont="1" applyFill="1" applyBorder="1" applyAlignment="1">
      <alignment horizontal="center" vertical="center"/>
    </xf>
    <xf numFmtId="0" fontId="9" fillId="117" borderId="135" xfId="169" applyFont="1" applyFill="1" applyBorder="1" applyAlignment="1">
      <alignment horizontal="center" vertical="center"/>
    </xf>
    <xf numFmtId="4" fontId="205" fillId="4" borderId="136" xfId="0" applyNumberFormat="1" applyFont="1" applyFill="1" applyBorder="1" applyAlignment="1" applyProtection="1">
      <alignment horizontal="center" vertical="center"/>
      <protection locked="0"/>
    </xf>
    <xf numFmtId="4" fontId="205" fillId="4" borderId="138" xfId="0" applyNumberFormat="1" applyFont="1" applyFill="1" applyBorder="1" applyAlignment="1" applyProtection="1">
      <alignment horizontal="center" vertical="center"/>
      <protection locked="0"/>
    </xf>
    <xf numFmtId="4" fontId="62" fillId="2" borderId="136" xfId="0" applyNumberFormat="1" applyFont="1" applyFill="1" applyBorder="1" applyAlignment="1" applyProtection="1">
      <alignment horizontal="center" vertical="center"/>
      <protection locked="0"/>
    </xf>
    <xf numFmtId="4" fontId="62" fillId="2" borderId="138" xfId="0" applyNumberFormat="1" applyFont="1" applyFill="1" applyBorder="1" applyAlignment="1" applyProtection="1">
      <alignment horizontal="center" vertical="center"/>
      <protection locked="0"/>
    </xf>
    <xf numFmtId="210" fontId="62" fillId="2" borderId="136" xfId="0" applyNumberFormat="1" applyFont="1" applyFill="1" applyBorder="1" applyAlignment="1" applyProtection="1">
      <alignment horizontal="center" vertical="center"/>
      <protection locked="0"/>
    </xf>
    <xf numFmtId="210" fontId="62" fillId="2" borderId="138" xfId="0" applyNumberFormat="1" applyFont="1" applyFill="1" applyBorder="1" applyAlignment="1" applyProtection="1">
      <alignment horizontal="center" vertical="center"/>
      <protection locked="0"/>
    </xf>
    <xf numFmtId="3" fontId="62" fillId="0" borderId="136" xfId="15" applyNumberFormat="1" applyFont="1" applyFill="1" applyBorder="1" applyAlignment="1">
      <alignment horizontal="center" vertical="center"/>
    </xf>
    <xf numFmtId="3" fontId="62" fillId="0" borderId="138" xfId="15" applyNumberFormat="1" applyFont="1" applyFill="1" applyBorder="1" applyAlignment="1">
      <alignment horizontal="center" vertical="center"/>
    </xf>
    <xf numFmtId="0" fontId="62" fillId="2" borderId="136" xfId="15" applyFont="1" applyFill="1" applyBorder="1" applyAlignment="1">
      <alignment horizontal="center" vertical="center"/>
    </xf>
    <xf numFmtId="0" fontId="62" fillId="2" borderId="138" xfId="15" applyFont="1" applyFill="1" applyBorder="1" applyAlignment="1">
      <alignment horizontal="center" vertical="center"/>
    </xf>
    <xf numFmtId="0" fontId="62" fillId="0" borderId="136" xfId="0" applyFont="1" applyFill="1" applyBorder="1" applyAlignment="1" applyProtection="1">
      <alignment horizontal="center" vertical="center"/>
      <protection locked="0"/>
    </xf>
    <xf numFmtId="0" fontId="62" fillId="0" borderId="138" xfId="0" applyFont="1" applyFill="1" applyBorder="1" applyAlignment="1" applyProtection="1">
      <alignment horizontal="center" vertical="center"/>
      <protection locked="0"/>
    </xf>
    <xf numFmtId="4" fontId="62" fillId="0" borderId="136" xfId="0" applyNumberFormat="1" applyFont="1" applyFill="1" applyBorder="1" applyAlignment="1" applyProtection="1">
      <alignment horizontal="center" vertical="center" wrapText="1"/>
      <protection locked="0"/>
    </xf>
    <xf numFmtId="4" fontId="62" fillId="0" borderId="138" xfId="0" applyNumberFormat="1" applyFont="1" applyFill="1" applyBorder="1" applyAlignment="1" applyProtection="1">
      <alignment horizontal="center" vertical="center" wrapText="1"/>
      <protection locked="0"/>
    </xf>
    <xf numFmtId="4" fontId="62" fillId="0" borderId="136" xfId="0" applyNumberFormat="1" applyFont="1" applyFill="1" applyBorder="1" applyAlignment="1" applyProtection="1">
      <alignment horizontal="center" vertical="center"/>
      <protection locked="0"/>
    </xf>
    <xf numFmtId="4" fontId="62" fillId="0" borderId="138" xfId="0" applyNumberFormat="1" applyFont="1" applyFill="1" applyBorder="1" applyAlignment="1" applyProtection="1">
      <alignment horizontal="center" vertical="center"/>
      <protection locked="0"/>
    </xf>
    <xf numFmtId="0" fontId="205" fillId="4" borderId="136" xfId="15" applyFont="1" applyFill="1" applyBorder="1" applyAlignment="1">
      <alignment horizontal="center" vertical="center"/>
    </xf>
    <xf numFmtId="0" fontId="205" fillId="4" borderId="138" xfId="15" applyFont="1" applyFill="1" applyBorder="1" applyAlignment="1">
      <alignment horizontal="center" vertical="center"/>
    </xf>
    <xf numFmtId="0" fontId="62" fillId="2" borderId="136" xfId="0" applyFont="1" applyFill="1" applyBorder="1" applyAlignment="1" applyProtection="1">
      <alignment horizontal="center" vertical="center" wrapText="1"/>
      <protection locked="0"/>
    </xf>
    <xf numFmtId="0" fontId="62" fillId="2" borderId="138" xfId="0" applyFont="1" applyFill="1" applyBorder="1" applyAlignment="1" applyProtection="1">
      <alignment horizontal="center" vertical="center" wrapText="1"/>
      <protection locked="0"/>
    </xf>
    <xf numFmtId="0" fontId="62" fillId="2" borderId="136" xfId="0" applyFont="1" applyFill="1" applyBorder="1" applyAlignment="1" applyProtection="1">
      <alignment horizontal="center" vertical="center"/>
      <protection locked="0"/>
    </xf>
    <xf numFmtId="0" fontId="62" fillId="2" borderId="138" xfId="0" applyFont="1" applyFill="1" applyBorder="1" applyAlignment="1" applyProtection="1">
      <alignment horizontal="center" vertical="center"/>
      <protection locked="0"/>
    </xf>
    <xf numFmtId="3" fontId="62" fillId="2" borderId="136" xfId="15" applyNumberFormat="1" applyFont="1" applyFill="1" applyBorder="1" applyAlignment="1">
      <alignment horizontal="center" vertical="center"/>
    </xf>
    <xf numFmtId="3" fontId="62" fillId="2" borderId="138" xfId="15" applyNumberFormat="1" applyFont="1" applyFill="1" applyBorder="1" applyAlignment="1">
      <alignment horizontal="center" vertical="center"/>
    </xf>
    <xf numFmtId="0" fontId="62" fillId="0" borderId="136" xfId="0" applyFont="1" applyFill="1" applyBorder="1" applyAlignment="1">
      <alignment horizontal="left" vertical="center"/>
    </xf>
    <xf numFmtId="0" fontId="62" fillId="0" borderId="138" xfId="0" applyFont="1" applyFill="1" applyBorder="1" applyAlignment="1">
      <alignment horizontal="left" vertical="center"/>
    </xf>
    <xf numFmtId="0" fontId="62" fillId="2" borderId="136" xfId="3" applyFont="1" applyFill="1" applyBorder="1" applyAlignment="1">
      <alignment horizontal="center" vertical="center"/>
    </xf>
    <xf numFmtId="0" fontId="62" fillId="2" borderId="138" xfId="3" applyFont="1" applyFill="1" applyBorder="1" applyAlignment="1">
      <alignment horizontal="center" vertical="center"/>
    </xf>
    <xf numFmtId="0" fontId="62" fillId="2" borderId="136" xfId="0" applyFont="1" applyFill="1" applyBorder="1" applyAlignment="1">
      <alignment horizontal="left" vertical="center" wrapText="1"/>
    </xf>
    <xf numFmtId="0" fontId="62" fillId="2" borderId="138" xfId="0" applyFont="1" applyFill="1" applyBorder="1" applyAlignment="1">
      <alignment horizontal="left" vertical="center" wrapText="1"/>
    </xf>
    <xf numFmtId="4" fontId="197" fillId="7" borderId="134" xfId="0" applyNumberFormat="1" applyFont="1" applyFill="1" applyBorder="1" applyAlignment="1">
      <alignment horizontal="center" vertical="center"/>
    </xf>
    <xf numFmtId="4" fontId="197" fillId="7" borderId="155" xfId="0" applyNumberFormat="1" applyFont="1" applyFill="1" applyBorder="1" applyAlignment="1">
      <alignment horizontal="center" vertical="center"/>
    </xf>
    <xf numFmtId="4" fontId="197" fillId="7" borderId="135" xfId="0" applyNumberFormat="1" applyFont="1" applyFill="1" applyBorder="1" applyAlignment="1">
      <alignment horizontal="center" vertical="center"/>
    </xf>
    <xf numFmtId="4" fontId="69" fillId="125" borderId="134" xfId="0" applyNumberFormat="1" applyFont="1" applyFill="1" applyBorder="1" applyAlignment="1">
      <alignment horizontal="center" vertical="center"/>
    </xf>
    <xf numFmtId="4" fontId="69" fillId="125" borderId="135" xfId="0" applyNumberFormat="1" applyFont="1" applyFill="1" applyBorder="1" applyAlignment="1">
      <alignment horizontal="center" vertical="center"/>
    </xf>
    <xf numFmtId="10" fontId="69" fillId="115" borderId="133" xfId="22" applyNumberFormat="1" applyFont="1" applyFill="1" applyBorder="1" applyAlignment="1">
      <alignment horizontal="center" vertical="center"/>
    </xf>
    <xf numFmtId="0" fontId="69" fillId="115" borderId="133" xfId="0" applyFont="1" applyFill="1" applyBorder="1" applyAlignment="1">
      <alignment horizontal="right" vertical="center"/>
    </xf>
    <xf numFmtId="4" fontId="197" fillId="126" borderId="194" xfId="0" applyNumberFormat="1" applyFont="1" applyFill="1" applyBorder="1" applyAlignment="1">
      <alignment horizontal="center" vertical="center"/>
    </xf>
    <xf numFmtId="0" fontId="197" fillId="126" borderId="194" xfId="0" applyFont="1" applyFill="1" applyBorder="1" applyAlignment="1">
      <alignment horizontal="right" vertical="center"/>
    </xf>
    <xf numFmtId="4" fontId="69" fillId="125" borderId="133" xfId="0" applyNumberFormat="1" applyFont="1" applyFill="1" applyBorder="1" applyAlignment="1">
      <alignment horizontal="center" vertical="center"/>
    </xf>
    <xf numFmtId="0" fontId="69" fillId="107" borderId="133" xfId="0" applyFont="1" applyFill="1" applyBorder="1" applyAlignment="1">
      <alignment horizontal="right" vertical="center"/>
    </xf>
    <xf numFmtId="0" fontId="62" fillId="2" borderId="0" xfId="0" applyFont="1" applyFill="1" applyBorder="1" applyAlignment="1">
      <alignment horizontal="center" vertical="center" textRotation="90"/>
    </xf>
    <xf numFmtId="0" fontId="69" fillId="5" borderId="133" xfId="0" applyFont="1" applyFill="1" applyBorder="1" applyAlignment="1">
      <alignment horizontal="left" vertical="center"/>
    </xf>
    <xf numFmtId="4" fontId="197" fillId="7" borderId="157" xfId="0" applyNumberFormat="1" applyFont="1" applyFill="1" applyBorder="1" applyAlignment="1">
      <alignment horizontal="center" vertical="center"/>
    </xf>
    <xf numFmtId="0" fontId="197" fillId="7" borderId="156" xfId="0" applyFont="1" applyFill="1" applyBorder="1" applyAlignment="1">
      <alignment horizontal="center" vertical="center"/>
    </xf>
    <xf numFmtId="0" fontId="197" fillId="7" borderId="129" xfId="0" applyFont="1" applyFill="1" applyBorder="1" applyAlignment="1">
      <alignment horizontal="center" vertical="center"/>
    </xf>
    <xf numFmtId="0" fontId="197" fillId="7" borderId="157" xfId="0" applyFont="1" applyFill="1" applyBorder="1" applyAlignment="1">
      <alignment horizontal="center" vertical="center"/>
    </xf>
    <xf numFmtId="0" fontId="197" fillId="7" borderId="130" xfId="0" applyFont="1" applyFill="1" applyBorder="1" applyAlignment="1">
      <alignment horizontal="center" vertical="center"/>
    </xf>
    <xf numFmtId="0" fontId="197" fillId="7" borderId="283" xfId="0" applyFont="1" applyFill="1" applyBorder="1" applyAlignment="1">
      <alignment horizontal="center" vertical="center"/>
    </xf>
    <xf numFmtId="0" fontId="197" fillId="7" borderId="123" xfId="0" applyFont="1" applyFill="1" applyBorder="1" applyAlignment="1">
      <alignment horizontal="center" vertical="center"/>
    </xf>
    <xf numFmtId="4" fontId="197" fillId="126" borderId="195" xfId="0" applyNumberFormat="1" applyFont="1" applyFill="1" applyBorder="1" applyAlignment="1">
      <alignment horizontal="center" vertical="center"/>
    </xf>
    <xf numFmtId="4" fontId="197" fillId="7" borderId="124" xfId="0" applyNumberFormat="1" applyFont="1" applyFill="1" applyBorder="1" applyAlignment="1">
      <alignment horizontal="center" vertical="center"/>
    </xf>
    <xf numFmtId="0" fontId="104" fillId="7" borderId="201" xfId="0" applyFont="1" applyFill="1" applyBorder="1" applyAlignment="1">
      <alignment horizontal="center" vertical="center"/>
    </xf>
    <xf numFmtId="0" fontId="104" fillId="7" borderId="204" xfId="0" applyFont="1" applyFill="1" applyBorder="1" applyAlignment="1">
      <alignment horizontal="center" vertical="center"/>
    </xf>
    <xf numFmtId="0" fontId="208" fillId="0" borderId="0" xfId="189" applyFont="1" applyAlignment="1">
      <alignment horizontal="center" vertical="center" wrapText="1"/>
    </xf>
    <xf numFmtId="0" fontId="24" fillId="7" borderId="178" xfId="0" applyFont="1" applyFill="1" applyBorder="1" applyAlignment="1">
      <alignment horizontal="center" vertical="center"/>
    </xf>
    <xf numFmtId="0" fontId="24" fillId="7" borderId="179" xfId="0" applyFont="1" applyFill="1" applyBorder="1" applyAlignment="1">
      <alignment horizontal="center" vertical="center"/>
    </xf>
    <xf numFmtId="0" fontId="24" fillId="7" borderId="180" xfId="0" applyFont="1" applyFill="1" applyBorder="1" applyAlignment="1">
      <alignment horizontal="center" vertical="center"/>
    </xf>
    <xf numFmtId="0" fontId="67" fillId="0" borderId="0" xfId="189" applyFont="1" applyBorder="1" applyAlignment="1">
      <alignment horizontal="center" wrapText="1"/>
    </xf>
    <xf numFmtId="0" fontId="104" fillId="7" borderId="199" xfId="41" applyFont="1" applyFill="1" applyBorder="1" applyAlignment="1">
      <alignment horizontal="center" vertical="center" wrapText="1"/>
    </xf>
    <xf numFmtId="0" fontId="104" fillId="7" borderId="203" xfId="41" applyFont="1" applyFill="1" applyBorder="1" applyAlignment="1">
      <alignment horizontal="center" vertical="center" wrapText="1"/>
    </xf>
    <xf numFmtId="0" fontId="104" fillId="7" borderId="200" xfId="41" applyFont="1" applyFill="1" applyBorder="1" applyAlignment="1">
      <alignment horizontal="center" vertical="center" wrapText="1"/>
    </xf>
    <xf numFmtId="0" fontId="67" fillId="2" borderId="0" xfId="189" applyFont="1" applyFill="1" applyAlignment="1">
      <alignment horizontal="center" vertical="center" wrapText="1"/>
    </xf>
    <xf numFmtId="2" fontId="104" fillId="7" borderId="199" xfId="189" applyNumberFormat="1" applyFont="1" applyFill="1" applyBorder="1" applyAlignment="1">
      <alignment horizontal="center" vertical="center"/>
    </xf>
    <xf numFmtId="2" fontId="104" fillId="7" borderId="201" xfId="189" applyNumberFormat="1" applyFont="1" applyFill="1" applyBorder="1" applyAlignment="1">
      <alignment horizontal="center" vertical="center"/>
    </xf>
    <xf numFmtId="0" fontId="104" fillId="7" borderId="203" xfId="189" applyFont="1" applyFill="1" applyBorder="1" applyAlignment="1">
      <alignment horizontal="center"/>
    </xf>
    <xf numFmtId="0" fontId="104" fillId="7" borderId="200" xfId="189" applyFont="1" applyFill="1" applyBorder="1" applyAlignment="1">
      <alignment horizontal="center"/>
    </xf>
    <xf numFmtId="0" fontId="69" fillId="5" borderId="133" xfId="0" applyFont="1" applyFill="1" applyBorder="1" applyAlignment="1">
      <alignment horizontal="left" vertical="center" wrapText="1"/>
    </xf>
    <xf numFmtId="0" fontId="215" fillId="7" borderId="136" xfId="0" applyFont="1" applyFill="1" applyBorder="1" applyAlignment="1">
      <alignment horizontal="center" vertical="center"/>
    </xf>
    <xf numFmtId="0" fontId="215" fillId="7" borderId="137" xfId="0" applyFont="1" applyFill="1" applyBorder="1" applyAlignment="1">
      <alignment horizontal="center" vertical="center"/>
    </xf>
    <xf numFmtId="0" fontId="215" fillId="7" borderId="138" xfId="0" applyFont="1" applyFill="1" applyBorder="1" applyAlignment="1">
      <alignment horizontal="center" vertical="center"/>
    </xf>
    <xf numFmtId="0" fontId="197" fillId="7" borderId="126" xfId="60" applyFont="1" applyFill="1" applyBorder="1" applyAlignment="1">
      <alignment horizontal="center" vertical="center" wrapText="1"/>
    </xf>
    <xf numFmtId="0" fontId="197" fillId="7" borderId="130" xfId="60" applyFont="1" applyFill="1" applyBorder="1" applyAlignment="1">
      <alignment horizontal="center" vertical="center" wrapText="1"/>
    </xf>
    <xf numFmtId="0" fontId="197" fillId="7" borderId="127" xfId="60" applyFont="1" applyFill="1" applyBorder="1" applyAlignment="1">
      <alignment horizontal="center" vertical="center" wrapText="1"/>
    </xf>
    <xf numFmtId="0" fontId="197" fillId="7" borderId="131" xfId="60" applyFont="1" applyFill="1" applyBorder="1" applyAlignment="1">
      <alignment horizontal="center" vertical="center" wrapText="1"/>
    </xf>
    <xf numFmtId="0" fontId="215" fillId="7" borderId="143" xfId="0" applyFont="1" applyFill="1" applyBorder="1" applyAlignment="1">
      <alignment horizontal="center" vertical="center"/>
    </xf>
    <xf numFmtId="0" fontId="215" fillId="7" borderId="0" xfId="0" applyFont="1" applyFill="1" applyBorder="1" applyAlignment="1">
      <alignment horizontal="center" vertical="center"/>
    </xf>
    <xf numFmtId="0" fontId="238" fillId="7" borderId="156" xfId="0" applyFont="1" applyFill="1" applyBorder="1" applyAlignment="1">
      <alignment horizontal="center" vertical="center" wrapText="1"/>
    </xf>
    <xf numFmtId="0" fontId="238" fillId="7" borderId="157" xfId="0" applyFont="1" applyFill="1" applyBorder="1" applyAlignment="1">
      <alignment horizontal="center" vertical="center" wrapText="1"/>
    </xf>
    <xf numFmtId="0" fontId="238" fillId="7" borderId="124" xfId="0" applyFont="1" applyFill="1" applyBorder="1" applyAlignment="1">
      <alignment horizontal="center" vertical="center" wrapText="1"/>
    </xf>
    <xf numFmtId="2" fontId="197" fillId="7" borderId="125" xfId="0" applyNumberFormat="1" applyFont="1" applyFill="1" applyBorder="1" applyAlignment="1">
      <alignment horizontal="center" vertical="center" wrapText="1"/>
    </xf>
    <xf numFmtId="2" fontId="197" fillId="7" borderId="129" xfId="0" applyNumberFormat="1" applyFont="1" applyFill="1" applyBorder="1" applyAlignment="1">
      <alignment horizontal="center" vertical="center" wrapText="1"/>
    </xf>
    <xf numFmtId="0" fontId="197" fillId="7" borderId="126" xfId="0" applyFont="1" applyFill="1" applyBorder="1" applyAlignment="1" applyProtection="1">
      <alignment horizontal="center" vertical="center" wrapText="1"/>
      <protection locked="0"/>
    </xf>
    <xf numFmtId="0" fontId="197" fillId="7" borderId="130" xfId="0" applyFont="1" applyFill="1" applyBorder="1" applyAlignment="1" applyProtection="1">
      <alignment horizontal="center" vertical="center" wrapText="1"/>
      <protection locked="0"/>
    </xf>
    <xf numFmtId="1" fontId="197" fillId="7" borderId="126" xfId="0" applyNumberFormat="1" applyFont="1" applyFill="1" applyBorder="1" applyAlignment="1">
      <alignment horizontal="center" vertical="center" wrapText="1"/>
    </xf>
    <xf numFmtId="0" fontId="21" fillId="2" borderId="0" xfId="0" applyFont="1" applyFill="1" applyAlignment="1">
      <alignment horizontal="left" vertical="center" wrapText="1"/>
    </xf>
    <xf numFmtId="0" fontId="23" fillId="2" borderId="136" xfId="0" applyFont="1" applyFill="1" applyBorder="1" applyAlignment="1">
      <alignment horizontal="left" vertical="center" wrapText="1"/>
    </xf>
    <xf numFmtId="0" fontId="24" fillId="7" borderId="285" xfId="0" applyFont="1" applyFill="1" applyBorder="1" applyAlignment="1">
      <alignment horizontal="center" vertical="center" textRotation="90"/>
    </xf>
    <xf numFmtId="0" fontId="24" fillId="7" borderId="286" xfId="0" applyFont="1" applyFill="1" applyBorder="1" applyAlignment="1">
      <alignment horizontal="center" vertical="center" textRotation="90"/>
    </xf>
    <xf numFmtId="0" fontId="23" fillId="2" borderId="136" xfId="0" applyFont="1" applyFill="1" applyBorder="1" applyAlignment="1">
      <alignment horizontal="center" vertical="center" wrapText="1"/>
    </xf>
    <xf numFmtId="0" fontId="23" fillId="2" borderId="137" xfId="0" applyFont="1" applyFill="1" applyBorder="1" applyAlignment="1">
      <alignment horizontal="center" vertical="center" wrapText="1"/>
    </xf>
    <xf numFmtId="0" fontId="23" fillId="2" borderId="138" xfId="0" applyFont="1" applyFill="1" applyBorder="1" applyAlignment="1">
      <alignment horizontal="center" vertical="center" wrapText="1"/>
    </xf>
    <xf numFmtId="4" fontId="23" fillId="2" borderId="137" xfId="0" applyNumberFormat="1" applyFont="1" applyFill="1" applyBorder="1" applyAlignment="1">
      <alignment horizontal="center" vertical="center" wrapText="1"/>
    </xf>
    <xf numFmtId="4" fontId="23" fillId="2" borderId="138" xfId="0" applyNumberFormat="1" applyFont="1" applyFill="1" applyBorder="1" applyAlignment="1">
      <alignment horizontal="center" vertical="center" wrapText="1"/>
    </xf>
    <xf numFmtId="0" fontId="21" fillId="2" borderId="0" xfId="0" applyFont="1" applyFill="1" applyBorder="1" applyAlignment="1">
      <alignment horizontal="center" vertical="center"/>
    </xf>
    <xf numFmtId="0" fontId="208" fillId="2" borderId="0" xfId="0" applyFont="1" applyFill="1" applyBorder="1" applyAlignment="1">
      <alignment horizontal="center" vertical="center"/>
    </xf>
    <xf numFmtId="0" fontId="24" fillId="7" borderId="219" xfId="0" applyFont="1" applyFill="1" applyBorder="1" applyAlignment="1">
      <alignment horizontal="center" vertical="center"/>
    </xf>
    <xf numFmtId="0" fontId="24" fillId="7" borderId="194" xfId="0" applyFont="1" applyFill="1" applyBorder="1" applyAlignment="1">
      <alignment horizontal="center" vertical="center"/>
    </xf>
    <xf numFmtId="0" fontId="23" fillId="2" borderId="133" xfId="0" applyFont="1" applyFill="1" applyBorder="1" applyAlignment="1">
      <alignment horizontal="left" vertical="center" wrapText="1"/>
    </xf>
    <xf numFmtId="0" fontId="210" fillId="2" borderId="133" xfId="0" quotePrefix="1" applyFont="1" applyFill="1" applyBorder="1" applyAlignment="1">
      <alignment horizontal="left" vertical="center" wrapText="1"/>
    </xf>
    <xf numFmtId="0" fontId="210" fillId="2" borderId="133" xfId="0" applyFont="1" applyFill="1" applyBorder="1" applyAlignment="1">
      <alignment horizontal="left" vertical="center" wrapText="1"/>
    </xf>
    <xf numFmtId="0" fontId="24" fillId="7" borderId="284" xfId="0" applyFont="1" applyFill="1" applyBorder="1" applyAlignment="1">
      <alignment horizontal="center" vertical="center" textRotation="90"/>
    </xf>
    <xf numFmtId="0" fontId="91" fillId="2" borderId="133" xfId="0" applyFont="1" applyFill="1" applyBorder="1" applyAlignment="1">
      <alignment horizontal="center" vertical="center" wrapText="1"/>
    </xf>
    <xf numFmtId="0" fontId="197" fillId="7" borderId="156" xfId="0" applyFont="1" applyFill="1" applyBorder="1" applyAlignment="1">
      <alignment horizontal="center" vertical="center" wrapText="1"/>
    </xf>
    <xf numFmtId="0" fontId="197" fillId="7" borderId="157" xfId="0" applyFont="1" applyFill="1" applyBorder="1" applyAlignment="1">
      <alignment horizontal="center" vertical="center" wrapText="1"/>
    </xf>
    <xf numFmtId="0" fontId="197" fillId="7" borderId="124" xfId="0" applyFont="1" applyFill="1" applyBorder="1" applyAlignment="1">
      <alignment horizontal="center" vertical="center" wrapText="1"/>
    </xf>
    <xf numFmtId="0" fontId="197" fillId="7" borderId="130" xfId="0" applyFont="1" applyFill="1" applyBorder="1" applyAlignment="1">
      <alignment horizontal="center" vertical="center" wrapText="1"/>
    </xf>
    <xf numFmtId="0" fontId="197" fillId="7" borderId="131" xfId="0" applyFont="1" applyFill="1" applyBorder="1" applyAlignment="1">
      <alignment horizontal="center" vertical="center" wrapText="1"/>
    </xf>
    <xf numFmtId="0" fontId="91" fillId="2" borderId="133" xfId="0" applyFont="1" applyFill="1" applyBorder="1" applyAlignment="1">
      <alignment horizontal="center" vertical="center"/>
    </xf>
    <xf numFmtId="0" fontId="197" fillId="7" borderId="194" xfId="0" applyFont="1" applyFill="1" applyBorder="1" applyAlignment="1">
      <alignment horizontal="center" vertical="center" wrapText="1"/>
    </xf>
    <xf numFmtId="0" fontId="235" fillId="7" borderId="194" xfId="0" applyFont="1" applyFill="1" applyBorder="1" applyAlignment="1">
      <alignment horizontal="center" vertical="center" wrapText="1"/>
    </xf>
    <xf numFmtId="0" fontId="235" fillId="7" borderId="195" xfId="0" applyFont="1" applyFill="1" applyBorder="1" applyAlignment="1">
      <alignment horizontal="center" vertical="center" wrapText="1"/>
    </xf>
    <xf numFmtId="3" fontId="90" fillId="2" borderId="133" xfId="0" applyNumberFormat="1" applyFont="1" applyFill="1" applyBorder="1" applyAlignment="1">
      <alignment horizontal="center" vertical="center" wrapText="1"/>
    </xf>
    <xf numFmtId="0" fontId="90" fillId="2" borderId="144" xfId="0" applyFont="1" applyFill="1" applyBorder="1" applyAlignment="1">
      <alignment horizontal="left" vertical="center" wrapText="1"/>
    </xf>
    <xf numFmtId="0" fontId="90" fillId="2" borderId="0" xfId="0" applyFont="1" applyFill="1" applyBorder="1" applyAlignment="1">
      <alignment horizontal="left" vertical="center" wrapText="1"/>
    </xf>
    <xf numFmtId="0" fontId="90" fillId="2" borderId="75" xfId="0" applyFont="1" applyFill="1" applyBorder="1" applyAlignment="1">
      <alignment horizontal="left" vertical="center" wrapText="1"/>
    </xf>
    <xf numFmtId="0" fontId="91" fillId="2" borderId="75" xfId="0" applyFont="1" applyFill="1" applyBorder="1" applyAlignment="1">
      <alignment horizontal="left" vertical="center" wrapText="1"/>
    </xf>
    <xf numFmtId="3" fontId="21" fillId="2" borderId="133" xfId="0" applyNumberFormat="1" applyFont="1" applyFill="1" applyBorder="1" applyAlignment="1">
      <alignment horizontal="center" vertical="center" wrapText="1"/>
    </xf>
    <xf numFmtId="0" fontId="6" fillId="2" borderId="133" xfId="0" applyFont="1" applyFill="1" applyBorder="1" applyAlignment="1">
      <alignment horizontal="center" vertical="center" wrapText="1"/>
    </xf>
    <xf numFmtId="0" fontId="24" fillId="7" borderId="194" xfId="0" applyFont="1" applyFill="1" applyBorder="1" applyAlignment="1">
      <alignment horizontal="center" vertical="center" wrapText="1"/>
    </xf>
    <xf numFmtId="0" fontId="24" fillId="7" borderId="195" xfId="0" applyFont="1" applyFill="1" applyBorder="1" applyAlignment="1">
      <alignment horizontal="center" vertical="center"/>
    </xf>
    <xf numFmtId="0" fontId="22" fillId="2" borderId="144" xfId="0" applyFont="1" applyFill="1" applyBorder="1" applyAlignment="1">
      <alignment horizontal="left" vertical="center" wrapText="1"/>
    </xf>
    <xf numFmtId="0" fontId="7" fillId="2" borderId="144" xfId="0" applyFont="1" applyFill="1" applyBorder="1" applyAlignment="1">
      <alignment vertical="center" wrapText="1"/>
    </xf>
    <xf numFmtId="0" fontId="21" fillId="2" borderId="144" xfId="0" applyFont="1" applyFill="1" applyBorder="1" applyAlignment="1">
      <alignment horizontal="left" vertical="center" wrapText="1"/>
    </xf>
    <xf numFmtId="0" fontId="6" fillId="2" borderId="144" xfId="0" applyFont="1" applyFill="1" applyBorder="1" applyAlignment="1">
      <alignment vertical="center" wrapText="1"/>
    </xf>
    <xf numFmtId="0" fontId="10" fillId="7" borderId="0" xfId="0" applyFont="1" applyFill="1" applyAlignment="1">
      <alignment horizontal="center" vertical="center"/>
    </xf>
    <xf numFmtId="0" fontId="24" fillId="7" borderId="156" xfId="0" applyFont="1" applyFill="1" applyBorder="1" applyAlignment="1">
      <alignment horizontal="center" vertical="center" wrapText="1"/>
    </xf>
    <xf numFmtId="0" fontId="24" fillId="7" borderId="129" xfId="0" applyFont="1" applyFill="1" applyBorder="1" applyAlignment="1">
      <alignment horizontal="center" vertical="center" wrapText="1"/>
    </xf>
    <xf numFmtId="0" fontId="22" fillId="2" borderId="0" xfId="0" applyFont="1" applyFill="1" applyBorder="1" applyAlignment="1">
      <alignment horizontal="left" vertical="center" wrapText="1"/>
    </xf>
    <xf numFmtId="0" fontId="48" fillId="2" borderId="0" xfId="0" applyFont="1" applyFill="1" applyBorder="1" applyAlignment="1">
      <alignment vertical="center"/>
    </xf>
    <xf numFmtId="0" fontId="48" fillId="2" borderId="47" xfId="0" applyFont="1" applyFill="1" applyBorder="1" applyAlignment="1">
      <alignment vertical="center"/>
    </xf>
    <xf numFmtId="0" fontId="10" fillId="7" borderId="139" xfId="169" applyFont="1" applyFill="1" applyBorder="1" applyAlignment="1">
      <alignment horizontal="center" vertical="center" wrapText="1"/>
    </xf>
    <xf numFmtId="0" fontId="10" fillId="7" borderId="143" xfId="169" applyFont="1" applyFill="1" applyBorder="1" applyAlignment="1">
      <alignment horizontal="center" vertical="center" wrapText="1"/>
    </xf>
    <xf numFmtId="0" fontId="10" fillId="7" borderId="251" xfId="169" applyFont="1" applyFill="1" applyBorder="1" applyAlignment="1">
      <alignment horizontal="center" vertical="center" wrapText="1"/>
    </xf>
    <xf numFmtId="0" fontId="10" fillId="7" borderId="308" xfId="169" applyFont="1" applyFill="1" applyBorder="1" applyAlignment="1">
      <alignment horizontal="center" vertical="center" wrapText="1"/>
    </xf>
    <xf numFmtId="0" fontId="10" fillId="6" borderId="250" xfId="169" applyFont="1" applyFill="1" applyBorder="1" applyAlignment="1">
      <alignment horizontal="center" vertical="center" wrapText="1"/>
    </xf>
    <xf numFmtId="0" fontId="10" fillId="6" borderId="143" xfId="169" applyFont="1" applyFill="1" applyBorder="1" applyAlignment="1">
      <alignment horizontal="center" vertical="center" wrapText="1"/>
    </xf>
    <xf numFmtId="0" fontId="10" fillId="6" borderId="140" xfId="169" applyFont="1" applyFill="1" applyBorder="1" applyAlignment="1">
      <alignment horizontal="center" vertical="center" wrapText="1"/>
    </xf>
    <xf numFmtId="0" fontId="10" fillId="6" borderId="309" xfId="169" applyFont="1" applyFill="1" applyBorder="1" applyAlignment="1">
      <alignment horizontal="center" vertical="center" wrapText="1"/>
    </xf>
    <xf numFmtId="0" fontId="10" fillId="6" borderId="306" xfId="169" applyFont="1" applyFill="1" applyBorder="1" applyAlignment="1">
      <alignment horizontal="center" vertical="center" wrapText="1"/>
    </xf>
    <xf numFmtId="0" fontId="10" fillId="6" borderId="307" xfId="169" applyFont="1" applyFill="1" applyBorder="1" applyAlignment="1">
      <alignment horizontal="center" vertical="center" wrapText="1"/>
    </xf>
    <xf numFmtId="0" fontId="10" fillId="7" borderId="223" xfId="169" applyFont="1" applyFill="1" applyBorder="1" applyAlignment="1">
      <alignment horizontal="center" vertical="center" wrapText="1"/>
    </xf>
    <xf numFmtId="0" fontId="10" fillId="7" borderId="148" xfId="169" applyFont="1" applyFill="1" applyBorder="1" applyAlignment="1">
      <alignment horizontal="center" vertical="center" wrapText="1"/>
    </xf>
    <xf numFmtId="0" fontId="10" fillId="7" borderId="151" xfId="169" applyFont="1" applyFill="1" applyBorder="1" applyAlignment="1">
      <alignment horizontal="center" vertical="center" wrapText="1"/>
    </xf>
    <xf numFmtId="0" fontId="9" fillId="2" borderId="134" xfId="169" applyFont="1" applyFill="1" applyBorder="1" applyAlignment="1">
      <alignment horizontal="center" vertical="center"/>
    </xf>
    <xf numFmtId="0" fontId="9" fillId="2" borderId="155" xfId="169" applyFont="1" applyFill="1" applyBorder="1" applyAlignment="1">
      <alignment horizontal="center" vertical="center"/>
    </xf>
    <xf numFmtId="0" fontId="9" fillId="2" borderId="135" xfId="169" applyFont="1" applyFill="1" applyBorder="1" applyAlignment="1">
      <alignment horizontal="center" vertical="center"/>
    </xf>
    <xf numFmtId="0" fontId="9" fillId="2" borderId="134" xfId="0" applyFont="1" applyFill="1" applyBorder="1" applyAlignment="1">
      <alignment horizontal="center" vertical="center"/>
    </xf>
    <xf numFmtId="0" fontId="9" fillId="2" borderId="155" xfId="0" applyFont="1" applyFill="1" applyBorder="1" applyAlignment="1">
      <alignment horizontal="center" vertical="center"/>
    </xf>
    <xf numFmtId="0" fontId="9" fillId="2" borderId="135" xfId="0" applyFont="1" applyFill="1" applyBorder="1" applyAlignment="1">
      <alignment horizontal="center" vertical="center"/>
    </xf>
    <xf numFmtId="10" fontId="9" fillId="2" borderId="139" xfId="1" applyNumberFormat="1" applyFont="1" applyFill="1" applyBorder="1" applyAlignment="1">
      <alignment horizontal="center" vertical="center"/>
    </xf>
    <xf numFmtId="10" fontId="9" fillId="2" borderId="143" xfId="1" applyNumberFormat="1" applyFont="1" applyFill="1" applyBorder="1" applyAlignment="1">
      <alignment horizontal="center" vertical="center"/>
    </xf>
    <xf numFmtId="10" fontId="9" fillId="2" borderId="140" xfId="1" applyNumberFormat="1" applyFont="1" applyFill="1" applyBorder="1" applyAlignment="1">
      <alignment horizontal="center" vertical="center"/>
    </xf>
    <xf numFmtId="10" fontId="9" fillId="2" borderId="153" xfId="1" applyNumberFormat="1" applyFont="1" applyFill="1" applyBorder="1" applyAlignment="1">
      <alignment horizontal="center" vertical="center"/>
    </xf>
    <xf numFmtId="10" fontId="9" fillId="2" borderId="0" xfId="1" applyNumberFormat="1" applyFont="1" applyFill="1" applyBorder="1" applyAlignment="1">
      <alignment horizontal="center" vertical="center"/>
    </xf>
    <xf numFmtId="10" fontId="9" fillId="2" borderId="154" xfId="1" applyNumberFormat="1" applyFont="1" applyFill="1" applyBorder="1" applyAlignment="1">
      <alignment horizontal="center" vertical="center"/>
    </xf>
    <xf numFmtId="10" fontId="9" fillId="2" borderId="141" xfId="1" applyNumberFormat="1" applyFont="1" applyFill="1" applyBorder="1" applyAlignment="1">
      <alignment horizontal="center" vertical="center"/>
    </xf>
    <xf numFmtId="10" fontId="9" fillId="2" borderId="144" xfId="1" applyNumberFormat="1" applyFont="1" applyFill="1" applyBorder="1" applyAlignment="1">
      <alignment horizontal="center" vertical="center"/>
    </xf>
    <xf numFmtId="10" fontId="9" fillId="2" borderId="142" xfId="1" applyNumberFormat="1" applyFont="1" applyFill="1" applyBorder="1" applyAlignment="1">
      <alignment horizontal="center" vertical="center"/>
    </xf>
    <xf numFmtId="0" fontId="9" fillId="2" borderId="133" xfId="169" applyFont="1" applyFill="1" applyBorder="1" applyAlignment="1">
      <alignment horizontal="center" vertical="center"/>
    </xf>
    <xf numFmtId="0" fontId="9" fillId="106" borderId="134" xfId="169" applyFont="1" applyFill="1" applyBorder="1" applyAlignment="1">
      <alignment horizontal="center" vertical="center" wrapText="1"/>
    </xf>
    <xf numFmtId="0" fontId="9" fillId="106" borderId="135" xfId="169" applyFont="1" applyFill="1" applyBorder="1" applyAlignment="1">
      <alignment horizontal="center" vertical="center" wrapText="1"/>
    </xf>
    <xf numFmtId="0" fontId="10" fillId="7" borderId="295" xfId="169" applyFont="1" applyFill="1" applyBorder="1" applyAlignment="1">
      <alignment horizontal="center" vertical="center" wrapText="1"/>
    </xf>
    <xf numFmtId="0" fontId="10" fillId="7" borderId="149" xfId="169" applyFont="1" applyFill="1" applyBorder="1" applyAlignment="1">
      <alignment horizontal="center" vertical="center" wrapText="1"/>
    </xf>
    <xf numFmtId="0" fontId="10" fillId="7" borderId="152" xfId="169" applyFont="1" applyFill="1" applyBorder="1" applyAlignment="1">
      <alignment horizontal="center" vertical="center" wrapText="1"/>
    </xf>
    <xf numFmtId="0" fontId="30" fillId="0" borderId="0" xfId="0" applyFont="1"/>
    <xf numFmtId="0" fontId="241" fillId="0" borderId="0" xfId="0" applyFont="1"/>
    <xf numFmtId="0" fontId="98" fillId="24" borderId="0" xfId="21" applyFont="1" applyFill="1" applyAlignment="1">
      <alignment horizontal="center" vertical="center" wrapText="1"/>
    </xf>
    <xf numFmtId="0" fontId="68" fillId="0" borderId="0" xfId="21" applyFont="1" applyAlignment="1">
      <alignment horizontal="center" vertical="center" wrapText="1"/>
    </xf>
    <xf numFmtId="0" fontId="68" fillId="0" borderId="0" xfId="21" applyFont="1" applyAlignment="1">
      <alignment horizontal="center" vertical="center" wrapText="1"/>
    </xf>
    <xf numFmtId="0" fontId="68" fillId="0" borderId="0" xfId="21" applyFont="1" applyAlignment="1">
      <alignment horizontal="center" vertical="center"/>
    </xf>
    <xf numFmtId="0" fontId="99" fillId="0" borderId="0" xfId="0" applyFont="1" applyAlignment="1">
      <alignment horizontal="left" vertical="center" wrapText="1"/>
    </xf>
    <xf numFmtId="0" fontId="68" fillId="0" borderId="0" xfId="21" applyFont="1" applyAlignment="1">
      <alignment horizontal="left" vertical="center"/>
    </xf>
    <xf numFmtId="0" fontId="67" fillId="0" borderId="0" xfId="21" applyFont="1" applyAlignment="1">
      <alignment horizontal="center" vertical="center" wrapText="1"/>
    </xf>
    <xf numFmtId="0" fontId="82" fillId="7" borderId="20" xfId="0" applyFont="1" applyFill="1" applyBorder="1" applyAlignment="1">
      <alignment horizontal="center" vertical="center"/>
    </xf>
    <xf numFmtId="0" fontId="82" fillId="7" borderId="20" xfId="0" applyFont="1" applyFill="1" applyBorder="1" applyAlignment="1">
      <alignment vertical="center"/>
    </xf>
    <xf numFmtId="0" fontId="82" fillId="7" borderId="20" xfId="0" applyFont="1" applyFill="1" applyBorder="1" applyAlignment="1">
      <alignment horizontal="center" vertical="center" wrapText="1"/>
    </xf>
    <xf numFmtId="3" fontId="104" fillId="7" borderId="33" xfId="0" applyNumberFormat="1" applyFont="1" applyFill="1" applyBorder="1" applyAlignment="1">
      <alignment horizontal="center" vertical="center" wrapText="1"/>
    </xf>
    <xf numFmtId="3" fontId="104" fillId="7" borderId="21" xfId="0" applyNumberFormat="1" applyFont="1" applyFill="1" applyBorder="1" applyAlignment="1">
      <alignment horizontal="center" vertical="center" wrapText="1"/>
    </xf>
    <xf numFmtId="0" fontId="68" fillId="0" borderId="20" xfId="0" applyFont="1" applyBorder="1" applyAlignment="1">
      <alignment horizontal="center" vertical="center" wrapText="1"/>
    </xf>
    <xf numFmtId="0" fontId="68" fillId="0" borderId="20" xfId="0" applyFont="1" applyBorder="1" applyAlignment="1">
      <alignment vertical="center" wrapText="1"/>
    </xf>
    <xf numFmtId="0" fontId="68" fillId="0" borderId="20" xfId="0" applyFont="1" applyBorder="1" applyAlignment="1">
      <alignment horizontal="center" vertical="center"/>
    </xf>
    <xf numFmtId="0" fontId="144" fillId="0" borderId="0" xfId="0" applyFont="1" applyAlignment="1">
      <alignment vertical="center" wrapText="1"/>
    </xf>
    <xf numFmtId="0" fontId="68" fillId="0" borderId="33" xfId="0" applyFont="1" applyBorder="1" applyAlignment="1">
      <alignment horizontal="center" vertical="center"/>
    </xf>
    <xf numFmtId="0" fontId="68" fillId="2" borderId="20" xfId="0" applyFont="1" applyFill="1" applyBorder="1" applyAlignment="1">
      <alignment horizontal="center" vertical="center"/>
    </xf>
    <xf numFmtId="0" fontId="68" fillId="0" borderId="39" xfId="0" applyFont="1" applyBorder="1" applyAlignment="1">
      <alignment horizontal="center" vertical="center"/>
    </xf>
    <xf numFmtId="0" fontId="68" fillId="0" borderId="21" xfId="0" applyFont="1" applyBorder="1" applyAlignment="1">
      <alignment horizontal="center" vertical="center"/>
    </xf>
    <xf numFmtId="0" fontId="242" fillId="0" borderId="0" xfId="0" applyFont="1" applyAlignment="1">
      <alignment vertical="center"/>
    </xf>
    <xf numFmtId="0" fontId="242" fillId="12" borderId="0" xfId="0" applyFont="1" applyFill="1" applyAlignment="1">
      <alignment horizontal="left" vertical="center" wrapText="1"/>
    </xf>
    <xf numFmtId="0" fontId="0" fillId="0" borderId="0" xfId="0" applyAlignment="1">
      <alignment vertical="center"/>
    </xf>
    <xf numFmtId="0" fontId="0" fillId="0" borderId="0" xfId="0" applyAlignment="1">
      <alignment vertical="center" wrapText="1"/>
    </xf>
    <xf numFmtId="0" fontId="57" fillId="7" borderId="20" xfId="0" applyFont="1" applyFill="1" applyBorder="1" applyAlignment="1">
      <alignment horizontal="center" vertical="center" wrapText="1"/>
    </xf>
    <xf numFmtId="0" fontId="243" fillId="7" borderId="20" xfId="0" applyFont="1" applyFill="1" applyBorder="1" applyAlignment="1">
      <alignment horizontal="center" vertical="center" wrapText="1"/>
    </xf>
    <xf numFmtId="0" fontId="244" fillId="7" borderId="20" xfId="0" applyFont="1" applyFill="1" applyBorder="1" applyAlignment="1">
      <alignment horizontal="center" vertical="center" wrapText="1"/>
    </xf>
    <xf numFmtId="0" fontId="244" fillId="7" borderId="20" xfId="0" applyFont="1" applyFill="1" applyBorder="1" applyAlignment="1">
      <alignment horizontal="center" vertical="center" wrapText="1"/>
    </xf>
    <xf numFmtId="0" fontId="243" fillId="7" borderId="20" xfId="0" applyFont="1" applyFill="1" applyBorder="1" applyAlignment="1">
      <alignment horizontal="center" vertical="center" wrapText="1"/>
    </xf>
    <xf numFmtId="0" fontId="245" fillId="0" borderId="20" xfId="0" applyFont="1" applyBorder="1" applyAlignment="1">
      <alignment horizontal="center" vertical="center"/>
    </xf>
    <xf numFmtId="0" fontId="245" fillId="0" borderId="20" xfId="0" applyFont="1" applyBorder="1" applyAlignment="1">
      <alignment horizontal="left" vertical="center"/>
    </xf>
    <xf numFmtId="0" fontId="245" fillId="0" borderId="20" xfId="0" applyFont="1" applyBorder="1" applyAlignment="1">
      <alignment horizontal="left" vertical="center" wrapText="1"/>
    </xf>
    <xf numFmtId="0" fontId="245" fillId="0" borderId="20" xfId="0" applyFont="1" applyBorder="1" applyAlignment="1">
      <alignment horizontal="center" vertical="center" wrapText="1"/>
    </xf>
    <xf numFmtId="0" fontId="0" fillId="0" borderId="0" xfId="0" applyAlignment="1">
      <alignment horizontal="left" vertical="center"/>
    </xf>
    <xf numFmtId="0" fontId="119" fillId="7" borderId="22" xfId="0" applyFont="1" applyFill="1" applyBorder="1" applyAlignment="1">
      <alignment horizontal="center" vertical="center"/>
    </xf>
    <xf numFmtId="0" fontId="119" fillId="7" borderId="23" xfId="0" applyFont="1" applyFill="1" applyBorder="1" applyAlignment="1">
      <alignment horizontal="center" vertical="center"/>
    </xf>
    <xf numFmtId="0" fontId="119" fillId="7" borderId="24" xfId="0" applyFont="1" applyFill="1" applyBorder="1" applyAlignment="1">
      <alignment horizontal="center" vertical="center"/>
    </xf>
    <xf numFmtId="0" fontId="55" fillId="0" borderId="20" xfId="0" applyFont="1" applyBorder="1" applyAlignment="1">
      <alignment horizontal="left" vertical="center" wrapText="1"/>
    </xf>
    <xf numFmtId="0" fontId="55" fillId="0" borderId="20" xfId="0" applyFont="1" applyBorder="1" applyAlignment="1">
      <alignment horizontal="center" vertical="center" wrapText="1"/>
    </xf>
    <xf numFmtId="0" fontId="55" fillId="0" borderId="20" xfId="0" applyFont="1" applyBorder="1" applyAlignment="1">
      <alignment horizontal="center" vertical="center"/>
    </xf>
  </cellXfs>
  <cellStyles count="206">
    <cellStyle name="20% - Accent1" xfId="98" xr:uid="{00000000-0005-0000-0000-000000000000}"/>
    <cellStyle name="20% - Accent2" xfId="99" xr:uid="{00000000-0005-0000-0000-000001000000}"/>
    <cellStyle name="20% - Accent3" xfId="100" xr:uid="{00000000-0005-0000-0000-000002000000}"/>
    <cellStyle name="20% - Accent4" xfId="101" xr:uid="{00000000-0005-0000-0000-000003000000}"/>
    <cellStyle name="20% - Accent5" xfId="102" xr:uid="{00000000-0005-0000-0000-000004000000}"/>
    <cellStyle name="20% - Accent6" xfId="103" xr:uid="{00000000-0005-0000-0000-000005000000}"/>
    <cellStyle name="20% - Énfasis1" xfId="79" builtinId="30" customBuiltin="1"/>
    <cellStyle name="20% - Énfasis2" xfId="81" builtinId="34" customBuiltin="1"/>
    <cellStyle name="20% - Énfasis3" xfId="84" builtinId="38" customBuiltin="1"/>
    <cellStyle name="20% - Énfasis4" xfId="87" builtinId="42" customBuiltin="1"/>
    <cellStyle name="20% - Énfasis5" xfId="90" builtinId="46" customBuiltin="1"/>
    <cellStyle name="20% - Énfasis6" xfId="93" builtinId="50" customBuiltin="1"/>
    <cellStyle name="40% - Accent1" xfId="104" xr:uid="{00000000-0005-0000-0000-00000C000000}"/>
    <cellStyle name="40% - Accent2" xfId="105" xr:uid="{00000000-0005-0000-0000-00000D000000}"/>
    <cellStyle name="40% - Accent3" xfId="106" xr:uid="{00000000-0005-0000-0000-00000E000000}"/>
    <cellStyle name="40% - Accent4" xfId="107" xr:uid="{00000000-0005-0000-0000-00000F000000}"/>
    <cellStyle name="40% - Accent5" xfId="108" xr:uid="{00000000-0005-0000-0000-000010000000}"/>
    <cellStyle name="40% - Accent6" xfId="109" xr:uid="{00000000-0005-0000-0000-000011000000}"/>
    <cellStyle name="40% - Énfasis1" xfId="28" builtinId="31" customBuiltin="1"/>
    <cellStyle name="40% - Énfasis2" xfId="82" builtinId="35" customBuiltin="1"/>
    <cellStyle name="40% - Énfasis3" xfId="85" builtinId="39" customBuiltin="1"/>
    <cellStyle name="40% - Énfasis4" xfId="88" builtinId="43" customBuiltin="1"/>
    <cellStyle name="40% - Énfasis5" xfId="91" builtinId="47" customBuiltin="1"/>
    <cellStyle name="40% - Énfasis6" xfId="94" builtinId="51" customBuiltin="1"/>
    <cellStyle name="60% - Accent1" xfId="110" xr:uid="{00000000-0005-0000-0000-000018000000}"/>
    <cellStyle name="60% - Accent2" xfId="111" xr:uid="{00000000-0005-0000-0000-000019000000}"/>
    <cellStyle name="60% - Accent3" xfId="112" xr:uid="{00000000-0005-0000-0000-00001A000000}"/>
    <cellStyle name="60% - Accent4" xfId="113" xr:uid="{00000000-0005-0000-0000-00001B000000}"/>
    <cellStyle name="60% - Accent5" xfId="114" xr:uid="{00000000-0005-0000-0000-00001C000000}"/>
    <cellStyle name="60% - Accent6" xfId="115" xr:uid="{00000000-0005-0000-0000-00001D000000}"/>
    <cellStyle name="60% - Énfasis1 2" xfId="182" xr:uid="{00000000-0005-0000-0000-00001E000000}"/>
    <cellStyle name="60% - Énfasis2 2" xfId="183" xr:uid="{00000000-0005-0000-0000-00001F000000}"/>
    <cellStyle name="60% - Énfasis3 2" xfId="184" xr:uid="{00000000-0005-0000-0000-000020000000}"/>
    <cellStyle name="60% - Énfasis4 2" xfId="185" xr:uid="{00000000-0005-0000-0000-000021000000}"/>
    <cellStyle name="60% - Énfasis5" xfId="18" builtinId="48"/>
    <cellStyle name="60% - Énfasis5 2" xfId="186" xr:uid="{00000000-0005-0000-0000-000023000000}"/>
    <cellStyle name="60% - Énfasis6 2" xfId="187" xr:uid="{00000000-0005-0000-0000-000024000000}"/>
    <cellStyle name="Accent1" xfId="116" xr:uid="{00000000-0005-0000-0000-000025000000}"/>
    <cellStyle name="Accent2" xfId="117" xr:uid="{00000000-0005-0000-0000-000026000000}"/>
    <cellStyle name="Accent3" xfId="118" xr:uid="{00000000-0005-0000-0000-000027000000}"/>
    <cellStyle name="Accent4" xfId="119" xr:uid="{00000000-0005-0000-0000-000028000000}"/>
    <cellStyle name="Accent5" xfId="120" xr:uid="{00000000-0005-0000-0000-000029000000}"/>
    <cellStyle name="Accent6" xfId="121" xr:uid="{00000000-0005-0000-0000-00002A000000}"/>
    <cellStyle name="Bad" xfId="122" xr:uid="{00000000-0005-0000-0000-00002B000000}"/>
    <cellStyle name="Besuchter Hyperlink" xfId="123" xr:uid="{00000000-0005-0000-0000-00002C000000}"/>
    <cellStyle name="Bueno" xfId="68" builtinId="26" customBuiltin="1"/>
    <cellStyle name="Calculation" xfId="124" xr:uid="{00000000-0005-0000-0000-00002E000000}"/>
    <cellStyle name="Cálculo" xfId="72" builtinId="22" customBuiltin="1"/>
    <cellStyle name="Celda de comprobación" xfId="74" builtinId="23" customBuiltin="1"/>
    <cellStyle name="Celda vinculada" xfId="73" builtinId="24" customBuiltin="1"/>
    <cellStyle name="Check Cell" xfId="125" xr:uid="{00000000-0005-0000-0000-000032000000}"/>
    <cellStyle name="Comma" xfId="126" xr:uid="{00000000-0005-0000-0000-000033000000}"/>
    <cellStyle name="Comma 2" xfId="200" xr:uid="{9CC8A91F-C28F-41E9-B87A-DC2FFB01CBF3}"/>
    <cellStyle name="Currency" xfId="52" xr:uid="{00000000-0005-0000-0000-000034000000}"/>
    <cellStyle name="Currency 2" xfId="127" xr:uid="{00000000-0005-0000-0000-000035000000}"/>
    <cellStyle name="Date" xfId="128" xr:uid="{00000000-0005-0000-0000-000036000000}"/>
    <cellStyle name="Encabezado 1" xfId="64" builtinId="16" customBuiltin="1"/>
    <cellStyle name="Encabezado 4" xfId="67" builtinId="19" customBuiltin="1"/>
    <cellStyle name="Énfasis1" xfId="27" builtinId="29" customBuiltin="1"/>
    <cellStyle name="Énfasis2" xfId="80" builtinId="33" customBuiltin="1"/>
    <cellStyle name="Énfasis3" xfId="83" builtinId="37" customBuiltin="1"/>
    <cellStyle name="Énfasis4" xfId="86" builtinId="41" customBuiltin="1"/>
    <cellStyle name="Énfasis5" xfId="89" builtinId="45" customBuiltin="1"/>
    <cellStyle name="Énfasis6" xfId="92" builtinId="49" customBuiltin="1"/>
    <cellStyle name="Entrada" xfId="70" builtinId="20" customBuiltin="1"/>
    <cellStyle name="Euro" xfId="129" xr:uid="{00000000-0005-0000-0000-000040000000}"/>
    <cellStyle name="Explanatory Text" xfId="130" xr:uid="{00000000-0005-0000-0000-000041000000}"/>
    <cellStyle name="F2" xfId="131" xr:uid="{00000000-0005-0000-0000-000042000000}"/>
    <cellStyle name="F3" xfId="132" xr:uid="{00000000-0005-0000-0000-000043000000}"/>
    <cellStyle name="F4" xfId="133" xr:uid="{00000000-0005-0000-0000-000044000000}"/>
    <cellStyle name="F5" xfId="134" xr:uid="{00000000-0005-0000-0000-000045000000}"/>
    <cellStyle name="F6" xfId="135" xr:uid="{00000000-0005-0000-0000-000046000000}"/>
    <cellStyle name="F7" xfId="136" xr:uid="{00000000-0005-0000-0000-000047000000}"/>
    <cellStyle name="F8" xfId="137" xr:uid="{00000000-0005-0000-0000-000048000000}"/>
    <cellStyle name="Fixed" xfId="138" xr:uid="{00000000-0005-0000-0000-000049000000}"/>
    <cellStyle name="Good" xfId="139" xr:uid="{00000000-0005-0000-0000-00004A000000}"/>
    <cellStyle name="Heading 1" xfId="140" xr:uid="{00000000-0005-0000-0000-00004B000000}"/>
    <cellStyle name="Heading 2" xfId="141" xr:uid="{00000000-0005-0000-0000-00004C000000}"/>
    <cellStyle name="Heading 3" xfId="142" xr:uid="{00000000-0005-0000-0000-00004D000000}"/>
    <cellStyle name="Heading 4" xfId="143" xr:uid="{00000000-0005-0000-0000-00004E000000}"/>
    <cellStyle name="Heading1" xfId="144" xr:uid="{00000000-0005-0000-0000-00004F000000}"/>
    <cellStyle name="Heading2" xfId="145" xr:uid="{00000000-0005-0000-0000-000050000000}"/>
    <cellStyle name="Hipervínculo 2" xfId="178" xr:uid="{00000000-0005-0000-0000-000051000000}"/>
    <cellStyle name="Hipervínculo 4" xfId="39" xr:uid="{00000000-0005-0000-0000-000052000000}"/>
    <cellStyle name="Hipervínculo 5" xfId="49" xr:uid="{00000000-0005-0000-0000-000053000000}"/>
    <cellStyle name="Hyperlink" xfId="146" xr:uid="{00000000-0005-0000-0000-000054000000}"/>
    <cellStyle name="Incorrecto" xfId="69" builtinId="27" customBuiltin="1"/>
    <cellStyle name="Input" xfId="147" xr:uid="{00000000-0005-0000-0000-000056000000}"/>
    <cellStyle name="Linked Cell" xfId="148" xr:uid="{00000000-0005-0000-0000-000057000000}"/>
    <cellStyle name="Millares" xfId="14" builtinId="3"/>
    <cellStyle name="Millares [0] 2" xfId="149" xr:uid="{00000000-0005-0000-0000-000059000000}"/>
    <cellStyle name="Millares 10" xfId="95" xr:uid="{00000000-0005-0000-0000-00005A000000}"/>
    <cellStyle name="Millares 10 10" xfId="33" xr:uid="{00000000-0005-0000-0000-00005B000000}"/>
    <cellStyle name="Millares 10 2 2 2" xfId="35" xr:uid="{00000000-0005-0000-0000-00005C000000}"/>
    <cellStyle name="Millares 10 2 2 4" xfId="48" xr:uid="{00000000-0005-0000-0000-00005D000000}"/>
    <cellStyle name="Millares 10 4" xfId="32" xr:uid="{00000000-0005-0000-0000-00005E000000}"/>
    <cellStyle name="Millares 10 4 2" xfId="59" xr:uid="{00000000-0005-0000-0000-00005F000000}"/>
    <cellStyle name="Millares 10 4 4 2" xfId="38" xr:uid="{00000000-0005-0000-0000-000060000000}"/>
    <cellStyle name="Millares 10 4 5" xfId="47" xr:uid="{00000000-0005-0000-0000-000061000000}"/>
    <cellStyle name="Millares 11" xfId="205" xr:uid="{B9294E3E-4FDF-46DE-8222-FC936EB84995}"/>
    <cellStyle name="Millares 11 2 2" xfId="40" xr:uid="{00000000-0005-0000-0000-000062000000}"/>
    <cellStyle name="Millares 12" xfId="191" xr:uid="{981525CB-FB37-454D-B3A0-B1AE0912ADB9}"/>
    <cellStyle name="Millares 13" xfId="201" xr:uid="{E09CC93C-41A9-47C2-9189-F6C8FD10ED79}"/>
    <cellStyle name="Millares 14" xfId="203" xr:uid="{55DB0756-1984-4269-8B97-E80D7504B667}"/>
    <cellStyle name="Millares 15" xfId="202" xr:uid="{1C00F34C-C9E1-4269-9D74-19D096A93EC6}"/>
    <cellStyle name="Millares 16" xfId="192" xr:uid="{6E75E93F-5DDA-497B-90A6-4F0CD4FDC36F}"/>
    <cellStyle name="Millares 17" xfId="194" xr:uid="{D587B8E1-32EE-4817-98E2-FFED45AEB090}"/>
    <cellStyle name="Millares 18" xfId="55" xr:uid="{00000000-0005-0000-0000-000063000000}"/>
    <cellStyle name="Millares 18 3 2" xfId="56" xr:uid="{00000000-0005-0000-0000-000064000000}"/>
    <cellStyle name="Millares 19" xfId="198" xr:uid="{1C03A2A3-758F-4059-9FE6-7FCAE607E21D}"/>
    <cellStyle name="Millares 2" xfId="150" xr:uid="{00000000-0005-0000-0000-000065000000}"/>
    <cellStyle name="Millares 2 19 3" xfId="50" xr:uid="{00000000-0005-0000-0000-000066000000}"/>
    <cellStyle name="Millares 2 2" xfId="151" xr:uid="{00000000-0005-0000-0000-000067000000}"/>
    <cellStyle name="Millares 20" xfId="199" xr:uid="{2083C593-8A1A-4969-B74F-D726B6D1C218}"/>
    <cellStyle name="Millares 21" xfId="44" xr:uid="{00000000-0005-0000-0000-000068000000}"/>
    <cellStyle name="Millares 22" xfId="197" xr:uid="{02BD3B1D-8D6D-4572-A988-1405A5B1D9D6}"/>
    <cellStyle name="Millares 23" xfId="204" xr:uid="{FF6A10D4-A556-448B-B581-A7CD49A316D6}"/>
    <cellStyle name="Millares 24" xfId="195" xr:uid="{D91995A9-4E66-4B7B-9842-C71C80BD03F0}"/>
    <cellStyle name="Millares 3" xfId="152" xr:uid="{00000000-0005-0000-0000-000069000000}"/>
    <cellStyle name="Millares 3 3" xfId="179" xr:uid="{00000000-0005-0000-0000-00006A000000}"/>
    <cellStyle name="Millares 4" xfId="153" xr:uid="{00000000-0005-0000-0000-00006B000000}"/>
    <cellStyle name="Millares 5" xfId="154" xr:uid="{00000000-0005-0000-0000-00006C000000}"/>
    <cellStyle name="Millares 6" xfId="155" xr:uid="{00000000-0005-0000-0000-00006D000000}"/>
    <cellStyle name="Millares 7" xfId="156" xr:uid="{00000000-0005-0000-0000-00006E000000}"/>
    <cellStyle name="Millares 8" xfId="193" xr:uid="{B8B34EED-4F92-4C62-8E86-C6FE842338AC}"/>
    <cellStyle name="Millares 9" xfId="196" xr:uid="{078EFD6F-38DB-415A-A263-F788154E5C09}"/>
    <cellStyle name="Moneda 2" xfId="157" xr:uid="{00000000-0005-0000-0000-00006F000000}"/>
    <cellStyle name="Moneda 2 3" xfId="61" xr:uid="{00000000-0005-0000-0000-000070000000}"/>
    <cellStyle name="Moneda 2 3 3 2 3" xfId="62" xr:uid="{00000000-0005-0000-0000-000071000000}"/>
    <cellStyle name="Moneda 3" xfId="158" xr:uid="{00000000-0005-0000-0000-000072000000}"/>
    <cellStyle name="Neutral 2" xfId="181" xr:uid="{00000000-0005-0000-0000-000073000000}"/>
    <cellStyle name="Normal" xfId="0" builtinId="0"/>
    <cellStyle name="Normal 10" xfId="159" xr:uid="{00000000-0005-0000-0000-000075000000}"/>
    <cellStyle name="Normal 10 2 2" xfId="3" xr:uid="{00000000-0005-0000-0000-000076000000}"/>
    <cellStyle name="Normal 10 2 2 3" xfId="11" xr:uid="{00000000-0005-0000-0000-000077000000}"/>
    <cellStyle name="Normal 10 2 3" xfId="34" xr:uid="{00000000-0005-0000-0000-000078000000}"/>
    <cellStyle name="Normal 10 2 3 2" xfId="12" xr:uid="{00000000-0005-0000-0000-000079000000}"/>
    <cellStyle name="Normal 11 2" xfId="4" xr:uid="{00000000-0005-0000-0000-00007A000000}"/>
    <cellStyle name="Normal 11 2 2" xfId="26" xr:uid="{00000000-0005-0000-0000-00007B000000}"/>
    <cellStyle name="Normal 12 2 3" xfId="54" xr:uid="{00000000-0005-0000-0000-00007C000000}"/>
    <cellStyle name="Normal 14" xfId="96" xr:uid="{00000000-0005-0000-0000-00007D000000}"/>
    <cellStyle name="Normal 16 3" xfId="24" xr:uid="{00000000-0005-0000-0000-00007E000000}"/>
    <cellStyle name="Normal 17" xfId="31" xr:uid="{00000000-0005-0000-0000-00007F000000}"/>
    <cellStyle name="Normal 17 2" xfId="51" xr:uid="{00000000-0005-0000-0000-000080000000}"/>
    <cellStyle name="Normal 18 2 2" xfId="45" xr:uid="{00000000-0005-0000-0000-000081000000}"/>
    <cellStyle name="Normal 18 2 2 2" xfId="189" xr:uid="{00000000-0005-0000-0000-000082000000}"/>
    <cellStyle name="Normal 2" xfId="160" xr:uid="{00000000-0005-0000-0000-000083000000}"/>
    <cellStyle name="Normal 2 2" xfId="161" xr:uid="{00000000-0005-0000-0000-000084000000}"/>
    <cellStyle name="Normal 2 2 10" xfId="41" xr:uid="{00000000-0005-0000-0000-000085000000}"/>
    <cellStyle name="Normal 2 2 2" xfId="46" xr:uid="{00000000-0005-0000-0000-000086000000}"/>
    <cellStyle name="Normal 2 2 2 2" xfId="2" xr:uid="{00000000-0005-0000-0000-000087000000}"/>
    <cellStyle name="Normal 2 2 2 2 2" xfId="13" xr:uid="{00000000-0005-0000-0000-000088000000}"/>
    <cellStyle name="Normal 2 2 2 3" xfId="9" xr:uid="{00000000-0005-0000-0000-000089000000}"/>
    <cellStyle name="Normal 2 8 2" xfId="7" xr:uid="{00000000-0005-0000-0000-00008A000000}"/>
    <cellStyle name="Normal 2_10.0 Carretera Alto Cirialo - Analisis Gastos Generales" xfId="162" xr:uid="{00000000-0005-0000-0000-00008B000000}"/>
    <cellStyle name="Normal 22" xfId="97" xr:uid="{00000000-0005-0000-0000-00008C000000}"/>
    <cellStyle name="Normal 29 2 2" xfId="37" xr:uid="{00000000-0005-0000-0000-00008D000000}"/>
    <cellStyle name="Normal 3" xfId="15" xr:uid="{00000000-0005-0000-0000-00008E000000}"/>
    <cellStyle name="Normal 3 2" xfId="164" xr:uid="{00000000-0005-0000-0000-00008F000000}"/>
    <cellStyle name="Normal 3 2 2 2" xfId="21" xr:uid="{00000000-0005-0000-0000-000090000000}"/>
    <cellStyle name="Normal 3 3" xfId="165" xr:uid="{00000000-0005-0000-0000-000091000000}"/>
    <cellStyle name="Normal 3 4" xfId="163" xr:uid="{00000000-0005-0000-0000-000092000000}"/>
    <cellStyle name="Normal 3 5 2" xfId="8" xr:uid="{00000000-0005-0000-0000-000093000000}"/>
    <cellStyle name="Normal 3_Informaciòn Contraloria 1 Trim 2013" xfId="29" xr:uid="{00000000-0005-0000-0000-000094000000}"/>
    <cellStyle name="Normal 30 2" xfId="60" xr:uid="{00000000-0005-0000-0000-000095000000}"/>
    <cellStyle name="Normal 34" xfId="19" xr:uid="{00000000-0005-0000-0000-000096000000}"/>
    <cellStyle name="Normal 4" xfId="16" xr:uid="{00000000-0005-0000-0000-000097000000}"/>
    <cellStyle name="Normal 4 2" xfId="166" xr:uid="{00000000-0005-0000-0000-000098000000}"/>
    <cellStyle name="Normal 5" xfId="167" xr:uid="{00000000-0005-0000-0000-000099000000}"/>
    <cellStyle name="Normal 5 17" xfId="30" xr:uid="{00000000-0005-0000-0000-00009A000000}"/>
    <cellStyle name="Normal 6" xfId="17" xr:uid="{00000000-0005-0000-0000-00009B000000}"/>
    <cellStyle name="Normal 6 2 2 2" xfId="5" xr:uid="{00000000-0005-0000-0000-00009C000000}"/>
    <cellStyle name="Normal 7" xfId="168" xr:uid="{00000000-0005-0000-0000-00009D000000}"/>
    <cellStyle name="Normal 8" xfId="180" xr:uid="{00000000-0005-0000-0000-00009E000000}"/>
    <cellStyle name="Normal 9" xfId="169" xr:uid="{00000000-0005-0000-0000-00009F000000}"/>
    <cellStyle name="Normal 9 2" xfId="43" xr:uid="{00000000-0005-0000-0000-0000A0000000}"/>
    <cellStyle name="Normal_ATEND y ATENC 2009" xfId="20" xr:uid="{00000000-0005-0000-0000-0000A1000000}"/>
    <cellStyle name="Normal_CUADRO DE PROYECTO chacrampa" xfId="188" xr:uid="{00000000-0005-0000-0000-0000A2000000}"/>
    <cellStyle name="Notas" xfId="76" builtinId="10" customBuiltin="1"/>
    <cellStyle name="Note" xfId="170" xr:uid="{00000000-0005-0000-0000-0000A4000000}"/>
    <cellStyle name="Output" xfId="171" xr:uid="{00000000-0005-0000-0000-0000A5000000}"/>
    <cellStyle name="Percent" xfId="53" xr:uid="{00000000-0005-0000-0000-0000A6000000}"/>
    <cellStyle name="Percent 2" xfId="172" xr:uid="{00000000-0005-0000-0000-0000A7000000}"/>
    <cellStyle name="Porcentaje" xfId="1" builtinId="5"/>
    <cellStyle name="Porcentaje 10" xfId="25" xr:uid="{00000000-0005-0000-0000-0000A9000000}"/>
    <cellStyle name="Porcentaje 10 2" xfId="58" xr:uid="{00000000-0005-0000-0000-0000AA000000}"/>
    <cellStyle name="Porcentaje 10 2 3" xfId="190" xr:uid="{00000000-0005-0000-0000-0000AB000000}"/>
    <cellStyle name="Porcentaje 12 2" xfId="36" xr:uid="{00000000-0005-0000-0000-0000AC000000}"/>
    <cellStyle name="Porcentaje 2" xfId="173" xr:uid="{00000000-0005-0000-0000-0000AD000000}"/>
    <cellStyle name="Porcentaje 2 2" xfId="22" xr:uid="{00000000-0005-0000-0000-0000AE000000}"/>
    <cellStyle name="Porcentaje 2 2 2 2" xfId="23" xr:uid="{00000000-0005-0000-0000-0000AF000000}"/>
    <cellStyle name="Porcentaje 2 2 2 3" xfId="10" xr:uid="{00000000-0005-0000-0000-0000B0000000}"/>
    <cellStyle name="Porcentaje 2 2 3" xfId="57" xr:uid="{00000000-0005-0000-0000-0000B1000000}"/>
    <cellStyle name="Porcentual 10 5" xfId="6" xr:uid="{00000000-0005-0000-0000-0000B2000000}"/>
    <cellStyle name="Porcentual 2" xfId="174" xr:uid="{00000000-0005-0000-0000-0000B3000000}"/>
    <cellStyle name="Porcentual 2 2 2" xfId="42" xr:uid="{00000000-0005-0000-0000-0000B4000000}"/>
    <cellStyle name="Porcentual 3" xfId="175" xr:uid="{00000000-0005-0000-0000-0000B5000000}"/>
    <cellStyle name="Salida" xfId="71" builtinId="21" customBuiltin="1"/>
    <cellStyle name="Texto de advertencia" xfId="75" builtinId="11" customBuiltin="1"/>
    <cellStyle name="Texto explicativo" xfId="77" builtinId="53" customBuiltin="1"/>
    <cellStyle name="Title" xfId="176" xr:uid="{00000000-0005-0000-0000-0000B9000000}"/>
    <cellStyle name="Título" xfId="63" builtinId="15" customBuiltin="1"/>
    <cellStyle name="Título 2" xfId="65" builtinId="17" customBuiltin="1"/>
    <cellStyle name="Título 3" xfId="66" builtinId="18" customBuiltin="1"/>
    <cellStyle name="Total" xfId="78" builtinId="25" customBuiltin="1"/>
    <cellStyle name="Warning Text" xfId="177" xr:uid="{00000000-0005-0000-0000-0000BE000000}"/>
  </cellStyles>
  <dxfs count="56">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lor rgb="FF9C0006"/>
      </font>
      <fill>
        <patternFill>
          <bgColor rgb="FFFFC7CE"/>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s>
  <tableStyles count="0" defaultTableStyle="TableStyleMedium2" defaultPivotStyle="PivotStyleLight16"/>
  <colors>
    <mruColors>
      <color rgb="FF99FF66"/>
      <color rgb="FF009900"/>
      <color rgb="FF0000FF"/>
      <color rgb="FF0A0FE6"/>
      <color rgb="FF00CC99"/>
      <color rgb="FFCCFF66"/>
      <color rgb="FFF8D8F3"/>
      <color rgb="FFFFFFFF"/>
      <color rgb="FFCC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4.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0.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externalLink" Target="externalLinks/externalLink5.xml"/><Relationship Id="rId77" Type="http://schemas.openxmlformats.org/officeDocument/2006/relationships/externalLink" Target="externalLinks/externalLink1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8.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6.xml"/><Relationship Id="rId75"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1.xml"/><Relationship Id="rId73" Type="http://schemas.openxmlformats.org/officeDocument/2006/relationships/externalLink" Target="externalLinks/externalLink9.xml"/><Relationship Id="rId78" Type="http://schemas.openxmlformats.org/officeDocument/2006/relationships/externalLink" Target="externalLinks/externalLink14.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2.xml"/><Relationship Id="rId7" Type="http://schemas.openxmlformats.org/officeDocument/2006/relationships/worksheet" Target="worksheets/sheet7.xml"/><Relationship Id="rId71" Type="http://schemas.openxmlformats.org/officeDocument/2006/relationships/externalLink" Target="externalLinks/externalLink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Analisis de Sensibilidad a Precios Sociales - Variacion VACSN</a:t>
            </a:r>
          </a:p>
        </c:rich>
      </c:tx>
      <c:layout>
        <c:manualLayout>
          <c:xMode val="edge"/>
          <c:yMode val="edge"/>
          <c:x val="0.23845735686201311"/>
          <c:y val="3.5639230217330113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5.0000103741973001E-2"/>
          <c:y val="0.14302227792460195"/>
          <c:w val="0.82728396655336101"/>
          <c:h val="0.64705991677240826"/>
        </c:manualLayout>
      </c:layout>
      <c:scatterChart>
        <c:scatterStyle val="smoothMarker"/>
        <c:varyColors val="0"/>
        <c:ser>
          <c:idx val="0"/>
          <c:order val="0"/>
          <c:tx>
            <c:strRef>
              <c:f>'30 Sensibilidad'!$I$7</c:f>
              <c:strCache>
                <c:ptCount val="1"/>
                <c:pt idx="0">
                  <c:v>VACSN
Alternativa Única</c:v>
                </c:pt>
              </c:strCache>
            </c:strRef>
          </c:tx>
          <c:spPr>
            <a:ln w="19050" cap="rnd">
              <a:solidFill>
                <a:schemeClr val="accent2"/>
              </a:solidFill>
              <a:round/>
            </a:ln>
            <a:effectLst/>
          </c:spPr>
          <c:marker>
            <c:symbol val="circl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A0FE6"/>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xVal>
            <c:numRef>
              <c:f>'30 Sensibilidad'!$H$8:$H$18</c:f>
              <c:numCache>
                <c:formatCode>0%</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'30 Sensibilidad'!$I$8:$I$18</c:f>
              <c:numCache>
                <c:formatCode>#,##0</c:formatCode>
                <c:ptCount val="11"/>
                <c:pt idx="0">
                  <c:v>0</c:v>
                </c:pt>
                <c:pt idx="1">
                  <c:v>0</c:v>
                </c:pt>
                <c:pt idx="2">
                  <c:v>0</c:v>
                </c:pt>
                <c:pt idx="3">
                  <c:v>0</c:v>
                </c:pt>
                <c:pt idx="4">
                  <c:v>0</c:v>
                </c:pt>
                <c:pt idx="5" formatCode="#,##0.00">
                  <c:v>0</c:v>
                </c:pt>
                <c:pt idx="6">
                  <c:v>0</c:v>
                </c:pt>
                <c:pt idx="7">
                  <c:v>0</c:v>
                </c:pt>
                <c:pt idx="8">
                  <c:v>0</c:v>
                </c:pt>
                <c:pt idx="9">
                  <c:v>0</c:v>
                </c:pt>
                <c:pt idx="10">
                  <c:v>0</c:v>
                </c:pt>
              </c:numCache>
            </c:numRef>
          </c:yVal>
          <c:smooth val="1"/>
          <c:extLst>
            <c:ext xmlns:c16="http://schemas.microsoft.com/office/drawing/2014/chart" uri="{C3380CC4-5D6E-409C-BE32-E72D297353CC}">
              <c16:uniqueId val="{00000000-6516-4CBC-87FF-061118DF13D0}"/>
            </c:ext>
          </c:extLst>
        </c:ser>
        <c:ser>
          <c:idx val="1"/>
          <c:order val="1"/>
          <c:tx>
            <c:strRef>
              <c:f>'[13]20.- Sensibilidad'!$K$4</c:f>
              <c:strCache>
                <c:ptCount val="1"/>
              </c:strCache>
            </c:strRef>
          </c:tx>
          <c:spPr>
            <a:ln w="9525" cap="rnd">
              <a:solidFill>
                <a:schemeClr val="accent4"/>
              </a:solidFill>
              <a:round/>
            </a:ln>
            <a:effectLst/>
          </c:spPr>
          <c:marker>
            <c:symbol val="circle"/>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c:spPr>
          </c:marker>
          <c:xVal>
            <c:numRef>
              <c:f>'[13]20.- Sensibilidad'!$G$5:$G$15</c:f>
              <c:numCache>
                <c:formatCode>General</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'[13]20.- Sensibilidad'!$K$5:$K$15</c:f>
              <c:numCache>
                <c:formatCode>General</c:formatCode>
                <c:ptCount val="11"/>
              </c:numCache>
            </c:numRef>
          </c:yVal>
          <c:smooth val="1"/>
          <c:extLst>
            <c:ext xmlns:c16="http://schemas.microsoft.com/office/drawing/2014/chart" uri="{C3380CC4-5D6E-409C-BE32-E72D297353CC}">
              <c16:uniqueId val="{00000001-6516-4CBC-87FF-061118DF13D0}"/>
            </c:ext>
          </c:extLst>
        </c:ser>
        <c:dLbls>
          <c:showLegendKey val="0"/>
          <c:showVal val="0"/>
          <c:showCatName val="0"/>
          <c:showSerName val="0"/>
          <c:showPercent val="0"/>
          <c:showBubbleSize val="0"/>
        </c:dLbls>
        <c:axId val="261707992"/>
        <c:axId val="261708776"/>
      </c:scatterChart>
      <c:valAx>
        <c:axId val="261707992"/>
        <c:scaling>
          <c:orientation val="minMax"/>
        </c:scaling>
        <c:delete val="0"/>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solidFill>
              <a:schemeClr val="tx2">
                <a:lumMod val="40000"/>
                <a:lumOff val="60000"/>
              </a:schemeClr>
            </a:solid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61708776"/>
        <c:crosses val="autoZero"/>
        <c:crossBetween val="midCat"/>
      </c:valAx>
      <c:valAx>
        <c:axId val="261708776"/>
        <c:scaling>
          <c:orientation val="minMax"/>
        </c:scaling>
        <c:delete val="1"/>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r>
                  <a:rPr lang="es-PE"/>
                  <a:t>RATIO COSTO EFECTIVIDAD</a:t>
                </a:r>
              </a:p>
            </c:rich>
          </c:tx>
          <c:layout>
            <c:manualLayout>
              <c:xMode val="edge"/>
              <c:yMode val="edge"/>
              <c:x val="1.9167901042072711E-2"/>
              <c:y val="0.2332230789490414"/>
            </c:manualLayout>
          </c:layout>
          <c:overlay val="0"/>
          <c:spPr>
            <a:noFill/>
            <a:ln>
              <a:no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crossAx val="261707992"/>
        <c:crosses val="autoZero"/>
        <c:crossBetween val="midCat"/>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r>
              <a:rPr lang="es-PE" b="1">
                <a:solidFill>
                  <a:sysClr val="windowText" lastClr="000000"/>
                </a:solidFill>
              </a:rPr>
              <a:t>Analisis de Sensibilidad a Precios Sociales - Variacion</a:t>
            </a:r>
            <a:r>
              <a:rPr lang="es-PE" b="1" baseline="0">
                <a:solidFill>
                  <a:sysClr val="windowText" lastClr="000000"/>
                </a:solidFill>
              </a:rPr>
              <a:t> del CE</a:t>
            </a:r>
            <a:endParaRPr lang="es-PE" b="1">
              <a:solidFill>
                <a:sysClr val="windowText" lastClr="000000"/>
              </a:solidFill>
            </a:endParaRPr>
          </a:p>
        </c:rich>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5020835358543111E-2"/>
          <c:y val="0.12847295129775393"/>
          <c:w val="0.88395274872865359"/>
          <c:h val="0.63889105526752643"/>
        </c:manualLayout>
      </c:layout>
      <c:scatterChart>
        <c:scatterStyle val="smoothMarker"/>
        <c:varyColors val="0"/>
        <c:ser>
          <c:idx val="0"/>
          <c:order val="0"/>
          <c:tx>
            <c:strRef>
              <c:f>'30 Sensibilidad'!$E$7</c:f>
              <c:strCache>
                <c:ptCount val="1"/>
                <c:pt idx="0">
                  <c:v>CE Alternativa Única</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2.1492933821228551E-3"/>
                  <c:y val="1.8981481481481269E-3"/>
                </c:manualLayout>
              </c:layout>
              <c:tx>
                <c:rich>
                  <a:bodyPr/>
                  <a:lstStyle/>
                  <a:p>
                    <a:fld id="{EC84A9AA-4E0A-4F1D-9C82-BBF61FBD6738}" type="YVALUE">
                      <a:rPr lang="en-US"/>
                      <a:pPr/>
                      <a:t>[VALOR DE Y]</a:t>
                    </a:fld>
                    <a:endParaRPr lang="es-PE"/>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530-4FCE-BA42-AF65A5DD2855}"/>
                </c:ext>
              </c:extLst>
            </c:dLbl>
            <c:dLbl>
              <c:idx val="1"/>
              <c:delete val="1"/>
              <c:extLst>
                <c:ext xmlns:c15="http://schemas.microsoft.com/office/drawing/2012/chart" uri="{CE6537A1-D6FC-4f65-9D91-7224C49458BB}"/>
                <c:ext xmlns:c16="http://schemas.microsoft.com/office/drawing/2014/chart" uri="{C3380CC4-5D6E-409C-BE32-E72D297353CC}">
                  <c16:uniqueId val="{00000001-0530-4FCE-BA42-AF65A5DD2855}"/>
                </c:ext>
              </c:extLst>
            </c:dLbl>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'30 Sensibilidad'!$C$8:$C$18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Sensibilidad'!$E$8:$E$18</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yVal>
          <c:smooth val="1"/>
          <c:extLst>
            <c:ext xmlns:c16="http://schemas.microsoft.com/office/drawing/2014/chart" uri="{C3380CC4-5D6E-409C-BE32-E72D297353CC}">
              <c16:uniqueId val="{00000000-C82A-475A-8480-C35A0C7092C1}"/>
            </c:ext>
          </c:extLst>
        </c:ser>
        <c:ser>
          <c:idx val="1"/>
          <c:order val="1"/>
          <c:tx>
            <c:strRef>
              <c:f>'[13]20.- Sensibilidad'!$E$4</c:f>
              <c:strCache>
                <c:ptCount val="1"/>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'[13]20.- Sensibilidad'!$B$5:$B$15</c:f>
              <c:numCache>
                <c:formatCode>General</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'[13]20.- Sensibilidad'!$E$5:$E$15</c:f>
              <c:numCache>
                <c:formatCode>General</c:formatCode>
                <c:ptCount val="11"/>
              </c:numCache>
            </c:numRef>
          </c:yVal>
          <c:smooth val="1"/>
          <c:extLst>
            <c:ext xmlns:c16="http://schemas.microsoft.com/office/drawing/2014/chart" uri="{C3380CC4-5D6E-409C-BE32-E72D297353CC}">
              <c16:uniqueId val="{00000001-C82A-475A-8480-C35A0C7092C1}"/>
            </c:ext>
          </c:extLst>
        </c:ser>
        <c:dLbls>
          <c:dLblPos val="t"/>
          <c:showLegendKey val="0"/>
          <c:showVal val="1"/>
          <c:showCatName val="0"/>
          <c:showSerName val="0"/>
          <c:showPercent val="0"/>
          <c:showBubbleSize val="0"/>
        </c:dLbls>
        <c:axId val="293672264"/>
        <c:axId val="293674616"/>
      </c:scatterChart>
      <c:valAx>
        <c:axId val="293672264"/>
        <c:scaling>
          <c:orientation val="minMax"/>
          <c:max val="0.30000000000000004"/>
          <c:min val="-0.30000000000000004"/>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4616"/>
        <c:crosses val="autoZero"/>
        <c:crossBetween val="midCat"/>
      </c:valAx>
      <c:valAx>
        <c:axId val="293674616"/>
        <c:scaling>
          <c:orientation val="minMax"/>
          <c:min val="600000"/>
        </c:scaling>
        <c:delete val="1"/>
        <c:axPos val="l"/>
        <c:majorGridlines>
          <c:spPr>
            <a:ln w="9525" cap="flat" cmpd="sng" algn="ctr">
              <a:solidFill>
                <a:schemeClr val="bg1"/>
              </a:solidFill>
              <a:round/>
            </a:ln>
            <a:effectLst/>
          </c:spPr>
        </c:majorGridlines>
        <c:numFmt formatCode="#,##0.00" sourceLinked="1"/>
        <c:majorTickMark val="none"/>
        <c:minorTickMark val="none"/>
        <c:tickLblPos val="nextTo"/>
        <c:crossAx val="293672264"/>
        <c:crosses val="autoZero"/>
        <c:crossBetween val="midCat"/>
        <c:majorUnit val="10"/>
        <c:minorUnit val="1"/>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Sensibilidad de Alternativa Unica con Variación de VAC1</a:t>
            </a:r>
          </a:p>
        </c:rich>
      </c:tx>
      <c:layout>
        <c:manualLayout>
          <c:xMode val="edge"/>
          <c:yMode val="edge"/>
          <c:x val="0.24151402998915361"/>
          <c:y val="5.1543112666472247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17959197529330917"/>
          <c:y val="0.236729464372509"/>
          <c:w val="0.66574248408223424"/>
          <c:h val="0.54830446194225724"/>
        </c:manualLayout>
      </c:layout>
      <c:scatterChart>
        <c:scatterStyle val="lineMarker"/>
        <c:varyColors val="0"/>
        <c:ser>
          <c:idx val="0"/>
          <c:order val="0"/>
          <c:tx>
            <c:strRef>
              <c:f>'30 Sensibilidad'!$F$47</c:f>
              <c:strCache>
                <c:ptCount val="1"/>
                <c:pt idx="0">
                  <c:v>CE1</c:v>
                </c:pt>
              </c:strCache>
            </c:strRef>
          </c:tx>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000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'30 Sensibilidad'!$C$48:$C$58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Sensibilidad'!$F$48:$F$58</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2D02-4797-B5D1-9A2818A5DD6C}"/>
            </c:ext>
          </c:extLst>
        </c:ser>
        <c:dLbls>
          <c:dLblPos val="t"/>
          <c:showLegendKey val="0"/>
          <c:showVal val="1"/>
          <c:showCatName val="0"/>
          <c:showSerName val="0"/>
          <c:showPercent val="0"/>
          <c:showBubbleSize val="0"/>
        </c:dLbls>
        <c:axId val="293669128"/>
        <c:axId val="293671872"/>
      </c:scatterChart>
      <c:valAx>
        <c:axId val="293669128"/>
        <c:scaling>
          <c:orientation val="minMax"/>
          <c:max val="0.25"/>
          <c:min val="-0.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Variación % de VAC1</a:t>
                </a:r>
              </a:p>
            </c:rich>
          </c:tx>
          <c:layout>
            <c:manualLayout>
              <c:xMode val="edge"/>
              <c:yMode val="edge"/>
              <c:x val="0.38571466421586892"/>
              <c:y val="0.89938641003207931"/>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1872"/>
        <c:crosses val="autoZero"/>
        <c:crossBetween val="midCat"/>
        <c:majorUnit val="5.0000000000000017E-2"/>
      </c:valAx>
      <c:valAx>
        <c:axId val="293671872"/>
        <c:scaling>
          <c:orientation val="minMax"/>
          <c:max val="70"/>
          <c:min val="10"/>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Ratio de CE</a:t>
                </a:r>
              </a:p>
            </c:rich>
          </c:tx>
          <c:layout>
            <c:manualLayout>
              <c:xMode val="edge"/>
              <c:yMode val="edge"/>
              <c:x val="3.2653061224489806E-2"/>
              <c:y val="0.3458346456692920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0" sourceLinked="1"/>
        <c:majorTickMark val="none"/>
        <c:minorTickMark val="none"/>
        <c:tickLblPos val="nextTo"/>
        <c:crossAx val="293669128"/>
        <c:crosses val="autoZero"/>
        <c:crossBetween val="midCat"/>
        <c:majorUnit val="10"/>
        <c:minorUnit val="1"/>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211" r="0.75000000000000211" t="1"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r>
              <a:rPr lang="en-US"/>
              <a:t>ANALISIS DE SENSIBILIDAD POR VARIACION EN COSTOS DE OPER. Y MANT.</a:t>
            </a:r>
          </a:p>
        </c:rich>
      </c:tx>
      <c:overlay val="0"/>
      <c:spPr>
        <a:noFill/>
        <a:ln>
          <a:noFill/>
        </a:ln>
        <a:effectLst/>
      </c:spPr>
      <c:txPr>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33087530725326E-2"/>
          <c:y val="0.15175545661752127"/>
          <c:w val="0.88986060075823858"/>
          <c:h val="0.64545008329596187"/>
        </c:manualLayout>
      </c:layout>
      <c:scatterChart>
        <c:scatterStyle val="lineMarker"/>
        <c:varyColors val="0"/>
        <c:ser>
          <c:idx val="0"/>
          <c:order val="0"/>
          <c:tx>
            <c:strRef>
              <c:f>'30 Sensibilidad'!$E$63:$E$64</c:f>
              <c:strCache>
                <c:ptCount val="2"/>
                <c:pt idx="0">
                  <c:v>VACT</c:v>
                </c:pt>
              </c:strCache>
            </c:strRef>
          </c:tx>
          <c:spPr>
            <a:ln w="22225" cap="rnd">
              <a:solidFill>
                <a:srgbClr val="0A0FE6"/>
              </a:solidFill>
            </a:ln>
            <a:effectLst/>
          </c:spPr>
          <c:marker>
            <c:symbol val="circle"/>
            <c:size val="3"/>
            <c:spPr>
              <a:solidFill>
                <a:schemeClr val="accent1">
                  <a:lumMod val="60000"/>
                  <a:lumOff val="4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numRef>
              <c:f>'30 Sensibilidad'!$C$65:$C$81</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formatCode="0%">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Sensibilidad'!$F$65:$F$81</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C6B4-4E9A-AF23-052A7D20D839}"/>
            </c:ext>
          </c:extLst>
        </c:ser>
        <c:dLbls>
          <c:showLegendKey val="0"/>
          <c:showVal val="0"/>
          <c:showCatName val="0"/>
          <c:showSerName val="0"/>
          <c:showPercent val="0"/>
          <c:showBubbleSize val="0"/>
        </c:dLbls>
        <c:axId val="293671088"/>
        <c:axId val="293671480"/>
      </c:scatterChart>
      <c:valAx>
        <c:axId val="293671088"/>
        <c:scaling>
          <c:orientation val="minMax"/>
          <c:max val="1.23"/>
          <c:min val="0.77"/>
        </c:scaling>
        <c:delete val="0"/>
        <c:axPos val="b"/>
        <c:majorGridlines>
          <c:spPr>
            <a:ln w="9525" cap="flat" cmpd="sng" algn="ctr">
              <a:solidFill>
                <a:schemeClr val="dk1">
                  <a:lumMod val="65000"/>
                  <a:lumOff val="35000"/>
                  <a:alpha val="75000"/>
                </a:schemeClr>
              </a:solidFill>
              <a:round/>
            </a:ln>
            <a:effectLst/>
          </c:spPr>
        </c:majorGridlines>
        <c:numFmt formatCode="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1480"/>
        <c:crosses val="autoZero"/>
        <c:crossBetween val="midCat"/>
        <c:majorUnit val="5.0000000000000017E-2"/>
      </c:valAx>
      <c:valAx>
        <c:axId val="293671480"/>
        <c:scaling>
          <c:orientation val="minMax"/>
          <c:max val="60"/>
          <c:min val="30"/>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10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no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ANALISIS DE SENSIBILIDAD POR VARIACION COSTOS DE INVERSION</a:t>
            </a:r>
          </a:p>
        </c:rich>
      </c:tx>
      <c:overlay val="0"/>
      <c:spPr>
        <a:noFill/>
        <a:ln>
          <a:noFill/>
        </a:ln>
        <a:effectLst/>
      </c:spPr>
    </c:title>
    <c:autoTitleDeleted val="0"/>
    <c:plotArea>
      <c:layout>
        <c:manualLayout>
          <c:layoutTarget val="inner"/>
          <c:xMode val="edge"/>
          <c:yMode val="edge"/>
          <c:x val="0.10900416859657248"/>
          <c:y val="0.12308067874494412"/>
          <c:w val="0.8338009623797028"/>
          <c:h val="0.72088764946048423"/>
        </c:manualLayout>
      </c:layout>
      <c:scatterChart>
        <c:scatterStyle val="lineMarker"/>
        <c:varyColors val="0"/>
        <c:ser>
          <c:idx val="0"/>
          <c:order val="0"/>
          <c:tx>
            <c:strRef>
              <c:f>'30 Sensibilidad'!$F$85:$G$85</c:f>
              <c:strCache>
                <c:ptCount val="1"/>
                <c:pt idx="0">
                  <c:v>Alternativa Unica</c:v>
                </c:pt>
              </c:strCache>
            </c:strRef>
          </c:tx>
          <c:marker>
            <c:symbol val="circle"/>
            <c:size val="5"/>
            <c:spPr>
              <a:solidFill>
                <a:schemeClr val="accent1"/>
              </a:solidFill>
              <a:ln w="9525">
                <a:solidFill>
                  <a:schemeClr val="accent1"/>
                </a:solidFill>
              </a:ln>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xVal>
            <c:numRef>
              <c:f>'30 Sensibilidad'!$C$87:$C$103</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Sensibilidad'!$G$87:$G$103</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8FFD-455F-86B4-A1B878584AAC}"/>
            </c:ext>
          </c:extLst>
        </c:ser>
        <c:dLbls>
          <c:showLegendKey val="0"/>
          <c:showVal val="0"/>
          <c:showCatName val="0"/>
          <c:showSerName val="0"/>
          <c:showPercent val="0"/>
          <c:showBubbleSize val="0"/>
        </c:dLbls>
        <c:axId val="293673440"/>
        <c:axId val="293676184"/>
      </c:scatterChart>
      <c:valAx>
        <c:axId val="293673440"/>
        <c:scaling>
          <c:orientation val="minMax"/>
          <c:max val="1.23"/>
          <c:min val="0.77"/>
        </c:scaling>
        <c:delete val="0"/>
        <c:axPos val="b"/>
        <c:majorGridlines>
          <c:spPr>
            <a:ln w="9525" cap="flat" cmpd="sng" algn="ctr">
              <a:no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93676184"/>
        <c:crosses val="autoZero"/>
        <c:crossBetween val="midCat"/>
        <c:majorUnit val="5.0000000000000017E-2"/>
      </c:valAx>
      <c:valAx>
        <c:axId val="293676184"/>
        <c:scaling>
          <c:orientation val="minMax"/>
          <c:max val="60"/>
          <c:min val="3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93673440"/>
        <c:crosses val="autoZero"/>
        <c:crossBetween val="midCat"/>
        <c:majorUnit val="5"/>
      </c:valAx>
      <c:spPr>
        <a:noFill/>
        <a:ln>
          <a:noFill/>
        </a:ln>
        <a:effectLst/>
      </c:spPr>
    </c:plotArea>
    <c:legend>
      <c:legendPos val="b"/>
      <c:overlay val="0"/>
    </c:legend>
    <c:plotVisOnly val="1"/>
    <c:dispBlanksAs val="gap"/>
    <c:showDLblsOverMax val="0"/>
  </c:chart>
  <c:spPr>
    <a:noFill/>
    <a:ln w="9525" cap="flat" cmpd="sng" algn="ctr">
      <a:solidFill>
        <a:srgbClr val="0070C0"/>
      </a:solidFill>
      <a:round/>
    </a:ln>
    <a:effectLst/>
  </c:spPr>
  <c:txPr>
    <a:bodyPr/>
    <a:lstStyle/>
    <a:p>
      <a:pPr>
        <a:defRPr sz="8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r>
              <a:rPr lang="en-US"/>
              <a:t>EVOLUCIÓN PIA 2014 - 2018</a:t>
            </a:r>
          </a:p>
        </c:rich>
      </c:tx>
      <c:layout>
        <c:manualLayout>
          <c:xMode val="edge"/>
          <c:yMode val="edge"/>
          <c:x val="0.27924959771209251"/>
          <c:y val="2.2522522522522525E-2"/>
        </c:manualLayout>
      </c:layout>
      <c:overlay val="0"/>
      <c:spPr>
        <a:noFill/>
        <a:ln>
          <a:noFill/>
        </a:ln>
        <a:effectLst/>
      </c:spPr>
      <c:txPr>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332008964495484"/>
          <c:y val="0.16320434607836187"/>
          <c:w val="0.62978664199926293"/>
          <c:h val="0.45007537064623676"/>
        </c:manualLayout>
      </c:layout>
      <c:lineChart>
        <c:grouping val="standard"/>
        <c:varyColors val="0"/>
        <c:ser>
          <c:idx val="0"/>
          <c:order val="0"/>
          <c:tx>
            <c:strRef>
              <c:f>'PIA-PIM'!$B$50</c:f>
              <c:strCache>
                <c:ptCount val="1"/>
                <c:pt idx="0">
                  <c:v>442: GOBIERNO REGIONAL APURÍMAC </c:v>
                </c:pt>
              </c:strCache>
            </c:strRef>
          </c:tx>
          <c:spPr>
            <a:ln w="19050" cap="rnd" cmpd="sng" algn="ctr">
              <a:solidFill>
                <a:schemeClr val="accent1"/>
              </a:solidFill>
              <a:prstDash val="solid"/>
              <a:round/>
            </a:ln>
            <a:effectLst/>
          </c:spPr>
          <c:marker>
            <c:symbol val="circle"/>
            <c:size val="5"/>
            <c:spPr>
              <a:solidFill>
                <a:schemeClr val="accent1"/>
              </a:solidFill>
              <a:ln w="6350" cap="flat" cmpd="sng" algn="ctr">
                <a:solidFill>
                  <a:schemeClr val="accent1"/>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'PIA-PIM'!$C$50:$G$50</c:f>
              <c:numCache>
                <c:formatCode>#,##0</c:formatCode>
                <c:ptCount val="5"/>
                <c:pt idx="0">
                  <c:v>655670470</c:v>
                </c:pt>
                <c:pt idx="1">
                  <c:v>679028569</c:v>
                </c:pt>
                <c:pt idx="2">
                  <c:v>615506922</c:v>
                </c:pt>
                <c:pt idx="3">
                  <c:v>658824559</c:v>
                </c:pt>
                <c:pt idx="4">
                  <c:v>769256840</c:v>
                </c:pt>
              </c:numCache>
            </c:numRef>
          </c:val>
          <c:smooth val="0"/>
          <c:extLst>
            <c:ext xmlns:c16="http://schemas.microsoft.com/office/drawing/2014/chart" uri="{C3380CC4-5D6E-409C-BE32-E72D297353CC}">
              <c16:uniqueId val="{00000000-F6C9-4C44-9A17-530E4818F5D5}"/>
            </c:ext>
          </c:extLst>
        </c:ser>
        <c:ser>
          <c:idx val="1"/>
          <c:order val="1"/>
          <c:tx>
            <c:strRef>
              <c:f>'PIA-PIM'!$B$51</c:f>
              <c:strCache>
                <c:ptCount val="1"/>
                <c:pt idx="0">
                  <c:v>EJECUTORA DE SALUD - REGIÓN APURÍMAC </c:v>
                </c:pt>
              </c:strCache>
            </c:strRef>
          </c:tx>
          <c:spPr>
            <a:ln w="19050" cap="rnd" cmpd="sng" algn="ctr">
              <a:solidFill>
                <a:schemeClr val="accent2"/>
              </a:solidFill>
              <a:prstDash val="solid"/>
              <a:round/>
            </a:ln>
            <a:effectLst/>
          </c:spPr>
          <c:marker>
            <c:symbol val="circle"/>
            <c:size val="5"/>
            <c:spPr>
              <a:solidFill>
                <a:schemeClr val="accent2"/>
              </a:solidFill>
              <a:ln w="6350" cap="flat" cmpd="sng" algn="ctr">
                <a:solidFill>
                  <a:schemeClr val="accent2"/>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'PIA-PIM'!$C$51:$G$51</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1-F6C9-4C44-9A17-530E4818F5D5}"/>
            </c:ext>
          </c:extLst>
        </c:ser>
        <c:dLbls>
          <c:showLegendKey val="0"/>
          <c:showVal val="0"/>
          <c:showCatName val="0"/>
          <c:showSerName val="0"/>
          <c:showPercent val="0"/>
          <c:showBubbleSize val="0"/>
        </c:dLbls>
        <c:marker val="1"/>
        <c:smooth val="0"/>
        <c:axId val="293674224"/>
        <c:axId val="293675400"/>
      </c:lineChart>
      <c:catAx>
        <c:axId val="29367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93675400"/>
        <c:crosses val="autoZero"/>
        <c:auto val="1"/>
        <c:lblAlgn val="ctr"/>
        <c:lblOffset val="100"/>
        <c:noMultiLvlLbl val="0"/>
      </c:catAx>
      <c:valAx>
        <c:axId val="293675400"/>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0" sourceLinked="1"/>
        <c:majorTickMark val="none"/>
        <c:minorTickMark val="none"/>
        <c:tickLblPos val="low"/>
        <c:spPr>
          <a:noFill/>
          <a:ln w="6350" cap="flat" cmpd="sng" algn="ctr">
            <a:no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93674224"/>
        <c:crosses val="autoZero"/>
        <c:crossBetween val="between"/>
      </c:valAx>
      <c:dTable>
        <c:showHorzBorder val="1"/>
        <c:showVertBorder val="1"/>
        <c:showOutline val="1"/>
        <c:showKeys val="1"/>
        <c:spPr>
          <a:noFill/>
          <a:ln w="9525" cap="flat" cmpd="sng" algn="ctr">
            <a:solidFill>
              <a:schemeClr val="tx1">
                <a:lumMod val="15000"/>
                <a:lumOff val="85000"/>
              </a:schemeClr>
            </a:solidFill>
            <a:prstDash val="solid"/>
            <a:round/>
          </a:ln>
          <a:effectLst/>
        </c:spPr>
        <c:txPr>
          <a:bodyPr rot="0" spcFirstLastPara="1" vertOverflow="ellipsis" vert="horz" wrap="square" anchor="ctr" anchorCtr="1"/>
          <a:lstStyle/>
          <a:p>
            <a:pPr rtl="0">
              <a:defRPr sz="1200" b="0" i="0" u="none" strike="noStrike" kern="1200" baseline="0">
                <a:solidFill>
                  <a:schemeClr val="tx1"/>
                </a:solidFill>
                <a:latin typeface="Arial Narrow" panose="020B0606020202030204" pitchFamily="34" charset="0"/>
                <a:ea typeface="+mn-ea"/>
                <a:cs typeface="+mn-cs"/>
              </a:defRPr>
            </a:pPr>
            <a:endParaRPr lang="es-PE"/>
          </a:p>
        </c:txPr>
      </c:dTable>
      <c:spPr>
        <a:noFill/>
        <a:ln>
          <a:noFill/>
        </a:ln>
        <a:effectLst/>
      </c:spPr>
    </c:plotArea>
    <c:plotVisOnly val="1"/>
    <c:dispBlanksAs val="zero"/>
    <c:showDLblsOverMax val="0"/>
  </c:chart>
  <c:spPr>
    <a:solidFill>
      <a:schemeClr val="bg1"/>
    </a:solidFill>
    <a:ln w="9525" cap="flat" cmpd="sng" algn="ctr">
      <a:solidFill>
        <a:srgbClr val="0070C0"/>
      </a:solidFill>
      <a:prstDash val="solid"/>
      <a:round/>
    </a:ln>
    <a:effectLst/>
  </c:spPr>
  <c:txPr>
    <a:bodyPr/>
    <a:lstStyle/>
    <a:p>
      <a:pPr>
        <a:defRPr sz="12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PIA 2014 - 2018 EJECUTORAS DE SALUD PLIEGO REGIÓN APURÍMAC</a:t>
            </a:r>
          </a:p>
        </c:rich>
      </c:tx>
      <c:layout>
        <c:manualLayout>
          <c:xMode val="edge"/>
          <c:yMode val="edge"/>
          <c:x val="0.23811877141980181"/>
          <c:y val="3.594860219398016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1"/>
          <c:tx>
            <c:strRef>
              <c:f>'PIA-PIM'!$B$62</c:f>
              <c:strCache>
                <c:ptCount val="1"/>
                <c:pt idx="0">
                  <c:v>400-755: REGION APURIMAC-SALUD APURIMAC</c:v>
                </c:pt>
              </c:strCache>
            </c:strRef>
          </c:tx>
          <c:spPr>
            <a:solidFill>
              <a:schemeClr val="accent1"/>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'PIA-PIM'!$C$62:$G$62</c:f>
              <c:numCache>
                <c:formatCode>#,##0</c:formatCode>
                <c:ptCount val="5"/>
                <c:pt idx="0">
                  <c:v>21777232</c:v>
                </c:pt>
                <c:pt idx="1">
                  <c:v>17669294</c:v>
                </c:pt>
                <c:pt idx="2">
                  <c:v>17606224</c:v>
                </c:pt>
                <c:pt idx="3">
                  <c:v>17629917</c:v>
                </c:pt>
                <c:pt idx="4">
                  <c:v>18664291</c:v>
                </c:pt>
              </c:numCache>
            </c:numRef>
          </c:val>
          <c:extLst>
            <c:ext xmlns:c16="http://schemas.microsoft.com/office/drawing/2014/chart" uri="{C3380CC4-5D6E-409C-BE32-E72D297353CC}">
              <c16:uniqueId val="{00000000-181D-4DFE-9CE2-20986294F6AD}"/>
            </c:ext>
          </c:extLst>
        </c:ser>
        <c:ser>
          <c:idx val="2"/>
          <c:order val="2"/>
          <c:tx>
            <c:strRef>
              <c:f>'PIA-PIM'!$B$63</c:f>
              <c:strCache>
                <c:ptCount val="1"/>
                <c:pt idx="0">
                  <c:v>401-756: REGION APURIMAC-SALUD CHANKA</c:v>
                </c:pt>
              </c:strCache>
            </c:strRef>
          </c:tx>
          <c:spPr>
            <a:solidFill>
              <a:schemeClr val="accent2"/>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'PIA-PIM'!$C$63:$G$63</c:f>
              <c:numCache>
                <c:formatCode>#,##0</c:formatCode>
                <c:ptCount val="5"/>
                <c:pt idx="0">
                  <c:v>26106354</c:v>
                </c:pt>
                <c:pt idx="1">
                  <c:v>27003255</c:v>
                </c:pt>
                <c:pt idx="2">
                  <c:v>30355843</c:v>
                </c:pt>
                <c:pt idx="3">
                  <c:v>34839606</c:v>
                </c:pt>
                <c:pt idx="4">
                  <c:v>37385473</c:v>
                </c:pt>
              </c:numCache>
            </c:numRef>
          </c:val>
          <c:extLst>
            <c:ext xmlns:c16="http://schemas.microsoft.com/office/drawing/2014/chart" uri="{C3380CC4-5D6E-409C-BE32-E72D297353CC}">
              <c16:uniqueId val="{00000001-181D-4DFE-9CE2-20986294F6AD}"/>
            </c:ext>
          </c:extLst>
        </c:ser>
        <c:ser>
          <c:idx val="3"/>
          <c:order val="3"/>
          <c:tx>
            <c:strRef>
              <c:f>'PIA-PIM'!$B$64</c:f>
              <c:strCache>
                <c:ptCount val="1"/>
                <c:pt idx="0">
                  <c:v>402-1037: REGION APURIMAC-HOSPITAL GUILLERMO DIAZ DE LA VEGA-ABANCAY</c:v>
                </c:pt>
              </c:strCache>
            </c:strRef>
          </c:tx>
          <c:spPr>
            <a:solidFill>
              <a:schemeClr val="accent3"/>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'PIA-PIM'!$C$64:$G$64</c:f>
              <c:numCache>
                <c:formatCode>#,##0</c:formatCode>
                <c:ptCount val="5"/>
                <c:pt idx="0">
                  <c:v>18516722</c:v>
                </c:pt>
                <c:pt idx="1">
                  <c:v>21432361</c:v>
                </c:pt>
                <c:pt idx="2">
                  <c:v>23523473</c:v>
                </c:pt>
                <c:pt idx="3">
                  <c:v>25681863</c:v>
                </c:pt>
                <c:pt idx="4">
                  <c:v>27045790</c:v>
                </c:pt>
              </c:numCache>
            </c:numRef>
          </c:val>
          <c:extLst>
            <c:ext xmlns:c16="http://schemas.microsoft.com/office/drawing/2014/chart" uri="{C3380CC4-5D6E-409C-BE32-E72D297353CC}">
              <c16:uniqueId val="{00000002-181D-4DFE-9CE2-20986294F6AD}"/>
            </c:ext>
          </c:extLst>
        </c:ser>
        <c:ser>
          <c:idx val="4"/>
          <c:order val="4"/>
          <c:tx>
            <c:strRef>
              <c:f>'PIA-PIM'!$B$65</c:f>
              <c:strCache>
                <c:ptCount val="1"/>
                <c:pt idx="0">
                  <c:v>403-1038: REGION APURIMAC-HOSPITAL SUBREGIONAL DE ANDAHUAYLAS</c:v>
                </c:pt>
              </c:strCache>
            </c:strRef>
          </c:tx>
          <c:spPr>
            <a:solidFill>
              <a:schemeClr val="accent4"/>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'PIA-PIM'!$C$65:$G$65</c:f>
              <c:numCache>
                <c:formatCode>#,##0</c:formatCode>
                <c:ptCount val="5"/>
                <c:pt idx="0">
                  <c:v>19519525</c:v>
                </c:pt>
                <c:pt idx="1">
                  <c:v>22974878</c:v>
                </c:pt>
                <c:pt idx="2">
                  <c:v>23332118</c:v>
                </c:pt>
                <c:pt idx="3">
                  <c:v>25244070</c:v>
                </c:pt>
                <c:pt idx="4">
                  <c:v>25591834</c:v>
                </c:pt>
              </c:numCache>
            </c:numRef>
          </c:val>
          <c:extLst>
            <c:ext xmlns:c16="http://schemas.microsoft.com/office/drawing/2014/chart" uri="{C3380CC4-5D6E-409C-BE32-E72D297353CC}">
              <c16:uniqueId val="{00000003-181D-4DFE-9CE2-20986294F6AD}"/>
            </c:ext>
          </c:extLst>
        </c:ser>
        <c:ser>
          <c:idx val="5"/>
          <c:order val="5"/>
          <c:tx>
            <c:strRef>
              <c:f>'PIA-PIM'!$B$66</c:f>
              <c:strCache>
                <c:ptCount val="1"/>
                <c:pt idx="0">
                  <c:v>404-1497: GOB. REG. APURIMAC - RED DE SALUD VIRGEN DE COCHARCAS</c:v>
                </c:pt>
              </c:strCache>
            </c:strRef>
          </c:tx>
          <c:spPr>
            <a:solidFill>
              <a:schemeClr val="accent5"/>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'PIA-PIM'!$C$66:$G$66</c:f>
              <c:numCache>
                <c:formatCode>#,##0</c:formatCode>
                <c:ptCount val="5"/>
                <c:pt idx="0">
                  <c:v>5867308</c:v>
                </c:pt>
                <c:pt idx="1">
                  <c:v>7643658</c:v>
                </c:pt>
                <c:pt idx="2">
                  <c:v>9179651</c:v>
                </c:pt>
                <c:pt idx="3">
                  <c:v>12447243</c:v>
                </c:pt>
                <c:pt idx="4">
                  <c:v>14865511</c:v>
                </c:pt>
              </c:numCache>
            </c:numRef>
          </c:val>
          <c:extLst>
            <c:ext xmlns:c16="http://schemas.microsoft.com/office/drawing/2014/chart" uri="{C3380CC4-5D6E-409C-BE32-E72D297353CC}">
              <c16:uniqueId val="{00000004-181D-4DFE-9CE2-20986294F6AD}"/>
            </c:ext>
          </c:extLst>
        </c:ser>
        <c:ser>
          <c:idx val="6"/>
          <c:order val="6"/>
          <c:tx>
            <c:strRef>
              <c:f>'PIA-PIM'!$B$67</c:f>
              <c:strCache>
                <c:ptCount val="1"/>
                <c:pt idx="0">
                  <c:v>405-1498: GOB. REG. APURIMAC - RED DE SALUD ABANCAY</c:v>
                </c:pt>
              </c:strCache>
            </c:strRef>
          </c:tx>
          <c:spPr>
            <a:solidFill>
              <a:schemeClr val="accent6"/>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'PIA-PIM'!$C$67:$G$67</c:f>
              <c:numCache>
                <c:formatCode>#,##0</c:formatCode>
                <c:ptCount val="5"/>
                <c:pt idx="0">
                  <c:v>10954566</c:v>
                </c:pt>
                <c:pt idx="1">
                  <c:v>16311926</c:v>
                </c:pt>
                <c:pt idx="2">
                  <c:v>18240431</c:v>
                </c:pt>
                <c:pt idx="3">
                  <c:v>23410395</c:v>
                </c:pt>
                <c:pt idx="4">
                  <c:v>27045521</c:v>
                </c:pt>
              </c:numCache>
            </c:numRef>
          </c:val>
          <c:extLst>
            <c:ext xmlns:c16="http://schemas.microsoft.com/office/drawing/2014/chart" uri="{C3380CC4-5D6E-409C-BE32-E72D297353CC}">
              <c16:uniqueId val="{00000005-181D-4DFE-9CE2-20986294F6AD}"/>
            </c:ext>
          </c:extLst>
        </c:ser>
        <c:ser>
          <c:idx val="7"/>
          <c:order val="7"/>
          <c:tx>
            <c:strRef>
              <c:f>'PIA-PIM'!$B$68</c:f>
              <c:strCache>
                <c:ptCount val="1"/>
                <c:pt idx="0">
                  <c:v>406-1499: GOB. REG. APURIMAC - RED DE SALUD GRAU</c:v>
                </c:pt>
              </c:strCache>
            </c:strRef>
          </c:tx>
          <c:spPr>
            <a:solidFill>
              <a:schemeClr val="accent1">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'PIA-PIM'!$C$68:$G$68</c:f>
              <c:numCache>
                <c:formatCode>#,##0</c:formatCode>
                <c:ptCount val="5"/>
                <c:pt idx="0">
                  <c:v>3958409</c:v>
                </c:pt>
                <c:pt idx="1">
                  <c:v>5135338</c:v>
                </c:pt>
                <c:pt idx="2">
                  <c:v>5681960</c:v>
                </c:pt>
                <c:pt idx="3">
                  <c:v>7095184</c:v>
                </c:pt>
                <c:pt idx="4">
                  <c:v>7708029</c:v>
                </c:pt>
              </c:numCache>
            </c:numRef>
          </c:val>
          <c:extLst>
            <c:ext xmlns:c16="http://schemas.microsoft.com/office/drawing/2014/chart" uri="{C3380CC4-5D6E-409C-BE32-E72D297353CC}">
              <c16:uniqueId val="{00000006-181D-4DFE-9CE2-20986294F6AD}"/>
            </c:ext>
          </c:extLst>
        </c:ser>
        <c:ser>
          <c:idx val="8"/>
          <c:order val="8"/>
          <c:tx>
            <c:strRef>
              <c:f>'PIA-PIM'!$B$69</c:f>
              <c:strCache>
                <c:ptCount val="1"/>
                <c:pt idx="0">
                  <c:v>407-1500: GOB. REG. APURIMAC - RED DE SALUD COTABAMBAS</c:v>
                </c:pt>
              </c:strCache>
            </c:strRef>
          </c:tx>
          <c:spPr>
            <a:solidFill>
              <a:schemeClr val="accent2">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'PIA-PIM'!$C$69:$G$69</c:f>
              <c:numCache>
                <c:formatCode>#,##0</c:formatCode>
                <c:ptCount val="5"/>
                <c:pt idx="0">
                  <c:v>5503876</c:v>
                </c:pt>
                <c:pt idx="1">
                  <c:v>6705420</c:v>
                </c:pt>
                <c:pt idx="2">
                  <c:v>7511336</c:v>
                </c:pt>
                <c:pt idx="3">
                  <c:v>10032085</c:v>
                </c:pt>
                <c:pt idx="4">
                  <c:v>11250993</c:v>
                </c:pt>
              </c:numCache>
            </c:numRef>
          </c:val>
          <c:extLst>
            <c:ext xmlns:c16="http://schemas.microsoft.com/office/drawing/2014/chart" uri="{C3380CC4-5D6E-409C-BE32-E72D297353CC}">
              <c16:uniqueId val="{00000007-181D-4DFE-9CE2-20986294F6AD}"/>
            </c:ext>
          </c:extLst>
        </c:ser>
        <c:ser>
          <c:idx val="9"/>
          <c:order val="9"/>
          <c:tx>
            <c:strRef>
              <c:f>'PIA-PIM'!$B$70</c:f>
              <c:strCache>
                <c:ptCount val="1"/>
                <c:pt idx="0">
                  <c:v>408-1501: GOB. REG. APURIMAC - RED DE SALUD ANTABAMBA</c:v>
                </c:pt>
              </c:strCache>
            </c:strRef>
          </c:tx>
          <c:spPr>
            <a:solidFill>
              <a:schemeClr val="accent3">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'PIA-PIM'!$C$70:$G$70</c:f>
              <c:numCache>
                <c:formatCode>#,##0</c:formatCode>
                <c:ptCount val="5"/>
                <c:pt idx="0">
                  <c:v>2297145</c:v>
                </c:pt>
                <c:pt idx="1">
                  <c:v>2770667</c:v>
                </c:pt>
                <c:pt idx="2">
                  <c:v>3320238</c:v>
                </c:pt>
                <c:pt idx="3">
                  <c:v>4025671</c:v>
                </c:pt>
                <c:pt idx="4">
                  <c:v>4133446</c:v>
                </c:pt>
              </c:numCache>
            </c:numRef>
          </c:val>
          <c:extLst>
            <c:ext xmlns:c16="http://schemas.microsoft.com/office/drawing/2014/chart" uri="{C3380CC4-5D6E-409C-BE32-E72D297353CC}">
              <c16:uniqueId val="{00000008-181D-4DFE-9CE2-20986294F6AD}"/>
            </c:ext>
          </c:extLst>
        </c:ser>
        <c:ser>
          <c:idx val="10"/>
          <c:order val="10"/>
          <c:tx>
            <c:strRef>
              <c:f>'PIA-PIM'!$B$71</c:f>
              <c:strCache>
                <c:ptCount val="1"/>
                <c:pt idx="0">
                  <c:v>409-1502: GOB. REG. APURIMAC - RED DE SALUD AYMARAES</c:v>
                </c:pt>
              </c:strCache>
            </c:strRef>
          </c:tx>
          <c:spPr>
            <a:solidFill>
              <a:schemeClr val="accent4">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'PIA-PIM'!$C$71:$G$71</c:f>
              <c:numCache>
                <c:formatCode>#,##0</c:formatCode>
                <c:ptCount val="5"/>
                <c:pt idx="0">
                  <c:v>4017414</c:v>
                </c:pt>
                <c:pt idx="1">
                  <c:v>4902884</c:v>
                </c:pt>
                <c:pt idx="2">
                  <c:v>5464320</c:v>
                </c:pt>
                <c:pt idx="3">
                  <c:v>7517927</c:v>
                </c:pt>
                <c:pt idx="4">
                  <c:v>7691088</c:v>
                </c:pt>
              </c:numCache>
            </c:numRef>
          </c:val>
          <c:extLst>
            <c:ext xmlns:c16="http://schemas.microsoft.com/office/drawing/2014/chart" uri="{C3380CC4-5D6E-409C-BE32-E72D297353CC}">
              <c16:uniqueId val="{00000009-181D-4DFE-9CE2-20986294F6AD}"/>
            </c:ext>
          </c:extLst>
        </c:ser>
        <c:dLbls>
          <c:showLegendKey val="0"/>
          <c:showVal val="0"/>
          <c:showCatName val="0"/>
          <c:showSerName val="0"/>
          <c:showPercent val="0"/>
          <c:showBubbleSize val="0"/>
        </c:dLbls>
        <c:gapWidth val="150"/>
        <c:shape val="box"/>
        <c:axId val="292533360"/>
        <c:axId val="292526304"/>
        <c:axId val="0"/>
        <c:extLst>
          <c:ext xmlns:c15="http://schemas.microsoft.com/office/drawing/2012/chart" uri="{02D57815-91ED-43cb-92C2-25804820EDAC}">
            <c15:filteredBarSeries>
              <c15:ser>
                <c:idx val="0"/>
                <c:order val="0"/>
                <c:tx>
                  <c:strRef>
                    <c:extLst>
                      <c:ext uri="{02D57815-91ED-43cb-92C2-25804820EDAC}">
                        <c15:formulaRef>
                          <c15:sqref>'[14]PIA-PIM'!$B$61</c15:sqref>
                        </c15:formulaRef>
                      </c:ext>
                    </c:extLst>
                    <c:strCache>
                      <c:ptCount val="1"/>
                      <c:pt idx="0">
                        <c:v>Años</c:v>
                      </c:pt>
                    </c:strCache>
                  </c:strRef>
                </c:tx>
                <c:invertIfNegative val="0"/>
                <c:cat>
                  <c:numRef>
                    <c:extLst>
                      <c:ext uri="{02D57815-91ED-43cb-92C2-25804820EDAC}">
                        <c15:formulaRef>
                          <c15:sqref>'PIA-PIM'!$C$61:$G$61</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'[14]PIA-PIM'!$C$61:$G$61</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81D-4DFE-9CE2-20986294F6AD}"/>
                  </c:ext>
                </c:extLst>
              </c15:ser>
            </c15:filteredBarSeries>
          </c:ext>
        </c:extLst>
      </c:bar3DChart>
      <c:catAx>
        <c:axId val="292533360"/>
        <c:scaling>
          <c:orientation val="minMax"/>
        </c:scaling>
        <c:delete val="0"/>
        <c:axPos val="b"/>
        <c:numFmt formatCode="General" sourceLinked="1"/>
        <c:majorTickMark val="none"/>
        <c:minorTickMark val="none"/>
        <c:tickLblPos val="nextTo"/>
        <c:spPr>
          <a:noFill/>
          <a:ln>
            <a:noFill/>
          </a:ln>
          <a:effectLst/>
        </c:spPr>
        <c:txPr>
          <a:bodyPr rot="-60000000" vert="horz"/>
          <a:lstStyle/>
          <a:p>
            <a:pPr>
              <a:defRPr/>
            </a:pPr>
            <a:endParaRPr lang="es-PE"/>
          </a:p>
        </c:txPr>
        <c:crossAx val="292526304"/>
        <c:crosses val="autoZero"/>
        <c:auto val="1"/>
        <c:lblAlgn val="ctr"/>
        <c:lblOffset val="100"/>
        <c:noMultiLvlLbl val="0"/>
      </c:catAx>
      <c:valAx>
        <c:axId val="292526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3360"/>
        <c:crosses val="autoZero"/>
        <c:crossBetween val="between"/>
      </c:valAx>
      <c:spPr>
        <a:noFill/>
        <a:ln>
          <a:noFill/>
        </a:ln>
        <a:effectLst/>
      </c:spPr>
    </c:plotArea>
    <c:legend>
      <c:legendPos val="r"/>
      <c:overlay val="0"/>
      <c:spPr>
        <a:noFill/>
        <a:ln>
          <a:noFill/>
        </a:ln>
        <a:effectLst/>
      </c:spPr>
      <c:txPr>
        <a:bodyPr rot="0" vert="horz"/>
        <a:lstStyle/>
        <a:p>
          <a:pPr>
            <a:defRPr/>
          </a:pPr>
          <a:endParaRPr lang="es-PE"/>
        </a:p>
      </c:txPr>
    </c:legend>
    <c:plotVisOnly val="1"/>
    <c:dispBlanksAs val="zero"/>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EVOLUCIÓN PIM 2014 - 2018</a:t>
            </a:r>
          </a:p>
        </c:rich>
      </c:tx>
      <c:overlay val="0"/>
      <c:spPr>
        <a:noFill/>
        <a:ln>
          <a:noFill/>
        </a:ln>
        <a:effectLst/>
      </c:spPr>
    </c:title>
    <c:autoTitleDeleted val="0"/>
    <c:plotArea>
      <c:layout/>
      <c:lineChart>
        <c:grouping val="standard"/>
        <c:varyColors val="0"/>
        <c:ser>
          <c:idx val="0"/>
          <c:order val="0"/>
          <c:tx>
            <c:strRef>
              <c:f>'PIA-PIM'!$B$92</c:f>
              <c:strCache>
                <c:ptCount val="1"/>
                <c:pt idx="0">
                  <c:v>442: GOBIERNO REGIONAL APURÍMAC </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'PIA-PIM'!$C$92:$G$92</c:f>
              <c:numCache>
                <c:formatCode>#,##0</c:formatCode>
                <c:ptCount val="5"/>
                <c:pt idx="0">
                  <c:v>826239205</c:v>
                </c:pt>
                <c:pt idx="1">
                  <c:v>902054748</c:v>
                </c:pt>
                <c:pt idx="2">
                  <c:v>893038795</c:v>
                </c:pt>
                <c:pt idx="3">
                  <c:v>989437816</c:v>
                </c:pt>
                <c:pt idx="4">
                  <c:v>1146950315</c:v>
                </c:pt>
              </c:numCache>
            </c:numRef>
          </c:val>
          <c:smooth val="0"/>
          <c:extLst>
            <c:ext xmlns:c16="http://schemas.microsoft.com/office/drawing/2014/chart" uri="{C3380CC4-5D6E-409C-BE32-E72D297353CC}">
              <c16:uniqueId val="{00000000-1349-4080-9230-3D1F30073583}"/>
            </c:ext>
          </c:extLst>
        </c:ser>
        <c:ser>
          <c:idx val="1"/>
          <c:order val="1"/>
          <c:tx>
            <c:strRef>
              <c:f>'PIA-PIM'!$B$93</c:f>
              <c:strCache>
                <c:ptCount val="1"/>
                <c:pt idx="0">
                  <c:v>EJECUTORA DE SALUD - REGIÓN APURÍMAC </c:v>
                </c:pt>
              </c:strCache>
            </c:strRef>
          </c:tx>
          <c:spPr>
            <a:ln w="28575" cap="rnd">
              <a:solidFill>
                <a:schemeClr val="accent1">
                  <a:lumMod val="75000"/>
                </a:schemeClr>
              </a:solidFill>
              <a:round/>
            </a:ln>
            <a:effectLst/>
          </c:spPr>
          <c:marker>
            <c:symbol val="circle"/>
            <c:size val="5"/>
            <c:spPr>
              <a:solidFill>
                <a:srgbClr val="0070C0"/>
              </a:solidFill>
              <a:ln w="9525">
                <a:solidFill>
                  <a:schemeClr val="accent1">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'PIA-PIM'!$C$93:$G$93</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1-1349-4080-9230-3D1F30073583}"/>
            </c:ext>
          </c:extLst>
        </c:ser>
        <c:dLbls>
          <c:showLegendKey val="0"/>
          <c:showVal val="0"/>
          <c:showCatName val="0"/>
          <c:showSerName val="0"/>
          <c:showPercent val="0"/>
          <c:showBubbleSize val="0"/>
        </c:dLbls>
        <c:marker val="1"/>
        <c:smooth val="0"/>
        <c:axId val="292532184"/>
        <c:axId val="292526696"/>
      </c:lineChart>
      <c:catAx>
        <c:axId val="292532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92526696"/>
        <c:crosses val="autoZero"/>
        <c:auto val="1"/>
        <c:lblAlgn val="ctr"/>
        <c:lblOffset val="100"/>
        <c:noMultiLvlLbl val="0"/>
      </c:catAx>
      <c:valAx>
        <c:axId val="2925266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21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PIM 2014- 2018 EJECUTORAS DE SALUD PLIEGO REGIÓN APURÍMAC  </a:t>
            </a:r>
          </a:p>
        </c:rich>
      </c:tx>
      <c:layout>
        <c:manualLayout>
          <c:xMode val="edge"/>
          <c:yMode val="edge"/>
          <c:x val="0.24702439024390244"/>
          <c:y val="3.6943744752308987E-2"/>
        </c:manualLayout>
      </c:layout>
      <c:overlay val="0"/>
    </c:title>
    <c:autoTitleDeleted val="0"/>
    <c:plotArea>
      <c:layout>
        <c:manualLayout>
          <c:layoutTarget val="inner"/>
          <c:xMode val="edge"/>
          <c:yMode val="edge"/>
          <c:x val="8.9702750649489807E-2"/>
          <c:y val="0.12677857713828936"/>
          <c:w val="0.55093903317230597"/>
          <c:h val="0.81503351649389155"/>
        </c:manualLayout>
      </c:layout>
      <c:barChart>
        <c:barDir val="col"/>
        <c:grouping val="clustered"/>
        <c:varyColors val="0"/>
        <c:ser>
          <c:idx val="1"/>
          <c:order val="1"/>
          <c:tx>
            <c:strRef>
              <c:f>'PIA-PIM'!$B$103</c:f>
              <c:strCache>
                <c:ptCount val="1"/>
                <c:pt idx="0">
                  <c:v>400-755: REGION APURIMAC-SALUD APURIMAC</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'PIA-PIM'!$C$103:$G$103</c:f>
              <c:numCache>
                <c:formatCode>#,##0</c:formatCode>
                <c:ptCount val="5"/>
                <c:pt idx="0">
                  <c:v>22198906</c:v>
                </c:pt>
                <c:pt idx="1">
                  <c:v>23299794</c:v>
                </c:pt>
                <c:pt idx="2">
                  <c:v>24086109</c:v>
                </c:pt>
                <c:pt idx="3">
                  <c:v>24753490</c:v>
                </c:pt>
                <c:pt idx="4">
                  <c:v>26473570</c:v>
                </c:pt>
              </c:numCache>
            </c:numRef>
          </c:val>
          <c:extLst>
            <c:ext xmlns:c16="http://schemas.microsoft.com/office/drawing/2014/chart" uri="{C3380CC4-5D6E-409C-BE32-E72D297353CC}">
              <c16:uniqueId val="{00000000-16E2-4FA2-968C-1E98AC46FA35}"/>
            </c:ext>
          </c:extLst>
        </c:ser>
        <c:ser>
          <c:idx val="2"/>
          <c:order val="2"/>
          <c:tx>
            <c:strRef>
              <c:f>'PIA-PIM'!$B$104</c:f>
              <c:strCache>
                <c:ptCount val="1"/>
                <c:pt idx="0">
                  <c:v>401-756: REGION APURIMAC-SALUD CHANKA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'PIA-PIM'!$C$104:$G$104</c:f>
              <c:numCache>
                <c:formatCode>#,##0</c:formatCode>
                <c:ptCount val="5"/>
                <c:pt idx="0">
                  <c:v>40732119</c:v>
                </c:pt>
                <c:pt idx="1">
                  <c:v>43325194</c:v>
                </c:pt>
                <c:pt idx="2">
                  <c:v>44339878</c:v>
                </c:pt>
                <c:pt idx="3">
                  <c:v>44899243</c:v>
                </c:pt>
                <c:pt idx="4">
                  <c:v>50832741</c:v>
                </c:pt>
              </c:numCache>
            </c:numRef>
          </c:val>
          <c:extLst>
            <c:ext xmlns:c16="http://schemas.microsoft.com/office/drawing/2014/chart" uri="{C3380CC4-5D6E-409C-BE32-E72D297353CC}">
              <c16:uniqueId val="{00000001-16E2-4FA2-968C-1E98AC46FA35}"/>
            </c:ext>
          </c:extLst>
        </c:ser>
        <c:ser>
          <c:idx val="3"/>
          <c:order val="3"/>
          <c:tx>
            <c:strRef>
              <c:f>'PIA-PIM'!$B$105</c:f>
              <c:strCache>
                <c:ptCount val="1"/>
                <c:pt idx="0">
                  <c:v>402-1037: REGION APURIMAC-HOSPITAL GUILLERMO DIAZ DE LA VEGA-ABANCAY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'PIA-PIM'!$C$105:$G$105</c:f>
              <c:numCache>
                <c:formatCode>#,##0</c:formatCode>
                <c:ptCount val="5"/>
                <c:pt idx="0">
                  <c:v>30994606</c:v>
                </c:pt>
                <c:pt idx="1">
                  <c:v>33357342</c:v>
                </c:pt>
                <c:pt idx="2">
                  <c:v>31112529</c:v>
                </c:pt>
                <c:pt idx="3">
                  <c:v>38849579</c:v>
                </c:pt>
                <c:pt idx="4">
                  <c:v>40787052</c:v>
                </c:pt>
              </c:numCache>
            </c:numRef>
          </c:val>
          <c:extLst>
            <c:ext xmlns:c16="http://schemas.microsoft.com/office/drawing/2014/chart" uri="{C3380CC4-5D6E-409C-BE32-E72D297353CC}">
              <c16:uniqueId val="{00000002-16E2-4FA2-968C-1E98AC46FA35}"/>
            </c:ext>
          </c:extLst>
        </c:ser>
        <c:ser>
          <c:idx val="4"/>
          <c:order val="4"/>
          <c:tx>
            <c:strRef>
              <c:f>'PIA-PIM'!$B$106</c:f>
              <c:strCache>
                <c:ptCount val="1"/>
                <c:pt idx="0">
                  <c:v>403-1038: REGION APURIMAC-HOSPITAL SUBREGIONAL DE ANDAHUAYLAS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'PIA-PIM'!$C$106:$G$106</c:f>
              <c:numCache>
                <c:formatCode>#,##0</c:formatCode>
                <c:ptCount val="5"/>
                <c:pt idx="0">
                  <c:v>29122365</c:v>
                </c:pt>
                <c:pt idx="1">
                  <c:v>34332370</c:v>
                </c:pt>
                <c:pt idx="2">
                  <c:v>32937108</c:v>
                </c:pt>
                <c:pt idx="3">
                  <c:v>36723639</c:v>
                </c:pt>
                <c:pt idx="4">
                  <c:v>43906019</c:v>
                </c:pt>
              </c:numCache>
            </c:numRef>
          </c:val>
          <c:extLst>
            <c:ext xmlns:c16="http://schemas.microsoft.com/office/drawing/2014/chart" uri="{C3380CC4-5D6E-409C-BE32-E72D297353CC}">
              <c16:uniqueId val="{00000003-16E2-4FA2-968C-1E98AC46FA35}"/>
            </c:ext>
          </c:extLst>
        </c:ser>
        <c:ser>
          <c:idx val="5"/>
          <c:order val="5"/>
          <c:tx>
            <c:strRef>
              <c:f>'PIA-PIM'!$B$107</c:f>
              <c:strCache>
                <c:ptCount val="1"/>
                <c:pt idx="0">
                  <c:v>404-1497: GOB. REG. APURIMAC - RED DE SALUD VIRGEN DE COCHARCAS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'PIA-PIM'!$C$107:$G$107</c:f>
              <c:numCache>
                <c:formatCode>#,##0</c:formatCode>
                <c:ptCount val="5"/>
                <c:pt idx="0">
                  <c:v>12426749</c:v>
                </c:pt>
                <c:pt idx="1">
                  <c:v>14566023</c:v>
                </c:pt>
                <c:pt idx="2">
                  <c:v>18097995</c:v>
                </c:pt>
                <c:pt idx="3">
                  <c:v>19429717</c:v>
                </c:pt>
                <c:pt idx="4">
                  <c:v>20794976</c:v>
                </c:pt>
              </c:numCache>
            </c:numRef>
          </c:val>
          <c:extLst>
            <c:ext xmlns:c16="http://schemas.microsoft.com/office/drawing/2014/chart" uri="{C3380CC4-5D6E-409C-BE32-E72D297353CC}">
              <c16:uniqueId val="{00000004-16E2-4FA2-968C-1E98AC46FA35}"/>
            </c:ext>
          </c:extLst>
        </c:ser>
        <c:ser>
          <c:idx val="6"/>
          <c:order val="6"/>
          <c:tx>
            <c:strRef>
              <c:f>'PIA-PIM'!$B$108</c:f>
              <c:strCache>
                <c:ptCount val="1"/>
                <c:pt idx="0">
                  <c:v>405-1498: GOB. REG. APURIMAC - RED DE SALUD ABANCAY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'PIA-PIM'!$C$108:$G$108</c:f>
              <c:numCache>
                <c:formatCode>#,##0</c:formatCode>
                <c:ptCount val="5"/>
                <c:pt idx="0">
                  <c:v>22726225</c:v>
                </c:pt>
                <c:pt idx="1">
                  <c:v>25587056</c:v>
                </c:pt>
                <c:pt idx="2">
                  <c:v>29048137</c:v>
                </c:pt>
                <c:pt idx="3">
                  <c:v>30734233</c:v>
                </c:pt>
                <c:pt idx="4">
                  <c:v>34700254</c:v>
                </c:pt>
              </c:numCache>
            </c:numRef>
          </c:val>
          <c:extLst>
            <c:ext xmlns:c16="http://schemas.microsoft.com/office/drawing/2014/chart" uri="{C3380CC4-5D6E-409C-BE32-E72D297353CC}">
              <c16:uniqueId val="{00000005-16E2-4FA2-968C-1E98AC46FA35}"/>
            </c:ext>
          </c:extLst>
        </c:ser>
        <c:ser>
          <c:idx val="7"/>
          <c:order val="7"/>
          <c:tx>
            <c:strRef>
              <c:f>'PIA-PIM'!$B$109</c:f>
              <c:strCache>
                <c:ptCount val="1"/>
                <c:pt idx="0">
                  <c:v>406-1499: GOB. REG. APURIMAC - RED DE SALUD GRAU</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'PIA-PIM'!$C$109:$G$109</c:f>
              <c:numCache>
                <c:formatCode>#,##0</c:formatCode>
                <c:ptCount val="5"/>
                <c:pt idx="0">
                  <c:v>6916983</c:v>
                </c:pt>
                <c:pt idx="1">
                  <c:v>8286263</c:v>
                </c:pt>
                <c:pt idx="2">
                  <c:v>8699100</c:v>
                </c:pt>
                <c:pt idx="3">
                  <c:v>10085518</c:v>
                </c:pt>
                <c:pt idx="4">
                  <c:v>11360992</c:v>
                </c:pt>
              </c:numCache>
            </c:numRef>
          </c:val>
          <c:extLst>
            <c:ext xmlns:c16="http://schemas.microsoft.com/office/drawing/2014/chart" uri="{C3380CC4-5D6E-409C-BE32-E72D297353CC}">
              <c16:uniqueId val="{00000006-16E2-4FA2-968C-1E98AC46FA35}"/>
            </c:ext>
          </c:extLst>
        </c:ser>
        <c:ser>
          <c:idx val="8"/>
          <c:order val="8"/>
          <c:tx>
            <c:strRef>
              <c:f>'PIA-PIM'!$B$110</c:f>
              <c:strCache>
                <c:ptCount val="1"/>
                <c:pt idx="0">
                  <c:v>407-1500: GOB. REG. APURIMAC - RED DE SALUD COTABAMBAS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'PIA-PIM'!$C$110:$G$110</c:f>
              <c:numCache>
                <c:formatCode>#,##0</c:formatCode>
                <c:ptCount val="5"/>
                <c:pt idx="0">
                  <c:v>11154263</c:v>
                </c:pt>
                <c:pt idx="1">
                  <c:v>12395191</c:v>
                </c:pt>
                <c:pt idx="2">
                  <c:v>13256389</c:v>
                </c:pt>
                <c:pt idx="3">
                  <c:v>14135385</c:v>
                </c:pt>
                <c:pt idx="4">
                  <c:v>16389368</c:v>
                </c:pt>
              </c:numCache>
            </c:numRef>
          </c:val>
          <c:extLst>
            <c:ext xmlns:c16="http://schemas.microsoft.com/office/drawing/2014/chart" uri="{C3380CC4-5D6E-409C-BE32-E72D297353CC}">
              <c16:uniqueId val="{00000007-16E2-4FA2-968C-1E98AC46FA35}"/>
            </c:ext>
          </c:extLst>
        </c:ser>
        <c:ser>
          <c:idx val="9"/>
          <c:order val="9"/>
          <c:tx>
            <c:strRef>
              <c:f>'PIA-PIM'!$B$111</c:f>
              <c:strCache>
                <c:ptCount val="1"/>
                <c:pt idx="0">
                  <c:v>408-1501: GOB. REG. APURIMAC - RED DE SALUD ANTABAMBA</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'PIA-PIM'!$C$111:$G$111</c:f>
              <c:numCache>
                <c:formatCode>#,##0</c:formatCode>
                <c:ptCount val="5"/>
                <c:pt idx="0">
                  <c:v>3885862</c:v>
                </c:pt>
                <c:pt idx="1">
                  <c:v>4482478</c:v>
                </c:pt>
                <c:pt idx="2">
                  <c:v>5134762</c:v>
                </c:pt>
                <c:pt idx="3">
                  <c:v>6483327</c:v>
                </c:pt>
                <c:pt idx="4">
                  <c:v>7626325</c:v>
                </c:pt>
              </c:numCache>
            </c:numRef>
          </c:val>
          <c:extLst>
            <c:ext xmlns:c16="http://schemas.microsoft.com/office/drawing/2014/chart" uri="{C3380CC4-5D6E-409C-BE32-E72D297353CC}">
              <c16:uniqueId val="{00000008-16E2-4FA2-968C-1E98AC46FA35}"/>
            </c:ext>
          </c:extLst>
        </c:ser>
        <c:ser>
          <c:idx val="10"/>
          <c:order val="10"/>
          <c:tx>
            <c:strRef>
              <c:f>'PIA-PIM'!$B$112</c:f>
              <c:strCache>
                <c:ptCount val="1"/>
                <c:pt idx="0">
                  <c:v>409-1502: GOB. REG. APURIMAC - RED DE SALUD AYMARAES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'PIA-PIM'!$C$112:$G$112</c:f>
              <c:numCache>
                <c:formatCode>#,##0</c:formatCode>
                <c:ptCount val="5"/>
                <c:pt idx="0">
                  <c:v>7827386</c:v>
                </c:pt>
                <c:pt idx="1">
                  <c:v>8399287</c:v>
                </c:pt>
                <c:pt idx="2">
                  <c:v>9351393</c:v>
                </c:pt>
                <c:pt idx="3">
                  <c:v>10909806</c:v>
                </c:pt>
                <c:pt idx="4">
                  <c:v>12195202</c:v>
                </c:pt>
              </c:numCache>
            </c:numRef>
          </c:val>
          <c:extLst>
            <c:ext xmlns:c16="http://schemas.microsoft.com/office/drawing/2014/chart" uri="{C3380CC4-5D6E-409C-BE32-E72D297353CC}">
              <c16:uniqueId val="{00000009-16E2-4FA2-968C-1E98AC46FA35}"/>
            </c:ext>
          </c:extLst>
        </c:ser>
        <c:dLbls>
          <c:showLegendKey val="0"/>
          <c:showVal val="0"/>
          <c:showCatName val="0"/>
          <c:showSerName val="0"/>
          <c:showPercent val="0"/>
          <c:showBubbleSize val="0"/>
        </c:dLbls>
        <c:gapWidth val="100"/>
        <c:overlap val="-24"/>
        <c:axId val="292529048"/>
        <c:axId val="292529832"/>
        <c:extLst>
          <c:ext xmlns:c15="http://schemas.microsoft.com/office/drawing/2012/chart" uri="{02D57815-91ED-43cb-92C2-25804820EDAC}">
            <c15:filteredBarSeries>
              <c15:ser>
                <c:idx val="0"/>
                <c:order val="0"/>
                <c:tx>
                  <c:strRef>
                    <c:extLst>
                      <c:ext uri="{02D57815-91ED-43cb-92C2-25804820EDAC}">
                        <c15:formulaRef>
                          <c15:sqref>'[14]PIA-PIM'!$B$102</c15:sqref>
                        </c15:formulaRef>
                      </c:ext>
                    </c:extLst>
                    <c:strCache>
                      <c:ptCount val="1"/>
                      <c:pt idx="0">
                        <c:v>AÑOS</c:v>
                      </c:pt>
                    </c:strCache>
                  </c:strRef>
                </c:tx>
                <c:invertIfNegative val="0"/>
                <c:cat>
                  <c:numRef>
                    <c:extLst>
                      <c:ext uri="{02D57815-91ED-43cb-92C2-25804820EDAC}">
                        <c15:formulaRef>
                          <c15:sqref>'PIA-PIM'!$C$102:$G$102</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'[14]PIA-PIM'!$C$102:$G$102</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6E2-4FA2-968C-1E98AC46FA35}"/>
                  </c:ext>
                </c:extLst>
              </c15:ser>
            </c15:filteredBarSeries>
          </c:ext>
        </c:extLst>
      </c:barChart>
      <c:catAx>
        <c:axId val="2925290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vert="horz"/>
          <a:lstStyle/>
          <a:p>
            <a:pPr>
              <a:defRPr/>
            </a:pPr>
            <a:endParaRPr lang="es-PE"/>
          </a:p>
        </c:txPr>
        <c:crossAx val="292529832"/>
        <c:crosses val="autoZero"/>
        <c:auto val="1"/>
        <c:lblAlgn val="ctr"/>
        <c:lblOffset val="100"/>
        <c:noMultiLvlLbl val="0"/>
      </c:catAx>
      <c:valAx>
        <c:axId val="2925298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29048"/>
        <c:crosses val="autoZero"/>
        <c:crossBetween val="between"/>
      </c:valAx>
      <c:spPr>
        <a:noFill/>
        <a:ln>
          <a:noFill/>
        </a:ln>
        <a:effectLst/>
      </c:spPr>
    </c:plotArea>
    <c:legend>
      <c:legendPos val="r"/>
      <c:layout>
        <c:manualLayout>
          <c:xMode val="edge"/>
          <c:yMode val="edge"/>
          <c:x val="0.6726936815824851"/>
          <c:y val="0.15510554883410352"/>
          <c:w val="0.31755022085653928"/>
          <c:h val="0.7826520425500969"/>
        </c:manualLayout>
      </c:layout>
      <c:overlay val="0"/>
      <c:spPr>
        <a:noFill/>
        <a:ln>
          <a:noFill/>
        </a:ln>
        <a:effectLst/>
      </c:spPr>
      <c:txPr>
        <a:bodyPr rot="0" vert="horz"/>
        <a:lstStyle/>
        <a:p>
          <a:pPr>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PE"/>
              <a:t>Composición del Gasto por Sub Genericas, Pliego Regional Apurímac-Salud</a:t>
            </a:r>
          </a:p>
          <a:p>
            <a:pPr>
              <a:defRPr/>
            </a:pPr>
            <a:endParaRPr lang="es-PE"/>
          </a:p>
        </c:rich>
      </c:tx>
      <c:layout>
        <c:manualLayout>
          <c:xMode val="edge"/>
          <c:yMode val="edge"/>
          <c:x val="0.16355487232667854"/>
          <c:y val="2.109151496241620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254015564626606"/>
          <c:y val="0.15259171331814994"/>
          <c:w val="0.61268427597882946"/>
          <c:h val="0.47461628720368992"/>
        </c:manualLayout>
      </c:layout>
      <c:bar3DChart>
        <c:barDir val="col"/>
        <c:grouping val="clustered"/>
        <c:varyColors val="0"/>
        <c:ser>
          <c:idx val="0"/>
          <c:order val="0"/>
          <c:tx>
            <c:strRef>
              <c:f>Sostenibilidad!$B$93</c:f>
              <c:strCache>
                <c:ptCount val="1"/>
                <c:pt idx="0">
                  <c:v>5-21: PERSONAL Y OBLIGACIONES SOCIALES </c:v>
                </c:pt>
              </c:strCache>
            </c:strRef>
          </c:tx>
          <c:spPr>
            <a:solidFill>
              <a:schemeClr val="accent1"/>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Sostenibilidad!$C$93:$G$93</c:f>
              <c:numCache>
                <c:formatCode>#,##0</c:formatCode>
                <c:ptCount val="5"/>
                <c:pt idx="0">
                  <c:v>84741557</c:v>
                </c:pt>
                <c:pt idx="1">
                  <c:v>96419453</c:v>
                </c:pt>
                <c:pt idx="2">
                  <c:v>110908487</c:v>
                </c:pt>
                <c:pt idx="3">
                  <c:v>127281952</c:v>
                </c:pt>
                <c:pt idx="4">
                  <c:v>150166152</c:v>
                </c:pt>
              </c:numCache>
            </c:numRef>
          </c:val>
          <c:extLst>
            <c:ext xmlns:c16="http://schemas.microsoft.com/office/drawing/2014/chart" uri="{C3380CC4-5D6E-409C-BE32-E72D297353CC}">
              <c16:uniqueId val="{00000000-2126-4C55-AD75-7FDAB7B61182}"/>
            </c:ext>
          </c:extLst>
        </c:ser>
        <c:ser>
          <c:idx val="1"/>
          <c:order val="1"/>
          <c:tx>
            <c:strRef>
              <c:f>Sostenibilidad!$B$94</c:f>
              <c:strCache>
                <c:ptCount val="1"/>
                <c:pt idx="0">
                  <c:v>5-22: PENSIONES Y OTRAS PRESTACIONES SOCIALES</c:v>
                </c:pt>
              </c:strCache>
            </c:strRef>
          </c:tx>
          <c:spPr>
            <a:solidFill>
              <a:schemeClr val="accent2"/>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Sostenibilidad!$C$94:$G$94</c:f>
              <c:numCache>
                <c:formatCode>#,##0</c:formatCode>
                <c:ptCount val="5"/>
                <c:pt idx="0">
                  <c:v>2849509</c:v>
                </c:pt>
                <c:pt idx="1">
                  <c:v>3186135</c:v>
                </c:pt>
                <c:pt idx="2">
                  <c:v>2723318</c:v>
                </c:pt>
                <c:pt idx="3">
                  <c:v>2981068</c:v>
                </c:pt>
                <c:pt idx="4">
                  <c:v>2886201</c:v>
                </c:pt>
              </c:numCache>
            </c:numRef>
          </c:val>
          <c:extLst>
            <c:ext xmlns:c16="http://schemas.microsoft.com/office/drawing/2014/chart" uri="{C3380CC4-5D6E-409C-BE32-E72D297353CC}">
              <c16:uniqueId val="{00000001-2126-4C55-AD75-7FDAB7B61182}"/>
            </c:ext>
          </c:extLst>
        </c:ser>
        <c:ser>
          <c:idx val="2"/>
          <c:order val="2"/>
          <c:tx>
            <c:strRef>
              <c:f>Sostenibilidad!$B$95</c:f>
              <c:strCache>
                <c:ptCount val="1"/>
                <c:pt idx="0">
                  <c:v>5-23: BIENES Y SERVICIOS</c:v>
                </c:pt>
              </c:strCache>
            </c:strRef>
          </c:tx>
          <c:spPr>
            <a:solidFill>
              <a:schemeClr val="accent3"/>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Sostenibilidad!$C$95:$G$95</c:f>
              <c:numCache>
                <c:formatCode>#,##0</c:formatCode>
                <c:ptCount val="5"/>
                <c:pt idx="0">
                  <c:v>78373926</c:v>
                </c:pt>
                <c:pt idx="1">
                  <c:v>87297610</c:v>
                </c:pt>
                <c:pt idx="2">
                  <c:v>82712376</c:v>
                </c:pt>
                <c:pt idx="3">
                  <c:v>83753163</c:v>
                </c:pt>
                <c:pt idx="4">
                  <c:v>86725655</c:v>
                </c:pt>
              </c:numCache>
            </c:numRef>
          </c:val>
          <c:extLst>
            <c:ext xmlns:c16="http://schemas.microsoft.com/office/drawing/2014/chart" uri="{C3380CC4-5D6E-409C-BE32-E72D297353CC}">
              <c16:uniqueId val="{00000002-2126-4C55-AD75-7FDAB7B61182}"/>
            </c:ext>
          </c:extLst>
        </c:ser>
        <c:ser>
          <c:idx val="3"/>
          <c:order val="3"/>
          <c:tx>
            <c:strRef>
              <c:f>Sostenibilidad!$B$96</c:f>
              <c:strCache>
                <c:ptCount val="1"/>
                <c:pt idx="0">
                  <c:v>5-25: OTROS GASTOS</c:v>
                </c:pt>
              </c:strCache>
            </c:strRef>
          </c:tx>
          <c:spPr>
            <a:solidFill>
              <a:schemeClr val="accent4"/>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Sostenibilidad!$C$96:$G$96</c:f>
              <c:numCache>
                <c:formatCode>#,##0</c:formatCode>
                <c:ptCount val="5"/>
                <c:pt idx="0">
                  <c:v>2985672</c:v>
                </c:pt>
                <c:pt idx="1">
                  <c:v>2619182</c:v>
                </c:pt>
                <c:pt idx="2">
                  <c:v>5133085</c:v>
                </c:pt>
                <c:pt idx="3">
                  <c:v>3796208</c:v>
                </c:pt>
                <c:pt idx="4">
                  <c:v>10027031</c:v>
                </c:pt>
              </c:numCache>
            </c:numRef>
          </c:val>
          <c:extLst>
            <c:ext xmlns:c16="http://schemas.microsoft.com/office/drawing/2014/chart" uri="{C3380CC4-5D6E-409C-BE32-E72D297353CC}">
              <c16:uniqueId val="{00000003-2126-4C55-AD75-7FDAB7B61182}"/>
            </c:ext>
          </c:extLst>
        </c:ser>
        <c:ser>
          <c:idx val="4"/>
          <c:order val="4"/>
          <c:tx>
            <c:strRef>
              <c:f>Sostenibilidad!$B$97</c:f>
              <c:strCache>
                <c:ptCount val="1"/>
                <c:pt idx="0">
                  <c:v>6-26: ADQUISICIÓN DE ACTIVOS NO FINANCIEROS </c:v>
                </c:pt>
              </c:strCache>
            </c:strRef>
          </c:tx>
          <c:spPr>
            <a:solidFill>
              <a:schemeClr val="accent5"/>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Sostenibilidad!$C$97:$G$97</c:f>
              <c:numCache>
                <c:formatCode>#,##0</c:formatCode>
                <c:ptCount val="5"/>
                <c:pt idx="0">
                  <c:v>8383482</c:v>
                </c:pt>
                <c:pt idx="1">
                  <c:v>9282785</c:v>
                </c:pt>
                <c:pt idx="2">
                  <c:v>8493372</c:v>
                </c:pt>
                <c:pt idx="3">
                  <c:v>9560623</c:v>
                </c:pt>
                <c:pt idx="4">
                  <c:v>7320028</c:v>
                </c:pt>
              </c:numCache>
            </c:numRef>
          </c:val>
          <c:extLst>
            <c:ext xmlns:c16="http://schemas.microsoft.com/office/drawing/2014/chart" uri="{C3380CC4-5D6E-409C-BE32-E72D297353CC}">
              <c16:uniqueId val="{00000004-2126-4C55-AD75-7FDAB7B61182}"/>
            </c:ext>
          </c:extLst>
        </c:ser>
        <c:dLbls>
          <c:showLegendKey val="0"/>
          <c:showVal val="0"/>
          <c:showCatName val="0"/>
          <c:showSerName val="0"/>
          <c:showPercent val="0"/>
          <c:showBubbleSize val="0"/>
        </c:dLbls>
        <c:gapWidth val="150"/>
        <c:shape val="box"/>
        <c:axId val="292528264"/>
        <c:axId val="292527088"/>
        <c:axId val="0"/>
      </c:bar3DChart>
      <c:catAx>
        <c:axId val="292528264"/>
        <c:scaling>
          <c:orientation val="minMax"/>
        </c:scaling>
        <c:delete val="0"/>
        <c:axPos val="b"/>
        <c:numFmt formatCode="General" sourceLinked="1"/>
        <c:majorTickMark val="out"/>
        <c:minorTickMark val="none"/>
        <c:tickLblPos val="nextTo"/>
        <c:spPr>
          <a:noFill/>
          <a:ln>
            <a:noFill/>
          </a:ln>
          <a:effectLst/>
        </c:spPr>
        <c:txPr>
          <a:bodyPr rot="-60000000" vert="horz"/>
          <a:lstStyle/>
          <a:p>
            <a:pPr>
              <a:defRPr/>
            </a:pPr>
            <a:endParaRPr lang="es-PE"/>
          </a:p>
        </c:txPr>
        <c:crossAx val="292527088"/>
        <c:crosses val="autoZero"/>
        <c:auto val="1"/>
        <c:lblAlgn val="ctr"/>
        <c:lblOffset val="100"/>
        <c:noMultiLvlLbl val="0"/>
      </c:catAx>
      <c:valAx>
        <c:axId val="2925270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vert="horz"/>
          <a:lstStyle/>
          <a:p>
            <a:pPr>
              <a:defRPr/>
            </a:pPr>
            <a:endParaRPr lang="es-PE"/>
          </a:p>
        </c:txPr>
        <c:crossAx val="2925282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0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a:pPr>
            <a:r>
              <a:rPr lang="en-US" sz="1200"/>
              <a:t>DEVENGANDO C/R AL PIA</a:t>
            </a:r>
          </a:p>
        </c:rich>
      </c:tx>
      <c:layout>
        <c:manualLayout>
          <c:xMode val="edge"/>
          <c:yMode val="edge"/>
          <c:x val="0.33153773947495113"/>
          <c:y val="1.7042604834664927E-2"/>
        </c:manualLayout>
      </c:layout>
      <c:overlay val="0"/>
      <c:spPr>
        <a:noFill/>
        <a:ln>
          <a:noFill/>
        </a:ln>
        <a:effectLst/>
      </c:spPr>
    </c:title>
    <c:autoTitleDeleted val="0"/>
    <c:plotArea>
      <c:layout>
        <c:manualLayout>
          <c:layoutTarget val="inner"/>
          <c:xMode val="edge"/>
          <c:yMode val="edge"/>
          <c:x val="0.38144138533231836"/>
          <c:y val="0.20395334754668684"/>
          <c:w val="0.59656802274715648"/>
          <c:h val="0.40466827063283761"/>
        </c:manualLayout>
      </c:layout>
      <c:lineChart>
        <c:grouping val="stacked"/>
        <c:varyColors val="0"/>
        <c:ser>
          <c:idx val="0"/>
          <c:order val="0"/>
          <c:tx>
            <c:strRef>
              <c:f>Sostenibilidad!$B$116</c:f>
              <c:strCache>
                <c:ptCount val="1"/>
                <c:pt idx="0">
                  <c:v>PIA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Sostenibilidad!$C$116:$G$116</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0-EFEC-4BD6-8AE4-BE27A0F26279}"/>
            </c:ext>
          </c:extLst>
        </c:ser>
        <c:ser>
          <c:idx val="1"/>
          <c:order val="1"/>
          <c:tx>
            <c:strRef>
              <c:f>Sostenibilidad!$B$117</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Sostenibilidad!$C$117:$G$117</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EFEC-4BD6-8AE4-BE27A0F26279}"/>
            </c:ext>
          </c:extLst>
        </c:ser>
        <c:dLbls>
          <c:showLegendKey val="0"/>
          <c:showVal val="0"/>
          <c:showCatName val="0"/>
          <c:showSerName val="0"/>
          <c:showPercent val="0"/>
          <c:showBubbleSize val="0"/>
        </c:dLbls>
        <c:marker val="1"/>
        <c:smooth val="0"/>
        <c:axId val="292531400"/>
        <c:axId val="292527480"/>
      </c:lineChart>
      <c:catAx>
        <c:axId val="292531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92527480"/>
        <c:crosses val="autoZero"/>
        <c:auto val="1"/>
        <c:lblAlgn val="ctr"/>
        <c:lblOffset val="100"/>
        <c:noMultiLvlLbl val="0"/>
      </c:catAx>
      <c:valAx>
        <c:axId val="292527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140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zero"/>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DEVENGADO C/R AL PIM</a:t>
            </a:r>
          </a:p>
        </c:rich>
      </c:tx>
      <c:overlay val="0"/>
      <c:spPr>
        <a:noFill/>
        <a:ln>
          <a:noFill/>
        </a:ln>
        <a:effectLst/>
      </c:spPr>
    </c:title>
    <c:autoTitleDeleted val="0"/>
    <c:plotArea>
      <c:layout/>
      <c:lineChart>
        <c:grouping val="standard"/>
        <c:varyColors val="0"/>
        <c:ser>
          <c:idx val="0"/>
          <c:order val="0"/>
          <c:tx>
            <c:strRef>
              <c:f>Sostenibilidad!$B$121</c:f>
              <c:strCache>
                <c:ptCount val="1"/>
                <c:pt idx="0">
                  <c:v>PIM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Sostenibilidad!$C$121:$G$121</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0-731F-4814-9388-086FDFA994C6}"/>
            </c:ext>
          </c:extLst>
        </c:ser>
        <c:ser>
          <c:idx val="1"/>
          <c:order val="1"/>
          <c:tx>
            <c:strRef>
              <c:f>Sostenibilidad!$B$122</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Sostenibilidad!$C$122:$G$122</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731F-4814-9388-086FDFA994C6}"/>
            </c:ext>
          </c:extLst>
        </c:ser>
        <c:dLbls>
          <c:showLegendKey val="0"/>
          <c:showVal val="0"/>
          <c:showCatName val="0"/>
          <c:showSerName val="0"/>
          <c:showPercent val="0"/>
          <c:showBubbleSize val="0"/>
        </c:dLbls>
        <c:marker val="1"/>
        <c:smooth val="0"/>
        <c:axId val="292532576"/>
        <c:axId val="293672656"/>
      </c:lineChart>
      <c:catAx>
        <c:axId val="29253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93672656"/>
        <c:crosses val="autoZero"/>
        <c:auto val="1"/>
        <c:lblAlgn val="ctr"/>
        <c:lblOffset val="100"/>
        <c:noMultiLvlLbl val="0"/>
      </c:catAx>
      <c:valAx>
        <c:axId val="293672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257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POR FUENTES DE FINANCIAMIENTO DEL C.S. HUANCARAMA 2014 - 2018</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outerShdw blurRad="50800" dist="50800" dir="5400000" algn="ctr" rotWithShape="0">
            <a:schemeClr val="accent2"/>
          </a:outerShdw>
        </a:effectLst>
        <a:sp3d/>
      </c:spPr>
    </c:sideWall>
    <c:backWall>
      <c:thickness val="0"/>
      <c:spPr>
        <a:noFill/>
        <a:ln>
          <a:noFill/>
        </a:ln>
        <a:effectLst>
          <a:outerShdw blurRad="50800" dist="50800" dir="5400000" algn="ctr" rotWithShape="0">
            <a:schemeClr val="accent2"/>
          </a:outerShdw>
        </a:effectLst>
        <a:sp3d/>
      </c:spPr>
    </c:backWall>
    <c:plotArea>
      <c:layout>
        <c:manualLayout>
          <c:layoutTarget val="inner"/>
          <c:xMode val="edge"/>
          <c:yMode val="edge"/>
          <c:x val="0.1280743125724616"/>
          <c:y val="0.17982556540556208"/>
          <c:w val="0.83126539022764245"/>
          <c:h val="0.59386572412889915"/>
        </c:manualLayout>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1.6260162601626018E-2"/>
                  <c:y val="-9.243210334345840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1B-4B28-AD9E-562F142747C9}"/>
                </c:ext>
              </c:extLst>
            </c:dLbl>
            <c:dLbl>
              <c:idx val="1"/>
              <c:layout>
                <c:manualLayout>
                  <c:x val="1.3550135501354964E-2"/>
                  <c:y val="-3.23512361702104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1B-4B28-AD9E-562F142747C9}"/>
                </c:ext>
              </c:extLst>
            </c:dLbl>
            <c:dLbl>
              <c:idx val="2"/>
              <c:layout>
                <c:manualLayout>
                  <c:x val="1.6260162601626018E-2"/>
                  <c:y val="-4.15944465045562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1B-4B28-AD9E-562F142747C9}"/>
                </c:ext>
              </c:extLst>
            </c:dLbl>
            <c:dLbl>
              <c:idx val="3"/>
              <c:layout>
                <c:manualLayout>
                  <c:x val="2.7100271002710029E-2"/>
                  <c:y val="-2.31080258358646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1B-4B28-AD9E-562F142747C9}"/>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Huancarama'!$J$4:$M$4</c:f>
              <c:strCache>
                <c:ptCount val="4"/>
                <c:pt idx="0">
                  <c:v>Recursos Ordinarios</c:v>
                </c:pt>
                <c:pt idx="1">
                  <c:v>Donaciones y Transferencias (SIS)</c:v>
                </c:pt>
                <c:pt idx="2">
                  <c:v>Recursos Directamente Recaudados</c:v>
                </c:pt>
                <c:pt idx="3">
                  <c:v>Recursos Determinados (Decretos de Urgencia)</c:v>
                </c:pt>
              </c:strCache>
            </c:strRef>
          </c:cat>
          <c:val>
            <c:numRef>
              <c:f>'Y_G CS Huancarama'!$J$5:$M$5</c:f>
              <c:numCache>
                <c:formatCode>0.00%</c:formatCode>
                <c:ptCount val="4"/>
                <c:pt idx="0">
                  <c:v>0.52253694850021559</c:v>
                </c:pt>
                <c:pt idx="1">
                  <c:v>0.39650985034618036</c:v>
                </c:pt>
                <c:pt idx="2">
                  <c:v>5.6624700007841526E-2</c:v>
                </c:pt>
                <c:pt idx="3">
                  <c:v>2.4328501145762627E-2</c:v>
                </c:pt>
              </c:numCache>
            </c:numRef>
          </c:val>
          <c:extLst>
            <c:ext xmlns:c16="http://schemas.microsoft.com/office/drawing/2014/chart" uri="{C3380CC4-5D6E-409C-BE32-E72D297353CC}">
              <c16:uniqueId val="{00000004-41A0-4753-B9BE-278C6BD817A5}"/>
            </c:ext>
          </c:extLst>
        </c:ser>
        <c:dLbls>
          <c:showLegendKey val="0"/>
          <c:showVal val="1"/>
          <c:showCatName val="0"/>
          <c:showSerName val="0"/>
          <c:showPercent val="0"/>
          <c:showBubbleSize val="0"/>
        </c:dLbls>
        <c:gapWidth val="65"/>
        <c:shape val="box"/>
        <c:axId val="293673048"/>
        <c:axId val="293669912"/>
        <c:axId val="0"/>
      </c:bar3DChart>
      <c:catAx>
        <c:axId val="2936730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93669912"/>
        <c:crosses val="autoZero"/>
        <c:auto val="1"/>
        <c:lblAlgn val="ctr"/>
        <c:lblOffset val="100"/>
        <c:noMultiLvlLbl val="0"/>
      </c:catAx>
      <c:valAx>
        <c:axId val="293669912"/>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9367304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n-US" sz="1200"/>
              <a:t>GASTOS POR FUENTES DE FINANCIAMIENTO DEL C.S. HUANCARAMA 2014 - 2018 </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7.4906352314261767E-3"/>
                  <c:y val="-1.19940011106256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61E-4C99-95AD-E0ABA8BC8CFA}"/>
                </c:ext>
              </c:extLst>
            </c:dLbl>
            <c:dLbl>
              <c:idx val="1"/>
              <c:layout>
                <c:manualLayout>
                  <c:x val="1.49812704628524E-2"/>
                  <c:y val="-2.39880022212513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1E-4C99-95AD-E0ABA8BC8CFA}"/>
                </c:ext>
              </c:extLst>
            </c:dLbl>
            <c:dLbl>
              <c:idx val="2"/>
              <c:layout>
                <c:manualLayout>
                  <c:x val="1.7478148873327853E-2"/>
                  <c:y val="-2.79860025914597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61E-4C99-95AD-E0ABA8BC8CFA}"/>
                </c:ext>
              </c:extLst>
            </c:dLbl>
            <c:dLbl>
              <c:idx val="3"/>
              <c:layout>
                <c:manualLayout>
                  <c:x val="9.9875136419015388E-3"/>
                  <c:y val="-1.99900018510426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61E-4C99-95AD-E0ABA8BC8CFA}"/>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Huancarama'!$J$22:$M$22</c:f>
              <c:strCache>
                <c:ptCount val="4"/>
                <c:pt idx="0">
                  <c:v>Recursos Ordinarios</c:v>
                </c:pt>
                <c:pt idx="1">
                  <c:v>Donaciones y Transferencias (SIS)</c:v>
                </c:pt>
                <c:pt idx="2">
                  <c:v>Recursos Directamente Recaudados</c:v>
                </c:pt>
                <c:pt idx="3">
                  <c:v>Recursos Determinados (Decretos de Urgencia)</c:v>
                </c:pt>
              </c:strCache>
            </c:strRef>
          </c:cat>
          <c:val>
            <c:numRef>
              <c:f>'Y_G CS Huancarama'!$J$23:$M$23</c:f>
              <c:numCache>
                <c:formatCode>0.00%</c:formatCode>
                <c:ptCount val="4"/>
                <c:pt idx="0">
                  <c:v>0.53041506222257584</c:v>
                </c:pt>
                <c:pt idx="1">
                  <c:v>0.38895419383551721</c:v>
                </c:pt>
                <c:pt idx="2">
                  <c:v>5.5935450171678204E-2</c:v>
                </c:pt>
                <c:pt idx="3">
                  <c:v>2.4695293770228707E-2</c:v>
                </c:pt>
              </c:numCache>
            </c:numRef>
          </c:val>
          <c:extLst>
            <c:ext xmlns:c16="http://schemas.microsoft.com/office/drawing/2014/chart" uri="{C3380CC4-5D6E-409C-BE32-E72D297353CC}">
              <c16:uniqueId val="{00000004-F61E-4C99-95AD-E0ABA8BC8CFA}"/>
            </c:ext>
          </c:extLst>
        </c:ser>
        <c:dLbls>
          <c:showLegendKey val="0"/>
          <c:showVal val="0"/>
          <c:showCatName val="0"/>
          <c:showSerName val="0"/>
          <c:showPercent val="0"/>
          <c:showBubbleSize val="0"/>
        </c:dLbls>
        <c:gapWidth val="65"/>
        <c:shape val="box"/>
        <c:axId val="290794008"/>
        <c:axId val="290795184"/>
        <c:axId val="0"/>
      </c:bar3DChart>
      <c:catAx>
        <c:axId val="2907940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90795184"/>
        <c:crosses val="autoZero"/>
        <c:auto val="1"/>
        <c:lblAlgn val="ctr"/>
        <c:lblOffset val="100"/>
        <c:noMultiLvlLbl val="0"/>
      </c:catAx>
      <c:valAx>
        <c:axId val="290795184"/>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9079400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Y GASTOS</a:t>
            </a:r>
          </a:p>
        </c:rich>
      </c:tx>
      <c:layout>
        <c:manualLayout>
          <c:xMode val="edge"/>
          <c:yMode val="edge"/>
          <c:x val="0.34201501648452137"/>
          <c:y val="3.0198339876962937E-2"/>
        </c:manualLayout>
      </c:layout>
      <c:overlay val="0"/>
      <c:spPr>
        <a:noFill/>
        <a:ln>
          <a:noFill/>
        </a:ln>
        <a:effectLst/>
      </c:spPr>
      <c:txPr>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'Y_G CS Huancarama'!$K$25</c:f>
              <c:strCache>
                <c:ptCount val="1"/>
                <c:pt idx="0">
                  <c:v>INGRESOS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Huancarama'!$K$26:$K$31</c:f>
              <c:numCache>
                <c:formatCode>#,##0.00</c:formatCode>
                <c:ptCount val="6"/>
                <c:pt idx="0">
                  <c:v>205254.28</c:v>
                </c:pt>
                <c:pt idx="1">
                  <c:v>286497.65999999997</c:v>
                </c:pt>
                <c:pt idx="2">
                  <c:v>217605.35000000003</c:v>
                </c:pt>
                <c:pt idx="3">
                  <c:v>179134.91</c:v>
                </c:pt>
                <c:pt idx="4">
                  <c:v>187956.77</c:v>
                </c:pt>
                <c:pt idx="5">
                  <c:v>1076448.97</c:v>
                </c:pt>
              </c:numCache>
            </c:numRef>
          </c:val>
          <c:extLst>
            <c:ext xmlns:c16="http://schemas.microsoft.com/office/drawing/2014/chart" uri="{C3380CC4-5D6E-409C-BE32-E72D297353CC}">
              <c16:uniqueId val="{00000000-B2FE-4B54-8724-969EB15E2DA3}"/>
            </c:ext>
          </c:extLst>
        </c:ser>
        <c:ser>
          <c:idx val="1"/>
          <c:order val="1"/>
          <c:tx>
            <c:strRef>
              <c:f>'Y_G CS Huancarama'!$L$25</c:f>
              <c:strCache>
                <c:ptCount val="1"/>
                <c:pt idx="0">
                  <c:v>GASTOS</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Huancarama'!$L$26:$L$31</c:f>
              <c:numCache>
                <c:formatCode>#,##0.00</c:formatCode>
                <c:ptCount val="6"/>
                <c:pt idx="0">
                  <c:v>205111.22</c:v>
                </c:pt>
                <c:pt idx="1">
                  <c:v>273274.36</c:v>
                </c:pt>
                <c:pt idx="2">
                  <c:v>215904.35000000003</c:v>
                </c:pt>
                <c:pt idx="3">
                  <c:v>178471.06</c:v>
                </c:pt>
                <c:pt idx="4">
                  <c:v>187699.77</c:v>
                </c:pt>
                <c:pt idx="5">
                  <c:v>1060460.76</c:v>
                </c:pt>
              </c:numCache>
            </c:numRef>
          </c:val>
          <c:extLst>
            <c:ext xmlns:c16="http://schemas.microsoft.com/office/drawing/2014/chart" uri="{C3380CC4-5D6E-409C-BE32-E72D297353CC}">
              <c16:uniqueId val="{00000001-B2FE-4B54-8724-969EB15E2DA3}"/>
            </c:ext>
          </c:extLst>
        </c:ser>
        <c:dLbls>
          <c:showLegendKey val="0"/>
          <c:showVal val="0"/>
          <c:showCatName val="0"/>
          <c:showSerName val="0"/>
          <c:showPercent val="0"/>
          <c:showBubbleSize val="0"/>
        </c:dLbls>
        <c:gapWidth val="65"/>
        <c:shape val="box"/>
        <c:axId val="290792440"/>
        <c:axId val="290788912"/>
        <c:axId val="0"/>
      </c:bar3DChart>
      <c:catAx>
        <c:axId val="2907924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90788912"/>
        <c:crosses val="autoZero"/>
        <c:auto val="1"/>
        <c:lblAlgn val="ctr"/>
        <c:lblOffset val="100"/>
        <c:noMultiLvlLbl val="0"/>
      </c:catAx>
      <c:valAx>
        <c:axId val="290788912"/>
        <c:scaling>
          <c:orientation val="minMax"/>
        </c:scaling>
        <c:delete val="0"/>
        <c:axPos val="l"/>
        <c:majorGridlines>
          <c:spPr>
            <a:ln w="22225" cap="flat" cmpd="sng" algn="ctr">
              <a:solidFill>
                <a:schemeClr val="accent2"/>
              </a:solidFill>
              <a:round/>
            </a:ln>
            <a:effectLst>
              <a:outerShdw blurRad="50800" dist="50800" dir="5400000" algn="ctr" rotWithShape="0">
                <a:schemeClr val="accent6"/>
              </a:outerShdw>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90792440"/>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ysClr val="windowText" lastClr="000000"/>
                </a:solidFill>
                <a:latin typeface="Arial Narrow" panose="020B0606020202030204" pitchFamily="34" charset="0"/>
                <a:ea typeface="+mn-ea"/>
                <a:cs typeface="+mn-cs"/>
              </a:defRPr>
            </a:pPr>
            <a:endParaRPr lang="es-PE"/>
          </a:p>
        </c:txPr>
      </c:dTable>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emf"/></Relationships>
</file>

<file path=xl/drawings/_rels/drawing3.xml.rels><?xml version="1.0" encoding="UTF-8" standalone="yes"?>
<Relationships xmlns="http://schemas.openxmlformats.org/package/2006/relationships"><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4.emf"/></Relationships>
</file>

<file path=xl/drawings/_rels/drawing6.xml.rels><?xml version="1.0" encoding="UTF-8" standalone="yes"?>
<Relationships xmlns="http://schemas.openxmlformats.org/package/2006/relationships"><Relationship Id="rId1" Type="http://schemas.openxmlformats.org/officeDocument/2006/relationships/image" Target="../media/image4.emf"/></Relationships>
</file>

<file path=xl/drawings/_rels/drawing7.xml.rels><?xml version="1.0" encoding="UTF-8" standalone="yes"?>
<Relationships xmlns="http://schemas.openxmlformats.org/package/2006/relationships"><Relationship Id="rId1" Type="http://schemas.openxmlformats.org/officeDocument/2006/relationships/image" Target="../media/image4.emf"/></Relationships>
</file>

<file path=xl/drawings/_rels/drawing8.xml.rels><?xml version="1.0" encoding="UTF-8" standalone="yes"?>
<Relationships xmlns="http://schemas.openxmlformats.org/package/2006/relationships"><Relationship Id="rId1" Type="http://schemas.openxmlformats.org/officeDocument/2006/relationships/image" Target="../media/image5.emf"/></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emf"/></Relationships>
</file>

<file path=xl/drawings/_rels/drawing12.xml.rels><?xml version="1.0" encoding="UTF-8" standalone="yes"?>
<Relationships xmlns="http://schemas.openxmlformats.org/package/2006/relationships"><Relationship Id="rId1" Type="http://schemas.openxmlformats.org/officeDocument/2006/relationships/image" Target="../media/image4.emf"/></Relationships>
</file>

<file path=xl/drawings/_rels/drawing13.xml.rels><?xml version="1.0" encoding="UTF-8" standalone="yes"?>
<Relationships xmlns="http://schemas.openxmlformats.org/package/2006/relationships"><Relationship Id="rId1" Type="http://schemas.openxmlformats.org/officeDocument/2006/relationships/image" Target="../media/image4.emf"/></Relationships>
</file>

<file path=xl/drawings/_rels/drawing15.xml.rels><?xml version="1.0" encoding="UTF-8" standalone="yes"?>
<Relationships xmlns="http://schemas.openxmlformats.org/package/2006/relationships"><Relationship Id="rId1" Type="http://schemas.openxmlformats.org/officeDocument/2006/relationships/image" Target="../media/image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9.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14.png"/><Relationship Id="rId4"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3</xdr:col>
      <xdr:colOff>4530871</xdr:colOff>
      <xdr:row>36</xdr:row>
      <xdr:rowOff>65663</xdr:rowOff>
    </xdr:from>
    <xdr:ext cx="1755629" cy="523875"/>
    <xdr:sp macro="" textlink="">
      <xdr:nvSpPr>
        <xdr:cNvPr id="11" name="1 CuadroTexto">
          <a:extLst>
            <a:ext uri="{FF2B5EF4-FFF2-40B4-BE49-F238E27FC236}">
              <a16:creationId xmlns:a16="http://schemas.microsoft.com/office/drawing/2014/main" id="{89E5F7D3-D0D9-4588-8524-698253ED18A8}"/>
            </a:ext>
          </a:extLst>
        </xdr:cNvPr>
        <xdr:cNvSpPr txBox="1"/>
      </xdr:nvSpPr>
      <xdr:spPr>
        <a:xfrm>
          <a:off x="10870711" y="6651248"/>
          <a:ext cx="1755629" cy="523875"/>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C.S  TOTORA</a:t>
          </a:r>
          <a:r>
            <a:rPr lang="es-PE" sz="1100" b="1" baseline="0">
              <a:solidFill>
                <a:schemeClr val="bg1"/>
              </a:solidFill>
            </a:rPr>
            <a:t> OROPESA</a:t>
          </a:r>
          <a:r>
            <a:rPr lang="es-PE" sz="1100" b="1">
              <a:solidFill>
                <a:schemeClr val="bg1"/>
              </a:solidFill>
            </a:rPr>
            <a:t>         I - 3</a:t>
          </a:r>
        </a:p>
        <a:p>
          <a:pPr algn="ctr"/>
          <a:endParaRPr lang="es-PE" sz="1100" b="1">
            <a:solidFill>
              <a:schemeClr val="bg1"/>
            </a:solidFill>
          </a:endParaRPr>
        </a:p>
      </xdr:txBody>
    </xdr:sp>
    <xdr:clientData/>
  </xdr:oneCellAnchor>
  <xdr:oneCellAnchor>
    <xdr:from>
      <xdr:col>3</xdr:col>
      <xdr:colOff>2264787</xdr:colOff>
      <xdr:row>28</xdr:row>
      <xdr:rowOff>191943</xdr:rowOff>
    </xdr:from>
    <xdr:ext cx="1438275" cy="523875"/>
    <xdr:sp macro="" textlink="">
      <xdr:nvSpPr>
        <xdr:cNvPr id="12" name="3 CuadroTexto">
          <a:extLst>
            <a:ext uri="{FF2B5EF4-FFF2-40B4-BE49-F238E27FC236}">
              <a16:creationId xmlns:a16="http://schemas.microsoft.com/office/drawing/2014/main" id="{89E8DE73-AC30-490D-8381-37661EC5D737}"/>
            </a:ext>
          </a:extLst>
        </xdr:cNvPr>
        <xdr:cNvSpPr txBox="1"/>
      </xdr:nvSpPr>
      <xdr:spPr>
        <a:xfrm>
          <a:off x="8608437" y="5304963"/>
          <a:ext cx="1438275"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 MAMARA I-2</a:t>
          </a:r>
        </a:p>
        <a:p>
          <a:pPr algn="ctr"/>
          <a:r>
            <a:rPr lang="es-PE" sz="1100" b="1">
              <a:solidFill>
                <a:schemeClr val="bg1"/>
              </a:solidFill>
            </a:rPr>
            <a:t>35</a:t>
          </a:r>
          <a:r>
            <a:rPr lang="es-PE" sz="1100" b="1" baseline="0">
              <a:solidFill>
                <a:schemeClr val="bg1"/>
              </a:solidFill>
            </a:rPr>
            <a:t> </a:t>
          </a:r>
          <a:r>
            <a:rPr lang="es-PE" sz="1100" b="1">
              <a:solidFill>
                <a:schemeClr val="bg1"/>
              </a:solidFill>
            </a:rPr>
            <a:t>Km</a:t>
          </a:r>
          <a:r>
            <a:rPr lang="es-PE" sz="1100" b="1" baseline="0">
              <a:solidFill>
                <a:schemeClr val="bg1"/>
              </a:solidFill>
            </a:rPr>
            <a:t> - 1 hora</a:t>
          </a:r>
          <a:endParaRPr lang="es-PE" sz="1100" b="1">
            <a:solidFill>
              <a:schemeClr val="bg1"/>
            </a:solidFill>
          </a:endParaRPr>
        </a:p>
      </xdr:txBody>
    </xdr:sp>
    <xdr:clientData/>
  </xdr:oneCellAnchor>
  <xdr:oneCellAnchor>
    <xdr:from>
      <xdr:col>4</xdr:col>
      <xdr:colOff>681902</xdr:colOff>
      <xdr:row>53</xdr:row>
      <xdr:rowOff>14575</xdr:rowOff>
    </xdr:from>
    <xdr:ext cx="1466850" cy="523875"/>
    <xdr:sp macro="" textlink="">
      <xdr:nvSpPr>
        <xdr:cNvPr id="13" name="4 CuadroTexto">
          <a:extLst>
            <a:ext uri="{FF2B5EF4-FFF2-40B4-BE49-F238E27FC236}">
              <a16:creationId xmlns:a16="http://schemas.microsoft.com/office/drawing/2014/main" id="{34D50D6F-8EDB-4DBF-BD6C-03186219CD74}"/>
            </a:ext>
          </a:extLst>
        </xdr:cNvPr>
        <xdr:cNvSpPr txBox="1"/>
      </xdr:nvSpPr>
      <xdr:spPr>
        <a:xfrm>
          <a:off x="11822342" y="9711025"/>
          <a:ext cx="146685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a:t>
          </a:r>
          <a:r>
            <a:rPr lang="es-PE" sz="1100" b="1" baseline="0">
              <a:solidFill>
                <a:schemeClr val="bg1"/>
              </a:solidFill>
            </a:rPr>
            <a:t> SONCCOCCOCHA I-1</a:t>
          </a:r>
          <a:endParaRPr lang="es-PE" sz="1100" b="1">
            <a:solidFill>
              <a:schemeClr val="bg1"/>
            </a:solidFill>
          </a:endParaRPr>
        </a:p>
        <a:p>
          <a:pPr algn="ctr"/>
          <a:r>
            <a:rPr lang="es-PE" sz="1100" b="1">
              <a:solidFill>
                <a:schemeClr val="bg1"/>
              </a:solidFill>
            </a:rPr>
            <a:t>105</a:t>
          </a:r>
          <a:r>
            <a:rPr lang="es-PE" sz="1100" b="1" baseline="0">
              <a:solidFill>
                <a:schemeClr val="bg1"/>
              </a:solidFill>
            </a:rPr>
            <a:t> </a:t>
          </a:r>
          <a:r>
            <a:rPr lang="es-PE" sz="1100" b="1">
              <a:solidFill>
                <a:schemeClr val="bg1"/>
              </a:solidFill>
            </a:rPr>
            <a:t>km</a:t>
          </a:r>
          <a:r>
            <a:rPr lang="es-PE" sz="1100" b="1" baseline="0">
              <a:solidFill>
                <a:schemeClr val="bg1"/>
              </a:solidFill>
            </a:rPr>
            <a:t> - 6 horas</a:t>
          </a:r>
          <a:endParaRPr lang="es-PE" sz="1100" b="1">
            <a:solidFill>
              <a:schemeClr val="bg1"/>
            </a:solidFill>
          </a:endParaRPr>
        </a:p>
      </xdr:txBody>
    </xdr:sp>
    <xdr:clientData/>
  </xdr:oneCellAnchor>
  <xdr:oneCellAnchor>
    <xdr:from>
      <xdr:col>3</xdr:col>
      <xdr:colOff>3145416</xdr:colOff>
      <xdr:row>52</xdr:row>
      <xdr:rowOff>26701</xdr:rowOff>
    </xdr:from>
    <xdr:ext cx="1936750" cy="523875"/>
    <xdr:sp macro="" textlink="">
      <xdr:nvSpPr>
        <xdr:cNvPr id="14" name="5 CuadroTexto">
          <a:extLst>
            <a:ext uri="{FF2B5EF4-FFF2-40B4-BE49-F238E27FC236}">
              <a16:creationId xmlns:a16="http://schemas.microsoft.com/office/drawing/2014/main" id="{8BD61F52-EFE7-4E98-84A6-49D68416EEC1}"/>
            </a:ext>
          </a:extLst>
        </xdr:cNvPr>
        <xdr:cNvSpPr txBox="1"/>
      </xdr:nvSpPr>
      <xdr:spPr>
        <a:xfrm>
          <a:off x="9489066" y="9538366"/>
          <a:ext cx="193675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a:t>
          </a:r>
          <a:r>
            <a:rPr lang="es-PE" sz="1100" b="1" baseline="0">
              <a:solidFill>
                <a:schemeClr val="bg1"/>
              </a:solidFill>
            </a:rPr>
            <a:t> KILCATA I-1</a:t>
          </a:r>
          <a:endParaRPr lang="es-PE" sz="1100" b="1">
            <a:solidFill>
              <a:schemeClr val="bg1"/>
            </a:solidFill>
          </a:endParaRPr>
        </a:p>
        <a:p>
          <a:pPr algn="ctr"/>
          <a:r>
            <a:rPr lang="es-PE" sz="1100" b="1">
              <a:solidFill>
                <a:schemeClr val="bg1"/>
              </a:solidFill>
            </a:rPr>
            <a:t>40 km</a:t>
          </a:r>
          <a:r>
            <a:rPr lang="es-PE" sz="1100" b="1" baseline="0">
              <a:solidFill>
                <a:schemeClr val="bg1"/>
              </a:solidFill>
            </a:rPr>
            <a:t> - 4 horas</a:t>
          </a:r>
          <a:endParaRPr lang="es-PE" sz="1100" b="1">
            <a:solidFill>
              <a:schemeClr val="bg1"/>
            </a:solidFill>
          </a:endParaRPr>
        </a:p>
      </xdr:txBody>
    </xdr:sp>
    <xdr:clientData/>
  </xdr:oneCellAnchor>
  <xdr:oneCellAnchor>
    <xdr:from>
      <xdr:col>3</xdr:col>
      <xdr:colOff>4265758</xdr:colOff>
      <xdr:row>64</xdr:row>
      <xdr:rowOff>99723</xdr:rowOff>
    </xdr:from>
    <xdr:ext cx="1409700" cy="523875"/>
    <xdr:sp macro="" textlink="">
      <xdr:nvSpPr>
        <xdr:cNvPr id="15" name="7 CuadroTexto">
          <a:extLst>
            <a:ext uri="{FF2B5EF4-FFF2-40B4-BE49-F238E27FC236}">
              <a16:creationId xmlns:a16="http://schemas.microsoft.com/office/drawing/2014/main" id="{66479EBD-9567-430C-B000-747B848C634A}"/>
            </a:ext>
          </a:extLst>
        </xdr:cNvPr>
        <xdr:cNvSpPr txBox="1"/>
      </xdr:nvSpPr>
      <xdr:spPr>
        <a:xfrm>
          <a:off x="10605598" y="11807853"/>
          <a:ext cx="140970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 YUMIRE I-1</a:t>
          </a:r>
        </a:p>
        <a:p>
          <a:pPr algn="ctr"/>
          <a:r>
            <a:rPr lang="es-PE" sz="1100" b="1">
              <a:solidFill>
                <a:schemeClr val="bg1"/>
              </a:solidFill>
            </a:rPr>
            <a:t>90 km</a:t>
          </a:r>
          <a:r>
            <a:rPr lang="es-PE" sz="1100" b="1" baseline="0">
              <a:solidFill>
                <a:schemeClr val="bg1"/>
              </a:solidFill>
            </a:rPr>
            <a:t> - 5 horas</a:t>
          </a:r>
          <a:endParaRPr lang="es-PE" sz="1100" b="1">
            <a:solidFill>
              <a:schemeClr val="bg1"/>
            </a:solidFill>
          </a:endParaRPr>
        </a:p>
      </xdr:txBody>
    </xdr:sp>
    <xdr:clientData/>
  </xdr:oneCellAnchor>
  <xdr:twoCellAnchor>
    <xdr:from>
      <xdr:col>3</xdr:col>
      <xdr:colOff>2983925</xdr:colOff>
      <xdr:row>31</xdr:row>
      <xdr:rowOff>5773</xdr:rowOff>
    </xdr:from>
    <xdr:to>
      <xdr:col>4</xdr:col>
      <xdr:colOff>611549</xdr:colOff>
      <xdr:row>36</xdr:row>
      <xdr:rowOff>65663</xdr:rowOff>
    </xdr:to>
    <xdr:cxnSp macro="">
      <xdr:nvCxnSpPr>
        <xdr:cNvPr id="16" name="11 Conector recto de flecha">
          <a:extLst>
            <a:ext uri="{FF2B5EF4-FFF2-40B4-BE49-F238E27FC236}">
              <a16:creationId xmlns:a16="http://schemas.microsoft.com/office/drawing/2014/main" id="{E141A548-2677-47C2-BE08-F4A88CF3843C}"/>
            </a:ext>
          </a:extLst>
        </xdr:cNvPr>
        <xdr:cNvCxnSpPr>
          <a:stCxn id="12" idx="2"/>
          <a:endCxn id="11" idx="0"/>
        </xdr:cNvCxnSpPr>
      </xdr:nvCxnSpPr>
      <xdr:spPr>
        <a:xfrm>
          <a:off x="9321860" y="5673148"/>
          <a:ext cx="2430129" cy="978100"/>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611549</xdr:colOff>
      <xdr:row>39</xdr:row>
      <xdr:rowOff>18038</xdr:rowOff>
    </xdr:from>
    <xdr:to>
      <xdr:col>4</xdr:col>
      <xdr:colOff>1415327</xdr:colOff>
      <xdr:row>53</xdr:row>
      <xdr:rowOff>14575</xdr:rowOff>
    </xdr:to>
    <xdr:cxnSp macro="">
      <xdr:nvCxnSpPr>
        <xdr:cNvPr id="17" name="13 Conector recto de flecha">
          <a:extLst>
            <a:ext uri="{FF2B5EF4-FFF2-40B4-BE49-F238E27FC236}">
              <a16:creationId xmlns:a16="http://schemas.microsoft.com/office/drawing/2014/main" id="{567CC71C-7AB1-418D-A022-285DABB6C20F}"/>
            </a:ext>
          </a:extLst>
        </xdr:cNvPr>
        <xdr:cNvCxnSpPr>
          <a:stCxn id="13" idx="0"/>
          <a:endCxn id="11" idx="2"/>
        </xdr:cNvCxnSpPr>
      </xdr:nvCxnSpPr>
      <xdr:spPr>
        <a:xfrm flipH="1" flipV="1">
          <a:off x="11751989" y="7154168"/>
          <a:ext cx="116073" cy="2556857"/>
        </a:xfrm>
        <a:prstGeom prst="straightConnector1">
          <a:avLst/>
        </a:prstGeom>
        <a:ln w="9525">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173471</xdr:colOff>
      <xdr:row>39</xdr:row>
      <xdr:rowOff>18038</xdr:rowOff>
    </xdr:from>
    <xdr:to>
      <xdr:col>4</xdr:col>
      <xdr:colOff>611549</xdr:colOff>
      <xdr:row>64</xdr:row>
      <xdr:rowOff>99723</xdr:rowOff>
    </xdr:to>
    <xdr:cxnSp macro="">
      <xdr:nvCxnSpPr>
        <xdr:cNvPr id="18" name="17 Conector recto de flecha">
          <a:extLst>
            <a:ext uri="{FF2B5EF4-FFF2-40B4-BE49-F238E27FC236}">
              <a16:creationId xmlns:a16="http://schemas.microsoft.com/office/drawing/2014/main" id="{B0B3F251-4AD5-4125-9785-4473F733EA2D}"/>
            </a:ext>
          </a:extLst>
        </xdr:cNvPr>
        <xdr:cNvCxnSpPr>
          <a:stCxn id="15" idx="0"/>
          <a:endCxn id="11" idx="2"/>
        </xdr:cNvCxnSpPr>
      </xdr:nvCxnSpPr>
      <xdr:spPr>
        <a:xfrm flipV="1">
          <a:off x="11317721" y="7154168"/>
          <a:ext cx="434268" cy="4653685"/>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4113791</xdr:colOff>
      <xdr:row>39</xdr:row>
      <xdr:rowOff>18038</xdr:rowOff>
    </xdr:from>
    <xdr:to>
      <xdr:col>4</xdr:col>
      <xdr:colOff>611549</xdr:colOff>
      <xdr:row>52</xdr:row>
      <xdr:rowOff>26701</xdr:rowOff>
    </xdr:to>
    <xdr:cxnSp macro="">
      <xdr:nvCxnSpPr>
        <xdr:cNvPr id="19" name="19 Conector recto de flecha">
          <a:extLst>
            <a:ext uri="{FF2B5EF4-FFF2-40B4-BE49-F238E27FC236}">
              <a16:creationId xmlns:a16="http://schemas.microsoft.com/office/drawing/2014/main" id="{72F235BB-157D-48F9-A10C-A957CB45BC6E}"/>
            </a:ext>
          </a:extLst>
        </xdr:cNvPr>
        <xdr:cNvCxnSpPr>
          <a:stCxn id="14" idx="0"/>
          <a:endCxn id="11" idx="2"/>
        </xdr:cNvCxnSpPr>
      </xdr:nvCxnSpPr>
      <xdr:spPr>
        <a:xfrm flipV="1">
          <a:off x="10453631" y="7154168"/>
          <a:ext cx="1298358" cy="2384198"/>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3617851</xdr:colOff>
      <xdr:row>28</xdr:row>
      <xdr:rowOff>112405</xdr:rowOff>
    </xdr:from>
    <xdr:ext cx="1597025" cy="523875"/>
    <xdr:sp macro="" textlink="">
      <xdr:nvSpPr>
        <xdr:cNvPr id="20" name="14 CuadroTexto">
          <a:extLst>
            <a:ext uri="{FF2B5EF4-FFF2-40B4-BE49-F238E27FC236}">
              <a16:creationId xmlns:a16="http://schemas.microsoft.com/office/drawing/2014/main" id="{B35C9FF8-7F88-46AE-A068-933C8E7ED68F}"/>
            </a:ext>
          </a:extLst>
        </xdr:cNvPr>
        <xdr:cNvSpPr txBox="1"/>
      </xdr:nvSpPr>
      <xdr:spPr>
        <a:xfrm>
          <a:off x="5157091" y="5233045"/>
          <a:ext cx="1597025"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a:solidFill>
                <a:schemeClr val="bg1"/>
              </a:solidFill>
            </a:rPr>
            <a:t>P.S.</a:t>
          </a:r>
          <a:r>
            <a:rPr lang="es-PE" sz="1100" baseline="0">
              <a:solidFill>
                <a:schemeClr val="bg1"/>
              </a:solidFill>
            </a:rPr>
            <a:t> TURPAY </a:t>
          </a:r>
          <a:r>
            <a:rPr lang="es-PE" sz="1100">
              <a:solidFill>
                <a:schemeClr val="bg1"/>
              </a:solidFill>
            </a:rPr>
            <a:t> I-1</a:t>
          </a:r>
        </a:p>
        <a:p>
          <a:pPr algn="ctr"/>
          <a:r>
            <a:rPr lang="es-PE" sz="1100" b="1">
              <a:solidFill>
                <a:schemeClr val="bg1"/>
              </a:solidFill>
            </a:rPr>
            <a:t>15</a:t>
          </a:r>
          <a:r>
            <a:rPr lang="es-PE" sz="1100" b="1" baseline="0">
              <a:solidFill>
                <a:schemeClr val="bg1"/>
              </a:solidFill>
            </a:rPr>
            <a:t> </a:t>
          </a:r>
          <a:r>
            <a:rPr lang="es-PE" sz="1100" b="1">
              <a:solidFill>
                <a:schemeClr val="bg1"/>
              </a:solidFill>
            </a:rPr>
            <a:t>Km</a:t>
          </a:r>
          <a:r>
            <a:rPr lang="es-PE" sz="1100" b="1" baseline="0">
              <a:solidFill>
                <a:schemeClr val="bg1"/>
              </a:solidFill>
            </a:rPr>
            <a:t> - 30 minutos</a:t>
          </a:r>
          <a:endParaRPr lang="es-PE" sz="1100">
            <a:solidFill>
              <a:schemeClr val="bg1"/>
            </a:solidFill>
          </a:endParaRPr>
        </a:p>
      </xdr:txBody>
    </xdr:sp>
    <xdr:clientData/>
  </xdr:oneCellAnchor>
  <xdr:twoCellAnchor>
    <xdr:from>
      <xdr:col>2</xdr:col>
      <xdr:colOff>4416364</xdr:colOff>
      <xdr:row>31</xdr:row>
      <xdr:rowOff>113766</xdr:rowOff>
    </xdr:from>
    <xdr:to>
      <xdr:col>4</xdr:col>
      <xdr:colOff>466572</xdr:colOff>
      <xdr:row>36</xdr:row>
      <xdr:rowOff>65663</xdr:rowOff>
    </xdr:to>
    <xdr:cxnSp macro="">
      <xdr:nvCxnSpPr>
        <xdr:cNvPr id="21" name="20 Conector recto de flecha">
          <a:extLst>
            <a:ext uri="{FF2B5EF4-FFF2-40B4-BE49-F238E27FC236}">
              <a16:creationId xmlns:a16="http://schemas.microsoft.com/office/drawing/2014/main" id="{684B2D2D-87AE-431B-8CE2-D210A81FA42C}"/>
            </a:ext>
          </a:extLst>
        </xdr:cNvPr>
        <xdr:cNvCxnSpPr>
          <a:stCxn id="20" idx="2"/>
          <a:endCxn id="11" idx="0"/>
        </xdr:cNvCxnSpPr>
      </xdr:nvCxnSpPr>
      <xdr:spPr>
        <a:xfrm>
          <a:off x="5955604" y="5783046"/>
          <a:ext cx="5649503" cy="868202"/>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1472047</xdr:colOff>
      <xdr:row>18</xdr:row>
      <xdr:rowOff>17318</xdr:rowOff>
    </xdr:from>
    <xdr:ext cx="1755629" cy="686703"/>
    <xdr:sp macro="" textlink="">
      <xdr:nvSpPr>
        <xdr:cNvPr id="22" name="1 CuadroTexto">
          <a:extLst>
            <a:ext uri="{FF2B5EF4-FFF2-40B4-BE49-F238E27FC236}">
              <a16:creationId xmlns:a16="http://schemas.microsoft.com/office/drawing/2014/main" id="{B6778D7C-4946-4D1C-80F9-AEF58783F9B4}"/>
            </a:ext>
          </a:extLst>
        </xdr:cNvPr>
        <xdr:cNvSpPr txBox="1"/>
      </xdr:nvSpPr>
      <xdr:spPr>
        <a:xfrm>
          <a:off x="7813792" y="3312968"/>
          <a:ext cx="1755629" cy="686703"/>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C.S  SAN CAMILO LELLIS      I - 4</a:t>
          </a:r>
        </a:p>
        <a:p>
          <a:pPr algn="ctr"/>
          <a:r>
            <a:rPr lang="es-PE" sz="1100" b="1" baseline="0">
              <a:solidFill>
                <a:schemeClr val="bg1"/>
              </a:solidFill>
            </a:rPr>
            <a:t>75 km - 3h 30 minutos</a:t>
          </a:r>
          <a:endParaRPr lang="es-PE" sz="1100" b="1">
            <a:solidFill>
              <a:schemeClr val="bg1"/>
            </a:solidFill>
          </a:endParaRPr>
        </a:p>
        <a:p>
          <a:pPr algn="ctr"/>
          <a:endParaRPr lang="es-PE" sz="1100" b="1">
            <a:solidFill>
              <a:schemeClr val="bg1"/>
            </a:solidFill>
          </a:endParaRPr>
        </a:p>
      </xdr:txBody>
    </xdr:sp>
    <xdr:clientData/>
  </xdr:oneCellAnchor>
  <xdr:oneCellAnchor>
    <xdr:from>
      <xdr:col>1</xdr:col>
      <xdr:colOff>152400</xdr:colOff>
      <xdr:row>7</xdr:row>
      <xdr:rowOff>31173</xdr:rowOff>
    </xdr:from>
    <xdr:ext cx="1755629" cy="626918"/>
    <xdr:sp macro="" textlink="">
      <xdr:nvSpPr>
        <xdr:cNvPr id="23" name="1 CuadroTexto">
          <a:extLst>
            <a:ext uri="{FF2B5EF4-FFF2-40B4-BE49-F238E27FC236}">
              <a16:creationId xmlns:a16="http://schemas.microsoft.com/office/drawing/2014/main" id="{E9D67558-8783-4CF2-BD53-D49B6F66EE82}"/>
            </a:ext>
          </a:extLst>
        </xdr:cNvPr>
        <xdr:cNvSpPr txBox="1"/>
      </xdr:nvSpPr>
      <xdr:spPr>
        <a:xfrm>
          <a:off x="922020" y="1313238"/>
          <a:ext cx="1755629" cy="626918"/>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HOSPITAL GUILLERMO DIAZ DE LA VEGA II</a:t>
          </a:r>
          <a:r>
            <a:rPr lang="es-PE" sz="1100" b="1" baseline="0">
              <a:solidFill>
                <a:schemeClr val="bg1"/>
              </a:solidFill>
            </a:rPr>
            <a:t> - 2</a:t>
          </a:r>
        </a:p>
        <a:p>
          <a:pPr algn="ctr"/>
          <a:r>
            <a:rPr lang="es-PE" sz="1100" b="1">
              <a:solidFill>
                <a:schemeClr val="bg1"/>
              </a:solidFill>
            </a:rPr>
            <a:t>120 km - 3h 30 minutos</a:t>
          </a:r>
        </a:p>
        <a:p>
          <a:pPr algn="ctr"/>
          <a:endParaRPr lang="es-PE" sz="1100" b="1">
            <a:solidFill>
              <a:schemeClr val="bg1"/>
            </a:solidFill>
          </a:endParaRPr>
        </a:p>
        <a:p>
          <a:pPr algn="ctr"/>
          <a:endParaRPr lang="es-PE" sz="1100" b="1">
            <a:solidFill>
              <a:schemeClr val="bg1"/>
            </a:solidFill>
          </a:endParaRPr>
        </a:p>
      </xdr:txBody>
    </xdr:sp>
    <xdr:clientData/>
  </xdr:oneCellAnchor>
  <xdr:twoCellAnchor>
    <xdr:from>
      <xdr:col>3</xdr:col>
      <xdr:colOff>2349862</xdr:colOff>
      <xdr:row>20</xdr:row>
      <xdr:rowOff>173934</xdr:rowOff>
    </xdr:from>
    <xdr:to>
      <xdr:col>4</xdr:col>
      <xdr:colOff>604773</xdr:colOff>
      <xdr:row>36</xdr:row>
      <xdr:rowOff>65663</xdr:rowOff>
    </xdr:to>
    <xdr:cxnSp macro="">
      <xdr:nvCxnSpPr>
        <xdr:cNvPr id="24" name="11 Conector recto de flecha">
          <a:extLst>
            <a:ext uri="{FF2B5EF4-FFF2-40B4-BE49-F238E27FC236}">
              <a16:creationId xmlns:a16="http://schemas.microsoft.com/office/drawing/2014/main" id="{E1709C7F-438A-4AD4-9302-76F2826E3B49}"/>
            </a:ext>
          </a:extLst>
        </xdr:cNvPr>
        <xdr:cNvCxnSpPr>
          <a:stCxn id="11" idx="0"/>
          <a:endCxn id="22" idx="2"/>
        </xdr:cNvCxnSpPr>
      </xdr:nvCxnSpPr>
      <xdr:spPr>
        <a:xfrm flipH="1" flipV="1">
          <a:off x="8691607" y="3835344"/>
          <a:ext cx="3055511" cy="2815904"/>
        </a:xfrm>
        <a:prstGeom prst="straightConnector1">
          <a:avLst/>
        </a:prstGeom>
        <a:ln w="25400">
          <a:solidFill>
            <a:schemeClr val="accent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261837</xdr:colOff>
      <xdr:row>11</xdr:row>
      <xdr:rowOff>84535</xdr:rowOff>
    </xdr:from>
    <xdr:to>
      <xdr:col>3</xdr:col>
      <xdr:colOff>2351767</xdr:colOff>
      <xdr:row>19</xdr:row>
      <xdr:rowOff>159673</xdr:rowOff>
    </xdr:to>
    <xdr:cxnSp macro="">
      <xdr:nvCxnSpPr>
        <xdr:cNvPr id="25" name="11 Conector recto de flecha">
          <a:extLst>
            <a:ext uri="{FF2B5EF4-FFF2-40B4-BE49-F238E27FC236}">
              <a16:creationId xmlns:a16="http://schemas.microsoft.com/office/drawing/2014/main" id="{6416CFB5-4F87-45CD-BD72-6AE8EB221E90}"/>
            </a:ext>
          </a:extLst>
        </xdr:cNvPr>
        <xdr:cNvCxnSpPr/>
      </xdr:nvCxnSpPr>
      <xdr:spPr>
        <a:xfrm flipH="1" flipV="1">
          <a:off x="1802982" y="2094310"/>
          <a:ext cx="6890530" cy="1538178"/>
        </a:xfrm>
        <a:prstGeom prst="straightConnector1">
          <a:avLst/>
        </a:prstGeom>
        <a:ln w="25400">
          <a:solidFill>
            <a:schemeClr val="accent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355103</xdr:colOff>
      <xdr:row>5</xdr:row>
      <xdr:rowOff>236</xdr:rowOff>
    </xdr:from>
    <xdr:to>
      <xdr:col>17</xdr:col>
      <xdr:colOff>1490016</xdr:colOff>
      <xdr:row>58</xdr:row>
      <xdr:rowOff>72735</xdr:rowOff>
    </xdr:to>
    <xdr:pic>
      <xdr:nvPicPr>
        <xdr:cNvPr id="26" name="Imagen 25">
          <a:extLst>
            <a:ext uri="{FF2B5EF4-FFF2-40B4-BE49-F238E27FC236}">
              <a16:creationId xmlns:a16="http://schemas.microsoft.com/office/drawing/2014/main" id="{74ADB4D5-9C32-498D-82EE-605D25754E4C}"/>
            </a:ext>
          </a:extLst>
        </xdr:cNvPr>
        <xdr:cNvPicPr>
          <a:picLocks noChangeAspect="1"/>
        </xdr:cNvPicPr>
      </xdr:nvPicPr>
      <xdr:blipFill rotWithShape="1">
        <a:blip xmlns:r="http://schemas.openxmlformats.org/officeDocument/2006/relationships" r:embed="rId1"/>
        <a:srcRect l="18719" t="8525" r="31763" b="13104"/>
        <a:stretch/>
      </xdr:blipFill>
      <xdr:spPr>
        <a:xfrm>
          <a:off x="16141838" y="914636"/>
          <a:ext cx="12423943" cy="11380579"/>
        </a:xfrm>
        <a:prstGeom prst="rect">
          <a:avLst/>
        </a:prstGeom>
      </xdr:spPr>
    </xdr:pic>
    <xdr:clientData/>
  </xdr:twoCellAnchor>
  <xdr:twoCellAnchor editAs="oneCell">
    <xdr:from>
      <xdr:col>2</xdr:col>
      <xdr:colOff>0</xdr:colOff>
      <xdr:row>74</xdr:row>
      <xdr:rowOff>0</xdr:rowOff>
    </xdr:from>
    <xdr:to>
      <xdr:col>3</xdr:col>
      <xdr:colOff>3806883</xdr:colOff>
      <xdr:row>114</xdr:row>
      <xdr:rowOff>79941</xdr:rowOff>
    </xdr:to>
    <xdr:pic>
      <xdr:nvPicPr>
        <xdr:cNvPr id="27" name="Imagen 26">
          <a:extLst>
            <a:ext uri="{FF2B5EF4-FFF2-40B4-BE49-F238E27FC236}">
              <a16:creationId xmlns:a16="http://schemas.microsoft.com/office/drawing/2014/main" id="{97BB46D1-E62F-438A-80DC-296D080415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39240" y="13578840"/>
          <a:ext cx="8679873" cy="91020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315191</xdr:colOff>
      <xdr:row>116</xdr:row>
      <xdr:rowOff>37606</xdr:rowOff>
    </xdr:from>
    <xdr:to>
      <xdr:col>3</xdr:col>
      <xdr:colOff>3807056</xdr:colOff>
      <xdr:row>146</xdr:row>
      <xdr:rowOff>118123</xdr:rowOff>
    </xdr:to>
    <xdr:pic>
      <xdr:nvPicPr>
        <xdr:cNvPr id="28" name="Imagen 27">
          <a:extLst>
            <a:ext uri="{FF2B5EF4-FFF2-40B4-BE49-F238E27FC236}">
              <a16:creationId xmlns:a16="http://schemas.microsoft.com/office/drawing/2014/main" id="{0962231B-F1A0-40C5-9897-229B913509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52526" y="22486126"/>
          <a:ext cx="8370570" cy="5896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76200</xdr:rowOff>
    </xdr:from>
    <xdr:to>
      <xdr:col>7</xdr:col>
      <xdr:colOff>419100</xdr:colOff>
      <xdr:row>3</xdr:row>
      <xdr:rowOff>123825</xdr:rowOff>
    </xdr:to>
    <xdr:pic>
      <xdr:nvPicPr>
        <xdr:cNvPr id="2" name="Imagen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61950" y="295275"/>
          <a:ext cx="48958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28575</xdr:colOff>
      <xdr:row>1</xdr:row>
      <xdr:rowOff>10885</xdr:rowOff>
    </xdr:from>
    <xdr:to>
      <xdr:col>3</xdr:col>
      <xdr:colOff>552450</xdr:colOff>
      <xdr:row>3</xdr:row>
      <xdr:rowOff>57150</xdr:rowOff>
    </xdr:to>
    <xdr:pic>
      <xdr:nvPicPr>
        <xdr:cNvPr id="3" name="Imagen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28575</xdr:colOff>
      <xdr:row>1</xdr:row>
      <xdr:rowOff>10885</xdr:rowOff>
    </xdr:from>
    <xdr:to>
      <xdr:col>3</xdr:col>
      <xdr:colOff>552450</xdr:colOff>
      <xdr:row>3</xdr:row>
      <xdr:rowOff>57150</xdr:rowOff>
    </xdr:to>
    <xdr:pic>
      <xdr:nvPicPr>
        <xdr:cNvPr id="3" name="Imagen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17369</xdr:colOff>
      <xdr:row>0</xdr:row>
      <xdr:rowOff>134150</xdr:rowOff>
    </xdr:from>
    <xdr:to>
      <xdr:col>6</xdr:col>
      <xdr:colOff>198344</xdr:colOff>
      <xdr:row>2</xdr:row>
      <xdr:rowOff>180414</xdr:rowOff>
    </xdr:to>
    <xdr:pic>
      <xdr:nvPicPr>
        <xdr:cNvPr id="3" name="Imagen 2">
          <a:extLst>
            <a:ext uri="{FF2B5EF4-FFF2-40B4-BE49-F238E27FC236}">
              <a16:creationId xmlns:a16="http://schemas.microsoft.com/office/drawing/2014/main" id="{8FAE6C8E-F24B-462E-94D8-0C60D283F6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977489" y="134150"/>
          <a:ext cx="6627495" cy="3891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1</xdr:row>
      <xdr:rowOff>76200</xdr:rowOff>
    </xdr:from>
    <xdr:to>
      <xdr:col>3</xdr:col>
      <xdr:colOff>2162175</xdr:colOff>
      <xdr:row>3</xdr:row>
      <xdr:rowOff>123825</xdr:rowOff>
    </xdr:to>
    <xdr:pic>
      <xdr:nvPicPr>
        <xdr:cNvPr id="5" name="Imagen 4">
          <a:extLst>
            <a:ext uri="{FF2B5EF4-FFF2-40B4-BE49-F238E27FC236}">
              <a16:creationId xmlns:a16="http://schemas.microsoft.com/office/drawing/2014/main" id="{1F3EE7AB-AA12-4191-902F-34F225FA57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043940" y="251460"/>
          <a:ext cx="2466975" cy="382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1</xdr:row>
      <xdr:rowOff>76200</xdr:rowOff>
    </xdr:from>
    <xdr:to>
      <xdr:col>3</xdr:col>
      <xdr:colOff>2162175</xdr:colOff>
      <xdr:row>3</xdr:row>
      <xdr:rowOff>123825</xdr:rowOff>
    </xdr:to>
    <xdr:pic>
      <xdr:nvPicPr>
        <xdr:cNvPr id="6" name="Imagen 5">
          <a:extLst>
            <a:ext uri="{FF2B5EF4-FFF2-40B4-BE49-F238E27FC236}">
              <a16:creationId xmlns:a16="http://schemas.microsoft.com/office/drawing/2014/main" id="{04D3DAB5-6FDD-41E1-87C3-6F2A52127E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043940" y="251460"/>
          <a:ext cx="2466975" cy="382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323850</xdr:colOff>
      <xdr:row>0</xdr:row>
      <xdr:rowOff>38100</xdr:rowOff>
    </xdr:from>
    <xdr:to>
      <xdr:col>2</xdr:col>
      <xdr:colOff>1609725</xdr:colOff>
      <xdr:row>1</xdr:row>
      <xdr:rowOff>114300</xdr:rowOff>
    </xdr:to>
    <xdr:pic>
      <xdr:nvPicPr>
        <xdr:cNvPr id="3" name="Imagen 2">
          <a:extLst>
            <a:ext uri="{FF2B5EF4-FFF2-40B4-BE49-F238E27FC236}">
              <a16:creationId xmlns:a16="http://schemas.microsoft.com/office/drawing/2014/main" id="{FEDA10FE-C3FB-4A47-8575-26F2822A8B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23850" y="38100"/>
          <a:ext cx="2284095"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323850</xdr:colOff>
      <xdr:row>0</xdr:row>
      <xdr:rowOff>38100</xdr:rowOff>
    </xdr:from>
    <xdr:to>
      <xdr:col>2</xdr:col>
      <xdr:colOff>1609725</xdr:colOff>
      <xdr:row>1</xdr:row>
      <xdr:rowOff>114300</xdr:rowOff>
    </xdr:to>
    <xdr:pic>
      <xdr:nvPicPr>
        <xdr:cNvPr id="4" name="Imagen 3">
          <a:extLst>
            <a:ext uri="{FF2B5EF4-FFF2-40B4-BE49-F238E27FC236}">
              <a16:creationId xmlns:a16="http://schemas.microsoft.com/office/drawing/2014/main" id="{D1A9FE88-F261-400B-A7D7-C12C367275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23850" y="38100"/>
          <a:ext cx="2284095"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86591</xdr:colOff>
      <xdr:row>98</xdr:row>
      <xdr:rowOff>1</xdr:rowOff>
    </xdr:from>
    <xdr:to>
      <xdr:col>10</xdr:col>
      <xdr:colOff>419966</xdr:colOff>
      <xdr:row>115</xdr:row>
      <xdr:rowOff>9526</xdr:rowOff>
    </xdr:to>
    <xdr:pic>
      <xdr:nvPicPr>
        <xdr:cNvPr id="2" name="Imagen 1">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98182" y="30116319"/>
          <a:ext cx="1095375" cy="35424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35859</xdr:colOff>
      <xdr:row>174</xdr:row>
      <xdr:rowOff>62753</xdr:rowOff>
    </xdr:from>
    <xdr:to>
      <xdr:col>8</xdr:col>
      <xdr:colOff>1230987</xdr:colOff>
      <xdr:row>196</xdr:row>
      <xdr:rowOff>45523</xdr:rowOff>
    </xdr:to>
    <xdr:pic>
      <xdr:nvPicPr>
        <xdr:cNvPr id="2" name="Imagen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19953" y="27324424"/>
          <a:ext cx="8790476" cy="337142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369025</xdr:colOff>
      <xdr:row>283</xdr:row>
      <xdr:rowOff>0</xdr:rowOff>
    </xdr:from>
    <xdr:to>
      <xdr:col>18</xdr:col>
      <xdr:colOff>87083</xdr:colOff>
      <xdr:row>298</xdr:row>
      <xdr:rowOff>160774</xdr:rowOff>
    </xdr:to>
    <xdr:pic>
      <xdr:nvPicPr>
        <xdr:cNvPr id="5" name="Imagen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a:stretch>
          <a:fillRect/>
        </a:stretch>
      </xdr:blipFill>
      <xdr:spPr>
        <a:xfrm>
          <a:off x="12463054" y="47925016"/>
          <a:ext cx="5737859" cy="303245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76200</xdr:rowOff>
    </xdr:from>
    <xdr:to>
      <xdr:col>4</xdr:col>
      <xdr:colOff>723900</xdr:colOff>
      <xdr:row>3</xdr:row>
      <xdr:rowOff>123825</xdr:rowOff>
    </xdr:to>
    <xdr:pic>
      <xdr:nvPicPr>
        <xdr:cNvPr id="3" name="Imagen 2">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762000" y="295275"/>
          <a:ext cx="431482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xdr:row>
      <xdr:rowOff>76200</xdr:rowOff>
    </xdr:from>
    <xdr:to>
      <xdr:col>20</xdr:col>
      <xdr:colOff>2162175</xdr:colOff>
      <xdr:row>3</xdr:row>
      <xdr:rowOff>123825</xdr:rowOff>
    </xdr:to>
    <xdr:pic>
      <xdr:nvPicPr>
        <xdr:cNvPr id="4" name="Imagen 3">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9591675" y="276225"/>
          <a:ext cx="28289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381000</xdr:colOff>
      <xdr:row>1</xdr:row>
      <xdr:rowOff>38099</xdr:rowOff>
    </xdr:from>
    <xdr:to>
      <xdr:col>4</xdr:col>
      <xdr:colOff>561975</xdr:colOff>
      <xdr:row>3</xdr:row>
      <xdr:rowOff>47624</xdr:rowOff>
    </xdr:to>
    <xdr:pic>
      <xdr:nvPicPr>
        <xdr:cNvPr id="2" name="Imagen 1">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81000" y="466724"/>
          <a:ext cx="42672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1</xdr:row>
      <xdr:rowOff>76199</xdr:rowOff>
    </xdr:from>
    <xdr:to>
      <xdr:col>4</xdr:col>
      <xdr:colOff>161925</xdr:colOff>
      <xdr:row>5</xdr:row>
      <xdr:rowOff>104774</xdr:rowOff>
    </xdr:to>
    <xdr:pic>
      <xdr:nvPicPr>
        <xdr:cNvPr id="2" name="Imagen 1">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cstate="print"/>
        <a:srcRect r="2577"/>
        <a:stretch>
          <a:fillRect/>
        </a:stretch>
      </xdr:blipFill>
      <xdr:spPr bwMode="auto">
        <a:xfrm>
          <a:off x="1000125" y="190499"/>
          <a:ext cx="4181475" cy="485775"/>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321512</xdr:colOff>
      <xdr:row>97</xdr:row>
      <xdr:rowOff>6019</xdr:rowOff>
    </xdr:from>
    <xdr:to>
      <xdr:col>3</xdr:col>
      <xdr:colOff>321512</xdr:colOff>
      <xdr:row>100</xdr:row>
      <xdr:rowOff>61599</xdr:rowOff>
    </xdr:to>
    <xdr:cxnSp macro="">
      <xdr:nvCxnSpPr>
        <xdr:cNvPr id="2" name="Conector recto de flecha 1">
          <a:extLst>
            <a:ext uri="{FF2B5EF4-FFF2-40B4-BE49-F238E27FC236}">
              <a16:creationId xmlns:a16="http://schemas.microsoft.com/office/drawing/2014/main" id="{00000000-0008-0000-1A00-000002000000}"/>
            </a:ext>
          </a:extLst>
        </xdr:cNvPr>
        <xdr:cNvCxnSpPr/>
      </xdr:nvCxnSpPr>
      <xdr:spPr>
        <a:xfrm>
          <a:off x="5030672" y="17074819"/>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286871</xdr:colOff>
      <xdr:row>96</xdr:row>
      <xdr:rowOff>96371</xdr:rowOff>
    </xdr:from>
    <xdr:to>
      <xdr:col>19</xdr:col>
      <xdr:colOff>286871</xdr:colOff>
      <xdr:row>99</xdr:row>
      <xdr:rowOff>141194</xdr:rowOff>
    </xdr:to>
    <xdr:cxnSp macro="">
      <xdr:nvCxnSpPr>
        <xdr:cNvPr id="3" name="Conector recto de flecha 2">
          <a:extLst>
            <a:ext uri="{FF2B5EF4-FFF2-40B4-BE49-F238E27FC236}">
              <a16:creationId xmlns:a16="http://schemas.microsoft.com/office/drawing/2014/main" id="{00000000-0008-0000-1A00-000003000000}"/>
            </a:ext>
          </a:extLst>
        </xdr:cNvPr>
        <xdr:cNvCxnSpPr/>
      </xdr:nvCxnSpPr>
      <xdr:spPr>
        <a:xfrm>
          <a:off x="17431871" y="16997531"/>
          <a:ext cx="0" cy="547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293595</xdr:colOff>
      <xdr:row>96</xdr:row>
      <xdr:rowOff>114300</xdr:rowOff>
    </xdr:from>
    <xdr:to>
      <xdr:col>18</xdr:col>
      <xdr:colOff>293595</xdr:colOff>
      <xdr:row>100</xdr:row>
      <xdr:rowOff>2240</xdr:rowOff>
    </xdr:to>
    <xdr:cxnSp macro="">
      <xdr:nvCxnSpPr>
        <xdr:cNvPr id="4" name="Conector recto de flecha 3">
          <a:extLst>
            <a:ext uri="{FF2B5EF4-FFF2-40B4-BE49-F238E27FC236}">
              <a16:creationId xmlns:a16="http://schemas.microsoft.com/office/drawing/2014/main" id="{00000000-0008-0000-1A00-000004000000}"/>
            </a:ext>
          </a:extLst>
        </xdr:cNvPr>
        <xdr:cNvCxnSpPr/>
      </xdr:nvCxnSpPr>
      <xdr:spPr>
        <a:xfrm>
          <a:off x="16661355" y="17015460"/>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658906</xdr:colOff>
      <xdr:row>96</xdr:row>
      <xdr:rowOff>72998</xdr:rowOff>
    </xdr:from>
    <xdr:to>
      <xdr:col>20</xdr:col>
      <xdr:colOff>753036</xdr:colOff>
      <xdr:row>101</xdr:row>
      <xdr:rowOff>143435</xdr:rowOff>
    </xdr:to>
    <xdr:cxnSp macro="">
      <xdr:nvCxnSpPr>
        <xdr:cNvPr id="5" name="Conector recto de flecha 4">
          <a:extLst>
            <a:ext uri="{FF2B5EF4-FFF2-40B4-BE49-F238E27FC236}">
              <a16:creationId xmlns:a16="http://schemas.microsoft.com/office/drawing/2014/main" id="{00000000-0008-0000-1A00-000005000000}"/>
            </a:ext>
          </a:extLst>
        </xdr:cNvPr>
        <xdr:cNvCxnSpPr/>
      </xdr:nvCxnSpPr>
      <xdr:spPr>
        <a:xfrm>
          <a:off x="17803906" y="16974158"/>
          <a:ext cx="886610" cy="9086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390525</xdr:colOff>
      <xdr:row>4</xdr:row>
      <xdr:rowOff>26220</xdr:rowOff>
    </xdr:from>
    <xdr:to>
      <xdr:col>13</xdr:col>
      <xdr:colOff>266700</xdr:colOff>
      <xdr:row>24</xdr:row>
      <xdr:rowOff>3268</xdr:rowOff>
    </xdr:to>
    <xdr:pic>
      <xdr:nvPicPr>
        <xdr:cNvPr id="2" name="1 Imagen">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1917" b="6177"/>
        <a:stretch>
          <a:fillRect/>
        </a:stretch>
      </xdr:blipFill>
      <xdr:spPr bwMode="auto">
        <a:xfrm>
          <a:off x="2676525" y="597720"/>
          <a:ext cx="7496175" cy="2834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4</xdr:col>
      <xdr:colOff>409574</xdr:colOff>
      <xdr:row>2</xdr:row>
      <xdr:rowOff>114300</xdr:rowOff>
    </xdr:from>
    <xdr:to>
      <xdr:col>13</xdr:col>
      <xdr:colOff>150202</xdr:colOff>
      <xdr:row>24</xdr:row>
      <xdr:rowOff>85726</xdr:rowOff>
    </xdr:to>
    <xdr:pic>
      <xdr:nvPicPr>
        <xdr:cNvPr id="2" name="1 Imagen">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5611" r="-1068"/>
        <a:stretch>
          <a:fillRect/>
        </a:stretch>
      </xdr:blipFill>
      <xdr:spPr bwMode="auto">
        <a:xfrm>
          <a:off x="3457574" y="400050"/>
          <a:ext cx="8884628" cy="3114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298022</xdr:colOff>
      <xdr:row>72</xdr:row>
      <xdr:rowOff>47625</xdr:rowOff>
    </xdr:from>
    <xdr:to>
      <xdr:col>23</xdr:col>
      <xdr:colOff>476249</xdr:colOff>
      <xdr:row>85</xdr:row>
      <xdr:rowOff>9525</xdr:rowOff>
    </xdr:to>
    <xdr:pic>
      <xdr:nvPicPr>
        <xdr:cNvPr id="2" name="2 Imagen">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9794447" y="10687050"/>
          <a:ext cx="5950377" cy="169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3" name="Imagen 2">
          <a:extLst>
            <a:ext uri="{FF2B5EF4-FFF2-40B4-BE49-F238E27FC236}">
              <a16:creationId xmlns:a16="http://schemas.microsoft.com/office/drawing/2014/main" id="{00000000-0008-0000-2200-000003000000}"/>
            </a:ext>
          </a:extLst>
        </xdr:cNvPr>
        <xdr:cNvPicPr>
          <a:picLocks noChangeAspect="1"/>
        </xdr:cNvPicPr>
      </xdr:nvPicPr>
      <xdr:blipFill rotWithShape="1">
        <a:blip xmlns:r="http://schemas.openxmlformats.org/officeDocument/2006/relationships" r:embed="rId2"/>
        <a:srcRect l="8304" t="20440" r="38294" b="74160"/>
        <a:stretch/>
      </xdr:blipFill>
      <xdr:spPr>
        <a:xfrm>
          <a:off x="9410700" y="12534900"/>
          <a:ext cx="5695950" cy="323850"/>
        </a:xfrm>
        <a:prstGeom prst="rect">
          <a:avLst/>
        </a:prstGeom>
      </xdr:spPr>
    </xdr:pic>
    <xdr:clientData/>
  </xdr:twoCellAnchor>
  <xdr:twoCellAnchor editAs="oneCell">
    <xdr:from>
      <xdr:col>13</xdr:col>
      <xdr:colOff>298022</xdr:colOff>
      <xdr:row>72</xdr:row>
      <xdr:rowOff>47625</xdr:rowOff>
    </xdr:from>
    <xdr:to>
      <xdr:col>23</xdr:col>
      <xdr:colOff>476249</xdr:colOff>
      <xdr:row>85</xdr:row>
      <xdr:rowOff>9525</xdr:rowOff>
    </xdr:to>
    <xdr:pic>
      <xdr:nvPicPr>
        <xdr:cNvPr id="4" name="2 Imagen">
          <a:extLst>
            <a:ext uri="{FF2B5EF4-FFF2-40B4-BE49-F238E27FC236}">
              <a16:creationId xmlns:a16="http://schemas.microsoft.com/office/drawing/2014/main" id="{00000000-0008-0000-22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0059242" y="9801225"/>
          <a:ext cx="6114207" cy="1645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5" name="Imagen 4">
          <a:extLst>
            <a:ext uri="{FF2B5EF4-FFF2-40B4-BE49-F238E27FC236}">
              <a16:creationId xmlns:a16="http://schemas.microsoft.com/office/drawing/2014/main" id="{00000000-0008-0000-2200-000005000000}"/>
            </a:ext>
          </a:extLst>
        </xdr:cNvPr>
        <xdr:cNvPicPr>
          <a:picLocks noChangeAspect="1"/>
        </xdr:cNvPicPr>
      </xdr:nvPicPr>
      <xdr:blipFill rotWithShape="1">
        <a:blip xmlns:r="http://schemas.openxmlformats.org/officeDocument/2006/relationships" r:embed="rId2"/>
        <a:srcRect l="8304" t="20440" r="38294" b="74160"/>
        <a:stretch/>
      </xdr:blipFill>
      <xdr:spPr>
        <a:xfrm>
          <a:off x="9664065" y="11475720"/>
          <a:ext cx="5848350" cy="31623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19</xdr:col>
      <xdr:colOff>571500</xdr:colOff>
      <xdr:row>3</xdr:row>
      <xdr:rowOff>47625</xdr:rowOff>
    </xdr:from>
    <xdr:to>
      <xdr:col>27</xdr:col>
      <xdr:colOff>466725</xdr:colOff>
      <xdr:row>14</xdr:row>
      <xdr:rowOff>159808</xdr:rowOff>
    </xdr:to>
    <xdr:pic>
      <xdr:nvPicPr>
        <xdr:cNvPr id="2" name="2 Imagen">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3820775" y="476250"/>
          <a:ext cx="5991225" cy="2255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571500</xdr:colOff>
      <xdr:row>3</xdr:row>
      <xdr:rowOff>47625</xdr:rowOff>
    </xdr:from>
    <xdr:to>
      <xdr:col>27</xdr:col>
      <xdr:colOff>466725</xdr:colOff>
      <xdr:row>14</xdr:row>
      <xdr:rowOff>159808</xdr:rowOff>
    </xdr:to>
    <xdr:pic>
      <xdr:nvPicPr>
        <xdr:cNvPr id="3" name="2 Imagen">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3616940" y="436245"/>
          <a:ext cx="6174105" cy="220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590550</xdr:colOff>
      <xdr:row>4</xdr:row>
      <xdr:rowOff>38100</xdr:rowOff>
    </xdr:from>
    <xdr:to>
      <xdr:col>14</xdr:col>
      <xdr:colOff>209550</xdr:colOff>
      <xdr:row>20</xdr:row>
      <xdr:rowOff>104775</xdr:rowOff>
    </xdr:to>
    <xdr:pic>
      <xdr:nvPicPr>
        <xdr:cNvPr id="2" name="1 Imagen">
          <a:extLst>
            <a:ext uri="{FF2B5EF4-FFF2-40B4-BE49-F238E27FC236}">
              <a16:creationId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6885"/>
        <a:stretch>
          <a:fillRect/>
        </a:stretch>
      </xdr:blipFill>
      <xdr:spPr bwMode="auto">
        <a:xfrm>
          <a:off x="2876550" y="609600"/>
          <a:ext cx="80010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2</xdr:col>
      <xdr:colOff>304800</xdr:colOff>
      <xdr:row>2</xdr:row>
      <xdr:rowOff>66675</xdr:rowOff>
    </xdr:from>
    <xdr:to>
      <xdr:col>13</xdr:col>
      <xdr:colOff>295275</xdr:colOff>
      <xdr:row>22</xdr:row>
      <xdr:rowOff>0</xdr:rowOff>
    </xdr:to>
    <xdr:pic>
      <xdr:nvPicPr>
        <xdr:cNvPr id="2" name="1 Imagen">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7705"/>
        <a:stretch>
          <a:fillRect/>
        </a:stretch>
      </xdr:blipFill>
      <xdr:spPr bwMode="auto">
        <a:xfrm>
          <a:off x="1828800" y="352425"/>
          <a:ext cx="8372475" cy="2790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10</xdr:col>
      <xdr:colOff>0</xdr:colOff>
      <xdr:row>2</xdr:row>
      <xdr:rowOff>114300</xdr:rowOff>
    </xdr:from>
    <xdr:ext cx="184731" cy="264560"/>
    <xdr:sp macro="" textlink="">
      <xdr:nvSpPr>
        <xdr:cNvPr id="2" name="CuadroTexto 1">
          <a:extLst>
            <a:ext uri="{FF2B5EF4-FFF2-40B4-BE49-F238E27FC236}">
              <a16:creationId xmlns:a16="http://schemas.microsoft.com/office/drawing/2014/main" id="{00000000-0008-0000-3000-000002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oneCellAnchor>
    <xdr:from>
      <xdr:col>10</xdr:col>
      <xdr:colOff>0</xdr:colOff>
      <xdr:row>2</xdr:row>
      <xdr:rowOff>114300</xdr:rowOff>
    </xdr:from>
    <xdr:ext cx="184731" cy="264560"/>
    <xdr:sp macro="" textlink="">
      <xdr:nvSpPr>
        <xdr:cNvPr id="3" name="CuadroTexto 2">
          <a:extLst>
            <a:ext uri="{FF2B5EF4-FFF2-40B4-BE49-F238E27FC236}">
              <a16:creationId xmlns:a16="http://schemas.microsoft.com/office/drawing/2014/main" id="{00000000-0008-0000-3000-000003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wsDr>
</file>

<file path=xl/drawings/drawing22.xml><?xml version="1.0" encoding="utf-8"?>
<xdr:wsDr xmlns:xdr="http://schemas.openxmlformats.org/drawingml/2006/spreadsheetDrawing" xmlns:a="http://schemas.openxmlformats.org/drawingml/2006/main">
  <xdr:twoCellAnchor>
    <xdr:from>
      <xdr:col>6</xdr:col>
      <xdr:colOff>209550</xdr:colOff>
      <xdr:row>20</xdr:row>
      <xdr:rowOff>9525</xdr:rowOff>
    </xdr:from>
    <xdr:to>
      <xdr:col>11</xdr:col>
      <xdr:colOff>1066800</xdr:colOff>
      <xdr:row>36</xdr:row>
      <xdr:rowOff>19050</xdr:rowOff>
    </xdr:to>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xdr:colOff>
      <xdr:row>20</xdr:row>
      <xdr:rowOff>0</xdr:rowOff>
    </xdr:from>
    <xdr:to>
      <xdr:col>5</xdr:col>
      <xdr:colOff>685800</xdr:colOff>
      <xdr:row>36</xdr:row>
      <xdr:rowOff>0</xdr:rowOff>
    </xdr:to>
    <xdr:graphicFrame macro="">
      <xdr:nvGraphicFramePr>
        <xdr:cNvPr id="3" name="Chart 1">
          <a:extLst>
            <a:ext uri="{FF2B5EF4-FFF2-40B4-BE49-F238E27FC236}">
              <a16:creationId xmlns:a16="http://schemas.microsoft.com/office/drawing/2014/main" id="{00000000-0008-0000-3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43</xdr:row>
      <xdr:rowOff>133350</xdr:rowOff>
    </xdr:from>
    <xdr:to>
      <xdr:col>14</xdr:col>
      <xdr:colOff>400050</xdr:colOff>
      <xdr:row>58</xdr:row>
      <xdr:rowOff>133350</xdr:rowOff>
    </xdr:to>
    <xdr:graphicFrame macro="">
      <xdr:nvGraphicFramePr>
        <xdr:cNvPr id="4" name="Chart 1">
          <a:extLst>
            <a:ext uri="{FF2B5EF4-FFF2-40B4-BE49-F238E27FC236}">
              <a16:creationId xmlns:a16="http://schemas.microsoft.com/office/drawing/2014/main" id="{00000000-0008-0000-3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257175</xdr:colOff>
      <xdr:row>62</xdr:row>
      <xdr:rowOff>133350</xdr:rowOff>
    </xdr:from>
    <xdr:to>
      <xdr:col>15</xdr:col>
      <xdr:colOff>200025</xdr:colOff>
      <xdr:row>77</xdr:row>
      <xdr:rowOff>157164</xdr:rowOff>
    </xdr:to>
    <xdr:graphicFrame macro="">
      <xdr:nvGraphicFramePr>
        <xdr:cNvPr id="5" name="Gráfico 4">
          <a:extLst>
            <a:ext uri="{FF2B5EF4-FFF2-40B4-BE49-F238E27FC236}">
              <a16:creationId xmlns:a16="http://schemas.microsoft.com/office/drawing/2014/main" id="{00000000-0008-0000-3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84</xdr:row>
      <xdr:rowOff>0</xdr:rowOff>
    </xdr:from>
    <xdr:to>
      <xdr:col>15</xdr:col>
      <xdr:colOff>0</xdr:colOff>
      <xdr:row>102</xdr:row>
      <xdr:rowOff>47625</xdr:rowOff>
    </xdr:to>
    <xdr:graphicFrame macro="">
      <xdr:nvGraphicFramePr>
        <xdr:cNvPr id="6" name="Gráfico 5">
          <a:extLst>
            <a:ext uri="{FF2B5EF4-FFF2-40B4-BE49-F238E27FC236}">
              <a16:creationId xmlns:a16="http://schemas.microsoft.com/office/drawing/2014/main" id="{00000000-0008-0000-3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12</xdr:col>
      <xdr:colOff>496686</xdr:colOff>
      <xdr:row>37</xdr:row>
      <xdr:rowOff>168851</xdr:rowOff>
    </xdr:from>
    <xdr:to>
      <xdr:col>24</xdr:col>
      <xdr:colOff>415637</xdr:colOff>
      <xdr:row>49</xdr:row>
      <xdr:rowOff>103908</xdr:rowOff>
    </xdr:to>
    <xdr:graphicFrame macro="">
      <xdr:nvGraphicFramePr>
        <xdr:cNvPr id="2" name="Gráfico 1">
          <a:extLst>
            <a:ext uri="{FF2B5EF4-FFF2-40B4-BE49-F238E27FC236}">
              <a16:creationId xmlns:a16="http://schemas.microsoft.com/office/drawing/2014/main" id="{00000000-0008-0000-3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571499</xdr:colOff>
      <xdr:row>55</xdr:row>
      <xdr:rowOff>14721</xdr:rowOff>
    </xdr:from>
    <xdr:to>
      <xdr:col>21</xdr:col>
      <xdr:colOff>396585</xdr:colOff>
      <xdr:row>72</xdr:row>
      <xdr:rowOff>470189</xdr:rowOff>
    </xdr:to>
    <xdr:graphicFrame macro="">
      <xdr:nvGraphicFramePr>
        <xdr:cNvPr id="3" name="Gráfico 2">
          <a:extLst>
            <a:ext uri="{FF2B5EF4-FFF2-40B4-BE49-F238E27FC236}">
              <a16:creationId xmlns:a16="http://schemas.microsoft.com/office/drawing/2014/main" id="{00000000-0008-0000-3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132656</xdr:colOff>
      <xdr:row>73</xdr:row>
      <xdr:rowOff>343766</xdr:rowOff>
    </xdr:from>
    <xdr:to>
      <xdr:col>24</xdr:col>
      <xdr:colOff>173182</xdr:colOff>
      <xdr:row>90</xdr:row>
      <xdr:rowOff>151015</xdr:rowOff>
    </xdr:to>
    <xdr:graphicFrame macro="">
      <xdr:nvGraphicFramePr>
        <xdr:cNvPr id="4" name="Gráfico 3">
          <a:extLst>
            <a:ext uri="{FF2B5EF4-FFF2-40B4-BE49-F238E27FC236}">
              <a16:creationId xmlns:a16="http://schemas.microsoft.com/office/drawing/2014/main" id="{00000000-0008-0000-3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590550</xdr:colOff>
      <xdr:row>99</xdr:row>
      <xdr:rowOff>38100</xdr:rowOff>
    </xdr:from>
    <xdr:to>
      <xdr:col>30</xdr:col>
      <xdr:colOff>294409</xdr:colOff>
      <xdr:row>124</xdr:row>
      <xdr:rowOff>51954</xdr:rowOff>
    </xdr:to>
    <xdr:graphicFrame macro="">
      <xdr:nvGraphicFramePr>
        <xdr:cNvPr id="5" name="Gráfico 4">
          <a:extLst>
            <a:ext uri="{FF2B5EF4-FFF2-40B4-BE49-F238E27FC236}">
              <a16:creationId xmlns:a16="http://schemas.microsoft.com/office/drawing/2014/main" id="{00000000-0008-0000-3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editAs="oneCell">
    <xdr:from>
      <xdr:col>17</xdr:col>
      <xdr:colOff>28575</xdr:colOff>
      <xdr:row>1</xdr:row>
      <xdr:rowOff>0</xdr:rowOff>
    </xdr:from>
    <xdr:to>
      <xdr:col>31</xdr:col>
      <xdr:colOff>409575</xdr:colOff>
      <xdr:row>23</xdr:row>
      <xdr:rowOff>62556</xdr:rowOff>
    </xdr:to>
    <xdr:pic>
      <xdr:nvPicPr>
        <xdr:cNvPr id="6" name="Imagen 5">
          <a:extLst>
            <a:ext uri="{FF2B5EF4-FFF2-40B4-BE49-F238E27FC236}">
              <a16:creationId xmlns:a16="http://schemas.microsoft.com/office/drawing/2014/main" id="{00000000-0008-0000-3D00-000006000000}"/>
            </a:ext>
          </a:extLst>
        </xdr:cNvPr>
        <xdr:cNvPicPr/>
      </xdr:nvPicPr>
      <xdr:blipFill>
        <a:blip xmlns:r="http://schemas.openxmlformats.org/officeDocument/2006/relationships" r:embed="rId1"/>
        <a:stretch>
          <a:fillRect/>
        </a:stretch>
      </xdr:blipFill>
      <xdr:spPr>
        <a:xfrm>
          <a:off x="11734800" y="30022800"/>
          <a:ext cx="11049000" cy="5202847"/>
        </a:xfrm>
        <a:prstGeom prst="rect">
          <a:avLst/>
        </a:prstGeom>
      </xdr:spPr>
    </xdr:pic>
    <xdr:clientData/>
  </xdr:twoCellAnchor>
  <xdr:twoCellAnchor>
    <xdr:from>
      <xdr:col>7</xdr:col>
      <xdr:colOff>485772</xdr:colOff>
      <xdr:row>80</xdr:row>
      <xdr:rowOff>181842</xdr:rowOff>
    </xdr:from>
    <xdr:to>
      <xdr:col>17</xdr:col>
      <xdr:colOff>76200</xdr:colOff>
      <xdr:row>102</xdr:row>
      <xdr:rowOff>57151</xdr:rowOff>
    </xdr:to>
    <xdr:graphicFrame macro="">
      <xdr:nvGraphicFramePr>
        <xdr:cNvPr id="8" name="Gráfico 7">
          <a:extLst>
            <a:ext uri="{FF2B5EF4-FFF2-40B4-BE49-F238E27FC236}">
              <a16:creationId xmlns:a16="http://schemas.microsoft.com/office/drawing/2014/main" id="{00000000-0008-0000-3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66675</xdr:colOff>
      <xdr:row>124</xdr:row>
      <xdr:rowOff>57150</xdr:rowOff>
    </xdr:from>
    <xdr:to>
      <xdr:col>7</xdr:col>
      <xdr:colOff>352425</xdr:colOff>
      <xdr:row>138</xdr:row>
      <xdr:rowOff>57150</xdr:rowOff>
    </xdr:to>
    <xdr:graphicFrame macro="">
      <xdr:nvGraphicFramePr>
        <xdr:cNvPr id="9" name="Gráfico 8">
          <a:extLst>
            <a:ext uri="{FF2B5EF4-FFF2-40B4-BE49-F238E27FC236}">
              <a16:creationId xmlns:a16="http://schemas.microsoft.com/office/drawing/2014/main" id="{00000000-0008-0000-3D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426944</xdr:colOff>
      <xdr:row>124</xdr:row>
      <xdr:rowOff>33058</xdr:rowOff>
    </xdr:from>
    <xdr:to>
      <xdr:col>16</xdr:col>
      <xdr:colOff>369793</xdr:colOff>
      <xdr:row>138</xdr:row>
      <xdr:rowOff>42583</xdr:rowOff>
    </xdr:to>
    <xdr:graphicFrame macro="">
      <xdr:nvGraphicFramePr>
        <xdr:cNvPr id="10" name="Gráfico 9">
          <a:extLst>
            <a:ext uri="{FF2B5EF4-FFF2-40B4-BE49-F238E27FC236}">
              <a16:creationId xmlns:a16="http://schemas.microsoft.com/office/drawing/2014/main" id="{00000000-0008-0000-3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232603</xdr:colOff>
      <xdr:row>126</xdr:row>
      <xdr:rowOff>125725</xdr:rowOff>
    </xdr:from>
    <xdr:to>
      <xdr:col>15</xdr:col>
      <xdr:colOff>455985</xdr:colOff>
      <xdr:row>129</xdr:row>
      <xdr:rowOff>149065</xdr:rowOff>
    </xdr:to>
    <xdr:sp macro="" textlink="">
      <xdr:nvSpPr>
        <xdr:cNvPr id="11" name="2 Forma libre">
          <a:extLst>
            <a:ext uri="{FF2B5EF4-FFF2-40B4-BE49-F238E27FC236}">
              <a16:creationId xmlns:a16="http://schemas.microsoft.com/office/drawing/2014/main" id="{00000000-0008-0000-3D00-00000B000000}"/>
            </a:ext>
          </a:extLst>
        </xdr:cNvPr>
        <xdr:cNvSpPr/>
      </xdr:nvSpPr>
      <xdr:spPr>
        <a:xfrm rot="169161">
          <a:off x="9757603" y="24852625"/>
          <a:ext cx="3128507" cy="594840"/>
        </a:xfrm>
        <a:custGeom>
          <a:avLst/>
          <a:gdLst>
            <a:gd name="connsiteX0" fmla="*/ 0 w 4081096"/>
            <a:gd name="connsiteY0" fmla="*/ 1121019 h 1121019"/>
            <a:gd name="connsiteX1" fmla="*/ 981808 w 4081096"/>
            <a:gd name="connsiteY1" fmla="*/ 740019 h 1121019"/>
            <a:gd name="connsiteX2" fmla="*/ 1989260 w 4081096"/>
            <a:gd name="connsiteY2" fmla="*/ 428625 h 1121019"/>
            <a:gd name="connsiteX3" fmla="*/ 2996712 w 4081096"/>
            <a:gd name="connsiteY3" fmla="*/ 285750 h 1121019"/>
            <a:gd name="connsiteX4" fmla="*/ 4081096 w 4081096"/>
            <a:gd name="connsiteY4" fmla="*/ 0 h 1121019"/>
            <a:gd name="connsiteX5" fmla="*/ 4048125 w 4081096"/>
            <a:gd name="connsiteY5" fmla="*/ 62279 h 1121019"/>
            <a:gd name="connsiteX6" fmla="*/ 3102952 w 4081096"/>
            <a:gd name="connsiteY6" fmla="*/ 296740 h 1121019"/>
            <a:gd name="connsiteX7" fmla="*/ 2055202 w 4081096"/>
            <a:gd name="connsiteY7" fmla="*/ 509221 h 1121019"/>
            <a:gd name="connsiteX8" fmla="*/ 1018442 w 4081096"/>
            <a:gd name="connsiteY8" fmla="*/ 813289 h 1121019"/>
            <a:gd name="connsiteX9" fmla="*/ 0 w 4081096"/>
            <a:gd name="connsiteY9" fmla="*/ 1121019 h 1121019"/>
            <a:gd name="connsiteX0" fmla="*/ 0 w 3411957"/>
            <a:gd name="connsiteY0" fmla="*/ 879160 h 879160"/>
            <a:gd name="connsiteX1" fmla="*/ 312669 w 3411957"/>
            <a:gd name="connsiteY1" fmla="*/ 740019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70024 w 3411957"/>
            <a:gd name="connsiteY1" fmla="*/ 714667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0 w 3411957"/>
            <a:gd name="connsiteY10"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165339 w 3411957"/>
            <a:gd name="connsiteY10" fmla="*/ 860627 h 879160"/>
            <a:gd name="connsiteX11" fmla="*/ 0 w 3411957"/>
            <a:gd name="connsiteY11"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27573 w 3411957"/>
            <a:gd name="connsiteY5" fmla="*/ 28575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16657 w 3411957"/>
            <a:gd name="connsiteY5" fmla="*/ 272382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21630"/>
            <a:gd name="connsiteY0" fmla="*/ 879160 h 879160"/>
            <a:gd name="connsiteX1" fmla="*/ 25977 w 3421630"/>
            <a:gd name="connsiteY1" fmla="*/ 757143 h 879160"/>
            <a:gd name="connsiteX2" fmla="*/ 270024 w 3421630"/>
            <a:gd name="connsiteY2" fmla="*/ 714667 h 879160"/>
            <a:gd name="connsiteX3" fmla="*/ 1320121 w 3421630"/>
            <a:gd name="connsiteY3" fmla="*/ 428625 h 879160"/>
            <a:gd name="connsiteX4" fmla="*/ 1710178 w 3421630"/>
            <a:gd name="connsiteY4" fmla="*/ 320879 h 879160"/>
            <a:gd name="connsiteX5" fmla="*/ 2316657 w 3421630"/>
            <a:gd name="connsiteY5" fmla="*/ 272382 h 879160"/>
            <a:gd name="connsiteX6" fmla="*/ 3411957 w 3421630"/>
            <a:gd name="connsiteY6" fmla="*/ 0 h 879160"/>
            <a:gd name="connsiteX7" fmla="*/ 3421630 w 3421630"/>
            <a:gd name="connsiteY7" fmla="*/ 87631 h 879160"/>
            <a:gd name="connsiteX8" fmla="*/ 2414540 w 3421630"/>
            <a:gd name="connsiteY8" fmla="*/ 340306 h 879160"/>
            <a:gd name="connsiteX9" fmla="*/ 1386063 w 3421630"/>
            <a:gd name="connsiteY9" fmla="*/ 509221 h 879160"/>
            <a:gd name="connsiteX10" fmla="*/ 349303 w 3421630"/>
            <a:gd name="connsiteY10" fmla="*/ 813289 h 879160"/>
            <a:gd name="connsiteX11" fmla="*/ 165339 w 3421630"/>
            <a:gd name="connsiteY11" fmla="*/ 860627 h 879160"/>
            <a:gd name="connsiteX12" fmla="*/ 0 w 3421630"/>
            <a:gd name="connsiteY12" fmla="*/ 879160 h 8791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3421630" h="879160">
              <a:moveTo>
                <a:pt x="0" y="879160"/>
              </a:moveTo>
              <a:cubicBezTo>
                <a:pt x="26513" y="851394"/>
                <a:pt x="-536" y="784909"/>
                <a:pt x="25977" y="757143"/>
              </a:cubicBezTo>
              <a:lnTo>
                <a:pt x="270024" y="714667"/>
              </a:lnTo>
              <a:lnTo>
                <a:pt x="1320121" y="428625"/>
              </a:lnTo>
              <a:cubicBezTo>
                <a:pt x="1461057" y="406078"/>
                <a:pt x="1569242" y="343426"/>
                <a:pt x="1710178" y="320879"/>
              </a:cubicBezTo>
              <a:lnTo>
                <a:pt x="2316657" y="272382"/>
              </a:lnTo>
              <a:lnTo>
                <a:pt x="3411957" y="0"/>
              </a:lnTo>
              <a:lnTo>
                <a:pt x="3421630" y="87631"/>
              </a:lnTo>
              <a:lnTo>
                <a:pt x="2414540" y="340306"/>
              </a:lnTo>
              <a:lnTo>
                <a:pt x="1386063" y="509221"/>
              </a:lnTo>
              <a:lnTo>
                <a:pt x="349303" y="813289"/>
              </a:lnTo>
              <a:cubicBezTo>
                <a:pt x="287469" y="815008"/>
                <a:pt x="227173" y="858908"/>
                <a:pt x="165339" y="860627"/>
              </a:cubicBezTo>
              <a:lnTo>
                <a:pt x="0" y="879160"/>
              </a:lnTo>
              <a:close/>
            </a:path>
          </a:pathLst>
        </a:custGeom>
        <a:solidFill>
          <a:srgbClr val="FFFF00"/>
        </a:solidFill>
        <a:ln w="3175"/>
      </xdr:spPr>
      <xdr:style>
        <a:lnRef idx="2">
          <a:schemeClr val="accent3">
            <a:shade val="50000"/>
          </a:schemeClr>
        </a:lnRef>
        <a:fillRef idx="1">
          <a:schemeClr val="accent3"/>
        </a:fillRef>
        <a:effectRef idx="0">
          <a:schemeClr val="accent3"/>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s-PE"/>
        </a:p>
      </xdr:txBody>
    </xdr:sp>
    <xdr:clientData/>
  </xdr:twoCellAnchor>
  <xdr:twoCellAnchor editAs="oneCell">
    <xdr:from>
      <xdr:col>17</xdr:col>
      <xdr:colOff>28575</xdr:colOff>
      <xdr:row>157</xdr:row>
      <xdr:rowOff>19050</xdr:rowOff>
    </xdr:from>
    <xdr:to>
      <xdr:col>31</xdr:col>
      <xdr:colOff>142875</xdr:colOff>
      <xdr:row>183</xdr:row>
      <xdr:rowOff>24093</xdr:rowOff>
    </xdr:to>
    <xdr:pic>
      <xdr:nvPicPr>
        <xdr:cNvPr id="12" name="Imagen 11">
          <a:extLst>
            <a:ext uri="{FF2B5EF4-FFF2-40B4-BE49-F238E27FC236}">
              <a16:creationId xmlns:a16="http://schemas.microsoft.com/office/drawing/2014/main" id="{00000000-0008-0000-3D00-00000C000000}"/>
            </a:ext>
          </a:extLst>
        </xdr:cNvPr>
        <xdr:cNvPicPr/>
      </xdr:nvPicPr>
      <xdr:blipFill>
        <a:blip xmlns:r="http://schemas.openxmlformats.org/officeDocument/2006/relationships" r:embed="rId1"/>
        <a:stretch>
          <a:fillRect/>
        </a:stretch>
      </xdr:blipFill>
      <xdr:spPr>
        <a:xfrm>
          <a:off x="13982700" y="32032575"/>
          <a:ext cx="10915650" cy="5438776"/>
        </a:xfrm>
        <a:prstGeom prst="rect">
          <a:avLst/>
        </a:prstGeom>
      </xdr:spPr>
    </xdr:pic>
    <xdr:clientData/>
  </xdr:twoCellAnchor>
  <xdr:twoCellAnchor>
    <xdr:from>
      <xdr:col>2</xdr:col>
      <xdr:colOff>115614</xdr:colOff>
      <xdr:row>127</xdr:row>
      <xdr:rowOff>140582</xdr:rowOff>
    </xdr:from>
    <xdr:to>
      <xdr:col>6</xdr:col>
      <xdr:colOff>419137</xdr:colOff>
      <xdr:row>130</xdr:row>
      <xdr:rowOff>76332</xdr:rowOff>
    </xdr:to>
    <xdr:sp macro="" textlink="">
      <xdr:nvSpPr>
        <xdr:cNvPr id="13" name="Trapecio 10">
          <a:extLst>
            <a:ext uri="{FF2B5EF4-FFF2-40B4-BE49-F238E27FC236}">
              <a16:creationId xmlns:a16="http://schemas.microsoft.com/office/drawing/2014/main" id="{00000000-0008-0000-3D00-00000D000000}"/>
            </a:ext>
          </a:extLst>
        </xdr:cNvPr>
        <xdr:cNvSpPr/>
      </xdr:nvSpPr>
      <xdr:spPr>
        <a:xfrm rot="5234103">
          <a:off x="4538126" y="23731095"/>
          <a:ext cx="507250" cy="3161023"/>
        </a:xfrm>
        <a:custGeom>
          <a:avLst/>
          <a:gdLst>
            <a:gd name="connsiteX0" fmla="*/ 0 w 634189"/>
            <a:gd name="connsiteY0" fmla="*/ 3106206 h 3106206"/>
            <a:gd name="connsiteX1" fmla="*/ 158547 w 634189"/>
            <a:gd name="connsiteY1" fmla="*/ 0 h 3106206"/>
            <a:gd name="connsiteX2" fmla="*/ 475642 w 634189"/>
            <a:gd name="connsiteY2" fmla="*/ 0 h 3106206"/>
            <a:gd name="connsiteX3" fmla="*/ 634189 w 634189"/>
            <a:gd name="connsiteY3" fmla="*/ 3106206 h 3106206"/>
            <a:gd name="connsiteX4" fmla="*/ 0 w 634189"/>
            <a:gd name="connsiteY4" fmla="*/ 3106206 h 3106206"/>
            <a:gd name="connsiteX0" fmla="*/ 26677 w 660866"/>
            <a:gd name="connsiteY0" fmla="*/ 3220049 h 3220049"/>
            <a:gd name="connsiteX1" fmla="*/ 0 w 660866"/>
            <a:gd name="connsiteY1" fmla="*/ 0 h 3220049"/>
            <a:gd name="connsiteX2" fmla="*/ 502319 w 660866"/>
            <a:gd name="connsiteY2" fmla="*/ 113843 h 3220049"/>
            <a:gd name="connsiteX3" fmla="*/ 660866 w 660866"/>
            <a:gd name="connsiteY3" fmla="*/ 3220049 h 3220049"/>
            <a:gd name="connsiteX4" fmla="*/ 26677 w 660866"/>
            <a:gd name="connsiteY4" fmla="*/ 3220049 h 3220049"/>
            <a:gd name="connsiteX0" fmla="*/ 26677 w 660866"/>
            <a:gd name="connsiteY0" fmla="*/ 3220049 h 3220049"/>
            <a:gd name="connsiteX1" fmla="*/ 0 w 660866"/>
            <a:gd name="connsiteY1" fmla="*/ 0 h 3220049"/>
            <a:gd name="connsiteX2" fmla="*/ 516887 w 660866"/>
            <a:gd name="connsiteY2" fmla="*/ 9650 h 3220049"/>
            <a:gd name="connsiteX3" fmla="*/ 660866 w 660866"/>
            <a:gd name="connsiteY3" fmla="*/ 3220049 h 3220049"/>
            <a:gd name="connsiteX4" fmla="*/ 26677 w 660866"/>
            <a:gd name="connsiteY4" fmla="*/ 3220049 h 3220049"/>
            <a:gd name="connsiteX0" fmla="*/ 26677 w 616053"/>
            <a:gd name="connsiteY0" fmla="*/ 3220049 h 3220049"/>
            <a:gd name="connsiteX1" fmla="*/ 0 w 616053"/>
            <a:gd name="connsiteY1" fmla="*/ 0 h 3220049"/>
            <a:gd name="connsiteX2" fmla="*/ 516887 w 616053"/>
            <a:gd name="connsiteY2" fmla="*/ 9650 h 3220049"/>
            <a:gd name="connsiteX3" fmla="*/ 616053 w 616053"/>
            <a:gd name="connsiteY3" fmla="*/ 3160668 h 3220049"/>
            <a:gd name="connsiteX4" fmla="*/ 26677 w 616053"/>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474723 w 516887"/>
            <a:gd name="connsiteY3" fmla="*/ 3125235 h 3220049"/>
            <a:gd name="connsiteX4" fmla="*/ 26677 w 516887"/>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503265 w 516887"/>
            <a:gd name="connsiteY3" fmla="*/ 3126613 h 3220049"/>
            <a:gd name="connsiteX4" fmla="*/ 26677 w 516887"/>
            <a:gd name="connsiteY4" fmla="*/ 3220049 h 3220049"/>
            <a:gd name="connsiteX0" fmla="*/ 83761 w 516887"/>
            <a:gd name="connsiteY0" fmla="*/ 3222805 h 3222805"/>
            <a:gd name="connsiteX1" fmla="*/ 0 w 516887"/>
            <a:gd name="connsiteY1" fmla="*/ 0 h 3222805"/>
            <a:gd name="connsiteX2" fmla="*/ 516887 w 516887"/>
            <a:gd name="connsiteY2" fmla="*/ 9650 h 3222805"/>
            <a:gd name="connsiteX3" fmla="*/ 503265 w 516887"/>
            <a:gd name="connsiteY3" fmla="*/ 3126613 h 3222805"/>
            <a:gd name="connsiteX4" fmla="*/ 83761 w 516887"/>
            <a:gd name="connsiteY4" fmla="*/ 3222805 h 3222805"/>
            <a:gd name="connsiteX0" fmla="*/ 220172 w 516887"/>
            <a:gd name="connsiteY0" fmla="*/ 3162640 h 3162640"/>
            <a:gd name="connsiteX1" fmla="*/ 0 w 516887"/>
            <a:gd name="connsiteY1" fmla="*/ 0 h 3162640"/>
            <a:gd name="connsiteX2" fmla="*/ 516887 w 516887"/>
            <a:gd name="connsiteY2" fmla="*/ 9650 h 3162640"/>
            <a:gd name="connsiteX3" fmla="*/ 503265 w 516887"/>
            <a:gd name="connsiteY3" fmla="*/ 3126613 h 3162640"/>
            <a:gd name="connsiteX4" fmla="*/ 220172 w 516887"/>
            <a:gd name="connsiteY4" fmla="*/ 3162640 h 3162640"/>
            <a:gd name="connsiteX0" fmla="*/ 237822 w 516887"/>
            <a:gd name="connsiteY0" fmla="*/ 3192101 h 3192101"/>
            <a:gd name="connsiteX1" fmla="*/ 0 w 516887"/>
            <a:gd name="connsiteY1" fmla="*/ 0 h 3192101"/>
            <a:gd name="connsiteX2" fmla="*/ 516887 w 516887"/>
            <a:gd name="connsiteY2" fmla="*/ 9650 h 3192101"/>
            <a:gd name="connsiteX3" fmla="*/ 503265 w 516887"/>
            <a:gd name="connsiteY3" fmla="*/ 3126613 h 3192101"/>
            <a:gd name="connsiteX4" fmla="*/ 237822 w 516887"/>
            <a:gd name="connsiteY4" fmla="*/ 3192101 h 3192101"/>
            <a:gd name="connsiteX0" fmla="*/ 237822 w 516887"/>
            <a:gd name="connsiteY0" fmla="*/ 3192101 h 3192101"/>
            <a:gd name="connsiteX1" fmla="*/ 81286 w 516887"/>
            <a:gd name="connsiteY1" fmla="*/ 1746988 h 3192101"/>
            <a:gd name="connsiteX2" fmla="*/ 0 w 516887"/>
            <a:gd name="connsiteY2" fmla="*/ 0 h 3192101"/>
            <a:gd name="connsiteX3" fmla="*/ 516887 w 516887"/>
            <a:gd name="connsiteY3" fmla="*/ 9650 h 3192101"/>
            <a:gd name="connsiteX4" fmla="*/ 503265 w 516887"/>
            <a:gd name="connsiteY4" fmla="*/ 3126613 h 3192101"/>
            <a:gd name="connsiteX5" fmla="*/ 237822 w 516887"/>
            <a:gd name="connsiteY5" fmla="*/ 3192101 h 3192101"/>
            <a:gd name="connsiteX0" fmla="*/ 237822 w 516887"/>
            <a:gd name="connsiteY0" fmla="*/ 3192101 h 3192101"/>
            <a:gd name="connsiteX1" fmla="*/ 176074 w 516887"/>
            <a:gd name="connsiteY1" fmla="*/ 2943578 h 3192101"/>
            <a:gd name="connsiteX2" fmla="*/ 81286 w 516887"/>
            <a:gd name="connsiteY2" fmla="*/ 1746988 h 3192101"/>
            <a:gd name="connsiteX3" fmla="*/ 0 w 516887"/>
            <a:gd name="connsiteY3" fmla="*/ 0 h 3192101"/>
            <a:gd name="connsiteX4" fmla="*/ 516887 w 516887"/>
            <a:gd name="connsiteY4" fmla="*/ 9650 h 3192101"/>
            <a:gd name="connsiteX5" fmla="*/ 503265 w 516887"/>
            <a:gd name="connsiteY5" fmla="*/ 3126613 h 3192101"/>
            <a:gd name="connsiteX6" fmla="*/ 237822 w 516887"/>
            <a:gd name="connsiteY6" fmla="*/ 3192101 h 31921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16887" h="3192101">
              <a:moveTo>
                <a:pt x="237822" y="3192101"/>
              </a:moveTo>
              <a:cubicBezTo>
                <a:pt x="189709" y="3160316"/>
                <a:pt x="202163" y="3184430"/>
                <a:pt x="176074" y="2943578"/>
              </a:cubicBezTo>
              <a:cubicBezTo>
                <a:pt x="149985" y="2702726"/>
                <a:pt x="117051" y="2236305"/>
                <a:pt x="81286" y="1746988"/>
              </a:cubicBezTo>
              <a:lnTo>
                <a:pt x="0" y="0"/>
              </a:lnTo>
              <a:lnTo>
                <a:pt x="516887" y="9650"/>
              </a:lnTo>
              <a:cubicBezTo>
                <a:pt x="512346" y="1048638"/>
                <a:pt x="507806" y="2087625"/>
                <a:pt x="503265" y="3126613"/>
              </a:cubicBezTo>
              <a:lnTo>
                <a:pt x="237822" y="3192101"/>
              </a:lnTo>
              <a:close/>
            </a:path>
          </a:pathLst>
        </a:cu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s-PE"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908797</xdr:colOff>
      <xdr:row>5</xdr:row>
      <xdr:rowOff>171449</xdr:rowOff>
    </xdr:from>
    <xdr:to>
      <xdr:col>13</xdr:col>
      <xdr:colOff>476249</xdr:colOff>
      <xdr:row>19</xdr:row>
      <xdr:rowOff>131669</xdr:rowOff>
    </xdr:to>
    <xdr:graphicFrame macro="">
      <xdr:nvGraphicFramePr>
        <xdr:cNvPr id="2" name="Gráfico 1">
          <a:extLst>
            <a:ext uri="{FF2B5EF4-FFF2-40B4-BE49-F238E27FC236}">
              <a16:creationId xmlns:a16="http://schemas.microsoft.com/office/drawing/2014/main" id="{00000000-0008-0000-3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781049</xdr:colOff>
      <xdr:row>6</xdr:row>
      <xdr:rowOff>4762</xdr:rowOff>
    </xdr:from>
    <xdr:to>
      <xdr:col>18</xdr:col>
      <xdr:colOff>523875</xdr:colOff>
      <xdr:row>19</xdr:row>
      <xdr:rowOff>171450</xdr:rowOff>
    </xdr:to>
    <xdr:graphicFrame macro="">
      <xdr:nvGraphicFramePr>
        <xdr:cNvPr id="3" name="Gráfico 2">
          <a:extLst>
            <a:ext uri="{FF2B5EF4-FFF2-40B4-BE49-F238E27FC236}">
              <a16:creationId xmlns:a16="http://schemas.microsoft.com/office/drawing/2014/main" id="{00000000-0008-0000-3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823072</xdr:colOff>
      <xdr:row>21</xdr:row>
      <xdr:rowOff>38938</xdr:rowOff>
    </xdr:from>
    <xdr:to>
      <xdr:col>18</xdr:col>
      <xdr:colOff>537322</xdr:colOff>
      <xdr:row>34</xdr:row>
      <xdr:rowOff>176491</xdr:rowOff>
    </xdr:to>
    <xdr:graphicFrame macro="">
      <xdr:nvGraphicFramePr>
        <xdr:cNvPr id="4" name="Gráfico 3">
          <a:extLst>
            <a:ext uri="{FF2B5EF4-FFF2-40B4-BE49-F238E27FC236}">
              <a16:creationId xmlns:a16="http://schemas.microsoft.com/office/drawing/2014/main" id="{00000000-0008-0000-3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yecto%20de%20Inversi&#243;n%20Geriatr&#237;a\Pspto.%20Geriatr&#237;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yecto%20UGTS\Presupuesto%20-%20U.G.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royecto%20UGTS\Users\Mart&#237;n\Desktop\Backup%20Mart&#237;n\Consultor&#237;as\MINSA\HNCH\Proyectos%20Formulados\Proyecto%20Rehabilitaci&#243;n\Presupuesto-MFY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Proyecto%20de%20Inversi&#243;n%20Geriatr&#237;a\Users\Mart&#237;n\Desktop\Proyecto%20de%20Odontolog&#237;a\EGR07OK\MORBILIDAD%20ANUAL%2020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D_UEE\DataUEE\Cifras\R_Xls\C17_Gra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1.61.12\dataUEE\Alfredo\PValdivia\publicacion\Cifras%20de%20la%20Educaci&#243;n\Peru_2004\Pedido%20Urgente\Mat_Doc\C05_Ges03.XLS" TargetMode="External"/></Relationships>
</file>

<file path=xl/externalLinks/_rels/externalLink7.xml.rels><?xml version="1.0" encoding="UTF-8" standalone="yes"?>
<Relationships xmlns="http://schemas.openxmlformats.org/package/2006/relationships"><Relationship Id="rId2" Type="http://schemas.microsoft.com/office/2019/04/relationships/externalLinkLongPath" Target="file:///C:\Users\Usuario\Music\Documents\Mi%20Google%20Gadgets\Downloads\SMP\MINSA\REGIONES%20o\PASCO\OXAPAMPA%20Y%20YANAHUANCA%20ENERO%202014\PIP%20OXAPAMPA%20Y%20YANAHUANCA%2031%2001%202014%20OKEY%20-%20MEF\PIP%20OXAPAMPA%20310114\PIP%20OXAPAMPA%2031%2001%202014\PIP%20OXAPAMPA%2030ENE2014.xlsb?C5353A0B" TargetMode="External"/><Relationship Id="rId1" Type="http://schemas.openxmlformats.org/officeDocument/2006/relationships/externalLinkPath" Target="file:///\\C5353A0B\PIP%20OXAPAMPA%2030ENE2014.xlsb"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PARSALUD\FORMATOS\0.%20programacion%20TODOS_%20V29%20Iquitos.xlsb"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ORPI_752\Downloads\BoletinEstadistico_2017_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KHRIS%20-%20RR.HH.%20-%20CAPACITACIONES\Anexo%2037.%20Costos%20de%20Equipamiento%20y%20Capacitaciones%207.7.b\Sustento%20de%20Costo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8.%20GRA%202018\3.%20EVALUACION\8.%20PI%20Final%20Tamburco\Perfil%20Final%20TAMBURCO%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1.PI%20CS%20TOTORA%20OROPESA\0.%20PI%20CS%20Totora%20Oropesa%20Antabamba\1.%20Perfil\1.%20Perfil%20TOTORA%20OROPESA_Final.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TRASLADOS.y\J\estrategicos%20de%20salud\8.PIP%20HOSPITAL%20HUARI%20II-1\EXCEL%20HUARI%20Oct15%20JH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Informe%20PRESUPUES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Demanda"/>
      <sheetName val="Inversión-P"/>
      <sheetName val="Requerimiento"/>
      <sheetName val="Alt. 01"/>
      <sheetName val="Alt. 02"/>
      <sheetName val="CT-SP"/>
      <sheetName val="CT-CP"/>
      <sheetName val="Resumen"/>
      <sheetName val="Costos Increm."/>
      <sheetName val="VACSN"/>
      <sheetName val="Sensib. IE-VACS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Pob.Demand. "/>
      <sheetName val="Inversión"/>
      <sheetName val="CT-SP"/>
      <sheetName val="CT-CP"/>
      <sheetName val="Resumen"/>
      <sheetName val="Costos Increm."/>
      <sheetName val="VACSN"/>
      <sheetName val="Sensib. IE-VACSN"/>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MFyR"/>
      <sheetName val="Oferta"/>
      <sheetName val="OF-Eq."/>
      <sheetName val="Opt.-Brecha-Req."/>
      <sheetName val="Eq. Req."/>
      <sheetName val="Inf. Req."/>
      <sheetName val="A1"/>
      <sheetName val="A2"/>
      <sheetName val="C-SP"/>
      <sheetName val="C-CP1"/>
      <sheetName val="C-CP2"/>
      <sheetName val="FC.1-2"/>
      <sheetName val="Sens.IE-VACSN"/>
      <sheetName val="Plan Implem."/>
    </sheetNames>
    <sheetDataSet>
      <sheetData sheetId="0">
        <row r="25">
          <cell r="C25">
            <v>2008</v>
          </cell>
        </row>
        <row r="47">
          <cell r="P47">
            <v>68076.753214356693</v>
          </cell>
        </row>
      </sheetData>
      <sheetData sheetId="1">
        <row r="25">
          <cell r="C25">
            <v>2008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10"/>
      <sheetName val="T.MORB"/>
      <sheetName val="DATOS"/>
      <sheetName val="T.DIN"/>
      <sheetName val="EGR-FEM"/>
      <sheetName val="T.D.FEM"/>
      <sheetName val="FEM-M-D"/>
      <sheetName val="P.MORB"/>
      <sheetName val="MORB"/>
      <sheetName val="Hoja1"/>
      <sheetName val="VPC-2007"/>
      <sheetName val="P.FREC-DIAGN"/>
      <sheetName val="FREC-DIAGN"/>
      <sheetName val="FREC-DIAGN NO VALE"/>
      <sheetName val="FREC-DIAGN VALE"/>
      <sheetName val="Hoja2"/>
      <sheetName val="Detail"/>
      <sheetName val="20.- Sensibilidad"/>
    </sheetNames>
    <sheetDataSet>
      <sheetData sheetId="0" refreshError="1">
        <row r="2">
          <cell r="A2" t="str">
            <v>A00.0</v>
          </cell>
          <cell r="B2" t="str">
            <v>Cólera debido a Vibrio cholerae O1, biotipo cholerae</v>
          </cell>
        </row>
        <row r="3">
          <cell r="A3" t="str">
            <v>A00.1</v>
          </cell>
          <cell r="B3" t="str">
            <v>Cólera debido a Vibrio cholerae O1, biotipo El Tor</v>
          </cell>
        </row>
        <row r="4">
          <cell r="A4" t="str">
            <v>A00.9</v>
          </cell>
          <cell r="B4" t="str">
            <v>Cólera, no especificado</v>
          </cell>
        </row>
        <row r="5">
          <cell r="A5" t="str">
            <v>A01.0</v>
          </cell>
          <cell r="B5" t="str">
            <v>Fiebre tifoidea</v>
          </cell>
        </row>
        <row r="6">
          <cell r="A6" t="str">
            <v>A01.1</v>
          </cell>
          <cell r="B6" t="str">
            <v>Fiebre paratifoidea A</v>
          </cell>
        </row>
        <row r="7">
          <cell r="A7" t="str">
            <v>A01.2</v>
          </cell>
          <cell r="B7" t="str">
            <v>Fiebre paratifoidea B</v>
          </cell>
        </row>
        <row r="8">
          <cell r="A8" t="str">
            <v>A01.3</v>
          </cell>
          <cell r="B8" t="str">
            <v>Fiebre paratifoidea C</v>
          </cell>
        </row>
        <row r="9">
          <cell r="A9" t="str">
            <v>A01.4</v>
          </cell>
          <cell r="B9" t="str">
            <v>Fiebre paratifoidea, no especificada</v>
          </cell>
        </row>
        <row r="10">
          <cell r="A10" t="str">
            <v>A02.0</v>
          </cell>
          <cell r="B10" t="str">
            <v>Enteritis debida a Salmonella</v>
          </cell>
        </row>
        <row r="11">
          <cell r="A11" t="str">
            <v>A02.1</v>
          </cell>
          <cell r="B11" t="str">
            <v>Septicemia debida a Salmonella</v>
          </cell>
        </row>
        <row r="12">
          <cell r="A12" t="str">
            <v>A02.2</v>
          </cell>
          <cell r="B12" t="str">
            <v>Infecciones localizadas debidas a Salmonella</v>
          </cell>
        </row>
        <row r="13">
          <cell r="A13" t="str">
            <v>A02.8</v>
          </cell>
          <cell r="B13" t="str">
            <v>Otras infecciones especificadas como debidas a Salmonella</v>
          </cell>
        </row>
        <row r="14">
          <cell r="A14" t="str">
            <v>A02.9</v>
          </cell>
          <cell r="B14" t="str">
            <v>Infección debida a Salmonella, no especificada</v>
          </cell>
        </row>
        <row r="15">
          <cell r="A15" t="str">
            <v>A03.0</v>
          </cell>
          <cell r="B15" t="str">
            <v>Shigelosis debida a Shigella dysenteriae</v>
          </cell>
        </row>
        <row r="16">
          <cell r="A16" t="str">
            <v>A03.1</v>
          </cell>
          <cell r="B16" t="str">
            <v>Shigelosis debida a Shigella flexneri</v>
          </cell>
        </row>
        <row r="17">
          <cell r="A17" t="str">
            <v>A03.2</v>
          </cell>
          <cell r="B17" t="str">
            <v>Shigelosis debida a Shigella boydii</v>
          </cell>
        </row>
        <row r="18">
          <cell r="A18" t="str">
            <v>A03.3</v>
          </cell>
          <cell r="B18" t="str">
            <v>Shigelosis debida a Shigella sonnei</v>
          </cell>
        </row>
        <row r="19">
          <cell r="A19" t="str">
            <v>A03.8</v>
          </cell>
          <cell r="B19" t="str">
            <v>Otras shigelosis</v>
          </cell>
        </row>
        <row r="20">
          <cell r="A20" t="str">
            <v>A03.9</v>
          </cell>
          <cell r="B20" t="str">
            <v>Shigelosis de tipo no especificado</v>
          </cell>
        </row>
        <row r="21">
          <cell r="A21" t="str">
            <v>A04.0</v>
          </cell>
          <cell r="B21" t="str">
            <v>Infección debida a Escherichia coli enteropatógena</v>
          </cell>
        </row>
        <row r="22">
          <cell r="A22" t="str">
            <v>A04.1</v>
          </cell>
          <cell r="B22" t="str">
            <v>Infección debida a Escherichia coli enterotoxígena</v>
          </cell>
        </row>
        <row r="23">
          <cell r="A23" t="str">
            <v>A04.2</v>
          </cell>
          <cell r="B23" t="str">
            <v>Infección debida a Escherichia coli enteroinvasiva</v>
          </cell>
        </row>
        <row r="24">
          <cell r="A24" t="str">
            <v>A04.3</v>
          </cell>
          <cell r="B24" t="str">
            <v>Infección debida a Escherichia coli enterohemorrágica</v>
          </cell>
        </row>
        <row r="25">
          <cell r="A25" t="str">
            <v>A04.4</v>
          </cell>
          <cell r="B25" t="str">
            <v>Otras infecciones intestinales debidas a Escherichia coli</v>
          </cell>
        </row>
        <row r="26">
          <cell r="A26" t="str">
            <v>A04.5</v>
          </cell>
          <cell r="B26" t="str">
            <v>Enteritis debida a Campylobacter</v>
          </cell>
        </row>
        <row r="27">
          <cell r="A27" t="str">
            <v>A04.6</v>
          </cell>
          <cell r="B27" t="str">
            <v>Enteritis debida a Yersinia enterocolitica</v>
          </cell>
        </row>
        <row r="28">
          <cell r="A28" t="str">
            <v>A04.7</v>
          </cell>
          <cell r="B28" t="str">
            <v>Enterocolitis debida a Clostridium difficile</v>
          </cell>
        </row>
        <row r="29">
          <cell r="A29" t="str">
            <v>A04.8</v>
          </cell>
          <cell r="B29" t="str">
            <v>Otras infecciones intestinales bacterianas especificadas</v>
          </cell>
        </row>
        <row r="30">
          <cell r="A30" t="str">
            <v>A04.9</v>
          </cell>
          <cell r="B30" t="str">
            <v>Infección intestinal bacteriana, no especificada</v>
          </cell>
        </row>
        <row r="31">
          <cell r="A31" t="str">
            <v>A05.0</v>
          </cell>
          <cell r="B31" t="str">
            <v>Intoxicación alimentaria estafilocócica</v>
          </cell>
        </row>
        <row r="32">
          <cell r="A32" t="str">
            <v>A05.1</v>
          </cell>
          <cell r="B32" t="str">
            <v>Botulismo</v>
          </cell>
        </row>
        <row r="33">
          <cell r="A33" t="str">
            <v>A05.2</v>
          </cell>
          <cell r="B33" t="str">
            <v>Intoxicación alimentaria debida a Clostridium perfringens [Clostridium welchii]</v>
          </cell>
        </row>
        <row r="34">
          <cell r="A34" t="str">
            <v>A05.3</v>
          </cell>
          <cell r="B34" t="str">
            <v>Intoxicación alimentaria debida a Vibrio parahaemolyticus</v>
          </cell>
        </row>
        <row r="35">
          <cell r="A35" t="str">
            <v>A05.4</v>
          </cell>
          <cell r="B35" t="str">
            <v>Intoxicación alimentaria debida a Bacillus cereus</v>
          </cell>
        </row>
        <row r="36">
          <cell r="A36" t="str">
            <v>A05.8</v>
          </cell>
          <cell r="B36" t="str">
            <v>Otras intoxicaciones alimentarias debidas a bacterias especificadas</v>
          </cell>
        </row>
        <row r="37">
          <cell r="A37" t="str">
            <v>A05.9</v>
          </cell>
          <cell r="B37" t="str">
            <v>Intoxicación alimentaria bacteriana, no especificada</v>
          </cell>
        </row>
        <row r="38">
          <cell r="A38" t="str">
            <v>A06.0</v>
          </cell>
          <cell r="B38" t="str">
            <v>Disentería amebiana aguda</v>
          </cell>
        </row>
        <row r="39">
          <cell r="A39" t="str">
            <v>A06.1</v>
          </cell>
          <cell r="B39" t="str">
            <v>Amebiasis intestinal crónica</v>
          </cell>
        </row>
        <row r="40">
          <cell r="A40" t="str">
            <v>A06.2</v>
          </cell>
          <cell r="B40" t="str">
            <v>Colitis amebiana no disentérica</v>
          </cell>
        </row>
        <row r="41">
          <cell r="A41" t="str">
            <v>A06.3</v>
          </cell>
          <cell r="B41" t="str">
            <v>Ameboma intestinal</v>
          </cell>
        </row>
        <row r="42">
          <cell r="A42" t="str">
            <v>A06.4</v>
          </cell>
          <cell r="B42" t="str">
            <v>Absceso amebiano del hígado</v>
          </cell>
        </row>
        <row r="43">
          <cell r="A43" t="str">
            <v>A06.5</v>
          </cell>
          <cell r="B43" t="str">
            <v>Absceso amebiano del pulmón (J99.8*)</v>
          </cell>
        </row>
        <row r="44">
          <cell r="A44" t="str">
            <v>A06.6</v>
          </cell>
          <cell r="B44" t="str">
            <v>Absceso amebiano del cerebro (G07*)</v>
          </cell>
        </row>
        <row r="45">
          <cell r="A45" t="str">
            <v>A06.7</v>
          </cell>
          <cell r="B45" t="str">
            <v>Amebiasis cutánea</v>
          </cell>
        </row>
        <row r="46">
          <cell r="A46" t="str">
            <v>A06.8</v>
          </cell>
          <cell r="B46" t="str">
            <v>Infección amebiana de otras localizaciones</v>
          </cell>
        </row>
        <row r="47">
          <cell r="A47" t="str">
            <v>A06.9</v>
          </cell>
          <cell r="B47" t="str">
            <v>Amebiasis, no especificada</v>
          </cell>
        </row>
        <row r="48">
          <cell r="A48" t="str">
            <v>A07.0</v>
          </cell>
          <cell r="B48" t="str">
            <v>Balantidiasis</v>
          </cell>
        </row>
        <row r="49">
          <cell r="A49" t="str">
            <v>A07.1</v>
          </cell>
          <cell r="B49" t="str">
            <v>Giardiasis [lambliasis]</v>
          </cell>
        </row>
        <row r="50">
          <cell r="A50" t="str">
            <v>A07.2</v>
          </cell>
          <cell r="B50" t="str">
            <v>Criptosporidiosis</v>
          </cell>
        </row>
        <row r="51">
          <cell r="A51" t="str">
            <v>A07.3</v>
          </cell>
          <cell r="B51" t="str">
            <v>Isosporiasis</v>
          </cell>
        </row>
        <row r="52">
          <cell r="A52" t="str">
            <v>A07.8</v>
          </cell>
          <cell r="B52" t="str">
            <v>Otras enfermedades intestinales especificadas debidas a protozoarios</v>
          </cell>
        </row>
        <row r="53">
          <cell r="A53" t="str">
            <v>A07.9</v>
          </cell>
          <cell r="B53" t="str">
            <v>Enfermedad intestinal debida a protozoarios, no especificada</v>
          </cell>
        </row>
        <row r="54">
          <cell r="A54" t="str">
            <v>A08.0</v>
          </cell>
          <cell r="B54" t="str">
            <v>Enteritis debida a rotavirus</v>
          </cell>
        </row>
        <row r="55">
          <cell r="A55" t="str">
            <v>A08.1</v>
          </cell>
          <cell r="B55" t="str">
            <v>Gastroenteropatía aguda debida al agente de Norwalk</v>
          </cell>
        </row>
        <row r="56">
          <cell r="A56" t="str">
            <v>A08.2</v>
          </cell>
          <cell r="B56" t="str">
            <v>Enteritis debida a adenovirus</v>
          </cell>
        </row>
        <row r="57">
          <cell r="A57" t="str">
            <v>A08.3</v>
          </cell>
          <cell r="B57" t="str">
            <v>Otras enteritis virales</v>
          </cell>
        </row>
        <row r="58">
          <cell r="A58" t="str">
            <v>A08.4</v>
          </cell>
          <cell r="B58" t="str">
            <v>Infección intestinal viral, sin otra especificación</v>
          </cell>
        </row>
        <row r="59">
          <cell r="A59" t="str">
            <v>A08.5</v>
          </cell>
          <cell r="B59" t="str">
            <v>Otras infecciones intestinales especificadas</v>
          </cell>
        </row>
        <row r="60">
          <cell r="A60" t="str">
            <v>A09.X</v>
          </cell>
          <cell r="B60" t="str">
            <v>Diarrea y gastroenteritis de presunto origen infeccioso</v>
          </cell>
        </row>
        <row r="61">
          <cell r="A61" t="str">
            <v>A15.0</v>
          </cell>
          <cell r="B61" t="str">
            <v>Tuberculosis del pulmón, confirmada por hallazgo microscópico del bacilo tuberculoso en esputo, con o sin cultivo</v>
          </cell>
        </row>
        <row r="62">
          <cell r="A62" t="str">
            <v>A15.1</v>
          </cell>
          <cell r="B62" t="str">
            <v>Tuberculosis del pulmón, confirmada únicamente por cultivo</v>
          </cell>
        </row>
        <row r="63">
          <cell r="A63" t="str">
            <v>A15.2</v>
          </cell>
          <cell r="B63" t="str">
            <v>Tuberculosis del pulmón, confirmada histológicamente</v>
          </cell>
        </row>
        <row r="64">
          <cell r="A64" t="str">
            <v>A15.3</v>
          </cell>
          <cell r="B64" t="str">
            <v>Tuberculosis del pulmón, confirmada por medios no especificados</v>
          </cell>
        </row>
        <row r="65">
          <cell r="A65" t="str">
            <v>A15.4</v>
          </cell>
          <cell r="B65" t="str">
            <v>Tuberculosis de ganglios linfáticos intratorácicos, confirmada bacteriológica e histológicamente</v>
          </cell>
        </row>
        <row r="66">
          <cell r="A66" t="str">
            <v>A15.5</v>
          </cell>
          <cell r="B66" t="str">
            <v>Tuberculosis de laringe, tráquea y bronquios, confirmada bacteriológica e histológicamente</v>
          </cell>
        </row>
        <row r="67">
          <cell r="A67" t="str">
            <v>A15.6</v>
          </cell>
          <cell r="B67" t="str">
            <v>Pleuresía tuberculosa, confirmada bacteriológica e histológicamente</v>
          </cell>
        </row>
        <row r="68">
          <cell r="A68" t="str">
            <v>A15.7</v>
          </cell>
          <cell r="B68" t="str">
            <v>Tuberculosis respiratoria primaria, confirmada bacteriológica e histológicamente</v>
          </cell>
        </row>
        <row r="69">
          <cell r="A69" t="str">
            <v>A15.8</v>
          </cell>
          <cell r="B69" t="str">
            <v>Otras tuberculosis respiratorias, confirmadas bacteriológica e histológicamente</v>
          </cell>
        </row>
        <row r="70">
          <cell r="A70" t="str">
            <v>A15.9</v>
          </cell>
          <cell r="B70" t="str">
            <v>Tuberculosis respiratoria no especificada, confirmada bacteriológica e histológicamente</v>
          </cell>
        </row>
        <row r="71">
          <cell r="A71" t="str">
            <v>A16.0</v>
          </cell>
          <cell r="B71" t="str">
            <v>Tuberculosis del pulmón, con examen bacteriológico e histológico negativos</v>
          </cell>
        </row>
        <row r="72">
          <cell r="A72" t="str">
            <v>A16.1</v>
          </cell>
          <cell r="B72" t="str">
            <v>Tuberculosis de pulmón, sin examen bacteriológico e histológico</v>
          </cell>
        </row>
        <row r="73">
          <cell r="A73" t="str">
            <v>A16.2</v>
          </cell>
          <cell r="B73" t="str">
            <v>Tuberculosis de pulmón, sin mención de confirmación bacteriológica o histológica</v>
          </cell>
        </row>
        <row r="74">
          <cell r="A74" t="str">
            <v>A16.3</v>
          </cell>
          <cell r="B74" t="str">
            <v>Tuberculosis de ganglios linfáticos intratorácicos, sin mención de confirmación bacteriológica o histológica</v>
          </cell>
        </row>
        <row r="75">
          <cell r="A75" t="str">
            <v>A16.4</v>
          </cell>
          <cell r="B75" t="str">
            <v>Tuberculosis de laringe, tráquea y bronquios, sin mención de confirmación bacteriológica o histológica</v>
          </cell>
        </row>
        <row r="76">
          <cell r="A76" t="str">
            <v>A16.5</v>
          </cell>
          <cell r="B76" t="str">
            <v>Pleuresía tuberculosa, sin mención de confirmación bacteriológica o histológica</v>
          </cell>
        </row>
        <row r="77">
          <cell r="A77" t="str">
            <v>A16.7</v>
          </cell>
          <cell r="B77" t="str">
            <v>Tuberculosis respiratoria primaria, sin mención de confirmación bacteriológica o histológica</v>
          </cell>
        </row>
        <row r="78">
          <cell r="A78" t="str">
            <v>A16.8</v>
          </cell>
          <cell r="B78" t="str">
            <v>Otras tuberculosis respiratorias, sin mención de confirmación</v>
          </cell>
        </row>
        <row r="79">
          <cell r="A79" t="str">
            <v>A16.9</v>
          </cell>
          <cell r="B79" t="str">
            <v>Tuberculosis respiratoria no especificada, sin mención de confirmación bacteriológica o histológica</v>
          </cell>
        </row>
        <row r="80">
          <cell r="A80" t="str">
            <v>A17.0</v>
          </cell>
          <cell r="B80" t="str">
            <v>Meningitis tuberculosa (G01*)</v>
          </cell>
        </row>
        <row r="81">
          <cell r="A81" t="str">
            <v>A17.1</v>
          </cell>
          <cell r="B81" t="str">
            <v>Tuberculoma meníngeo (G07*)</v>
          </cell>
        </row>
        <row r="82">
          <cell r="A82" t="str">
            <v>A17.8</v>
          </cell>
          <cell r="B82" t="str">
            <v>Otras tuberculosis del sistema nervioso</v>
          </cell>
        </row>
        <row r="83">
          <cell r="A83" t="str">
            <v>A17.9</v>
          </cell>
          <cell r="B83" t="str">
            <v>Tuberculosis del sistema nervioso, no especificada (G99.8*)</v>
          </cell>
        </row>
        <row r="84">
          <cell r="A84" t="str">
            <v>A18.0</v>
          </cell>
          <cell r="B84" t="str">
            <v>Tuberculosis de huesos y articulaciones</v>
          </cell>
        </row>
        <row r="85">
          <cell r="A85" t="str">
            <v>A18.1</v>
          </cell>
          <cell r="B85" t="str">
            <v>Tuberculosis del aparato genitourinario</v>
          </cell>
        </row>
        <row r="86">
          <cell r="A86" t="str">
            <v>A18.2</v>
          </cell>
          <cell r="B86" t="str">
            <v>Linfadenopatía periférica tuberculosa</v>
          </cell>
        </row>
        <row r="87">
          <cell r="A87" t="str">
            <v>A18.3</v>
          </cell>
          <cell r="B87" t="str">
            <v>Tuberculosis de los intestinos, el peritoneo y los ganglios mesentéricos</v>
          </cell>
        </row>
        <row r="88">
          <cell r="A88" t="str">
            <v>A18.4</v>
          </cell>
          <cell r="B88" t="str">
            <v>Tuberculosis de la piel y el tejido subcutáneo</v>
          </cell>
        </row>
        <row r="89">
          <cell r="A89" t="str">
            <v>A18.5</v>
          </cell>
          <cell r="B89" t="str">
            <v>Tuberculosis del ojo</v>
          </cell>
        </row>
        <row r="90">
          <cell r="A90" t="str">
            <v>A18.6</v>
          </cell>
          <cell r="B90" t="str">
            <v>Tuberculosis del oído</v>
          </cell>
        </row>
        <row r="91">
          <cell r="A91" t="str">
            <v>A18.7</v>
          </cell>
          <cell r="B91" t="str">
            <v>Tuberculosis de glándulas suprarrenales (E35.1*)</v>
          </cell>
        </row>
        <row r="92">
          <cell r="A92" t="str">
            <v>A18.8</v>
          </cell>
          <cell r="B92" t="str">
            <v>Tuberculosis de otros órganos especificados</v>
          </cell>
        </row>
        <row r="93">
          <cell r="A93" t="str">
            <v>A19.0</v>
          </cell>
          <cell r="B93" t="str">
            <v>Tuberculosis miliar aguda de un solo sitio especificado</v>
          </cell>
        </row>
        <row r="94">
          <cell r="A94" t="str">
            <v>A19.1</v>
          </cell>
          <cell r="B94" t="str">
            <v>Tuberculosis miliar aguda de sitios múltiples</v>
          </cell>
        </row>
        <row r="95">
          <cell r="A95" t="str">
            <v>A19.2</v>
          </cell>
          <cell r="B95" t="str">
            <v>Tuberculosis miliar aguda, no especificada</v>
          </cell>
        </row>
        <row r="96">
          <cell r="A96" t="str">
            <v>A19.8</v>
          </cell>
          <cell r="B96" t="str">
            <v>Otras tuberculosis miliares</v>
          </cell>
        </row>
        <row r="97">
          <cell r="A97" t="str">
            <v>A19.9</v>
          </cell>
          <cell r="B97" t="str">
            <v>Tuberculosis miliar, sin otra especificación</v>
          </cell>
        </row>
        <row r="98">
          <cell r="A98" t="str">
            <v>A20.0</v>
          </cell>
          <cell r="B98" t="str">
            <v>Peste bubónica</v>
          </cell>
        </row>
        <row r="99">
          <cell r="A99" t="str">
            <v>A20.1</v>
          </cell>
          <cell r="B99" t="str">
            <v>Peste celulocutánea</v>
          </cell>
        </row>
        <row r="100">
          <cell r="A100" t="str">
            <v>A20.2</v>
          </cell>
          <cell r="B100" t="str">
            <v>Peste neumónica</v>
          </cell>
        </row>
        <row r="101">
          <cell r="A101" t="str">
            <v>A20.3</v>
          </cell>
          <cell r="B101" t="str">
            <v>Meningitis por peste</v>
          </cell>
        </row>
        <row r="102">
          <cell r="A102" t="str">
            <v>A20.7</v>
          </cell>
          <cell r="B102" t="str">
            <v>Peste septicémica</v>
          </cell>
        </row>
        <row r="103">
          <cell r="A103" t="str">
            <v>A20.8</v>
          </cell>
          <cell r="B103" t="str">
            <v>Otras formas de peste</v>
          </cell>
        </row>
        <row r="104">
          <cell r="A104" t="str">
            <v>A20.9</v>
          </cell>
          <cell r="B104" t="str">
            <v>Peste, no especificada</v>
          </cell>
        </row>
        <row r="105">
          <cell r="A105" t="str">
            <v>A21.0</v>
          </cell>
          <cell r="B105" t="str">
            <v>Tularemia ulceroglandular</v>
          </cell>
        </row>
        <row r="106">
          <cell r="A106" t="str">
            <v>A21.1</v>
          </cell>
          <cell r="B106" t="str">
            <v>Tularemia oculoglandular</v>
          </cell>
        </row>
        <row r="107">
          <cell r="A107" t="str">
            <v>A21.2</v>
          </cell>
          <cell r="B107" t="str">
            <v>Tularemia pulmonar</v>
          </cell>
        </row>
        <row r="108">
          <cell r="A108" t="str">
            <v>A21.3</v>
          </cell>
          <cell r="B108" t="str">
            <v>Tularemia gastrointestinal</v>
          </cell>
        </row>
        <row r="109">
          <cell r="A109" t="str">
            <v>A21.7</v>
          </cell>
          <cell r="B109" t="str">
            <v>Tularemia generalizada</v>
          </cell>
        </row>
        <row r="110">
          <cell r="A110" t="str">
            <v>A21.8</v>
          </cell>
          <cell r="B110" t="str">
            <v>Otras formas de tularemia</v>
          </cell>
        </row>
        <row r="111">
          <cell r="A111" t="str">
            <v>A21.9</v>
          </cell>
          <cell r="B111" t="str">
            <v>Tularemia, no especificada</v>
          </cell>
        </row>
        <row r="112">
          <cell r="A112" t="str">
            <v>A22.0</v>
          </cell>
          <cell r="B112" t="str">
            <v>Carbunco cutáneo</v>
          </cell>
        </row>
        <row r="113">
          <cell r="A113" t="str">
            <v>A22.1</v>
          </cell>
          <cell r="B113" t="str">
            <v>Carbunco pulmonar</v>
          </cell>
        </row>
        <row r="114">
          <cell r="A114" t="str">
            <v>A22.2</v>
          </cell>
          <cell r="B114" t="str">
            <v>Carbunco gastrointestinal</v>
          </cell>
        </row>
        <row r="115">
          <cell r="A115" t="str">
            <v>A22.7</v>
          </cell>
          <cell r="B115" t="str">
            <v>Carbunco septicémico</v>
          </cell>
        </row>
        <row r="116">
          <cell r="A116" t="str">
            <v>A22.8</v>
          </cell>
          <cell r="B116" t="str">
            <v>Otras formas de carbunco</v>
          </cell>
        </row>
        <row r="117">
          <cell r="A117" t="str">
            <v>A22.9</v>
          </cell>
          <cell r="B117" t="str">
            <v>Carbunco, no especificado</v>
          </cell>
        </row>
        <row r="118">
          <cell r="A118" t="str">
            <v>A23.0</v>
          </cell>
          <cell r="B118" t="str">
            <v>Brucelosis debida a Brucella melitensis</v>
          </cell>
        </row>
        <row r="119">
          <cell r="A119" t="str">
            <v>A23.1</v>
          </cell>
          <cell r="B119" t="str">
            <v>Brucelosis debida a Brucella abortus</v>
          </cell>
        </row>
        <row r="120">
          <cell r="A120" t="str">
            <v>A23.2</v>
          </cell>
          <cell r="B120" t="str">
            <v>Brucelosis debida a Brucella suis</v>
          </cell>
        </row>
        <row r="121">
          <cell r="A121" t="str">
            <v>A23.3</v>
          </cell>
          <cell r="B121" t="str">
            <v>Brucelosis debida a Brucella canis</v>
          </cell>
        </row>
        <row r="122">
          <cell r="A122" t="str">
            <v>A23.8</v>
          </cell>
          <cell r="B122" t="str">
            <v>Otras brucelosis</v>
          </cell>
        </row>
        <row r="123">
          <cell r="A123" t="str">
            <v>A23.9</v>
          </cell>
          <cell r="B123" t="str">
            <v>Brucelosis, no especificada</v>
          </cell>
        </row>
        <row r="124">
          <cell r="A124" t="str">
            <v>A24.0</v>
          </cell>
          <cell r="B124" t="str">
            <v>Muermo</v>
          </cell>
        </row>
        <row r="125">
          <cell r="A125" t="str">
            <v>A24.1</v>
          </cell>
          <cell r="B125" t="str">
            <v>Melioidosis aguda y fulminante</v>
          </cell>
        </row>
        <row r="126">
          <cell r="A126" t="str">
            <v>A24.2</v>
          </cell>
          <cell r="B126" t="str">
            <v>Melioidosis subaguda y crónica</v>
          </cell>
        </row>
        <row r="127">
          <cell r="A127" t="str">
            <v>A24.3</v>
          </cell>
          <cell r="B127" t="str">
            <v>Otras melioidosis</v>
          </cell>
        </row>
        <row r="128">
          <cell r="A128" t="str">
            <v>A24.4</v>
          </cell>
          <cell r="B128" t="str">
            <v>Melioidosis, no especificada</v>
          </cell>
        </row>
        <row r="129">
          <cell r="A129" t="str">
            <v>A25.0</v>
          </cell>
          <cell r="B129" t="str">
            <v>Espirilosis</v>
          </cell>
        </row>
        <row r="130">
          <cell r="A130" t="str">
            <v>A25.1</v>
          </cell>
          <cell r="B130" t="str">
            <v>Estreptobacilosis</v>
          </cell>
        </row>
        <row r="131">
          <cell r="A131" t="str">
            <v>A25.9</v>
          </cell>
          <cell r="B131" t="str">
            <v>Fiebre por mordedura de rata, no especificada</v>
          </cell>
        </row>
        <row r="132">
          <cell r="A132" t="str">
            <v>A26.0</v>
          </cell>
          <cell r="B132" t="str">
            <v>Erisipeloide cutáneo</v>
          </cell>
        </row>
        <row r="133">
          <cell r="A133" t="str">
            <v>A26.7</v>
          </cell>
          <cell r="B133" t="str">
            <v>Septicemia por Erysipelothrix</v>
          </cell>
        </row>
        <row r="134">
          <cell r="A134" t="str">
            <v>A26.8</v>
          </cell>
          <cell r="B134" t="str">
            <v>Otras formas de erisipeloide</v>
          </cell>
        </row>
        <row r="135">
          <cell r="A135" t="str">
            <v>A26.9</v>
          </cell>
          <cell r="B135" t="str">
            <v>Erisipeloide, no especificada</v>
          </cell>
        </row>
        <row r="136">
          <cell r="A136" t="str">
            <v>A27.0</v>
          </cell>
          <cell r="B136" t="str">
            <v>Leptospirosis icterohemorrágica</v>
          </cell>
        </row>
        <row r="137">
          <cell r="A137" t="str">
            <v>A27.8</v>
          </cell>
          <cell r="B137" t="str">
            <v>Otras formas de leptospirosis</v>
          </cell>
        </row>
        <row r="138">
          <cell r="A138" t="str">
            <v>A27.9</v>
          </cell>
          <cell r="B138" t="str">
            <v>Leptospirosis, no especificada</v>
          </cell>
        </row>
        <row r="139">
          <cell r="A139" t="str">
            <v>A28.0</v>
          </cell>
          <cell r="B139" t="str">
            <v>Pasteurelosis</v>
          </cell>
        </row>
        <row r="140">
          <cell r="A140" t="str">
            <v>A28.1</v>
          </cell>
          <cell r="B140" t="str">
            <v>Enfermedad por rasguño de gato</v>
          </cell>
        </row>
        <row r="141">
          <cell r="A141" t="str">
            <v>A28.2</v>
          </cell>
          <cell r="B141" t="str">
            <v>Yersiniosis extraintestinal</v>
          </cell>
        </row>
        <row r="142">
          <cell r="A142" t="str">
            <v>A28.8</v>
          </cell>
          <cell r="B142" t="str">
            <v>Otras enfermedades zoonóticas bacterianas especificadas, no clasificadas en otra parte</v>
          </cell>
        </row>
        <row r="143">
          <cell r="A143" t="str">
            <v>A28.9</v>
          </cell>
          <cell r="B143" t="str">
            <v>Enfermedad zoonótica bacteriana, sin otra especificación</v>
          </cell>
        </row>
        <row r="144">
          <cell r="A144" t="str">
            <v>A30.0</v>
          </cell>
          <cell r="B144" t="str">
            <v>Lepra indeterminada</v>
          </cell>
        </row>
        <row r="145">
          <cell r="A145" t="str">
            <v>A30.1</v>
          </cell>
          <cell r="B145" t="str">
            <v>Lepra tuberculoide</v>
          </cell>
        </row>
        <row r="146">
          <cell r="A146" t="str">
            <v>A30.2</v>
          </cell>
          <cell r="B146" t="str">
            <v>Lepra tuberculoide limítrofe</v>
          </cell>
        </row>
        <row r="147">
          <cell r="A147" t="str">
            <v>A30.3</v>
          </cell>
          <cell r="B147" t="str">
            <v>Lepra limítrofe</v>
          </cell>
        </row>
        <row r="148">
          <cell r="A148" t="str">
            <v>A30.4</v>
          </cell>
          <cell r="B148" t="str">
            <v>Lepra lepromatosa limítrofe</v>
          </cell>
        </row>
        <row r="149">
          <cell r="A149" t="str">
            <v>A30.5</v>
          </cell>
          <cell r="B149" t="str">
            <v>Lepra lepromatosa</v>
          </cell>
        </row>
        <row r="150">
          <cell r="A150" t="str">
            <v>A30.8</v>
          </cell>
          <cell r="B150" t="str">
            <v>Otras formas de lepra</v>
          </cell>
        </row>
        <row r="151">
          <cell r="A151" t="str">
            <v>A30.9</v>
          </cell>
          <cell r="B151" t="str">
            <v>Lepra, no especificada</v>
          </cell>
        </row>
        <row r="152">
          <cell r="A152" t="str">
            <v>A31.0</v>
          </cell>
          <cell r="B152" t="str">
            <v>Infecciones por micobacterias pulmonares</v>
          </cell>
        </row>
        <row r="153">
          <cell r="A153" t="str">
            <v>A31.1</v>
          </cell>
          <cell r="B153" t="str">
            <v>Infección cutánea por micobacterias</v>
          </cell>
        </row>
        <row r="154">
          <cell r="A154" t="str">
            <v>A31.8</v>
          </cell>
          <cell r="B154" t="str">
            <v>Otras infecciones por micobacterias</v>
          </cell>
        </row>
        <row r="155">
          <cell r="A155" t="str">
            <v>A31.9</v>
          </cell>
          <cell r="B155" t="str">
            <v>Infección por micobacteria, no especificada</v>
          </cell>
        </row>
        <row r="156">
          <cell r="A156" t="str">
            <v>A32.0</v>
          </cell>
          <cell r="B156" t="str">
            <v>Listeriosis cutánea</v>
          </cell>
        </row>
        <row r="157">
          <cell r="A157" t="str">
            <v>A32.1</v>
          </cell>
          <cell r="B157" t="str">
            <v>Meningitis y meningoencefalitis listeriana</v>
          </cell>
        </row>
        <row r="158">
          <cell r="A158" t="str">
            <v>A32.7</v>
          </cell>
          <cell r="B158" t="str">
            <v>Septicemia listeriana</v>
          </cell>
        </row>
        <row r="159">
          <cell r="A159" t="str">
            <v>A32.8</v>
          </cell>
          <cell r="B159" t="str">
            <v>Otras formas de listeriosis</v>
          </cell>
        </row>
        <row r="160">
          <cell r="A160" t="str">
            <v>A32.9</v>
          </cell>
          <cell r="B160" t="str">
            <v>Listeriosis, no especificada</v>
          </cell>
        </row>
        <row r="161">
          <cell r="A161" t="str">
            <v>A33.X</v>
          </cell>
          <cell r="B161" t="str">
            <v>Tétanos neonatal</v>
          </cell>
        </row>
        <row r="162">
          <cell r="A162" t="str">
            <v>A34.X</v>
          </cell>
          <cell r="B162" t="str">
            <v>Tétanos obstétrico</v>
          </cell>
        </row>
        <row r="163">
          <cell r="A163" t="str">
            <v>A35.X</v>
          </cell>
          <cell r="B163" t="str">
            <v>Otros tétanos</v>
          </cell>
        </row>
        <row r="164">
          <cell r="A164" t="str">
            <v>A36.0</v>
          </cell>
          <cell r="B164" t="str">
            <v>Difteria faríngea</v>
          </cell>
        </row>
        <row r="165">
          <cell r="A165" t="str">
            <v>A36.1</v>
          </cell>
          <cell r="B165" t="str">
            <v>Difteria nasofaríngea</v>
          </cell>
        </row>
        <row r="166">
          <cell r="A166" t="str">
            <v>A36.2</v>
          </cell>
          <cell r="B166" t="str">
            <v>Difteria laríngea</v>
          </cell>
        </row>
        <row r="167">
          <cell r="A167" t="str">
            <v>A36.3</v>
          </cell>
          <cell r="B167" t="str">
            <v>Difteria cutánea</v>
          </cell>
        </row>
        <row r="168">
          <cell r="A168" t="str">
            <v>A36.8</v>
          </cell>
          <cell r="B168" t="str">
            <v>Otras difterias</v>
          </cell>
        </row>
        <row r="169">
          <cell r="A169" t="str">
            <v>A36.9</v>
          </cell>
          <cell r="B169" t="str">
            <v>Difteria, no especificada</v>
          </cell>
        </row>
        <row r="170">
          <cell r="A170" t="str">
            <v>A37.0</v>
          </cell>
          <cell r="B170" t="str">
            <v>Tos ferina debida a Bordetella pertussis</v>
          </cell>
        </row>
        <row r="171">
          <cell r="A171" t="str">
            <v>A37.1</v>
          </cell>
          <cell r="B171" t="str">
            <v>Tos ferina debida a Bordetella parapertussis</v>
          </cell>
        </row>
        <row r="172">
          <cell r="A172" t="str">
            <v>A37.8</v>
          </cell>
          <cell r="B172" t="str">
            <v>Tos ferina debida a otras especies de Bordetella</v>
          </cell>
        </row>
        <row r="173">
          <cell r="A173" t="str">
            <v>A37.9</v>
          </cell>
          <cell r="B173" t="str">
            <v>Tos ferina, no especificada</v>
          </cell>
        </row>
        <row r="174">
          <cell r="A174" t="str">
            <v>A38.X</v>
          </cell>
          <cell r="B174" t="str">
            <v>Escarlatina</v>
          </cell>
        </row>
        <row r="175">
          <cell r="A175" t="str">
            <v>A39.0</v>
          </cell>
          <cell r="B175" t="str">
            <v>Meningitis meningocócica (G01*)</v>
          </cell>
        </row>
        <row r="176">
          <cell r="A176" t="str">
            <v>A39.1</v>
          </cell>
          <cell r="B176" t="str">
            <v>Síndrome de Waterhouse-Friderichsen (E35.1*)</v>
          </cell>
        </row>
        <row r="177">
          <cell r="A177" t="str">
            <v>A39.2</v>
          </cell>
          <cell r="B177" t="str">
            <v>Meningococemia aguda</v>
          </cell>
        </row>
        <row r="178">
          <cell r="A178" t="str">
            <v>A39.3</v>
          </cell>
          <cell r="B178" t="str">
            <v>Meningococemia crónica</v>
          </cell>
        </row>
        <row r="179">
          <cell r="A179" t="str">
            <v>A39.4</v>
          </cell>
          <cell r="B179" t="str">
            <v>Meningococemia, no especificada</v>
          </cell>
        </row>
        <row r="180">
          <cell r="A180" t="str">
            <v>A39.5</v>
          </cell>
          <cell r="B180" t="str">
            <v>Enfermedad cardíaca debida a meningococo</v>
          </cell>
        </row>
        <row r="181">
          <cell r="A181" t="str">
            <v>A39.8</v>
          </cell>
          <cell r="B181" t="str">
            <v>Otras infecciones meningocócicas:</v>
          </cell>
        </row>
        <row r="182">
          <cell r="A182" t="str">
            <v>A39.9</v>
          </cell>
          <cell r="B182" t="str">
            <v>Infección meningocócica, no especificada</v>
          </cell>
        </row>
        <row r="183">
          <cell r="A183" t="str">
            <v>A40.0</v>
          </cell>
          <cell r="B183" t="str">
            <v>Septicemia debida a estreptococo, grupo A</v>
          </cell>
        </row>
        <row r="184">
          <cell r="A184" t="str">
            <v>A40.1</v>
          </cell>
          <cell r="B184" t="str">
            <v>Septicemia debida a estreptococo, grupo B</v>
          </cell>
        </row>
        <row r="185">
          <cell r="A185" t="str">
            <v>A40.2</v>
          </cell>
          <cell r="B185" t="str">
            <v>Septicemia debida a estreptococo, grupo D</v>
          </cell>
        </row>
        <row r="186">
          <cell r="A186" t="str">
            <v>A40.3</v>
          </cell>
          <cell r="B186" t="str">
            <v>Septicemia debida a Streptococcus pneumoniae</v>
          </cell>
        </row>
        <row r="187">
          <cell r="A187" t="str">
            <v>A40.8</v>
          </cell>
          <cell r="B187" t="str">
            <v>Otras septicemias estreptocócicas</v>
          </cell>
        </row>
        <row r="188">
          <cell r="A188" t="str">
            <v>A40.9</v>
          </cell>
          <cell r="B188" t="str">
            <v>Septicemia estreptocócica, no especificada</v>
          </cell>
        </row>
        <row r="189">
          <cell r="A189" t="str">
            <v>A41.0</v>
          </cell>
          <cell r="B189" t="str">
            <v>Septicemia debida a Staphylococcus aureus</v>
          </cell>
        </row>
        <row r="190">
          <cell r="A190" t="str">
            <v>A41.1</v>
          </cell>
          <cell r="B190" t="str">
            <v>Septicemia debida a otro estafilococo especificado</v>
          </cell>
        </row>
        <row r="191">
          <cell r="A191" t="str">
            <v>A41.2</v>
          </cell>
          <cell r="B191" t="str">
            <v>Septicemia debida a estafilococo no especificado</v>
          </cell>
        </row>
        <row r="192">
          <cell r="A192" t="str">
            <v>A41.3</v>
          </cell>
          <cell r="B192" t="str">
            <v>Septicemia debida a Haemophilus influenzae</v>
          </cell>
        </row>
        <row r="193">
          <cell r="A193" t="str">
            <v>A41.4</v>
          </cell>
          <cell r="B193" t="str">
            <v>Septicemia debida a anaerobios</v>
          </cell>
        </row>
        <row r="194">
          <cell r="A194" t="str">
            <v>A41.5</v>
          </cell>
          <cell r="B194" t="str">
            <v>Septicemia debida a otros organismos gramnegativos</v>
          </cell>
        </row>
        <row r="195">
          <cell r="A195" t="str">
            <v>A41.8</v>
          </cell>
          <cell r="B195" t="str">
            <v>Otras septicemias especificadas</v>
          </cell>
        </row>
        <row r="196">
          <cell r="A196" t="str">
            <v>A41.9</v>
          </cell>
          <cell r="B196" t="str">
            <v>Septicemia, no especificada</v>
          </cell>
        </row>
        <row r="197">
          <cell r="A197" t="str">
            <v>A42.0</v>
          </cell>
          <cell r="B197" t="str">
            <v>Actinomicosis pulmonar</v>
          </cell>
        </row>
        <row r="198">
          <cell r="A198" t="str">
            <v>A42.1</v>
          </cell>
          <cell r="B198" t="str">
            <v>Actinomicosis abdominal</v>
          </cell>
        </row>
        <row r="199">
          <cell r="A199" t="str">
            <v>A42.2</v>
          </cell>
          <cell r="B199" t="str">
            <v>Actinomicosis cervicofacial</v>
          </cell>
        </row>
        <row r="200">
          <cell r="A200" t="str">
            <v>A42.7</v>
          </cell>
          <cell r="B200" t="str">
            <v>Septicemia actinomicótica</v>
          </cell>
        </row>
        <row r="201">
          <cell r="A201" t="str">
            <v>A42.8</v>
          </cell>
          <cell r="B201" t="str">
            <v>Otras formas de actinomicosis</v>
          </cell>
        </row>
        <row r="202">
          <cell r="A202" t="str">
            <v>A42.9</v>
          </cell>
          <cell r="B202" t="str">
            <v>Actinomicosis, sin otra especificación</v>
          </cell>
        </row>
        <row r="203">
          <cell r="A203" t="str">
            <v>A43.0</v>
          </cell>
          <cell r="B203" t="str">
            <v>Nocardiosis pulmonar</v>
          </cell>
        </row>
        <row r="204">
          <cell r="A204" t="str">
            <v>A43.1</v>
          </cell>
          <cell r="B204" t="str">
            <v>Nocardiosis cutánea</v>
          </cell>
        </row>
        <row r="205">
          <cell r="A205" t="str">
            <v>A43.8</v>
          </cell>
          <cell r="B205" t="str">
            <v>Otras formas de nocardiosis</v>
          </cell>
        </row>
        <row r="206">
          <cell r="A206" t="str">
            <v>A43.9</v>
          </cell>
          <cell r="B206" t="str">
            <v>Nocardiosis, no especificada</v>
          </cell>
        </row>
        <row r="207">
          <cell r="A207" t="str">
            <v>A44.0</v>
          </cell>
          <cell r="B207" t="str">
            <v>Bartonelosis sistémica</v>
          </cell>
        </row>
        <row r="208">
          <cell r="A208" t="str">
            <v>A44.1</v>
          </cell>
          <cell r="B208" t="str">
            <v>Bartonelosis cutánea y mucocutánea</v>
          </cell>
        </row>
        <row r="209">
          <cell r="A209" t="str">
            <v>A44.8</v>
          </cell>
          <cell r="B209" t="str">
            <v>Otras formas de bartonelosis</v>
          </cell>
        </row>
        <row r="210">
          <cell r="A210" t="str">
            <v>A44.9</v>
          </cell>
          <cell r="B210" t="str">
            <v>Bartonelosis, no especificada</v>
          </cell>
        </row>
        <row r="211">
          <cell r="A211" t="str">
            <v>A46.X</v>
          </cell>
          <cell r="B211" t="str">
            <v>Erisipela</v>
          </cell>
        </row>
        <row r="212">
          <cell r="A212" t="str">
            <v>A48.8</v>
          </cell>
          <cell r="B212" t="str">
            <v>Otras enfermedades bacterianas, no clasificadas en otra parte</v>
          </cell>
        </row>
        <row r="213">
          <cell r="A213" t="str">
            <v>A48.0</v>
          </cell>
          <cell r="B213" t="str">
            <v>Gangrena gaseosa</v>
          </cell>
        </row>
        <row r="214">
          <cell r="A214" t="str">
            <v>A48.1</v>
          </cell>
          <cell r="B214" t="str">
            <v>Enfermedad de los legionarios</v>
          </cell>
        </row>
        <row r="215">
          <cell r="A215" t="str">
            <v>A48.2</v>
          </cell>
          <cell r="B215" t="str">
            <v>Enfermedad de los legionarios no neumónica [fiebre de Pontiac]</v>
          </cell>
        </row>
        <row r="216">
          <cell r="A216" t="str">
            <v>A48.3</v>
          </cell>
          <cell r="B216" t="str">
            <v>Síndrome del choque tóxico</v>
          </cell>
        </row>
        <row r="217">
          <cell r="A217" t="str">
            <v>A48.4</v>
          </cell>
          <cell r="B217" t="str">
            <v>Fiebre purpúrica brasileña</v>
          </cell>
        </row>
        <row r="218">
          <cell r="A218" t="str">
            <v>A48.8</v>
          </cell>
          <cell r="B218" t="str">
            <v>Otras enfermedades bacterianas especificadas</v>
          </cell>
        </row>
        <row r="219">
          <cell r="A219" t="str">
            <v>A49.0</v>
          </cell>
          <cell r="B219" t="str">
            <v>Infección estafilocócica, sin otra especificación</v>
          </cell>
        </row>
        <row r="220">
          <cell r="A220" t="str">
            <v>A49.1</v>
          </cell>
          <cell r="B220" t="str">
            <v>Infección estreptocócica, sin otra especificación</v>
          </cell>
        </row>
        <row r="221">
          <cell r="A221" t="str">
            <v>A49.2</v>
          </cell>
          <cell r="B221" t="str">
            <v>Infección por Haemophilus influenzae, sin otra especificación</v>
          </cell>
        </row>
        <row r="222">
          <cell r="A222" t="str">
            <v>A49.3</v>
          </cell>
          <cell r="B222" t="str">
            <v>Infección por micoplasma, sin otra especificación</v>
          </cell>
        </row>
        <row r="223">
          <cell r="A223" t="str">
            <v>A49.8</v>
          </cell>
          <cell r="B223" t="str">
            <v>Otras infecciones bacterianas de sitio no especificado</v>
          </cell>
        </row>
        <row r="224">
          <cell r="A224" t="str">
            <v>A49.9</v>
          </cell>
          <cell r="B224" t="str">
            <v>Infección bacteriana, no especificada</v>
          </cell>
        </row>
        <row r="225">
          <cell r="A225" t="str">
            <v>A50.0</v>
          </cell>
          <cell r="B225" t="str">
            <v>Sífilis congénita precoz, sintomática</v>
          </cell>
        </row>
        <row r="226">
          <cell r="A226" t="str">
            <v>A50.1</v>
          </cell>
          <cell r="B226" t="str">
            <v>Sífilis congénita precoz, latente</v>
          </cell>
        </row>
        <row r="227">
          <cell r="A227" t="str">
            <v>A50.2</v>
          </cell>
          <cell r="B227" t="str">
            <v>Sífilis congénita precoz, sin otra especificación</v>
          </cell>
        </row>
        <row r="228">
          <cell r="A228" t="str">
            <v>A50.3</v>
          </cell>
          <cell r="B228" t="str">
            <v>Oculopatía sifilítica congénita tardía</v>
          </cell>
        </row>
        <row r="229">
          <cell r="A229" t="str">
            <v>A50.4</v>
          </cell>
          <cell r="B229" t="str">
            <v>Neurosífilis congénita tardía [neurosífilis juvenil]</v>
          </cell>
        </row>
        <row r="230">
          <cell r="A230" t="str">
            <v>A50.5</v>
          </cell>
          <cell r="B230" t="str">
            <v>Otras formas de sífilis congénita tardía, sintomática</v>
          </cell>
        </row>
        <row r="231">
          <cell r="A231" t="str">
            <v>A50.6</v>
          </cell>
          <cell r="B231" t="str">
            <v>Sífilis congénita tardía, latente</v>
          </cell>
        </row>
        <row r="232">
          <cell r="A232" t="str">
            <v>A50.7</v>
          </cell>
          <cell r="B232" t="str">
            <v>Sífilis congénita tardía, sin otra especificación</v>
          </cell>
        </row>
        <row r="233">
          <cell r="A233" t="str">
            <v>A50.9</v>
          </cell>
          <cell r="B233" t="str">
            <v>Sífilis congénita, sin otra especificación</v>
          </cell>
        </row>
        <row r="234">
          <cell r="A234" t="str">
            <v>A51.0</v>
          </cell>
          <cell r="B234" t="str">
            <v>Sífilis genital primaria</v>
          </cell>
        </row>
        <row r="235">
          <cell r="A235" t="str">
            <v>A51.1</v>
          </cell>
          <cell r="B235" t="str">
            <v>Sífilis primaria anal</v>
          </cell>
        </row>
        <row r="236">
          <cell r="A236" t="str">
            <v>A51.2</v>
          </cell>
          <cell r="B236" t="str">
            <v>Sífilis primaria en otros sitios</v>
          </cell>
        </row>
        <row r="237">
          <cell r="A237" t="str">
            <v>A51.3</v>
          </cell>
          <cell r="B237" t="str">
            <v>Sífilis secundaria de piel y membranas mucosas</v>
          </cell>
        </row>
        <row r="238">
          <cell r="A238" t="str">
            <v>A51.4</v>
          </cell>
          <cell r="B238" t="str">
            <v>Otras sífilis secundarias</v>
          </cell>
        </row>
        <row r="239">
          <cell r="A239" t="str">
            <v>A51.5</v>
          </cell>
          <cell r="B239" t="str">
            <v>Sífilis precoz, latente</v>
          </cell>
        </row>
        <row r="240">
          <cell r="A240" t="str">
            <v>A51.9</v>
          </cell>
          <cell r="B240" t="str">
            <v>Sífilis precoz, sin otra especificación</v>
          </cell>
        </row>
        <row r="241">
          <cell r="A241" t="str">
            <v>A52</v>
          </cell>
          <cell r="B241" t="str">
            <v>Sífilis tardía</v>
          </cell>
        </row>
        <row r="242">
          <cell r="A242" t="str">
            <v>A52.0</v>
          </cell>
          <cell r="B242" t="str">
            <v>Sífilis cardiovascular</v>
          </cell>
        </row>
        <row r="243">
          <cell r="A243" t="str">
            <v>A52.1</v>
          </cell>
          <cell r="B243" t="str">
            <v>Neurosífilis sintomática</v>
          </cell>
        </row>
        <row r="244">
          <cell r="A244" t="str">
            <v>A52.2</v>
          </cell>
          <cell r="B244" t="str">
            <v>Neurosífilis asintomática</v>
          </cell>
        </row>
        <row r="245">
          <cell r="A245" t="str">
            <v>A52.3</v>
          </cell>
          <cell r="B245" t="str">
            <v>Neurosífilis no especificada</v>
          </cell>
        </row>
        <row r="246">
          <cell r="A246" t="str">
            <v>A52.7</v>
          </cell>
          <cell r="B246" t="str">
            <v>Otras sífilis tardías sintomáticas</v>
          </cell>
        </row>
        <row r="247">
          <cell r="A247" t="str">
            <v>A52.8</v>
          </cell>
          <cell r="B247" t="str">
            <v>Sífilis tardía, latente</v>
          </cell>
        </row>
        <row r="248">
          <cell r="A248" t="str">
            <v>A52.9</v>
          </cell>
          <cell r="B248" t="str">
            <v>Sífilis tardía, no especificada</v>
          </cell>
        </row>
        <row r="249">
          <cell r="A249" t="str">
            <v>A53</v>
          </cell>
          <cell r="B249" t="str">
            <v>Otras sífilis y las no especificadas</v>
          </cell>
        </row>
        <row r="250">
          <cell r="A250" t="str">
            <v>A53.0</v>
          </cell>
          <cell r="B250" t="str">
            <v>Sífilis latente, no especificada como precoz o tardía</v>
          </cell>
        </row>
        <row r="251">
          <cell r="A251" t="str">
            <v>A53.9</v>
          </cell>
          <cell r="B251" t="str">
            <v>Sífilis, no especificada</v>
          </cell>
        </row>
        <row r="252">
          <cell r="A252" t="str">
            <v>A54</v>
          </cell>
          <cell r="B252" t="str">
            <v>Infección gonocócica</v>
          </cell>
        </row>
        <row r="253">
          <cell r="A253" t="str">
            <v>A54.0</v>
          </cell>
          <cell r="B253" t="str">
            <v>Infección gonocócica del tracto genitourinario inferior sin absceso periuretral o de glándula accesoria</v>
          </cell>
        </row>
        <row r="254">
          <cell r="A254" t="str">
            <v>A54.1</v>
          </cell>
          <cell r="B254" t="str">
            <v>Infección gonocócica del tracto genitourinario inferior con absceso periuretral y de glándulas accesorias</v>
          </cell>
        </row>
        <row r="255">
          <cell r="A255" t="str">
            <v>A54.2</v>
          </cell>
          <cell r="B255" t="str">
            <v>Pelviperitonitis gonocócica y otras infecciones gonocócicas genitourinarias</v>
          </cell>
        </row>
        <row r="256">
          <cell r="A256" t="str">
            <v>A54.3</v>
          </cell>
          <cell r="B256" t="str">
            <v>Infección gonocócica del ojo</v>
          </cell>
        </row>
        <row r="257">
          <cell r="A257" t="str">
            <v>A54.4</v>
          </cell>
          <cell r="B257" t="str">
            <v>Infección gonocócica del sistema osteomuscular</v>
          </cell>
        </row>
        <row r="258">
          <cell r="A258" t="str">
            <v>A54.5</v>
          </cell>
          <cell r="B258" t="str">
            <v>Faringitis gonocócica</v>
          </cell>
        </row>
        <row r="259">
          <cell r="A259" t="str">
            <v>A54.6</v>
          </cell>
          <cell r="B259" t="str">
            <v>Infección gonocócica del ano y del recto</v>
          </cell>
        </row>
        <row r="260">
          <cell r="A260" t="str">
            <v>A54.8</v>
          </cell>
          <cell r="B260" t="str">
            <v>Otras infecciones gonocócicas</v>
          </cell>
        </row>
        <row r="261">
          <cell r="A261" t="str">
            <v>A54.9</v>
          </cell>
          <cell r="B261" t="str">
            <v>Infección gonocócica, no especificada</v>
          </cell>
        </row>
        <row r="262">
          <cell r="A262" t="str">
            <v>A55.X</v>
          </cell>
          <cell r="B262" t="str">
            <v>Linfogranuloma (venéreo) por clamidias</v>
          </cell>
        </row>
        <row r="263">
          <cell r="A263" t="str">
            <v>A56</v>
          </cell>
          <cell r="B263" t="str">
            <v>Otras enfermedades de transmisión sexual debidas a clamidias</v>
          </cell>
        </row>
        <row r="264">
          <cell r="A264" t="str">
            <v>A56.0</v>
          </cell>
          <cell r="B264" t="str">
            <v>Infección del tracto genitourinario inferior debida a clamidias</v>
          </cell>
        </row>
        <row r="265">
          <cell r="A265" t="str">
            <v>A56.1</v>
          </cell>
          <cell r="B265" t="str">
            <v>Infección del pelviperitoneo y otros órganos genitourinarios debida a clamidias</v>
          </cell>
        </row>
        <row r="266">
          <cell r="A266" t="str">
            <v>A56.2</v>
          </cell>
          <cell r="B266" t="str">
            <v>Infecciones del tracto genitourinario debidas a clamidias, sin otra especificación</v>
          </cell>
        </row>
        <row r="267">
          <cell r="A267" t="str">
            <v>A56.3</v>
          </cell>
          <cell r="B267" t="str">
            <v>Infección del ano y del recto debida a clamidias</v>
          </cell>
        </row>
        <row r="268">
          <cell r="A268" t="str">
            <v>A56.4</v>
          </cell>
          <cell r="B268" t="str">
            <v>Infección de faringe debida a clamidias</v>
          </cell>
        </row>
        <row r="269">
          <cell r="A269" t="str">
            <v>A56.8</v>
          </cell>
          <cell r="B269" t="str">
            <v>Infección de transmisión sexual de otros sitios debida a clamidias</v>
          </cell>
        </row>
        <row r="270">
          <cell r="A270" t="str">
            <v>A57.X</v>
          </cell>
          <cell r="B270" t="str">
            <v>Chancro blando</v>
          </cell>
        </row>
        <row r="271">
          <cell r="A271" t="str">
            <v>A58.X</v>
          </cell>
          <cell r="B271" t="str">
            <v>Granuloma inguinal</v>
          </cell>
        </row>
        <row r="272">
          <cell r="A272" t="str">
            <v>A59</v>
          </cell>
          <cell r="B272" t="str">
            <v>Tricomoniasis</v>
          </cell>
        </row>
        <row r="273">
          <cell r="A273" t="str">
            <v>A59.0</v>
          </cell>
          <cell r="B273" t="str">
            <v>Tricomoniasis urogenital</v>
          </cell>
        </row>
        <row r="274">
          <cell r="A274" t="str">
            <v>A59.8</v>
          </cell>
          <cell r="B274" t="str">
            <v>Tricomoniasis de otros sitios</v>
          </cell>
        </row>
        <row r="275">
          <cell r="A275" t="str">
            <v>A59.9</v>
          </cell>
          <cell r="B275" t="str">
            <v>Tricomoniasis, no especificada</v>
          </cell>
        </row>
        <row r="276">
          <cell r="A276" t="str">
            <v>A60</v>
          </cell>
          <cell r="B276" t="str">
            <v>Infección anogenital debida a virus del herpes [herpes simple]</v>
          </cell>
        </row>
        <row r="277">
          <cell r="A277" t="str">
            <v>A60.0</v>
          </cell>
          <cell r="B277" t="str">
            <v>Infección de genitales y trayecto urogenital debida a virus del herpes [herpes simple]</v>
          </cell>
        </row>
        <row r="278">
          <cell r="A278" t="str">
            <v>A60.1</v>
          </cell>
          <cell r="B278" t="str">
            <v>Infección de la piel perianal y recto por virus del herpes simple</v>
          </cell>
        </row>
        <row r="279">
          <cell r="A279" t="str">
            <v>A60.9</v>
          </cell>
          <cell r="B279" t="str">
            <v>Infección anogenital por virus del herpes simple, sin otra especificación</v>
          </cell>
        </row>
        <row r="280">
          <cell r="A280" t="str">
            <v>A63</v>
          </cell>
          <cell r="B280" t="str">
            <v>Otras enfermedades de transmisión predominantemente sexual, no clasificadas en otra parte</v>
          </cell>
        </row>
        <row r="281">
          <cell r="A281" t="str">
            <v>A63.0</v>
          </cell>
          <cell r="B281" t="str">
            <v>Verrugas (venéreas) anogenitales</v>
          </cell>
        </row>
        <row r="282">
          <cell r="A282" t="str">
            <v>A63.8</v>
          </cell>
          <cell r="B282" t="str">
            <v>Otras enfermedades de transmisión predominantemente sexual, especificadas</v>
          </cell>
        </row>
        <row r="283">
          <cell r="A283" t="str">
            <v>A64.X</v>
          </cell>
          <cell r="B283" t="str">
            <v>Enfermedad de transmisión sexual no especificada</v>
          </cell>
        </row>
        <row r="284">
          <cell r="A284" t="str">
            <v>A65.X</v>
          </cell>
          <cell r="B284" t="str">
            <v>Sífilis no venérea</v>
          </cell>
        </row>
        <row r="285">
          <cell r="A285" t="str">
            <v>A66</v>
          </cell>
          <cell r="B285" t="str">
            <v>Frambesia</v>
          </cell>
        </row>
        <row r="286">
          <cell r="A286" t="str">
            <v>A66.0</v>
          </cell>
          <cell r="B286" t="str">
            <v>Lesiones iniciales de frambesia</v>
          </cell>
        </row>
        <row r="287">
          <cell r="A287" t="str">
            <v>A66.1</v>
          </cell>
          <cell r="B287" t="str">
            <v>Lesiones papilomatosas múltiples y frambesia con paso de cangrejo</v>
          </cell>
        </row>
        <row r="288">
          <cell r="A288" t="str">
            <v>A66.2</v>
          </cell>
          <cell r="B288" t="str">
            <v>Otras lesiones precoces de la piel en la frambesia</v>
          </cell>
        </row>
        <row r="289">
          <cell r="A289" t="str">
            <v>A66.3</v>
          </cell>
          <cell r="B289" t="str">
            <v>Hiperqueratosis de frambesia</v>
          </cell>
        </row>
        <row r="290">
          <cell r="A290" t="str">
            <v>A66.4</v>
          </cell>
          <cell r="B290" t="str">
            <v>Goma y úlceras de frambesia</v>
          </cell>
        </row>
        <row r="291">
          <cell r="A291" t="str">
            <v>A66.5</v>
          </cell>
          <cell r="B291" t="str">
            <v>Gangosa</v>
          </cell>
        </row>
        <row r="292">
          <cell r="A292" t="str">
            <v>A66.6</v>
          </cell>
          <cell r="B292" t="str">
            <v>Lesiones frambésicas de los huesos y de las articulaciones</v>
          </cell>
        </row>
        <row r="293">
          <cell r="A293" t="str">
            <v>A66.7</v>
          </cell>
          <cell r="B293" t="str">
            <v>Otras manifestaciones de frambesia</v>
          </cell>
        </row>
        <row r="294">
          <cell r="A294" t="str">
            <v>A66.8</v>
          </cell>
          <cell r="B294" t="str">
            <v>Frambesia latente</v>
          </cell>
        </row>
        <row r="295">
          <cell r="A295" t="str">
            <v>A66.9</v>
          </cell>
          <cell r="B295" t="str">
            <v>Frambesia, no especificada</v>
          </cell>
        </row>
        <row r="296">
          <cell r="A296" t="str">
            <v>A67</v>
          </cell>
          <cell r="B296" t="str">
            <v>Pinta [carate]</v>
          </cell>
        </row>
        <row r="297">
          <cell r="A297" t="str">
            <v>A67.0</v>
          </cell>
          <cell r="B297" t="str">
            <v>Lesiones primarias de la pinta</v>
          </cell>
        </row>
        <row r="298">
          <cell r="A298" t="str">
            <v>A67.1</v>
          </cell>
          <cell r="B298" t="str">
            <v>Lesiones intermedias de la pinta</v>
          </cell>
        </row>
        <row r="299">
          <cell r="A299" t="str">
            <v>A67.2</v>
          </cell>
          <cell r="B299" t="str">
            <v>Lesiones tardías de la pinta</v>
          </cell>
        </row>
        <row r="300">
          <cell r="A300" t="str">
            <v>A67.3</v>
          </cell>
          <cell r="B300" t="str">
            <v>Lesiones mixtas de la pinta</v>
          </cell>
        </row>
        <row r="301">
          <cell r="A301" t="str">
            <v>A67.9</v>
          </cell>
          <cell r="B301" t="str">
            <v>Pinta, no especificada</v>
          </cell>
        </row>
        <row r="302">
          <cell r="A302" t="str">
            <v>A68</v>
          </cell>
          <cell r="B302" t="str">
            <v>Fiebres recurrentes</v>
          </cell>
        </row>
        <row r="303">
          <cell r="A303" t="str">
            <v>A68.0</v>
          </cell>
          <cell r="B303" t="str">
            <v>Fiebre recurrente transmitida por piojos</v>
          </cell>
        </row>
        <row r="304">
          <cell r="A304" t="str">
            <v>A68.1</v>
          </cell>
          <cell r="B304" t="str">
            <v>Fiebre recurrente transmitida por garrapatas</v>
          </cell>
        </row>
        <row r="305">
          <cell r="A305" t="str">
            <v>A68.9</v>
          </cell>
          <cell r="B305" t="str">
            <v>Fiebre recurrente, no especificada</v>
          </cell>
        </row>
        <row r="306">
          <cell r="A306" t="str">
            <v>A69</v>
          </cell>
          <cell r="B306" t="str">
            <v>Otras infecciones causadas por espiroquetas</v>
          </cell>
        </row>
        <row r="307">
          <cell r="A307" t="str">
            <v>A69.0</v>
          </cell>
          <cell r="B307" t="str">
            <v>Estomatitis ulcerativa necrotizante</v>
          </cell>
        </row>
        <row r="308">
          <cell r="A308" t="str">
            <v>A69.1</v>
          </cell>
          <cell r="B308" t="str">
            <v>Otras infecciones de Vincent</v>
          </cell>
        </row>
        <row r="309">
          <cell r="A309" t="str">
            <v>A69.2</v>
          </cell>
          <cell r="B309" t="str">
            <v>Enfermedad de Lyme</v>
          </cell>
        </row>
        <row r="310">
          <cell r="A310" t="str">
            <v>A69.8</v>
          </cell>
          <cell r="B310" t="str">
            <v>Otras infecciones específicadas por espiroquetas</v>
          </cell>
        </row>
        <row r="311">
          <cell r="A311" t="str">
            <v>A69.9</v>
          </cell>
          <cell r="B311" t="str">
            <v>Infección por espiroqueta, no especificada</v>
          </cell>
        </row>
        <row r="312">
          <cell r="A312" t="str">
            <v>A70.X</v>
          </cell>
          <cell r="B312" t="str">
            <v>Infección debida a Chlamydia psittaci</v>
          </cell>
        </row>
        <row r="313">
          <cell r="A313" t="str">
            <v>A71</v>
          </cell>
          <cell r="B313" t="str">
            <v>Tracoma</v>
          </cell>
        </row>
        <row r="314">
          <cell r="A314" t="str">
            <v>A71.0</v>
          </cell>
          <cell r="B314" t="str">
            <v>Estado inicial de tracoma</v>
          </cell>
        </row>
        <row r="315">
          <cell r="A315" t="str">
            <v>A71.1</v>
          </cell>
          <cell r="B315" t="str">
            <v>Estado activo de tracoma</v>
          </cell>
        </row>
        <row r="316">
          <cell r="A316" t="str">
            <v>A71.9</v>
          </cell>
          <cell r="B316" t="str">
            <v>Tracoma, no especificado</v>
          </cell>
        </row>
        <row r="317">
          <cell r="A317" t="str">
            <v>A74</v>
          </cell>
          <cell r="B317" t="str">
            <v>Otras enfermedades causadas por clamidias</v>
          </cell>
        </row>
        <row r="318">
          <cell r="A318" t="str">
            <v>A74.0</v>
          </cell>
          <cell r="B318" t="str">
            <v>Conjuntivitis por clamidias (H13.1*)</v>
          </cell>
        </row>
        <row r="319">
          <cell r="A319" t="str">
            <v>A74.8</v>
          </cell>
          <cell r="B319" t="str">
            <v>Otras enfermedades por clamidias</v>
          </cell>
        </row>
        <row r="320">
          <cell r="A320" t="str">
            <v>A74.9</v>
          </cell>
          <cell r="B320" t="str">
            <v>Infección por clamidias, no especificada</v>
          </cell>
        </row>
        <row r="321">
          <cell r="A321" t="str">
            <v>A75</v>
          </cell>
          <cell r="B321" t="str">
            <v>Tifus</v>
          </cell>
        </row>
        <row r="322">
          <cell r="A322" t="str">
            <v>A75.0</v>
          </cell>
          <cell r="B322" t="str">
            <v>Tifus epidémico debido a Rickettsia prowazekii transmitido por piojos</v>
          </cell>
        </row>
        <row r="323">
          <cell r="A323" t="str">
            <v>A75.1</v>
          </cell>
          <cell r="B323" t="str">
            <v>Tifus recrudescente [enfermedad de Brill]</v>
          </cell>
        </row>
        <row r="324">
          <cell r="A324" t="str">
            <v>A75.2</v>
          </cell>
          <cell r="B324" t="str">
            <v>Tifus debido a Rickettsia typhi</v>
          </cell>
        </row>
        <row r="325">
          <cell r="A325" t="str">
            <v>A75.3</v>
          </cell>
          <cell r="B325" t="str">
            <v>Tifus debido a Rickettsia tsutsugamushi</v>
          </cell>
        </row>
        <row r="326">
          <cell r="A326" t="str">
            <v>A75.9</v>
          </cell>
          <cell r="B326" t="str">
            <v>Tifus, no especificado</v>
          </cell>
        </row>
        <row r="327">
          <cell r="A327" t="str">
            <v>A77</v>
          </cell>
          <cell r="B327" t="str">
            <v>Fiebre maculosa [rickettsiosis transmitida por garrapatas]</v>
          </cell>
        </row>
        <row r="328">
          <cell r="A328" t="str">
            <v>A77.0</v>
          </cell>
          <cell r="B328" t="str">
            <v>Fiebre maculosa debida a Rickettsia rickettsii</v>
          </cell>
        </row>
        <row r="329">
          <cell r="A329" t="str">
            <v>A77.1</v>
          </cell>
          <cell r="B329" t="str">
            <v>Fiebre maculosa debida a Rickettsia conorii</v>
          </cell>
        </row>
        <row r="330">
          <cell r="A330" t="str">
            <v>A77.2</v>
          </cell>
          <cell r="B330" t="str">
            <v>Fiebre maculosa debida a Rickettsia siberica</v>
          </cell>
        </row>
        <row r="331">
          <cell r="A331" t="str">
            <v>A77.3</v>
          </cell>
          <cell r="B331" t="str">
            <v>Fiebre maculosa debida a Rickettsia australis</v>
          </cell>
        </row>
        <row r="332">
          <cell r="A332" t="str">
            <v>A77.8</v>
          </cell>
          <cell r="B332" t="str">
            <v>Otras fiebres maculosas</v>
          </cell>
        </row>
        <row r="333">
          <cell r="A333" t="str">
            <v>A77.9</v>
          </cell>
          <cell r="B333" t="str">
            <v>Fiebre maculosa, no especificada</v>
          </cell>
        </row>
        <row r="334">
          <cell r="A334" t="str">
            <v>A78.X</v>
          </cell>
          <cell r="B334" t="str">
            <v>Fiebre Q</v>
          </cell>
        </row>
        <row r="335">
          <cell r="A335" t="str">
            <v>A79</v>
          </cell>
          <cell r="B335" t="str">
            <v>Otras rickettsiosis</v>
          </cell>
        </row>
        <row r="336">
          <cell r="A336" t="str">
            <v>A79.0</v>
          </cell>
          <cell r="B336" t="str">
            <v>Fiebre de las trincheras</v>
          </cell>
        </row>
        <row r="337">
          <cell r="A337" t="str">
            <v>A79.1</v>
          </cell>
          <cell r="B337" t="str">
            <v>Rickettsiosis pustulosa debida a Rickettsia akari</v>
          </cell>
        </row>
        <row r="338">
          <cell r="A338" t="str">
            <v>A79.8</v>
          </cell>
          <cell r="B338" t="str">
            <v>Otras rickettsiosis especificadas</v>
          </cell>
        </row>
        <row r="339">
          <cell r="A339" t="str">
            <v>A79.9</v>
          </cell>
          <cell r="B339" t="str">
            <v>Rickettsiosis, no especificada</v>
          </cell>
        </row>
        <row r="340">
          <cell r="A340" t="str">
            <v>A80</v>
          </cell>
          <cell r="B340" t="str">
            <v>Poliomielitis aguda</v>
          </cell>
        </row>
        <row r="341">
          <cell r="A341" t="str">
            <v>A80.0</v>
          </cell>
          <cell r="B341" t="str">
            <v>Poliomielitis aguda paralítica, asociada a vacuna</v>
          </cell>
        </row>
        <row r="342">
          <cell r="A342" t="str">
            <v>A80.1</v>
          </cell>
          <cell r="B342" t="str">
            <v>Poliomielitis aguda paralítica debida a virus salvaje importado</v>
          </cell>
        </row>
        <row r="343">
          <cell r="A343" t="str">
            <v>A80.2</v>
          </cell>
          <cell r="B343" t="str">
            <v>Poliomielitis aguda paralítica debida a virus salvaje autóctono</v>
          </cell>
        </row>
        <row r="344">
          <cell r="A344" t="str">
            <v>A80.3</v>
          </cell>
          <cell r="B344" t="str">
            <v>Otras poliomielitis agudas paralíticas, y las no especificadas</v>
          </cell>
        </row>
        <row r="345">
          <cell r="A345" t="str">
            <v>A80.4</v>
          </cell>
          <cell r="B345" t="str">
            <v>Poliomielitis aguda no paralítica</v>
          </cell>
        </row>
        <row r="346">
          <cell r="A346" t="str">
            <v>A80.9</v>
          </cell>
          <cell r="B346" t="str">
            <v>Poliomielitis aguda, sin otra especificación</v>
          </cell>
        </row>
        <row r="347">
          <cell r="A347" t="str">
            <v>A81</v>
          </cell>
          <cell r="B347" t="str">
            <v>Infecciones del sistema nervioso central por virus lento</v>
          </cell>
        </row>
        <row r="348">
          <cell r="A348" t="str">
            <v>A81.0</v>
          </cell>
          <cell r="B348" t="str">
            <v>Enfermedad de Creutzfeldt-Jakob</v>
          </cell>
        </row>
        <row r="349">
          <cell r="A349" t="str">
            <v>A81.1</v>
          </cell>
          <cell r="B349" t="str">
            <v>Panencefalitis esclerosante subaguda</v>
          </cell>
        </row>
        <row r="350">
          <cell r="A350" t="str">
            <v>A81.2</v>
          </cell>
          <cell r="B350" t="str">
            <v>Leucoencefalopatía multifocal progresiva</v>
          </cell>
        </row>
        <row r="351">
          <cell r="A351" t="str">
            <v>A81.8</v>
          </cell>
          <cell r="B351" t="str">
            <v>Otras infecciones del sistema nervioso central por virus lento</v>
          </cell>
        </row>
        <row r="352">
          <cell r="A352" t="str">
            <v>A81.9</v>
          </cell>
          <cell r="B352" t="str">
            <v>Infecciones del sistema nervioso central por virus lento, sin otra especificación</v>
          </cell>
        </row>
        <row r="353">
          <cell r="A353" t="str">
            <v>A82</v>
          </cell>
          <cell r="B353" t="str">
            <v>Rabia</v>
          </cell>
        </row>
        <row r="354">
          <cell r="A354" t="str">
            <v>A82.0</v>
          </cell>
          <cell r="B354" t="str">
            <v>Rabia selvática</v>
          </cell>
        </row>
        <row r="355">
          <cell r="A355" t="str">
            <v>A82.1</v>
          </cell>
          <cell r="B355" t="str">
            <v>Rabia urbana</v>
          </cell>
        </row>
        <row r="356">
          <cell r="A356" t="str">
            <v>A82.9</v>
          </cell>
          <cell r="B356" t="str">
            <v>Rabia, sin otra especificación</v>
          </cell>
        </row>
        <row r="357">
          <cell r="A357" t="str">
            <v>A83</v>
          </cell>
          <cell r="B357" t="str">
            <v>Encefalitis viral transmitida por mosquitos</v>
          </cell>
        </row>
        <row r="358">
          <cell r="A358" t="str">
            <v>A83.0</v>
          </cell>
          <cell r="B358" t="str">
            <v>Encefalitis japonesa</v>
          </cell>
        </row>
        <row r="359">
          <cell r="A359" t="str">
            <v>A83.1</v>
          </cell>
          <cell r="B359" t="str">
            <v>Encefalitis equina del oeste</v>
          </cell>
        </row>
        <row r="360">
          <cell r="A360" t="str">
            <v>A83.2</v>
          </cell>
          <cell r="B360" t="str">
            <v>Encefalitis equina del este</v>
          </cell>
        </row>
        <row r="361">
          <cell r="A361" t="str">
            <v>A83.3</v>
          </cell>
          <cell r="B361" t="str">
            <v>Encefalitis de San Luis</v>
          </cell>
        </row>
        <row r="362">
          <cell r="A362" t="str">
            <v>A83.4</v>
          </cell>
          <cell r="B362" t="str">
            <v>Encefalitis australiana</v>
          </cell>
        </row>
        <row r="363">
          <cell r="A363" t="str">
            <v>A83.5</v>
          </cell>
          <cell r="B363" t="str">
            <v>Encefalitis de California</v>
          </cell>
        </row>
        <row r="364">
          <cell r="A364" t="str">
            <v>A83.6</v>
          </cell>
          <cell r="B364" t="str">
            <v>Enfermedad por virus Rocío</v>
          </cell>
        </row>
        <row r="365">
          <cell r="A365" t="str">
            <v>A83.8</v>
          </cell>
          <cell r="B365" t="str">
            <v>Otras encefalitis virales transmitidas por mosquitos</v>
          </cell>
        </row>
        <row r="366">
          <cell r="A366" t="str">
            <v>A83.9</v>
          </cell>
          <cell r="B366" t="str">
            <v>Encefalitis viral transmitida por mosquitos, sin otra especificación</v>
          </cell>
        </row>
        <row r="367">
          <cell r="A367" t="str">
            <v>A84</v>
          </cell>
          <cell r="B367" t="str">
            <v>Encefalitis viral transmitida por garrapatas</v>
          </cell>
        </row>
        <row r="368">
          <cell r="A368" t="str">
            <v>A84.0</v>
          </cell>
          <cell r="B368" t="str">
            <v>Encefalitis del Lejano Oriente transmitida por garrapatas [encefalitis primaveroestival rusa]</v>
          </cell>
        </row>
        <row r="369">
          <cell r="A369" t="str">
            <v>A84.1</v>
          </cell>
          <cell r="B369" t="str">
            <v>Encefalitis centroeuropea transmitida por garrapatas</v>
          </cell>
        </row>
        <row r="370">
          <cell r="A370" t="str">
            <v>A84.8</v>
          </cell>
          <cell r="B370" t="str">
            <v>Otras encefalitis virales transmitidas por garrapatas</v>
          </cell>
        </row>
        <row r="371">
          <cell r="A371" t="str">
            <v>A84.9</v>
          </cell>
          <cell r="B371" t="str">
            <v>Encefalitis viral transmitida por garrapatas, sin otra especificación</v>
          </cell>
        </row>
        <row r="372">
          <cell r="A372" t="str">
            <v>A85</v>
          </cell>
          <cell r="B372" t="str">
            <v>Otras encefalitis virales, no clasificadas en otra parte</v>
          </cell>
        </row>
        <row r="373">
          <cell r="A373" t="str">
            <v>A85.0</v>
          </cell>
          <cell r="B373" t="str">
            <v>Encefalitis enteroviral (G05.1*)</v>
          </cell>
        </row>
        <row r="374">
          <cell r="A374" t="str">
            <v>A85.1</v>
          </cell>
          <cell r="B374" t="str">
            <v>Encefalitis por adenovirus (G05.1* )</v>
          </cell>
        </row>
        <row r="375">
          <cell r="A375" t="str">
            <v>A85.2</v>
          </cell>
          <cell r="B375" t="str">
            <v>Encefalitis viral transmitida por artrópodos, sin otra especificación</v>
          </cell>
        </row>
        <row r="376">
          <cell r="A376" t="str">
            <v>A85.8</v>
          </cell>
          <cell r="B376" t="str">
            <v>Otras encefalitis virales especificadas</v>
          </cell>
        </row>
        <row r="377">
          <cell r="A377" t="str">
            <v>A86.X</v>
          </cell>
          <cell r="B377" t="str">
            <v>Encefalitis viral, no especificada</v>
          </cell>
        </row>
        <row r="378">
          <cell r="A378" t="str">
            <v>A87</v>
          </cell>
          <cell r="B378" t="str">
            <v>Meningitis viral</v>
          </cell>
        </row>
        <row r="379">
          <cell r="A379" t="str">
            <v>A87.0</v>
          </cell>
          <cell r="B379" t="str">
            <v>Meningitis enteroviral (G02.0*)</v>
          </cell>
        </row>
        <row r="380">
          <cell r="A380" t="str">
            <v>A87.1</v>
          </cell>
          <cell r="B380" t="str">
            <v>Meningitis debida a adenovirus (G02.0*)</v>
          </cell>
        </row>
        <row r="381">
          <cell r="A381" t="str">
            <v>A87.2</v>
          </cell>
          <cell r="B381" t="str">
            <v>Coriomeningitis linfocítica</v>
          </cell>
        </row>
        <row r="382">
          <cell r="A382" t="str">
            <v>A87.8</v>
          </cell>
          <cell r="B382" t="str">
            <v>Otras meningitis virales</v>
          </cell>
        </row>
        <row r="383">
          <cell r="A383" t="str">
            <v>A87.9</v>
          </cell>
          <cell r="B383" t="str">
            <v>Meningitis viral, sin otra especificación</v>
          </cell>
        </row>
        <row r="384">
          <cell r="A384" t="str">
            <v>A88</v>
          </cell>
          <cell r="B384" t="str">
            <v>Otras infecciones virales del sistema nervioso central, no clasificadas en otra parte</v>
          </cell>
        </row>
        <row r="385">
          <cell r="A385" t="str">
            <v>A88.0</v>
          </cell>
          <cell r="B385" t="str">
            <v>Fiebre exantemática enteroviral [exantema de Boston]</v>
          </cell>
        </row>
        <row r="386">
          <cell r="A386" t="str">
            <v>A88.1</v>
          </cell>
          <cell r="B386" t="str">
            <v>Vértigo epidémico</v>
          </cell>
        </row>
        <row r="387">
          <cell r="A387" t="str">
            <v>A88.8</v>
          </cell>
          <cell r="B387" t="str">
            <v>Otras infecciones virales especificadas del sistema nervioso central</v>
          </cell>
        </row>
        <row r="388">
          <cell r="A388" t="str">
            <v>A89.X</v>
          </cell>
          <cell r="B388" t="str">
            <v>Infección viral del sistema nervioso central, no especificada</v>
          </cell>
        </row>
        <row r="389">
          <cell r="A389" t="str">
            <v>A90.X</v>
          </cell>
          <cell r="B389" t="str">
            <v>Fiebre del dengue [dengue clásico]</v>
          </cell>
        </row>
        <row r="390">
          <cell r="A390" t="str">
            <v>A91.X</v>
          </cell>
          <cell r="B390" t="str">
            <v>Fiebre del dengue hemorrágico</v>
          </cell>
        </row>
        <row r="391">
          <cell r="A391" t="str">
            <v>A92</v>
          </cell>
          <cell r="B391" t="str">
            <v>Otras fiebres virales transmitidas por mosquitos</v>
          </cell>
        </row>
        <row r="392">
          <cell r="A392" t="str">
            <v>A92.0</v>
          </cell>
          <cell r="B392" t="str">
            <v>Enfermedad por virus Chikungunya</v>
          </cell>
        </row>
        <row r="393">
          <cell r="A393" t="str">
            <v>A92.1</v>
          </cell>
          <cell r="B393" t="str">
            <v>Fiebre de Oþnyong-nyong</v>
          </cell>
        </row>
        <row r="394">
          <cell r="A394" t="str">
            <v>A92.2</v>
          </cell>
          <cell r="B394" t="str">
            <v>Fiebre equina venezolana</v>
          </cell>
        </row>
        <row r="395">
          <cell r="A395" t="str">
            <v>A92.3</v>
          </cell>
          <cell r="B395" t="str">
            <v>Fiebre del oeste del Nilo</v>
          </cell>
        </row>
        <row r="396">
          <cell r="A396" t="str">
            <v>A92.4</v>
          </cell>
          <cell r="B396" t="str">
            <v>Fiebre del valle del Rift</v>
          </cell>
        </row>
        <row r="397">
          <cell r="A397" t="str">
            <v>A92.8</v>
          </cell>
          <cell r="B397" t="str">
            <v>Otras fiebres virales especificadas transmitidas por mosquitos</v>
          </cell>
        </row>
        <row r="398">
          <cell r="A398" t="str">
            <v>A92.9</v>
          </cell>
          <cell r="B398" t="str">
            <v>Fiebre viral transmitida por mosquito, sin otra especificación</v>
          </cell>
        </row>
        <row r="399">
          <cell r="A399" t="str">
            <v>A93</v>
          </cell>
          <cell r="B399" t="str">
            <v>Otras fiebres virales transmitidas por artrópodos, no clasificadas en otra parte</v>
          </cell>
        </row>
        <row r="400">
          <cell r="A400" t="str">
            <v>A93.0</v>
          </cell>
          <cell r="B400" t="str">
            <v>Enfermedad por virus de Oropouche</v>
          </cell>
        </row>
        <row r="401">
          <cell r="A401" t="str">
            <v>A93.1</v>
          </cell>
          <cell r="B401" t="str">
            <v>Fiebre transmitida por flebótomos</v>
          </cell>
        </row>
        <row r="402">
          <cell r="A402" t="str">
            <v>A93.2</v>
          </cell>
          <cell r="B402" t="str">
            <v>Fiebre de Colorado transmitida por garrapatas</v>
          </cell>
        </row>
        <row r="403">
          <cell r="A403" t="str">
            <v>A93.8</v>
          </cell>
          <cell r="B403" t="str">
            <v>Otras fiebres virales especificadas transmitidas por artrópodos</v>
          </cell>
        </row>
        <row r="404">
          <cell r="A404" t="str">
            <v>A94.X</v>
          </cell>
          <cell r="B404" t="str">
            <v>Fiebre viral transmitida por artrópodos, no especificada</v>
          </cell>
        </row>
        <row r="405">
          <cell r="A405" t="str">
            <v>A95</v>
          </cell>
          <cell r="B405" t="str">
            <v>Fiebre amarilla</v>
          </cell>
        </row>
        <row r="406">
          <cell r="A406" t="str">
            <v>A95.0</v>
          </cell>
          <cell r="B406" t="str">
            <v>Fiebre amarilla selvática</v>
          </cell>
        </row>
        <row r="407">
          <cell r="A407" t="str">
            <v>A95.1</v>
          </cell>
          <cell r="B407" t="str">
            <v>Fiebre amarilla urbana</v>
          </cell>
        </row>
        <row r="408">
          <cell r="A408" t="str">
            <v>A95.9</v>
          </cell>
          <cell r="B408" t="str">
            <v>Fiebre amarilla, no especificada</v>
          </cell>
        </row>
        <row r="409">
          <cell r="A409" t="str">
            <v>A96</v>
          </cell>
          <cell r="B409" t="str">
            <v>Fiebre hemorrágica por arenavirus</v>
          </cell>
        </row>
        <row r="410">
          <cell r="A410" t="str">
            <v>A96.0</v>
          </cell>
          <cell r="B410" t="str">
            <v>Fiebre hemorrágica de Junín</v>
          </cell>
        </row>
        <row r="411">
          <cell r="A411" t="str">
            <v>A96.1</v>
          </cell>
          <cell r="B411" t="str">
            <v>Fiebre hemorrágica de Machupo</v>
          </cell>
        </row>
        <row r="412">
          <cell r="A412" t="str">
            <v>A96.2</v>
          </cell>
          <cell r="B412" t="str">
            <v>Fiebre de Lassa</v>
          </cell>
        </row>
        <row r="413">
          <cell r="A413" t="str">
            <v>A96.8</v>
          </cell>
          <cell r="B413" t="str">
            <v>Otras fiebres hemorrágicas por arenavirus</v>
          </cell>
        </row>
        <row r="414">
          <cell r="A414" t="str">
            <v>A96.9</v>
          </cell>
          <cell r="B414" t="str">
            <v>Fiebre hemorrágica por arenavirus, sin otra especificación</v>
          </cell>
        </row>
        <row r="415">
          <cell r="A415" t="str">
            <v>A98</v>
          </cell>
          <cell r="B415" t="str">
            <v>Otras fiebres virales hemorrágicas, no clasificadas en otra parte</v>
          </cell>
        </row>
        <row r="416">
          <cell r="A416" t="str">
            <v>A98.0</v>
          </cell>
          <cell r="B416" t="str">
            <v>Fiebre hemorrágica de Crimea-Congo</v>
          </cell>
        </row>
        <row r="417">
          <cell r="A417" t="str">
            <v>A98.1</v>
          </cell>
          <cell r="B417" t="str">
            <v>Fiebre hemorrágica de Omsk</v>
          </cell>
        </row>
        <row r="418">
          <cell r="A418" t="str">
            <v>A98.2</v>
          </cell>
          <cell r="B418" t="str">
            <v>Enfermedad de la selva de Kyasanur</v>
          </cell>
        </row>
        <row r="419">
          <cell r="A419" t="str">
            <v>A98.3</v>
          </cell>
          <cell r="B419" t="str">
            <v>Enfermedad por el virus de Marburg</v>
          </cell>
        </row>
        <row r="420">
          <cell r="A420" t="str">
            <v>A98.4</v>
          </cell>
          <cell r="B420" t="str">
            <v>Enfermedad por el virus de Ebola</v>
          </cell>
        </row>
        <row r="421">
          <cell r="A421" t="str">
            <v>A98.5</v>
          </cell>
          <cell r="B421" t="str">
            <v>Fiebres hemorrágicas con síndrome renal</v>
          </cell>
        </row>
        <row r="422">
          <cell r="A422" t="str">
            <v>A98.8</v>
          </cell>
          <cell r="B422" t="str">
            <v>Otras fiebres hemorrágicas virales especificadas</v>
          </cell>
        </row>
        <row r="423">
          <cell r="A423" t="str">
            <v>A99.X</v>
          </cell>
          <cell r="B423" t="str">
            <v>Fiebre viral hemorrágica, no especificada</v>
          </cell>
        </row>
        <row r="424">
          <cell r="A424" t="str">
            <v>B</v>
          </cell>
          <cell r="B424" t="str">
            <v>Enfermedades Virales, Parasitarias, Protozoarios, Hongos</v>
          </cell>
        </row>
        <row r="425">
          <cell r="A425" t="str">
            <v>B00</v>
          </cell>
          <cell r="B425" t="str">
            <v>Infecciones herpéticas [herpes simple]</v>
          </cell>
        </row>
        <row r="426">
          <cell r="A426" t="str">
            <v>B00.0</v>
          </cell>
          <cell r="B426" t="str">
            <v>Eczema herpético</v>
          </cell>
        </row>
        <row r="427">
          <cell r="A427" t="str">
            <v>B00.1</v>
          </cell>
          <cell r="B427" t="str">
            <v>Dermatitis vesicular herpética</v>
          </cell>
        </row>
        <row r="428">
          <cell r="A428" t="str">
            <v>B00.2</v>
          </cell>
          <cell r="B428" t="str">
            <v>Gingivoestomatitis y faringoamigdalitis herpética</v>
          </cell>
        </row>
        <row r="429">
          <cell r="A429" t="str">
            <v>B00.3</v>
          </cell>
          <cell r="B429" t="str">
            <v>Meningitis herpética (G02.0*)</v>
          </cell>
        </row>
        <row r="430">
          <cell r="A430" t="str">
            <v>B00.4</v>
          </cell>
          <cell r="B430" t="str">
            <v>Encefalitis herpética (G05.1*)</v>
          </cell>
        </row>
        <row r="431">
          <cell r="A431" t="str">
            <v>B00.5</v>
          </cell>
          <cell r="B431" t="str">
            <v>Oculopatía herpética</v>
          </cell>
        </row>
        <row r="432">
          <cell r="A432" t="str">
            <v>B00.7</v>
          </cell>
          <cell r="B432" t="str">
            <v>Enfermedad herpética diseminada</v>
          </cell>
        </row>
        <row r="433">
          <cell r="A433" t="str">
            <v>B00.8</v>
          </cell>
          <cell r="B433" t="str">
            <v>Otras formas de infecciones herpéticas</v>
          </cell>
        </row>
        <row r="434">
          <cell r="A434" t="str">
            <v>B00.9</v>
          </cell>
          <cell r="B434" t="str">
            <v>Infección debida al virus del herpes, no especificada</v>
          </cell>
        </row>
        <row r="435">
          <cell r="A435" t="str">
            <v>B01</v>
          </cell>
          <cell r="B435" t="str">
            <v>Varicela</v>
          </cell>
        </row>
        <row r="436">
          <cell r="A436" t="str">
            <v>B01.0</v>
          </cell>
          <cell r="B436" t="str">
            <v>Meningitis debida a varicela (G02.0*)</v>
          </cell>
        </row>
        <row r="437">
          <cell r="A437" t="str">
            <v>B01.1</v>
          </cell>
          <cell r="B437" t="str">
            <v>Encefalitis debida a varicela (G05.1*)</v>
          </cell>
        </row>
        <row r="438">
          <cell r="A438" t="str">
            <v>B01.2</v>
          </cell>
          <cell r="B438" t="str">
            <v>Neumonía debida a varicela (J17.1*)</v>
          </cell>
        </row>
        <row r="439">
          <cell r="A439" t="str">
            <v>B01.8</v>
          </cell>
          <cell r="B439" t="str">
            <v>Varicela con otras complicaciones</v>
          </cell>
        </row>
        <row r="440">
          <cell r="A440" t="str">
            <v>B01.9</v>
          </cell>
          <cell r="B440" t="str">
            <v>Varicela sin complicaciones</v>
          </cell>
        </row>
        <row r="441">
          <cell r="A441" t="str">
            <v>B02</v>
          </cell>
          <cell r="B441" t="str">
            <v>Herpes zoster</v>
          </cell>
        </row>
        <row r="442">
          <cell r="A442" t="str">
            <v>B02.0</v>
          </cell>
          <cell r="B442" t="str">
            <v>Encefalitis debida a herpes zoster (G05.1*)</v>
          </cell>
        </row>
        <row r="443">
          <cell r="A443" t="str">
            <v>B02.1</v>
          </cell>
          <cell r="B443" t="str">
            <v>Meningitis debida a herpes zoster (G02.0*)</v>
          </cell>
        </row>
        <row r="444">
          <cell r="A444" t="str">
            <v>B02.2</v>
          </cell>
          <cell r="B444" t="str">
            <v>Herpes zoster con otros compromisos del sistema nervioso</v>
          </cell>
        </row>
        <row r="445">
          <cell r="A445" t="str">
            <v>B02.3</v>
          </cell>
          <cell r="B445" t="str">
            <v>Herpes zoster ocular</v>
          </cell>
        </row>
        <row r="446">
          <cell r="A446" t="str">
            <v>B02.7</v>
          </cell>
          <cell r="B446" t="str">
            <v>Herpes zoster diseminado</v>
          </cell>
        </row>
        <row r="447">
          <cell r="A447" t="str">
            <v>B02.8</v>
          </cell>
          <cell r="B447" t="str">
            <v>Herpes zoster con otras complicaciones</v>
          </cell>
        </row>
        <row r="448">
          <cell r="A448" t="str">
            <v>B02.9</v>
          </cell>
          <cell r="B448" t="str">
            <v>Herpes zoster sin complicaciones</v>
          </cell>
        </row>
        <row r="449">
          <cell r="A449" t="str">
            <v>B03.X</v>
          </cell>
          <cell r="B449" t="str">
            <v>Viruela</v>
          </cell>
        </row>
        <row r="450">
          <cell r="A450" t="str">
            <v>B04.X</v>
          </cell>
          <cell r="B450" t="str">
            <v>Viruela de los monos</v>
          </cell>
        </row>
        <row r="451">
          <cell r="A451" t="str">
            <v>B05</v>
          </cell>
          <cell r="B451" t="str">
            <v>Sarampión</v>
          </cell>
        </row>
        <row r="452">
          <cell r="A452" t="str">
            <v>B05.0</v>
          </cell>
          <cell r="B452" t="str">
            <v>Sarampión complicado con encefalitis (G05.1*)</v>
          </cell>
        </row>
        <row r="453">
          <cell r="A453" t="str">
            <v>B05.1</v>
          </cell>
          <cell r="B453" t="str">
            <v>Sarampión complicado con meningitis (G02.0*)</v>
          </cell>
        </row>
        <row r="454">
          <cell r="A454" t="str">
            <v>B05.2</v>
          </cell>
          <cell r="B454" t="str">
            <v>Sarampión complicado con neumonía (J17.1*)</v>
          </cell>
        </row>
        <row r="455">
          <cell r="A455" t="str">
            <v>B05.3</v>
          </cell>
          <cell r="B455" t="str">
            <v>Sarampión complicado con otitis media (H67.1*)</v>
          </cell>
        </row>
        <row r="456">
          <cell r="A456" t="str">
            <v>B05.4</v>
          </cell>
          <cell r="B456" t="str">
            <v>Sarampión con complicaciones intestinales</v>
          </cell>
        </row>
        <row r="457">
          <cell r="A457" t="str">
            <v>B05.8</v>
          </cell>
          <cell r="B457" t="str">
            <v>Sarampión con otras complicaciones</v>
          </cell>
        </row>
        <row r="458">
          <cell r="A458" t="str">
            <v>B05.9</v>
          </cell>
          <cell r="B458" t="str">
            <v>Sarampión sin complicaciones</v>
          </cell>
        </row>
        <row r="459">
          <cell r="A459" t="str">
            <v>B06</v>
          </cell>
          <cell r="B459" t="str">
            <v>Rubéola [sarampión alemán]</v>
          </cell>
        </row>
        <row r="460">
          <cell r="A460" t="str">
            <v>B06.0</v>
          </cell>
          <cell r="B460" t="str">
            <v>Rubéola con complicaciones neurológicas</v>
          </cell>
        </row>
        <row r="461">
          <cell r="A461" t="str">
            <v>B06.8</v>
          </cell>
          <cell r="B461" t="str">
            <v>Rubéola con otras complicaciones</v>
          </cell>
        </row>
        <row r="462">
          <cell r="A462" t="str">
            <v>B06.9</v>
          </cell>
          <cell r="B462" t="str">
            <v>Rubéola sin complicaciones</v>
          </cell>
        </row>
        <row r="463">
          <cell r="A463" t="str">
            <v>B07.X</v>
          </cell>
          <cell r="B463" t="str">
            <v>Verrugas víricas</v>
          </cell>
        </row>
        <row r="464">
          <cell r="A464" t="str">
            <v>B08</v>
          </cell>
          <cell r="B464" t="str">
            <v>Otras infecciones víricas caracterizadas por lesiones de la piel y de las membranas mucosas, no clasificadas en otra parte</v>
          </cell>
        </row>
        <row r="465">
          <cell r="A465" t="str">
            <v>B08.0</v>
          </cell>
          <cell r="B465" t="str">
            <v>Otras infecciones debidas a ortopoxvirus</v>
          </cell>
        </row>
        <row r="466">
          <cell r="A466" t="str">
            <v>B08.1</v>
          </cell>
          <cell r="B466" t="str">
            <v>Molusco contagioso</v>
          </cell>
        </row>
        <row r="467">
          <cell r="A467" t="str">
            <v>B08.2</v>
          </cell>
          <cell r="B467" t="str">
            <v>Exantema súbito [sexta enfermedad]</v>
          </cell>
        </row>
        <row r="468">
          <cell r="A468" t="str">
            <v>B08.3</v>
          </cell>
          <cell r="B468" t="str">
            <v>Eritema infeccioso [quinta enfermedad]</v>
          </cell>
        </row>
        <row r="469">
          <cell r="A469" t="str">
            <v>B08.4</v>
          </cell>
          <cell r="B469" t="str">
            <v>Estomatitis vesicular enteroviral con exantema</v>
          </cell>
        </row>
        <row r="470">
          <cell r="A470" t="str">
            <v>B08.5</v>
          </cell>
          <cell r="B470" t="str">
            <v>Faringitis vesicular enterovírica</v>
          </cell>
        </row>
        <row r="471">
          <cell r="A471" t="str">
            <v>B08.8</v>
          </cell>
          <cell r="B471" t="str">
            <v>Otras infecciones virales especificadas, caracterizadas por lesiones de la piel y de las membranas mucosas</v>
          </cell>
        </row>
        <row r="472">
          <cell r="A472" t="str">
            <v>B09.X</v>
          </cell>
          <cell r="B472" t="str">
            <v>Infección viral no especificada, caracterizada por lesiones de la piel y de las membranas mucosas</v>
          </cell>
        </row>
        <row r="473">
          <cell r="A473" t="str">
            <v>B15</v>
          </cell>
          <cell r="B473" t="str">
            <v>Hepatitis aguda tipo A</v>
          </cell>
        </row>
        <row r="474">
          <cell r="A474" t="str">
            <v>B15.0</v>
          </cell>
          <cell r="B474" t="str">
            <v>Hepatitis aguda tipo A, con coma hepático</v>
          </cell>
        </row>
        <row r="475">
          <cell r="A475" t="str">
            <v>B15.9</v>
          </cell>
          <cell r="B475" t="str">
            <v>Hepatitis aguda tipo A, sin coma hepático</v>
          </cell>
        </row>
        <row r="476">
          <cell r="A476" t="str">
            <v>B16</v>
          </cell>
          <cell r="B476" t="str">
            <v>Hepatitis aguda tipo B</v>
          </cell>
        </row>
        <row r="477">
          <cell r="A477" t="str">
            <v>B16.0</v>
          </cell>
          <cell r="B477" t="str">
            <v>Hepatitis aguda tipo B, con agente delta (coinfección), con coma hepático</v>
          </cell>
        </row>
        <row r="478">
          <cell r="A478" t="str">
            <v>B16.1</v>
          </cell>
          <cell r="B478" t="str">
            <v>Hepatitis aguda tipo B, con agente delta (coinfección), sin coma hepático</v>
          </cell>
        </row>
        <row r="479">
          <cell r="A479" t="str">
            <v>B16.2</v>
          </cell>
          <cell r="B479" t="str">
            <v>Hepatitis aguda tipo B, sin agente delta, con coma hepático</v>
          </cell>
        </row>
        <row r="480">
          <cell r="A480" t="str">
            <v>B16.9</v>
          </cell>
          <cell r="B480" t="str">
            <v>Hepatitis aguda tipo B, sin agente delta y sin coma hepático</v>
          </cell>
        </row>
        <row r="481">
          <cell r="A481" t="str">
            <v>B17</v>
          </cell>
          <cell r="B481" t="str">
            <v>Otras hepatitis virales agudas</v>
          </cell>
        </row>
        <row r="482">
          <cell r="A482" t="str">
            <v>B17.0</v>
          </cell>
          <cell r="B482" t="str">
            <v>Infección (superinfección) aguda por agente delta en el portador de hepatitis B</v>
          </cell>
        </row>
        <row r="483">
          <cell r="A483" t="str">
            <v>B17.1</v>
          </cell>
          <cell r="B483" t="str">
            <v>Hepatitis aguda tipo C</v>
          </cell>
        </row>
        <row r="484">
          <cell r="A484" t="str">
            <v>B17.2</v>
          </cell>
          <cell r="B484" t="str">
            <v>Hepatitis aguda tipo E</v>
          </cell>
        </row>
        <row r="485">
          <cell r="A485" t="str">
            <v>B17.8</v>
          </cell>
          <cell r="B485" t="str">
            <v>Otras hepatitis virales agudas especificadas</v>
          </cell>
        </row>
        <row r="486">
          <cell r="A486" t="str">
            <v>B18</v>
          </cell>
          <cell r="B486" t="str">
            <v>Hepatitis viral crónica</v>
          </cell>
        </row>
        <row r="487">
          <cell r="A487" t="str">
            <v>B18.0</v>
          </cell>
          <cell r="B487" t="str">
            <v>Hepatitis viral tipo B crónica, con agente delta</v>
          </cell>
        </row>
        <row r="488">
          <cell r="A488" t="str">
            <v>B18.1</v>
          </cell>
          <cell r="B488" t="str">
            <v>Hepatitis viral tipo B crónica, sin agente delta</v>
          </cell>
        </row>
        <row r="489">
          <cell r="A489" t="str">
            <v>B18.2</v>
          </cell>
          <cell r="B489" t="str">
            <v>Hepatitis viral tipo C crónica</v>
          </cell>
        </row>
        <row r="490">
          <cell r="A490" t="str">
            <v>B18.8</v>
          </cell>
          <cell r="B490" t="str">
            <v>Otras hepatitis virales crónicas</v>
          </cell>
        </row>
        <row r="491">
          <cell r="A491" t="str">
            <v>B18.9</v>
          </cell>
          <cell r="B491" t="str">
            <v>Hepatitis viral crónica, sin otra especificación</v>
          </cell>
        </row>
        <row r="492">
          <cell r="A492" t="str">
            <v>B19</v>
          </cell>
          <cell r="B492" t="str">
            <v>Hepatitis viral, sin otra especificación</v>
          </cell>
        </row>
        <row r="493">
          <cell r="A493" t="str">
            <v>B19.0</v>
          </cell>
          <cell r="B493" t="str">
            <v>Hepatitis viral no especificada con coma</v>
          </cell>
        </row>
        <row r="494">
          <cell r="A494" t="str">
            <v>B19.9</v>
          </cell>
          <cell r="B494" t="str">
            <v>Hepatitis viral no especificada sin coma</v>
          </cell>
        </row>
        <row r="495">
          <cell r="A495" t="str">
            <v>B20</v>
          </cell>
          <cell r="B495" t="str">
            <v>Enfermedad por virus de la inmunodeficiencia humana [VIH], resultante en enfermedades infecciosas y parasitarias</v>
          </cell>
        </row>
        <row r="496">
          <cell r="A496" t="str">
            <v>B20.0</v>
          </cell>
          <cell r="B496" t="str">
            <v>Enfermedad por VIH, resultante en infección por micobacterias</v>
          </cell>
        </row>
        <row r="497">
          <cell r="A497" t="str">
            <v>B20.1</v>
          </cell>
          <cell r="B497" t="str">
            <v>Enfermedad por VIH, resultante en otras infecciones bacterianas</v>
          </cell>
        </row>
        <row r="498">
          <cell r="A498" t="str">
            <v>B20.2</v>
          </cell>
          <cell r="B498" t="str">
            <v>Enfermedad por VIH, resultante en enfermedad por citomegalovirus</v>
          </cell>
        </row>
        <row r="499">
          <cell r="A499" t="str">
            <v>B20.3</v>
          </cell>
          <cell r="B499" t="str">
            <v>Enfermedad por VIH, resultante en otras infecciones virales</v>
          </cell>
        </row>
        <row r="500">
          <cell r="A500" t="str">
            <v>B20.4</v>
          </cell>
          <cell r="B500" t="str">
            <v>Enfermedad por VIH, resultante en candidiasis</v>
          </cell>
        </row>
        <row r="501">
          <cell r="A501" t="str">
            <v>B20.5</v>
          </cell>
          <cell r="B501" t="str">
            <v>Enfermedad por VIH, resultante en otras micosis</v>
          </cell>
        </row>
        <row r="502">
          <cell r="A502" t="str">
            <v>B20.6</v>
          </cell>
          <cell r="B502" t="str">
            <v>Enfermedad por VIH, resultante en neumonía por Pneumocystis carinii</v>
          </cell>
        </row>
        <row r="503">
          <cell r="A503" t="str">
            <v>B20.7</v>
          </cell>
          <cell r="B503" t="str">
            <v>Enfermedad por VIH, resultante en infecciones múltiples</v>
          </cell>
        </row>
        <row r="504">
          <cell r="A504" t="str">
            <v>B20.8</v>
          </cell>
          <cell r="B504" t="str">
            <v>Enfermedad por VIH, resultante en otras enfermedades infecciosas o parasitarias</v>
          </cell>
        </row>
        <row r="505">
          <cell r="A505" t="str">
            <v>B20.9</v>
          </cell>
          <cell r="B505" t="str">
            <v>Enfermedad por VIH, resultante en enfermedad infecciosa o parasitaria no especificada</v>
          </cell>
        </row>
        <row r="506">
          <cell r="A506" t="str">
            <v>B21</v>
          </cell>
          <cell r="B506" t="str">
            <v>Enfermedad por virus de la inmunodeficiencia humana [VIH], resultante en tumores malignos</v>
          </cell>
        </row>
        <row r="507">
          <cell r="A507" t="str">
            <v>B21.0</v>
          </cell>
          <cell r="B507" t="str">
            <v>Enfermedad por VIH, resultante en sarcoma de Kaposi</v>
          </cell>
        </row>
        <row r="508">
          <cell r="A508" t="str">
            <v>B21.1</v>
          </cell>
          <cell r="B508" t="str">
            <v>Enfermedad por VIH, resultante en linfoma de Burkitt</v>
          </cell>
        </row>
        <row r="509">
          <cell r="A509" t="str">
            <v>B21.2</v>
          </cell>
          <cell r="B509" t="str">
            <v>Enfermedad por VIH, resultante en otros tipos de linfoma no Hodgkin</v>
          </cell>
        </row>
        <row r="510">
          <cell r="A510" t="str">
            <v>B21.3</v>
          </cell>
          <cell r="B510" t="str">
            <v>Enfermedad por VIH, resultante en otros tumores malignos del tejido linfoide, hematopoyético y tejidos relacionados</v>
          </cell>
        </row>
        <row r="511">
          <cell r="A511" t="str">
            <v>B21.7</v>
          </cell>
          <cell r="B511" t="str">
            <v>Enfermedad por VIH, resultante en tumores malignos múltiples</v>
          </cell>
        </row>
        <row r="512">
          <cell r="A512" t="str">
            <v>B21.8</v>
          </cell>
          <cell r="B512" t="str">
            <v>Enfermedad por VIH, resultante en otros tumores malignos</v>
          </cell>
        </row>
        <row r="513">
          <cell r="A513" t="str">
            <v>B21.9</v>
          </cell>
          <cell r="B513" t="str">
            <v>Enfermedad por VIH, resultante en tumores malignos no especificados</v>
          </cell>
        </row>
        <row r="514">
          <cell r="A514" t="str">
            <v>B22</v>
          </cell>
          <cell r="B514" t="str">
            <v>Enfermedad por virus de la inmunodeficiencia humana [VIH], resultante en otras enfermedades especificadas</v>
          </cell>
        </row>
        <row r="515">
          <cell r="A515" t="str">
            <v>B22.0</v>
          </cell>
          <cell r="B515" t="str">
            <v>Enfermedad por VIH, resultante en encefalopatía</v>
          </cell>
        </row>
        <row r="516">
          <cell r="A516" t="str">
            <v>B22.1</v>
          </cell>
          <cell r="B516" t="str">
            <v>Enfermedad por VIH, resultante en neumonitis linfoide intersticial</v>
          </cell>
        </row>
        <row r="517">
          <cell r="A517" t="str">
            <v>B22.2</v>
          </cell>
          <cell r="B517" t="str">
            <v>Enfermedad por VIH, resultante en síndrome caquéctico</v>
          </cell>
        </row>
        <row r="518">
          <cell r="A518" t="str">
            <v>B22.7</v>
          </cell>
          <cell r="B518" t="str">
            <v>Enfermedad por VIH, resultante en enfermedades múltiples clasificadas en otra parte</v>
          </cell>
        </row>
        <row r="519">
          <cell r="A519" t="str">
            <v>B23</v>
          </cell>
          <cell r="B519" t="str">
            <v>Enfermedad por virus de la inmunodeficiencia humana [VIH], resultante en otras afecciones</v>
          </cell>
        </row>
        <row r="520">
          <cell r="A520" t="str">
            <v>B23.0</v>
          </cell>
          <cell r="B520" t="str">
            <v>Síndrome de infección aguda debida a VIH</v>
          </cell>
        </row>
        <row r="521">
          <cell r="A521" t="str">
            <v>B23.1</v>
          </cell>
          <cell r="B521" t="str">
            <v>Enfermedad por VIH, resultante en linfadenopatía generalizada (persistente)</v>
          </cell>
        </row>
        <row r="522">
          <cell r="A522" t="str">
            <v>B23.2</v>
          </cell>
          <cell r="B522" t="str">
            <v>Enfermedad por VIH, resultante en anormalidades inmunológicas y hematológicas, no clasificadas en otra parte</v>
          </cell>
        </row>
        <row r="523">
          <cell r="A523" t="str">
            <v>B23.8</v>
          </cell>
          <cell r="B523" t="str">
            <v>Enfermedad por VIH, resultante en otras afecciones especificadas</v>
          </cell>
        </row>
        <row r="524">
          <cell r="A524" t="str">
            <v>B24.X</v>
          </cell>
          <cell r="B524" t="str">
            <v>Enfermedad por virus de la inmunodeficiencia humana [VIH], sin otra especificación</v>
          </cell>
        </row>
        <row r="525">
          <cell r="A525" t="str">
            <v>B25</v>
          </cell>
          <cell r="B525" t="str">
            <v>Enfermedad debida a virus citomegálico</v>
          </cell>
        </row>
        <row r="526">
          <cell r="A526" t="str">
            <v>B25.0</v>
          </cell>
          <cell r="B526" t="str">
            <v>Neumonitis debida a virus citomegálico (J17.1*)</v>
          </cell>
        </row>
        <row r="527">
          <cell r="A527" t="str">
            <v>B25.1</v>
          </cell>
          <cell r="B527" t="str">
            <v>Hepatitis debida a virus citomegálico ( K77.0*)</v>
          </cell>
        </row>
        <row r="528">
          <cell r="A528" t="str">
            <v>B25.2</v>
          </cell>
          <cell r="B528" t="str">
            <v>Pancreatitis debida a virus citomegálico (K87.1*)</v>
          </cell>
        </row>
        <row r="529">
          <cell r="A529" t="str">
            <v>B25.8</v>
          </cell>
          <cell r="B529" t="str">
            <v>Otras enfermedades debidas a virus citomegálico</v>
          </cell>
        </row>
        <row r="530">
          <cell r="A530" t="str">
            <v>B25.9</v>
          </cell>
          <cell r="B530" t="str">
            <v>Enfermedad por virus citomegálico, no especificada</v>
          </cell>
        </row>
        <row r="531">
          <cell r="A531" t="str">
            <v>B26</v>
          </cell>
          <cell r="B531" t="str">
            <v>Parotiditis infecciosa</v>
          </cell>
        </row>
        <row r="532">
          <cell r="A532" t="str">
            <v>B26.0</v>
          </cell>
          <cell r="B532" t="str">
            <v>Orquitis por parotiditis (N51.1*)</v>
          </cell>
        </row>
        <row r="533">
          <cell r="A533" t="str">
            <v>B26.1</v>
          </cell>
          <cell r="B533" t="str">
            <v>Meningitis por parotiditis (G02.0*)</v>
          </cell>
        </row>
        <row r="534">
          <cell r="A534" t="str">
            <v>B26.2</v>
          </cell>
          <cell r="B534" t="str">
            <v>Encefalitis por parotiditis (G05.1*)</v>
          </cell>
        </row>
        <row r="535">
          <cell r="A535" t="str">
            <v>B26.3</v>
          </cell>
          <cell r="B535" t="str">
            <v>Pancreatitis por parotiditis (K87.1*)</v>
          </cell>
        </row>
        <row r="536">
          <cell r="A536" t="str">
            <v>B26.8</v>
          </cell>
          <cell r="B536" t="str">
            <v>Parotiditis infecciosa con otras complicaciones</v>
          </cell>
        </row>
        <row r="537">
          <cell r="A537" t="str">
            <v>B26.9</v>
          </cell>
          <cell r="B537" t="str">
            <v>Parotiditis, sin complicaciones</v>
          </cell>
        </row>
        <row r="538">
          <cell r="A538" t="str">
            <v>B27</v>
          </cell>
          <cell r="B538" t="str">
            <v>Mononucleosis infecciosa</v>
          </cell>
        </row>
        <row r="539">
          <cell r="A539" t="str">
            <v>B27.0</v>
          </cell>
          <cell r="B539" t="str">
            <v>Mononucleosis debida a herpes virus gamma</v>
          </cell>
        </row>
        <row r="540">
          <cell r="A540" t="str">
            <v>B27.1</v>
          </cell>
          <cell r="B540" t="str">
            <v>Mononucleosis por citomegalovirus</v>
          </cell>
        </row>
        <row r="541">
          <cell r="A541" t="str">
            <v>B27.8</v>
          </cell>
          <cell r="B541" t="str">
            <v>Otras mononucleosis infecciosas</v>
          </cell>
        </row>
        <row r="542">
          <cell r="A542" t="str">
            <v>B27.9</v>
          </cell>
          <cell r="B542" t="str">
            <v>Mononucleosis infecciosa, no especificada</v>
          </cell>
        </row>
        <row r="543">
          <cell r="A543" t="str">
            <v>B30</v>
          </cell>
          <cell r="B543" t="str">
            <v>Conjuntivitis viral</v>
          </cell>
        </row>
        <row r="544">
          <cell r="A544" t="str">
            <v>B30.0</v>
          </cell>
          <cell r="B544" t="str">
            <v>Queratoconjuntivitis debida a adenovirus (H19.2*)</v>
          </cell>
        </row>
        <row r="545">
          <cell r="A545" t="str">
            <v>B30.1</v>
          </cell>
          <cell r="B545" t="str">
            <v>Conjuntivitis debida a adenovirus (H13.1*)</v>
          </cell>
        </row>
        <row r="546">
          <cell r="A546" t="str">
            <v>B30.2</v>
          </cell>
          <cell r="B546" t="str">
            <v>Faringoconjuntivitis viral</v>
          </cell>
        </row>
        <row r="547">
          <cell r="A547" t="str">
            <v>B30.3</v>
          </cell>
          <cell r="B547" t="str">
            <v>Conjuntivitis epidémica aguda hemorrágica (enterovírica) (H13.1*)</v>
          </cell>
        </row>
        <row r="548">
          <cell r="A548" t="str">
            <v>B30.8</v>
          </cell>
          <cell r="B548" t="str">
            <v>Otras conjuntivitis virales (H13.1*)</v>
          </cell>
        </row>
        <row r="549">
          <cell r="A549" t="str">
            <v>B30.9</v>
          </cell>
          <cell r="B549" t="str">
            <v>Conjuntivitis viral, sin otra especificación</v>
          </cell>
        </row>
        <row r="550">
          <cell r="A550" t="str">
            <v>B33</v>
          </cell>
          <cell r="B550" t="str">
            <v>Otras enfermedades virales, no clasificadas en otra parte</v>
          </cell>
        </row>
        <row r="551">
          <cell r="A551" t="str">
            <v>B33.0</v>
          </cell>
          <cell r="B551" t="str">
            <v>Mialgia epidémica</v>
          </cell>
        </row>
        <row r="552">
          <cell r="A552" t="str">
            <v>B33.1</v>
          </cell>
          <cell r="B552" t="str">
            <v>Enfermedad del río Ross</v>
          </cell>
        </row>
        <row r="553">
          <cell r="A553" t="str">
            <v>B33.2</v>
          </cell>
          <cell r="B553" t="str">
            <v>Carditis viral</v>
          </cell>
        </row>
        <row r="554">
          <cell r="A554" t="str">
            <v>B33.3</v>
          </cell>
          <cell r="B554" t="str">
            <v>Infecciones debidas a retrovirus, no clasificadas en otra parte</v>
          </cell>
        </row>
        <row r="555">
          <cell r="A555" t="str">
            <v>B33.8</v>
          </cell>
          <cell r="B555" t="str">
            <v>Otras enfermedades virales especificadas</v>
          </cell>
        </row>
        <row r="556">
          <cell r="A556" t="str">
            <v>B34</v>
          </cell>
          <cell r="B556" t="str">
            <v>Infección viral de sitio no especificado</v>
          </cell>
        </row>
        <row r="557">
          <cell r="A557" t="str">
            <v>B34.0</v>
          </cell>
          <cell r="B557" t="str">
            <v>Infección debida a adenovirus, sin otra especificación</v>
          </cell>
        </row>
        <row r="558">
          <cell r="A558" t="str">
            <v>B34.1</v>
          </cell>
          <cell r="B558" t="str">
            <v>Infección debida a enterovirus, sin otra especificación</v>
          </cell>
        </row>
        <row r="559">
          <cell r="A559" t="str">
            <v>B34.2</v>
          </cell>
          <cell r="B559" t="str">
            <v>Infección debida a Coronavirus, sin otra especificación</v>
          </cell>
        </row>
        <row r="560">
          <cell r="A560" t="str">
            <v>B34.3</v>
          </cell>
          <cell r="B560" t="str">
            <v>Infección debida a Parvovirus, sin otra especificación</v>
          </cell>
        </row>
        <row r="561">
          <cell r="A561" t="str">
            <v>B34.4</v>
          </cell>
          <cell r="B561" t="str">
            <v>Infección debida a Papovavirus, sin otra especificación</v>
          </cell>
        </row>
        <row r="562">
          <cell r="A562" t="str">
            <v>B34.8</v>
          </cell>
          <cell r="B562" t="str">
            <v>Otras infecciones virales de sitio no especificado</v>
          </cell>
        </row>
        <row r="563">
          <cell r="A563" t="str">
            <v>B34.9</v>
          </cell>
          <cell r="B563" t="str">
            <v>Infección viral, no especificada</v>
          </cell>
        </row>
        <row r="564">
          <cell r="A564" t="str">
            <v>B35</v>
          </cell>
          <cell r="B564" t="str">
            <v>Dermatofitosis</v>
          </cell>
        </row>
        <row r="565">
          <cell r="A565" t="str">
            <v>B35.0</v>
          </cell>
          <cell r="B565" t="str">
            <v>Tiña de la barba y del cuero cabelludo</v>
          </cell>
        </row>
        <row r="566">
          <cell r="A566" t="str">
            <v>B35.1</v>
          </cell>
          <cell r="B566" t="str">
            <v>Tiña de las uñas</v>
          </cell>
        </row>
        <row r="567">
          <cell r="A567" t="str">
            <v>B35.2</v>
          </cell>
          <cell r="B567" t="str">
            <v>Tiña de la mano</v>
          </cell>
        </row>
        <row r="568">
          <cell r="A568" t="str">
            <v>B35.3</v>
          </cell>
          <cell r="B568" t="str">
            <v>Tiña del pie [Tinea pedis]</v>
          </cell>
        </row>
        <row r="569">
          <cell r="A569" t="str">
            <v>B35.4</v>
          </cell>
          <cell r="B569" t="str">
            <v>Tiña del cuerpo [Tinea corporis]</v>
          </cell>
        </row>
        <row r="570">
          <cell r="A570" t="str">
            <v>B35.5</v>
          </cell>
          <cell r="B570" t="str">
            <v>Tiña imbricada [Tinea imbricata]</v>
          </cell>
        </row>
        <row r="571">
          <cell r="A571" t="str">
            <v>B35.6</v>
          </cell>
          <cell r="B571" t="str">
            <v>Tiña inguinal [Tinea cruris]</v>
          </cell>
        </row>
        <row r="572">
          <cell r="A572" t="str">
            <v>B35.8</v>
          </cell>
          <cell r="B572" t="str">
            <v>Otras dermatofitosis</v>
          </cell>
        </row>
        <row r="573">
          <cell r="A573" t="str">
            <v>B35.9</v>
          </cell>
          <cell r="B573" t="str">
            <v>Dermatofitosis, no especificada</v>
          </cell>
        </row>
        <row r="574">
          <cell r="A574" t="str">
            <v>B36</v>
          </cell>
          <cell r="B574" t="str">
            <v>Otras micosis superficiales</v>
          </cell>
        </row>
        <row r="575">
          <cell r="A575" t="str">
            <v>B36.0</v>
          </cell>
          <cell r="B575" t="str">
            <v>Pitiriasis versicolor</v>
          </cell>
        </row>
        <row r="576">
          <cell r="A576" t="str">
            <v>B36.1</v>
          </cell>
          <cell r="B576" t="str">
            <v>Tiña negra</v>
          </cell>
        </row>
        <row r="577">
          <cell r="A577" t="str">
            <v>B36.2</v>
          </cell>
          <cell r="B577" t="str">
            <v>Piedra blanca</v>
          </cell>
        </row>
        <row r="578">
          <cell r="A578" t="str">
            <v>B36.3</v>
          </cell>
          <cell r="B578" t="str">
            <v>Piedra negra</v>
          </cell>
        </row>
        <row r="579">
          <cell r="A579" t="str">
            <v>B36.8</v>
          </cell>
          <cell r="B579" t="str">
            <v>Otras micosis superficiales especificadas</v>
          </cell>
        </row>
        <row r="580">
          <cell r="A580" t="str">
            <v>B36.9</v>
          </cell>
          <cell r="B580" t="str">
            <v>Micosis superficial, sin otra especificación</v>
          </cell>
        </row>
        <row r="581">
          <cell r="A581" t="str">
            <v>B37</v>
          </cell>
          <cell r="B581" t="str">
            <v>Candidiasis</v>
          </cell>
        </row>
        <row r="582">
          <cell r="A582" t="str">
            <v>B37.0</v>
          </cell>
          <cell r="B582" t="str">
            <v>Estomatitis candidiásica</v>
          </cell>
        </row>
        <row r="583">
          <cell r="A583" t="str">
            <v>B37.1</v>
          </cell>
          <cell r="B583" t="str">
            <v>Candidiasis pulmonar</v>
          </cell>
        </row>
        <row r="584">
          <cell r="A584" t="str">
            <v>B37.2</v>
          </cell>
          <cell r="B584" t="str">
            <v>Candidiasis de la piel y las uñas</v>
          </cell>
        </row>
        <row r="585">
          <cell r="A585" t="str">
            <v>B37.3</v>
          </cell>
          <cell r="B585" t="str">
            <v>Candidiasis de la vulva y de la vagina (N77.1*)</v>
          </cell>
        </row>
        <row r="586">
          <cell r="A586" t="str">
            <v>B37.4</v>
          </cell>
          <cell r="B586" t="str">
            <v>Candidiasis de otras localizaciones urogenitales</v>
          </cell>
        </row>
        <row r="587">
          <cell r="A587" t="str">
            <v>B37.5</v>
          </cell>
          <cell r="B587" t="str">
            <v>Meningitis debida a candida (G02.1*)</v>
          </cell>
        </row>
        <row r="588">
          <cell r="A588" t="str">
            <v>B37.6</v>
          </cell>
          <cell r="B588" t="str">
            <v>Endocarditis debida a candida (I39.8*)</v>
          </cell>
        </row>
        <row r="589">
          <cell r="A589" t="str">
            <v>B37.7</v>
          </cell>
          <cell r="B589" t="str">
            <v>Septicemia debida a candida</v>
          </cell>
        </row>
        <row r="590">
          <cell r="A590" t="str">
            <v>B37.8</v>
          </cell>
          <cell r="B590" t="str">
            <v>Candidiasis de otros sitios</v>
          </cell>
        </row>
        <row r="591">
          <cell r="A591" t="str">
            <v>B37.9</v>
          </cell>
          <cell r="B591" t="str">
            <v>Candidiasis, no especificada</v>
          </cell>
        </row>
        <row r="592">
          <cell r="A592" t="str">
            <v>B38</v>
          </cell>
          <cell r="B592" t="str">
            <v>Coccidioidomicosis</v>
          </cell>
        </row>
        <row r="593">
          <cell r="A593" t="str">
            <v>B38.0</v>
          </cell>
          <cell r="B593" t="str">
            <v>Coccidioidomicosis pulmonar aguda</v>
          </cell>
        </row>
        <row r="594">
          <cell r="A594" t="str">
            <v>B38.1</v>
          </cell>
          <cell r="B594" t="str">
            <v>Coccidioidomicosis pulmonar crónica</v>
          </cell>
        </row>
        <row r="595">
          <cell r="A595" t="str">
            <v>B38.2</v>
          </cell>
          <cell r="B595" t="str">
            <v>Coccidioidomicosis pulmonar, sin otra especificación</v>
          </cell>
        </row>
        <row r="596">
          <cell r="A596" t="str">
            <v>B38.3</v>
          </cell>
          <cell r="B596" t="str">
            <v>Coccidioidomicosis cutánea</v>
          </cell>
        </row>
        <row r="597">
          <cell r="A597" t="str">
            <v>B38.4</v>
          </cell>
          <cell r="B597" t="str">
            <v>Meningitis debida a coccidioidomicosis (G02.1*)</v>
          </cell>
        </row>
        <row r="598">
          <cell r="A598" t="str">
            <v>B38.7</v>
          </cell>
          <cell r="B598" t="str">
            <v>Coccidioidomicosis diseminada</v>
          </cell>
        </row>
        <row r="599">
          <cell r="A599" t="str">
            <v>B38.8</v>
          </cell>
          <cell r="B599" t="str">
            <v>Otras formas de coccidioidomicosis</v>
          </cell>
        </row>
        <row r="600">
          <cell r="A600" t="str">
            <v>B38.9</v>
          </cell>
          <cell r="B600" t="str">
            <v>Coccidioidomicosis, no especificada</v>
          </cell>
        </row>
        <row r="601">
          <cell r="A601" t="str">
            <v>B39</v>
          </cell>
          <cell r="B601" t="str">
            <v>Histoplasmosis</v>
          </cell>
        </row>
        <row r="602">
          <cell r="A602" t="str">
            <v>B39.0</v>
          </cell>
          <cell r="B602" t="str">
            <v>Infección pulmonar aguda debida a Histoplasma capsulatum</v>
          </cell>
        </row>
        <row r="603">
          <cell r="A603" t="str">
            <v>B39.1</v>
          </cell>
          <cell r="B603" t="str">
            <v>Infección pulmonar crónica debida a Histoplasma capsulatum</v>
          </cell>
        </row>
        <row r="604">
          <cell r="A604" t="str">
            <v>B39.2</v>
          </cell>
          <cell r="B604" t="str">
            <v>Infección pulmonar debida a Histoplasma capsulatum, sin otra especificación</v>
          </cell>
        </row>
        <row r="605">
          <cell r="A605" t="str">
            <v>B39.3</v>
          </cell>
          <cell r="B605" t="str">
            <v>Infección diseminada debida a Histoplasma capsulatum</v>
          </cell>
        </row>
        <row r="606">
          <cell r="A606" t="str">
            <v>B39.4</v>
          </cell>
          <cell r="B606" t="str">
            <v>Histoplasmosis debida a Histoplasma capsulatum, sin otra especificación</v>
          </cell>
        </row>
        <row r="607">
          <cell r="A607" t="str">
            <v>B39.5</v>
          </cell>
          <cell r="B607" t="str">
            <v>Infección debida a Histoplasma duboisii</v>
          </cell>
        </row>
        <row r="608">
          <cell r="A608" t="str">
            <v>B39.9</v>
          </cell>
          <cell r="B608" t="str">
            <v>Histoplasmosis, no especificada</v>
          </cell>
        </row>
        <row r="609">
          <cell r="A609" t="str">
            <v>B40</v>
          </cell>
          <cell r="B609" t="str">
            <v>Blastomicosis</v>
          </cell>
        </row>
        <row r="610">
          <cell r="A610" t="str">
            <v>B40.0</v>
          </cell>
          <cell r="B610" t="str">
            <v>Blastomicosis pulmonar aguda</v>
          </cell>
        </row>
        <row r="611">
          <cell r="A611" t="str">
            <v>B40.1</v>
          </cell>
          <cell r="B611" t="str">
            <v>Blastomicosis pulmonar crónica</v>
          </cell>
        </row>
        <row r="612">
          <cell r="A612" t="str">
            <v>B40.2</v>
          </cell>
          <cell r="B612" t="str">
            <v>Blastomicosis pulmonar, sin otra especificación</v>
          </cell>
        </row>
        <row r="613">
          <cell r="A613" t="str">
            <v>B40.3</v>
          </cell>
          <cell r="B613" t="str">
            <v>Blastomicosis cutánea</v>
          </cell>
        </row>
        <row r="614">
          <cell r="A614" t="str">
            <v>B40.7</v>
          </cell>
          <cell r="B614" t="str">
            <v>Blastomicosis diseminada</v>
          </cell>
        </row>
        <row r="615">
          <cell r="A615" t="str">
            <v>B40.8</v>
          </cell>
          <cell r="B615" t="str">
            <v>Otras formas de blastomicosis</v>
          </cell>
        </row>
        <row r="616">
          <cell r="A616" t="str">
            <v>B40.9</v>
          </cell>
          <cell r="B616" t="str">
            <v>Blastomicosis, no especificada</v>
          </cell>
        </row>
        <row r="617">
          <cell r="A617" t="str">
            <v>B41</v>
          </cell>
          <cell r="B617" t="str">
            <v>Paracoccidioidomicosis</v>
          </cell>
        </row>
        <row r="618">
          <cell r="A618" t="str">
            <v>B41.0</v>
          </cell>
          <cell r="B618" t="str">
            <v>Paracoccidioidomicosis pulmonar</v>
          </cell>
        </row>
        <row r="619">
          <cell r="A619" t="str">
            <v>B41.7</v>
          </cell>
          <cell r="B619" t="str">
            <v>Paracoccidioidomicosis diseminada</v>
          </cell>
        </row>
        <row r="620">
          <cell r="A620" t="str">
            <v>B41.8</v>
          </cell>
          <cell r="B620" t="str">
            <v>Otras formas de paracoccidioidomicosis</v>
          </cell>
        </row>
        <row r="621">
          <cell r="A621" t="str">
            <v>B41.9</v>
          </cell>
          <cell r="B621" t="str">
            <v>Paracoccidioidomicosis, no especificada</v>
          </cell>
        </row>
        <row r="622">
          <cell r="A622" t="str">
            <v>B42</v>
          </cell>
          <cell r="B622" t="str">
            <v>Esporotricosis</v>
          </cell>
        </row>
        <row r="623">
          <cell r="A623" t="str">
            <v>B42.0</v>
          </cell>
          <cell r="B623" t="str">
            <v>Esporotricosis pulmonar (J99.8*)</v>
          </cell>
        </row>
        <row r="624">
          <cell r="A624" t="str">
            <v>B42.1</v>
          </cell>
          <cell r="B624" t="str">
            <v>Esporotricosis linfocutánea</v>
          </cell>
        </row>
        <row r="625">
          <cell r="A625" t="str">
            <v>B42.7</v>
          </cell>
          <cell r="B625" t="str">
            <v>Esporotricosis diseminada</v>
          </cell>
        </row>
        <row r="626">
          <cell r="A626" t="str">
            <v>B42.8</v>
          </cell>
          <cell r="B626" t="str">
            <v>Otras formas de esporotricosis</v>
          </cell>
        </row>
        <row r="627">
          <cell r="A627" t="str">
            <v>B42.9</v>
          </cell>
          <cell r="B627" t="str">
            <v>Esporotricosis, no especificada</v>
          </cell>
        </row>
        <row r="628">
          <cell r="A628" t="str">
            <v>B43</v>
          </cell>
          <cell r="B628" t="str">
            <v>Cromomicosis y absceso feomicótico</v>
          </cell>
        </row>
        <row r="629">
          <cell r="A629" t="str">
            <v>B43.0</v>
          </cell>
          <cell r="B629" t="str">
            <v>Cromomicosis cutánea</v>
          </cell>
        </row>
        <row r="630">
          <cell r="A630" t="str">
            <v>B43.1</v>
          </cell>
          <cell r="B630" t="str">
            <v>Absceso cerebral feomicótico</v>
          </cell>
        </row>
        <row r="631">
          <cell r="A631" t="str">
            <v>B43.2</v>
          </cell>
          <cell r="B631" t="str">
            <v>Absceso y quiste subcutáneo feomicótico</v>
          </cell>
        </row>
        <row r="632">
          <cell r="A632" t="str">
            <v>B43.8</v>
          </cell>
          <cell r="B632" t="str">
            <v>Otras formas de cromomicosis</v>
          </cell>
        </row>
        <row r="633">
          <cell r="A633" t="str">
            <v>B43.9</v>
          </cell>
          <cell r="B633" t="str">
            <v>Cromomicosis, no especificada</v>
          </cell>
        </row>
        <row r="634">
          <cell r="A634" t="str">
            <v>B44</v>
          </cell>
          <cell r="B634" t="str">
            <v>Aspergilosis</v>
          </cell>
        </row>
        <row r="635">
          <cell r="A635" t="str">
            <v>B44.0</v>
          </cell>
          <cell r="B635" t="str">
            <v>Aspergilosis pulmonar invasiva</v>
          </cell>
        </row>
        <row r="636">
          <cell r="A636" t="str">
            <v>B44.1</v>
          </cell>
          <cell r="B636" t="str">
            <v>Otras aspergilosis pulmonares</v>
          </cell>
        </row>
        <row r="637">
          <cell r="A637" t="str">
            <v>B44.2</v>
          </cell>
          <cell r="B637" t="str">
            <v>Aspergilosis amigdalina</v>
          </cell>
        </row>
        <row r="638">
          <cell r="A638" t="str">
            <v>B44.7</v>
          </cell>
          <cell r="B638" t="str">
            <v>Aspergilosis diseminada</v>
          </cell>
        </row>
        <row r="639">
          <cell r="A639" t="str">
            <v>B44.8</v>
          </cell>
          <cell r="B639" t="str">
            <v>Otras formas de aspergilosis</v>
          </cell>
        </row>
        <row r="640">
          <cell r="A640" t="str">
            <v>B44.9</v>
          </cell>
          <cell r="B640" t="str">
            <v>Aspergilosis, no especificada</v>
          </cell>
        </row>
        <row r="641">
          <cell r="A641" t="str">
            <v>B45</v>
          </cell>
          <cell r="B641" t="str">
            <v>Criptococosis</v>
          </cell>
        </row>
        <row r="642">
          <cell r="A642" t="str">
            <v>B45.0</v>
          </cell>
          <cell r="B642" t="str">
            <v>Criptococosis pulmonar</v>
          </cell>
        </row>
        <row r="643">
          <cell r="A643" t="str">
            <v>B45.1</v>
          </cell>
          <cell r="B643" t="str">
            <v>Criptococosis cerebral</v>
          </cell>
        </row>
        <row r="644">
          <cell r="A644" t="str">
            <v>B45.2</v>
          </cell>
          <cell r="B644" t="str">
            <v>Criptococosis cutánea</v>
          </cell>
        </row>
        <row r="645">
          <cell r="A645" t="str">
            <v>B45.3</v>
          </cell>
          <cell r="B645" t="str">
            <v>Criptococosis ósea</v>
          </cell>
        </row>
        <row r="646">
          <cell r="A646" t="str">
            <v>B45.7</v>
          </cell>
          <cell r="B646" t="str">
            <v>Criptococosis diseminada</v>
          </cell>
        </row>
        <row r="647">
          <cell r="A647" t="str">
            <v>B45.8</v>
          </cell>
          <cell r="B647" t="str">
            <v>Otras formas de criptococosis</v>
          </cell>
        </row>
        <row r="648">
          <cell r="A648" t="str">
            <v>B45.9</v>
          </cell>
          <cell r="B648" t="str">
            <v>Criptococosis, no especificada</v>
          </cell>
        </row>
        <row r="649">
          <cell r="A649" t="str">
            <v>B46</v>
          </cell>
          <cell r="B649" t="str">
            <v>Cigomicosis</v>
          </cell>
        </row>
        <row r="650">
          <cell r="A650" t="str">
            <v>B46.0</v>
          </cell>
          <cell r="B650" t="str">
            <v>Mucormicosis pulmonar</v>
          </cell>
        </row>
        <row r="651">
          <cell r="A651" t="str">
            <v>B46.1</v>
          </cell>
          <cell r="B651" t="str">
            <v>Mucormicosis rinocerebral</v>
          </cell>
        </row>
        <row r="652">
          <cell r="A652" t="str">
            <v>B46.2</v>
          </cell>
          <cell r="B652" t="str">
            <v>Mucormicosis gastrointestinal</v>
          </cell>
        </row>
        <row r="653">
          <cell r="A653" t="str">
            <v>B46.3</v>
          </cell>
          <cell r="B653" t="str">
            <v>Mucormicosis cutánea</v>
          </cell>
        </row>
        <row r="654">
          <cell r="A654" t="str">
            <v>B46.4</v>
          </cell>
          <cell r="B654" t="str">
            <v>Mucormicosis diseminada</v>
          </cell>
        </row>
        <row r="655">
          <cell r="A655" t="str">
            <v>B46.5</v>
          </cell>
          <cell r="B655" t="str">
            <v>Mucormicosis, sin otra especificación</v>
          </cell>
        </row>
        <row r="656">
          <cell r="A656" t="str">
            <v>B46.8</v>
          </cell>
          <cell r="B656" t="str">
            <v>Otras cigomicosis</v>
          </cell>
        </row>
        <row r="657">
          <cell r="A657" t="str">
            <v>B46.9</v>
          </cell>
          <cell r="B657" t="str">
            <v>Cigomicosis, no especificada</v>
          </cell>
        </row>
        <row r="658">
          <cell r="A658" t="str">
            <v>B47</v>
          </cell>
          <cell r="B658" t="str">
            <v>Micetoma</v>
          </cell>
        </row>
        <row r="659">
          <cell r="A659" t="str">
            <v>B47.0</v>
          </cell>
          <cell r="B659" t="str">
            <v>Eumicetoma</v>
          </cell>
        </row>
        <row r="660">
          <cell r="A660" t="str">
            <v>B47.1</v>
          </cell>
          <cell r="B660" t="str">
            <v>Actinomicetoma</v>
          </cell>
        </row>
        <row r="661">
          <cell r="A661" t="str">
            <v>B47.9</v>
          </cell>
          <cell r="B661" t="str">
            <v>Micetoma, no especificado</v>
          </cell>
        </row>
        <row r="662">
          <cell r="A662" t="str">
            <v>B48</v>
          </cell>
          <cell r="B662" t="str">
            <v>Otras micosis, no clasificadas en otra parte</v>
          </cell>
        </row>
        <row r="663">
          <cell r="A663" t="str">
            <v>B48.0</v>
          </cell>
          <cell r="B663" t="str">
            <v>Lobomicosis</v>
          </cell>
        </row>
        <row r="664">
          <cell r="A664" t="str">
            <v>B48.1</v>
          </cell>
          <cell r="B664" t="str">
            <v>Rinosporidiosis</v>
          </cell>
        </row>
        <row r="665">
          <cell r="A665" t="str">
            <v>B48.2</v>
          </cell>
          <cell r="B665" t="str">
            <v>Alesqueriasis</v>
          </cell>
        </row>
        <row r="666">
          <cell r="A666" t="str">
            <v>B48.3</v>
          </cell>
          <cell r="B666" t="str">
            <v>Geotricosis</v>
          </cell>
        </row>
        <row r="667">
          <cell r="A667" t="str">
            <v>B48.4</v>
          </cell>
          <cell r="B667" t="str">
            <v>Penicilosis</v>
          </cell>
        </row>
        <row r="668">
          <cell r="A668" t="str">
            <v>B48.7</v>
          </cell>
          <cell r="B668" t="str">
            <v>Micosis oportunistas</v>
          </cell>
        </row>
        <row r="669">
          <cell r="A669" t="str">
            <v>B48.8</v>
          </cell>
          <cell r="B669" t="str">
            <v>Otras micosis especificadas</v>
          </cell>
        </row>
        <row r="670">
          <cell r="A670" t="str">
            <v>B49.X</v>
          </cell>
          <cell r="B670" t="str">
            <v>Micosis, no especificada</v>
          </cell>
        </row>
        <row r="671">
          <cell r="A671" t="str">
            <v>B50</v>
          </cell>
          <cell r="B671" t="str">
            <v>Paludismo [malaria] debido a Plasmodium falciparum</v>
          </cell>
        </row>
        <row r="672">
          <cell r="A672" t="str">
            <v>B50.0</v>
          </cell>
          <cell r="B672" t="str">
            <v>Paludismo debido a Plasmodium falciparum con complicaciones cerebrales</v>
          </cell>
        </row>
        <row r="673">
          <cell r="A673" t="str">
            <v>B50.8</v>
          </cell>
          <cell r="B673" t="str">
            <v>Otro paludismo grave y complicado debido a Plasmodium falciparum</v>
          </cell>
        </row>
        <row r="674">
          <cell r="A674" t="str">
            <v>B50.9</v>
          </cell>
          <cell r="B674" t="str">
            <v>Paludismo debido a Plasmodium falciparum, sin otra especificación</v>
          </cell>
        </row>
        <row r="675">
          <cell r="A675" t="str">
            <v>B51</v>
          </cell>
          <cell r="B675" t="str">
            <v>Paludismo [malaria] debido a Plasmodium vivax</v>
          </cell>
        </row>
        <row r="676">
          <cell r="A676" t="str">
            <v>B51.0</v>
          </cell>
          <cell r="B676" t="str">
            <v>Paludismo debido a Plasmodium vivax con ruptura esplénica</v>
          </cell>
        </row>
        <row r="677">
          <cell r="A677" t="str">
            <v>B51.8</v>
          </cell>
          <cell r="B677" t="str">
            <v>Paludismo debido a Plasmodium vivax con otras complicaciones</v>
          </cell>
        </row>
        <row r="678">
          <cell r="A678" t="str">
            <v>B51.9</v>
          </cell>
          <cell r="B678" t="str">
            <v>Paludismo debido a Plasmodium vivax, sin complicaciones</v>
          </cell>
        </row>
        <row r="679">
          <cell r="A679" t="str">
            <v>B52</v>
          </cell>
          <cell r="B679" t="str">
            <v>Paludismo [malaria] debido a Plasmodium malariae</v>
          </cell>
        </row>
        <row r="680">
          <cell r="A680" t="str">
            <v>B52.0</v>
          </cell>
          <cell r="B680" t="str">
            <v>Paludismo debido a Plasmodium malariae con nefropatía</v>
          </cell>
        </row>
        <row r="681">
          <cell r="A681" t="str">
            <v>B52.8</v>
          </cell>
          <cell r="B681" t="str">
            <v>Paludismo debido a Plasmodium malariae con otras complicaciones</v>
          </cell>
        </row>
        <row r="682">
          <cell r="A682" t="str">
            <v>B52.9</v>
          </cell>
          <cell r="B682" t="str">
            <v>Paludismo debido a Plasmodium malariae, sin complicaciones</v>
          </cell>
        </row>
        <row r="683">
          <cell r="A683" t="str">
            <v>B53</v>
          </cell>
          <cell r="B683" t="str">
            <v>Otro paludismo [malaria] confirmado parasitológicamente</v>
          </cell>
        </row>
        <row r="684">
          <cell r="A684" t="str">
            <v>B53.0</v>
          </cell>
          <cell r="B684" t="str">
            <v>Paludismo debido a Plasmodium ovale</v>
          </cell>
        </row>
        <row r="685">
          <cell r="A685" t="str">
            <v>B53.1</v>
          </cell>
          <cell r="B685" t="str">
            <v>Paludismo debido a plasmodios de los simios</v>
          </cell>
        </row>
        <row r="686">
          <cell r="A686" t="str">
            <v>B53.8</v>
          </cell>
          <cell r="B686" t="str">
            <v>Otro paludismo confirmado parasitológicamente, no clasificado en otra parte</v>
          </cell>
        </row>
        <row r="687">
          <cell r="A687" t="str">
            <v>B54.X</v>
          </cell>
          <cell r="B687" t="str">
            <v>Paludismo [malaria] no especificado</v>
          </cell>
        </row>
        <row r="688">
          <cell r="A688" t="str">
            <v>B55</v>
          </cell>
          <cell r="B688" t="str">
            <v>Leishmaniasis</v>
          </cell>
        </row>
        <row r="689">
          <cell r="A689" t="str">
            <v>B55.0</v>
          </cell>
          <cell r="B689" t="str">
            <v>Leishmaniasis visceral</v>
          </cell>
        </row>
        <row r="690">
          <cell r="A690" t="str">
            <v>B55.1</v>
          </cell>
          <cell r="B690" t="str">
            <v>Leishmaniasis cutánea</v>
          </cell>
        </row>
        <row r="691">
          <cell r="A691" t="str">
            <v>B55.2</v>
          </cell>
          <cell r="B691" t="str">
            <v>Leishmaniasis mucocutánea</v>
          </cell>
        </row>
        <row r="692">
          <cell r="A692" t="str">
            <v>B55.9</v>
          </cell>
          <cell r="B692" t="str">
            <v>Leishmaniasis, no especificada</v>
          </cell>
        </row>
        <row r="693">
          <cell r="A693" t="str">
            <v>B56</v>
          </cell>
          <cell r="B693" t="str">
            <v>Tripanosomiasis africana</v>
          </cell>
        </row>
        <row r="694">
          <cell r="A694" t="str">
            <v>B56.0</v>
          </cell>
          <cell r="B694" t="str">
            <v>Tripanosomiasis gambiense</v>
          </cell>
        </row>
        <row r="695">
          <cell r="A695" t="str">
            <v>B56.1</v>
          </cell>
          <cell r="B695" t="str">
            <v>Tripanosomiasis rhodesiense</v>
          </cell>
        </row>
        <row r="696">
          <cell r="A696" t="str">
            <v>B56.9</v>
          </cell>
          <cell r="B696" t="str">
            <v>Tripanosomiasis africana, sin otra especificación</v>
          </cell>
        </row>
        <row r="697">
          <cell r="A697" t="str">
            <v>B57</v>
          </cell>
          <cell r="B697" t="str">
            <v>Enfermedad de Chagas</v>
          </cell>
        </row>
        <row r="698">
          <cell r="A698" t="str">
            <v>B57.0</v>
          </cell>
          <cell r="B698" t="str">
            <v>Enfermedad de Chagas aguda que afecta al corazón (I41.2*, I98.1*)</v>
          </cell>
        </row>
        <row r="699">
          <cell r="A699" t="str">
            <v>B57.1</v>
          </cell>
          <cell r="B699" t="str">
            <v>Enfermedad de Chagas aguda que no afecta al corazón</v>
          </cell>
        </row>
        <row r="700">
          <cell r="A700" t="str">
            <v>B57.2</v>
          </cell>
          <cell r="B700" t="str">
            <v>Enfermedad de Chagas (crónica) que afecta al corazón (I41.2*, I98.1*)</v>
          </cell>
        </row>
        <row r="701">
          <cell r="A701" t="str">
            <v>B57.3</v>
          </cell>
          <cell r="B701" t="str">
            <v>Enfermedad de Chagas (crónica) que afecta al sistema digestivo</v>
          </cell>
        </row>
        <row r="702">
          <cell r="A702" t="str">
            <v>B57.4</v>
          </cell>
          <cell r="B702" t="str">
            <v>Enfermedad de Chagas (crónica) que afecta al sistema nervioso</v>
          </cell>
        </row>
        <row r="703">
          <cell r="A703" t="str">
            <v>B57.5</v>
          </cell>
          <cell r="B703" t="str">
            <v>Enfermedad de Chagas (crónica) que afecta otros órganos</v>
          </cell>
        </row>
        <row r="704">
          <cell r="A704" t="str">
            <v>B58</v>
          </cell>
          <cell r="B704" t="str">
            <v>Toxoplasmosis</v>
          </cell>
        </row>
        <row r="705">
          <cell r="A705" t="str">
            <v>B58.0</v>
          </cell>
          <cell r="B705" t="str">
            <v>Oculopatía debida a toxoplasma</v>
          </cell>
        </row>
        <row r="706">
          <cell r="A706" t="str">
            <v>B58.1</v>
          </cell>
          <cell r="B706" t="str">
            <v>Hepatitis debida a toxoplasma (K77.0*)</v>
          </cell>
        </row>
        <row r="707">
          <cell r="A707" t="str">
            <v>B58.2</v>
          </cell>
          <cell r="B707" t="str">
            <v>Meningoencefalitis debida a toxoplasma (G05.2*)</v>
          </cell>
        </row>
        <row r="708">
          <cell r="A708" t="str">
            <v>B58.3</v>
          </cell>
          <cell r="B708" t="str">
            <v>Toxoplasmosis pulmonar (J17.3*)</v>
          </cell>
        </row>
        <row r="709">
          <cell r="A709" t="str">
            <v>B58.8</v>
          </cell>
          <cell r="B709" t="str">
            <v>Toxoplasmosis con otro órgano afectado</v>
          </cell>
        </row>
        <row r="710">
          <cell r="A710" t="str">
            <v>B58.9</v>
          </cell>
          <cell r="B710" t="str">
            <v>Toxoplasmosis, no especificada</v>
          </cell>
        </row>
        <row r="711">
          <cell r="A711" t="str">
            <v>B59.X</v>
          </cell>
          <cell r="B711" t="str">
            <v>Neumocistosis</v>
          </cell>
        </row>
        <row r="712">
          <cell r="A712" t="str">
            <v>B60</v>
          </cell>
          <cell r="B712" t="str">
            <v>Otras enfermedades debidas a protozoarios, no clasificadas en otra parte</v>
          </cell>
        </row>
        <row r="713">
          <cell r="A713" t="str">
            <v>B60.0</v>
          </cell>
          <cell r="B713" t="str">
            <v>Babesiosis</v>
          </cell>
        </row>
        <row r="714">
          <cell r="A714" t="str">
            <v>B60.1</v>
          </cell>
          <cell r="B714" t="str">
            <v>Acantamebiasis</v>
          </cell>
        </row>
        <row r="715">
          <cell r="A715" t="str">
            <v>B60.2</v>
          </cell>
          <cell r="B715" t="str">
            <v>Naegleriasis</v>
          </cell>
        </row>
        <row r="716">
          <cell r="A716" t="str">
            <v>B60.8</v>
          </cell>
          <cell r="B716" t="str">
            <v>Otras enfermedades especificadas debidas a protozarios</v>
          </cell>
        </row>
        <row r="717">
          <cell r="A717" t="str">
            <v>B64.X</v>
          </cell>
          <cell r="B717" t="str">
            <v>Enfermedad debida a protozoarios, no especificada</v>
          </cell>
        </row>
        <row r="718">
          <cell r="A718" t="str">
            <v>B65</v>
          </cell>
          <cell r="B718" t="str">
            <v>Esquistosomiasis [bilharziasis]</v>
          </cell>
        </row>
        <row r="719">
          <cell r="A719" t="str">
            <v>B65.0</v>
          </cell>
          <cell r="B719" t="str">
            <v>Esquistosomiasis debida a Schistosoma haematobium [esquistosomiasis urinaria]</v>
          </cell>
        </row>
        <row r="720">
          <cell r="A720" t="str">
            <v>B65.1</v>
          </cell>
          <cell r="B720" t="str">
            <v>Esquistosomiasis debida a Schistosoma mansoni [esquistosomiasis intestinal]</v>
          </cell>
        </row>
        <row r="721">
          <cell r="A721" t="str">
            <v>B65.2</v>
          </cell>
          <cell r="B721" t="str">
            <v>Esquistosomiasis debida a Schistosoma japonicum</v>
          </cell>
        </row>
        <row r="722">
          <cell r="A722" t="str">
            <v>B65.3</v>
          </cell>
          <cell r="B722" t="str">
            <v>Dermatitis por cercarias</v>
          </cell>
        </row>
        <row r="723">
          <cell r="A723" t="str">
            <v>B65.8</v>
          </cell>
          <cell r="B723" t="str">
            <v>Otras esquistosomiasis</v>
          </cell>
        </row>
        <row r="724">
          <cell r="A724" t="str">
            <v>B65.9</v>
          </cell>
          <cell r="B724" t="str">
            <v>Esquistosomiasis, no especificada</v>
          </cell>
        </row>
        <row r="725">
          <cell r="A725" t="str">
            <v>B66</v>
          </cell>
          <cell r="B725" t="str">
            <v>Otras infecciones debidas a trematodos</v>
          </cell>
        </row>
        <row r="726">
          <cell r="A726" t="str">
            <v>B66.0</v>
          </cell>
          <cell r="B726" t="str">
            <v>Opistorquiasis</v>
          </cell>
        </row>
        <row r="727">
          <cell r="A727" t="str">
            <v>B66.1</v>
          </cell>
          <cell r="B727" t="str">
            <v>Clonorquiasis</v>
          </cell>
        </row>
        <row r="728">
          <cell r="A728" t="str">
            <v>B66.2</v>
          </cell>
          <cell r="B728" t="str">
            <v>Dicrocoeliasis</v>
          </cell>
        </row>
        <row r="729">
          <cell r="A729" t="str">
            <v>B66.3</v>
          </cell>
          <cell r="B729" t="str">
            <v>Fascioliasis</v>
          </cell>
        </row>
        <row r="730">
          <cell r="A730" t="str">
            <v>B66.4</v>
          </cell>
          <cell r="B730" t="str">
            <v>Paragonimiasis</v>
          </cell>
        </row>
        <row r="731">
          <cell r="A731" t="str">
            <v>B66.5</v>
          </cell>
          <cell r="B731" t="str">
            <v>Fasciolopsiasis</v>
          </cell>
        </row>
        <row r="732">
          <cell r="A732" t="str">
            <v>B66.8</v>
          </cell>
          <cell r="B732" t="str">
            <v>Otras infecciones especificadas debidas a trematodos</v>
          </cell>
        </row>
        <row r="733">
          <cell r="A733" t="str">
            <v>B66.9</v>
          </cell>
          <cell r="B733" t="str">
            <v>Infección debida a trematodos, no especificada</v>
          </cell>
        </row>
        <row r="734">
          <cell r="A734" t="str">
            <v>B67</v>
          </cell>
          <cell r="B734" t="str">
            <v>Equinococosis</v>
          </cell>
        </row>
        <row r="735">
          <cell r="A735" t="str">
            <v>B67.0</v>
          </cell>
          <cell r="B735" t="str">
            <v>Infección del hígado debida a Echinococcus granulosus</v>
          </cell>
        </row>
        <row r="736">
          <cell r="A736" t="str">
            <v>B67.1</v>
          </cell>
          <cell r="B736" t="str">
            <v>Infección del pulmón debida a Echinococcus granulosus</v>
          </cell>
        </row>
        <row r="737">
          <cell r="A737" t="str">
            <v>B67.2</v>
          </cell>
          <cell r="B737" t="str">
            <v>Infección de hueso debida a Echinococcus granulosus</v>
          </cell>
        </row>
        <row r="738">
          <cell r="A738" t="str">
            <v>B67.3</v>
          </cell>
          <cell r="B738" t="str">
            <v>Infección de otro órgano y de sitios múltiples debida a Echinococcus granulosus</v>
          </cell>
        </row>
        <row r="739">
          <cell r="A739" t="str">
            <v>B67.4</v>
          </cell>
          <cell r="B739" t="str">
            <v>Infección debida a Echinococcus granulosus, sin otra especificación</v>
          </cell>
        </row>
        <row r="740">
          <cell r="A740" t="str">
            <v>B67.5</v>
          </cell>
          <cell r="B740" t="str">
            <v>Infección del hígado debida a Echinococcus multilocularis</v>
          </cell>
        </row>
        <row r="741">
          <cell r="A741" t="str">
            <v>B67.6</v>
          </cell>
          <cell r="B741" t="str">
            <v>Infección de otro órgano y de sitios múltiples debida a Echinococcus multilocularis</v>
          </cell>
        </row>
        <row r="742">
          <cell r="A742" t="str">
            <v>B67.7</v>
          </cell>
          <cell r="B742" t="str">
            <v>Infección debida a Echinococcus multilocularis, sin otra especificación</v>
          </cell>
        </row>
        <row r="743">
          <cell r="A743" t="str">
            <v>B67.8</v>
          </cell>
          <cell r="B743" t="str">
            <v>Equinococosis del hígado, no especificada</v>
          </cell>
        </row>
        <row r="744">
          <cell r="A744" t="str">
            <v>B67.9</v>
          </cell>
          <cell r="B744" t="str">
            <v>Equinococosis, otra y la no especificada</v>
          </cell>
        </row>
        <row r="745">
          <cell r="A745" t="str">
            <v>B68</v>
          </cell>
          <cell r="B745" t="str">
            <v>Teniasis</v>
          </cell>
        </row>
        <row r="746">
          <cell r="A746" t="str">
            <v>B68.0</v>
          </cell>
          <cell r="B746" t="str">
            <v>Teniasis debida a Taenia solium</v>
          </cell>
        </row>
        <row r="747">
          <cell r="A747" t="str">
            <v>B68.1</v>
          </cell>
          <cell r="B747" t="str">
            <v>Infección debida a Taenia saginata</v>
          </cell>
        </row>
        <row r="748">
          <cell r="A748" t="str">
            <v>B68.9</v>
          </cell>
          <cell r="B748" t="str">
            <v>Teniasis, no especificada</v>
          </cell>
        </row>
        <row r="749">
          <cell r="A749" t="str">
            <v>B69</v>
          </cell>
          <cell r="B749" t="str">
            <v>Cisticercosis</v>
          </cell>
        </row>
        <row r="750">
          <cell r="A750" t="str">
            <v>B69.0</v>
          </cell>
          <cell r="B750" t="str">
            <v>Cisticercosis del sistema nervioso central</v>
          </cell>
        </row>
        <row r="751">
          <cell r="A751" t="str">
            <v>B69.1</v>
          </cell>
          <cell r="B751" t="str">
            <v>Cisticercosis del ojo</v>
          </cell>
        </row>
        <row r="752">
          <cell r="A752" t="str">
            <v>B69.8</v>
          </cell>
          <cell r="B752" t="str">
            <v>Cisticercosis de otros sitios</v>
          </cell>
        </row>
        <row r="753">
          <cell r="A753" t="str">
            <v>B69.9</v>
          </cell>
          <cell r="B753" t="str">
            <v>Cisticercosis, no especificada</v>
          </cell>
        </row>
        <row r="754">
          <cell r="A754" t="str">
            <v>B70</v>
          </cell>
          <cell r="B754" t="str">
            <v>Difilobotriasis y esparganosis</v>
          </cell>
        </row>
        <row r="755">
          <cell r="A755" t="str">
            <v>B70.0</v>
          </cell>
          <cell r="B755" t="str">
            <v>Difilobotriasis intestinal</v>
          </cell>
        </row>
        <row r="756">
          <cell r="A756" t="str">
            <v>B70.1</v>
          </cell>
          <cell r="B756" t="str">
            <v>Esparganosis</v>
          </cell>
        </row>
        <row r="757">
          <cell r="A757" t="str">
            <v>B71</v>
          </cell>
          <cell r="B757" t="str">
            <v>Otras infecciones debidas a cestodos</v>
          </cell>
        </row>
        <row r="758">
          <cell r="A758" t="str">
            <v>B71.0</v>
          </cell>
          <cell r="B758" t="str">
            <v>Himenolepiasis</v>
          </cell>
        </row>
        <row r="759">
          <cell r="A759" t="str">
            <v>B71.1</v>
          </cell>
          <cell r="B759" t="str">
            <v>Dipilidiasis</v>
          </cell>
        </row>
        <row r="760">
          <cell r="A760" t="str">
            <v>B71.8</v>
          </cell>
          <cell r="B760" t="str">
            <v>Otras infecciones debidas a cestodos especificadas</v>
          </cell>
        </row>
        <row r="761">
          <cell r="A761" t="str">
            <v>B71.9</v>
          </cell>
          <cell r="B761" t="str">
            <v>Infección debida a cestodos, no especificada</v>
          </cell>
        </row>
        <row r="762">
          <cell r="A762" t="str">
            <v>B72.X</v>
          </cell>
          <cell r="B762" t="str">
            <v>Dracontiasis</v>
          </cell>
        </row>
        <row r="763">
          <cell r="A763" t="str">
            <v>B73.X</v>
          </cell>
          <cell r="B763" t="str">
            <v>Oncocercosis</v>
          </cell>
        </row>
        <row r="764">
          <cell r="A764" t="str">
            <v>B74</v>
          </cell>
          <cell r="B764" t="str">
            <v>Filariasis</v>
          </cell>
        </row>
        <row r="765">
          <cell r="A765" t="str">
            <v>B74.0</v>
          </cell>
          <cell r="B765" t="str">
            <v>Filariasis debida a Wuchereria bancrofti</v>
          </cell>
        </row>
        <row r="766">
          <cell r="A766" t="str">
            <v>B74.1</v>
          </cell>
          <cell r="B766" t="str">
            <v>Filariasis debida a Brugia malayi</v>
          </cell>
        </row>
        <row r="767">
          <cell r="A767" t="str">
            <v>B74.2</v>
          </cell>
          <cell r="B767" t="str">
            <v>Filariasis debida a Brugia timori</v>
          </cell>
        </row>
        <row r="768">
          <cell r="A768" t="str">
            <v>B74.3</v>
          </cell>
          <cell r="B768" t="str">
            <v>Loaiasis</v>
          </cell>
        </row>
        <row r="769">
          <cell r="A769" t="str">
            <v>B74.4</v>
          </cell>
          <cell r="B769" t="str">
            <v>Mansoneliasis</v>
          </cell>
        </row>
        <row r="770">
          <cell r="A770" t="str">
            <v>B74.8</v>
          </cell>
          <cell r="B770" t="str">
            <v>Otras filariasis</v>
          </cell>
        </row>
        <row r="771">
          <cell r="A771" t="str">
            <v>B74.9</v>
          </cell>
          <cell r="B771" t="str">
            <v>Filariasis, no especificada</v>
          </cell>
        </row>
        <row r="772">
          <cell r="A772" t="str">
            <v>B75.X</v>
          </cell>
          <cell r="B772" t="str">
            <v>Triquinosis</v>
          </cell>
        </row>
        <row r="773">
          <cell r="A773" t="str">
            <v>B76</v>
          </cell>
          <cell r="B773" t="str">
            <v>Anquilostomiasis y necatoriasis</v>
          </cell>
        </row>
        <row r="774">
          <cell r="A774" t="str">
            <v>B76.0</v>
          </cell>
          <cell r="B774" t="str">
            <v>Anquilostomiasis</v>
          </cell>
        </row>
        <row r="775">
          <cell r="A775" t="str">
            <v>B76.1</v>
          </cell>
          <cell r="B775" t="str">
            <v>Necatoriasis</v>
          </cell>
        </row>
        <row r="776">
          <cell r="A776" t="str">
            <v>B76.8</v>
          </cell>
          <cell r="B776" t="str">
            <v>Otras enfermedades debidas a anquilostomas</v>
          </cell>
        </row>
        <row r="777">
          <cell r="A777" t="str">
            <v>B76.9</v>
          </cell>
          <cell r="B777" t="str">
            <v>Enfermedad debida a anquilostomas, no especificada</v>
          </cell>
        </row>
        <row r="778">
          <cell r="A778" t="str">
            <v>B77</v>
          </cell>
          <cell r="B778" t="str">
            <v>Ascariasis</v>
          </cell>
        </row>
        <row r="779">
          <cell r="A779" t="str">
            <v>B77.0</v>
          </cell>
          <cell r="B779" t="str">
            <v>Ascariasis con complicaciones intestinales</v>
          </cell>
        </row>
        <row r="780">
          <cell r="A780" t="str">
            <v>B77.8</v>
          </cell>
          <cell r="B780" t="str">
            <v>Ascariasis con otras complicaciones</v>
          </cell>
        </row>
        <row r="781">
          <cell r="A781" t="str">
            <v>B77.9</v>
          </cell>
          <cell r="B781" t="str">
            <v>Ascariasis, no especificada</v>
          </cell>
        </row>
        <row r="782">
          <cell r="A782" t="str">
            <v>B78</v>
          </cell>
          <cell r="B782" t="str">
            <v>Estrongiloidiasis</v>
          </cell>
        </row>
        <row r="783">
          <cell r="A783" t="str">
            <v>B78.0</v>
          </cell>
          <cell r="B783" t="str">
            <v>Estrongiloidiasis intestinal</v>
          </cell>
        </row>
        <row r="784">
          <cell r="A784" t="str">
            <v>B78.1</v>
          </cell>
          <cell r="B784" t="str">
            <v>Estrongiloidiasis cutánea</v>
          </cell>
        </row>
        <row r="785">
          <cell r="A785" t="str">
            <v>B78.7</v>
          </cell>
          <cell r="B785" t="str">
            <v>Estrongiloidiasis diseminada</v>
          </cell>
        </row>
        <row r="786">
          <cell r="A786" t="str">
            <v>B78.9</v>
          </cell>
          <cell r="B786" t="str">
            <v>Estrongiloidiasis, no especificada</v>
          </cell>
        </row>
        <row r="787">
          <cell r="A787" t="str">
            <v>B79.X</v>
          </cell>
          <cell r="B787" t="str">
            <v>Tricuriasis</v>
          </cell>
        </row>
        <row r="788">
          <cell r="A788" t="str">
            <v>B80.X</v>
          </cell>
          <cell r="B788" t="str">
            <v>Enterobiasis</v>
          </cell>
        </row>
        <row r="789">
          <cell r="A789" t="str">
            <v>B81</v>
          </cell>
          <cell r="B789" t="str">
            <v>Otras helmintiasis intestinales, no clasificadas en otra parte</v>
          </cell>
        </row>
        <row r="790">
          <cell r="A790" t="str">
            <v>B81.0</v>
          </cell>
          <cell r="B790" t="str">
            <v>Anisaquiasis</v>
          </cell>
        </row>
        <row r="791">
          <cell r="A791" t="str">
            <v>B81.1</v>
          </cell>
          <cell r="B791" t="str">
            <v>Capilariasis intestinal</v>
          </cell>
        </row>
        <row r="792">
          <cell r="A792" t="str">
            <v>B81.2</v>
          </cell>
          <cell r="B792" t="str">
            <v>Tricoestrongiliasis</v>
          </cell>
        </row>
        <row r="793">
          <cell r="A793" t="str">
            <v>B81.3</v>
          </cell>
          <cell r="B793" t="str">
            <v>Angioestrongiliasis intestinal</v>
          </cell>
        </row>
        <row r="794">
          <cell r="A794" t="str">
            <v>B81.4</v>
          </cell>
          <cell r="B794" t="str">
            <v>Helmintiasis intestinal mixta</v>
          </cell>
        </row>
        <row r="795">
          <cell r="A795" t="str">
            <v>B81.8</v>
          </cell>
          <cell r="B795" t="str">
            <v>Otras helmintiasis intestinales especificadas</v>
          </cell>
        </row>
        <row r="796">
          <cell r="A796" t="str">
            <v>B82</v>
          </cell>
          <cell r="B796" t="str">
            <v>Parasitosis intestinales, sin otra especificación</v>
          </cell>
        </row>
        <row r="797">
          <cell r="A797" t="str">
            <v>B82.0</v>
          </cell>
          <cell r="B797" t="str">
            <v>Helmintiasis intestinal, sin otra especificación</v>
          </cell>
        </row>
        <row r="798">
          <cell r="A798" t="str">
            <v>B82.9</v>
          </cell>
          <cell r="B798" t="str">
            <v>Parasitosis intestinal, sin otra especificación</v>
          </cell>
        </row>
        <row r="799">
          <cell r="A799" t="str">
            <v>B83</v>
          </cell>
          <cell r="B799" t="str">
            <v>Otras helmintiasis</v>
          </cell>
        </row>
        <row r="800">
          <cell r="A800" t="str">
            <v>B83.0</v>
          </cell>
          <cell r="B800" t="str">
            <v>Larva migrans visceral</v>
          </cell>
        </row>
        <row r="801">
          <cell r="A801" t="str">
            <v>B83.1</v>
          </cell>
          <cell r="B801" t="str">
            <v>Gnatostomiasis</v>
          </cell>
        </row>
        <row r="802">
          <cell r="A802" t="str">
            <v>B83.2</v>
          </cell>
          <cell r="B802" t="str">
            <v>Angioestrongiliasis debida a Parastrongylus cantonensis</v>
          </cell>
        </row>
        <row r="803">
          <cell r="A803" t="str">
            <v>B83.3</v>
          </cell>
          <cell r="B803" t="str">
            <v>Singamiasis</v>
          </cell>
        </row>
        <row r="804">
          <cell r="A804" t="str">
            <v>B83.4</v>
          </cell>
          <cell r="B804" t="str">
            <v>Hirudiniasis interna</v>
          </cell>
        </row>
        <row r="805">
          <cell r="A805" t="str">
            <v>B83.8</v>
          </cell>
          <cell r="B805" t="str">
            <v>Otras helmintiasis especificadas</v>
          </cell>
        </row>
        <row r="806">
          <cell r="A806" t="str">
            <v>B83.9</v>
          </cell>
          <cell r="B806" t="str">
            <v>Helmintiasis, no especificada</v>
          </cell>
        </row>
        <row r="807">
          <cell r="A807" t="str">
            <v>B85</v>
          </cell>
          <cell r="B807" t="str">
            <v>Pediculosis y phthiriasis</v>
          </cell>
        </row>
        <row r="808">
          <cell r="A808" t="str">
            <v>B85.0</v>
          </cell>
          <cell r="B808" t="str">
            <v>Pediculosis debida a Pediculus humanus capitis</v>
          </cell>
        </row>
        <row r="809">
          <cell r="A809" t="str">
            <v>B85.1</v>
          </cell>
          <cell r="B809" t="str">
            <v>Pediculosis debida a Pediculus humanus corporis</v>
          </cell>
        </row>
        <row r="810">
          <cell r="A810" t="str">
            <v>B85.2</v>
          </cell>
          <cell r="B810" t="str">
            <v>Pediculosis, sin otra especificación</v>
          </cell>
        </row>
        <row r="811">
          <cell r="A811" t="str">
            <v>B85.3</v>
          </cell>
          <cell r="B811" t="str">
            <v>Phthiriasis</v>
          </cell>
        </row>
        <row r="812">
          <cell r="A812" t="str">
            <v>B85.4</v>
          </cell>
          <cell r="B812" t="str">
            <v>Pediculosis y phthiriasis mixtas</v>
          </cell>
        </row>
        <row r="813">
          <cell r="A813" t="str">
            <v>B86.X</v>
          </cell>
          <cell r="B813" t="str">
            <v>Escabiosis</v>
          </cell>
        </row>
        <row r="814">
          <cell r="A814" t="str">
            <v>B87</v>
          </cell>
          <cell r="B814" t="str">
            <v>Miasis</v>
          </cell>
        </row>
        <row r="815">
          <cell r="A815" t="str">
            <v>B87.0</v>
          </cell>
          <cell r="B815" t="str">
            <v>Miasis cutánea</v>
          </cell>
        </row>
        <row r="816">
          <cell r="A816" t="str">
            <v>B87.1</v>
          </cell>
          <cell r="B816" t="str">
            <v>Miasis en heridas</v>
          </cell>
        </row>
        <row r="817">
          <cell r="A817" t="str">
            <v>B87.2</v>
          </cell>
          <cell r="B817" t="str">
            <v>Miasis ocular</v>
          </cell>
        </row>
        <row r="818">
          <cell r="A818" t="str">
            <v>B87.3</v>
          </cell>
          <cell r="B818" t="str">
            <v>Miasis nasofaríngea</v>
          </cell>
        </row>
        <row r="819">
          <cell r="A819" t="str">
            <v>B87.4</v>
          </cell>
          <cell r="B819" t="str">
            <v>Miasis aural</v>
          </cell>
        </row>
        <row r="820">
          <cell r="A820" t="str">
            <v>B87.8</v>
          </cell>
          <cell r="B820" t="str">
            <v>Miasis de otros sitios</v>
          </cell>
        </row>
        <row r="821">
          <cell r="A821" t="str">
            <v>B87.9</v>
          </cell>
          <cell r="B821" t="str">
            <v>Miasis, no especificada</v>
          </cell>
        </row>
        <row r="822">
          <cell r="A822" t="str">
            <v>B88</v>
          </cell>
          <cell r="B822" t="str">
            <v>Otras infestaciones</v>
          </cell>
        </row>
        <row r="823">
          <cell r="A823" t="str">
            <v>B88.0</v>
          </cell>
          <cell r="B823" t="str">
            <v>Otras acariasis</v>
          </cell>
        </row>
        <row r="824">
          <cell r="A824" t="str">
            <v>B88.1</v>
          </cell>
          <cell r="B824" t="str">
            <v>Tungiasis [infección debida a pulga de arena]</v>
          </cell>
        </row>
        <row r="825">
          <cell r="A825" t="str">
            <v>B88.2</v>
          </cell>
          <cell r="B825" t="str">
            <v>Otras infestaciones debidas a artrópodos</v>
          </cell>
        </row>
        <row r="826">
          <cell r="A826" t="str">
            <v>B88.3</v>
          </cell>
          <cell r="B826" t="str">
            <v>Hirudiniasis externa</v>
          </cell>
        </row>
        <row r="827">
          <cell r="A827" t="str">
            <v>B88.8</v>
          </cell>
          <cell r="B827" t="str">
            <v>Otras infestaciones especificadas</v>
          </cell>
        </row>
        <row r="828">
          <cell r="A828" t="str">
            <v>B88.9</v>
          </cell>
          <cell r="B828" t="str">
            <v>Infestación, no especificada</v>
          </cell>
        </row>
        <row r="829">
          <cell r="A829" t="str">
            <v>B89.X</v>
          </cell>
          <cell r="B829" t="str">
            <v>Enfermedad parasitaria, no especificada</v>
          </cell>
        </row>
        <row r="830">
          <cell r="A830" t="str">
            <v>B90</v>
          </cell>
          <cell r="B830" t="str">
            <v>Secuelas de tuberculosis</v>
          </cell>
        </row>
        <row r="831">
          <cell r="A831" t="str">
            <v>B90.0</v>
          </cell>
          <cell r="B831" t="str">
            <v>Secuelas de tuberculosis del sistema nervioso central</v>
          </cell>
        </row>
        <row r="832">
          <cell r="A832" t="str">
            <v>B90.1</v>
          </cell>
          <cell r="B832" t="str">
            <v>Secuelas de tuberculosis genitourinaria</v>
          </cell>
        </row>
        <row r="833">
          <cell r="A833" t="str">
            <v>B90.2</v>
          </cell>
          <cell r="B833" t="str">
            <v>Secuelas de tuberculosis de huesos y articulaciones</v>
          </cell>
        </row>
        <row r="834">
          <cell r="A834" t="str">
            <v>B90.8</v>
          </cell>
          <cell r="B834" t="str">
            <v>Secuelas de tuberculosis de otros órganos especificados</v>
          </cell>
        </row>
        <row r="835">
          <cell r="A835" t="str">
            <v>B90.9</v>
          </cell>
          <cell r="B835" t="str">
            <v>Secuelas de tuberculosis respiratoria y de tuberculosis no especificada</v>
          </cell>
        </row>
        <row r="836">
          <cell r="A836" t="str">
            <v>B91.X</v>
          </cell>
          <cell r="B836" t="str">
            <v>Secuelas de poliomielitis</v>
          </cell>
        </row>
        <row r="837">
          <cell r="A837" t="str">
            <v>B92.X</v>
          </cell>
          <cell r="B837" t="str">
            <v>Secuelas de lepra</v>
          </cell>
        </row>
        <row r="838">
          <cell r="A838" t="str">
            <v>B94</v>
          </cell>
          <cell r="B838" t="str">
            <v>Secuelas de otras enfermedades infecciosas y parasitarias y de las no especificadas</v>
          </cell>
        </row>
        <row r="839">
          <cell r="A839" t="str">
            <v>B94.0</v>
          </cell>
          <cell r="B839" t="str">
            <v>Secuelas de tracoma</v>
          </cell>
        </row>
        <row r="840">
          <cell r="A840" t="str">
            <v>B94.1</v>
          </cell>
          <cell r="B840" t="str">
            <v>Secuelas de encefalitis viral</v>
          </cell>
        </row>
        <row r="841">
          <cell r="A841" t="str">
            <v>B94.2</v>
          </cell>
          <cell r="B841" t="str">
            <v>Secuelas de hepatitis viral</v>
          </cell>
        </row>
        <row r="842">
          <cell r="A842" t="str">
            <v>B94.8</v>
          </cell>
          <cell r="B842" t="str">
            <v>Secuelas de otras enfermedades infecciosas y parasitarias especificadas</v>
          </cell>
        </row>
        <row r="843">
          <cell r="A843" t="str">
            <v>B94.9</v>
          </cell>
          <cell r="B843" t="str">
            <v>Secuelas de enfermedades infecciosas y parasitarias no especificadas</v>
          </cell>
        </row>
        <row r="844">
          <cell r="A844" t="str">
            <v>B95</v>
          </cell>
          <cell r="B844" t="str">
            <v>Estreptococos y estafilococos como causa de enfermedades clasificadas en otros capítulos</v>
          </cell>
        </row>
        <row r="845">
          <cell r="A845" t="str">
            <v>B95.0</v>
          </cell>
          <cell r="B845" t="str">
            <v>Estreptococo, grupo A, como causa de enfermedades clasificadas en otros capítulos</v>
          </cell>
        </row>
        <row r="846">
          <cell r="A846" t="str">
            <v>B95.1</v>
          </cell>
          <cell r="B846" t="str">
            <v>Estreptococo, grupo B, como causa de enfermedades clasificadas en otros capítulos</v>
          </cell>
        </row>
        <row r="847">
          <cell r="A847" t="str">
            <v>B95.2</v>
          </cell>
          <cell r="B847" t="str">
            <v>Estreptococo, grupo D, como causa de enfermedades clasificadas en otros capítulos</v>
          </cell>
        </row>
        <row r="848">
          <cell r="A848" t="str">
            <v>B95.3</v>
          </cell>
          <cell r="B848" t="str">
            <v>Streptococcus pneumoniae como causa de enfermedades clasificadas en otros capítulos</v>
          </cell>
        </row>
        <row r="849">
          <cell r="A849" t="str">
            <v>B95.4</v>
          </cell>
          <cell r="B849" t="str">
            <v>Otros estreptococos como causa de enfermedades clasificadas en otros capítulos</v>
          </cell>
        </row>
        <row r="850">
          <cell r="A850" t="str">
            <v>B95.5</v>
          </cell>
          <cell r="B850" t="str">
            <v>Estreptococo no especificado como causa de enfermedades clasificadas en otros capítulos</v>
          </cell>
        </row>
        <row r="851">
          <cell r="A851" t="str">
            <v>B95.6</v>
          </cell>
          <cell r="B851" t="str">
            <v>Staphylococcus aureus como causa de enfermedades clasificadas en otros capítulos</v>
          </cell>
        </row>
        <row r="852">
          <cell r="A852" t="str">
            <v>B95.7</v>
          </cell>
          <cell r="B852" t="str">
            <v>Otros estafilococos como causa de enfermedades clasificadas en otros capítulos</v>
          </cell>
        </row>
        <row r="853">
          <cell r="A853" t="str">
            <v>B95.8</v>
          </cell>
          <cell r="B853" t="str">
            <v>Estafilococo no especificado, como causa de enfermedades clasificadas en otros capítulos</v>
          </cell>
        </row>
        <row r="854">
          <cell r="A854" t="str">
            <v>B96</v>
          </cell>
          <cell r="B854" t="str">
            <v>Otros agentes bacterianos como causa de enfermedades clasificadas en otros capítulos</v>
          </cell>
        </row>
        <row r="855">
          <cell r="A855" t="str">
            <v>B96.0</v>
          </cell>
          <cell r="B855" t="str">
            <v>Mycoplasma pneumoniae [M. pneumoniae] como causa de enfermedades clasificadas en otros capítulos</v>
          </cell>
        </row>
        <row r="856">
          <cell r="A856" t="str">
            <v>B96.1</v>
          </cell>
          <cell r="B856" t="str">
            <v>Klebsiella pneumoniae [K. pneumoniae] como causa de enfermedades clasificadas en otros capítulos</v>
          </cell>
        </row>
        <row r="857">
          <cell r="A857" t="str">
            <v>B96.2</v>
          </cell>
          <cell r="B857" t="str">
            <v>Escherichia coli [E. coli] como causa de enfermedades clasificadas en otros capítulos</v>
          </cell>
        </row>
        <row r="858">
          <cell r="A858" t="str">
            <v>B96.3</v>
          </cell>
          <cell r="B858" t="str">
            <v>Haemophilus influenzae [H. influenzae] como causa de enfermedades clasificadas en otros capítulos</v>
          </cell>
        </row>
        <row r="859">
          <cell r="A859" t="str">
            <v>B96.4</v>
          </cell>
          <cell r="B859" t="str">
            <v>Proteus (mirabilis) (morganii) como causa de enfermedades clasificadas en otros capítulos</v>
          </cell>
        </row>
        <row r="860">
          <cell r="A860" t="str">
            <v>B96.5</v>
          </cell>
          <cell r="B860" t="str">
            <v>Pseudomonas (aeruginosa) (mallei) (pseudomallei) como causa de enfermedades clasificadas en otros capítulos</v>
          </cell>
        </row>
        <row r="861">
          <cell r="A861" t="str">
            <v>B96.6</v>
          </cell>
          <cell r="B861" t="str">
            <v>Bacillus fragilis [B. fragilis] como causa de enfermedades clasificadas en otros capítulos</v>
          </cell>
        </row>
        <row r="862">
          <cell r="A862" t="str">
            <v>B96.7</v>
          </cell>
          <cell r="B862" t="str">
            <v>Clostridium perfringens [C. perfringens] como causa de enfermedades clasificadas en otros capítulos</v>
          </cell>
        </row>
        <row r="863">
          <cell r="A863" t="str">
            <v>B96.8</v>
          </cell>
          <cell r="B863" t="str">
            <v>Otros agentes bacterianos especificados como causa de enfermedades clasificadas en otros capítulos</v>
          </cell>
        </row>
        <row r="864">
          <cell r="A864" t="str">
            <v>B97</v>
          </cell>
          <cell r="B864" t="str">
            <v>Agentes virales como causa de enfermedades clasificadas en otros capítulos</v>
          </cell>
        </row>
        <row r="865">
          <cell r="A865" t="str">
            <v>B97.0</v>
          </cell>
          <cell r="B865" t="str">
            <v>Adenovirus como causa de enfermedades clasificadas en otros capítulos</v>
          </cell>
        </row>
        <row r="866">
          <cell r="A866" t="str">
            <v>B97.1</v>
          </cell>
          <cell r="B866" t="str">
            <v>Enterovirus como causa de enfermedades clasificadas en otros capítulos</v>
          </cell>
        </row>
        <row r="867">
          <cell r="A867" t="str">
            <v>B97.2</v>
          </cell>
          <cell r="B867" t="str">
            <v>Coronavirus como causa de enfermedades clasificadas en otros capítulos</v>
          </cell>
        </row>
        <row r="868">
          <cell r="A868" t="str">
            <v>B97.3</v>
          </cell>
          <cell r="B868" t="str">
            <v>Retrovirus como causa de enfermedades clasificadas en otros capítulos</v>
          </cell>
        </row>
        <row r="869">
          <cell r="A869" t="str">
            <v>B97.4</v>
          </cell>
          <cell r="B869" t="str">
            <v>Virus sincicial respiratorio como causa de enfermedades clasificadas en otros capítulos</v>
          </cell>
        </row>
        <row r="870">
          <cell r="A870" t="str">
            <v>B97.5</v>
          </cell>
          <cell r="B870" t="str">
            <v>Reovirus como causa de enfermedades clasificadas en otros capítulos</v>
          </cell>
        </row>
        <row r="871">
          <cell r="A871" t="str">
            <v>B97.6</v>
          </cell>
          <cell r="B871" t="str">
            <v>Parvovirus como causa de enfermedades clasificadas en otros capítulos</v>
          </cell>
        </row>
        <row r="872">
          <cell r="A872" t="str">
            <v>B97.7</v>
          </cell>
          <cell r="B872" t="str">
            <v>Papilomavirus como causa de enfermedades clasificadas en otros capítulos</v>
          </cell>
        </row>
        <row r="873">
          <cell r="A873" t="str">
            <v>B97.8</v>
          </cell>
          <cell r="B873" t="str">
            <v>Otros agentes virales como causa de enfermedades clasificadas en otros capítulos</v>
          </cell>
        </row>
        <row r="874">
          <cell r="A874" t="str">
            <v>B99.X</v>
          </cell>
          <cell r="B874" t="str">
            <v>Otras enfermedades infecciosas y las no especificadas</v>
          </cell>
        </row>
        <row r="875">
          <cell r="A875" t="str">
            <v>C</v>
          </cell>
          <cell r="B875" t="str">
            <v>Tumores Malignos</v>
          </cell>
        </row>
        <row r="876">
          <cell r="A876" t="str">
            <v>C00</v>
          </cell>
          <cell r="B876" t="str">
            <v>Tumor maligno del labio</v>
          </cell>
        </row>
        <row r="877">
          <cell r="A877" t="str">
            <v>C00.0</v>
          </cell>
          <cell r="B877" t="str">
            <v>Tumor maligno del labio superior, cara externa</v>
          </cell>
        </row>
        <row r="878">
          <cell r="A878" t="str">
            <v>C00.1</v>
          </cell>
          <cell r="B878" t="str">
            <v>Tumor maligno del labio inferior, cara externa</v>
          </cell>
        </row>
        <row r="879">
          <cell r="A879" t="str">
            <v>C00.2</v>
          </cell>
          <cell r="B879" t="str">
            <v>Tumor maligno del labio, cara externa, sin otra especificación</v>
          </cell>
        </row>
        <row r="880">
          <cell r="A880" t="str">
            <v>C00.3</v>
          </cell>
          <cell r="B880" t="str">
            <v>Tumor maligno del labio superior, cara interna</v>
          </cell>
        </row>
        <row r="881">
          <cell r="A881" t="str">
            <v>C00.4</v>
          </cell>
          <cell r="B881" t="str">
            <v>Tumor maligno del labio inferior, cara interna</v>
          </cell>
        </row>
        <row r="882">
          <cell r="A882" t="str">
            <v>C00.5</v>
          </cell>
          <cell r="B882" t="str">
            <v>Tumor maligno del labio, cara interna, sin otra especificación</v>
          </cell>
        </row>
        <row r="883">
          <cell r="A883" t="str">
            <v>C00.6</v>
          </cell>
          <cell r="B883" t="str">
            <v>Tumor maligno de la comisura labial</v>
          </cell>
        </row>
        <row r="884">
          <cell r="A884" t="str">
            <v>C00.8</v>
          </cell>
          <cell r="B884" t="str">
            <v>Lesión de sitios contiguos del labio</v>
          </cell>
        </row>
        <row r="885">
          <cell r="A885" t="str">
            <v>C00.9</v>
          </cell>
          <cell r="B885" t="str">
            <v>Tumor maligno del labio, parte no especificada</v>
          </cell>
        </row>
        <row r="886">
          <cell r="A886" t="str">
            <v>C01.X</v>
          </cell>
          <cell r="B886" t="str">
            <v>Tumor maligno de la base de la lengua</v>
          </cell>
        </row>
        <row r="887">
          <cell r="A887" t="str">
            <v>C02</v>
          </cell>
          <cell r="B887" t="str">
            <v>Tumor maligno de otras partes y de las no especificadas de la lengua</v>
          </cell>
        </row>
        <row r="888">
          <cell r="A888" t="str">
            <v>C02.0</v>
          </cell>
          <cell r="B888" t="str">
            <v>Tumor maligno de la cara dorsal de la lengua</v>
          </cell>
        </row>
        <row r="889">
          <cell r="A889" t="str">
            <v>C02.1</v>
          </cell>
          <cell r="B889" t="str">
            <v>Tumor maligno del borde de la lengua</v>
          </cell>
        </row>
        <row r="890">
          <cell r="A890" t="str">
            <v>C02.2</v>
          </cell>
          <cell r="B890" t="str">
            <v>Tumor maligno de la cara ventral de la lengua</v>
          </cell>
        </row>
        <row r="891">
          <cell r="A891" t="str">
            <v>C02.3</v>
          </cell>
          <cell r="B891" t="str">
            <v>Tumor maligno de los dos tercios anteriores de la lengua, parte no especificada</v>
          </cell>
        </row>
        <row r="892">
          <cell r="A892" t="str">
            <v>C02.4</v>
          </cell>
          <cell r="B892" t="str">
            <v>Tumor maligno de la amígdala lingual</v>
          </cell>
        </row>
        <row r="893">
          <cell r="A893" t="str">
            <v>C02.8</v>
          </cell>
          <cell r="B893" t="str">
            <v>Lesión de sitios contiguos de la lengua</v>
          </cell>
        </row>
        <row r="894">
          <cell r="A894" t="str">
            <v>C02.9</v>
          </cell>
          <cell r="B894" t="str">
            <v>Tumor maligno de la lengua, parte no especificada</v>
          </cell>
        </row>
        <row r="895">
          <cell r="A895" t="str">
            <v>C03</v>
          </cell>
          <cell r="B895" t="str">
            <v>Tumor maligno de la encía</v>
          </cell>
        </row>
        <row r="896">
          <cell r="A896" t="str">
            <v>C03.0</v>
          </cell>
          <cell r="B896" t="str">
            <v>Tumor maligno de la encía superior</v>
          </cell>
        </row>
        <row r="897">
          <cell r="A897" t="str">
            <v>C03.1</v>
          </cell>
          <cell r="B897" t="str">
            <v>Tumor maligno de la encía inferior</v>
          </cell>
        </row>
        <row r="898">
          <cell r="A898" t="str">
            <v>C03.9</v>
          </cell>
          <cell r="B898" t="str">
            <v>Tumor maligno de la encía, parte no especificada</v>
          </cell>
        </row>
        <row r="899">
          <cell r="A899" t="str">
            <v>C04</v>
          </cell>
          <cell r="B899" t="str">
            <v>Tumor maligno del piso de la boca</v>
          </cell>
        </row>
        <row r="900">
          <cell r="A900" t="str">
            <v>C04.0</v>
          </cell>
          <cell r="B900" t="str">
            <v>Tumor maligno de la parte anterior del piso de la boca</v>
          </cell>
        </row>
        <row r="901">
          <cell r="A901" t="str">
            <v>C04.1</v>
          </cell>
          <cell r="B901" t="str">
            <v>Tumor maligno de la parte lateral del piso de la boca</v>
          </cell>
        </row>
        <row r="902">
          <cell r="A902" t="str">
            <v>C04.8</v>
          </cell>
          <cell r="B902" t="str">
            <v>Lesión de sitios contiguos del piso de la boca</v>
          </cell>
        </row>
        <row r="903">
          <cell r="A903" t="str">
            <v>C04.9</v>
          </cell>
          <cell r="B903" t="str">
            <v>Tumor maligno del piso de la boca, parte no especificada</v>
          </cell>
        </row>
        <row r="904">
          <cell r="A904" t="str">
            <v>C05</v>
          </cell>
          <cell r="B904" t="str">
            <v>Tumor maligno del paladar</v>
          </cell>
        </row>
        <row r="905">
          <cell r="A905" t="str">
            <v>C05.0</v>
          </cell>
          <cell r="B905" t="str">
            <v>Tumor maligno del paladar duro</v>
          </cell>
        </row>
        <row r="906">
          <cell r="A906" t="str">
            <v>C05.1</v>
          </cell>
          <cell r="B906" t="str">
            <v>Tumor maligno del paladar blando</v>
          </cell>
        </row>
        <row r="907">
          <cell r="A907" t="str">
            <v>C05.2</v>
          </cell>
          <cell r="B907" t="str">
            <v>Tumor maligno de la úvula</v>
          </cell>
        </row>
        <row r="908">
          <cell r="A908" t="str">
            <v>C05.8</v>
          </cell>
          <cell r="B908" t="str">
            <v>Lesión de sitios contiguos del paladar</v>
          </cell>
        </row>
        <row r="909">
          <cell r="A909" t="str">
            <v>C05.9</v>
          </cell>
          <cell r="B909" t="str">
            <v>Tumor maligno del paladar, parte no especificada</v>
          </cell>
        </row>
        <row r="910">
          <cell r="A910" t="str">
            <v>C06</v>
          </cell>
          <cell r="B910" t="str">
            <v>Tumor maligno de otras partes y de las no especificadas de la boca</v>
          </cell>
        </row>
        <row r="911">
          <cell r="A911" t="str">
            <v>C06.0</v>
          </cell>
          <cell r="B911" t="str">
            <v>Tumor maligno de la mucosa de la mejilla</v>
          </cell>
        </row>
        <row r="912">
          <cell r="A912" t="str">
            <v>C06.1</v>
          </cell>
          <cell r="B912" t="str">
            <v>Tumor maligno del vestíbulo de la boca</v>
          </cell>
        </row>
        <row r="913">
          <cell r="A913" t="str">
            <v>C06.2</v>
          </cell>
          <cell r="B913" t="str">
            <v>Tumor maligno del área retromolar</v>
          </cell>
        </row>
        <row r="914">
          <cell r="A914" t="str">
            <v>C06.8</v>
          </cell>
          <cell r="B914" t="str">
            <v>Lesión de sitios contiguos de otras partes y de las no especificadas de la boca</v>
          </cell>
        </row>
        <row r="915">
          <cell r="A915" t="str">
            <v>C06.9</v>
          </cell>
          <cell r="B915" t="str">
            <v>Tumor maligno de la boca, parte no especificada</v>
          </cell>
        </row>
        <row r="916">
          <cell r="A916" t="str">
            <v>C07.X</v>
          </cell>
          <cell r="B916" t="str">
            <v>Tumor maligno de la glándula parótida</v>
          </cell>
        </row>
        <row r="917">
          <cell r="A917" t="str">
            <v>C08</v>
          </cell>
          <cell r="B917" t="str">
            <v>Tumor maligno de otras glándulas salivales mayores y de las no especificadas</v>
          </cell>
        </row>
        <row r="918">
          <cell r="A918" t="str">
            <v>C08.0</v>
          </cell>
          <cell r="B918" t="str">
            <v>Tumor maligno de la glándula submaxilar</v>
          </cell>
        </row>
        <row r="919">
          <cell r="A919" t="str">
            <v>C08.1</v>
          </cell>
          <cell r="B919" t="str">
            <v>Tumor maligno de la glándula sublingual</v>
          </cell>
        </row>
        <row r="920">
          <cell r="A920" t="str">
            <v>C08.8</v>
          </cell>
          <cell r="B920" t="str">
            <v>Lesión de sitios contiguos de las glándulas salivales mayores</v>
          </cell>
        </row>
        <row r="921">
          <cell r="A921" t="str">
            <v>C08.9</v>
          </cell>
          <cell r="B921" t="str">
            <v>Tumor maligno de glándula salival mayor, no especificada</v>
          </cell>
        </row>
        <row r="922">
          <cell r="A922" t="str">
            <v>C09</v>
          </cell>
          <cell r="B922" t="str">
            <v>Tumor maligno de la amígdala</v>
          </cell>
        </row>
        <row r="923">
          <cell r="A923" t="str">
            <v>C09.0</v>
          </cell>
          <cell r="B923" t="str">
            <v>Tumor maligno de la fosa amigdalina</v>
          </cell>
        </row>
        <row r="924">
          <cell r="A924" t="str">
            <v>C09.1</v>
          </cell>
          <cell r="B924" t="str">
            <v>Tumor maligno del pilar amigdalino (anterior) (posterior)</v>
          </cell>
        </row>
        <row r="925">
          <cell r="A925" t="str">
            <v>C09.8</v>
          </cell>
          <cell r="B925" t="str">
            <v>Lesión de sitios contiguos de la amígdala</v>
          </cell>
        </row>
        <row r="926">
          <cell r="A926" t="str">
            <v>C09.9</v>
          </cell>
          <cell r="B926" t="str">
            <v>Tumor maligno de la amígdala, parte no especificada</v>
          </cell>
        </row>
        <row r="927">
          <cell r="A927" t="str">
            <v>C10.2</v>
          </cell>
          <cell r="B927" t="str">
            <v>Tumor maligno de la orofaringe</v>
          </cell>
        </row>
        <row r="928">
          <cell r="A928" t="str">
            <v>C10.0</v>
          </cell>
          <cell r="B928" t="str">
            <v>Tumor maligno de la valécula</v>
          </cell>
        </row>
        <row r="929">
          <cell r="A929" t="str">
            <v>C10.1</v>
          </cell>
          <cell r="B929" t="str">
            <v>Tumor maligno de la cara anterior de la epiglotis</v>
          </cell>
        </row>
        <row r="930">
          <cell r="A930" t="str">
            <v>C10.2</v>
          </cell>
          <cell r="B930" t="str">
            <v>Tumor maligno de la pared lateral de la orofaringe</v>
          </cell>
        </row>
        <row r="931">
          <cell r="A931" t="str">
            <v>C10.3</v>
          </cell>
          <cell r="B931" t="str">
            <v>Tumor maligno de la pared posterior de la orofaringe</v>
          </cell>
        </row>
        <row r="932">
          <cell r="A932" t="str">
            <v>C10.4</v>
          </cell>
          <cell r="B932" t="str">
            <v>Tumor maligno de la hendidura branquial</v>
          </cell>
        </row>
        <row r="933">
          <cell r="A933" t="str">
            <v>C10.8</v>
          </cell>
          <cell r="B933" t="str">
            <v>Lesión de sitios contiguos de la orofaringe</v>
          </cell>
        </row>
        <row r="934">
          <cell r="A934" t="str">
            <v>C10.9</v>
          </cell>
          <cell r="B934" t="str">
            <v>Tumor maligno de la orofaringe, parte no especificada</v>
          </cell>
        </row>
        <row r="935">
          <cell r="A935" t="str">
            <v>C11</v>
          </cell>
          <cell r="B935" t="str">
            <v>Tumor maligno de la nasofaringe</v>
          </cell>
        </row>
        <row r="936">
          <cell r="A936" t="str">
            <v>C11.0</v>
          </cell>
          <cell r="B936" t="str">
            <v>Tumor maligno de la pared superior de la nasofaringe</v>
          </cell>
        </row>
        <row r="937">
          <cell r="A937" t="str">
            <v>C11.1</v>
          </cell>
          <cell r="B937" t="str">
            <v>Tumor maligno de la pared posterior de la nasofaringe</v>
          </cell>
        </row>
        <row r="938">
          <cell r="A938" t="str">
            <v>C11.2</v>
          </cell>
          <cell r="B938" t="str">
            <v>Tumor maligno de la pared lateral de la nasofaringe</v>
          </cell>
        </row>
        <row r="939">
          <cell r="A939" t="str">
            <v>C11.3</v>
          </cell>
          <cell r="B939" t="str">
            <v>Tumor maligno de la pared anterior de la nasofaringe</v>
          </cell>
        </row>
        <row r="940">
          <cell r="A940" t="str">
            <v>C11.8</v>
          </cell>
          <cell r="B940" t="str">
            <v>Lesión de sitios contiguos de la nasofaringe</v>
          </cell>
        </row>
        <row r="941">
          <cell r="A941" t="str">
            <v>C11.9</v>
          </cell>
          <cell r="B941" t="str">
            <v>Tumor maligno de la nasofaringe, parte no especificada</v>
          </cell>
        </row>
        <row r="942">
          <cell r="A942" t="str">
            <v>C12.X</v>
          </cell>
          <cell r="B942" t="str">
            <v>Tumor maligno del seno piriforme</v>
          </cell>
        </row>
        <row r="943">
          <cell r="A943" t="str">
            <v>C13</v>
          </cell>
          <cell r="B943" t="str">
            <v>Tumor maligno de la hipofaringe</v>
          </cell>
        </row>
        <row r="944">
          <cell r="A944" t="str">
            <v>C13.0</v>
          </cell>
          <cell r="B944" t="str">
            <v>Tumor maligno de la región postcricoidea</v>
          </cell>
        </row>
        <row r="945">
          <cell r="A945" t="str">
            <v>C13.1</v>
          </cell>
          <cell r="B945" t="str">
            <v>Tumor maligno del pliegue aritenoepiglótico, cara hipofaríngea</v>
          </cell>
        </row>
        <row r="946">
          <cell r="A946" t="str">
            <v>C13.2</v>
          </cell>
          <cell r="B946" t="str">
            <v>Tumor maligno de la pared posterior de la hipofaringe</v>
          </cell>
        </row>
        <row r="947">
          <cell r="A947" t="str">
            <v>C13.8</v>
          </cell>
          <cell r="B947" t="str">
            <v>Lesión de sitios contiguos de la hipofaringe</v>
          </cell>
        </row>
        <row r="948">
          <cell r="A948" t="str">
            <v>C13.9</v>
          </cell>
          <cell r="B948" t="str">
            <v>Tumor maligno de la hipofaringe, parte no especificada</v>
          </cell>
        </row>
        <row r="949">
          <cell r="A949" t="str">
            <v>C14</v>
          </cell>
          <cell r="B949" t="str">
            <v>Tumor maligno de otros sitios y de los mal definidos del labio, de la cavidad bucal y de la faringe</v>
          </cell>
        </row>
        <row r="950">
          <cell r="A950" t="str">
            <v>C14.0</v>
          </cell>
          <cell r="B950" t="str">
            <v>Tumor maligno de la faringe, parte no especificada</v>
          </cell>
        </row>
        <row r="951">
          <cell r="A951" t="str">
            <v>C14.2</v>
          </cell>
          <cell r="B951" t="str">
            <v>Tumor maligno del anillo de Waldeyer</v>
          </cell>
        </row>
        <row r="952">
          <cell r="A952" t="str">
            <v>C14.8</v>
          </cell>
          <cell r="B952" t="str">
            <v>Lesión de sitios contiguos del labio, de la cavidad bucal y de la faringe</v>
          </cell>
        </row>
        <row r="953">
          <cell r="A953" t="str">
            <v>C15</v>
          </cell>
          <cell r="B953" t="str">
            <v>Tumor maligno del esófago</v>
          </cell>
        </row>
        <row r="954">
          <cell r="A954" t="str">
            <v>C15.0</v>
          </cell>
          <cell r="B954" t="str">
            <v>Tumor maligno del esófago, porción cervical</v>
          </cell>
        </row>
        <row r="955">
          <cell r="A955" t="str">
            <v>C15.1</v>
          </cell>
          <cell r="B955" t="str">
            <v>Tumor maligno del esófago, porción torácica</v>
          </cell>
        </row>
        <row r="956">
          <cell r="A956" t="str">
            <v>C15.2</v>
          </cell>
          <cell r="B956" t="str">
            <v>Tumor maligno del esófago, porción abdominal</v>
          </cell>
        </row>
        <row r="957">
          <cell r="A957" t="str">
            <v>C15.3</v>
          </cell>
          <cell r="B957" t="str">
            <v>Tumor maligno del tercio superior del esófago</v>
          </cell>
        </row>
        <row r="958">
          <cell r="A958" t="str">
            <v>C15.4</v>
          </cell>
          <cell r="B958" t="str">
            <v>Tumor maligno del tercio medio del esófago</v>
          </cell>
        </row>
        <row r="959">
          <cell r="A959" t="str">
            <v>C15.5</v>
          </cell>
          <cell r="B959" t="str">
            <v>Tumor maligno del tercio inferior del esófago</v>
          </cell>
        </row>
        <row r="960">
          <cell r="A960" t="str">
            <v>C15.8</v>
          </cell>
          <cell r="B960" t="str">
            <v>Lesión de sitios contiguos del esófago</v>
          </cell>
        </row>
        <row r="961">
          <cell r="A961" t="str">
            <v>C15.9</v>
          </cell>
          <cell r="B961" t="str">
            <v>Tumor maligno del esófago, parte no especificada</v>
          </cell>
        </row>
        <row r="962">
          <cell r="A962" t="str">
            <v>C16</v>
          </cell>
          <cell r="B962" t="str">
            <v>Tumor maligno del estómago</v>
          </cell>
        </row>
        <row r="963">
          <cell r="A963" t="str">
            <v>C16.0</v>
          </cell>
          <cell r="B963" t="str">
            <v>Tumor maligno del cardias</v>
          </cell>
        </row>
        <row r="964">
          <cell r="A964" t="str">
            <v>C16.1</v>
          </cell>
          <cell r="B964" t="str">
            <v>Tumor maligno del fundus gástrico</v>
          </cell>
        </row>
        <row r="965">
          <cell r="A965" t="str">
            <v>C16.2</v>
          </cell>
          <cell r="B965" t="str">
            <v>Tumor maligno del cuerpo del estómago</v>
          </cell>
        </row>
        <row r="966">
          <cell r="A966" t="str">
            <v>C16.3</v>
          </cell>
          <cell r="B966" t="str">
            <v>Tumor maligno del antro pilórico</v>
          </cell>
        </row>
        <row r="967">
          <cell r="A967" t="str">
            <v>C16.4</v>
          </cell>
          <cell r="B967" t="str">
            <v>Tumor maligno del píloro</v>
          </cell>
        </row>
        <row r="968">
          <cell r="A968" t="str">
            <v>C16.5</v>
          </cell>
          <cell r="B968" t="str">
            <v>Tumor maligno de la curvatura menor del estómago, sin otra especificación</v>
          </cell>
        </row>
        <row r="969">
          <cell r="A969" t="str">
            <v>C16.6</v>
          </cell>
          <cell r="B969" t="str">
            <v>Tumor maligno de la curvatura mayor del estómago, sin otra especificación</v>
          </cell>
        </row>
        <row r="970">
          <cell r="A970" t="str">
            <v>C16.8</v>
          </cell>
          <cell r="B970" t="str">
            <v>Lesión de sitios contiguos del estómago</v>
          </cell>
        </row>
        <row r="971">
          <cell r="A971" t="str">
            <v>C16.9</v>
          </cell>
          <cell r="B971" t="str">
            <v>Tumor maligno del estómago, parte no especificada</v>
          </cell>
        </row>
        <row r="972">
          <cell r="A972" t="str">
            <v>C17</v>
          </cell>
          <cell r="B972" t="str">
            <v>Tumor maligno del intestino delgado</v>
          </cell>
        </row>
        <row r="973">
          <cell r="A973" t="str">
            <v>C17.0</v>
          </cell>
          <cell r="B973" t="str">
            <v>Tumor maligno del duodeno</v>
          </cell>
        </row>
        <row r="974">
          <cell r="A974" t="str">
            <v>C17.1</v>
          </cell>
          <cell r="B974" t="str">
            <v>Tumor maligno del yeyuno</v>
          </cell>
        </row>
        <row r="975">
          <cell r="A975" t="str">
            <v>C17.2</v>
          </cell>
          <cell r="B975" t="str">
            <v>Tumor maligno del íleon</v>
          </cell>
        </row>
        <row r="976">
          <cell r="A976" t="str">
            <v>C17.3</v>
          </cell>
          <cell r="B976" t="str">
            <v>Tumor maligno del divertículo de Meckel</v>
          </cell>
        </row>
        <row r="977">
          <cell r="A977" t="str">
            <v>C17.8</v>
          </cell>
          <cell r="B977" t="str">
            <v>Lesión de sitios contiguos del intestino delgado</v>
          </cell>
        </row>
        <row r="978">
          <cell r="A978" t="str">
            <v>C17.9</v>
          </cell>
          <cell r="B978" t="str">
            <v>Tumor maligno del intestino delgado, parte no especificada</v>
          </cell>
        </row>
        <row r="979">
          <cell r="A979" t="str">
            <v>C18</v>
          </cell>
          <cell r="B979" t="str">
            <v>Tumor maligno del colon</v>
          </cell>
        </row>
        <row r="980">
          <cell r="A980" t="str">
            <v>C18.0</v>
          </cell>
          <cell r="B980" t="str">
            <v>Tumor maligno del ciego</v>
          </cell>
        </row>
        <row r="981">
          <cell r="A981" t="str">
            <v>C18.1</v>
          </cell>
          <cell r="B981" t="str">
            <v>Tumor maligno del apéndice</v>
          </cell>
        </row>
        <row r="982">
          <cell r="A982" t="str">
            <v>C18.2</v>
          </cell>
          <cell r="B982" t="str">
            <v>Tumor maligno del colon ascendente</v>
          </cell>
        </row>
        <row r="983">
          <cell r="A983" t="str">
            <v>C18.3</v>
          </cell>
          <cell r="B983" t="str">
            <v>Tumor maligno del ángulo hepático</v>
          </cell>
        </row>
        <row r="984">
          <cell r="A984" t="str">
            <v>C18.4</v>
          </cell>
          <cell r="B984" t="str">
            <v>Tumor maligno del colon transverso</v>
          </cell>
        </row>
        <row r="985">
          <cell r="A985" t="str">
            <v>C18.5</v>
          </cell>
          <cell r="B985" t="str">
            <v>Tumor maligno del ángulo esplénico</v>
          </cell>
        </row>
        <row r="986">
          <cell r="A986" t="str">
            <v>C18.6</v>
          </cell>
          <cell r="B986" t="str">
            <v>Tumor maligno del colon descendente</v>
          </cell>
        </row>
        <row r="987">
          <cell r="A987" t="str">
            <v>C18.7</v>
          </cell>
          <cell r="B987" t="str">
            <v>Tumor maligno del colon sigmoide</v>
          </cell>
        </row>
        <row r="988">
          <cell r="A988" t="str">
            <v>C18.8</v>
          </cell>
          <cell r="B988" t="str">
            <v>Lesión de sitios contiguos del colon</v>
          </cell>
        </row>
        <row r="989">
          <cell r="A989" t="str">
            <v>C18.9</v>
          </cell>
          <cell r="B989" t="str">
            <v>Tumor maligno del colon, parte no especificada</v>
          </cell>
        </row>
        <row r="990">
          <cell r="A990" t="str">
            <v>C19.X</v>
          </cell>
          <cell r="B990" t="str">
            <v>Tumor maligno de la unión rectosigmoidea</v>
          </cell>
        </row>
        <row r="991">
          <cell r="A991" t="str">
            <v>C20.X</v>
          </cell>
          <cell r="B991" t="str">
            <v>Tumor maligno del recto</v>
          </cell>
        </row>
        <row r="992">
          <cell r="A992" t="str">
            <v>C21</v>
          </cell>
          <cell r="B992" t="str">
            <v>Tumor maligno del ano y del conducto anal</v>
          </cell>
        </row>
        <row r="993">
          <cell r="A993" t="str">
            <v>C21.0</v>
          </cell>
          <cell r="B993" t="str">
            <v>Tumor maligno del ano, parte no especificada</v>
          </cell>
        </row>
        <row r="994">
          <cell r="A994" t="str">
            <v>C21.1</v>
          </cell>
          <cell r="B994" t="str">
            <v>Tumor maligno del conducto anal</v>
          </cell>
        </row>
        <row r="995">
          <cell r="A995" t="str">
            <v>C21.2</v>
          </cell>
          <cell r="B995" t="str">
            <v>Tumor maligno de la zona cloacogénica</v>
          </cell>
        </row>
        <row r="996">
          <cell r="A996" t="str">
            <v>C21.8</v>
          </cell>
          <cell r="B996" t="str">
            <v>Lesión de sitios contiguos del ano, del conducto anal y del recto</v>
          </cell>
        </row>
        <row r="997">
          <cell r="A997" t="str">
            <v>C22</v>
          </cell>
          <cell r="B997" t="str">
            <v>Tumor maligno del hígado y de las vías biliares intrahepáticas</v>
          </cell>
        </row>
        <row r="998">
          <cell r="A998" t="str">
            <v>C22.0</v>
          </cell>
          <cell r="B998" t="str">
            <v>Carcinoma de células hepáticas</v>
          </cell>
        </row>
        <row r="999">
          <cell r="A999" t="str">
            <v>C22.1</v>
          </cell>
          <cell r="B999" t="str">
            <v>Carcinoma de vías biliares intrahepáticas</v>
          </cell>
        </row>
        <row r="1000">
          <cell r="A1000" t="str">
            <v>C22.2</v>
          </cell>
          <cell r="B1000" t="str">
            <v>Hepatoblastoma</v>
          </cell>
        </row>
        <row r="1001">
          <cell r="A1001" t="str">
            <v>C22.3</v>
          </cell>
          <cell r="B1001" t="str">
            <v>Angiosarcoma del hígado</v>
          </cell>
        </row>
        <row r="1002">
          <cell r="A1002" t="str">
            <v>C22.4</v>
          </cell>
          <cell r="B1002" t="str">
            <v>Otros sarcomas del hígado</v>
          </cell>
        </row>
        <row r="1003">
          <cell r="A1003" t="str">
            <v>C22.7</v>
          </cell>
          <cell r="B1003" t="str">
            <v>Otros carcinomas especificados del hígado</v>
          </cell>
        </row>
        <row r="1004">
          <cell r="A1004" t="str">
            <v>C22.9</v>
          </cell>
          <cell r="B1004" t="str">
            <v>Tumor maligno del hígado, no especificado</v>
          </cell>
        </row>
        <row r="1005">
          <cell r="A1005" t="str">
            <v>C23.X</v>
          </cell>
          <cell r="B1005" t="str">
            <v>Tumor maligno de la vesícula biliar</v>
          </cell>
        </row>
        <row r="1006">
          <cell r="A1006" t="str">
            <v>C24</v>
          </cell>
          <cell r="B1006" t="str">
            <v>Tumor maligno de otras partes y de las no especificadas de las vías biliares</v>
          </cell>
        </row>
        <row r="1007">
          <cell r="A1007" t="str">
            <v>C24.0</v>
          </cell>
          <cell r="B1007" t="str">
            <v>Tumor maligno de las vías biliares extrahepáticas</v>
          </cell>
        </row>
        <row r="1008">
          <cell r="A1008" t="str">
            <v>C24.1</v>
          </cell>
          <cell r="B1008" t="str">
            <v>Tumor maligno de la ampolla de Vater</v>
          </cell>
        </row>
        <row r="1009">
          <cell r="A1009" t="str">
            <v>C24.8</v>
          </cell>
          <cell r="B1009" t="str">
            <v>Lesión de sitios contiguos de las vías biliares</v>
          </cell>
        </row>
        <row r="1010">
          <cell r="A1010" t="str">
            <v>C24.9</v>
          </cell>
          <cell r="B1010" t="str">
            <v>Tumor maligno de las vías biliares, parte no especificada</v>
          </cell>
        </row>
        <row r="1011">
          <cell r="A1011" t="str">
            <v>C25</v>
          </cell>
          <cell r="B1011" t="str">
            <v>Tumor maligno del páncreas</v>
          </cell>
        </row>
        <row r="1012">
          <cell r="A1012" t="str">
            <v>C25.0</v>
          </cell>
          <cell r="B1012" t="str">
            <v>Tumor maligno de la cabeza del páncreas</v>
          </cell>
        </row>
        <row r="1013">
          <cell r="A1013" t="str">
            <v>C25.1</v>
          </cell>
          <cell r="B1013" t="str">
            <v>Tumor maligno del cuerpo del páncreas</v>
          </cell>
        </row>
        <row r="1014">
          <cell r="A1014" t="str">
            <v>C25.2</v>
          </cell>
          <cell r="B1014" t="str">
            <v>Tumor maligno de la cola del páncreas</v>
          </cell>
        </row>
        <row r="1015">
          <cell r="A1015" t="str">
            <v>C25.3</v>
          </cell>
          <cell r="B1015" t="str">
            <v>Tumor maligno del conducto pancreático</v>
          </cell>
        </row>
        <row r="1016">
          <cell r="A1016" t="str">
            <v>C25.4</v>
          </cell>
          <cell r="B1016" t="str">
            <v>Tumor maligno del páncreas endocrino</v>
          </cell>
        </row>
        <row r="1017">
          <cell r="A1017" t="str">
            <v>C25.7</v>
          </cell>
          <cell r="B1017" t="str">
            <v>Tumor maligno de otras partes especificadas del páncreas</v>
          </cell>
        </row>
        <row r="1018">
          <cell r="A1018" t="str">
            <v>C25.8</v>
          </cell>
          <cell r="B1018" t="str">
            <v>Lesión de sitios contiguos del páncreas</v>
          </cell>
        </row>
        <row r="1019">
          <cell r="A1019" t="str">
            <v>C25.9</v>
          </cell>
          <cell r="B1019" t="str">
            <v>Tumor maligno del páncreas, parte no especificada</v>
          </cell>
        </row>
        <row r="1020">
          <cell r="A1020" t="str">
            <v>C26</v>
          </cell>
          <cell r="B1020" t="str">
            <v>Tumor maligno de otros sitios y de los mal definidos de los órganos digestivos</v>
          </cell>
        </row>
        <row r="1021">
          <cell r="A1021" t="str">
            <v>C26.0</v>
          </cell>
          <cell r="B1021" t="str">
            <v>Tumor maligno del intestino, parte no especificada</v>
          </cell>
        </row>
        <row r="1022">
          <cell r="A1022" t="str">
            <v>C26.1</v>
          </cell>
          <cell r="B1022" t="str">
            <v>Tumor maligno del bazo</v>
          </cell>
        </row>
        <row r="1023">
          <cell r="A1023" t="str">
            <v>C26.8</v>
          </cell>
          <cell r="B1023" t="str">
            <v>Lesión de sitios contiguos de los órganos digestivos</v>
          </cell>
        </row>
        <row r="1024">
          <cell r="A1024" t="str">
            <v>C26.9</v>
          </cell>
          <cell r="B1024" t="str">
            <v>Tumor maligno de sitios mal definidos de los órganos digestivos</v>
          </cell>
        </row>
        <row r="1025">
          <cell r="A1025" t="str">
            <v>C30</v>
          </cell>
          <cell r="B1025" t="str">
            <v>Tumor maligno de las fosas nasales y del oído medio</v>
          </cell>
        </row>
        <row r="1026">
          <cell r="A1026" t="str">
            <v>C30.0</v>
          </cell>
          <cell r="B1026" t="str">
            <v>Tumor maligno de la fosa nasal</v>
          </cell>
        </row>
        <row r="1027">
          <cell r="A1027" t="str">
            <v>C30.1</v>
          </cell>
          <cell r="B1027" t="str">
            <v>Tumor maligno del oído medio</v>
          </cell>
        </row>
        <row r="1028">
          <cell r="A1028" t="str">
            <v>C31</v>
          </cell>
          <cell r="B1028" t="str">
            <v>Tumor maligno de los senos paranasales</v>
          </cell>
        </row>
        <row r="1029">
          <cell r="A1029" t="str">
            <v>C31.0</v>
          </cell>
          <cell r="B1029" t="str">
            <v>Tumor maligno del seno maxilar</v>
          </cell>
        </row>
        <row r="1030">
          <cell r="A1030" t="str">
            <v>C31.1</v>
          </cell>
          <cell r="B1030" t="str">
            <v>Tumor maligno del seno etmoidal</v>
          </cell>
        </row>
        <row r="1031">
          <cell r="A1031" t="str">
            <v>C31.2</v>
          </cell>
          <cell r="B1031" t="str">
            <v>Tumor maligno del seno frontal</v>
          </cell>
        </row>
        <row r="1032">
          <cell r="A1032" t="str">
            <v>C31.3</v>
          </cell>
          <cell r="B1032" t="str">
            <v>Tumor maligno del seno esfenoidal</v>
          </cell>
        </row>
        <row r="1033">
          <cell r="A1033" t="str">
            <v>C31.8</v>
          </cell>
          <cell r="B1033" t="str">
            <v>Lesión de sitios contiguos de los senos paranasales</v>
          </cell>
        </row>
        <row r="1034">
          <cell r="A1034" t="str">
            <v>C31.9</v>
          </cell>
          <cell r="B1034" t="str">
            <v>Tumor maligno de seno paranasal no especificado</v>
          </cell>
        </row>
        <row r="1035">
          <cell r="A1035" t="str">
            <v>C32</v>
          </cell>
          <cell r="B1035" t="str">
            <v>Tumor maligno de la laringe</v>
          </cell>
        </row>
        <row r="1036">
          <cell r="A1036" t="str">
            <v>C32.0</v>
          </cell>
          <cell r="B1036" t="str">
            <v>Tumor maligno de la glotis</v>
          </cell>
        </row>
        <row r="1037">
          <cell r="A1037" t="str">
            <v>C32.1</v>
          </cell>
          <cell r="B1037" t="str">
            <v>Tumor maligno de la región supraglótica</v>
          </cell>
        </row>
        <row r="1038">
          <cell r="A1038" t="str">
            <v>C32.2</v>
          </cell>
          <cell r="B1038" t="str">
            <v>Tumor maligno de la región subglótica</v>
          </cell>
        </row>
        <row r="1039">
          <cell r="A1039" t="str">
            <v>C32.3</v>
          </cell>
          <cell r="B1039" t="str">
            <v>Tumor maligno del cartílago laríngeo</v>
          </cell>
        </row>
        <row r="1040">
          <cell r="A1040" t="str">
            <v>C32.8</v>
          </cell>
          <cell r="B1040" t="str">
            <v>Lesión de sitios contiguos de la laringe</v>
          </cell>
        </row>
        <row r="1041">
          <cell r="A1041" t="str">
            <v>C32.9</v>
          </cell>
          <cell r="B1041" t="str">
            <v>Tumor maligno de la laringe, parte no especificada</v>
          </cell>
        </row>
        <row r="1042">
          <cell r="A1042" t="str">
            <v>C33.X</v>
          </cell>
          <cell r="B1042" t="str">
            <v>Tumor maligno de la tráquea</v>
          </cell>
        </row>
        <row r="1043">
          <cell r="A1043" t="str">
            <v>C34</v>
          </cell>
          <cell r="B1043" t="str">
            <v>Tumor maligno de los bronquios y del pulmón</v>
          </cell>
        </row>
        <row r="1044">
          <cell r="A1044" t="str">
            <v>C34.0</v>
          </cell>
          <cell r="B1044" t="str">
            <v>Tumor maligno del bronquio principal</v>
          </cell>
        </row>
        <row r="1045">
          <cell r="A1045" t="str">
            <v>C34.1</v>
          </cell>
          <cell r="B1045" t="str">
            <v>Tumor maligno del lóbulo superior, bronquio o pulmón</v>
          </cell>
        </row>
        <row r="1046">
          <cell r="A1046" t="str">
            <v>C34.2</v>
          </cell>
          <cell r="B1046" t="str">
            <v>Tumor maligno del lóbulo medio, bronquio o pulmón</v>
          </cell>
        </row>
        <row r="1047">
          <cell r="A1047" t="str">
            <v>C34.3</v>
          </cell>
          <cell r="B1047" t="str">
            <v>Tumor maligno del lóbulo inferior, bronquio o pulmón</v>
          </cell>
        </row>
        <row r="1048">
          <cell r="A1048" t="str">
            <v>C34.8</v>
          </cell>
          <cell r="B1048" t="str">
            <v>Lesión de sitios contiguos de los bronquios y del pulmón</v>
          </cell>
        </row>
        <row r="1049">
          <cell r="A1049" t="str">
            <v>C34.9</v>
          </cell>
          <cell r="B1049" t="str">
            <v>Tumor maligno de los bronquios o del pulmón, parte no especificada</v>
          </cell>
        </row>
        <row r="1050">
          <cell r="A1050" t="str">
            <v>C37.X</v>
          </cell>
          <cell r="B1050" t="str">
            <v>Tumor maligno del timo</v>
          </cell>
        </row>
        <row r="1051">
          <cell r="A1051" t="str">
            <v>C38</v>
          </cell>
          <cell r="B1051" t="str">
            <v>Tumor maligno del corazón, del mediastino y de la pleura</v>
          </cell>
        </row>
        <row r="1052">
          <cell r="A1052" t="str">
            <v>C38.0</v>
          </cell>
          <cell r="B1052" t="str">
            <v>Tumor maligno del corazón</v>
          </cell>
        </row>
        <row r="1053">
          <cell r="A1053" t="str">
            <v>C38.1</v>
          </cell>
          <cell r="B1053" t="str">
            <v>Tumor maligno del mediastino anterior</v>
          </cell>
        </row>
        <row r="1054">
          <cell r="A1054" t="str">
            <v>C38.2</v>
          </cell>
          <cell r="B1054" t="str">
            <v>Tumor maligno del mediastino posterior</v>
          </cell>
        </row>
        <row r="1055">
          <cell r="A1055" t="str">
            <v>C38.3</v>
          </cell>
          <cell r="B1055" t="str">
            <v>Tumor maligno del mediastino, parte no especificada</v>
          </cell>
        </row>
        <row r="1056">
          <cell r="A1056" t="str">
            <v>C38.4</v>
          </cell>
          <cell r="B1056" t="str">
            <v>Tumor maligno de la pleura</v>
          </cell>
        </row>
        <row r="1057">
          <cell r="A1057" t="str">
            <v>C38.8</v>
          </cell>
          <cell r="B1057" t="str">
            <v>Lesión de sitios contiguos del corazón, del mediastino y de la pleura</v>
          </cell>
        </row>
        <row r="1058">
          <cell r="A1058" t="str">
            <v>C39</v>
          </cell>
          <cell r="B1058" t="str">
            <v>Tumor maligno de otros sitios y de los mal definidos del sistema respiratorio y de los órganos intratorácicos</v>
          </cell>
        </row>
        <row r="1059">
          <cell r="A1059" t="str">
            <v>C39.0</v>
          </cell>
          <cell r="B1059" t="str">
            <v>Tumor maligno de las vías respiratorias superiores, parte no especificada</v>
          </cell>
        </row>
        <row r="1060">
          <cell r="A1060" t="str">
            <v>C39.8</v>
          </cell>
          <cell r="B1060" t="str">
            <v>Lesión de sitios contiguos de los órganos respiratorios e intratorácicos</v>
          </cell>
        </row>
        <row r="1061">
          <cell r="A1061" t="str">
            <v>C39.9</v>
          </cell>
          <cell r="B1061" t="str">
            <v>Tumor maligno de sitios mal definidos del sistema respiratorio</v>
          </cell>
        </row>
        <row r="1062">
          <cell r="A1062" t="str">
            <v>C40</v>
          </cell>
          <cell r="B1062" t="str">
            <v>Tumor maligno de los huesos y de los cartílagos articulares de los miembros</v>
          </cell>
        </row>
        <row r="1063">
          <cell r="A1063" t="str">
            <v>C40.0</v>
          </cell>
          <cell r="B1063" t="str">
            <v>Tumor maligno del omóplato y de los huesos largos del miembro superior</v>
          </cell>
        </row>
        <row r="1064">
          <cell r="A1064" t="str">
            <v>C40.1</v>
          </cell>
          <cell r="B1064" t="str">
            <v>Tumor maligno de los huesos cortos del miembro superior</v>
          </cell>
        </row>
        <row r="1065">
          <cell r="A1065" t="str">
            <v>C40.2</v>
          </cell>
          <cell r="B1065" t="str">
            <v>Tumor maligno de los huesos largos del miembro inferior</v>
          </cell>
        </row>
        <row r="1066">
          <cell r="A1066" t="str">
            <v>C40.3</v>
          </cell>
          <cell r="B1066" t="str">
            <v>Tumor maligno de los huesos cortos del miembro inferior</v>
          </cell>
        </row>
        <row r="1067">
          <cell r="A1067" t="str">
            <v>C40.8</v>
          </cell>
          <cell r="B1067" t="str">
            <v>Lesión de sitios contiguos de los huesos y de los cartílagos articulares de los miembros</v>
          </cell>
        </row>
        <row r="1068">
          <cell r="A1068" t="str">
            <v>C40.9</v>
          </cell>
          <cell r="B1068" t="str">
            <v>Tumor maligno de los huesos y de los cartílagos articulares de los miembros, sin otra especificación</v>
          </cell>
        </row>
        <row r="1069">
          <cell r="A1069" t="str">
            <v>C41</v>
          </cell>
          <cell r="B1069" t="str">
            <v>Tumor maligno de los huesos y de los cartílagos articulares, de otros sitios y de sitios no especificados</v>
          </cell>
        </row>
        <row r="1070">
          <cell r="A1070" t="str">
            <v>C41.0</v>
          </cell>
          <cell r="B1070" t="str">
            <v>Tumor maligno de los huesos del cráneo y de la cara</v>
          </cell>
        </row>
        <row r="1071">
          <cell r="A1071" t="str">
            <v>C41.1</v>
          </cell>
          <cell r="B1071" t="str">
            <v>Tumor maligno del hueso del maxilar inferior</v>
          </cell>
        </row>
        <row r="1072">
          <cell r="A1072" t="str">
            <v>C41.2</v>
          </cell>
          <cell r="B1072" t="str">
            <v>Tumor maligno de la columna vertebral</v>
          </cell>
        </row>
        <row r="1073">
          <cell r="A1073" t="str">
            <v>C41.3</v>
          </cell>
          <cell r="B1073" t="str">
            <v>Tumor maligno de la costilla, esternón y clavícula</v>
          </cell>
        </row>
        <row r="1074">
          <cell r="A1074" t="str">
            <v>C41.4</v>
          </cell>
          <cell r="B1074" t="str">
            <v>Tumor maligno de los huesos de la pelvis, sacro y cóccix</v>
          </cell>
        </row>
        <row r="1075">
          <cell r="A1075" t="str">
            <v>C41.8</v>
          </cell>
          <cell r="B1075" t="str">
            <v>Lesión de sitios contiguos del hueso y del cartílago articular</v>
          </cell>
        </row>
        <row r="1076">
          <cell r="A1076" t="str">
            <v>C41.9</v>
          </cell>
          <cell r="B1076" t="str">
            <v>Tumor maligno del hueso y del cartílago articular, no especificado</v>
          </cell>
        </row>
        <row r="1077">
          <cell r="A1077" t="str">
            <v>C43</v>
          </cell>
          <cell r="B1077" t="str">
            <v>Melanoma maligno de la piel</v>
          </cell>
        </row>
        <row r="1078">
          <cell r="A1078" t="str">
            <v>C43.0</v>
          </cell>
          <cell r="B1078" t="str">
            <v>Melanoma maligno del labio</v>
          </cell>
        </row>
        <row r="1079">
          <cell r="A1079" t="str">
            <v>C43.1</v>
          </cell>
          <cell r="B1079" t="str">
            <v>Melanoma maligno del párpado, incluida la comisura palpebral</v>
          </cell>
        </row>
        <row r="1080">
          <cell r="A1080" t="str">
            <v>C43.2</v>
          </cell>
          <cell r="B1080" t="str">
            <v>Melanoma maligno de la oreja y del conducto auditivo externo</v>
          </cell>
        </row>
        <row r="1081">
          <cell r="A1081" t="str">
            <v>C43.3</v>
          </cell>
          <cell r="B1081" t="str">
            <v>Melanoma maligno de las otras partes y las no especificadas de la cara</v>
          </cell>
        </row>
        <row r="1082">
          <cell r="A1082" t="str">
            <v>C43.4</v>
          </cell>
          <cell r="B1082" t="str">
            <v>Melanoma maligno del cuero cabelludo y del cuello</v>
          </cell>
        </row>
        <row r="1083">
          <cell r="A1083" t="str">
            <v>C43.5</v>
          </cell>
          <cell r="B1083" t="str">
            <v>Melanoma maligno del tronco</v>
          </cell>
        </row>
        <row r="1084">
          <cell r="A1084" t="str">
            <v>C43.6</v>
          </cell>
          <cell r="B1084" t="str">
            <v>Melanoma maligno del miembro superior, incluido el hombro</v>
          </cell>
        </row>
        <row r="1085">
          <cell r="A1085" t="str">
            <v>C43.7</v>
          </cell>
          <cell r="B1085" t="str">
            <v>Melanoma maligno del miembro inferior, incluida la cadera</v>
          </cell>
        </row>
        <row r="1086">
          <cell r="A1086" t="str">
            <v>C43.8</v>
          </cell>
          <cell r="B1086" t="str">
            <v>Melanoma maligno de sitios contiguos de la piel</v>
          </cell>
        </row>
        <row r="1087">
          <cell r="A1087" t="str">
            <v>C43.9</v>
          </cell>
          <cell r="B1087" t="str">
            <v>Melanoma maligno de piel, sitio no especificado</v>
          </cell>
        </row>
        <row r="1088">
          <cell r="A1088" t="str">
            <v>C44</v>
          </cell>
          <cell r="B1088" t="str">
            <v>Otros tumores malignos de la piel</v>
          </cell>
        </row>
        <row r="1089">
          <cell r="A1089" t="str">
            <v>C44.0</v>
          </cell>
          <cell r="B1089" t="str">
            <v>Tumor maligno de la piel del labio</v>
          </cell>
        </row>
        <row r="1090">
          <cell r="A1090" t="str">
            <v>C44.1</v>
          </cell>
          <cell r="B1090" t="str">
            <v>Tumor maligno de la piel del párpado, incluida la comisura palpebral</v>
          </cell>
        </row>
        <row r="1091">
          <cell r="A1091" t="str">
            <v>C44.2</v>
          </cell>
          <cell r="B1091" t="str">
            <v>Tumor maligno de la piel de la oreja y del conducto auditivo externo</v>
          </cell>
        </row>
        <row r="1092">
          <cell r="A1092" t="str">
            <v>C44.3</v>
          </cell>
          <cell r="B1092" t="str">
            <v>Tumor maligno de la piel de otras partes y de las no especificadas de la                cara</v>
          </cell>
        </row>
        <row r="1093">
          <cell r="A1093" t="str">
            <v>C44.4</v>
          </cell>
          <cell r="B1093" t="str">
            <v>Tumor maligno de la piel del cuero cabelludo y del cuello</v>
          </cell>
        </row>
        <row r="1094">
          <cell r="A1094" t="str">
            <v>C44.5</v>
          </cell>
          <cell r="B1094" t="str">
            <v>Tumor maligno de la piel del tronco</v>
          </cell>
        </row>
        <row r="1095">
          <cell r="A1095" t="str">
            <v>C44.6</v>
          </cell>
          <cell r="B1095" t="str">
            <v>Tumor maligno de la piel del miembro superior, incluido el hombro</v>
          </cell>
        </row>
        <row r="1096">
          <cell r="A1096" t="str">
            <v>C44.7</v>
          </cell>
          <cell r="B1096" t="str">
            <v>Tumor maligno de la piel del miembro inferior, incluida la cadera</v>
          </cell>
        </row>
        <row r="1097">
          <cell r="A1097" t="str">
            <v>C44.8</v>
          </cell>
          <cell r="B1097" t="str">
            <v>Lesión de sitios contiguos de la piel</v>
          </cell>
        </row>
        <row r="1098">
          <cell r="A1098" t="str">
            <v>C44.9</v>
          </cell>
          <cell r="B1098" t="str">
            <v>Tumor maligno de la piel, sitio no especificado</v>
          </cell>
        </row>
        <row r="1099">
          <cell r="A1099" t="str">
            <v>C45</v>
          </cell>
          <cell r="B1099" t="str">
            <v>Mesotelioma</v>
          </cell>
        </row>
        <row r="1100">
          <cell r="A1100" t="str">
            <v>C45.0</v>
          </cell>
          <cell r="B1100" t="str">
            <v>Mesotelioma de la pleura</v>
          </cell>
        </row>
        <row r="1101">
          <cell r="A1101" t="str">
            <v>C45.1</v>
          </cell>
          <cell r="B1101" t="str">
            <v>Mesotelioma del peritoneo</v>
          </cell>
        </row>
        <row r="1102">
          <cell r="A1102" t="str">
            <v>C45.2</v>
          </cell>
          <cell r="B1102" t="str">
            <v>Mesotelioma del pericardio</v>
          </cell>
        </row>
        <row r="1103">
          <cell r="A1103" t="str">
            <v>C45.7</v>
          </cell>
          <cell r="B1103" t="str">
            <v>Mesotelioma de otros sitios especificados</v>
          </cell>
        </row>
        <row r="1104">
          <cell r="A1104" t="str">
            <v>C45.9</v>
          </cell>
          <cell r="B1104" t="str">
            <v>Mesotelioma, de sitio no especificado</v>
          </cell>
        </row>
        <row r="1105">
          <cell r="A1105" t="str">
            <v>C46</v>
          </cell>
          <cell r="B1105" t="str">
            <v>Sarcoma de Kaposi</v>
          </cell>
        </row>
        <row r="1106">
          <cell r="A1106" t="str">
            <v>C46.0</v>
          </cell>
          <cell r="B1106" t="str">
            <v>Sarcoma de Kaposi de la piel</v>
          </cell>
        </row>
        <row r="1107">
          <cell r="A1107" t="str">
            <v>C46.1</v>
          </cell>
          <cell r="B1107" t="str">
            <v>Sarcoma de Kaposi del tejido blando</v>
          </cell>
        </row>
        <row r="1108">
          <cell r="A1108" t="str">
            <v>C46.2</v>
          </cell>
          <cell r="B1108" t="str">
            <v>Sarcoma de Kaposi del paladar</v>
          </cell>
        </row>
        <row r="1109">
          <cell r="A1109" t="str">
            <v>C46.3</v>
          </cell>
          <cell r="B1109" t="str">
            <v>Sarcoma de Kaposi de los ganglios linfáticos</v>
          </cell>
        </row>
        <row r="1110">
          <cell r="A1110" t="str">
            <v>C46.7</v>
          </cell>
          <cell r="B1110" t="str">
            <v>Sarcoma de Kaposi de otros sitios especificados</v>
          </cell>
        </row>
        <row r="1111">
          <cell r="A1111" t="str">
            <v>C46.8</v>
          </cell>
          <cell r="B1111" t="str">
            <v>Sarcoma de Kaposi de múltiples órganos</v>
          </cell>
        </row>
        <row r="1112">
          <cell r="A1112" t="str">
            <v>C46.9</v>
          </cell>
          <cell r="B1112" t="str">
            <v>Sarcoma de Kaposi, de sitio no especificado</v>
          </cell>
        </row>
        <row r="1113">
          <cell r="A1113" t="str">
            <v>C47</v>
          </cell>
          <cell r="B1113" t="str">
            <v>Tumor maligno de los nervios periféricos y del sistema nervioso autónomo</v>
          </cell>
        </row>
        <row r="1114">
          <cell r="A1114" t="str">
            <v>C47.0</v>
          </cell>
          <cell r="B1114" t="str">
            <v>Tumor maligno de los nervios periféricos de la cabeza, cara y cuello</v>
          </cell>
        </row>
        <row r="1115">
          <cell r="A1115" t="str">
            <v>C47.1</v>
          </cell>
          <cell r="B1115" t="str">
            <v>Tumor maligno de los nervios periféricos del miembro superior, incluido el hombro</v>
          </cell>
        </row>
        <row r="1116">
          <cell r="A1116" t="str">
            <v>C47.2</v>
          </cell>
          <cell r="B1116" t="str">
            <v>Tumor maligno de los nervios periféricos del miembro inferior, incluida la cadera</v>
          </cell>
        </row>
        <row r="1117">
          <cell r="A1117" t="str">
            <v>C47.3</v>
          </cell>
          <cell r="B1117" t="str">
            <v>Tumor maligno de los nervios periféricos del tórax</v>
          </cell>
        </row>
        <row r="1118">
          <cell r="A1118" t="str">
            <v>C47.4</v>
          </cell>
          <cell r="B1118" t="str">
            <v>Tumor maligno de los nervios periféricos del abdomen</v>
          </cell>
        </row>
        <row r="1119">
          <cell r="A1119" t="str">
            <v>C47.5</v>
          </cell>
          <cell r="B1119" t="str">
            <v>Tumor maligno de los nervios periféricos de la pelvis</v>
          </cell>
        </row>
        <row r="1120">
          <cell r="A1120" t="str">
            <v>C47.6</v>
          </cell>
          <cell r="B1120" t="str">
            <v>Tumor maligno de los nervios periféricos del tronco, sin otra especificación</v>
          </cell>
        </row>
        <row r="1121">
          <cell r="A1121" t="str">
            <v>C47.8</v>
          </cell>
          <cell r="B1121" t="str">
            <v>Lesión de sitios contiguos de los nervios periféricos y del sistema nervioso autónomo</v>
          </cell>
        </row>
        <row r="1122">
          <cell r="A1122" t="str">
            <v>C47.9</v>
          </cell>
          <cell r="B1122" t="str">
            <v>Tumor maligno de los nervios periféricos y del sistema nervioso autónomo, parte no especificada</v>
          </cell>
        </row>
        <row r="1123">
          <cell r="A1123" t="str">
            <v>C48</v>
          </cell>
          <cell r="B1123" t="str">
            <v>Tumor maligno del peritoneo y del retroperitoneo</v>
          </cell>
        </row>
        <row r="1124">
          <cell r="A1124" t="str">
            <v>C48.0</v>
          </cell>
          <cell r="B1124" t="str">
            <v>Tumor maligno del retroperitoneo</v>
          </cell>
        </row>
        <row r="1125">
          <cell r="A1125" t="str">
            <v>C48.1</v>
          </cell>
          <cell r="B1125" t="str">
            <v>Tumor maligno de parte especificada del peritoneo</v>
          </cell>
        </row>
        <row r="1126">
          <cell r="A1126" t="str">
            <v>C48.2</v>
          </cell>
          <cell r="B1126" t="str">
            <v>Tumor maligno del peritoneo, sin otra especificación</v>
          </cell>
        </row>
        <row r="1127">
          <cell r="A1127" t="str">
            <v>C48.8</v>
          </cell>
          <cell r="B1127" t="str">
            <v>Lesión de sitios contiguos del peritoneo y del retroperitoneo</v>
          </cell>
        </row>
        <row r="1128">
          <cell r="A1128" t="str">
            <v>C49</v>
          </cell>
          <cell r="B1128" t="str">
            <v>Tumor maligno de otros tejidos conjuntivos y de tejidos blandos</v>
          </cell>
        </row>
        <row r="1129">
          <cell r="A1129" t="str">
            <v>C49.0</v>
          </cell>
          <cell r="B1129" t="str">
            <v>Tumor maligno del tejido conjuntivo y tejido blando de la cabeza, cara y cuello</v>
          </cell>
        </row>
        <row r="1130">
          <cell r="A1130" t="str">
            <v>C49.1</v>
          </cell>
          <cell r="B1130" t="str">
            <v>Tumor maligno del tejido conjuntivo y tejido blando del miembro superior, incluido el hombro</v>
          </cell>
        </row>
        <row r="1131">
          <cell r="A1131" t="str">
            <v>C49.2</v>
          </cell>
          <cell r="B1131" t="str">
            <v>Tumor maligno del tejido conjuntivo y tejido blando del miembro inferior, incluida la cadera</v>
          </cell>
        </row>
        <row r="1132">
          <cell r="A1132" t="str">
            <v>C49.3</v>
          </cell>
          <cell r="B1132" t="str">
            <v>Tumor maligno del tejido conjuntivo y tejido blando del tórax</v>
          </cell>
        </row>
        <row r="1133">
          <cell r="A1133" t="str">
            <v>C49.4</v>
          </cell>
          <cell r="B1133" t="str">
            <v>Tumor maligno del tejido conjuntivo y tejido blando del abdomen</v>
          </cell>
        </row>
        <row r="1134">
          <cell r="A1134" t="str">
            <v>C49.5</v>
          </cell>
          <cell r="B1134" t="str">
            <v>Tumor maligno del tejido conjuntivo y tejido blando de la pelvis</v>
          </cell>
        </row>
        <row r="1135">
          <cell r="A1135" t="str">
            <v>C49.6</v>
          </cell>
          <cell r="B1135" t="str">
            <v>Tumor maligno del tejido conjuntivo y tejido blando del tronco, sin otra especificación</v>
          </cell>
        </row>
        <row r="1136">
          <cell r="A1136" t="str">
            <v>C49.8</v>
          </cell>
          <cell r="B1136" t="str">
            <v>Lesión de sitios contiguos del tejido conjuntivo y del tejido blando</v>
          </cell>
        </row>
        <row r="1137">
          <cell r="A1137" t="str">
            <v>C49.9</v>
          </cell>
          <cell r="B1137" t="str">
            <v>Tumor maligno del tejido conjuntivo y tejido blando, de sitio no especificado</v>
          </cell>
        </row>
        <row r="1138">
          <cell r="A1138" t="str">
            <v>C50</v>
          </cell>
          <cell r="B1138" t="str">
            <v>Tumor maligno de la mama</v>
          </cell>
        </row>
        <row r="1139">
          <cell r="A1139" t="str">
            <v>C50.0</v>
          </cell>
          <cell r="B1139" t="str">
            <v>Tumor maligno del pezón y aréola mamaria</v>
          </cell>
        </row>
        <row r="1140">
          <cell r="A1140" t="str">
            <v>C50.1</v>
          </cell>
          <cell r="B1140" t="str">
            <v>Tumor maligno de la porción central de la mama</v>
          </cell>
        </row>
        <row r="1141">
          <cell r="A1141" t="str">
            <v>C50.2</v>
          </cell>
          <cell r="B1141" t="str">
            <v>Tumor maligno del cuadrante superior interno de la mama</v>
          </cell>
        </row>
        <row r="1142">
          <cell r="A1142" t="str">
            <v>C50.3</v>
          </cell>
          <cell r="B1142" t="str">
            <v>Tumor maligno del cuadrante inferior interno de la mama</v>
          </cell>
        </row>
        <row r="1143">
          <cell r="A1143" t="str">
            <v>C50.4</v>
          </cell>
          <cell r="B1143" t="str">
            <v>Tumor maligno del cuadrante superior externo de la mama</v>
          </cell>
        </row>
        <row r="1144">
          <cell r="A1144" t="str">
            <v>C50.5</v>
          </cell>
          <cell r="B1144" t="str">
            <v>Tumor maligno del cuadrante inferior externo de la mama</v>
          </cell>
        </row>
        <row r="1145">
          <cell r="A1145" t="str">
            <v>C50.6</v>
          </cell>
          <cell r="B1145" t="str">
            <v>Tumor maligno de la prolongación axilar de la mama</v>
          </cell>
        </row>
        <row r="1146">
          <cell r="A1146" t="str">
            <v>C50.8</v>
          </cell>
          <cell r="B1146" t="str">
            <v>Lesión de sitios contiguos de la mama</v>
          </cell>
        </row>
        <row r="1147">
          <cell r="A1147" t="str">
            <v>C50.9</v>
          </cell>
          <cell r="B1147" t="str">
            <v>Tumor maligno de la mama, parte no especificada</v>
          </cell>
        </row>
        <row r="1148">
          <cell r="A1148" t="str">
            <v>C51</v>
          </cell>
          <cell r="B1148" t="str">
            <v>Tumor maligno de la vulva</v>
          </cell>
        </row>
        <row r="1149">
          <cell r="A1149" t="str">
            <v>C51.0</v>
          </cell>
          <cell r="B1149" t="str">
            <v>Tumor maligno del labio mayor</v>
          </cell>
        </row>
        <row r="1150">
          <cell r="A1150" t="str">
            <v>C51.1</v>
          </cell>
          <cell r="B1150" t="str">
            <v>Tumor maligno del labio menor</v>
          </cell>
        </row>
        <row r="1151">
          <cell r="A1151" t="str">
            <v>C51.2</v>
          </cell>
          <cell r="B1151" t="str">
            <v>Tumor maligno del clítoris</v>
          </cell>
        </row>
        <row r="1152">
          <cell r="A1152" t="str">
            <v>C51.8</v>
          </cell>
          <cell r="B1152" t="str">
            <v>Lesión de sitios contiguos de la vulva</v>
          </cell>
        </row>
        <row r="1153">
          <cell r="A1153" t="str">
            <v>C51.9</v>
          </cell>
          <cell r="B1153" t="str">
            <v>Tumor maligno de la vulva, parte no especificada</v>
          </cell>
        </row>
        <row r="1154">
          <cell r="A1154" t="str">
            <v>C52.X</v>
          </cell>
          <cell r="B1154" t="str">
            <v>Tumor maligno de la vagina</v>
          </cell>
        </row>
        <row r="1155">
          <cell r="A1155" t="str">
            <v>C53</v>
          </cell>
          <cell r="B1155" t="str">
            <v>Tumor maligno del cuello del útero</v>
          </cell>
        </row>
        <row r="1156">
          <cell r="A1156" t="str">
            <v>C53.0</v>
          </cell>
          <cell r="B1156" t="str">
            <v>Tumor maligno del endocérvix</v>
          </cell>
        </row>
        <row r="1157">
          <cell r="A1157" t="str">
            <v>C53.1</v>
          </cell>
          <cell r="B1157" t="str">
            <v>Tumor maligno del exocérvix</v>
          </cell>
        </row>
        <row r="1158">
          <cell r="A1158" t="str">
            <v>C53.8</v>
          </cell>
          <cell r="B1158" t="str">
            <v>Lesión de sitios contiguos del cuello del útero</v>
          </cell>
        </row>
        <row r="1159">
          <cell r="A1159" t="str">
            <v>C53.9</v>
          </cell>
          <cell r="B1159" t="str">
            <v>Tumor maligno del cuello del útero, sin otra especificación</v>
          </cell>
        </row>
        <row r="1160">
          <cell r="A1160" t="str">
            <v>C54</v>
          </cell>
          <cell r="B1160" t="str">
            <v>Tumor maligno del cuerpo del útero</v>
          </cell>
        </row>
        <row r="1161">
          <cell r="A1161" t="str">
            <v>C54.0</v>
          </cell>
          <cell r="B1161" t="str">
            <v>Tumor maligno del istmo uterino</v>
          </cell>
        </row>
        <row r="1162">
          <cell r="A1162" t="str">
            <v>C54.1</v>
          </cell>
          <cell r="B1162" t="str">
            <v>Tumor maligno del endometrio</v>
          </cell>
        </row>
        <row r="1163">
          <cell r="A1163" t="str">
            <v>C54.2</v>
          </cell>
          <cell r="B1163" t="str">
            <v>Tumor maligno del miometrio</v>
          </cell>
        </row>
        <row r="1164">
          <cell r="A1164" t="str">
            <v>C54.3</v>
          </cell>
          <cell r="B1164" t="str">
            <v>Tumor maligno del fondo del útero</v>
          </cell>
        </row>
        <row r="1165">
          <cell r="A1165" t="str">
            <v>C54.8</v>
          </cell>
          <cell r="B1165" t="str">
            <v>Lesión de sitios contiguos del cuerpo del útero</v>
          </cell>
        </row>
        <row r="1166">
          <cell r="A1166" t="str">
            <v>C54.9</v>
          </cell>
          <cell r="B1166" t="str">
            <v>Tumor maligno del cuerpo del útero, parte no especificada</v>
          </cell>
        </row>
        <row r="1167">
          <cell r="A1167" t="str">
            <v>C55.X</v>
          </cell>
          <cell r="B1167" t="str">
            <v>Tumor maligno del útero, parte no especificada</v>
          </cell>
        </row>
        <row r="1168">
          <cell r="A1168" t="str">
            <v>C56.X</v>
          </cell>
          <cell r="B1168" t="str">
            <v>Tumor maligno del ovario</v>
          </cell>
        </row>
        <row r="1169">
          <cell r="A1169" t="str">
            <v>C57</v>
          </cell>
          <cell r="B1169" t="str">
            <v>Tumor maligno de otros órganos genitales femeninos y de los no especificados</v>
          </cell>
        </row>
        <row r="1170">
          <cell r="A1170" t="str">
            <v>C57.0</v>
          </cell>
          <cell r="B1170" t="str">
            <v>Tumor maligno de la trompa de Falopio</v>
          </cell>
        </row>
        <row r="1171">
          <cell r="A1171" t="str">
            <v>C57.1</v>
          </cell>
          <cell r="B1171" t="str">
            <v>Tumor maligno del ligamento ancho</v>
          </cell>
        </row>
        <row r="1172">
          <cell r="A1172" t="str">
            <v>C57.2</v>
          </cell>
          <cell r="B1172" t="str">
            <v>Tumor maligno del ligamento redondo</v>
          </cell>
        </row>
        <row r="1173">
          <cell r="A1173" t="str">
            <v>C57.3</v>
          </cell>
          <cell r="B1173" t="str">
            <v>Tumor maligno del parametrio</v>
          </cell>
        </row>
        <row r="1174">
          <cell r="A1174" t="str">
            <v>C57.4</v>
          </cell>
          <cell r="B1174" t="str">
            <v>Tumor maligno de los anexos uterinos, sin otra especificación</v>
          </cell>
        </row>
        <row r="1175">
          <cell r="A1175" t="str">
            <v>C57.7</v>
          </cell>
          <cell r="B1175" t="str">
            <v>Tumor maligno de otras partes especificadas de los órganos genitales femeninos</v>
          </cell>
        </row>
        <row r="1176">
          <cell r="A1176" t="str">
            <v>C57.8</v>
          </cell>
          <cell r="B1176" t="str">
            <v>Lesión de sitios contiguos de los órganos genitales femeninos</v>
          </cell>
        </row>
        <row r="1177">
          <cell r="A1177" t="str">
            <v>C57.9</v>
          </cell>
          <cell r="B1177" t="str">
            <v>Tumor maligno de órgano genital femenino, parte no especificada</v>
          </cell>
        </row>
        <row r="1178">
          <cell r="A1178" t="str">
            <v>C58.X</v>
          </cell>
          <cell r="B1178" t="str">
            <v>Tumor maligno de la placenta</v>
          </cell>
        </row>
        <row r="1179">
          <cell r="A1179" t="str">
            <v>C60</v>
          </cell>
          <cell r="B1179" t="str">
            <v>Tumor maligno del pene</v>
          </cell>
        </row>
        <row r="1180">
          <cell r="A1180" t="str">
            <v>C60.0</v>
          </cell>
          <cell r="B1180" t="str">
            <v>Tumor maligno del prepucio</v>
          </cell>
        </row>
        <row r="1181">
          <cell r="A1181" t="str">
            <v>C60.1</v>
          </cell>
          <cell r="B1181" t="str">
            <v>Tumor maligno del glande</v>
          </cell>
        </row>
        <row r="1182">
          <cell r="A1182" t="str">
            <v>C60.2</v>
          </cell>
          <cell r="B1182" t="str">
            <v>Tumor maligno del cuerpo del pene</v>
          </cell>
        </row>
        <row r="1183">
          <cell r="A1183" t="str">
            <v>C60.8</v>
          </cell>
          <cell r="B1183" t="str">
            <v>Lesión de sitios contiguos del pene</v>
          </cell>
        </row>
        <row r="1184">
          <cell r="A1184" t="str">
            <v>C60.9</v>
          </cell>
          <cell r="B1184" t="str">
            <v>Tumor maligno del pene, parte no especificada</v>
          </cell>
        </row>
        <row r="1185">
          <cell r="A1185" t="str">
            <v>C61.X</v>
          </cell>
          <cell r="B1185" t="str">
            <v>Tumor maligno de la próstata</v>
          </cell>
        </row>
        <row r="1186">
          <cell r="A1186" t="str">
            <v>C62</v>
          </cell>
          <cell r="B1186" t="str">
            <v>Tumor maligno del testículo</v>
          </cell>
        </row>
        <row r="1187">
          <cell r="A1187" t="str">
            <v>C62.0</v>
          </cell>
          <cell r="B1187" t="str">
            <v>Tumor maligno del testículo no descendido</v>
          </cell>
        </row>
        <row r="1188">
          <cell r="A1188" t="str">
            <v>C62.1</v>
          </cell>
          <cell r="B1188" t="str">
            <v>Tumor maligno del testículo descendido</v>
          </cell>
        </row>
        <row r="1189">
          <cell r="A1189" t="str">
            <v>C62.9</v>
          </cell>
          <cell r="B1189" t="str">
            <v>Tumor maligno del testículo, no especificado</v>
          </cell>
        </row>
        <row r="1190">
          <cell r="A1190" t="str">
            <v>C63</v>
          </cell>
          <cell r="B1190" t="str">
            <v>Tumor maligno de otros órganos genitales masculinos y de los no especificados</v>
          </cell>
        </row>
        <row r="1191">
          <cell r="A1191" t="str">
            <v>C63.0</v>
          </cell>
          <cell r="B1191" t="str">
            <v>Tumor maligno del epidídimo</v>
          </cell>
        </row>
        <row r="1192">
          <cell r="A1192" t="str">
            <v>C63.1</v>
          </cell>
          <cell r="B1192" t="str">
            <v>Tumor maligno del cordón espermático</v>
          </cell>
        </row>
        <row r="1193">
          <cell r="A1193" t="str">
            <v>C63.2</v>
          </cell>
          <cell r="B1193" t="str">
            <v>Tumor maligno del escroto</v>
          </cell>
        </row>
        <row r="1194">
          <cell r="A1194" t="str">
            <v>C63.7</v>
          </cell>
          <cell r="B1194" t="str">
            <v>Tumor maligno de otras partes especificadas de los órganos genitales masculinos</v>
          </cell>
        </row>
        <row r="1195">
          <cell r="A1195" t="str">
            <v>C63.8</v>
          </cell>
          <cell r="B1195" t="str">
            <v>Lesión de sitios contiguos de los órganos genitales masculinos</v>
          </cell>
        </row>
        <row r="1196">
          <cell r="A1196" t="str">
            <v>C63.9</v>
          </cell>
          <cell r="B1196" t="str">
            <v>Tumor maligno de órgano genital masculino, parte no especificada</v>
          </cell>
        </row>
        <row r="1197">
          <cell r="A1197" t="str">
            <v>C64.X</v>
          </cell>
          <cell r="B1197" t="str">
            <v>Tumor maligno del riñón, excepto de la pelvis renal</v>
          </cell>
        </row>
        <row r="1198">
          <cell r="A1198" t="str">
            <v>C65.X</v>
          </cell>
          <cell r="B1198" t="str">
            <v>Tumor maligno de la pelvis renal</v>
          </cell>
        </row>
        <row r="1199">
          <cell r="A1199" t="str">
            <v>C66.X</v>
          </cell>
          <cell r="B1199" t="str">
            <v>Tumor maligno del uréter</v>
          </cell>
        </row>
        <row r="1200">
          <cell r="A1200" t="str">
            <v>C67</v>
          </cell>
          <cell r="B1200" t="str">
            <v>Tumor maligno de la vejiga urinaria</v>
          </cell>
        </row>
        <row r="1201">
          <cell r="A1201" t="str">
            <v>C67.0</v>
          </cell>
          <cell r="B1201" t="str">
            <v>Tumor maligno del trígono vesical</v>
          </cell>
        </row>
        <row r="1202">
          <cell r="A1202" t="str">
            <v>C67.1</v>
          </cell>
          <cell r="B1202" t="str">
            <v>Tumor maligno de la cúpula vesical</v>
          </cell>
        </row>
        <row r="1203">
          <cell r="A1203" t="str">
            <v>C67.2</v>
          </cell>
          <cell r="B1203" t="str">
            <v>Tumor maligno de la pared lateral de la vejiga</v>
          </cell>
        </row>
        <row r="1204">
          <cell r="A1204" t="str">
            <v>C67.3</v>
          </cell>
          <cell r="B1204" t="str">
            <v>Tumor maligno de la pared anterior de la vejiga</v>
          </cell>
        </row>
        <row r="1205">
          <cell r="A1205" t="str">
            <v>C67.4</v>
          </cell>
          <cell r="B1205" t="str">
            <v>Tumor maligno de la pared posterior de la vejiga</v>
          </cell>
        </row>
        <row r="1206">
          <cell r="A1206" t="str">
            <v>C67.5</v>
          </cell>
          <cell r="B1206" t="str">
            <v>Tumor maligno del cuello de la vejiga</v>
          </cell>
        </row>
        <row r="1207">
          <cell r="A1207" t="str">
            <v>C67.6</v>
          </cell>
          <cell r="B1207" t="str">
            <v>Tumor maligno del orificio ureteral</v>
          </cell>
        </row>
        <row r="1208">
          <cell r="A1208" t="str">
            <v>C67.7</v>
          </cell>
          <cell r="B1208" t="str">
            <v>Tumor maligno del uraco</v>
          </cell>
        </row>
        <row r="1209">
          <cell r="A1209" t="str">
            <v>C67.8</v>
          </cell>
          <cell r="B1209" t="str">
            <v>Lesión de sitios contiguos de la vejiga</v>
          </cell>
        </row>
        <row r="1210">
          <cell r="A1210" t="str">
            <v>C67.9</v>
          </cell>
          <cell r="B1210" t="str">
            <v>Tumor maligno de la vejiga urinaria, parte no especificada</v>
          </cell>
        </row>
        <row r="1211">
          <cell r="A1211" t="str">
            <v>C68</v>
          </cell>
          <cell r="B1211" t="str">
            <v>Tumor maligno de otros órganos urinarios y de los no especificados</v>
          </cell>
        </row>
        <row r="1212">
          <cell r="A1212" t="str">
            <v>C68.0</v>
          </cell>
          <cell r="B1212" t="str">
            <v>Tumor maligno de la uretra</v>
          </cell>
        </row>
        <row r="1213">
          <cell r="A1213" t="str">
            <v>C68.1</v>
          </cell>
          <cell r="B1213" t="str">
            <v>Tumor maligno de las glándulas parauretrales</v>
          </cell>
        </row>
        <row r="1214">
          <cell r="A1214" t="str">
            <v>C68.8</v>
          </cell>
          <cell r="B1214" t="str">
            <v>Lesión de sitios contiguos de los órganos urinarios</v>
          </cell>
        </row>
        <row r="1215">
          <cell r="A1215" t="str">
            <v>C68.9</v>
          </cell>
          <cell r="B1215" t="str">
            <v>Tumor maligno de órgano urinario no especificado</v>
          </cell>
        </row>
        <row r="1216">
          <cell r="A1216" t="str">
            <v>C69</v>
          </cell>
          <cell r="B1216" t="str">
            <v>Tumor maligno del ojo y sus anexos</v>
          </cell>
        </row>
        <row r="1217">
          <cell r="A1217" t="str">
            <v>C69.0</v>
          </cell>
          <cell r="B1217" t="str">
            <v>Tumor maligno de la conjuntiva</v>
          </cell>
        </row>
        <row r="1218">
          <cell r="A1218" t="str">
            <v>C69.1</v>
          </cell>
          <cell r="B1218" t="str">
            <v>Tumor maligno de la córnea</v>
          </cell>
        </row>
        <row r="1219">
          <cell r="A1219" t="str">
            <v>C69.2</v>
          </cell>
          <cell r="B1219" t="str">
            <v>Tumor maligno de la retina</v>
          </cell>
        </row>
        <row r="1220">
          <cell r="A1220" t="str">
            <v>C69.3</v>
          </cell>
          <cell r="B1220" t="str">
            <v>Tumor maligno de la coroides</v>
          </cell>
        </row>
        <row r="1221">
          <cell r="A1221" t="str">
            <v>C69.4</v>
          </cell>
          <cell r="B1221" t="str">
            <v>Tumor maligno del cuerpo ciliar</v>
          </cell>
        </row>
        <row r="1222">
          <cell r="A1222" t="str">
            <v>C69.5</v>
          </cell>
          <cell r="B1222" t="str">
            <v>Tumor maligno de la glándula y conducto lagrimales</v>
          </cell>
        </row>
        <row r="1223">
          <cell r="A1223" t="str">
            <v>C69.6</v>
          </cell>
          <cell r="B1223" t="str">
            <v>Tumor maligno de la órbita</v>
          </cell>
        </row>
        <row r="1224">
          <cell r="A1224" t="str">
            <v>C69.8</v>
          </cell>
          <cell r="B1224" t="str">
            <v>Lesión de sitios contiguos del ojo y sus anexos</v>
          </cell>
        </row>
        <row r="1225">
          <cell r="A1225" t="str">
            <v>C69.9</v>
          </cell>
          <cell r="B1225" t="str">
            <v>Tumor maligno del ojo, parte no especificada</v>
          </cell>
        </row>
        <row r="1226">
          <cell r="A1226" t="str">
            <v>C70</v>
          </cell>
          <cell r="B1226" t="str">
            <v>Tumor maligno de las meninges</v>
          </cell>
        </row>
        <row r="1227">
          <cell r="A1227" t="str">
            <v>C70.0</v>
          </cell>
          <cell r="B1227" t="str">
            <v>Tumor maligno de las meninges cerebrales</v>
          </cell>
        </row>
        <row r="1228">
          <cell r="A1228" t="str">
            <v>C70.1</v>
          </cell>
          <cell r="B1228" t="str">
            <v>Tumor maligno de las meninges raquídeas</v>
          </cell>
        </row>
        <row r="1229">
          <cell r="A1229" t="str">
            <v>C70.9</v>
          </cell>
          <cell r="B1229" t="str">
            <v>Tumor maligno de las meninges, parte no especificada</v>
          </cell>
        </row>
        <row r="1230">
          <cell r="A1230" t="str">
            <v>C71</v>
          </cell>
          <cell r="B1230" t="str">
            <v>Tumor maligno del encéfalo</v>
          </cell>
        </row>
        <row r="1231">
          <cell r="A1231" t="str">
            <v>C71.0</v>
          </cell>
          <cell r="B1231" t="str">
            <v>Tumor maligno del cerebro, excepto lóbulos y ventrículos</v>
          </cell>
        </row>
        <row r="1232">
          <cell r="A1232" t="str">
            <v>C71.1</v>
          </cell>
          <cell r="B1232" t="str">
            <v>Tumor maligno del lóbulo frontal</v>
          </cell>
        </row>
        <row r="1233">
          <cell r="A1233" t="str">
            <v>C71.2</v>
          </cell>
          <cell r="B1233" t="str">
            <v>Tumor maligno del lóbulo temporal</v>
          </cell>
        </row>
        <row r="1234">
          <cell r="A1234" t="str">
            <v>C71.3</v>
          </cell>
          <cell r="B1234" t="str">
            <v>Tumor maligno del lóbulo parietal</v>
          </cell>
        </row>
        <row r="1235">
          <cell r="A1235" t="str">
            <v>C71.4</v>
          </cell>
          <cell r="B1235" t="str">
            <v>Tumor maligno del lóbulo occipital</v>
          </cell>
        </row>
        <row r="1236">
          <cell r="A1236" t="str">
            <v>C71.5</v>
          </cell>
          <cell r="B1236" t="str">
            <v>Tumor maligno del ventrículo cerebral</v>
          </cell>
        </row>
        <row r="1237">
          <cell r="A1237" t="str">
            <v>C71.6</v>
          </cell>
          <cell r="B1237" t="str">
            <v>Tumor maligno del cerebelo</v>
          </cell>
        </row>
        <row r="1238">
          <cell r="A1238" t="str">
            <v>C71.7</v>
          </cell>
          <cell r="B1238" t="str">
            <v>Tumor maligno del pedúnculo cerebral</v>
          </cell>
        </row>
        <row r="1239">
          <cell r="A1239" t="str">
            <v>C71.8</v>
          </cell>
          <cell r="B1239" t="str">
            <v>Lesión de sitios contiguos del encéfalo</v>
          </cell>
        </row>
        <row r="1240">
          <cell r="A1240" t="str">
            <v>C71.9</v>
          </cell>
          <cell r="B1240" t="str">
            <v>Tumor maligno del encéfalo, parte no especificada</v>
          </cell>
        </row>
        <row r="1241">
          <cell r="A1241" t="str">
            <v>C72</v>
          </cell>
          <cell r="B1241" t="str">
            <v>Tumor maligno de la médula espinal, de los nervios craneales y de otras partes del sistema nervioso central</v>
          </cell>
        </row>
        <row r="1242">
          <cell r="A1242" t="str">
            <v>C72.0</v>
          </cell>
          <cell r="B1242" t="str">
            <v>Tumor maligno de la médula espinal</v>
          </cell>
        </row>
        <row r="1243">
          <cell r="A1243" t="str">
            <v>C72.1</v>
          </cell>
          <cell r="B1243" t="str">
            <v>Tumor maligno de la cola de caballo</v>
          </cell>
        </row>
        <row r="1244">
          <cell r="A1244" t="str">
            <v>C72.2</v>
          </cell>
          <cell r="B1244" t="str">
            <v>Tumor maligno del nervio olfatorio</v>
          </cell>
        </row>
        <row r="1245">
          <cell r="A1245" t="str">
            <v>C72.3</v>
          </cell>
          <cell r="B1245" t="str">
            <v>Tumor maligno del nervio óptico</v>
          </cell>
        </row>
        <row r="1246">
          <cell r="A1246" t="str">
            <v>C72.4</v>
          </cell>
          <cell r="B1246" t="str">
            <v>Tumor maligno del nervio acústico</v>
          </cell>
        </row>
        <row r="1247">
          <cell r="A1247" t="str">
            <v>C72.5</v>
          </cell>
          <cell r="B1247" t="str">
            <v>Tumor maligno de otros nervios craneales y los no especificados</v>
          </cell>
        </row>
        <row r="1248">
          <cell r="A1248" t="str">
            <v>C72.8</v>
          </cell>
          <cell r="B1248" t="str">
            <v>Lesión de sitios contiguos del encéfalo y otras partes del sistema nervioso central</v>
          </cell>
        </row>
        <row r="1249">
          <cell r="A1249" t="str">
            <v>C72.9</v>
          </cell>
          <cell r="B1249" t="str">
            <v>Tumor maligno del sistema nervioso central, sin otra especificación</v>
          </cell>
        </row>
        <row r="1250">
          <cell r="A1250" t="str">
            <v>C73.X</v>
          </cell>
          <cell r="B1250" t="str">
            <v>Tumor maligno de la glándula tiroides</v>
          </cell>
        </row>
        <row r="1251">
          <cell r="A1251" t="str">
            <v>C74</v>
          </cell>
          <cell r="B1251" t="str">
            <v>Tumor maligno de la glándula suprarrenal</v>
          </cell>
        </row>
        <row r="1252">
          <cell r="A1252" t="str">
            <v>C74.0</v>
          </cell>
          <cell r="B1252" t="str">
            <v>Tumor maligno de la corteza de la glándula suprarrenal</v>
          </cell>
        </row>
        <row r="1253">
          <cell r="A1253" t="str">
            <v>C74.1</v>
          </cell>
          <cell r="B1253" t="str">
            <v>Tumor maligno de la médula de la glándula suprarrenal</v>
          </cell>
        </row>
        <row r="1254">
          <cell r="A1254" t="str">
            <v>C74.9</v>
          </cell>
          <cell r="B1254" t="str">
            <v>Tumor maligno de la glándula suprarrenal, parte no especificada</v>
          </cell>
        </row>
        <row r="1255">
          <cell r="A1255" t="str">
            <v>C75</v>
          </cell>
          <cell r="B1255" t="str">
            <v>Tumor maligno de otras glándulas endocrinas y de estructuras afines</v>
          </cell>
        </row>
        <row r="1256">
          <cell r="A1256" t="str">
            <v>C75.0</v>
          </cell>
          <cell r="B1256" t="str">
            <v>Tumor maligno de la glándula paratiroides</v>
          </cell>
        </row>
        <row r="1257">
          <cell r="A1257" t="str">
            <v>C75.1</v>
          </cell>
          <cell r="B1257" t="str">
            <v>Tumor maligno de la hipófisis</v>
          </cell>
        </row>
        <row r="1258">
          <cell r="A1258" t="str">
            <v>C75.2</v>
          </cell>
          <cell r="B1258" t="str">
            <v>Tumor maligno del conducto craneofaríngeo</v>
          </cell>
        </row>
        <row r="1259">
          <cell r="A1259" t="str">
            <v>C75.3</v>
          </cell>
          <cell r="B1259" t="str">
            <v>Tumor maligno de la glándula pineal</v>
          </cell>
        </row>
        <row r="1260">
          <cell r="A1260" t="str">
            <v>C75.4</v>
          </cell>
          <cell r="B1260" t="str">
            <v>Tumor maligno del cuerpo carotídeo</v>
          </cell>
        </row>
        <row r="1261">
          <cell r="A1261" t="str">
            <v>C75.5</v>
          </cell>
          <cell r="B1261" t="str">
            <v>Tumor maligno del cuerpo aórtico y otros cuerpos cromafines</v>
          </cell>
        </row>
        <row r="1262">
          <cell r="A1262" t="str">
            <v>C75.8</v>
          </cell>
          <cell r="B1262" t="str">
            <v>Tumor maligno pluriglandular, no especificado</v>
          </cell>
        </row>
        <row r="1263">
          <cell r="A1263" t="str">
            <v>C75.9</v>
          </cell>
          <cell r="B1263" t="str">
            <v>Tumor maligno de glándula endocrina no especificada</v>
          </cell>
        </row>
        <row r="1264">
          <cell r="A1264" t="str">
            <v>C76</v>
          </cell>
          <cell r="B1264" t="str">
            <v>Tumor maligno de otros sitios y de sitios mal definidos</v>
          </cell>
        </row>
        <row r="1265">
          <cell r="A1265" t="str">
            <v>C76.0</v>
          </cell>
          <cell r="B1265" t="str">
            <v>Tumor maligno de la cabeza, cara y cuello</v>
          </cell>
        </row>
        <row r="1266">
          <cell r="A1266" t="str">
            <v>C76.1</v>
          </cell>
          <cell r="B1266" t="str">
            <v>Tumor maligno del tórax</v>
          </cell>
        </row>
        <row r="1267">
          <cell r="A1267" t="str">
            <v>C76.2</v>
          </cell>
          <cell r="B1267" t="str">
            <v>Tumor maligno del abdomen</v>
          </cell>
        </row>
        <row r="1268">
          <cell r="A1268" t="str">
            <v>C76.3</v>
          </cell>
          <cell r="B1268" t="str">
            <v>Tumor maligno de la pelvis</v>
          </cell>
        </row>
        <row r="1269">
          <cell r="A1269" t="str">
            <v>C76.4</v>
          </cell>
          <cell r="B1269" t="str">
            <v>Tumor maligno del miembro superior</v>
          </cell>
        </row>
        <row r="1270">
          <cell r="A1270" t="str">
            <v>C76.5</v>
          </cell>
          <cell r="B1270" t="str">
            <v>Tumor maligno del miembro inferior</v>
          </cell>
        </row>
        <row r="1271">
          <cell r="A1271" t="str">
            <v>C76.7</v>
          </cell>
          <cell r="B1271" t="str">
            <v>Tumor maligno de otros sitios mal definidos</v>
          </cell>
        </row>
        <row r="1272">
          <cell r="A1272" t="str">
            <v>C76.8</v>
          </cell>
          <cell r="B1272" t="str">
            <v>Lesión de sitios contiguos mal definidos</v>
          </cell>
        </row>
        <row r="1273">
          <cell r="A1273" t="str">
            <v>C77</v>
          </cell>
          <cell r="B1273" t="str">
            <v>Tumor maligno secundario y el no especificado de los ganglios linfáticos</v>
          </cell>
        </row>
        <row r="1274">
          <cell r="A1274" t="str">
            <v>C77.0</v>
          </cell>
          <cell r="B1274" t="str">
            <v>Tumor maligno de los ganglios linfáticos de la cabeza, cara y cuello</v>
          </cell>
        </row>
        <row r="1275">
          <cell r="A1275" t="str">
            <v>C77.1</v>
          </cell>
          <cell r="B1275" t="str">
            <v>Tumor maligno de los ganglios linfáticos intratorácicos</v>
          </cell>
        </row>
        <row r="1276">
          <cell r="A1276" t="str">
            <v>C77.2</v>
          </cell>
          <cell r="B1276" t="str">
            <v>Tumor maligno de los ganglios linfáticos intraabdominales</v>
          </cell>
        </row>
        <row r="1277">
          <cell r="A1277" t="str">
            <v>C77.3</v>
          </cell>
          <cell r="B1277" t="str">
            <v>Tumor maligno de los ganglios linfáticos de la axila y del miembro superior</v>
          </cell>
        </row>
        <row r="1278">
          <cell r="A1278" t="str">
            <v>C77.4</v>
          </cell>
          <cell r="B1278" t="str">
            <v>Tumor maligno de los ganglios linfáticos de la región inguinal y del miembro inferior</v>
          </cell>
        </row>
        <row r="1279">
          <cell r="A1279" t="str">
            <v>C77.5</v>
          </cell>
          <cell r="B1279" t="str">
            <v>Tumor maligno de los ganglios linfáticos de la pelvis</v>
          </cell>
        </row>
        <row r="1280">
          <cell r="A1280" t="str">
            <v>C77.8</v>
          </cell>
          <cell r="B1280" t="str">
            <v>Tumor maligno de los ganglios linfáticos de regiones múltiples</v>
          </cell>
        </row>
        <row r="1281">
          <cell r="A1281" t="str">
            <v>C77.9</v>
          </cell>
          <cell r="B1281" t="str">
            <v>Tumor maligno del ganglio linfático, sitio no especificado</v>
          </cell>
        </row>
        <row r="1282">
          <cell r="A1282" t="str">
            <v>C78</v>
          </cell>
          <cell r="B1282" t="str">
            <v>Tumor maligno secundario de los órganos respiratorios y digestivos</v>
          </cell>
        </row>
        <row r="1283">
          <cell r="A1283" t="str">
            <v>C78.0</v>
          </cell>
          <cell r="B1283" t="str">
            <v>Tumor maligno secundario del pulmón</v>
          </cell>
        </row>
        <row r="1284">
          <cell r="A1284" t="str">
            <v>C78.1</v>
          </cell>
          <cell r="B1284" t="str">
            <v>Tumor maligno secundario del mediastino</v>
          </cell>
        </row>
        <row r="1285">
          <cell r="A1285" t="str">
            <v>C78.2</v>
          </cell>
          <cell r="B1285" t="str">
            <v>Tumor maligno secundario de la pleura</v>
          </cell>
        </row>
        <row r="1286">
          <cell r="A1286" t="str">
            <v>C78.3</v>
          </cell>
          <cell r="B1286" t="str">
            <v>Tumor maligno secundario de otros órganos respiratorios y de los no especificados</v>
          </cell>
        </row>
        <row r="1287">
          <cell r="A1287" t="str">
            <v>C78.4</v>
          </cell>
          <cell r="B1287" t="str">
            <v>Tumor maligno secundario del intestino delgado</v>
          </cell>
        </row>
        <row r="1288">
          <cell r="A1288" t="str">
            <v>C78.5</v>
          </cell>
          <cell r="B1288" t="str">
            <v>Tumor maligno secundario del intestino grueso y del recto</v>
          </cell>
        </row>
        <row r="1289">
          <cell r="A1289" t="str">
            <v>C78.6</v>
          </cell>
          <cell r="B1289" t="str">
            <v>Tumor maligno secundario del peritoneo y del retroperitoneo</v>
          </cell>
        </row>
        <row r="1290">
          <cell r="A1290" t="str">
            <v>C78.7</v>
          </cell>
          <cell r="B1290" t="str">
            <v>Tumor maligno secundario del hígado</v>
          </cell>
        </row>
        <row r="1291">
          <cell r="A1291" t="str">
            <v>C78.8</v>
          </cell>
          <cell r="B1291" t="str">
            <v>Tumor maligno secundario de otros órganos digestivos y de los no especificados</v>
          </cell>
        </row>
        <row r="1292">
          <cell r="A1292" t="str">
            <v>C79</v>
          </cell>
          <cell r="B1292" t="str">
            <v>Tumor maligno secundario de otros sitios</v>
          </cell>
        </row>
        <row r="1293">
          <cell r="A1293" t="str">
            <v>C79.0</v>
          </cell>
          <cell r="B1293" t="str">
            <v>Tumor maligno secundario del riñón y de la pelvis renal</v>
          </cell>
        </row>
        <row r="1294">
          <cell r="A1294" t="str">
            <v>C79.1</v>
          </cell>
          <cell r="B1294" t="str">
            <v>Tumor maligno secundario de la vejiga, y de otros órganos y los no especificados de las vías urinarias</v>
          </cell>
        </row>
        <row r="1295">
          <cell r="A1295" t="str">
            <v>C79.2</v>
          </cell>
          <cell r="B1295" t="str">
            <v>Tumor maligno secundario de la piel</v>
          </cell>
        </row>
        <row r="1296">
          <cell r="A1296" t="str">
            <v>C79.3</v>
          </cell>
          <cell r="B1296" t="str">
            <v>Tumor maligno secundario del encéfalo y de las meninges cerebrales</v>
          </cell>
        </row>
        <row r="1297">
          <cell r="A1297" t="str">
            <v>C79.4</v>
          </cell>
          <cell r="B1297" t="str">
            <v>Tumor maligno secundario de otras partes del sistema nervioso y de las no especificadas</v>
          </cell>
        </row>
        <row r="1298">
          <cell r="A1298" t="str">
            <v>C79.5</v>
          </cell>
          <cell r="B1298" t="str">
            <v>Tumor maligno secundario de los huesos y de la médula ósea</v>
          </cell>
        </row>
        <row r="1299">
          <cell r="A1299" t="str">
            <v>C79.6</v>
          </cell>
          <cell r="B1299" t="str">
            <v>Tumor maligno secundario del ovario</v>
          </cell>
        </row>
        <row r="1300">
          <cell r="A1300" t="str">
            <v>C79.7</v>
          </cell>
          <cell r="B1300" t="str">
            <v>Tumor maligno secundario de la glándula suprarrenal</v>
          </cell>
        </row>
        <row r="1301">
          <cell r="A1301" t="str">
            <v>C79.8</v>
          </cell>
          <cell r="B1301" t="str">
            <v>Tumor maligno secundario de otros sitios especificados</v>
          </cell>
        </row>
        <row r="1302">
          <cell r="A1302" t="str">
            <v>C80.X</v>
          </cell>
          <cell r="B1302" t="str">
            <v>Tumor maligno de sitios no especificados</v>
          </cell>
        </row>
        <row r="1303">
          <cell r="A1303" t="str">
            <v>C81</v>
          </cell>
          <cell r="B1303" t="str">
            <v>Enfermedad de Hodgkin</v>
          </cell>
        </row>
        <row r="1304">
          <cell r="A1304" t="str">
            <v>C81.0</v>
          </cell>
          <cell r="B1304" t="str">
            <v>Enfermedad de Hodgkin con predominio linfocítico</v>
          </cell>
        </row>
        <row r="1305">
          <cell r="A1305" t="str">
            <v>C81.1</v>
          </cell>
          <cell r="B1305" t="str">
            <v>Enfermedad de Hodgkin con esclerosis nodular</v>
          </cell>
        </row>
        <row r="1306">
          <cell r="A1306" t="str">
            <v>C81.2</v>
          </cell>
          <cell r="B1306" t="str">
            <v>Enfermedad de Hodgkin con celularidad mixta</v>
          </cell>
        </row>
        <row r="1307">
          <cell r="A1307" t="str">
            <v>C81.3</v>
          </cell>
          <cell r="B1307" t="str">
            <v>Enfermedad de Hodgkin con depleción linfocítica</v>
          </cell>
        </row>
        <row r="1308">
          <cell r="A1308" t="str">
            <v>C81.7</v>
          </cell>
          <cell r="B1308" t="str">
            <v>Otros tipos de enfermedad de Hodgkin</v>
          </cell>
        </row>
        <row r="1309">
          <cell r="A1309" t="str">
            <v>C81.9</v>
          </cell>
          <cell r="B1309" t="str">
            <v>Enfermedad de Hodgkin, no especificada</v>
          </cell>
        </row>
        <row r="1310">
          <cell r="A1310" t="str">
            <v>C82</v>
          </cell>
          <cell r="B1310" t="str">
            <v>Linfoma no Hodgkin folicular [nodular]</v>
          </cell>
        </row>
        <row r="1311">
          <cell r="A1311" t="str">
            <v>C82.0</v>
          </cell>
          <cell r="B1311" t="str">
            <v>Linfoma no Hodgkin de células pequeñas hendidas, folicular</v>
          </cell>
        </row>
        <row r="1312">
          <cell r="A1312" t="str">
            <v>C82.1</v>
          </cell>
          <cell r="B1312" t="str">
            <v>Linfoma no Hodkin mixto, de pequeñas células hendidas y de grandes células, folicular</v>
          </cell>
        </row>
        <row r="1313">
          <cell r="A1313" t="str">
            <v>C82.2</v>
          </cell>
          <cell r="B1313" t="str">
            <v>Linfoma no Hodgkin de células grandes, folicular</v>
          </cell>
        </row>
        <row r="1314">
          <cell r="A1314" t="str">
            <v>C82.7</v>
          </cell>
          <cell r="B1314" t="str">
            <v>Otros tipos especificados de linfoma no Hodgkin folicular</v>
          </cell>
        </row>
        <row r="1315">
          <cell r="A1315" t="str">
            <v>C82.9</v>
          </cell>
          <cell r="B1315" t="str">
            <v>Linfoma no Hodgkin folicular, sin otra especificación</v>
          </cell>
        </row>
        <row r="1316">
          <cell r="A1316" t="str">
            <v>C83</v>
          </cell>
          <cell r="B1316" t="str">
            <v>Linfoma no Hodgkin difuso</v>
          </cell>
        </row>
        <row r="1317">
          <cell r="A1317" t="str">
            <v>C83.0</v>
          </cell>
          <cell r="B1317" t="str">
            <v>Linfoma no Hodgkin de células pequeñas (difuso)</v>
          </cell>
        </row>
        <row r="1318">
          <cell r="A1318" t="str">
            <v>C83.1</v>
          </cell>
          <cell r="B1318" t="str">
            <v>Linfoma no Hodgkin de células pequeñas hendidas (difuso)</v>
          </cell>
        </row>
        <row r="1319">
          <cell r="A1319" t="str">
            <v>C83.2</v>
          </cell>
          <cell r="B1319" t="str">
            <v>Linfoma no Hodgkin mixto, de células pequeñas y grandes (difuso)</v>
          </cell>
        </row>
        <row r="1320">
          <cell r="A1320" t="str">
            <v>C83.3</v>
          </cell>
          <cell r="B1320" t="str">
            <v>Linfoma no Hodgkin de células grandes (difuso)</v>
          </cell>
        </row>
        <row r="1321">
          <cell r="A1321" t="str">
            <v>C83.4</v>
          </cell>
          <cell r="B1321" t="str">
            <v>Linfoma no Hodgkin inmunoblástico (difuso)</v>
          </cell>
        </row>
        <row r="1322">
          <cell r="A1322" t="str">
            <v>C83.5</v>
          </cell>
          <cell r="B1322" t="str">
            <v>Linfoma no Hodgkin linfoblástico (difuso)</v>
          </cell>
        </row>
        <row r="1323">
          <cell r="A1323" t="str">
            <v>C83.6</v>
          </cell>
          <cell r="B1323" t="str">
            <v>Linfoma no Hodgkin indiferenciado (difuso)</v>
          </cell>
        </row>
        <row r="1324">
          <cell r="A1324" t="str">
            <v>C83.7</v>
          </cell>
          <cell r="B1324" t="str">
            <v>Tumor de Burkitt</v>
          </cell>
        </row>
        <row r="1325">
          <cell r="A1325" t="str">
            <v>C83.8</v>
          </cell>
          <cell r="B1325" t="str">
            <v>Otros tipos especificados de linfoma no Hodgkin difuso</v>
          </cell>
        </row>
        <row r="1326">
          <cell r="A1326" t="str">
            <v>C83.9</v>
          </cell>
          <cell r="B1326" t="str">
            <v>Linfoma no Hodgkin difuso, sin otra especificación</v>
          </cell>
        </row>
        <row r="1327">
          <cell r="A1327" t="str">
            <v>C84</v>
          </cell>
          <cell r="B1327" t="str">
            <v>Linfoma de células T, periférico y cutáneo</v>
          </cell>
        </row>
        <row r="1328">
          <cell r="A1328" t="str">
            <v>C84.0</v>
          </cell>
          <cell r="B1328" t="str">
            <v>Micosis fungoide</v>
          </cell>
        </row>
        <row r="1329">
          <cell r="A1329" t="str">
            <v>C84.1</v>
          </cell>
          <cell r="B1329" t="str">
            <v>Enfermedad de Sézary</v>
          </cell>
        </row>
        <row r="1330">
          <cell r="A1330" t="str">
            <v>C84.2</v>
          </cell>
          <cell r="B1330" t="str">
            <v>Linfoma de zona T</v>
          </cell>
        </row>
        <row r="1331">
          <cell r="A1331" t="str">
            <v>C84.3</v>
          </cell>
          <cell r="B1331" t="str">
            <v>Linfoma linfoepitelioide</v>
          </cell>
        </row>
        <row r="1332">
          <cell r="A1332" t="str">
            <v>C84.4</v>
          </cell>
          <cell r="B1332" t="str">
            <v>Linfoma de células T periférico</v>
          </cell>
        </row>
        <row r="1333">
          <cell r="A1333" t="str">
            <v>C84.5</v>
          </cell>
          <cell r="B1333" t="str">
            <v>Otros linfomas de células T y los no especificados</v>
          </cell>
        </row>
        <row r="1334">
          <cell r="A1334" t="str">
            <v>C85</v>
          </cell>
          <cell r="B1334" t="str">
            <v>Linfoma no Hodgkin de otro tipo y el no especificado</v>
          </cell>
        </row>
        <row r="1335">
          <cell r="A1335" t="str">
            <v>C85.0</v>
          </cell>
          <cell r="B1335" t="str">
            <v>Linfosarcoma</v>
          </cell>
        </row>
        <row r="1336">
          <cell r="A1336" t="str">
            <v>C85.1</v>
          </cell>
          <cell r="B1336" t="str">
            <v>Linfoma de células B, sin otra especificación</v>
          </cell>
        </row>
        <row r="1337">
          <cell r="A1337" t="str">
            <v>C85.7</v>
          </cell>
          <cell r="B1337" t="str">
            <v>Otros tipos especificados de linfoma no Hodgkin</v>
          </cell>
        </row>
        <row r="1338">
          <cell r="A1338" t="str">
            <v>C85.9</v>
          </cell>
          <cell r="B1338" t="str">
            <v>Linfoma no Hodgkin, no especificado</v>
          </cell>
        </row>
        <row r="1339">
          <cell r="A1339" t="str">
            <v>C88</v>
          </cell>
          <cell r="B1339" t="str">
            <v>Enfermedades inmunoproliferativas malignas</v>
          </cell>
        </row>
        <row r="1340">
          <cell r="A1340" t="str">
            <v>C88.0</v>
          </cell>
          <cell r="B1340" t="str">
            <v>Macroglobulinemia de Waldenstr”m</v>
          </cell>
        </row>
        <row r="1341">
          <cell r="A1341" t="str">
            <v>C88.1</v>
          </cell>
          <cell r="B1341" t="str">
            <v>Enfermedad de cadena pesada alfa</v>
          </cell>
        </row>
        <row r="1342">
          <cell r="A1342" t="str">
            <v>C88.2</v>
          </cell>
          <cell r="B1342" t="str">
            <v>Enfermedad de cadena pesada gamma</v>
          </cell>
        </row>
        <row r="1343">
          <cell r="A1343" t="str">
            <v>C88.3</v>
          </cell>
          <cell r="B1343" t="str">
            <v>Enfermedad inmunoproliferativa del intestino delgado</v>
          </cell>
        </row>
        <row r="1344">
          <cell r="A1344" t="str">
            <v>C88.7</v>
          </cell>
          <cell r="B1344" t="str">
            <v>Otras enfermedades inmunoproliferativas malignas</v>
          </cell>
        </row>
        <row r="1345">
          <cell r="A1345" t="str">
            <v>C88.9</v>
          </cell>
          <cell r="B1345" t="str">
            <v>Enfermedad inmunoproliferativa maligna, sin otra especificación</v>
          </cell>
        </row>
        <row r="1346">
          <cell r="A1346" t="str">
            <v>C90</v>
          </cell>
          <cell r="B1346" t="str">
            <v>Mieloma múltiple y tumores malignos de células plasmáticas</v>
          </cell>
        </row>
        <row r="1347">
          <cell r="A1347" t="str">
            <v>C90.0</v>
          </cell>
          <cell r="B1347" t="str">
            <v>Mieloma múltiple</v>
          </cell>
        </row>
        <row r="1348">
          <cell r="A1348" t="str">
            <v>C90.1</v>
          </cell>
          <cell r="B1348" t="str">
            <v>Leucemia de células plasmáticas</v>
          </cell>
        </row>
        <row r="1349">
          <cell r="A1349" t="str">
            <v>C90.2</v>
          </cell>
          <cell r="B1349" t="str">
            <v>Plasmocitoma, extramedular</v>
          </cell>
        </row>
        <row r="1350">
          <cell r="A1350" t="str">
            <v>C91</v>
          </cell>
          <cell r="B1350" t="str">
            <v>Leucemia linfoide</v>
          </cell>
        </row>
        <row r="1351">
          <cell r="A1351" t="str">
            <v>C91.0</v>
          </cell>
          <cell r="B1351" t="str">
            <v>Leucemia linfoblástica aguda</v>
          </cell>
        </row>
        <row r="1352">
          <cell r="A1352" t="str">
            <v>C91.1</v>
          </cell>
          <cell r="B1352" t="str">
            <v>Leucemia linfocítica crónica</v>
          </cell>
        </row>
        <row r="1353">
          <cell r="A1353" t="str">
            <v>C91.2</v>
          </cell>
          <cell r="B1353" t="str">
            <v>Leucemia linfocítica subaguda</v>
          </cell>
        </row>
        <row r="1354">
          <cell r="A1354" t="str">
            <v>C91.3</v>
          </cell>
          <cell r="B1354" t="str">
            <v>Leucemia prolinfocítica</v>
          </cell>
        </row>
        <row r="1355">
          <cell r="A1355" t="str">
            <v>C91.4</v>
          </cell>
          <cell r="B1355" t="str">
            <v>Leucemia de células vellosas</v>
          </cell>
        </row>
        <row r="1356">
          <cell r="A1356" t="str">
            <v>C91.5</v>
          </cell>
          <cell r="B1356" t="str">
            <v>Leucemia de células T adultas</v>
          </cell>
        </row>
        <row r="1357">
          <cell r="A1357" t="str">
            <v>C91.7</v>
          </cell>
          <cell r="B1357" t="str">
            <v>Otras leucemias linfoides</v>
          </cell>
        </row>
        <row r="1358">
          <cell r="A1358" t="str">
            <v>C91.9</v>
          </cell>
          <cell r="B1358" t="str">
            <v>Leucemia linfoide, sin otra especificación</v>
          </cell>
        </row>
        <row r="1359">
          <cell r="A1359" t="str">
            <v>C92</v>
          </cell>
          <cell r="B1359" t="str">
            <v>Leucemia mieloide</v>
          </cell>
        </row>
        <row r="1360">
          <cell r="A1360" t="str">
            <v>C92.0</v>
          </cell>
          <cell r="B1360" t="str">
            <v>Leucemia mieloide aguda</v>
          </cell>
        </row>
        <row r="1361">
          <cell r="A1361" t="str">
            <v>C92.1</v>
          </cell>
          <cell r="B1361" t="str">
            <v>Leucemia mieloide crónica</v>
          </cell>
        </row>
        <row r="1362">
          <cell r="A1362" t="str">
            <v>C92.2</v>
          </cell>
          <cell r="B1362" t="str">
            <v>Leucemia mieloide subaguda</v>
          </cell>
        </row>
        <row r="1363">
          <cell r="A1363" t="str">
            <v>C92.3</v>
          </cell>
          <cell r="B1363" t="str">
            <v>Sarcoma mieloide</v>
          </cell>
        </row>
        <row r="1364">
          <cell r="A1364" t="str">
            <v>C92.4</v>
          </cell>
          <cell r="B1364" t="str">
            <v>Leucemia promielocítica aguda</v>
          </cell>
        </row>
        <row r="1365">
          <cell r="A1365" t="str">
            <v>C92.5</v>
          </cell>
          <cell r="B1365" t="str">
            <v>Leucemia mielomonocítica aguda</v>
          </cell>
        </row>
        <row r="1366">
          <cell r="A1366" t="str">
            <v>C92.7</v>
          </cell>
          <cell r="B1366" t="str">
            <v>Otras leucemias mieloides</v>
          </cell>
        </row>
        <row r="1367">
          <cell r="A1367" t="str">
            <v>C92.9</v>
          </cell>
          <cell r="B1367" t="str">
            <v>Leucemia mieloide, sin otra especificación</v>
          </cell>
        </row>
        <row r="1368">
          <cell r="A1368" t="str">
            <v>C93</v>
          </cell>
          <cell r="B1368" t="str">
            <v>Leucemia monocítica</v>
          </cell>
        </row>
        <row r="1369">
          <cell r="A1369" t="str">
            <v>C93.0</v>
          </cell>
          <cell r="B1369" t="str">
            <v>Leucemia monocítica aguda</v>
          </cell>
        </row>
        <row r="1370">
          <cell r="A1370" t="str">
            <v>C93.1</v>
          </cell>
          <cell r="B1370" t="str">
            <v>Leucemia monocítica crónica</v>
          </cell>
        </row>
        <row r="1371">
          <cell r="A1371" t="str">
            <v>C93.2</v>
          </cell>
          <cell r="B1371" t="str">
            <v>Leucemia monocítica subaguda</v>
          </cell>
        </row>
        <row r="1372">
          <cell r="A1372" t="str">
            <v>C93.7</v>
          </cell>
          <cell r="B1372" t="str">
            <v>Otras leucemias monocíticas</v>
          </cell>
        </row>
        <row r="1373">
          <cell r="A1373" t="str">
            <v>C93.9</v>
          </cell>
          <cell r="B1373" t="str">
            <v>Leucemia monocítica, sin otra especificación</v>
          </cell>
        </row>
        <row r="1374">
          <cell r="A1374" t="str">
            <v>C94</v>
          </cell>
          <cell r="B1374" t="str">
            <v>Otras leucemias de tipo celular especificado</v>
          </cell>
        </row>
        <row r="1375">
          <cell r="A1375" t="str">
            <v>C94.0</v>
          </cell>
          <cell r="B1375" t="str">
            <v>Eritremia aguda y eritroleucemia</v>
          </cell>
        </row>
        <row r="1376">
          <cell r="A1376" t="str">
            <v>C94.1</v>
          </cell>
          <cell r="B1376" t="str">
            <v>Eritremia crónica</v>
          </cell>
        </row>
        <row r="1377">
          <cell r="A1377" t="str">
            <v>C94.2</v>
          </cell>
          <cell r="B1377" t="str">
            <v>Leucemia megacarioblástica aguda</v>
          </cell>
        </row>
        <row r="1378">
          <cell r="A1378" t="str">
            <v>C94.3</v>
          </cell>
          <cell r="B1378" t="str">
            <v>Leucemia de mastocitos</v>
          </cell>
        </row>
        <row r="1379">
          <cell r="A1379" t="str">
            <v>C94.4</v>
          </cell>
          <cell r="B1379" t="str">
            <v>Panmielosis aguda</v>
          </cell>
        </row>
        <row r="1380">
          <cell r="A1380" t="str">
            <v>C94.5</v>
          </cell>
          <cell r="B1380" t="str">
            <v>Mielofibrosis aguda</v>
          </cell>
        </row>
        <row r="1381">
          <cell r="A1381" t="str">
            <v>C94.7</v>
          </cell>
          <cell r="B1381" t="str">
            <v>Otras leucemias especificadas</v>
          </cell>
        </row>
        <row r="1382">
          <cell r="A1382" t="str">
            <v>C95</v>
          </cell>
          <cell r="B1382" t="str">
            <v>Leucemia de células de tipo no especificado</v>
          </cell>
        </row>
        <row r="1383">
          <cell r="A1383" t="str">
            <v>C95.0</v>
          </cell>
          <cell r="B1383" t="str">
            <v>Leucemia aguda, células de tipo no especificado</v>
          </cell>
        </row>
        <row r="1384">
          <cell r="A1384" t="str">
            <v>C95.1</v>
          </cell>
          <cell r="B1384" t="str">
            <v>Leucemia crónica, células de tipo no especificado</v>
          </cell>
        </row>
        <row r="1385">
          <cell r="A1385" t="str">
            <v>C95.2</v>
          </cell>
          <cell r="B1385" t="str">
            <v>Leucemia subaguda, células de tipo no especificado</v>
          </cell>
        </row>
        <row r="1386">
          <cell r="A1386" t="str">
            <v>C95.7</v>
          </cell>
          <cell r="B1386" t="str">
            <v>Otras leucemias de células de tipo no especificado</v>
          </cell>
        </row>
        <row r="1387">
          <cell r="A1387" t="str">
            <v>C95.9</v>
          </cell>
          <cell r="B1387" t="str">
            <v>Leucemia, no especificada</v>
          </cell>
        </row>
        <row r="1388">
          <cell r="A1388" t="str">
            <v>C96</v>
          </cell>
          <cell r="B1388" t="str">
            <v>Otros tumores malignos y los no especificados del tejido linfático, de los órganos hematopoyéticos y de tejidos afines</v>
          </cell>
        </row>
        <row r="1389">
          <cell r="A1389" t="str">
            <v>C96.0</v>
          </cell>
          <cell r="B1389" t="str">
            <v>Enfermedad de Letterer-Siwe</v>
          </cell>
        </row>
        <row r="1390">
          <cell r="A1390" t="str">
            <v>C96.1</v>
          </cell>
          <cell r="B1390" t="str">
            <v>Histiocitosis maligna</v>
          </cell>
        </row>
        <row r="1391">
          <cell r="A1391" t="str">
            <v>C96.2</v>
          </cell>
          <cell r="B1391" t="str">
            <v>Tumor maligno de mastocitos</v>
          </cell>
        </row>
        <row r="1392">
          <cell r="A1392" t="str">
            <v>C96.3</v>
          </cell>
          <cell r="B1392" t="str">
            <v>Linfoma histiocítico verdadero</v>
          </cell>
        </row>
        <row r="1393">
          <cell r="A1393" t="str">
            <v>C96.7</v>
          </cell>
          <cell r="B1393" t="str">
            <v>Otros tumores malignos especificados del tejido linfático, hematopoyético y tejidos afines</v>
          </cell>
        </row>
        <row r="1394">
          <cell r="A1394" t="str">
            <v>C96.9</v>
          </cell>
          <cell r="B1394" t="str">
            <v>Tumor maligno del tejido linfático, hematopoyético y tejidos afines, sin otra especificación</v>
          </cell>
        </row>
        <row r="1395">
          <cell r="A1395" t="str">
            <v>C97.X</v>
          </cell>
          <cell r="B1395" t="str">
            <v>Tumores malignos (primarios) de sitios múltiples independientes</v>
          </cell>
        </row>
        <row r="1396">
          <cell r="A1396" t="str">
            <v>D</v>
          </cell>
          <cell r="B1396" t="str">
            <v>Tumores Benignos y Alteraciones Hematológicas e Inmunológicas</v>
          </cell>
        </row>
        <row r="1397">
          <cell r="A1397" t="str">
            <v>D00</v>
          </cell>
          <cell r="B1397" t="str">
            <v>Carcinoma in situ de la cavidad bucal, del esófago y del estómago</v>
          </cell>
        </row>
        <row r="1398">
          <cell r="A1398" t="str">
            <v>D00.0</v>
          </cell>
          <cell r="B1398" t="str">
            <v>Carcinoma in situ del labio, de la cavidad bucal y de la faringe</v>
          </cell>
        </row>
        <row r="1399">
          <cell r="A1399" t="str">
            <v>D00.1</v>
          </cell>
          <cell r="B1399" t="str">
            <v>Carcinoma in situ del esófago</v>
          </cell>
        </row>
        <row r="1400">
          <cell r="A1400" t="str">
            <v>D00.2</v>
          </cell>
          <cell r="B1400" t="str">
            <v>Carcinoma in situ del estómago</v>
          </cell>
        </row>
        <row r="1401">
          <cell r="A1401" t="str">
            <v>D01</v>
          </cell>
          <cell r="B1401" t="str">
            <v>Carcinoma in situ de otros órganos digestivos y de los no especificados</v>
          </cell>
        </row>
        <row r="1402">
          <cell r="A1402" t="str">
            <v>D01.0</v>
          </cell>
          <cell r="B1402" t="str">
            <v>Carcinoma in situ del colon</v>
          </cell>
        </row>
        <row r="1403">
          <cell r="A1403" t="str">
            <v>D01.1</v>
          </cell>
          <cell r="B1403" t="str">
            <v>Carcinoma in situ de la unión rectosigmoidea</v>
          </cell>
        </row>
        <row r="1404">
          <cell r="A1404" t="str">
            <v>D01.2</v>
          </cell>
          <cell r="B1404" t="str">
            <v>Carcinoma in situ del recto</v>
          </cell>
        </row>
        <row r="1405">
          <cell r="A1405" t="str">
            <v>D01.3</v>
          </cell>
          <cell r="B1405" t="str">
            <v>Carcinoma in situ del ano y del conducto anal</v>
          </cell>
        </row>
        <row r="1406">
          <cell r="A1406" t="str">
            <v>D01.4</v>
          </cell>
          <cell r="B1406" t="str">
            <v>Carcinoma in situ de otras partes y de las no especificadas del intestino</v>
          </cell>
        </row>
        <row r="1407">
          <cell r="A1407" t="str">
            <v>D01.5</v>
          </cell>
          <cell r="B1407" t="str">
            <v>Carcinoma in situ del hígado, de la vesícula biliar y del conducto biliar</v>
          </cell>
        </row>
        <row r="1408">
          <cell r="A1408" t="str">
            <v>D01.7</v>
          </cell>
          <cell r="B1408" t="str">
            <v>Carcinoma in situ de otras partes especificadas de órganos digestivos</v>
          </cell>
        </row>
        <row r="1409">
          <cell r="A1409" t="str">
            <v>D01.9</v>
          </cell>
          <cell r="B1409" t="str">
            <v>Carcinoma in situ de órganos digestivos no especificados</v>
          </cell>
        </row>
        <row r="1410">
          <cell r="A1410" t="str">
            <v>D02</v>
          </cell>
          <cell r="B1410" t="str">
            <v>Carcinoma in situ del sistema respiratorio y del oído medio</v>
          </cell>
        </row>
        <row r="1411">
          <cell r="A1411" t="str">
            <v>D02.0</v>
          </cell>
          <cell r="B1411" t="str">
            <v>Carcinoma in situ de la laringe</v>
          </cell>
        </row>
        <row r="1412">
          <cell r="A1412" t="str">
            <v>D02.1</v>
          </cell>
          <cell r="B1412" t="str">
            <v>Carcinoma in situ de la tráquea</v>
          </cell>
        </row>
        <row r="1413">
          <cell r="A1413" t="str">
            <v>D02.2</v>
          </cell>
          <cell r="B1413" t="str">
            <v>Carcinoma in situ del bronquio y del pulmón</v>
          </cell>
        </row>
        <row r="1414">
          <cell r="A1414" t="str">
            <v>D02.3</v>
          </cell>
          <cell r="B1414" t="str">
            <v>Carcinoma in situ de otras partes del sistema respiratorio</v>
          </cell>
        </row>
        <row r="1415">
          <cell r="A1415" t="str">
            <v>D02.4</v>
          </cell>
          <cell r="B1415" t="str">
            <v>Carcinoma in situ de órganos respiratorios no especificados</v>
          </cell>
        </row>
        <row r="1416">
          <cell r="A1416" t="str">
            <v>D03</v>
          </cell>
          <cell r="B1416" t="str">
            <v>Melanoma in situ</v>
          </cell>
        </row>
        <row r="1417">
          <cell r="A1417" t="str">
            <v>D03.0</v>
          </cell>
          <cell r="B1417" t="str">
            <v>Melanoma in situ del labio</v>
          </cell>
        </row>
        <row r="1418">
          <cell r="A1418" t="str">
            <v>D03.1</v>
          </cell>
          <cell r="B1418" t="str">
            <v>Melanoma in situ del párpado y de la comisura palpebral</v>
          </cell>
        </row>
        <row r="1419">
          <cell r="A1419" t="str">
            <v>D03.2</v>
          </cell>
          <cell r="B1419" t="str">
            <v>Melanoma in situ de la oreja y del conducto auditivo externo</v>
          </cell>
        </row>
        <row r="1420">
          <cell r="A1420" t="str">
            <v>D03.3</v>
          </cell>
          <cell r="B1420" t="str">
            <v>Melanoma in situ de otras partes y de las no especificadas de la cara</v>
          </cell>
        </row>
        <row r="1421">
          <cell r="A1421" t="str">
            <v>D03.4</v>
          </cell>
          <cell r="B1421" t="str">
            <v>Melanoma in situ del cuero cabelludo y del cuello</v>
          </cell>
        </row>
        <row r="1422">
          <cell r="A1422" t="str">
            <v>D03.5</v>
          </cell>
          <cell r="B1422" t="str">
            <v>Melanoma in situ del tronco</v>
          </cell>
        </row>
        <row r="1423">
          <cell r="A1423" t="str">
            <v>D03.6</v>
          </cell>
          <cell r="B1423" t="str">
            <v>Melanoma in situ del miembro superior, incluido el hombro</v>
          </cell>
        </row>
        <row r="1424">
          <cell r="A1424" t="str">
            <v>D03.7</v>
          </cell>
          <cell r="B1424" t="str">
            <v>Melanoma in situ del miembro inferior, incluida la cadera</v>
          </cell>
        </row>
        <row r="1425">
          <cell r="A1425" t="str">
            <v>D03.8</v>
          </cell>
          <cell r="B1425" t="str">
            <v>Melanoma in situ de otros sitios</v>
          </cell>
        </row>
        <row r="1426">
          <cell r="A1426" t="str">
            <v>D03.9</v>
          </cell>
          <cell r="B1426" t="str">
            <v>Melanoma in situ, sitio no especificado</v>
          </cell>
        </row>
        <row r="1427">
          <cell r="A1427" t="str">
            <v>D04</v>
          </cell>
          <cell r="B1427" t="str">
            <v>Carcinoma in situ de la piel</v>
          </cell>
        </row>
        <row r="1428">
          <cell r="A1428" t="str">
            <v>D04.0</v>
          </cell>
          <cell r="B1428" t="str">
            <v>Carcinoma in situ de la piel del labio</v>
          </cell>
        </row>
        <row r="1429">
          <cell r="A1429" t="str">
            <v>D04.1</v>
          </cell>
          <cell r="B1429" t="str">
            <v>Carcinoma in situ de la piel del párpado y de la comisura palpebral</v>
          </cell>
        </row>
        <row r="1430">
          <cell r="A1430" t="str">
            <v>D04.2</v>
          </cell>
          <cell r="B1430" t="str">
            <v>Carcinoma in situ de la piel de la oreja y del conducto auditivo externo</v>
          </cell>
        </row>
        <row r="1431">
          <cell r="A1431" t="str">
            <v>D04.3</v>
          </cell>
          <cell r="B1431" t="str">
            <v>Carcinoma in situ de la piel de otras partes y de las no especificadas de la cara</v>
          </cell>
        </row>
        <row r="1432">
          <cell r="A1432" t="str">
            <v>D04.4</v>
          </cell>
          <cell r="B1432" t="str">
            <v>Carcinoma in situ de la piel del cuero cabelludo y cuello</v>
          </cell>
        </row>
        <row r="1433">
          <cell r="A1433" t="str">
            <v>D04.5</v>
          </cell>
          <cell r="B1433" t="str">
            <v>Carcinoma in situ de la piel del tronco</v>
          </cell>
        </row>
        <row r="1434">
          <cell r="A1434" t="str">
            <v>D04.6</v>
          </cell>
          <cell r="B1434" t="str">
            <v>Carcinoma in situ de la piel del miembro superior, incluido el hombro</v>
          </cell>
        </row>
        <row r="1435">
          <cell r="A1435" t="str">
            <v>D04.7</v>
          </cell>
          <cell r="B1435" t="str">
            <v>Carcinoma in situ de la piel del miembro inferior, incluida la cadera</v>
          </cell>
        </row>
        <row r="1436">
          <cell r="A1436" t="str">
            <v>D04.8</v>
          </cell>
          <cell r="B1436" t="str">
            <v>Carcinoma in situ de la piel de otros sitios especificados</v>
          </cell>
        </row>
        <row r="1437">
          <cell r="A1437" t="str">
            <v>D04.9</v>
          </cell>
          <cell r="B1437" t="str">
            <v>Carcinoma in situ de la piel, sitio no especificado</v>
          </cell>
        </row>
        <row r="1438">
          <cell r="A1438" t="str">
            <v>D05</v>
          </cell>
          <cell r="B1438" t="str">
            <v>Carcinoma in situ de la mama</v>
          </cell>
        </row>
        <row r="1439">
          <cell r="A1439" t="str">
            <v>D05.0</v>
          </cell>
          <cell r="B1439" t="str">
            <v>Carcinoma in situ lobular</v>
          </cell>
        </row>
        <row r="1440">
          <cell r="A1440" t="str">
            <v>D05.1</v>
          </cell>
          <cell r="B1440" t="str">
            <v>Carcinoma in situ intracanalicular</v>
          </cell>
        </row>
        <row r="1441">
          <cell r="A1441" t="str">
            <v>D05.7</v>
          </cell>
          <cell r="B1441" t="str">
            <v>Otros carcinomas in situ de la mama</v>
          </cell>
        </row>
        <row r="1442">
          <cell r="A1442" t="str">
            <v>D05.9</v>
          </cell>
          <cell r="B1442" t="str">
            <v>Carcinoma in situ de la mama, parte no especificada</v>
          </cell>
        </row>
        <row r="1443">
          <cell r="A1443" t="str">
            <v>D06</v>
          </cell>
          <cell r="B1443" t="str">
            <v>Carcinoma in situ del cuello del útero</v>
          </cell>
        </row>
        <row r="1444">
          <cell r="A1444" t="str">
            <v>D06.0</v>
          </cell>
          <cell r="B1444" t="str">
            <v>Carcinoma in situ del endocérvix</v>
          </cell>
        </row>
        <row r="1445">
          <cell r="A1445" t="str">
            <v>D06.1</v>
          </cell>
          <cell r="B1445" t="str">
            <v>Carcinoma in situ del exocérvix</v>
          </cell>
        </row>
        <row r="1446">
          <cell r="A1446" t="str">
            <v>D06.7</v>
          </cell>
          <cell r="B1446" t="str">
            <v>Carcinoma in situ de otras partes especificadas del cuello del útero</v>
          </cell>
        </row>
        <row r="1447">
          <cell r="A1447" t="str">
            <v>D06.9</v>
          </cell>
          <cell r="B1447" t="str">
            <v>Carcinoma in situ del cuello del útero, parte no especificada</v>
          </cell>
        </row>
        <row r="1448">
          <cell r="A1448" t="str">
            <v>D07</v>
          </cell>
          <cell r="B1448" t="str">
            <v>Carcinoma in situ de otros órganos genitales y de los no especificados</v>
          </cell>
        </row>
        <row r="1449">
          <cell r="A1449" t="str">
            <v>D07.0</v>
          </cell>
          <cell r="B1449" t="str">
            <v>Carcinoma in situ del endometrio</v>
          </cell>
        </row>
        <row r="1450">
          <cell r="A1450" t="str">
            <v>D07.1</v>
          </cell>
          <cell r="B1450" t="str">
            <v>Carcinoma in situ de la vulva</v>
          </cell>
        </row>
        <row r="1451">
          <cell r="A1451" t="str">
            <v>D07.2</v>
          </cell>
          <cell r="B1451" t="str">
            <v>Carcinoma in situ de la vagina</v>
          </cell>
        </row>
        <row r="1452">
          <cell r="A1452" t="str">
            <v>D07.3</v>
          </cell>
          <cell r="B1452" t="str">
            <v>Carcinoma in situ de otros sitios de órganos genitales femeninos y de los no especificados</v>
          </cell>
        </row>
        <row r="1453">
          <cell r="A1453" t="str">
            <v>D07.4</v>
          </cell>
          <cell r="B1453" t="str">
            <v>Carcinoma in situ del pene</v>
          </cell>
        </row>
        <row r="1454">
          <cell r="A1454" t="str">
            <v>D07.5</v>
          </cell>
          <cell r="B1454" t="str">
            <v>Carcinoma in situ de la próstata</v>
          </cell>
        </row>
        <row r="1455">
          <cell r="A1455" t="str">
            <v>D07.6</v>
          </cell>
          <cell r="B1455" t="str">
            <v>Carcinoma in situ de otros órganos genitales masculinos y de los no especificados</v>
          </cell>
        </row>
        <row r="1456">
          <cell r="A1456" t="str">
            <v>D09</v>
          </cell>
          <cell r="B1456" t="str">
            <v>Carcinoma in situ de otros sitios y de los no especificados</v>
          </cell>
        </row>
        <row r="1457">
          <cell r="A1457" t="str">
            <v>D09.0</v>
          </cell>
          <cell r="B1457" t="str">
            <v>Carcinoma in situ de la vejiga</v>
          </cell>
        </row>
        <row r="1458">
          <cell r="A1458" t="str">
            <v>D09.1</v>
          </cell>
          <cell r="B1458" t="str">
            <v>Carcinoma in situ de otros órganos urinarios y de los no especificados</v>
          </cell>
        </row>
        <row r="1459">
          <cell r="A1459" t="str">
            <v>D09.2</v>
          </cell>
          <cell r="B1459" t="str">
            <v>Carcinoma in situ del ojo</v>
          </cell>
        </row>
        <row r="1460">
          <cell r="A1460" t="str">
            <v>D09.3</v>
          </cell>
          <cell r="B1460" t="str">
            <v>Carcinoma in situ de la glándula tiroides y de otras glándulas endocrinas</v>
          </cell>
        </row>
        <row r="1461">
          <cell r="A1461" t="str">
            <v>D09.7</v>
          </cell>
          <cell r="B1461" t="str">
            <v>Carcinoma in situ de otros sitios especificados</v>
          </cell>
        </row>
        <row r="1462">
          <cell r="A1462" t="str">
            <v>D09.9</v>
          </cell>
          <cell r="B1462" t="str">
            <v>Carcinoma in situ, sitio no especificado</v>
          </cell>
        </row>
        <row r="1463">
          <cell r="A1463" t="str">
            <v>D10</v>
          </cell>
          <cell r="B1463" t="str">
            <v>Tumor benigno de la boca y de la faringe</v>
          </cell>
        </row>
        <row r="1464">
          <cell r="A1464" t="str">
            <v>D10.0</v>
          </cell>
          <cell r="B1464" t="str">
            <v>Tumor benigno del labio</v>
          </cell>
        </row>
        <row r="1465">
          <cell r="A1465" t="str">
            <v>D10.1</v>
          </cell>
          <cell r="B1465" t="str">
            <v>Tumor benigno de la lengua</v>
          </cell>
        </row>
        <row r="1466">
          <cell r="A1466" t="str">
            <v>D10.2</v>
          </cell>
          <cell r="B1466" t="str">
            <v>Tumor benigno del piso de la boca</v>
          </cell>
        </row>
        <row r="1467">
          <cell r="A1467" t="str">
            <v>D10.3</v>
          </cell>
          <cell r="B1467" t="str">
            <v>Tumor benigno de otras partes y de las no especificadas de la boca</v>
          </cell>
        </row>
        <row r="1468">
          <cell r="A1468" t="str">
            <v>D10.4</v>
          </cell>
          <cell r="B1468" t="str">
            <v>Tumor benigno de la amígdala</v>
          </cell>
        </row>
        <row r="1469">
          <cell r="A1469" t="str">
            <v>D10.5</v>
          </cell>
          <cell r="B1469" t="str">
            <v>Tumor benigno de otras partes de la orofaringe</v>
          </cell>
        </row>
        <row r="1470">
          <cell r="A1470" t="str">
            <v>D10.6</v>
          </cell>
          <cell r="B1470" t="str">
            <v>Tumor benigno de la nasofaringe</v>
          </cell>
        </row>
        <row r="1471">
          <cell r="A1471" t="str">
            <v>D10.7</v>
          </cell>
          <cell r="B1471" t="str">
            <v>Tumor benigno de la hipofaringe</v>
          </cell>
        </row>
        <row r="1472">
          <cell r="A1472" t="str">
            <v>D10.9</v>
          </cell>
          <cell r="B1472" t="str">
            <v>Tumor benigno de la faringe, parte no especificada</v>
          </cell>
        </row>
        <row r="1473">
          <cell r="A1473" t="str">
            <v>D11</v>
          </cell>
          <cell r="B1473" t="str">
            <v>Tumor benigno de las glándulas salivales mayores</v>
          </cell>
        </row>
        <row r="1474">
          <cell r="A1474" t="str">
            <v>D11.0</v>
          </cell>
          <cell r="B1474" t="str">
            <v>Tumor benigno de la glándula parótida</v>
          </cell>
        </row>
        <row r="1475">
          <cell r="A1475" t="str">
            <v>D11.7</v>
          </cell>
          <cell r="B1475" t="str">
            <v>Tumor benigno de otras glándulas salivales mayores especificadas</v>
          </cell>
        </row>
        <row r="1476">
          <cell r="A1476" t="str">
            <v>D11.9</v>
          </cell>
          <cell r="B1476" t="str">
            <v>Tumor benigno de la glándula salival mayor, sin otra especificación</v>
          </cell>
        </row>
        <row r="1477">
          <cell r="A1477" t="str">
            <v>D12</v>
          </cell>
          <cell r="B1477" t="str">
            <v>Tumor benigno del colon, del recto, del conducto anal y del ano</v>
          </cell>
        </row>
        <row r="1478">
          <cell r="A1478" t="str">
            <v>D12.0</v>
          </cell>
          <cell r="B1478" t="str">
            <v>Tumor benigno del ciego</v>
          </cell>
        </row>
        <row r="1479">
          <cell r="A1479" t="str">
            <v>D12.1</v>
          </cell>
          <cell r="B1479" t="str">
            <v>Tumor benigno del apéndice</v>
          </cell>
        </row>
        <row r="1480">
          <cell r="A1480" t="str">
            <v>D12.2</v>
          </cell>
          <cell r="B1480" t="str">
            <v>Tumor benigno del colon ascendente</v>
          </cell>
        </row>
        <row r="1481">
          <cell r="A1481" t="str">
            <v>D12.3</v>
          </cell>
          <cell r="B1481" t="str">
            <v>Tumor benigno del colon transverso</v>
          </cell>
        </row>
        <row r="1482">
          <cell r="A1482" t="str">
            <v>D12.4</v>
          </cell>
          <cell r="B1482" t="str">
            <v>Tumor benigno del colon descendente</v>
          </cell>
        </row>
        <row r="1483">
          <cell r="A1483" t="str">
            <v>D12.5</v>
          </cell>
          <cell r="B1483" t="str">
            <v>Tumor benigno del colon sigmoide</v>
          </cell>
        </row>
        <row r="1484">
          <cell r="A1484" t="str">
            <v>D12.6</v>
          </cell>
          <cell r="B1484" t="str">
            <v>Tumor benigno del colon, parte no especificada</v>
          </cell>
        </row>
        <row r="1485">
          <cell r="A1485" t="str">
            <v>D12.7</v>
          </cell>
          <cell r="B1485" t="str">
            <v>Tumor benigno de la unión rectosigmoidea</v>
          </cell>
        </row>
        <row r="1486">
          <cell r="A1486" t="str">
            <v>D12.8</v>
          </cell>
          <cell r="B1486" t="str">
            <v>Tumor benigno del recto</v>
          </cell>
        </row>
        <row r="1487">
          <cell r="A1487" t="str">
            <v>D12.9</v>
          </cell>
          <cell r="B1487" t="str">
            <v>Tumor benigno del conducto anal y del ano</v>
          </cell>
        </row>
        <row r="1488">
          <cell r="A1488" t="str">
            <v>D13</v>
          </cell>
          <cell r="B1488" t="str">
            <v>Tumor benigno de otras partes y de las mal definidas del sistema digestivo</v>
          </cell>
        </row>
        <row r="1489">
          <cell r="A1489" t="str">
            <v>D13.0</v>
          </cell>
          <cell r="B1489" t="str">
            <v>Tumor benigno del esófago</v>
          </cell>
        </row>
        <row r="1490">
          <cell r="A1490" t="str">
            <v>D13.1</v>
          </cell>
          <cell r="B1490" t="str">
            <v>Tumor benigno del estómago</v>
          </cell>
        </row>
        <row r="1491">
          <cell r="A1491" t="str">
            <v>D13.2</v>
          </cell>
          <cell r="B1491" t="str">
            <v>Tumor benigno del duodeno</v>
          </cell>
        </row>
        <row r="1492">
          <cell r="A1492" t="str">
            <v>D13.3</v>
          </cell>
          <cell r="B1492" t="str">
            <v>Tumor benigno de otras partes y de las no especificadas del intestino delgado</v>
          </cell>
        </row>
        <row r="1493">
          <cell r="A1493" t="str">
            <v>D13.4</v>
          </cell>
          <cell r="B1493" t="str">
            <v>Tumor benigno del hígado</v>
          </cell>
        </row>
        <row r="1494">
          <cell r="A1494" t="str">
            <v>D13.5</v>
          </cell>
          <cell r="B1494" t="str">
            <v>Tumor benigno de las vías biliares extrahepáticas</v>
          </cell>
        </row>
        <row r="1495">
          <cell r="A1495" t="str">
            <v>D13.6</v>
          </cell>
          <cell r="B1495" t="str">
            <v>Tumor benigno del páncreas</v>
          </cell>
        </row>
        <row r="1496">
          <cell r="A1496" t="str">
            <v>D13.7</v>
          </cell>
          <cell r="B1496" t="str">
            <v>Tumor benigno del páncreas endocrino</v>
          </cell>
        </row>
        <row r="1497">
          <cell r="A1497" t="str">
            <v>D13.9</v>
          </cell>
          <cell r="B1497" t="str">
            <v>Tumor benigno de sitios mal definidos del sistema digestivo</v>
          </cell>
        </row>
        <row r="1498">
          <cell r="A1498" t="str">
            <v>D14</v>
          </cell>
          <cell r="B1498" t="str">
            <v>Tumor benigno del oído medio y del sistema respiratorio</v>
          </cell>
        </row>
        <row r="1499">
          <cell r="A1499" t="str">
            <v>D14.0</v>
          </cell>
          <cell r="B1499" t="str">
            <v>Tumor benigno del oído medio, de la cavidad nasal y de los senos paranasales</v>
          </cell>
        </row>
        <row r="1500">
          <cell r="A1500" t="str">
            <v>D14.1</v>
          </cell>
          <cell r="B1500" t="str">
            <v>Tumor benigno de la laringe</v>
          </cell>
        </row>
        <row r="1501">
          <cell r="A1501" t="str">
            <v>D14.2</v>
          </cell>
          <cell r="B1501" t="str">
            <v>Tumor benigno de la tráquea</v>
          </cell>
        </row>
        <row r="1502">
          <cell r="A1502" t="str">
            <v>D14.3</v>
          </cell>
          <cell r="B1502" t="str">
            <v>Tumor benigno de los bronquios y del pulmón</v>
          </cell>
        </row>
        <row r="1503">
          <cell r="A1503" t="str">
            <v>D14.4</v>
          </cell>
          <cell r="B1503" t="str">
            <v>Tumor benigno del sistema respiratorio, sitio no especificado</v>
          </cell>
        </row>
        <row r="1504">
          <cell r="A1504" t="str">
            <v>D15</v>
          </cell>
          <cell r="B1504" t="str">
            <v>Tumor benigno de otros órganos intratorácicos y de los no especificados</v>
          </cell>
        </row>
        <row r="1505">
          <cell r="A1505" t="str">
            <v>D15.0</v>
          </cell>
          <cell r="B1505" t="str">
            <v>Tumor benigno del timo</v>
          </cell>
        </row>
        <row r="1506">
          <cell r="A1506" t="str">
            <v>D15.1</v>
          </cell>
          <cell r="B1506" t="str">
            <v>Tumor benigno del corazón</v>
          </cell>
        </row>
        <row r="1507">
          <cell r="A1507" t="str">
            <v>D15.2</v>
          </cell>
          <cell r="B1507" t="str">
            <v>Tumor benigno del mediastino</v>
          </cell>
        </row>
        <row r="1508">
          <cell r="A1508" t="str">
            <v>D15.7</v>
          </cell>
          <cell r="B1508" t="str">
            <v>Tumor benigno de otros órganos intratorácicos especificados</v>
          </cell>
        </row>
        <row r="1509">
          <cell r="A1509" t="str">
            <v>D15.9</v>
          </cell>
          <cell r="B1509" t="str">
            <v>Tumor benigno de órgano intratorácico no especificado</v>
          </cell>
        </row>
        <row r="1510">
          <cell r="A1510" t="str">
            <v>D16</v>
          </cell>
          <cell r="B1510" t="str">
            <v>Tumor benigno del hueso y del cartílago articular</v>
          </cell>
        </row>
        <row r="1511">
          <cell r="A1511" t="str">
            <v>D16.0</v>
          </cell>
          <cell r="B1511" t="str">
            <v>Tumor benigno del omóplato y huesos largos del miembro superior</v>
          </cell>
        </row>
        <row r="1512">
          <cell r="A1512" t="str">
            <v>D16.1</v>
          </cell>
          <cell r="B1512" t="str">
            <v>Tumor benigno de los huesos cortos del miembro superior</v>
          </cell>
        </row>
        <row r="1513">
          <cell r="A1513" t="str">
            <v>D16.2</v>
          </cell>
          <cell r="B1513" t="str">
            <v>Tumor benigno de los huesos largos del miembro inferior</v>
          </cell>
        </row>
        <row r="1514">
          <cell r="A1514" t="str">
            <v>D16.3</v>
          </cell>
          <cell r="B1514" t="str">
            <v>Tumor benigno de los huesos cortos del miembro inferior</v>
          </cell>
        </row>
        <row r="1515">
          <cell r="A1515" t="str">
            <v>D16.4</v>
          </cell>
          <cell r="B1515" t="str">
            <v>Tumor benigno de los huesos del cráneo y de la cara</v>
          </cell>
        </row>
        <row r="1516">
          <cell r="A1516" t="str">
            <v>D16.5</v>
          </cell>
          <cell r="B1516" t="str">
            <v>Tumor benigno del maxilar inferior</v>
          </cell>
        </row>
        <row r="1517">
          <cell r="A1517" t="str">
            <v>D16.6</v>
          </cell>
          <cell r="B1517" t="str">
            <v>Tumor benigno de la columna vertebral</v>
          </cell>
        </row>
        <row r="1518">
          <cell r="A1518" t="str">
            <v>D16.7</v>
          </cell>
          <cell r="B1518" t="str">
            <v>Tumor benigno de las costillas, esternón y clavícula</v>
          </cell>
        </row>
        <row r="1519">
          <cell r="A1519" t="str">
            <v>D16.8</v>
          </cell>
          <cell r="B1519" t="str">
            <v>Tumor benigno de los huesos pélvicos, sacro y cóccix</v>
          </cell>
        </row>
        <row r="1520">
          <cell r="A1520" t="str">
            <v>D16.9</v>
          </cell>
          <cell r="B1520" t="str">
            <v>Tumor benigno del hueso y del cartílago articular, sitio no especificado</v>
          </cell>
        </row>
        <row r="1521">
          <cell r="A1521" t="str">
            <v>D17</v>
          </cell>
          <cell r="B1521" t="str">
            <v>Tumores benignos lipomatosos</v>
          </cell>
        </row>
        <row r="1522">
          <cell r="A1522" t="str">
            <v>D17.0</v>
          </cell>
          <cell r="B1522" t="str">
            <v>Tumor benigno lipomatoso de piel y de tejido subcutáneo de cabeza, cara y cuello</v>
          </cell>
        </row>
        <row r="1523">
          <cell r="A1523" t="str">
            <v>D17.1</v>
          </cell>
          <cell r="B1523" t="str">
            <v>Tumor benigno lipomatoso de piel y de tejido subcutáneo del tronco</v>
          </cell>
        </row>
        <row r="1524">
          <cell r="A1524" t="str">
            <v>D17.2</v>
          </cell>
          <cell r="B1524" t="str">
            <v>Tumor benigno lipomatoso de piel y de tejido subcutáneo de miembros</v>
          </cell>
        </row>
        <row r="1525">
          <cell r="A1525" t="str">
            <v>D17.3</v>
          </cell>
          <cell r="B1525" t="str">
            <v>Tumor benigno lipomatoso de piel y de tejido subcutáneo de otros sitios y de los no especificados</v>
          </cell>
        </row>
        <row r="1526">
          <cell r="A1526" t="str">
            <v>D17.4</v>
          </cell>
          <cell r="B1526" t="str">
            <v>Tumor benigno lipomatoso de los órganos intratorácicos</v>
          </cell>
        </row>
        <row r="1527">
          <cell r="A1527" t="str">
            <v>D17.5</v>
          </cell>
          <cell r="B1527" t="str">
            <v>Tumor benigno lipomatoso de los órganos intraabdominales</v>
          </cell>
        </row>
        <row r="1528">
          <cell r="A1528" t="str">
            <v>D17.6</v>
          </cell>
          <cell r="B1528" t="str">
            <v>Tumor benigno lipomatoso del cordón espermático</v>
          </cell>
        </row>
        <row r="1529">
          <cell r="A1529" t="str">
            <v>D17.7</v>
          </cell>
          <cell r="B1529" t="str">
            <v>Tumor benigno lipomatoso de otros sitios especificados</v>
          </cell>
        </row>
        <row r="1530">
          <cell r="A1530" t="str">
            <v>D17.9</v>
          </cell>
          <cell r="B1530" t="str">
            <v>Tumor benigno lipomatoso, de sitio no especificado</v>
          </cell>
        </row>
        <row r="1531">
          <cell r="A1531" t="str">
            <v>D18</v>
          </cell>
          <cell r="B1531" t="str">
            <v>Hemangioma y linfangioma de cualquier sitio</v>
          </cell>
        </row>
        <row r="1532">
          <cell r="A1532" t="str">
            <v>D18.0</v>
          </cell>
          <cell r="B1532" t="str">
            <v>Hemangioma, de cualquier sitio</v>
          </cell>
        </row>
        <row r="1533">
          <cell r="A1533" t="str">
            <v>D18.1</v>
          </cell>
          <cell r="B1533" t="str">
            <v>Linfangioma, de cualquier sitio</v>
          </cell>
        </row>
        <row r="1534">
          <cell r="A1534" t="str">
            <v>D19</v>
          </cell>
          <cell r="B1534" t="str">
            <v>Tumores benignos del tejido mesotelial</v>
          </cell>
        </row>
        <row r="1535">
          <cell r="A1535" t="str">
            <v>D19.0</v>
          </cell>
          <cell r="B1535" t="str">
            <v>Tumor benigno del tejido mesotelial de la pleura</v>
          </cell>
        </row>
        <row r="1536">
          <cell r="A1536" t="str">
            <v>D19.1</v>
          </cell>
          <cell r="B1536" t="str">
            <v>Tumor benigno del tejido mesotelial del peritoneo</v>
          </cell>
        </row>
        <row r="1537">
          <cell r="A1537" t="str">
            <v>D19.7</v>
          </cell>
          <cell r="B1537" t="str">
            <v>Tumor benigno del tejido mesotelial de otros sitios especificados</v>
          </cell>
        </row>
        <row r="1538">
          <cell r="A1538" t="str">
            <v>D19.9</v>
          </cell>
          <cell r="B1538" t="str">
            <v>Tumor benigno del tejido mesotelial, de sitio no especificado</v>
          </cell>
        </row>
        <row r="1539">
          <cell r="A1539" t="str">
            <v>D20</v>
          </cell>
          <cell r="B1539" t="str">
            <v>Tumor benigno del tejido blando del peritoneo y del retroperitoneo</v>
          </cell>
        </row>
        <row r="1540">
          <cell r="A1540" t="str">
            <v>D20.0</v>
          </cell>
          <cell r="B1540" t="str">
            <v>Tumor benigno del retroperitoneo</v>
          </cell>
        </row>
        <row r="1541">
          <cell r="A1541" t="str">
            <v>D20.1</v>
          </cell>
          <cell r="B1541" t="str">
            <v>Tumor benigno del peritoneo</v>
          </cell>
        </row>
        <row r="1542">
          <cell r="A1542" t="str">
            <v>D21</v>
          </cell>
          <cell r="B1542" t="str">
            <v>Otros tumores benignos del tejido conjuntivo y de los tejidos blandos</v>
          </cell>
        </row>
        <row r="1543">
          <cell r="A1543" t="str">
            <v>D21.0</v>
          </cell>
          <cell r="B1543" t="str">
            <v>Tumor benigno del tejido conjuntivo y de otros tejidos blandos de cabeza, cara y cuello</v>
          </cell>
        </row>
        <row r="1544">
          <cell r="A1544" t="str">
            <v>D21.1</v>
          </cell>
          <cell r="B1544" t="str">
            <v>Tumor benigno del tejido conjuntivo y de otros tejidos blandos del miembro superior, incluido el hombro</v>
          </cell>
        </row>
        <row r="1545">
          <cell r="A1545" t="str">
            <v>D21.2</v>
          </cell>
          <cell r="B1545" t="str">
            <v>Tumor benigno del tejido conjuntivo y de otros tejidos blandos del miembro inferior, incluida la cadera</v>
          </cell>
        </row>
        <row r="1546">
          <cell r="A1546" t="str">
            <v>D21.3</v>
          </cell>
          <cell r="B1546" t="str">
            <v>Tumor benigno del tejido conjuntivo y de otros tejidos blandos del tórax</v>
          </cell>
        </row>
        <row r="1547">
          <cell r="A1547" t="str">
            <v>D21.4</v>
          </cell>
          <cell r="B1547" t="str">
            <v>Tumor benigno del tejido conjuntivo y otros tejidos blandos del abdomen</v>
          </cell>
        </row>
        <row r="1548">
          <cell r="A1548" t="str">
            <v>D21.5</v>
          </cell>
          <cell r="B1548" t="str">
            <v>Tumor benigno del tejido conjuntivo y otros tejidos blandos de la pelvis</v>
          </cell>
        </row>
        <row r="1549">
          <cell r="A1549" t="str">
            <v>D21.6</v>
          </cell>
          <cell r="B1549" t="str">
            <v>Tumor benigno del tejido conjuntivo y otros tejidos blandos del tronco, sin otra especificación</v>
          </cell>
        </row>
        <row r="1550">
          <cell r="A1550" t="str">
            <v>D21.9</v>
          </cell>
          <cell r="B1550" t="str">
            <v>Tumor benigno del tejido conjuntivo y otros tejidos blandos, de sitio no especificado</v>
          </cell>
        </row>
        <row r="1551">
          <cell r="A1551" t="str">
            <v>D22</v>
          </cell>
          <cell r="B1551" t="str">
            <v>Nevo melanocítico</v>
          </cell>
        </row>
        <row r="1552">
          <cell r="A1552" t="str">
            <v>D22.0</v>
          </cell>
          <cell r="B1552" t="str">
            <v>Nevo melanocítico del labio</v>
          </cell>
        </row>
        <row r="1553">
          <cell r="A1553" t="str">
            <v>D22.1</v>
          </cell>
          <cell r="B1553" t="str">
            <v>Nevo melanocítico del párpado, incluida la comisura palpebral</v>
          </cell>
        </row>
        <row r="1554">
          <cell r="A1554" t="str">
            <v>D22.2</v>
          </cell>
          <cell r="B1554" t="str">
            <v>Nevo melanocítico de la oreja y del conducto auditivo externo</v>
          </cell>
        </row>
        <row r="1555">
          <cell r="A1555" t="str">
            <v>D22.3</v>
          </cell>
          <cell r="B1555" t="str">
            <v>Nevo melanocítico de otras partes y de las no especificadas de la cara</v>
          </cell>
        </row>
        <row r="1556">
          <cell r="A1556" t="str">
            <v>D22.4</v>
          </cell>
          <cell r="B1556" t="str">
            <v>Nevo melanocítico del cuero cabelludo y del cuello</v>
          </cell>
        </row>
        <row r="1557">
          <cell r="A1557" t="str">
            <v>D22.5</v>
          </cell>
          <cell r="B1557" t="str">
            <v>Nevo melanocítico del tronco</v>
          </cell>
        </row>
        <row r="1558">
          <cell r="A1558" t="str">
            <v>D22.6</v>
          </cell>
          <cell r="B1558" t="str">
            <v>Nevo melanocítico del miembro superior, incluido el hombro</v>
          </cell>
        </row>
        <row r="1559">
          <cell r="A1559" t="str">
            <v>D22.7</v>
          </cell>
          <cell r="B1559" t="str">
            <v>Nevo melanocítico del miembro inferior, incluida la cadera</v>
          </cell>
        </row>
        <row r="1560">
          <cell r="A1560" t="str">
            <v>D22.9</v>
          </cell>
          <cell r="B1560" t="str">
            <v>Nevo melanocítico, sitio no especificado</v>
          </cell>
        </row>
        <row r="1561">
          <cell r="A1561" t="str">
            <v>D23</v>
          </cell>
          <cell r="B1561" t="str">
            <v>Otros tumores benignos de la piel</v>
          </cell>
        </row>
        <row r="1562">
          <cell r="A1562" t="str">
            <v>D23.0</v>
          </cell>
          <cell r="B1562" t="str">
            <v>Tumor benigno de la piel del labio</v>
          </cell>
        </row>
        <row r="1563">
          <cell r="A1563" t="str">
            <v>D23.1</v>
          </cell>
          <cell r="B1563" t="str">
            <v>Tumor benigno de la piel del párpado, incluida la comisura palpebral</v>
          </cell>
        </row>
        <row r="1564">
          <cell r="A1564" t="str">
            <v>D23.2</v>
          </cell>
          <cell r="B1564" t="str">
            <v>Tumor benigno de la piel de la oreja y del conducto auditivo externo</v>
          </cell>
        </row>
        <row r="1565">
          <cell r="A1565" t="str">
            <v>D23.3</v>
          </cell>
          <cell r="B1565" t="str">
            <v>Tumor benigno de la piel de otras partes y de las no especificadas de la cara</v>
          </cell>
        </row>
        <row r="1566">
          <cell r="A1566" t="str">
            <v>D23.4</v>
          </cell>
          <cell r="B1566" t="str">
            <v>Tumor benigno de la piel del cuero cabelludo y del cuello</v>
          </cell>
        </row>
        <row r="1567">
          <cell r="A1567" t="str">
            <v>D23.5</v>
          </cell>
          <cell r="B1567" t="str">
            <v>Tumor benigno de la piel del tronco</v>
          </cell>
        </row>
        <row r="1568">
          <cell r="A1568" t="str">
            <v>D23.6</v>
          </cell>
          <cell r="B1568" t="str">
            <v>Tumor benigno de la piel del miembro superior, incluido el hombro</v>
          </cell>
        </row>
        <row r="1569">
          <cell r="A1569" t="str">
            <v>D23.7</v>
          </cell>
          <cell r="B1569" t="str">
            <v>Tumor benigno de la piel del miembro inferior, incluida la cadera</v>
          </cell>
        </row>
        <row r="1570">
          <cell r="A1570" t="str">
            <v>D23.9</v>
          </cell>
          <cell r="B1570" t="str">
            <v>Tumor benigno de la piel, sitio no especificado</v>
          </cell>
        </row>
        <row r="1571">
          <cell r="A1571" t="str">
            <v>D24.X</v>
          </cell>
          <cell r="B1571" t="str">
            <v>Tumor benigno de la mama</v>
          </cell>
        </row>
        <row r="1572">
          <cell r="A1572" t="str">
            <v>D25</v>
          </cell>
          <cell r="B1572" t="str">
            <v>Leiomioma del útero</v>
          </cell>
        </row>
        <row r="1573">
          <cell r="A1573" t="str">
            <v>D25.0</v>
          </cell>
          <cell r="B1573" t="str">
            <v>Leiomioma submucoso del útero</v>
          </cell>
        </row>
        <row r="1574">
          <cell r="A1574" t="str">
            <v>D25.1</v>
          </cell>
          <cell r="B1574" t="str">
            <v>Leiomioma intramural del útero</v>
          </cell>
        </row>
        <row r="1575">
          <cell r="A1575" t="str">
            <v>D25.2</v>
          </cell>
          <cell r="B1575" t="str">
            <v>Leiomioma subseroso del útero</v>
          </cell>
        </row>
        <row r="1576">
          <cell r="A1576" t="str">
            <v>D25.9</v>
          </cell>
          <cell r="B1576" t="str">
            <v>Leiomioma del útero, sin otra especificación</v>
          </cell>
        </row>
        <row r="1577">
          <cell r="A1577" t="str">
            <v>D26</v>
          </cell>
          <cell r="B1577" t="str">
            <v>Otros tumores benignos del útero</v>
          </cell>
        </row>
        <row r="1578">
          <cell r="A1578" t="str">
            <v>D26.0</v>
          </cell>
          <cell r="B1578" t="str">
            <v>Tumor benigno del cuello del útero</v>
          </cell>
        </row>
        <row r="1579">
          <cell r="A1579" t="str">
            <v>D26.1</v>
          </cell>
          <cell r="B1579" t="str">
            <v>Tumor benigno del cuerpo del útero</v>
          </cell>
        </row>
        <row r="1580">
          <cell r="A1580" t="str">
            <v>D26.7</v>
          </cell>
          <cell r="B1580" t="str">
            <v>Tumor benigno de otras partes especificadas del útero</v>
          </cell>
        </row>
        <row r="1581">
          <cell r="A1581" t="str">
            <v>D26.9</v>
          </cell>
          <cell r="B1581" t="str">
            <v>Tumor benigno del útero, parte no especificada</v>
          </cell>
        </row>
        <row r="1582">
          <cell r="A1582" t="str">
            <v>D27.X</v>
          </cell>
          <cell r="B1582" t="str">
            <v>Tumor benigno del ovario</v>
          </cell>
        </row>
        <row r="1583">
          <cell r="A1583" t="str">
            <v>D28</v>
          </cell>
          <cell r="B1583" t="str">
            <v>Tumor benigno de otros órganos genitales femeninos y de los no especificados</v>
          </cell>
        </row>
        <row r="1584">
          <cell r="A1584" t="str">
            <v>D28.0</v>
          </cell>
          <cell r="B1584" t="str">
            <v>Tumor benigno de la vulva</v>
          </cell>
        </row>
        <row r="1585">
          <cell r="A1585" t="str">
            <v>D28.1</v>
          </cell>
          <cell r="B1585" t="str">
            <v>Tumor benigno de la vagina</v>
          </cell>
        </row>
        <row r="1586">
          <cell r="A1586" t="str">
            <v>D28.2</v>
          </cell>
          <cell r="B1586" t="str">
            <v>Tumor benigno de la trompa de Falopio y de los ligamentos uterinos</v>
          </cell>
        </row>
        <row r="1587">
          <cell r="A1587" t="str">
            <v>D28.7</v>
          </cell>
          <cell r="B1587" t="str">
            <v>Tumor benigno de otros sitios especificados de los órganos genitales femeninos</v>
          </cell>
        </row>
        <row r="1588">
          <cell r="A1588" t="str">
            <v>D28.9</v>
          </cell>
          <cell r="B1588" t="str">
            <v>Tumor benigno de órgano genital femenino, sitio no especificado</v>
          </cell>
        </row>
        <row r="1589">
          <cell r="A1589" t="str">
            <v>D29</v>
          </cell>
          <cell r="B1589" t="str">
            <v>Tumor benigno de los órganos genitales masculinos</v>
          </cell>
        </row>
        <row r="1590">
          <cell r="A1590" t="str">
            <v>D29.0</v>
          </cell>
          <cell r="B1590" t="str">
            <v>Tumor benigno del pene</v>
          </cell>
        </row>
        <row r="1591">
          <cell r="A1591" t="str">
            <v>D29.1</v>
          </cell>
          <cell r="B1591" t="str">
            <v>Tumor benigno de la próstata</v>
          </cell>
        </row>
        <row r="1592">
          <cell r="A1592" t="str">
            <v>D29.2</v>
          </cell>
          <cell r="B1592" t="str">
            <v>Tumor benigno de los testículos</v>
          </cell>
        </row>
        <row r="1593">
          <cell r="A1593" t="str">
            <v>D29.3</v>
          </cell>
          <cell r="B1593" t="str">
            <v>Tumor benigno del epidídimo</v>
          </cell>
        </row>
        <row r="1594">
          <cell r="A1594" t="str">
            <v>D29.4</v>
          </cell>
          <cell r="B1594" t="str">
            <v>Tumor benigno del escroto</v>
          </cell>
        </row>
        <row r="1595">
          <cell r="A1595" t="str">
            <v>D29.7</v>
          </cell>
          <cell r="B1595" t="str">
            <v>Tumor benigno de otros órganos genitales masculinos</v>
          </cell>
        </row>
        <row r="1596">
          <cell r="A1596" t="str">
            <v>D29.9</v>
          </cell>
          <cell r="B1596" t="str">
            <v>Tumor benigno de órgano genital masculino, sitio no especificado</v>
          </cell>
        </row>
        <row r="1597">
          <cell r="A1597" t="str">
            <v>D30</v>
          </cell>
          <cell r="B1597" t="str">
            <v>Tumor benigno de los órganos urinarios</v>
          </cell>
        </row>
        <row r="1598">
          <cell r="A1598" t="str">
            <v>D30.0</v>
          </cell>
          <cell r="B1598" t="str">
            <v>Tumor benigno del riñón</v>
          </cell>
        </row>
        <row r="1599">
          <cell r="A1599" t="str">
            <v>D30.1</v>
          </cell>
          <cell r="B1599" t="str">
            <v>Tumor benigno de la pelvis renal</v>
          </cell>
        </row>
        <row r="1600">
          <cell r="A1600" t="str">
            <v>D30.2</v>
          </cell>
          <cell r="B1600" t="str">
            <v>Tumor benigno del uréter</v>
          </cell>
        </row>
        <row r="1601">
          <cell r="A1601" t="str">
            <v>D30.3</v>
          </cell>
          <cell r="B1601" t="str">
            <v>Tumor benigno de la vejiga</v>
          </cell>
        </row>
        <row r="1602">
          <cell r="A1602" t="str">
            <v>D30.4</v>
          </cell>
          <cell r="B1602" t="str">
            <v>Tumor benigno de la uretra</v>
          </cell>
        </row>
        <row r="1603">
          <cell r="A1603" t="str">
            <v>D30.7</v>
          </cell>
          <cell r="B1603" t="str">
            <v>Tumor benigno de otros órganos urinarios</v>
          </cell>
        </row>
        <row r="1604">
          <cell r="A1604" t="str">
            <v>D30.9</v>
          </cell>
          <cell r="B1604" t="str">
            <v>Tumor benigno de órgano urinario no especificado</v>
          </cell>
        </row>
        <row r="1605">
          <cell r="A1605" t="str">
            <v>D31</v>
          </cell>
          <cell r="B1605" t="str">
            <v>Tumor benigno del ojo y sus anexos</v>
          </cell>
        </row>
        <row r="1606">
          <cell r="A1606" t="str">
            <v>D31.0</v>
          </cell>
          <cell r="B1606" t="str">
            <v>Tumor benigno de la conjuntiva</v>
          </cell>
        </row>
        <row r="1607">
          <cell r="A1607" t="str">
            <v>D31.1</v>
          </cell>
          <cell r="B1607" t="str">
            <v>Tumor benigno de la córnea</v>
          </cell>
        </row>
        <row r="1608">
          <cell r="A1608" t="str">
            <v>D31.2</v>
          </cell>
          <cell r="B1608" t="str">
            <v>Tumor benigno de la retina</v>
          </cell>
        </row>
        <row r="1609">
          <cell r="A1609" t="str">
            <v>D31.3</v>
          </cell>
          <cell r="B1609" t="str">
            <v>Tumor benigno de la coroides</v>
          </cell>
        </row>
        <row r="1610">
          <cell r="A1610" t="str">
            <v>D31.4</v>
          </cell>
          <cell r="B1610" t="str">
            <v>Tumor benigno del cuerpo ciliar</v>
          </cell>
        </row>
        <row r="1611">
          <cell r="A1611" t="str">
            <v>D31.5</v>
          </cell>
          <cell r="B1611" t="str">
            <v>Tumor benigno de las glándulas y de los conductos lagrimales</v>
          </cell>
        </row>
        <row r="1612">
          <cell r="A1612" t="str">
            <v>D31.6</v>
          </cell>
          <cell r="B1612" t="str">
            <v>Tumor benigno de la órbita, parte no especificada</v>
          </cell>
        </row>
        <row r="1613">
          <cell r="A1613" t="str">
            <v>D31.9</v>
          </cell>
          <cell r="B1613" t="str">
            <v>Tumor benigno del ojo, parte no especificada</v>
          </cell>
        </row>
        <row r="1614">
          <cell r="A1614" t="str">
            <v>D32</v>
          </cell>
          <cell r="B1614" t="str">
            <v>Tumores benignos de las meninges</v>
          </cell>
        </row>
        <row r="1615">
          <cell r="A1615" t="str">
            <v>D32.0</v>
          </cell>
          <cell r="B1615" t="str">
            <v>Tumor benigno de las meninges cerebrales</v>
          </cell>
        </row>
        <row r="1616">
          <cell r="A1616" t="str">
            <v>D32.1</v>
          </cell>
          <cell r="B1616" t="str">
            <v>Tumor benigno de las meninges raquídeas</v>
          </cell>
        </row>
        <row r="1617">
          <cell r="A1617" t="str">
            <v>D32.9</v>
          </cell>
          <cell r="B1617" t="str">
            <v>Tumor benigno de las meninges, parte no especificada</v>
          </cell>
        </row>
        <row r="1618">
          <cell r="A1618" t="str">
            <v>D33</v>
          </cell>
          <cell r="B1618" t="str">
            <v>Tumor benigno del encéfalo y de otras partes del sistema nervioso central</v>
          </cell>
        </row>
        <row r="1619">
          <cell r="A1619" t="str">
            <v>D33.0</v>
          </cell>
          <cell r="B1619" t="str">
            <v>Tumor benigno del encéfalo, supratentorial</v>
          </cell>
        </row>
        <row r="1620">
          <cell r="A1620" t="str">
            <v>D33.1</v>
          </cell>
          <cell r="B1620" t="str">
            <v>Tumor benigno del encéfalo, infratentorial</v>
          </cell>
        </row>
        <row r="1621">
          <cell r="A1621" t="str">
            <v>D33.2</v>
          </cell>
          <cell r="B1621" t="str">
            <v>Tumor benigno del encéfalo, parte no especificada</v>
          </cell>
        </row>
        <row r="1622">
          <cell r="A1622" t="str">
            <v>D33.3</v>
          </cell>
          <cell r="B1622" t="str">
            <v>Tumor benigno de los nervios craneales</v>
          </cell>
        </row>
        <row r="1623">
          <cell r="A1623" t="str">
            <v>D33.4</v>
          </cell>
          <cell r="B1623" t="str">
            <v>Tumor benigno de la médula espinal</v>
          </cell>
        </row>
        <row r="1624">
          <cell r="A1624" t="str">
            <v>D33.7</v>
          </cell>
          <cell r="B1624" t="str">
            <v>Tumor benigno de otras partes especificadas del sistema nervioso central</v>
          </cell>
        </row>
        <row r="1625">
          <cell r="A1625" t="str">
            <v>D33.9</v>
          </cell>
          <cell r="B1625" t="str">
            <v>Tumor benigno del sistema nervioso central, sitio no especificado</v>
          </cell>
        </row>
        <row r="1626">
          <cell r="A1626" t="str">
            <v>D34.X</v>
          </cell>
          <cell r="B1626" t="str">
            <v>Tumor benigno de la glándula tiroides</v>
          </cell>
        </row>
        <row r="1627">
          <cell r="A1627" t="str">
            <v>D35</v>
          </cell>
          <cell r="B1627" t="str">
            <v>Tumor benigno de otras glándulas endocrinas y de las no especificadas</v>
          </cell>
        </row>
        <row r="1628">
          <cell r="A1628" t="str">
            <v>D35.0</v>
          </cell>
          <cell r="B1628" t="str">
            <v>Tumor benigno de la glándula suprarrenal</v>
          </cell>
        </row>
        <row r="1629">
          <cell r="A1629" t="str">
            <v>D35.1</v>
          </cell>
          <cell r="B1629" t="str">
            <v>Tumor benigno de la glándula paratiroides</v>
          </cell>
        </row>
        <row r="1630">
          <cell r="A1630" t="str">
            <v>D35.2</v>
          </cell>
          <cell r="B1630" t="str">
            <v>Tumor benigno de la hipófisis</v>
          </cell>
        </row>
        <row r="1631">
          <cell r="A1631" t="str">
            <v>D35.3</v>
          </cell>
          <cell r="B1631" t="str">
            <v>Tumor benigno del conducto craneofaríngeo</v>
          </cell>
        </row>
        <row r="1632">
          <cell r="A1632" t="str">
            <v>D35.4</v>
          </cell>
          <cell r="B1632" t="str">
            <v>Tumor benigno de la glándula pineal</v>
          </cell>
        </row>
        <row r="1633">
          <cell r="A1633" t="str">
            <v>D35.5</v>
          </cell>
          <cell r="B1633" t="str">
            <v>Tumor benigno del cuerpo carotídeo</v>
          </cell>
        </row>
        <row r="1634">
          <cell r="A1634" t="str">
            <v>D35.6</v>
          </cell>
          <cell r="B1634" t="str">
            <v>Tumor benigno del cuerpo aórtico y de otros cuerpos cromafines</v>
          </cell>
        </row>
        <row r="1635">
          <cell r="A1635" t="str">
            <v>D35.7</v>
          </cell>
          <cell r="B1635" t="str">
            <v>Tumor benigno de otras glándulas endocrinas especificadas</v>
          </cell>
        </row>
        <row r="1636">
          <cell r="A1636" t="str">
            <v>D35.8</v>
          </cell>
          <cell r="B1636" t="str">
            <v>Tumor benigno pluriglandular</v>
          </cell>
        </row>
        <row r="1637">
          <cell r="A1637" t="str">
            <v>D35.9</v>
          </cell>
          <cell r="B1637" t="str">
            <v>Tumor benigno de glándula endocrina no especificada</v>
          </cell>
        </row>
        <row r="1638">
          <cell r="A1638" t="str">
            <v>D36</v>
          </cell>
          <cell r="B1638" t="str">
            <v>Tumor benigno de otros sitios y de los no especificados</v>
          </cell>
        </row>
        <row r="1639">
          <cell r="A1639" t="str">
            <v>D36.0</v>
          </cell>
          <cell r="B1639" t="str">
            <v>Tumor benigno de los ganglios linfáticos</v>
          </cell>
        </row>
        <row r="1640">
          <cell r="A1640" t="str">
            <v>D36.1</v>
          </cell>
          <cell r="B1640" t="str">
            <v>Tumor benigno de los nervios periféricos y del sistema nervioso autónomo</v>
          </cell>
        </row>
        <row r="1641">
          <cell r="A1641" t="str">
            <v>D36.7</v>
          </cell>
          <cell r="B1641" t="str">
            <v>Tumor benigno de otros sitios especificados</v>
          </cell>
        </row>
        <row r="1642">
          <cell r="A1642" t="str">
            <v>D36.9</v>
          </cell>
          <cell r="B1642" t="str">
            <v>Tumor benigno de sitio no especificado</v>
          </cell>
        </row>
        <row r="1643">
          <cell r="A1643" t="str">
            <v>D37</v>
          </cell>
          <cell r="B1643" t="str">
            <v>Tumor de comportamiento incierto o desconocido de la cavidad bucal y de los órganos digestivos</v>
          </cell>
        </row>
        <row r="1644">
          <cell r="A1644" t="str">
            <v>D37.0</v>
          </cell>
          <cell r="B1644" t="str">
            <v>Tumor de comportamiento incierto o desconocido del labio, de la cavidad bucal y de la faringe</v>
          </cell>
        </row>
        <row r="1645">
          <cell r="A1645" t="str">
            <v>D37.1</v>
          </cell>
          <cell r="B1645" t="str">
            <v>Tumor de comportamiento incierto o desconocido del estómago</v>
          </cell>
        </row>
        <row r="1646">
          <cell r="A1646" t="str">
            <v>D37.2</v>
          </cell>
          <cell r="B1646" t="str">
            <v>Tumor de comportamiento incierto o desconocido del intestino delgado</v>
          </cell>
        </row>
        <row r="1647">
          <cell r="A1647" t="str">
            <v>D37.3</v>
          </cell>
          <cell r="B1647" t="str">
            <v>Tumor de comportamiento incierto o desconocido del apéndice</v>
          </cell>
        </row>
        <row r="1648">
          <cell r="A1648" t="str">
            <v>D37.4</v>
          </cell>
          <cell r="B1648" t="str">
            <v>Tumor de comportamiento incierto o desconocido del colon</v>
          </cell>
        </row>
        <row r="1649">
          <cell r="A1649" t="str">
            <v>D37.5</v>
          </cell>
          <cell r="B1649" t="str">
            <v>Tumor de comportamiento incierto o desconocido del recto</v>
          </cell>
        </row>
        <row r="1650">
          <cell r="A1650" t="str">
            <v>D37.6</v>
          </cell>
          <cell r="B1650" t="str">
            <v>Tumor de comportamiento incierto o desconocido del hígado, de la vesícula biliar y del conducto biliar</v>
          </cell>
        </row>
        <row r="1651">
          <cell r="A1651" t="str">
            <v>D37.7</v>
          </cell>
          <cell r="B1651" t="str">
            <v>Tumor de comportamiento incierto o desconocido de otros órganos digestivos especificados</v>
          </cell>
        </row>
        <row r="1652">
          <cell r="A1652" t="str">
            <v>D37.9</v>
          </cell>
          <cell r="B1652" t="str">
            <v>Tumor de comportamiento incierto o desconocido de órganos digestivos, sitio no especificado</v>
          </cell>
        </row>
        <row r="1653">
          <cell r="A1653" t="str">
            <v>D38</v>
          </cell>
          <cell r="B1653" t="str">
            <v>Tumor de comportamiento incierto o desconocido del oído medio y de los órganos respiratorios e intratorácicos</v>
          </cell>
        </row>
        <row r="1654">
          <cell r="A1654" t="str">
            <v>D38.0</v>
          </cell>
          <cell r="B1654" t="str">
            <v>Tumor de comportamiento incierto o desconocido dg laringe</v>
          </cell>
        </row>
        <row r="1655">
          <cell r="A1655" t="str">
            <v>D38.1</v>
          </cell>
          <cell r="B1655" t="str">
            <v>Tumor de comportamiento incierto o desconocido de la tráquea, de los bronquios y del pulmón</v>
          </cell>
        </row>
        <row r="1656">
          <cell r="A1656" t="str">
            <v>D38.2</v>
          </cell>
          <cell r="B1656" t="str">
            <v>Tumor de comportamiento incierto o desconocido de la pleura</v>
          </cell>
        </row>
        <row r="1657">
          <cell r="A1657" t="str">
            <v>D38.3</v>
          </cell>
          <cell r="B1657" t="str">
            <v>Tumor de comportamiento incierto o desconocido del mediastino</v>
          </cell>
        </row>
        <row r="1658">
          <cell r="A1658" t="str">
            <v>D38.4</v>
          </cell>
          <cell r="B1658" t="str">
            <v>Tumor de comportamiento incierto o desconocido del timo</v>
          </cell>
        </row>
        <row r="1659">
          <cell r="A1659" t="str">
            <v>D38.5</v>
          </cell>
          <cell r="B1659" t="str">
            <v>Tumor de comportamiento incierto o desconocido de otros órganos respiratorios y del oído medio</v>
          </cell>
        </row>
        <row r="1660">
          <cell r="A1660" t="str">
            <v>D38.6</v>
          </cell>
          <cell r="B1660" t="str">
            <v>Tumor de comportamiento incierto o desconocido de órganos respiratorios, sitio no especificado</v>
          </cell>
        </row>
        <row r="1661">
          <cell r="A1661" t="str">
            <v>D39</v>
          </cell>
          <cell r="B1661" t="str">
            <v>Tumor de comportamiento incierto o desconocido de los órganos genitales femeninos</v>
          </cell>
        </row>
        <row r="1662">
          <cell r="A1662" t="str">
            <v>D39.0</v>
          </cell>
          <cell r="B1662" t="str">
            <v>Tumor de comportamiento incierto o desconocido del útero</v>
          </cell>
        </row>
        <row r="1663">
          <cell r="A1663" t="str">
            <v>D39.1</v>
          </cell>
          <cell r="B1663" t="str">
            <v>Tumor de comportamiento incierto o desconocido del ovario</v>
          </cell>
        </row>
        <row r="1664">
          <cell r="A1664" t="str">
            <v>D39.2</v>
          </cell>
          <cell r="B1664" t="str">
            <v>Tumor de comportamiento incierto o desconocido de la placenta</v>
          </cell>
        </row>
        <row r="1665">
          <cell r="A1665" t="str">
            <v>D39.7</v>
          </cell>
          <cell r="B1665" t="str">
            <v>Tumor de comportamiento incierto o desconocido de otros órganos genitales femeninos</v>
          </cell>
        </row>
        <row r="1666">
          <cell r="A1666" t="str">
            <v>D39.9</v>
          </cell>
          <cell r="B1666" t="str">
            <v>Tumor de comportamiento incierto o desconocido de órgano genital femenino no especificado</v>
          </cell>
        </row>
        <row r="1667">
          <cell r="A1667" t="str">
            <v>D40</v>
          </cell>
          <cell r="B1667" t="str">
            <v>Tumor de comportamiento incierto o desconocido de los órganos genitales masculinos</v>
          </cell>
        </row>
        <row r="1668">
          <cell r="A1668" t="str">
            <v>D40.0</v>
          </cell>
          <cell r="B1668" t="str">
            <v>Tumor de comportamiento incierto o desconocido de la próstata</v>
          </cell>
        </row>
        <row r="1669">
          <cell r="A1669" t="str">
            <v>D40.1</v>
          </cell>
          <cell r="B1669" t="str">
            <v>Tumor de comportamiento incierto o desconocido del testículo</v>
          </cell>
        </row>
        <row r="1670">
          <cell r="A1670" t="str">
            <v>D40.7</v>
          </cell>
          <cell r="B1670" t="str">
            <v>Tumor de comportamiento incierto o desconocido de otros órganos genitales masculinos</v>
          </cell>
        </row>
        <row r="1671">
          <cell r="A1671" t="str">
            <v>D40.9</v>
          </cell>
          <cell r="B1671" t="str">
            <v>Tumor de comportamiento incierto o desconocido de órgano genital masculino no especificado</v>
          </cell>
        </row>
        <row r="1672">
          <cell r="A1672" t="str">
            <v>D41</v>
          </cell>
          <cell r="B1672" t="str">
            <v>Tumor de comportamiento incierto o desconocido de los órganos urinarios</v>
          </cell>
        </row>
        <row r="1673">
          <cell r="A1673" t="str">
            <v>D41.0</v>
          </cell>
          <cell r="B1673" t="str">
            <v>Tumor de comportamiento incierto o desconocido del riñón</v>
          </cell>
        </row>
        <row r="1674">
          <cell r="A1674" t="str">
            <v>D41.1</v>
          </cell>
          <cell r="B1674" t="str">
            <v>Tumor de comportamiento incierto o desconocido de la pelvis renal</v>
          </cell>
        </row>
        <row r="1675">
          <cell r="A1675" t="str">
            <v>D41.2</v>
          </cell>
          <cell r="B1675" t="str">
            <v>Tumor de comportamiento incierto o desconocido del uréter</v>
          </cell>
        </row>
        <row r="1676">
          <cell r="A1676" t="str">
            <v>D41.3</v>
          </cell>
          <cell r="B1676" t="str">
            <v>Tumor de comportamiento incierto o desconocido de la uretra</v>
          </cell>
        </row>
        <row r="1677">
          <cell r="A1677" t="str">
            <v>D41.4</v>
          </cell>
          <cell r="B1677" t="str">
            <v>Tumor de comportamiento incierto o desconocido de la vejiga</v>
          </cell>
        </row>
        <row r="1678">
          <cell r="A1678" t="str">
            <v>D41.7</v>
          </cell>
          <cell r="B1678" t="str">
            <v>Tumor de comportamiento incierto o desconocido de otros órganos urinarios</v>
          </cell>
        </row>
        <row r="1679">
          <cell r="A1679" t="str">
            <v>D41.9</v>
          </cell>
          <cell r="B1679" t="str">
            <v>Tumor de comportamiento incierto o desconocido de órgano urinario no especificado</v>
          </cell>
        </row>
        <row r="1680">
          <cell r="A1680" t="str">
            <v>D42</v>
          </cell>
          <cell r="B1680" t="str">
            <v>Tumor de comportamiento incierto o desconocido de las meninges</v>
          </cell>
        </row>
        <row r="1681">
          <cell r="A1681" t="str">
            <v>D42.0</v>
          </cell>
          <cell r="B1681" t="str">
            <v>Tumor de comportamiento incierto o desconocido de las meninges cerebrales</v>
          </cell>
        </row>
        <row r="1682">
          <cell r="A1682" t="str">
            <v>D42.1</v>
          </cell>
          <cell r="B1682" t="str">
            <v>Tumor de comportamiento incierto o desconocido de las meninges raquídeas</v>
          </cell>
        </row>
        <row r="1683">
          <cell r="A1683" t="str">
            <v>D42.9</v>
          </cell>
          <cell r="B1683" t="str">
            <v>Tumor de comportamiento incierto o desconocido de las meninges, parte no especificada</v>
          </cell>
        </row>
        <row r="1684">
          <cell r="A1684" t="str">
            <v>D43</v>
          </cell>
          <cell r="B1684" t="str">
            <v>Tumor de comportamiento incierto o desconocido del encéfalo y del sistema nervioso central</v>
          </cell>
        </row>
        <row r="1685">
          <cell r="A1685" t="str">
            <v>D43.0</v>
          </cell>
          <cell r="B1685" t="str">
            <v>Tumor de comportamiento incierto o desconocido del encéfalo, supratentorial</v>
          </cell>
        </row>
        <row r="1686">
          <cell r="A1686" t="str">
            <v>D43.1</v>
          </cell>
          <cell r="B1686" t="str">
            <v>Tumor de comportamiento incierto o desconocido del encéfalo, infratentorial</v>
          </cell>
        </row>
        <row r="1687">
          <cell r="A1687" t="str">
            <v>D43.2</v>
          </cell>
          <cell r="B1687" t="str">
            <v>Tumor de comportamiento incierto o desconocido del encéfalo, parte no especificada</v>
          </cell>
        </row>
        <row r="1688">
          <cell r="A1688" t="str">
            <v>D43.3</v>
          </cell>
          <cell r="B1688" t="str">
            <v>Tumor de comportamiento incierto o desconocido de los nervios craneales</v>
          </cell>
        </row>
        <row r="1689">
          <cell r="A1689" t="str">
            <v>D43.4</v>
          </cell>
          <cell r="B1689" t="str">
            <v>Tumor de comportamiento incierto o desconocido de la médula espinal</v>
          </cell>
        </row>
        <row r="1690">
          <cell r="A1690" t="str">
            <v>D43.7</v>
          </cell>
          <cell r="B1690" t="str">
            <v>Tumor de comportamiento incierto o desconocido de otras partes especificadas del sistema nervioso central</v>
          </cell>
        </row>
        <row r="1691">
          <cell r="A1691" t="str">
            <v>D43.9</v>
          </cell>
          <cell r="B1691" t="str">
            <v>Tumor de comportamiento incierto o desconocido del sistema nervioso central, sitio no especificado</v>
          </cell>
        </row>
        <row r="1692">
          <cell r="A1692" t="str">
            <v>D44</v>
          </cell>
          <cell r="B1692" t="str">
            <v>Tumor de comportamiento incierto o desconocido de las glándulas endocrinas</v>
          </cell>
        </row>
        <row r="1693">
          <cell r="A1693" t="str">
            <v>D44.0</v>
          </cell>
          <cell r="B1693" t="str">
            <v>Tumor de comportamiento incierto o desconocido de la glándula tiroides</v>
          </cell>
        </row>
        <row r="1694">
          <cell r="A1694" t="str">
            <v>D44.1</v>
          </cell>
          <cell r="B1694" t="str">
            <v>Tumor de comportamiento incierto o desconocido de la glándula suprarrenal</v>
          </cell>
        </row>
        <row r="1695">
          <cell r="A1695" t="str">
            <v>D44.2</v>
          </cell>
          <cell r="B1695" t="str">
            <v>Tumor de comportamiento incierto o desconocido de la glándula paratiroides</v>
          </cell>
        </row>
        <row r="1696">
          <cell r="A1696" t="str">
            <v>D44.3</v>
          </cell>
          <cell r="B1696" t="str">
            <v>Tumor de comportamiento incierto o desconocido de la glándula hipófisis</v>
          </cell>
        </row>
        <row r="1697">
          <cell r="A1697" t="str">
            <v>D44.4</v>
          </cell>
          <cell r="B1697" t="str">
            <v>Tumor de comportamiento incierto o desconocido del conducto craneofaríngeo</v>
          </cell>
        </row>
        <row r="1698">
          <cell r="A1698" t="str">
            <v>D44.5</v>
          </cell>
          <cell r="B1698" t="str">
            <v>Tumor de comportamiento incierto o desconocido de la glándula pineal</v>
          </cell>
        </row>
        <row r="1699">
          <cell r="A1699" t="str">
            <v>D44.6</v>
          </cell>
          <cell r="B1699" t="str">
            <v>Tumor de comportamiento incierto o desconocido del cuerpo carotídeo</v>
          </cell>
        </row>
        <row r="1700">
          <cell r="A1700" t="str">
            <v>D44.7</v>
          </cell>
          <cell r="B1700" t="str">
            <v>Tumor de comportamiento incierto o desconocido del cuerpo aórtico y otros cuerpos cromafines</v>
          </cell>
        </row>
        <row r="1701">
          <cell r="A1701" t="str">
            <v>D44.8</v>
          </cell>
          <cell r="B1701" t="str">
            <v>Tumor de comportamiento incierto o desconocido con afectación pluriglandular</v>
          </cell>
        </row>
        <row r="1702">
          <cell r="A1702" t="str">
            <v>D44.9</v>
          </cell>
          <cell r="B1702" t="str">
            <v>Tumor de comportamiento incierto o desconocido de glándula endocrina no especificada</v>
          </cell>
        </row>
        <row r="1703">
          <cell r="A1703" t="str">
            <v>D45.X</v>
          </cell>
          <cell r="B1703" t="str">
            <v>Policitemia vera</v>
          </cell>
        </row>
        <row r="1704">
          <cell r="A1704" t="str">
            <v>D46</v>
          </cell>
          <cell r="B1704" t="str">
            <v>Síndromes mielodisplásicos</v>
          </cell>
        </row>
        <row r="1705">
          <cell r="A1705" t="str">
            <v>D46.0</v>
          </cell>
          <cell r="B1705" t="str">
            <v>Anemia refractaria sin sideroblastos, así descrita</v>
          </cell>
        </row>
        <row r="1706">
          <cell r="A1706" t="str">
            <v>D46.1</v>
          </cell>
          <cell r="B1706" t="str">
            <v>Anemia refractaria con sideroblastos</v>
          </cell>
        </row>
        <row r="1707">
          <cell r="A1707" t="str">
            <v>D46.2</v>
          </cell>
          <cell r="B1707" t="str">
            <v>Anemia refractaria con exceso de blastos</v>
          </cell>
        </row>
        <row r="1708">
          <cell r="A1708" t="str">
            <v>D46.3</v>
          </cell>
          <cell r="B1708" t="str">
            <v>Anemia refractaria con exceso de blastos con transformación</v>
          </cell>
        </row>
        <row r="1709">
          <cell r="A1709" t="str">
            <v>D46.4</v>
          </cell>
          <cell r="B1709" t="str">
            <v>Anemia refractaria, sin otra especificación</v>
          </cell>
        </row>
        <row r="1710">
          <cell r="A1710" t="str">
            <v>D46.7</v>
          </cell>
          <cell r="B1710" t="str">
            <v>Otros síndromes mielodisplásicos</v>
          </cell>
        </row>
        <row r="1711">
          <cell r="A1711" t="str">
            <v>D46.9</v>
          </cell>
          <cell r="B1711" t="str">
            <v>Síndrome mielodisplásico, sin otra especificación</v>
          </cell>
        </row>
        <row r="1712">
          <cell r="A1712" t="str">
            <v>D47</v>
          </cell>
          <cell r="B1712" t="str">
            <v>Otros tumores de comportamiento incierto o desconocido del tejido linfático, de los órganos hematopoyéticos y de tejidos afines</v>
          </cell>
        </row>
        <row r="1713">
          <cell r="A1713" t="str">
            <v>D47.0</v>
          </cell>
          <cell r="B1713" t="str">
            <v>Tumor de comportamiento incierto o desconocido de los mastocitos e histiocitos</v>
          </cell>
        </row>
        <row r="1714">
          <cell r="A1714" t="str">
            <v>D47.1</v>
          </cell>
          <cell r="B1714" t="str">
            <v>Enfermedad mieloproliferativa crónica</v>
          </cell>
        </row>
        <row r="1715">
          <cell r="A1715" t="str">
            <v>D47.2</v>
          </cell>
          <cell r="B1715" t="str">
            <v>Gammopatía monoclonal</v>
          </cell>
        </row>
        <row r="1716">
          <cell r="A1716" t="str">
            <v>D47.3</v>
          </cell>
          <cell r="B1716" t="str">
            <v>Trombocitopenia (hemorrágica) esencial</v>
          </cell>
        </row>
        <row r="1717">
          <cell r="A1717" t="str">
            <v>D47.7</v>
          </cell>
          <cell r="B1717" t="str">
            <v>Otros tumores especificados de comportamiento incierto o desconocido del tejido linfático, de los órganos hematopoyéticos y de tejidos afines</v>
          </cell>
        </row>
        <row r="1718">
          <cell r="A1718" t="str">
            <v>D47.9</v>
          </cell>
          <cell r="B1718" t="str">
            <v>Tumores de comportamiento incierto o desconocido del tejido linfático, de los órganos hematopoyéticos y de tejidos afines, no especificados</v>
          </cell>
        </row>
        <row r="1719">
          <cell r="A1719" t="str">
            <v>D48</v>
          </cell>
          <cell r="B1719" t="str">
            <v>Tumor de comportamiento incierto o desconocido de otros sitios y de los no especificados</v>
          </cell>
        </row>
        <row r="1720">
          <cell r="A1720" t="str">
            <v>D48.0</v>
          </cell>
          <cell r="B1720" t="str">
            <v>Tumor de comportamiento incierto o desconocido del hueso y cartílago articular</v>
          </cell>
        </row>
        <row r="1721">
          <cell r="A1721" t="str">
            <v>D48.1</v>
          </cell>
          <cell r="B1721" t="str">
            <v>Tumor de comportamiento incierto o desconocido del tejido conjuntivo y otro tejido blando</v>
          </cell>
        </row>
        <row r="1722">
          <cell r="A1722" t="str">
            <v>D48.2</v>
          </cell>
          <cell r="B1722" t="str">
            <v>Tumor de comportamiento incierto o desconocido de los nervios periféricos y del sistema nervioso autónomo</v>
          </cell>
        </row>
        <row r="1723">
          <cell r="A1723" t="str">
            <v>D48.3</v>
          </cell>
          <cell r="B1723" t="str">
            <v>Tumor de comportamiento incierto o desconocido del retroperitoneo</v>
          </cell>
        </row>
        <row r="1724">
          <cell r="A1724" t="str">
            <v>D48.4</v>
          </cell>
          <cell r="B1724" t="str">
            <v>Tumor de comportamiento incierto o desconocido del peritoneo</v>
          </cell>
        </row>
        <row r="1725">
          <cell r="A1725" t="str">
            <v>D48.5</v>
          </cell>
          <cell r="B1725" t="str">
            <v>Tumor de comportamiento incierto o desconocido de la piel</v>
          </cell>
        </row>
        <row r="1726">
          <cell r="A1726" t="str">
            <v>D48.6</v>
          </cell>
          <cell r="B1726" t="str">
            <v>Tumor de comportamiento incierto o desconocido de la mama</v>
          </cell>
        </row>
        <row r="1727">
          <cell r="A1727" t="str">
            <v>D48.7</v>
          </cell>
          <cell r="B1727" t="str">
            <v>Tumor de comportamiento incierto o desconocido de otros sitios especificados</v>
          </cell>
        </row>
        <row r="1728">
          <cell r="A1728" t="str">
            <v>D48.9</v>
          </cell>
          <cell r="B1728" t="str">
            <v>Tumor de comportamiento incierto o desconocido, de sitio no especificado</v>
          </cell>
        </row>
        <row r="1729">
          <cell r="A1729" t="str">
            <v>D50</v>
          </cell>
          <cell r="B1729" t="str">
            <v>Anemias por deficiencia de hierro</v>
          </cell>
        </row>
        <row r="1730">
          <cell r="A1730" t="str">
            <v>D50.0</v>
          </cell>
          <cell r="B1730" t="str">
            <v>Anemia por deficiencia de hierro secundaria a pérdida de sangre (crónica)</v>
          </cell>
        </row>
        <row r="1731">
          <cell r="A1731" t="str">
            <v>D50.1</v>
          </cell>
          <cell r="B1731" t="str">
            <v>Disfagia sideropénica</v>
          </cell>
        </row>
        <row r="1732">
          <cell r="A1732" t="str">
            <v>D50.8</v>
          </cell>
          <cell r="B1732" t="str">
            <v>Otras anemias por deficiencia de hierro</v>
          </cell>
        </row>
        <row r="1733">
          <cell r="A1733" t="str">
            <v>D50.9</v>
          </cell>
          <cell r="B1733" t="str">
            <v>Anemia por deficiencia de hierro sin otra especificación</v>
          </cell>
        </row>
        <row r="1734">
          <cell r="A1734" t="str">
            <v>D51</v>
          </cell>
          <cell r="B1734" t="str">
            <v>Anemia por deficiencia de vitamina B12</v>
          </cell>
        </row>
        <row r="1735">
          <cell r="A1735" t="str">
            <v>D51.0</v>
          </cell>
          <cell r="B1735" t="str">
            <v>Anemia por deficiencia de vitamina B12 debida a deficiencia del factor intrínseco</v>
          </cell>
        </row>
        <row r="1736">
          <cell r="A1736" t="str">
            <v>D51.1</v>
          </cell>
          <cell r="B1736" t="str">
            <v>Anemia por deficiencia de vitamina B12 debida a mala absorción selectiva de vitamina B12 con proteinuria</v>
          </cell>
        </row>
        <row r="1737">
          <cell r="A1737" t="str">
            <v>D51.2</v>
          </cell>
          <cell r="B1737" t="str">
            <v>Deficiencia de trascobalamina II</v>
          </cell>
        </row>
        <row r="1738">
          <cell r="A1738" t="str">
            <v>D51.3</v>
          </cell>
          <cell r="B1738" t="str">
            <v>Otras anemias por deficiencia dietética de vitamina B12</v>
          </cell>
        </row>
        <row r="1739">
          <cell r="A1739" t="str">
            <v>D51.8</v>
          </cell>
          <cell r="B1739" t="str">
            <v>Otras anemias por deficiencia de vitamina B12</v>
          </cell>
        </row>
        <row r="1740">
          <cell r="A1740" t="str">
            <v>D51.9</v>
          </cell>
          <cell r="B1740" t="str">
            <v>Anemia por deficiencia de vitamina B12, sin otra especificación</v>
          </cell>
        </row>
        <row r="1741">
          <cell r="A1741" t="str">
            <v>D52</v>
          </cell>
          <cell r="B1741" t="str">
            <v>Anemia por deficiencia de folatos</v>
          </cell>
        </row>
        <row r="1742">
          <cell r="A1742" t="str">
            <v>D52.0</v>
          </cell>
          <cell r="B1742" t="str">
            <v>Anemia por deficiencia dietética de folatos</v>
          </cell>
        </row>
        <row r="1743">
          <cell r="A1743" t="str">
            <v>D52.1</v>
          </cell>
          <cell r="B1743" t="str">
            <v>Anemia por deficiencia de folatos inducida por drogas</v>
          </cell>
        </row>
        <row r="1744">
          <cell r="A1744" t="str">
            <v>D52.8</v>
          </cell>
          <cell r="B1744" t="str">
            <v>Otras anemias por deficiencia de folatos</v>
          </cell>
        </row>
        <row r="1745">
          <cell r="A1745" t="str">
            <v>D52.9</v>
          </cell>
          <cell r="B1745" t="str">
            <v>Anemia por deficiencia de folatos, sin otra especificación</v>
          </cell>
        </row>
        <row r="1746">
          <cell r="A1746" t="str">
            <v>D53</v>
          </cell>
          <cell r="B1746" t="str">
            <v>Otras anemias nutricionales</v>
          </cell>
        </row>
        <row r="1747">
          <cell r="A1747" t="str">
            <v>D53.0</v>
          </cell>
          <cell r="B1747" t="str">
            <v>Anemia por deficiencia de proteínas</v>
          </cell>
        </row>
        <row r="1748">
          <cell r="A1748" t="str">
            <v>D53.1</v>
          </cell>
          <cell r="B1748" t="str">
            <v>Otras anemias megaloblásticas, no clasificadas en otra parte</v>
          </cell>
        </row>
        <row r="1749">
          <cell r="A1749" t="str">
            <v>D53.2</v>
          </cell>
          <cell r="B1749" t="str">
            <v>Anemia escorbútica</v>
          </cell>
        </row>
        <row r="1750">
          <cell r="A1750" t="str">
            <v>D53.8</v>
          </cell>
          <cell r="B1750" t="str">
            <v>Otras anemias nutricionales especificadas</v>
          </cell>
        </row>
        <row r="1751">
          <cell r="A1751" t="str">
            <v>D53.9</v>
          </cell>
          <cell r="B1751" t="str">
            <v>Anemia nutricional, no especificada</v>
          </cell>
        </row>
        <row r="1752">
          <cell r="A1752" t="str">
            <v>D55</v>
          </cell>
          <cell r="B1752" t="str">
            <v>Anemia debida a trastornos enzimáticos</v>
          </cell>
        </row>
        <row r="1753">
          <cell r="A1753" t="str">
            <v>D55.0</v>
          </cell>
          <cell r="B1753" t="str">
            <v>Anemia debida a deficiencia de glucosa-6-fosfato deshidrogenasa [G6FD]</v>
          </cell>
        </row>
        <row r="1754">
          <cell r="A1754" t="str">
            <v>D55.1</v>
          </cell>
          <cell r="B1754" t="str">
            <v>Anemia debida a otros trastornos del metabolismo del glutatión</v>
          </cell>
        </row>
        <row r="1755">
          <cell r="A1755" t="str">
            <v>D55.2</v>
          </cell>
          <cell r="B1755" t="str">
            <v>Anemia debida a trastornos de las enzimas glucolíticas</v>
          </cell>
        </row>
        <row r="1756">
          <cell r="A1756" t="str">
            <v>D55.3</v>
          </cell>
          <cell r="B1756" t="str">
            <v>Anemia debida a trastornos del metabolismo de los nucleótidos</v>
          </cell>
        </row>
        <row r="1757">
          <cell r="A1757" t="str">
            <v>D55.8</v>
          </cell>
          <cell r="B1757" t="str">
            <v>Otras anemias debidas a trastornos enzimáticos</v>
          </cell>
        </row>
        <row r="1758">
          <cell r="A1758" t="str">
            <v>D55.9</v>
          </cell>
          <cell r="B1758" t="str">
            <v>Anemia debida a trastornos enzimáticos, sin otra especificación</v>
          </cell>
        </row>
        <row r="1759">
          <cell r="A1759" t="str">
            <v>D56</v>
          </cell>
          <cell r="B1759" t="str">
            <v>Talasemia</v>
          </cell>
        </row>
        <row r="1760">
          <cell r="A1760" t="str">
            <v>D56.0</v>
          </cell>
          <cell r="B1760" t="str">
            <v>Alfa talasemia</v>
          </cell>
        </row>
        <row r="1761">
          <cell r="A1761" t="str">
            <v>D56.1</v>
          </cell>
          <cell r="B1761" t="str">
            <v>Beta talasemia</v>
          </cell>
        </row>
        <row r="1762">
          <cell r="A1762" t="str">
            <v>D56.2</v>
          </cell>
          <cell r="B1762" t="str">
            <v>Delta-beta talasemia</v>
          </cell>
        </row>
        <row r="1763">
          <cell r="A1763" t="str">
            <v>D56.3</v>
          </cell>
          <cell r="B1763" t="str">
            <v>Rasgo talasémico</v>
          </cell>
        </row>
        <row r="1764">
          <cell r="A1764" t="str">
            <v>D56.4</v>
          </cell>
          <cell r="B1764" t="str">
            <v>Persistencia hereditaria de la hemoglobina fetal [PHHF]</v>
          </cell>
        </row>
        <row r="1765">
          <cell r="A1765" t="str">
            <v>D56.8</v>
          </cell>
          <cell r="B1765" t="str">
            <v>Otras talasemias</v>
          </cell>
        </row>
        <row r="1766">
          <cell r="A1766" t="str">
            <v>D56.9</v>
          </cell>
          <cell r="B1766" t="str">
            <v>Talasemia, no especificada</v>
          </cell>
        </row>
        <row r="1767">
          <cell r="A1767" t="str">
            <v>D57</v>
          </cell>
          <cell r="B1767" t="str">
            <v>Trastornos falciformes</v>
          </cell>
        </row>
        <row r="1768">
          <cell r="A1768" t="str">
            <v>D57.0</v>
          </cell>
          <cell r="B1768" t="str">
            <v>Anemia falciforme con crisis</v>
          </cell>
        </row>
        <row r="1769">
          <cell r="A1769" t="str">
            <v>D57.1</v>
          </cell>
          <cell r="B1769" t="str">
            <v>Anemia falciforme sin crisis</v>
          </cell>
        </row>
        <row r="1770">
          <cell r="A1770" t="str">
            <v>D57.2</v>
          </cell>
          <cell r="B1770" t="str">
            <v>Trastornos falciformes heterocigotos dobles</v>
          </cell>
        </row>
        <row r="1771">
          <cell r="A1771" t="str">
            <v>D57.3</v>
          </cell>
          <cell r="B1771" t="str">
            <v>Rasgo drepanocítico</v>
          </cell>
        </row>
        <row r="1772">
          <cell r="A1772" t="str">
            <v>D57.8</v>
          </cell>
          <cell r="B1772" t="str">
            <v>Otros trastornos falciformes</v>
          </cell>
        </row>
        <row r="1773">
          <cell r="A1773" t="str">
            <v>D58</v>
          </cell>
          <cell r="B1773" t="str">
            <v>Otras anemias hemolíticas hereditarias</v>
          </cell>
        </row>
        <row r="1774">
          <cell r="A1774" t="str">
            <v>D58.0</v>
          </cell>
          <cell r="B1774" t="str">
            <v>Esferocitosis hereditaria</v>
          </cell>
        </row>
        <row r="1775">
          <cell r="A1775" t="str">
            <v>D58.1</v>
          </cell>
          <cell r="B1775" t="str">
            <v>Eliptocitosis hereditaria</v>
          </cell>
        </row>
        <row r="1776">
          <cell r="A1776" t="str">
            <v>D58.2</v>
          </cell>
          <cell r="B1776" t="str">
            <v>Otras hemoglobinopatías</v>
          </cell>
        </row>
        <row r="1777">
          <cell r="A1777" t="str">
            <v>D58.8</v>
          </cell>
          <cell r="B1777" t="str">
            <v>Otras anemias hemolíticas hereditarias especificadas</v>
          </cell>
        </row>
        <row r="1778">
          <cell r="A1778" t="str">
            <v>D58.9</v>
          </cell>
          <cell r="B1778" t="str">
            <v>Anemia hemolítica hereditaria, sin otra especificación</v>
          </cell>
        </row>
        <row r="1779">
          <cell r="A1779" t="str">
            <v>D59</v>
          </cell>
          <cell r="B1779" t="str">
            <v>Anemia hemolítica adquirida</v>
          </cell>
        </row>
        <row r="1780">
          <cell r="A1780" t="str">
            <v>D59.0</v>
          </cell>
          <cell r="B1780" t="str">
            <v>Anemia hemolítica autoinmune inducida por drogas</v>
          </cell>
        </row>
        <row r="1781">
          <cell r="A1781" t="str">
            <v>D59.1</v>
          </cell>
          <cell r="B1781" t="str">
            <v>Otras anemias hemolíticas autoinmunes</v>
          </cell>
        </row>
        <row r="1782">
          <cell r="A1782" t="str">
            <v>D59.2</v>
          </cell>
          <cell r="B1782" t="str">
            <v>Anemia hemolítica no autoinmune inducida por drogas</v>
          </cell>
        </row>
        <row r="1783">
          <cell r="A1783" t="str">
            <v>D59.3</v>
          </cell>
          <cell r="B1783" t="str">
            <v>Síndrome hemolítico-urémico</v>
          </cell>
        </row>
        <row r="1784">
          <cell r="A1784" t="str">
            <v>D59.4</v>
          </cell>
          <cell r="B1784" t="str">
            <v>Otras anemias hemolíticas no autoinmunes</v>
          </cell>
        </row>
        <row r="1785">
          <cell r="A1785" t="str">
            <v>D59.5</v>
          </cell>
          <cell r="B1785" t="str">
            <v>Hemoglobinuria paroxística nocturna [Marchiafava-Micheli]</v>
          </cell>
        </row>
        <row r="1786">
          <cell r="A1786" t="str">
            <v>D59.6</v>
          </cell>
          <cell r="B1786" t="str">
            <v>Hemoglobinuria debida a hemólisis por otras causas externas</v>
          </cell>
        </row>
        <row r="1787">
          <cell r="A1787" t="str">
            <v>D59.8</v>
          </cell>
          <cell r="B1787" t="str">
            <v>Otras anemias hemolíticas adquiridas</v>
          </cell>
        </row>
        <row r="1788">
          <cell r="A1788" t="str">
            <v>D59.9</v>
          </cell>
          <cell r="B1788" t="str">
            <v>Anemia hemolítica adquirida, sin otra especificación</v>
          </cell>
        </row>
        <row r="1789">
          <cell r="A1789" t="str">
            <v>D60</v>
          </cell>
          <cell r="B1789" t="str">
            <v>Aplasia adquirida, exclusiva de la serie roja [eritroblastopenia]</v>
          </cell>
        </row>
        <row r="1790">
          <cell r="A1790" t="str">
            <v>D60.0</v>
          </cell>
          <cell r="B1790" t="str">
            <v>Aplasia crónica adquirida, exclusiva de la serie roja</v>
          </cell>
        </row>
        <row r="1791">
          <cell r="A1791" t="str">
            <v>D60.1</v>
          </cell>
          <cell r="B1791" t="str">
            <v>Aplasia transitoria adquirida, exclusiva de la serie roja</v>
          </cell>
        </row>
        <row r="1792">
          <cell r="A1792" t="str">
            <v>D60.8</v>
          </cell>
          <cell r="B1792" t="str">
            <v>Otras aplasias adquiridas, exclusivas de la serie roja</v>
          </cell>
        </row>
        <row r="1793">
          <cell r="A1793" t="str">
            <v>D60.9</v>
          </cell>
          <cell r="B1793" t="str">
            <v>Aplasia adquirida, exclusiva de la serie roja, no especificada</v>
          </cell>
        </row>
        <row r="1794">
          <cell r="A1794" t="str">
            <v>D61</v>
          </cell>
          <cell r="B1794" t="str">
            <v>Otras anemias aplásticas</v>
          </cell>
        </row>
        <row r="1795">
          <cell r="A1795" t="str">
            <v>D61.0</v>
          </cell>
          <cell r="B1795" t="str">
            <v>Anemia aplástica constitucional</v>
          </cell>
        </row>
        <row r="1796">
          <cell r="A1796" t="str">
            <v>D61.1</v>
          </cell>
          <cell r="B1796" t="str">
            <v>Anemia aplástica inducida por drogas</v>
          </cell>
        </row>
        <row r="1797">
          <cell r="A1797" t="str">
            <v>D61.2</v>
          </cell>
          <cell r="B1797" t="str">
            <v>Anemia aplástica debida a otros agentes externos</v>
          </cell>
        </row>
        <row r="1798">
          <cell r="A1798" t="str">
            <v>D61.3</v>
          </cell>
          <cell r="B1798" t="str">
            <v>Anemia aplástica idiopática</v>
          </cell>
        </row>
        <row r="1799">
          <cell r="A1799" t="str">
            <v>D61.8</v>
          </cell>
          <cell r="B1799" t="str">
            <v>Otras anemias aplásticas especificadas</v>
          </cell>
        </row>
        <row r="1800">
          <cell r="A1800" t="str">
            <v>D61.9</v>
          </cell>
          <cell r="B1800" t="str">
            <v>Anemia aplástica, sin otra especificación</v>
          </cell>
        </row>
        <row r="1801">
          <cell r="A1801" t="str">
            <v>D62.X</v>
          </cell>
          <cell r="B1801" t="str">
            <v>Anemia posthemorrágica aguda</v>
          </cell>
        </row>
        <row r="1802">
          <cell r="A1802" t="str">
            <v>D63*</v>
          </cell>
          <cell r="B1802" t="str">
            <v>Anemia en enfermedades crónicas clasificadas en otra parte</v>
          </cell>
        </row>
        <row r="1803">
          <cell r="A1803" t="str">
            <v>D63.0*</v>
          </cell>
          <cell r="B1803" t="str">
            <v>Anemia en enfermedad neoplásica (C00-D48+)</v>
          </cell>
        </row>
        <row r="1804">
          <cell r="A1804" t="str">
            <v>D63.8*</v>
          </cell>
          <cell r="B1804" t="str">
            <v>Anemia en otras enfermedades crónicas clasificadas en otra parte</v>
          </cell>
        </row>
        <row r="1805">
          <cell r="A1805" t="str">
            <v>D64</v>
          </cell>
          <cell r="B1805" t="str">
            <v>Otras anemias</v>
          </cell>
        </row>
        <row r="1806">
          <cell r="A1806" t="str">
            <v>D64.0</v>
          </cell>
          <cell r="B1806" t="str">
            <v>Anemia sideroblástica hereditaria</v>
          </cell>
        </row>
        <row r="1807">
          <cell r="A1807" t="str">
            <v>D64.1</v>
          </cell>
          <cell r="B1807" t="str">
            <v>Anemia sideroblástica secundaria a otra enfermedad</v>
          </cell>
        </row>
        <row r="1808">
          <cell r="A1808" t="str">
            <v>D64.2</v>
          </cell>
          <cell r="B1808" t="str">
            <v>Anemia sideroblástica secundaria, debida a drogas y toxinas</v>
          </cell>
        </row>
        <row r="1809">
          <cell r="A1809" t="str">
            <v>D64.3</v>
          </cell>
          <cell r="B1809" t="str">
            <v>Otras anemias sideroblásticas</v>
          </cell>
        </row>
        <row r="1810">
          <cell r="A1810" t="str">
            <v>D64.4</v>
          </cell>
          <cell r="B1810" t="str">
            <v>Anemia diseritropoyética congénita</v>
          </cell>
        </row>
        <row r="1811">
          <cell r="A1811" t="str">
            <v>D64.8</v>
          </cell>
          <cell r="B1811" t="str">
            <v>Otras anemias especificadas</v>
          </cell>
        </row>
        <row r="1812">
          <cell r="A1812" t="str">
            <v>D64.9</v>
          </cell>
          <cell r="B1812" t="str">
            <v>Anemia de tipo no especificado</v>
          </cell>
        </row>
        <row r="1813">
          <cell r="A1813" t="str">
            <v>D65.X</v>
          </cell>
          <cell r="B1813" t="str">
            <v>Coagulación intravascular diseminada [síndrome de desfibrinación]</v>
          </cell>
        </row>
        <row r="1814">
          <cell r="A1814" t="str">
            <v>D66.X</v>
          </cell>
          <cell r="B1814" t="str">
            <v>Deficiencia hereditaria del factor VIII</v>
          </cell>
        </row>
        <row r="1815">
          <cell r="A1815" t="str">
            <v>D67.X</v>
          </cell>
          <cell r="B1815" t="str">
            <v>Deficiencia hereditaria del factor IX</v>
          </cell>
        </row>
        <row r="1816">
          <cell r="A1816" t="str">
            <v>D68</v>
          </cell>
          <cell r="B1816" t="str">
            <v>Otros defectos de la coagulación</v>
          </cell>
        </row>
        <row r="1817">
          <cell r="A1817" t="str">
            <v>D68.0</v>
          </cell>
          <cell r="B1817" t="str">
            <v>Enfermedad de von Willebrand</v>
          </cell>
        </row>
        <row r="1818">
          <cell r="A1818" t="str">
            <v>D68.1</v>
          </cell>
          <cell r="B1818" t="str">
            <v>Deficiencia hereditaria del factor XI</v>
          </cell>
        </row>
        <row r="1819">
          <cell r="A1819" t="str">
            <v>D68.2</v>
          </cell>
          <cell r="B1819" t="str">
            <v>Deficiencia hereditaria de otros factores de la coagulación</v>
          </cell>
        </row>
        <row r="1820">
          <cell r="A1820" t="str">
            <v>D68.3</v>
          </cell>
          <cell r="B1820" t="str">
            <v>Trastorno hemorrágico debido a anticoagulantes circulantes</v>
          </cell>
        </row>
        <row r="1821">
          <cell r="A1821" t="str">
            <v>D68.4</v>
          </cell>
          <cell r="B1821" t="str">
            <v>Deficiencia adquirida de factores de la coagulación</v>
          </cell>
        </row>
        <row r="1822">
          <cell r="A1822" t="str">
            <v>D68.8</v>
          </cell>
          <cell r="B1822" t="str">
            <v>Otros defectos especificados de la coagulación</v>
          </cell>
        </row>
        <row r="1823">
          <cell r="A1823" t="str">
            <v>D68.9</v>
          </cell>
          <cell r="B1823" t="str">
            <v>Defecto de la coagulación, no especificado</v>
          </cell>
        </row>
        <row r="1824">
          <cell r="A1824" t="str">
            <v>D69</v>
          </cell>
          <cell r="B1824" t="str">
            <v>Púrpura y otras afecciones hemorrágicas</v>
          </cell>
        </row>
        <row r="1825">
          <cell r="A1825" t="str">
            <v>D69.0</v>
          </cell>
          <cell r="B1825" t="str">
            <v>Púrpura alérgica</v>
          </cell>
        </row>
        <row r="1826">
          <cell r="A1826" t="str">
            <v>D69.1</v>
          </cell>
          <cell r="B1826" t="str">
            <v>Defectos cualitativos de las plaquetas</v>
          </cell>
        </row>
        <row r="1827">
          <cell r="A1827" t="str">
            <v>D69.2</v>
          </cell>
          <cell r="B1827" t="str">
            <v>Otras púrpuras no trombocitopénicas</v>
          </cell>
        </row>
        <row r="1828">
          <cell r="A1828" t="str">
            <v>D69.3</v>
          </cell>
          <cell r="B1828" t="str">
            <v>Púpura trombocitopénica idiopática</v>
          </cell>
        </row>
        <row r="1829">
          <cell r="A1829" t="str">
            <v>D69.4</v>
          </cell>
          <cell r="B1829" t="str">
            <v>Otras trombocitopenias primarias</v>
          </cell>
        </row>
        <row r="1830">
          <cell r="A1830" t="str">
            <v>D69.5</v>
          </cell>
          <cell r="B1830" t="str">
            <v>Tombocitopenia secundaria</v>
          </cell>
        </row>
        <row r="1831">
          <cell r="A1831" t="str">
            <v>D69.6</v>
          </cell>
          <cell r="B1831" t="str">
            <v>Trombocitopenia no especificada</v>
          </cell>
        </row>
        <row r="1832">
          <cell r="A1832" t="str">
            <v>D69.8</v>
          </cell>
          <cell r="B1832" t="str">
            <v>Otras afecciones hemorrágicas especificadas</v>
          </cell>
        </row>
        <row r="1833">
          <cell r="A1833" t="str">
            <v>D69.9</v>
          </cell>
          <cell r="B1833" t="str">
            <v>Afección hemorrágica, no especificada</v>
          </cell>
        </row>
        <row r="1834">
          <cell r="A1834" t="str">
            <v>D70.X</v>
          </cell>
          <cell r="B1834" t="str">
            <v>Agranulocitosis</v>
          </cell>
        </row>
        <row r="1835">
          <cell r="A1835" t="str">
            <v>D71.X</v>
          </cell>
          <cell r="B1835" t="str">
            <v>Trastornos funcionales de los polimorfonucleares neutrófilos</v>
          </cell>
        </row>
        <row r="1836">
          <cell r="A1836" t="str">
            <v>D72</v>
          </cell>
          <cell r="B1836" t="str">
            <v>Otros trastornos de los leucocitos</v>
          </cell>
        </row>
        <row r="1837">
          <cell r="A1837" t="str">
            <v>D72.0</v>
          </cell>
          <cell r="B1837" t="str">
            <v>Anomalías genéticas de los leucocitos</v>
          </cell>
        </row>
        <row r="1838">
          <cell r="A1838" t="str">
            <v>D72.1</v>
          </cell>
          <cell r="B1838" t="str">
            <v>Eosinofilia</v>
          </cell>
        </row>
        <row r="1839">
          <cell r="A1839" t="str">
            <v>D72.8</v>
          </cell>
          <cell r="B1839" t="str">
            <v>Otros trastornos especificados de los leucocitos</v>
          </cell>
        </row>
        <row r="1840">
          <cell r="A1840" t="str">
            <v>D72.9</v>
          </cell>
          <cell r="B1840" t="str">
            <v>Trastorno de los leucocitos, no especificado</v>
          </cell>
        </row>
        <row r="1841">
          <cell r="A1841" t="str">
            <v>D73</v>
          </cell>
          <cell r="B1841" t="str">
            <v>Enfermedades del bazo</v>
          </cell>
        </row>
        <row r="1842">
          <cell r="A1842" t="str">
            <v>D73.0</v>
          </cell>
          <cell r="B1842" t="str">
            <v>Hipoesplenismo</v>
          </cell>
        </row>
        <row r="1843">
          <cell r="A1843" t="str">
            <v>D73.1</v>
          </cell>
          <cell r="B1843" t="str">
            <v>Hiperesplenismo</v>
          </cell>
        </row>
        <row r="1844">
          <cell r="A1844" t="str">
            <v>D73.2</v>
          </cell>
          <cell r="B1844" t="str">
            <v>Esplenomegalia congestiva crónica</v>
          </cell>
        </row>
        <row r="1845">
          <cell r="A1845" t="str">
            <v>D73.3</v>
          </cell>
          <cell r="B1845" t="str">
            <v>Absceso del bazo</v>
          </cell>
        </row>
        <row r="1846">
          <cell r="A1846" t="str">
            <v>D73.4</v>
          </cell>
          <cell r="B1846" t="str">
            <v>Quiste del bazo</v>
          </cell>
        </row>
        <row r="1847">
          <cell r="A1847" t="str">
            <v>D73.5</v>
          </cell>
          <cell r="B1847" t="str">
            <v>Infarto del bazo</v>
          </cell>
        </row>
        <row r="1848">
          <cell r="A1848" t="str">
            <v>D73.8</v>
          </cell>
          <cell r="B1848" t="str">
            <v>Otras enfermedades del bazo</v>
          </cell>
        </row>
        <row r="1849">
          <cell r="A1849" t="str">
            <v>D73.9</v>
          </cell>
          <cell r="B1849" t="str">
            <v>Enfermedad del bazo, no especificada</v>
          </cell>
        </row>
        <row r="1850">
          <cell r="A1850" t="str">
            <v>D74</v>
          </cell>
          <cell r="B1850" t="str">
            <v>Metahemoglobinemia</v>
          </cell>
        </row>
        <row r="1851">
          <cell r="A1851" t="str">
            <v>D74.0</v>
          </cell>
          <cell r="B1851" t="str">
            <v>Metahemoglobinemia congénita</v>
          </cell>
        </row>
        <row r="1852">
          <cell r="A1852" t="str">
            <v>D74.8</v>
          </cell>
          <cell r="B1852" t="str">
            <v>Otras metahemoglobinemias</v>
          </cell>
        </row>
        <row r="1853">
          <cell r="A1853" t="str">
            <v>D74.9</v>
          </cell>
          <cell r="B1853" t="str">
            <v>Metahemoglobinemia, no especificada</v>
          </cell>
        </row>
        <row r="1854">
          <cell r="A1854" t="str">
            <v>D75</v>
          </cell>
          <cell r="B1854" t="str">
            <v>Otras enfermedades de la sangre y de los órganos hematopoyéticos</v>
          </cell>
        </row>
        <row r="1855">
          <cell r="A1855" t="str">
            <v>D75.0</v>
          </cell>
          <cell r="B1855" t="str">
            <v>Eritrocitosis familiar</v>
          </cell>
        </row>
        <row r="1856">
          <cell r="A1856" t="str">
            <v>D75.1</v>
          </cell>
          <cell r="B1856" t="str">
            <v>Policitemia secundaria</v>
          </cell>
        </row>
        <row r="1857">
          <cell r="A1857" t="str">
            <v>D75.2</v>
          </cell>
          <cell r="B1857" t="str">
            <v>Trombocitosis esencial</v>
          </cell>
        </row>
        <row r="1858">
          <cell r="A1858" t="str">
            <v>D75.8</v>
          </cell>
          <cell r="B1858" t="str">
            <v>Otras enfermedades especificadas de la sangre y de los órganos hematopoyéticos</v>
          </cell>
        </row>
        <row r="1859">
          <cell r="A1859" t="str">
            <v>D75.9</v>
          </cell>
          <cell r="B1859" t="str">
            <v>Enfermedad de la sangre y de los órganos hematopoyéticos, no especificada</v>
          </cell>
        </row>
        <row r="1860">
          <cell r="A1860" t="str">
            <v>D76</v>
          </cell>
          <cell r="B1860" t="str">
            <v>Ciertas enfermedades que afectan al tejido linforreticular y al sistema reticuloendotelial</v>
          </cell>
        </row>
        <row r="1861">
          <cell r="A1861" t="str">
            <v>D76.0</v>
          </cell>
          <cell r="B1861" t="str">
            <v>Histiocitosis de las células de Langerhans, no clasificada en otra parte</v>
          </cell>
        </row>
        <row r="1862">
          <cell r="A1862" t="str">
            <v>D76.1</v>
          </cell>
          <cell r="B1862" t="str">
            <v>Linfohistiocitosis hemofagocítica</v>
          </cell>
        </row>
        <row r="1863">
          <cell r="A1863" t="str">
            <v>D76.2</v>
          </cell>
          <cell r="B1863" t="str">
            <v>Síndrome hemofagocítico asociado a infección</v>
          </cell>
        </row>
        <row r="1864">
          <cell r="A1864" t="str">
            <v>D76.3</v>
          </cell>
          <cell r="B1864" t="str">
            <v>Otros síndromes histiocíticos</v>
          </cell>
        </row>
        <row r="1865">
          <cell r="A1865" t="str">
            <v>D77.X*</v>
          </cell>
          <cell r="B1865" t="str">
            <v>Otros trastornos de la sangre y de los órganos hematopoyéticos en enfermedades clasificadas en otra parte</v>
          </cell>
        </row>
        <row r="1866">
          <cell r="A1866" t="str">
            <v>D80</v>
          </cell>
          <cell r="B1866" t="str">
            <v>Inmunodeficiencia con predominio de defectos de los anticuerpos</v>
          </cell>
        </row>
        <row r="1867">
          <cell r="A1867" t="str">
            <v>D80.0</v>
          </cell>
          <cell r="B1867" t="str">
            <v>Hipogammaglobulinemia hereditaria</v>
          </cell>
        </row>
        <row r="1868">
          <cell r="A1868" t="str">
            <v>D80.1</v>
          </cell>
          <cell r="B1868" t="str">
            <v>Hipogammaglobulinemia no familiar</v>
          </cell>
        </row>
        <row r="1869">
          <cell r="A1869" t="str">
            <v>D80.2</v>
          </cell>
          <cell r="B1869" t="str">
            <v>Deficiencia selectiva de inmunoglobulina A [IgA]</v>
          </cell>
        </row>
        <row r="1870">
          <cell r="A1870" t="str">
            <v>D80.3</v>
          </cell>
          <cell r="B1870" t="str">
            <v>Deficiencia selectiva de subclases de la inmunoglobulina G [IgG]</v>
          </cell>
        </row>
        <row r="1871">
          <cell r="A1871" t="str">
            <v>D80.4</v>
          </cell>
          <cell r="B1871" t="str">
            <v>Deficiencia selectiva de inmunoglobulina M [IgM]</v>
          </cell>
        </row>
        <row r="1872">
          <cell r="A1872" t="str">
            <v>D80.5</v>
          </cell>
          <cell r="B1872" t="str">
            <v>Inmunodeficiencia con incremento de inmunoglobulina M [IgM]</v>
          </cell>
        </row>
        <row r="1873">
          <cell r="A1873" t="str">
            <v>D80.6</v>
          </cell>
          <cell r="B1873" t="str">
            <v>Deficiencia de anticuerpos con inmunoglobulinas casi normales o con hiperinmunoglobulinemia</v>
          </cell>
        </row>
        <row r="1874">
          <cell r="A1874" t="str">
            <v>D80.7</v>
          </cell>
          <cell r="B1874" t="str">
            <v>Hipogammaglobulinemia transitoria de la infancia</v>
          </cell>
        </row>
        <row r="1875">
          <cell r="A1875" t="str">
            <v>D80.8</v>
          </cell>
          <cell r="B1875" t="str">
            <v>Otras inmunodeficiencias con predominio de defectos de los anticuerpos</v>
          </cell>
        </row>
        <row r="1876">
          <cell r="A1876" t="str">
            <v>D80.9</v>
          </cell>
          <cell r="B1876" t="str">
            <v>Inmunodeficiencia con predominio de defectos de los anticuerpos, no especificada</v>
          </cell>
        </row>
        <row r="1877">
          <cell r="A1877" t="str">
            <v>D81</v>
          </cell>
          <cell r="B1877" t="str">
            <v>Inmunodeficiencias combinadas</v>
          </cell>
        </row>
        <row r="1878">
          <cell r="A1878" t="str">
            <v>D81.0</v>
          </cell>
          <cell r="B1878" t="str">
            <v>Inmunodeficiencia combinada severa [IDCS] con disgenesia reticular</v>
          </cell>
        </row>
        <row r="1879">
          <cell r="A1879" t="str">
            <v>D81.1</v>
          </cell>
          <cell r="B1879" t="str">
            <v>Inmunodeficiencia combinada severa [IDCS] con linfocitopenia T y B</v>
          </cell>
        </row>
        <row r="1880">
          <cell r="A1880" t="str">
            <v>D81.2</v>
          </cell>
          <cell r="B1880" t="str">
            <v>Inmunodeficiencia combinada severa [IDCS] con cifra baja o normal de linfocitos B</v>
          </cell>
        </row>
        <row r="1881">
          <cell r="A1881" t="str">
            <v>D81.3</v>
          </cell>
          <cell r="B1881" t="str">
            <v>Deficiencia de la adenosina deaminasa [ADA]</v>
          </cell>
        </row>
        <row r="1882">
          <cell r="A1882" t="str">
            <v>D81.4</v>
          </cell>
          <cell r="B1882" t="str">
            <v>Síndrome de Nezelof</v>
          </cell>
        </row>
        <row r="1883">
          <cell r="A1883" t="str">
            <v>D81.5</v>
          </cell>
          <cell r="B1883" t="str">
            <v>Deficiencia de la fosforilasa purinonucleósida [FPN]</v>
          </cell>
        </row>
        <row r="1884">
          <cell r="A1884" t="str">
            <v>D81.6</v>
          </cell>
          <cell r="B1884" t="str">
            <v>Deficiencia de la clase I del complejo de histocompatibilidad mayor</v>
          </cell>
        </row>
        <row r="1885">
          <cell r="A1885" t="str">
            <v>D81.7</v>
          </cell>
          <cell r="B1885" t="str">
            <v>Deficiencia de la clase II del complejo de histocompatibilidad mayor</v>
          </cell>
        </row>
        <row r="1886">
          <cell r="A1886" t="str">
            <v>D81.8</v>
          </cell>
          <cell r="B1886" t="str">
            <v>Otras inmunodeficiencias combinadas</v>
          </cell>
        </row>
        <row r="1887">
          <cell r="A1887" t="str">
            <v>D81.9</v>
          </cell>
          <cell r="B1887" t="str">
            <v>Inmunodeficiencia combinada, no especificada</v>
          </cell>
        </row>
        <row r="1888">
          <cell r="A1888" t="str">
            <v>D82</v>
          </cell>
          <cell r="B1888" t="str">
            <v>Inmunodeficiencia asociada con otros defectos mayores</v>
          </cell>
        </row>
        <row r="1889">
          <cell r="A1889" t="str">
            <v>D82.0</v>
          </cell>
          <cell r="B1889" t="str">
            <v>Síndrome de Wiskott-Aldrich</v>
          </cell>
        </row>
        <row r="1890">
          <cell r="A1890" t="str">
            <v>D82.1</v>
          </cell>
          <cell r="B1890" t="str">
            <v>Síndrome de Di George</v>
          </cell>
        </row>
        <row r="1891">
          <cell r="A1891" t="str">
            <v>D82.2</v>
          </cell>
          <cell r="B1891" t="str">
            <v>Inmunodeficiencia con enanismo micromélico [miembros cortos]</v>
          </cell>
        </row>
        <row r="1892">
          <cell r="A1892" t="str">
            <v>D82.3</v>
          </cell>
          <cell r="B1892" t="str">
            <v>Inmunodeficiencia consecutiva a respuesta defectuosa hereditaria contra el virus de Epstein-Barr</v>
          </cell>
        </row>
        <row r="1893">
          <cell r="A1893" t="str">
            <v>D82.4</v>
          </cell>
          <cell r="B1893" t="str">
            <v>Síndrome de hiperinmunoglobulina E [IgE]</v>
          </cell>
        </row>
        <row r="1894">
          <cell r="A1894" t="str">
            <v>D82.8</v>
          </cell>
          <cell r="B1894" t="str">
            <v>Inmunodeficiencia asociada con otros defectos mayores especificados</v>
          </cell>
        </row>
        <row r="1895">
          <cell r="A1895" t="str">
            <v>D82.9</v>
          </cell>
          <cell r="B1895" t="str">
            <v>Inmunodeficiencia asociada con defectos mayores no especificados</v>
          </cell>
        </row>
        <row r="1896">
          <cell r="A1896" t="str">
            <v>D83</v>
          </cell>
          <cell r="B1896" t="str">
            <v>Inmunodeficiencia variable común</v>
          </cell>
        </row>
        <row r="1897">
          <cell r="A1897" t="str">
            <v>D83.0</v>
          </cell>
          <cell r="B1897" t="str">
            <v>Inmunodeficiencia variable común con predominio de anormalidades en el número y la función de los linfocitos B</v>
          </cell>
        </row>
        <row r="1898">
          <cell r="A1898" t="str">
            <v>D83.1</v>
          </cell>
          <cell r="B1898" t="str">
            <v>Inmunodeficiencia variable común con predominio de trastornos inmunorreguladores de los linfocitos T</v>
          </cell>
        </row>
        <row r="1899">
          <cell r="A1899" t="str">
            <v>D83.2</v>
          </cell>
          <cell r="B1899" t="str">
            <v>Inmunodeficiencia variable común con autoanticuerpos anti-B o anti-T</v>
          </cell>
        </row>
        <row r="1900">
          <cell r="A1900" t="str">
            <v>D83.8</v>
          </cell>
          <cell r="B1900" t="str">
            <v>Otras inmunodeficiencias variables comunes</v>
          </cell>
        </row>
        <row r="1901">
          <cell r="A1901" t="str">
            <v>D83.9</v>
          </cell>
          <cell r="B1901" t="str">
            <v>Inmunodeficiencia variable común, no especificada</v>
          </cell>
        </row>
        <row r="1902">
          <cell r="A1902" t="str">
            <v>D84</v>
          </cell>
          <cell r="B1902" t="str">
            <v>Otras inmunodeficiencias</v>
          </cell>
        </row>
        <row r="1903">
          <cell r="A1903" t="str">
            <v>D84.0</v>
          </cell>
          <cell r="B1903" t="str">
            <v>Defecto de la función del antígeno-1 del linfocito [LFA-1]</v>
          </cell>
        </row>
        <row r="1904">
          <cell r="A1904" t="str">
            <v>D84.1</v>
          </cell>
          <cell r="B1904" t="str">
            <v>Defecto del sistema del complemento</v>
          </cell>
        </row>
        <row r="1905">
          <cell r="A1905" t="str">
            <v>D84.8</v>
          </cell>
          <cell r="B1905" t="str">
            <v>Otras inmunodeficiencias especificadas</v>
          </cell>
        </row>
        <row r="1906">
          <cell r="A1906" t="str">
            <v>D84.9</v>
          </cell>
          <cell r="B1906" t="str">
            <v>Inmunodeficiencia, no especificada</v>
          </cell>
        </row>
        <row r="1907">
          <cell r="A1907" t="str">
            <v>D86</v>
          </cell>
          <cell r="B1907" t="str">
            <v>Sarcoidosis</v>
          </cell>
        </row>
        <row r="1908">
          <cell r="A1908" t="str">
            <v>D86.0</v>
          </cell>
          <cell r="B1908" t="str">
            <v>Sarcoidosis del pulmón</v>
          </cell>
        </row>
        <row r="1909">
          <cell r="A1909" t="str">
            <v>D86.1</v>
          </cell>
          <cell r="B1909" t="str">
            <v>Sarcoidosis de los ganglios linfáticos</v>
          </cell>
        </row>
        <row r="1910">
          <cell r="A1910" t="str">
            <v>D86.2</v>
          </cell>
          <cell r="B1910" t="str">
            <v>Sarcoidosis del pulmón y de los ganglios linfáticos</v>
          </cell>
        </row>
        <row r="1911">
          <cell r="A1911" t="str">
            <v>D86.3</v>
          </cell>
          <cell r="B1911" t="str">
            <v>Sarcoidosis de la piel</v>
          </cell>
        </row>
        <row r="1912">
          <cell r="A1912" t="str">
            <v>D86.8</v>
          </cell>
          <cell r="B1912" t="str">
            <v>Sarcoidosis de otros sitios especificados o de sitios combinados</v>
          </cell>
        </row>
        <row r="1913">
          <cell r="A1913" t="str">
            <v>D86.9</v>
          </cell>
          <cell r="B1913" t="str">
            <v>Sarcoidosis de sitio no especificado</v>
          </cell>
        </row>
        <row r="1914">
          <cell r="A1914" t="str">
            <v>D89</v>
          </cell>
          <cell r="B1914" t="str">
            <v>Otros trastornos que afectan el mecanismo de la inmunidad, no clasificados en otra parte</v>
          </cell>
        </row>
        <row r="1915">
          <cell r="A1915" t="str">
            <v>D89.0</v>
          </cell>
          <cell r="B1915" t="str">
            <v>Hipergammaglobulinemia policlonal</v>
          </cell>
        </row>
        <row r="1916">
          <cell r="A1916" t="str">
            <v>D89.1</v>
          </cell>
          <cell r="B1916" t="str">
            <v>Crioglobulinemia</v>
          </cell>
        </row>
        <row r="1917">
          <cell r="A1917" t="str">
            <v>D89.2</v>
          </cell>
          <cell r="B1917" t="str">
            <v>Hipergammaglobulinemia, no especificada</v>
          </cell>
        </row>
        <row r="1918">
          <cell r="A1918" t="str">
            <v>D89.8</v>
          </cell>
          <cell r="B1918" t="str">
            <v>Otros trastornos especificados que afectan el mecanismo de la inmunidad, no clasificados en otra parte</v>
          </cell>
        </row>
        <row r="1919">
          <cell r="A1919" t="str">
            <v>D89.9</v>
          </cell>
          <cell r="B1919" t="str">
            <v>Trastorno que afecta al mecanismo de la inmunidad, no especificado</v>
          </cell>
        </row>
        <row r="1920">
          <cell r="A1920" t="str">
            <v>E</v>
          </cell>
          <cell r="B1920" t="str">
            <v>Transtornos Endocrinológicos y del Metabolismo</v>
          </cell>
        </row>
        <row r="1921">
          <cell r="A1921" t="str">
            <v>E00</v>
          </cell>
          <cell r="B1921" t="str">
            <v>Síndrome congénito de deficiencia de yodo</v>
          </cell>
        </row>
        <row r="1922">
          <cell r="A1922" t="str">
            <v>E00.0</v>
          </cell>
          <cell r="B1922" t="str">
            <v>Síndrome congénito de deficiencia de yodo, tipo neurológico</v>
          </cell>
        </row>
        <row r="1923">
          <cell r="A1923" t="str">
            <v>E00.1</v>
          </cell>
          <cell r="B1923" t="str">
            <v>Síndrome de deficiencia congénita de yodo, tipo mixedematoso</v>
          </cell>
        </row>
        <row r="1924">
          <cell r="A1924" t="str">
            <v>E00.2</v>
          </cell>
          <cell r="B1924" t="str">
            <v>Síndrome congénito de deficiencia de yodo, tipo mixto</v>
          </cell>
        </row>
        <row r="1925">
          <cell r="A1925" t="str">
            <v>E00.9</v>
          </cell>
          <cell r="B1925" t="str">
            <v>Síndrome congénito de deficiencia de yodo, no especificado</v>
          </cell>
        </row>
        <row r="1926">
          <cell r="A1926" t="str">
            <v>E01</v>
          </cell>
          <cell r="B1926" t="str">
            <v>Trastornos tiroideos vinculados a deficiencia de yodo y afecciones relacionadas</v>
          </cell>
        </row>
        <row r="1927">
          <cell r="A1927" t="str">
            <v>E01.0</v>
          </cell>
          <cell r="B1927" t="str">
            <v>Bocio difuso (endémico) relacionado con deficiencia de yodo</v>
          </cell>
        </row>
        <row r="1928">
          <cell r="A1928" t="str">
            <v>E01.1</v>
          </cell>
          <cell r="B1928" t="str">
            <v>Bocio multinodular (endémico) relacionado con deficiencia de yodo</v>
          </cell>
        </row>
        <row r="1929">
          <cell r="A1929" t="str">
            <v>E01.2</v>
          </cell>
          <cell r="B1929" t="str">
            <v>Bocio (endémico) relacionado con deficiencia de yodo, no especificado</v>
          </cell>
        </row>
        <row r="1930">
          <cell r="A1930" t="str">
            <v>E01.8</v>
          </cell>
          <cell r="B1930" t="str">
            <v>Otros trastornos de la tiroides relacionados con deficiencia de yodo y afecciones similares</v>
          </cell>
        </row>
        <row r="1931">
          <cell r="A1931" t="str">
            <v>E02.X</v>
          </cell>
          <cell r="B1931" t="str">
            <v>Hipotiroidismo subclínico por deficiencia de yodo</v>
          </cell>
        </row>
        <row r="1932">
          <cell r="A1932" t="str">
            <v>E03</v>
          </cell>
          <cell r="B1932" t="str">
            <v>Otro hipotiroidismo</v>
          </cell>
        </row>
        <row r="1933">
          <cell r="A1933" t="str">
            <v>E03.0</v>
          </cell>
          <cell r="B1933" t="str">
            <v>Hipotiroidismo congénito con bocio difuso</v>
          </cell>
        </row>
        <row r="1934">
          <cell r="A1934" t="str">
            <v>E03.1</v>
          </cell>
          <cell r="B1934" t="str">
            <v>Hipotiroidismo congénito sin bocio</v>
          </cell>
        </row>
        <row r="1935">
          <cell r="A1935" t="str">
            <v>E03.2</v>
          </cell>
          <cell r="B1935" t="str">
            <v>Hipotiroidismo debido a medicamentos y a otras sustancias exógenas</v>
          </cell>
        </row>
        <row r="1936">
          <cell r="A1936" t="str">
            <v>E03.3</v>
          </cell>
          <cell r="B1936" t="str">
            <v>Hipotiroidismo postinfeccioso</v>
          </cell>
        </row>
        <row r="1937">
          <cell r="A1937" t="str">
            <v>E03.4</v>
          </cell>
          <cell r="B1937" t="str">
            <v>Atrofia de tiroides (adquirida)</v>
          </cell>
        </row>
        <row r="1938">
          <cell r="A1938" t="str">
            <v>E03.5</v>
          </cell>
          <cell r="B1938" t="str">
            <v>Coma mixedematoso</v>
          </cell>
        </row>
        <row r="1939">
          <cell r="A1939" t="str">
            <v>E03.8</v>
          </cell>
          <cell r="B1939" t="str">
            <v>Otros hipotiroidismos especificados</v>
          </cell>
        </row>
        <row r="1940">
          <cell r="A1940" t="str">
            <v>E03.9</v>
          </cell>
          <cell r="B1940" t="str">
            <v>Hipotiroidismo, no especificado</v>
          </cell>
        </row>
        <row r="1941">
          <cell r="A1941" t="str">
            <v>E04</v>
          </cell>
          <cell r="B1941" t="str">
            <v>Otro bocio no tóxico</v>
          </cell>
        </row>
        <row r="1942">
          <cell r="A1942" t="str">
            <v>E04.0</v>
          </cell>
          <cell r="B1942" t="str">
            <v>Bocio difuso no tóxico</v>
          </cell>
        </row>
        <row r="1943">
          <cell r="A1943" t="str">
            <v>E04.1</v>
          </cell>
          <cell r="B1943" t="str">
            <v>Nódulo tiroideo solitario no tóxico</v>
          </cell>
        </row>
        <row r="1944">
          <cell r="A1944" t="str">
            <v>E04.2</v>
          </cell>
          <cell r="B1944" t="str">
            <v>Bocio multinodular no tóxico</v>
          </cell>
        </row>
        <row r="1945">
          <cell r="A1945" t="str">
            <v>E04.8</v>
          </cell>
          <cell r="B1945" t="str">
            <v>Otros bocios no tóxicos especificados</v>
          </cell>
        </row>
        <row r="1946">
          <cell r="A1946" t="str">
            <v>E04.9</v>
          </cell>
          <cell r="B1946" t="str">
            <v>Bocio no tóxico, no especificado</v>
          </cell>
        </row>
        <row r="1947">
          <cell r="A1947" t="str">
            <v>E05</v>
          </cell>
          <cell r="B1947" t="str">
            <v>Tirotoxicosis [hipertiroidismo]</v>
          </cell>
        </row>
        <row r="1948">
          <cell r="A1948" t="str">
            <v>E05.0</v>
          </cell>
          <cell r="B1948" t="str">
            <v>Tirotoxicosis con bocio difuso</v>
          </cell>
        </row>
        <row r="1949">
          <cell r="A1949" t="str">
            <v>E05.1</v>
          </cell>
          <cell r="B1949" t="str">
            <v>Tirotoxicosis con nódulo solitario tiroideo tóxico</v>
          </cell>
        </row>
        <row r="1950">
          <cell r="A1950" t="str">
            <v>E05.2</v>
          </cell>
          <cell r="B1950" t="str">
            <v>Tirotoxicosis con bocio multinodular tóxico</v>
          </cell>
        </row>
        <row r="1951">
          <cell r="A1951" t="str">
            <v>E05.3</v>
          </cell>
          <cell r="B1951" t="str">
            <v>Tirotoxicosis por tejido tiroideo ectópico</v>
          </cell>
        </row>
        <row r="1952">
          <cell r="A1952" t="str">
            <v>E05.4</v>
          </cell>
          <cell r="B1952" t="str">
            <v>Tirotoxicosis facticia</v>
          </cell>
        </row>
        <row r="1953">
          <cell r="A1953" t="str">
            <v>E05.5</v>
          </cell>
          <cell r="B1953" t="str">
            <v>Crisis o tormenta tirotóxica</v>
          </cell>
        </row>
        <row r="1954">
          <cell r="A1954" t="str">
            <v>E05.8</v>
          </cell>
          <cell r="B1954" t="str">
            <v>Otras tirotoxicosis</v>
          </cell>
        </row>
        <row r="1955">
          <cell r="A1955" t="str">
            <v>E05.9</v>
          </cell>
          <cell r="B1955" t="str">
            <v>Tirotoxicosis, no especificada</v>
          </cell>
        </row>
        <row r="1956">
          <cell r="A1956" t="str">
            <v>E06</v>
          </cell>
          <cell r="B1956" t="str">
            <v>Tiroiditis</v>
          </cell>
        </row>
        <row r="1957">
          <cell r="A1957" t="str">
            <v>E06.0</v>
          </cell>
          <cell r="B1957" t="str">
            <v>Tiroiditis aguda</v>
          </cell>
        </row>
        <row r="1958">
          <cell r="A1958" t="str">
            <v>E06.1</v>
          </cell>
          <cell r="B1958" t="str">
            <v>Tiroiditis subaguda</v>
          </cell>
        </row>
        <row r="1959">
          <cell r="A1959" t="str">
            <v>E06.2</v>
          </cell>
          <cell r="B1959" t="str">
            <v>Tiroiditis crónica con tirotoxicosis transitoria</v>
          </cell>
        </row>
        <row r="1960">
          <cell r="A1960" t="str">
            <v>E06.3</v>
          </cell>
          <cell r="B1960" t="str">
            <v>Tiroiditis autoinmune</v>
          </cell>
        </row>
        <row r="1961">
          <cell r="A1961" t="str">
            <v>E06.4</v>
          </cell>
          <cell r="B1961" t="str">
            <v>Tiroiditis inducida por drogas</v>
          </cell>
        </row>
        <row r="1962">
          <cell r="A1962" t="str">
            <v>E06.5</v>
          </cell>
          <cell r="B1962" t="str">
            <v>Otras tiroiditis crónicas</v>
          </cell>
        </row>
        <row r="1963">
          <cell r="A1963" t="str">
            <v>E06.9</v>
          </cell>
          <cell r="B1963" t="str">
            <v>Tiroiditis, no especificada</v>
          </cell>
        </row>
        <row r="1964">
          <cell r="A1964" t="str">
            <v>E07</v>
          </cell>
          <cell r="B1964" t="str">
            <v>Otros trastornos tiroideos</v>
          </cell>
        </row>
        <row r="1965">
          <cell r="A1965" t="str">
            <v>E07.0</v>
          </cell>
          <cell r="B1965" t="str">
            <v>Hipersecreción de calcitonina</v>
          </cell>
        </row>
        <row r="1966">
          <cell r="A1966" t="str">
            <v>E07.1</v>
          </cell>
          <cell r="B1966" t="str">
            <v>Bocio dishormogenético</v>
          </cell>
        </row>
        <row r="1967">
          <cell r="A1967" t="str">
            <v>E07.8</v>
          </cell>
          <cell r="B1967" t="str">
            <v>Otros trastornos especificados de la glándula tiroides</v>
          </cell>
        </row>
        <row r="1968">
          <cell r="A1968" t="str">
            <v>E07.9</v>
          </cell>
          <cell r="B1968" t="str">
            <v>Trastorno de la glándula tiroides, no especificado</v>
          </cell>
        </row>
        <row r="1969">
          <cell r="A1969" t="str">
            <v>E10</v>
          </cell>
          <cell r="B1969" t="str">
            <v>Diabetes mellitus insulinodependiente</v>
          </cell>
        </row>
        <row r="1970">
          <cell r="A1970" t="str">
            <v>E10.0</v>
          </cell>
          <cell r="B1970" t="str">
            <v>Diabetes mellitus insulinodependiente, con coma</v>
          </cell>
        </row>
        <row r="1971">
          <cell r="A1971" t="str">
            <v>E10.1</v>
          </cell>
          <cell r="B1971" t="str">
            <v>Diabetes mellitus insulinodependiente, con cetoacidosis</v>
          </cell>
        </row>
        <row r="1972">
          <cell r="A1972" t="str">
            <v>E10.2</v>
          </cell>
          <cell r="B1972" t="str">
            <v>Diabetes mellitus insulinodependiente, con complicaciones renales</v>
          </cell>
        </row>
        <row r="1973">
          <cell r="A1973" t="str">
            <v>E10.3</v>
          </cell>
          <cell r="B1973" t="str">
            <v>Diabetes mellitus insulinodependiente, con complicaciones oftálmicas</v>
          </cell>
        </row>
        <row r="1974">
          <cell r="A1974" t="str">
            <v>E10.4</v>
          </cell>
          <cell r="B1974" t="str">
            <v>Diabetes mellitus insulinodependiente, con complicaciones neurológicas</v>
          </cell>
        </row>
        <row r="1975">
          <cell r="A1975" t="str">
            <v>E10.5</v>
          </cell>
          <cell r="B1975" t="str">
            <v>Diabetes mellitus insulinodependiente, con complicaciones circulatorias periféricas</v>
          </cell>
        </row>
        <row r="1976">
          <cell r="A1976" t="str">
            <v>E10.6</v>
          </cell>
          <cell r="B1976" t="str">
            <v>Diabetes mellitus insulinodependiente, con otras complicaciones especificadas</v>
          </cell>
        </row>
        <row r="1977">
          <cell r="A1977" t="str">
            <v>E10.7</v>
          </cell>
          <cell r="B1977" t="str">
            <v>Diabetes mellitus insulinodependiente, con complicaciones múltiples</v>
          </cell>
        </row>
        <row r="1978">
          <cell r="A1978" t="str">
            <v>E10.8</v>
          </cell>
          <cell r="B1978" t="str">
            <v>Diabetes mellitus insulinodependiente, con complicaciones no especificadas</v>
          </cell>
        </row>
        <row r="1979">
          <cell r="A1979" t="str">
            <v>E10.9</v>
          </cell>
          <cell r="B1979" t="str">
            <v>Diabetes mellitus insulinodependiente, sin mención de complicación</v>
          </cell>
        </row>
        <row r="1980">
          <cell r="A1980" t="str">
            <v>E11</v>
          </cell>
          <cell r="B1980" t="str">
            <v>Diabetes mellitus no insulinodependiente</v>
          </cell>
        </row>
        <row r="1981">
          <cell r="A1981" t="str">
            <v>E11.0</v>
          </cell>
          <cell r="B1981" t="str">
            <v>Diabetes mellitus insulinodependiente, con coma</v>
          </cell>
        </row>
        <row r="1982">
          <cell r="A1982" t="str">
            <v>E11.1</v>
          </cell>
          <cell r="B1982" t="str">
            <v>Diabetes mellitus no insulinodependiente, con cetoacidosis</v>
          </cell>
        </row>
        <row r="1983">
          <cell r="A1983" t="str">
            <v>E11.2</v>
          </cell>
          <cell r="B1983" t="str">
            <v>Diabetes mellitus no insulinodependiente, con complicaciones renales</v>
          </cell>
        </row>
        <row r="1984">
          <cell r="A1984" t="str">
            <v>E11.3</v>
          </cell>
          <cell r="B1984" t="str">
            <v>Diabetes mellitus no insulinodependiente, con complicaciones oftálmicas</v>
          </cell>
        </row>
        <row r="1985">
          <cell r="A1985" t="str">
            <v>E11.4</v>
          </cell>
          <cell r="B1985" t="str">
            <v>Diabetes mellitus no insulinodependiente, con complicaciones neurológicas</v>
          </cell>
        </row>
        <row r="1986">
          <cell r="A1986" t="str">
            <v>E11.5</v>
          </cell>
          <cell r="B1986" t="str">
            <v>Diabetes mellitus no insulinodependiente, con complicaciones circulatorias periféricas</v>
          </cell>
        </row>
        <row r="1987">
          <cell r="A1987" t="str">
            <v>E11.6</v>
          </cell>
          <cell r="B1987" t="str">
            <v>Diabetes mellitus no insulinodependiente, con otras complicaciones especificadas</v>
          </cell>
        </row>
        <row r="1988">
          <cell r="A1988" t="str">
            <v>E11.7</v>
          </cell>
          <cell r="B1988" t="str">
            <v>Diabetes mellitus no insulinodependiente, con complicaciones múltiples</v>
          </cell>
        </row>
        <row r="1989">
          <cell r="A1989" t="str">
            <v>E11.8</v>
          </cell>
          <cell r="B1989" t="str">
            <v>Diabetes mellitus no insulinodependiente, con complicaciones no especificadas</v>
          </cell>
        </row>
        <row r="1990">
          <cell r="A1990" t="str">
            <v>E11.9</v>
          </cell>
          <cell r="B1990" t="str">
            <v>Diabetes mellitus no insulinodependiente, sin mención de complicación</v>
          </cell>
        </row>
        <row r="1991">
          <cell r="A1991" t="str">
            <v>E12</v>
          </cell>
          <cell r="B1991" t="str">
            <v>Diabetes mellitus asociada con desnutrición</v>
          </cell>
        </row>
        <row r="1992">
          <cell r="A1992" t="str">
            <v>E12.0</v>
          </cell>
          <cell r="B1992" t="str">
            <v>Diabetes mellitus asociada con desnutrición, con coma</v>
          </cell>
        </row>
        <row r="1993">
          <cell r="A1993" t="str">
            <v>E12.1</v>
          </cell>
          <cell r="B1993" t="str">
            <v>Diabetes mellitus asociada con desnutrición, con cetoacidosis</v>
          </cell>
        </row>
        <row r="1994">
          <cell r="A1994" t="str">
            <v>E12.2</v>
          </cell>
          <cell r="B1994" t="str">
            <v>Diabetes mellitus asociada con desnutrición, con complicaciones renales</v>
          </cell>
        </row>
        <row r="1995">
          <cell r="A1995" t="str">
            <v>E12.3</v>
          </cell>
          <cell r="B1995" t="str">
            <v>Diabetes mellitus asociada con desnutrición, con complicaciones oftálmicas</v>
          </cell>
        </row>
        <row r="1996">
          <cell r="A1996" t="str">
            <v>E12.4</v>
          </cell>
          <cell r="B1996" t="str">
            <v>Diabetes mellitus asociada con desnutrición, con complicaciones neurológicas</v>
          </cell>
        </row>
        <row r="1997">
          <cell r="A1997" t="str">
            <v>E12.5</v>
          </cell>
          <cell r="B1997" t="str">
            <v>Diabetes mellitus asociada con desnutrición, con complicaciones circulatorias periféricas</v>
          </cell>
        </row>
        <row r="1998">
          <cell r="A1998" t="str">
            <v>E12.6</v>
          </cell>
          <cell r="B1998" t="str">
            <v>Diabetes mellitus asociada con desnutrición, con otras complicaciones especificadas</v>
          </cell>
        </row>
        <row r="1999">
          <cell r="A1999" t="str">
            <v>E12.7</v>
          </cell>
          <cell r="B1999" t="str">
            <v>Diabetes mellitus asociada con desnutrición, con complicaciones múltiples</v>
          </cell>
        </row>
        <row r="2000">
          <cell r="A2000" t="str">
            <v>E12.8</v>
          </cell>
          <cell r="B2000" t="str">
            <v>Diabetes mellitus asociada con desnutrición, con complicaciones no especificadas</v>
          </cell>
        </row>
        <row r="2001">
          <cell r="A2001" t="str">
            <v>E12.9</v>
          </cell>
          <cell r="B2001" t="str">
            <v>Diabetes mellitus asociada con desnutrición, sin mención de complicación</v>
          </cell>
        </row>
        <row r="2002">
          <cell r="A2002" t="str">
            <v>E13</v>
          </cell>
          <cell r="B2002" t="str">
            <v>Otras diabetes mellitus especificadas</v>
          </cell>
        </row>
        <row r="2003">
          <cell r="A2003" t="str">
            <v>E13.0</v>
          </cell>
          <cell r="B2003" t="str">
            <v>Diabetes mellitus especificada, con coma</v>
          </cell>
        </row>
        <row r="2004">
          <cell r="A2004" t="str">
            <v>E13.1</v>
          </cell>
          <cell r="B2004" t="str">
            <v>Diabetes mellitus especificada, con cetoacidosis</v>
          </cell>
        </row>
        <row r="2005">
          <cell r="A2005" t="str">
            <v>E13.2</v>
          </cell>
          <cell r="B2005" t="str">
            <v>Diabetes mellitus especificada, con complicaciones renales</v>
          </cell>
        </row>
        <row r="2006">
          <cell r="A2006" t="str">
            <v>E13.3</v>
          </cell>
          <cell r="B2006" t="str">
            <v>Diabetes mellitus especificada, con complicaciones oftálmicas</v>
          </cell>
        </row>
        <row r="2007">
          <cell r="A2007" t="str">
            <v>E13.4</v>
          </cell>
          <cell r="B2007" t="str">
            <v>Diabetes mellitus especificada, con complicaciones neurológicas</v>
          </cell>
        </row>
        <row r="2008">
          <cell r="A2008" t="str">
            <v>E13.5</v>
          </cell>
          <cell r="B2008" t="str">
            <v>Diabetes mellitus especificada, con complicaciones circulatorias periféricas</v>
          </cell>
        </row>
        <row r="2009">
          <cell r="A2009" t="str">
            <v>E13.6</v>
          </cell>
          <cell r="B2009" t="str">
            <v>Diabetes mellitus especificada, con otras complicaciones especificadas</v>
          </cell>
        </row>
        <row r="2010">
          <cell r="A2010" t="str">
            <v>E13.7</v>
          </cell>
          <cell r="B2010" t="str">
            <v>Diabetes mellitus especificada, con complicaciones múltiples</v>
          </cell>
        </row>
        <row r="2011">
          <cell r="A2011" t="str">
            <v>E13.8</v>
          </cell>
          <cell r="B2011" t="str">
            <v>Diabetes mellitus especificada, con complicaciones no especificadas</v>
          </cell>
        </row>
        <row r="2012">
          <cell r="A2012" t="str">
            <v>E13.9</v>
          </cell>
          <cell r="B2012" t="str">
            <v>Diabetes mellitus especificada, sin mención de complicación</v>
          </cell>
        </row>
        <row r="2013">
          <cell r="A2013" t="str">
            <v>E14</v>
          </cell>
          <cell r="B2013" t="str">
            <v>Diabetes mellitus, no especificada</v>
          </cell>
        </row>
        <row r="2014">
          <cell r="A2014" t="str">
            <v>E14.0</v>
          </cell>
          <cell r="B2014" t="str">
            <v>Diabetes mellitus, no especificada, con coma</v>
          </cell>
        </row>
        <row r="2015">
          <cell r="A2015" t="str">
            <v>E14.1</v>
          </cell>
          <cell r="B2015" t="str">
            <v>Diabetes mellitus, no especificada, con cetoacidosis</v>
          </cell>
        </row>
        <row r="2016">
          <cell r="A2016" t="str">
            <v>E14.2</v>
          </cell>
          <cell r="B2016" t="str">
            <v>Diabetes mellitus, no especificada, con complicaciones renales</v>
          </cell>
        </row>
        <row r="2017">
          <cell r="A2017" t="str">
            <v>E14.3</v>
          </cell>
          <cell r="B2017" t="str">
            <v>Diabetes mellitus, no especificada, con complicaciones oftálmicas</v>
          </cell>
        </row>
        <row r="2018">
          <cell r="A2018" t="str">
            <v>E14.4</v>
          </cell>
          <cell r="B2018" t="str">
            <v>Diabetes mellitus, no especificada, con complicaciones neurológicas</v>
          </cell>
        </row>
        <row r="2019">
          <cell r="A2019" t="str">
            <v>E14.5</v>
          </cell>
          <cell r="B2019" t="str">
            <v>Diabetes mellitus, no especificada, con complicaciones circulatorias periféricas</v>
          </cell>
        </row>
        <row r="2020">
          <cell r="A2020" t="str">
            <v>E14.6</v>
          </cell>
          <cell r="B2020" t="str">
            <v>Diabetes mellitus, no especificada, con otras complicaciones especificadas</v>
          </cell>
        </row>
        <row r="2021">
          <cell r="A2021" t="str">
            <v>E14.7</v>
          </cell>
          <cell r="B2021" t="str">
            <v>Diabetes mellitus, no especificada, con complicaciones múltiples</v>
          </cell>
        </row>
        <row r="2022">
          <cell r="A2022" t="str">
            <v>E14.8</v>
          </cell>
          <cell r="B2022" t="str">
            <v>Diabetes mellitus, no especificada, con complicaciones no especificadas</v>
          </cell>
        </row>
        <row r="2023">
          <cell r="A2023" t="str">
            <v>E14.9</v>
          </cell>
          <cell r="B2023" t="str">
            <v>Diabetes mellitus, no especificada, sin mención de complicación</v>
          </cell>
        </row>
        <row r="2024">
          <cell r="A2024" t="str">
            <v>E15.X</v>
          </cell>
          <cell r="B2024" t="str">
            <v>Coma hipoglicémico no diabético</v>
          </cell>
        </row>
        <row r="2025">
          <cell r="A2025" t="str">
            <v>E16</v>
          </cell>
          <cell r="B2025" t="str">
            <v>Otros trastornos de la secreción interna del páncreas</v>
          </cell>
        </row>
        <row r="2026">
          <cell r="A2026" t="str">
            <v>E16.0</v>
          </cell>
          <cell r="B2026" t="str">
            <v>Hipoglicemia sin coma, inducida por drogas</v>
          </cell>
        </row>
        <row r="2027">
          <cell r="A2027" t="str">
            <v>E16.1</v>
          </cell>
          <cell r="B2027" t="str">
            <v>Otras hipoglicemias</v>
          </cell>
        </row>
        <row r="2028">
          <cell r="A2028" t="str">
            <v>E16.2</v>
          </cell>
          <cell r="B2028" t="str">
            <v>Hipoglicemia, no especificada</v>
          </cell>
        </row>
        <row r="2029">
          <cell r="A2029" t="str">
            <v>E16.3</v>
          </cell>
          <cell r="B2029" t="str">
            <v>Secreción exagerada del glucagón</v>
          </cell>
        </row>
        <row r="2030">
          <cell r="A2030" t="str">
            <v>E16.8</v>
          </cell>
          <cell r="B2030" t="str">
            <v>Otros trastornos especificados de la secreción interna del páncreas</v>
          </cell>
        </row>
        <row r="2031">
          <cell r="A2031" t="str">
            <v>E16.9</v>
          </cell>
          <cell r="B2031" t="str">
            <v>Trastornos de la secreción interna del páncreas, sin otra especificación</v>
          </cell>
        </row>
        <row r="2032">
          <cell r="A2032" t="str">
            <v>E20</v>
          </cell>
          <cell r="B2032" t="str">
            <v>Hipoparatiroidismo</v>
          </cell>
        </row>
        <row r="2033">
          <cell r="A2033" t="str">
            <v>E20.0</v>
          </cell>
          <cell r="B2033" t="str">
            <v>Hipoparatiroidismo idiopático</v>
          </cell>
        </row>
        <row r="2034">
          <cell r="A2034" t="str">
            <v>E20.1</v>
          </cell>
          <cell r="B2034" t="str">
            <v>Pseudohipoparatiroidismo</v>
          </cell>
        </row>
        <row r="2035">
          <cell r="A2035" t="str">
            <v>E20.8</v>
          </cell>
          <cell r="B2035" t="str">
            <v>Otros tipos de hipoparatiroidismo</v>
          </cell>
        </row>
        <row r="2036">
          <cell r="A2036" t="str">
            <v>E20.9</v>
          </cell>
          <cell r="B2036" t="str">
            <v>Hipoparatiroidismo, no especificado</v>
          </cell>
        </row>
        <row r="2037">
          <cell r="A2037" t="str">
            <v>E21</v>
          </cell>
          <cell r="B2037" t="str">
            <v>Hiperparatiroidismo y otros trastornos de la glándula paratiroides</v>
          </cell>
        </row>
        <row r="2038">
          <cell r="A2038" t="str">
            <v>E21.0</v>
          </cell>
          <cell r="B2038" t="str">
            <v>Hiperparatiroidismo primario</v>
          </cell>
        </row>
        <row r="2039">
          <cell r="A2039" t="str">
            <v>E21.1</v>
          </cell>
          <cell r="B2039" t="str">
            <v>Hiperparatiroidismo secundario no clasificado en otra parte</v>
          </cell>
        </row>
        <row r="2040">
          <cell r="A2040" t="str">
            <v>E21.2</v>
          </cell>
          <cell r="B2040" t="str">
            <v>Etros tipos de hiperparatiroidismo</v>
          </cell>
        </row>
        <row r="2041">
          <cell r="A2041" t="str">
            <v>E21.3</v>
          </cell>
          <cell r="B2041" t="str">
            <v>Hiperparatiroidismo, sin otra especificación</v>
          </cell>
        </row>
        <row r="2042">
          <cell r="A2042" t="str">
            <v>E21.4</v>
          </cell>
          <cell r="B2042" t="str">
            <v>Otros trastornos especificados de la glándula paratiroides</v>
          </cell>
        </row>
        <row r="2043">
          <cell r="A2043" t="str">
            <v>E21.5</v>
          </cell>
          <cell r="B2043" t="str">
            <v>Trastorno de la glándula paratiroides, no especificado</v>
          </cell>
        </row>
        <row r="2044">
          <cell r="A2044" t="str">
            <v>E22</v>
          </cell>
          <cell r="B2044" t="str">
            <v>Hiperfunción de la glándula hipófisis</v>
          </cell>
        </row>
        <row r="2045">
          <cell r="A2045" t="str">
            <v>E22.0</v>
          </cell>
          <cell r="B2045" t="str">
            <v>Acromegalia y gigantismo hipofisario</v>
          </cell>
        </row>
        <row r="2046">
          <cell r="A2046" t="str">
            <v>E22.1</v>
          </cell>
          <cell r="B2046" t="str">
            <v>Hiperprolactinemia</v>
          </cell>
        </row>
        <row r="2047">
          <cell r="A2047" t="str">
            <v>E22.2</v>
          </cell>
          <cell r="B2047" t="str">
            <v>Síndrome de secreción inapropiada de hormona antidiurética</v>
          </cell>
        </row>
        <row r="2048">
          <cell r="A2048" t="str">
            <v>E22.8</v>
          </cell>
          <cell r="B2048" t="str">
            <v>Otras hiperfunciones de la glándula hipófisis</v>
          </cell>
        </row>
        <row r="2049">
          <cell r="A2049" t="str">
            <v>E22.9</v>
          </cell>
          <cell r="B2049" t="str">
            <v>Hiperfunción de la glándula hipófisis, no especificada</v>
          </cell>
        </row>
        <row r="2050">
          <cell r="A2050" t="str">
            <v>E23</v>
          </cell>
          <cell r="B2050" t="str">
            <v>Hipofunción y otros trastornos de la glándula hipófisis</v>
          </cell>
        </row>
        <row r="2051">
          <cell r="A2051" t="str">
            <v>E23.0</v>
          </cell>
          <cell r="B2051" t="str">
            <v>Hipopituitarismo</v>
          </cell>
        </row>
        <row r="2052">
          <cell r="A2052" t="str">
            <v>E23.1</v>
          </cell>
          <cell r="B2052" t="str">
            <v>Hipopituitarismo inducido por drogas</v>
          </cell>
        </row>
        <row r="2053">
          <cell r="A2053" t="str">
            <v>E23.2</v>
          </cell>
          <cell r="B2053" t="str">
            <v>Diabetes insípida</v>
          </cell>
        </row>
        <row r="2054">
          <cell r="A2054" t="str">
            <v>E23.3</v>
          </cell>
          <cell r="B2054" t="str">
            <v>Disfunción hipotalámica, no clasificada en otra parte</v>
          </cell>
        </row>
        <row r="2055">
          <cell r="A2055" t="str">
            <v>E23.6</v>
          </cell>
          <cell r="B2055" t="str">
            <v>Otros trastornos de la glándula hipófisis</v>
          </cell>
        </row>
        <row r="2056">
          <cell r="A2056" t="str">
            <v>E23.7</v>
          </cell>
          <cell r="B2056" t="str">
            <v>Trastorno de la glándula hipófisis, no especificado</v>
          </cell>
        </row>
        <row r="2057">
          <cell r="A2057" t="str">
            <v>E24</v>
          </cell>
          <cell r="B2057" t="str">
            <v>Síndrome de Cushing</v>
          </cell>
        </row>
        <row r="2058">
          <cell r="A2058" t="str">
            <v>E24.0</v>
          </cell>
          <cell r="B2058" t="str">
            <v>Enfermedad de Cushing dependiente de la hipófisis</v>
          </cell>
        </row>
        <row r="2059">
          <cell r="A2059" t="str">
            <v>E24.1</v>
          </cell>
          <cell r="B2059" t="str">
            <v>Síndrome de Nelson</v>
          </cell>
        </row>
        <row r="2060">
          <cell r="A2060" t="str">
            <v>E24.2</v>
          </cell>
          <cell r="B2060" t="str">
            <v>Síndrome de Cushing inducido por drogas</v>
          </cell>
        </row>
        <row r="2061">
          <cell r="A2061" t="str">
            <v>E24.3</v>
          </cell>
          <cell r="B2061" t="str">
            <v>Síndrome de ACTH ectópico</v>
          </cell>
        </row>
        <row r="2062">
          <cell r="A2062" t="str">
            <v>E24.4</v>
          </cell>
          <cell r="B2062" t="str">
            <v>Síndrome de seudo Cushing inducido por alcohol</v>
          </cell>
        </row>
        <row r="2063">
          <cell r="A2063" t="str">
            <v>E24.8</v>
          </cell>
          <cell r="B2063" t="str">
            <v>Otros tipos de síndrome de Cushing</v>
          </cell>
        </row>
        <row r="2064">
          <cell r="A2064" t="str">
            <v>E24.9</v>
          </cell>
          <cell r="B2064" t="str">
            <v>Síndrome de Cushing, no especificado</v>
          </cell>
        </row>
        <row r="2065">
          <cell r="A2065" t="str">
            <v>E25</v>
          </cell>
          <cell r="B2065" t="str">
            <v>Trastornos adrenogenitales</v>
          </cell>
        </row>
        <row r="2066">
          <cell r="A2066" t="str">
            <v>E25.0</v>
          </cell>
          <cell r="B2066" t="str">
            <v>Trastornos adrenogenitales congénitos con deficiencia enzimática</v>
          </cell>
        </row>
        <row r="2067">
          <cell r="A2067" t="str">
            <v>E25.8</v>
          </cell>
          <cell r="B2067" t="str">
            <v>Otros trastornos adrenogenitales</v>
          </cell>
        </row>
        <row r="2068">
          <cell r="A2068" t="str">
            <v>E25.9</v>
          </cell>
          <cell r="B2068" t="str">
            <v>Trastorno adrenogenital, no especificado</v>
          </cell>
        </row>
        <row r="2069">
          <cell r="A2069" t="str">
            <v>E26</v>
          </cell>
          <cell r="B2069" t="str">
            <v>Hiperaldosteronismo</v>
          </cell>
        </row>
        <row r="2070">
          <cell r="A2070" t="str">
            <v>E26.0</v>
          </cell>
          <cell r="B2070" t="str">
            <v>Hiperaldosteronismo primario</v>
          </cell>
        </row>
        <row r="2071">
          <cell r="A2071" t="str">
            <v>E26.1</v>
          </cell>
          <cell r="B2071" t="str">
            <v>Hiperaldosteronismo secundario</v>
          </cell>
        </row>
        <row r="2072">
          <cell r="A2072" t="str">
            <v>E26.8</v>
          </cell>
          <cell r="B2072" t="str">
            <v>Otros tipos de hiperaldosteronismo</v>
          </cell>
        </row>
        <row r="2073">
          <cell r="A2073" t="str">
            <v>E26.9</v>
          </cell>
          <cell r="B2073" t="str">
            <v>Hiperaldosteronismo, no especificado</v>
          </cell>
        </row>
        <row r="2074">
          <cell r="A2074" t="str">
            <v>E27</v>
          </cell>
          <cell r="B2074" t="str">
            <v>Otros trastornos de la glándula suprarrenal</v>
          </cell>
        </row>
        <row r="2075">
          <cell r="A2075" t="str">
            <v>E27.0</v>
          </cell>
          <cell r="B2075" t="str">
            <v>Otra hiperactividad corticosuprarrenal</v>
          </cell>
        </row>
        <row r="2076">
          <cell r="A2076" t="str">
            <v>E27.1</v>
          </cell>
          <cell r="B2076" t="str">
            <v>Insuficiencia corticosuprarrenal primaria</v>
          </cell>
        </row>
        <row r="2077">
          <cell r="A2077" t="str">
            <v>E27.2</v>
          </cell>
          <cell r="B2077" t="str">
            <v>Crisis addisoniana</v>
          </cell>
        </row>
        <row r="2078">
          <cell r="A2078" t="str">
            <v>E27.3</v>
          </cell>
          <cell r="B2078" t="str">
            <v>Insuficiencia corticosuprarrenal inducida por drogas</v>
          </cell>
        </row>
        <row r="2079">
          <cell r="A2079" t="str">
            <v>E27.4</v>
          </cell>
          <cell r="B2079" t="str">
            <v>Otras insuficiencias corticosuprarrenales y las no especificadas</v>
          </cell>
        </row>
        <row r="2080">
          <cell r="A2080" t="str">
            <v>E27.5</v>
          </cell>
          <cell r="B2080" t="str">
            <v>Hiperfunción de la médula suprarrenal</v>
          </cell>
        </row>
        <row r="2081">
          <cell r="A2081" t="str">
            <v>E27.8</v>
          </cell>
          <cell r="B2081" t="str">
            <v>Otros trastornos especificados de la glándula suprarrenal</v>
          </cell>
        </row>
        <row r="2082">
          <cell r="A2082" t="str">
            <v>E27.9</v>
          </cell>
          <cell r="B2082" t="str">
            <v>Trastorno de la glándula suprarrenal, no especificado</v>
          </cell>
        </row>
        <row r="2083">
          <cell r="A2083" t="str">
            <v>E28</v>
          </cell>
          <cell r="B2083" t="str">
            <v>Disfunción ovárica</v>
          </cell>
        </row>
        <row r="2084">
          <cell r="A2084" t="str">
            <v>E28.0</v>
          </cell>
          <cell r="B2084" t="str">
            <v>Exceso de estrógenos</v>
          </cell>
        </row>
        <row r="2085">
          <cell r="A2085" t="str">
            <v>E28.1</v>
          </cell>
          <cell r="B2085" t="str">
            <v>Exceso de andrógenos</v>
          </cell>
        </row>
        <row r="2086">
          <cell r="A2086" t="str">
            <v>E28.2</v>
          </cell>
          <cell r="B2086" t="str">
            <v>Síndrome de ovario poliquístico</v>
          </cell>
        </row>
        <row r="2087">
          <cell r="A2087" t="str">
            <v>E28.3</v>
          </cell>
          <cell r="B2087" t="str">
            <v>Insuficiencia ovárica primaria</v>
          </cell>
        </row>
        <row r="2088">
          <cell r="A2088" t="str">
            <v>E28.8</v>
          </cell>
          <cell r="B2088" t="str">
            <v>Otras disfunciones ováricas</v>
          </cell>
        </row>
        <row r="2089">
          <cell r="A2089" t="str">
            <v>E28.9</v>
          </cell>
          <cell r="B2089" t="str">
            <v>Disfunción ovárica, no especificada</v>
          </cell>
        </row>
        <row r="2090">
          <cell r="A2090" t="str">
            <v>E29</v>
          </cell>
          <cell r="B2090" t="str">
            <v>Disfunción testicular</v>
          </cell>
        </row>
        <row r="2091">
          <cell r="A2091" t="str">
            <v>E29.0</v>
          </cell>
          <cell r="B2091" t="str">
            <v>Hiperfunción testicular</v>
          </cell>
        </row>
        <row r="2092">
          <cell r="A2092" t="str">
            <v>E29.1</v>
          </cell>
          <cell r="B2092" t="str">
            <v>Hipofunción testicular</v>
          </cell>
        </row>
        <row r="2093">
          <cell r="A2093" t="str">
            <v>E29.8</v>
          </cell>
          <cell r="B2093" t="str">
            <v>Otras disfunciones testiculares</v>
          </cell>
        </row>
        <row r="2094">
          <cell r="A2094" t="str">
            <v>E29.9</v>
          </cell>
          <cell r="B2094" t="str">
            <v>Disfunción testicular, no especificada</v>
          </cell>
        </row>
        <row r="2095">
          <cell r="A2095" t="str">
            <v>E30</v>
          </cell>
          <cell r="B2095" t="str">
            <v>Trastornos de la pubertad, no clasificados en otra parte</v>
          </cell>
        </row>
        <row r="2096">
          <cell r="A2096" t="str">
            <v>E30.0</v>
          </cell>
          <cell r="B2096" t="str">
            <v>Pubertad retardada</v>
          </cell>
        </row>
        <row r="2097">
          <cell r="A2097" t="str">
            <v>E30.1</v>
          </cell>
          <cell r="B2097" t="str">
            <v>Pubertad precoz</v>
          </cell>
        </row>
        <row r="2098">
          <cell r="A2098" t="str">
            <v>E30.8</v>
          </cell>
          <cell r="B2098" t="str">
            <v>Otros trastornos de la pubertad</v>
          </cell>
        </row>
        <row r="2099">
          <cell r="A2099" t="str">
            <v>E30.9</v>
          </cell>
          <cell r="B2099" t="str">
            <v>Trastorno de la pubertad, no especificado</v>
          </cell>
        </row>
        <row r="2100">
          <cell r="A2100" t="str">
            <v>E31</v>
          </cell>
          <cell r="B2100" t="str">
            <v>Disfunción poliglandular</v>
          </cell>
        </row>
        <row r="2101">
          <cell r="A2101" t="str">
            <v>E31.0</v>
          </cell>
          <cell r="B2101" t="str">
            <v>Insuficiencia poliglandular autoinmune</v>
          </cell>
        </row>
        <row r="2102">
          <cell r="A2102" t="str">
            <v>E31.1</v>
          </cell>
          <cell r="B2102" t="str">
            <v>Hiperfunción poliglandular</v>
          </cell>
        </row>
        <row r="2103">
          <cell r="A2103" t="str">
            <v>E31.8</v>
          </cell>
          <cell r="B2103" t="str">
            <v>Otras disfunciones poliglandulares</v>
          </cell>
        </row>
        <row r="2104">
          <cell r="A2104" t="str">
            <v>E31.9</v>
          </cell>
          <cell r="B2104" t="str">
            <v>Disfunción poliglandular, no especificada</v>
          </cell>
        </row>
        <row r="2105">
          <cell r="A2105" t="str">
            <v>E32</v>
          </cell>
          <cell r="B2105" t="str">
            <v>Enfermedades del timo</v>
          </cell>
        </row>
        <row r="2106">
          <cell r="A2106" t="str">
            <v>E32.0</v>
          </cell>
          <cell r="B2106" t="str">
            <v>Hiperplasia persistente del timo</v>
          </cell>
        </row>
        <row r="2107">
          <cell r="A2107" t="str">
            <v>E32.1</v>
          </cell>
          <cell r="B2107" t="str">
            <v>Absceso del timo</v>
          </cell>
        </row>
        <row r="2108">
          <cell r="A2108" t="str">
            <v>E32.8</v>
          </cell>
          <cell r="B2108" t="str">
            <v>Otras enfermedades del timo</v>
          </cell>
        </row>
        <row r="2109">
          <cell r="A2109" t="str">
            <v>E32.9</v>
          </cell>
          <cell r="B2109" t="str">
            <v>Enfermedad del timo, no especificada</v>
          </cell>
        </row>
        <row r="2110">
          <cell r="A2110" t="str">
            <v>E34</v>
          </cell>
          <cell r="B2110" t="str">
            <v>Otros trastornos endocrinos</v>
          </cell>
        </row>
        <row r="2111">
          <cell r="A2111" t="str">
            <v>E34.0</v>
          </cell>
          <cell r="B2111" t="str">
            <v>Síndrome carcinoide</v>
          </cell>
        </row>
        <row r="2112">
          <cell r="A2112" t="str">
            <v>E34.1</v>
          </cell>
          <cell r="B2112" t="str">
            <v>Otras hipersecreciones de hormonas intestinales</v>
          </cell>
        </row>
        <row r="2113">
          <cell r="A2113" t="str">
            <v>E34.2</v>
          </cell>
          <cell r="B2113" t="str">
            <v>Secreción hormonal ectópica, no clasificada en otra parte</v>
          </cell>
        </row>
        <row r="2114">
          <cell r="A2114" t="str">
            <v>E34.3</v>
          </cell>
          <cell r="B2114" t="str">
            <v>Enanismo, no clasificado en otra parte</v>
          </cell>
        </row>
        <row r="2115">
          <cell r="A2115" t="str">
            <v>E34.4</v>
          </cell>
          <cell r="B2115" t="str">
            <v>Estatura alta constitucional</v>
          </cell>
        </row>
        <row r="2116">
          <cell r="A2116" t="str">
            <v>E34.5</v>
          </cell>
          <cell r="B2116" t="str">
            <v>Síndrome de resistencia androgénica</v>
          </cell>
        </row>
        <row r="2117">
          <cell r="A2117" t="str">
            <v>E34.8</v>
          </cell>
          <cell r="B2117" t="str">
            <v>Otros trastornos endocrinos especificados</v>
          </cell>
        </row>
        <row r="2118">
          <cell r="A2118" t="str">
            <v>E34.9</v>
          </cell>
          <cell r="B2118" t="str">
            <v>Trastorno endocrino, no especificado</v>
          </cell>
        </row>
        <row r="2119">
          <cell r="A2119" t="str">
            <v>E35*</v>
          </cell>
          <cell r="B2119" t="str">
            <v>Trastornos endocrinos en enfermedades clasificadas en otra parte</v>
          </cell>
        </row>
        <row r="2120">
          <cell r="A2120" t="str">
            <v>E35.0*</v>
          </cell>
          <cell r="B2120" t="str">
            <v>Trastornos de la glándula tiroides en enfermedades clasificadas en otra parte</v>
          </cell>
        </row>
        <row r="2121">
          <cell r="A2121" t="str">
            <v>E35.1*</v>
          </cell>
          <cell r="B2121" t="str">
            <v>Trastornos de las glándulas suprarrenales en enfermedades clasificadas en otra parte</v>
          </cell>
        </row>
        <row r="2122">
          <cell r="A2122" t="str">
            <v>E35.8*</v>
          </cell>
          <cell r="B2122" t="str">
            <v>Trastornos de otras glándulas endocrinas en enfermedades clasificadas en otra parte</v>
          </cell>
        </row>
        <row r="2123">
          <cell r="A2123" t="str">
            <v>E40.X</v>
          </cell>
          <cell r="B2123" t="str">
            <v>Kwashiorkor</v>
          </cell>
        </row>
        <row r="2124">
          <cell r="A2124" t="str">
            <v>E41.X</v>
          </cell>
          <cell r="B2124" t="str">
            <v>Marasmo nutricional</v>
          </cell>
        </row>
        <row r="2125">
          <cell r="A2125" t="str">
            <v>E42.X</v>
          </cell>
          <cell r="B2125" t="str">
            <v>Kwashiorkor marasmático</v>
          </cell>
        </row>
        <row r="2126">
          <cell r="A2126" t="str">
            <v>E43.X</v>
          </cell>
          <cell r="B2126" t="str">
            <v>Desnutrición proteicocalórica severa, no especificada</v>
          </cell>
        </row>
        <row r="2127">
          <cell r="A2127" t="str">
            <v>E44</v>
          </cell>
          <cell r="B2127" t="str">
            <v>Desnutrición proteicocalórica de grado moderado y leve</v>
          </cell>
        </row>
        <row r="2128">
          <cell r="A2128" t="str">
            <v>E44.0</v>
          </cell>
          <cell r="B2128" t="str">
            <v>Desnutrición proteicocalórica moderada</v>
          </cell>
        </row>
        <row r="2129">
          <cell r="A2129" t="str">
            <v>E44.1</v>
          </cell>
          <cell r="B2129" t="str">
            <v>Desnutrición proteicocalórica leve</v>
          </cell>
        </row>
        <row r="2130">
          <cell r="A2130" t="str">
            <v>E45.X</v>
          </cell>
          <cell r="B2130" t="str">
            <v>Retardo del desarrollo debido a desnutrición proteicocalórica</v>
          </cell>
        </row>
        <row r="2131">
          <cell r="A2131" t="str">
            <v>E46.X</v>
          </cell>
          <cell r="B2131" t="str">
            <v>Desnutrición proteicocalórica, no especificada</v>
          </cell>
        </row>
        <row r="2132">
          <cell r="A2132" t="str">
            <v>E50</v>
          </cell>
          <cell r="B2132" t="str">
            <v>Deficiencia de vitamina A</v>
          </cell>
        </row>
        <row r="2133">
          <cell r="A2133" t="str">
            <v>E50.0</v>
          </cell>
          <cell r="B2133" t="str">
            <v>Deficiencia de vitamina A con xerosis conjuntival</v>
          </cell>
        </row>
        <row r="2134">
          <cell r="A2134" t="str">
            <v>E50.1</v>
          </cell>
          <cell r="B2134" t="str">
            <v>Deficiencia de vitamina A con mancha de Bitot y xerosis conjuntival</v>
          </cell>
        </row>
        <row r="2135">
          <cell r="A2135" t="str">
            <v>E50.2</v>
          </cell>
          <cell r="B2135" t="str">
            <v>Deficiencia de vitamina A con xerosis corneal</v>
          </cell>
        </row>
        <row r="2136">
          <cell r="A2136" t="str">
            <v>E50.3</v>
          </cell>
          <cell r="B2136" t="str">
            <v>Deficiencia de vitamina A con ulceración corneal y xerosis</v>
          </cell>
        </row>
        <row r="2137">
          <cell r="A2137" t="str">
            <v>E50.4</v>
          </cell>
          <cell r="B2137" t="str">
            <v>Deficiencia de vitamina A con queratomalacia</v>
          </cell>
        </row>
        <row r="2138">
          <cell r="A2138" t="str">
            <v>E50.5</v>
          </cell>
          <cell r="B2138" t="str">
            <v>Deficiencia de vitamina A con ceguera nocturna</v>
          </cell>
        </row>
        <row r="2139">
          <cell r="A2139" t="str">
            <v>E50.6</v>
          </cell>
          <cell r="B2139" t="str">
            <v>Deficiencia de vitamina A con cicatrices xeroftálmicas de la córnea</v>
          </cell>
        </row>
        <row r="2140">
          <cell r="A2140" t="str">
            <v>E50.7</v>
          </cell>
          <cell r="B2140" t="str">
            <v>Otras manifestaciones oculares de deficiencia de vitamina A</v>
          </cell>
        </row>
        <row r="2141">
          <cell r="A2141" t="str">
            <v>E50.8</v>
          </cell>
          <cell r="B2141" t="str">
            <v>Otras manifestaciones de deficiencia de vitamina A</v>
          </cell>
        </row>
        <row r="2142">
          <cell r="A2142" t="str">
            <v>E50.9</v>
          </cell>
          <cell r="B2142" t="str">
            <v>Deficiencia de vitamina A, no especificada</v>
          </cell>
        </row>
        <row r="2143">
          <cell r="A2143" t="str">
            <v>E51</v>
          </cell>
          <cell r="B2143" t="str">
            <v>Deficiencia de tiamina</v>
          </cell>
        </row>
        <row r="2144">
          <cell r="A2144" t="str">
            <v>E51.1</v>
          </cell>
          <cell r="B2144" t="str">
            <v>Beriberi</v>
          </cell>
        </row>
        <row r="2145">
          <cell r="A2145" t="str">
            <v>E51.2</v>
          </cell>
          <cell r="B2145" t="str">
            <v>Encefalopatía de Wernicke</v>
          </cell>
        </row>
        <row r="2146">
          <cell r="A2146" t="str">
            <v>E51.8</v>
          </cell>
          <cell r="B2146" t="str">
            <v>Otras manifestaciones de la deficiencia de tiamina</v>
          </cell>
        </row>
        <row r="2147">
          <cell r="A2147" t="str">
            <v>E51.9</v>
          </cell>
          <cell r="B2147" t="str">
            <v>Deficiencia de tiamina, no especificada</v>
          </cell>
        </row>
        <row r="2148">
          <cell r="A2148" t="str">
            <v>E52.X</v>
          </cell>
          <cell r="B2148" t="str">
            <v>Deficiencia de niacina [pelagra]</v>
          </cell>
        </row>
        <row r="2149">
          <cell r="A2149" t="str">
            <v>E53</v>
          </cell>
          <cell r="B2149" t="str">
            <v>Deficiencias de otras vitaminas del grupo B</v>
          </cell>
        </row>
        <row r="2150">
          <cell r="A2150" t="str">
            <v>E53.0</v>
          </cell>
          <cell r="B2150" t="str">
            <v>Deficiencia de riboflavina</v>
          </cell>
        </row>
        <row r="2151">
          <cell r="A2151" t="str">
            <v>E53.1</v>
          </cell>
          <cell r="B2151" t="str">
            <v>Deficiencia de piridoxina</v>
          </cell>
        </row>
        <row r="2152">
          <cell r="A2152" t="str">
            <v>E53.8</v>
          </cell>
          <cell r="B2152" t="str">
            <v>Deficiencia de otras vitaminas del grupo B</v>
          </cell>
        </row>
        <row r="2153">
          <cell r="A2153" t="str">
            <v>E53.9</v>
          </cell>
          <cell r="B2153" t="str">
            <v>Deficiencia de vitamina B, no especificada</v>
          </cell>
        </row>
        <row r="2154">
          <cell r="A2154" t="str">
            <v>E54.X</v>
          </cell>
          <cell r="B2154" t="str">
            <v>Deficiencia de ácido ascórbico</v>
          </cell>
        </row>
        <row r="2155">
          <cell r="A2155" t="str">
            <v>E55</v>
          </cell>
          <cell r="B2155" t="str">
            <v>Deficiencia de vitamina D</v>
          </cell>
        </row>
        <row r="2156">
          <cell r="A2156" t="str">
            <v>E55.0</v>
          </cell>
          <cell r="B2156" t="str">
            <v>Raquitismo activo</v>
          </cell>
        </row>
        <row r="2157">
          <cell r="A2157" t="str">
            <v>E55.9</v>
          </cell>
          <cell r="B2157" t="str">
            <v>Deficiencia de vitamina D, no especificada</v>
          </cell>
        </row>
        <row r="2158">
          <cell r="A2158" t="str">
            <v>E56</v>
          </cell>
          <cell r="B2158" t="str">
            <v>Otras deficiencias de vitaminas</v>
          </cell>
        </row>
        <row r="2159">
          <cell r="A2159" t="str">
            <v>E56.0</v>
          </cell>
          <cell r="B2159" t="str">
            <v>Deficiencia de vitamina E</v>
          </cell>
        </row>
        <row r="2160">
          <cell r="A2160" t="str">
            <v>E56.1</v>
          </cell>
          <cell r="B2160" t="str">
            <v>Deficiencia de vitamina K</v>
          </cell>
        </row>
        <row r="2161">
          <cell r="A2161" t="str">
            <v>E56.8</v>
          </cell>
          <cell r="B2161" t="str">
            <v>Deficiencia de otras vitaminas</v>
          </cell>
        </row>
        <row r="2162">
          <cell r="A2162" t="str">
            <v>E56.9</v>
          </cell>
          <cell r="B2162" t="str">
            <v>Deficiencia de vitamina, no especificada</v>
          </cell>
        </row>
        <row r="2163">
          <cell r="A2163" t="str">
            <v>E58.X</v>
          </cell>
          <cell r="B2163" t="str">
            <v>Deficiencia dietética de calcio</v>
          </cell>
        </row>
        <row r="2164">
          <cell r="A2164" t="str">
            <v>E59.X</v>
          </cell>
          <cell r="B2164" t="str">
            <v>Deficiencia dietética de selenio</v>
          </cell>
        </row>
        <row r="2165">
          <cell r="A2165" t="str">
            <v>E60.X</v>
          </cell>
          <cell r="B2165" t="str">
            <v>Deficiencia dietética de zinc</v>
          </cell>
        </row>
        <row r="2166">
          <cell r="A2166" t="str">
            <v>E61</v>
          </cell>
          <cell r="B2166" t="str">
            <v>Deficiencias de otros elementos nutricionales</v>
          </cell>
        </row>
        <row r="2167">
          <cell r="A2167" t="str">
            <v>E61.0</v>
          </cell>
          <cell r="B2167" t="str">
            <v>Deficiencia de cobre</v>
          </cell>
        </row>
        <row r="2168">
          <cell r="A2168" t="str">
            <v>E61.1</v>
          </cell>
          <cell r="B2168" t="str">
            <v>Deficiencia de hierro</v>
          </cell>
        </row>
        <row r="2169">
          <cell r="A2169" t="str">
            <v>E61.2</v>
          </cell>
          <cell r="B2169" t="str">
            <v>Deficiencia de magnesio</v>
          </cell>
        </row>
        <row r="2170">
          <cell r="A2170" t="str">
            <v>E61.3</v>
          </cell>
          <cell r="B2170" t="str">
            <v>Deficiencia de manganeso</v>
          </cell>
        </row>
        <row r="2171">
          <cell r="A2171" t="str">
            <v>E61.4</v>
          </cell>
          <cell r="B2171" t="str">
            <v>Deficiencia de cromo</v>
          </cell>
        </row>
        <row r="2172">
          <cell r="A2172" t="str">
            <v>E61.5</v>
          </cell>
          <cell r="B2172" t="str">
            <v>Deficiencia de molibdeno</v>
          </cell>
        </row>
        <row r="2173">
          <cell r="A2173" t="str">
            <v>E61.6</v>
          </cell>
          <cell r="B2173" t="str">
            <v>Deficiencia de vanadio</v>
          </cell>
        </row>
        <row r="2174">
          <cell r="A2174" t="str">
            <v>E61.7</v>
          </cell>
          <cell r="B2174" t="str">
            <v>Deficiencia de múltiples elementos nutricionales</v>
          </cell>
        </row>
        <row r="2175">
          <cell r="A2175" t="str">
            <v>E61.8</v>
          </cell>
          <cell r="B2175" t="str">
            <v>Deficiencia de otros elementos nutricionales especificados</v>
          </cell>
        </row>
        <row r="2176">
          <cell r="A2176" t="str">
            <v>E61.9</v>
          </cell>
          <cell r="B2176" t="str">
            <v>Deficiencia de otro elemento nutricional, no especificado</v>
          </cell>
        </row>
        <row r="2177">
          <cell r="A2177" t="str">
            <v>E63</v>
          </cell>
          <cell r="B2177" t="str">
            <v>Otras deficiencias nutricionales</v>
          </cell>
        </row>
        <row r="2178">
          <cell r="A2178" t="str">
            <v>E63.0</v>
          </cell>
          <cell r="B2178" t="str">
            <v>Deficiencia de ácidos grasos esenciales [AGE]</v>
          </cell>
        </row>
        <row r="2179">
          <cell r="A2179" t="str">
            <v>E63.1</v>
          </cell>
          <cell r="B2179" t="str">
            <v>Desequilibrio de los constituyentes en la dieta</v>
          </cell>
        </row>
        <row r="2180">
          <cell r="A2180" t="str">
            <v>E63.8</v>
          </cell>
          <cell r="B2180" t="str">
            <v>Otras deficiencias nutricionales especificadas</v>
          </cell>
        </row>
        <row r="2181">
          <cell r="A2181" t="str">
            <v>E63.9</v>
          </cell>
          <cell r="B2181" t="str">
            <v>Deficiencia nutricional, no especificada</v>
          </cell>
        </row>
        <row r="2182">
          <cell r="A2182" t="str">
            <v>E64</v>
          </cell>
          <cell r="B2182" t="str">
            <v>Secuelas de la desnutrición y de otras deficiencias nutricionales</v>
          </cell>
        </row>
        <row r="2183">
          <cell r="A2183" t="str">
            <v>E64.0</v>
          </cell>
          <cell r="B2183" t="str">
            <v>Secuelas de la desnutrición proteicocalórica</v>
          </cell>
        </row>
        <row r="2184">
          <cell r="A2184" t="str">
            <v>E64.1</v>
          </cell>
          <cell r="B2184" t="str">
            <v>Secuelas de la deficiencia de vitamina A</v>
          </cell>
        </row>
        <row r="2185">
          <cell r="A2185" t="str">
            <v>E64.2</v>
          </cell>
          <cell r="B2185" t="str">
            <v>Secuelas de la deficiencia de vitamina C</v>
          </cell>
        </row>
        <row r="2186">
          <cell r="A2186" t="str">
            <v>E64.3</v>
          </cell>
          <cell r="B2186" t="str">
            <v>Secuelas del raquitismo</v>
          </cell>
        </row>
        <row r="2187">
          <cell r="A2187" t="str">
            <v>E64.8</v>
          </cell>
          <cell r="B2187" t="str">
            <v>Secuelas de otras deficiencias nutricionales</v>
          </cell>
        </row>
        <row r="2188">
          <cell r="A2188" t="str">
            <v>E64.9</v>
          </cell>
          <cell r="B2188" t="str">
            <v>Secuelas de la deficiencia nutricional no especificada</v>
          </cell>
        </row>
        <row r="2189">
          <cell r="A2189" t="str">
            <v>E65.X</v>
          </cell>
          <cell r="B2189" t="str">
            <v>Adiposidad localizada</v>
          </cell>
        </row>
        <row r="2190">
          <cell r="A2190" t="str">
            <v>E66</v>
          </cell>
          <cell r="B2190" t="str">
            <v>Obesidad</v>
          </cell>
        </row>
        <row r="2191">
          <cell r="A2191" t="str">
            <v>E66.0</v>
          </cell>
          <cell r="B2191" t="str">
            <v>Obesidad debida a exceso de calorías</v>
          </cell>
        </row>
        <row r="2192">
          <cell r="A2192" t="str">
            <v>E66.1</v>
          </cell>
          <cell r="B2192" t="str">
            <v>Obesidad inducida por drogas</v>
          </cell>
        </row>
        <row r="2193">
          <cell r="A2193" t="str">
            <v>E66.2</v>
          </cell>
          <cell r="B2193" t="str">
            <v>Obesidad extrema con hipoventilación alveolar</v>
          </cell>
        </row>
        <row r="2194">
          <cell r="A2194" t="str">
            <v>E66.8</v>
          </cell>
          <cell r="B2194" t="str">
            <v>Otros tipos de obesidad</v>
          </cell>
        </row>
        <row r="2195">
          <cell r="A2195" t="str">
            <v>E66.9</v>
          </cell>
          <cell r="B2195" t="str">
            <v>Obesidad, no especificada</v>
          </cell>
        </row>
        <row r="2196">
          <cell r="A2196" t="str">
            <v>E67</v>
          </cell>
          <cell r="B2196" t="str">
            <v>Otros tipos de hiperalimentación</v>
          </cell>
        </row>
        <row r="2197">
          <cell r="A2197" t="str">
            <v>E67.0</v>
          </cell>
          <cell r="B2197" t="str">
            <v>Hipervitaminosis A</v>
          </cell>
        </row>
        <row r="2198">
          <cell r="A2198" t="str">
            <v>E67.1</v>
          </cell>
          <cell r="B2198" t="str">
            <v>Hipercarotinemia</v>
          </cell>
        </row>
        <row r="2199">
          <cell r="A2199" t="str">
            <v>E67.2</v>
          </cell>
          <cell r="B2199" t="str">
            <v>Síndrome de megavitamina B6</v>
          </cell>
        </row>
        <row r="2200">
          <cell r="A2200" t="str">
            <v>E67.3</v>
          </cell>
          <cell r="B2200" t="str">
            <v>Hipervitaminosis D</v>
          </cell>
        </row>
        <row r="2201">
          <cell r="A2201" t="str">
            <v>E67.8</v>
          </cell>
          <cell r="B2201" t="str">
            <v>Otros tipos de hiperalimentación especificados</v>
          </cell>
        </row>
        <row r="2202">
          <cell r="A2202" t="str">
            <v>E68.X</v>
          </cell>
          <cell r="B2202" t="str">
            <v>Secuelas de hiperalimentación</v>
          </cell>
        </row>
        <row r="2203">
          <cell r="A2203" t="str">
            <v>E70</v>
          </cell>
          <cell r="B2203" t="str">
            <v>Trastornos del metabolismo de los aminoácidos aromáticos</v>
          </cell>
        </row>
        <row r="2204">
          <cell r="A2204" t="str">
            <v>E70.0</v>
          </cell>
          <cell r="B2204" t="str">
            <v>Fenilcetonuria clásica</v>
          </cell>
        </row>
        <row r="2205">
          <cell r="A2205" t="str">
            <v>E70.1</v>
          </cell>
          <cell r="B2205" t="str">
            <v>Otras hiperfenilalaninemias</v>
          </cell>
        </row>
        <row r="2206">
          <cell r="A2206" t="str">
            <v>E70.2</v>
          </cell>
          <cell r="B2206" t="str">
            <v>Trastornos del metabolismo de la tirosina</v>
          </cell>
        </row>
        <row r="2207">
          <cell r="A2207" t="str">
            <v>E70.3</v>
          </cell>
          <cell r="B2207" t="str">
            <v>Albinismo</v>
          </cell>
        </row>
        <row r="2208">
          <cell r="A2208" t="str">
            <v>E70.8</v>
          </cell>
          <cell r="B2208" t="str">
            <v>Otros trastornos del metabolismo de los aminoácidos aromáticos</v>
          </cell>
        </row>
        <row r="2209">
          <cell r="A2209" t="str">
            <v>E70.9</v>
          </cell>
          <cell r="B2209" t="str">
            <v>Trastorno del metabolismo de los aminoácidos aromáticos, no especificado</v>
          </cell>
        </row>
        <row r="2210">
          <cell r="A2210" t="str">
            <v>E71</v>
          </cell>
          <cell r="B2210" t="str">
            <v>Trastornos del metabolismo de los aminoácidos de cadena ramificada y de los ácidos grasos</v>
          </cell>
        </row>
        <row r="2211">
          <cell r="A2211" t="str">
            <v>E71.0</v>
          </cell>
          <cell r="B2211" t="str">
            <v>Enfermedad de la orina en jarabe de arce</v>
          </cell>
        </row>
        <row r="2212">
          <cell r="A2212" t="str">
            <v>E71.1</v>
          </cell>
          <cell r="B2212" t="str">
            <v>Otros trastornos del metabolismo de los aminoácidos de cadena ramificada</v>
          </cell>
        </row>
        <row r="2213">
          <cell r="A2213" t="str">
            <v>E71.2</v>
          </cell>
          <cell r="B2213" t="str">
            <v>Otros trastornos del metabolismo de los aminoácidos de cadena ramificada, no especificados</v>
          </cell>
        </row>
        <row r="2214">
          <cell r="A2214" t="str">
            <v>E71.3</v>
          </cell>
          <cell r="B2214" t="str">
            <v>Trastornos del metabolismo de los ácidos grasos</v>
          </cell>
        </row>
        <row r="2215">
          <cell r="A2215" t="str">
            <v>E72</v>
          </cell>
          <cell r="B2215" t="str">
            <v>Otros trastornos del metabolismo de los aminoácidos</v>
          </cell>
        </row>
        <row r="2216">
          <cell r="A2216" t="str">
            <v>E72.0</v>
          </cell>
          <cell r="B2216" t="str">
            <v>Trastornos del transporte de los aminoácidos</v>
          </cell>
        </row>
        <row r="2217">
          <cell r="A2217" t="str">
            <v>E72.1</v>
          </cell>
          <cell r="B2217" t="str">
            <v>Trastornos del metabolismo de los aminoácidos azufrados</v>
          </cell>
        </row>
        <row r="2218">
          <cell r="A2218" t="str">
            <v>E72.2</v>
          </cell>
          <cell r="B2218" t="str">
            <v>Trastornos del metabolismo del ciclo de la urea</v>
          </cell>
        </row>
        <row r="2219">
          <cell r="A2219" t="str">
            <v>E72.3</v>
          </cell>
          <cell r="B2219" t="str">
            <v>Trastornos del metabolismo de la lisina y la hidroxilisina</v>
          </cell>
        </row>
        <row r="2220">
          <cell r="A2220" t="str">
            <v>E72.4</v>
          </cell>
          <cell r="B2220" t="str">
            <v>Trastornos del metabolismo de la ornitina</v>
          </cell>
        </row>
        <row r="2221">
          <cell r="A2221" t="str">
            <v>E72.5</v>
          </cell>
          <cell r="B2221" t="str">
            <v>Trastornos del metabolismo de la glicina</v>
          </cell>
        </row>
        <row r="2222">
          <cell r="A2222" t="str">
            <v>E72.8</v>
          </cell>
          <cell r="B2222" t="str">
            <v>Otros trastornos especificados del metabolismo de los aminoácidos</v>
          </cell>
        </row>
        <row r="2223">
          <cell r="A2223" t="str">
            <v>E72.9</v>
          </cell>
          <cell r="B2223" t="str">
            <v>Trastorno del metabolismo de los aminoácidos, no especificado</v>
          </cell>
        </row>
        <row r="2224">
          <cell r="A2224" t="str">
            <v>E73</v>
          </cell>
          <cell r="B2224" t="str">
            <v>Intolerancia a la lactosa</v>
          </cell>
        </row>
        <row r="2225">
          <cell r="A2225" t="str">
            <v>E73.0</v>
          </cell>
          <cell r="B2225" t="str">
            <v>Deficiencia congénita de lactasa</v>
          </cell>
        </row>
        <row r="2226">
          <cell r="A2226" t="str">
            <v>E73.1</v>
          </cell>
          <cell r="B2226" t="str">
            <v>Deficiencia secundaria de lactasa</v>
          </cell>
        </row>
        <row r="2227">
          <cell r="A2227" t="str">
            <v>E73.8</v>
          </cell>
          <cell r="B2227" t="str">
            <v>Otros tipos de intolerancia a la lactosa</v>
          </cell>
        </row>
        <row r="2228">
          <cell r="A2228" t="str">
            <v>E73.9</v>
          </cell>
          <cell r="B2228" t="str">
            <v>Intolerancia a la lactosa, no especificada</v>
          </cell>
        </row>
        <row r="2229">
          <cell r="A2229" t="str">
            <v>E74</v>
          </cell>
          <cell r="B2229" t="str">
            <v>Otros trastornos del metabolismo de los carbohidratos</v>
          </cell>
        </row>
        <row r="2230">
          <cell r="A2230" t="str">
            <v>E74.0</v>
          </cell>
          <cell r="B2230" t="str">
            <v>Enfermedad del almacenamiento de glucógeno</v>
          </cell>
        </row>
        <row r="2231">
          <cell r="A2231" t="str">
            <v>E74.1</v>
          </cell>
          <cell r="B2231" t="str">
            <v>Trastornos del metabolismo de la fructosa</v>
          </cell>
        </row>
        <row r="2232">
          <cell r="A2232" t="str">
            <v>E74.2</v>
          </cell>
          <cell r="B2232" t="str">
            <v>Trastorno del metabolismo de la galactosa</v>
          </cell>
        </row>
        <row r="2233">
          <cell r="A2233" t="str">
            <v>E74.3</v>
          </cell>
          <cell r="B2233" t="str">
            <v>Otros trastornos de la absorción intestinal de carbohidratos</v>
          </cell>
        </row>
        <row r="2234">
          <cell r="A2234" t="str">
            <v>E74.4</v>
          </cell>
          <cell r="B2234" t="str">
            <v>Trastornos del metabolismo del piruvato y de la gluconeogénesis</v>
          </cell>
        </row>
        <row r="2235">
          <cell r="A2235" t="str">
            <v>E74.8</v>
          </cell>
          <cell r="B2235" t="str">
            <v>Otros trastornos especificados del metabolismo de los carbohidratos</v>
          </cell>
        </row>
        <row r="2236">
          <cell r="A2236" t="str">
            <v>E74.9</v>
          </cell>
          <cell r="B2236" t="str">
            <v>Trastorno del metabolismo de los carbohidratos, no especificado</v>
          </cell>
        </row>
        <row r="2237">
          <cell r="A2237" t="str">
            <v>E75</v>
          </cell>
          <cell r="B2237" t="str">
            <v>Trastornos del metabolismo de los esfingolípidos y otros trastornos por almacenamiento de lípidos</v>
          </cell>
        </row>
        <row r="2238">
          <cell r="A2238" t="str">
            <v>E75.0</v>
          </cell>
          <cell r="B2238" t="str">
            <v>Gangliosidosis GM2</v>
          </cell>
        </row>
        <row r="2239">
          <cell r="A2239" t="str">
            <v>E75.1</v>
          </cell>
          <cell r="B2239" t="str">
            <v>Otras gangliosidosis</v>
          </cell>
        </row>
        <row r="2240">
          <cell r="A2240" t="str">
            <v>E75.2</v>
          </cell>
          <cell r="B2240" t="str">
            <v>Otras esfingolipidosis</v>
          </cell>
        </row>
        <row r="2241">
          <cell r="A2241" t="str">
            <v>E75.3</v>
          </cell>
          <cell r="B2241" t="str">
            <v>Esfingolipidosis, no especificada</v>
          </cell>
        </row>
        <row r="2242">
          <cell r="A2242" t="str">
            <v>E75.4</v>
          </cell>
          <cell r="B2242" t="str">
            <v>Lipofuscinosis ceroide neuronal</v>
          </cell>
        </row>
        <row r="2243">
          <cell r="A2243" t="str">
            <v>E75.5</v>
          </cell>
          <cell r="B2243" t="str">
            <v>Otros trastornos del almacenamiento de lípidos</v>
          </cell>
        </row>
        <row r="2244">
          <cell r="A2244" t="str">
            <v>E75.6</v>
          </cell>
          <cell r="B2244" t="str">
            <v>Trastorno del almacenamiento de lípidos, no especificado</v>
          </cell>
        </row>
        <row r="2245">
          <cell r="A2245" t="str">
            <v>E76</v>
          </cell>
          <cell r="B2245" t="str">
            <v>Trastornos del metabolismo de los glucosaminoglicanos</v>
          </cell>
        </row>
        <row r="2246">
          <cell r="A2246" t="str">
            <v>E76.0</v>
          </cell>
          <cell r="B2246" t="str">
            <v>Mucopolisacaridosis tipo I</v>
          </cell>
        </row>
        <row r="2247">
          <cell r="A2247" t="str">
            <v>E76.1</v>
          </cell>
          <cell r="B2247" t="str">
            <v>Mucopolisacaridosis tipo II</v>
          </cell>
        </row>
        <row r="2248">
          <cell r="A2248" t="str">
            <v>E76.2</v>
          </cell>
          <cell r="B2248" t="str">
            <v>Otras mucopolisacaridosis</v>
          </cell>
        </row>
        <row r="2249">
          <cell r="A2249" t="str">
            <v>E76.3</v>
          </cell>
          <cell r="B2249" t="str">
            <v>Mucopolisacaridosis no especificada</v>
          </cell>
        </row>
        <row r="2250">
          <cell r="A2250" t="str">
            <v>E76.8</v>
          </cell>
          <cell r="B2250" t="str">
            <v>Otros trastornos del metabolismo de los glucosaminoglicanos</v>
          </cell>
        </row>
        <row r="2251">
          <cell r="A2251" t="str">
            <v>E76.9</v>
          </cell>
          <cell r="B2251" t="str">
            <v>Trastorno del metabolismo de los glucosaminoglicanos, no especificado</v>
          </cell>
        </row>
        <row r="2252">
          <cell r="A2252" t="str">
            <v>E77</v>
          </cell>
          <cell r="B2252" t="str">
            <v>Trastornos del metabolismo de las glucoproteínas</v>
          </cell>
        </row>
        <row r="2253">
          <cell r="A2253" t="str">
            <v>E77.0</v>
          </cell>
          <cell r="B2253" t="str">
            <v>Defectos en la modificación postraslacional de enzimas lisosomales</v>
          </cell>
        </row>
        <row r="2254">
          <cell r="A2254" t="str">
            <v>E77.1</v>
          </cell>
          <cell r="B2254" t="str">
            <v>Defectos de la degradación de glucoproteínas</v>
          </cell>
        </row>
        <row r="2255">
          <cell r="A2255" t="str">
            <v>E77.8</v>
          </cell>
          <cell r="B2255" t="str">
            <v>Otros trastornos del metabolismo de las glucoproteínas</v>
          </cell>
        </row>
        <row r="2256">
          <cell r="A2256" t="str">
            <v>E77.9</v>
          </cell>
          <cell r="B2256" t="str">
            <v>Trastorno del metabolismo de las glucoproteínas, no especificado</v>
          </cell>
        </row>
        <row r="2257">
          <cell r="A2257" t="str">
            <v>E78</v>
          </cell>
          <cell r="B2257" t="str">
            <v>Trastornos del metabolismo de las lipoproteínas y otras lipidemias</v>
          </cell>
        </row>
        <row r="2258">
          <cell r="A2258" t="str">
            <v>E78.0</v>
          </cell>
          <cell r="B2258" t="str">
            <v>Hipercolesterolemia pura</v>
          </cell>
        </row>
        <row r="2259">
          <cell r="A2259" t="str">
            <v>E78.1</v>
          </cell>
          <cell r="B2259" t="str">
            <v>Hipergliceridemia pura</v>
          </cell>
        </row>
        <row r="2260">
          <cell r="A2260" t="str">
            <v>E78.2</v>
          </cell>
          <cell r="B2260" t="str">
            <v>Hiperlipidemia mixta</v>
          </cell>
        </row>
        <row r="2261">
          <cell r="A2261" t="str">
            <v>E78.3</v>
          </cell>
          <cell r="B2261" t="str">
            <v>Hiperquilomicronemia</v>
          </cell>
        </row>
        <row r="2262">
          <cell r="A2262" t="str">
            <v>E78.4</v>
          </cell>
          <cell r="B2262" t="str">
            <v>Otra hiperlipidemia</v>
          </cell>
        </row>
        <row r="2263">
          <cell r="A2263" t="str">
            <v>E78.5</v>
          </cell>
          <cell r="B2263" t="str">
            <v>Hiperlipidemia no especificada</v>
          </cell>
        </row>
        <row r="2264">
          <cell r="A2264" t="str">
            <v>E78.6</v>
          </cell>
          <cell r="B2264" t="str">
            <v>Deficiencia de lipoproteínas</v>
          </cell>
        </row>
        <row r="2265">
          <cell r="A2265" t="str">
            <v>E78.8</v>
          </cell>
          <cell r="B2265" t="str">
            <v>Otros trastornos del metabolismo de las lipoproteínas</v>
          </cell>
        </row>
        <row r="2266">
          <cell r="A2266" t="str">
            <v>E78.9</v>
          </cell>
          <cell r="B2266" t="str">
            <v>Trastorno del metabolismo de las lipoproteínas, no especificado</v>
          </cell>
        </row>
        <row r="2267">
          <cell r="A2267" t="str">
            <v>E79</v>
          </cell>
          <cell r="B2267" t="str">
            <v>Trastornos del metabolismo de las purinas y de las pirimidinas</v>
          </cell>
        </row>
        <row r="2268">
          <cell r="A2268" t="str">
            <v>E79.0</v>
          </cell>
          <cell r="B2268" t="str">
            <v>Hiperuricemia sin signos de artritis inflamatoria y enfermedad tofácea</v>
          </cell>
        </row>
        <row r="2269">
          <cell r="A2269" t="str">
            <v>E79.1</v>
          </cell>
          <cell r="B2269" t="str">
            <v>Síndrome de Lesch Nyhan</v>
          </cell>
        </row>
        <row r="2270">
          <cell r="A2270" t="str">
            <v>E79.8</v>
          </cell>
          <cell r="B2270" t="str">
            <v>Otros trastornos del metabolismo de las purinas y de las pirimidinas</v>
          </cell>
        </row>
        <row r="2271">
          <cell r="A2271" t="str">
            <v>E79.9</v>
          </cell>
          <cell r="B2271" t="str">
            <v>Trastorno del metabolismo de las purinas y de las pirimidinas, no especificado</v>
          </cell>
        </row>
        <row r="2272">
          <cell r="A2272" t="str">
            <v>E80</v>
          </cell>
          <cell r="B2272" t="str">
            <v>Trastornos del metabolismo de las porfirinas y de la bilirrubina</v>
          </cell>
        </row>
        <row r="2273">
          <cell r="A2273" t="str">
            <v>E80.0</v>
          </cell>
          <cell r="B2273" t="str">
            <v>Porfiria eritropoyética hereditaria</v>
          </cell>
        </row>
        <row r="2274">
          <cell r="A2274" t="str">
            <v>E80.1</v>
          </cell>
          <cell r="B2274" t="str">
            <v>Porfiria cutánea tardía</v>
          </cell>
        </row>
        <row r="2275">
          <cell r="A2275" t="str">
            <v>E80.2</v>
          </cell>
          <cell r="B2275" t="str">
            <v>Otras porfirias:</v>
          </cell>
        </row>
        <row r="2276">
          <cell r="A2276" t="str">
            <v>E80.3</v>
          </cell>
          <cell r="B2276" t="str">
            <v>Defectos de catalasa y peroxidasa</v>
          </cell>
        </row>
        <row r="2277">
          <cell r="A2277" t="str">
            <v>E80.4</v>
          </cell>
          <cell r="B2277" t="str">
            <v>Síndrome de Gilbert</v>
          </cell>
        </row>
        <row r="2278">
          <cell r="A2278" t="str">
            <v>E80.5</v>
          </cell>
          <cell r="B2278" t="str">
            <v>Síndrome de Crigler Najjar</v>
          </cell>
        </row>
        <row r="2279">
          <cell r="A2279" t="str">
            <v>E80.6</v>
          </cell>
          <cell r="B2279" t="str">
            <v>Otros trastornos del metabolismo de la bilirrubina</v>
          </cell>
        </row>
        <row r="2280">
          <cell r="A2280" t="str">
            <v>E80.7</v>
          </cell>
          <cell r="B2280" t="str">
            <v>Trastorno del metabolismo de la bilirrubina, no especificado</v>
          </cell>
        </row>
        <row r="2281">
          <cell r="A2281" t="str">
            <v>E83</v>
          </cell>
          <cell r="B2281" t="str">
            <v>Trastornos del metabolismo de los minerales</v>
          </cell>
        </row>
        <row r="2282">
          <cell r="A2282" t="str">
            <v>E83.0</v>
          </cell>
          <cell r="B2282" t="str">
            <v>Trastornos del metabolismo del cobre</v>
          </cell>
        </row>
        <row r="2283">
          <cell r="A2283" t="str">
            <v>E83.1</v>
          </cell>
          <cell r="B2283" t="str">
            <v>Trastornos del metabolismo del hierro</v>
          </cell>
        </row>
        <row r="2284">
          <cell r="A2284" t="str">
            <v>E83.2</v>
          </cell>
          <cell r="B2284" t="str">
            <v>Trastornos del metabolismo del zinc</v>
          </cell>
        </row>
        <row r="2285">
          <cell r="A2285" t="str">
            <v>E83.3</v>
          </cell>
          <cell r="B2285" t="str">
            <v>Trastornos del metabolismo del fósforo</v>
          </cell>
        </row>
        <row r="2286">
          <cell r="A2286" t="str">
            <v>E83.4</v>
          </cell>
          <cell r="B2286" t="str">
            <v>Trastornos del metabolismo del magnesio</v>
          </cell>
        </row>
        <row r="2287">
          <cell r="A2287" t="str">
            <v>E83.5</v>
          </cell>
          <cell r="B2287" t="str">
            <v>Trastornos del metabolismo del calcio</v>
          </cell>
        </row>
        <row r="2288">
          <cell r="A2288" t="str">
            <v>E83.8</v>
          </cell>
          <cell r="B2288" t="str">
            <v>Otros trastornos del metabolismo de los minerales</v>
          </cell>
        </row>
        <row r="2289">
          <cell r="A2289" t="str">
            <v>E83.9</v>
          </cell>
          <cell r="B2289" t="str">
            <v>Trastorno del metabolismo de los minerales, no especificado</v>
          </cell>
        </row>
        <row r="2290">
          <cell r="A2290" t="str">
            <v>E84</v>
          </cell>
          <cell r="B2290" t="str">
            <v>Fibrosis quística</v>
          </cell>
        </row>
        <row r="2291">
          <cell r="A2291" t="str">
            <v>E84.0</v>
          </cell>
          <cell r="B2291" t="str">
            <v>Fibrosis quística con manifestaciones pulmonares</v>
          </cell>
        </row>
        <row r="2292">
          <cell r="A2292" t="str">
            <v>E84.1</v>
          </cell>
          <cell r="B2292" t="str">
            <v>Fibrosis quística con manifestaciones intestinales</v>
          </cell>
        </row>
        <row r="2293">
          <cell r="A2293" t="str">
            <v>E84.8</v>
          </cell>
          <cell r="B2293" t="str">
            <v>Fibrosis quística con otras manifestaciones</v>
          </cell>
        </row>
        <row r="2294">
          <cell r="A2294" t="str">
            <v>E84.9</v>
          </cell>
          <cell r="B2294" t="str">
            <v>Fibrosis quística, sin otra especificación</v>
          </cell>
        </row>
        <row r="2295">
          <cell r="A2295" t="str">
            <v>E85</v>
          </cell>
          <cell r="B2295" t="str">
            <v>Amiloidosis</v>
          </cell>
        </row>
        <row r="2296">
          <cell r="A2296" t="str">
            <v>E85.0</v>
          </cell>
          <cell r="B2296" t="str">
            <v>Amiloidosis heredofamiliar no neuropática</v>
          </cell>
        </row>
        <row r="2297">
          <cell r="A2297" t="str">
            <v>E85.1</v>
          </cell>
          <cell r="B2297" t="str">
            <v>Amiloidosis heredofamiliar neuropática</v>
          </cell>
        </row>
        <row r="2298">
          <cell r="A2298" t="str">
            <v>E85.2</v>
          </cell>
          <cell r="B2298" t="str">
            <v>Amiloidosis heredofamiliar no especificada</v>
          </cell>
        </row>
        <row r="2299">
          <cell r="A2299" t="str">
            <v>E85.3</v>
          </cell>
          <cell r="B2299" t="str">
            <v>Amiloidosis sistémica secundaria</v>
          </cell>
        </row>
        <row r="2300">
          <cell r="A2300" t="str">
            <v>E85.4</v>
          </cell>
          <cell r="B2300" t="str">
            <v>Amiloidosis limitada a un órgano</v>
          </cell>
        </row>
        <row r="2301">
          <cell r="A2301" t="str">
            <v>E85.8</v>
          </cell>
          <cell r="B2301" t="str">
            <v>Otras amiloidosis</v>
          </cell>
        </row>
        <row r="2302">
          <cell r="A2302" t="str">
            <v>E85.9</v>
          </cell>
          <cell r="B2302" t="str">
            <v>Amiloidosis, no especificada</v>
          </cell>
        </row>
        <row r="2303">
          <cell r="A2303" t="str">
            <v>E86.X</v>
          </cell>
          <cell r="B2303" t="str">
            <v>Depleción del volumen</v>
          </cell>
        </row>
        <row r="2304">
          <cell r="A2304" t="str">
            <v>E87</v>
          </cell>
          <cell r="B2304" t="str">
            <v>Otros trastornos de los líquidos, de los electrólitos y del equilibrio ácido-básico</v>
          </cell>
        </row>
        <row r="2305">
          <cell r="A2305" t="str">
            <v>E87.0</v>
          </cell>
          <cell r="B2305" t="str">
            <v>Hiperosmolaridad e hipernatremia</v>
          </cell>
        </row>
        <row r="2306">
          <cell r="A2306" t="str">
            <v>E87.1</v>
          </cell>
          <cell r="B2306" t="str">
            <v>Hiposmolaridad e hiponatremia</v>
          </cell>
        </row>
        <row r="2307">
          <cell r="A2307" t="str">
            <v>E87.2</v>
          </cell>
          <cell r="B2307" t="str">
            <v>Acidosis</v>
          </cell>
        </row>
        <row r="2308">
          <cell r="A2308" t="str">
            <v>E87.3</v>
          </cell>
          <cell r="B2308" t="str">
            <v>Alcalosis</v>
          </cell>
        </row>
        <row r="2309">
          <cell r="A2309" t="str">
            <v>E87.4</v>
          </cell>
          <cell r="B2309" t="str">
            <v>Trastornos mixtos del balance ácido-básico</v>
          </cell>
        </row>
        <row r="2310">
          <cell r="A2310" t="str">
            <v>E87.5</v>
          </cell>
          <cell r="B2310" t="str">
            <v>Hiperpotasemia</v>
          </cell>
        </row>
        <row r="2311">
          <cell r="A2311" t="str">
            <v>E87.6</v>
          </cell>
          <cell r="B2311" t="str">
            <v>Hipopotasmia</v>
          </cell>
        </row>
        <row r="2312">
          <cell r="A2312" t="str">
            <v>E87.7</v>
          </cell>
          <cell r="B2312" t="str">
            <v>Sobrecarga de líquidos</v>
          </cell>
        </row>
        <row r="2313">
          <cell r="A2313" t="str">
            <v>E87.8</v>
          </cell>
          <cell r="B2313" t="str">
            <v>Otros trastornos del equilibrio de los electrólitos y de los líquidos, no clasificados en otra parte</v>
          </cell>
        </row>
        <row r="2314">
          <cell r="A2314" t="str">
            <v>E88</v>
          </cell>
          <cell r="B2314" t="str">
            <v>Otros trastornos metabólicos</v>
          </cell>
        </row>
        <row r="2315">
          <cell r="A2315" t="str">
            <v>E88.0</v>
          </cell>
          <cell r="B2315" t="str">
            <v>Trastornos del metabolismo de las proteínas plasmáticas, no clasificados en otra parte</v>
          </cell>
        </row>
        <row r="2316">
          <cell r="A2316" t="str">
            <v>E88.1</v>
          </cell>
          <cell r="B2316" t="str">
            <v>Lipodistrofia, no clasificada en otra parte</v>
          </cell>
        </row>
        <row r="2317">
          <cell r="A2317" t="str">
            <v>E88.2</v>
          </cell>
          <cell r="B2317" t="str">
            <v>Lipomatosis, no clasificada en otra parte</v>
          </cell>
        </row>
        <row r="2318">
          <cell r="A2318" t="str">
            <v>E88.8</v>
          </cell>
          <cell r="B2318" t="str">
            <v>Otros trastornos especificados del metabolismo</v>
          </cell>
        </row>
        <row r="2319">
          <cell r="A2319" t="str">
            <v>E88.9</v>
          </cell>
          <cell r="B2319" t="str">
            <v>Trastorno metabólico, no especificado</v>
          </cell>
        </row>
        <row r="2320">
          <cell r="A2320" t="str">
            <v>E89</v>
          </cell>
          <cell r="B2320" t="str">
            <v>Trastornos endocrinos y metabólicos consecutivos a procedimientos, no clasificados en otra parte</v>
          </cell>
        </row>
        <row r="2321">
          <cell r="A2321" t="str">
            <v>E89.0</v>
          </cell>
          <cell r="B2321" t="str">
            <v>Hipotiroidismo consecutivo a procedimientos</v>
          </cell>
        </row>
        <row r="2322">
          <cell r="A2322" t="str">
            <v>E89.1</v>
          </cell>
          <cell r="B2322" t="str">
            <v>Hipoinsulinemia consecutiva a procedimientos</v>
          </cell>
        </row>
        <row r="2323">
          <cell r="A2323" t="str">
            <v>E89.2</v>
          </cell>
          <cell r="B2323" t="str">
            <v>Hipoparatiroidismo consecutivo a procedimientos</v>
          </cell>
        </row>
        <row r="2324">
          <cell r="A2324" t="str">
            <v>E89.3</v>
          </cell>
          <cell r="B2324" t="str">
            <v>Hipopituitarismo consecutivo a procedimientos</v>
          </cell>
        </row>
        <row r="2325">
          <cell r="A2325" t="str">
            <v>E89.4</v>
          </cell>
          <cell r="B2325" t="str">
            <v>Insuficiencia ovárica consecutiva a procedimientos</v>
          </cell>
        </row>
        <row r="2326">
          <cell r="A2326" t="str">
            <v>E89.5</v>
          </cell>
          <cell r="B2326" t="str">
            <v>Hipofunción testicular consecutiva a procedimientos</v>
          </cell>
        </row>
        <row r="2327">
          <cell r="A2327" t="str">
            <v>E89.6</v>
          </cell>
          <cell r="B2327" t="str">
            <v>Hipofunción adrenocortical [médula suprarrenal] consecutiva a procedimientos</v>
          </cell>
        </row>
        <row r="2328">
          <cell r="A2328" t="str">
            <v>E89.8</v>
          </cell>
          <cell r="B2328" t="str">
            <v>Otros trastornos metabólicos y endocrinos consecutivos a procedimientos</v>
          </cell>
        </row>
        <row r="2329">
          <cell r="A2329" t="str">
            <v>E89.9</v>
          </cell>
          <cell r="B2329" t="str">
            <v>Trastorno endocrino y metabólico consecutivo a procedimientos, no especificado</v>
          </cell>
        </row>
        <row r="2330">
          <cell r="A2330" t="str">
            <v>E90.X*</v>
          </cell>
          <cell r="B2330" t="str">
            <v>Trastornos nutricionales y metabólicos en enfermedades clasificadas en otra parte</v>
          </cell>
        </row>
        <row r="2331">
          <cell r="A2331" t="str">
            <v>F</v>
          </cell>
          <cell r="B2331" t="str">
            <v>Transtornos Mentales</v>
          </cell>
        </row>
        <row r="2332">
          <cell r="A2332" t="str">
            <v>F00*</v>
          </cell>
          <cell r="B2332" t="str">
            <v>Demencia en la enfermedad de Alzheimer (G30.-+)</v>
          </cell>
        </row>
        <row r="2333">
          <cell r="A2333" t="str">
            <v>F00.0*</v>
          </cell>
          <cell r="B2333" t="str">
            <v>Demencia en la enfermedad de Alzheimer, de comienzo temprano (G30.0+)</v>
          </cell>
        </row>
        <row r="2334">
          <cell r="A2334" t="str">
            <v>F00.1*</v>
          </cell>
          <cell r="B2334" t="str">
            <v>Demencia en la enfermedad de Alzheimer, de comienzo tardío (G30.1+)</v>
          </cell>
        </row>
        <row r="2335">
          <cell r="A2335" t="str">
            <v>F00.2*</v>
          </cell>
          <cell r="B2335" t="str">
            <v>Demencia en la enfermedad de Alzheimer, atípica o de tipo mixto (G30.8+)</v>
          </cell>
        </row>
        <row r="2336">
          <cell r="A2336" t="str">
            <v>F00.9*</v>
          </cell>
          <cell r="B2336" t="str">
            <v>Demencia en la enfermedad de Alzheimer, no especificada (G30.9+)</v>
          </cell>
        </row>
        <row r="2337">
          <cell r="A2337" t="str">
            <v>F01</v>
          </cell>
          <cell r="B2337" t="str">
            <v>Demencia vascular</v>
          </cell>
        </row>
        <row r="2338">
          <cell r="A2338" t="str">
            <v>F01.0</v>
          </cell>
          <cell r="B2338" t="str">
            <v>Demencia vascular de comienzo agudo</v>
          </cell>
        </row>
        <row r="2339">
          <cell r="A2339" t="str">
            <v>F01.1</v>
          </cell>
          <cell r="B2339" t="str">
            <v>Demencia vascular por infartos múltiples</v>
          </cell>
        </row>
        <row r="2340">
          <cell r="A2340" t="str">
            <v>F01.2</v>
          </cell>
          <cell r="B2340" t="str">
            <v>Demencia vascular subcortical</v>
          </cell>
        </row>
        <row r="2341">
          <cell r="A2341" t="str">
            <v>F01.3</v>
          </cell>
          <cell r="B2341" t="str">
            <v>Demencia vascular mixta, cortical y subcortical</v>
          </cell>
        </row>
        <row r="2342">
          <cell r="A2342" t="str">
            <v>F01.8</v>
          </cell>
          <cell r="B2342" t="str">
            <v>Otras demencias vasculares</v>
          </cell>
        </row>
        <row r="2343">
          <cell r="A2343" t="str">
            <v>F01.9</v>
          </cell>
          <cell r="B2343" t="str">
            <v>Demencia vascular, no especificada</v>
          </cell>
        </row>
        <row r="2344">
          <cell r="A2344" t="str">
            <v>F02*</v>
          </cell>
          <cell r="B2344" t="str">
            <v>Demencia en otras enfermedades clasificadas en otra parte</v>
          </cell>
        </row>
        <row r="2345">
          <cell r="A2345" t="str">
            <v>F02.0*</v>
          </cell>
          <cell r="B2345" t="str">
            <v>Demencia en la enfermedad de Pick (G3l.0+)</v>
          </cell>
        </row>
        <row r="2346">
          <cell r="A2346" t="str">
            <v>F02.1*</v>
          </cell>
          <cell r="B2346" t="str">
            <v>Demencia en la enfermedad de Creutzfeldt Jakob (A81.0+)</v>
          </cell>
        </row>
        <row r="2347">
          <cell r="A2347" t="str">
            <v>F02.2*</v>
          </cell>
          <cell r="B2347" t="str">
            <v>Demencia en la enfermedad de Huntington (Gl0+)</v>
          </cell>
        </row>
        <row r="2348">
          <cell r="A2348" t="str">
            <v>F02.3*</v>
          </cell>
          <cell r="B2348" t="str">
            <v>Demencia en la enfermedad de Parkinson (G20+)</v>
          </cell>
        </row>
        <row r="2349">
          <cell r="A2349" t="str">
            <v>F02.4*</v>
          </cell>
          <cell r="B2349" t="str">
            <v>Demencia en la enfermedad por virus de la inmunodeficiencia humana [VIH] (B22.0+)</v>
          </cell>
        </row>
        <row r="2350">
          <cell r="A2350" t="str">
            <v>F02.8*</v>
          </cell>
          <cell r="B2350" t="str">
            <v>Demencia en otras enfermedades especificadas clasificadas en otra parte</v>
          </cell>
        </row>
        <row r="2351">
          <cell r="A2351" t="str">
            <v>F03.X</v>
          </cell>
          <cell r="B2351" t="str">
            <v>Demencia, no especificada</v>
          </cell>
        </row>
        <row r="2352">
          <cell r="A2352" t="str">
            <v>F04.X</v>
          </cell>
          <cell r="B2352" t="str">
            <v>Síndrome amnésico orgánico, no inducido por alcohol o por otras sustancias psicoactivas</v>
          </cell>
        </row>
        <row r="2353">
          <cell r="A2353" t="str">
            <v>F05</v>
          </cell>
          <cell r="B2353" t="str">
            <v>Delirio, no inducido por alcohol o por otras sustancias psicoactivas</v>
          </cell>
        </row>
        <row r="2354">
          <cell r="A2354" t="str">
            <v>F05.0</v>
          </cell>
          <cell r="B2354" t="str">
            <v>Delirio no superpuesto a un cuadro de demencia, así descrito</v>
          </cell>
        </row>
        <row r="2355">
          <cell r="A2355" t="str">
            <v>F05.1</v>
          </cell>
          <cell r="B2355" t="str">
            <v>Delirio superpuesto a un cuadro de demencia</v>
          </cell>
        </row>
        <row r="2356">
          <cell r="A2356" t="str">
            <v>F05.8</v>
          </cell>
          <cell r="B2356" t="str">
            <v>Otros delirios</v>
          </cell>
        </row>
        <row r="2357">
          <cell r="A2357" t="str">
            <v>F05.9</v>
          </cell>
          <cell r="B2357" t="str">
            <v>Delirio, no especificado</v>
          </cell>
        </row>
        <row r="2358">
          <cell r="A2358" t="str">
            <v>F06</v>
          </cell>
          <cell r="B2358" t="str">
            <v>Otros trastornos mentales debidos a lesión y disfunción cerebral, y a enfermedad física</v>
          </cell>
        </row>
        <row r="2359">
          <cell r="A2359" t="str">
            <v>F06.0</v>
          </cell>
          <cell r="B2359" t="str">
            <v>Alucinosis orgánica</v>
          </cell>
        </row>
        <row r="2360">
          <cell r="A2360" t="str">
            <v>F06.1</v>
          </cell>
          <cell r="B2360" t="str">
            <v>Trastorno catatónico, orgánico</v>
          </cell>
        </row>
        <row r="2361">
          <cell r="A2361" t="str">
            <v>F06.2</v>
          </cell>
          <cell r="B2361" t="str">
            <v>Trastorno delirante [esquizofreniforme], orgánico</v>
          </cell>
        </row>
        <row r="2362">
          <cell r="A2362" t="str">
            <v>F06.3</v>
          </cell>
          <cell r="B2362" t="str">
            <v>Trastornos del humor [afectivos], orgánicos</v>
          </cell>
        </row>
        <row r="2363">
          <cell r="A2363" t="str">
            <v>F06.4</v>
          </cell>
          <cell r="B2363" t="str">
            <v>Trastorno de ansiedad, orgánico</v>
          </cell>
        </row>
        <row r="2364">
          <cell r="A2364" t="str">
            <v>F06.5</v>
          </cell>
          <cell r="B2364" t="str">
            <v>Trastorno disociativo, orgánico</v>
          </cell>
        </row>
        <row r="2365">
          <cell r="A2365" t="str">
            <v>F06.6</v>
          </cell>
          <cell r="B2365" t="str">
            <v>Trastorno de labilidad emocional [asténico], orgánico</v>
          </cell>
        </row>
        <row r="2366">
          <cell r="A2366" t="str">
            <v>F06.7</v>
          </cell>
          <cell r="B2366" t="str">
            <v>Trastorno cognoscitivo leve</v>
          </cell>
        </row>
        <row r="2367">
          <cell r="A2367" t="str">
            <v>F06.8</v>
          </cell>
          <cell r="B2367" t="str">
            <v>Otros trastornos mentales especificados debidos a lesión y disfunción cerebral y a enfermedad física</v>
          </cell>
        </row>
        <row r="2368">
          <cell r="A2368" t="str">
            <v>F06.9</v>
          </cell>
          <cell r="B2368" t="str">
            <v>Trastorno mental no especificado debido a lesión y disfunción cerebral y a enfermedad física</v>
          </cell>
        </row>
        <row r="2369">
          <cell r="A2369" t="str">
            <v>F07</v>
          </cell>
          <cell r="B2369" t="str">
            <v>Trastornos de la personalidad y del comportamiento debidos a enfermedad, lesión o disfunción cerebral</v>
          </cell>
        </row>
        <row r="2370">
          <cell r="A2370" t="str">
            <v>F07.0</v>
          </cell>
          <cell r="B2370" t="str">
            <v>Trastorno de la personalidad, orgánico</v>
          </cell>
        </row>
        <row r="2371">
          <cell r="A2371" t="str">
            <v>F07.1</v>
          </cell>
          <cell r="B2371" t="str">
            <v>Síndrome postencefalítico</v>
          </cell>
        </row>
        <row r="2372">
          <cell r="A2372" t="str">
            <v>F07.2</v>
          </cell>
          <cell r="B2372" t="str">
            <v>Síndrome postconcusional</v>
          </cell>
        </row>
        <row r="2373">
          <cell r="A2373" t="str">
            <v>F07.8</v>
          </cell>
          <cell r="B2373" t="str">
            <v>Otros trastornos orgánicos de la personalidad y del comportamiento debidos a enfermedad, lesión y disfunción cerebrales</v>
          </cell>
        </row>
        <row r="2374">
          <cell r="A2374" t="str">
            <v>F07.9</v>
          </cell>
          <cell r="B2374" t="str">
            <v>Trastorno orgánico de la personalidad y del comportamiento, no especificado, debido a enfermedad, lesión y disfunción cerebral</v>
          </cell>
        </row>
        <row r="2375">
          <cell r="A2375" t="str">
            <v>F09.X</v>
          </cell>
          <cell r="B2375" t="str">
            <v>Trastorno mental orgánico o sintomático, no especificado</v>
          </cell>
        </row>
        <row r="2376">
          <cell r="A2376" t="str">
            <v>F10</v>
          </cell>
          <cell r="B2376" t="str">
            <v>Trastornos mentales y del comportamiento debidos al uso de alcohol</v>
          </cell>
        </row>
        <row r="2377">
          <cell r="A2377" t="str">
            <v>F10.0</v>
          </cell>
          <cell r="B2377" t="str">
            <v>Trastornos mentales y del comportamiento debidos al uso de alcohol, intoxicación aguda</v>
          </cell>
        </row>
        <row r="2378">
          <cell r="A2378" t="str">
            <v>F10.1</v>
          </cell>
          <cell r="B2378" t="str">
            <v>Trastornos mentales y del comportamiento debidos al uso de alcohol, uso nocivo</v>
          </cell>
        </row>
        <row r="2379">
          <cell r="A2379" t="str">
            <v>F10.2</v>
          </cell>
          <cell r="B2379" t="str">
            <v>Trastornos mentales y del comportamiento debidos al uso de alcohol, síndrome de dependencia</v>
          </cell>
        </row>
        <row r="2380">
          <cell r="A2380" t="str">
            <v>F10.3</v>
          </cell>
          <cell r="B2380" t="str">
            <v>Trastornos mentales y del comportamiento debidos al uso de alcohol, estado de abstinencia</v>
          </cell>
        </row>
        <row r="2381">
          <cell r="A2381" t="str">
            <v>F10.4</v>
          </cell>
          <cell r="B2381" t="str">
            <v>Trastornos mentales y del comportamiento debidos al uso de alcohol, estado de abstinencia con delirio</v>
          </cell>
        </row>
        <row r="2382">
          <cell r="A2382" t="str">
            <v>F10.5</v>
          </cell>
          <cell r="B2382" t="str">
            <v>Trastornos mentales y del comportamiento debidos al uso de alcohol, trastorno psicótico</v>
          </cell>
        </row>
        <row r="2383">
          <cell r="A2383" t="str">
            <v>F10.6</v>
          </cell>
          <cell r="B2383" t="str">
            <v>Trastornos mentales y del comportamiento debidos al uso de alcohol, síndrome amnésico</v>
          </cell>
        </row>
        <row r="2384">
          <cell r="A2384" t="str">
            <v>F10.7</v>
          </cell>
          <cell r="B2384" t="str">
            <v>Trastornos mentales y del comportamiento debidos al uso de alcohol, trastorno psicótico residual y de comienzo tardío</v>
          </cell>
        </row>
        <row r="2385">
          <cell r="A2385" t="str">
            <v>F10.8</v>
          </cell>
          <cell r="B2385" t="str">
            <v>Trastornos mentales y del comportamiento debidos al uso de alcohol, otros trastornos mentales y del comportamiento</v>
          </cell>
        </row>
        <row r="2386">
          <cell r="A2386" t="str">
            <v>F10.9</v>
          </cell>
          <cell r="B2386" t="str">
            <v>Trastornos mentales y del comportamiento debidos al uso de alcohol, trastorno mental y del comportamiento, no especificado</v>
          </cell>
        </row>
        <row r="2387">
          <cell r="A2387" t="str">
            <v>F11</v>
          </cell>
          <cell r="B2387" t="str">
            <v>Trastornos mentales y del comportamiento debidos al uso de opiáceos</v>
          </cell>
        </row>
        <row r="2388">
          <cell r="A2388" t="str">
            <v>F11.0</v>
          </cell>
          <cell r="B2388" t="str">
            <v>Trastornos mentales y del comportamiento debidos al uso de opiáceos, intoxicación aguda</v>
          </cell>
        </row>
        <row r="2389">
          <cell r="A2389" t="str">
            <v>F11.1</v>
          </cell>
          <cell r="B2389" t="str">
            <v>Trastornos mentales y del comportamiento debidos al uso de opiáceos, uso nocivo</v>
          </cell>
        </row>
        <row r="2390">
          <cell r="A2390" t="str">
            <v>F11.2</v>
          </cell>
          <cell r="B2390" t="str">
            <v>Trastornos mentales y del comportamiento debidos al uso de opiáceos, síndrome de dependencia</v>
          </cell>
        </row>
        <row r="2391">
          <cell r="A2391" t="str">
            <v>F11.3</v>
          </cell>
          <cell r="B2391" t="str">
            <v>Trastornos mentales y del comportamiento debidos al uso de opiáceos, estado de abstinencia</v>
          </cell>
        </row>
        <row r="2392">
          <cell r="A2392" t="str">
            <v>F11.4</v>
          </cell>
          <cell r="B2392" t="str">
            <v>Trastornos mentales y del comportamiento debidos al uso de opiáceos, estado de abstinencia con delirio</v>
          </cell>
        </row>
        <row r="2393">
          <cell r="A2393" t="str">
            <v>F11.5</v>
          </cell>
          <cell r="B2393" t="str">
            <v>Trastornos mentales y del comportamiento debidos al uso de opiáceos, trastorno psicótico</v>
          </cell>
        </row>
        <row r="2394">
          <cell r="A2394" t="str">
            <v>F11.6</v>
          </cell>
          <cell r="B2394" t="str">
            <v>Trastornos mentales y del comportamiento debidos al uso de opiáceos, síndrome amnésico</v>
          </cell>
        </row>
        <row r="2395">
          <cell r="A2395" t="str">
            <v>F11.7</v>
          </cell>
          <cell r="B2395" t="str">
            <v>Trastornos mentales y del comportamiento debidos al uso de opiáceos, trastorno psicótico residual y de comienzo tardío</v>
          </cell>
        </row>
        <row r="2396">
          <cell r="A2396" t="str">
            <v>F11.8</v>
          </cell>
          <cell r="B2396" t="str">
            <v>Trastornos mentales y del comportamiento debidos al uso de opiáceos, otros trastornos mentales y del comportamiento</v>
          </cell>
        </row>
        <row r="2397">
          <cell r="A2397" t="str">
            <v>F11.9</v>
          </cell>
          <cell r="B2397" t="str">
            <v>Trastornos mentales y del comportamiento debidos al uso de opiáceos, trastorno mental y del comportamiento, no especificado</v>
          </cell>
        </row>
        <row r="2398">
          <cell r="A2398" t="str">
            <v>F12</v>
          </cell>
          <cell r="B2398" t="str">
            <v>Trastornos mentales y del comportamiento debidos al uso de cannabinoides</v>
          </cell>
        </row>
        <row r="2399">
          <cell r="A2399" t="str">
            <v>F12.0</v>
          </cell>
          <cell r="B2399" t="str">
            <v>Trastornos mentales y del comportamiento debidos al uso de cannabinoides, intoxicación aguda</v>
          </cell>
        </row>
        <row r="2400">
          <cell r="A2400" t="str">
            <v>F12.1</v>
          </cell>
          <cell r="B2400" t="str">
            <v>Trastornos mentales y del comportamiento debidos al uso de cannabinoides, uso nocivo</v>
          </cell>
        </row>
        <row r="2401">
          <cell r="A2401" t="str">
            <v>F12.2</v>
          </cell>
          <cell r="B2401" t="str">
            <v>Trastornos mentales y del comportamiento debidos al uso de cannabinoides, síndrome de dependencia</v>
          </cell>
        </row>
        <row r="2402">
          <cell r="A2402" t="str">
            <v>F12.3</v>
          </cell>
          <cell r="B2402" t="str">
            <v>Trastornos mentales y del comportamiento debidos al uso de cannabinoides, estado de abstinencia</v>
          </cell>
        </row>
        <row r="2403">
          <cell r="A2403" t="str">
            <v>F12.4</v>
          </cell>
          <cell r="B2403" t="str">
            <v>Trastornos mentales y del comportamiento debidos al uso de cannabinoides, estado de abstinencia con delirio</v>
          </cell>
        </row>
        <row r="2404">
          <cell r="A2404" t="str">
            <v>F12.5</v>
          </cell>
          <cell r="B2404" t="str">
            <v>Trastornos mentales y del comportamiento debidos al uso de cannabinoides, trastorno psicótico</v>
          </cell>
        </row>
        <row r="2405">
          <cell r="A2405" t="str">
            <v>F12.6</v>
          </cell>
          <cell r="B2405" t="str">
            <v>Trastornos mentales y del comportamiento debidos al uso de cannabinoides, síndrome amnésico</v>
          </cell>
        </row>
        <row r="2406">
          <cell r="A2406" t="str">
            <v>F12.7</v>
          </cell>
          <cell r="B2406" t="str">
            <v>Trastornos mentales y del comportamiento debidos al uso de cannabinoides, trastorno psicótico residual y de comienzo tardío</v>
          </cell>
        </row>
        <row r="2407">
          <cell r="A2407" t="str">
            <v>F12.8</v>
          </cell>
          <cell r="B2407" t="str">
            <v>Trastornos mentales y del comportamiento debidos al uso de cannabinoides, otros trastornos mentales y del comportamiento</v>
          </cell>
        </row>
        <row r="2408">
          <cell r="A2408" t="str">
            <v>F12.9</v>
          </cell>
          <cell r="B2408" t="str">
            <v>Trastornos mentales y del comportamiento debidos al uso de cannabinoides, trastorno mental y del comportamiento, no especificado</v>
          </cell>
        </row>
        <row r="2409">
          <cell r="A2409" t="str">
            <v>F13</v>
          </cell>
          <cell r="B2409" t="str">
            <v>Trastornos mentales y del comportamiento debidos al uso de sedantes o hipnóticos</v>
          </cell>
        </row>
        <row r="2410">
          <cell r="A2410" t="str">
            <v>F13.0</v>
          </cell>
          <cell r="B2410" t="str">
            <v>Trastornos mentales y del comportamiento debidos al uso de sedantes hipnóticos, intoxicación aguda</v>
          </cell>
        </row>
        <row r="2411">
          <cell r="A2411" t="str">
            <v>F13.1</v>
          </cell>
          <cell r="B2411" t="str">
            <v>Trastornos mentales y del comportamiento debidos al uso de sedantes hipnóticos, uso nocivo</v>
          </cell>
        </row>
        <row r="2412">
          <cell r="A2412" t="str">
            <v>F13.2</v>
          </cell>
          <cell r="B2412" t="str">
            <v>Trastornos mentales y del comportamiento debidos al uso de sedantes hipnóticos, síndrome de dependencia</v>
          </cell>
        </row>
        <row r="2413">
          <cell r="A2413" t="str">
            <v>F13.3</v>
          </cell>
          <cell r="B2413" t="str">
            <v>Trastornos mentales y del comportamiento debidos al uso de sedantes hipnóticos, estado de abstinencia</v>
          </cell>
        </row>
        <row r="2414">
          <cell r="A2414" t="str">
            <v>F13.4</v>
          </cell>
          <cell r="B2414" t="str">
            <v>Trastornos mentales y del comportamiento debidos al uso de sedantes hipnóticos, estado de abstinencia con delirio</v>
          </cell>
        </row>
        <row r="2415">
          <cell r="A2415" t="str">
            <v>F13.5</v>
          </cell>
          <cell r="B2415" t="str">
            <v>Trastornos mentales y del comportamiento debidos al uso de sedantes hipnóticos, trastorno psicótico</v>
          </cell>
        </row>
        <row r="2416">
          <cell r="A2416" t="str">
            <v>F13.6</v>
          </cell>
          <cell r="B2416" t="str">
            <v>Trastornos mentales y del comportamiento debidos al uso de sedantes hipnóticos, síndrome amnésico</v>
          </cell>
        </row>
        <row r="2417">
          <cell r="A2417" t="str">
            <v>F13.7</v>
          </cell>
          <cell r="B2417" t="str">
            <v>Trastornos mentales y del comportamiento debidos al uso de sedantes hipnóticos, trastorno psicótico residual y de comienzo tardío</v>
          </cell>
        </row>
        <row r="2418">
          <cell r="A2418" t="str">
            <v>F13.8</v>
          </cell>
          <cell r="B2418" t="str">
            <v>Trastornos mentales y del comportamiento debidos al uso de sedantes hipnóticos, otros trastornos mentales y del comportamiento</v>
          </cell>
        </row>
        <row r="2419">
          <cell r="A2419" t="str">
            <v>F13.9</v>
          </cell>
          <cell r="B2419" t="str">
            <v>Trastornos mentales y del comportamiento debidos al uso de sedantes hipnóticos, trastorno mental y del comportamiento, no especificado</v>
          </cell>
        </row>
        <row r="2420">
          <cell r="A2420" t="str">
            <v>F14</v>
          </cell>
          <cell r="B2420" t="str">
            <v>Trastornos mentales y del comportamiento debidos al uso de cocaína</v>
          </cell>
        </row>
        <row r="2421">
          <cell r="A2421" t="str">
            <v>F14.0</v>
          </cell>
          <cell r="B2421" t="str">
            <v>Trastornos mentales y del comportamiento debidos al uso de cocaína, intoxicación aguda</v>
          </cell>
        </row>
        <row r="2422">
          <cell r="A2422" t="str">
            <v>F14.1</v>
          </cell>
          <cell r="B2422" t="str">
            <v>Trastornos mentales y del comportamiento debidos al uso de cocaína, uso nocivo</v>
          </cell>
        </row>
        <row r="2423">
          <cell r="A2423" t="str">
            <v>F14.2</v>
          </cell>
          <cell r="B2423" t="str">
            <v>Trastornos mentales y del comportamiento debidos al uso de cocaína, síndrome de dependencia</v>
          </cell>
        </row>
        <row r="2424">
          <cell r="A2424" t="str">
            <v>F14.3</v>
          </cell>
          <cell r="B2424" t="str">
            <v>Trastornos mentales y del comportamiento debidos al uso de cocaína, estado de abstinencia</v>
          </cell>
        </row>
        <row r="2425">
          <cell r="A2425" t="str">
            <v>F14.4</v>
          </cell>
          <cell r="B2425" t="str">
            <v>Trastornos mentales y del comportamiento debidos al uso de cocaína, estado de abstinencia con delirio</v>
          </cell>
        </row>
        <row r="2426">
          <cell r="A2426" t="str">
            <v>F14.5</v>
          </cell>
          <cell r="B2426" t="str">
            <v>Trastornos mentales y del comportamiento debidos al uso de cocaína, trastorno psicótico</v>
          </cell>
        </row>
        <row r="2427">
          <cell r="A2427" t="str">
            <v>F14.6</v>
          </cell>
          <cell r="B2427" t="str">
            <v>Trastornos mentales y del comportamiento debidos al uso de cocaína, síndrome amnésico</v>
          </cell>
        </row>
        <row r="2428">
          <cell r="A2428" t="str">
            <v>F14.7</v>
          </cell>
          <cell r="B2428" t="str">
            <v>Trastornos mentales y del comportamiento debidos al uso de cocaína, trastorno psicótico residual y de comienzo tardío</v>
          </cell>
        </row>
        <row r="2429">
          <cell r="A2429" t="str">
            <v>F14.8</v>
          </cell>
          <cell r="B2429" t="str">
            <v>Trastornos mentales y del comportamiento debidos al uso de cocaína, otros trastornos mentales y del comportamiento</v>
          </cell>
        </row>
        <row r="2430">
          <cell r="A2430" t="str">
            <v>F14.9</v>
          </cell>
          <cell r="B2430" t="str">
            <v>Trastornos mentales y del comportamiento debidos al uso de cocaína, trastorno mental y del comportamiento, no especificado</v>
          </cell>
        </row>
        <row r="2431">
          <cell r="A2431" t="str">
            <v>F15</v>
          </cell>
          <cell r="B2431" t="str">
            <v>Trastornos mentales y del comportamiento debidos al uso de otros estimulantes, incluida la cafeína</v>
          </cell>
        </row>
        <row r="2432">
          <cell r="A2432" t="str">
            <v>F15.0</v>
          </cell>
          <cell r="B2432" t="str">
            <v>Trastornos mentales y del comportamiento debidos al uso de otros estimulantes, incluida la cafeína, intoxicación aguda</v>
          </cell>
        </row>
        <row r="2433">
          <cell r="A2433" t="str">
            <v>F15.1</v>
          </cell>
          <cell r="B2433" t="str">
            <v>Trastornos mentales y del comportamiento debidos al uso de otros estimulantes, incluida la cafeína, uso nocivo</v>
          </cell>
        </row>
        <row r="2434">
          <cell r="A2434" t="str">
            <v>F15.2</v>
          </cell>
          <cell r="B2434" t="str">
            <v>Trastornos mentales y del comportamiento debidos al uso de otros estimulantes, incluida la cafeína, síndrome de dependencia</v>
          </cell>
        </row>
        <row r="2435">
          <cell r="A2435" t="str">
            <v>F15.3</v>
          </cell>
          <cell r="B2435" t="str">
            <v>Trastornos mentales y del comportamiento debidos al uso de otros estimulantes, incluida la cafeína, estado de abstinencia</v>
          </cell>
        </row>
        <row r="2436">
          <cell r="A2436" t="str">
            <v>F15.4</v>
          </cell>
          <cell r="B2436" t="str">
            <v>Trastornos mentales y del comportamiento debidos al uso de otros estimulantes, incluida la cafeína, estado de abstinencia con delirio</v>
          </cell>
        </row>
        <row r="2437">
          <cell r="A2437" t="str">
            <v>F15.5</v>
          </cell>
          <cell r="B2437" t="str">
            <v>Trastornos mentales y del comportamiento debidos al uso de otros estimulantes, incluida la cafeína, trastorno psicótico</v>
          </cell>
        </row>
        <row r="2438">
          <cell r="A2438" t="str">
            <v>F15.6</v>
          </cell>
          <cell r="B2438" t="str">
            <v>Trastornos mentales y del comportamiento debidos al uso de otros estimulantes, incluida la cafeína, síndrome amnésico</v>
          </cell>
        </row>
        <row r="2439">
          <cell r="A2439" t="str">
            <v>F15.7</v>
          </cell>
          <cell r="B2439" t="str">
            <v>Trastornos mentales y del comportamiento debidos al uso de otros estimulantes, incluida la cafeína, trastorno psicótico residual y de comienzo tardío</v>
          </cell>
        </row>
        <row r="2440">
          <cell r="A2440" t="str">
            <v>F15.8</v>
          </cell>
          <cell r="B2440" t="str">
            <v>Trastornos mentales y del comportamiento debidos al uso de otros estimulantes, incluida la cafeína, otros trastornos mentales y del comportamiento</v>
          </cell>
        </row>
        <row r="2441">
          <cell r="A2441" t="str">
            <v>F15.9</v>
          </cell>
          <cell r="B2441" t="str">
            <v>Trastornos mentales y del comportamiento debidos al uso de otros estimulantes, incluida la cafeína, trastorno mental y del comportamiento, no especificado</v>
          </cell>
        </row>
        <row r="2442">
          <cell r="A2442" t="str">
            <v>F16</v>
          </cell>
          <cell r="B2442" t="str">
            <v>Trastornos mentales y del comportamiento debidos al uso de alucinógenos</v>
          </cell>
        </row>
        <row r="2443">
          <cell r="A2443" t="str">
            <v>F16.0</v>
          </cell>
          <cell r="B2443" t="str">
            <v>Trastornos mentales y del comportamiento debidos al uso de alucinógenos, intoxicación aguda</v>
          </cell>
        </row>
        <row r="2444">
          <cell r="A2444" t="str">
            <v>F16.1</v>
          </cell>
          <cell r="B2444" t="str">
            <v>Trastornos mentales y del comportamiento debidos al uso de alucinógenos, uso nocivo</v>
          </cell>
        </row>
        <row r="2445">
          <cell r="A2445" t="str">
            <v>F16.2</v>
          </cell>
          <cell r="B2445" t="str">
            <v>Trastornos mentales y del comportamiento debidos al uso de alucinógenos, síndrome de dependencia</v>
          </cell>
        </row>
        <row r="2446">
          <cell r="A2446" t="str">
            <v>F16.3</v>
          </cell>
          <cell r="B2446" t="str">
            <v>Trastornos mentales y del comportamiento debidos al uso de alucinógenos, estado de abstinencia</v>
          </cell>
        </row>
        <row r="2447">
          <cell r="A2447" t="str">
            <v>F16.4</v>
          </cell>
          <cell r="B2447" t="str">
            <v>Trastornos mentales y del comportamiento debidos al uso de alucinógenos, estado de abstinencia con delirio</v>
          </cell>
        </row>
        <row r="2448">
          <cell r="A2448" t="str">
            <v>F16.5</v>
          </cell>
          <cell r="B2448" t="str">
            <v>Trastornos mentales y del comportamiento debidos al uso de alucinógenos, trastorno psicótico</v>
          </cell>
        </row>
        <row r="2449">
          <cell r="A2449" t="str">
            <v>F16.6</v>
          </cell>
          <cell r="B2449" t="str">
            <v>Trastornos mentales y del comportamiento debidos al uso de alucinógenos, síndrome amnésico</v>
          </cell>
        </row>
        <row r="2450">
          <cell r="A2450" t="str">
            <v>F16.7</v>
          </cell>
          <cell r="B2450" t="str">
            <v>Trastornos mentales y del comportamiento debidos al uso de alucinógenos, trastorno psicótico residual y de comienzo tardío</v>
          </cell>
        </row>
        <row r="2451">
          <cell r="A2451" t="str">
            <v>F16.8</v>
          </cell>
          <cell r="B2451" t="str">
            <v>Trastornos mentales y del comportamiento debidos al uso de alucinógenos, otros trastornos mentales y del comportamiento</v>
          </cell>
        </row>
        <row r="2452">
          <cell r="A2452" t="str">
            <v>F16.9</v>
          </cell>
          <cell r="B2452" t="str">
            <v>Trastornos mentales y del comportamiento debidos al uso de alucinógenos, trastorno mental y del comportamiento, no especificado</v>
          </cell>
        </row>
        <row r="2453">
          <cell r="A2453" t="str">
            <v>F17</v>
          </cell>
          <cell r="B2453" t="str">
            <v>Trastornos mentales y del comportamiento debidos al uso de tabaco</v>
          </cell>
        </row>
        <row r="2454">
          <cell r="A2454" t="str">
            <v>F17.0</v>
          </cell>
          <cell r="B2454" t="str">
            <v>Trastornos mentales y del comportamiento debidos al uso de tabaco, intoxicación aguda</v>
          </cell>
        </row>
        <row r="2455">
          <cell r="A2455" t="str">
            <v>F17.1</v>
          </cell>
          <cell r="B2455" t="str">
            <v>Trastornos mentales y del comportamiento debidos al uso de tabaco, uso nocivo</v>
          </cell>
        </row>
        <row r="2456">
          <cell r="A2456" t="str">
            <v>F17.2</v>
          </cell>
          <cell r="B2456" t="str">
            <v>Trastornos mentales y del comportamiento debidos al uso de tabaco, síndrome de dependencia</v>
          </cell>
        </row>
        <row r="2457">
          <cell r="A2457" t="str">
            <v>F17.3</v>
          </cell>
          <cell r="B2457" t="str">
            <v>Trastornos mentales y del comportamiento debidos al uso de tabaco, estado de abstinencia</v>
          </cell>
        </row>
        <row r="2458">
          <cell r="A2458" t="str">
            <v>F17.4</v>
          </cell>
          <cell r="B2458" t="str">
            <v>Trastornos mentales y del comportamiento debidos al uso de tabaco, estado de abstinencia con delirio</v>
          </cell>
        </row>
        <row r="2459">
          <cell r="A2459" t="str">
            <v>F17.5</v>
          </cell>
          <cell r="B2459" t="str">
            <v>Trastornos mentales y del comportamiento debidos al uso de tabaco, trastorno psicótico</v>
          </cell>
        </row>
        <row r="2460">
          <cell r="A2460" t="str">
            <v>F17.6</v>
          </cell>
          <cell r="B2460" t="str">
            <v>Trastornos mentales y del comportamiento debidos al uso de tabaco, síndrome amnésico</v>
          </cell>
        </row>
        <row r="2461">
          <cell r="A2461" t="str">
            <v>F17.7</v>
          </cell>
          <cell r="B2461" t="str">
            <v>Trastornos mentales y del comportamiento debidos al uso de tabaco, trastorno psicótico residual y de comienzo tardío</v>
          </cell>
        </row>
        <row r="2462">
          <cell r="A2462" t="str">
            <v>F17.8</v>
          </cell>
          <cell r="B2462" t="str">
            <v>Trastornos mentales y del comportamiento debidos al uso de tabaco, otros trastornos mentales y del comportamiento</v>
          </cell>
        </row>
        <row r="2463">
          <cell r="A2463" t="str">
            <v>F17.9</v>
          </cell>
          <cell r="B2463" t="str">
            <v>Trastornos mentales y del comportamiento debidos al uso de tabaco, trastorno mental y del comportamiento, no especificado</v>
          </cell>
        </row>
        <row r="2464">
          <cell r="A2464" t="str">
            <v>F18</v>
          </cell>
          <cell r="B2464" t="str">
            <v>Trastornos mentales y del comportamiento debidos al uso de disolventes volátiles</v>
          </cell>
        </row>
        <row r="2465">
          <cell r="A2465" t="str">
            <v>F18.0</v>
          </cell>
          <cell r="B2465" t="str">
            <v>Trastornos mentales y del comportamiento debidos al uso de disolventes volátiles, intoxicación aguda</v>
          </cell>
        </row>
        <row r="2466">
          <cell r="A2466" t="str">
            <v>F18.1</v>
          </cell>
          <cell r="B2466" t="str">
            <v>Trastornos mentales y del comportamiento debidos al uso de disolventes volátiles, uso nocivo</v>
          </cell>
        </row>
        <row r="2467">
          <cell r="A2467" t="str">
            <v>F18.2</v>
          </cell>
          <cell r="B2467" t="str">
            <v>Trastornos mentales y del comportamiento debidos al uso de disolventes volátiles, síndrome de dependencia</v>
          </cell>
        </row>
        <row r="2468">
          <cell r="A2468" t="str">
            <v>F18.3</v>
          </cell>
          <cell r="B2468" t="str">
            <v>Trastornos mentales y del comportamiento debidos al uso de disolventes volátiles, estado de abstinencia</v>
          </cell>
        </row>
        <row r="2469">
          <cell r="A2469" t="str">
            <v>F18.4</v>
          </cell>
          <cell r="B2469" t="str">
            <v>Trastornos mentales y del comportamiento debidos al uso de disolventes volátiles, estado de abstinencia con delirio</v>
          </cell>
        </row>
        <row r="2470">
          <cell r="A2470" t="str">
            <v>F18.5</v>
          </cell>
          <cell r="B2470" t="str">
            <v>Trastornos mentales y del comportamiento debidos al uso de disolventes volátiles, trastorno psicótico</v>
          </cell>
        </row>
        <row r="2471">
          <cell r="A2471" t="str">
            <v>F18.6</v>
          </cell>
          <cell r="B2471" t="str">
            <v>Trastornos mentales y del comportamiento debidos al uso de disolventes volátiles, síndrome amnésico</v>
          </cell>
        </row>
        <row r="2472">
          <cell r="A2472" t="str">
            <v>F18.7</v>
          </cell>
          <cell r="B2472" t="str">
            <v>Trastornos mentales y del comportamiento debidos al uso de disolventes volátiles, trastorno psicótico residual y de comienzo tardío</v>
          </cell>
        </row>
        <row r="2473">
          <cell r="A2473" t="str">
            <v>F18.8</v>
          </cell>
          <cell r="B2473" t="str">
            <v>Trastornos mentales y del comportamiento debidos al uso de disolventes volátiles, otros trastornos mentales y del comportamiento</v>
          </cell>
        </row>
        <row r="2474">
          <cell r="A2474" t="str">
            <v>F18.9</v>
          </cell>
          <cell r="B2474" t="str">
            <v>Trastornos mentales y del comportamiento debidos al uso de disolventes volátiles, trastorno mental y del comportamiento, no especificado</v>
          </cell>
        </row>
        <row r="2475">
          <cell r="A2475" t="str">
            <v>F19</v>
          </cell>
          <cell r="B2475" t="str">
            <v>Trastornos mentales y del comportamiento debidos al uso de múltiples drogas y al uso de otras sustancias psicoactivas</v>
          </cell>
        </row>
        <row r="2476">
          <cell r="A2476" t="str">
            <v>F19.0</v>
          </cell>
          <cell r="B2476" t="str">
            <v>Trastornos mentales y del comportamiento debidos al uso de múltiples drogas y al uso de otras sustancias psicoactivas, intoxicación aguda</v>
          </cell>
        </row>
        <row r="2477">
          <cell r="A2477" t="str">
            <v>F19.1</v>
          </cell>
          <cell r="B2477" t="str">
            <v>Trastornos mentales y del comportamiento debidos al uso de múltiples drogas y al uso de otras sustancias psicoactivas, uso nocivo</v>
          </cell>
        </row>
        <row r="2478">
          <cell r="A2478" t="str">
            <v>F19.2</v>
          </cell>
          <cell r="B2478" t="str">
            <v>Trastornos mentales y del comportamiento debidos al uso de múltiples drogas y al uso de otras sustancias psicoactivas, síndrome de dependencia</v>
          </cell>
        </row>
        <row r="2479">
          <cell r="A2479" t="str">
            <v>F19.3</v>
          </cell>
          <cell r="B2479" t="str">
            <v>Trastornos mentales y del comportamiento debidos al uso de múltiples drogas y al uso de otras sustancias psicoactivas, estado de abstinencia</v>
          </cell>
        </row>
        <row r="2480">
          <cell r="A2480" t="str">
            <v>F19.4</v>
          </cell>
          <cell r="B2480" t="str">
            <v>Trastornos mentales y del comportamiento debidos al uso de múltiples drogas y al uso de otras sustancias psicoactivas, estado de abstinencia con delirio</v>
          </cell>
        </row>
        <row r="2481">
          <cell r="A2481" t="str">
            <v>F19.5</v>
          </cell>
          <cell r="B2481" t="str">
            <v>Trastornos mentales y del comportamiento debidos al uso de múltiples drogas y al uso de otras sustancias psicoactivas, trastorno psicótico</v>
          </cell>
        </row>
        <row r="2482">
          <cell r="A2482" t="str">
            <v>F19.6</v>
          </cell>
          <cell r="B2482" t="str">
            <v>Trastornos mentales y del comportamiento debidos al uso de múltiples drogas y al uso de otras sustancias psicoactivas, síndrome amnésico</v>
          </cell>
        </row>
        <row r="2483">
          <cell r="A2483" t="str">
            <v>F19.7</v>
          </cell>
          <cell r="B2483" t="str">
            <v>Trastornos mentales y del comportamiento debidos al uso de múltiples drogas y al uso de otras sustancias psicoactivas, trastorno psicótico residual y de comienzo tardío</v>
          </cell>
        </row>
        <row r="2484">
          <cell r="A2484" t="str">
            <v>F19.8</v>
          </cell>
          <cell r="B2484" t="str">
            <v>Trastornos mentales y del comportamiento debidos al uso de múltiples drogas y al uso de otras sustancias psicoactivas, otros trastornos mentales y del comportamiento</v>
          </cell>
        </row>
        <row r="2485">
          <cell r="A2485" t="str">
            <v>F19.9</v>
          </cell>
          <cell r="B2485" t="str">
            <v>Trastornos mentales y del comportamiento debidos al uso de múltiples drogas y al uso de otras sustancias psicoactivas, trastorno mental y del comportamiento, no especificado</v>
          </cell>
        </row>
        <row r="2486">
          <cell r="A2486" t="str">
            <v>F20</v>
          </cell>
          <cell r="B2486" t="str">
            <v>Esquizofrenia</v>
          </cell>
        </row>
        <row r="2487">
          <cell r="A2487" t="str">
            <v>F20.0</v>
          </cell>
          <cell r="B2487" t="str">
            <v>Esquizofrenia paranoide</v>
          </cell>
        </row>
        <row r="2488">
          <cell r="A2488" t="str">
            <v>F20.1</v>
          </cell>
          <cell r="B2488" t="str">
            <v>Esquizofrenia hebefrénica</v>
          </cell>
        </row>
        <row r="2489">
          <cell r="A2489" t="str">
            <v>F20.2</v>
          </cell>
          <cell r="B2489" t="str">
            <v>Esquizofrenia catatónica</v>
          </cell>
        </row>
        <row r="2490">
          <cell r="A2490" t="str">
            <v>F20.3</v>
          </cell>
          <cell r="B2490" t="str">
            <v>Esquizofrenia indiferenciada</v>
          </cell>
        </row>
        <row r="2491">
          <cell r="A2491" t="str">
            <v>F20.4</v>
          </cell>
          <cell r="B2491" t="str">
            <v>Depresión postesquizofrénica</v>
          </cell>
        </row>
        <row r="2492">
          <cell r="A2492" t="str">
            <v>F20.5</v>
          </cell>
          <cell r="B2492" t="str">
            <v>Esquizofrenia residual</v>
          </cell>
        </row>
        <row r="2493">
          <cell r="A2493" t="str">
            <v>F20.6</v>
          </cell>
          <cell r="B2493" t="str">
            <v>Esquizofrenia simple</v>
          </cell>
        </row>
        <row r="2494">
          <cell r="A2494" t="str">
            <v>F20.8</v>
          </cell>
          <cell r="B2494" t="str">
            <v>Otras esquizofrenias</v>
          </cell>
        </row>
        <row r="2495">
          <cell r="A2495" t="str">
            <v>F20.9</v>
          </cell>
          <cell r="B2495" t="str">
            <v>Esquizofrenia, no especificada</v>
          </cell>
        </row>
        <row r="2496">
          <cell r="A2496" t="str">
            <v>F21.X</v>
          </cell>
          <cell r="B2496" t="str">
            <v>Trastorno esquizotípico</v>
          </cell>
        </row>
        <row r="2497">
          <cell r="A2497" t="str">
            <v>F22</v>
          </cell>
          <cell r="B2497" t="str">
            <v>Trastornos delirantes persistentes</v>
          </cell>
        </row>
        <row r="2498">
          <cell r="A2498" t="str">
            <v>F22.0</v>
          </cell>
          <cell r="B2498" t="str">
            <v>Trastorno delirante</v>
          </cell>
        </row>
        <row r="2499">
          <cell r="A2499" t="str">
            <v>F22.8</v>
          </cell>
          <cell r="B2499" t="str">
            <v>Otros trastornos delirantes persistentes</v>
          </cell>
        </row>
        <row r="2500">
          <cell r="A2500" t="str">
            <v>F22.9</v>
          </cell>
          <cell r="B2500" t="str">
            <v>Trastorno delirante persistente, no especificado</v>
          </cell>
        </row>
        <row r="2501">
          <cell r="A2501" t="str">
            <v>F23</v>
          </cell>
          <cell r="B2501" t="str">
            <v>Trastornos psicóticos agudos y transitorios</v>
          </cell>
        </row>
        <row r="2502">
          <cell r="A2502" t="str">
            <v>F23.0</v>
          </cell>
          <cell r="B2502" t="str">
            <v>Trastorno psicótico agudo polimorfo, sin síntomas de esquizofrenia</v>
          </cell>
        </row>
        <row r="2503">
          <cell r="A2503" t="str">
            <v>F23.1</v>
          </cell>
          <cell r="B2503" t="str">
            <v>Trastorno psicótico agudo polimorfo, con síntomas de esquizofrenia</v>
          </cell>
        </row>
        <row r="2504">
          <cell r="A2504" t="str">
            <v>F23.2</v>
          </cell>
          <cell r="B2504" t="str">
            <v>Trastorno psicótico agudo de tipo esquizofrénico</v>
          </cell>
        </row>
        <row r="2505">
          <cell r="A2505" t="str">
            <v>F23.3</v>
          </cell>
          <cell r="B2505" t="str">
            <v>Otro trastorno psicótico agudo, con predominio de ideas delirantes</v>
          </cell>
        </row>
        <row r="2506">
          <cell r="A2506" t="str">
            <v>F23.8</v>
          </cell>
          <cell r="B2506" t="str">
            <v>Otros trastornos psicóticos agudos y transitorios</v>
          </cell>
        </row>
        <row r="2507">
          <cell r="A2507" t="str">
            <v>F23.9</v>
          </cell>
          <cell r="B2507" t="str">
            <v>Trastorno psicótico agudo y transitorio, no especificado</v>
          </cell>
        </row>
        <row r="2508">
          <cell r="A2508" t="str">
            <v>F24.X</v>
          </cell>
          <cell r="B2508" t="str">
            <v>Trastorno delirante inducido</v>
          </cell>
        </row>
        <row r="2509">
          <cell r="A2509" t="str">
            <v>F25</v>
          </cell>
          <cell r="B2509" t="str">
            <v>Trastornos esquizoafectivos</v>
          </cell>
        </row>
        <row r="2510">
          <cell r="A2510" t="str">
            <v>F25.0</v>
          </cell>
          <cell r="B2510" t="str">
            <v>Trastorno esquizoafectivo de tipo maníaco</v>
          </cell>
        </row>
        <row r="2511">
          <cell r="A2511" t="str">
            <v>F25.1</v>
          </cell>
          <cell r="B2511" t="str">
            <v>Trastorno esquizoafectivo de tipo depresivo</v>
          </cell>
        </row>
        <row r="2512">
          <cell r="A2512" t="str">
            <v>F25.2</v>
          </cell>
          <cell r="B2512" t="str">
            <v>Trastorno esquizoafectivo de tipo mixto</v>
          </cell>
        </row>
        <row r="2513">
          <cell r="A2513" t="str">
            <v>F25.8</v>
          </cell>
          <cell r="B2513" t="str">
            <v>Otros trastornos esquizoafectivos</v>
          </cell>
        </row>
        <row r="2514">
          <cell r="A2514" t="str">
            <v>F25.9</v>
          </cell>
          <cell r="B2514" t="str">
            <v>Trastorno esquizoafectivo, no especificado</v>
          </cell>
        </row>
        <row r="2515">
          <cell r="A2515" t="str">
            <v>F28.X</v>
          </cell>
          <cell r="B2515" t="str">
            <v>Otros trastornos psicóticos de origen no orgánico</v>
          </cell>
        </row>
        <row r="2516">
          <cell r="A2516" t="str">
            <v>F29.X</v>
          </cell>
          <cell r="B2516" t="str">
            <v>Psicosis de origen no orgánico, no especificada</v>
          </cell>
        </row>
        <row r="2517">
          <cell r="A2517" t="str">
            <v>F30</v>
          </cell>
          <cell r="B2517" t="str">
            <v>Episodio maníaco</v>
          </cell>
        </row>
        <row r="2518">
          <cell r="A2518" t="str">
            <v>F30.0</v>
          </cell>
          <cell r="B2518" t="str">
            <v>Hipomanía</v>
          </cell>
        </row>
        <row r="2519">
          <cell r="A2519" t="str">
            <v>F30.1</v>
          </cell>
          <cell r="B2519" t="str">
            <v>Manía sin síntomas psicóticos</v>
          </cell>
        </row>
        <row r="2520">
          <cell r="A2520" t="str">
            <v>F30.2</v>
          </cell>
          <cell r="B2520" t="str">
            <v>Manía con síntomas psicóticos</v>
          </cell>
        </row>
        <row r="2521">
          <cell r="A2521" t="str">
            <v>F30.8</v>
          </cell>
          <cell r="B2521" t="str">
            <v>Otros episodios maníacos</v>
          </cell>
        </row>
        <row r="2522">
          <cell r="A2522" t="str">
            <v>F30.9</v>
          </cell>
          <cell r="B2522" t="str">
            <v>Episodio maníaco, no especificado</v>
          </cell>
        </row>
        <row r="2523">
          <cell r="A2523" t="str">
            <v>F31</v>
          </cell>
          <cell r="B2523" t="str">
            <v>Trastorno afectivo bipolar</v>
          </cell>
        </row>
        <row r="2524">
          <cell r="A2524" t="str">
            <v>F31.0</v>
          </cell>
          <cell r="B2524" t="str">
            <v>Trastorno afectivo bipolar, episodio hipomaníaco presente</v>
          </cell>
        </row>
        <row r="2525">
          <cell r="A2525" t="str">
            <v>F31.1</v>
          </cell>
          <cell r="B2525" t="str">
            <v>Trastorno afectivo bipolar, episodio maníaco presente sin síntomas psicóticos</v>
          </cell>
        </row>
        <row r="2526">
          <cell r="A2526" t="str">
            <v>F31.2</v>
          </cell>
          <cell r="B2526" t="str">
            <v>Trastorno afectivo bipolar, episodio maníaco presente con síntomas psicóticos</v>
          </cell>
        </row>
        <row r="2527">
          <cell r="A2527" t="str">
            <v>F31.3</v>
          </cell>
          <cell r="B2527" t="str">
            <v>Trastorno afectivo bipolar, episodio depresivo presente leve o moderado</v>
          </cell>
        </row>
        <row r="2528">
          <cell r="A2528" t="str">
            <v>F31.4</v>
          </cell>
          <cell r="B2528" t="str">
            <v>Trastorno afectivo bipolar, episodio depresivo grave presente sin síntomas psicóticos</v>
          </cell>
        </row>
        <row r="2529">
          <cell r="A2529" t="str">
            <v>F31.5</v>
          </cell>
          <cell r="B2529" t="str">
            <v>Trastorno afectivo bipolar, episodio depresivo grave presente con síntomas psicóticos</v>
          </cell>
        </row>
        <row r="2530">
          <cell r="A2530" t="str">
            <v>F31.6</v>
          </cell>
          <cell r="B2530" t="str">
            <v>Trastorno afectivo bipolar, episodio mixto presente</v>
          </cell>
        </row>
        <row r="2531">
          <cell r="A2531" t="str">
            <v>F31.7</v>
          </cell>
          <cell r="B2531" t="str">
            <v>Trastorno afectivo bipolar, actualmente en remisión</v>
          </cell>
        </row>
        <row r="2532">
          <cell r="A2532" t="str">
            <v>F31.8</v>
          </cell>
          <cell r="B2532" t="str">
            <v>Otros trastornos afectivos bipolares</v>
          </cell>
        </row>
        <row r="2533">
          <cell r="A2533" t="str">
            <v>F31.9</v>
          </cell>
          <cell r="B2533" t="str">
            <v>Trastorno afectivo bipolar, no especificado</v>
          </cell>
        </row>
        <row r="2534">
          <cell r="A2534" t="str">
            <v>F32</v>
          </cell>
          <cell r="B2534" t="str">
            <v>Episodio depresivo</v>
          </cell>
        </row>
        <row r="2535">
          <cell r="A2535" t="str">
            <v>F32.0</v>
          </cell>
          <cell r="B2535" t="str">
            <v>Episodio depresivo leve</v>
          </cell>
        </row>
        <row r="2536">
          <cell r="A2536" t="str">
            <v>F32.1</v>
          </cell>
          <cell r="B2536" t="str">
            <v>Episodio depresivo moderado</v>
          </cell>
        </row>
        <row r="2537">
          <cell r="A2537" t="str">
            <v>F32.2</v>
          </cell>
          <cell r="B2537" t="str">
            <v>Episodio depresivo grave sin síntomas psicóticos</v>
          </cell>
        </row>
        <row r="2538">
          <cell r="A2538" t="str">
            <v>F32.3</v>
          </cell>
          <cell r="B2538" t="str">
            <v>Episodio depresivo grave con síntomas psicóticos</v>
          </cell>
        </row>
        <row r="2539">
          <cell r="A2539" t="str">
            <v>F32.8</v>
          </cell>
          <cell r="B2539" t="str">
            <v>Otros episodios depresivos</v>
          </cell>
        </row>
        <row r="2540">
          <cell r="A2540" t="str">
            <v>F32.9</v>
          </cell>
          <cell r="B2540" t="str">
            <v>Episodio depresivo, no especificado</v>
          </cell>
        </row>
        <row r="2541">
          <cell r="A2541" t="str">
            <v>F33</v>
          </cell>
          <cell r="B2541" t="str">
            <v>Trastorno depresivo recurrente</v>
          </cell>
        </row>
        <row r="2542">
          <cell r="A2542" t="str">
            <v>F33.0</v>
          </cell>
          <cell r="B2542" t="str">
            <v>Trastorno depresivo recurrente, episodio leve presente</v>
          </cell>
        </row>
        <row r="2543">
          <cell r="A2543" t="str">
            <v>F33.1</v>
          </cell>
          <cell r="B2543" t="str">
            <v>Trastorno depresivo recurrente, episodio moderado presente</v>
          </cell>
        </row>
        <row r="2544">
          <cell r="A2544" t="str">
            <v>F33.2</v>
          </cell>
          <cell r="B2544" t="str">
            <v>Trastorno depresivo recurrente, episodio depresivo grave presente sin síntomas psicóticos</v>
          </cell>
        </row>
        <row r="2545">
          <cell r="A2545" t="str">
            <v>F33.3</v>
          </cell>
          <cell r="B2545" t="str">
            <v>Trastorno depresivo recurrente, episodio depresivo grave presente, con síntomas psicóticos</v>
          </cell>
        </row>
        <row r="2546">
          <cell r="A2546" t="str">
            <v>F33.4</v>
          </cell>
          <cell r="B2546" t="str">
            <v>Trastorno depresivo recurrente actualmente en remisión</v>
          </cell>
        </row>
        <row r="2547">
          <cell r="A2547" t="str">
            <v>F33.8</v>
          </cell>
          <cell r="B2547" t="str">
            <v>Otros trastornos depresivos recurrentes</v>
          </cell>
        </row>
        <row r="2548">
          <cell r="A2548" t="str">
            <v>F33.9</v>
          </cell>
          <cell r="B2548" t="str">
            <v>Trastorno depresivo recurrente, no especificado</v>
          </cell>
        </row>
        <row r="2549">
          <cell r="A2549" t="str">
            <v>F34</v>
          </cell>
          <cell r="B2549" t="str">
            <v>Trastornos del humor [afectivos] persistentes</v>
          </cell>
        </row>
        <row r="2550">
          <cell r="A2550" t="str">
            <v>F34.0</v>
          </cell>
          <cell r="B2550" t="str">
            <v>Ciclotimia</v>
          </cell>
        </row>
        <row r="2551">
          <cell r="A2551" t="str">
            <v>F34.1</v>
          </cell>
          <cell r="B2551" t="str">
            <v>Distimia</v>
          </cell>
        </row>
        <row r="2552">
          <cell r="A2552" t="str">
            <v>F34.8</v>
          </cell>
          <cell r="B2552" t="str">
            <v>Otros trastornos del humor [afectivos] persistentes</v>
          </cell>
        </row>
        <row r="2553">
          <cell r="A2553" t="str">
            <v>F34.9</v>
          </cell>
          <cell r="B2553" t="str">
            <v>Trastorno persistente del humor [afectivo], no especificado</v>
          </cell>
        </row>
        <row r="2554">
          <cell r="A2554" t="str">
            <v>F38</v>
          </cell>
          <cell r="B2554" t="str">
            <v>Otros trastornos del humor [afectivos]</v>
          </cell>
        </row>
        <row r="2555">
          <cell r="A2555" t="str">
            <v>F38.0</v>
          </cell>
          <cell r="B2555" t="str">
            <v>Otros trastornos del humor [afectivos], aislados</v>
          </cell>
        </row>
        <row r="2556">
          <cell r="A2556" t="str">
            <v>F38.1</v>
          </cell>
          <cell r="B2556" t="str">
            <v>Otros trastornos del humor [afectivos], recurrentes</v>
          </cell>
        </row>
        <row r="2557">
          <cell r="A2557" t="str">
            <v>F38.8</v>
          </cell>
          <cell r="B2557" t="str">
            <v>Otros trastornos del humor [afectivos], especificados</v>
          </cell>
        </row>
        <row r="2558">
          <cell r="A2558" t="str">
            <v>F39.X</v>
          </cell>
          <cell r="B2558" t="str">
            <v>Trastorno del humor [afectivo], no especificado</v>
          </cell>
        </row>
        <row r="2559">
          <cell r="A2559" t="str">
            <v>F40</v>
          </cell>
          <cell r="B2559" t="str">
            <v>Trastornos fóbicos de ansiedad</v>
          </cell>
        </row>
        <row r="2560">
          <cell r="A2560" t="str">
            <v>F40.0</v>
          </cell>
          <cell r="B2560" t="str">
            <v>Agorafobia</v>
          </cell>
        </row>
        <row r="2561">
          <cell r="A2561" t="str">
            <v>F40.1</v>
          </cell>
          <cell r="B2561" t="str">
            <v>Fobias sociales</v>
          </cell>
        </row>
        <row r="2562">
          <cell r="A2562" t="str">
            <v>F40.2</v>
          </cell>
          <cell r="B2562" t="str">
            <v>Fobias específicas (aisladas)</v>
          </cell>
        </row>
        <row r="2563">
          <cell r="A2563" t="str">
            <v>F40.8</v>
          </cell>
          <cell r="B2563" t="str">
            <v>Otros trastornos fóbicos de ansiedad</v>
          </cell>
        </row>
        <row r="2564">
          <cell r="A2564" t="str">
            <v>F40.9</v>
          </cell>
          <cell r="B2564" t="str">
            <v>Trastorno fóbico de ansiedad, no especificado</v>
          </cell>
        </row>
        <row r="2565">
          <cell r="A2565" t="str">
            <v>F41</v>
          </cell>
          <cell r="B2565" t="str">
            <v>Otros trastornos de ansiedad</v>
          </cell>
        </row>
        <row r="2566">
          <cell r="A2566" t="str">
            <v>F41.0</v>
          </cell>
          <cell r="B2566" t="str">
            <v>Trastorno de pánico [ansiedad paroxística episódica]</v>
          </cell>
        </row>
        <row r="2567">
          <cell r="A2567" t="str">
            <v>F41.1</v>
          </cell>
          <cell r="B2567" t="str">
            <v>Trastorno de ansiedad generalizada</v>
          </cell>
        </row>
        <row r="2568">
          <cell r="A2568" t="str">
            <v>F41.2</v>
          </cell>
          <cell r="B2568" t="str">
            <v>Trastorno mixto de ansiedad y depresión</v>
          </cell>
        </row>
        <row r="2569">
          <cell r="A2569" t="str">
            <v>F41.3</v>
          </cell>
          <cell r="B2569" t="str">
            <v>Otros trastornos de ansiedad mixtos</v>
          </cell>
        </row>
        <row r="2570">
          <cell r="A2570" t="str">
            <v>F41.8</v>
          </cell>
          <cell r="B2570" t="str">
            <v>Otros trastornos de ansiedad especificados</v>
          </cell>
        </row>
        <row r="2571">
          <cell r="A2571" t="str">
            <v>F41.9</v>
          </cell>
          <cell r="B2571" t="str">
            <v>Trastorno de ansiedad, no especificado</v>
          </cell>
        </row>
        <row r="2572">
          <cell r="A2572" t="str">
            <v>F42</v>
          </cell>
          <cell r="B2572" t="str">
            <v>Trastorno obsesivo-compulsivo</v>
          </cell>
        </row>
        <row r="2573">
          <cell r="A2573" t="str">
            <v>F42.0</v>
          </cell>
          <cell r="B2573" t="str">
            <v>Predominio de pensamientos o rumiaciones obsesivas</v>
          </cell>
        </row>
        <row r="2574">
          <cell r="A2574" t="str">
            <v>F42.1</v>
          </cell>
          <cell r="B2574" t="str">
            <v>Predominio de actos compulsivos [rituales obsesivos]</v>
          </cell>
        </row>
        <row r="2575">
          <cell r="A2575" t="str">
            <v>F42.2</v>
          </cell>
          <cell r="B2575" t="str">
            <v>Actos e ideas obsesivas mixtos</v>
          </cell>
        </row>
        <row r="2576">
          <cell r="A2576" t="str">
            <v>F42.8</v>
          </cell>
          <cell r="B2576" t="str">
            <v>Otros trastornos obsesivo-compulsivos</v>
          </cell>
        </row>
        <row r="2577">
          <cell r="A2577" t="str">
            <v>F42.9</v>
          </cell>
          <cell r="B2577" t="str">
            <v>Trastorno obsesivo-compulsivo, no especificado</v>
          </cell>
        </row>
        <row r="2578">
          <cell r="A2578" t="str">
            <v>F43</v>
          </cell>
          <cell r="B2578" t="str">
            <v>Reacción al estrés grave y trastornos de adaptación</v>
          </cell>
        </row>
        <row r="2579">
          <cell r="A2579" t="str">
            <v>F43.0</v>
          </cell>
          <cell r="B2579" t="str">
            <v>Reacción al estrés agudo</v>
          </cell>
        </row>
        <row r="2580">
          <cell r="A2580" t="str">
            <v>F43.1</v>
          </cell>
          <cell r="B2580" t="str">
            <v>Trastorno de estrés postraumático</v>
          </cell>
        </row>
        <row r="2581">
          <cell r="A2581" t="str">
            <v>F43.2</v>
          </cell>
          <cell r="B2581" t="str">
            <v>Trastornos de adaptación</v>
          </cell>
        </row>
        <row r="2582">
          <cell r="A2582" t="str">
            <v>F43.8</v>
          </cell>
          <cell r="B2582" t="str">
            <v>Otras reacciones al estrés grave</v>
          </cell>
        </row>
        <row r="2583">
          <cell r="A2583" t="str">
            <v>F43.9</v>
          </cell>
          <cell r="B2583" t="str">
            <v>Reacción al estrés grave, no especificada</v>
          </cell>
        </row>
        <row r="2584">
          <cell r="A2584" t="str">
            <v>F44</v>
          </cell>
          <cell r="B2584" t="str">
            <v>Trastornos disociativos [de conversión]</v>
          </cell>
        </row>
        <row r="2585">
          <cell r="A2585" t="str">
            <v>F44.0</v>
          </cell>
          <cell r="B2585" t="str">
            <v>Amnesia disociativa</v>
          </cell>
        </row>
        <row r="2586">
          <cell r="A2586" t="str">
            <v>F44.1</v>
          </cell>
          <cell r="B2586" t="str">
            <v>Fuga disociativa</v>
          </cell>
        </row>
        <row r="2587">
          <cell r="A2587" t="str">
            <v>F44.2</v>
          </cell>
          <cell r="B2587" t="str">
            <v>Estupor disociativo</v>
          </cell>
        </row>
        <row r="2588">
          <cell r="A2588" t="str">
            <v>F44.3</v>
          </cell>
          <cell r="B2588" t="str">
            <v>Trastornos de trance y de posesión</v>
          </cell>
        </row>
        <row r="2589">
          <cell r="A2589" t="str">
            <v>F44.4</v>
          </cell>
          <cell r="B2589" t="str">
            <v>Trastornos disociativos del movimiento</v>
          </cell>
        </row>
        <row r="2590">
          <cell r="A2590" t="str">
            <v>F44.5</v>
          </cell>
          <cell r="B2590" t="str">
            <v>Convulsiones disociativas</v>
          </cell>
        </row>
        <row r="2591">
          <cell r="A2591" t="str">
            <v>F44.6</v>
          </cell>
          <cell r="B2591" t="str">
            <v>Anestesia disociativa y pérdida sensorial</v>
          </cell>
        </row>
        <row r="2592">
          <cell r="A2592" t="str">
            <v>F44.7</v>
          </cell>
          <cell r="B2592" t="str">
            <v>Trastornos disociativos mixtos [y de conversión]</v>
          </cell>
        </row>
        <row r="2593">
          <cell r="A2593" t="str">
            <v>F44.8</v>
          </cell>
          <cell r="B2593" t="str">
            <v>Otros trastornos disociativos [de conversión]</v>
          </cell>
        </row>
        <row r="2594">
          <cell r="A2594" t="str">
            <v>F44.9</v>
          </cell>
          <cell r="B2594" t="str">
            <v>Trastorno disociativo [de conversión], no especificado</v>
          </cell>
        </row>
        <row r="2595">
          <cell r="A2595" t="str">
            <v>F45</v>
          </cell>
          <cell r="B2595" t="str">
            <v>Trastornos somatomorfos</v>
          </cell>
        </row>
        <row r="2596">
          <cell r="A2596" t="str">
            <v>F45.0</v>
          </cell>
          <cell r="B2596" t="str">
            <v>Trastorno de somatización</v>
          </cell>
        </row>
        <row r="2597">
          <cell r="A2597" t="str">
            <v>F45.1</v>
          </cell>
          <cell r="B2597" t="str">
            <v>Trastorno somatomorfo indiferenciado</v>
          </cell>
        </row>
        <row r="2598">
          <cell r="A2598" t="str">
            <v>F45.2</v>
          </cell>
          <cell r="B2598" t="str">
            <v>Trastorno hipocondríaco</v>
          </cell>
        </row>
        <row r="2599">
          <cell r="A2599" t="str">
            <v>F45.3</v>
          </cell>
          <cell r="B2599" t="str">
            <v>Disfunción autonómica somatomorfa</v>
          </cell>
        </row>
        <row r="2600">
          <cell r="A2600" t="str">
            <v>F45.4</v>
          </cell>
          <cell r="B2600" t="str">
            <v>Trastorno de dolor persistente somatomorfo</v>
          </cell>
        </row>
        <row r="2601">
          <cell r="A2601" t="str">
            <v>F45.8</v>
          </cell>
          <cell r="B2601" t="str">
            <v>Otros trastornos somatomorfos</v>
          </cell>
        </row>
        <row r="2602">
          <cell r="A2602" t="str">
            <v>F45.9</v>
          </cell>
          <cell r="B2602" t="str">
            <v>Trastorno somatomorfo, no especificado</v>
          </cell>
        </row>
        <row r="2603">
          <cell r="A2603" t="str">
            <v>F48</v>
          </cell>
          <cell r="B2603" t="str">
            <v>Otros trastornos neuróticos</v>
          </cell>
        </row>
        <row r="2604">
          <cell r="A2604" t="str">
            <v>F48.0</v>
          </cell>
          <cell r="B2604" t="str">
            <v>Neurastenia</v>
          </cell>
        </row>
        <row r="2605">
          <cell r="A2605" t="str">
            <v>F48.1</v>
          </cell>
          <cell r="B2605" t="str">
            <v>Síndrome de despersonalización y desvinculación de la realidad</v>
          </cell>
        </row>
        <row r="2606">
          <cell r="A2606" t="str">
            <v>F48.8</v>
          </cell>
          <cell r="B2606" t="str">
            <v>Otros trastornos neuróticos especificados</v>
          </cell>
        </row>
        <row r="2607">
          <cell r="A2607" t="str">
            <v>F48.9</v>
          </cell>
          <cell r="B2607" t="str">
            <v>Trastorno neurótico, no especificado</v>
          </cell>
        </row>
        <row r="2608">
          <cell r="A2608" t="str">
            <v>F50</v>
          </cell>
          <cell r="B2608" t="str">
            <v>Trastornos de la ingestión de alimentos</v>
          </cell>
        </row>
        <row r="2609">
          <cell r="A2609" t="str">
            <v>F50.0</v>
          </cell>
          <cell r="B2609" t="str">
            <v>Anorexia nerviosa</v>
          </cell>
        </row>
        <row r="2610">
          <cell r="A2610" t="str">
            <v>F50.1</v>
          </cell>
          <cell r="B2610" t="str">
            <v>Anorexia nerviosa atípica</v>
          </cell>
        </row>
        <row r="2611">
          <cell r="A2611" t="str">
            <v>F50.2</v>
          </cell>
          <cell r="B2611" t="str">
            <v>Bulimia nerviosa</v>
          </cell>
        </row>
        <row r="2612">
          <cell r="A2612" t="str">
            <v>F50.3</v>
          </cell>
          <cell r="B2612" t="str">
            <v>Bulimia nerviosa atípica</v>
          </cell>
        </row>
        <row r="2613">
          <cell r="A2613" t="str">
            <v>F50.4</v>
          </cell>
          <cell r="B2613" t="str">
            <v>Hiperfagia asociada con otras alteraciones psicológicas</v>
          </cell>
        </row>
        <row r="2614">
          <cell r="A2614" t="str">
            <v>F50.5</v>
          </cell>
          <cell r="B2614" t="str">
            <v>Vómitos asociados con otras alteraciones psicológicas</v>
          </cell>
        </row>
        <row r="2615">
          <cell r="A2615" t="str">
            <v>F50.8</v>
          </cell>
          <cell r="B2615" t="str">
            <v>Otros trastornos de la ingestión de alimentos</v>
          </cell>
        </row>
        <row r="2616">
          <cell r="A2616" t="str">
            <v>F50.9</v>
          </cell>
          <cell r="B2616" t="str">
            <v>Trastorno de la ingestión de alimentos, no especificado</v>
          </cell>
        </row>
        <row r="2617">
          <cell r="A2617" t="str">
            <v>F51</v>
          </cell>
          <cell r="B2617" t="str">
            <v>Trastornos no orgánicos del sueño</v>
          </cell>
        </row>
        <row r="2618">
          <cell r="A2618" t="str">
            <v>F51.0</v>
          </cell>
          <cell r="B2618" t="str">
            <v>Insomnio no orgánico</v>
          </cell>
        </row>
        <row r="2619">
          <cell r="A2619" t="str">
            <v>F51.1</v>
          </cell>
          <cell r="B2619" t="str">
            <v>Hipersomnio no orgánico</v>
          </cell>
        </row>
        <row r="2620">
          <cell r="A2620" t="str">
            <v>F51.2</v>
          </cell>
          <cell r="B2620" t="str">
            <v>Trastorno no orgánico del ciclo sueño-vigilia</v>
          </cell>
        </row>
        <row r="2621">
          <cell r="A2621" t="str">
            <v>F51.3</v>
          </cell>
          <cell r="B2621" t="str">
            <v>Sonambulismo</v>
          </cell>
        </row>
        <row r="2622">
          <cell r="A2622" t="str">
            <v>F51.4</v>
          </cell>
          <cell r="B2622" t="str">
            <v>Terrores del sueño [terrores nocturnos]</v>
          </cell>
        </row>
        <row r="2623">
          <cell r="A2623" t="str">
            <v>F51.5</v>
          </cell>
          <cell r="B2623" t="str">
            <v>Pesadillas</v>
          </cell>
        </row>
        <row r="2624">
          <cell r="A2624" t="str">
            <v>F51.8</v>
          </cell>
          <cell r="B2624" t="str">
            <v>Otros trastornos no orgánicos del sueño</v>
          </cell>
        </row>
        <row r="2625">
          <cell r="A2625" t="str">
            <v>F51.9</v>
          </cell>
          <cell r="B2625" t="str">
            <v>Trastorno no orgánico del sueño, no especificado</v>
          </cell>
        </row>
        <row r="2626">
          <cell r="A2626" t="str">
            <v>F52</v>
          </cell>
          <cell r="B2626" t="str">
            <v>Disfunción sexual no ocasionada por trastorno ni enfermedad orgánicos</v>
          </cell>
        </row>
        <row r="2627">
          <cell r="A2627" t="str">
            <v>F52.0</v>
          </cell>
          <cell r="B2627" t="str">
            <v>Falta o pérdida del deseo sexual</v>
          </cell>
        </row>
        <row r="2628">
          <cell r="A2628" t="str">
            <v>F52.1</v>
          </cell>
          <cell r="B2628" t="str">
            <v>Aversión al sexo y falta de goce sexual</v>
          </cell>
        </row>
        <row r="2629">
          <cell r="A2629" t="str">
            <v>F52.2</v>
          </cell>
          <cell r="B2629" t="str">
            <v>Falla de la respuesta genital</v>
          </cell>
        </row>
        <row r="2630">
          <cell r="A2630" t="str">
            <v>F52.3</v>
          </cell>
          <cell r="B2630" t="str">
            <v>Disfunción orgásmica</v>
          </cell>
        </row>
        <row r="2631">
          <cell r="A2631" t="str">
            <v>F52.4</v>
          </cell>
          <cell r="B2631" t="str">
            <v>Eyaculación precoz</v>
          </cell>
        </row>
        <row r="2632">
          <cell r="A2632" t="str">
            <v>F52.5</v>
          </cell>
          <cell r="B2632" t="str">
            <v>Vaginismo no orgánico</v>
          </cell>
        </row>
        <row r="2633">
          <cell r="A2633" t="str">
            <v>F52.6</v>
          </cell>
          <cell r="B2633" t="str">
            <v>Dispareunia no orgánica</v>
          </cell>
        </row>
        <row r="2634">
          <cell r="A2634" t="str">
            <v>F52.7</v>
          </cell>
          <cell r="B2634" t="str">
            <v>Impulso sexual excesivo</v>
          </cell>
        </row>
        <row r="2635">
          <cell r="A2635" t="str">
            <v>F52.8</v>
          </cell>
          <cell r="B2635" t="str">
            <v>Otras disfunciones sexuales, no ocasionadas por trastorno ni por enfermedad orgánicos</v>
          </cell>
        </row>
        <row r="2636">
          <cell r="A2636" t="str">
            <v>F52.9</v>
          </cell>
          <cell r="B2636" t="str">
            <v>Disfunción sexual no ocasionada por trastorno ni por enfermedad orgánicos, no especificada</v>
          </cell>
        </row>
        <row r="2637">
          <cell r="A2637" t="str">
            <v>F53</v>
          </cell>
          <cell r="B2637" t="str">
            <v>Trastornos mentales y del comportamiento asociados con el puerperio, no clasificados en otra parte</v>
          </cell>
        </row>
        <row r="2638">
          <cell r="A2638" t="str">
            <v>F53.0</v>
          </cell>
          <cell r="B2638" t="str">
            <v>Trastornos mentales y del comportamiento leves, asociados con el puerperio, no clasificados en otra parte</v>
          </cell>
        </row>
        <row r="2639">
          <cell r="A2639" t="str">
            <v>F53.1</v>
          </cell>
          <cell r="B2639" t="str">
            <v>Trastornos mentales y del comportamiento graves, asociados con el puerperio, no clasificados en otra parte</v>
          </cell>
        </row>
        <row r="2640">
          <cell r="A2640" t="str">
            <v>F53.8</v>
          </cell>
          <cell r="B2640" t="str">
            <v>Otros trastornos mentales y del comportamiento asociados con el puerperio, no clasificados en otra parte</v>
          </cell>
        </row>
        <row r="2641">
          <cell r="A2641" t="str">
            <v>F53.9</v>
          </cell>
          <cell r="B2641" t="str">
            <v>Trastorno mental puerperal, no especificado</v>
          </cell>
        </row>
        <row r="2642">
          <cell r="A2642" t="str">
            <v>F54.X</v>
          </cell>
          <cell r="B2642" t="str">
            <v>Factores psicológicos y del comportamiento asociados con trastornos o enfermedades clasificados en otra parte</v>
          </cell>
        </row>
        <row r="2643">
          <cell r="A2643" t="str">
            <v>F55.X</v>
          </cell>
          <cell r="B2643" t="str">
            <v>Abuso de sustancias que no producen dependencia</v>
          </cell>
        </row>
        <row r="2644">
          <cell r="A2644" t="str">
            <v>F59.X</v>
          </cell>
          <cell r="B2644" t="str">
            <v>Síndromes del comportamiento asociados con alteraciones fisiológicas y factores físicos, no especificados</v>
          </cell>
        </row>
        <row r="2645">
          <cell r="A2645" t="str">
            <v>F60</v>
          </cell>
          <cell r="B2645" t="str">
            <v>Trastornos específicos de la personalidad</v>
          </cell>
        </row>
        <row r="2646">
          <cell r="A2646" t="str">
            <v>F60.0</v>
          </cell>
          <cell r="B2646" t="str">
            <v>Trastorno paranoide de la personalidad</v>
          </cell>
        </row>
        <row r="2647">
          <cell r="A2647" t="str">
            <v>F60.1</v>
          </cell>
          <cell r="B2647" t="str">
            <v>Trastorno esquizoide de la personalidad</v>
          </cell>
        </row>
        <row r="2648">
          <cell r="A2648" t="str">
            <v>F60.2</v>
          </cell>
          <cell r="B2648" t="str">
            <v>Trastorno asocial de la personalidad</v>
          </cell>
        </row>
        <row r="2649">
          <cell r="A2649" t="str">
            <v>F60.3</v>
          </cell>
          <cell r="B2649" t="str">
            <v>Trastorno de la personalidad emocionalmente inestable</v>
          </cell>
        </row>
        <row r="2650">
          <cell r="A2650" t="str">
            <v>F60.4</v>
          </cell>
          <cell r="B2650" t="str">
            <v>Trastorno histriónico de la personalidad</v>
          </cell>
        </row>
        <row r="2651">
          <cell r="A2651" t="str">
            <v>F60.5</v>
          </cell>
          <cell r="B2651" t="str">
            <v>Trastorno anancástico de la personalidad</v>
          </cell>
        </row>
        <row r="2652">
          <cell r="A2652" t="str">
            <v>F60.6</v>
          </cell>
          <cell r="B2652" t="str">
            <v>Trastorno de la personalidad ansiosa (evasiva, elusiva)</v>
          </cell>
        </row>
        <row r="2653">
          <cell r="A2653" t="str">
            <v>F60.7</v>
          </cell>
          <cell r="B2653" t="str">
            <v>Trastorno de la personalidad dependiente</v>
          </cell>
        </row>
        <row r="2654">
          <cell r="A2654" t="str">
            <v>F60.8</v>
          </cell>
          <cell r="B2654" t="str">
            <v>Otros trastornos específicos de la personalidad</v>
          </cell>
        </row>
        <row r="2655">
          <cell r="A2655" t="str">
            <v>F60.9</v>
          </cell>
          <cell r="B2655" t="str">
            <v>Trastorno de la personalidad, no especificado</v>
          </cell>
        </row>
        <row r="2656">
          <cell r="A2656" t="str">
            <v>F61.X</v>
          </cell>
          <cell r="B2656" t="str">
            <v>Trastornos mixtos y otros trastornos de la personalidad</v>
          </cell>
        </row>
        <row r="2657">
          <cell r="A2657" t="str">
            <v>F62</v>
          </cell>
          <cell r="B2657" t="str">
            <v>Cambios perdurables de la personalidad, no atribuibles a lesión o a enfermedad cerebral</v>
          </cell>
        </row>
        <row r="2658">
          <cell r="A2658" t="str">
            <v>F62.0</v>
          </cell>
          <cell r="B2658" t="str">
            <v>Cambio perdurable de la personalidad después de una experiencia catastrófica</v>
          </cell>
        </row>
        <row r="2659">
          <cell r="A2659" t="str">
            <v>F62.1</v>
          </cell>
          <cell r="B2659" t="str">
            <v>Cambio perdurable de la personalidad consecutivo a una enfermedad psiquiátrica</v>
          </cell>
        </row>
        <row r="2660">
          <cell r="A2660" t="str">
            <v>F62.8</v>
          </cell>
          <cell r="B2660" t="str">
            <v>Otros cambios perdurables de la personalidad</v>
          </cell>
        </row>
        <row r="2661">
          <cell r="A2661" t="str">
            <v>F62.9</v>
          </cell>
          <cell r="B2661" t="str">
            <v>Cambio perdurable de la personalidad, no especificado</v>
          </cell>
        </row>
        <row r="2662">
          <cell r="A2662" t="str">
            <v>F63</v>
          </cell>
          <cell r="B2662" t="str">
            <v>Trastornos de los hábitos y de los impulsos</v>
          </cell>
        </row>
        <row r="2663">
          <cell r="A2663" t="str">
            <v>F63.0</v>
          </cell>
          <cell r="B2663" t="str">
            <v>Juego patológico</v>
          </cell>
        </row>
        <row r="2664">
          <cell r="A2664" t="str">
            <v>F63.1</v>
          </cell>
          <cell r="B2664" t="str">
            <v>Piromanía</v>
          </cell>
        </row>
        <row r="2665">
          <cell r="A2665" t="str">
            <v>F63.2</v>
          </cell>
          <cell r="B2665" t="str">
            <v>Hurto patológico [cleptomanía]</v>
          </cell>
        </row>
        <row r="2666">
          <cell r="A2666" t="str">
            <v>F63.3</v>
          </cell>
          <cell r="B2666" t="str">
            <v>Tricotilomanía</v>
          </cell>
        </row>
        <row r="2667">
          <cell r="A2667" t="str">
            <v>F63.8</v>
          </cell>
          <cell r="B2667" t="str">
            <v>Otros trastornos de los hábitos y de los impulsos</v>
          </cell>
        </row>
        <row r="2668">
          <cell r="A2668" t="str">
            <v>F63.9</v>
          </cell>
          <cell r="B2668" t="str">
            <v>Trastorno de los hábitos y de los impulsos, no especificado</v>
          </cell>
        </row>
        <row r="2669">
          <cell r="A2669" t="str">
            <v>F64</v>
          </cell>
          <cell r="B2669" t="str">
            <v>Trastornos de la identidad de género</v>
          </cell>
        </row>
        <row r="2670">
          <cell r="A2670" t="str">
            <v>F64.0</v>
          </cell>
          <cell r="B2670" t="str">
            <v>Transexualismo</v>
          </cell>
        </row>
        <row r="2671">
          <cell r="A2671" t="str">
            <v>F64.1</v>
          </cell>
          <cell r="B2671" t="str">
            <v>Transvestismo de rol dual</v>
          </cell>
        </row>
        <row r="2672">
          <cell r="A2672" t="str">
            <v>F64.2</v>
          </cell>
          <cell r="B2672" t="str">
            <v>Trastorno de la identidad de género en la niñez</v>
          </cell>
        </row>
        <row r="2673">
          <cell r="A2673" t="str">
            <v>F64.8</v>
          </cell>
          <cell r="B2673" t="str">
            <v>Otros trastornos de la identidad de género</v>
          </cell>
        </row>
        <row r="2674">
          <cell r="A2674" t="str">
            <v>F64.9</v>
          </cell>
          <cell r="B2674" t="str">
            <v>Trastorno de la identidad de género, no especificado</v>
          </cell>
        </row>
        <row r="2675">
          <cell r="A2675" t="str">
            <v>F65</v>
          </cell>
          <cell r="B2675" t="str">
            <v>Trastornos de la preferencia sexual</v>
          </cell>
        </row>
        <row r="2676">
          <cell r="A2676" t="str">
            <v>F65.0</v>
          </cell>
          <cell r="B2676" t="str">
            <v>Fetichismo</v>
          </cell>
        </row>
        <row r="2677">
          <cell r="A2677" t="str">
            <v>F65.1</v>
          </cell>
          <cell r="B2677" t="str">
            <v>Transvestismo fetichista</v>
          </cell>
        </row>
        <row r="2678">
          <cell r="A2678" t="str">
            <v>F65.2</v>
          </cell>
          <cell r="B2678" t="str">
            <v>Exhibicionismo</v>
          </cell>
        </row>
        <row r="2679">
          <cell r="A2679" t="str">
            <v>F65.3</v>
          </cell>
          <cell r="B2679" t="str">
            <v>Voyeurismo</v>
          </cell>
        </row>
        <row r="2680">
          <cell r="A2680" t="str">
            <v>F65.4</v>
          </cell>
          <cell r="B2680" t="str">
            <v>Pedofilia</v>
          </cell>
        </row>
        <row r="2681">
          <cell r="A2681" t="str">
            <v>F65.5</v>
          </cell>
          <cell r="B2681" t="str">
            <v>Sadomasoquismo</v>
          </cell>
        </row>
        <row r="2682">
          <cell r="A2682" t="str">
            <v>F65.6</v>
          </cell>
          <cell r="B2682" t="str">
            <v>Trastornos múltiples de la preferencia sexual</v>
          </cell>
        </row>
        <row r="2683">
          <cell r="A2683" t="str">
            <v>F65.8</v>
          </cell>
          <cell r="B2683" t="str">
            <v>Otros trastornos de la preferencia sexual</v>
          </cell>
        </row>
        <row r="2684">
          <cell r="A2684" t="str">
            <v>F65.9</v>
          </cell>
          <cell r="B2684" t="str">
            <v>Trastorno de la preferencia sexual, no especificado</v>
          </cell>
        </row>
        <row r="2685">
          <cell r="A2685" t="str">
            <v>F66</v>
          </cell>
          <cell r="B2685" t="str">
            <v>Trastornos psicológicos y del comportamiento asociados con el desarrollo y con la orientación sexuales</v>
          </cell>
        </row>
        <row r="2686">
          <cell r="A2686" t="str">
            <v>F66.0</v>
          </cell>
          <cell r="B2686" t="str">
            <v>Trastorno de la maduración sexual</v>
          </cell>
        </row>
        <row r="2687">
          <cell r="A2687" t="str">
            <v>F66.1</v>
          </cell>
          <cell r="B2687" t="str">
            <v>Orientación sexual egodistónica</v>
          </cell>
        </row>
        <row r="2688">
          <cell r="A2688" t="str">
            <v>F66.2</v>
          </cell>
          <cell r="B2688" t="str">
            <v>Trastorno de la relación sexual</v>
          </cell>
        </row>
        <row r="2689">
          <cell r="A2689" t="str">
            <v>F66.8</v>
          </cell>
          <cell r="B2689" t="str">
            <v>Otros trastornos del desarrollo psicosexual</v>
          </cell>
        </row>
        <row r="2690">
          <cell r="A2690" t="str">
            <v>F66.9</v>
          </cell>
          <cell r="B2690" t="str">
            <v>Trastorno del desarrollo psicosexual, no especificado</v>
          </cell>
        </row>
        <row r="2691">
          <cell r="A2691" t="str">
            <v>F68</v>
          </cell>
          <cell r="B2691" t="str">
            <v>Otros trastornos de la personalidad y del comportamiento en adultos</v>
          </cell>
        </row>
        <row r="2692">
          <cell r="A2692" t="str">
            <v>F68.0</v>
          </cell>
          <cell r="B2692" t="str">
            <v>Elaboración de síntomas físicos por causas psicológicas</v>
          </cell>
        </row>
        <row r="2693">
          <cell r="A2693" t="str">
            <v>F68.1</v>
          </cell>
          <cell r="B2693" t="str">
            <v>Producción intencional o simulación de síntomas o de incapacidades, tanto físicas como psicológicas [trastorno facticio]</v>
          </cell>
        </row>
        <row r="2694">
          <cell r="A2694" t="str">
            <v>F68.8</v>
          </cell>
          <cell r="B2694" t="str">
            <v>Otros trastornos especificados de la personalidad y del comportamiento en adultos</v>
          </cell>
        </row>
        <row r="2695">
          <cell r="A2695" t="str">
            <v>F69.X</v>
          </cell>
          <cell r="B2695" t="str">
            <v>Trastorno de la personalidad y del comportamiento en adultos, no especificado</v>
          </cell>
        </row>
        <row r="2696">
          <cell r="A2696" t="str">
            <v>F70</v>
          </cell>
          <cell r="B2696" t="str">
            <v>Retraso mental leve</v>
          </cell>
        </row>
        <row r="2697">
          <cell r="A2697" t="str">
            <v>F70.0</v>
          </cell>
          <cell r="B2697" t="str">
            <v>Retraso mental leve, deterioro del comportamiento nulo o mínimo</v>
          </cell>
        </row>
        <row r="2698">
          <cell r="A2698" t="str">
            <v>F70.1</v>
          </cell>
          <cell r="B2698" t="str">
            <v>Retraso mental leve, deterioro del comportamiento significativo, que requiere atención o tratamiento</v>
          </cell>
        </row>
        <row r="2699">
          <cell r="A2699" t="str">
            <v>F70.8</v>
          </cell>
          <cell r="B2699" t="str">
            <v>Retraso mental leve, otros deterioros del comportamiento</v>
          </cell>
        </row>
        <row r="2700">
          <cell r="A2700" t="str">
            <v>F70.9</v>
          </cell>
          <cell r="B2700" t="str">
            <v>Retraso mental leve, deterioro del comportamiento de grado no especificado</v>
          </cell>
        </row>
        <row r="2701">
          <cell r="A2701" t="str">
            <v>F71</v>
          </cell>
          <cell r="B2701" t="str">
            <v>Retraso mental moderado</v>
          </cell>
        </row>
        <row r="2702">
          <cell r="A2702" t="str">
            <v>F71.0</v>
          </cell>
          <cell r="B2702" t="str">
            <v>Retraso mental moderado, deterioro del comportamiento nulo o mínimo</v>
          </cell>
        </row>
        <row r="2703">
          <cell r="A2703" t="str">
            <v>F71.1</v>
          </cell>
          <cell r="B2703" t="str">
            <v>Retraso mental moderado, deterioro del comportamiento significativo, que requiere atención o tratamiento</v>
          </cell>
        </row>
        <row r="2704">
          <cell r="A2704" t="str">
            <v>F71.8</v>
          </cell>
          <cell r="B2704" t="str">
            <v>Retraso mental moderado, otros deterioros del comportamiento</v>
          </cell>
        </row>
        <row r="2705">
          <cell r="A2705" t="str">
            <v>F71.9</v>
          </cell>
          <cell r="B2705" t="str">
            <v>Retraso mental moderado, deterioro del comportamiento de grado no especificado</v>
          </cell>
        </row>
        <row r="2706">
          <cell r="A2706" t="str">
            <v>F72</v>
          </cell>
          <cell r="B2706" t="str">
            <v>Retraso mental grave</v>
          </cell>
        </row>
        <row r="2707">
          <cell r="A2707" t="str">
            <v>F72.0</v>
          </cell>
          <cell r="B2707" t="str">
            <v>Retraso mental grave, deterioro del comportamiento nulo o mínimo</v>
          </cell>
        </row>
        <row r="2708">
          <cell r="A2708" t="str">
            <v>F72.1</v>
          </cell>
          <cell r="B2708" t="str">
            <v>Retraso mental grave, deterioro del comportamiento significativo, que requiere atención o tratamiento</v>
          </cell>
        </row>
        <row r="2709">
          <cell r="A2709" t="str">
            <v>F72.8</v>
          </cell>
          <cell r="B2709" t="str">
            <v>Retraso mental grave, otros deterioros del comportamiento</v>
          </cell>
        </row>
        <row r="2710">
          <cell r="A2710" t="str">
            <v>F72.9</v>
          </cell>
          <cell r="B2710" t="str">
            <v>Retraso mental grave, deterioro del comportamiento de grado no especificado</v>
          </cell>
        </row>
        <row r="2711">
          <cell r="A2711" t="str">
            <v>F73</v>
          </cell>
          <cell r="B2711" t="str">
            <v>Retraso mental profundo</v>
          </cell>
        </row>
        <row r="2712">
          <cell r="A2712" t="str">
            <v>F73.0</v>
          </cell>
          <cell r="B2712" t="str">
            <v>Retraso mental profundo, deterioro del comportamiento nulo o mínimo</v>
          </cell>
        </row>
        <row r="2713">
          <cell r="A2713" t="str">
            <v>F73.1</v>
          </cell>
          <cell r="B2713" t="str">
            <v>Retraso mental profundo, deterioro del comportamiento significativo, que requiere atención o tratamiento</v>
          </cell>
        </row>
        <row r="2714">
          <cell r="A2714" t="str">
            <v>F73.8</v>
          </cell>
          <cell r="B2714" t="str">
            <v>Retraso mental profundo, otros deterioros del comportamiento</v>
          </cell>
        </row>
        <row r="2715">
          <cell r="A2715" t="str">
            <v>F73.9</v>
          </cell>
          <cell r="B2715" t="str">
            <v>Retraso mental profundo, deterioro del comportamiento de grado no especificado</v>
          </cell>
        </row>
        <row r="2716">
          <cell r="A2716" t="str">
            <v>F78</v>
          </cell>
          <cell r="B2716" t="str">
            <v>Otros tipos de retraso mental</v>
          </cell>
        </row>
        <row r="2717">
          <cell r="A2717" t="str">
            <v>F78.0</v>
          </cell>
          <cell r="B2717" t="str">
            <v>Otros tipos de retraso mental, deterioro del comportamiento nulo o mínimo</v>
          </cell>
        </row>
        <row r="2718">
          <cell r="A2718" t="str">
            <v>F78.1</v>
          </cell>
          <cell r="B2718" t="str">
            <v>Otros tipos de retraso mental, deterioro del comportamiento significativo, que requiere atención o tratamiento</v>
          </cell>
        </row>
        <row r="2719">
          <cell r="A2719" t="str">
            <v>F78.8</v>
          </cell>
          <cell r="B2719" t="str">
            <v>Otros tipos de retraso mental, otros deterioros del comportamiento</v>
          </cell>
        </row>
        <row r="2720">
          <cell r="A2720" t="str">
            <v>F78.9</v>
          </cell>
          <cell r="B2720" t="str">
            <v>Otros tipos de retraso mental, deterioro del comportamiento de grado no especificado</v>
          </cell>
        </row>
        <row r="2721">
          <cell r="A2721" t="str">
            <v>F79</v>
          </cell>
          <cell r="B2721" t="str">
            <v>Retraso mental, no especificado</v>
          </cell>
        </row>
        <row r="2722">
          <cell r="A2722" t="str">
            <v>F79.0</v>
          </cell>
          <cell r="B2722" t="str">
            <v>Retraso mental, no especificado, deterioro del comportamiento nulo o mínimo</v>
          </cell>
        </row>
        <row r="2723">
          <cell r="A2723" t="str">
            <v>F79.1</v>
          </cell>
          <cell r="B2723" t="str">
            <v>Retraso mental, no especificado, deterioro del comportamiento significativo, que requiere atención o tratamiento</v>
          </cell>
        </row>
        <row r="2724">
          <cell r="A2724" t="str">
            <v>F79.8</v>
          </cell>
          <cell r="B2724" t="str">
            <v>Retraso mental, no especificado, otros deterioros del comportamiento</v>
          </cell>
        </row>
        <row r="2725">
          <cell r="A2725" t="str">
            <v>F79.9</v>
          </cell>
          <cell r="B2725" t="str">
            <v>Retraso mental, no especificado, deterioro del comportamiento de grado no especificado</v>
          </cell>
        </row>
        <row r="2726">
          <cell r="A2726" t="str">
            <v>F80</v>
          </cell>
          <cell r="B2726" t="str">
            <v>Trastornos específicos del desarrollo del habla y del lenguaje</v>
          </cell>
        </row>
        <row r="2727">
          <cell r="A2727" t="str">
            <v>F80.0</v>
          </cell>
          <cell r="B2727" t="str">
            <v>Trastorno específico de la pronunciación</v>
          </cell>
        </row>
        <row r="2728">
          <cell r="A2728" t="str">
            <v>F80.1</v>
          </cell>
          <cell r="B2728" t="str">
            <v>Trastorno del lenguaje expresivo</v>
          </cell>
        </row>
        <row r="2729">
          <cell r="A2729" t="str">
            <v>F80.2</v>
          </cell>
          <cell r="B2729" t="str">
            <v>Trastorno de la recepción del lenguaje</v>
          </cell>
        </row>
        <row r="2730">
          <cell r="A2730" t="str">
            <v>F80.3</v>
          </cell>
          <cell r="B2730" t="str">
            <v>Afasia adquirida con epilepsia [Landau-Kleffner]</v>
          </cell>
        </row>
        <row r="2731">
          <cell r="A2731" t="str">
            <v>F80.8</v>
          </cell>
          <cell r="B2731" t="str">
            <v>Otros trastornos del desarrollo del habla y del lenguaje</v>
          </cell>
        </row>
        <row r="2732">
          <cell r="A2732" t="str">
            <v>F80.9</v>
          </cell>
          <cell r="B2732" t="str">
            <v>Trastorno del desarrollo del habla y del lenguaje no especificado</v>
          </cell>
        </row>
        <row r="2733">
          <cell r="A2733" t="str">
            <v>F81</v>
          </cell>
          <cell r="B2733" t="str">
            <v>Trastornos específicos del desarrollo de las habilidades escolares</v>
          </cell>
        </row>
        <row r="2734">
          <cell r="A2734" t="str">
            <v>F81.0</v>
          </cell>
          <cell r="B2734" t="str">
            <v>Trastorno específico de la lectura</v>
          </cell>
        </row>
        <row r="2735">
          <cell r="A2735" t="str">
            <v>F81.1</v>
          </cell>
          <cell r="B2735" t="str">
            <v>Trastorno específico del deletreo [ortografía]</v>
          </cell>
        </row>
        <row r="2736">
          <cell r="A2736" t="str">
            <v>F81.2</v>
          </cell>
          <cell r="B2736" t="str">
            <v>Trastorno específico de las habilidades aritméticas</v>
          </cell>
        </row>
        <row r="2737">
          <cell r="A2737" t="str">
            <v>F81.3</v>
          </cell>
          <cell r="B2737" t="str">
            <v>Trastorno mixto de las habilidades escolares</v>
          </cell>
        </row>
        <row r="2738">
          <cell r="A2738" t="str">
            <v>F81.8</v>
          </cell>
          <cell r="B2738" t="str">
            <v>Otros trastornos del desarrollo de las habilidades escolares</v>
          </cell>
        </row>
        <row r="2739">
          <cell r="A2739" t="str">
            <v>F81.9</v>
          </cell>
          <cell r="B2739" t="str">
            <v>Trastorno del desarrollo de las habilidades escolares, no especificado</v>
          </cell>
        </row>
        <row r="2740">
          <cell r="A2740" t="str">
            <v>F82.X</v>
          </cell>
          <cell r="B2740" t="str">
            <v>Trastorno específico del desarrollo de la función motriz</v>
          </cell>
        </row>
        <row r="2741">
          <cell r="A2741" t="str">
            <v>F83.X</v>
          </cell>
          <cell r="B2741" t="str">
            <v>Trastornos específicos mixtos del desarrollo</v>
          </cell>
        </row>
        <row r="2742">
          <cell r="A2742" t="str">
            <v>F84</v>
          </cell>
          <cell r="B2742" t="str">
            <v>Trastornos generalizados del desarrollo</v>
          </cell>
        </row>
        <row r="2743">
          <cell r="A2743" t="str">
            <v>F84.0</v>
          </cell>
          <cell r="B2743" t="str">
            <v>Autismo en la niñez</v>
          </cell>
        </row>
        <row r="2744">
          <cell r="A2744" t="str">
            <v>F84.1</v>
          </cell>
          <cell r="B2744" t="str">
            <v>Autismo atípico</v>
          </cell>
        </row>
        <row r="2745">
          <cell r="A2745" t="str">
            <v>F84.2</v>
          </cell>
          <cell r="B2745" t="str">
            <v>Síndrome de Rett</v>
          </cell>
        </row>
        <row r="2746">
          <cell r="A2746" t="str">
            <v>F84.3</v>
          </cell>
          <cell r="B2746" t="str">
            <v>Otro trastorno desintegrativo de la niñez</v>
          </cell>
        </row>
        <row r="2747">
          <cell r="A2747" t="str">
            <v>F84.4</v>
          </cell>
          <cell r="B2747" t="str">
            <v>Trastorno hiperactivo asociado con retraso mental y movimientos estereotipados</v>
          </cell>
        </row>
        <row r="2748">
          <cell r="A2748" t="str">
            <v>F84.5</v>
          </cell>
          <cell r="B2748" t="str">
            <v>Síndrome de Asperger</v>
          </cell>
        </row>
        <row r="2749">
          <cell r="A2749" t="str">
            <v>F84.8</v>
          </cell>
          <cell r="B2749" t="str">
            <v>Otros trastornos generalizados del desarrollo</v>
          </cell>
        </row>
        <row r="2750">
          <cell r="A2750" t="str">
            <v>F84.9</v>
          </cell>
          <cell r="B2750" t="str">
            <v>Trastorno generalizado del desarrollo no especificado</v>
          </cell>
        </row>
        <row r="2751">
          <cell r="A2751" t="str">
            <v>F88.X</v>
          </cell>
          <cell r="B2751" t="str">
            <v>Otros trastornos del desarrollo psicológico</v>
          </cell>
        </row>
        <row r="2752">
          <cell r="A2752" t="str">
            <v>F89.X</v>
          </cell>
          <cell r="B2752" t="str">
            <v>Trastorno del desarrollo psicológico, no especificado</v>
          </cell>
        </row>
        <row r="2753">
          <cell r="A2753" t="str">
            <v>F90</v>
          </cell>
          <cell r="B2753" t="str">
            <v>Trastornos hipercinéticos</v>
          </cell>
        </row>
        <row r="2754">
          <cell r="A2754" t="str">
            <v>F90.0</v>
          </cell>
          <cell r="B2754" t="str">
            <v>Perturbación de la actividad y de la atención</v>
          </cell>
        </row>
        <row r="2755">
          <cell r="A2755" t="str">
            <v>F90.1</v>
          </cell>
          <cell r="B2755" t="str">
            <v>Trastorno hipercinético de la conducta</v>
          </cell>
        </row>
        <row r="2756">
          <cell r="A2756" t="str">
            <v>F90.8</v>
          </cell>
          <cell r="B2756" t="str">
            <v>Otros trastornos hipercinéticos</v>
          </cell>
        </row>
        <row r="2757">
          <cell r="A2757" t="str">
            <v>F90.9</v>
          </cell>
          <cell r="B2757" t="str">
            <v>Trastorno hipercinético, no especificado</v>
          </cell>
        </row>
        <row r="2758">
          <cell r="A2758" t="str">
            <v>F91</v>
          </cell>
          <cell r="B2758" t="str">
            <v>Trastornos de la conducta</v>
          </cell>
        </row>
        <row r="2759">
          <cell r="A2759" t="str">
            <v>F91.0</v>
          </cell>
          <cell r="B2759" t="str">
            <v>Trastorno de la conducta limitado al contexto familiar</v>
          </cell>
        </row>
        <row r="2760">
          <cell r="A2760" t="str">
            <v>F91.1</v>
          </cell>
          <cell r="B2760" t="str">
            <v>Trastorno de la conducta insociable</v>
          </cell>
        </row>
        <row r="2761">
          <cell r="A2761" t="str">
            <v>F91.2</v>
          </cell>
          <cell r="B2761" t="str">
            <v>Trastorno de la conducta sociable</v>
          </cell>
        </row>
        <row r="2762">
          <cell r="A2762" t="str">
            <v>F91.3</v>
          </cell>
          <cell r="B2762" t="str">
            <v>Trastorno opositor desafiante</v>
          </cell>
        </row>
        <row r="2763">
          <cell r="A2763" t="str">
            <v>F91.8</v>
          </cell>
          <cell r="B2763" t="str">
            <v>Otros trastornos de la conducta</v>
          </cell>
        </row>
        <row r="2764">
          <cell r="A2764" t="str">
            <v>F91.9</v>
          </cell>
          <cell r="B2764" t="str">
            <v>Trastorno de la conducta, no especificado</v>
          </cell>
        </row>
        <row r="2765">
          <cell r="A2765" t="str">
            <v>F92</v>
          </cell>
          <cell r="B2765" t="str">
            <v>Trastornos mixtos de la conducta y de las emociones</v>
          </cell>
        </row>
        <row r="2766">
          <cell r="A2766" t="str">
            <v>F92.0</v>
          </cell>
          <cell r="B2766" t="str">
            <v>Trastorno depresivo de la conducta</v>
          </cell>
        </row>
        <row r="2767">
          <cell r="A2767" t="str">
            <v>F92.8</v>
          </cell>
          <cell r="B2767" t="str">
            <v>Otros trastornos mixtos de la conducta y de las emociones</v>
          </cell>
        </row>
        <row r="2768">
          <cell r="A2768" t="str">
            <v>F92.9</v>
          </cell>
          <cell r="B2768" t="str">
            <v>Trastorno mixto de la conducta y de las emociones, no especificado</v>
          </cell>
        </row>
        <row r="2769">
          <cell r="A2769" t="str">
            <v>F93</v>
          </cell>
          <cell r="B2769" t="str">
            <v>Trastornos emocionales de comienzo específico en la niñez</v>
          </cell>
        </row>
        <row r="2770">
          <cell r="A2770" t="str">
            <v>F93.0</v>
          </cell>
          <cell r="B2770" t="str">
            <v>Trastorno de ansiedad de separación en la niñez</v>
          </cell>
        </row>
        <row r="2771">
          <cell r="A2771" t="str">
            <v>F93.1</v>
          </cell>
          <cell r="B2771" t="str">
            <v>Trastorno de ansiedad fóbica en la niñez</v>
          </cell>
        </row>
        <row r="2772">
          <cell r="A2772" t="str">
            <v>F93.2</v>
          </cell>
          <cell r="B2772" t="str">
            <v>Trastorno de ansiedad social en la niñez</v>
          </cell>
        </row>
        <row r="2773">
          <cell r="A2773" t="str">
            <v>F93.3</v>
          </cell>
          <cell r="B2773" t="str">
            <v>Trastorno de rivalidad entre hermanos</v>
          </cell>
        </row>
        <row r="2774">
          <cell r="A2774" t="str">
            <v>F93.8</v>
          </cell>
          <cell r="B2774" t="str">
            <v>Otros trastornos emocionales en la niñez</v>
          </cell>
        </row>
        <row r="2775">
          <cell r="A2775" t="str">
            <v>F93.9</v>
          </cell>
          <cell r="B2775" t="str">
            <v>Trastorno emocional en la niñez, no especificado</v>
          </cell>
        </row>
        <row r="2776">
          <cell r="A2776" t="str">
            <v>F94</v>
          </cell>
          <cell r="B2776" t="str">
            <v>Trastornos del comportamiento social de comienzo específico en la niñez y en la adolescencia</v>
          </cell>
        </row>
        <row r="2777">
          <cell r="A2777" t="str">
            <v>F94.0</v>
          </cell>
          <cell r="B2777" t="str">
            <v>Mutismo electivo</v>
          </cell>
        </row>
        <row r="2778">
          <cell r="A2778" t="str">
            <v>F94.1</v>
          </cell>
          <cell r="B2778" t="str">
            <v>Trastorno de vinculación reactiva en la niñez</v>
          </cell>
        </row>
        <row r="2779">
          <cell r="A2779" t="str">
            <v>F94.2</v>
          </cell>
          <cell r="B2779" t="str">
            <v>Trastorno de vinculación desinhibida en la niñez</v>
          </cell>
        </row>
        <row r="2780">
          <cell r="A2780" t="str">
            <v>F94.8</v>
          </cell>
          <cell r="B2780" t="str">
            <v>Otros trastornos del comportamiento social en la niñez</v>
          </cell>
        </row>
        <row r="2781">
          <cell r="A2781" t="str">
            <v>F94.9</v>
          </cell>
          <cell r="B2781" t="str">
            <v>Trastorno del comportamiento social en la niñez, no especificado</v>
          </cell>
        </row>
        <row r="2782">
          <cell r="A2782" t="str">
            <v>F95</v>
          </cell>
          <cell r="B2782" t="str">
            <v>Trastornos por tics</v>
          </cell>
        </row>
        <row r="2783">
          <cell r="A2783" t="str">
            <v>F95.0</v>
          </cell>
          <cell r="B2783" t="str">
            <v>Trastorno por tic transitorio</v>
          </cell>
        </row>
        <row r="2784">
          <cell r="A2784" t="str">
            <v>F95.1</v>
          </cell>
          <cell r="B2784" t="str">
            <v>Trastorno por tic motor o vocal crónico</v>
          </cell>
        </row>
        <row r="2785">
          <cell r="A2785" t="str">
            <v>F95.2</v>
          </cell>
          <cell r="B2785" t="str">
            <v>Trastorno por tics motores y vocales múltiples combinados [de la Tourette]</v>
          </cell>
        </row>
        <row r="2786">
          <cell r="A2786" t="str">
            <v>F95.8</v>
          </cell>
          <cell r="B2786" t="str">
            <v>Otros trastornos por tics</v>
          </cell>
        </row>
        <row r="2787">
          <cell r="A2787" t="str">
            <v>F95.9</v>
          </cell>
          <cell r="B2787" t="str">
            <v>Trastorno por tic, no especificado</v>
          </cell>
        </row>
        <row r="2788">
          <cell r="A2788" t="str">
            <v>F98</v>
          </cell>
          <cell r="B2788" t="str">
            <v>Otros trastornos emocionales y del comportamiento que aparecen habitualmente en la niñez y en la adolescencia</v>
          </cell>
        </row>
        <row r="2789">
          <cell r="A2789" t="str">
            <v>F98.0</v>
          </cell>
          <cell r="B2789" t="str">
            <v>Enuresis no orgánica</v>
          </cell>
        </row>
        <row r="2790">
          <cell r="A2790" t="str">
            <v>F98.1</v>
          </cell>
          <cell r="B2790" t="str">
            <v>Encopresis no orgánica</v>
          </cell>
        </row>
        <row r="2791">
          <cell r="A2791" t="str">
            <v>F98.2</v>
          </cell>
          <cell r="B2791" t="str">
            <v>Trastorno de la ingestión alimentaria en la infancia y la niñez</v>
          </cell>
        </row>
        <row r="2792">
          <cell r="A2792" t="str">
            <v>F98.3</v>
          </cell>
          <cell r="B2792" t="str">
            <v>Pica en la infancia y la niñez</v>
          </cell>
        </row>
        <row r="2793">
          <cell r="A2793" t="str">
            <v>F98.4</v>
          </cell>
          <cell r="B2793" t="str">
            <v>Trastornos de los movimientos estereotipados</v>
          </cell>
        </row>
        <row r="2794">
          <cell r="A2794" t="str">
            <v>F98.5</v>
          </cell>
          <cell r="B2794" t="str">
            <v>Tartamudez [espasmofemia]</v>
          </cell>
        </row>
        <row r="2795">
          <cell r="A2795" t="str">
            <v>F98.6</v>
          </cell>
          <cell r="B2795" t="str">
            <v>Farfulleo</v>
          </cell>
        </row>
        <row r="2796">
          <cell r="A2796" t="str">
            <v>F98.8</v>
          </cell>
          <cell r="B2796" t="str">
            <v>Otros trastornos emocionales y del comportamiento que aparecen habitualmente en la niñez y en la adolescencia</v>
          </cell>
        </row>
        <row r="2797">
          <cell r="A2797" t="str">
            <v>F98.9</v>
          </cell>
          <cell r="B2797" t="str">
            <v>Trastornos no especificados, emocionales y del comportamiento, que aparecen habitualmente en la niñez y en la adolescencia</v>
          </cell>
        </row>
        <row r="2798">
          <cell r="A2798" t="str">
            <v>F99.X</v>
          </cell>
          <cell r="B2798" t="str">
            <v>Trastorno mental, no especificado</v>
          </cell>
        </row>
        <row r="2799">
          <cell r="A2799" t="str">
            <v>G</v>
          </cell>
          <cell r="B2799" t="str">
            <v>Transtornos Neurológicos</v>
          </cell>
        </row>
        <row r="2800">
          <cell r="A2800" t="str">
            <v>G00</v>
          </cell>
          <cell r="B2800" t="str">
            <v>Meningitis bacteriana, no clasificada en otra parte</v>
          </cell>
        </row>
        <row r="2801">
          <cell r="A2801" t="str">
            <v>G00.0</v>
          </cell>
          <cell r="B2801" t="str">
            <v>Meningitis por hemófilos</v>
          </cell>
        </row>
        <row r="2802">
          <cell r="A2802" t="str">
            <v>G00.1</v>
          </cell>
          <cell r="B2802" t="str">
            <v>Meningitis neumocócica</v>
          </cell>
        </row>
        <row r="2803">
          <cell r="A2803" t="str">
            <v>G00.2</v>
          </cell>
          <cell r="B2803" t="str">
            <v>Meningitis estreptocócica</v>
          </cell>
        </row>
        <row r="2804">
          <cell r="A2804" t="str">
            <v>G00.3</v>
          </cell>
          <cell r="B2804" t="str">
            <v>Meningitis estafilocócica</v>
          </cell>
        </row>
        <row r="2805">
          <cell r="A2805" t="str">
            <v>G00.8</v>
          </cell>
          <cell r="B2805" t="str">
            <v>Otras meningitis bacterianas</v>
          </cell>
        </row>
        <row r="2806">
          <cell r="A2806" t="str">
            <v>G00.9</v>
          </cell>
          <cell r="B2806" t="str">
            <v>Meningitis bacteriana, no especificada</v>
          </cell>
        </row>
        <row r="2807">
          <cell r="A2807" t="str">
            <v>G01.X*</v>
          </cell>
          <cell r="B2807" t="str">
            <v>Meningitis en enfermedades bacterianas clasificadas en otra parte</v>
          </cell>
        </row>
        <row r="2808">
          <cell r="A2808" t="str">
            <v>G02*</v>
          </cell>
          <cell r="B2808" t="str">
            <v>Meningitis en otras enfermedades infecciosas y parasitarias clasificadas en otra parte</v>
          </cell>
        </row>
        <row r="2809">
          <cell r="A2809" t="str">
            <v>G02.0*</v>
          </cell>
          <cell r="B2809" t="str">
            <v>Meningitis en enfermedades virales clasificadas en otra parte</v>
          </cell>
        </row>
        <row r="2810">
          <cell r="A2810" t="str">
            <v>G02.1*</v>
          </cell>
          <cell r="B2810" t="str">
            <v>Meningitis en micosis</v>
          </cell>
        </row>
        <row r="2811">
          <cell r="A2811" t="str">
            <v>G02.8*</v>
          </cell>
          <cell r="B2811" t="str">
            <v>Meningitis en otras enfermedades infecciosas y parasitarias especificadas clasificadas en otra parte</v>
          </cell>
        </row>
        <row r="2812">
          <cell r="A2812" t="str">
            <v>G03</v>
          </cell>
          <cell r="B2812" t="str">
            <v>Meningitis debida a otras causas y a las no especificadas</v>
          </cell>
        </row>
        <row r="2813">
          <cell r="A2813" t="str">
            <v>G03.0</v>
          </cell>
          <cell r="B2813" t="str">
            <v>Meningitis apiógena</v>
          </cell>
        </row>
        <row r="2814">
          <cell r="A2814" t="str">
            <v>G03.1</v>
          </cell>
          <cell r="B2814" t="str">
            <v>Meningitis crónica</v>
          </cell>
        </row>
        <row r="2815">
          <cell r="A2815" t="str">
            <v>G03.2</v>
          </cell>
          <cell r="B2815" t="str">
            <v>Meningitis recurrente benigna [Mollaret]</v>
          </cell>
        </row>
        <row r="2816">
          <cell r="A2816" t="str">
            <v>G03.8</v>
          </cell>
          <cell r="B2816" t="str">
            <v>Meningitis debidas a otras causas especificadas</v>
          </cell>
        </row>
        <row r="2817">
          <cell r="A2817" t="str">
            <v>G03.9</v>
          </cell>
          <cell r="B2817" t="str">
            <v>Meningitis, no especificada</v>
          </cell>
        </row>
        <row r="2818">
          <cell r="A2818" t="str">
            <v>G04</v>
          </cell>
          <cell r="B2818" t="str">
            <v>Encefalitis, mielitis y encefalomielitis</v>
          </cell>
        </row>
        <row r="2819">
          <cell r="A2819" t="str">
            <v>G04.0</v>
          </cell>
          <cell r="B2819" t="str">
            <v>Encefalitis aguda diseminada</v>
          </cell>
        </row>
        <row r="2820">
          <cell r="A2820" t="str">
            <v>G04.1</v>
          </cell>
          <cell r="B2820" t="str">
            <v>Paraplejía espástica tropical</v>
          </cell>
        </row>
        <row r="2821">
          <cell r="A2821" t="str">
            <v>G04.2</v>
          </cell>
          <cell r="B2821" t="str">
            <v>Meningoencefalitis y meningomielitis bacterianas, no clasificadas en otra parte</v>
          </cell>
        </row>
        <row r="2822">
          <cell r="A2822" t="str">
            <v>G04.8</v>
          </cell>
          <cell r="B2822" t="str">
            <v>Otras encefalitis, mielitis y encefalomielitis</v>
          </cell>
        </row>
        <row r="2823">
          <cell r="A2823" t="str">
            <v>G04.9</v>
          </cell>
          <cell r="B2823" t="str">
            <v>Encefalitis, mielitis y encefalomielitis, no especificadas</v>
          </cell>
        </row>
        <row r="2824">
          <cell r="A2824" t="str">
            <v>G05*</v>
          </cell>
          <cell r="B2824" t="str">
            <v>Encefalitis, mielitis y encefalomielitis en enfermedades clasificadas en otra parte</v>
          </cell>
        </row>
        <row r="2825">
          <cell r="A2825" t="str">
            <v>G05.0*</v>
          </cell>
          <cell r="B2825" t="str">
            <v>Encefalitis, mielitis y encefalomielitis en enfermedades bacterianas clasificadas en otra parte</v>
          </cell>
        </row>
        <row r="2826">
          <cell r="A2826" t="str">
            <v>G05.1*</v>
          </cell>
          <cell r="B2826" t="str">
            <v>Encefalitis, mielitis y encefalomielitis en enfermedades virales clasificadas en otra parte</v>
          </cell>
        </row>
        <row r="2827">
          <cell r="A2827" t="str">
            <v>G05.2*</v>
          </cell>
          <cell r="B2827" t="str">
            <v>Encefalitis, mielitis y encefalomielitis en otras enfermedades infecciosas y parasitarias clasificadas en otra parte</v>
          </cell>
        </row>
        <row r="2828">
          <cell r="A2828" t="str">
            <v>G05.8*</v>
          </cell>
          <cell r="B2828" t="str">
            <v>Encefalitis, mielitis y encefalomielitis en enfermedades clasificadas en otra parte</v>
          </cell>
        </row>
        <row r="2829">
          <cell r="A2829" t="str">
            <v>G06</v>
          </cell>
          <cell r="B2829" t="str">
            <v>Absceso y granuloma intracraneal e intrarraquídeo</v>
          </cell>
        </row>
        <row r="2830">
          <cell r="A2830" t="str">
            <v>G06.0</v>
          </cell>
          <cell r="B2830" t="str">
            <v>Absceso y granuloma intracraneal</v>
          </cell>
        </row>
        <row r="2831">
          <cell r="A2831" t="str">
            <v>G06.1</v>
          </cell>
          <cell r="B2831" t="str">
            <v>Absceso y granuloma intrarraquídeo</v>
          </cell>
        </row>
        <row r="2832">
          <cell r="A2832" t="str">
            <v>G06.2</v>
          </cell>
          <cell r="B2832" t="str">
            <v>Absceso extradural y subdural, no especificado</v>
          </cell>
        </row>
        <row r="2833">
          <cell r="A2833" t="str">
            <v>G07.X*</v>
          </cell>
          <cell r="B2833" t="str">
            <v>Absceso y granuloma intracraneal e intrarraquídeo en enfermedades clasificadas en otra parte</v>
          </cell>
        </row>
        <row r="2834">
          <cell r="A2834" t="str">
            <v>G08.X</v>
          </cell>
          <cell r="B2834" t="str">
            <v>Flebitis y tromboflebitis intracraneal e intrarraquídea</v>
          </cell>
        </row>
        <row r="2835">
          <cell r="A2835" t="str">
            <v>G09.X</v>
          </cell>
          <cell r="B2835" t="str">
            <v>Secuelas de enfermedades inflamatorias del sistema nervioso central</v>
          </cell>
        </row>
        <row r="2836">
          <cell r="A2836" t="str">
            <v>G10.X</v>
          </cell>
          <cell r="B2836" t="str">
            <v>Enfermedad de Huntington</v>
          </cell>
        </row>
        <row r="2837">
          <cell r="A2837" t="str">
            <v>G11</v>
          </cell>
          <cell r="B2837" t="str">
            <v>Ataxia hereditaria</v>
          </cell>
        </row>
        <row r="2838">
          <cell r="A2838" t="str">
            <v>G11.0</v>
          </cell>
          <cell r="B2838" t="str">
            <v>Ataxia congénita no progresiva</v>
          </cell>
        </row>
        <row r="2839">
          <cell r="A2839" t="str">
            <v>G11.1</v>
          </cell>
          <cell r="B2839" t="str">
            <v>Ataxia cerebelosa de iniciación temprana</v>
          </cell>
        </row>
        <row r="2840">
          <cell r="A2840" t="str">
            <v>G11.2</v>
          </cell>
          <cell r="B2840" t="str">
            <v>Ataxia cerebelosa de iniciación tardía</v>
          </cell>
        </row>
        <row r="2841">
          <cell r="A2841" t="str">
            <v>G11.3</v>
          </cell>
          <cell r="B2841" t="str">
            <v>Ataxia cerebelosa con reparación defectuosa del ADN</v>
          </cell>
        </row>
        <row r="2842">
          <cell r="A2842" t="str">
            <v>G11.4</v>
          </cell>
          <cell r="B2842" t="str">
            <v>Paraplejía espástica hereditaria</v>
          </cell>
        </row>
        <row r="2843">
          <cell r="A2843" t="str">
            <v>G11.8</v>
          </cell>
          <cell r="B2843" t="str">
            <v>Otras ataxias hereditarias</v>
          </cell>
        </row>
        <row r="2844">
          <cell r="A2844" t="str">
            <v>G11.9</v>
          </cell>
          <cell r="B2844" t="str">
            <v>Ataxia hereditaria, no especificada</v>
          </cell>
        </row>
        <row r="2845">
          <cell r="A2845" t="str">
            <v>G12</v>
          </cell>
          <cell r="B2845" t="str">
            <v>Atrofia muscular espinal y síndromes afines</v>
          </cell>
        </row>
        <row r="2846">
          <cell r="A2846" t="str">
            <v>G12.0</v>
          </cell>
          <cell r="B2846" t="str">
            <v>Atrofia muscular espinal infantil, tipo I [Werdnig Hoffman]</v>
          </cell>
        </row>
        <row r="2847">
          <cell r="A2847" t="str">
            <v>G12.1</v>
          </cell>
          <cell r="B2847" t="str">
            <v>Otras atrofias musculares espinales hereditarias</v>
          </cell>
        </row>
        <row r="2848">
          <cell r="A2848" t="str">
            <v>G12.2</v>
          </cell>
          <cell r="B2848" t="str">
            <v>Enfermedades de las neuronas motoras</v>
          </cell>
        </row>
        <row r="2849">
          <cell r="A2849" t="str">
            <v>G12.8</v>
          </cell>
          <cell r="B2849" t="str">
            <v>Otras atrofias musculares espinales y síndromes afines</v>
          </cell>
        </row>
        <row r="2850">
          <cell r="A2850" t="str">
            <v>G12.9</v>
          </cell>
          <cell r="B2850" t="str">
            <v>Atrofia muscular espinal, sin otra especificación</v>
          </cell>
        </row>
        <row r="2851">
          <cell r="A2851" t="str">
            <v>G13*</v>
          </cell>
          <cell r="B2851" t="str">
            <v>Atrofias sistémicas que afectan primariamente el sistema nervioso central en enfermedades clasificadas en otra parte</v>
          </cell>
        </row>
        <row r="2852">
          <cell r="A2852" t="str">
            <v>G13.0*</v>
          </cell>
          <cell r="B2852" t="str">
            <v>Neuromiopatía y neuropatía paraneoplásica</v>
          </cell>
        </row>
        <row r="2853">
          <cell r="A2853" t="str">
            <v>G13.1*</v>
          </cell>
          <cell r="B2853" t="str">
            <v>Otras atrofias sistémicas que afectan el sistema nervioso central en enfermedad neoplásica</v>
          </cell>
        </row>
        <row r="2854">
          <cell r="A2854" t="str">
            <v>G13.2*</v>
          </cell>
          <cell r="B2854" t="str">
            <v>Atrofia sistémica que afecta primariamente el sistema nervioso central en el mixedema (E00.1+, E03.-+)</v>
          </cell>
        </row>
        <row r="2855">
          <cell r="A2855" t="str">
            <v>G13.8*</v>
          </cell>
          <cell r="B2855" t="str">
            <v>Atrofia sistémica que afecta primariamente el sistema nervioso central en otras enfermedades clasificadas en otra parte</v>
          </cell>
        </row>
        <row r="2856">
          <cell r="A2856" t="str">
            <v>G20.X</v>
          </cell>
          <cell r="B2856" t="str">
            <v>Enfermedad de Parkinson</v>
          </cell>
        </row>
        <row r="2857">
          <cell r="A2857" t="str">
            <v>G21</v>
          </cell>
          <cell r="B2857" t="str">
            <v>Parkinsonismo secundario</v>
          </cell>
        </row>
        <row r="2858">
          <cell r="A2858" t="str">
            <v>G21.0</v>
          </cell>
          <cell r="B2858" t="str">
            <v>Síndrome neuroléptico maligno</v>
          </cell>
        </row>
        <row r="2859">
          <cell r="A2859" t="str">
            <v>G21.1</v>
          </cell>
          <cell r="B2859" t="str">
            <v>Otro parkinsonismo secundario inducido por drogas</v>
          </cell>
        </row>
        <row r="2860">
          <cell r="A2860" t="str">
            <v>G21.2</v>
          </cell>
          <cell r="B2860" t="str">
            <v>Parkinsonismo secundario debido a otros agentes externos</v>
          </cell>
        </row>
        <row r="2861">
          <cell r="A2861" t="str">
            <v>G21.3</v>
          </cell>
          <cell r="B2861" t="str">
            <v>Parkinsonismo postencefalítico</v>
          </cell>
        </row>
        <row r="2862">
          <cell r="A2862" t="str">
            <v>G21.8</v>
          </cell>
          <cell r="B2862" t="str">
            <v>Otros tipos de parkinsonismo secundario</v>
          </cell>
        </row>
        <row r="2863">
          <cell r="A2863" t="str">
            <v>G21.9</v>
          </cell>
          <cell r="B2863" t="str">
            <v>Parkinsonismo secundario, no especificado</v>
          </cell>
        </row>
        <row r="2864">
          <cell r="A2864" t="str">
            <v>G22.X*</v>
          </cell>
          <cell r="B2864" t="str">
            <v>Parkinsonismo en enfermedades clasificadas en otra parte</v>
          </cell>
        </row>
        <row r="2865">
          <cell r="A2865" t="str">
            <v>G23</v>
          </cell>
          <cell r="B2865" t="str">
            <v>Otras enfermedades degenerativas de los núcleos de la base</v>
          </cell>
        </row>
        <row r="2866">
          <cell r="A2866" t="str">
            <v>G23.0</v>
          </cell>
          <cell r="B2866" t="str">
            <v>Enfermedad de Hallervorden Spatz</v>
          </cell>
        </row>
        <row r="2867">
          <cell r="A2867" t="str">
            <v>G23.1</v>
          </cell>
          <cell r="B2867" t="str">
            <v>Oftalmoplejía supranuclear progresiva [Steele Richardson Olszewski]</v>
          </cell>
        </row>
        <row r="2868">
          <cell r="A2868" t="str">
            <v>G23.2</v>
          </cell>
          <cell r="B2868" t="str">
            <v>Degeneración nigroestriada</v>
          </cell>
        </row>
        <row r="2869">
          <cell r="A2869" t="str">
            <v>G23.8</v>
          </cell>
          <cell r="B2869" t="str">
            <v>Otras enfermedades degenerativas específicas de los núcleos de la base</v>
          </cell>
        </row>
        <row r="2870">
          <cell r="A2870" t="str">
            <v>G23.9</v>
          </cell>
          <cell r="B2870" t="str">
            <v>Enfermedad degenerativa de los núcleos de la base, no especificada</v>
          </cell>
        </row>
        <row r="2871">
          <cell r="A2871" t="str">
            <v>G24</v>
          </cell>
          <cell r="B2871" t="str">
            <v>Distonía</v>
          </cell>
        </row>
        <row r="2872">
          <cell r="A2872" t="str">
            <v>G24.0</v>
          </cell>
          <cell r="B2872" t="str">
            <v>Distonía inducida por drogas</v>
          </cell>
        </row>
        <row r="2873">
          <cell r="A2873" t="str">
            <v>G24.1</v>
          </cell>
          <cell r="B2873" t="str">
            <v>Distonía idiopática familiar</v>
          </cell>
        </row>
        <row r="2874">
          <cell r="A2874" t="str">
            <v>G24.2</v>
          </cell>
          <cell r="B2874" t="str">
            <v>Distonía idiopática no familiar</v>
          </cell>
        </row>
        <row r="2875">
          <cell r="A2875" t="str">
            <v>G24.3</v>
          </cell>
          <cell r="B2875" t="str">
            <v>Tortícolis espasmódica</v>
          </cell>
        </row>
        <row r="2876">
          <cell r="A2876" t="str">
            <v>G24.4</v>
          </cell>
          <cell r="B2876" t="str">
            <v>Distonía bucofacial idiopática</v>
          </cell>
        </row>
        <row r="2877">
          <cell r="A2877" t="str">
            <v>G24.5</v>
          </cell>
          <cell r="B2877" t="str">
            <v>Blefarospasmo</v>
          </cell>
        </row>
        <row r="2878">
          <cell r="A2878" t="str">
            <v>G24.8</v>
          </cell>
          <cell r="B2878" t="str">
            <v>Otras distonías</v>
          </cell>
        </row>
        <row r="2879">
          <cell r="A2879" t="str">
            <v>G24.9</v>
          </cell>
          <cell r="B2879" t="str">
            <v>Distonía, no especificada</v>
          </cell>
        </row>
        <row r="2880">
          <cell r="A2880" t="str">
            <v>G25</v>
          </cell>
          <cell r="B2880" t="str">
            <v>Otros trastornos extrapiramidales y del movimiento</v>
          </cell>
        </row>
        <row r="2881">
          <cell r="A2881" t="str">
            <v>G25.0</v>
          </cell>
          <cell r="B2881" t="str">
            <v>Temblor esencial</v>
          </cell>
        </row>
        <row r="2882">
          <cell r="A2882" t="str">
            <v>G25.1</v>
          </cell>
          <cell r="B2882" t="str">
            <v>Temblor inducido por drogas</v>
          </cell>
        </row>
        <row r="2883">
          <cell r="A2883" t="str">
            <v>G25.2</v>
          </cell>
          <cell r="B2883" t="str">
            <v>Otras formas especificadas de temblor</v>
          </cell>
        </row>
        <row r="2884">
          <cell r="A2884" t="str">
            <v>G25.3</v>
          </cell>
          <cell r="B2884" t="str">
            <v>Mioclonía</v>
          </cell>
        </row>
        <row r="2885">
          <cell r="A2885" t="str">
            <v>G25.4</v>
          </cell>
          <cell r="B2885" t="str">
            <v>Corea inducida por drogas</v>
          </cell>
        </row>
        <row r="2886">
          <cell r="A2886" t="str">
            <v>G25.5</v>
          </cell>
          <cell r="B2886" t="str">
            <v>Otras coreas</v>
          </cell>
        </row>
        <row r="2887">
          <cell r="A2887" t="str">
            <v>G25.6</v>
          </cell>
          <cell r="B2887" t="str">
            <v>Tics inducidos por drogas y otros tics de origen orgánico</v>
          </cell>
        </row>
        <row r="2888">
          <cell r="A2888" t="str">
            <v>G25.8</v>
          </cell>
          <cell r="B2888" t="str">
            <v>Otros trastornos extrapiramidales y del movimiento</v>
          </cell>
        </row>
        <row r="2889">
          <cell r="A2889" t="str">
            <v>G25.9</v>
          </cell>
          <cell r="B2889" t="str">
            <v>Trastorno extrapiramidal y del movimiento, no especificado</v>
          </cell>
        </row>
        <row r="2890">
          <cell r="A2890" t="str">
            <v>G26.X</v>
          </cell>
          <cell r="B2890" t="str">
            <v>Trastornos extrapiramidales y del movimiento en enfermedades clasificadas en otra parte</v>
          </cell>
        </row>
        <row r="2891">
          <cell r="A2891" t="str">
            <v>G30</v>
          </cell>
          <cell r="B2891" t="str">
            <v>Enfermedad de Alzheimer</v>
          </cell>
        </row>
        <row r="2892">
          <cell r="A2892" t="str">
            <v>G30.0</v>
          </cell>
          <cell r="B2892" t="str">
            <v>Enfermedad de Alzheimer de comienzo temprano</v>
          </cell>
        </row>
        <row r="2893">
          <cell r="A2893" t="str">
            <v>G30.1</v>
          </cell>
          <cell r="B2893" t="str">
            <v>Enfermedad de Alzheimer de comienzo tardío</v>
          </cell>
        </row>
        <row r="2894">
          <cell r="A2894" t="str">
            <v>G30.8</v>
          </cell>
          <cell r="B2894" t="str">
            <v>Otros tipos de enfermedad de Alzheimer</v>
          </cell>
        </row>
        <row r="2895">
          <cell r="A2895" t="str">
            <v>G30.9</v>
          </cell>
          <cell r="B2895" t="str">
            <v>Enfermedad de Alzheimer, no especificada</v>
          </cell>
        </row>
        <row r="2896">
          <cell r="A2896" t="str">
            <v>G31</v>
          </cell>
          <cell r="B2896" t="str">
            <v>Otras enfermedades degenerativas del sistema nervioso, no clasificadas en otra parte</v>
          </cell>
        </row>
        <row r="2897">
          <cell r="A2897" t="str">
            <v>G31.0</v>
          </cell>
          <cell r="B2897" t="str">
            <v>Atrofia cerebral circunscrita</v>
          </cell>
        </row>
        <row r="2898">
          <cell r="A2898" t="str">
            <v>G31.1</v>
          </cell>
          <cell r="B2898" t="str">
            <v>Degeneración cerebral senil no clasificada en otra parte</v>
          </cell>
        </row>
        <row r="2899">
          <cell r="A2899" t="str">
            <v>G31.2</v>
          </cell>
          <cell r="B2899" t="str">
            <v>Degeneración del sistema nervioso debida al alcohol</v>
          </cell>
        </row>
        <row r="2900">
          <cell r="A2900" t="str">
            <v>G31.8</v>
          </cell>
          <cell r="B2900" t="str">
            <v>Otras enfermedades degenerativas especificadas del sistema nervioso</v>
          </cell>
        </row>
        <row r="2901">
          <cell r="A2901" t="str">
            <v>G31.9</v>
          </cell>
          <cell r="B2901" t="str">
            <v>Degeneración del sistema nervioso, no especificada</v>
          </cell>
        </row>
        <row r="2902">
          <cell r="A2902" t="str">
            <v>G32*</v>
          </cell>
          <cell r="B2902" t="str">
            <v>Otros trastornos degenerativos del sistema nervioso en enfermedades clasificadas en otra parte</v>
          </cell>
        </row>
        <row r="2903">
          <cell r="A2903" t="str">
            <v>G32.0*</v>
          </cell>
          <cell r="B2903" t="str">
            <v>Degeneración combinada subaguda de la médula espinal en enfermedades clasificadas en otra parte</v>
          </cell>
        </row>
        <row r="2904">
          <cell r="A2904" t="str">
            <v>G32.8*</v>
          </cell>
          <cell r="B2904" t="str">
            <v>Otros trastornos degenerativos especificados del sistema nervioso en enfermedades clasificadas en otra parte</v>
          </cell>
        </row>
        <row r="2905">
          <cell r="A2905" t="str">
            <v>G35.X</v>
          </cell>
          <cell r="B2905" t="str">
            <v>Esclerosis múltiple</v>
          </cell>
        </row>
        <row r="2906">
          <cell r="A2906" t="str">
            <v>G36</v>
          </cell>
          <cell r="B2906" t="str">
            <v>Otras desmielinizaciones diseminadas agudas</v>
          </cell>
        </row>
        <row r="2907">
          <cell r="A2907" t="str">
            <v>G36.0</v>
          </cell>
          <cell r="B2907" t="str">
            <v>Neuromielitis óptica [Devic]</v>
          </cell>
        </row>
        <row r="2908">
          <cell r="A2908" t="str">
            <v>G36.1</v>
          </cell>
          <cell r="B2908" t="str">
            <v>Leucoencefalitis hemorrágica aguda y subaguda [Hurst]</v>
          </cell>
        </row>
        <row r="2909">
          <cell r="A2909" t="str">
            <v>G36.8</v>
          </cell>
          <cell r="B2909" t="str">
            <v>Otras desmielinizaciones agudas diseminadas especificadas</v>
          </cell>
        </row>
        <row r="2910">
          <cell r="A2910" t="str">
            <v>G36.9</v>
          </cell>
          <cell r="B2910" t="str">
            <v>Desmielinización diseminada aguda, sin otra especificación</v>
          </cell>
        </row>
        <row r="2911">
          <cell r="A2911" t="str">
            <v>G37</v>
          </cell>
          <cell r="B2911" t="str">
            <v>Otras enfermedades desmielinizantes del sistema nervioso central</v>
          </cell>
        </row>
        <row r="2912">
          <cell r="A2912" t="str">
            <v>G37.0</v>
          </cell>
          <cell r="B2912" t="str">
            <v>Esclerosis difusa</v>
          </cell>
        </row>
        <row r="2913">
          <cell r="A2913" t="str">
            <v>G37.1</v>
          </cell>
          <cell r="B2913" t="str">
            <v>Desmielinización central del cuerpo calloso</v>
          </cell>
        </row>
        <row r="2914">
          <cell r="A2914" t="str">
            <v>G37.2</v>
          </cell>
          <cell r="B2914" t="str">
            <v>Mielinólisis central pontina</v>
          </cell>
        </row>
        <row r="2915">
          <cell r="A2915" t="str">
            <v>G37.3</v>
          </cell>
          <cell r="B2915" t="str">
            <v>Mielitis transversa aguda en enfermedad desmielinizante del sistema nervioso central</v>
          </cell>
        </row>
        <row r="2916">
          <cell r="A2916" t="str">
            <v>G37.4</v>
          </cell>
          <cell r="B2916" t="str">
            <v>Mielitis necrotizante subaguda</v>
          </cell>
        </row>
        <row r="2917">
          <cell r="A2917" t="str">
            <v>G37.5</v>
          </cell>
          <cell r="B2917" t="str">
            <v>Esclerosis concéntrica [Baló]</v>
          </cell>
        </row>
        <row r="2918">
          <cell r="A2918" t="str">
            <v>G37.8</v>
          </cell>
          <cell r="B2918" t="str">
            <v>Otras enfermedades desmielinizantes del sistema nervioso central, especificadas</v>
          </cell>
        </row>
        <row r="2919">
          <cell r="A2919" t="str">
            <v>G37.9</v>
          </cell>
          <cell r="B2919" t="str">
            <v>Enfermedad desmielinizante del sistema nervioso central, no especificada</v>
          </cell>
        </row>
        <row r="2920">
          <cell r="A2920" t="str">
            <v>G40</v>
          </cell>
          <cell r="B2920" t="str">
            <v>Epilepsia</v>
          </cell>
        </row>
        <row r="2921">
          <cell r="A2921" t="str">
            <v>G40.0</v>
          </cell>
          <cell r="B2921" t="str">
            <v>Epilepsia y síndromes epilépticos idiopáticos relacionados con localizaciones (focales) (parciales) y con ataques de inicio localizado</v>
          </cell>
        </row>
        <row r="2922">
          <cell r="A2922" t="str">
            <v>G40.1</v>
          </cell>
          <cell r="B2922" t="str">
            <v>Epilepsia y síndromes epilépticos sintomáticos relacionados con localizaciones (focales) (parciales) y con ataques parciales simples</v>
          </cell>
        </row>
        <row r="2923">
          <cell r="A2923" t="str">
            <v>G40.2</v>
          </cell>
          <cell r="B2923" t="str">
            <v>Epilepsia y síndromes epilépticos sintomáticos relacionados con localizaciones (focales) (parciales) y con ataques parciales complejos</v>
          </cell>
        </row>
        <row r="2924">
          <cell r="A2924" t="str">
            <v>G40.3</v>
          </cell>
          <cell r="B2924" t="str">
            <v>Epilepsia y síndromes epilépticos idiopáticos generalizados</v>
          </cell>
        </row>
        <row r="2925">
          <cell r="A2925" t="str">
            <v>G40.4</v>
          </cell>
          <cell r="B2925" t="str">
            <v>Otras epilepsias y síndromes epilépticos generalizados</v>
          </cell>
        </row>
        <row r="2926">
          <cell r="A2926" t="str">
            <v>G40.5</v>
          </cell>
          <cell r="B2926" t="str">
            <v>Síndromes epilépticos especiales</v>
          </cell>
        </row>
        <row r="2927">
          <cell r="A2927" t="str">
            <v>G40.6</v>
          </cell>
          <cell r="B2927" t="str">
            <v>Ataques de gran mal, no especificados (con o sin pequeño mal)</v>
          </cell>
        </row>
        <row r="2928">
          <cell r="A2928" t="str">
            <v>G40.7</v>
          </cell>
          <cell r="B2928" t="str">
            <v>Pequeño mal, no especificado (sin ataque de gran mal)</v>
          </cell>
        </row>
        <row r="2929">
          <cell r="A2929" t="str">
            <v>G40.8</v>
          </cell>
          <cell r="B2929" t="str">
            <v>Otras epilepsias</v>
          </cell>
        </row>
        <row r="2930">
          <cell r="A2930" t="str">
            <v>G40.9</v>
          </cell>
          <cell r="B2930" t="str">
            <v>Epilepsia, tipo no especificado</v>
          </cell>
        </row>
        <row r="2931">
          <cell r="A2931" t="str">
            <v>G41</v>
          </cell>
          <cell r="B2931" t="str">
            <v>Estado de mal epiléptico</v>
          </cell>
        </row>
        <row r="2932">
          <cell r="A2932" t="str">
            <v>G41.0</v>
          </cell>
          <cell r="B2932" t="str">
            <v>Estado de gran mal epiléptico</v>
          </cell>
        </row>
        <row r="2933">
          <cell r="A2933" t="str">
            <v>G41.1</v>
          </cell>
          <cell r="B2933" t="str">
            <v>Estado de pequeño mal epiléptico</v>
          </cell>
        </row>
        <row r="2934">
          <cell r="A2934" t="str">
            <v>G41.2</v>
          </cell>
          <cell r="B2934" t="str">
            <v>Estado de mal epiléptico parcial complejo</v>
          </cell>
        </row>
        <row r="2935">
          <cell r="A2935" t="str">
            <v>G41.8</v>
          </cell>
          <cell r="B2935" t="str">
            <v>Otros estados epilépticos</v>
          </cell>
        </row>
        <row r="2936">
          <cell r="A2936" t="str">
            <v>G41.9</v>
          </cell>
          <cell r="B2936" t="str">
            <v>Estado de mal epiléptico de tipo no especificado</v>
          </cell>
        </row>
        <row r="2937">
          <cell r="A2937" t="str">
            <v>G43</v>
          </cell>
          <cell r="B2937" t="str">
            <v>Migraña</v>
          </cell>
        </row>
        <row r="2938">
          <cell r="A2938" t="str">
            <v>G43.0</v>
          </cell>
          <cell r="B2938" t="str">
            <v>Migraña sin aura [migraña común]</v>
          </cell>
        </row>
        <row r="2939">
          <cell r="A2939" t="str">
            <v>G43.1</v>
          </cell>
          <cell r="B2939" t="str">
            <v>Migraña con aura [migraña clásica]</v>
          </cell>
        </row>
        <row r="2940">
          <cell r="A2940" t="str">
            <v>G43.2</v>
          </cell>
          <cell r="B2940" t="str">
            <v>Estado migrañoso</v>
          </cell>
        </row>
        <row r="2941">
          <cell r="A2941" t="str">
            <v>G43.3</v>
          </cell>
          <cell r="B2941" t="str">
            <v>Migraña complicada</v>
          </cell>
        </row>
        <row r="2942">
          <cell r="A2942" t="str">
            <v>G43.8</v>
          </cell>
          <cell r="B2942" t="str">
            <v>Otras migrañas</v>
          </cell>
        </row>
        <row r="2943">
          <cell r="A2943" t="str">
            <v>G43.9</v>
          </cell>
          <cell r="B2943" t="str">
            <v>Migraña, no especificada</v>
          </cell>
        </row>
        <row r="2944">
          <cell r="A2944" t="str">
            <v>G44</v>
          </cell>
          <cell r="B2944" t="str">
            <v>Otros síndromes de cefalea</v>
          </cell>
        </row>
        <row r="2945">
          <cell r="A2945" t="str">
            <v>G44.0</v>
          </cell>
          <cell r="B2945" t="str">
            <v>Síndrome de cefalea en racimos</v>
          </cell>
        </row>
        <row r="2946">
          <cell r="A2946" t="str">
            <v>G44.1</v>
          </cell>
          <cell r="B2946" t="str">
            <v>Cefalea vascular, NCOP</v>
          </cell>
        </row>
        <row r="2947">
          <cell r="A2947" t="str">
            <v>G44.2</v>
          </cell>
          <cell r="B2947" t="str">
            <v>Cefalea debida a tensión</v>
          </cell>
        </row>
        <row r="2948">
          <cell r="A2948" t="str">
            <v>G44.3</v>
          </cell>
          <cell r="B2948" t="str">
            <v>Cefalea postraumática crónica</v>
          </cell>
        </row>
        <row r="2949">
          <cell r="A2949" t="str">
            <v>G44.4</v>
          </cell>
          <cell r="B2949" t="str">
            <v>Cefalea inducida por drogas, no clasificada en otra parte</v>
          </cell>
        </row>
        <row r="2950">
          <cell r="A2950" t="str">
            <v>G44.8</v>
          </cell>
          <cell r="B2950" t="str">
            <v>Otros síndromes de cefalea especificados</v>
          </cell>
        </row>
        <row r="2951">
          <cell r="A2951" t="str">
            <v>G45</v>
          </cell>
          <cell r="B2951" t="str">
            <v>Ataques de isquemia cerebral transitoria y síndromes afines</v>
          </cell>
        </row>
        <row r="2952">
          <cell r="A2952" t="str">
            <v>G45.0</v>
          </cell>
          <cell r="B2952" t="str">
            <v>Síndrome arterial vértebro-basilar</v>
          </cell>
        </row>
        <row r="2953">
          <cell r="A2953" t="str">
            <v>G45.1</v>
          </cell>
          <cell r="B2953" t="str">
            <v>Síndrome de la arteria carótida (hemisférico)</v>
          </cell>
        </row>
        <row r="2954">
          <cell r="A2954" t="str">
            <v>G45.2</v>
          </cell>
          <cell r="B2954" t="str">
            <v>Síndromes arteriales precerebrales bilaterales y múltiples</v>
          </cell>
        </row>
        <row r="2955">
          <cell r="A2955" t="str">
            <v>G45.3</v>
          </cell>
          <cell r="B2955" t="str">
            <v>Amaurosis fugaz</v>
          </cell>
        </row>
        <row r="2956">
          <cell r="A2956" t="str">
            <v>G45.4</v>
          </cell>
          <cell r="B2956" t="str">
            <v>Amnesia global transitoria</v>
          </cell>
        </row>
        <row r="2957">
          <cell r="A2957" t="str">
            <v>G45.8</v>
          </cell>
          <cell r="B2957" t="str">
            <v>Otras isquemias cerebrales transitorias y síndromes afines</v>
          </cell>
        </row>
        <row r="2958">
          <cell r="A2958" t="str">
            <v>G45.9</v>
          </cell>
          <cell r="B2958" t="str">
            <v>Isquemia cerebral transitoria, sin otra especificación</v>
          </cell>
        </row>
        <row r="2959">
          <cell r="A2959" t="str">
            <v>G46*</v>
          </cell>
          <cell r="B2959" t="str">
            <v>Síndromes vasculares encefálicos en enfermedades cerebrovasculares (I60 I67+)</v>
          </cell>
        </row>
        <row r="2960">
          <cell r="A2960" t="str">
            <v>G46.0*</v>
          </cell>
          <cell r="B2960" t="str">
            <v>Síndrome de la arteria cerebral media (I66.0+)</v>
          </cell>
        </row>
        <row r="2961">
          <cell r="A2961" t="str">
            <v>G46.1*</v>
          </cell>
          <cell r="B2961" t="str">
            <v>Síndrome de la arteria cerebral anterior (I66.1+)</v>
          </cell>
        </row>
        <row r="2962">
          <cell r="A2962" t="str">
            <v>G46.2*</v>
          </cell>
          <cell r="B2962" t="str">
            <v>Síndrome de la arteria cerebral posterior (I66.2+)</v>
          </cell>
        </row>
        <row r="2963">
          <cell r="A2963" t="str">
            <v>G46.3*</v>
          </cell>
          <cell r="B2963" t="str">
            <v>Síndromes apopléticos del tallo encefálico (I60-I67+)</v>
          </cell>
        </row>
        <row r="2964">
          <cell r="A2964" t="str">
            <v>G46.4*</v>
          </cell>
          <cell r="B2964" t="str">
            <v>Síndrome de infarto cerebeloso (I60 I67+)</v>
          </cell>
        </row>
        <row r="2965">
          <cell r="A2965" t="str">
            <v>G46.5*</v>
          </cell>
          <cell r="B2965" t="str">
            <v>Síndrome lacunar motor puro (I60 I67+)</v>
          </cell>
        </row>
        <row r="2966">
          <cell r="A2966" t="str">
            <v>G46.6*</v>
          </cell>
          <cell r="B2966" t="str">
            <v>Síndrome lacunar sensorial puro (I60 I67+)</v>
          </cell>
        </row>
        <row r="2967">
          <cell r="A2967" t="str">
            <v>G46.7*</v>
          </cell>
          <cell r="B2967" t="str">
            <v>Otros síndromes lacunares (I60 I67+)</v>
          </cell>
        </row>
        <row r="2968">
          <cell r="A2968" t="str">
            <v>G46.8*</v>
          </cell>
          <cell r="B2968" t="str">
            <v>Otros síndromes vasculares encefálicos en enfermedades cerebrovasculares (I60 I67+)</v>
          </cell>
        </row>
        <row r="2969">
          <cell r="A2969" t="str">
            <v>G47</v>
          </cell>
          <cell r="B2969" t="str">
            <v>Trastornos del sueño</v>
          </cell>
        </row>
        <row r="2970">
          <cell r="A2970" t="str">
            <v>G47.0</v>
          </cell>
          <cell r="B2970" t="str">
            <v>Trastornos del inicio y del mantenimiento del sueño [insomnios]</v>
          </cell>
        </row>
        <row r="2971">
          <cell r="A2971" t="str">
            <v>G47.1</v>
          </cell>
          <cell r="B2971" t="str">
            <v>Trastornos de somnolencia excesiva [hipersomnios]</v>
          </cell>
        </row>
        <row r="2972">
          <cell r="A2972" t="str">
            <v>G47.2</v>
          </cell>
          <cell r="B2972" t="str">
            <v>Trastornos del ritmo nictameral</v>
          </cell>
        </row>
        <row r="2973">
          <cell r="A2973" t="str">
            <v>G47.3</v>
          </cell>
          <cell r="B2973" t="str">
            <v>Apnea del sueño</v>
          </cell>
        </row>
        <row r="2974">
          <cell r="A2974" t="str">
            <v>G47.4</v>
          </cell>
          <cell r="B2974" t="str">
            <v>Narcolepsia y cataplexia</v>
          </cell>
        </row>
        <row r="2975">
          <cell r="A2975" t="str">
            <v>G47.8</v>
          </cell>
          <cell r="B2975" t="str">
            <v>Otros trastornos del sueño</v>
          </cell>
        </row>
        <row r="2976">
          <cell r="A2976" t="str">
            <v>G47.9</v>
          </cell>
          <cell r="B2976" t="str">
            <v>Trastorno del sueño, no especificado</v>
          </cell>
        </row>
        <row r="2977">
          <cell r="A2977" t="str">
            <v>G50</v>
          </cell>
          <cell r="B2977" t="str">
            <v>Trastornos del nervio trigémino</v>
          </cell>
        </row>
        <row r="2978">
          <cell r="A2978" t="str">
            <v>G50.0</v>
          </cell>
          <cell r="B2978" t="str">
            <v>Neuralgia del trigémino</v>
          </cell>
        </row>
        <row r="2979">
          <cell r="A2979" t="str">
            <v>G50.1</v>
          </cell>
          <cell r="B2979" t="str">
            <v>Dolor facial atípico</v>
          </cell>
        </row>
        <row r="2980">
          <cell r="A2980" t="str">
            <v>G50.8</v>
          </cell>
          <cell r="B2980" t="str">
            <v>Otros trastornos del trigémino</v>
          </cell>
        </row>
        <row r="2981">
          <cell r="A2981" t="str">
            <v>G50.9</v>
          </cell>
          <cell r="B2981" t="str">
            <v>Trastorno del trigémino, no especificado</v>
          </cell>
        </row>
        <row r="2982">
          <cell r="A2982" t="str">
            <v>G51</v>
          </cell>
          <cell r="B2982" t="str">
            <v>Trastornos del nervio facial</v>
          </cell>
        </row>
        <row r="2983">
          <cell r="A2983" t="str">
            <v>G51.0</v>
          </cell>
          <cell r="B2983" t="str">
            <v>Parálisis de Bell</v>
          </cell>
        </row>
        <row r="2984">
          <cell r="A2984" t="str">
            <v>G51.1</v>
          </cell>
          <cell r="B2984" t="str">
            <v>Ganglionitis geniculada</v>
          </cell>
        </row>
        <row r="2985">
          <cell r="A2985" t="str">
            <v>G51.2</v>
          </cell>
          <cell r="B2985" t="str">
            <v>Síndrome de Melkersson</v>
          </cell>
        </row>
        <row r="2986">
          <cell r="A2986" t="str">
            <v>G51.3</v>
          </cell>
          <cell r="B2986" t="str">
            <v>Espasmo hemifacial clónico</v>
          </cell>
        </row>
        <row r="2987">
          <cell r="A2987" t="str">
            <v>G51.4</v>
          </cell>
          <cell r="B2987" t="str">
            <v>Mioquimia facial</v>
          </cell>
        </row>
        <row r="2988">
          <cell r="A2988" t="str">
            <v>G51.8</v>
          </cell>
          <cell r="B2988" t="str">
            <v>Otros trastornos del nervio facial</v>
          </cell>
        </row>
        <row r="2989">
          <cell r="A2989" t="str">
            <v>G51.9</v>
          </cell>
          <cell r="B2989" t="str">
            <v>Trastorno del nervio facial, no especificado</v>
          </cell>
        </row>
        <row r="2990">
          <cell r="A2990" t="str">
            <v>G52</v>
          </cell>
          <cell r="B2990" t="str">
            <v>Trastornos de otros nervios craneales</v>
          </cell>
        </row>
        <row r="2991">
          <cell r="A2991" t="str">
            <v>G52.0</v>
          </cell>
          <cell r="B2991" t="str">
            <v>Trastornos del nervio olfatorio</v>
          </cell>
        </row>
        <row r="2992">
          <cell r="A2992" t="str">
            <v>G52.1</v>
          </cell>
          <cell r="B2992" t="str">
            <v>Trastornos del nervio glosofaríngeo</v>
          </cell>
        </row>
        <row r="2993">
          <cell r="A2993" t="str">
            <v>G52.2</v>
          </cell>
          <cell r="B2993" t="str">
            <v>Trastornos del nervio vago</v>
          </cell>
        </row>
        <row r="2994">
          <cell r="A2994" t="str">
            <v>G52.3</v>
          </cell>
          <cell r="B2994" t="str">
            <v>Trastornos del nervio hipogloso</v>
          </cell>
        </row>
        <row r="2995">
          <cell r="A2995" t="str">
            <v>G52.7</v>
          </cell>
          <cell r="B2995" t="str">
            <v>Trastornos de múltiples nervios craneales</v>
          </cell>
        </row>
        <row r="2996">
          <cell r="A2996" t="str">
            <v>G52.8</v>
          </cell>
          <cell r="B2996" t="str">
            <v>Trastornos de otros nervios craneales especificados</v>
          </cell>
        </row>
        <row r="2997">
          <cell r="A2997" t="str">
            <v>G52.9</v>
          </cell>
          <cell r="B2997" t="str">
            <v>Trastorno de nervio craneal, no especificado</v>
          </cell>
        </row>
        <row r="2998">
          <cell r="A2998" t="str">
            <v>G53*</v>
          </cell>
          <cell r="B2998" t="str">
            <v>Trastornos de los nervios craneales en enfermedades clasificadas en otra parte</v>
          </cell>
        </row>
        <row r="2999">
          <cell r="A2999" t="str">
            <v>G53.0*</v>
          </cell>
          <cell r="B2999" t="str">
            <v>Neuralgia postherpes zoster (B02.2+)</v>
          </cell>
        </row>
        <row r="3000">
          <cell r="A3000" t="str">
            <v>G53.1*</v>
          </cell>
          <cell r="B3000" t="str">
            <v>Parálisis múltiple de los nervios craneales en enfermedades infecciosas y parasitarias clasificadas en otra parte (A00 B99+)</v>
          </cell>
        </row>
        <row r="3001">
          <cell r="A3001" t="str">
            <v>G53.2*</v>
          </cell>
          <cell r="B3001" t="str">
            <v>Parálisis múltiple de los nervios craneales, en la sarcoidosis (D86.8+)</v>
          </cell>
        </row>
        <row r="3002">
          <cell r="A3002" t="str">
            <v>G53.3*</v>
          </cell>
          <cell r="B3002" t="str">
            <v>Parálisis múltiple de los nervios craneales, en enfermedades neoplásicas (C00 D48+)</v>
          </cell>
        </row>
        <row r="3003">
          <cell r="A3003" t="str">
            <v>G53.8*</v>
          </cell>
          <cell r="B3003" t="str">
            <v>Otros trastornos de los nervios craneales en otras enfermedades clasificadas en otra parte</v>
          </cell>
        </row>
        <row r="3004">
          <cell r="A3004" t="str">
            <v>G54</v>
          </cell>
          <cell r="B3004" t="str">
            <v>Trastornos de las raíces y de los plexos nerviosos</v>
          </cell>
        </row>
        <row r="3005">
          <cell r="A3005" t="str">
            <v>G54.0</v>
          </cell>
          <cell r="B3005" t="str">
            <v>Trastornos del plexo braquial</v>
          </cell>
        </row>
        <row r="3006">
          <cell r="A3006" t="str">
            <v>G54.1</v>
          </cell>
          <cell r="B3006" t="str">
            <v>Trastornos del plexo lumbosacro</v>
          </cell>
        </row>
        <row r="3007">
          <cell r="A3007" t="str">
            <v>G54.2</v>
          </cell>
          <cell r="B3007" t="str">
            <v>Trastornos de la raíz cervical, no clasificados en otra parte</v>
          </cell>
        </row>
        <row r="3008">
          <cell r="A3008" t="str">
            <v>G54.3</v>
          </cell>
          <cell r="B3008" t="str">
            <v>Trastornos de la raíz torácica, no clasificados en otra parte</v>
          </cell>
        </row>
        <row r="3009">
          <cell r="A3009" t="str">
            <v>G54.4</v>
          </cell>
          <cell r="B3009" t="str">
            <v>Trastornos de la raíz lumbosacra, no clasificados en otra parte</v>
          </cell>
        </row>
        <row r="3010">
          <cell r="A3010" t="str">
            <v>G54.5</v>
          </cell>
          <cell r="B3010" t="str">
            <v>Amiotrofia neurálgica</v>
          </cell>
        </row>
        <row r="3011">
          <cell r="A3011" t="str">
            <v>G54.6</v>
          </cell>
          <cell r="B3011" t="str">
            <v>Síndrome del miembro fantasma con dolor</v>
          </cell>
        </row>
        <row r="3012">
          <cell r="A3012" t="str">
            <v>G54.7</v>
          </cell>
          <cell r="B3012" t="str">
            <v>Síndrome del miembro fantasma sin dolor</v>
          </cell>
        </row>
        <row r="3013">
          <cell r="A3013" t="str">
            <v>G54.8</v>
          </cell>
          <cell r="B3013" t="str">
            <v>Otros trastornos de las raíces y plexos nerviosos</v>
          </cell>
        </row>
        <row r="3014">
          <cell r="A3014" t="str">
            <v>G54.9</v>
          </cell>
          <cell r="B3014" t="str">
            <v>Trastorno de la raíz y plexos nerviosos, no especificado</v>
          </cell>
        </row>
        <row r="3015">
          <cell r="A3015" t="str">
            <v>G55*</v>
          </cell>
          <cell r="B3015" t="str">
            <v>Compresiones de las raíces y de los plexos nerviosos en enfermedades clasificadas en otra parte</v>
          </cell>
        </row>
        <row r="3016">
          <cell r="A3016" t="str">
            <v>G55.0*</v>
          </cell>
          <cell r="B3016" t="str">
            <v>Compresiones de las raíces y plexos nerviosos en enfermedades neoplásicas (C00-D48+)</v>
          </cell>
        </row>
        <row r="3017">
          <cell r="A3017" t="str">
            <v>G55.1*</v>
          </cell>
          <cell r="B3017" t="str">
            <v>Compresiones de las raíces y plexos nerviosos en trastornos de los discos intervertebrales (M50-M51+)</v>
          </cell>
        </row>
        <row r="3018">
          <cell r="A3018" t="str">
            <v>G55.2*</v>
          </cell>
          <cell r="B3018" t="str">
            <v>Compresiones de las raíces y plexos nerviosos en la espondilosis (M47. +)</v>
          </cell>
        </row>
        <row r="3019">
          <cell r="A3019" t="str">
            <v>G55.3*</v>
          </cell>
          <cell r="B3019" t="str">
            <v>Compresiones de las raíces y plexos nerviosos en otras dorsopatías (M45-M46+, M48.-+, M53-M54+)</v>
          </cell>
        </row>
        <row r="3020">
          <cell r="A3020" t="str">
            <v>G55.8*</v>
          </cell>
          <cell r="B3020" t="str">
            <v>Compresiones de las raíces y plexos nerviosos en otras enfermedades clasificadas en otra parte</v>
          </cell>
        </row>
        <row r="3021">
          <cell r="A3021" t="str">
            <v>G56</v>
          </cell>
          <cell r="B3021" t="str">
            <v>Mononeuropatías del miembro superior</v>
          </cell>
        </row>
        <row r="3022">
          <cell r="A3022" t="str">
            <v>G56.0</v>
          </cell>
          <cell r="B3022" t="str">
            <v>Síndrome del túnel carpiano</v>
          </cell>
        </row>
        <row r="3023">
          <cell r="A3023" t="str">
            <v>G56.1</v>
          </cell>
          <cell r="B3023" t="str">
            <v>Otras lesiones del nervio mediano</v>
          </cell>
        </row>
        <row r="3024">
          <cell r="A3024" t="str">
            <v>G56.2</v>
          </cell>
          <cell r="B3024" t="str">
            <v>Lesión del nervio cubital</v>
          </cell>
        </row>
        <row r="3025">
          <cell r="A3025" t="str">
            <v>G56.3</v>
          </cell>
          <cell r="B3025" t="str">
            <v>Lesión del nervio radial</v>
          </cell>
        </row>
        <row r="3026">
          <cell r="A3026" t="str">
            <v>G56.4</v>
          </cell>
          <cell r="B3026" t="str">
            <v>Causalgia</v>
          </cell>
        </row>
        <row r="3027">
          <cell r="A3027" t="str">
            <v>G56.8</v>
          </cell>
          <cell r="B3027" t="str">
            <v>Otras mononeuropatías del miembro superior</v>
          </cell>
        </row>
        <row r="3028">
          <cell r="A3028" t="str">
            <v>G56.9</v>
          </cell>
          <cell r="B3028" t="str">
            <v>Mononeuropatía del miembro superior, sin otra especificación</v>
          </cell>
        </row>
        <row r="3029">
          <cell r="A3029" t="str">
            <v>G57</v>
          </cell>
          <cell r="B3029" t="str">
            <v>Mononeuropatías del miembro inferior</v>
          </cell>
        </row>
        <row r="3030">
          <cell r="A3030" t="str">
            <v>G57.0</v>
          </cell>
          <cell r="B3030" t="str">
            <v>Lesión del nervio ciático</v>
          </cell>
        </row>
        <row r="3031">
          <cell r="A3031" t="str">
            <v>G57.1</v>
          </cell>
          <cell r="B3031" t="str">
            <v>Meralgia parestésica</v>
          </cell>
        </row>
        <row r="3032">
          <cell r="A3032" t="str">
            <v>G57.2</v>
          </cell>
          <cell r="B3032" t="str">
            <v>Lesión del nervio crural</v>
          </cell>
        </row>
        <row r="3033">
          <cell r="A3033" t="str">
            <v>G57.3</v>
          </cell>
          <cell r="B3033" t="str">
            <v>Lesión del nervio ciático poplíteo externo</v>
          </cell>
        </row>
        <row r="3034">
          <cell r="A3034" t="str">
            <v>G57.4</v>
          </cell>
          <cell r="B3034" t="str">
            <v>Lesión del nervio ciático poplíteo interno</v>
          </cell>
        </row>
        <row r="3035">
          <cell r="A3035" t="str">
            <v>G57.5</v>
          </cell>
          <cell r="B3035" t="str">
            <v>Síndrome del túnel calcáneo</v>
          </cell>
        </row>
        <row r="3036">
          <cell r="A3036" t="str">
            <v>G57.6</v>
          </cell>
          <cell r="B3036" t="str">
            <v>Lesión del nervio plantar</v>
          </cell>
        </row>
        <row r="3037">
          <cell r="A3037" t="str">
            <v>G57.8</v>
          </cell>
          <cell r="B3037" t="str">
            <v>Otras mononeuropatías del miembro inferior</v>
          </cell>
        </row>
        <row r="3038">
          <cell r="A3038" t="str">
            <v>G57.9</v>
          </cell>
          <cell r="B3038" t="str">
            <v>Mononeuropatía del miembro inferior, sin otra especificación</v>
          </cell>
        </row>
        <row r="3039">
          <cell r="A3039" t="str">
            <v>G58</v>
          </cell>
          <cell r="B3039" t="str">
            <v>Otras mononeuropatías</v>
          </cell>
        </row>
        <row r="3040">
          <cell r="A3040" t="str">
            <v>G58.0</v>
          </cell>
          <cell r="B3040" t="str">
            <v>Neuropatía intercostal</v>
          </cell>
        </row>
        <row r="3041">
          <cell r="A3041" t="str">
            <v>G58.7</v>
          </cell>
          <cell r="B3041" t="str">
            <v>Mononeuritis múltiple</v>
          </cell>
        </row>
        <row r="3042">
          <cell r="A3042" t="str">
            <v>G58.8</v>
          </cell>
          <cell r="B3042" t="str">
            <v>Otras mononeuropatías especificadas</v>
          </cell>
        </row>
        <row r="3043">
          <cell r="A3043" t="str">
            <v>G58.9</v>
          </cell>
          <cell r="B3043" t="str">
            <v>Mononeuropatía, no especificada</v>
          </cell>
        </row>
        <row r="3044">
          <cell r="A3044" t="str">
            <v>G59*</v>
          </cell>
          <cell r="B3044" t="str">
            <v>Mononeuropatía en enfermedades clasificadas en otra parte</v>
          </cell>
        </row>
        <row r="3045">
          <cell r="A3045" t="str">
            <v>G59.0*</v>
          </cell>
          <cell r="B3045" t="str">
            <v>Mononeuropatía diabética (E10 E14  con cuarto carácter común .4)</v>
          </cell>
        </row>
        <row r="3046">
          <cell r="A3046" t="str">
            <v>G59.8*</v>
          </cell>
          <cell r="B3046" t="str">
            <v>Otras mononeuropatías en enfermedades clasificadas en otra parte</v>
          </cell>
        </row>
        <row r="3047">
          <cell r="A3047" t="str">
            <v>G60</v>
          </cell>
          <cell r="B3047" t="str">
            <v>Neuropatía hereditaria e idiopática</v>
          </cell>
        </row>
        <row r="3048">
          <cell r="A3048" t="str">
            <v>G60.0</v>
          </cell>
          <cell r="B3048" t="str">
            <v>Neuropatía hereditaria motora y sensorial</v>
          </cell>
        </row>
        <row r="3049">
          <cell r="A3049" t="str">
            <v>G60.1</v>
          </cell>
          <cell r="B3049" t="str">
            <v>Enfermedad de Refsum</v>
          </cell>
        </row>
        <row r="3050">
          <cell r="A3050" t="str">
            <v>G60.2</v>
          </cell>
          <cell r="B3050" t="str">
            <v>Neuropatía asociada con ataxia hereditaria</v>
          </cell>
        </row>
        <row r="3051">
          <cell r="A3051" t="str">
            <v>G60.3</v>
          </cell>
          <cell r="B3051" t="str">
            <v>Neuropatía progresiva idiopática</v>
          </cell>
        </row>
        <row r="3052">
          <cell r="A3052" t="str">
            <v>G60.8</v>
          </cell>
          <cell r="B3052" t="str">
            <v>Otras neuropatías hereditarias e idiopáticas</v>
          </cell>
        </row>
        <row r="3053">
          <cell r="A3053" t="str">
            <v>G60.9</v>
          </cell>
          <cell r="B3053" t="str">
            <v>Neuropatía hereditaria e idiopática, sin otra especificación</v>
          </cell>
        </row>
        <row r="3054">
          <cell r="A3054" t="str">
            <v>G61</v>
          </cell>
          <cell r="B3054" t="str">
            <v>Polineuropatía inflamatoria</v>
          </cell>
        </row>
        <row r="3055">
          <cell r="A3055" t="str">
            <v>G61.0</v>
          </cell>
          <cell r="B3055" t="str">
            <v>Síndrome de Guillain Barré</v>
          </cell>
        </row>
        <row r="3056">
          <cell r="A3056" t="str">
            <v>G61.1</v>
          </cell>
          <cell r="B3056" t="str">
            <v>Neuropatía al suero</v>
          </cell>
        </row>
        <row r="3057">
          <cell r="A3057" t="str">
            <v>G61.8</v>
          </cell>
          <cell r="B3057" t="str">
            <v>Otras polineuropatías inflamatorias</v>
          </cell>
        </row>
        <row r="3058">
          <cell r="A3058" t="str">
            <v>G61.9</v>
          </cell>
          <cell r="B3058" t="str">
            <v>Polineuropatía inflamatoria, no especificada</v>
          </cell>
        </row>
        <row r="3059">
          <cell r="A3059" t="str">
            <v>G62</v>
          </cell>
          <cell r="B3059" t="str">
            <v>Otras polineuropatías</v>
          </cell>
        </row>
        <row r="3060">
          <cell r="A3060" t="str">
            <v>G62.0</v>
          </cell>
          <cell r="B3060" t="str">
            <v>Polineuropatía inducida por drogas</v>
          </cell>
        </row>
        <row r="3061">
          <cell r="A3061" t="str">
            <v>G62.1</v>
          </cell>
          <cell r="B3061" t="str">
            <v>Polineuropatía alcohólica</v>
          </cell>
        </row>
        <row r="3062">
          <cell r="A3062" t="str">
            <v>G62.2</v>
          </cell>
          <cell r="B3062" t="str">
            <v>Polineuropatía debida a otro agente tóxico</v>
          </cell>
        </row>
        <row r="3063">
          <cell r="A3063" t="str">
            <v>G62.8</v>
          </cell>
          <cell r="B3063" t="str">
            <v>Otras polineuropatías especificadas</v>
          </cell>
        </row>
        <row r="3064">
          <cell r="A3064" t="str">
            <v>G62.9</v>
          </cell>
          <cell r="B3064" t="str">
            <v>Polineuropatía, no especificada</v>
          </cell>
        </row>
        <row r="3065">
          <cell r="A3065" t="str">
            <v>G63*</v>
          </cell>
          <cell r="B3065" t="str">
            <v>Polineuropatías en enfermedades clasificadas en otra parte</v>
          </cell>
        </row>
        <row r="3066">
          <cell r="A3066" t="str">
            <v>G63.0*</v>
          </cell>
          <cell r="B3066" t="str">
            <v>Polineuropatía en enfermedades infecciosas y parasitarias clasificadas en otra parte</v>
          </cell>
        </row>
        <row r="3067">
          <cell r="A3067" t="str">
            <v>G63.1*</v>
          </cell>
          <cell r="B3067" t="str">
            <v>Polineuropatía en enfermedad neoplásica (C00-D48+)</v>
          </cell>
        </row>
        <row r="3068">
          <cell r="A3068" t="str">
            <v>G63.2*</v>
          </cell>
          <cell r="B3068" t="str">
            <v>Polineuropatía diabética (E10-E14+ con cuarto carácter común .4)</v>
          </cell>
        </row>
        <row r="3069">
          <cell r="A3069" t="str">
            <v>G63.3*</v>
          </cell>
          <cell r="B3069" t="str">
            <v>Polineuropatía en otras enfermedades endocrinas y metabólicas (E00-E07+, E15-E16+, E20-E34+, E70-E89+)</v>
          </cell>
        </row>
        <row r="3070">
          <cell r="A3070" t="str">
            <v>G63.4*</v>
          </cell>
          <cell r="B3070" t="str">
            <v>Polineuropatía en deficiencia nutricional (E40-E64+)</v>
          </cell>
        </row>
        <row r="3071">
          <cell r="A3071" t="str">
            <v>G63.5*</v>
          </cell>
          <cell r="B3071" t="str">
            <v>Polineuropatía en trastornos del tejido conectivo sistémico (M30-M35+)</v>
          </cell>
        </row>
        <row r="3072">
          <cell r="A3072" t="str">
            <v>G63.6*</v>
          </cell>
          <cell r="B3072" t="str">
            <v>Polineuropatía en otros trastornos osteomusculares (M00-M25+, M40-M96+)</v>
          </cell>
        </row>
        <row r="3073">
          <cell r="A3073" t="str">
            <v>G63.8*</v>
          </cell>
          <cell r="B3073" t="str">
            <v>Polineuropatía en otras enfermedades clasificadas en otra parte</v>
          </cell>
        </row>
        <row r="3074">
          <cell r="A3074" t="str">
            <v>G64.X</v>
          </cell>
          <cell r="B3074" t="str">
            <v>Otros trastornos del sistema nervioso periférico</v>
          </cell>
        </row>
        <row r="3075">
          <cell r="A3075" t="str">
            <v>G70</v>
          </cell>
          <cell r="B3075" t="str">
            <v>Miastenia gravis y otros trastornos neuromusculares</v>
          </cell>
        </row>
        <row r="3076">
          <cell r="A3076" t="str">
            <v>G70.0</v>
          </cell>
          <cell r="B3076" t="str">
            <v>Miastenia gravis</v>
          </cell>
        </row>
        <row r="3077">
          <cell r="A3077" t="str">
            <v>G70.1</v>
          </cell>
          <cell r="B3077" t="str">
            <v>Trastornos tóxicos neuromusculares</v>
          </cell>
        </row>
        <row r="3078">
          <cell r="A3078" t="str">
            <v>G70.2</v>
          </cell>
          <cell r="B3078" t="str">
            <v>Miastenia congénita o del desarrollo</v>
          </cell>
        </row>
        <row r="3079">
          <cell r="A3079" t="str">
            <v>G70.8</v>
          </cell>
          <cell r="B3079" t="str">
            <v>Otros trastornos neuromusculares especificados</v>
          </cell>
        </row>
        <row r="3080">
          <cell r="A3080" t="str">
            <v>G70.9</v>
          </cell>
          <cell r="B3080" t="str">
            <v>Trastorno neuromuscular, no especificado</v>
          </cell>
        </row>
        <row r="3081">
          <cell r="A3081" t="str">
            <v>G71</v>
          </cell>
          <cell r="B3081" t="str">
            <v>Trastornos musculares primarios</v>
          </cell>
        </row>
        <row r="3082">
          <cell r="A3082" t="str">
            <v>G71.0</v>
          </cell>
          <cell r="B3082" t="str">
            <v>Distrofia muscular</v>
          </cell>
        </row>
        <row r="3083">
          <cell r="A3083" t="str">
            <v>G71.1</v>
          </cell>
          <cell r="B3083" t="str">
            <v>Trastornos miotónicos</v>
          </cell>
        </row>
        <row r="3084">
          <cell r="A3084" t="str">
            <v>G71.2</v>
          </cell>
          <cell r="B3084" t="str">
            <v>Miopatías congénitas</v>
          </cell>
        </row>
        <row r="3085">
          <cell r="A3085" t="str">
            <v>G71.3</v>
          </cell>
          <cell r="B3085" t="str">
            <v>Miopatía mitocóndrica, no clasificada en otra parte</v>
          </cell>
        </row>
        <row r="3086">
          <cell r="A3086" t="str">
            <v>G71.8</v>
          </cell>
          <cell r="B3086" t="str">
            <v>Otros trastornos primarios de los músculos</v>
          </cell>
        </row>
        <row r="3087">
          <cell r="A3087" t="str">
            <v>G71.9</v>
          </cell>
          <cell r="B3087" t="str">
            <v>Trastorno primario del músculo, tipo no especificado</v>
          </cell>
        </row>
        <row r="3088">
          <cell r="A3088" t="str">
            <v>G72</v>
          </cell>
          <cell r="B3088" t="str">
            <v>Otras miopatías</v>
          </cell>
        </row>
        <row r="3089">
          <cell r="A3089" t="str">
            <v>G72.0</v>
          </cell>
          <cell r="B3089" t="str">
            <v>Miopatía inducida por drogas</v>
          </cell>
        </row>
        <row r="3090">
          <cell r="A3090" t="str">
            <v>G72.1</v>
          </cell>
          <cell r="B3090" t="str">
            <v>Miopatía alcohólica</v>
          </cell>
        </row>
        <row r="3091">
          <cell r="A3091" t="str">
            <v>G72.2</v>
          </cell>
          <cell r="B3091" t="str">
            <v>Miopatía debida a otros agentes tóxicos</v>
          </cell>
        </row>
        <row r="3092">
          <cell r="A3092" t="str">
            <v>G72.3</v>
          </cell>
          <cell r="B3092" t="str">
            <v>Parálisis periódica</v>
          </cell>
        </row>
        <row r="3093">
          <cell r="A3093" t="str">
            <v>G72.4</v>
          </cell>
          <cell r="B3093" t="str">
            <v>Miopatía inflamatoria, no clasificada en otra parte</v>
          </cell>
        </row>
        <row r="3094">
          <cell r="A3094" t="str">
            <v>G72.8</v>
          </cell>
          <cell r="B3094" t="str">
            <v>Otras miopatías especificadas</v>
          </cell>
        </row>
        <row r="3095">
          <cell r="A3095" t="str">
            <v>G72.9</v>
          </cell>
          <cell r="B3095" t="str">
            <v>Miopatía, no especificada</v>
          </cell>
        </row>
        <row r="3096">
          <cell r="A3096" t="str">
            <v>G73*</v>
          </cell>
          <cell r="B3096" t="str">
            <v>Trastornos del músculo y de la unión neuromuscular en enfermedades clasificadas en otra parte</v>
          </cell>
        </row>
        <row r="3097">
          <cell r="A3097" t="str">
            <v>G73.0*</v>
          </cell>
          <cell r="B3097" t="str">
            <v>Síndromes miasténicos en enfermedades endocrinas</v>
          </cell>
        </row>
        <row r="3098">
          <cell r="A3098" t="str">
            <v>G73.1*</v>
          </cell>
          <cell r="B3098" t="str">
            <v>Síndrome de Eaton Lambert (C80+)</v>
          </cell>
        </row>
        <row r="3099">
          <cell r="A3099" t="str">
            <v>G73.2*</v>
          </cell>
          <cell r="B3099" t="str">
            <v>Otros síndromes miasténicos en enfermedad neoplásica (C00-D48+)</v>
          </cell>
        </row>
        <row r="3100">
          <cell r="A3100" t="str">
            <v>G73.3*</v>
          </cell>
          <cell r="B3100" t="str">
            <v>Síndromes miasténicos en otras enfermedades clasificadas en otra parte</v>
          </cell>
        </row>
        <row r="3101">
          <cell r="A3101" t="str">
            <v>G73.4*</v>
          </cell>
          <cell r="B3101" t="str">
            <v>Miopatía en enfermedades infecciosas y parasitarias clasificadas en otra parte</v>
          </cell>
        </row>
        <row r="3102">
          <cell r="A3102" t="str">
            <v>G73.5*</v>
          </cell>
          <cell r="B3102" t="str">
            <v>Miopatía en enfermedades endocrinas</v>
          </cell>
        </row>
        <row r="3103">
          <cell r="A3103" t="str">
            <v>G73.6*</v>
          </cell>
          <cell r="B3103" t="str">
            <v>Miopatía en enfermedades metabólicas</v>
          </cell>
        </row>
        <row r="3104">
          <cell r="A3104" t="str">
            <v>G73.7*</v>
          </cell>
          <cell r="B3104" t="str">
            <v>Miopatía en otras enfermedades clasificadas en otra parte</v>
          </cell>
        </row>
        <row r="3105">
          <cell r="A3105" t="str">
            <v>G80</v>
          </cell>
          <cell r="B3105" t="str">
            <v>Parálisis cerebral infantil</v>
          </cell>
        </row>
        <row r="3106">
          <cell r="A3106" t="str">
            <v>G80.0</v>
          </cell>
          <cell r="B3106" t="str">
            <v>Parálisis cerebral espástica</v>
          </cell>
        </row>
        <row r="3107">
          <cell r="A3107" t="str">
            <v>G80.1</v>
          </cell>
          <cell r="B3107" t="str">
            <v>Diplejía espástica</v>
          </cell>
        </row>
        <row r="3108">
          <cell r="A3108" t="str">
            <v>G80.2</v>
          </cell>
          <cell r="B3108" t="str">
            <v>Hemiplejía infantil</v>
          </cell>
        </row>
        <row r="3109">
          <cell r="A3109" t="str">
            <v>G80.3</v>
          </cell>
          <cell r="B3109" t="str">
            <v>Parálisis cerebral discinética</v>
          </cell>
        </row>
        <row r="3110">
          <cell r="A3110" t="str">
            <v>G80.4</v>
          </cell>
          <cell r="B3110" t="str">
            <v>Parálisis cerebral atáxica</v>
          </cell>
        </row>
        <row r="3111">
          <cell r="A3111" t="str">
            <v>G80.8</v>
          </cell>
          <cell r="B3111" t="str">
            <v>Otros tipos de parálisis cerebral infantil</v>
          </cell>
        </row>
        <row r="3112">
          <cell r="A3112" t="str">
            <v>G80.9</v>
          </cell>
          <cell r="B3112" t="str">
            <v>Parálisis cerebral infantil, sin otra especificación</v>
          </cell>
        </row>
        <row r="3113">
          <cell r="A3113" t="str">
            <v>G81</v>
          </cell>
          <cell r="B3113" t="str">
            <v>Hemiplejía</v>
          </cell>
        </row>
        <row r="3114">
          <cell r="A3114" t="str">
            <v>G81.0</v>
          </cell>
          <cell r="B3114" t="str">
            <v>Hemiplejía flácida</v>
          </cell>
        </row>
        <row r="3115">
          <cell r="A3115" t="str">
            <v>G81.1</v>
          </cell>
          <cell r="B3115" t="str">
            <v>Hemiplejía espástica</v>
          </cell>
        </row>
        <row r="3116">
          <cell r="A3116" t="str">
            <v>G81.9</v>
          </cell>
          <cell r="B3116" t="str">
            <v>Hemiplejía, no especificada</v>
          </cell>
        </row>
        <row r="3117">
          <cell r="A3117" t="str">
            <v>G82</v>
          </cell>
          <cell r="B3117" t="str">
            <v>Paraplejía y cuadriplejía</v>
          </cell>
        </row>
        <row r="3118">
          <cell r="A3118" t="str">
            <v>G82.0</v>
          </cell>
          <cell r="B3118" t="str">
            <v>Paraplejía flácida</v>
          </cell>
        </row>
        <row r="3119">
          <cell r="A3119" t="str">
            <v>G82.1</v>
          </cell>
          <cell r="B3119" t="str">
            <v>Paraplejía espástica</v>
          </cell>
        </row>
        <row r="3120">
          <cell r="A3120" t="str">
            <v>G82.2</v>
          </cell>
          <cell r="B3120" t="str">
            <v>Paraplejía, no especificada</v>
          </cell>
        </row>
        <row r="3121">
          <cell r="A3121" t="str">
            <v>G82.3</v>
          </cell>
          <cell r="B3121" t="str">
            <v>Cuadriplejía flácida</v>
          </cell>
        </row>
        <row r="3122">
          <cell r="A3122" t="str">
            <v>G82.4</v>
          </cell>
          <cell r="B3122" t="str">
            <v>Cuadriplejía espástica</v>
          </cell>
        </row>
        <row r="3123">
          <cell r="A3123" t="str">
            <v>G82.5</v>
          </cell>
          <cell r="B3123" t="str">
            <v>Cuadriplejía, no especificada</v>
          </cell>
        </row>
        <row r="3124">
          <cell r="A3124" t="str">
            <v>G83</v>
          </cell>
          <cell r="B3124" t="str">
            <v>Otros síndromes paralíticos</v>
          </cell>
        </row>
        <row r="3125">
          <cell r="A3125" t="str">
            <v>G83.0</v>
          </cell>
          <cell r="B3125" t="str">
            <v>Diplejía de los miembros superiores</v>
          </cell>
        </row>
        <row r="3126">
          <cell r="A3126" t="str">
            <v>G83.1</v>
          </cell>
          <cell r="B3126" t="str">
            <v>Monoplejía de miembro inferior</v>
          </cell>
        </row>
        <row r="3127">
          <cell r="A3127" t="str">
            <v>G83.2</v>
          </cell>
          <cell r="B3127" t="str">
            <v>Monoplejía de miembro superior</v>
          </cell>
        </row>
        <row r="3128">
          <cell r="A3128" t="str">
            <v>G83.3</v>
          </cell>
          <cell r="B3128" t="str">
            <v>Monoplejía, no especificada</v>
          </cell>
        </row>
        <row r="3129">
          <cell r="A3129" t="str">
            <v>G83.4</v>
          </cell>
          <cell r="B3129" t="str">
            <v>Síndrome de la cola de caballo</v>
          </cell>
        </row>
        <row r="3130">
          <cell r="A3130" t="str">
            <v>G83.8</v>
          </cell>
          <cell r="B3130" t="str">
            <v>Otros síndromes paralíticos especificados</v>
          </cell>
        </row>
        <row r="3131">
          <cell r="A3131" t="str">
            <v>G83.9</v>
          </cell>
          <cell r="B3131" t="str">
            <v>Síndrome paralítico, no especificado</v>
          </cell>
        </row>
        <row r="3132">
          <cell r="A3132" t="str">
            <v>G90</v>
          </cell>
          <cell r="B3132" t="str">
            <v>Trastornos del sistema nervioso autónomo</v>
          </cell>
        </row>
        <row r="3133">
          <cell r="A3133" t="str">
            <v>G90.0</v>
          </cell>
          <cell r="B3133" t="str">
            <v>Neuropatía autónoma periférica idiopática</v>
          </cell>
        </row>
        <row r="3134">
          <cell r="A3134" t="str">
            <v>G90.1</v>
          </cell>
          <cell r="B3134" t="str">
            <v>Disautonomía familiar [Síndrome de Riley Day]</v>
          </cell>
        </row>
        <row r="3135">
          <cell r="A3135" t="str">
            <v>G90.2</v>
          </cell>
          <cell r="B3135" t="str">
            <v>Síndrome de Horner</v>
          </cell>
        </row>
        <row r="3136">
          <cell r="A3136" t="str">
            <v>G90.3</v>
          </cell>
          <cell r="B3136" t="str">
            <v>Degeneración de sistemas múltiples</v>
          </cell>
        </row>
        <row r="3137">
          <cell r="A3137" t="str">
            <v>G90.8</v>
          </cell>
          <cell r="B3137" t="str">
            <v>Otros trastornos del sistema nervioso autónomo</v>
          </cell>
        </row>
        <row r="3138">
          <cell r="A3138" t="str">
            <v>G90.9</v>
          </cell>
          <cell r="B3138" t="str">
            <v>Trastorno del sistema nervioso autónomo, no especificado</v>
          </cell>
        </row>
        <row r="3139">
          <cell r="A3139" t="str">
            <v>G91</v>
          </cell>
          <cell r="B3139" t="str">
            <v>Hidrocéfalo</v>
          </cell>
        </row>
        <row r="3140">
          <cell r="A3140" t="str">
            <v>G91.0</v>
          </cell>
          <cell r="B3140" t="str">
            <v>Hidrocéfalo comunicante</v>
          </cell>
        </row>
        <row r="3141">
          <cell r="A3141" t="str">
            <v>G91.1</v>
          </cell>
          <cell r="B3141" t="str">
            <v>Hidrocéfalo obstructivo</v>
          </cell>
        </row>
        <row r="3142">
          <cell r="A3142" t="str">
            <v>G91.2</v>
          </cell>
          <cell r="B3142" t="str">
            <v>Hidrocéfalo de presión normal</v>
          </cell>
        </row>
        <row r="3143">
          <cell r="A3143" t="str">
            <v>G91.3</v>
          </cell>
          <cell r="B3143" t="str">
            <v>Hidrocéfalo postraumático, sin otra especificación</v>
          </cell>
        </row>
        <row r="3144">
          <cell r="A3144" t="str">
            <v>G91.8</v>
          </cell>
          <cell r="B3144" t="str">
            <v>Otros tipos de hidrocéfalo</v>
          </cell>
        </row>
        <row r="3145">
          <cell r="A3145" t="str">
            <v>G91.9</v>
          </cell>
          <cell r="B3145" t="str">
            <v>Hidrocéfalo, no especificado</v>
          </cell>
        </row>
        <row r="3146">
          <cell r="A3146" t="str">
            <v>G92.X</v>
          </cell>
          <cell r="B3146" t="str">
            <v>Encefalopatía tóxica</v>
          </cell>
        </row>
        <row r="3147">
          <cell r="A3147" t="str">
            <v>G93</v>
          </cell>
          <cell r="B3147" t="str">
            <v>Otros trastornos del encéfalo</v>
          </cell>
        </row>
        <row r="3148">
          <cell r="A3148" t="str">
            <v>G93.0</v>
          </cell>
          <cell r="B3148" t="str">
            <v>Quiste cerebral</v>
          </cell>
        </row>
        <row r="3149">
          <cell r="A3149" t="str">
            <v>G93.1</v>
          </cell>
          <cell r="B3149" t="str">
            <v>Lesión cerebral anóxica, no clasificada en otra parte</v>
          </cell>
        </row>
        <row r="3150">
          <cell r="A3150" t="str">
            <v>G93.2</v>
          </cell>
          <cell r="B3150" t="str">
            <v>Hipertensión intracraneal benigna</v>
          </cell>
        </row>
        <row r="3151">
          <cell r="A3151" t="str">
            <v>G93.3</v>
          </cell>
          <cell r="B3151" t="str">
            <v>Síndrome de fatiga postviral</v>
          </cell>
        </row>
        <row r="3152">
          <cell r="A3152" t="str">
            <v>G93.4</v>
          </cell>
          <cell r="B3152" t="str">
            <v>Encefalopatía no especificada</v>
          </cell>
        </row>
        <row r="3153">
          <cell r="A3153" t="str">
            <v>G93.5</v>
          </cell>
          <cell r="B3153" t="str">
            <v>Compresión del encéfalo</v>
          </cell>
        </row>
        <row r="3154">
          <cell r="A3154" t="str">
            <v>G93.6</v>
          </cell>
          <cell r="B3154" t="str">
            <v>Edema cerebral</v>
          </cell>
        </row>
        <row r="3155">
          <cell r="A3155" t="str">
            <v>G93.7</v>
          </cell>
          <cell r="B3155" t="str">
            <v>Síndrome de Reye</v>
          </cell>
        </row>
        <row r="3156">
          <cell r="A3156" t="str">
            <v>G93.8</v>
          </cell>
          <cell r="B3156" t="str">
            <v>Otros trastornos especificados del encéfalo</v>
          </cell>
        </row>
        <row r="3157">
          <cell r="A3157" t="str">
            <v>G93.9</v>
          </cell>
          <cell r="B3157" t="str">
            <v>Trastorno del encéfalo, no especificado</v>
          </cell>
        </row>
        <row r="3158">
          <cell r="A3158" t="str">
            <v>G94*</v>
          </cell>
          <cell r="B3158" t="str">
            <v>Otros trastornos del encéfalo en enfermedades clasificadas en otra parte</v>
          </cell>
        </row>
        <row r="3159">
          <cell r="A3159" t="str">
            <v>G94.0*</v>
          </cell>
          <cell r="B3159" t="str">
            <v>Hidrocéfalo en enfermedades infecciosas y parasitarias clasificadas en otra parte (A00-B99+)</v>
          </cell>
        </row>
        <row r="3160">
          <cell r="A3160" t="str">
            <v>G94.1*</v>
          </cell>
          <cell r="B3160" t="str">
            <v>Hidrocéfalo en enfermedad neoplásica (C00-D48+)</v>
          </cell>
        </row>
        <row r="3161">
          <cell r="A3161" t="str">
            <v>G94.2*</v>
          </cell>
          <cell r="B3161" t="str">
            <v>Hidrocéfalo en otras enfermedades clasificadas en otra parte</v>
          </cell>
        </row>
        <row r="3162">
          <cell r="A3162" t="str">
            <v>G94.8*</v>
          </cell>
          <cell r="B3162" t="str">
            <v>Otros trastornos encefálicos especificados en enfermedades clasificadas en otra parte</v>
          </cell>
        </row>
        <row r="3163">
          <cell r="A3163" t="str">
            <v>G95</v>
          </cell>
          <cell r="B3163" t="str">
            <v>Otras enfermedades de la médula espinal</v>
          </cell>
        </row>
        <row r="3164">
          <cell r="A3164" t="str">
            <v>G95.0</v>
          </cell>
          <cell r="B3164" t="str">
            <v>Siringomielia y siringobulbia</v>
          </cell>
        </row>
        <row r="3165">
          <cell r="A3165" t="str">
            <v>G95.1</v>
          </cell>
          <cell r="B3165" t="str">
            <v>Mielopatías vasculares</v>
          </cell>
        </row>
        <row r="3166">
          <cell r="A3166" t="str">
            <v>G95.2</v>
          </cell>
          <cell r="B3166" t="str">
            <v>Compresión medular, no especificada</v>
          </cell>
        </row>
        <row r="3167">
          <cell r="A3167" t="str">
            <v>G95.8</v>
          </cell>
          <cell r="B3167" t="str">
            <v>Otras enfermedades especificadas de la médula espinal</v>
          </cell>
        </row>
        <row r="3168">
          <cell r="A3168" t="str">
            <v>G95.9</v>
          </cell>
          <cell r="B3168" t="str">
            <v>Enfermedad de la médula espinal, no especificada</v>
          </cell>
        </row>
        <row r="3169">
          <cell r="A3169" t="str">
            <v>G96</v>
          </cell>
          <cell r="B3169" t="str">
            <v>Otros trastornos del sistema nervioso central</v>
          </cell>
        </row>
        <row r="3170">
          <cell r="A3170" t="str">
            <v>G96.0</v>
          </cell>
          <cell r="B3170" t="str">
            <v>Pérdida de líquido cefalorraquídeo</v>
          </cell>
        </row>
        <row r="3171">
          <cell r="A3171" t="str">
            <v>G96.1</v>
          </cell>
          <cell r="B3171" t="str">
            <v>Trastornos de las meninges, no clasificados en otra parte</v>
          </cell>
        </row>
        <row r="3172">
          <cell r="A3172" t="str">
            <v>G96.8</v>
          </cell>
          <cell r="B3172" t="str">
            <v>Otros trastornos especificados del sistema nervioso central</v>
          </cell>
        </row>
        <row r="3173">
          <cell r="A3173" t="str">
            <v>G96.9</v>
          </cell>
          <cell r="B3173" t="str">
            <v>Trastorno del sistema nervioso central, no especificado</v>
          </cell>
        </row>
        <row r="3174">
          <cell r="A3174" t="str">
            <v>G97</v>
          </cell>
          <cell r="B3174" t="str">
            <v>Trastornos del sistema nervioso consecutivos a procedimientos, no clasificados en otra parte</v>
          </cell>
        </row>
        <row r="3175">
          <cell r="A3175" t="str">
            <v>G97.0</v>
          </cell>
          <cell r="B3175" t="str">
            <v>Pérdida de líquido cefalorraquídeo por punción espinal</v>
          </cell>
        </row>
        <row r="3176">
          <cell r="A3176" t="str">
            <v>G97.1</v>
          </cell>
          <cell r="B3176" t="str">
            <v>Otra reacción a la punción espinal y lumbar</v>
          </cell>
        </row>
        <row r="3177">
          <cell r="A3177" t="str">
            <v>G97.2</v>
          </cell>
          <cell r="B3177" t="str">
            <v>Hipotensión intracraneal posterior a anastomosis ventricular</v>
          </cell>
        </row>
        <row r="3178">
          <cell r="A3178" t="str">
            <v>G97.8</v>
          </cell>
          <cell r="B3178" t="str">
            <v>Otros trastornos del sistema nervioso consecutivos a procedimientos</v>
          </cell>
        </row>
        <row r="3179">
          <cell r="A3179" t="str">
            <v>G97.9</v>
          </cell>
          <cell r="B3179" t="str">
            <v>Trastornos no especificados del sistema nervioso, consecutivos a procedimientos</v>
          </cell>
        </row>
        <row r="3180">
          <cell r="A3180" t="str">
            <v>G98.X</v>
          </cell>
          <cell r="B3180" t="str">
            <v>Otros trastornos del sistema nervioso, no clasificados en otra parte</v>
          </cell>
        </row>
        <row r="3181">
          <cell r="A3181" t="str">
            <v>G99*</v>
          </cell>
          <cell r="B3181" t="str">
            <v>Otros trastornos del sistema nervioso en enfermedades clasificadas en otra parte</v>
          </cell>
        </row>
        <row r="3182">
          <cell r="A3182" t="str">
            <v>G99.0*</v>
          </cell>
          <cell r="B3182" t="str">
            <v>Neuropatía autonómica en enfermedades metabólicas y endocrinas</v>
          </cell>
        </row>
        <row r="3183">
          <cell r="A3183" t="str">
            <v>G99.1*</v>
          </cell>
          <cell r="B3183" t="str">
            <v>Otros trastornos del sistema nervioso autónomo en otras enfermedades clasificadas en otra parte</v>
          </cell>
        </row>
        <row r="3184">
          <cell r="A3184" t="str">
            <v>G99.2*</v>
          </cell>
          <cell r="B3184" t="str">
            <v>Mielopatía en enfermedades clasificadas en otra parte</v>
          </cell>
        </row>
        <row r="3185">
          <cell r="A3185" t="str">
            <v>G99.8*</v>
          </cell>
          <cell r="B3185" t="str">
            <v>Otros trastornos especificados del sistema nervioso en enfermedades clasificadas en otra parte</v>
          </cell>
        </row>
        <row r="3186">
          <cell r="A3186" t="str">
            <v>H</v>
          </cell>
          <cell r="B3186" t="str">
            <v>Transtornos de la Vista y del Oido</v>
          </cell>
        </row>
        <row r="3187">
          <cell r="A3187" t="str">
            <v>H00</v>
          </cell>
          <cell r="B3187" t="str">
            <v>Orzuelo y calacio</v>
          </cell>
        </row>
        <row r="3188">
          <cell r="A3188" t="str">
            <v>H00.0</v>
          </cell>
          <cell r="B3188" t="str">
            <v>Orzuelo y otras inflamaciones profundas del párpado</v>
          </cell>
        </row>
        <row r="3189">
          <cell r="A3189" t="str">
            <v>H00.1</v>
          </cell>
          <cell r="B3189" t="str">
            <v>Calacio [chalazión]</v>
          </cell>
        </row>
        <row r="3190">
          <cell r="A3190" t="str">
            <v>H01</v>
          </cell>
          <cell r="B3190" t="str">
            <v>Otras inflamaciones del párpado</v>
          </cell>
        </row>
        <row r="3191">
          <cell r="A3191" t="str">
            <v>H01.0</v>
          </cell>
          <cell r="B3191" t="str">
            <v>Blefaritis</v>
          </cell>
        </row>
        <row r="3192">
          <cell r="A3192" t="str">
            <v>H01.1</v>
          </cell>
          <cell r="B3192" t="str">
            <v>Dermatosis no infecciosa del párpado</v>
          </cell>
        </row>
        <row r="3193">
          <cell r="A3193" t="str">
            <v>H01.8</v>
          </cell>
          <cell r="B3193" t="str">
            <v>Otras inflamaciones especificadas del párpado</v>
          </cell>
        </row>
        <row r="3194">
          <cell r="A3194" t="str">
            <v>H01.9</v>
          </cell>
          <cell r="B3194" t="str">
            <v>Inflamación del párpado, no especificada</v>
          </cell>
        </row>
        <row r="3195">
          <cell r="A3195" t="str">
            <v>H02</v>
          </cell>
          <cell r="B3195" t="str">
            <v>Otros trastornos de los párpados</v>
          </cell>
        </row>
        <row r="3196">
          <cell r="A3196" t="str">
            <v>H02.0</v>
          </cell>
          <cell r="B3196" t="str">
            <v>Entropión y triquiasis palpebral</v>
          </cell>
        </row>
        <row r="3197">
          <cell r="A3197" t="str">
            <v>H02.1</v>
          </cell>
          <cell r="B3197" t="str">
            <v>Ectropión del párpado</v>
          </cell>
        </row>
        <row r="3198">
          <cell r="A3198" t="str">
            <v>H02.2</v>
          </cell>
          <cell r="B3198" t="str">
            <v>Lagoftalmos</v>
          </cell>
        </row>
        <row r="3199">
          <cell r="A3199" t="str">
            <v>H02.3</v>
          </cell>
          <cell r="B3199" t="str">
            <v>Blefarocalasia</v>
          </cell>
        </row>
        <row r="3200">
          <cell r="A3200" t="str">
            <v>H02.4</v>
          </cell>
          <cell r="B3200" t="str">
            <v>Blefaroptosis</v>
          </cell>
        </row>
        <row r="3201">
          <cell r="A3201" t="str">
            <v>H02.5</v>
          </cell>
          <cell r="B3201" t="str">
            <v>Otros trastornos funcionales del párpado</v>
          </cell>
        </row>
        <row r="3202">
          <cell r="A3202" t="str">
            <v>H02.6</v>
          </cell>
          <cell r="B3202" t="str">
            <v>Xantelasma del párpado</v>
          </cell>
        </row>
        <row r="3203">
          <cell r="A3203" t="str">
            <v>H02.7</v>
          </cell>
          <cell r="B3203" t="str">
            <v>Otros trastornos degenerativos del párpado y del área periocular</v>
          </cell>
        </row>
        <row r="3204">
          <cell r="A3204" t="str">
            <v>H02.8</v>
          </cell>
          <cell r="B3204" t="str">
            <v>Otros trastornos especificados del párpado</v>
          </cell>
        </row>
        <row r="3205">
          <cell r="A3205" t="str">
            <v>H02.9</v>
          </cell>
          <cell r="B3205" t="str">
            <v>Trastorno del párpado, no especificado</v>
          </cell>
        </row>
        <row r="3206">
          <cell r="A3206" t="str">
            <v>H03*</v>
          </cell>
          <cell r="B3206" t="str">
            <v>Trastornos del párpado en enfermedades clasificadas en otra parte</v>
          </cell>
        </row>
        <row r="3207">
          <cell r="A3207" t="str">
            <v>H03.0*</v>
          </cell>
          <cell r="B3207" t="str">
            <v>Infección e infestación parasitarias del párpado en enfermedades clasificadas en otra parte</v>
          </cell>
        </row>
        <row r="3208">
          <cell r="A3208" t="str">
            <v>H03.1*</v>
          </cell>
          <cell r="B3208" t="str">
            <v>Compromiso del párpado en enfermedades infecciosas clasificadas en otra parte</v>
          </cell>
        </row>
        <row r="3209">
          <cell r="A3209" t="str">
            <v>H03.8*</v>
          </cell>
          <cell r="B3209" t="str">
            <v>Compromiso del párpado en enfermedades clasificadas en otra parte</v>
          </cell>
        </row>
        <row r="3210">
          <cell r="A3210" t="str">
            <v>H04</v>
          </cell>
          <cell r="B3210" t="str">
            <v>Trastornos del aparato lagrimal</v>
          </cell>
        </row>
        <row r="3211">
          <cell r="A3211" t="str">
            <v>H04.0</v>
          </cell>
          <cell r="B3211" t="str">
            <v>Dacrioadenitis</v>
          </cell>
        </row>
        <row r="3212">
          <cell r="A3212" t="str">
            <v>H04.1</v>
          </cell>
          <cell r="B3212" t="str">
            <v>Otros trastornos de la glándula lagrimal</v>
          </cell>
        </row>
        <row r="3213">
          <cell r="A3213" t="str">
            <v>H04.2</v>
          </cell>
          <cell r="B3213" t="str">
            <v>Epífora</v>
          </cell>
        </row>
        <row r="3214">
          <cell r="A3214" t="str">
            <v>H04.3</v>
          </cell>
          <cell r="B3214" t="str">
            <v>Inflamación aguda y la no especificada de las vías lagrimales</v>
          </cell>
        </row>
        <row r="3215">
          <cell r="A3215" t="str">
            <v>H04.4</v>
          </cell>
          <cell r="B3215" t="str">
            <v>Inflamación crónica de las vías lagrimales</v>
          </cell>
        </row>
        <row r="3216">
          <cell r="A3216" t="str">
            <v>H04.5</v>
          </cell>
          <cell r="B3216" t="str">
            <v>Estenosis e insuficiencia de las vías lagrimales</v>
          </cell>
        </row>
        <row r="3217">
          <cell r="A3217" t="str">
            <v>H04.6</v>
          </cell>
          <cell r="B3217" t="str">
            <v>Otros cambios de las vías lagrimales</v>
          </cell>
        </row>
        <row r="3218">
          <cell r="A3218" t="str">
            <v>H04.8</v>
          </cell>
          <cell r="B3218" t="str">
            <v>Otros trastornos especificados del aparato lagrimal</v>
          </cell>
        </row>
        <row r="3219">
          <cell r="A3219" t="str">
            <v>H04.9</v>
          </cell>
          <cell r="B3219" t="str">
            <v>Trastorno del aparato lagrimal, no especificado</v>
          </cell>
        </row>
        <row r="3220">
          <cell r="A3220" t="str">
            <v>H05</v>
          </cell>
          <cell r="B3220" t="str">
            <v>Trastornos de la órbita</v>
          </cell>
        </row>
        <row r="3221">
          <cell r="A3221" t="str">
            <v>H05.0</v>
          </cell>
          <cell r="B3221" t="str">
            <v>Inflamación aguda de la órbita</v>
          </cell>
        </row>
        <row r="3222">
          <cell r="A3222" t="str">
            <v>H05.1</v>
          </cell>
          <cell r="B3222" t="str">
            <v>Trastornos inflamatorios crónicos de la órbita</v>
          </cell>
        </row>
        <row r="3223">
          <cell r="A3223" t="str">
            <v>H05.2</v>
          </cell>
          <cell r="B3223" t="str">
            <v>Afecciones exoftálmicas</v>
          </cell>
        </row>
        <row r="3224">
          <cell r="A3224" t="str">
            <v>H05.3</v>
          </cell>
          <cell r="B3224" t="str">
            <v>Deformidad de la órbita</v>
          </cell>
        </row>
        <row r="3225">
          <cell r="A3225" t="str">
            <v>H05.4</v>
          </cell>
          <cell r="B3225" t="str">
            <v>Enoftalmia</v>
          </cell>
        </row>
        <row r="3226">
          <cell r="A3226" t="str">
            <v>H05.5</v>
          </cell>
          <cell r="B3226" t="str">
            <v>Retención de cuerpo extraño (antiguo), consecutiva a herida penetrante de la órbita</v>
          </cell>
        </row>
        <row r="3227">
          <cell r="A3227" t="str">
            <v>H05.8</v>
          </cell>
          <cell r="B3227" t="str">
            <v>Otros trastornos de la órbita</v>
          </cell>
        </row>
        <row r="3228">
          <cell r="A3228" t="str">
            <v>H05.9</v>
          </cell>
          <cell r="B3228" t="str">
            <v>Trastorno de la órbita, no especificado</v>
          </cell>
        </row>
        <row r="3229">
          <cell r="A3229" t="str">
            <v>H06*</v>
          </cell>
          <cell r="B3229" t="str">
            <v>Trastornos del aparato lagrimal y de la órbita en enfermedades clasificadas en otra parte</v>
          </cell>
        </row>
        <row r="3230">
          <cell r="A3230" t="str">
            <v>H06.0*</v>
          </cell>
          <cell r="B3230" t="str">
            <v>Trastornos del aparato lagrimal en enfermedades clasificadas en otra parte</v>
          </cell>
        </row>
        <row r="3231">
          <cell r="A3231" t="str">
            <v>H06.1*</v>
          </cell>
          <cell r="B3231" t="str">
            <v>Infección e infestación parasitarias de la órbita en enfermedades clasificadas en otra parte</v>
          </cell>
        </row>
        <row r="3232">
          <cell r="A3232" t="str">
            <v>H06.2*</v>
          </cell>
          <cell r="B3232" t="str">
            <v>Exoftalmia hipertiroidea (E05.-+)</v>
          </cell>
        </row>
        <row r="3233">
          <cell r="A3233" t="str">
            <v>H06.3*</v>
          </cell>
          <cell r="B3233" t="str">
            <v>Otros trastornos de la órbita en enfermedades clasificadas en otra parte</v>
          </cell>
        </row>
        <row r="3234">
          <cell r="A3234" t="str">
            <v>H10</v>
          </cell>
          <cell r="B3234" t="str">
            <v>Conjuntivitis</v>
          </cell>
        </row>
        <row r="3235">
          <cell r="A3235" t="str">
            <v>H10.0</v>
          </cell>
          <cell r="B3235" t="str">
            <v>Conjuntivitis mucopurulenta</v>
          </cell>
        </row>
        <row r="3236">
          <cell r="A3236" t="str">
            <v>H10.1</v>
          </cell>
          <cell r="B3236" t="str">
            <v>Conjuntivitis atópica aguda</v>
          </cell>
        </row>
        <row r="3237">
          <cell r="A3237" t="str">
            <v>H10.2</v>
          </cell>
          <cell r="B3237" t="str">
            <v>Otras conjuntivitis agudas</v>
          </cell>
        </row>
        <row r="3238">
          <cell r="A3238" t="str">
            <v>H10.3</v>
          </cell>
          <cell r="B3238" t="str">
            <v>Conjuntivitis aguda, no especificada</v>
          </cell>
        </row>
        <row r="3239">
          <cell r="A3239" t="str">
            <v>H10.4</v>
          </cell>
          <cell r="B3239" t="str">
            <v>Conjuntivitis crónica</v>
          </cell>
        </row>
        <row r="3240">
          <cell r="A3240" t="str">
            <v>H10.5</v>
          </cell>
          <cell r="B3240" t="str">
            <v>Blefaroconjuntivitis</v>
          </cell>
        </row>
        <row r="3241">
          <cell r="A3241" t="str">
            <v>H10.8</v>
          </cell>
          <cell r="B3241" t="str">
            <v>Otras conjuntivitis</v>
          </cell>
        </row>
        <row r="3242">
          <cell r="A3242" t="str">
            <v>H10.9</v>
          </cell>
          <cell r="B3242" t="str">
            <v>Conjuntivitis, no especificada</v>
          </cell>
        </row>
        <row r="3243">
          <cell r="A3243" t="str">
            <v>H11</v>
          </cell>
          <cell r="B3243" t="str">
            <v>Otros trastornos de la conjuntiva</v>
          </cell>
        </row>
        <row r="3244">
          <cell r="A3244" t="str">
            <v>H11.0</v>
          </cell>
          <cell r="B3244" t="str">
            <v>Pterigión</v>
          </cell>
        </row>
        <row r="3245">
          <cell r="A3245" t="str">
            <v>H11.1</v>
          </cell>
          <cell r="B3245" t="str">
            <v>Degeneraciones y depósitos conjuntivales</v>
          </cell>
        </row>
        <row r="3246">
          <cell r="A3246" t="str">
            <v>H11.2</v>
          </cell>
          <cell r="B3246" t="str">
            <v>Cicatrices conjuntivales</v>
          </cell>
        </row>
        <row r="3247">
          <cell r="A3247" t="str">
            <v>H11.3</v>
          </cell>
          <cell r="B3247" t="str">
            <v>Hemorragia conjuntival</v>
          </cell>
        </row>
        <row r="3248">
          <cell r="A3248" t="str">
            <v>H11.4</v>
          </cell>
          <cell r="B3248" t="str">
            <v>Otros trastornos vasculares y quistes conjuntivales</v>
          </cell>
        </row>
        <row r="3249">
          <cell r="A3249" t="str">
            <v>H11.8</v>
          </cell>
          <cell r="B3249" t="str">
            <v>Otros trastornos especificados de la conjuntiva</v>
          </cell>
        </row>
        <row r="3250">
          <cell r="A3250" t="str">
            <v>H11.9</v>
          </cell>
          <cell r="B3250" t="str">
            <v>Trastorno de la conjuntiva, no especificado</v>
          </cell>
        </row>
        <row r="3251">
          <cell r="A3251" t="str">
            <v>H13*</v>
          </cell>
          <cell r="B3251" t="str">
            <v>Trastornos de la conjuntiva en enfermedades clasificadas en otra parte</v>
          </cell>
        </row>
        <row r="3252">
          <cell r="A3252" t="str">
            <v>H13.0*</v>
          </cell>
          <cell r="B3252" t="str">
            <v>Infección filárica de la conjuntiva (B74.-+)</v>
          </cell>
        </row>
        <row r="3253">
          <cell r="A3253" t="str">
            <v>H13.1*</v>
          </cell>
          <cell r="B3253" t="str">
            <v>Conjuntivitis en enfermedades infecciosas y parasitarias clasificadas en otra parte</v>
          </cell>
        </row>
        <row r="3254">
          <cell r="A3254" t="str">
            <v>H13.2*</v>
          </cell>
          <cell r="B3254" t="str">
            <v>Conjuntivitis en otras enfermedades clasificadas en otra parte</v>
          </cell>
        </row>
        <row r="3255">
          <cell r="A3255" t="str">
            <v>H13.3*</v>
          </cell>
          <cell r="B3255" t="str">
            <v>Penfigoide ocular (L12.-+)</v>
          </cell>
        </row>
        <row r="3256">
          <cell r="A3256" t="str">
            <v>H13.8*</v>
          </cell>
          <cell r="B3256" t="str">
            <v>Otros trastornos de la conjuntiva en enfermedades clasificadas en otra parte</v>
          </cell>
        </row>
        <row r="3257">
          <cell r="A3257" t="str">
            <v>H15</v>
          </cell>
          <cell r="B3257" t="str">
            <v>Trastornos de la esclerótica</v>
          </cell>
        </row>
        <row r="3258">
          <cell r="A3258" t="str">
            <v>H15.0</v>
          </cell>
          <cell r="B3258" t="str">
            <v>Escleritis</v>
          </cell>
        </row>
        <row r="3259">
          <cell r="A3259" t="str">
            <v>H15.1</v>
          </cell>
          <cell r="B3259" t="str">
            <v>Episcleritis</v>
          </cell>
        </row>
        <row r="3260">
          <cell r="A3260" t="str">
            <v>H15.8</v>
          </cell>
          <cell r="B3260" t="str">
            <v>Otros trastornos de la esclerótica</v>
          </cell>
        </row>
        <row r="3261">
          <cell r="A3261" t="str">
            <v>H15.9</v>
          </cell>
          <cell r="B3261" t="str">
            <v>Trastorno de la esclerótica, no especificado</v>
          </cell>
        </row>
        <row r="3262">
          <cell r="A3262" t="str">
            <v>H16</v>
          </cell>
          <cell r="B3262" t="str">
            <v>Queratitis</v>
          </cell>
        </row>
        <row r="3263">
          <cell r="A3263" t="str">
            <v>H16.0</v>
          </cell>
          <cell r="B3263" t="str">
            <v>Ulcera de la córnea</v>
          </cell>
        </row>
        <row r="3264">
          <cell r="A3264" t="str">
            <v>H16.1</v>
          </cell>
          <cell r="B3264" t="str">
            <v>Otras queratitis superficiales sin conjuntivitis</v>
          </cell>
        </row>
        <row r="3265">
          <cell r="A3265" t="str">
            <v>H16.2</v>
          </cell>
          <cell r="B3265" t="str">
            <v>Queratoconjuntivitis</v>
          </cell>
        </row>
        <row r="3266">
          <cell r="A3266" t="str">
            <v>H16.3</v>
          </cell>
          <cell r="B3266" t="str">
            <v>Queratitis intersticial y profunda</v>
          </cell>
        </row>
        <row r="3267">
          <cell r="A3267" t="str">
            <v>H16.4</v>
          </cell>
          <cell r="B3267" t="str">
            <v>Neovascularización de la córnea</v>
          </cell>
        </row>
        <row r="3268">
          <cell r="A3268" t="str">
            <v>H16.8</v>
          </cell>
          <cell r="B3268" t="str">
            <v>Otras queratitis</v>
          </cell>
        </row>
        <row r="3269">
          <cell r="A3269" t="str">
            <v>H16.9</v>
          </cell>
          <cell r="B3269" t="str">
            <v>Queratitis, no especificada</v>
          </cell>
        </row>
        <row r="3270">
          <cell r="A3270" t="str">
            <v>H17</v>
          </cell>
          <cell r="B3270" t="str">
            <v>Opacidades y cicatrices corneales</v>
          </cell>
        </row>
        <row r="3271">
          <cell r="A3271" t="str">
            <v>H17.0</v>
          </cell>
          <cell r="B3271" t="str">
            <v>Leucoma adherente</v>
          </cell>
        </row>
        <row r="3272">
          <cell r="A3272" t="str">
            <v>H17.1</v>
          </cell>
          <cell r="B3272" t="str">
            <v>Otras opacidades centrales de la córnea</v>
          </cell>
        </row>
        <row r="3273">
          <cell r="A3273" t="str">
            <v>H17.8</v>
          </cell>
          <cell r="B3273" t="str">
            <v>Otras opacidades o cicatrices de la córnea</v>
          </cell>
        </row>
        <row r="3274">
          <cell r="A3274" t="str">
            <v>H17.9</v>
          </cell>
          <cell r="B3274" t="str">
            <v>Cicatriz u opacidad de la córnea, no especificada</v>
          </cell>
        </row>
        <row r="3275">
          <cell r="A3275" t="str">
            <v>H18</v>
          </cell>
          <cell r="B3275" t="str">
            <v>Otros trastornos de la córnea</v>
          </cell>
        </row>
        <row r="3276">
          <cell r="A3276" t="str">
            <v>H18.0</v>
          </cell>
          <cell r="B3276" t="str">
            <v>Pigmentaciones y depósitos en la córnea</v>
          </cell>
        </row>
        <row r="3277">
          <cell r="A3277" t="str">
            <v>H18.1</v>
          </cell>
          <cell r="B3277" t="str">
            <v>Queratopatía vesicular</v>
          </cell>
        </row>
        <row r="3278">
          <cell r="A3278" t="str">
            <v>H18.2</v>
          </cell>
          <cell r="B3278" t="str">
            <v>Otros edemas de la córnea</v>
          </cell>
        </row>
        <row r="3279">
          <cell r="A3279" t="str">
            <v>H18.3</v>
          </cell>
          <cell r="B3279" t="str">
            <v>Cambios en las membranas de la córnea</v>
          </cell>
        </row>
        <row r="3280">
          <cell r="A3280" t="str">
            <v>H18.4</v>
          </cell>
          <cell r="B3280" t="str">
            <v>Degeneración de la córnea</v>
          </cell>
        </row>
        <row r="3281">
          <cell r="A3281" t="str">
            <v>H18.5</v>
          </cell>
          <cell r="B3281" t="str">
            <v>Distrofia hereditaria de la córnea</v>
          </cell>
        </row>
        <row r="3282">
          <cell r="A3282" t="str">
            <v>H18.6</v>
          </cell>
          <cell r="B3282" t="str">
            <v>Queratocono</v>
          </cell>
        </row>
        <row r="3283">
          <cell r="A3283" t="str">
            <v>H18.7</v>
          </cell>
          <cell r="B3283" t="str">
            <v>Otras deformidades de la córnea</v>
          </cell>
        </row>
        <row r="3284">
          <cell r="A3284" t="str">
            <v>H18.8</v>
          </cell>
          <cell r="B3284" t="str">
            <v>Otros trastornos especificados de la córnea</v>
          </cell>
        </row>
        <row r="3285">
          <cell r="A3285" t="str">
            <v>H18.9</v>
          </cell>
          <cell r="B3285" t="str">
            <v>Trastorno de la córnea, no especificado</v>
          </cell>
        </row>
        <row r="3286">
          <cell r="A3286" t="str">
            <v>H19*</v>
          </cell>
          <cell r="B3286" t="str">
            <v>Trastornos de la esclerótica y de la córnea en enfermedades clasificadas en otra parte</v>
          </cell>
        </row>
        <row r="3287">
          <cell r="A3287" t="str">
            <v>H19.0*</v>
          </cell>
          <cell r="B3287" t="str">
            <v>Escleritis y episcleritis en enfermedades clasificadas en otra parte</v>
          </cell>
        </row>
        <row r="3288">
          <cell r="A3288" t="str">
            <v>H19.1*</v>
          </cell>
          <cell r="B3288" t="str">
            <v>Queratitis y queratoconjuntivitis por herpes simple (B00.5+)</v>
          </cell>
        </row>
        <row r="3289">
          <cell r="A3289" t="str">
            <v>H19.2*</v>
          </cell>
          <cell r="B3289" t="str">
            <v>Queratitis y queratoconjuntivitis en enfermedades infecciosas y parasitarias, clasificadas en otra parte</v>
          </cell>
        </row>
        <row r="3290">
          <cell r="A3290" t="str">
            <v>H19.3*</v>
          </cell>
          <cell r="B3290" t="str">
            <v>Queratitis y queratoconjuntivitis en otras enfermedades clasificadas en otra parte</v>
          </cell>
        </row>
        <row r="3291">
          <cell r="A3291" t="str">
            <v>H19.8*</v>
          </cell>
          <cell r="B3291" t="str">
            <v>Otros trastornos de la esclerótica y de la córnea en enfermedades clasificadas en otra parte</v>
          </cell>
        </row>
        <row r="3292">
          <cell r="A3292" t="str">
            <v>H20</v>
          </cell>
          <cell r="B3292" t="str">
            <v>Iridociclitis</v>
          </cell>
        </row>
        <row r="3293">
          <cell r="A3293" t="str">
            <v>H20.0</v>
          </cell>
          <cell r="B3293" t="str">
            <v>Iridociclitis aguda y subaguda</v>
          </cell>
        </row>
        <row r="3294">
          <cell r="A3294" t="str">
            <v>H20.1</v>
          </cell>
          <cell r="B3294" t="str">
            <v>Iridociclitis crónica</v>
          </cell>
        </row>
        <row r="3295">
          <cell r="A3295" t="str">
            <v>H20.2</v>
          </cell>
          <cell r="B3295" t="str">
            <v>Iridociclitis inducida por trastorno del cristalino</v>
          </cell>
        </row>
        <row r="3296">
          <cell r="A3296" t="str">
            <v>H20.8</v>
          </cell>
          <cell r="B3296" t="str">
            <v>Otras iridociclitis especificadas</v>
          </cell>
        </row>
        <row r="3297">
          <cell r="A3297" t="str">
            <v>H20.9</v>
          </cell>
          <cell r="B3297" t="str">
            <v>Iridociclitis, no especificada</v>
          </cell>
        </row>
        <row r="3298">
          <cell r="A3298" t="str">
            <v>H21</v>
          </cell>
          <cell r="B3298" t="str">
            <v>Otros trastornos del iris y del cuerpo ciliar</v>
          </cell>
        </row>
        <row r="3299">
          <cell r="A3299" t="str">
            <v>H21.0</v>
          </cell>
          <cell r="B3299" t="str">
            <v>Hifema</v>
          </cell>
        </row>
        <row r="3300">
          <cell r="A3300" t="str">
            <v>H21.1</v>
          </cell>
          <cell r="B3300" t="str">
            <v>Otros trastornos vasculares del iris y del cuerpo ciliar</v>
          </cell>
        </row>
        <row r="3301">
          <cell r="A3301" t="str">
            <v>H21.2</v>
          </cell>
          <cell r="B3301" t="str">
            <v>Degeneración del iris y del cuerpo ciliar</v>
          </cell>
        </row>
        <row r="3302">
          <cell r="A3302" t="str">
            <v>H21.3</v>
          </cell>
          <cell r="B3302" t="str">
            <v>Quiste del iris, del cuerpo ciliar y de la cámara anterior</v>
          </cell>
        </row>
        <row r="3303">
          <cell r="A3303" t="str">
            <v>H21.4</v>
          </cell>
          <cell r="B3303" t="str">
            <v>Membranas pupilares</v>
          </cell>
        </row>
        <row r="3304">
          <cell r="A3304" t="str">
            <v>H21.5</v>
          </cell>
          <cell r="B3304" t="str">
            <v>Otras adherencias y desgarros del iris y del cuerpo ciliar</v>
          </cell>
        </row>
        <row r="3305">
          <cell r="A3305" t="str">
            <v>H21.8</v>
          </cell>
          <cell r="B3305" t="str">
            <v>Otros trastornos especificados del iris y del cuerpo ciliar</v>
          </cell>
        </row>
        <row r="3306">
          <cell r="A3306" t="str">
            <v>H21.9</v>
          </cell>
          <cell r="B3306" t="str">
            <v>Trastorno del iris y del cuerpo ciliar, no especificado</v>
          </cell>
        </row>
        <row r="3307">
          <cell r="A3307" t="str">
            <v>H22*</v>
          </cell>
          <cell r="B3307" t="str">
            <v>Trastornos del iris y del cuerpo ciliar en enfermedades clasificadas en otra parte</v>
          </cell>
        </row>
        <row r="3308">
          <cell r="A3308" t="str">
            <v>H22.0*</v>
          </cell>
          <cell r="B3308" t="str">
            <v>Iridociclitis en enfermedades infecciosas y parasitarias clasificadas en otra parte</v>
          </cell>
        </row>
        <row r="3309">
          <cell r="A3309" t="str">
            <v>H22.1*</v>
          </cell>
          <cell r="B3309" t="str">
            <v>Iridociclitis en otras enfermedades clasificadas en otra parte</v>
          </cell>
        </row>
        <row r="3310">
          <cell r="A3310" t="str">
            <v>H22.8*</v>
          </cell>
          <cell r="B3310" t="str">
            <v>Otros trastornos del iris y del cuerpo ciliar en enfermedades clasificadas en otra parte</v>
          </cell>
        </row>
        <row r="3311">
          <cell r="A3311" t="str">
            <v>H25</v>
          </cell>
          <cell r="B3311" t="str">
            <v>Catarata senil</v>
          </cell>
        </row>
        <row r="3312">
          <cell r="A3312" t="str">
            <v>H25.0</v>
          </cell>
          <cell r="B3312" t="str">
            <v>Catarata senil incipiente</v>
          </cell>
        </row>
        <row r="3313">
          <cell r="A3313" t="str">
            <v>H25.1</v>
          </cell>
          <cell r="B3313" t="str">
            <v>Catarata senil nuclear</v>
          </cell>
        </row>
        <row r="3314">
          <cell r="A3314" t="str">
            <v>H25.2</v>
          </cell>
          <cell r="B3314" t="str">
            <v>Catarata senil, tipo morgagnian</v>
          </cell>
        </row>
        <row r="3315">
          <cell r="A3315" t="str">
            <v>H25.8</v>
          </cell>
          <cell r="B3315" t="str">
            <v>Otras cataratas seniles</v>
          </cell>
        </row>
        <row r="3316">
          <cell r="A3316" t="str">
            <v>H25.9</v>
          </cell>
          <cell r="B3316" t="str">
            <v>Catarata senil, no especificada</v>
          </cell>
        </row>
        <row r="3317">
          <cell r="A3317" t="str">
            <v>H26</v>
          </cell>
          <cell r="B3317" t="str">
            <v>Otras cataratas</v>
          </cell>
        </row>
        <row r="3318">
          <cell r="A3318" t="str">
            <v>H26.0</v>
          </cell>
          <cell r="B3318" t="str">
            <v>Catarata infantil, juvenil y presenil</v>
          </cell>
        </row>
        <row r="3319">
          <cell r="A3319" t="str">
            <v>H26.1</v>
          </cell>
          <cell r="B3319" t="str">
            <v>Catarata traumática</v>
          </cell>
        </row>
        <row r="3320">
          <cell r="A3320" t="str">
            <v>H26.2</v>
          </cell>
          <cell r="B3320" t="str">
            <v>Catarata complicada</v>
          </cell>
        </row>
        <row r="3321">
          <cell r="A3321" t="str">
            <v>H26.3</v>
          </cell>
          <cell r="B3321" t="str">
            <v>Catarata inducida por drogas</v>
          </cell>
        </row>
        <row r="3322">
          <cell r="A3322" t="str">
            <v>H26.4</v>
          </cell>
          <cell r="B3322" t="str">
            <v>Catarata residual</v>
          </cell>
        </row>
        <row r="3323">
          <cell r="A3323" t="str">
            <v>H26.8</v>
          </cell>
          <cell r="B3323" t="str">
            <v>Otras formas especificadas de catarata</v>
          </cell>
        </row>
        <row r="3324">
          <cell r="A3324" t="str">
            <v>H26.9</v>
          </cell>
          <cell r="B3324" t="str">
            <v>Catarata, no especificada</v>
          </cell>
        </row>
        <row r="3325">
          <cell r="A3325" t="str">
            <v>H27</v>
          </cell>
          <cell r="B3325" t="str">
            <v>Otros trastornos del cristalino</v>
          </cell>
        </row>
        <row r="3326">
          <cell r="A3326" t="str">
            <v>H27.0</v>
          </cell>
          <cell r="B3326" t="str">
            <v>Afaquia</v>
          </cell>
        </row>
        <row r="3327">
          <cell r="A3327" t="str">
            <v>H27.1</v>
          </cell>
          <cell r="B3327" t="str">
            <v>Luxación del cristalino</v>
          </cell>
        </row>
        <row r="3328">
          <cell r="A3328" t="str">
            <v>H27.8</v>
          </cell>
          <cell r="B3328" t="str">
            <v>Otros trastornos especificados del cristalino</v>
          </cell>
        </row>
        <row r="3329">
          <cell r="A3329" t="str">
            <v>H27.9</v>
          </cell>
          <cell r="B3329" t="str">
            <v>Trastorno del cristalino, no especificado</v>
          </cell>
        </row>
        <row r="3330">
          <cell r="A3330" t="str">
            <v>H28*</v>
          </cell>
          <cell r="B3330" t="str">
            <v>Catarata y otros trastornos del cristalino en enfermedades clasificadas en otra parte</v>
          </cell>
        </row>
        <row r="3331">
          <cell r="A3331" t="str">
            <v>H28.0*</v>
          </cell>
          <cell r="B3331" t="str">
            <v>Catarata diabética (E10-E14+ con cuarto carácter común .3)</v>
          </cell>
        </row>
        <row r="3332">
          <cell r="A3332" t="str">
            <v>H28.1*</v>
          </cell>
          <cell r="B3332" t="str">
            <v>Catarata en otras enfermedades endocrinas, nutricionales y metabólicas clasificadas en otra parte</v>
          </cell>
        </row>
        <row r="3333">
          <cell r="A3333" t="str">
            <v>H28.2*</v>
          </cell>
          <cell r="B3333" t="str">
            <v>Catarata en otras enfermedades clasificadas en otra parte</v>
          </cell>
        </row>
        <row r="3334">
          <cell r="A3334" t="str">
            <v>H28.8*</v>
          </cell>
          <cell r="B3334" t="str">
            <v>Otros trastornos del cristalino en enfermedades clasificadas en otra parte</v>
          </cell>
        </row>
        <row r="3335">
          <cell r="A3335" t="str">
            <v>H30</v>
          </cell>
          <cell r="B3335" t="str">
            <v>Inflamación coriorretiniana</v>
          </cell>
        </row>
        <row r="3336">
          <cell r="A3336" t="str">
            <v>H30.0</v>
          </cell>
          <cell r="B3336" t="str">
            <v>Coriorretinitis focal</v>
          </cell>
        </row>
        <row r="3337">
          <cell r="A3337" t="str">
            <v>H30.1</v>
          </cell>
          <cell r="B3337" t="str">
            <v>Coriorretinitis diseminada</v>
          </cell>
        </row>
        <row r="3338">
          <cell r="A3338" t="str">
            <v>H30.2</v>
          </cell>
          <cell r="B3338" t="str">
            <v>Ciclitis posterior</v>
          </cell>
        </row>
        <row r="3339">
          <cell r="A3339" t="str">
            <v>H30.8</v>
          </cell>
          <cell r="B3339" t="str">
            <v>Otras coriorretinitis</v>
          </cell>
        </row>
        <row r="3340">
          <cell r="A3340" t="str">
            <v>H30.9</v>
          </cell>
          <cell r="B3340" t="str">
            <v>Coriorretinitis, no especificada</v>
          </cell>
        </row>
        <row r="3341">
          <cell r="A3341" t="str">
            <v>H31</v>
          </cell>
          <cell r="B3341" t="str">
            <v>Otros trastornos de la coroides</v>
          </cell>
        </row>
        <row r="3342">
          <cell r="A3342" t="str">
            <v>H31.0</v>
          </cell>
          <cell r="B3342" t="str">
            <v>Cicatrices coriorretinianas</v>
          </cell>
        </row>
        <row r="3343">
          <cell r="A3343" t="str">
            <v>H31.1</v>
          </cell>
          <cell r="B3343" t="str">
            <v>Degeneración coroidea</v>
          </cell>
        </row>
        <row r="3344">
          <cell r="A3344" t="str">
            <v>H31.2</v>
          </cell>
          <cell r="B3344" t="str">
            <v>Distrofia coroidea hereditaria</v>
          </cell>
        </row>
        <row r="3345">
          <cell r="A3345" t="str">
            <v>H31.3</v>
          </cell>
          <cell r="B3345" t="str">
            <v>Hemorragia y ruptura de la coroides</v>
          </cell>
        </row>
        <row r="3346">
          <cell r="A3346" t="str">
            <v>H31.4</v>
          </cell>
          <cell r="B3346" t="str">
            <v>Desprendimiento de la coroides</v>
          </cell>
        </row>
        <row r="3347">
          <cell r="A3347" t="str">
            <v>H31.8</v>
          </cell>
          <cell r="B3347" t="str">
            <v>Otros trastornos especificados de la coroides</v>
          </cell>
        </row>
        <row r="3348">
          <cell r="A3348" t="str">
            <v>H31.9</v>
          </cell>
          <cell r="B3348" t="str">
            <v>Trastorno de la coroides, no especificado</v>
          </cell>
        </row>
        <row r="3349">
          <cell r="A3349" t="str">
            <v>H32*</v>
          </cell>
          <cell r="B3349" t="str">
            <v>Trastornos coriorretinianos en enfermedades clasificadas en otra parte</v>
          </cell>
        </row>
        <row r="3350">
          <cell r="A3350" t="str">
            <v>H32.0*</v>
          </cell>
          <cell r="B3350" t="str">
            <v>Inflamación coriorretiniana en enfermedades infecciosas y parasitarias clasificadas en otra parte</v>
          </cell>
        </row>
        <row r="3351">
          <cell r="A3351" t="str">
            <v>H32.8*</v>
          </cell>
          <cell r="B3351" t="str">
            <v>Otros trastornos coriorretinianos en enfermedades clasificadas en otra parte</v>
          </cell>
        </row>
        <row r="3352">
          <cell r="A3352" t="str">
            <v>H33</v>
          </cell>
          <cell r="B3352" t="str">
            <v>Desprendimiento y desgarro de la retina</v>
          </cell>
        </row>
        <row r="3353">
          <cell r="A3353" t="str">
            <v>H33.0</v>
          </cell>
          <cell r="B3353" t="str">
            <v>Desprendimiento de la retina con ruptura</v>
          </cell>
        </row>
        <row r="3354">
          <cell r="A3354" t="str">
            <v>H33.1</v>
          </cell>
          <cell r="B3354" t="str">
            <v>Retinosquisis y quistes de la retina</v>
          </cell>
        </row>
        <row r="3355">
          <cell r="A3355" t="str">
            <v>H33.2</v>
          </cell>
          <cell r="B3355" t="str">
            <v>Desprendimiento seroso de la retina</v>
          </cell>
        </row>
        <row r="3356">
          <cell r="A3356" t="str">
            <v>H33.3</v>
          </cell>
          <cell r="B3356" t="str">
            <v>Desgarro de la retina sin desprendimiento</v>
          </cell>
        </row>
        <row r="3357">
          <cell r="A3357" t="str">
            <v>H33.4</v>
          </cell>
          <cell r="B3357" t="str">
            <v>Desprendimiento de la retina por tracción</v>
          </cell>
        </row>
        <row r="3358">
          <cell r="A3358" t="str">
            <v>H33.5</v>
          </cell>
          <cell r="B3358" t="str">
            <v>Otros desprendimientos de la retina</v>
          </cell>
        </row>
        <row r="3359">
          <cell r="A3359" t="str">
            <v>H34</v>
          </cell>
          <cell r="B3359" t="str">
            <v>Oclusión vascular de la retina</v>
          </cell>
        </row>
        <row r="3360">
          <cell r="A3360" t="str">
            <v>H34.0</v>
          </cell>
          <cell r="B3360" t="str">
            <v>Oclusión arterial transitoria de la retina</v>
          </cell>
        </row>
        <row r="3361">
          <cell r="A3361" t="str">
            <v>H34.1</v>
          </cell>
          <cell r="B3361" t="str">
            <v>Oclusión de la arteria central de la retina</v>
          </cell>
        </row>
        <row r="3362">
          <cell r="A3362" t="str">
            <v>H34.2</v>
          </cell>
          <cell r="B3362" t="str">
            <v>Otras formas de oclusión de la arteria de la retina</v>
          </cell>
        </row>
        <row r="3363">
          <cell r="A3363" t="str">
            <v>H34.8</v>
          </cell>
          <cell r="B3363" t="str">
            <v>Otras oclusiones vasculares retinianas</v>
          </cell>
        </row>
        <row r="3364">
          <cell r="A3364" t="str">
            <v>H34.9</v>
          </cell>
          <cell r="B3364" t="str">
            <v>Oclusión vascular retiniana, sin otra especificación</v>
          </cell>
        </row>
        <row r="3365">
          <cell r="A3365" t="str">
            <v>H35</v>
          </cell>
          <cell r="B3365" t="str">
            <v>Otros trastornos de la retina</v>
          </cell>
        </row>
        <row r="3366">
          <cell r="A3366" t="str">
            <v>H35.0</v>
          </cell>
          <cell r="B3366" t="str">
            <v>Retinopatías del fondo y cambios vasculares retinianos</v>
          </cell>
        </row>
        <row r="3367">
          <cell r="A3367" t="str">
            <v>H35.1</v>
          </cell>
          <cell r="B3367" t="str">
            <v>Retinopatía de la prematuridad</v>
          </cell>
        </row>
        <row r="3368">
          <cell r="A3368" t="str">
            <v>H35.2</v>
          </cell>
          <cell r="B3368" t="str">
            <v>Otras retinopatías proliferativas</v>
          </cell>
        </row>
        <row r="3369">
          <cell r="A3369" t="str">
            <v>H35.3</v>
          </cell>
          <cell r="B3369" t="str">
            <v>Degeneración de la mácula y del polo posterior del ojo</v>
          </cell>
        </row>
        <row r="3370">
          <cell r="A3370" t="str">
            <v>H35.4</v>
          </cell>
          <cell r="B3370" t="str">
            <v>Degeneración periférica de la retina</v>
          </cell>
        </row>
        <row r="3371">
          <cell r="A3371" t="str">
            <v>H35.5</v>
          </cell>
          <cell r="B3371" t="str">
            <v>Distrofia hereditaria de la retina</v>
          </cell>
        </row>
        <row r="3372">
          <cell r="A3372" t="str">
            <v>H35.6</v>
          </cell>
          <cell r="B3372" t="str">
            <v>Hemorragia retiniana</v>
          </cell>
        </row>
        <row r="3373">
          <cell r="A3373" t="str">
            <v>H35.7</v>
          </cell>
          <cell r="B3373" t="str">
            <v>Separación de las capas de la retina</v>
          </cell>
        </row>
        <row r="3374">
          <cell r="A3374" t="str">
            <v>H35.8</v>
          </cell>
          <cell r="B3374" t="str">
            <v>Otros trastornos especificados de la retina</v>
          </cell>
        </row>
        <row r="3375">
          <cell r="A3375" t="str">
            <v>H35.9</v>
          </cell>
          <cell r="B3375" t="str">
            <v>Trastorno de la retina, no especificado</v>
          </cell>
        </row>
        <row r="3376">
          <cell r="A3376" t="str">
            <v>H36*</v>
          </cell>
          <cell r="B3376" t="str">
            <v>Trastornos de la retina en enfermedades clasificadas en otra parte</v>
          </cell>
        </row>
        <row r="3377">
          <cell r="A3377" t="str">
            <v>H36.0*</v>
          </cell>
          <cell r="B3377" t="str">
            <v>Retinopatía diabética (E10-E14+ con cuarto carácter común .3)</v>
          </cell>
        </row>
        <row r="3378">
          <cell r="A3378" t="str">
            <v>H36.8*</v>
          </cell>
          <cell r="B3378" t="str">
            <v>Otros trastornos de la retina en enfermedades clasificadas en otra parte</v>
          </cell>
        </row>
        <row r="3379">
          <cell r="A3379" t="str">
            <v>H40</v>
          </cell>
          <cell r="B3379" t="str">
            <v>Glaucoma</v>
          </cell>
        </row>
        <row r="3380">
          <cell r="A3380" t="str">
            <v>H40.0</v>
          </cell>
          <cell r="B3380" t="str">
            <v>Sospecha de glaucoma</v>
          </cell>
        </row>
        <row r="3381">
          <cell r="A3381" t="str">
            <v>H40.1</v>
          </cell>
          <cell r="B3381" t="str">
            <v>Glaucoma primario de ángulo abierto</v>
          </cell>
        </row>
        <row r="3382">
          <cell r="A3382" t="str">
            <v>H40.2</v>
          </cell>
          <cell r="B3382" t="str">
            <v>Glaucoma primario de ángulo cerrado</v>
          </cell>
        </row>
        <row r="3383">
          <cell r="A3383" t="str">
            <v>H40.3</v>
          </cell>
          <cell r="B3383" t="str">
            <v>Glaucoma secundario a traumatismo ocular</v>
          </cell>
        </row>
        <row r="3384">
          <cell r="A3384" t="str">
            <v>H40.4</v>
          </cell>
          <cell r="B3384" t="str">
            <v>Glaucoma secundario a inflamación ocular</v>
          </cell>
        </row>
        <row r="3385">
          <cell r="A3385" t="str">
            <v>H40.5</v>
          </cell>
          <cell r="B3385" t="str">
            <v>Glaucoma secundario a otros trastornos del ojo</v>
          </cell>
        </row>
        <row r="3386">
          <cell r="A3386" t="str">
            <v>H40.6</v>
          </cell>
          <cell r="B3386" t="str">
            <v>Glaucoma secundario a drogas</v>
          </cell>
        </row>
        <row r="3387">
          <cell r="A3387" t="str">
            <v>H40.8</v>
          </cell>
          <cell r="B3387" t="str">
            <v>Otros glaucomas</v>
          </cell>
        </row>
        <row r="3388">
          <cell r="A3388" t="str">
            <v>H40.9</v>
          </cell>
          <cell r="B3388" t="str">
            <v>Glaucoma, no especificado</v>
          </cell>
        </row>
        <row r="3389">
          <cell r="A3389" t="str">
            <v>H42*</v>
          </cell>
          <cell r="B3389" t="str">
            <v>Glaucoma en enfermedades clasificadas en otra parte</v>
          </cell>
        </row>
        <row r="3390">
          <cell r="A3390" t="str">
            <v>H42.0*</v>
          </cell>
          <cell r="B3390" t="str">
            <v>Glaucoma en enfermedades endocrinas, nutricionales y metabólicas, clasificadas en otra parte</v>
          </cell>
        </row>
        <row r="3391">
          <cell r="A3391" t="str">
            <v>H42.8*</v>
          </cell>
          <cell r="B3391" t="str">
            <v>Glaucoma en otras enfermedades clasificadas en otra parte</v>
          </cell>
        </row>
        <row r="3392">
          <cell r="A3392" t="str">
            <v>H43</v>
          </cell>
          <cell r="B3392" t="str">
            <v>Trastornos del cuerpo vítreo</v>
          </cell>
        </row>
        <row r="3393">
          <cell r="A3393" t="str">
            <v>H43.0</v>
          </cell>
          <cell r="B3393" t="str">
            <v>Prolapso del vítreo</v>
          </cell>
        </row>
        <row r="3394">
          <cell r="A3394" t="str">
            <v>H43.1</v>
          </cell>
          <cell r="B3394" t="str">
            <v>Hemorragia del vítreo</v>
          </cell>
        </row>
        <row r="3395">
          <cell r="A3395" t="str">
            <v>H43.2</v>
          </cell>
          <cell r="B3395" t="str">
            <v>Depósitos cristalinos en el cuerpo vítreo</v>
          </cell>
        </row>
        <row r="3396">
          <cell r="A3396" t="str">
            <v>H43.3</v>
          </cell>
          <cell r="B3396" t="str">
            <v>Otras opacidades vítreas</v>
          </cell>
        </row>
        <row r="3397">
          <cell r="A3397" t="str">
            <v>H43.8</v>
          </cell>
          <cell r="B3397" t="str">
            <v>Otros trastornos del cuerpo vítreo</v>
          </cell>
        </row>
        <row r="3398">
          <cell r="A3398" t="str">
            <v>H43.9</v>
          </cell>
          <cell r="B3398" t="str">
            <v>Trastorno del cuerpo vítreo, no especificado</v>
          </cell>
        </row>
        <row r="3399">
          <cell r="A3399" t="str">
            <v>H44</v>
          </cell>
          <cell r="B3399" t="str">
            <v>Trastornos del globo ocular</v>
          </cell>
        </row>
        <row r="3400">
          <cell r="A3400" t="str">
            <v>H44.0</v>
          </cell>
          <cell r="B3400" t="str">
            <v>Endoftalmitis purulenta</v>
          </cell>
        </row>
        <row r="3401">
          <cell r="A3401" t="str">
            <v>H44.1</v>
          </cell>
          <cell r="B3401" t="str">
            <v>Otras endoftalmitis</v>
          </cell>
        </row>
        <row r="3402">
          <cell r="A3402" t="str">
            <v>H44.2</v>
          </cell>
          <cell r="B3402" t="str">
            <v>Miopía degenerativa</v>
          </cell>
        </row>
        <row r="3403">
          <cell r="A3403" t="str">
            <v>H44.3</v>
          </cell>
          <cell r="B3403" t="str">
            <v>Otros trastornos degenerativos del globo ocular</v>
          </cell>
        </row>
        <row r="3404">
          <cell r="A3404" t="str">
            <v>H44.4</v>
          </cell>
          <cell r="B3404" t="str">
            <v>Hipotonía ocular</v>
          </cell>
        </row>
        <row r="3405">
          <cell r="A3405" t="str">
            <v>H44.5</v>
          </cell>
          <cell r="B3405" t="str">
            <v>Afecciones degenerativas del globo ocular</v>
          </cell>
        </row>
        <row r="3406">
          <cell r="A3406" t="str">
            <v>H44.6</v>
          </cell>
          <cell r="B3406" t="str">
            <v>Retención intraocular de cuerpo extraño magnético (antiguo)</v>
          </cell>
        </row>
        <row r="3407">
          <cell r="A3407" t="str">
            <v>H44.7</v>
          </cell>
          <cell r="B3407" t="str">
            <v>Retención intraocular de cuerpo extraño no magnético (antiguo)</v>
          </cell>
        </row>
        <row r="3408">
          <cell r="A3408" t="str">
            <v>H44.8</v>
          </cell>
          <cell r="B3408" t="str">
            <v>Otros trastornos del globo ocular</v>
          </cell>
        </row>
        <row r="3409">
          <cell r="A3409" t="str">
            <v>H44.9</v>
          </cell>
          <cell r="B3409" t="str">
            <v>Trastorno del globo ocular, no especificado</v>
          </cell>
        </row>
        <row r="3410">
          <cell r="A3410" t="str">
            <v>H45*</v>
          </cell>
          <cell r="B3410" t="str">
            <v>Trastornos del cuerpo vítreo y del globo ocular en enfermedades clasificadas en otra parte</v>
          </cell>
        </row>
        <row r="3411">
          <cell r="A3411" t="str">
            <v>H45.0*</v>
          </cell>
          <cell r="B3411" t="str">
            <v>Hemorragia del vítreo en enfermedades clasificadas en otra parte</v>
          </cell>
        </row>
        <row r="3412">
          <cell r="A3412" t="str">
            <v>H45.1*</v>
          </cell>
          <cell r="B3412" t="str">
            <v>Endoftalmitis en enfermedades clasificadas en otra parte</v>
          </cell>
        </row>
        <row r="3413">
          <cell r="A3413" t="str">
            <v>H45.8*</v>
          </cell>
          <cell r="B3413" t="str">
            <v>Otros trastornos del cuerpo vítreo y del globo ocular en enfermedades clasificadas en otra parte</v>
          </cell>
        </row>
        <row r="3414">
          <cell r="A3414" t="str">
            <v>H46.X</v>
          </cell>
          <cell r="B3414" t="str">
            <v>Neuritis óptica</v>
          </cell>
        </row>
        <row r="3415">
          <cell r="A3415" t="str">
            <v>H47</v>
          </cell>
          <cell r="B3415" t="str">
            <v>Otros trastornos del nervio óptico [II par] y de las vías ópticas</v>
          </cell>
        </row>
        <row r="3416">
          <cell r="A3416" t="str">
            <v>H47.0</v>
          </cell>
          <cell r="B3416" t="str">
            <v>Trastornos del nervio óptico, no clasificados en otra parte</v>
          </cell>
        </row>
        <row r="3417">
          <cell r="A3417" t="str">
            <v>H47.1</v>
          </cell>
          <cell r="B3417" t="str">
            <v>Papiledema, no especificado</v>
          </cell>
        </row>
        <row r="3418">
          <cell r="A3418" t="str">
            <v>H47.2</v>
          </cell>
          <cell r="B3418" t="str">
            <v>Atrofia óptica</v>
          </cell>
        </row>
        <row r="3419">
          <cell r="A3419" t="str">
            <v>H47.3</v>
          </cell>
          <cell r="B3419" t="str">
            <v>Otros trastornos del disco óptico</v>
          </cell>
        </row>
        <row r="3420">
          <cell r="A3420" t="str">
            <v>H47.4</v>
          </cell>
          <cell r="B3420" t="str">
            <v>Trastornos del quiasma óptico</v>
          </cell>
        </row>
        <row r="3421">
          <cell r="A3421" t="str">
            <v>H47.5</v>
          </cell>
          <cell r="B3421" t="str">
            <v>Trastornos de otras vías ópticas</v>
          </cell>
        </row>
        <row r="3422">
          <cell r="A3422" t="str">
            <v>H47.6</v>
          </cell>
          <cell r="B3422" t="str">
            <v>Trastornos de la corteza visual</v>
          </cell>
        </row>
        <row r="3423">
          <cell r="A3423" t="str">
            <v>H47.7</v>
          </cell>
          <cell r="B3423" t="str">
            <v>Trastorno de las vías ópticas, no especificado</v>
          </cell>
        </row>
        <row r="3424">
          <cell r="A3424" t="str">
            <v>H48*</v>
          </cell>
          <cell r="B3424" t="str">
            <v>Trastornos del nervio óptico [II par] y de las vías ópticas en enfermedades clasificadas en otra parte</v>
          </cell>
        </row>
        <row r="3425">
          <cell r="A3425" t="str">
            <v>H48.0*</v>
          </cell>
          <cell r="B3425" t="str">
            <v>Atrofia óptica en enfermedades clasificadas en otra parte</v>
          </cell>
        </row>
        <row r="3426">
          <cell r="A3426" t="str">
            <v>H48.1*</v>
          </cell>
          <cell r="B3426" t="str">
            <v>Neuritis retrobulbar en enfermedades clasificadas en otra parte</v>
          </cell>
        </row>
        <row r="3427">
          <cell r="A3427" t="str">
            <v>H48.8*</v>
          </cell>
          <cell r="B3427" t="str">
            <v>Otros trastornos del nervio óptico y de las vías ópticas en enfermedades clasificadas en otra parte</v>
          </cell>
        </row>
        <row r="3428">
          <cell r="A3428" t="str">
            <v>H49</v>
          </cell>
          <cell r="B3428" t="str">
            <v>Estrabismo paralítico</v>
          </cell>
        </row>
        <row r="3429">
          <cell r="A3429" t="str">
            <v>H49.0</v>
          </cell>
          <cell r="B3429" t="str">
            <v>Parálisis del nervio motor ocular común [III par]</v>
          </cell>
        </row>
        <row r="3430">
          <cell r="A3430" t="str">
            <v>H49.1</v>
          </cell>
          <cell r="B3430" t="str">
            <v>Parálisis del nervio patético [IV par]</v>
          </cell>
        </row>
        <row r="3431">
          <cell r="A3431" t="str">
            <v>H49.2</v>
          </cell>
          <cell r="B3431" t="str">
            <v>Parálisis del nervio motor ocular externo [VI par]</v>
          </cell>
        </row>
        <row r="3432">
          <cell r="A3432" t="str">
            <v>H49.3</v>
          </cell>
          <cell r="B3432" t="str">
            <v>Oftalmoplejía total (externa)</v>
          </cell>
        </row>
        <row r="3433">
          <cell r="A3433" t="str">
            <v>H49.4</v>
          </cell>
          <cell r="B3433" t="str">
            <v>Oftalmoplejía externa progresiva</v>
          </cell>
        </row>
        <row r="3434">
          <cell r="A3434" t="str">
            <v>H49.8</v>
          </cell>
          <cell r="B3434" t="str">
            <v>Otros estrabismos paralíticos</v>
          </cell>
        </row>
        <row r="3435">
          <cell r="A3435" t="str">
            <v>H49.9</v>
          </cell>
          <cell r="B3435" t="str">
            <v>Estrabismo paralítico, no especificado</v>
          </cell>
        </row>
        <row r="3436">
          <cell r="A3436" t="str">
            <v>H50</v>
          </cell>
          <cell r="B3436" t="str">
            <v>Otros estrabismos</v>
          </cell>
        </row>
        <row r="3437">
          <cell r="A3437" t="str">
            <v>H50.0</v>
          </cell>
          <cell r="B3437" t="str">
            <v>Estrabismo concomitante convergente</v>
          </cell>
        </row>
        <row r="3438">
          <cell r="A3438" t="str">
            <v>H50.1</v>
          </cell>
          <cell r="B3438" t="str">
            <v>Estrabismo concomitante divergente</v>
          </cell>
        </row>
        <row r="3439">
          <cell r="A3439" t="str">
            <v>H50.2</v>
          </cell>
          <cell r="B3439" t="str">
            <v>Estrabismo vertical</v>
          </cell>
        </row>
        <row r="3440">
          <cell r="A3440" t="str">
            <v>H50.3</v>
          </cell>
          <cell r="B3440" t="str">
            <v>Heterotropía intermitente</v>
          </cell>
        </row>
        <row r="3441">
          <cell r="A3441" t="str">
            <v>H50.4</v>
          </cell>
          <cell r="B3441" t="str">
            <v>Otras heterotropías o las no especificadas</v>
          </cell>
        </row>
        <row r="3442">
          <cell r="A3442" t="str">
            <v>H50.5</v>
          </cell>
          <cell r="B3442" t="str">
            <v>Heteroforia</v>
          </cell>
        </row>
        <row r="3443">
          <cell r="A3443" t="str">
            <v>H50.6</v>
          </cell>
          <cell r="B3443" t="str">
            <v>Estrabismo mecánico</v>
          </cell>
        </row>
        <row r="3444">
          <cell r="A3444" t="str">
            <v>H50.8</v>
          </cell>
          <cell r="B3444" t="str">
            <v>Otros estrabismos especificados</v>
          </cell>
        </row>
        <row r="3445">
          <cell r="A3445" t="str">
            <v>H50.9</v>
          </cell>
          <cell r="B3445" t="str">
            <v>Estrabismo, no especificado</v>
          </cell>
        </row>
        <row r="3446">
          <cell r="A3446" t="str">
            <v>H51</v>
          </cell>
          <cell r="B3446" t="str">
            <v>Otros trastornos de los movimientos binoculares</v>
          </cell>
        </row>
        <row r="3447">
          <cell r="A3447" t="str">
            <v>H51.0</v>
          </cell>
          <cell r="B3447" t="str">
            <v>Parálisis de la conjugación de la mirada</v>
          </cell>
        </row>
        <row r="3448">
          <cell r="A3448" t="str">
            <v>H51.1</v>
          </cell>
          <cell r="B3448" t="str">
            <v>Exceso e insuficiencia de la convergencia ocular</v>
          </cell>
        </row>
        <row r="3449">
          <cell r="A3449" t="str">
            <v>H51.2</v>
          </cell>
          <cell r="B3449" t="str">
            <v>Oftalmoplejía internuclear</v>
          </cell>
        </row>
        <row r="3450">
          <cell r="A3450" t="str">
            <v>H51.8</v>
          </cell>
          <cell r="B3450" t="str">
            <v>Otros trastornos especificados de los movimientos binoculares</v>
          </cell>
        </row>
        <row r="3451">
          <cell r="A3451" t="str">
            <v>H51.9</v>
          </cell>
          <cell r="B3451" t="str">
            <v>Trastorno del movimiento binocular, no especificado</v>
          </cell>
        </row>
        <row r="3452">
          <cell r="A3452" t="str">
            <v>H52</v>
          </cell>
          <cell r="B3452" t="str">
            <v>Trastornos de la acomodación y de la refracción</v>
          </cell>
        </row>
        <row r="3453">
          <cell r="A3453" t="str">
            <v>H52.0</v>
          </cell>
          <cell r="B3453" t="str">
            <v>Hipermetropía</v>
          </cell>
        </row>
        <row r="3454">
          <cell r="A3454" t="str">
            <v>H52.1</v>
          </cell>
          <cell r="B3454" t="str">
            <v>Miopía</v>
          </cell>
        </row>
        <row r="3455">
          <cell r="A3455" t="str">
            <v>H52.2</v>
          </cell>
          <cell r="B3455" t="str">
            <v>Astigmatismo</v>
          </cell>
        </row>
        <row r="3456">
          <cell r="A3456" t="str">
            <v>H52.3</v>
          </cell>
          <cell r="B3456" t="str">
            <v>Anisometropía y aniseiconía</v>
          </cell>
        </row>
        <row r="3457">
          <cell r="A3457" t="str">
            <v>H52.4</v>
          </cell>
          <cell r="B3457" t="str">
            <v>Presbicia</v>
          </cell>
        </row>
        <row r="3458">
          <cell r="A3458" t="str">
            <v>H52.5</v>
          </cell>
          <cell r="B3458" t="str">
            <v>Trastornos de la acomodación</v>
          </cell>
        </row>
        <row r="3459">
          <cell r="A3459" t="str">
            <v>H52.6</v>
          </cell>
          <cell r="B3459" t="str">
            <v>Otros trastornos de la refracción</v>
          </cell>
        </row>
        <row r="3460">
          <cell r="A3460" t="str">
            <v>H52.7</v>
          </cell>
          <cell r="B3460" t="str">
            <v>Trastorno de la refracción, no especificado</v>
          </cell>
        </row>
        <row r="3461">
          <cell r="A3461" t="str">
            <v>H53</v>
          </cell>
          <cell r="B3461" t="str">
            <v>Alteraciones de la visión</v>
          </cell>
        </row>
        <row r="3462">
          <cell r="A3462" t="str">
            <v>H53.0</v>
          </cell>
          <cell r="B3462" t="str">
            <v>Ambliopía ex anopsia</v>
          </cell>
        </row>
        <row r="3463">
          <cell r="A3463" t="str">
            <v>H53.1</v>
          </cell>
          <cell r="B3463" t="str">
            <v>Alteraciones visuales subjetivas</v>
          </cell>
        </row>
        <row r="3464">
          <cell r="A3464" t="str">
            <v>H53.2</v>
          </cell>
          <cell r="B3464" t="str">
            <v>Diplopía</v>
          </cell>
        </row>
        <row r="3465">
          <cell r="A3465" t="str">
            <v>H53.3</v>
          </cell>
          <cell r="B3465" t="str">
            <v>Otros trastornos de la visión binocular</v>
          </cell>
        </row>
        <row r="3466">
          <cell r="A3466" t="str">
            <v>H53.4</v>
          </cell>
          <cell r="B3466" t="str">
            <v>Defectos del campo visual</v>
          </cell>
        </row>
        <row r="3467">
          <cell r="A3467" t="str">
            <v>H53.5</v>
          </cell>
          <cell r="B3467" t="str">
            <v>Deficiencia de la visión cromática</v>
          </cell>
        </row>
        <row r="3468">
          <cell r="A3468" t="str">
            <v>H53.6</v>
          </cell>
          <cell r="B3468" t="str">
            <v>Ceguera nocturna</v>
          </cell>
        </row>
        <row r="3469">
          <cell r="A3469" t="str">
            <v>H53.8</v>
          </cell>
          <cell r="B3469" t="str">
            <v>Otras alteraciones visuales</v>
          </cell>
        </row>
        <row r="3470">
          <cell r="A3470" t="str">
            <v>H53.9</v>
          </cell>
          <cell r="B3470" t="str">
            <v>Alteración visual, no especificada</v>
          </cell>
        </row>
        <row r="3471">
          <cell r="A3471" t="str">
            <v>H54</v>
          </cell>
          <cell r="B3471" t="str">
            <v>Ceguera y disminución de la agudeza visual</v>
          </cell>
        </row>
        <row r="3472">
          <cell r="A3472" t="str">
            <v>H54.0</v>
          </cell>
          <cell r="B3472" t="str">
            <v>Ceguera de ambos ojos</v>
          </cell>
        </row>
        <row r="3473">
          <cell r="A3473" t="str">
            <v>H54.1</v>
          </cell>
          <cell r="B3473" t="str">
            <v>Ceguera de un ojo, visión subnormal del otro</v>
          </cell>
        </row>
        <row r="3474">
          <cell r="A3474" t="str">
            <v>H54.2</v>
          </cell>
          <cell r="B3474" t="str">
            <v>Visión subnormal de ambos ojos</v>
          </cell>
        </row>
        <row r="3475">
          <cell r="A3475" t="str">
            <v>H54.3</v>
          </cell>
          <cell r="B3475" t="str">
            <v>Disminución indeterminada de la agudeza visual en ambos ojos</v>
          </cell>
        </row>
        <row r="3476">
          <cell r="A3476" t="str">
            <v>H54.4</v>
          </cell>
          <cell r="B3476" t="str">
            <v>Ceguera de un ojo</v>
          </cell>
        </row>
        <row r="3477">
          <cell r="A3477" t="str">
            <v>H54.5</v>
          </cell>
          <cell r="B3477" t="str">
            <v>Visión subnormal de un ojo</v>
          </cell>
        </row>
        <row r="3478">
          <cell r="A3478" t="str">
            <v>H54.6</v>
          </cell>
          <cell r="B3478" t="str">
            <v>Disminución indeterminada de la agudeza visual de un ojo</v>
          </cell>
        </row>
        <row r="3479">
          <cell r="A3479" t="str">
            <v>H54.7</v>
          </cell>
          <cell r="B3479" t="str">
            <v>Disminución de la agudeza visual, sin especificación</v>
          </cell>
        </row>
        <row r="3480">
          <cell r="A3480" t="str">
            <v>H55.X</v>
          </cell>
          <cell r="B3480" t="str">
            <v>Nistagmo y otros movimientos oculares irregulares</v>
          </cell>
        </row>
        <row r="3481">
          <cell r="A3481" t="str">
            <v>H57.8</v>
          </cell>
          <cell r="B3481" t="str">
            <v>Otros trastornos del ojo y sus anexos</v>
          </cell>
        </row>
        <row r="3482">
          <cell r="A3482" t="str">
            <v>H57.0</v>
          </cell>
          <cell r="B3482" t="str">
            <v>Anomalías de la función pupilar</v>
          </cell>
        </row>
        <row r="3483">
          <cell r="A3483" t="str">
            <v>H57.1</v>
          </cell>
          <cell r="B3483" t="str">
            <v>Dolor ocular</v>
          </cell>
        </row>
        <row r="3484">
          <cell r="A3484" t="str">
            <v>H57.8</v>
          </cell>
          <cell r="B3484" t="str">
            <v>Otros trastornos especificados del ojo y sus anexos</v>
          </cell>
        </row>
        <row r="3485">
          <cell r="A3485" t="str">
            <v>H57.9</v>
          </cell>
          <cell r="B3485" t="str">
            <v>Trastorno del ojo y sus anexos, no especificado</v>
          </cell>
        </row>
        <row r="3486">
          <cell r="A3486" t="str">
            <v>H58*</v>
          </cell>
          <cell r="B3486" t="str">
            <v>Otros trastornos del ojo y sus anexos en enfermedades clasificadas en otra parte</v>
          </cell>
        </row>
        <row r="3487">
          <cell r="A3487" t="str">
            <v>H58.0*</v>
          </cell>
          <cell r="B3487" t="str">
            <v>Anomalías de la función pupilar en enfermedades clasificadas en otra parte</v>
          </cell>
        </row>
        <row r="3488">
          <cell r="A3488" t="str">
            <v>H58.1*</v>
          </cell>
          <cell r="B3488" t="str">
            <v>Alteraciones de la visión en enfermedades clasificadas en otra parte</v>
          </cell>
        </row>
        <row r="3489">
          <cell r="A3489" t="str">
            <v>H58.8*</v>
          </cell>
          <cell r="B3489" t="str">
            <v>Otros trastornos especificados del ojo en enfermedades clasificadas en otra parte</v>
          </cell>
        </row>
        <row r="3490">
          <cell r="A3490" t="str">
            <v>H59</v>
          </cell>
          <cell r="B3490" t="str">
            <v>Trastornos del ojo y sus anexos consecutivos a procedimientos, no clasificados en otra parte</v>
          </cell>
        </row>
        <row r="3491">
          <cell r="A3491" t="str">
            <v>H59.0</v>
          </cell>
          <cell r="B3491" t="str">
            <v>Síndrome vítreo consecutivo a cirugía de catarata</v>
          </cell>
        </row>
        <row r="3492">
          <cell r="A3492" t="str">
            <v>H59.8</v>
          </cell>
          <cell r="B3492" t="str">
            <v>Otros trastornos del ojo y sus anexos, consecutivos a procedimientos</v>
          </cell>
        </row>
        <row r="3493">
          <cell r="A3493" t="str">
            <v>H59.9</v>
          </cell>
          <cell r="B3493" t="str">
            <v>Trastorno no especificado del ojo y sus anexos, consecutivo a procedimientos</v>
          </cell>
        </row>
        <row r="3494">
          <cell r="A3494" t="str">
            <v>H60</v>
          </cell>
          <cell r="B3494" t="str">
            <v>Otitis externa</v>
          </cell>
        </row>
        <row r="3495">
          <cell r="A3495" t="str">
            <v>H60.0</v>
          </cell>
          <cell r="B3495" t="str">
            <v>Absceso del oído externo</v>
          </cell>
        </row>
        <row r="3496">
          <cell r="A3496" t="str">
            <v>H60.1</v>
          </cell>
          <cell r="B3496" t="str">
            <v>Celulitis del oído externo</v>
          </cell>
        </row>
        <row r="3497">
          <cell r="A3497" t="str">
            <v>H60.2</v>
          </cell>
          <cell r="B3497" t="str">
            <v>Otitis externa maligna</v>
          </cell>
        </row>
        <row r="3498">
          <cell r="A3498" t="str">
            <v>H60.3</v>
          </cell>
          <cell r="B3498" t="str">
            <v>Otras otitis externas infecciosas</v>
          </cell>
        </row>
        <row r="3499">
          <cell r="A3499" t="str">
            <v>H60.4</v>
          </cell>
          <cell r="B3499" t="str">
            <v>Colesteatoma del oído externo</v>
          </cell>
        </row>
        <row r="3500">
          <cell r="A3500" t="str">
            <v>H60.5</v>
          </cell>
          <cell r="B3500" t="str">
            <v>Otitis externa aguda, no infecciosa</v>
          </cell>
        </row>
        <row r="3501">
          <cell r="A3501" t="str">
            <v>H60.8</v>
          </cell>
          <cell r="B3501" t="str">
            <v>Otras otitis externas</v>
          </cell>
        </row>
        <row r="3502">
          <cell r="A3502" t="str">
            <v>H60.9</v>
          </cell>
          <cell r="B3502" t="str">
            <v>Otitis externa, sin otra especificación</v>
          </cell>
        </row>
        <row r="3503">
          <cell r="A3503" t="str">
            <v>H61</v>
          </cell>
          <cell r="B3503" t="str">
            <v>Otros trastornos del oído externo</v>
          </cell>
        </row>
        <row r="3504">
          <cell r="A3504" t="str">
            <v>H61.0</v>
          </cell>
          <cell r="B3504" t="str">
            <v>Pericondritis del oído externo</v>
          </cell>
        </row>
        <row r="3505">
          <cell r="A3505" t="str">
            <v>H61.1</v>
          </cell>
          <cell r="B3505" t="str">
            <v>Afecciones no infecciosas del pabellón auditivo</v>
          </cell>
        </row>
        <row r="3506">
          <cell r="A3506" t="str">
            <v>H61.2</v>
          </cell>
          <cell r="B3506" t="str">
            <v>Cerumen impactado</v>
          </cell>
        </row>
        <row r="3507">
          <cell r="A3507" t="str">
            <v>H61.3</v>
          </cell>
          <cell r="B3507" t="str">
            <v>Estenosis adquirida del conducto auditivo externo</v>
          </cell>
        </row>
        <row r="3508">
          <cell r="A3508" t="str">
            <v>H61.8</v>
          </cell>
          <cell r="B3508" t="str">
            <v>Otros trastornos especificados del oído externo</v>
          </cell>
        </row>
        <row r="3509">
          <cell r="A3509" t="str">
            <v>H61.9</v>
          </cell>
          <cell r="B3509" t="str">
            <v>Trastorno del oído externo, no especificado</v>
          </cell>
        </row>
        <row r="3510">
          <cell r="A3510" t="str">
            <v>H62*</v>
          </cell>
          <cell r="B3510" t="str">
            <v>Trastornos del oído externo en enfermedades clasificadas en otra parte</v>
          </cell>
        </row>
        <row r="3511">
          <cell r="A3511" t="str">
            <v>H62.0*</v>
          </cell>
          <cell r="B3511" t="str">
            <v>Otitis externa en enfermedades bacterianas clasificadas en otra parte</v>
          </cell>
        </row>
        <row r="3512">
          <cell r="A3512" t="str">
            <v>H62.1*</v>
          </cell>
          <cell r="B3512" t="str">
            <v>Otitis externa en enfermedades virales clasificadas en otra parte</v>
          </cell>
        </row>
        <row r="3513">
          <cell r="A3513" t="str">
            <v>H62.2*</v>
          </cell>
          <cell r="B3513" t="str">
            <v>Otitis externa en micosis</v>
          </cell>
        </row>
        <row r="3514">
          <cell r="A3514" t="str">
            <v>H62.3*</v>
          </cell>
          <cell r="B3514" t="str">
            <v>Otitis externa en otras enfermedades infecciosas y parasitarias clasificadas en otra parte</v>
          </cell>
        </row>
        <row r="3515">
          <cell r="A3515" t="str">
            <v>H62.4*</v>
          </cell>
          <cell r="B3515" t="str">
            <v>Otitis externa en otras enfermedades clasificadas en otra parte</v>
          </cell>
        </row>
        <row r="3516">
          <cell r="A3516" t="str">
            <v>H62.8*</v>
          </cell>
          <cell r="B3516" t="str">
            <v>Otros trastornos del oído externo en enfermedades clasificadas en otra parte</v>
          </cell>
        </row>
        <row r="3517">
          <cell r="A3517" t="str">
            <v>H65</v>
          </cell>
          <cell r="B3517" t="str">
            <v>Otitis media no supurativa</v>
          </cell>
        </row>
        <row r="3518">
          <cell r="A3518" t="str">
            <v>H65.0</v>
          </cell>
          <cell r="B3518" t="str">
            <v>Otitis media aguda serosa</v>
          </cell>
        </row>
        <row r="3519">
          <cell r="A3519" t="str">
            <v>H65.1</v>
          </cell>
          <cell r="B3519" t="str">
            <v>Otra otitis media aguda, no supurativa</v>
          </cell>
        </row>
        <row r="3520">
          <cell r="A3520" t="str">
            <v>H65.2</v>
          </cell>
          <cell r="B3520" t="str">
            <v>Otitis media crónica serosa</v>
          </cell>
        </row>
        <row r="3521">
          <cell r="A3521" t="str">
            <v>H65.3</v>
          </cell>
          <cell r="B3521" t="str">
            <v>Otitis media crónica mucoide</v>
          </cell>
        </row>
        <row r="3522">
          <cell r="A3522" t="str">
            <v>H65.4</v>
          </cell>
          <cell r="B3522" t="str">
            <v>Otras otitis medias crónicas no supurativas</v>
          </cell>
        </row>
        <row r="3523">
          <cell r="A3523" t="str">
            <v>H65.9</v>
          </cell>
          <cell r="B3523" t="str">
            <v>Otitis media no supurativa, sin otra especificación</v>
          </cell>
        </row>
        <row r="3524">
          <cell r="A3524" t="str">
            <v>H66</v>
          </cell>
          <cell r="B3524" t="str">
            <v>Otitis media supurativa y la no especificada</v>
          </cell>
        </row>
        <row r="3525">
          <cell r="A3525" t="str">
            <v>H66.0</v>
          </cell>
          <cell r="B3525" t="str">
            <v>Otitis media supurativa aguda</v>
          </cell>
        </row>
        <row r="3526">
          <cell r="A3526" t="str">
            <v>H66.1</v>
          </cell>
          <cell r="B3526" t="str">
            <v>Otitis media tubotimpánica supurativa crónica</v>
          </cell>
        </row>
        <row r="3527">
          <cell r="A3527" t="str">
            <v>H66.2</v>
          </cell>
          <cell r="B3527" t="str">
            <v>Otitis media supurativa crónica aticoantral</v>
          </cell>
        </row>
        <row r="3528">
          <cell r="A3528" t="str">
            <v>H66.3</v>
          </cell>
          <cell r="B3528" t="str">
            <v>Otras otitis medias crónicas supurativas</v>
          </cell>
        </row>
        <row r="3529">
          <cell r="A3529" t="str">
            <v>H66.4</v>
          </cell>
          <cell r="B3529" t="str">
            <v>Otitis media supurativa, sin otra especificación</v>
          </cell>
        </row>
        <row r="3530">
          <cell r="A3530" t="str">
            <v>H66.9</v>
          </cell>
          <cell r="B3530" t="str">
            <v>Otitis media, no especificada</v>
          </cell>
        </row>
        <row r="3531">
          <cell r="A3531" t="str">
            <v>H67*</v>
          </cell>
          <cell r="B3531" t="str">
            <v>Otitis media en enfermedades clasificadas en otra parte</v>
          </cell>
        </row>
        <row r="3532">
          <cell r="A3532" t="str">
            <v>H67.0*</v>
          </cell>
          <cell r="B3532" t="str">
            <v>Otitis media en enfermedades bacterianas clasificadas en otra parte</v>
          </cell>
        </row>
        <row r="3533">
          <cell r="A3533" t="str">
            <v>H67.1*</v>
          </cell>
          <cell r="B3533" t="str">
            <v>Otitis media en enfermedades virales clasificadas en otra parte</v>
          </cell>
        </row>
        <row r="3534">
          <cell r="A3534" t="str">
            <v>H67.8*</v>
          </cell>
          <cell r="B3534" t="str">
            <v>Otitis media en otras enfermedades clasificadas en otra parte</v>
          </cell>
        </row>
        <row r="3535">
          <cell r="A3535" t="str">
            <v>H68</v>
          </cell>
          <cell r="B3535" t="str">
            <v>Inflamación y obstrucción de la trompa de Eustaquio</v>
          </cell>
        </row>
        <row r="3536">
          <cell r="A3536" t="str">
            <v>H68.0</v>
          </cell>
          <cell r="B3536" t="str">
            <v>Salpingitis eustaquiana</v>
          </cell>
        </row>
        <row r="3537">
          <cell r="A3537" t="str">
            <v>H68.1</v>
          </cell>
          <cell r="B3537" t="str">
            <v>Obstrucción de la trompa de Eustaquio</v>
          </cell>
        </row>
        <row r="3538">
          <cell r="A3538" t="str">
            <v>H69</v>
          </cell>
          <cell r="B3538" t="str">
            <v>Otros trastornos de la trompa de Eustaquio</v>
          </cell>
        </row>
        <row r="3539">
          <cell r="A3539" t="str">
            <v>H69.0</v>
          </cell>
          <cell r="B3539" t="str">
            <v>Distensión de la trompa de Eustaquio</v>
          </cell>
        </row>
        <row r="3540">
          <cell r="A3540" t="str">
            <v>H69.8</v>
          </cell>
          <cell r="B3540" t="str">
            <v>Otros trastornos especificados de la trompa de Eustaquio</v>
          </cell>
        </row>
        <row r="3541">
          <cell r="A3541" t="str">
            <v>H69.9</v>
          </cell>
          <cell r="B3541" t="str">
            <v>Trastorno de la trompa de Eustaquio, no especificado</v>
          </cell>
        </row>
        <row r="3542">
          <cell r="A3542" t="str">
            <v>H70</v>
          </cell>
          <cell r="B3542" t="str">
            <v>Mastoiditis y afecciones relacionadas</v>
          </cell>
        </row>
        <row r="3543">
          <cell r="A3543" t="str">
            <v>H70.0</v>
          </cell>
          <cell r="B3543" t="str">
            <v>Mastoiditis aguda</v>
          </cell>
        </row>
        <row r="3544">
          <cell r="A3544" t="str">
            <v>H70.1</v>
          </cell>
          <cell r="B3544" t="str">
            <v>Mastoiditis crónica</v>
          </cell>
        </row>
        <row r="3545">
          <cell r="A3545" t="str">
            <v>H70.2</v>
          </cell>
          <cell r="B3545" t="str">
            <v>Petrositis</v>
          </cell>
        </row>
        <row r="3546">
          <cell r="A3546" t="str">
            <v>H70.8</v>
          </cell>
          <cell r="B3546" t="str">
            <v>Otras mastoiditis y afecciones relacionadas</v>
          </cell>
        </row>
        <row r="3547">
          <cell r="A3547" t="str">
            <v>H70.9</v>
          </cell>
          <cell r="B3547" t="str">
            <v>Mastoiditis, no especificada</v>
          </cell>
        </row>
        <row r="3548">
          <cell r="A3548" t="str">
            <v>H71.X</v>
          </cell>
          <cell r="B3548" t="str">
            <v>Colesteatoma del oído medio</v>
          </cell>
        </row>
        <row r="3549">
          <cell r="A3549" t="str">
            <v>H72</v>
          </cell>
          <cell r="B3549" t="str">
            <v>Perforación de la membrana timpánica</v>
          </cell>
        </row>
        <row r="3550">
          <cell r="A3550" t="str">
            <v>H72.0</v>
          </cell>
          <cell r="B3550" t="str">
            <v>Perforación central de la membrana timpánica</v>
          </cell>
        </row>
        <row r="3551">
          <cell r="A3551" t="str">
            <v>H72.1</v>
          </cell>
          <cell r="B3551" t="str">
            <v>Perforación ática de la membrana timpánica</v>
          </cell>
        </row>
        <row r="3552">
          <cell r="A3552" t="str">
            <v>H72.2</v>
          </cell>
          <cell r="B3552" t="str">
            <v>Otras perforaciones marginales de la membrana timpánica</v>
          </cell>
        </row>
        <row r="3553">
          <cell r="A3553" t="str">
            <v>H72.8</v>
          </cell>
          <cell r="B3553" t="str">
            <v>Otras perforaciones de la membrana timpánica</v>
          </cell>
        </row>
        <row r="3554">
          <cell r="A3554" t="str">
            <v>H72.9</v>
          </cell>
          <cell r="B3554" t="str">
            <v>Perforación de la membrana timpánica, sin otra especificación</v>
          </cell>
        </row>
        <row r="3555">
          <cell r="A3555" t="str">
            <v>H73</v>
          </cell>
          <cell r="B3555" t="str">
            <v>Otros trastornos de la membrana timpánica</v>
          </cell>
        </row>
        <row r="3556">
          <cell r="A3556" t="str">
            <v>H73.0</v>
          </cell>
          <cell r="B3556" t="str">
            <v>Miringitis aguda</v>
          </cell>
        </row>
        <row r="3557">
          <cell r="A3557" t="str">
            <v>H73.1</v>
          </cell>
          <cell r="B3557" t="str">
            <v>Miringitis crónica</v>
          </cell>
        </row>
        <row r="3558">
          <cell r="A3558" t="str">
            <v>H73.8</v>
          </cell>
          <cell r="B3558" t="str">
            <v>Otros trastornos especificados de la membrana timpánica</v>
          </cell>
        </row>
        <row r="3559">
          <cell r="A3559" t="str">
            <v>H73.9</v>
          </cell>
          <cell r="B3559" t="str">
            <v>Trastorno de la membrana timpánica, no especificado</v>
          </cell>
        </row>
        <row r="3560">
          <cell r="A3560" t="str">
            <v>H74</v>
          </cell>
          <cell r="B3560" t="str">
            <v>Otros trastornos del oído medio y de la apófisis mastoides</v>
          </cell>
        </row>
        <row r="3561">
          <cell r="A3561" t="str">
            <v>H74.0</v>
          </cell>
          <cell r="B3561" t="str">
            <v>Timpanosclerosis</v>
          </cell>
        </row>
        <row r="3562">
          <cell r="A3562" t="str">
            <v>H74.1</v>
          </cell>
          <cell r="B3562" t="str">
            <v>Enfermedad adhesiva del oído medio</v>
          </cell>
        </row>
        <row r="3563">
          <cell r="A3563" t="str">
            <v>H74.2</v>
          </cell>
          <cell r="B3563" t="str">
            <v>Discontinuidad y dislocación de los huesecillos del oído</v>
          </cell>
        </row>
        <row r="3564">
          <cell r="A3564" t="str">
            <v>H74.3</v>
          </cell>
          <cell r="B3564" t="str">
            <v>Otras anormalidades adquiridas de los huesecillos del oído</v>
          </cell>
        </row>
        <row r="3565">
          <cell r="A3565" t="str">
            <v>H74.4</v>
          </cell>
          <cell r="B3565" t="str">
            <v>Pólipo del oído medio</v>
          </cell>
        </row>
        <row r="3566">
          <cell r="A3566" t="str">
            <v>H74.8</v>
          </cell>
          <cell r="B3566" t="str">
            <v>Otros trastornos especificados del oído medio y de la apófisis mastoides</v>
          </cell>
        </row>
        <row r="3567">
          <cell r="A3567" t="str">
            <v>H74.9</v>
          </cell>
          <cell r="B3567" t="str">
            <v>Trastorno del oído medio y de la apófisis mastoides, no especificado</v>
          </cell>
        </row>
        <row r="3568">
          <cell r="A3568" t="str">
            <v>H75*</v>
          </cell>
          <cell r="B3568" t="str">
            <v>Otros trastornos del oído medio y de la apófisis mastoides en enfermedades clasificadas en otra parte</v>
          </cell>
        </row>
        <row r="3569">
          <cell r="A3569" t="str">
            <v>H75.0*</v>
          </cell>
          <cell r="B3569" t="str">
            <v>Mastoiditis en enfermedades infecciosas y parasitarias clasificadas en otra parte</v>
          </cell>
        </row>
        <row r="3570">
          <cell r="A3570" t="str">
            <v>H75.8*</v>
          </cell>
          <cell r="B3570" t="str">
            <v>Otros trastornos especificados del oído medio y de la apófisis mastoides en enfermedades clasificadas en otra parte</v>
          </cell>
        </row>
        <row r="3571">
          <cell r="A3571" t="str">
            <v>H80</v>
          </cell>
          <cell r="B3571" t="str">
            <v>Otosclerosis</v>
          </cell>
        </row>
        <row r="3572">
          <cell r="A3572" t="str">
            <v>H80.0</v>
          </cell>
          <cell r="B3572" t="str">
            <v>Otosclerosis que afecta la ventana oval, no obliterante</v>
          </cell>
        </row>
        <row r="3573">
          <cell r="A3573" t="str">
            <v>H80.1</v>
          </cell>
          <cell r="B3573" t="str">
            <v>Otosclerosis que afecta la ventana oval, obliterante</v>
          </cell>
        </row>
        <row r="3574">
          <cell r="A3574" t="str">
            <v>H80.2</v>
          </cell>
          <cell r="B3574" t="str">
            <v>Otosclerosis coclear</v>
          </cell>
        </row>
        <row r="3575">
          <cell r="A3575" t="str">
            <v>H80.8</v>
          </cell>
          <cell r="B3575" t="str">
            <v>Otras otosclerosis</v>
          </cell>
        </row>
        <row r="3576">
          <cell r="A3576" t="str">
            <v>H80.9</v>
          </cell>
          <cell r="B3576" t="str">
            <v>Otosclerosis, no especificada</v>
          </cell>
        </row>
        <row r="3577">
          <cell r="A3577" t="str">
            <v>H81</v>
          </cell>
          <cell r="B3577" t="str">
            <v>Trastornos de la función vestibular</v>
          </cell>
        </row>
        <row r="3578">
          <cell r="A3578" t="str">
            <v>H81.0</v>
          </cell>
          <cell r="B3578" t="str">
            <v>Enfermedad de MéniŠre</v>
          </cell>
        </row>
        <row r="3579">
          <cell r="A3579" t="str">
            <v>H81.1</v>
          </cell>
          <cell r="B3579" t="str">
            <v>Vértigo paroxístico benigno</v>
          </cell>
        </row>
        <row r="3580">
          <cell r="A3580" t="str">
            <v>H81.2</v>
          </cell>
          <cell r="B3580" t="str">
            <v>Neuronitis vestibular</v>
          </cell>
        </row>
        <row r="3581">
          <cell r="A3581" t="str">
            <v>H81.3</v>
          </cell>
          <cell r="B3581" t="str">
            <v>Otros vértigos periféricos</v>
          </cell>
        </row>
        <row r="3582">
          <cell r="A3582" t="str">
            <v>H81.4</v>
          </cell>
          <cell r="B3582" t="str">
            <v>Vértigo de origen central</v>
          </cell>
        </row>
        <row r="3583">
          <cell r="A3583" t="str">
            <v>H81.8</v>
          </cell>
          <cell r="B3583" t="str">
            <v>Otros trastornos de la función vestibular</v>
          </cell>
        </row>
        <row r="3584">
          <cell r="A3584" t="str">
            <v>H81.9</v>
          </cell>
          <cell r="B3584" t="str">
            <v>Trastorno de la función vestibular, no especificado</v>
          </cell>
        </row>
        <row r="3585">
          <cell r="A3585" t="str">
            <v>H82.X*</v>
          </cell>
          <cell r="B3585" t="str">
            <v>Síndromes vertiginosos en enfermedades clasificadas en otra parte</v>
          </cell>
        </row>
        <row r="3586">
          <cell r="A3586" t="str">
            <v>H83</v>
          </cell>
          <cell r="B3586" t="str">
            <v>Otros trastornos del oído interno</v>
          </cell>
        </row>
        <row r="3587">
          <cell r="A3587" t="str">
            <v>H83.0</v>
          </cell>
          <cell r="B3587" t="str">
            <v>Laberintitis</v>
          </cell>
        </row>
        <row r="3588">
          <cell r="A3588" t="str">
            <v>H83.1</v>
          </cell>
          <cell r="B3588" t="str">
            <v>Fístula del laberinto</v>
          </cell>
        </row>
        <row r="3589">
          <cell r="A3589" t="str">
            <v>H83.2</v>
          </cell>
          <cell r="B3589" t="str">
            <v>Disfunción del laberinto</v>
          </cell>
        </row>
        <row r="3590">
          <cell r="A3590" t="str">
            <v>H83.3</v>
          </cell>
          <cell r="B3590" t="str">
            <v>Efectos del ruido sobre el oído interno</v>
          </cell>
        </row>
        <row r="3591">
          <cell r="A3591" t="str">
            <v>H83.8</v>
          </cell>
          <cell r="B3591" t="str">
            <v>Otros trastornos especificados del oído interno</v>
          </cell>
        </row>
        <row r="3592">
          <cell r="A3592" t="str">
            <v>H83.9</v>
          </cell>
          <cell r="B3592" t="str">
            <v>Trastorno del oído interno, no especificado</v>
          </cell>
        </row>
        <row r="3593">
          <cell r="A3593" t="str">
            <v>H90</v>
          </cell>
          <cell r="B3593" t="str">
            <v>Hipoacusia conductiva y neurosensorial</v>
          </cell>
        </row>
        <row r="3594">
          <cell r="A3594" t="str">
            <v>H90.0</v>
          </cell>
          <cell r="B3594" t="str">
            <v>Hipoacusia conductiva bilateral</v>
          </cell>
        </row>
        <row r="3595">
          <cell r="A3595" t="str">
            <v>H90.1</v>
          </cell>
          <cell r="B3595" t="str">
            <v>Hipoacusia conductiva, unilateral con audición irrestricta contralateral</v>
          </cell>
        </row>
        <row r="3596">
          <cell r="A3596" t="str">
            <v>H90.2</v>
          </cell>
          <cell r="B3596" t="str">
            <v>Hipoacusia conductiva, sin otra especificación</v>
          </cell>
        </row>
        <row r="3597">
          <cell r="A3597" t="str">
            <v>H90.3</v>
          </cell>
          <cell r="B3597" t="str">
            <v>Hipoacusia neurosensorial, bilateral</v>
          </cell>
        </row>
        <row r="3598">
          <cell r="A3598" t="str">
            <v>H90.4</v>
          </cell>
          <cell r="B3598" t="str">
            <v>Hipoacusia neurosensorial, unilateral con audición irrestricta contralateral</v>
          </cell>
        </row>
        <row r="3599">
          <cell r="A3599" t="str">
            <v>H90.5</v>
          </cell>
          <cell r="B3599" t="str">
            <v>Hipoacusia neurosensorial, sin otra especificación</v>
          </cell>
        </row>
        <row r="3600">
          <cell r="A3600" t="str">
            <v>H90.6</v>
          </cell>
          <cell r="B3600" t="str">
            <v>Hipoacusia mixta conductiva y neurosensorial, bilateral</v>
          </cell>
        </row>
        <row r="3601">
          <cell r="A3601" t="str">
            <v>H90.7</v>
          </cell>
          <cell r="B3601" t="str">
            <v>Hipoacusia mixta conductiva y neurosensorial, unilateral con audición irrestricta contralateral</v>
          </cell>
        </row>
        <row r="3602">
          <cell r="A3602" t="str">
            <v>H90.8</v>
          </cell>
          <cell r="B3602" t="str">
            <v>Hipoacusia mixta conductiva y neurosensorial, no especificada</v>
          </cell>
        </row>
        <row r="3603">
          <cell r="A3603" t="str">
            <v>H91</v>
          </cell>
          <cell r="B3603" t="str">
            <v>Otras hipoacusias</v>
          </cell>
        </row>
        <row r="3604">
          <cell r="A3604" t="str">
            <v>H91.0</v>
          </cell>
          <cell r="B3604" t="str">
            <v>Hipoacusia ototóxica</v>
          </cell>
        </row>
        <row r="3605">
          <cell r="A3605" t="str">
            <v>H91.1</v>
          </cell>
          <cell r="B3605" t="str">
            <v>Presbiacusia</v>
          </cell>
        </row>
        <row r="3606">
          <cell r="A3606" t="str">
            <v>H91.2</v>
          </cell>
          <cell r="B3606" t="str">
            <v>Hipoacusia súbita idiopática</v>
          </cell>
        </row>
        <row r="3607">
          <cell r="A3607" t="str">
            <v>H91.3</v>
          </cell>
          <cell r="B3607" t="str">
            <v>Sordomudez, no clasificada en otra parte</v>
          </cell>
        </row>
        <row r="3608">
          <cell r="A3608" t="str">
            <v>H91.8</v>
          </cell>
          <cell r="B3608" t="str">
            <v>Otras hipoacusias especificadas</v>
          </cell>
        </row>
        <row r="3609">
          <cell r="A3609" t="str">
            <v>H91.9</v>
          </cell>
          <cell r="B3609" t="str">
            <v>Hipoacusia, no especificada</v>
          </cell>
        </row>
        <row r="3610">
          <cell r="A3610" t="str">
            <v>H92</v>
          </cell>
          <cell r="B3610" t="str">
            <v>Otalgia y secreción del oído</v>
          </cell>
        </row>
        <row r="3611">
          <cell r="A3611" t="str">
            <v>H92.0</v>
          </cell>
          <cell r="B3611" t="str">
            <v>Otalgia</v>
          </cell>
        </row>
        <row r="3612">
          <cell r="A3612" t="str">
            <v>H92.1</v>
          </cell>
          <cell r="B3612" t="str">
            <v>Otorrea</v>
          </cell>
        </row>
        <row r="3613">
          <cell r="A3613" t="str">
            <v>H92.2</v>
          </cell>
          <cell r="B3613" t="str">
            <v>Otorragia</v>
          </cell>
        </row>
        <row r="3614">
          <cell r="A3614" t="str">
            <v>H93</v>
          </cell>
          <cell r="B3614" t="str">
            <v>Otros trastornos del oído, no clasificados en otra parte</v>
          </cell>
        </row>
        <row r="3615">
          <cell r="A3615" t="str">
            <v>H93.0</v>
          </cell>
          <cell r="B3615" t="str">
            <v>Trastornos degenerativos y vasculares del oído</v>
          </cell>
        </row>
        <row r="3616">
          <cell r="A3616" t="str">
            <v>H93.1</v>
          </cell>
          <cell r="B3616" t="str">
            <v>Tinnitus</v>
          </cell>
        </row>
        <row r="3617">
          <cell r="A3617" t="str">
            <v>H93.2</v>
          </cell>
          <cell r="B3617" t="str">
            <v>Otras percepciones auditivas anormales</v>
          </cell>
        </row>
        <row r="3618">
          <cell r="A3618" t="str">
            <v>H93.3</v>
          </cell>
          <cell r="B3618" t="str">
            <v>Trastornos del nervio auditivo</v>
          </cell>
        </row>
        <row r="3619">
          <cell r="A3619" t="str">
            <v>H93.8</v>
          </cell>
          <cell r="B3619" t="str">
            <v>Otros trastornos especificados del oído</v>
          </cell>
        </row>
        <row r="3620">
          <cell r="A3620" t="str">
            <v>H93.9</v>
          </cell>
          <cell r="B3620" t="str">
            <v>Trastorno del oído, no especificado</v>
          </cell>
        </row>
        <row r="3621">
          <cell r="A3621" t="str">
            <v>H94*</v>
          </cell>
          <cell r="B3621" t="str">
            <v>Otros trastornos del oído en enfermedades clasificadas en otra parte</v>
          </cell>
        </row>
        <row r="3622">
          <cell r="A3622" t="str">
            <v>H94.0*</v>
          </cell>
          <cell r="B3622" t="str">
            <v>Neuritis del nervio auditivo en enfermedades infecciosas y parasitarias clasificadas en otra parte</v>
          </cell>
        </row>
        <row r="3623">
          <cell r="A3623" t="str">
            <v>H94.8*</v>
          </cell>
          <cell r="B3623" t="str">
            <v>Otros trastornos especificados del oído en enfermedades clasificadas en otra parte</v>
          </cell>
        </row>
        <row r="3624">
          <cell r="A3624" t="str">
            <v>H95</v>
          </cell>
          <cell r="B3624" t="str">
            <v>Trastornos del oído y de la apófisis mastoides consecutivos a procedimientos, no clasificados en otra parte</v>
          </cell>
        </row>
        <row r="3625">
          <cell r="A3625" t="str">
            <v>H95.0</v>
          </cell>
          <cell r="B3625" t="str">
            <v>Colesteatoma recurrente de la cavidad resultante de la mastoidectomía</v>
          </cell>
        </row>
        <row r="3626">
          <cell r="A3626" t="str">
            <v>H95.1</v>
          </cell>
          <cell r="B3626" t="str">
            <v>Otros trastornos posteriores a la mastoidectomía</v>
          </cell>
        </row>
        <row r="3627">
          <cell r="A3627" t="str">
            <v>H95.8</v>
          </cell>
          <cell r="B3627" t="str">
            <v>Otros trastornos del oído y de la apófisis mastoides, consecutivos a procedimientos</v>
          </cell>
        </row>
        <row r="3628">
          <cell r="A3628" t="str">
            <v>H95.9</v>
          </cell>
          <cell r="B3628" t="str">
            <v>Trastornos no especificados del oído y de la apófisis mastoides, consecutivos a procedimientos</v>
          </cell>
        </row>
        <row r="3629">
          <cell r="A3629" t="str">
            <v>I</v>
          </cell>
          <cell r="B3629" t="str">
            <v>Transtornos Cardiovasculares</v>
          </cell>
        </row>
        <row r="3630">
          <cell r="A3630" t="str">
            <v>I00.X</v>
          </cell>
          <cell r="B3630" t="str">
            <v>Fiebre reumática sin mención de complicación cardíaca</v>
          </cell>
        </row>
        <row r="3631">
          <cell r="A3631" t="str">
            <v>I01</v>
          </cell>
          <cell r="B3631" t="str">
            <v>Fiebre reumática con complicación cardíaca</v>
          </cell>
        </row>
        <row r="3632">
          <cell r="A3632" t="str">
            <v>I01.0</v>
          </cell>
          <cell r="B3632" t="str">
            <v>Pericarditis reumática aguda</v>
          </cell>
        </row>
        <row r="3633">
          <cell r="A3633" t="str">
            <v>I01.1</v>
          </cell>
          <cell r="B3633" t="str">
            <v>Endocarditis reumática aguda</v>
          </cell>
        </row>
        <row r="3634">
          <cell r="A3634" t="str">
            <v>I01.2</v>
          </cell>
          <cell r="B3634" t="str">
            <v>Miocarditis reumática aguda</v>
          </cell>
        </row>
        <row r="3635">
          <cell r="A3635" t="str">
            <v>I01.8</v>
          </cell>
          <cell r="B3635" t="str">
            <v>Otras enfermedades reumáticas agudas del corazón</v>
          </cell>
        </row>
        <row r="3636">
          <cell r="A3636" t="str">
            <v>I01.9</v>
          </cell>
          <cell r="B3636" t="str">
            <v>Enfermedad reumática aguda del corazón, no especificada</v>
          </cell>
        </row>
        <row r="3637">
          <cell r="A3637" t="str">
            <v>I02</v>
          </cell>
          <cell r="B3637" t="str">
            <v>Corea reumática</v>
          </cell>
        </row>
        <row r="3638">
          <cell r="A3638" t="str">
            <v>I02.0</v>
          </cell>
          <cell r="B3638" t="str">
            <v>Corea reumática con complicación cardíaca</v>
          </cell>
        </row>
        <row r="3639">
          <cell r="A3639" t="str">
            <v>I02.9</v>
          </cell>
          <cell r="B3639" t="str">
            <v>Corea reumática sin mención de complicación cardíaca</v>
          </cell>
        </row>
        <row r="3640">
          <cell r="A3640" t="str">
            <v>I05</v>
          </cell>
          <cell r="B3640" t="str">
            <v>Enfermedades reumáticas de la válvula mitral</v>
          </cell>
        </row>
        <row r="3641">
          <cell r="A3641" t="str">
            <v>I05.0</v>
          </cell>
          <cell r="B3641" t="str">
            <v>Estenosis mitral</v>
          </cell>
        </row>
        <row r="3642">
          <cell r="A3642" t="str">
            <v>I05.1</v>
          </cell>
          <cell r="B3642" t="str">
            <v>Insuficiencia mitral reumática</v>
          </cell>
        </row>
        <row r="3643">
          <cell r="A3643" t="str">
            <v>I05.2</v>
          </cell>
          <cell r="B3643" t="str">
            <v>Estenosis mitral con insuficiencia</v>
          </cell>
        </row>
        <row r="3644">
          <cell r="A3644" t="str">
            <v>I05.8</v>
          </cell>
          <cell r="B3644" t="str">
            <v>Otras enfermedades de la válvula mitral</v>
          </cell>
        </row>
        <row r="3645">
          <cell r="A3645" t="str">
            <v>I05.9</v>
          </cell>
          <cell r="B3645" t="str">
            <v>Enfermedad valvular mitral, no especificada</v>
          </cell>
        </row>
        <row r="3646">
          <cell r="A3646" t="str">
            <v>I06</v>
          </cell>
          <cell r="B3646" t="str">
            <v>Enfermedades reumáticas de la válvula aórtica</v>
          </cell>
        </row>
        <row r="3647">
          <cell r="A3647" t="str">
            <v>I06.0</v>
          </cell>
          <cell r="B3647" t="str">
            <v>Estenosis aórtica reumática</v>
          </cell>
        </row>
        <row r="3648">
          <cell r="A3648" t="str">
            <v>I06.1</v>
          </cell>
          <cell r="B3648" t="str">
            <v>Insuficiencia aórtica reumática</v>
          </cell>
        </row>
        <row r="3649">
          <cell r="A3649" t="str">
            <v>I06.2</v>
          </cell>
          <cell r="B3649" t="str">
            <v>Estenosis aórtica reumática con insuficiencia</v>
          </cell>
        </row>
        <row r="3650">
          <cell r="A3650" t="str">
            <v>I06.8</v>
          </cell>
          <cell r="B3650" t="str">
            <v>Otras enfermedades reumáticas de la válvula aórtica</v>
          </cell>
        </row>
        <row r="3651">
          <cell r="A3651" t="str">
            <v>I06.9</v>
          </cell>
          <cell r="B3651" t="str">
            <v>Enfermedad valvular aórtica reumática, no especificada</v>
          </cell>
        </row>
        <row r="3652">
          <cell r="A3652" t="str">
            <v>I07</v>
          </cell>
          <cell r="B3652" t="str">
            <v>Enfermedades reumáticas de la válvula tricúspide</v>
          </cell>
        </row>
        <row r="3653">
          <cell r="A3653" t="str">
            <v>I07.0</v>
          </cell>
          <cell r="B3653" t="str">
            <v>Estenosis tricúspide</v>
          </cell>
        </row>
        <row r="3654">
          <cell r="A3654" t="str">
            <v>I07.1</v>
          </cell>
          <cell r="B3654" t="str">
            <v>Insuficiencia tricúspide</v>
          </cell>
        </row>
        <row r="3655">
          <cell r="A3655" t="str">
            <v>I07.2</v>
          </cell>
          <cell r="B3655" t="str">
            <v>Estenosis e insuficiencia tricúspide</v>
          </cell>
        </row>
        <row r="3656">
          <cell r="A3656" t="str">
            <v>I07.8</v>
          </cell>
          <cell r="B3656" t="str">
            <v>Otras enfermedades de la válvula tricúspide</v>
          </cell>
        </row>
        <row r="3657">
          <cell r="A3657" t="str">
            <v>I07.9</v>
          </cell>
          <cell r="B3657" t="str">
            <v>Enfermedad de la válvula tricúspide, no especificada</v>
          </cell>
        </row>
        <row r="3658">
          <cell r="A3658" t="str">
            <v>I08</v>
          </cell>
          <cell r="B3658" t="str">
            <v>Enfermedades valvulares múltiples</v>
          </cell>
        </row>
        <row r="3659">
          <cell r="A3659" t="str">
            <v>I08.0</v>
          </cell>
          <cell r="B3659" t="str">
            <v>Trastornos de las válvulas mitral y aórtica</v>
          </cell>
        </row>
        <row r="3660">
          <cell r="A3660" t="str">
            <v>I08.1</v>
          </cell>
          <cell r="B3660" t="str">
            <v>Trastornos de las válvulas mitral y tricúspide</v>
          </cell>
        </row>
        <row r="3661">
          <cell r="A3661" t="str">
            <v>I08.2</v>
          </cell>
          <cell r="B3661" t="str">
            <v>Trastornos de las válvulas aórtica y tricúspide</v>
          </cell>
        </row>
        <row r="3662">
          <cell r="A3662" t="str">
            <v>I08.3</v>
          </cell>
          <cell r="B3662" t="str">
            <v>Trastornos combinados de las válvulas mitral, tricúspide y aórtica</v>
          </cell>
        </row>
        <row r="3663">
          <cell r="A3663" t="str">
            <v>I08.8</v>
          </cell>
          <cell r="B3663" t="str">
            <v>Otras enfermedades de múltiples válvulas</v>
          </cell>
        </row>
        <row r="3664">
          <cell r="A3664" t="str">
            <v>I08.9</v>
          </cell>
          <cell r="B3664" t="str">
            <v>Enfermedad de múltiples válvulas, no especificada</v>
          </cell>
        </row>
        <row r="3665">
          <cell r="A3665" t="str">
            <v>I09</v>
          </cell>
          <cell r="B3665" t="str">
            <v>Otras enfermedades reumáticas del corazón</v>
          </cell>
        </row>
        <row r="3666">
          <cell r="A3666" t="str">
            <v>I09.0</v>
          </cell>
          <cell r="B3666" t="str">
            <v>Miocarditis reumática</v>
          </cell>
        </row>
        <row r="3667">
          <cell r="A3667" t="str">
            <v>I09.1</v>
          </cell>
          <cell r="B3667" t="str">
            <v>Enfermedades reumáticas del endocardio, válvula no especificada</v>
          </cell>
        </row>
        <row r="3668">
          <cell r="A3668" t="str">
            <v>I09.2</v>
          </cell>
          <cell r="B3668" t="str">
            <v>Pericarditis reumática crónica</v>
          </cell>
        </row>
        <row r="3669">
          <cell r="A3669" t="str">
            <v>I09.8</v>
          </cell>
          <cell r="B3669" t="str">
            <v>Otras enfermedades reumáticas especificadas del corazón</v>
          </cell>
        </row>
        <row r="3670">
          <cell r="A3670" t="str">
            <v>I09.9</v>
          </cell>
          <cell r="B3670" t="str">
            <v>Enfermedad reumática del corazón, no especificada</v>
          </cell>
        </row>
        <row r="3671">
          <cell r="A3671" t="str">
            <v>I10.X</v>
          </cell>
          <cell r="B3671" t="str">
            <v>Hipertensión esencial (primaria)</v>
          </cell>
        </row>
        <row r="3672">
          <cell r="A3672" t="str">
            <v>I11</v>
          </cell>
          <cell r="B3672" t="str">
            <v>Enfermedad cardíaca hipertensiva</v>
          </cell>
        </row>
        <row r="3673">
          <cell r="A3673" t="str">
            <v>I11.0</v>
          </cell>
          <cell r="B3673" t="str">
            <v>Enfermedad cardíaca hipertensiva con insuficiencia cardíaca (congestiva)</v>
          </cell>
        </row>
        <row r="3674">
          <cell r="A3674" t="str">
            <v>I11.9</v>
          </cell>
          <cell r="B3674" t="str">
            <v>Enfermedad cardíaca hipertensiva sin insuficiencia cardíaca (congestiva)</v>
          </cell>
        </row>
        <row r="3675">
          <cell r="A3675" t="str">
            <v>I12</v>
          </cell>
          <cell r="B3675" t="str">
            <v>Enfermedad renal hipertensiva</v>
          </cell>
        </row>
        <row r="3676">
          <cell r="A3676" t="str">
            <v>I12.0</v>
          </cell>
          <cell r="B3676" t="str">
            <v>Enfermedad renal hipertensiva con insuficiencia renal</v>
          </cell>
        </row>
        <row r="3677">
          <cell r="A3677" t="str">
            <v>I12.9</v>
          </cell>
          <cell r="B3677" t="str">
            <v>Enfermedad renal hipertensiva sin insuficiencia renal</v>
          </cell>
        </row>
        <row r="3678">
          <cell r="A3678" t="str">
            <v>I13</v>
          </cell>
          <cell r="B3678" t="str">
            <v>Enfermedad cardiorrenal hipertensiva</v>
          </cell>
        </row>
        <row r="3679">
          <cell r="A3679" t="str">
            <v>I13.0</v>
          </cell>
          <cell r="B3679" t="str">
            <v>Enfermedad cardiorrenal hipertensiva con insuficiencia cardíaca (congestiva)</v>
          </cell>
        </row>
        <row r="3680">
          <cell r="A3680" t="str">
            <v>I13.1</v>
          </cell>
          <cell r="B3680" t="str">
            <v>Enfermedad cardiorrenal hipertensiva con insuficiencia renal</v>
          </cell>
        </row>
        <row r="3681">
          <cell r="A3681" t="str">
            <v>I13.2</v>
          </cell>
          <cell r="B3681" t="str">
            <v>Enfermedad cardiorrenal hipertensiva con insuficiencia cardíaca (congestiva) e insuficiencia renal</v>
          </cell>
        </row>
        <row r="3682">
          <cell r="A3682" t="str">
            <v>I13.9</v>
          </cell>
          <cell r="B3682" t="str">
            <v>Enfermedad cardiorrenal hipertensiva, no especificada</v>
          </cell>
        </row>
        <row r="3683">
          <cell r="A3683" t="str">
            <v>I15</v>
          </cell>
          <cell r="B3683" t="str">
            <v>Hipertensión secundaria</v>
          </cell>
        </row>
        <row r="3684">
          <cell r="A3684" t="str">
            <v>I15.0</v>
          </cell>
          <cell r="B3684" t="str">
            <v>Hipertensión renovascular</v>
          </cell>
        </row>
        <row r="3685">
          <cell r="A3685" t="str">
            <v>I15.1</v>
          </cell>
          <cell r="B3685" t="str">
            <v>Hipertensión secundaria a otros trastornos renales</v>
          </cell>
        </row>
        <row r="3686">
          <cell r="A3686" t="str">
            <v>I15.2</v>
          </cell>
          <cell r="B3686" t="str">
            <v>Hipertensión secundaria a trastornos endocrinos</v>
          </cell>
        </row>
        <row r="3687">
          <cell r="A3687" t="str">
            <v>I15.8</v>
          </cell>
          <cell r="B3687" t="str">
            <v>Otros tipos de hipertensión secundaria</v>
          </cell>
        </row>
        <row r="3688">
          <cell r="A3688" t="str">
            <v>I15.9</v>
          </cell>
          <cell r="B3688" t="str">
            <v>Hipertensión secundaria, no especificada</v>
          </cell>
        </row>
        <row r="3689">
          <cell r="A3689" t="str">
            <v>I20</v>
          </cell>
          <cell r="B3689" t="str">
            <v>Angina de pecho</v>
          </cell>
        </row>
        <row r="3690">
          <cell r="A3690" t="str">
            <v>I20.0</v>
          </cell>
          <cell r="B3690" t="str">
            <v>Angina inestable</v>
          </cell>
        </row>
        <row r="3691">
          <cell r="A3691" t="str">
            <v>I20.1</v>
          </cell>
          <cell r="B3691" t="str">
            <v>Angina de pecho con espasmo documentado</v>
          </cell>
        </row>
        <row r="3692">
          <cell r="A3692" t="str">
            <v>I20.8</v>
          </cell>
          <cell r="B3692" t="str">
            <v>Otras formas especificadas de angina de pecho</v>
          </cell>
        </row>
        <row r="3693">
          <cell r="A3693" t="str">
            <v>I20.9</v>
          </cell>
          <cell r="B3693" t="str">
            <v>Angina de pecho, no especificada</v>
          </cell>
        </row>
        <row r="3694">
          <cell r="A3694" t="str">
            <v>I21</v>
          </cell>
          <cell r="B3694" t="str">
            <v>Infarto agudo del miocardio</v>
          </cell>
        </row>
        <row r="3695">
          <cell r="A3695" t="str">
            <v>I21.0</v>
          </cell>
          <cell r="B3695" t="str">
            <v>Infarto transmural agudo del miocardio de la pared anterior</v>
          </cell>
        </row>
        <row r="3696">
          <cell r="A3696" t="str">
            <v>I21.1</v>
          </cell>
          <cell r="B3696" t="str">
            <v>Infarto transmural agudo del miocardio de la pared inferior</v>
          </cell>
        </row>
        <row r="3697">
          <cell r="A3697" t="str">
            <v>I21.2</v>
          </cell>
          <cell r="B3697" t="str">
            <v>Infarto agudo transmural del miocardio de otros sitios</v>
          </cell>
        </row>
        <row r="3698">
          <cell r="A3698" t="str">
            <v>I21.3</v>
          </cell>
          <cell r="B3698" t="str">
            <v>Infarto transmural agudo del miocardio, de sitio no especificado</v>
          </cell>
        </row>
        <row r="3699">
          <cell r="A3699" t="str">
            <v>I21.4</v>
          </cell>
          <cell r="B3699" t="str">
            <v>Infarto subendocárdico agudo del miocardio</v>
          </cell>
        </row>
        <row r="3700">
          <cell r="A3700" t="str">
            <v>I21.9</v>
          </cell>
          <cell r="B3700" t="str">
            <v>Infarto agudo del miocardio, sin otra especificación</v>
          </cell>
        </row>
        <row r="3701">
          <cell r="A3701" t="str">
            <v>I22</v>
          </cell>
          <cell r="B3701" t="str">
            <v>Infarto subsecuente del miocardio</v>
          </cell>
        </row>
        <row r="3702">
          <cell r="A3702" t="str">
            <v>I22.0</v>
          </cell>
          <cell r="B3702" t="str">
            <v>Infarto subsecuente del miocardio de la pared anterior</v>
          </cell>
        </row>
        <row r="3703">
          <cell r="A3703" t="str">
            <v>I22.1</v>
          </cell>
          <cell r="B3703" t="str">
            <v>Infarto subsecuente del miocardio de la pared inferior</v>
          </cell>
        </row>
        <row r="3704">
          <cell r="A3704" t="str">
            <v>I22.8</v>
          </cell>
          <cell r="B3704" t="str">
            <v>Infarto subsecuente del miocardio de otros sitios</v>
          </cell>
        </row>
        <row r="3705">
          <cell r="A3705" t="str">
            <v>I22.9</v>
          </cell>
          <cell r="B3705" t="str">
            <v>Infarto subsecuente del miocardio, de parte no especificada</v>
          </cell>
        </row>
        <row r="3706">
          <cell r="A3706" t="str">
            <v>I23</v>
          </cell>
          <cell r="B3706" t="str">
            <v>Ciertas complicaciones presentes posteriores al infarto agudo del miocardio</v>
          </cell>
        </row>
        <row r="3707">
          <cell r="A3707" t="str">
            <v>I23.0</v>
          </cell>
          <cell r="B3707" t="str">
            <v>Hemopericardio como complicación presente posterior al infarto agudo del miocardio</v>
          </cell>
        </row>
        <row r="3708">
          <cell r="A3708" t="str">
            <v>I23.1</v>
          </cell>
          <cell r="B3708" t="str">
            <v>Defecto del tabique auricular como complicación presente posterior al infarto del miocardio</v>
          </cell>
        </row>
        <row r="3709">
          <cell r="A3709" t="str">
            <v>I23.2</v>
          </cell>
          <cell r="B3709" t="str">
            <v>Defecto del tabique ventricular como complicación presente posterior al infarto del miocardio</v>
          </cell>
        </row>
        <row r="3710">
          <cell r="A3710" t="str">
            <v>I23.3</v>
          </cell>
          <cell r="B3710" t="str">
            <v>Ruptura de la pared cardíaca sin hemopericardio como complicación presente posterior al infarto agudo del miocardio</v>
          </cell>
        </row>
        <row r="3711">
          <cell r="A3711" t="str">
            <v>I23.4</v>
          </cell>
          <cell r="B3711" t="str">
            <v>Ruptura de las cuerdas tendinosas como complicación presente posterior al infarto agudo del miocardio</v>
          </cell>
        </row>
        <row r="3712">
          <cell r="A3712" t="str">
            <v>I23.5</v>
          </cell>
          <cell r="B3712" t="str">
            <v>Ruptura de músculo papilar como complicación presente posterior al infarto agudo del miocardio</v>
          </cell>
        </row>
        <row r="3713">
          <cell r="A3713" t="str">
            <v>I23.6</v>
          </cell>
          <cell r="B3713" t="str">
            <v>Trombosis de la aurícula, apéndice auricular y ventrículo como complicación presente posterior al infarto agudo del miocardio</v>
          </cell>
        </row>
        <row r="3714">
          <cell r="A3714" t="str">
            <v>I23.8</v>
          </cell>
          <cell r="B3714" t="str">
            <v>Otras complicaciones presentes posteriores al infarto agudo del miocardio</v>
          </cell>
        </row>
        <row r="3715">
          <cell r="A3715" t="str">
            <v>I24</v>
          </cell>
          <cell r="B3715" t="str">
            <v>Otras enfermedades isquémicas agudas del corazón</v>
          </cell>
        </row>
        <row r="3716">
          <cell r="A3716" t="str">
            <v>I24.0</v>
          </cell>
          <cell r="B3716" t="str">
            <v>Trombosis coronaria que no resulta en infarto del miocardio</v>
          </cell>
        </row>
        <row r="3717">
          <cell r="A3717" t="str">
            <v>I24.1</v>
          </cell>
          <cell r="B3717" t="str">
            <v>Síndrome de Dressler</v>
          </cell>
        </row>
        <row r="3718">
          <cell r="A3718" t="str">
            <v>I24.8</v>
          </cell>
          <cell r="B3718" t="str">
            <v>Otras formas de enfermedad isquémica aguda del corazón</v>
          </cell>
        </row>
        <row r="3719">
          <cell r="A3719" t="str">
            <v>I24.9</v>
          </cell>
          <cell r="B3719" t="str">
            <v>Enfermedad isquémica aguda del corazón, no especificada</v>
          </cell>
        </row>
        <row r="3720">
          <cell r="A3720" t="str">
            <v>I25</v>
          </cell>
          <cell r="B3720" t="str">
            <v>Enfermedad isquémica crónica del corazón</v>
          </cell>
        </row>
        <row r="3721">
          <cell r="A3721" t="str">
            <v>I25.0</v>
          </cell>
          <cell r="B3721" t="str">
            <v>Enfermedad cardiovascular aterosclerótica, así descrita</v>
          </cell>
        </row>
        <row r="3722">
          <cell r="A3722" t="str">
            <v>I25.1</v>
          </cell>
          <cell r="B3722" t="str">
            <v>Enfermedad aterosclerótica del corazón</v>
          </cell>
        </row>
        <row r="3723">
          <cell r="A3723" t="str">
            <v>I25.2</v>
          </cell>
          <cell r="B3723" t="str">
            <v>Infarto antiguo del miocardio</v>
          </cell>
        </row>
        <row r="3724">
          <cell r="A3724" t="str">
            <v>I25.3</v>
          </cell>
          <cell r="B3724" t="str">
            <v>Aneurisma cardíaco</v>
          </cell>
        </row>
        <row r="3725">
          <cell r="A3725" t="str">
            <v>I25.4</v>
          </cell>
          <cell r="B3725" t="str">
            <v>Aneurisma de arteria coronaria</v>
          </cell>
        </row>
        <row r="3726">
          <cell r="A3726" t="str">
            <v>I25.5</v>
          </cell>
          <cell r="B3726" t="str">
            <v>Cardiomiopatía isquémica</v>
          </cell>
        </row>
        <row r="3727">
          <cell r="A3727" t="str">
            <v>I25.6</v>
          </cell>
          <cell r="B3727" t="str">
            <v>Isquemia silente del miocardio</v>
          </cell>
        </row>
        <row r="3728">
          <cell r="A3728" t="str">
            <v>I25.8</v>
          </cell>
          <cell r="B3728" t="str">
            <v>Otras formas de enfermedad isquémica crónica del corazón</v>
          </cell>
        </row>
        <row r="3729">
          <cell r="A3729" t="str">
            <v>I25.9</v>
          </cell>
          <cell r="B3729" t="str">
            <v>Enfermedad isquémica crónica del corazón, no especificada</v>
          </cell>
        </row>
        <row r="3730">
          <cell r="A3730" t="str">
            <v>I26</v>
          </cell>
          <cell r="B3730" t="str">
            <v>Embolia pulmonar</v>
          </cell>
        </row>
        <row r="3731">
          <cell r="A3731" t="str">
            <v>I26.0</v>
          </cell>
          <cell r="B3731" t="str">
            <v>Embolia pulmonar con mención de corazón pulmonar agudo</v>
          </cell>
        </row>
        <row r="3732">
          <cell r="A3732" t="str">
            <v>I26.9</v>
          </cell>
          <cell r="B3732" t="str">
            <v>Embolia pulmonar sin mención de corazón pulmonar agudo</v>
          </cell>
        </row>
        <row r="3733">
          <cell r="A3733" t="str">
            <v>I27</v>
          </cell>
          <cell r="B3733" t="str">
            <v>Otras enfermedades cardiopulmonares</v>
          </cell>
        </row>
        <row r="3734">
          <cell r="A3734" t="str">
            <v>I27.0</v>
          </cell>
          <cell r="B3734" t="str">
            <v>Hipertensión pulmonar primaria</v>
          </cell>
        </row>
        <row r="3735">
          <cell r="A3735" t="str">
            <v>I27.1</v>
          </cell>
          <cell r="B3735" t="str">
            <v>Enfermedad cifoscoliótica del corazón</v>
          </cell>
        </row>
        <row r="3736">
          <cell r="A3736" t="str">
            <v>I27.8</v>
          </cell>
          <cell r="B3736" t="str">
            <v>Otras enfermedades cardiopulmonares especificadas</v>
          </cell>
        </row>
        <row r="3737">
          <cell r="A3737" t="str">
            <v>I27.9</v>
          </cell>
          <cell r="B3737" t="str">
            <v>Enfermedad pulmonar del corazón, no especificada</v>
          </cell>
        </row>
        <row r="3738">
          <cell r="A3738" t="str">
            <v>I28</v>
          </cell>
          <cell r="B3738" t="str">
            <v>Otras enfermedades de los vasos pulmonares</v>
          </cell>
        </row>
        <row r="3739">
          <cell r="A3739" t="str">
            <v>I28.0</v>
          </cell>
          <cell r="B3739" t="str">
            <v>Fístula arteriovenosa de los vasos pulmonares</v>
          </cell>
        </row>
        <row r="3740">
          <cell r="A3740" t="str">
            <v>I28.1</v>
          </cell>
          <cell r="B3740" t="str">
            <v>Aneurisma de la arteria pulmonar</v>
          </cell>
        </row>
        <row r="3741">
          <cell r="A3741" t="str">
            <v>I28.8</v>
          </cell>
          <cell r="B3741" t="str">
            <v>Otras enfermedades especificadas de los vasos pulmonares</v>
          </cell>
        </row>
        <row r="3742">
          <cell r="A3742" t="str">
            <v>I28.9</v>
          </cell>
          <cell r="B3742" t="str">
            <v>Enfermedad de los vasos pulmonares, no especificada</v>
          </cell>
        </row>
        <row r="3743">
          <cell r="A3743" t="str">
            <v>I30</v>
          </cell>
          <cell r="B3743" t="str">
            <v>Pericarditis aguda</v>
          </cell>
        </row>
        <row r="3744">
          <cell r="A3744" t="str">
            <v>I30.0</v>
          </cell>
          <cell r="B3744" t="str">
            <v>Pericarditis idiopática aguda inespecífica</v>
          </cell>
        </row>
        <row r="3745">
          <cell r="A3745" t="str">
            <v>I30.1</v>
          </cell>
          <cell r="B3745" t="str">
            <v>Pericarditis infecciosa</v>
          </cell>
        </row>
        <row r="3746">
          <cell r="A3746" t="str">
            <v>I30.8</v>
          </cell>
          <cell r="B3746" t="str">
            <v>Otras formas de pericarditis aguda</v>
          </cell>
        </row>
        <row r="3747">
          <cell r="A3747" t="str">
            <v>I30.9</v>
          </cell>
          <cell r="B3747" t="str">
            <v>Pericarditis aguda, no especificada</v>
          </cell>
        </row>
        <row r="3748">
          <cell r="A3748" t="str">
            <v>I31</v>
          </cell>
          <cell r="B3748" t="str">
            <v>Otras enfermedades del pericardio</v>
          </cell>
        </row>
        <row r="3749">
          <cell r="A3749" t="str">
            <v>I31.0</v>
          </cell>
          <cell r="B3749" t="str">
            <v>Pericarditis crónica adhesiva</v>
          </cell>
        </row>
        <row r="3750">
          <cell r="A3750" t="str">
            <v>I31.1</v>
          </cell>
          <cell r="B3750" t="str">
            <v>Pericarditis constrictiva crónica</v>
          </cell>
        </row>
        <row r="3751">
          <cell r="A3751" t="str">
            <v>I31.2</v>
          </cell>
          <cell r="B3751" t="str">
            <v>Hemopericardio, no clasificado en otra parte</v>
          </cell>
        </row>
        <row r="3752">
          <cell r="A3752" t="str">
            <v>I31.3</v>
          </cell>
          <cell r="B3752" t="str">
            <v>Derrame pericárdico (no inflamatorio)</v>
          </cell>
        </row>
        <row r="3753">
          <cell r="A3753" t="str">
            <v>I31.8</v>
          </cell>
          <cell r="B3753" t="str">
            <v>Otras enfermedades especificadas del pericardio</v>
          </cell>
        </row>
        <row r="3754">
          <cell r="A3754" t="str">
            <v>I31.9</v>
          </cell>
          <cell r="B3754" t="str">
            <v>Enfermedad del pericardio, no especificada</v>
          </cell>
        </row>
        <row r="3755">
          <cell r="A3755" t="str">
            <v>I32*</v>
          </cell>
          <cell r="B3755" t="str">
            <v>Pericarditis en enfermedades clasificadas en otra parte</v>
          </cell>
        </row>
        <row r="3756">
          <cell r="A3756" t="str">
            <v>I32.0*</v>
          </cell>
          <cell r="B3756" t="str">
            <v>Pericarditis en enfermedades bacterianas clasificadas en otra parte</v>
          </cell>
        </row>
        <row r="3757">
          <cell r="A3757" t="str">
            <v>I32.1*</v>
          </cell>
          <cell r="B3757" t="str">
            <v>Pericarditis en otras enfermedades infecciosas y parasitarias clasificadas en otra parte</v>
          </cell>
        </row>
        <row r="3758">
          <cell r="A3758" t="str">
            <v>I32.8*</v>
          </cell>
          <cell r="B3758" t="str">
            <v>Pericarditis en otras enfermedades clasificadas en otra parte</v>
          </cell>
        </row>
        <row r="3759">
          <cell r="A3759" t="str">
            <v>I33</v>
          </cell>
          <cell r="B3759" t="str">
            <v>Endocarditis aguda y subaguda</v>
          </cell>
        </row>
        <row r="3760">
          <cell r="A3760" t="str">
            <v>I33.0</v>
          </cell>
          <cell r="B3760" t="str">
            <v>Endocarditis infecciosa aguda y subaguda</v>
          </cell>
        </row>
        <row r="3761">
          <cell r="A3761" t="str">
            <v>I33.9</v>
          </cell>
          <cell r="B3761" t="str">
            <v>Endocarditis aguda, no especificada</v>
          </cell>
        </row>
        <row r="3762">
          <cell r="A3762" t="str">
            <v>I34</v>
          </cell>
          <cell r="B3762" t="str">
            <v>Trastornos no reumáticos de la válvula mitral</v>
          </cell>
        </row>
        <row r="3763">
          <cell r="A3763" t="str">
            <v>I34.0</v>
          </cell>
          <cell r="B3763" t="str">
            <v>Insuficiencia (de la válvula) mitral</v>
          </cell>
        </row>
        <row r="3764">
          <cell r="A3764" t="str">
            <v>I34.1</v>
          </cell>
          <cell r="B3764" t="str">
            <v>Prolapso (de la válvula) mitral</v>
          </cell>
        </row>
        <row r="3765">
          <cell r="A3765" t="str">
            <v>I34.2</v>
          </cell>
          <cell r="B3765" t="str">
            <v>Estenosis (de la válvula) mitral, no reumática</v>
          </cell>
        </row>
        <row r="3766">
          <cell r="A3766" t="str">
            <v>I34.8</v>
          </cell>
          <cell r="B3766" t="str">
            <v>Otros trastornos no reumáticos de la válvula mitral</v>
          </cell>
        </row>
        <row r="3767">
          <cell r="A3767" t="str">
            <v>I34.9</v>
          </cell>
          <cell r="B3767" t="str">
            <v>Trastorno mitral no reumático, no especificado</v>
          </cell>
        </row>
        <row r="3768">
          <cell r="A3768" t="str">
            <v>I35</v>
          </cell>
          <cell r="B3768" t="str">
            <v>Trastornos no reumáticos de la válvula aórtica</v>
          </cell>
        </row>
        <row r="3769">
          <cell r="A3769" t="str">
            <v>I35.0</v>
          </cell>
          <cell r="B3769" t="str">
            <v>Estenosis (de la válvula) aórtica</v>
          </cell>
        </row>
        <row r="3770">
          <cell r="A3770" t="str">
            <v>I35.1</v>
          </cell>
          <cell r="B3770" t="str">
            <v>Insuficiencia (de la válvula) aórtica</v>
          </cell>
        </row>
        <row r="3771">
          <cell r="A3771" t="str">
            <v>I35.2</v>
          </cell>
          <cell r="B3771" t="str">
            <v>Estenosis (de la válvula) aórtica con insuficiencia</v>
          </cell>
        </row>
        <row r="3772">
          <cell r="A3772" t="str">
            <v>I35.8</v>
          </cell>
          <cell r="B3772" t="str">
            <v>Otros trastornos de la válvula aórtica</v>
          </cell>
        </row>
        <row r="3773">
          <cell r="A3773" t="str">
            <v>I35.9</v>
          </cell>
          <cell r="B3773" t="str">
            <v>Trastorno de la válvula aórtica, no especificado</v>
          </cell>
        </row>
        <row r="3774">
          <cell r="A3774" t="str">
            <v>I36</v>
          </cell>
          <cell r="B3774" t="str">
            <v>Trastornos no reumáticos de la válvula tricúspide</v>
          </cell>
        </row>
        <row r="3775">
          <cell r="A3775" t="str">
            <v>I36.0</v>
          </cell>
          <cell r="B3775" t="str">
            <v>Estenosis no reumática (de la válvula) tricúspide</v>
          </cell>
        </row>
        <row r="3776">
          <cell r="A3776" t="str">
            <v>I36.1</v>
          </cell>
          <cell r="B3776" t="str">
            <v>Insuficiencia no reumática (de la válvula) tricúspide</v>
          </cell>
        </row>
        <row r="3777">
          <cell r="A3777" t="str">
            <v>I36.2</v>
          </cell>
          <cell r="B3777" t="str">
            <v>Estenosis con insuficiencia no reumática (de la válvula) tricúspide</v>
          </cell>
        </row>
        <row r="3778">
          <cell r="A3778" t="str">
            <v>I36.8</v>
          </cell>
          <cell r="B3778" t="str">
            <v>Otros trastornos no reumáticos de la válvula tricúspide</v>
          </cell>
        </row>
        <row r="3779">
          <cell r="A3779" t="str">
            <v>I36.9</v>
          </cell>
          <cell r="B3779" t="str">
            <v>Trastorno no reumático de la válvula tricúspide, no especificado</v>
          </cell>
        </row>
        <row r="3780">
          <cell r="A3780" t="str">
            <v>I37</v>
          </cell>
          <cell r="B3780" t="str">
            <v>Trastornos de la válvula pulmonar</v>
          </cell>
        </row>
        <row r="3781">
          <cell r="A3781" t="str">
            <v>I37.0</v>
          </cell>
          <cell r="B3781" t="str">
            <v>Estenosis de la válvula pulmonar</v>
          </cell>
        </row>
        <row r="3782">
          <cell r="A3782" t="str">
            <v>I37.1</v>
          </cell>
          <cell r="B3782" t="str">
            <v>Insuficiencia de la válvula pulmonar</v>
          </cell>
        </row>
        <row r="3783">
          <cell r="A3783" t="str">
            <v>I37.2</v>
          </cell>
          <cell r="B3783" t="str">
            <v>Estenosis de la válvula pulmonar con insuficiencia</v>
          </cell>
        </row>
        <row r="3784">
          <cell r="A3784" t="str">
            <v>I37.8</v>
          </cell>
          <cell r="B3784" t="str">
            <v>Otros trastornos de la válvula pulmonar</v>
          </cell>
        </row>
        <row r="3785">
          <cell r="A3785" t="str">
            <v>I37.9</v>
          </cell>
          <cell r="B3785" t="str">
            <v>Trastorno de la válvula pulmonar, no especificado</v>
          </cell>
        </row>
        <row r="3786">
          <cell r="A3786" t="str">
            <v>I38.X</v>
          </cell>
          <cell r="B3786" t="str">
            <v>Endocarditis, válvula no especificada</v>
          </cell>
        </row>
        <row r="3787">
          <cell r="A3787" t="str">
            <v>I39*</v>
          </cell>
          <cell r="B3787" t="str">
            <v>Endocarditis y trastornos valvulares en enfermedades clasificadas en otra parte</v>
          </cell>
        </row>
        <row r="3788">
          <cell r="A3788" t="str">
            <v>I39.0*</v>
          </cell>
          <cell r="B3788" t="str">
            <v>Trastornos de la válvula mitral en enfermedades clasificadas en otra parte</v>
          </cell>
        </row>
        <row r="3789">
          <cell r="A3789" t="str">
            <v>I39.1*</v>
          </cell>
          <cell r="B3789" t="str">
            <v>Trastornos de la válvula aórtica en enfermedades clasificadas en otra parte</v>
          </cell>
        </row>
        <row r="3790">
          <cell r="A3790" t="str">
            <v>I39.2*</v>
          </cell>
          <cell r="B3790" t="str">
            <v>Trastornos de la válvula tricúspide en enfermedades clasificadas en otra parte</v>
          </cell>
        </row>
        <row r="3791">
          <cell r="A3791" t="str">
            <v>I39.3*</v>
          </cell>
          <cell r="B3791" t="str">
            <v>Trastornos de la válvula pulmonar en enfermedades clasificadas en otra parte</v>
          </cell>
        </row>
        <row r="3792">
          <cell r="A3792" t="str">
            <v>I39.4*</v>
          </cell>
          <cell r="B3792" t="str">
            <v>Trastornos valvulares múltiples en enfermedades clasificadas en otra parte</v>
          </cell>
        </row>
        <row r="3793">
          <cell r="A3793" t="str">
            <v>I39.8*</v>
          </cell>
          <cell r="B3793" t="str">
            <v>Endocarditis, válvula no especificada, en enfermedades clasificadas en otra parte</v>
          </cell>
        </row>
        <row r="3794">
          <cell r="A3794" t="str">
            <v>I40</v>
          </cell>
          <cell r="B3794" t="str">
            <v>Miocarditis aguda</v>
          </cell>
        </row>
        <row r="3795">
          <cell r="A3795" t="str">
            <v>I40.0</v>
          </cell>
          <cell r="B3795" t="str">
            <v>Miocarditis infecciosa</v>
          </cell>
        </row>
        <row r="3796">
          <cell r="A3796" t="str">
            <v>I40.1</v>
          </cell>
          <cell r="B3796" t="str">
            <v>Miocarditis aislada</v>
          </cell>
        </row>
        <row r="3797">
          <cell r="A3797" t="str">
            <v>I40.8</v>
          </cell>
          <cell r="B3797" t="str">
            <v>Otras miocarditis agudas</v>
          </cell>
        </row>
        <row r="3798">
          <cell r="A3798" t="str">
            <v>I40.9</v>
          </cell>
          <cell r="B3798" t="str">
            <v>Miocarditis aguda, no especificada</v>
          </cell>
        </row>
        <row r="3799">
          <cell r="A3799" t="str">
            <v>I41*</v>
          </cell>
          <cell r="B3799" t="str">
            <v>Miocarditis en enfermedades clasificadas en otra parte</v>
          </cell>
        </row>
        <row r="3800">
          <cell r="A3800" t="str">
            <v>I41.0*</v>
          </cell>
          <cell r="B3800" t="str">
            <v>Miocarditis en enfermedades bacterianas clasificadas en otra parte</v>
          </cell>
        </row>
        <row r="3801">
          <cell r="A3801" t="str">
            <v>I41.1*</v>
          </cell>
          <cell r="B3801" t="str">
            <v>Miocarditis en enfermedades virales clasificadas en otra parte</v>
          </cell>
        </row>
        <row r="3802">
          <cell r="A3802" t="str">
            <v>I41.2*</v>
          </cell>
          <cell r="B3802" t="str">
            <v>Miocarditis en otras enfermedades infecciosas y parasitarias clasificadas en otra parte</v>
          </cell>
        </row>
        <row r="3803">
          <cell r="A3803" t="str">
            <v>I41.8*</v>
          </cell>
          <cell r="B3803" t="str">
            <v>Miocarditis en otras enfermedades clasificadas en otra parte</v>
          </cell>
        </row>
        <row r="3804">
          <cell r="A3804" t="str">
            <v>I42</v>
          </cell>
          <cell r="B3804" t="str">
            <v>Cardiomiopatía</v>
          </cell>
        </row>
        <row r="3805">
          <cell r="A3805" t="str">
            <v>I42.0</v>
          </cell>
          <cell r="B3805" t="str">
            <v>Cardiomiopatía dilatada</v>
          </cell>
        </row>
        <row r="3806">
          <cell r="A3806" t="str">
            <v>I42.1</v>
          </cell>
          <cell r="B3806" t="str">
            <v>Cardiomiopatía hipertrófica obstructiva</v>
          </cell>
        </row>
        <row r="3807">
          <cell r="A3807" t="str">
            <v>I42.2</v>
          </cell>
          <cell r="B3807" t="str">
            <v>Otras cardiomiopatías hipertróficas</v>
          </cell>
        </row>
        <row r="3808">
          <cell r="A3808" t="str">
            <v>I42.3</v>
          </cell>
          <cell r="B3808" t="str">
            <v>Enfermedad endomiocárdica (eosinofílica)</v>
          </cell>
        </row>
        <row r="3809">
          <cell r="A3809" t="str">
            <v>I42.4</v>
          </cell>
          <cell r="B3809" t="str">
            <v>Fibroelastosis endocárdica</v>
          </cell>
        </row>
        <row r="3810">
          <cell r="A3810" t="str">
            <v>I42.5</v>
          </cell>
          <cell r="B3810" t="str">
            <v>Otras cardiomiopatías restrictivas</v>
          </cell>
        </row>
        <row r="3811">
          <cell r="A3811" t="str">
            <v>I42.6</v>
          </cell>
          <cell r="B3811" t="str">
            <v>Cardiomiopatía alcohólica</v>
          </cell>
        </row>
        <row r="3812">
          <cell r="A3812" t="str">
            <v>I42.7</v>
          </cell>
          <cell r="B3812" t="str">
            <v>Cardiomiopatía debida a drogas y otros agentes externos</v>
          </cell>
        </row>
        <row r="3813">
          <cell r="A3813" t="str">
            <v>I42.8</v>
          </cell>
          <cell r="B3813" t="str">
            <v>Otras cardiomiopatías</v>
          </cell>
        </row>
        <row r="3814">
          <cell r="A3814" t="str">
            <v>I42.9</v>
          </cell>
          <cell r="B3814" t="str">
            <v>Cardiomiopatía, no especificada</v>
          </cell>
        </row>
        <row r="3815">
          <cell r="A3815" t="str">
            <v>I43*</v>
          </cell>
          <cell r="B3815" t="str">
            <v>Cardiomiopatía en enfermedades clasificadas en otra parte</v>
          </cell>
        </row>
        <row r="3816">
          <cell r="A3816" t="str">
            <v>I43.0*</v>
          </cell>
          <cell r="B3816" t="str">
            <v>Cardiomiopatía en enfermedades infecciosas y parasitarias clasificadas en otra parte</v>
          </cell>
        </row>
        <row r="3817">
          <cell r="A3817" t="str">
            <v>I43.1*</v>
          </cell>
          <cell r="B3817" t="str">
            <v>Cardiomiopatía en enfermedades metabólicas</v>
          </cell>
        </row>
        <row r="3818">
          <cell r="A3818" t="str">
            <v>I43.2*</v>
          </cell>
          <cell r="B3818" t="str">
            <v>Cardiomiopatía en enfermedades nutricionales</v>
          </cell>
        </row>
        <row r="3819">
          <cell r="A3819" t="str">
            <v>I43.8*</v>
          </cell>
          <cell r="B3819" t="str">
            <v>Cardiomiopatía en otras enfermedades clasificadas en otra parte</v>
          </cell>
        </row>
        <row r="3820">
          <cell r="A3820" t="str">
            <v>I44</v>
          </cell>
          <cell r="B3820" t="str">
            <v>Bloqueo auriculoventricular y de rama izquierda del haz</v>
          </cell>
        </row>
        <row r="3821">
          <cell r="A3821" t="str">
            <v>I44.0</v>
          </cell>
          <cell r="B3821" t="str">
            <v>Bloqueo auriculoventricular de primer grado</v>
          </cell>
        </row>
        <row r="3822">
          <cell r="A3822" t="str">
            <v>I44.1</v>
          </cell>
          <cell r="B3822" t="str">
            <v>Bloqueo auriculoventricular de segundo grado</v>
          </cell>
        </row>
        <row r="3823">
          <cell r="A3823" t="str">
            <v>I44.2</v>
          </cell>
          <cell r="B3823" t="str">
            <v>Bloqueo auriculoventricular completo</v>
          </cell>
        </row>
        <row r="3824">
          <cell r="A3824" t="str">
            <v>I44.3</v>
          </cell>
          <cell r="B3824" t="str">
            <v>Otros tipos de bloqueo auriculoventricular y los no especificados</v>
          </cell>
        </row>
        <row r="3825">
          <cell r="A3825" t="str">
            <v>I44.4</v>
          </cell>
          <cell r="B3825" t="str">
            <v>Bloqueo fascicular anterior izquierdo</v>
          </cell>
        </row>
        <row r="3826">
          <cell r="A3826" t="str">
            <v>I44.5</v>
          </cell>
          <cell r="B3826" t="str">
            <v>Bloqueo fascicular posterior izquierdo</v>
          </cell>
        </row>
        <row r="3827">
          <cell r="A3827" t="str">
            <v>I44.6</v>
          </cell>
          <cell r="B3827" t="str">
            <v>Otros tipos de bloqueo fascicular y los no especificados</v>
          </cell>
        </row>
        <row r="3828">
          <cell r="A3828" t="str">
            <v>I44.7</v>
          </cell>
          <cell r="B3828" t="str">
            <v>Bloqueo de rama izquierda del haz, sin otra especificación</v>
          </cell>
        </row>
        <row r="3829">
          <cell r="A3829" t="str">
            <v>I45</v>
          </cell>
          <cell r="B3829" t="str">
            <v>Otros trastornos de la conducción</v>
          </cell>
        </row>
        <row r="3830">
          <cell r="A3830" t="str">
            <v>I45.0</v>
          </cell>
          <cell r="B3830" t="str">
            <v>Bloqueo fascicular derecho</v>
          </cell>
        </row>
        <row r="3831">
          <cell r="A3831" t="str">
            <v>I45.1</v>
          </cell>
          <cell r="B3831" t="str">
            <v>Otros tipos de bloqueo de rama derecha del haz y los no especificados</v>
          </cell>
        </row>
        <row r="3832">
          <cell r="A3832" t="str">
            <v>I45.2</v>
          </cell>
          <cell r="B3832" t="str">
            <v>Bloqueo bifascicular</v>
          </cell>
        </row>
        <row r="3833">
          <cell r="A3833" t="str">
            <v>I45.3</v>
          </cell>
          <cell r="B3833" t="str">
            <v>Bloqueo trifascicular</v>
          </cell>
        </row>
        <row r="3834">
          <cell r="A3834" t="str">
            <v>I45.4</v>
          </cell>
          <cell r="B3834" t="str">
            <v>Bloqueo intraventricular no especificado</v>
          </cell>
        </row>
        <row r="3835">
          <cell r="A3835" t="str">
            <v>I45.5</v>
          </cell>
          <cell r="B3835" t="str">
            <v>Otros tipos especificados de bloqueo del corazón</v>
          </cell>
        </row>
        <row r="3836">
          <cell r="A3836" t="str">
            <v>I45.6</v>
          </cell>
          <cell r="B3836" t="str">
            <v>Síndrome de preexcitación</v>
          </cell>
        </row>
        <row r="3837">
          <cell r="A3837" t="str">
            <v>I45.8</v>
          </cell>
          <cell r="B3837" t="str">
            <v>Otros trastornos especificados de la conducción</v>
          </cell>
        </row>
        <row r="3838">
          <cell r="A3838" t="str">
            <v>I45.9</v>
          </cell>
          <cell r="B3838" t="str">
            <v>Trastorno de la conducción, no especificado</v>
          </cell>
        </row>
        <row r="3839">
          <cell r="A3839" t="str">
            <v>I46</v>
          </cell>
          <cell r="B3839" t="str">
            <v>Paro cardíaco</v>
          </cell>
        </row>
        <row r="3840">
          <cell r="A3840" t="str">
            <v>I46.0</v>
          </cell>
          <cell r="B3840" t="str">
            <v>Paro cardíaco con resucitación exitosa</v>
          </cell>
        </row>
        <row r="3841">
          <cell r="A3841" t="str">
            <v>I46.1</v>
          </cell>
          <cell r="B3841" t="str">
            <v>Muerte cardíaca súbita, así descrita</v>
          </cell>
        </row>
        <row r="3842">
          <cell r="A3842" t="str">
            <v>I46.9</v>
          </cell>
          <cell r="B3842" t="str">
            <v>Paro cardíaco, no especificado</v>
          </cell>
        </row>
        <row r="3843">
          <cell r="A3843" t="str">
            <v>I47</v>
          </cell>
          <cell r="B3843" t="str">
            <v>Taquicardia paroxística</v>
          </cell>
        </row>
        <row r="3844">
          <cell r="A3844" t="str">
            <v>I47.0</v>
          </cell>
          <cell r="B3844" t="str">
            <v>Arritmia por reentrada ventricular</v>
          </cell>
        </row>
        <row r="3845">
          <cell r="A3845" t="str">
            <v>I47.1</v>
          </cell>
          <cell r="B3845" t="str">
            <v>Taquicardia supraventricular</v>
          </cell>
        </row>
        <row r="3846">
          <cell r="A3846" t="str">
            <v>I47.2</v>
          </cell>
          <cell r="B3846" t="str">
            <v>Taquicardia ventricular</v>
          </cell>
        </row>
        <row r="3847">
          <cell r="A3847" t="str">
            <v>I47.9</v>
          </cell>
          <cell r="B3847" t="str">
            <v>Taquicardia paroxística, no especificada</v>
          </cell>
        </row>
        <row r="3848">
          <cell r="A3848" t="str">
            <v>I48.X</v>
          </cell>
          <cell r="B3848" t="str">
            <v>Fibrilación y aleteo auricular</v>
          </cell>
        </row>
        <row r="3849">
          <cell r="A3849" t="str">
            <v>I49</v>
          </cell>
          <cell r="B3849" t="str">
            <v>Otras arritmias cardíacas</v>
          </cell>
        </row>
        <row r="3850">
          <cell r="A3850" t="str">
            <v>I49.0</v>
          </cell>
          <cell r="B3850" t="str">
            <v>Fibrilación y aleteo ventricular</v>
          </cell>
        </row>
        <row r="3851">
          <cell r="A3851" t="str">
            <v>I49.1</v>
          </cell>
          <cell r="B3851" t="str">
            <v>Despolarización auricular prematura</v>
          </cell>
        </row>
        <row r="3852">
          <cell r="A3852" t="str">
            <v>I49.2</v>
          </cell>
          <cell r="B3852" t="str">
            <v>Despolarización prematura nodal</v>
          </cell>
        </row>
        <row r="3853">
          <cell r="A3853" t="str">
            <v>I49.3</v>
          </cell>
          <cell r="B3853" t="str">
            <v>Despolarización ventricular prematura</v>
          </cell>
        </row>
        <row r="3854">
          <cell r="A3854" t="str">
            <v>I49.4</v>
          </cell>
          <cell r="B3854" t="str">
            <v>Otros tipos de despolarización prematura y los no especificados</v>
          </cell>
        </row>
        <row r="3855">
          <cell r="A3855" t="str">
            <v>I49.5</v>
          </cell>
          <cell r="B3855" t="str">
            <v>Síndrome del seno enfermo</v>
          </cell>
        </row>
        <row r="3856">
          <cell r="A3856" t="str">
            <v>I49.8</v>
          </cell>
          <cell r="B3856" t="str">
            <v>Otras arritmias cardíacas especificadas</v>
          </cell>
        </row>
        <row r="3857">
          <cell r="A3857" t="str">
            <v>I49.9</v>
          </cell>
          <cell r="B3857" t="str">
            <v>Arritmia cardíaca, no especificada</v>
          </cell>
        </row>
        <row r="3858">
          <cell r="A3858" t="str">
            <v>I50</v>
          </cell>
          <cell r="B3858" t="str">
            <v>Insuficiencia cardíaca</v>
          </cell>
        </row>
        <row r="3859">
          <cell r="A3859" t="str">
            <v>I50.0</v>
          </cell>
          <cell r="B3859" t="str">
            <v>Insuficiencia cardíaca congestiva</v>
          </cell>
        </row>
        <row r="3860">
          <cell r="A3860" t="str">
            <v>I50.1</v>
          </cell>
          <cell r="B3860" t="str">
            <v>Insuficiencia ventricular izquierda</v>
          </cell>
        </row>
        <row r="3861">
          <cell r="A3861" t="str">
            <v>I50.9</v>
          </cell>
          <cell r="B3861" t="str">
            <v>Insuficiencia cardíaca, no especificada</v>
          </cell>
        </row>
        <row r="3862">
          <cell r="A3862" t="str">
            <v>I51</v>
          </cell>
          <cell r="B3862" t="str">
            <v>Complicaciones y descripciones mal definidas de enfermedad cardíaca</v>
          </cell>
        </row>
        <row r="3863">
          <cell r="A3863" t="str">
            <v>I51.0</v>
          </cell>
          <cell r="B3863" t="str">
            <v>Defecto del tabique cardíaco, adquirido</v>
          </cell>
        </row>
        <row r="3864">
          <cell r="A3864" t="str">
            <v>I51.1</v>
          </cell>
          <cell r="B3864" t="str">
            <v>Ruptura de cuerda tendinosa, no clasificada en otra parte</v>
          </cell>
        </row>
        <row r="3865">
          <cell r="A3865" t="str">
            <v>I51.2</v>
          </cell>
          <cell r="B3865" t="str">
            <v>Ruptura de músculo papilar, no clasificada en otra parte</v>
          </cell>
        </row>
        <row r="3866">
          <cell r="A3866" t="str">
            <v>I51.3</v>
          </cell>
          <cell r="B3866" t="str">
            <v>Trombosis intracardíaca, no clasificada en otra parte</v>
          </cell>
        </row>
        <row r="3867">
          <cell r="A3867" t="str">
            <v>I51.4</v>
          </cell>
          <cell r="B3867" t="str">
            <v>Miocarditis, no especificada</v>
          </cell>
        </row>
        <row r="3868">
          <cell r="A3868" t="str">
            <v>I51.5</v>
          </cell>
          <cell r="B3868" t="str">
            <v>Degeneración miocárdica</v>
          </cell>
        </row>
        <row r="3869">
          <cell r="A3869" t="str">
            <v>I51.6</v>
          </cell>
          <cell r="B3869" t="str">
            <v>Enfermedad cardiovascular, no especificada</v>
          </cell>
        </row>
        <row r="3870">
          <cell r="A3870" t="str">
            <v>I51.7</v>
          </cell>
          <cell r="B3870" t="str">
            <v>Cardiomegalia</v>
          </cell>
        </row>
        <row r="3871">
          <cell r="A3871" t="str">
            <v>I51.8</v>
          </cell>
          <cell r="B3871" t="str">
            <v>Otras enfermedades cardíacas mal definidas</v>
          </cell>
        </row>
        <row r="3872">
          <cell r="A3872" t="str">
            <v>I51.9</v>
          </cell>
          <cell r="B3872" t="str">
            <v>Enfermedad cardíaca, no especificada</v>
          </cell>
        </row>
        <row r="3873">
          <cell r="A3873" t="str">
            <v>I52*</v>
          </cell>
          <cell r="B3873" t="str">
            <v>Otros trastornos cardíacos en enfermedades clasificadas en otra parte</v>
          </cell>
        </row>
        <row r="3874">
          <cell r="A3874" t="str">
            <v>I52.0*</v>
          </cell>
          <cell r="B3874" t="str">
            <v>Otros trastornos cardíacos en enfermedades bacterianas clasificadas en otra parte</v>
          </cell>
        </row>
        <row r="3875">
          <cell r="A3875" t="str">
            <v>I52.1*</v>
          </cell>
          <cell r="B3875" t="str">
            <v>Otros trastornos cardíacos en otras enfermedades infecciosas y parasitarias clasificadas en otra parte</v>
          </cell>
        </row>
        <row r="3876">
          <cell r="A3876" t="str">
            <v>I52.8*</v>
          </cell>
          <cell r="B3876" t="str">
            <v>Otros trastornos cardíacos en otras enfermedades clasificadas en otra parte</v>
          </cell>
        </row>
        <row r="3877">
          <cell r="A3877" t="str">
            <v>I60</v>
          </cell>
          <cell r="B3877" t="str">
            <v>Hemorragia subaracnoidea</v>
          </cell>
        </row>
        <row r="3878">
          <cell r="A3878" t="str">
            <v>I60.0</v>
          </cell>
          <cell r="B3878" t="str">
            <v>Hemorragia subaracnoidea de sifón y bifurcación carotídea</v>
          </cell>
        </row>
        <row r="3879">
          <cell r="A3879" t="str">
            <v>I60.1</v>
          </cell>
          <cell r="B3879" t="str">
            <v>Hemorragia subaracnoidea de arteria cerebral media</v>
          </cell>
        </row>
        <row r="3880">
          <cell r="A3880" t="str">
            <v>I60.2</v>
          </cell>
          <cell r="B3880" t="str">
            <v>Hemorragia subaracnoidea de arteria comunicante anterior</v>
          </cell>
        </row>
        <row r="3881">
          <cell r="A3881" t="str">
            <v>I60.3</v>
          </cell>
          <cell r="B3881" t="str">
            <v>Hemorragia subaracnoidea de arteria comunicante posterior</v>
          </cell>
        </row>
        <row r="3882">
          <cell r="A3882" t="str">
            <v>I60.4</v>
          </cell>
          <cell r="B3882" t="str">
            <v>Hemorragia subaracnoidea de arteria basilar</v>
          </cell>
        </row>
        <row r="3883">
          <cell r="A3883" t="str">
            <v>I60.5</v>
          </cell>
          <cell r="B3883" t="str">
            <v>Hemorragia subaracnoidea de arteria vertebral</v>
          </cell>
        </row>
        <row r="3884">
          <cell r="A3884" t="str">
            <v>I60.6</v>
          </cell>
          <cell r="B3884" t="str">
            <v>Hemorragia subaracnoidea de otras arterias intracraneales</v>
          </cell>
        </row>
        <row r="3885">
          <cell r="A3885" t="str">
            <v>I60.7</v>
          </cell>
          <cell r="B3885" t="str">
            <v>Hemorragia subaracnoidea de arteria intracraneal no especificada</v>
          </cell>
        </row>
        <row r="3886">
          <cell r="A3886" t="str">
            <v>I60.8</v>
          </cell>
          <cell r="B3886" t="str">
            <v>Otras hemorragias subaracnoideas</v>
          </cell>
        </row>
        <row r="3887">
          <cell r="A3887" t="str">
            <v>I60.9</v>
          </cell>
          <cell r="B3887" t="str">
            <v>Hemorragia subaracnoidea, no especificada</v>
          </cell>
        </row>
        <row r="3888">
          <cell r="A3888" t="str">
            <v>I61</v>
          </cell>
          <cell r="B3888" t="str">
            <v>Hemorragia intraencefálica</v>
          </cell>
        </row>
        <row r="3889">
          <cell r="A3889" t="str">
            <v>I61.0</v>
          </cell>
          <cell r="B3889" t="str">
            <v>Hemorragia intracerebral en hemisferio, subcortical</v>
          </cell>
        </row>
        <row r="3890">
          <cell r="A3890" t="str">
            <v>I61.1</v>
          </cell>
          <cell r="B3890" t="str">
            <v>Hemorragia intracerebral en hemisferio, cortical</v>
          </cell>
        </row>
        <row r="3891">
          <cell r="A3891" t="str">
            <v>I61.2</v>
          </cell>
          <cell r="B3891" t="str">
            <v>Hemorragia intracerebral en hemisferio, no especificada</v>
          </cell>
        </row>
        <row r="3892">
          <cell r="A3892" t="str">
            <v>I61.3</v>
          </cell>
          <cell r="B3892" t="str">
            <v>Hemorragia intraencefálica en tallo cerebral</v>
          </cell>
        </row>
        <row r="3893">
          <cell r="A3893" t="str">
            <v>I61.4</v>
          </cell>
          <cell r="B3893" t="str">
            <v>Hemorragia intraencefálica en cerebelo</v>
          </cell>
        </row>
        <row r="3894">
          <cell r="A3894" t="str">
            <v>I61.5</v>
          </cell>
          <cell r="B3894" t="str">
            <v>Hemorragia intraencefálica, intraventricular</v>
          </cell>
        </row>
        <row r="3895">
          <cell r="A3895" t="str">
            <v>I61.6</v>
          </cell>
          <cell r="B3895" t="str">
            <v>Hemorragia intraencefálica de localizaciones múltiples</v>
          </cell>
        </row>
        <row r="3896">
          <cell r="A3896" t="str">
            <v>I61.8</v>
          </cell>
          <cell r="B3896" t="str">
            <v>Otras hemorragias intraencefálicas</v>
          </cell>
        </row>
        <row r="3897">
          <cell r="A3897" t="str">
            <v>I61.9</v>
          </cell>
          <cell r="B3897" t="str">
            <v>Hemorragia intraencefálica, no especificada</v>
          </cell>
        </row>
        <row r="3898">
          <cell r="A3898" t="str">
            <v>I62</v>
          </cell>
          <cell r="B3898" t="str">
            <v>Otras hemorragias intracraneales no traumáticas</v>
          </cell>
        </row>
        <row r="3899">
          <cell r="A3899" t="str">
            <v>I62.0</v>
          </cell>
          <cell r="B3899" t="str">
            <v>Hemorragia subdural (aguda) (no traumática)</v>
          </cell>
        </row>
        <row r="3900">
          <cell r="A3900" t="str">
            <v>I62.1</v>
          </cell>
          <cell r="B3900" t="str">
            <v>Hemorragia extradural no traumática</v>
          </cell>
        </row>
        <row r="3901">
          <cell r="A3901" t="str">
            <v>I62.9</v>
          </cell>
          <cell r="B3901" t="str">
            <v>Hemorragia intracraneal (no traumática), no especificada</v>
          </cell>
        </row>
        <row r="3902">
          <cell r="A3902" t="str">
            <v>I63</v>
          </cell>
          <cell r="B3902" t="str">
            <v>Infarto cerebral</v>
          </cell>
        </row>
        <row r="3903">
          <cell r="A3903" t="str">
            <v>I63.0</v>
          </cell>
          <cell r="B3903" t="str">
            <v>Infarto cerebral debido a trombosis de arterias precerebrales</v>
          </cell>
        </row>
        <row r="3904">
          <cell r="A3904" t="str">
            <v>I63.1</v>
          </cell>
          <cell r="B3904" t="str">
            <v>Infarto cerebral debido a embolia de arterias precerebrales</v>
          </cell>
        </row>
        <row r="3905">
          <cell r="A3905" t="str">
            <v>I63.2</v>
          </cell>
          <cell r="B3905" t="str">
            <v>Infarto cerebral debido a oclusión o estenosis no especificada de arterias precerebrales</v>
          </cell>
        </row>
        <row r="3906">
          <cell r="A3906" t="str">
            <v>I63.3</v>
          </cell>
          <cell r="B3906" t="str">
            <v>Infarto cerebral debido a trombosis de arterias cerebrales</v>
          </cell>
        </row>
        <row r="3907">
          <cell r="A3907" t="str">
            <v>I63.4</v>
          </cell>
          <cell r="B3907" t="str">
            <v>Infarto cerebral debido a embolia de arterias cerebrales</v>
          </cell>
        </row>
        <row r="3908">
          <cell r="A3908" t="str">
            <v>I63.5</v>
          </cell>
          <cell r="B3908" t="str">
            <v>Infarto cerebral debido a oclusión o estenosis no especificada de arterias cerebrales</v>
          </cell>
        </row>
        <row r="3909">
          <cell r="A3909" t="str">
            <v>I63.6</v>
          </cell>
          <cell r="B3909" t="str">
            <v>Infarto cerebral debido a trombosis de venas cerebrales, no piógeno</v>
          </cell>
        </row>
        <row r="3910">
          <cell r="A3910" t="str">
            <v>I63.8</v>
          </cell>
          <cell r="B3910" t="str">
            <v>Otros infartos cerebrales</v>
          </cell>
        </row>
        <row r="3911">
          <cell r="A3911" t="str">
            <v>I63.9</v>
          </cell>
          <cell r="B3911" t="str">
            <v>Infarto cerebral, no especificado</v>
          </cell>
        </row>
        <row r="3912">
          <cell r="A3912" t="str">
            <v>I64.X</v>
          </cell>
          <cell r="B3912" t="str">
            <v>Accidente vascular encefálico agudo, no especificado como hemorrágico o  isquémico</v>
          </cell>
        </row>
        <row r="3913">
          <cell r="A3913" t="str">
            <v>I65</v>
          </cell>
          <cell r="B3913" t="str">
            <v>Oclusión y estenosis de las arterias precerebrales sin ocasionar infarto cerebral</v>
          </cell>
        </row>
        <row r="3914">
          <cell r="A3914" t="str">
            <v>I65.0</v>
          </cell>
          <cell r="B3914" t="str">
            <v>Oclusión y estenosis de arteria vertebral</v>
          </cell>
        </row>
        <row r="3915">
          <cell r="A3915" t="str">
            <v>I65.1</v>
          </cell>
          <cell r="B3915" t="str">
            <v>Oclusión y estenosis de arteria basilar</v>
          </cell>
        </row>
        <row r="3916">
          <cell r="A3916" t="str">
            <v>I65.2</v>
          </cell>
          <cell r="B3916" t="str">
            <v>Oclusión y estenosis de arteria carótida</v>
          </cell>
        </row>
        <row r="3917">
          <cell r="A3917" t="str">
            <v>I65.3</v>
          </cell>
          <cell r="B3917" t="str">
            <v>Oclusión y estenosis múltiple bilateral de arterias precerebrales</v>
          </cell>
        </row>
        <row r="3918">
          <cell r="A3918" t="str">
            <v>I65.8</v>
          </cell>
          <cell r="B3918" t="str">
            <v>Oclusión y estenosis de otras arterias precerebrales</v>
          </cell>
        </row>
        <row r="3919">
          <cell r="A3919" t="str">
            <v>I65.9</v>
          </cell>
          <cell r="B3919" t="str">
            <v>Oclusión y estenosis de arteria precerebral no especificada</v>
          </cell>
        </row>
        <row r="3920">
          <cell r="A3920" t="str">
            <v>I66</v>
          </cell>
          <cell r="B3920" t="str">
            <v>Oclusión y estenosis de las arterias cerebrales sin ocasionar infarto cerebral</v>
          </cell>
        </row>
        <row r="3921">
          <cell r="A3921" t="str">
            <v>I66.0</v>
          </cell>
          <cell r="B3921" t="str">
            <v>Oclusión y estenosis de la arteria cerebral media</v>
          </cell>
        </row>
        <row r="3922">
          <cell r="A3922" t="str">
            <v>I66.1</v>
          </cell>
          <cell r="B3922" t="str">
            <v>Oclusión y estenosis de la arteria cerebral anterior</v>
          </cell>
        </row>
        <row r="3923">
          <cell r="A3923" t="str">
            <v>I66.2</v>
          </cell>
          <cell r="B3923" t="str">
            <v>Oclusión y estenosis de la arteria cerebral posterior</v>
          </cell>
        </row>
        <row r="3924">
          <cell r="A3924" t="str">
            <v>I66.3</v>
          </cell>
          <cell r="B3924" t="str">
            <v>Oclusión y estenosis de arterias cerebelosas</v>
          </cell>
        </row>
        <row r="3925">
          <cell r="A3925" t="str">
            <v>I66.4</v>
          </cell>
          <cell r="B3925" t="str">
            <v>Oclusión y estenosis múltiple bilateral de arterias cerebrales</v>
          </cell>
        </row>
        <row r="3926">
          <cell r="A3926" t="str">
            <v>I66.8</v>
          </cell>
          <cell r="B3926" t="str">
            <v>Oclusión y estenosis de otras arterias cerebrales</v>
          </cell>
        </row>
        <row r="3927">
          <cell r="A3927" t="str">
            <v>I66.9</v>
          </cell>
          <cell r="B3927" t="str">
            <v>Oclusión y estenosis de arteria cerebral no especificada</v>
          </cell>
        </row>
        <row r="3928">
          <cell r="A3928" t="str">
            <v>I67</v>
          </cell>
          <cell r="B3928" t="str">
            <v>Otras enfermedades cerebrovasculares</v>
          </cell>
        </row>
        <row r="3929">
          <cell r="A3929" t="str">
            <v>I67.0</v>
          </cell>
          <cell r="B3929" t="str">
            <v>Disección de arterias cerebrales, sin ruptura</v>
          </cell>
        </row>
        <row r="3930">
          <cell r="A3930" t="str">
            <v>I67.1</v>
          </cell>
          <cell r="B3930" t="str">
            <v>Aneurisma cerebral, sin ruptura</v>
          </cell>
        </row>
        <row r="3931">
          <cell r="A3931" t="str">
            <v>I67.2</v>
          </cell>
          <cell r="B3931" t="str">
            <v>Aterosclerosis cerebral</v>
          </cell>
        </row>
        <row r="3932">
          <cell r="A3932" t="str">
            <v>I67.3</v>
          </cell>
          <cell r="B3932" t="str">
            <v>Leucoencefalopatía vascular progresiva</v>
          </cell>
        </row>
        <row r="3933">
          <cell r="A3933" t="str">
            <v>I67.4</v>
          </cell>
          <cell r="B3933" t="str">
            <v>Encefalopatía hipertensiva</v>
          </cell>
        </row>
        <row r="3934">
          <cell r="A3934" t="str">
            <v>I67.5</v>
          </cell>
          <cell r="B3934" t="str">
            <v>Enfermedad de Moyamoya</v>
          </cell>
        </row>
        <row r="3935">
          <cell r="A3935" t="str">
            <v>I67.6</v>
          </cell>
          <cell r="B3935" t="str">
            <v>Trombosis apiógena del sistema venoso intracraneal</v>
          </cell>
        </row>
        <row r="3936">
          <cell r="A3936" t="str">
            <v>I67.7</v>
          </cell>
          <cell r="B3936" t="str">
            <v>Arteritis cerebral, no clasificada en otra parte</v>
          </cell>
        </row>
        <row r="3937">
          <cell r="A3937" t="str">
            <v>I67.8</v>
          </cell>
          <cell r="B3937" t="str">
            <v>Otras enfermedades cerebrovasculares especificadas</v>
          </cell>
        </row>
        <row r="3938">
          <cell r="A3938" t="str">
            <v>I67.9</v>
          </cell>
          <cell r="B3938" t="str">
            <v>Enfermedad cerebrovascular, no especificada</v>
          </cell>
        </row>
        <row r="3939">
          <cell r="A3939" t="str">
            <v>I68*</v>
          </cell>
          <cell r="B3939" t="str">
            <v>Trastornos cerebrovasculares en enfermedades clasificadas en otra parte</v>
          </cell>
        </row>
        <row r="3940">
          <cell r="A3940" t="str">
            <v>I68.0*</v>
          </cell>
          <cell r="B3940" t="str">
            <v>Angiopatía cerebral amiloide (E85.-+)</v>
          </cell>
        </row>
        <row r="3941">
          <cell r="A3941" t="str">
            <v>I68.1*</v>
          </cell>
          <cell r="B3941" t="str">
            <v>Arteritis cerebral en enfermedades infecciosas y parasitarias clasificadas en otra parte</v>
          </cell>
        </row>
        <row r="3942">
          <cell r="A3942" t="str">
            <v>I68.2*</v>
          </cell>
          <cell r="B3942" t="str">
            <v>Arteritis cerebral en otras enfermedades clasificadas en otra parte</v>
          </cell>
        </row>
        <row r="3943">
          <cell r="A3943" t="str">
            <v>I68.8*</v>
          </cell>
          <cell r="B3943" t="str">
            <v>Otros trastornos cerebrovasculares en enfermedades clasificadas en otra parte</v>
          </cell>
        </row>
        <row r="3944">
          <cell r="A3944" t="str">
            <v>I69</v>
          </cell>
          <cell r="B3944" t="str">
            <v>Secuelas de enfermedad cerebrovascular</v>
          </cell>
        </row>
        <row r="3945">
          <cell r="A3945" t="str">
            <v>I69.0</v>
          </cell>
          <cell r="B3945" t="str">
            <v>Secuelas de hemorragia subaracnoidea</v>
          </cell>
        </row>
        <row r="3946">
          <cell r="A3946" t="str">
            <v>I69.1</v>
          </cell>
          <cell r="B3946" t="str">
            <v>Secuelas de hemorragia intraencefálica</v>
          </cell>
        </row>
        <row r="3947">
          <cell r="A3947" t="str">
            <v>I69.2</v>
          </cell>
          <cell r="B3947" t="str">
            <v>Secuelas de otras hemorragias intracraneales no traumáticas</v>
          </cell>
        </row>
        <row r="3948">
          <cell r="A3948" t="str">
            <v>I69.3</v>
          </cell>
          <cell r="B3948" t="str">
            <v>Secuelas de infarto cerebral</v>
          </cell>
        </row>
        <row r="3949">
          <cell r="A3949" t="str">
            <v>I69.4</v>
          </cell>
          <cell r="B3949" t="str">
            <v>Secuelas de enfermedad cerebrovascular, no especificada como hemorrágica u oclusiva</v>
          </cell>
        </row>
        <row r="3950">
          <cell r="A3950" t="str">
            <v>I69.8</v>
          </cell>
          <cell r="B3950" t="str">
            <v>Secuelas de otras enfermedades cerebrovasculares y de las no especificadas</v>
          </cell>
        </row>
        <row r="3951">
          <cell r="A3951" t="str">
            <v>I70</v>
          </cell>
          <cell r="B3951" t="str">
            <v>Aterosclerosis</v>
          </cell>
        </row>
        <row r="3952">
          <cell r="A3952" t="str">
            <v>I70.0</v>
          </cell>
          <cell r="B3952" t="str">
            <v>Aterosclerosis de la aorta</v>
          </cell>
        </row>
        <row r="3953">
          <cell r="A3953" t="str">
            <v>I70.1</v>
          </cell>
          <cell r="B3953" t="str">
            <v>Aterosclerosis de la arteria renal</v>
          </cell>
        </row>
        <row r="3954">
          <cell r="A3954" t="str">
            <v>I70.2</v>
          </cell>
          <cell r="B3954" t="str">
            <v>Aterosclerosis de las arterias de los miembros</v>
          </cell>
        </row>
        <row r="3955">
          <cell r="A3955" t="str">
            <v>I70.8</v>
          </cell>
          <cell r="B3955" t="str">
            <v>Aterosclerosis de otras arterias</v>
          </cell>
        </row>
        <row r="3956">
          <cell r="A3956" t="str">
            <v>I70.9</v>
          </cell>
          <cell r="B3956" t="str">
            <v>Aterosclerosis generalizada y la no especificada</v>
          </cell>
        </row>
        <row r="3957">
          <cell r="A3957" t="str">
            <v>I71</v>
          </cell>
          <cell r="B3957" t="str">
            <v>Aneurisma y disección aórticos</v>
          </cell>
        </row>
        <row r="3958">
          <cell r="A3958" t="str">
            <v>I71.0</v>
          </cell>
          <cell r="B3958" t="str">
            <v>Disección de aorta (cualquier parte)</v>
          </cell>
        </row>
        <row r="3959">
          <cell r="A3959" t="str">
            <v>I71.1</v>
          </cell>
          <cell r="B3959" t="str">
            <v>Ruptura de aneurisma de la aorta torácica</v>
          </cell>
        </row>
        <row r="3960">
          <cell r="A3960" t="str">
            <v>I71.2</v>
          </cell>
          <cell r="B3960" t="str">
            <v>Aneurisma de la aorta torácica, sin mención de ruptura</v>
          </cell>
        </row>
        <row r="3961">
          <cell r="A3961" t="str">
            <v>I71.3</v>
          </cell>
          <cell r="B3961" t="str">
            <v>Ruptura de aneurisma de la aorta abdominal</v>
          </cell>
        </row>
        <row r="3962">
          <cell r="A3962" t="str">
            <v>I71.4</v>
          </cell>
          <cell r="B3962" t="str">
            <v>Aneurisma de la aorta abdominal, sin mención de ruptura</v>
          </cell>
        </row>
        <row r="3963">
          <cell r="A3963" t="str">
            <v>I71.5</v>
          </cell>
          <cell r="B3963" t="str">
            <v>Ruptura de aneurisma de la aorta toracoabdominal</v>
          </cell>
        </row>
        <row r="3964">
          <cell r="A3964" t="str">
            <v>I71.6</v>
          </cell>
          <cell r="B3964" t="str">
            <v>Aneurisma de la aorta toracoabdominal, sin mención de ruptura</v>
          </cell>
        </row>
        <row r="3965">
          <cell r="A3965" t="str">
            <v>I71.8</v>
          </cell>
          <cell r="B3965" t="str">
            <v>Ruptura de aneurisma aórtico, sitio no especificado</v>
          </cell>
        </row>
        <row r="3966">
          <cell r="A3966" t="str">
            <v>I71.9</v>
          </cell>
          <cell r="B3966" t="str">
            <v>Aneurisma de la aorta, sitio no especificado, sin mención de ruptura</v>
          </cell>
        </row>
        <row r="3967">
          <cell r="A3967" t="str">
            <v>I72</v>
          </cell>
          <cell r="B3967" t="str">
            <v>Otros aneurismas</v>
          </cell>
        </row>
        <row r="3968">
          <cell r="A3968" t="str">
            <v>I72.0</v>
          </cell>
          <cell r="B3968" t="str">
            <v>Aneurisma de la arteria carótida</v>
          </cell>
        </row>
        <row r="3969">
          <cell r="A3969" t="str">
            <v>I72.1</v>
          </cell>
          <cell r="B3969" t="str">
            <v>Aneurisma de arteria del miembro superior</v>
          </cell>
        </row>
        <row r="3970">
          <cell r="A3970" t="str">
            <v>I72.2</v>
          </cell>
          <cell r="B3970" t="str">
            <v>Aneurisma de arteria renal</v>
          </cell>
        </row>
        <row r="3971">
          <cell r="A3971" t="str">
            <v>I72.3</v>
          </cell>
          <cell r="B3971" t="str">
            <v>Aneurisma de arteria iliaca</v>
          </cell>
        </row>
        <row r="3972">
          <cell r="A3972" t="str">
            <v>I72.4</v>
          </cell>
          <cell r="B3972" t="str">
            <v>Aneurisma de arteria del miembro inferior</v>
          </cell>
        </row>
        <row r="3973">
          <cell r="A3973" t="str">
            <v>I72.8</v>
          </cell>
          <cell r="B3973" t="str">
            <v>Aneurisma de otras arterias especificadas</v>
          </cell>
        </row>
        <row r="3974">
          <cell r="A3974" t="str">
            <v>I72.9</v>
          </cell>
          <cell r="B3974" t="str">
            <v>Aneurisma de sitio no especificado</v>
          </cell>
        </row>
        <row r="3975">
          <cell r="A3975" t="str">
            <v>I73</v>
          </cell>
          <cell r="B3975" t="str">
            <v>Otras enfermedades vasculares periféricas</v>
          </cell>
        </row>
        <row r="3976">
          <cell r="A3976" t="str">
            <v>I73.0</v>
          </cell>
          <cell r="B3976" t="str">
            <v>Síndrome de Raynaud</v>
          </cell>
        </row>
        <row r="3977">
          <cell r="A3977" t="str">
            <v>I73.1</v>
          </cell>
          <cell r="B3977" t="str">
            <v>Tromboangeítis obliterante [Buerger]</v>
          </cell>
        </row>
        <row r="3978">
          <cell r="A3978" t="str">
            <v>I73.8</v>
          </cell>
          <cell r="B3978" t="str">
            <v>Otras enfermedades vasculares periféricas especificadas</v>
          </cell>
        </row>
        <row r="3979">
          <cell r="A3979" t="str">
            <v>I73.9</v>
          </cell>
          <cell r="B3979" t="str">
            <v>Enfermedad vascular periférica, no especificada</v>
          </cell>
        </row>
        <row r="3980">
          <cell r="A3980" t="str">
            <v>I74</v>
          </cell>
          <cell r="B3980" t="str">
            <v>Embolia y trombosis arteriales</v>
          </cell>
        </row>
        <row r="3981">
          <cell r="A3981" t="str">
            <v>I74.0</v>
          </cell>
          <cell r="B3981" t="str">
            <v>Embolia y trombosis de la aorta abdominal</v>
          </cell>
        </row>
        <row r="3982">
          <cell r="A3982" t="str">
            <v>I74.1</v>
          </cell>
          <cell r="B3982" t="str">
            <v>Embolia y trombosis de otras porciones y las no especificadas de la aorta</v>
          </cell>
        </row>
        <row r="3983">
          <cell r="A3983" t="str">
            <v>I74.2</v>
          </cell>
          <cell r="B3983" t="str">
            <v>Embolia y trombosis de arterias de los miembros superiores</v>
          </cell>
        </row>
        <row r="3984">
          <cell r="A3984" t="str">
            <v>I74.3</v>
          </cell>
          <cell r="B3984" t="str">
            <v>Embolia y trombosis de arterias de los miembros inferiores</v>
          </cell>
        </row>
        <row r="3985">
          <cell r="A3985" t="str">
            <v>I74.4</v>
          </cell>
          <cell r="B3985" t="str">
            <v>Embolia y trombosis de arterias de los miembros, no especificadas</v>
          </cell>
        </row>
        <row r="3986">
          <cell r="A3986" t="str">
            <v>I74.5</v>
          </cell>
          <cell r="B3986" t="str">
            <v>Embolia y trombosis de arteria iliaca</v>
          </cell>
        </row>
        <row r="3987">
          <cell r="A3987" t="str">
            <v>I74.8</v>
          </cell>
          <cell r="B3987" t="str">
            <v>Embolia y trombosis de otras arterias</v>
          </cell>
        </row>
        <row r="3988">
          <cell r="A3988" t="str">
            <v>I74.9</v>
          </cell>
          <cell r="B3988" t="str">
            <v>Embolia y trombosis de arteria no especificada</v>
          </cell>
        </row>
        <row r="3989">
          <cell r="A3989" t="str">
            <v>I77</v>
          </cell>
          <cell r="B3989" t="str">
            <v>Otros trastornos arteriales o arteriolares</v>
          </cell>
        </row>
        <row r="3990">
          <cell r="A3990" t="str">
            <v>I77.0</v>
          </cell>
          <cell r="B3990" t="str">
            <v>Fístula arteriovenosa, adquirida</v>
          </cell>
        </row>
        <row r="3991">
          <cell r="A3991" t="str">
            <v>I77.1</v>
          </cell>
          <cell r="B3991" t="str">
            <v>Estrechez arterial</v>
          </cell>
        </row>
        <row r="3992">
          <cell r="A3992" t="str">
            <v>I77.2</v>
          </cell>
          <cell r="B3992" t="str">
            <v>Ruptura arterial</v>
          </cell>
        </row>
        <row r="3993">
          <cell r="A3993" t="str">
            <v>I77.3</v>
          </cell>
          <cell r="B3993" t="str">
            <v>Displasia fibromuscular arterial</v>
          </cell>
        </row>
        <row r="3994">
          <cell r="A3994" t="str">
            <v>I77.4</v>
          </cell>
          <cell r="B3994" t="str">
            <v>Síndrome de compresión del tronco celíaco</v>
          </cell>
        </row>
        <row r="3995">
          <cell r="A3995" t="str">
            <v>I77.5</v>
          </cell>
          <cell r="B3995" t="str">
            <v>Necrosis arterial</v>
          </cell>
        </row>
        <row r="3996">
          <cell r="A3996" t="str">
            <v>I77.6</v>
          </cell>
          <cell r="B3996" t="str">
            <v>Arteritis, no especificada</v>
          </cell>
        </row>
        <row r="3997">
          <cell r="A3997" t="str">
            <v>I77.8</v>
          </cell>
          <cell r="B3997" t="str">
            <v>Otros trastornos especificados de arterias y arteriolas</v>
          </cell>
        </row>
        <row r="3998">
          <cell r="A3998" t="str">
            <v>I77.9</v>
          </cell>
          <cell r="B3998" t="str">
            <v>Trastorno de arterias y arteriolas, no especificado</v>
          </cell>
        </row>
        <row r="3999">
          <cell r="A3999" t="str">
            <v>I78</v>
          </cell>
          <cell r="B3999" t="str">
            <v>Enfermedades de los vasos capilares</v>
          </cell>
        </row>
        <row r="4000">
          <cell r="A4000" t="str">
            <v>I78.0</v>
          </cell>
          <cell r="B4000" t="str">
            <v>Telangiectasia hemorrágica hereditaria</v>
          </cell>
        </row>
        <row r="4001">
          <cell r="A4001" t="str">
            <v>I78.1</v>
          </cell>
          <cell r="B4001" t="str">
            <v>Nevo, no neoplásico</v>
          </cell>
        </row>
        <row r="4002">
          <cell r="A4002" t="str">
            <v>I78.8</v>
          </cell>
          <cell r="B4002" t="str">
            <v>Otras enfermedades de los capilares</v>
          </cell>
        </row>
        <row r="4003">
          <cell r="A4003" t="str">
            <v>I78.9</v>
          </cell>
          <cell r="B4003" t="str">
            <v>Enfermedad de los vasos capilares, no especificada</v>
          </cell>
        </row>
        <row r="4004">
          <cell r="A4004" t="str">
            <v>I79*</v>
          </cell>
          <cell r="B4004" t="str">
            <v>Trastornos de las arterias, de las arteriolas y de los vasos capilares en enfermedades clasificadas en otra parte</v>
          </cell>
        </row>
        <row r="4005">
          <cell r="A4005" t="str">
            <v>I79.0*</v>
          </cell>
          <cell r="B4005" t="str">
            <v>Aneurisma de la aorta en enfermedades clasificadas en otra parte</v>
          </cell>
        </row>
        <row r="4006">
          <cell r="A4006" t="str">
            <v>I79.1*</v>
          </cell>
          <cell r="B4006" t="str">
            <v>Aortitis en enfermedades clasificadas en otra parte</v>
          </cell>
        </row>
        <row r="4007">
          <cell r="A4007" t="str">
            <v>I79.2*</v>
          </cell>
          <cell r="B4007" t="str">
            <v>Angiopatía periférica en enfermedades clasificadas en otra parte</v>
          </cell>
        </row>
        <row r="4008">
          <cell r="A4008" t="str">
            <v>I79.8*</v>
          </cell>
          <cell r="B4008" t="str">
            <v>Otros trastornos de arterias, arteriolas y vasos capilares en enfermedades clasificadas en otra parte</v>
          </cell>
        </row>
        <row r="4009">
          <cell r="A4009" t="str">
            <v>I80</v>
          </cell>
          <cell r="B4009" t="str">
            <v>Flebitis y tromboflebitis</v>
          </cell>
        </row>
        <row r="4010">
          <cell r="A4010" t="str">
            <v>I80.0</v>
          </cell>
          <cell r="B4010" t="str">
            <v>Flebitis y tromboflebitis de vasos superficiales de los miembros inferiores</v>
          </cell>
        </row>
        <row r="4011">
          <cell r="A4011" t="str">
            <v>I80.1</v>
          </cell>
          <cell r="B4011" t="str">
            <v>Flebitis y tromboflebitis de la vena femoral</v>
          </cell>
        </row>
        <row r="4012">
          <cell r="A4012" t="str">
            <v>I80.2</v>
          </cell>
          <cell r="B4012" t="str">
            <v>Flebitis y tromboflebitis de otros vasos profundos de los miembros inferiores</v>
          </cell>
        </row>
        <row r="4013">
          <cell r="A4013" t="str">
            <v>I80.3</v>
          </cell>
          <cell r="B4013" t="str">
            <v>Flebitis y tromboflebitis de los miembros inferiores, no especificada</v>
          </cell>
        </row>
        <row r="4014">
          <cell r="A4014" t="str">
            <v>I80.8</v>
          </cell>
          <cell r="B4014" t="str">
            <v>Flebitis y tromboflebitis de otros sitios</v>
          </cell>
        </row>
        <row r="4015">
          <cell r="A4015" t="str">
            <v>I80.9</v>
          </cell>
          <cell r="B4015" t="str">
            <v>Flebitis y tromboflebitis de sitio no especificado</v>
          </cell>
        </row>
        <row r="4016">
          <cell r="A4016" t="str">
            <v>I81.X</v>
          </cell>
          <cell r="B4016" t="str">
            <v>Trombosis de la vena porta</v>
          </cell>
        </row>
        <row r="4017">
          <cell r="A4017" t="str">
            <v>I82</v>
          </cell>
          <cell r="B4017" t="str">
            <v>Otras embolias y trombosis venosas</v>
          </cell>
        </row>
        <row r="4018">
          <cell r="A4018" t="str">
            <v>I82.0</v>
          </cell>
          <cell r="B4018" t="str">
            <v>Síndrome de Budd-Chiari</v>
          </cell>
        </row>
        <row r="4019">
          <cell r="A4019" t="str">
            <v>I82.1</v>
          </cell>
          <cell r="B4019" t="str">
            <v>Tromboflebitis migratoria</v>
          </cell>
        </row>
        <row r="4020">
          <cell r="A4020" t="str">
            <v>I82.2</v>
          </cell>
          <cell r="B4020" t="str">
            <v>Embolia y trombosis de vena cava</v>
          </cell>
        </row>
        <row r="4021">
          <cell r="A4021" t="str">
            <v>I82.3</v>
          </cell>
          <cell r="B4021" t="str">
            <v>Embolia y trombosis de vena renal</v>
          </cell>
        </row>
        <row r="4022">
          <cell r="A4022" t="str">
            <v>I82.8</v>
          </cell>
          <cell r="B4022" t="str">
            <v>Embolia y trombosis de otras venas especificadas</v>
          </cell>
        </row>
        <row r="4023">
          <cell r="A4023" t="str">
            <v>I82.9</v>
          </cell>
          <cell r="B4023" t="str">
            <v>Embolia y trombosis de vena no especificada</v>
          </cell>
        </row>
        <row r="4024">
          <cell r="A4024" t="str">
            <v>I83</v>
          </cell>
          <cell r="B4024" t="str">
            <v>Venas varicosas de los miembros inferiores</v>
          </cell>
        </row>
        <row r="4025">
          <cell r="A4025" t="str">
            <v>I83.0</v>
          </cell>
          <cell r="B4025" t="str">
            <v>Venas varicosas de los miembros inferiores con úlcera</v>
          </cell>
        </row>
        <row r="4026">
          <cell r="A4026" t="str">
            <v>I83.1</v>
          </cell>
          <cell r="B4026" t="str">
            <v>Venas varicosas de los miembros inferiores con inflamación</v>
          </cell>
        </row>
        <row r="4027">
          <cell r="A4027" t="str">
            <v>I83.2</v>
          </cell>
          <cell r="B4027" t="str">
            <v>Venas varicosas de los miembros inferiores con úlcera e inflamación</v>
          </cell>
        </row>
        <row r="4028">
          <cell r="A4028" t="str">
            <v>I83.9</v>
          </cell>
          <cell r="B4028" t="str">
            <v>Venas varicosas de los miembros inferiores sin úlcera ni inflamación</v>
          </cell>
        </row>
        <row r="4029">
          <cell r="A4029" t="str">
            <v>I84</v>
          </cell>
          <cell r="B4029" t="str">
            <v>Hemorroides</v>
          </cell>
        </row>
        <row r="4030">
          <cell r="A4030" t="str">
            <v>I84.0</v>
          </cell>
          <cell r="B4030" t="str">
            <v>Hemorroides internas trombosadas</v>
          </cell>
        </row>
        <row r="4031">
          <cell r="A4031" t="str">
            <v>I84.1</v>
          </cell>
          <cell r="B4031" t="str">
            <v>Hemorroides internas con otras complicaciones</v>
          </cell>
        </row>
        <row r="4032">
          <cell r="A4032" t="str">
            <v>I84.2</v>
          </cell>
          <cell r="B4032" t="str">
            <v>Hemorroides internas sin complicación</v>
          </cell>
        </row>
        <row r="4033">
          <cell r="A4033" t="str">
            <v>I84.3</v>
          </cell>
          <cell r="B4033" t="str">
            <v>Hemorroides externas trombosadas</v>
          </cell>
        </row>
        <row r="4034">
          <cell r="A4034" t="str">
            <v>I84.4</v>
          </cell>
          <cell r="B4034" t="str">
            <v>Hemorroides externas con otras complicaciones</v>
          </cell>
        </row>
        <row r="4035">
          <cell r="A4035" t="str">
            <v>I84.5</v>
          </cell>
          <cell r="B4035" t="str">
            <v>Hemorroides externas sin complicación</v>
          </cell>
        </row>
        <row r="4036">
          <cell r="A4036" t="str">
            <v>I84.6</v>
          </cell>
          <cell r="B4036" t="str">
            <v>Prominencias cutáneas, residuo de hemorroides</v>
          </cell>
        </row>
        <row r="4037">
          <cell r="A4037" t="str">
            <v>I84.7</v>
          </cell>
          <cell r="B4037" t="str">
            <v>Hemorroides trombosadas no especificadas</v>
          </cell>
        </row>
        <row r="4038">
          <cell r="A4038" t="str">
            <v>I84.8</v>
          </cell>
          <cell r="B4038" t="str">
            <v>Hemorroides no especificadas, con otras complicaciones</v>
          </cell>
        </row>
        <row r="4039">
          <cell r="A4039" t="str">
            <v>I84.9</v>
          </cell>
          <cell r="B4039" t="str">
            <v>Hemorroides no especificadas, sin complicación</v>
          </cell>
        </row>
        <row r="4040">
          <cell r="A4040" t="str">
            <v>I85</v>
          </cell>
          <cell r="B4040" t="str">
            <v>Várices esofágicas</v>
          </cell>
        </row>
        <row r="4041">
          <cell r="A4041" t="str">
            <v>I85.0</v>
          </cell>
          <cell r="B4041" t="str">
            <v>Várices esofágicas con hemorragia</v>
          </cell>
        </row>
        <row r="4042">
          <cell r="A4042" t="str">
            <v>I85.9</v>
          </cell>
          <cell r="B4042" t="str">
            <v>Várices esofágicas sin hemorragia</v>
          </cell>
        </row>
        <row r="4043">
          <cell r="A4043" t="str">
            <v>I86</v>
          </cell>
          <cell r="B4043" t="str">
            <v>Várices de otros sitios</v>
          </cell>
        </row>
        <row r="4044">
          <cell r="A4044" t="str">
            <v>I86.0</v>
          </cell>
          <cell r="B4044" t="str">
            <v>Várices sublinguales</v>
          </cell>
        </row>
        <row r="4045">
          <cell r="A4045" t="str">
            <v>I86.1</v>
          </cell>
          <cell r="B4045" t="str">
            <v>Várices escrotales</v>
          </cell>
        </row>
        <row r="4046">
          <cell r="A4046" t="str">
            <v>I86.2</v>
          </cell>
          <cell r="B4046" t="str">
            <v>Várices pélvicas</v>
          </cell>
        </row>
        <row r="4047">
          <cell r="A4047" t="str">
            <v>I86.3</v>
          </cell>
          <cell r="B4047" t="str">
            <v>Várices de la vulva</v>
          </cell>
        </row>
        <row r="4048">
          <cell r="A4048" t="str">
            <v>I86.4</v>
          </cell>
          <cell r="B4048" t="str">
            <v>Várices gástricas</v>
          </cell>
        </row>
        <row r="4049">
          <cell r="A4049" t="str">
            <v>I86.8</v>
          </cell>
          <cell r="B4049" t="str">
            <v>Várices en otros sitios especificados</v>
          </cell>
        </row>
        <row r="4050">
          <cell r="A4050" t="str">
            <v>I87</v>
          </cell>
          <cell r="B4050" t="str">
            <v>Otros trastornos de las venas</v>
          </cell>
        </row>
        <row r="4051">
          <cell r="A4051" t="str">
            <v>I87.0</v>
          </cell>
          <cell r="B4051" t="str">
            <v>Síndrome postflebítico</v>
          </cell>
        </row>
        <row r="4052">
          <cell r="A4052" t="str">
            <v>I87.1</v>
          </cell>
          <cell r="B4052" t="str">
            <v>Compresión de vena</v>
          </cell>
        </row>
        <row r="4053">
          <cell r="A4053" t="str">
            <v>I87.2</v>
          </cell>
          <cell r="B4053" t="str">
            <v>Insuficiencia venosa (crónica) (periférica)</v>
          </cell>
        </row>
        <row r="4054">
          <cell r="A4054" t="str">
            <v>I87.8</v>
          </cell>
          <cell r="B4054" t="str">
            <v>Otros trastornos venosos especificados</v>
          </cell>
        </row>
        <row r="4055">
          <cell r="A4055" t="str">
            <v>I87.9</v>
          </cell>
          <cell r="B4055" t="str">
            <v>Trastorno venoso, no especificado</v>
          </cell>
        </row>
        <row r="4056">
          <cell r="A4056" t="str">
            <v>I88</v>
          </cell>
          <cell r="B4056" t="str">
            <v>Linfadenitis inespecífica</v>
          </cell>
        </row>
        <row r="4057">
          <cell r="A4057" t="str">
            <v>I88.0</v>
          </cell>
          <cell r="B4057" t="str">
            <v>Linfadenitis mesentérica inespecífica</v>
          </cell>
        </row>
        <row r="4058">
          <cell r="A4058" t="str">
            <v>I88.1</v>
          </cell>
          <cell r="B4058" t="str">
            <v>Linfadenitis crónica, excepto la mesentérica</v>
          </cell>
        </row>
        <row r="4059">
          <cell r="A4059" t="str">
            <v>I88.8</v>
          </cell>
          <cell r="B4059" t="str">
            <v>Otras linfadenitis inespecíficas</v>
          </cell>
        </row>
        <row r="4060">
          <cell r="A4060" t="str">
            <v>I88.9</v>
          </cell>
          <cell r="B4060" t="str">
            <v>Linfadenitis inespecífica no especificada</v>
          </cell>
        </row>
        <row r="4061">
          <cell r="A4061" t="str">
            <v>I89</v>
          </cell>
          <cell r="B4061" t="str">
            <v>Otros trastornos no infecciosos de los vasos y ganglios linfáticos</v>
          </cell>
        </row>
        <row r="4062">
          <cell r="A4062" t="str">
            <v>I89.0</v>
          </cell>
          <cell r="B4062" t="str">
            <v>Linfedema, no clasificado en otra parte</v>
          </cell>
        </row>
        <row r="4063">
          <cell r="A4063" t="str">
            <v>I89.1</v>
          </cell>
          <cell r="B4063" t="str">
            <v>Linfangitis</v>
          </cell>
        </row>
        <row r="4064">
          <cell r="A4064" t="str">
            <v>I89.8</v>
          </cell>
          <cell r="B4064" t="str">
            <v>Otros trastornos especificados no infecciosos de los vasos y ganglios linfáticos</v>
          </cell>
        </row>
        <row r="4065">
          <cell r="A4065" t="str">
            <v>I89.9</v>
          </cell>
          <cell r="B4065" t="str">
            <v>Trastorno no infeccioso de vasos y ganglios linfáticos, no especificado</v>
          </cell>
        </row>
        <row r="4066">
          <cell r="A4066" t="str">
            <v>I95</v>
          </cell>
          <cell r="B4066" t="str">
            <v>Hipotensión</v>
          </cell>
        </row>
        <row r="4067">
          <cell r="A4067" t="str">
            <v>I95.0</v>
          </cell>
          <cell r="B4067" t="str">
            <v>Hipotensión idiopática</v>
          </cell>
        </row>
        <row r="4068">
          <cell r="A4068" t="str">
            <v>I95.1</v>
          </cell>
          <cell r="B4068" t="str">
            <v>Hipotensión ortostática</v>
          </cell>
        </row>
        <row r="4069">
          <cell r="A4069" t="str">
            <v>I95.2</v>
          </cell>
          <cell r="B4069" t="str">
            <v>Hipotensión debida a drogas</v>
          </cell>
        </row>
        <row r="4070">
          <cell r="A4070" t="str">
            <v>I95.8</v>
          </cell>
          <cell r="B4070" t="str">
            <v>Otros tipos de hipotensión</v>
          </cell>
        </row>
        <row r="4071">
          <cell r="A4071" t="str">
            <v>I95.9</v>
          </cell>
          <cell r="B4071" t="str">
            <v>Hipotensión, no especificada</v>
          </cell>
        </row>
        <row r="4072">
          <cell r="A4072" t="str">
            <v>I97</v>
          </cell>
          <cell r="B4072" t="str">
            <v>Trastornos del sistema circulatorio consecutivos a procedimientos, no clasificados en otra parte</v>
          </cell>
        </row>
        <row r="4073">
          <cell r="A4073" t="str">
            <v>I97.0</v>
          </cell>
          <cell r="B4073" t="str">
            <v>Síndrome de postcardiotomía</v>
          </cell>
        </row>
        <row r="4074">
          <cell r="A4074" t="str">
            <v>I97.1</v>
          </cell>
          <cell r="B4074" t="str">
            <v>Otras alteraciones funcionales consecutivas a cirugía cardíaca</v>
          </cell>
        </row>
        <row r="4075">
          <cell r="A4075" t="str">
            <v>I97.2</v>
          </cell>
          <cell r="B4075" t="str">
            <v>Síndrome de linfedema postmastectomía</v>
          </cell>
        </row>
        <row r="4076">
          <cell r="A4076" t="str">
            <v>I97.8</v>
          </cell>
          <cell r="B4076" t="str">
            <v>Otros trastornos del sistema circulatorio consecutivos a procedimientos, no clasificados en otra parte</v>
          </cell>
        </row>
        <row r="4077">
          <cell r="A4077" t="str">
            <v>I97.9</v>
          </cell>
          <cell r="B4077" t="str">
            <v>Trastorno no especificado del sistema circulatorio consecutivo a procedimientos</v>
          </cell>
        </row>
        <row r="4078">
          <cell r="A4078" t="str">
            <v>I98*</v>
          </cell>
          <cell r="B4078" t="str">
            <v>Otros trastornos del sistema circulatorio en enfermedades clasificadas en otra parte</v>
          </cell>
        </row>
        <row r="4079">
          <cell r="A4079" t="str">
            <v>I98.0*</v>
          </cell>
          <cell r="B4079" t="str">
            <v>Sífilis cardiovascular</v>
          </cell>
        </row>
        <row r="4080">
          <cell r="A4080" t="str">
            <v>I98.1*</v>
          </cell>
          <cell r="B4080" t="str">
            <v>Trastornos cardiovasculares en otras enfermedades infecciosas y parasitarias clasificadas en otra parte</v>
          </cell>
        </row>
        <row r="4081">
          <cell r="A4081" t="str">
            <v>I98.2*</v>
          </cell>
          <cell r="B4081" t="str">
            <v>Várices esofágicas en enfermedades clasificadas en otra parte</v>
          </cell>
        </row>
        <row r="4082">
          <cell r="A4082" t="str">
            <v>I98.8*</v>
          </cell>
          <cell r="B4082" t="str">
            <v>Otros trastornos especificados del aparato circulatorio en enfermedades clasificadas en otra parte</v>
          </cell>
        </row>
        <row r="4083">
          <cell r="A4083" t="str">
            <v>I99.X</v>
          </cell>
          <cell r="B4083" t="str">
            <v>Otros trastornos y los no especificados del sistema circulatorio</v>
          </cell>
        </row>
        <row r="4084">
          <cell r="A4084" t="str">
            <v>J</v>
          </cell>
          <cell r="B4084" t="str">
            <v>Transtornos Respiratorios</v>
          </cell>
        </row>
        <row r="4085">
          <cell r="A4085" t="str">
            <v>J00.X</v>
          </cell>
          <cell r="B4085" t="str">
            <v>Rinofaringitis aguda [resfriado común]</v>
          </cell>
        </row>
        <row r="4086">
          <cell r="A4086" t="str">
            <v>J01</v>
          </cell>
          <cell r="B4086" t="str">
            <v>Sinusitis aguda</v>
          </cell>
        </row>
        <row r="4087">
          <cell r="A4087" t="str">
            <v>J01.0</v>
          </cell>
          <cell r="B4087" t="str">
            <v>Sinusitis maxilar aguda</v>
          </cell>
        </row>
        <row r="4088">
          <cell r="A4088" t="str">
            <v>J01.1</v>
          </cell>
          <cell r="B4088" t="str">
            <v>Sinusitis frontal aguda</v>
          </cell>
        </row>
        <row r="4089">
          <cell r="A4089" t="str">
            <v>J01.2</v>
          </cell>
          <cell r="B4089" t="str">
            <v>Sinusitis etmoidal aguda</v>
          </cell>
        </row>
        <row r="4090">
          <cell r="A4090" t="str">
            <v>J01.3</v>
          </cell>
          <cell r="B4090" t="str">
            <v>Sinusitis esfenoidal aguda</v>
          </cell>
        </row>
        <row r="4091">
          <cell r="A4091" t="str">
            <v>J01.4</v>
          </cell>
          <cell r="B4091" t="str">
            <v>Pansinusitis aguda</v>
          </cell>
        </row>
        <row r="4092">
          <cell r="A4092" t="str">
            <v>J01.8</v>
          </cell>
          <cell r="B4092" t="str">
            <v>Otras sinusitis agudas</v>
          </cell>
        </row>
        <row r="4093">
          <cell r="A4093" t="str">
            <v>J01.9</v>
          </cell>
          <cell r="B4093" t="str">
            <v>Sinusitis aguda, no especificada</v>
          </cell>
        </row>
        <row r="4094">
          <cell r="A4094" t="str">
            <v>J02</v>
          </cell>
          <cell r="B4094" t="str">
            <v>Faringitis aguda</v>
          </cell>
        </row>
        <row r="4095">
          <cell r="A4095" t="str">
            <v>J02.0</v>
          </cell>
          <cell r="B4095" t="str">
            <v>Faringitis estreptocócica</v>
          </cell>
        </row>
        <row r="4096">
          <cell r="A4096" t="str">
            <v>J02.8</v>
          </cell>
          <cell r="B4096" t="str">
            <v>Faringitis aguda debida a otros microorganismos especificados</v>
          </cell>
        </row>
        <row r="4097">
          <cell r="A4097" t="str">
            <v>J02.9</v>
          </cell>
          <cell r="B4097" t="str">
            <v>Faringitis aguda, no especificada</v>
          </cell>
        </row>
        <row r="4098">
          <cell r="A4098" t="str">
            <v>J03</v>
          </cell>
          <cell r="B4098" t="str">
            <v>Amigdalitis aguda</v>
          </cell>
        </row>
        <row r="4099">
          <cell r="A4099" t="str">
            <v>J03.0</v>
          </cell>
          <cell r="B4099" t="str">
            <v>Amigdalitis estreptocócica</v>
          </cell>
        </row>
        <row r="4100">
          <cell r="A4100" t="str">
            <v>J03.8</v>
          </cell>
          <cell r="B4100" t="str">
            <v>Amigdalitis aguda debida a otros microorganismos especificados</v>
          </cell>
        </row>
        <row r="4101">
          <cell r="A4101" t="str">
            <v>J03.9</v>
          </cell>
          <cell r="B4101" t="str">
            <v>Amigdalitis aguda, no especificada</v>
          </cell>
        </row>
        <row r="4102">
          <cell r="A4102" t="str">
            <v>J04</v>
          </cell>
          <cell r="B4102" t="str">
            <v>Laringitis y traqueítis agudas</v>
          </cell>
        </row>
        <row r="4103">
          <cell r="A4103" t="str">
            <v>J04.0</v>
          </cell>
          <cell r="B4103" t="str">
            <v>Laringitis aguda</v>
          </cell>
        </row>
        <row r="4104">
          <cell r="A4104" t="str">
            <v>J04.1</v>
          </cell>
          <cell r="B4104" t="str">
            <v>Traqueítis aguda</v>
          </cell>
        </row>
        <row r="4105">
          <cell r="A4105" t="str">
            <v>J04.2</v>
          </cell>
          <cell r="B4105" t="str">
            <v>Laringotraqueítis aguda</v>
          </cell>
        </row>
        <row r="4106">
          <cell r="A4106" t="str">
            <v>J05</v>
          </cell>
          <cell r="B4106" t="str">
            <v>Laringitis obstructiva aguda [crup] y epiglotitis</v>
          </cell>
        </row>
        <row r="4107">
          <cell r="A4107" t="str">
            <v>J05.0</v>
          </cell>
          <cell r="B4107" t="str">
            <v>Laringitis obstructiva, aguda [crup]</v>
          </cell>
        </row>
        <row r="4108">
          <cell r="A4108" t="str">
            <v>J05.1</v>
          </cell>
          <cell r="B4108" t="str">
            <v>Epiglotitis aguda</v>
          </cell>
        </row>
        <row r="4109">
          <cell r="A4109" t="str">
            <v>J06</v>
          </cell>
          <cell r="B4109" t="str">
            <v>Infecciones agudas de las vías respiratorias superiores, de sitios múltiples o no especificados</v>
          </cell>
        </row>
        <row r="4110">
          <cell r="A4110" t="str">
            <v>J06.0</v>
          </cell>
          <cell r="B4110" t="str">
            <v>Laringofaringitis aguda</v>
          </cell>
        </row>
        <row r="4111">
          <cell r="A4111" t="str">
            <v>J06.8</v>
          </cell>
          <cell r="B4111" t="str">
            <v>Otras infecciones agudas de sitios múltiples de las vías respiratorias superiores</v>
          </cell>
        </row>
        <row r="4112">
          <cell r="A4112" t="str">
            <v>J06.9</v>
          </cell>
          <cell r="B4112" t="str">
            <v>Infección aguda de las vías respiratorias superiores, no especificada</v>
          </cell>
        </row>
        <row r="4113">
          <cell r="A4113" t="str">
            <v>J10</v>
          </cell>
          <cell r="B4113" t="str">
            <v>Influenza debida a virus de la influenza identificado</v>
          </cell>
        </row>
        <row r="4114">
          <cell r="A4114" t="str">
            <v>J10.0</v>
          </cell>
          <cell r="B4114" t="str">
            <v>Influenza con neumonía, debida a virus de la influenza identificado</v>
          </cell>
        </row>
        <row r="4115">
          <cell r="A4115" t="str">
            <v>J10.1</v>
          </cell>
          <cell r="B4115" t="str">
            <v>Influenza con otras manifestaciones respiratorias, debida a  virus de la influenza identificado</v>
          </cell>
        </row>
        <row r="4116">
          <cell r="A4116" t="str">
            <v>J10.8</v>
          </cell>
          <cell r="B4116" t="str">
            <v>Influenza, con otras manifestaciones, debida a virus de la influenza identificado</v>
          </cell>
        </row>
        <row r="4117">
          <cell r="A4117" t="str">
            <v>J11</v>
          </cell>
          <cell r="B4117" t="str">
            <v>Influenza debida a virus no identificado</v>
          </cell>
        </row>
        <row r="4118">
          <cell r="A4118" t="str">
            <v>J11.0</v>
          </cell>
          <cell r="B4118" t="str">
            <v>Influenza con neumonía, virus no identificado</v>
          </cell>
        </row>
        <row r="4119">
          <cell r="A4119" t="str">
            <v>J11.1</v>
          </cell>
          <cell r="B4119" t="str">
            <v>Influenza con otras manifestaciones respiratorias, virus no identificado</v>
          </cell>
        </row>
        <row r="4120">
          <cell r="A4120" t="str">
            <v>J11.8</v>
          </cell>
          <cell r="B4120" t="str">
            <v>Influenza con otras manifestaciones, virus no identificado</v>
          </cell>
        </row>
        <row r="4121">
          <cell r="A4121" t="str">
            <v>J12</v>
          </cell>
          <cell r="B4121" t="str">
            <v>Neumonía viral, no clasificada en otra parte</v>
          </cell>
        </row>
        <row r="4122">
          <cell r="A4122" t="str">
            <v>J12.0</v>
          </cell>
          <cell r="B4122" t="str">
            <v>Neumonía debida a adenovirus</v>
          </cell>
        </row>
        <row r="4123">
          <cell r="A4123" t="str">
            <v>J12.1</v>
          </cell>
          <cell r="B4123" t="str">
            <v>Neumonía debida a virus sincitial respiratorio</v>
          </cell>
        </row>
        <row r="4124">
          <cell r="A4124" t="str">
            <v>J12.2</v>
          </cell>
          <cell r="B4124" t="str">
            <v>Neumonía debida a virus parainfluenza</v>
          </cell>
        </row>
        <row r="4125">
          <cell r="A4125" t="str">
            <v>J12.8</v>
          </cell>
          <cell r="B4125" t="str">
            <v>Neumonía debida a otros virus</v>
          </cell>
        </row>
        <row r="4126">
          <cell r="A4126" t="str">
            <v>J12.9</v>
          </cell>
          <cell r="B4126" t="str">
            <v>Neumonía viral, no especificada</v>
          </cell>
        </row>
        <row r="4127">
          <cell r="A4127" t="str">
            <v>J13.X</v>
          </cell>
          <cell r="B4127" t="str">
            <v>Neumonía debida a Streptococcus pneumoniae</v>
          </cell>
        </row>
        <row r="4128">
          <cell r="A4128" t="str">
            <v>J14.X</v>
          </cell>
          <cell r="B4128" t="str">
            <v>Neumonía debida a Haemophilus influenzae</v>
          </cell>
        </row>
        <row r="4129">
          <cell r="A4129" t="str">
            <v>J15</v>
          </cell>
          <cell r="B4129" t="str">
            <v>Neumonía bacteriana, no clasificada en otra parte</v>
          </cell>
        </row>
        <row r="4130">
          <cell r="A4130" t="str">
            <v>J15.0</v>
          </cell>
          <cell r="B4130" t="str">
            <v>Neumonía debida a Klebsiella pneumoniae</v>
          </cell>
        </row>
        <row r="4131">
          <cell r="A4131" t="str">
            <v>J15.1</v>
          </cell>
          <cell r="B4131" t="str">
            <v>Neumonía debida a Pseudomonas</v>
          </cell>
        </row>
        <row r="4132">
          <cell r="A4132" t="str">
            <v>J15.2</v>
          </cell>
          <cell r="B4132" t="str">
            <v>Neumonía debida a estafilococos</v>
          </cell>
        </row>
        <row r="4133">
          <cell r="A4133" t="str">
            <v>J15.3</v>
          </cell>
          <cell r="B4133" t="str">
            <v>Neumonía debida a estreptococos del grupo B</v>
          </cell>
        </row>
        <row r="4134">
          <cell r="A4134" t="str">
            <v>J15.4</v>
          </cell>
          <cell r="B4134" t="str">
            <v>Neumonía debida a otros estreptococos</v>
          </cell>
        </row>
        <row r="4135">
          <cell r="A4135" t="str">
            <v>J15.5</v>
          </cell>
          <cell r="B4135" t="str">
            <v>Neumonía debida a Escherichia coli</v>
          </cell>
        </row>
        <row r="4136">
          <cell r="A4136" t="str">
            <v>J15.6</v>
          </cell>
          <cell r="B4136" t="str">
            <v>Neumonía debida a otras bacterias aeróbicas gramnegativas</v>
          </cell>
        </row>
        <row r="4137">
          <cell r="A4137" t="str">
            <v>J15.7</v>
          </cell>
          <cell r="B4137" t="str">
            <v>Neumonía debida a Mycoplasma pneumoniae</v>
          </cell>
        </row>
        <row r="4138">
          <cell r="A4138" t="str">
            <v>J15.8</v>
          </cell>
          <cell r="B4138" t="str">
            <v>Otras neumonías bacterianas</v>
          </cell>
        </row>
        <row r="4139">
          <cell r="A4139" t="str">
            <v>J15.9</v>
          </cell>
          <cell r="B4139" t="str">
            <v>Neumonía bacteriana, no especificada</v>
          </cell>
        </row>
        <row r="4140">
          <cell r="A4140" t="str">
            <v>J16</v>
          </cell>
          <cell r="B4140" t="str">
            <v>Neumonía debida a otros microorganismos infecciosos, no clasificados en otra parte</v>
          </cell>
        </row>
        <row r="4141">
          <cell r="A4141" t="str">
            <v>J16.0</v>
          </cell>
          <cell r="B4141" t="str">
            <v>Neumonía debida a clamidias</v>
          </cell>
        </row>
        <row r="4142">
          <cell r="A4142" t="str">
            <v>J16.8</v>
          </cell>
          <cell r="B4142" t="str">
            <v>Neumonía debida a otros microorganismos infecciosos especificados</v>
          </cell>
        </row>
        <row r="4143">
          <cell r="A4143" t="str">
            <v>J17*</v>
          </cell>
          <cell r="B4143" t="str">
            <v>Neumonía en enfermedades clasificadas en otra parte</v>
          </cell>
        </row>
        <row r="4144">
          <cell r="A4144" t="str">
            <v>J17.0*</v>
          </cell>
          <cell r="B4144" t="str">
            <v>Neumonía en enfermedades bacterianas clasificadas en otra parte</v>
          </cell>
        </row>
        <row r="4145">
          <cell r="A4145" t="str">
            <v>J17.1*</v>
          </cell>
          <cell r="B4145" t="str">
            <v>Neumonía en enfermedades virales clasificadas en otra parte</v>
          </cell>
        </row>
        <row r="4146">
          <cell r="A4146" t="str">
            <v>J17.2*</v>
          </cell>
          <cell r="B4146" t="str">
            <v>Neumonía en micosis</v>
          </cell>
        </row>
        <row r="4147">
          <cell r="A4147" t="str">
            <v>J17.3*</v>
          </cell>
          <cell r="B4147" t="str">
            <v>Neumonía en enfermedades parasitarias</v>
          </cell>
        </row>
        <row r="4148">
          <cell r="A4148" t="str">
            <v>J17.8*</v>
          </cell>
          <cell r="B4148" t="str">
            <v>Neumonía en otras enfermedades clasificadas en otra parte</v>
          </cell>
        </row>
        <row r="4149">
          <cell r="A4149" t="str">
            <v>J18</v>
          </cell>
          <cell r="B4149" t="str">
            <v>Neumonía, organismo no especificado</v>
          </cell>
        </row>
        <row r="4150">
          <cell r="A4150" t="str">
            <v>J18.0</v>
          </cell>
          <cell r="B4150" t="str">
            <v>Bronconeumonía, no especificada</v>
          </cell>
        </row>
        <row r="4151">
          <cell r="A4151" t="str">
            <v>J18.1</v>
          </cell>
          <cell r="B4151" t="str">
            <v>Neumonía lobar, no especificada</v>
          </cell>
        </row>
        <row r="4152">
          <cell r="A4152" t="str">
            <v>J18.2</v>
          </cell>
          <cell r="B4152" t="str">
            <v>Neumonía hipostática, no especificada</v>
          </cell>
        </row>
        <row r="4153">
          <cell r="A4153" t="str">
            <v>J18.8</v>
          </cell>
          <cell r="B4153" t="str">
            <v>Otras neumonías, de microorganismo no especificado</v>
          </cell>
        </row>
        <row r="4154">
          <cell r="A4154" t="str">
            <v>J18.9</v>
          </cell>
          <cell r="B4154" t="str">
            <v>Neumonía, no especificada</v>
          </cell>
        </row>
        <row r="4155">
          <cell r="A4155" t="str">
            <v>J20</v>
          </cell>
          <cell r="B4155" t="str">
            <v>Bronquitis aguda</v>
          </cell>
        </row>
        <row r="4156">
          <cell r="A4156" t="str">
            <v>J20.0</v>
          </cell>
          <cell r="B4156" t="str">
            <v>Bronquitis aguda debida a Mycoplasma pneumoniae</v>
          </cell>
        </row>
        <row r="4157">
          <cell r="A4157" t="str">
            <v>J20.1</v>
          </cell>
          <cell r="B4157" t="str">
            <v>Bronquitis aguda debida a Haemophilus influenzae</v>
          </cell>
        </row>
        <row r="4158">
          <cell r="A4158" t="str">
            <v>J20.2</v>
          </cell>
          <cell r="B4158" t="str">
            <v>Bronquitis aguda debida a estreptococos</v>
          </cell>
        </row>
        <row r="4159">
          <cell r="A4159" t="str">
            <v>J20.3</v>
          </cell>
          <cell r="B4159" t="str">
            <v>Bronquitis aguda debida a virus Coxsackie</v>
          </cell>
        </row>
        <row r="4160">
          <cell r="A4160" t="str">
            <v>J20.4</v>
          </cell>
          <cell r="B4160" t="str">
            <v>Bronquitis aguda debida a virus parainfluenza</v>
          </cell>
        </row>
        <row r="4161">
          <cell r="A4161" t="str">
            <v>J20.5</v>
          </cell>
          <cell r="B4161" t="str">
            <v>Bronquitis aguda debida a virus sincitial respiratorio</v>
          </cell>
        </row>
        <row r="4162">
          <cell r="A4162" t="str">
            <v>J20.6</v>
          </cell>
          <cell r="B4162" t="str">
            <v>Bronquitis aguda debida a rinovirus</v>
          </cell>
        </row>
        <row r="4163">
          <cell r="A4163" t="str">
            <v>J20.7</v>
          </cell>
          <cell r="B4163" t="str">
            <v>Bronquitis aguda debida a virus Echo</v>
          </cell>
        </row>
        <row r="4164">
          <cell r="A4164" t="str">
            <v>J20.8</v>
          </cell>
          <cell r="B4164" t="str">
            <v>Bronquitis aguda debida a otros microorganismos especificados</v>
          </cell>
        </row>
        <row r="4165">
          <cell r="A4165" t="str">
            <v>J20.9</v>
          </cell>
          <cell r="B4165" t="str">
            <v>Bronquitis aguda, no especificada</v>
          </cell>
        </row>
        <row r="4166">
          <cell r="A4166" t="str">
            <v>J21</v>
          </cell>
          <cell r="B4166" t="str">
            <v>Bronquiolitis aguda</v>
          </cell>
        </row>
        <row r="4167">
          <cell r="A4167" t="str">
            <v>J21.0</v>
          </cell>
          <cell r="B4167" t="str">
            <v>Bronquiolitis aguda debida a virus sincitial respiratorio</v>
          </cell>
        </row>
        <row r="4168">
          <cell r="A4168" t="str">
            <v>J21.8</v>
          </cell>
          <cell r="B4168" t="str">
            <v>Bronquiolitis aguda debida a otros microorganismos especificados</v>
          </cell>
        </row>
        <row r="4169">
          <cell r="A4169" t="str">
            <v>J21.9</v>
          </cell>
          <cell r="B4169" t="str">
            <v>Bronquiolitis aguda, no especificada</v>
          </cell>
        </row>
        <row r="4170">
          <cell r="A4170" t="str">
            <v>J22.X</v>
          </cell>
          <cell r="B4170" t="str">
            <v>Infección aguda no especificada de las vías respiratorias inferiores</v>
          </cell>
        </row>
        <row r="4171">
          <cell r="A4171" t="str">
            <v>J30</v>
          </cell>
          <cell r="B4171" t="str">
            <v>Rinitis alérgica y vasomotora</v>
          </cell>
        </row>
        <row r="4172">
          <cell r="A4172" t="str">
            <v>J30.0</v>
          </cell>
          <cell r="B4172" t="str">
            <v>Rinitis vasomotora</v>
          </cell>
        </row>
        <row r="4173">
          <cell r="A4173" t="str">
            <v>J30.1</v>
          </cell>
          <cell r="B4173" t="str">
            <v>Rinitis alérgica debida al polen</v>
          </cell>
        </row>
        <row r="4174">
          <cell r="A4174" t="str">
            <v>J30.2</v>
          </cell>
          <cell r="B4174" t="str">
            <v>Otra rinitis alérgica estacional</v>
          </cell>
        </row>
        <row r="4175">
          <cell r="A4175" t="str">
            <v>J30.3</v>
          </cell>
          <cell r="B4175" t="str">
            <v>Otras rinitis alérgicas</v>
          </cell>
        </row>
        <row r="4176">
          <cell r="A4176" t="str">
            <v>J30.4</v>
          </cell>
          <cell r="B4176" t="str">
            <v>Rinitis alérgica, no especificada</v>
          </cell>
        </row>
        <row r="4177">
          <cell r="A4177" t="str">
            <v>J31</v>
          </cell>
          <cell r="B4177" t="str">
            <v>Rinitis, rinofaringitis y faringitis crónicas</v>
          </cell>
        </row>
        <row r="4178">
          <cell r="A4178" t="str">
            <v>J31.0</v>
          </cell>
          <cell r="B4178" t="str">
            <v>Rinitis crónica</v>
          </cell>
        </row>
        <row r="4179">
          <cell r="A4179" t="str">
            <v>J31.1</v>
          </cell>
          <cell r="B4179" t="str">
            <v>Rinofaringitis crónica</v>
          </cell>
        </row>
        <row r="4180">
          <cell r="A4180" t="str">
            <v>J31.2</v>
          </cell>
          <cell r="B4180" t="str">
            <v>Faringitis crónica</v>
          </cell>
        </row>
        <row r="4181">
          <cell r="A4181" t="str">
            <v>J32</v>
          </cell>
          <cell r="B4181" t="str">
            <v>Sinusitis crónica</v>
          </cell>
        </row>
        <row r="4182">
          <cell r="A4182" t="str">
            <v>J32.0</v>
          </cell>
          <cell r="B4182" t="str">
            <v>Sinusitis maxilar crónica</v>
          </cell>
        </row>
        <row r="4183">
          <cell r="A4183" t="str">
            <v>J32.1</v>
          </cell>
          <cell r="B4183" t="str">
            <v>Sinusitis frontal crónica</v>
          </cell>
        </row>
        <row r="4184">
          <cell r="A4184" t="str">
            <v>J32.2</v>
          </cell>
          <cell r="B4184" t="str">
            <v>Sinusitis etmoidal crónica</v>
          </cell>
        </row>
        <row r="4185">
          <cell r="A4185" t="str">
            <v>J32.3</v>
          </cell>
          <cell r="B4185" t="str">
            <v>Sinusitis esfenoidal crónica</v>
          </cell>
        </row>
        <row r="4186">
          <cell r="A4186" t="str">
            <v>J32.4</v>
          </cell>
          <cell r="B4186" t="str">
            <v>Pansinusitis crónica</v>
          </cell>
        </row>
        <row r="4187">
          <cell r="A4187" t="str">
            <v>J32.8</v>
          </cell>
          <cell r="B4187" t="str">
            <v>Otras sinusitis crónicas</v>
          </cell>
        </row>
        <row r="4188">
          <cell r="A4188" t="str">
            <v>J32.9</v>
          </cell>
          <cell r="B4188" t="str">
            <v>Sinusitis crónica, no especificada</v>
          </cell>
        </row>
        <row r="4189">
          <cell r="A4189" t="str">
            <v>J33</v>
          </cell>
          <cell r="B4189" t="str">
            <v>Pólipo nasal</v>
          </cell>
        </row>
        <row r="4190">
          <cell r="A4190" t="str">
            <v>J33.0</v>
          </cell>
          <cell r="B4190" t="str">
            <v>Pólipo de la cavidad nasal</v>
          </cell>
        </row>
        <row r="4191">
          <cell r="A4191" t="str">
            <v>J33.1</v>
          </cell>
          <cell r="B4191" t="str">
            <v>Degeneración polipoide de seno paranasal</v>
          </cell>
        </row>
        <row r="4192">
          <cell r="A4192" t="str">
            <v>J33.8</v>
          </cell>
          <cell r="B4192" t="str">
            <v>Otros pólipos de los senos paranasales</v>
          </cell>
        </row>
        <row r="4193">
          <cell r="A4193" t="str">
            <v>J33.9</v>
          </cell>
          <cell r="B4193" t="str">
            <v>Pólipo nasal, no especificado</v>
          </cell>
        </row>
        <row r="4194">
          <cell r="A4194" t="str">
            <v>J34</v>
          </cell>
          <cell r="B4194" t="str">
            <v>Otros trastornos de la nariz y de los senos paranasales</v>
          </cell>
        </row>
        <row r="4195">
          <cell r="A4195" t="str">
            <v>J34.0</v>
          </cell>
          <cell r="B4195" t="str">
            <v>Absceso, furúnculo y carbunco de la nariz</v>
          </cell>
        </row>
        <row r="4196">
          <cell r="A4196" t="str">
            <v>J34.1</v>
          </cell>
          <cell r="B4196" t="str">
            <v>Quiste y mucocele de seno paranasal</v>
          </cell>
        </row>
        <row r="4197">
          <cell r="A4197" t="str">
            <v>J34.2</v>
          </cell>
          <cell r="B4197" t="str">
            <v>Desviación del tabique nasal</v>
          </cell>
        </row>
        <row r="4198">
          <cell r="A4198" t="str">
            <v>J34.3</v>
          </cell>
          <cell r="B4198" t="str">
            <v>Hipertrofia de los cornetes nasales</v>
          </cell>
        </row>
        <row r="4199">
          <cell r="A4199" t="str">
            <v>J34.8</v>
          </cell>
          <cell r="B4199" t="str">
            <v>Otros trastornos especificados de la nariz y de los senos paranasales</v>
          </cell>
        </row>
        <row r="4200">
          <cell r="A4200" t="str">
            <v>J35</v>
          </cell>
          <cell r="B4200" t="str">
            <v>Enfermedades crónicas de las amígdalas y de las adenoides</v>
          </cell>
        </row>
        <row r="4201">
          <cell r="A4201" t="str">
            <v>J35.0</v>
          </cell>
          <cell r="B4201" t="str">
            <v>Amigdalitis crónica</v>
          </cell>
        </row>
        <row r="4202">
          <cell r="A4202" t="str">
            <v>J35.1</v>
          </cell>
          <cell r="B4202" t="str">
            <v>Hipertrofia de las amígdalas</v>
          </cell>
        </row>
        <row r="4203">
          <cell r="A4203" t="str">
            <v>J35.2</v>
          </cell>
          <cell r="B4203" t="str">
            <v>Hipertrofia de las adenoides</v>
          </cell>
        </row>
        <row r="4204">
          <cell r="A4204" t="str">
            <v>J35.3</v>
          </cell>
          <cell r="B4204" t="str">
            <v>Hipertrofia de las amígdalas con hipertrofia de las adenoides</v>
          </cell>
        </row>
        <row r="4205">
          <cell r="A4205" t="str">
            <v>J35.8</v>
          </cell>
          <cell r="B4205" t="str">
            <v>Otras enfermedades crónicas de las amígdalas y de las adenoides</v>
          </cell>
        </row>
        <row r="4206">
          <cell r="A4206" t="str">
            <v>J35.9</v>
          </cell>
          <cell r="B4206" t="str">
            <v>Enfermedad crónica de las amígdalas y de las adenoides, no especificada</v>
          </cell>
        </row>
        <row r="4207">
          <cell r="A4207" t="str">
            <v>J36.X</v>
          </cell>
          <cell r="B4207" t="str">
            <v>Absceso periamigdalino</v>
          </cell>
        </row>
        <row r="4208">
          <cell r="A4208" t="str">
            <v>J37</v>
          </cell>
          <cell r="B4208" t="str">
            <v>Laringitis y laringotraqueítis crónicas</v>
          </cell>
        </row>
        <row r="4209">
          <cell r="A4209" t="str">
            <v>J37.0</v>
          </cell>
          <cell r="B4209" t="str">
            <v>Laringitis crónica</v>
          </cell>
        </row>
        <row r="4210">
          <cell r="A4210" t="str">
            <v>J37.1</v>
          </cell>
          <cell r="B4210" t="str">
            <v>Laringotraqueítis crónica</v>
          </cell>
        </row>
        <row r="4211">
          <cell r="A4211" t="str">
            <v>J38</v>
          </cell>
          <cell r="B4211" t="str">
            <v>Enfermedades de las cuerdas vocales y de la laringe, no clasificadas en otra parte</v>
          </cell>
        </row>
        <row r="4212">
          <cell r="A4212" t="str">
            <v>J38.0</v>
          </cell>
          <cell r="B4212" t="str">
            <v>Parálisis de las cuerdas vocales y de la laringe</v>
          </cell>
        </row>
        <row r="4213">
          <cell r="A4213" t="str">
            <v>J38.1</v>
          </cell>
          <cell r="B4213" t="str">
            <v>Pólipo de las cuerdas vocales y de la laringe</v>
          </cell>
        </row>
        <row r="4214">
          <cell r="A4214" t="str">
            <v>J38.2</v>
          </cell>
          <cell r="B4214" t="str">
            <v>Nódulos de las cuerdas vocales</v>
          </cell>
        </row>
        <row r="4215">
          <cell r="A4215" t="str">
            <v>J38.3</v>
          </cell>
          <cell r="B4215" t="str">
            <v>Otras enfermedades de las cuerdas vocales</v>
          </cell>
        </row>
        <row r="4216">
          <cell r="A4216" t="str">
            <v>J38.4</v>
          </cell>
          <cell r="B4216" t="str">
            <v>Edema de laringe</v>
          </cell>
        </row>
        <row r="4217">
          <cell r="A4217" t="str">
            <v>J38.5</v>
          </cell>
          <cell r="B4217" t="str">
            <v>Espasmo laríngeo</v>
          </cell>
        </row>
        <row r="4218">
          <cell r="A4218" t="str">
            <v>J38.6</v>
          </cell>
          <cell r="B4218" t="str">
            <v>Estenosis laríngea</v>
          </cell>
        </row>
        <row r="4219">
          <cell r="A4219" t="str">
            <v>J38.7</v>
          </cell>
          <cell r="B4219" t="str">
            <v>Otras enfermedades de la laringe</v>
          </cell>
        </row>
        <row r="4220">
          <cell r="A4220" t="str">
            <v>J39</v>
          </cell>
          <cell r="B4220" t="str">
            <v>Otras enfermedades de las vías respiratorias superiores</v>
          </cell>
        </row>
        <row r="4221">
          <cell r="A4221" t="str">
            <v>J39.0</v>
          </cell>
          <cell r="B4221" t="str">
            <v>Absceso retrofaríngeo y parafaríngeo</v>
          </cell>
        </row>
        <row r="4222">
          <cell r="A4222" t="str">
            <v>J39.1</v>
          </cell>
          <cell r="B4222" t="str">
            <v>Otros abscesos de la faringe</v>
          </cell>
        </row>
        <row r="4223">
          <cell r="A4223" t="str">
            <v>J39.2</v>
          </cell>
          <cell r="B4223" t="str">
            <v>Otras enfermedades de la faringe</v>
          </cell>
        </row>
        <row r="4224">
          <cell r="A4224" t="str">
            <v>J39.3</v>
          </cell>
          <cell r="B4224" t="str">
            <v>Reacción de hipersensibilidad de las vías respiratorias superiores, sitio no especificado</v>
          </cell>
        </row>
        <row r="4225">
          <cell r="A4225" t="str">
            <v>J39.8</v>
          </cell>
          <cell r="B4225" t="str">
            <v>Otras enfermedades especificadas de las vías respiratorias superiores</v>
          </cell>
        </row>
        <row r="4226">
          <cell r="A4226" t="str">
            <v>J39.9</v>
          </cell>
          <cell r="B4226" t="str">
            <v>Enfermedad de las vías respiratorias superiores, no especificada</v>
          </cell>
        </row>
        <row r="4227">
          <cell r="A4227" t="str">
            <v>J40.X</v>
          </cell>
          <cell r="B4227" t="str">
            <v>Bronquitis, no especificada como aguda o crónica</v>
          </cell>
        </row>
        <row r="4228">
          <cell r="A4228" t="str">
            <v>J41</v>
          </cell>
          <cell r="B4228" t="str">
            <v>Bronquitis crónica simple y mucopurulenta</v>
          </cell>
        </row>
        <row r="4229">
          <cell r="A4229" t="str">
            <v>J41.0</v>
          </cell>
          <cell r="B4229" t="str">
            <v>Bronquitis crónica simple</v>
          </cell>
        </row>
        <row r="4230">
          <cell r="A4230" t="str">
            <v>J41.1</v>
          </cell>
          <cell r="B4230" t="str">
            <v>Bronquitis crónica mucopurulenta</v>
          </cell>
        </row>
        <row r="4231">
          <cell r="A4231" t="str">
            <v>J41.8</v>
          </cell>
          <cell r="B4231" t="str">
            <v>Bronquitis crónica mixta simple y mucopurulenta</v>
          </cell>
        </row>
        <row r="4232">
          <cell r="A4232" t="str">
            <v>J42.X</v>
          </cell>
          <cell r="B4232" t="str">
            <v>Bronquitis crónica no especificada</v>
          </cell>
        </row>
        <row r="4233">
          <cell r="A4233" t="str">
            <v>J43</v>
          </cell>
          <cell r="B4233" t="str">
            <v>Enfisema</v>
          </cell>
        </row>
        <row r="4234">
          <cell r="A4234" t="str">
            <v>J43.0</v>
          </cell>
          <cell r="B4234" t="str">
            <v>Síndrome de MacLeod</v>
          </cell>
        </row>
        <row r="4235">
          <cell r="A4235" t="str">
            <v>J43.1</v>
          </cell>
          <cell r="B4235" t="str">
            <v>Enfisema panlobular</v>
          </cell>
        </row>
        <row r="4236">
          <cell r="A4236" t="str">
            <v>J43.2</v>
          </cell>
          <cell r="B4236" t="str">
            <v>Enfisema centrolobular</v>
          </cell>
        </row>
        <row r="4237">
          <cell r="A4237" t="str">
            <v>J43.8</v>
          </cell>
          <cell r="B4237" t="str">
            <v>Otros tipos de enfisema</v>
          </cell>
        </row>
        <row r="4238">
          <cell r="A4238" t="str">
            <v>J43.9</v>
          </cell>
          <cell r="B4238" t="str">
            <v>Enfisema, no especificado</v>
          </cell>
        </row>
        <row r="4239">
          <cell r="A4239" t="str">
            <v>J44</v>
          </cell>
          <cell r="B4239" t="str">
            <v>Otras enfermedades pulmonares obstructivas crónicas</v>
          </cell>
        </row>
        <row r="4240">
          <cell r="A4240" t="str">
            <v>J44.0</v>
          </cell>
          <cell r="B4240" t="str">
            <v>Enfermedad pulmonar obstructiva crónica con infección aguda de las vías respiratorias inferiores</v>
          </cell>
        </row>
        <row r="4241">
          <cell r="A4241" t="str">
            <v>J44.1</v>
          </cell>
          <cell r="B4241" t="str">
            <v>Enfermedad pulmonar obstructiva crónica con exacerbación aguda, no especificada</v>
          </cell>
        </row>
        <row r="4242">
          <cell r="A4242" t="str">
            <v>J44.8</v>
          </cell>
          <cell r="B4242" t="str">
            <v>Otras enfermedades pulmonares obstructivas crónicas especificadas</v>
          </cell>
        </row>
        <row r="4243">
          <cell r="A4243" t="str">
            <v>J44.9</v>
          </cell>
          <cell r="B4243" t="str">
            <v>Enfermedad pulmonar obstructiva crónica, no especificada</v>
          </cell>
        </row>
        <row r="4244">
          <cell r="A4244" t="str">
            <v>J45</v>
          </cell>
          <cell r="B4244" t="str">
            <v>Asma</v>
          </cell>
        </row>
        <row r="4245">
          <cell r="A4245" t="str">
            <v>J45.0</v>
          </cell>
          <cell r="B4245" t="str">
            <v>Asma predominantemente alérgica</v>
          </cell>
        </row>
        <row r="4246">
          <cell r="A4246" t="str">
            <v>J45.1</v>
          </cell>
          <cell r="B4246" t="str">
            <v>Asma no alérgica</v>
          </cell>
        </row>
        <row r="4247">
          <cell r="A4247" t="str">
            <v>J45.8</v>
          </cell>
          <cell r="B4247" t="str">
            <v>Asma mixta</v>
          </cell>
        </row>
        <row r="4248">
          <cell r="A4248" t="str">
            <v>J45.9</v>
          </cell>
          <cell r="B4248" t="str">
            <v>Asma, no especificado</v>
          </cell>
        </row>
        <row r="4249">
          <cell r="A4249" t="str">
            <v>J46.X</v>
          </cell>
          <cell r="B4249" t="str">
            <v>Estado asmático</v>
          </cell>
        </row>
        <row r="4250">
          <cell r="A4250" t="str">
            <v>J47.X</v>
          </cell>
          <cell r="B4250" t="str">
            <v>Bronquiectasia</v>
          </cell>
        </row>
        <row r="4251">
          <cell r="A4251" t="str">
            <v>J60.X</v>
          </cell>
          <cell r="B4251" t="str">
            <v>Neumoconiosis de los mineros del carbón</v>
          </cell>
        </row>
        <row r="4252">
          <cell r="A4252" t="str">
            <v>J61.X</v>
          </cell>
          <cell r="B4252" t="str">
            <v>Neumoconiosis debida al asbesto y a otras fibras minerales</v>
          </cell>
        </row>
        <row r="4253">
          <cell r="A4253" t="str">
            <v>J62</v>
          </cell>
          <cell r="B4253" t="str">
            <v>Neumoconiosis debida a polvo de sílice</v>
          </cell>
        </row>
        <row r="4254">
          <cell r="A4254" t="str">
            <v>J62.0</v>
          </cell>
          <cell r="B4254" t="str">
            <v>Neumoconiosis debida a polvo de talco</v>
          </cell>
        </row>
        <row r="4255">
          <cell r="A4255" t="str">
            <v>J62.8</v>
          </cell>
          <cell r="B4255" t="str">
            <v>Neumoconiosis debida a otros polvos que contienen sílice</v>
          </cell>
        </row>
        <row r="4256">
          <cell r="A4256" t="str">
            <v>J63</v>
          </cell>
          <cell r="B4256" t="str">
            <v>Neumoconiosis debida a otros polvos inorgánicos</v>
          </cell>
        </row>
        <row r="4257">
          <cell r="A4257" t="str">
            <v>J63.0</v>
          </cell>
          <cell r="B4257" t="str">
            <v>Aluminosis (del pulmón)</v>
          </cell>
        </row>
        <row r="4258">
          <cell r="A4258" t="str">
            <v>J63.1</v>
          </cell>
          <cell r="B4258" t="str">
            <v>Fibrosis (del pulmón) debida a bauxita</v>
          </cell>
        </row>
        <row r="4259">
          <cell r="A4259" t="str">
            <v>J63.2</v>
          </cell>
          <cell r="B4259" t="str">
            <v>Beriliosis</v>
          </cell>
        </row>
        <row r="4260">
          <cell r="A4260" t="str">
            <v>J63.3</v>
          </cell>
          <cell r="B4260" t="str">
            <v>Fibrosis (del pulmón) debida a grafito</v>
          </cell>
        </row>
        <row r="4261">
          <cell r="A4261" t="str">
            <v>J63.4</v>
          </cell>
          <cell r="B4261" t="str">
            <v>Siderosis</v>
          </cell>
        </row>
        <row r="4262">
          <cell r="A4262" t="str">
            <v>J63.5</v>
          </cell>
          <cell r="B4262" t="str">
            <v>Estañosis</v>
          </cell>
        </row>
        <row r="4263">
          <cell r="A4263" t="str">
            <v>J63.8</v>
          </cell>
          <cell r="B4263" t="str">
            <v>Neumoconiosis debida a otros polvos inorgánicos especificados</v>
          </cell>
        </row>
        <row r="4264">
          <cell r="A4264" t="str">
            <v>J64.X</v>
          </cell>
          <cell r="B4264" t="str">
            <v>Neumoconiosis, no especificada</v>
          </cell>
        </row>
        <row r="4265">
          <cell r="A4265" t="str">
            <v>J65.X</v>
          </cell>
          <cell r="B4265" t="str">
            <v>Neumoconiosis asociada con tuberculosis</v>
          </cell>
        </row>
        <row r="4266">
          <cell r="A4266" t="str">
            <v>J66</v>
          </cell>
          <cell r="B4266" t="str">
            <v>Enfermedades de las vías aéreas debidas a polvos orgánicos específicos</v>
          </cell>
        </row>
        <row r="4267">
          <cell r="A4267" t="str">
            <v>J66.0</v>
          </cell>
          <cell r="B4267" t="str">
            <v>Bisinosis</v>
          </cell>
        </row>
        <row r="4268">
          <cell r="A4268" t="str">
            <v>J66.1</v>
          </cell>
          <cell r="B4268" t="str">
            <v>Enfermedad de los trabajadores del lino</v>
          </cell>
        </row>
        <row r="4269">
          <cell r="A4269" t="str">
            <v>J66.2</v>
          </cell>
          <cell r="B4269" t="str">
            <v>Canabinosis</v>
          </cell>
        </row>
        <row r="4270">
          <cell r="A4270" t="str">
            <v>J66.8</v>
          </cell>
          <cell r="B4270" t="str">
            <v>Enfermedad de las vías aéreas debida a otros polvos orgánicos específicos</v>
          </cell>
        </row>
        <row r="4271">
          <cell r="A4271" t="str">
            <v>J67</v>
          </cell>
          <cell r="B4271" t="str">
            <v>Neumonitis debida a hipersensibilidad al polvo orgánico</v>
          </cell>
        </row>
        <row r="4272">
          <cell r="A4272" t="str">
            <v>J67.0</v>
          </cell>
          <cell r="B4272" t="str">
            <v>Pulmón del granjero</v>
          </cell>
        </row>
        <row r="4273">
          <cell r="A4273" t="str">
            <v>J67.1</v>
          </cell>
          <cell r="B4273" t="str">
            <v>Bagazosis</v>
          </cell>
        </row>
        <row r="4274">
          <cell r="A4274" t="str">
            <v>J67.2</v>
          </cell>
          <cell r="B4274" t="str">
            <v>Pulmón del ornitófilo</v>
          </cell>
        </row>
        <row r="4275">
          <cell r="A4275" t="str">
            <v>J67.3</v>
          </cell>
          <cell r="B4275" t="str">
            <v>Suberosis</v>
          </cell>
        </row>
        <row r="4276">
          <cell r="A4276" t="str">
            <v>J67.4</v>
          </cell>
          <cell r="B4276" t="str">
            <v>Pulmón del manipulador de malta</v>
          </cell>
        </row>
        <row r="4277">
          <cell r="A4277" t="str">
            <v>J67.5</v>
          </cell>
          <cell r="B4277" t="str">
            <v>Pulmón del manipulador de hongos</v>
          </cell>
        </row>
        <row r="4278">
          <cell r="A4278" t="str">
            <v>J67.6</v>
          </cell>
          <cell r="B4278" t="str">
            <v>Pulmón del descortezador del arce</v>
          </cell>
        </row>
        <row r="4279">
          <cell r="A4279" t="str">
            <v>J67.7</v>
          </cell>
          <cell r="B4279" t="str">
            <v>Neumonitis de la ventilación debida al acondicionador y humidificador del aire</v>
          </cell>
        </row>
        <row r="4280">
          <cell r="A4280" t="str">
            <v>J67.8</v>
          </cell>
          <cell r="B4280" t="str">
            <v>Neumonitis debidas a hipersensibilidad a otros polvos orgánicos</v>
          </cell>
        </row>
        <row r="4281">
          <cell r="A4281" t="str">
            <v>J67.9</v>
          </cell>
          <cell r="B4281" t="str">
            <v>Neumonitis debida a hipersensibilidad a polvo orgánico no especificado</v>
          </cell>
        </row>
        <row r="4282">
          <cell r="A4282" t="str">
            <v>J68</v>
          </cell>
          <cell r="B4282" t="str">
            <v>Afecciones respiratorias debidas a inhalación de gases, humos, vapores y sustancias químicas</v>
          </cell>
        </row>
        <row r="4283">
          <cell r="A4283" t="str">
            <v>J68.0</v>
          </cell>
          <cell r="B4283" t="str">
            <v>Bronquitis y neumonitis debidas a inhalación de gases, humos, vapores y sustancias químicas</v>
          </cell>
        </row>
        <row r="4284">
          <cell r="A4284" t="str">
            <v>J68.1</v>
          </cell>
          <cell r="B4284" t="str">
            <v>Edema pulmonar agudo debido a inhalación de gases, humos, vapores y sustancias químicas</v>
          </cell>
        </row>
        <row r="4285">
          <cell r="A4285" t="str">
            <v>J68.2</v>
          </cell>
          <cell r="B4285" t="str">
            <v>Inflamación respiratoria superior debida a inhalación de gases, humos, vapores y sustancias químicas, no clasificadas en otra parte</v>
          </cell>
        </row>
        <row r="4286">
          <cell r="A4286" t="str">
            <v>J68.3</v>
          </cell>
          <cell r="B4286" t="str">
            <v>Otras afecciones respiratorias agudas y subagudas debidas a inhalación de gases, humos, vapores y sustancias químicas</v>
          </cell>
        </row>
        <row r="4287">
          <cell r="A4287" t="str">
            <v>J68.4</v>
          </cell>
          <cell r="B4287" t="str">
            <v>Afecciones respiratorias crónicas debidas a inhalación de gases, humos, vapores y sustancias químicas</v>
          </cell>
        </row>
        <row r="4288">
          <cell r="A4288" t="str">
            <v>J68.8</v>
          </cell>
          <cell r="B4288" t="str">
            <v>Otras afecciones respiratorias debidas a inhalación de gases, humos, vapores y sustancias químicas</v>
          </cell>
        </row>
        <row r="4289">
          <cell r="A4289" t="str">
            <v>J68.9</v>
          </cell>
          <cell r="B4289" t="str">
            <v>Afección respiratoria no especificada, debida a inhalación de gases, humos, vapores y sustancias químicas</v>
          </cell>
        </row>
        <row r="4290">
          <cell r="A4290" t="str">
            <v>J69</v>
          </cell>
          <cell r="B4290" t="str">
            <v>Neumonitis debida a sólidos y líquidos</v>
          </cell>
        </row>
        <row r="4291">
          <cell r="A4291" t="str">
            <v>J69.0</v>
          </cell>
          <cell r="B4291" t="str">
            <v>Neumonitis debida a aspiración de alimento o vómito</v>
          </cell>
        </row>
        <row r="4292">
          <cell r="A4292" t="str">
            <v>J69.1</v>
          </cell>
          <cell r="B4292" t="str">
            <v>Neumonitis debida a aspiración de aceites y esencias</v>
          </cell>
        </row>
        <row r="4293">
          <cell r="A4293" t="str">
            <v>J69.8</v>
          </cell>
          <cell r="B4293" t="str">
            <v>Neumonitis debida a aspiración de otros sólidos y líquidos</v>
          </cell>
        </row>
        <row r="4294">
          <cell r="A4294" t="str">
            <v>J70</v>
          </cell>
          <cell r="B4294" t="str">
            <v>Afecciones respiratorias debidas a otros agentes externos</v>
          </cell>
        </row>
        <row r="4295">
          <cell r="A4295" t="str">
            <v>J70.0</v>
          </cell>
          <cell r="B4295" t="str">
            <v>Manifestaciones pulmonares agudas debidas a radiación</v>
          </cell>
        </row>
        <row r="4296">
          <cell r="A4296" t="str">
            <v>J70.1</v>
          </cell>
          <cell r="B4296" t="str">
            <v>Manifestaciones pulmonares crónicas y otras manifestaciones debidas a radiación</v>
          </cell>
        </row>
        <row r="4297">
          <cell r="A4297" t="str">
            <v>J70.2</v>
          </cell>
          <cell r="B4297" t="str">
            <v>Trastornos pulmonares intersticiales agudos inducidos por drogas</v>
          </cell>
        </row>
        <row r="4298">
          <cell r="A4298" t="str">
            <v>J70.3</v>
          </cell>
          <cell r="B4298" t="str">
            <v>Trastornos pulmonares intersticiales crónicos inducidos por drogas</v>
          </cell>
        </row>
        <row r="4299">
          <cell r="A4299" t="str">
            <v>J70.4</v>
          </cell>
          <cell r="B4299" t="str">
            <v>Trastornos pulmonares intersticiales no especificados inducidos por drogas</v>
          </cell>
        </row>
        <row r="4300">
          <cell r="A4300" t="str">
            <v>J70.8</v>
          </cell>
          <cell r="B4300" t="str">
            <v>Afecciones respiratorias debidas a otros agentes externos especificados</v>
          </cell>
        </row>
        <row r="4301">
          <cell r="A4301" t="str">
            <v>J70.9</v>
          </cell>
          <cell r="B4301" t="str">
            <v>Afecciones respiratorias debidas a agentes externos no especificados</v>
          </cell>
        </row>
        <row r="4302">
          <cell r="A4302" t="str">
            <v>J80.X</v>
          </cell>
          <cell r="B4302" t="str">
            <v>Síndrome de dificultad respiratoria del adulto</v>
          </cell>
        </row>
        <row r="4303">
          <cell r="A4303" t="str">
            <v>J81.X</v>
          </cell>
          <cell r="B4303" t="str">
            <v>Edema pulmonar</v>
          </cell>
        </row>
        <row r="4304">
          <cell r="A4304" t="str">
            <v>J82.X</v>
          </cell>
          <cell r="B4304" t="str">
            <v>Eosinofilia pulmonar, no clasificada en otra parte</v>
          </cell>
        </row>
        <row r="4305">
          <cell r="A4305" t="str">
            <v>J84</v>
          </cell>
          <cell r="B4305" t="str">
            <v>Otras enfermedades pulmonares intersticiales</v>
          </cell>
        </row>
        <row r="4306">
          <cell r="A4306" t="str">
            <v>J84.0</v>
          </cell>
          <cell r="B4306" t="str">
            <v>Afecciones alveolares y alveoloparietales</v>
          </cell>
        </row>
        <row r="4307">
          <cell r="A4307" t="str">
            <v>J84.1</v>
          </cell>
          <cell r="B4307" t="str">
            <v>Otras enfermedades pulmonares intersticiales con fibrosis</v>
          </cell>
        </row>
        <row r="4308">
          <cell r="A4308" t="str">
            <v>J84.8</v>
          </cell>
          <cell r="B4308" t="str">
            <v>Otras enfermedades pulmonares intersticiales especificadas</v>
          </cell>
        </row>
        <row r="4309">
          <cell r="A4309" t="str">
            <v>J84.9</v>
          </cell>
          <cell r="B4309" t="str">
            <v>Enfermedad pulmonar intersticial, no especificada</v>
          </cell>
        </row>
        <row r="4310">
          <cell r="A4310" t="str">
            <v>J85</v>
          </cell>
          <cell r="B4310" t="str">
            <v>Absceso del pulmón y del mediastino</v>
          </cell>
        </row>
        <row r="4311">
          <cell r="A4311" t="str">
            <v>J85.0</v>
          </cell>
          <cell r="B4311" t="str">
            <v>Gangrena y necrosis del pulmón</v>
          </cell>
        </row>
        <row r="4312">
          <cell r="A4312" t="str">
            <v>J85.1</v>
          </cell>
          <cell r="B4312" t="str">
            <v>Absceso del pulmón con neumonía</v>
          </cell>
        </row>
        <row r="4313">
          <cell r="A4313" t="str">
            <v>J85.2</v>
          </cell>
          <cell r="B4313" t="str">
            <v>Absceso del pulmón sin neumonía</v>
          </cell>
        </row>
        <row r="4314">
          <cell r="A4314" t="str">
            <v>J85.3</v>
          </cell>
          <cell r="B4314" t="str">
            <v>Absceso del mediastino</v>
          </cell>
        </row>
        <row r="4315">
          <cell r="A4315" t="str">
            <v>J86</v>
          </cell>
          <cell r="B4315" t="str">
            <v>Piotórax</v>
          </cell>
        </row>
        <row r="4316">
          <cell r="A4316" t="str">
            <v>J86.0</v>
          </cell>
          <cell r="B4316" t="str">
            <v>Piotórax con fístula</v>
          </cell>
        </row>
        <row r="4317">
          <cell r="A4317" t="str">
            <v>J86.9</v>
          </cell>
          <cell r="B4317" t="str">
            <v>Piotórax sin fístula</v>
          </cell>
        </row>
        <row r="4318">
          <cell r="A4318" t="str">
            <v>J90.X</v>
          </cell>
          <cell r="B4318" t="str">
            <v>Derrame pleural no clasificado en otra parte</v>
          </cell>
        </row>
        <row r="4319">
          <cell r="A4319" t="str">
            <v>J91.X*</v>
          </cell>
          <cell r="B4319" t="str">
            <v>Derrame pleural en afecciones clasificadas en otra parte</v>
          </cell>
        </row>
        <row r="4320">
          <cell r="A4320" t="str">
            <v>J92</v>
          </cell>
          <cell r="B4320" t="str">
            <v>Paquipleuritis</v>
          </cell>
        </row>
        <row r="4321">
          <cell r="A4321" t="str">
            <v>J92.0</v>
          </cell>
          <cell r="B4321" t="str">
            <v>Paquipleuritis con asbestosis</v>
          </cell>
        </row>
        <row r="4322">
          <cell r="A4322" t="str">
            <v>J92.9</v>
          </cell>
          <cell r="B4322" t="str">
            <v>Paquipleuritis sin asbestosis</v>
          </cell>
        </row>
        <row r="4323">
          <cell r="A4323" t="str">
            <v>J93</v>
          </cell>
          <cell r="B4323" t="str">
            <v>Neumotórax</v>
          </cell>
        </row>
        <row r="4324">
          <cell r="A4324" t="str">
            <v>J93.0</v>
          </cell>
          <cell r="B4324" t="str">
            <v>Neumotórax espontáneo a presión</v>
          </cell>
        </row>
        <row r="4325">
          <cell r="A4325" t="str">
            <v>J93.1</v>
          </cell>
          <cell r="B4325" t="str">
            <v>Otros tipos de neumotórax espontáneo</v>
          </cell>
        </row>
        <row r="4326">
          <cell r="A4326" t="str">
            <v>J93.8</v>
          </cell>
          <cell r="B4326" t="str">
            <v>Otros neumotórax</v>
          </cell>
        </row>
        <row r="4327">
          <cell r="A4327" t="str">
            <v>J93.9</v>
          </cell>
          <cell r="B4327" t="str">
            <v>Neumotórax, no especificado</v>
          </cell>
        </row>
        <row r="4328">
          <cell r="A4328" t="str">
            <v>J94</v>
          </cell>
          <cell r="B4328" t="str">
            <v>Otras afecciones de la pleura</v>
          </cell>
        </row>
        <row r="4329">
          <cell r="A4329" t="str">
            <v>J94.0</v>
          </cell>
          <cell r="B4329" t="str">
            <v>Quilotórax</v>
          </cell>
        </row>
        <row r="4330">
          <cell r="A4330" t="str">
            <v>J94.1</v>
          </cell>
          <cell r="B4330" t="str">
            <v>Fibrotórax</v>
          </cell>
        </row>
        <row r="4331">
          <cell r="A4331" t="str">
            <v>J94.2</v>
          </cell>
          <cell r="B4331" t="str">
            <v>Hemotórax</v>
          </cell>
        </row>
        <row r="4332">
          <cell r="A4332" t="str">
            <v>J94.8</v>
          </cell>
          <cell r="B4332" t="str">
            <v>Otras afecciones especificadas de la pleura</v>
          </cell>
        </row>
        <row r="4333">
          <cell r="A4333" t="str">
            <v>J94.9</v>
          </cell>
          <cell r="B4333" t="str">
            <v>Afección pleural, no especificada</v>
          </cell>
        </row>
        <row r="4334">
          <cell r="A4334" t="str">
            <v>J95</v>
          </cell>
          <cell r="B4334" t="str">
            <v>Trastornos del sistema respiratorio consecutivos a procedimientos, no clasificados en otra parte</v>
          </cell>
        </row>
        <row r="4335">
          <cell r="A4335" t="str">
            <v>J95.0</v>
          </cell>
          <cell r="B4335" t="str">
            <v>Funcionamiento defectuoso de la traqueostomía</v>
          </cell>
        </row>
        <row r="4336">
          <cell r="A4336" t="str">
            <v>J95.1</v>
          </cell>
          <cell r="B4336" t="str">
            <v>Insuficiencia pulmonar aguda consecutiva a cirugía torácica</v>
          </cell>
        </row>
        <row r="4337">
          <cell r="A4337" t="str">
            <v>J95.2</v>
          </cell>
          <cell r="B4337" t="str">
            <v>Insuficiencia pulmonar aguda consecutiva a cirugía extratorácica</v>
          </cell>
        </row>
        <row r="4338">
          <cell r="A4338" t="str">
            <v>J95.3</v>
          </cell>
          <cell r="B4338" t="str">
            <v>Insuficiencia pulmonar crónica consecutiva a cirugía</v>
          </cell>
        </row>
        <row r="4339">
          <cell r="A4339" t="str">
            <v>J95.4</v>
          </cell>
          <cell r="B4339" t="str">
            <v>Síndrome de Mendelson</v>
          </cell>
        </row>
        <row r="4340">
          <cell r="A4340" t="str">
            <v>J95.5</v>
          </cell>
          <cell r="B4340" t="str">
            <v>Estenosis subglótica consecutiva a procedimientos</v>
          </cell>
        </row>
        <row r="4341">
          <cell r="A4341" t="str">
            <v>J95.8</v>
          </cell>
          <cell r="B4341" t="str">
            <v>Otros trastornos respiratorios consecutivos a procedimientos</v>
          </cell>
        </row>
        <row r="4342">
          <cell r="A4342" t="str">
            <v>J95.9</v>
          </cell>
          <cell r="B4342" t="str">
            <v>Trastorno no especificado del sistema respiratorio, consecutivo a procedimientos</v>
          </cell>
        </row>
        <row r="4343">
          <cell r="A4343" t="str">
            <v>J96</v>
          </cell>
          <cell r="B4343" t="str">
            <v>Insuficiencia respiratoria, no clasificada en otra parte</v>
          </cell>
        </row>
        <row r="4344">
          <cell r="A4344" t="str">
            <v>J96.0</v>
          </cell>
          <cell r="B4344" t="str">
            <v>Insuficiencia respiratoria aguda</v>
          </cell>
        </row>
        <row r="4345">
          <cell r="A4345" t="str">
            <v>J96.1</v>
          </cell>
          <cell r="B4345" t="str">
            <v>Insuficiencia respiratoria crónica</v>
          </cell>
        </row>
        <row r="4346">
          <cell r="A4346" t="str">
            <v>J96.9</v>
          </cell>
          <cell r="B4346" t="str">
            <v>Insuficiencia respiratoria, no especificada</v>
          </cell>
        </row>
        <row r="4347">
          <cell r="A4347" t="str">
            <v>J98</v>
          </cell>
          <cell r="B4347" t="str">
            <v>Otros trastornos respiratorios</v>
          </cell>
        </row>
        <row r="4348">
          <cell r="A4348" t="str">
            <v>J98.0</v>
          </cell>
          <cell r="B4348" t="str">
            <v>Enfermedades de la tráquea y de los bronquios, no clasificadas en otra parte</v>
          </cell>
        </row>
        <row r="4349">
          <cell r="A4349" t="str">
            <v>J98.1</v>
          </cell>
          <cell r="B4349" t="str">
            <v>Colapso pulmonar</v>
          </cell>
        </row>
        <row r="4350">
          <cell r="A4350" t="str">
            <v>J98.2</v>
          </cell>
          <cell r="B4350" t="str">
            <v>Enfisema intersticial</v>
          </cell>
        </row>
        <row r="4351">
          <cell r="A4351" t="str">
            <v>J98.3</v>
          </cell>
          <cell r="B4351" t="str">
            <v>Enfisema compensatorio</v>
          </cell>
        </row>
        <row r="4352">
          <cell r="A4352" t="str">
            <v>J98.4</v>
          </cell>
          <cell r="B4352" t="str">
            <v>Otros trastornos del pulmón</v>
          </cell>
        </row>
        <row r="4353">
          <cell r="A4353" t="str">
            <v>J98.5</v>
          </cell>
          <cell r="B4353" t="str">
            <v>Enfermedades del mediastino, no clasificadas en otra parte</v>
          </cell>
        </row>
        <row r="4354">
          <cell r="A4354" t="str">
            <v>J98.6</v>
          </cell>
          <cell r="B4354" t="str">
            <v>Trastornos del diafragma</v>
          </cell>
        </row>
        <row r="4355">
          <cell r="A4355" t="str">
            <v>J98.8</v>
          </cell>
          <cell r="B4355" t="str">
            <v>Otros trastornos respiratorios especificados</v>
          </cell>
        </row>
        <row r="4356">
          <cell r="A4356" t="str">
            <v>J98.9</v>
          </cell>
          <cell r="B4356" t="str">
            <v>Trastorno respiratorio, no especificado</v>
          </cell>
        </row>
        <row r="4357">
          <cell r="A4357" t="str">
            <v>J99*</v>
          </cell>
          <cell r="B4357" t="str">
            <v>Trastornos respiratorios en enfermedades clasificadas en otra parte</v>
          </cell>
        </row>
        <row r="4358">
          <cell r="A4358" t="str">
            <v>J99.0*</v>
          </cell>
          <cell r="B4358" t="str">
            <v>Enfermedad pulmonar reumatoide (M05.1+)</v>
          </cell>
        </row>
        <row r="4359">
          <cell r="A4359" t="str">
            <v>J99.1*</v>
          </cell>
          <cell r="B4359" t="str">
            <v>Trastornos respiratorios en otros trastornos difusos del tejido conjuntivo</v>
          </cell>
        </row>
        <row r="4360">
          <cell r="A4360" t="str">
            <v>J99.8*</v>
          </cell>
          <cell r="B4360" t="str">
            <v>Trastornos respiratorios en otras enfermedades clasificadas en otra parte</v>
          </cell>
        </row>
        <row r="4361">
          <cell r="A4361" t="str">
            <v>K</v>
          </cell>
          <cell r="B4361" t="str">
            <v>Transtornos del Sistema Digestivo</v>
          </cell>
        </row>
        <row r="4362">
          <cell r="A4362" t="str">
            <v>K00</v>
          </cell>
          <cell r="B4362" t="str">
            <v>Trastornos del desarrollo y de la erupción de los dientes</v>
          </cell>
        </row>
        <row r="4363">
          <cell r="A4363" t="str">
            <v>K00.0</v>
          </cell>
          <cell r="B4363" t="str">
            <v>Anodoncia</v>
          </cell>
        </row>
        <row r="4364">
          <cell r="A4364" t="str">
            <v>K00.1</v>
          </cell>
          <cell r="B4364" t="str">
            <v>Dientes supernumerarios</v>
          </cell>
        </row>
        <row r="4365">
          <cell r="A4365" t="str">
            <v>K00.2</v>
          </cell>
          <cell r="B4365" t="str">
            <v>Anomalías del tamaño y de la forma del diente</v>
          </cell>
        </row>
        <row r="4366">
          <cell r="A4366" t="str">
            <v>K00.3</v>
          </cell>
          <cell r="B4366" t="str">
            <v>Dientes moteados</v>
          </cell>
        </row>
        <row r="4367">
          <cell r="A4367" t="str">
            <v>K00.4</v>
          </cell>
          <cell r="B4367" t="str">
            <v>Alteraciones en la formación dentaria</v>
          </cell>
        </row>
        <row r="4368">
          <cell r="A4368" t="str">
            <v>K00.5</v>
          </cell>
          <cell r="B4368" t="str">
            <v>Alteraciones hereditarias de la estructura dentaria, no clasificadas en otra parte</v>
          </cell>
        </row>
        <row r="4369">
          <cell r="A4369" t="str">
            <v>K00.6</v>
          </cell>
          <cell r="B4369" t="str">
            <v>Alteraciones en la erupción dentaria</v>
          </cell>
        </row>
        <row r="4370">
          <cell r="A4370" t="str">
            <v>K00.7</v>
          </cell>
          <cell r="B4370" t="str">
            <v>Síndrome de la erupción dentaria</v>
          </cell>
        </row>
        <row r="4371">
          <cell r="A4371" t="str">
            <v>K00.8</v>
          </cell>
          <cell r="B4371" t="str">
            <v>Otros trastornos del desarrollo de los dientes</v>
          </cell>
        </row>
        <row r="4372">
          <cell r="A4372" t="str">
            <v>K00.9</v>
          </cell>
          <cell r="B4372" t="str">
            <v>Trastorno del desarrollo de los dientes, no especificado</v>
          </cell>
        </row>
        <row r="4373">
          <cell r="A4373" t="str">
            <v>K01</v>
          </cell>
          <cell r="B4373" t="str">
            <v>Dientes incluidos e impactados</v>
          </cell>
        </row>
        <row r="4374">
          <cell r="A4374" t="str">
            <v>K01.0</v>
          </cell>
          <cell r="B4374" t="str">
            <v>Dientes incluidos</v>
          </cell>
        </row>
        <row r="4375">
          <cell r="A4375" t="str">
            <v>K01.1</v>
          </cell>
          <cell r="B4375" t="str">
            <v>Dientes impactados</v>
          </cell>
        </row>
        <row r="4376">
          <cell r="A4376" t="str">
            <v>K02</v>
          </cell>
          <cell r="B4376" t="str">
            <v>Caries dental</v>
          </cell>
        </row>
        <row r="4377">
          <cell r="A4377" t="str">
            <v>K02.0</v>
          </cell>
          <cell r="B4377" t="str">
            <v>Caries limitada al esmalte</v>
          </cell>
        </row>
        <row r="4378">
          <cell r="A4378" t="str">
            <v>K02.1</v>
          </cell>
          <cell r="B4378" t="str">
            <v>Caries de la dentina</v>
          </cell>
        </row>
        <row r="4379">
          <cell r="A4379" t="str">
            <v>K02.2</v>
          </cell>
          <cell r="B4379" t="str">
            <v>Caries del cemento</v>
          </cell>
        </row>
        <row r="4380">
          <cell r="A4380" t="str">
            <v>K02.3</v>
          </cell>
          <cell r="B4380" t="str">
            <v>Caries dentaria detenida</v>
          </cell>
        </row>
        <row r="4381">
          <cell r="A4381" t="str">
            <v>K02.4</v>
          </cell>
          <cell r="B4381" t="str">
            <v>Odontoclasia</v>
          </cell>
        </row>
        <row r="4382">
          <cell r="A4382" t="str">
            <v>K02.8</v>
          </cell>
          <cell r="B4382" t="str">
            <v>Otras caries dentales</v>
          </cell>
        </row>
        <row r="4383">
          <cell r="A4383" t="str">
            <v>K02.9</v>
          </cell>
          <cell r="B4383" t="str">
            <v>Caries dental, no especificada</v>
          </cell>
        </row>
        <row r="4384">
          <cell r="A4384" t="str">
            <v>K03</v>
          </cell>
          <cell r="B4384" t="str">
            <v>Otras enfermedades de los tejidos duros de los dientes</v>
          </cell>
        </row>
        <row r="4385">
          <cell r="A4385" t="str">
            <v>K03.0</v>
          </cell>
          <cell r="B4385" t="str">
            <v>Atrición excesiva de los dientes</v>
          </cell>
        </row>
        <row r="4386">
          <cell r="A4386" t="str">
            <v>K03.1</v>
          </cell>
          <cell r="B4386" t="str">
            <v>Abrasión de los dientes</v>
          </cell>
        </row>
        <row r="4387">
          <cell r="A4387" t="str">
            <v>K03.2</v>
          </cell>
          <cell r="B4387" t="str">
            <v>Erosión de los dientes</v>
          </cell>
        </row>
        <row r="4388">
          <cell r="A4388" t="str">
            <v>K03.3</v>
          </cell>
          <cell r="B4388" t="str">
            <v>Reabsorción patológica de los dientes</v>
          </cell>
        </row>
        <row r="4389">
          <cell r="A4389" t="str">
            <v>K03.4</v>
          </cell>
          <cell r="B4389" t="str">
            <v>Hipercementosis</v>
          </cell>
        </row>
        <row r="4390">
          <cell r="A4390" t="str">
            <v>K03.5</v>
          </cell>
          <cell r="B4390" t="str">
            <v>Anquilosis dental</v>
          </cell>
        </row>
        <row r="4391">
          <cell r="A4391" t="str">
            <v>K03.6</v>
          </cell>
          <cell r="B4391" t="str">
            <v>Depósitos [acreciones] en los dientes</v>
          </cell>
        </row>
        <row r="4392">
          <cell r="A4392" t="str">
            <v>K03.7</v>
          </cell>
          <cell r="B4392" t="str">
            <v>Cambios posteruptivos del color de los tejidos dentales duros</v>
          </cell>
        </row>
        <row r="4393">
          <cell r="A4393" t="str">
            <v>K03.8</v>
          </cell>
          <cell r="B4393" t="str">
            <v>Otras enfermedades especificadas de los tejidos duros de los dientes</v>
          </cell>
        </row>
        <row r="4394">
          <cell r="A4394" t="str">
            <v>K03.9</v>
          </cell>
          <cell r="B4394" t="str">
            <v>Enfermedad no especificada de los tejidos dentales duros</v>
          </cell>
        </row>
        <row r="4395">
          <cell r="A4395" t="str">
            <v>K04</v>
          </cell>
          <cell r="B4395" t="str">
            <v>Enfermedades de la pulpa y de los tejidos periapicales</v>
          </cell>
        </row>
        <row r="4396">
          <cell r="A4396" t="str">
            <v>K04.0</v>
          </cell>
          <cell r="B4396" t="str">
            <v>Pulpitis</v>
          </cell>
        </row>
        <row r="4397">
          <cell r="A4397" t="str">
            <v>K04.1</v>
          </cell>
          <cell r="B4397" t="str">
            <v>Necrosis de la pulpa</v>
          </cell>
        </row>
        <row r="4398">
          <cell r="A4398" t="str">
            <v>K04.2</v>
          </cell>
          <cell r="B4398" t="str">
            <v>Degeneración de la pulpa</v>
          </cell>
        </row>
        <row r="4399">
          <cell r="A4399" t="str">
            <v>K04.3</v>
          </cell>
          <cell r="B4399" t="str">
            <v>Formación anormal de tejido duro en la pulpa</v>
          </cell>
        </row>
        <row r="4400">
          <cell r="A4400" t="str">
            <v>K04.4</v>
          </cell>
          <cell r="B4400" t="str">
            <v>Periodontitis apical aguda originada en la pulpa</v>
          </cell>
        </row>
        <row r="4401">
          <cell r="A4401" t="str">
            <v>K04.5</v>
          </cell>
          <cell r="B4401" t="str">
            <v>Periodontitis apical crónica</v>
          </cell>
        </row>
        <row r="4402">
          <cell r="A4402" t="str">
            <v>K04.6</v>
          </cell>
          <cell r="B4402" t="str">
            <v>Absceso periapical con fístula</v>
          </cell>
        </row>
        <row r="4403">
          <cell r="A4403" t="str">
            <v>K04.7</v>
          </cell>
          <cell r="B4403" t="str">
            <v>Absceso periapical sin fístula</v>
          </cell>
        </row>
        <row r="4404">
          <cell r="A4404" t="str">
            <v>K04.8</v>
          </cell>
          <cell r="B4404" t="str">
            <v>Quiste radicular</v>
          </cell>
        </row>
        <row r="4405">
          <cell r="A4405" t="str">
            <v>K04.9</v>
          </cell>
          <cell r="B4405" t="str">
            <v>Otras enfermedades y las no especificadas de la pulpa y del tejido periapical</v>
          </cell>
        </row>
        <row r="4406">
          <cell r="A4406" t="str">
            <v>K05</v>
          </cell>
          <cell r="B4406" t="str">
            <v>Gingivitis y enfermedades periodontales</v>
          </cell>
        </row>
        <row r="4407">
          <cell r="A4407" t="str">
            <v>K05.0</v>
          </cell>
          <cell r="B4407" t="str">
            <v>Gingivitis aguda</v>
          </cell>
        </row>
        <row r="4408">
          <cell r="A4408" t="str">
            <v>K05.1</v>
          </cell>
          <cell r="B4408" t="str">
            <v>Gingivitis crónica</v>
          </cell>
        </row>
        <row r="4409">
          <cell r="A4409" t="str">
            <v>K05.2</v>
          </cell>
          <cell r="B4409" t="str">
            <v>Periodontitis aguda</v>
          </cell>
        </row>
        <row r="4410">
          <cell r="A4410" t="str">
            <v>K05.3</v>
          </cell>
          <cell r="B4410" t="str">
            <v>Periodontitis crónica</v>
          </cell>
        </row>
        <row r="4411">
          <cell r="A4411" t="str">
            <v>K05.4</v>
          </cell>
          <cell r="B4411" t="str">
            <v>Periodontosis</v>
          </cell>
        </row>
        <row r="4412">
          <cell r="A4412" t="str">
            <v>K05.5</v>
          </cell>
          <cell r="B4412" t="str">
            <v>Otras enfermedades periodontales</v>
          </cell>
        </row>
        <row r="4413">
          <cell r="A4413" t="str">
            <v>K05.6</v>
          </cell>
          <cell r="B4413" t="str">
            <v>Enfermedad del periodonto, no especificada</v>
          </cell>
        </row>
        <row r="4414">
          <cell r="A4414" t="str">
            <v>K06</v>
          </cell>
          <cell r="B4414" t="str">
            <v>Otros trastornos de la encía y de la zona edéntula</v>
          </cell>
        </row>
        <row r="4415">
          <cell r="A4415" t="str">
            <v>K06.0</v>
          </cell>
          <cell r="B4415" t="str">
            <v>Retracción gingival</v>
          </cell>
        </row>
        <row r="4416">
          <cell r="A4416" t="str">
            <v>K06.1</v>
          </cell>
          <cell r="B4416" t="str">
            <v>Hiperplasia gingival</v>
          </cell>
        </row>
        <row r="4417">
          <cell r="A4417" t="str">
            <v>K06.2</v>
          </cell>
          <cell r="B4417" t="str">
            <v>Lesiones de la encía y de la zona edéntula asociadas con traumatismo</v>
          </cell>
        </row>
        <row r="4418">
          <cell r="A4418" t="str">
            <v>K06.8</v>
          </cell>
          <cell r="B4418" t="str">
            <v>Otros trastornos especificados de la encía y de la zona edéntula</v>
          </cell>
        </row>
        <row r="4419">
          <cell r="A4419" t="str">
            <v>K06.9</v>
          </cell>
          <cell r="B4419" t="str">
            <v>Trastorno no especificado de la encía y de la zona edéntula</v>
          </cell>
        </row>
        <row r="4420">
          <cell r="A4420" t="str">
            <v>K07</v>
          </cell>
          <cell r="B4420" t="str">
            <v>Anomalías dentofaciales [incluso la maloclusión]</v>
          </cell>
        </row>
        <row r="4421">
          <cell r="A4421" t="str">
            <v>K07.0</v>
          </cell>
          <cell r="B4421" t="str">
            <v>Anomalías evidentes del tamaño de los maxilares</v>
          </cell>
        </row>
        <row r="4422">
          <cell r="A4422" t="str">
            <v>K07.1</v>
          </cell>
          <cell r="B4422" t="str">
            <v>Anomalías de la relación maxilobasilar</v>
          </cell>
        </row>
        <row r="4423">
          <cell r="A4423" t="str">
            <v>K07.2</v>
          </cell>
          <cell r="B4423" t="str">
            <v>Anomalías de la relación entre los arcos dentarios</v>
          </cell>
        </row>
        <row r="4424">
          <cell r="A4424" t="str">
            <v>K07.3</v>
          </cell>
          <cell r="B4424" t="str">
            <v>Anomalías de la posición del diente</v>
          </cell>
        </row>
        <row r="4425">
          <cell r="A4425" t="str">
            <v>K07.4</v>
          </cell>
          <cell r="B4425" t="str">
            <v>Maloclusión de tipo no especificado</v>
          </cell>
        </row>
        <row r="4426">
          <cell r="A4426" t="str">
            <v>K07.5</v>
          </cell>
          <cell r="B4426" t="str">
            <v>Anomalías dentofaciales funcionales</v>
          </cell>
        </row>
        <row r="4427">
          <cell r="A4427" t="str">
            <v>K07.6</v>
          </cell>
          <cell r="B4427" t="str">
            <v>Trastornos de la articulación temporomaxilar</v>
          </cell>
        </row>
        <row r="4428">
          <cell r="A4428" t="str">
            <v>K07.8</v>
          </cell>
          <cell r="B4428" t="str">
            <v>Otras anomalías dentofaciales</v>
          </cell>
        </row>
        <row r="4429">
          <cell r="A4429" t="str">
            <v>K07.9</v>
          </cell>
          <cell r="B4429" t="str">
            <v>Anomalía dentofacial, no especificada</v>
          </cell>
        </row>
        <row r="4430">
          <cell r="A4430" t="str">
            <v>K08</v>
          </cell>
          <cell r="B4430" t="str">
            <v>Otros trastornos de los dientes y de sus estructuras de sostén</v>
          </cell>
        </row>
        <row r="4431">
          <cell r="A4431" t="str">
            <v>K08.0</v>
          </cell>
          <cell r="B4431" t="str">
            <v>Exfoliación de los dientes debida a causas sistémicas</v>
          </cell>
        </row>
        <row r="4432">
          <cell r="A4432" t="str">
            <v>K08.1</v>
          </cell>
          <cell r="B4432" t="str">
            <v>Pérdida de dientes debida a accidente, extracción o enfermedad periodontal local</v>
          </cell>
        </row>
        <row r="4433">
          <cell r="A4433" t="str">
            <v>K08.2</v>
          </cell>
          <cell r="B4433" t="str">
            <v>Atrofia del reborde alveolar desdentado</v>
          </cell>
        </row>
        <row r="4434">
          <cell r="A4434" t="str">
            <v>K08.3</v>
          </cell>
          <cell r="B4434" t="str">
            <v>Raíz dental retenida</v>
          </cell>
        </row>
        <row r="4435">
          <cell r="A4435" t="str">
            <v>K08.8</v>
          </cell>
          <cell r="B4435" t="str">
            <v>Otras afecciones especificadas de los dientes y de sus estructuras de sostén</v>
          </cell>
        </row>
        <row r="4436">
          <cell r="A4436" t="str">
            <v>K08.9</v>
          </cell>
          <cell r="B4436" t="str">
            <v>Trastorno de los dientes y de sus estructuras de sostén, no especificado</v>
          </cell>
        </row>
        <row r="4437">
          <cell r="A4437" t="str">
            <v>K09</v>
          </cell>
          <cell r="B4437" t="str">
            <v>Quistes de la región bucal, no clasificados en otra parte</v>
          </cell>
        </row>
        <row r="4438">
          <cell r="A4438" t="str">
            <v>K09.0</v>
          </cell>
          <cell r="B4438" t="str">
            <v>Quistes originados por el desarrollo de los dientes</v>
          </cell>
        </row>
        <row r="4439">
          <cell r="A4439" t="str">
            <v>K09.1</v>
          </cell>
          <cell r="B4439" t="str">
            <v>Quistes de las fisuras (no odontogénicos)</v>
          </cell>
        </row>
        <row r="4440">
          <cell r="A4440" t="str">
            <v>K09.2</v>
          </cell>
          <cell r="B4440" t="str">
            <v>Otros quistes de los maxilares</v>
          </cell>
        </row>
        <row r="4441">
          <cell r="A4441" t="str">
            <v>K09.8</v>
          </cell>
          <cell r="B4441" t="str">
            <v>Otros quistes de la región bucal, no clasificados en otra parte</v>
          </cell>
        </row>
        <row r="4442">
          <cell r="A4442" t="str">
            <v>K09.9</v>
          </cell>
          <cell r="B4442" t="str">
            <v>Quiste de la región bucal, sin otra especificación</v>
          </cell>
        </row>
        <row r="4443">
          <cell r="A4443" t="str">
            <v>K10</v>
          </cell>
          <cell r="B4443" t="str">
            <v>Otras enfermedades de los maxilares</v>
          </cell>
        </row>
        <row r="4444">
          <cell r="A4444" t="str">
            <v>K10.0</v>
          </cell>
          <cell r="B4444" t="str">
            <v>Trastornos del desarrollo de los maxilares</v>
          </cell>
        </row>
        <row r="4445">
          <cell r="A4445" t="str">
            <v>K10.1</v>
          </cell>
          <cell r="B4445" t="str">
            <v>Granuloma central de células gigantes</v>
          </cell>
        </row>
        <row r="4446">
          <cell r="A4446" t="str">
            <v>K10.2</v>
          </cell>
          <cell r="B4446" t="str">
            <v>Afecciones inflamatorias de los maxilares</v>
          </cell>
        </row>
        <row r="4447">
          <cell r="A4447" t="str">
            <v>K10.3</v>
          </cell>
          <cell r="B4447" t="str">
            <v>Alveolitis del maxilar</v>
          </cell>
        </row>
        <row r="4448">
          <cell r="A4448" t="str">
            <v>K10.8</v>
          </cell>
          <cell r="B4448" t="str">
            <v>Otras enfermedades especificadas de los maxilares</v>
          </cell>
        </row>
        <row r="4449">
          <cell r="A4449" t="str">
            <v>K10.9</v>
          </cell>
          <cell r="B4449" t="str">
            <v>Enfermedad de los maxilares, no especificada</v>
          </cell>
        </row>
        <row r="4450">
          <cell r="A4450" t="str">
            <v>K11</v>
          </cell>
          <cell r="B4450" t="str">
            <v>Enfermedades de las glándulas salivales</v>
          </cell>
        </row>
        <row r="4451">
          <cell r="A4451" t="str">
            <v>K11.0</v>
          </cell>
          <cell r="B4451" t="str">
            <v>Atrofia de glándula salival</v>
          </cell>
        </row>
        <row r="4452">
          <cell r="A4452" t="str">
            <v>K11.1</v>
          </cell>
          <cell r="B4452" t="str">
            <v>Hipertrofia de glándula salival</v>
          </cell>
        </row>
        <row r="4453">
          <cell r="A4453" t="str">
            <v>K11.2</v>
          </cell>
          <cell r="B4453" t="str">
            <v>Sialadenitis</v>
          </cell>
        </row>
        <row r="4454">
          <cell r="A4454" t="str">
            <v>K11.3</v>
          </cell>
          <cell r="B4454" t="str">
            <v>Absceso de glándula salival</v>
          </cell>
        </row>
        <row r="4455">
          <cell r="A4455" t="str">
            <v>K11.4</v>
          </cell>
          <cell r="B4455" t="str">
            <v>Fístula de glándula salival</v>
          </cell>
        </row>
        <row r="4456">
          <cell r="A4456" t="str">
            <v>K11.5</v>
          </cell>
          <cell r="B4456" t="str">
            <v>Sialolitiasis</v>
          </cell>
        </row>
        <row r="4457">
          <cell r="A4457" t="str">
            <v>K11.6</v>
          </cell>
          <cell r="B4457" t="str">
            <v>Mucocele de glándula salival</v>
          </cell>
        </row>
        <row r="4458">
          <cell r="A4458" t="str">
            <v>K11.7</v>
          </cell>
          <cell r="B4458" t="str">
            <v>Alteraciones de la secreción salival</v>
          </cell>
        </row>
        <row r="4459">
          <cell r="A4459" t="str">
            <v>K11.8</v>
          </cell>
          <cell r="B4459" t="str">
            <v>Otras enfermedades de las glándulas salivales</v>
          </cell>
        </row>
        <row r="4460">
          <cell r="A4460" t="str">
            <v>K11.9</v>
          </cell>
          <cell r="B4460" t="str">
            <v>Enfermedad de glándula salival, no especificada</v>
          </cell>
        </row>
        <row r="4461">
          <cell r="A4461" t="str">
            <v>K12</v>
          </cell>
          <cell r="B4461" t="str">
            <v>Estomatitis y lesiones afines</v>
          </cell>
        </row>
        <row r="4462">
          <cell r="A4462" t="str">
            <v>K12.0</v>
          </cell>
          <cell r="B4462" t="str">
            <v>Estomatitis aftosa recurrente</v>
          </cell>
        </row>
        <row r="4463">
          <cell r="A4463" t="str">
            <v>K12.1</v>
          </cell>
          <cell r="B4463" t="str">
            <v>Otras formas de estomatitis</v>
          </cell>
        </row>
        <row r="4464">
          <cell r="A4464" t="str">
            <v>K12.2</v>
          </cell>
          <cell r="B4464" t="str">
            <v>Celulitis y abceso de boca</v>
          </cell>
        </row>
        <row r="4465">
          <cell r="A4465" t="str">
            <v>K13</v>
          </cell>
          <cell r="B4465" t="str">
            <v>Otras enfermedades de los labios y de la mucosa bucal</v>
          </cell>
        </row>
        <row r="4466">
          <cell r="A4466" t="str">
            <v>K13.0</v>
          </cell>
          <cell r="B4466" t="str">
            <v>Enfermedades de los labios</v>
          </cell>
        </row>
        <row r="4467">
          <cell r="A4467" t="str">
            <v>K13.1</v>
          </cell>
          <cell r="B4467" t="str">
            <v>Mordedura del labio y de la mejilla</v>
          </cell>
        </row>
        <row r="4468">
          <cell r="A4468" t="str">
            <v>K13.2</v>
          </cell>
          <cell r="B4468" t="str">
            <v>Leucoplasia y otras alteraciones del epitelio bucal, incluyendo la lengua</v>
          </cell>
        </row>
        <row r="4469">
          <cell r="A4469" t="str">
            <v>K13.3</v>
          </cell>
          <cell r="B4469" t="str">
            <v>Leucoplasia pilosa</v>
          </cell>
        </row>
        <row r="4470">
          <cell r="A4470" t="str">
            <v>K13.4</v>
          </cell>
          <cell r="B4470" t="str">
            <v>Granuloma y lesiones semejantes de la mucosa bucal</v>
          </cell>
        </row>
        <row r="4471">
          <cell r="A4471" t="str">
            <v>K13.5</v>
          </cell>
          <cell r="B4471" t="str">
            <v>Fibrosis de la submucosa bucal</v>
          </cell>
        </row>
        <row r="4472">
          <cell r="A4472" t="str">
            <v>K13.6</v>
          </cell>
          <cell r="B4472" t="str">
            <v>Hiperplasia irrritativa de la mucosa bucal</v>
          </cell>
        </row>
        <row r="4473">
          <cell r="A4473" t="str">
            <v>K13.7</v>
          </cell>
          <cell r="B4473" t="str">
            <v>Otras lesiones y las no especificadas de la mucosa bucal</v>
          </cell>
        </row>
        <row r="4474">
          <cell r="A4474" t="str">
            <v>K14</v>
          </cell>
          <cell r="B4474" t="str">
            <v>Enfermedades de la lengua</v>
          </cell>
        </row>
        <row r="4475">
          <cell r="A4475" t="str">
            <v>K14.0</v>
          </cell>
          <cell r="B4475" t="str">
            <v>Glositis</v>
          </cell>
        </row>
        <row r="4476">
          <cell r="A4476" t="str">
            <v>K14.1</v>
          </cell>
          <cell r="B4476" t="str">
            <v>Lengua geográfica</v>
          </cell>
        </row>
        <row r="4477">
          <cell r="A4477" t="str">
            <v>K14.2</v>
          </cell>
          <cell r="B4477" t="str">
            <v>Glositis romboidea mediana</v>
          </cell>
        </row>
        <row r="4478">
          <cell r="A4478" t="str">
            <v>K14.3</v>
          </cell>
          <cell r="B4478" t="str">
            <v>Hipertrofia de las papilas linguales</v>
          </cell>
        </row>
        <row r="4479">
          <cell r="A4479" t="str">
            <v>K14.4</v>
          </cell>
          <cell r="B4479" t="str">
            <v>Atrofia de las papilas linguales</v>
          </cell>
        </row>
        <row r="4480">
          <cell r="A4480" t="str">
            <v>K14.5</v>
          </cell>
          <cell r="B4480" t="str">
            <v>Lengua plegada</v>
          </cell>
        </row>
        <row r="4481">
          <cell r="A4481" t="str">
            <v>K14.6</v>
          </cell>
          <cell r="B4481" t="str">
            <v>Glosodinia</v>
          </cell>
        </row>
        <row r="4482">
          <cell r="A4482" t="str">
            <v>K14.8</v>
          </cell>
          <cell r="B4482" t="str">
            <v>Otras enfermedades de la lengua</v>
          </cell>
        </row>
        <row r="4483">
          <cell r="A4483" t="str">
            <v>K14.9</v>
          </cell>
          <cell r="B4483" t="str">
            <v>Enfermedad de la lengua, no especificada</v>
          </cell>
        </row>
        <row r="4484">
          <cell r="A4484" t="str">
            <v>K20.X</v>
          </cell>
          <cell r="B4484" t="str">
            <v>Esofagitis</v>
          </cell>
        </row>
        <row r="4485">
          <cell r="A4485" t="str">
            <v>K21</v>
          </cell>
          <cell r="B4485" t="str">
            <v>Enfermedad del reflujo gastroesofágico</v>
          </cell>
        </row>
        <row r="4486">
          <cell r="A4486" t="str">
            <v>K21.0</v>
          </cell>
          <cell r="B4486" t="str">
            <v>Enfermedad del reflujo gastroesofágico con esofagitis</v>
          </cell>
        </row>
        <row r="4487">
          <cell r="A4487" t="str">
            <v>K21.9</v>
          </cell>
          <cell r="B4487" t="str">
            <v>Enfermedad del reflujo gastroesofágico sin esofagitis</v>
          </cell>
        </row>
        <row r="4488">
          <cell r="A4488" t="str">
            <v>K22</v>
          </cell>
          <cell r="B4488" t="str">
            <v>Otras enfermedades del esófago</v>
          </cell>
        </row>
        <row r="4489">
          <cell r="A4489" t="str">
            <v>K22.0</v>
          </cell>
          <cell r="B4489" t="str">
            <v>Acalasia del cardias</v>
          </cell>
        </row>
        <row r="4490">
          <cell r="A4490" t="str">
            <v>K22.1</v>
          </cell>
          <cell r="B4490" t="str">
            <v>Ulcera del esófago</v>
          </cell>
        </row>
        <row r="4491">
          <cell r="A4491" t="str">
            <v>K22.2</v>
          </cell>
          <cell r="B4491" t="str">
            <v>Obstrucción del esófago</v>
          </cell>
        </row>
        <row r="4492">
          <cell r="A4492" t="str">
            <v>K22.3</v>
          </cell>
          <cell r="B4492" t="str">
            <v>Perforación del esófago</v>
          </cell>
        </row>
        <row r="4493">
          <cell r="A4493" t="str">
            <v>K22.4</v>
          </cell>
          <cell r="B4493" t="str">
            <v>Disquinesia del esófago</v>
          </cell>
        </row>
        <row r="4494">
          <cell r="A4494" t="str">
            <v>K22.5</v>
          </cell>
          <cell r="B4494" t="str">
            <v>Divertículo del esófago, adquirido</v>
          </cell>
        </row>
        <row r="4495">
          <cell r="A4495" t="str">
            <v>K22.6</v>
          </cell>
          <cell r="B4495" t="str">
            <v>Síndrome de laceración y hemorragia gastroesofágicas</v>
          </cell>
        </row>
        <row r="4496">
          <cell r="A4496" t="str">
            <v>K22.8</v>
          </cell>
          <cell r="B4496" t="str">
            <v>Otras enfermedades especificadas del esófago</v>
          </cell>
        </row>
        <row r="4497">
          <cell r="A4497" t="str">
            <v>K22.9</v>
          </cell>
          <cell r="B4497" t="str">
            <v>Enfermedad del esófago, no especificada</v>
          </cell>
        </row>
        <row r="4498">
          <cell r="A4498" t="str">
            <v>K23*</v>
          </cell>
          <cell r="B4498" t="str">
            <v>Trastornos del esófago en enfermedades clasificadas en otra parte</v>
          </cell>
        </row>
        <row r="4499">
          <cell r="A4499" t="str">
            <v>K23.0*</v>
          </cell>
          <cell r="B4499" t="str">
            <v>Esofagitis tuberculosa (A18.8+)</v>
          </cell>
        </row>
        <row r="4500">
          <cell r="A4500" t="str">
            <v>K23.1*</v>
          </cell>
          <cell r="B4500" t="str">
            <v>Megaesófago en la enfermedad de Chagas (B57.3+)</v>
          </cell>
        </row>
        <row r="4501">
          <cell r="A4501" t="str">
            <v>K23.8*</v>
          </cell>
          <cell r="B4501" t="str">
            <v>Trastornos del esófago en otras enfermedades clasificadas en otra parte</v>
          </cell>
        </row>
        <row r="4502">
          <cell r="A4502" t="str">
            <v>K25</v>
          </cell>
          <cell r="B4502" t="str">
            <v>Ulcera gástrica</v>
          </cell>
        </row>
        <row r="4503">
          <cell r="A4503" t="str">
            <v>K25.0</v>
          </cell>
          <cell r="B4503" t="str">
            <v>Ulcera gástrica, aguda con hemorragia</v>
          </cell>
        </row>
        <row r="4504">
          <cell r="A4504" t="str">
            <v>K25.1</v>
          </cell>
          <cell r="B4504" t="str">
            <v>Ulcera gástrica, aguda con perforación</v>
          </cell>
        </row>
        <row r="4505">
          <cell r="A4505" t="str">
            <v>K25.2</v>
          </cell>
          <cell r="B4505" t="str">
            <v>Ulcera gástrica, aguda con hemorragia y perforación</v>
          </cell>
        </row>
        <row r="4506">
          <cell r="A4506" t="str">
            <v>K25.3</v>
          </cell>
          <cell r="B4506" t="str">
            <v>Ulcera gástrica, aguda sin hemorragia ni perforación</v>
          </cell>
        </row>
        <row r="4507">
          <cell r="A4507" t="str">
            <v>K25.4</v>
          </cell>
          <cell r="B4507" t="str">
            <v>Ulcera gástrica, crónica o no especificada, con hemorragia</v>
          </cell>
        </row>
        <row r="4508">
          <cell r="A4508" t="str">
            <v>K25.5</v>
          </cell>
          <cell r="B4508" t="str">
            <v>Ulcera gástrica, crónica o no especificada, con perforación</v>
          </cell>
        </row>
        <row r="4509">
          <cell r="A4509" t="str">
            <v>K25.6</v>
          </cell>
          <cell r="B4509" t="str">
            <v>Ulcera gástrica, crónica o no especificada, con hemorragia y perforación</v>
          </cell>
        </row>
        <row r="4510">
          <cell r="A4510" t="str">
            <v>K25.7</v>
          </cell>
          <cell r="B4510" t="str">
            <v>Ulcera gástrica, crónica sin hemorragia ni perforación</v>
          </cell>
        </row>
        <row r="4511">
          <cell r="A4511" t="str">
            <v>K25.9</v>
          </cell>
          <cell r="B4511" t="str">
            <v>Ulcera gástrica, no especificada como aguda ni crónica, sin hemorragia ni perforación</v>
          </cell>
        </row>
        <row r="4512">
          <cell r="A4512" t="str">
            <v>K26</v>
          </cell>
          <cell r="B4512" t="str">
            <v>Ulcera duodenal</v>
          </cell>
        </row>
        <row r="4513">
          <cell r="A4513" t="str">
            <v>K26.0</v>
          </cell>
          <cell r="B4513" t="str">
            <v>Ulcera duodenal, aguda con hemorragia</v>
          </cell>
        </row>
        <row r="4514">
          <cell r="A4514" t="str">
            <v>K26.1</v>
          </cell>
          <cell r="B4514" t="str">
            <v>Ulcera duodenal, aguda con perforación</v>
          </cell>
        </row>
        <row r="4515">
          <cell r="A4515" t="str">
            <v>K26.2</v>
          </cell>
          <cell r="B4515" t="str">
            <v>Ulcera duodenal, aguda con hemorragia y perforación</v>
          </cell>
        </row>
        <row r="4516">
          <cell r="A4516" t="str">
            <v>K26.3</v>
          </cell>
          <cell r="B4516" t="str">
            <v>Ulcera duodenal, aguda sin hemorragia ni perforación</v>
          </cell>
        </row>
        <row r="4517">
          <cell r="A4517" t="str">
            <v>K26.4</v>
          </cell>
          <cell r="B4517" t="str">
            <v>Ulcera duodenal, crónica o no especificada, con hemorragia</v>
          </cell>
        </row>
        <row r="4518">
          <cell r="A4518" t="str">
            <v>K26.5</v>
          </cell>
          <cell r="B4518" t="str">
            <v>Ulcera duodenal, crónica o no especificada, con perforación</v>
          </cell>
        </row>
        <row r="4519">
          <cell r="A4519" t="str">
            <v>K26.6</v>
          </cell>
          <cell r="B4519" t="str">
            <v>Ulcera duodenal, crónica o no especificada, con hemorragia y perforación</v>
          </cell>
        </row>
        <row r="4520">
          <cell r="A4520" t="str">
            <v>K26.7</v>
          </cell>
          <cell r="B4520" t="str">
            <v>Ulcera duodenal, crónica sin hemorragia ni perforación</v>
          </cell>
        </row>
        <row r="4521">
          <cell r="A4521" t="str">
            <v>K26.9</v>
          </cell>
          <cell r="B4521" t="str">
            <v>Ulcera duodenal, no especificada como aguda ni crónica, sin hemorragia ni perforación</v>
          </cell>
        </row>
        <row r="4522">
          <cell r="A4522" t="str">
            <v>K27</v>
          </cell>
          <cell r="B4522" t="str">
            <v>Ulcera péptica, de sitio no especificado</v>
          </cell>
        </row>
        <row r="4523">
          <cell r="A4523" t="str">
            <v>K27.0</v>
          </cell>
          <cell r="B4523" t="str">
            <v>Ulcera péptica, de sitio no especificado, aguda con hemorragia</v>
          </cell>
        </row>
        <row r="4524">
          <cell r="A4524" t="str">
            <v>K27.1</v>
          </cell>
          <cell r="B4524" t="str">
            <v>Ulcera péptica, de sitio no especificado, aguda con perforación</v>
          </cell>
        </row>
        <row r="4525">
          <cell r="A4525" t="str">
            <v>K27.2</v>
          </cell>
          <cell r="B4525" t="str">
            <v>Ulcera péptica, de sitio no especificado, aguda con hemorragia y perforación</v>
          </cell>
        </row>
        <row r="4526">
          <cell r="A4526" t="str">
            <v>K27.3</v>
          </cell>
          <cell r="B4526" t="str">
            <v>Ulcera péptica, de sitio no especificado, aguda sin hemorragia ni perforación</v>
          </cell>
        </row>
        <row r="4527">
          <cell r="A4527" t="str">
            <v>K27.4</v>
          </cell>
          <cell r="B4527" t="str">
            <v>Ulcera péptica, de sitio no especificado, crónica o no especificada, con hemorragia</v>
          </cell>
        </row>
        <row r="4528">
          <cell r="A4528" t="str">
            <v>K27.5</v>
          </cell>
          <cell r="B4528" t="str">
            <v>Ulcera péptica, de sitio no especificado, crónica o no especificada, con perforación</v>
          </cell>
        </row>
        <row r="4529">
          <cell r="A4529" t="str">
            <v>K27.6</v>
          </cell>
          <cell r="B4529" t="str">
            <v>Ulcera péptica, de sitio no especificado, crónica o no especificada, con hemorragia y perforación</v>
          </cell>
        </row>
        <row r="4530">
          <cell r="A4530" t="str">
            <v>K27.7</v>
          </cell>
          <cell r="B4530" t="str">
            <v>Ulcera péptica, de sitio no especificado, crónica sin hemorragia ni perforación</v>
          </cell>
        </row>
        <row r="4531">
          <cell r="A4531" t="str">
            <v>K27.9</v>
          </cell>
          <cell r="B4531" t="str">
            <v>Ulcera péptica, no especificada como aguda ni crónica, sin hemorragia ni perforación</v>
          </cell>
        </row>
        <row r="4532">
          <cell r="A4532" t="str">
            <v>K28</v>
          </cell>
          <cell r="B4532" t="str">
            <v>Ulcera gastroyeyunal</v>
          </cell>
        </row>
        <row r="4533">
          <cell r="A4533" t="str">
            <v>K28.0</v>
          </cell>
          <cell r="B4533" t="str">
            <v>Ulcera gastroyeyunal, aguda con hemorragia</v>
          </cell>
        </row>
        <row r="4534">
          <cell r="A4534" t="str">
            <v>K28.1</v>
          </cell>
          <cell r="B4534" t="str">
            <v>Ulcera gastroyeyunal, aguda con perforación</v>
          </cell>
        </row>
        <row r="4535">
          <cell r="A4535" t="str">
            <v>K28.2</v>
          </cell>
          <cell r="B4535" t="str">
            <v>Ulcera gastroyeyunal, aguda con hemorragia y perforación</v>
          </cell>
        </row>
        <row r="4536">
          <cell r="A4536" t="str">
            <v>K28.3</v>
          </cell>
          <cell r="B4536" t="str">
            <v>Ulcera gastroyeyunal, aguda sin hemorragia ni perforación</v>
          </cell>
        </row>
        <row r="4537">
          <cell r="A4537" t="str">
            <v>K28.4</v>
          </cell>
          <cell r="B4537" t="str">
            <v>Ulcera gastroyeyunal, crónica o no especificada, con hemorragia</v>
          </cell>
        </row>
        <row r="4538">
          <cell r="A4538" t="str">
            <v>K28.5</v>
          </cell>
          <cell r="B4538" t="str">
            <v>Ulcera gastroyeyunal, crónica o no especificada, con perforación</v>
          </cell>
        </row>
        <row r="4539">
          <cell r="A4539" t="str">
            <v>K28.6</v>
          </cell>
          <cell r="B4539" t="str">
            <v>Ulcera gastroyeyunal, crónica o no especificada, con hemorragia y perforación</v>
          </cell>
        </row>
        <row r="4540">
          <cell r="A4540" t="str">
            <v>K28.7</v>
          </cell>
          <cell r="B4540" t="str">
            <v>Ulcera gastroyeyunal, crónica sin hemorragia ni perforación</v>
          </cell>
        </row>
        <row r="4541">
          <cell r="A4541" t="str">
            <v>K28.9</v>
          </cell>
          <cell r="B4541" t="str">
            <v>Ulcera gastroyeyunal, no especificada como aguda ni crónica, sin hemorragia ni perforación</v>
          </cell>
        </row>
        <row r="4542">
          <cell r="A4542" t="str">
            <v>K29</v>
          </cell>
          <cell r="B4542" t="str">
            <v>Gastritis y duodenitis</v>
          </cell>
        </row>
        <row r="4543">
          <cell r="A4543" t="str">
            <v>K29.0</v>
          </cell>
          <cell r="B4543" t="str">
            <v>Gastritis aguda hemorrágica</v>
          </cell>
        </row>
        <row r="4544">
          <cell r="A4544" t="str">
            <v>K29.1</v>
          </cell>
          <cell r="B4544" t="str">
            <v>Otras gastritis agudas</v>
          </cell>
        </row>
        <row r="4545">
          <cell r="A4545" t="str">
            <v>K29.2</v>
          </cell>
          <cell r="B4545" t="str">
            <v>Gastritis alcohólica</v>
          </cell>
        </row>
        <row r="4546">
          <cell r="A4546" t="str">
            <v>K29.3</v>
          </cell>
          <cell r="B4546" t="str">
            <v>Gastritis crónica superficial</v>
          </cell>
        </row>
        <row r="4547">
          <cell r="A4547" t="str">
            <v>K29.4</v>
          </cell>
          <cell r="B4547" t="str">
            <v>Gastritis crónica atrófica</v>
          </cell>
        </row>
        <row r="4548">
          <cell r="A4548" t="str">
            <v>K29.5</v>
          </cell>
          <cell r="B4548" t="str">
            <v>Gastritis crónica, no especificada</v>
          </cell>
        </row>
        <row r="4549">
          <cell r="A4549" t="str">
            <v>K29.6</v>
          </cell>
          <cell r="B4549" t="str">
            <v>Otras gastritis</v>
          </cell>
        </row>
        <row r="4550">
          <cell r="A4550" t="str">
            <v>K29.7</v>
          </cell>
          <cell r="B4550" t="str">
            <v>Gastritis, no especificada</v>
          </cell>
        </row>
        <row r="4551">
          <cell r="A4551" t="str">
            <v>K29.8</v>
          </cell>
          <cell r="B4551" t="str">
            <v>Duodenitis</v>
          </cell>
        </row>
        <row r="4552">
          <cell r="A4552" t="str">
            <v>K29.9</v>
          </cell>
          <cell r="B4552" t="str">
            <v>Gastroduodenitis, no especificada</v>
          </cell>
        </row>
        <row r="4553">
          <cell r="A4553" t="str">
            <v>K30.X</v>
          </cell>
          <cell r="B4553" t="str">
            <v>Dispepsia</v>
          </cell>
        </row>
        <row r="4554">
          <cell r="A4554" t="str">
            <v>K31</v>
          </cell>
          <cell r="B4554" t="str">
            <v>Otras enfermedades del estómago y del duodeno</v>
          </cell>
        </row>
        <row r="4555">
          <cell r="A4555" t="str">
            <v>K31.0</v>
          </cell>
          <cell r="B4555" t="str">
            <v>Dilatación aguda del estómago</v>
          </cell>
        </row>
        <row r="4556">
          <cell r="A4556" t="str">
            <v>K31.1</v>
          </cell>
          <cell r="B4556" t="str">
            <v>Estenosis pilórica hipertrófica del adulto</v>
          </cell>
        </row>
        <row r="4557">
          <cell r="A4557" t="str">
            <v>K31.2</v>
          </cell>
          <cell r="B4557" t="str">
            <v>Estrechez o estenosis del estómago en reloj de arena</v>
          </cell>
        </row>
        <row r="4558">
          <cell r="A4558" t="str">
            <v>K31.3</v>
          </cell>
          <cell r="B4558" t="str">
            <v>Espasmo del píloro, no clasificado en otra parte</v>
          </cell>
        </row>
        <row r="4559">
          <cell r="A4559" t="str">
            <v>K31.4</v>
          </cell>
          <cell r="B4559" t="str">
            <v>Divertículo gástrico</v>
          </cell>
        </row>
        <row r="4560">
          <cell r="A4560" t="str">
            <v>K31.5</v>
          </cell>
          <cell r="B4560" t="str">
            <v>Obstrucción del duodeno</v>
          </cell>
        </row>
        <row r="4561">
          <cell r="A4561" t="str">
            <v>K31.6</v>
          </cell>
          <cell r="B4561" t="str">
            <v>Fístula del estómago y del duodeno</v>
          </cell>
        </row>
        <row r="4562">
          <cell r="A4562" t="str">
            <v>K31.8</v>
          </cell>
          <cell r="B4562" t="str">
            <v>Otras enfermedades especificadas del estómago y del duodeno</v>
          </cell>
        </row>
        <row r="4563">
          <cell r="A4563" t="str">
            <v>K31.9</v>
          </cell>
          <cell r="B4563" t="str">
            <v>Enfermedad del estómago y del duodeno, no especificada</v>
          </cell>
        </row>
        <row r="4564">
          <cell r="A4564" t="str">
            <v>K35</v>
          </cell>
          <cell r="B4564" t="str">
            <v>Apendicitis aguda</v>
          </cell>
        </row>
        <row r="4565">
          <cell r="A4565" t="str">
            <v>K35.0</v>
          </cell>
          <cell r="B4565" t="str">
            <v>Apendicitis aguda con peritonitis generalizada</v>
          </cell>
        </row>
        <row r="4566">
          <cell r="A4566" t="str">
            <v>K35.1</v>
          </cell>
          <cell r="B4566" t="str">
            <v>Apendicitis aguda con absceso peritoneal</v>
          </cell>
        </row>
        <row r="4567">
          <cell r="A4567" t="str">
            <v>K35.9</v>
          </cell>
          <cell r="B4567" t="str">
            <v>Apendicitis aguda, no especificada</v>
          </cell>
        </row>
        <row r="4568">
          <cell r="A4568" t="str">
            <v>K36.X</v>
          </cell>
          <cell r="B4568" t="str">
            <v>Otros tipos de apendicitis</v>
          </cell>
        </row>
        <row r="4569">
          <cell r="A4569" t="str">
            <v>K37.X</v>
          </cell>
          <cell r="B4569" t="str">
            <v>Apendicitis, no especificada</v>
          </cell>
        </row>
        <row r="4570">
          <cell r="A4570" t="str">
            <v>K38</v>
          </cell>
          <cell r="B4570" t="str">
            <v>Otras enfermedades del apéndice</v>
          </cell>
        </row>
        <row r="4571">
          <cell r="A4571" t="str">
            <v>K38.0</v>
          </cell>
          <cell r="B4571" t="str">
            <v>Hiperplasia del apéndice</v>
          </cell>
        </row>
        <row r="4572">
          <cell r="A4572" t="str">
            <v>K38.1</v>
          </cell>
          <cell r="B4572" t="str">
            <v>Concreciones apendiculares</v>
          </cell>
        </row>
        <row r="4573">
          <cell r="A4573" t="str">
            <v>K38.2</v>
          </cell>
          <cell r="B4573" t="str">
            <v>Divertículo del apéndice</v>
          </cell>
        </row>
        <row r="4574">
          <cell r="A4574" t="str">
            <v>K38.3</v>
          </cell>
          <cell r="B4574" t="str">
            <v>Fístula del apéndice</v>
          </cell>
        </row>
        <row r="4575">
          <cell r="A4575" t="str">
            <v>K38.8</v>
          </cell>
          <cell r="B4575" t="str">
            <v>Otras enfermedades especificadas del apéndice</v>
          </cell>
        </row>
        <row r="4576">
          <cell r="A4576" t="str">
            <v>K38.9</v>
          </cell>
          <cell r="B4576" t="str">
            <v>Enfermedad del apéndice, no especificada</v>
          </cell>
        </row>
        <row r="4577">
          <cell r="A4577" t="str">
            <v>K40</v>
          </cell>
          <cell r="B4577" t="str">
            <v>Hernia inguinal</v>
          </cell>
        </row>
        <row r="4578">
          <cell r="A4578" t="str">
            <v>K40.0</v>
          </cell>
          <cell r="B4578" t="str">
            <v>Hernia inguinal bilateral con obstrucción, sin gangrena</v>
          </cell>
        </row>
        <row r="4579">
          <cell r="A4579" t="str">
            <v>K40.1</v>
          </cell>
          <cell r="B4579" t="str">
            <v>Hernia inguinal bilateral, con gangrena</v>
          </cell>
        </row>
        <row r="4580">
          <cell r="A4580" t="str">
            <v>K40.2</v>
          </cell>
          <cell r="B4580" t="str">
            <v>Hernia inguinal bilateral, sin obstrucción ni gangrena</v>
          </cell>
        </row>
        <row r="4581">
          <cell r="A4581" t="str">
            <v>K40.3</v>
          </cell>
          <cell r="B4581" t="str">
            <v>Hernia inguinal unilateral o no especificada, con obstrucción, sin gangrena</v>
          </cell>
        </row>
        <row r="4582">
          <cell r="A4582" t="str">
            <v>K40.4</v>
          </cell>
          <cell r="B4582" t="str">
            <v>Hernia inguinal unilateral o no especificada, con gangrena</v>
          </cell>
        </row>
        <row r="4583">
          <cell r="A4583" t="str">
            <v>K40.9</v>
          </cell>
          <cell r="B4583" t="str">
            <v>Hernia inguinal unilateral o no especificada, sin obstrucción ni gangrena</v>
          </cell>
        </row>
        <row r="4584">
          <cell r="A4584" t="str">
            <v>K41</v>
          </cell>
          <cell r="B4584" t="str">
            <v>Hernia femoral</v>
          </cell>
        </row>
        <row r="4585">
          <cell r="A4585" t="str">
            <v>K41.0</v>
          </cell>
          <cell r="B4585" t="str">
            <v>Hernia femoral bilateral, con obstrucción, sin gangrena</v>
          </cell>
        </row>
        <row r="4586">
          <cell r="A4586" t="str">
            <v>K41.1</v>
          </cell>
          <cell r="B4586" t="str">
            <v>Hernia femoral bilateral, con gangrena</v>
          </cell>
        </row>
        <row r="4587">
          <cell r="A4587" t="str">
            <v>K41.2</v>
          </cell>
          <cell r="B4587" t="str">
            <v>Hernia femoral bilateral, sin obstrucción ni gangrena</v>
          </cell>
        </row>
        <row r="4588">
          <cell r="A4588" t="str">
            <v>K41.3</v>
          </cell>
          <cell r="B4588" t="str">
            <v>Hernia femoral unilateral o no especificada, con obstrucción, sin gangrena</v>
          </cell>
        </row>
        <row r="4589">
          <cell r="A4589" t="str">
            <v>K41.4</v>
          </cell>
          <cell r="B4589" t="str">
            <v>Hernia femoral unilateral o no especificada, con gangrena</v>
          </cell>
        </row>
        <row r="4590">
          <cell r="A4590" t="str">
            <v>K41.9</v>
          </cell>
          <cell r="B4590" t="str">
            <v>Hernia femoral unilateral o no especificada, sin obstrucción ni gangrena</v>
          </cell>
        </row>
        <row r="4591">
          <cell r="A4591" t="str">
            <v>K42</v>
          </cell>
          <cell r="B4591" t="str">
            <v>Hernia umbilical</v>
          </cell>
        </row>
        <row r="4592">
          <cell r="A4592" t="str">
            <v>K42.0</v>
          </cell>
          <cell r="B4592" t="str">
            <v>Hernia umbilical con obstrucción, sin gangrena</v>
          </cell>
        </row>
        <row r="4593">
          <cell r="A4593" t="str">
            <v>K42.1</v>
          </cell>
          <cell r="B4593" t="str">
            <v>Hernia umbilical con gangrena</v>
          </cell>
        </row>
        <row r="4594">
          <cell r="A4594" t="str">
            <v>K42.9</v>
          </cell>
          <cell r="B4594" t="str">
            <v>Hernia umbilical sin obstrucción ni gangrena</v>
          </cell>
        </row>
        <row r="4595">
          <cell r="A4595" t="str">
            <v>K43</v>
          </cell>
          <cell r="B4595" t="str">
            <v>Hernia ventral</v>
          </cell>
        </row>
        <row r="4596">
          <cell r="A4596" t="str">
            <v>K43.0</v>
          </cell>
          <cell r="B4596" t="str">
            <v>Hernia ventral con obstrucción, sin gangrena</v>
          </cell>
        </row>
        <row r="4597">
          <cell r="A4597" t="str">
            <v>K43.1</v>
          </cell>
          <cell r="B4597" t="str">
            <v>Hernia ventral con gangrena</v>
          </cell>
        </row>
        <row r="4598">
          <cell r="A4598" t="str">
            <v>K43.9</v>
          </cell>
          <cell r="B4598" t="str">
            <v>Hernia ventral sin obstrucción ni gangrena</v>
          </cell>
        </row>
        <row r="4599">
          <cell r="A4599" t="str">
            <v>K44</v>
          </cell>
          <cell r="B4599" t="str">
            <v>Hernia diafragmática</v>
          </cell>
        </row>
        <row r="4600">
          <cell r="A4600" t="str">
            <v>K44.0</v>
          </cell>
          <cell r="B4600" t="str">
            <v>Hernia diafragmática con obstrucción, sin gangrena</v>
          </cell>
        </row>
        <row r="4601">
          <cell r="A4601" t="str">
            <v>K44.1</v>
          </cell>
          <cell r="B4601" t="str">
            <v>Hernia diafragmática con gangrena</v>
          </cell>
        </row>
        <row r="4602">
          <cell r="A4602" t="str">
            <v>K44.9</v>
          </cell>
          <cell r="B4602" t="str">
            <v>Hernia diafragmática sin obstrucción ni gangrena</v>
          </cell>
        </row>
        <row r="4603">
          <cell r="A4603" t="str">
            <v>K45</v>
          </cell>
          <cell r="B4603" t="str">
            <v>Otras hernias de la cavidad abdominal</v>
          </cell>
        </row>
        <row r="4604">
          <cell r="A4604" t="str">
            <v>K45.0</v>
          </cell>
          <cell r="B4604" t="str">
            <v>Otras hernias de la cavidad abdominal especificadas, con obstrucción, sin gangrena</v>
          </cell>
        </row>
        <row r="4605">
          <cell r="A4605" t="str">
            <v>K45.1</v>
          </cell>
          <cell r="B4605" t="str">
            <v>Otras hernias de la cavidad abdominal especificadas, con gangrena</v>
          </cell>
        </row>
        <row r="4606">
          <cell r="A4606" t="str">
            <v>K45.8</v>
          </cell>
          <cell r="B4606" t="str">
            <v>Otras hernias de la cavidad abdominal especificadas, sin obstrucción ni gangrena</v>
          </cell>
        </row>
        <row r="4607">
          <cell r="A4607" t="str">
            <v>K46</v>
          </cell>
          <cell r="B4607" t="str">
            <v>Hernia no especificada de la cavidad abdominal</v>
          </cell>
        </row>
        <row r="4608">
          <cell r="A4608" t="str">
            <v>K46.0</v>
          </cell>
          <cell r="B4608" t="str">
            <v>Hernia abdominal no especificada, con obstrucción, sin gangrena</v>
          </cell>
        </row>
        <row r="4609">
          <cell r="A4609" t="str">
            <v>K46.1</v>
          </cell>
          <cell r="B4609" t="str">
            <v>Hernia abdominal no especificada, con gangrena</v>
          </cell>
        </row>
        <row r="4610">
          <cell r="A4610" t="str">
            <v>K46.9</v>
          </cell>
          <cell r="B4610" t="str">
            <v>Hernia abdominal no especificada, sin obstrucción ni gangrena</v>
          </cell>
        </row>
        <row r="4611">
          <cell r="A4611" t="str">
            <v>K50</v>
          </cell>
          <cell r="B4611" t="str">
            <v>Enfermedad de Crohn [enteritis regional]</v>
          </cell>
        </row>
        <row r="4612">
          <cell r="A4612" t="str">
            <v>K50.0</v>
          </cell>
          <cell r="B4612" t="str">
            <v>Enfermedad de Crohn del intestino delgado</v>
          </cell>
        </row>
        <row r="4613">
          <cell r="A4613" t="str">
            <v>K50.1</v>
          </cell>
          <cell r="B4613" t="str">
            <v>Enfermedad de Crohn del intestino grueso</v>
          </cell>
        </row>
        <row r="4614">
          <cell r="A4614" t="str">
            <v>K50.8</v>
          </cell>
          <cell r="B4614" t="str">
            <v>Otros tipos de enfermedad de Crohn</v>
          </cell>
        </row>
        <row r="4615">
          <cell r="A4615" t="str">
            <v>K50.9</v>
          </cell>
          <cell r="B4615" t="str">
            <v>Enfermedad de Crohn, no especificada</v>
          </cell>
        </row>
        <row r="4616">
          <cell r="A4616" t="str">
            <v>K51</v>
          </cell>
          <cell r="B4616" t="str">
            <v>Colitis ulcerativa</v>
          </cell>
        </row>
        <row r="4617">
          <cell r="A4617" t="str">
            <v>K51.0</v>
          </cell>
          <cell r="B4617" t="str">
            <v>Enterocolitis (crónica) ulcerativa</v>
          </cell>
        </row>
        <row r="4618">
          <cell r="A4618" t="str">
            <v>K51.1</v>
          </cell>
          <cell r="B4618" t="str">
            <v>Ileocolitis (crónica) ulcerativa</v>
          </cell>
        </row>
        <row r="4619">
          <cell r="A4619" t="str">
            <v>K51.2</v>
          </cell>
          <cell r="B4619" t="str">
            <v>Proctitis (crónica) ulcerativa</v>
          </cell>
        </row>
        <row r="4620">
          <cell r="A4620" t="str">
            <v>K51.3</v>
          </cell>
          <cell r="B4620" t="str">
            <v>Rectosigmoiditis (crónica) ulcerativa</v>
          </cell>
        </row>
        <row r="4621">
          <cell r="A4621" t="str">
            <v>K51.4</v>
          </cell>
          <cell r="B4621" t="str">
            <v>Seudopoliposis del colon</v>
          </cell>
        </row>
        <row r="4622">
          <cell r="A4622" t="str">
            <v>K51.5</v>
          </cell>
          <cell r="B4622" t="str">
            <v>Proctocolitis mucosa</v>
          </cell>
        </row>
        <row r="4623">
          <cell r="A4623" t="str">
            <v>K51.8</v>
          </cell>
          <cell r="B4623" t="str">
            <v>Otras colitis ulcerativas</v>
          </cell>
        </row>
        <row r="4624">
          <cell r="A4624" t="str">
            <v>K51.9</v>
          </cell>
          <cell r="B4624" t="str">
            <v>Colitis ulcerativa, sin otra especificación</v>
          </cell>
        </row>
        <row r="4625">
          <cell r="A4625" t="str">
            <v>K52</v>
          </cell>
          <cell r="B4625" t="str">
            <v>Otras colitis y gastroenteritis no infecciosas</v>
          </cell>
        </row>
        <row r="4626">
          <cell r="A4626" t="str">
            <v>K52.0</v>
          </cell>
          <cell r="B4626" t="str">
            <v>Colitis y gastroenteritis debidas a radiación</v>
          </cell>
        </row>
        <row r="4627">
          <cell r="A4627" t="str">
            <v>K52.1</v>
          </cell>
          <cell r="B4627" t="str">
            <v>Colitis y gastroenteritis tóxicas</v>
          </cell>
        </row>
        <row r="4628">
          <cell r="A4628" t="str">
            <v>K52.2</v>
          </cell>
          <cell r="B4628" t="str">
            <v>Colitis y gastroenteritis alérgicas y dietéticas</v>
          </cell>
        </row>
        <row r="4629">
          <cell r="A4629" t="str">
            <v>K52.8</v>
          </cell>
          <cell r="B4629" t="str">
            <v>Otras colitis y gastroenteritis no infecciosas especificadas</v>
          </cell>
        </row>
        <row r="4630">
          <cell r="A4630" t="str">
            <v>K52.9</v>
          </cell>
          <cell r="B4630" t="str">
            <v>Colitis y gastroenteritis no infecciosas, no especificadas</v>
          </cell>
        </row>
        <row r="4631">
          <cell r="A4631" t="str">
            <v>K55</v>
          </cell>
          <cell r="B4631" t="str">
            <v>Trastornos vasculares de los intestinos</v>
          </cell>
        </row>
        <row r="4632">
          <cell r="A4632" t="str">
            <v>K55.0</v>
          </cell>
          <cell r="B4632" t="str">
            <v>Trastorno vascular agudo de los intestinos</v>
          </cell>
        </row>
        <row r="4633">
          <cell r="A4633" t="str">
            <v>K55.1</v>
          </cell>
          <cell r="B4633" t="str">
            <v>Trastorno vascular crónico del intestino</v>
          </cell>
        </row>
        <row r="4634">
          <cell r="A4634" t="str">
            <v>K55.2</v>
          </cell>
          <cell r="B4634" t="str">
            <v>Angiodisplasia del colon</v>
          </cell>
        </row>
        <row r="4635">
          <cell r="A4635" t="str">
            <v>K55.8</v>
          </cell>
          <cell r="B4635" t="str">
            <v>Otros trastornos vasculares del intestino</v>
          </cell>
        </row>
        <row r="4636">
          <cell r="A4636" t="str">
            <v>K55.9</v>
          </cell>
          <cell r="B4636" t="str">
            <v>Trastorno vascular del intestino, no especificado</v>
          </cell>
        </row>
        <row r="4637">
          <cell r="A4637" t="str">
            <v>K56</v>
          </cell>
          <cell r="B4637" t="str">
            <v>Ileo paralítico y obstrucción intestinal sin hernia</v>
          </cell>
        </row>
        <row r="4638">
          <cell r="A4638" t="str">
            <v>K56.0</v>
          </cell>
          <cell r="B4638" t="str">
            <v>Ileo paralítico</v>
          </cell>
        </row>
        <row r="4639">
          <cell r="A4639" t="str">
            <v>K56.1</v>
          </cell>
          <cell r="B4639" t="str">
            <v>Invaginación</v>
          </cell>
        </row>
        <row r="4640">
          <cell r="A4640" t="str">
            <v>K56.2</v>
          </cell>
          <cell r="B4640" t="str">
            <v>Vólvulo</v>
          </cell>
        </row>
        <row r="4641">
          <cell r="A4641" t="str">
            <v>K56.3</v>
          </cell>
          <cell r="B4641" t="str">
            <v>Ileo por cálculo biliar</v>
          </cell>
        </row>
        <row r="4642">
          <cell r="A4642" t="str">
            <v>K56.4</v>
          </cell>
          <cell r="B4642" t="str">
            <v>Otras obstrucciones del intestino</v>
          </cell>
        </row>
        <row r="4643">
          <cell r="A4643" t="str">
            <v>K56.5</v>
          </cell>
          <cell r="B4643" t="str">
            <v>Adherencias [bridas] intestinales con obstrucción</v>
          </cell>
        </row>
        <row r="4644">
          <cell r="A4644" t="str">
            <v>K56.6</v>
          </cell>
          <cell r="B4644" t="str">
            <v>Otras obstrucciones intestinales y las no especificadas</v>
          </cell>
        </row>
        <row r="4645">
          <cell r="A4645" t="str">
            <v>K56.7</v>
          </cell>
          <cell r="B4645" t="str">
            <v>Ileo, no especificado</v>
          </cell>
        </row>
        <row r="4646">
          <cell r="A4646" t="str">
            <v>K57</v>
          </cell>
          <cell r="B4646" t="str">
            <v>Enfermedad diverticular del intestino</v>
          </cell>
        </row>
        <row r="4647">
          <cell r="A4647" t="str">
            <v>K57.0</v>
          </cell>
          <cell r="B4647" t="str">
            <v>Enfermedad diverticular del intestino delgado con perforación y absceso</v>
          </cell>
        </row>
        <row r="4648">
          <cell r="A4648" t="str">
            <v>K57.1</v>
          </cell>
          <cell r="B4648" t="str">
            <v>Enfermedad diverticular del intestino delgado sin perforación ni absceso</v>
          </cell>
        </row>
        <row r="4649">
          <cell r="A4649" t="str">
            <v>K57.2</v>
          </cell>
          <cell r="B4649" t="str">
            <v>Enfermedad diverticular del intestino grueso con perforación y absceso</v>
          </cell>
        </row>
        <row r="4650">
          <cell r="A4650" t="str">
            <v>K57.3</v>
          </cell>
          <cell r="B4650" t="str">
            <v>Enfermedad diverticular del intestino grueso sin perforación ni absceso</v>
          </cell>
        </row>
        <row r="4651">
          <cell r="A4651" t="str">
            <v>K57.4</v>
          </cell>
          <cell r="B4651" t="str">
            <v>Enfermedad diverticular de ambos intestinos con perforación y absceso</v>
          </cell>
        </row>
        <row r="4652">
          <cell r="A4652" t="str">
            <v>K57.5</v>
          </cell>
          <cell r="B4652" t="str">
            <v>Enfermedad diverticular de ambos intestinos, sin perforación ni absceso</v>
          </cell>
        </row>
        <row r="4653">
          <cell r="A4653" t="str">
            <v>K57.8</v>
          </cell>
          <cell r="B4653" t="str">
            <v>Enfermedad diverticular del intestino, parte no especificada, con perforación y absceso</v>
          </cell>
        </row>
        <row r="4654">
          <cell r="A4654" t="str">
            <v>K57.9</v>
          </cell>
          <cell r="B4654" t="str">
            <v>Enfermedad diverticular del intestino, parte no especificada, sin perforación ni absceso</v>
          </cell>
        </row>
        <row r="4655">
          <cell r="A4655" t="str">
            <v>K58</v>
          </cell>
          <cell r="B4655" t="str">
            <v>Síndrome del colon irritable</v>
          </cell>
        </row>
        <row r="4656">
          <cell r="A4656" t="str">
            <v>K58.0</v>
          </cell>
          <cell r="B4656" t="str">
            <v>Síndrome del colon irritable con diarrea</v>
          </cell>
        </row>
        <row r="4657">
          <cell r="A4657" t="str">
            <v>K58.9</v>
          </cell>
          <cell r="B4657" t="str">
            <v>Síndrome del colon irritable sin diarrea</v>
          </cell>
        </row>
        <row r="4658">
          <cell r="A4658" t="str">
            <v>K59</v>
          </cell>
          <cell r="B4658" t="str">
            <v>Otros trastornos funcionales del intestino</v>
          </cell>
        </row>
        <row r="4659">
          <cell r="A4659" t="str">
            <v>K59.0</v>
          </cell>
          <cell r="B4659" t="str">
            <v>Constipación</v>
          </cell>
        </row>
        <row r="4660">
          <cell r="A4660" t="str">
            <v>K59.1</v>
          </cell>
          <cell r="B4660" t="str">
            <v>Diarrea funcional</v>
          </cell>
        </row>
        <row r="4661">
          <cell r="A4661" t="str">
            <v>K59.2</v>
          </cell>
          <cell r="B4661" t="str">
            <v>Intestino neurogénico, no clasificado en otra parte</v>
          </cell>
        </row>
        <row r="4662">
          <cell r="A4662" t="str">
            <v>K59.3</v>
          </cell>
          <cell r="B4662" t="str">
            <v>Megacolon, no clasificado en otra parte</v>
          </cell>
        </row>
        <row r="4663">
          <cell r="A4663" t="str">
            <v>K59.4</v>
          </cell>
          <cell r="B4663" t="str">
            <v>Espasmo anal</v>
          </cell>
        </row>
        <row r="4664">
          <cell r="A4664" t="str">
            <v>K59.8</v>
          </cell>
          <cell r="B4664" t="str">
            <v>Otros trastornos funcionales especificados del intestino</v>
          </cell>
        </row>
        <row r="4665">
          <cell r="A4665" t="str">
            <v>K59.9</v>
          </cell>
          <cell r="B4665" t="str">
            <v>Trastorno funcional intestinal, no especificado</v>
          </cell>
        </row>
        <row r="4666">
          <cell r="A4666" t="str">
            <v>K60</v>
          </cell>
          <cell r="B4666" t="str">
            <v>Fisura y fístula de las regiones anal y rectal</v>
          </cell>
        </row>
        <row r="4667">
          <cell r="A4667" t="str">
            <v>K60.0</v>
          </cell>
          <cell r="B4667" t="str">
            <v>Fisura anal aguda</v>
          </cell>
        </row>
        <row r="4668">
          <cell r="A4668" t="str">
            <v>K60.1</v>
          </cell>
          <cell r="B4668" t="str">
            <v>Fisura anal crónica</v>
          </cell>
        </row>
        <row r="4669">
          <cell r="A4669" t="str">
            <v>K60.2</v>
          </cell>
          <cell r="B4669" t="str">
            <v>Fisura anal, no especificada</v>
          </cell>
        </row>
        <row r="4670">
          <cell r="A4670" t="str">
            <v>K60.3</v>
          </cell>
          <cell r="B4670" t="str">
            <v>Fístula anal</v>
          </cell>
        </row>
        <row r="4671">
          <cell r="A4671" t="str">
            <v>K60.4</v>
          </cell>
          <cell r="B4671" t="str">
            <v>Fístula rectal</v>
          </cell>
        </row>
        <row r="4672">
          <cell r="A4672" t="str">
            <v>K60.5</v>
          </cell>
          <cell r="B4672" t="str">
            <v>Fístula anorrectal</v>
          </cell>
        </row>
        <row r="4673">
          <cell r="A4673" t="str">
            <v>K61</v>
          </cell>
          <cell r="B4673" t="str">
            <v>Absceso de las regiones anal y rectal</v>
          </cell>
        </row>
        <row r="4674">
          <cell r="A4674" t="str">
            <v>K61.0</v>
          </cell>
          <cell r="B4674" t="str">
            <v>Absceso anal</v>
          </cell>
        </row>
        <row r="4675">
          <cell r="A4675" t="str">
            <v>K61.1</v>
          </cell>
          <cell r="B4675" t="str">
            <v>Absceso rectal</v>
          </cell>
        </row>
        <row r="4676">
          <cell r="A4676" t="str">
            <v>K61.2</v>
          </cell>
          <cell r="B4676" t="str">
            <v>Absceso anorrectal</v>
          </cell>
        </row>
        <row r="4677">
          <cell r="A4677" t="str">
            <v>K61.3</v>
          </cell>
          <cell r="B4677" t="str">
            <v>Absceso isquiorrectal</v>
          </cell>
        </row>
        <row r="4678">
          <cell r="A4678" t="str">
            <v>K61.4</v>
          </cell>
          <cell r="B4678" t="str">
            <v>Absceso intraesfinteriano</v>
          </cell>
        </row>
        <row r="4679">
          <cell r="A4679" t="str">
            <v>K62</v>
          </cell>
          <cell r="B4679" t="str">
            <v>Otras enfermedades del ano y del recto</v>
          </cell>
        </row>
        <row r="4680">
          <cell r="A4680" t="str">
            <v>K62.0</v>
          </cell>
          <cell r="B4680" t="str">
            <v>Pólipo anal</v>
          </cell>
        </row>
        <row r="4681">
          <cell r="A4681" t="str">
            <v>K62.1</v>
          </cell>
          <cell r="B4681" t="str">
            <v>Pólipo rectal</v>
          </cell>
        </row>
        <row r="4682">
          <cell r="A4682" t="str">
            <v>K62.2</v>
          </cell>
          <cell r="B4682" t="str">
            <v>Prolapso anal</v>
          </cell>
        </row>
        <row r="4683">
          <cell r="A4683" t="str">
            <v>K62.3</v>
          </cell>
          <cell r="B4683" t="str">
            <v>Prolapso rectal</v>
          </cell>
        </row>
        <row r="4684">
          <cell r="A4684" t="str">
            <v>K62.4</v>
          </cell>
          <cell r="B4684" t="str">
            <v>Estenosis del ano y del recto</v>
          </cell>
        </row>
        <row r="4685">
          <cell r="A4685" t="str">
            <v>K62.5</v>
          </cell>
          <cell r="B4685" t="str">
            <v>Hemorragia del ano y del recto</v>
          </cell>
        </row>
        <row r="4686">
          <cell r="A4686" t="str">
            <v>K62.6</v>
          </cell>
          <cell r="B4686" t="str">
            <v>Ulcera del ano y del recto</v>
          </cell>
        </row>
        <row r="4687">
          <cell r="A4687" t="str">
            <v>K62.7</v>
          </cell>
          <cell r="B4687" t="str">
            <v>Proctitis por radiación</v>
          </cell>
        </row>
        <row r="4688">
          <cell r="A4688" t="str">
            <v>K62.8</v>
          </cell>
          <cell r="B4688" t="str">
            <v>Otras enfermedades especificadas del ano y del recto</v>
          </cell>
        </row>
        <row r="4689">
          <cell r="A4689" t="str">
            <v>K62.9</v>
          </cell>
          <cell r="B4689" t="str">
            <v>Enfermedad del ano y del recto, no especificada</v>
          </cell>
        </row>
        <row r="4690">
          <cell r="A4690" t="str">
            <v>K63</v>
          </cell>
          <cell r="B4690" t="str">
            <v>Otras enfermedades de los intestinos</v>
          </cell>
        </row>
        <row r="4691">
          <cell r="A4691" t="str">
            <v>K63.0</v>
          </cell>
          <cell r="B4691" t="str">
            <v>Absceso del intestino</v>
          </cell>
        </row>
        <row r="4692">
          <cell r="A4692" t="str">
            <v>K63.1</v>
          </cell>
          <cell r="B4692" t="str">
            <v>Perforación del intestino (no traumática)</v>
          </cell>
        </row>
        <row r="4693">
          <cell r="A4693" t="str">
            <v>K63.2</v>
          </cell>
          <cell r="B4693" t="str">
            <v>Fístula del intestino</v>
          </cell>
        </row>
        <row r="4694">
          <cell r="A4694" t="str">
            <v>K63.3</v>
          </cell>
          <cell r="B4694" t="str">
            <v>Ulcera del intestino</v>
          </cell>
        </row>
        <row r="4695">
          <cell r="A4695" t="str">
            <v>K63.4</v>
          </cell>
          <cell r="B4695" t="str">
            <v>Enteroptosis</v>
          </cell>
        </row>
        <row r="4696">
          <cell r="A4696" t="str">
            <v>K63.8</v>
          </cell>
          <cell r="B4696" t="str">
            <v>Otras enfermedades especificadas del intestino</v>
          </cell>
        </row>
        <row r="4697">
          <cell r="A4697" t="str">
            <v>K63.9</v>
          </cell>
          <cell r="B4697" t="str">
            <v>Enfermedad del intestino, no especificada</v>
          </cell>
        </row>
        <row r="4698">
          <cell r="A4698" t="str">
            <v>K65</v>
          </cell>
          <cell r="B4698" t="str">
            <v>Peritonitis</v>
          </cell>
        </row>
        <row r="4699">
          <cell r="A4699" t="str">
            <v>K65.0</v>
          </cell>
          <cell r="B4699" t="str">
            <v>Peritonitis aguda</v>
          </cell>
        </row>
        <row r="4700">
          <cell r="A4700" t="str">
            <v>K65.8</v>
          </cell>
          <cell r="B4700" t="str">
            <v>Otras peritonitis</v>
          </cell>
        </row>
        <row r="4701">
          <cell r="A4701" t="str">
            <v>K65.9</v>
          </cell>
          <cell r="B4701" t="str">
            <v>Peritonitis, no especificada</v>
          </cell>
        </row>
        <row r="4702">
          <cell r="A4702" t="str">
            <v>K66</v>
          </cell>
          <cell r="B4702" t="str">
            <v>Otros trastornos del peritoneo</v>
          </cell>
        </row>
        <row r="4703">
          <cell r="A4703" t="str">
            <v>K66.0</v>
          </cell>
          <cell r="B4703" t="str">
            <v>Adherencias peritoneales</v>
          </cell>
        </row>
        <row r="4704">
          <cell r="A4704" t="str">
            <v>K66.1</v>
          </cell>
          <cell r="B4704" t="str">
            <v>Hemoperitoneo</v>
          </cell>
        </row>
        <row r="4705">
          <cell r="A4705" t="str">
            <v>K66.8</v>
          </cell>
          <cell r="B4705" t="str">
            <v>Otros trastornos especificados del peritoneo</v>
          </cell>
        </row>
        <row r="4706">
          <cell r="A4706" t="str">
            <v>K66.9</v>
          </cell>
          <cell r="B4706" t="str">
            <v>Trastorno del peritoneo, no especificado</v>
          </cell>
        </row>
        <row r="4707">
          <cell r="A4707" t="str">
            <v>K67*</v>
          </cell>
          <cell r="B4707" t="str">
            <v>Trastornos del peritoneo en enfermedades infecciosas clasificadas en otra parte</v>
          </cell>
        </row>
        <row r="4708">
          <cell r="A4708" t="str">
            <v>K67.0*</v>
          </cell>
          <cell r="B4708" t="str">
            <v>Peritonitis por clamidias (A74.8+)</v>
          </cell>
        </row>
        <row r="4709">
          <cell r="A4709" t="str">
            <v>K67.1*</v>
          </cell>
          <cell r="B4709" t="str">
            <v>Peritonitis gonocócica (A54.8+)</v>
          </cell>
        </row>
        <row r="4710">
          <cell r="A4710" t="str">
            <v>K67.2*</v>
          </cell>
          <cell r="B4710" t="str">
            <v>Peritonitis sifilítica (A52.7+)</v>
          </cell>
        </row>
        <row r="4711">
          <cell r="A4711" t="str">
            <v>K67.3*</v>
          </cell>
          <cell r="B4711" t="str">
            <v>Peritonitis tuberculosa (A18.3+)</v>
          </cell>
        </row>
        <row r="4712">
          <cell r="A4712" t="str">
            <v>K67.8*</v>
          </cell>
          <cell r="B4712" t="str">
            <v>Otros trastornos del peritoneo en enfermedades infecciosas clasificadas en otra parte</v>
          </cell>
        </row>
        <row r="4713">
          <cell r="A4713" t="str">
            <v>K70</v>
          </cell>
          <cell r="B4713" t="str">
            <v>Enfermedad alcohólica del hígado</v>
          </cell>
        </row>
        <row r="4714">
          <cell r="A4714" t="str">
            <v>K70.0</v>
          </cell>
          <cell r="B4714" t="str">
            <v>Hígado alcohólico adiposo</v>
          </cell>
        </row>
        <row r="4715">
          <cell r="A4715" t="str">
            <v>K70.1</v>
          </cell>
          <cell r="B4715" t="str">
            <v>Hepatitis alcohólica</v>
          </cell>
        </row>
        <row r="4716">
          <cell r="A4716" t="str">
            <v>K70.2</v>
          </cell>
          <cell r="B4716" t="str">
            <v>Fibrosis y esclerosis del hígado, alcohólica</v>
          </cell>
        </row>
        <row r="4717">
          <cell r="A4717" t="str">
            <v>K70.3</v>
          </cell>
          <cell r="B4717" t="str">
            <v>Cirrosis hepática alcohólica</v>
          </cell>
        </row>
        <row r="4718">
          <cell r="A4718" t="str">
            <v>K70.4</v>
          </cell>
          <cell r="B4718" t="str">
            <v>Insuficiencia hepática alcohólica</v>
          </cell>
        </row>
        <row r="4719">
          <cell r="A4719" t="str">
            <v>K70.9</v>
          </cell>
          <cell r="B4719" t="str">
            <v>Enfermedad hepática alcohólica, no especificada</v>
          </cell>
        </row>
        <row r="4720">
          <cell r="A4720" t="str">
            <v>K71</v>
          </cell>
          <cell r="B4720" t="str">
            <v>Enfermedad tóxica del hígado</v>
          </cell>
        </row>
        <row r="4721">
          <cell r="A4721" t="str">
            <v>K71.0</v>
          </cell>
          <cell r="B4721" t="str">
            <v>Enfermedad tóxica del hígado, con colestasis</v>
          </cell>
        </row>
        <row r="4722">
          <cell r="A4722" t="str">
            <v>K71.1</v>
          </cell>
          <cell r="B4722" t="str">
            <v>Enfermedad tóxica del hígado con necrosis hepática</v>
          </cell>
        </row>
        <row r="4723">
          <cell r="A4723" t="str">
            <v>K71.2</v>
          </cell>
          <cell r="B4723" t="str">
            <v>Enfermedad tóxica del hígado con hepatitis aguda</v>
          </cell>
        </row>
        <row r="4724">
          <cell r="A4724" t="str">
            <v>K71.3</v>
          </cell>
          <cell r="B4724" t="str">
            <v>Enfermedad tóxica del hígado con hepatitis crónica persistente</v>
          </cell>
        </row>
        <row r="4725">
          <cell r="A4725" t="str">
            <v>K71.4</v>
          </cell>
          <cell r="B4725" t="str">
            <v>Enfermedad tóxica del hígado con hepatitis crónica lobular</v>
          </cell>
        </row>
        <row r="4726">
          <cell r="A4726" t="str">
            <v>K71.5</v>
          </cell>
          <cell r="B4726" t="str">
            <v>Enfermedad tóxica del hígado con hepatitis crónica activa</v>
          </cell>
        </row>
        <row r="4727">
          <cell r="A4727" t="str">
            <v>K71.6</v>
          </cell>
          <cell r="B4727" t="str">
            <v>Enfermedad tóxica del hígado con hepatitis no clasificada en otra parte</v>
          </cell>
        </row>
        <row r="4728">
          <cell r="A4728" t="str">
            <v>K71.7</v>
          </cell>
          <cell r="B4728" t="str">
            <v>Enfermedad tóxica del hígado con cirrosis y fibrosis del hígado</v>
          </cell>
        </row>
        <row r="4729">
          <cell r="A4729" t="str">
            <v>K71.8</v>
          </cell>
          <cell r="B4729" t="str">
            <v>Enfermedad tóxica del hígado con otros trastornos hepáticos</v>
          </cell>
        </row>
        <row r="4730">
          <cell r="A4730" t="str">
            <v>K71.9</v>
          </cell>
          <cell r="B4730" t="str">
            <v>Enfermedad tóxica del hígado, no especificada</v>
          </cell>
        </row>
        <row r="4731">
          <cell r="A4731" t="str">
            <v>K72</v>
          </cell>
          <cell r="B4731" t="str">
            <v>Insuficiencia hepática, no clasificada en otra parte</v>
          </cell>
        </row>
        <row r="4732">
          <cell r="A4732" t="str">
            <v>K72.0</v>
          </cell>
          <cell r="B4732" t="str">
            <v>Insuficiencia hepática aguda o subaguda</v>
          </cell>
        </row>
        <row r="4733">
          <cell r="A4733" t="str">
            <v>K72.1</v>
          </cell>
          <cell r="B4733" t="str">
            <v>Insuficiencia hepática crónica</v>
          </cell>
        </row>
        <row r="4734">
          <cell r="A4734" t="str">
            <v>K72.9</v>
          </cell>
          <cell r="B4734" t="str">
            <v>Insuficiencia hepática, no especificada</v>
          </cell>
        </row>
        <row r="4735">
          <cell r="A4735" t="str">
            <v>K73</v>
          </cell>
          <cell r="B4735" t="str">
            <v>Hepatitis crónica, no clasificada en otra parte</v>
          </cell>
        </row>
        <row r="4736">
          <cell r="A4736" t="str">
            <v>K73.0</v>
          </cell>
          <cell r="B4736" t="str">
            <v>Hepatitis crónica persistente, no clasificada en otra parte</v>
          </cell>
        </row>
        <row r="4737">
          <cell r="A4737" t="str">
            <v>K73.1</v>
          </cell>
          <cell r="B4737" t="str">
            <v>Hepatitis crónica lobular, no clasificada en otra parte</v>
          </cell>
        </row>
        <row r="4738">
          <cell r="A4738" t="str">
            <v>K73.2</v>
          </cell>
          <cell r="B4738" t="str">
            <v>Hepatitis crónica activa, no clasificada en otra parte</v>
          </cell>
        </row>
        <row r="4739">
          <cell r="A4739" t="str">
            <v>K73.8</v>
          </cell>
          <cell r="B4739" t="str">
            <v>Otras hepatitis crónicas, no clasificadas en otra parte</v>
          </cell>
        </row>
        <row r="4740">
          <cell r="A4740" t="str">
            <v>K73.9</v>
          </cell>
          <cell r="B4740" t="str">
            <v>Hepatitis crónica, no especificada</v>
          </cell>
        </row>
        <row r="4741">
          <cell r="A4741" t="str">
            <v>K74</v>
          </cell>
          <cell r="B4741" t="str">
            <v>Fibrosis y cirrosis del hígado</v>
          </cell>
        </row>
        <row r="4742">
          <cell r="A4742" t="str">
            <v>K74.0</v>
          </cell>
          <cell r="B4742" t="str">
            <v>Fibrosis hepática</v>
          </cell>
        </row>
        <row r="4743">
          <cell r="A4743" t="str">
            <v>K74.1</v>
          </cell>
          <cell r="B4743" t="str">
            <v>Esclerosis hepática</v>
          </cell>
        </row>
        <row r="4744">
          <cell r="A4744" t="str">
            <v>K74.2</v>
          </cell>
          <cell r="B4744" t="str">
            <v>Fibrosis hepática con esclerosis hepática</v>
          </cell>
        </row>
        <row r="4745">
          <cell r="A4745" t="str">
            <v>K74.3</v>
          </cell>
          <cell r="B4745" t="str">
            <v>Cirrosis biliar primaria</v>
          </cell>
        </row>
        <row r="4746">
          <cell r="A4746" t="str">
            <v>K74.4</v>
          </cell>
          <cell r="B4746" t="str">
            <v>Cirrosis biliar secundaria</v>
          </cell>
        </row>
        <row r="4747">
          <cell r="A4747" t="str">
            <v>K74.5</v>
          </cell>
          <cell r="B4747" t="str">
            <v>Cirrosis biliar, no especificada</v>
          </cell>
        </row>
        <row r="4748">
          <cell r="A4748" t="str">
            <v>K74.6</v>
          </cell>
          <cell r="B4748" t="str">
            <v>Otras cirrosis del hígado y las no especificadas</v>
          </cell>
        </row>
        <row r="4749">
          <cell r="A4749" t="str">
            <v>K75</v>
          </cell>
          <cell r="B4749" t="str">
            <v>Otras enfermedades inflamatorias del hígado</v>
          </cell>
        </row>
        <row r="4750">
          <cell r="A4750" t="str">
            <v>K75.0</v>
          </cell>
          <cell r="B4750" t="str">
            <v>Absceso del hígado</v>
          </cell>
        </row>
        <row r="4751">
          <cell r="A4751" t="str">
            <v>K75.1</v>
          </cell>
          <cell r="B4751" t="str">
            <v>Flebitis de la vena porta</v>
          </cell>
        </row>
        <row r="4752">
          <cell r="A4752" t="str">
            <v>K75.2</v>
          </cell>
          <cell r="B4752" t="str">
            <v>Hepatitis reactiva no específica</v>
          </cell>
        </row>
        <row r="4753">
          <cell r="A4753" t="str">
            <v>K75.3</v>
          </cell>
          <cell r="B4753" t="str">
            <v>Hepatitis granulomatosa, no clasificada en otra parte</v>
          </cell>
        </row>
        <row r="4754">
          <cell r="A4754" t="str">
            <v>K75.8</v>
          </cell>
          <cell r="B4754" t="str">
            <v>Otras enfermedades inflamatorias del hígado, especificadas</v>
          </cell>
        </row>
        <row r="4755">
          <cell r="A4755" t="str">
            <v>K75.9</v>
          </cell>
          <cell r="B4755" t="str">
            <v>Enfermedad inflamatoria del hígado, no especificada</v>
          </cell>
        </row>
        <row r="4756">
          <cell r="A4756" t="str">
            <v>K76</v>
          </cell>
          <cell r="B4756" t="str">
            <v>Otras enfermedades del hígado</v>
          </cell>
        </row>
        <row r="4757">
          <cell r="A4757" t="str">
            <v>K76.0</v>
          </cell>
          <cell r="B4757" t="str">
            <v>Degeneración grasa del hígado, no clasificada en otra parte</v>
          </cell>
        </row>
        <row r="4758">
          <cell r="A4758" t="str">
            <v>K76.1</v>
          </cell>
          <cell r="B4758" t="str">
            <v>Congestión pasiva crónica del hígado</v>
          </cell>
        </row>
        <row r="4759">
          <cell r="A4759" t="str">
            <v>K76.2</v>
          </cell>
          <cell r="B4759" t="str">
            <v>Necrosis hemorrágica central del hígado</v>
          </cell>
        </row>
        <row r="4760">
          <cell r="A4760" t="str">
            <v>K76.3</v>
          </cell>
          <cell r="B4760" t="str">
            <v>Infarto del hígado</v>
          </cell>
        </row>
        <row r="4761">
          <cell r="A4761" t="str">
            <v>K76.4</v>
          </cell>
          <cell r="B4761" t="str">
            <v>Peliosis hepática</v>
          </cell>
        </row>
        <row r="4762">
          <cell r="A4762" t="str">
            <v>K76.5</v>
          </cell>
          <cell r="B4762" t="str">
            <v>Enfermedad veno-oclusiva del hígado</v>
          </cell>
        </row>
        <row r="4763">
          <cell r="A4763" t="str">
            <v>K76.6</v>
          </cell>
          <cell r="B4763" t="str">
            <v>Hipertensión portal</v>
          </cell>
        </row>
        <row r="4764">
          <cell r="A4764" t="str">
            <v>K76.7</v>
          </cell>
          <cell r="B4764" t="str">
            <v>Síndrome hepatorrenal</v>
          </cell>
        </row>
        <row r="4765">
          <cell r="A4765" t="str">
            <v>K76.8</v>
          </cell>
          <cell r="B4765" t="str">
            <v>Otras enfermedades especificadas del hígado</v>
          </cell>
        </row>
        <row r="4766">
          <cell r="A4766" t="str">
            <v>K76.9</v>
          </cell>
          <cell r="B4766" t="str">
            <v>Enfermedad del hígado, no especificada</v>
          </cell>
        </row>
        <row r="4767">
          <cell r="A4767" t="str">
            <v>K77*</v>
          </cell>
          <cell r="B4767" t="str">
            <v>Trastornos del hígado en enfermedades clasificadas en otra parte</v>
          </cell>
        </row>
        <row r="4768">
          <cell r="A4768" t="str">
            <v>K77.0*</v>
          </cell>
          <cell r="B4768" t="str">
            <v>Trastornos del hígado en enfermedades infecciosas y parasitarias clasificadas en otra parte</v>
          </cell>
        </row>
        <row r="4769">
          <cell r="A4769" t="str">
            <v>K77.8*</v>
          </cell>
          <cell r="B4769" t="str">
            <v>Trastornos del hígado en otras enfermedades clasificadas en otra parte</v>
          </cell>
        </row>
        <row r="4770">
          <cell r="A4770" t="str">
            <v>K80</v>
          </cell>
          <cell r="B4770" t="str">
            <v>Colelitiasis</v>
          </cell>
        </row>
        <row r="4771">
          <cell r="A4771" t="str">
            <v>K80.0</v>
          </cell>
          <cell r="B4771" t="str">
            <v>Cálculo de la vesícula biliar con colecistitis aguda</v>
          </cell>
        </row>
        <row r="4772">
          <cell r="A4772" t="str">
            <v>K80.1</v>
          </cell>
          <cell r="B4772" t="str">
            <v>Cálculo de la vesícula biliar con otra colecistitis</v>
          </cell>
        </row>
        <row r="4773">
          <cell r="A4773" t="str">
            <v>K80.2</v>
          </cell>
          <cell r="B4773" t="str">
            <v>Cálculo de la vesícula biliar sin colecistitis</v>
          </cell>
        </row>
        <row r="4774">
          <cell r="A4774" t="str">
            <v>K80.3</v>
          </cell>
          <cell r="B4774" t="str">
            <v>Cálculo de conducto biliar con colangitis</v>
          </cell>
        </row>
        <row r="4775">
          <cell r="A4775" t="str">
            <v>K80.4</v>
          </cell>
          <cell r="B4775" t="str">
            <v>Cálculo de conducto biliar con colecistitis</v>
          </cell>
        </row>
        <row r="4776">
          <cell r="A4776" t="str">
            <v>K80.5</v>
          </cell>
          <cell r="B4776" t="str">
            <v>Cálculo de conducto biliar sin colangitis ni colecistitis</v>
          </cell>
        </row>
        <row r="4777">
          <cell r="A4777" t="str">
            <v>K80.8</v>
          </cell>
          <cell r="B4777" t="str">
            <v>Otras colelitiasis</v>
          </cell>
        </row>
        <row r="4778">
          <cell r="A4778" t="str">
            <v>K81</v>
          </cell>
          <cell r="B4778" t="str">
            <v>Colecistitis</v>
          </cell>
        </row>
        <row r="4779">
          <cell r="A4779" t="str">
            <v>K81.0</v>
          </cell>
          <cell r="B4779" t="str">
            <v>Colecistitis aguda</v>
          </cell>
        </row>
        <row r="4780">
          <cell r="A4780" t="str">
            <v>K81.1</v>
          </cell>
          <cell r="B4780" t="str">
            <v>Colecistitis crónica</v>
          </cell>
        </row>
        <row r="4781">
          <cell r="A4781" t="str">
            <v>K81.8</v>
          </cell>
          <cell r="B4781" t="str">
            <v>Otras colecistitis</v>
          </cell>
        </row>
        <row r="4782">
          <cell r="A4782" t="str">
            <v>K81.9</v>
          </cell>
          <cell r="B4782" t="str">
            <v>Colecistitis, no especificada</v>
          </cell>
        </row>
        <row r="4783">
          <cell r="A4783" t="str">
            <v>K82</v>
          </cell>
          <cell r="B4783" t="str">
            <v>Otras enfermedades de la vesícula biliar</v>
          </cell>
        </row>
        <row r="4784">
          <cell r="A4784" t="str">
            <v>K82.0</v>
          </cell>
          <cell r="B4784" t="str">
            <v>Obstrucción de la vesícula biliar</v>
          </cell>
        </row>
        <row r="4785">
          <cell r="A4785" t="str">
            <v>K82.1</v>
          </cell>
          <cell r="B4785" t="str">
            <v>Hidropesía de la vesícula biliar</v>
          </cell>
        </row>
        <row r="4786">
          <cell r="A4786" t="str">
            <v>K82.2</v>
          </cell>
          <cell r="B4786" t="str">
            <v>Perforación de la vesícula biliar</v>
          </cell>
        </row>
        <row r="4787">
          <cell r="A4787" t="str">
            <v>K82.3</v>
          </cell>
          <cell r="B4787" t="str">
            <v>Fístula de la vesícula biliar</v>
          </cell>
        </row>
        <row r="4788">
          <cell r="A4788" t="str">
            <v>K82.4</v>
          </cell>
          <cell r="B4788" t="str">
            <v>Colesterolosis de la vesícula biliar</v>
          </cell>
        </row>
        <row r="4789">
          <cell r="A4789" t="str">
            <v>K82.8</v>
          </cell>
          <cell r="B4789" t="str">
            <v>Otras enfermedades especificadas de la vesícula biliar</v>
          </cell>
        </row>
        <row r="4790">
          <cell r="A4790" t="str">
            <v>K82.9</v>
          </cell>
          <cell r="B4790" t="str">
            <v>Enfermedad de la vesícula biliar, no especificada</v>
          </cell>
        </row>
        <row r="4791">
          <cell r="A4791" t="str">
            <v>K83</v>
          </cell>
          <cell r="B4791" t="str">
            <v>Otras enfermedades de las vías biliares</v>
          </cell>
        </row>
        <row r="4792">
          <cell r="A4792" t="str">
            <v>K83.0</v>
          </cell>
          <cell r="B4792" t="str">
            <v>Colangitis</v>
          </cell>
        </row>
        <row r="4793">
          <cell r="A4793" t="str">
            <v>K83.1</v>
          </cell>
          <cell r="B4793" t="str">
            <v>Obstrucción del conducto biliar</v>
          </cell>
        </row>
        <row r="4794">
          <cell r="A4794" t="str">
            <v>K83.2</v>
          </cell>
          <cell r="B4794" t="str">
            <v>Perforación del conducto biliar</v>
          </cell>
        </row>
        <row r="4795">
          <cell r="A4795" t="str">
            <v>K83.3</v>
          </cell>
          <cell r="B4795" t="str">
            <v>Fístula del conducto biliar</v>
          </cell>
        </row>
        <row r="4796">
          <cell r="A4796" t="str">
            <v>K83.4</v>
          </cell>
          <cell r="B4796" t="str">
            <v>Espasmo del esfínter de Oddi</v>
          </cell>
        </row>
        <row r="4797">
          <cell r="A4797" t="str">
            <v>K83.5</v>
          </cell>
          <cell r="B4797" t="str">
            <v>Quiste biliar</v>
          </cell>
        </row>
        <row r="4798">
          <cell r="A4798" t="str">
            <v>K83.8</v>
          </cell>
          <cell r="B4798" t="str">
            <v>Otras enfermedades especificadas de las vías biliares</v>
          </cell>
        </row>
        <row r="4799">
          <cell r="A4799" t="str">
            <v>K83.9</v>
          </cell>
          <cell r="B4799" t="str">
            <v>Enfermedad de las vías biliares, no especificada</v>
          </cell>
        </row>
        <row r="4800">
          <cell r="A4800" t="str">
            <v>K85.X</v>
          </cell>
          <cell r="B4800" t="str">
            <v>Pancreatitis aguda</v>
          </cell>
        </row>
        <row r="4801">
          <cell r="A4801" t="str">
            <v>K86</v>
          </cell>
          <cell r="B4801" t="str">
            <v>Otras enfermedades del páncreas</v>
          </cell>
        </row>
        <row r="4802">
          <cell r="A4802" t="str">
            <v>K86.0</v>
          </cell>
          <cell r="B4802" t="str">
            <v>Pancreatitis crónica inducida por el alcohol</v>
          </cell>
        </row>
        <row r="4803">
          <cell r="A4803" t="str">
            <v>K86.1</v>
          </cell>
          <cell r="B4803" t="str">
            <v>Otras pancreatitis crónicas</v>
          </cell>
        </row>
        <row r="4804">
          <cell r="A4804" t="str">
            <v>K86.2</v>
          </cell>
          <cell r="B4804" t="str">
            <v>Quiste del páncreas</v>
          </cell>
        </row>
        <row r="4805">
          <cell r="A4805" t="str">
            <v>K86.3</v>
          </cell>
          <cell r="B4805" t="str">
            <v>Seudoquiste del páncreas</v>
          </cell>
        </row>
        <row r="4806">
          <cell r="A4806" t="str">
            <v>K86.8</v>
          </cell>
          <cell r="B4806" t="str">
            <v>Otras enfermedades especificadas del páncreas</v>
          </cell>
        </row>
        <row r="4807">
          <cell r="A4807" t="str">
            <v>K86.9</v>
          </cell>
          <cell r="B4807" t="str">
            <v>Enfermedad del páncreas, no especificada</v>
          </cell>
        </row>
        <row r="4808">
          <cell r="A4808" t="str">
            <v>K87*</v>
          </cell>
          <cell r="B4808" t="str">
            <v>Trastornos de la vesícula biliar, de las vías biliares y del páncreas en enfermedades clasificadas en otra parte</v>
          </cell>
        </row>
        <row r="4809">
          <cell r="A4809" t="str">
            <v>K87.0*</v>
          </cell>
          <cell r="B4809" t="str">
            <v>Trastornos de la vesícula biliar y de las vías biliares en enfermedades clasificadas en otra parte</v>
          </cell>
        </row>
        <row r="4810">
          <cell r="A4810" t="str">
            <v>K87.1*</v>
          </cell>
          <cell r="B4810" t="str">
            <v>Trastornos del páncreas en enfermedades clasificadas en otra parte</v>
          </cell>
        </row>
        <row r="4811">
          <cell r="A4811" t="str">
            <v>K90</v>
          </cell>
          <cell r="B4811" t="str">
            <v>Malabsorción intestinal</v>
          </cell>
        </row>
        <row r="4812">
          <cell r="A4812" t="str">
            <v>K90.0</v>
          </cell>
          <cell r="B4812" t="str">
            <v>Enfermedad celíaca</v>
          </cell>
        </row>
        <row r="4813">
          <cell r="A4813" t="str">
            <v>K90.1</v>
          </cell>
          <cell r="B4813" t="str">
            <v>Esprue tropical</v>
          </cell>
        </row>
        <row r="4814">
          <cell r="A4814" t="str">
            <v>K90.2</v>
          </cell>
          <cell r="B4814" t="str">
            <v>Síndrome del asa ciega, no clasificado en otra parte</v>
          </cell>
        </row>
        <row r="4815">
          <cell r="A4815" t="str">
            <v>K90.3</v>
          </cell>
          <cell r="B4815" t="str">
            <v>Esteatorrea pancreática</v>
          </cell>
        </row>
        <row r="4816">
          <cell r="A4816" t="str">
            <v>K90.4</v>
          </cell>
          <cell r="B4816" t="str">
            <v>Malabsorción debida a intolerancia, no clasificada en otra parte</v>
          </cell>
        </row>
        <row r="4817">
          <cell r="A4817" t="str">
            <v>K90.8</v>
          </cell>
          <cell r="B4817" t="str">
            <v>Otros tipos de malabsorción intestinal</v>
          </cell>
        </row>
        <row r="4818">
          <cell r="A4818" t="str">
            <v>K90.9</v>
          </cell>
          <cell r="B4818" t="str">
            <v>Malabsorción intestinal, no especificada</v>
          </cell>
        </row>
        <row r="4819">
          <cell r="A4819" t="str">
            <v>K91</v>
          </cell>
          <cell r="B4819" t="str">
            <v>Trastornos del sistema digestivo consecutivos a procedimientos, no clasificados en otra parte</v>
          </cell>
        </row>
        <row r="4820">
          <cell r="A4820" t="str">
            <v>K91.0</v>
          </cell>
          <cell r="B4820" t="str">
            <v>Vómito postcirugía gastrointestinal</v>
          </cell>
        </row>
        <row r="4821">
          <cell r="A4821" t="str">
            <v>K91.1</v>
          </cell>
          <cell r="B4821" t="str">
            <v>Síndromes consecutivos a la cirugía gástrica</v>
          </cell>
        </row>
        <row r="4822">
          <cell r="A4822" t="str">
            <v>K91.2</v>
          </cell>
          <cell r="B4822" t="str">
            <v>Malabsorción postquirúrgica, no clasificada en otra parte</v>
          </cell>
        </row>
        <row r="4823">
          <cell r="A4823" t="str">
            <v>K91.3</v>
          </cell>
          <cell r="B4823" t="str">
            <v>Obstrucción intestinal postoperatoria</v>
          </cell>
        </row>
        <row r="4824">
          <cell r="A4824" t="str">
            <v>K91.4</v>
          </cell>
          <cell r="B4824" t="str">
            <v>Disfunción de colostomía o enterostomía</v>
          </cell>
        </row>
        <row r="4825">
          <cell r="A4825" t="str">
            <v>K91.5</v>
          </cell>
          <cell r="B4825" t="str">
            <v>Síndrome postcolecistectomía</v>
          </cell>
        </row>
        <row r="4826">
          <cell r="A4826" t="str">
            <v>K91.8</v>
          </cell>
          <cell r="B4826" t="str">
            <v>Otros trastornos del sistema digestivo consecutivos a procedimientos, no clasificados en otra parte</v>
          </cell>
        </row>
        <row r="4827">
          <cell r="A4827" t="str">
            <v>K91.9</v>
          </cell>
          <cell r="B4827" t="str">
            <v>Trastorno no especificado del sistema digestivo consecutivo a procedimientos</v>
          </cell>
        </row>
        <row r="4828">
          <cell r="A4828" t="str">
            <v>K92</v>
          </cell>
          <cell r="B4828" t="str">
            <v>Otras enfermedades del sistema digestivo</v>
          </cell>
        </row>
        <row r="4829">
          <cell r="A4829" t="str">
            <v>K92.0</v>
          </cell>
          <cell r="B4829" t="str">
            <v>Hematemesis</v>
          </cell>
        </row>
        <row r="4830">
          <cell r="A4830" t="str">
            <v>K92.1</v>
          </cell>
          <cell r="B4830" t="str">
            <v>Melena</v>
          </cell>
        </row>
        <row r="4831">
          <cell r="A4831" t="str">
            <v>K92.2</v>
          </cell>
          <cell r="B4831" t="str">
            <v>Hemorragia gastrointestinal, no especificada</v>
          </cell>
        </row>
        <row r="4832">
          <cell r="A4832" t="str">
            <v>K92.8</v>
          </cell>
          <cell r="B4832" t="str">
            <v>Otras enfermedades especificadas del sistema digestivo</v>
          </cell>
        </row>
        <row r="4833">
          <cell r="A4833" t="str">
            <v>K92.9</v>
          </cell>
          <cell r="B4833" t="str">
            <v>Enfermedad del sistema digestivo, no especificada</v>
          </cell>
        </row>
        <row r="4834">
          <cell r="A4834" t="str">
            <v>K93*</v>
          </cell>
          <cell r="B4834" t="str">
            <v>Trastornos de otros órganos digestivos en enfermedades clasificadas en otra parte</v>
          </cell>
        </row>
        <row r="4835">
          <cell r="A4835" t="str">
            <v>K93.0*</v>
          </cell>
          <cell r="B4835" t="str">
            <v>Trastornos tuberculosos del intestino, peritoneo y ganglios mesentéricos (A18.3+)</v>
          </cell>
        </row>
        <row r="4836">
          <cell r="A4836" t="str">
            <v>K93.1*</v>
          </cell>
          <cell r="B4836" t="str">
            <v>Megacolon en la enfermedad de Chagas (B57.3+)</v>
          </cell>
        </row>
        <row r="4837">
          <cell r="A4837" t="str">
            <v>K93.8*</v>
          </cell>
          <cell r="B4837" t="str">
            <v>Trastornos de otros órganos digestivos especificados en enfermedades clasificadas en otra parte</v>
          </cell>
        </row>
        <row r="4838">
          <cell r="A4838" t="str">
            <v>L</v>
          </cell>
          <cell r="B4838" t="str">
            <v>Transtornos de la Piel y Tejido Celular Subcutáneo</v>
          </cell>
        </row>
        <row r="4839">
          <cell r="A4839" t="str">
            <v>L00.X</v>
          </cell>
          <cell r="B4839" t="str">
            <v>Síndrome estafilocócico de la piel escaldada</v>
          </cell>
        </row>
        <row r="4840">
          <cell r="A4840" t="str">
            <v>L01</v>
          </cell>
          <cell r="B4840" t="str">
            <v>Impétigo</v>
          </cell>
        </row>
        <row r="4841">
          <cell r="A4841" t="str">
            <v>L01.0</v>
          </cell>
          <cell r="B4841" t="str">
            <v>Impétigo [cualquier sitio anatómico] [cualquier organismo]</v>
          </cell>
        </row>
        <row r="4842">
          <cell r="A4842" t="str">
            <v>L01.1</v>
          </cell>
          <cell r="B4842" t="str">
            <v>Impetiginización de otras dermatosis</v>
          </cell>
        </row>
        <row r="4843">
          <cell r="A4843" t="str">
            <v>L02</v>
          </cell>
          <cell r="B4843" t="str">
            <v>Absceso cutáneo, furúnculo y carbunco</v>
          </cell>
        </row>
        <row r="4844">
          <cell r="A4844" t="str">
            <v>L02.0</v>
          </cell>
          <cell r="B4844" t="str">
            <v>Absceso cutáneo, furúnculo y carbunco de la cara</v>
          </cell>
        </row>
        <row r="4845">
          <cell r="A4845" t="str">
            <v>L02.1</v>
          </cell>
          <cell r="B4845" t="str">
            <v>Absceso cutáneo, furúnculo y carbunco del cuello</v>
          </cell>
        </row>
        <row r="4846">
          <cell r="A4846" t="str">
            <v>L02.2</v>
          </cell>
          <cell r="B4846" t="str">
            <v>Absceso cutáneo, furúnculo y carbunco del tronco</v>
          </cell>
        </row>
        <row r="4847">
          <cell r="A4847" t="str">
            <v>L02.3</v>
          </cell>
          <cell r="B4847" t="str">
            <v>Absceso cutáneo, furúnculo y carbunco de glúteos</v>
          </cell>
        </row>
        <row r="4848">
          <cell r="A4848" t="str">
            <v>L02.4</v>
          </cell>
          <cell r="B4848" t="str">
            <v>Absceso cutáneo, furúnculo y carbunco de miembro</v>
          </cell>
        </row>
        <row r="4849">
          <cell r="A4849" t="str">
            <v>L02.8</v>
          </cell>
          <cell r="B4849" t="str">
            <v>Absceso cutáneo, furúnculo y carbunco de otros sitios</v>
          </cell>
        </row>
        <row r="4850">
          <cell r="A4850" t="str">
            <v>L02.9</v>
          </cell>
          <cell r="B4850" t="str">
            <v>Absceso cutáneo, furúnculo y carbunco de sitio no especificado</v>
          </cell>
        </row>
        <row r="4851">
          <cell r="A4851" t="str">
            <v>L03</v>
          </cell>
          <cell r="B4851" t="str">
            <v>Celulitis</v>
          </cell>
        </row>
        <row r="4852">
          <cell r="A4852" t="str">
            <v>L03.0</v>
          </cell>
          <cell r="B4852" t="str">
            <v>Celulitis de los dedos de la mano y del pie</v>
          </cell>
        </row>
        <row r="4853">
          <cell r="A4853" t="str">
            <v>L03.1</v>
          </cell>
          <cell r="B4853" t="str">
            <v>Celulitis de otras partes de los miembros</v>
          </cell>
        </row>
        <row r="4854">
          <cell r="A4854" t="str">
            <v>L03.2</v>
          </cell>
          <cell r="B4854" t="str">
            <v>Celulitis de la cara</v>
          </cell>
        </row>
        <row r="4855">
          <cell r="A4855" t="str">
            <v>L03.3</v>
          </cell>
          <cell r="B4855" t="str">
            <v>Celulitis del tronco</v>
          </cell>
        </row>
        <row r="4856">
          <cell r="A4856" t="str">
            <v>L03.8</v>
          </cell>
          <cell r="B4856" t="str">
            <v>Celulitis de otros sitios</v>
          </cell>
        </row>
        <row r="4857">
          <cell r="A4857" t="str">
            <v>L03.9</v>
          </cell>
          <cell r="B4857" t="str">
            <v>Celulitis de sitio no especificado</v>
          </cell>
        </row>
        <row r="4858">
          <cell r="A4858" t="str">
            <v>L04</v>
          </cell>
          <cell r="B4858" t="str">
            <v>Linfadenitis aguda</v>
          </cell>
        </row>
        <row r="4859">
          <cell r="A4859" t="str">
            <v>L04.0</v>
          </cell>
          <cell r="B4859" t="str">
            <v>Linfadenitis aguda de cara, cabeza y cuello</v>
          </cell>
        </row>
        <row r="4860">
          <cell r="A4860" t="str">
            <v>L04.1</v>
          </cell>
          <cell r="B4860" t="str">
            <v>Linfadenitis aguda del tronco</v>
          </cell>
        </row>
        <row r="4861">
          <cell r="A4861" t="str">
            <v>L04.2</v>
          </cell>
          <cell r="B4861" t="str">
            <v>Linfadenitis aguda del miembro superior</v>
          </cell>
        </row>
        <row r="4862">
          <cell r="A4862" t="str">
            <v>L04.3</v>
          </cell>
          <cell r="B4862" t="str">
            <v>Linfadenitis aguda del miembro inferior</v>
          </cell>
        </row>
        <row r="4863">
          <cell r="A4863" t="str">
            <v>L04.8</v>
          </cell>
          <cell r="B4863" t="str">
            <v>Linfadenitis aguda de otros sitios</v>
          </cell>
        </row>
        <row r="4864">
          <cell r="A4864" t="str">
            <v>L04.9</v>
          </cell>
          <cell r="B4864" t="str">
            <v>Linfadenitis aguda de sitio no especificado</v>
          </cell>
        </row>
        <row r="4865">
          <cell r="A4865" t="str">
            <v>L05</v>
          </cell>
          <cell r="B4865" t="str">
            <v>Quiste pilonidal</v>
          </cell>
        </row>
        <row r="4866">
          <cell r="A4866" t="str">
            <v>L05.0</v>
          </cell>
          <cell r="B4866" t="str">
            <v>Quiste pilonidal con absceso</v>
          </cell>
        </row>
        <row r="4867">
          <cell r="A4867" t="str">
            <v>L05.9</v>
          </cell>
          <cell r="B4867" t="str">
            <v>Quiste pilonidal sin absceso</v>
          </cell>
        </row>
        <row r="4868">
          <cell r="A4868" t="str">
            <v>L08</v>
          </cell>
          <cell r="B4868" t="str">
            <v>Otras infecciones locales de la piel y del tejido subcutáneo</v>
          </cell>
        </row>
        <row r="4869">
          <cell r="A4869" t="str">
            <v>L08.0</v>
          </cell>
          <cell r="B4869" t="str">
            <v>Pioderma</v>
          </cell>
        </row>
        <row r="4870">
          <cell r="A4870" t="str">
            <v>L08.1</v>
          </cell>
          <cell r="B4870" t="str">
            <v>Eritrasma</v>
          </cell>
        </row>
        <row r="4871">
          <cell r="A4871" t="str">
            <v>L08.8</v>
          </cell>
          <cell r="B4871" t="str">
            <v>Otras infecciones locales especificadas de la piel y del tejido subcutáneo</v>
          </cell>
        </row>
        <row r="4872">
          <cell r="A4872" t="str">
            <v>L08.9</v>
          </cell>
          <cell r="B4872" t="str">
            <v>Infección local de la piel y del tejido subcutáneo, no especificada</v>
          </cell>
        </row>
        <row r="4873">
          <cell r="A4873" t="str">
            <v>L10</v>
          </cell>
          <cell r="B4873" t="str">
            <v>Pénfigo</v>
          </cell>
        </row>
        <row r="4874">
          <cell r="A4874" t="str">
            <v>L10.0</v>
          </cell>
          <cell r="B4874" t="str">
            <v>Pénfigo vulgar</v>
          </cell>
        </row>
        <row r="4875">
          <cell r="A4875" t="str">
            <v>L10.1</v>
          </cell>
          <cell r="B4875" t="str">
            <v>Pénfigo vegetante</v>
          </cell>
        </row>
        <row r="4876">
          <cell r="A4876" t="str">
            <v>L10.2</v>
          </cell>
          <cell r="B4876" t="str">
            <v>Pénfigo foliáceo</v>
          </cell>
        </row>
        <row r="4877">
          <cell r="A4877" t="str">
            <v>L10.3</v>
          </cell>
          <cell r="B4877" t="str">
            <v>Pénfigo brasileño [fogo selvagem]</v>
          </cell>
        </row>
        <row r="4878">
          <cell r="A4878" t="str">
            <v>L10.4</v>
          </cell>
          <cell r="B4878" t="str">
            <v>Pénfigo eritematoso</v>
          </cell>
        </row>
        <row r="4879">
          <cell r="A4879" t="str">
            <v>L10.5</v>
          </cell>
          <cell r="B4879" t="str">
            <v>Pénfigo inducido por drogas</v>
          </cell>
        </row>
        <row r="4880">
          <cell r="A4880" t="str">
            <v>L10.8</v>
          </cell>
          <cell r="B4880" t="str">
            <v>Otros pénfigos</v>
          </cell>
        </row>
        <row r="4881">
          <cell r="A4881" t="str">
            <v>L10.9</v>
          </cell>
          <cell r="B4881" t="str">
            <v>Pénfigo, no especificado</v>
          </cell>
        </row>
        <row r="4882">
          <cell r="A4882" t="str">
            <v>L11</v>
          </cell>
          <cell r="B4882" t="str">
            <v>Otros trastornos acantolíticos</v>
          </cell>
        </row>
        <row r="4883">
          <cell r="A4883" t="str">
            <v>L11.0</v>
          </cell>
          <cell r="B4883" t="str">
            <v>Queratosis folicular adquirida</v>
          </cell>
        </row>
        <row r="4884">
          <cell r="A4884" t="str">
            <v>L11.1</v>
          </cell>
          <cell r="B4884" t="str">
            <v>Dermatosis acantolítica transitoria [Grover]</v>
          </cell>
        </row>
        <row r="4885">
          <cell r="A4885" t="str">
            <v>L11.8</v>
          </cell>
          <cell r="B4885" t="str">
            <v>Otros trastornos acantolíticos especificados</v>
          </cell>
        </row>
        <row r="4886">
          <cell r="A4886" t="str">
            <v>L11.9</v>
          </cell>
          <cell r="B4886" t="str">
            <v>Trastorno acantolítico, no especificado</v>
          </cell>
        </row>
        <row r="4887">
          <cell r="A4887" t="str">
            <v>L12</v>
          </cell>
          <cell r="B4887" t="str">
            <v>Penfigoide</v>
          </cell>
        </row>
        <row r="4888">
          <cell r="A4888" t="str">
            <v>L12.0</v>
          </cell>
          <cell r="B4888" t="str">
            <v>Penfigoide flictenular</v>
          </cell>
        </row>
        <row r="4889">
          <cell r="A4889" t="str">
            <v>L12.1</v>
          </cell>
          <cell r="B4889" t="str">
            <v>Penfigoide cicatricial</v>
          </cell>
        </row>
        <row r="4890">
          <cell r="A4890" t="str">
            <v>L12.2</v>
          </cell>
          <cell r="B4890" t="str">
            <v>Enfermedad flictenular crónica de la infancia</v>
          </cell>
        </row>
        <row r="4891">
          <cell r="A4891" t="str">
            <v>L12.3</v>
          </cell>
          <cell r="B4891" t="str">
            <v>Epidermólisis bullosa adquirida</v>
          </cell>
        </row>
        <row r="4892">
          <cell r="A4892" t="str">
            <v>L12.8</v>
          </cell>
          <cell r="B4892" t="str">
            <v>Otros penfigoides</v>
          </cell>
        </row>
        <row r="4893">
          <cell r="A4893" t="str">
            <v>L12.9</v>
          </cell>
          <cell r="B4893" t="str">
            <v>Penfigoide, no especificado</v>
          </cell>
        </row>
        <row r="4894">
          <cell r="A4894" t="str">
            <v>L13</v>
          </cell>
          <cell r="B4894" t="str">
            <v>Otros trastornos flictenulares</v>
          </cell>
        </row>
        <row r="4895">
          <cell r="A4895" t="str">
            <v>L13.0</v>
          </cell>
          <cell r="B4895" t="str">
            <v>Dermatitis herpetiforme</v>
          </cell>
        </row>
        <row r="4896">
          <cell r="A4896" t="str">
            <v>L13.1</v>
          </cell>
          <cell r="B4896" t="str">
            <v>Dermatitis pustulosa subcorneal</v>
          </cell>
        </row>
        <row r="4897">
          <cell r="A4897" t="str">
            <v>L13.8</v>
          </cell>
          <cell r="B4897" t="str">
            <v>Otros trastornos flictenulares especificados</v>
          </cell>
        </row>
        <row r="4898">
          <cell r="A4898" t="str">
            <v>L13.9</v>
          </cell>
          <cell r="B4898" t="str">
            <v>Trastorno flictenular, no especificado</v>
          </cell>
        </row>
        <row r="4899">
          <cell r="A4899" t="str">
            <v>L14.X</v>
          </cell>
          <cell r="B4899" t="str">
            <v>Trastornos flictenulares en enfermedades clasificadas en otra parte</v>
          </cell>
        </row>
        <row r="4900">
          <cell r="A4900" t="str">
            <v>L20</v>
          </cell>
          <cell r="B4900" t="str">
            <v>Dermatitis atópica</v>
          </cell>
        </row>
        <row r="4901">
          <cell r="A4901" t="str">
            <v>L20.0</v>
          </cell>
          <cell r="B4901" t="str">
            <v>Prurigo de Besnier</v>
          </cell>
        </row>
        <row r="4902">
          <cell r="A4902" t="str">
            <v>L20.8</v>
          </cell>
          <cell r="B4902" t="str">
            <v>Otras dermatitis atópicas</v>
          </cell>
        </row>
        <row r="4903">
          <cell r="A4903" t="str">
            <v>L20.9</v>
          </cell>
          <cell r="B4903" t="str">
            <v>Dermatitis atópica, no especificada</v>
          </cell>
        </row>
        <row r="4904">
          <cell r="A4904" t="str">
            <v>L21</v>
          </cell>
          <cell r="B4904" t="str">
            <v>Dermatitis seborreica</v>
          </cell>
        </row>
        <row r="4905">
          <cell r="A4905" t="str">
            <v>L21.0</v>
          </cell>
          <cell r="B4905" t="str">
            <v>Seborrea capitis</v>
          </cell>
        </row>
        <row r="4906">
          <cell r="A4906" t="str">
            <v>L21.1</v>
          </cell>
          <cell r="B4906" t="str">
            <v>Dermatitis seborreica infantil</v>
          </cell>
        </row>
        <row r="4907">
          <cell r="A4907" t="str">
            <v>L21.8</v>
          </cell>
          <cell r="B4907" t="str">
            <v>Otras dermatitis seborreicas</v>
          </cell>
        </row>
        <row r="4908">
          <cell r="A4908" t="str">
            <v>L21.9</v>
          </cell>
          <cell r="B4908" t="str">
            <v>Dermatitis seborreica, no especificada</v>
          </cell>
        </row>
        <row r="4909">
          <cell r="A4909" t="str">
            <v>L22.X</v>
          </cell>
          <cell r="B4909" t="str">
            <v>Dermatitis del pañal</v>
          </cell>
        </row>
        <row r="4910">
          <cell r="A4910" t="str">
            <v>L23</v>
          </cell>
          <cell r="B4910" t="str">
            <v>Dermatitis alérgica de contacto</v>
          </cell>
        </row>
        <row r="4911">
          <cell r="A4911" t="str">
            <v>L23.0</v>
          </cell>
          <cell r="B4911" t="str">
            <v>Dermatitis alérgica de contacto debida a metales</v>
          </cell>
        </row>
        <row r="4912">
          <cell r="A4912" t="str">
            <v>L23.1</v>
          </cell>
          <cell r="B4912" t="str">
            <v>Dermatitis alérgica de contacto debida a adhesivos</v>
          </cell>
        </row>
        <row r="4913">
          <cell r="A4913" t="str">
            <v>L23.2</v>
          </cell>
          <cell r="B4913" t="str">
            <v>Dermatitis alérgica de contacto debida a cosméticos</v>
          </cell>
        </row>
        <row r="4914">
          <cell r="A4914" t="str">
            <v>L23.3</v>
          </cell>
          <cell r="B4914" t="str">
            <v>Dermatitis alérgica de contacto debida a drogas en contacto con la piel</v>
          </cell>
        </row>
        <row r="4915">
          <cell r="A4915" t="str">
            <v>L23.4</v>
          </cell>
          <cell r="B4915" t="str">
            <v>Dermatitis alérgica de contacto debida a colorantes</v>
          </cell>
        </row>
        <row r="4916">
          <cell r="A4916" t="str">
            <v>L23.5</v>
          </cell>
          <cell r="B4916" t="str">
            <v>Dermatitis alérgica de contacto debida a otros productos químicos</v>
          </cell>
        </row>
        <row r="4917">
          <cell r="A4917" t="str">
            <v>L23.6</v>
          </cell>
          <cell r="B4917" t="str">
            <v>Dermatitis alérgica de contacto debida a alimentos en contacto con la piel</v>
          </cell>
        </row>
        <row r="4918">
          <cell r="A4918" t="str">
            <v>L23.7</v>
          </cell>
          <cell r="B4918" t="str">
            <v>Dermatitis alérgica de contacto debida a plantas, excepto las alimenticias</v>
          </cell>
        </row>
        <row r="4919">
          <cell r="A4919" t="str">
            <v>L23.8</v>
          </cell>
          <cell r="B4919" t="str">
            <v>Dermatitis alérgica de contacto debida a otros agentes</v>
          </cell>
        </row>
        <row r="4920">
          <cell r="A4920" t="str">
            <v>L23.9</v>
          </cell>
          <cell r="B4920" t="str">
            <v>Dermatitis alérgica de contacto, de causa no especificada</v>
          </cell>
        </row>
        <row r="4921">
          <cell r="A4921" t="str">
            <v>L24</v>
          </cell>
          <cell r="B4921" t="str">
            <v>Dermatitis de contacto por irritantes</v>
          </cell>
        </row>
        <row r="4922">
          <cell r="A4922" t="str">
            <v>L24.0</v>
          </cell>
          <cell r="B4922" t="str">
            <v>Dermatitis de contacto por irritantes, debida a detergentes</v>
          </cell>
        </row>
        <row r="4923">
          <cell r="A4923" t="str">
            <v>L24.1</v>
          </cell>
          <cell r="B4923" t="str">
            <v>Dermatitis de contacto por irritantes, debida a aceites y grasas</v>
          </cell>
        </row>
        <row r="4924">
          <cell r="A4924" t="str">
            <v>L24.2</v>
          </cell>
          <cell r="B4924" t="str">
            <v>Dermatitis de contacto por irritantes, debida a disolventes</v>
          </cell>
        </row>
        <row r="4925">
          <cell r="A4925" t="str">
            <v>L24.3</v>
          </cell>
          <cell r="B4925" t="str">
            <v>Dermatitis de contacto por irritantes, debida a cosméticos</v>
          </cell>
        </row>
        <row r="4926">
          <cell r="A4926" t="str">
            <v>L24.4</v>
          </cell>
          <cell r="B4926" t="str">
            <v>Dermatitis de contacto por irritantes, debida a drogas en contacto con la piel</v>
          </cell>
        </row>
        <row r="4927">
          <cell r="A4927" t="str">
            <v>L24.5</v>
          </cell>
          <cell r="B4927" t="str">
            <v>Dermatitis de contacto por irritantes, debida a otros productos químicos</v>
          </cell>
        </row>
        <row r="4928">
          <cell r="A4928" t="str">
            <v>L24.6</v>
          </cell>
          <cell r="B4928" t="str">
            <v>Dermatitis de contacto por irritantes, debida a alimentos en contacto con la piel</v>
          </cell>
        </row>
        <row r="4929">
          <cell r="A4929" t="str">
            <v>L24.7</v>
          </cell>
          <cell r="B4929" t="str">
            <v>Dermatitis de contacto por irritantes, debida a plantas, excepto las alimenticias</v>
          </cell>
        </row>
        <row r="4930">
          <cell r="A4930" t="str">
            <v>L24.8</v>
          </cell>
          <cell r="B4930" t="str">
            <v>Dermatitis de contacto por irritantes, debida a otros agentes</v>
          </cell>
        </row>
        <row r="4931">
          <cell r="A4931" t="str">
            <v>L24.9</v>
          </cell>
          <cell r="B4931" t="str">
            <v>Dermatitis de contacto por irritantes, de causa no especificada</v>
          </cell>
        </row>
        <row r="4932">
          <cell r="A4932" t="str">
            <v>L25</v>
          </cell>
          <cell r="B4932" t="str">
            <v>Dermatitis de contacto, forma no especificada</v>
          </cell>
        </row>
        <row r="4933">
          <cell r="A4933" t="str">
            <v>L25.0</v>
          </cell>
          <cell r="B4933" t="str">
            <v>Dermatitis de contacto, forma no especificada, debida a cosméticos</v>
          </cell>
        </row>
        <row r="4934">
          <cell r="A4934" t="str">
            <v>L25.1</v>
          </cell>
          <cell r="B4934" t="str">
            <v>Dermatitis de contacto, forma no especificada, debida a drogas en contacto con la piel</v>
          </cell>
        </row>
        <row r="4935">
          <cell r="A4935" t="str">
            <v>L25.2</v>
          </cell>
          <cell r="B4935" t="str">
            <v>Dermatitis de contacto, forma no especificada, debida a colorantes</v>
          </cell>
        </row>
        <row r="4936">
          <cell r="A4936" t="str">
            <v>L25.3</v>
          </cell>
          <cell r="B4936" t="str">
            <v>Dermatitis de contacto, forma no especificada, debida a otros productos químicos</v>
          </cell>
        </row>
        <row r="4937">
          <cell r="A4937" t="str">
            <v>L25.4</v>
          </cell>
          <cell r="B4937" t="str">
            <v>Dermatitis de contacto, forma no especificada, debida a alimentos en contacto con la piel</v>
          </cell>
        </row>
        <row r="4938">
          <cell r="A4938" t="str">
            <v>L25.5</v>
          </cell>
          <cell r="B4938" t="str">
            <v>Dermatitis de contacto, forma no especificada, debida a plantas, excepto las alimenticias</v>
          </cell>
        </row>
        <row r="4939">
          <cell r="A4939" t="str">
            <v>L25.8</v>
          </cell>
          <cell r="B4939" t="str">
            <v>Dermatitis de contacto, forma no especificada, debida a otros agentes</v>
          </cell>
        </row>
        <row r="4940">
          <cell r="A4940" t="str">
            <v>L25.9</v>
          </cell>
          <cell r="B4940" t="str">
            <v>Dermatitis de contacto, forma y causa no especificadas</v>
          </cell>
        </row>
        <row r="4941">
          <cell r="A4941" t="str">
            <v>L26.X</v>
          </cell>
          <cell r="B4941" t="str">
            <v>Dermatitis exfoliativa</v>
          </cell>
        </row>
        <row r="4942">
          <cell r="A4942" t="str">
            <v>L27</v>
          </cell>
          <cell r="B4942" t="str">
            <v>Dermatitis debida a sustancias ingeridas</v>
          </cell>
        </row>
        <row r="4943">
          <cell r="A4943" t="str">
            <v>L27.0</v>
          </cell>
          <cell r="B4943" t="str">
            <v>Erupción cutánea generalizada debida a drogas y medicamentos</v>
          </cell>
        </row>
        <row r="4944">
          <cell r="A4944" t="str">
            <v>L27.1</v>
          </cell>
          <cell r="B4944" t="str">
            <v>Erupción cutánea localizada debida a drogas y medicamentos</v>
          </cell>
        </row>
        <row r="4945">
          <cell r="A4945" t="str">
            <v>L27.2</v>
          </cell>
          <cell r="B4945" t="str">
            <v>Dermatitis debida a ingestión de alimentos</v>
          </cell>
        </row>
        <row r="4946">
          <cell r="A4946" t="str">
            <v>L27.8</v>
          </cell>
          <cell r="B4946" t="str">
            <v>Dermatitis debida a otras sustancias ingeridas</v>
          </cell>
        </row>
        <row r="4947">
          <cell r="A4947" t="str">
            <v>L27.9</v>
          </cell>
          <cell r="B4947" t="str">
            <v>Dermatitis debida a sustancias ingeridas no especificadas</v>
          </cell>
        </row>
        <row r="4948">
          <cell r="A4948" t="str">
            <v>L28</v>
          </cell>
          <cell r="B4948" t="str">
            <v>Liquen simple crónico y prurigo</v>
          </cell>
        </row>
        <row r="4949">
          <cell r="A4949" t="str">
            <v>L28.0</v>
          </cell>
          <cell r="B4949" t="str">
            <v>Liquen simple crónico</v>
          </cell>
        </row>
        <row r="4950">
          <cell r="A4950" t="str">
            <v>L28.1</v>
          </cell>
          <cell r="B4950" t="str">
            <v>Prurigo nodular</v>
          </cell>
        </row>
        <row r="4951">
          <cell r="A4951" t="str">
            <v>L28.2</v>
          </cell>
          <cell r="B4951" t="str">
            <v>Otros prurigos</v>
          </cell>
        </row>
        <row r="4952">
          <cell r="A4952" t="str">
            <v>L29</v>
          </cell>
          <cell r="B4952" t="str">
            <v>Prurito</v>
          </cell>
        </row>
        <row r="4953">
          <cell r="A4953" t="str">
            <v>L29.0</v>
          </cell>
          <cell r="B4953" t="str">
            <v>Prurito anal</v>
          </cell>
        </row>
        <row r="4954">
          <cell r="A4954" t="str">
            <v>L29.1</v>
          </cell>
          <cell r="B4954" t="str">
            <v>Prurito escrotal</v>
          </cell>
        </row>
        <row r="4955">
          <cell r="A4955" t="str">
            <v>L29.2</v>
          </cell>
          <cell r="B4955" t="str">
            <v>Prurito vulvar</v>
          </cell>
        </row>
        <row r="4956">
          <cell r="A4956" t="str">
            <v>L29.3</v>
          </cell>
          <cell r="B4956" t="str">
            <v>Prurito anogenital, no especificado</v>
          </cell>
        </row>
        <row r="4957">
          <cell r="A4957" t="str">
            <v>L29.8</v>
          </cell>
          <cell r="B4957" t="str">
            <v>Otros pruritos</v>
          </cell>
        </row>
        <row r="4958">
          <cell r="A4958" t="str">
            <v>L29.9</v>
          </cell>
          <cell r="B4958" t="str">
            <v>Prurito, no especificado</v>
          </cell>
        </row>
        <row r="4959">
          <cell r="A4959" t="str">
            <v>L30</v>
          </cell>
          <cell r="B4959" t="str">
            <v>Otras dermatitis</v>
          </cell>
        </row>
        <row r="4960">
          <cell r="A4960" t="str">
            <v>L30.0</v>
          </cell>
          <cell r="B4960" t="str">
            <v>Dermatitis numular</v>
          </cell>
        </row>
        <row r="4961">
          <cell r="A4961" t="str">
            <v>L30.1</v>
          </cell>
          <cell r="B4961" t="str">
            <v>Dishidrosis [ponfólix]</v>
          </cell>
        </row>
        <row r="4962">
          <cell r="A4962" t="str">
            <v>L30.2</v>
          </cell>
          <cell r="B4962" t="str">
            <v>Autosensibilización cutánea</v>
          </cell>
        </row>
        <row r="4963">
          <cell r="A4963" t="str">
            <v>L30.3</v>
          </cell>
          <cell r="B4963" t="str">
            <v>Dermatitis infecciosa</v>
          </cell>
        </row>
        <row r="4964">
          <cell r="A4964" t="str">
            <v>L30.4</v>
          </cell>
          <cell r="B4964" t="str">
            <v>Eritema intertrigo</v>
          </cell>
        </row>
        <row r="4965">
          <cell r="A4965" t="str">
            <v>L30.5</v>
          </cell>
          <cell r="B4965" t="str">
            <v>Pitiriasis alba</v>
          </cell>
        </row>
        <row r="4966">
          <cell r="A4966" t="str">
            <v>L30.8</v>
          </cell>
          <cell r="B4966" t="str">
            <v>Otras dermatitis especificadas</v>
          </cell>
        </row>
        <row r="4967">
          <cell r="A4967" t="str">
            <v>L30.9</v>
          </cell>
          <cell r="B4967" t="str">
            <v>Dermatitis, no especificada</v>
          </cell>
        </row>
        <row r="4968">
          <cell r="A4968" t="str">
            <v>L40</v>
          </cell>
          <cell r="B4968" t="str">
            <v>Psoriasis</v>
          </cell>
        </row>
        <row r="4969">
          <cell r="A4969" t="str">
            <v>L40.0</v>
          </cell>
          <cell r="B4969" t="str">
            <v>Psoriasis vulgar</v>
          </cell>
        </row>
        <row r="4970">
          <cell r="A4970" t="str">
            <v>L40.1</v>
          </cell>
          <cell r="B4970" t="str">
            <v>Psoriasis pustulosa generalizada</v>
          </cell>
        </row>
        <row r="4971">
          <cell r="A4971" t="str">
            <v>L40.2</v>
          </cell>
          <cell r="B4971" t="str">
            <v>Acrodermatitis continua</v>
          </cell>
        </row>
        <row r="4972">
          <cell r="A4972" t="str">
            <v>L40.3</v>
          </cell>
          <cell r="B4972" t="str">
            <v>Pustulosis palmar y plantar</v>
          </cell>
        </row>
        <row r="4973">
          <cell r="A4973" t="str">
            <v>L40.4</v>
          </cell>
          <cell r="B4973" t="str">
            <v>Psoriasis guttata</v>
          </cell>
        </row>
        <row r="4974">
          <cell r="A4974" t="str">
            <v>L40.5</v>
          </cell>
          <cell r="B4974" t="str">
            <v>Artropatía psoriásica (M07.0*-M07.3*, M09.0*)</v>
          </cell>
        </row>
        <row r="4975">
          <cell r="A4975" t="str">
            <v>L40.8</v>
          </cell>
          <cell r="B4975" t="str">
            <v>Otras psoriasis</v>
          </cell>
        </row>
        <row r="4976">
          <cell r="A4976" t="str">
            <v>L40.9</v>
          </cell>
          <cell r="B4976" t="str">
            <v>Psoriasis, no especificada</v>
          </cell>
        </row>
        <row r="4977">
          <cell r="A4977" t="str">
            <v>L41</v>
          </cell>
          <cell r="B4977" t="str">
            <v>Parapsoriasis</v>
          </cell>
        </row>
        <row r="4978">
          <cell r="A4978" t="str">
            <v>L41.0</v>
          </cell>
          <cell r="B4978" t="str">
            <v>Pitiriasis liquenoide y varioliforme aguda</v>
          </cell>
        </row>
        <row r="4979">
          <cell r="A4979" t="str">
            <v>L41.1</v>
          </cell>
          <cell r="B4979" t="str">
            <v>Pitiriasis liquenoide crónica</v>
          </cell>
        </row>
        <row r="4980">
          <cell r="A4980" t="str">
            <v>L41.2</v>
          </cell>
          <cell r="B4980" t="str">
            <v>Papulosis linfomatoide</v>
          </cell>
        </row>
        <row r="4981">
          <cell r="A4981" t="str">
            <v>L41.3</v>
          </cell>
          <cell r="B4981" t="str">
            <v>Parapsoriasis en placas pequeñas</v>
          </cell>
        </row>
        <row r="4982">
          <cell r="A4982" t="str">
            <v>L41.4</v>
          </cell>
          <cell r="B4982" t="str">
            <v>Parapsoriasis en placas grandes</v>
          </cell>
        </row>
        <row r="4983">
          <cell r="A4983" t="str">
            <v>L41.5</v>
          </cell>
          <cell r="B4983" t="str">
            <v>Parapsoriasis retiforme</v>
          </cell>
        </row>
        <row r="4984">
          <cell r="A4984" t="str">
            <v>L41.8</v>
          </cell>
          <cell r="B4984" t="str">
            <v>Otras parapsoriasis</v>
          </cell>
        </row>
        <row r="4985">
          <cell r="A4985" t="str">
            <v>L41.9</v>
          </cell>
          <cell r="B4985" t="str">
            <v>Parapsoriasis, no especificada</v>
          </cell>
        </row>
        <row r="4986">
          <cell r="A4986" t="str">
            <v>L42.X</v>
          </cell>
          <cell r="B4986" t="str">
            <v>Pitiriasis rosada</v>
          </cell>
        </row>
        <row r="4987">
          <cell r="A4987" t="str">
            <v>L43</v>
          </cell>
          <cell r="B4987" t="str">
            <v>Liquen plano</v>
          </cell>
        </row>
        <row r="4988">
          <cell r="A4988" t="str">
            <v>L43.0</v>
          </cell>
          <cell r="B4988" t="str">
            <v>Liquen plano hipertrófico</v>
          </cell>
        </row>
        <row r="4989">
          <cell r="A4989" t="str">
            <v>L43.1</v>
          </cell>
          <cell r="B4989" t="str">
            <v>Liquen plano flictenular</v>
          </cell>
        </row>
        <row r="4990">
          <cell r="A4990" t="str">
            <v>L43.2</v>
          </cell>
          <cell r="B4990" t="str">
            <v>Reacción liquenoide debida a drogas</v>
          </cell>
        </row>
        <row r="4991">
          <cell r="A4991" t="str">
            <v>L43.3</v>
          </cell>
          <cell r="B4991" t="str">
            <v>Liquen plano subagudo (activo)</v>
          </cell>
        </row>
        <row r="4992">
          <cell r="A4992" t="str">
            <v>L43.8</v>
          </cell>
          <cell r="B4992" t="str">
            <v>Otros líquenes planos</v>
          </cell>
        </row>
        <row r="4993">
          <cell r="A4993" t="str">
            <v>L43.9</v>
          </cell>
          <cell r="B4993" t="str">
            <v>Liquen plano, no especificado</v>
          </cell>
        </row>
        <row r="4994">
          <cell r="A4994" t="str">
            <v>L44</v>
          </cell>
          <cell r="B4994" t="str">
            <v>Otros trastornos papuloescamosos</v>
          </cell>
        </row>
        <row r="4995">
          <cell r="A4995" t="str">
            <v>L44.0</v>
          </cell>
          <cell r="B4995" t="str">
            <v>Pitiriasis rubra pilaris</v>
          </cell>
        </row>
        <row r="4996">
          <cell r="A4996" t="str">
            <v>L44.1</v>
          </cell>
          <cell r="B4996" t="str">
            <v>Liquen nítido</v>
          </cell>
        </row>
        <row r="4997">
          <cell r="A4997" t="str">
            <v>L44.2</v>
          </cell>
          <cell r="B4997" t="str">
            <v>Liquen estriado</v>
          </cell>
        </row>
        <row r="4998">
          <cell r="A4998" t="str">
            <v>L44.3</v>
          </cell>
          <cell r="B4998" t="str">
            <v>Liquen rojo moniliforme</v>
          </cell>
        </row>
        <row r="4999">
          <cell r="A4999" t="str">
            <v>L44.4</v>
          </cell>
          <cell r="B4999" t="str">
            <v>Acrodermatitis papular infantil [Giannotti-Crosti]</v>
          </cell>
        </row>
        <row r="5000">
          <cell r="A5000" t="str">
            <v>L44.8</v>
          </cell>
          <cell r="B5000" t="str">
            <v>Otros trastornos papuloescamosos especificados</v>
          </cell>
        </row>
        <row r="5001">
          <cell r="A5001" t="str">
            <v>L44.9</v>
          </cell>
          <cell r="B5001" t="str">
            <v>Trastorno papuloescamoso, no especificado</v>
          </cell>
        </row>
        <row r="5002">
          <cell r="A5002" t="str">
            <v>L45.X</v>
          </cell>
          <cell r="B5002" t="str">
            <v>Trastornos papuloescamosos en enfermedades clasificadas en otra parte</v>
          </cell>
        </row>
        <row r="5003">
          <cell r="A5003" t="str">
            <v>L50</v>
          </cell>
          <cell r="B5003" t="str">
            <v>Urticaria</v>
          </cell>
        </row>
        <row r="5004">
          <cell r="A5004" t="str">
            <v>L50.0</v>
          </cell>
          <cell r="B5004" t="str">
            <v>Urticaria alérgica</v>
          </cell>
        </row>
        <row r="5005">
          <cell r="A5005" t="str">
            <v>L50.1</v>
          </cell>
          <cell r="B5005" t="str">
            <v>Urticaria idiopática</v>
          </cell>
        </row>
        <row r="5006">
          <cell r="A5006" t="str">
            <v>L50.2</v>
          </cell>
          <cell r="B5006" t="str">
            <v>Urticaria debida al calor y al frío</v>
          </cell>
        </row>
        <row r="5007">
          <cell r="A5007" t="str">
            <v>L50.3</v>
          </cell>
          <cell r="B5007" t="str">
            <v>Urticaria dermatográfica</v>
          </cell>
        </row>
        <row r="5008">
          <cell r="A5008" t="str">
            <v>L50.4</v>
          </cell>
          <cell r="B5008" t="str">
            <v>Urticaria vibratoria</v>
          </cell>
        </row>
        <row r="5009">
          <cell r="A5009" t="str">
            <v>L50.5</v>
          </cell>
          <cell r="B5009" t="str">
            <v>Urticaria colinérgica</v>
          </cell>
        </row>
        <row r="5010">
          <cell r="A5010" t="str">
            <v>L50.6</v>
          </cell>
          <cell r="B5010" t="str">
            <v>Urticaria por contacto</v>
          </cell>
        </row>
        <row r="5011">
          <cell r="A5011" t="str">
            <v>L50.8</v>
          </cell>
          <cell r="B5011" t="str">
            <v>Otras urticarias</v>
          </cell>
        </row>
        <row r="5012">
          <cell r="A5012" t="str">
            <v>L50.9</v>
          </cell>
          <cell r="B5012" t="str">
            <v>Urticaria, no especificada</v>
          </cell>
        </row>
        <row r="5013">
          <cell r="A5013" t="str">
            <v>L51</v>
          </cell>
          <cell r="B5013" t="str">
            <v>Eritema multiforme</v>
          </cell>
        </row>
        <row r="5014">
          <cell r="A5014" t="str">
            <v>L51.0</v>
          </cell>
          <cell r="B5014" t="str">
            <v>Eritema multiforme no flictenular</v>
          </cell>
        </row>
        <row r="5015">
          <cell r="A5015" t="str">
            <v>L51.1</v>
          </cell>
          <cell r="B5015" t="str">
            <v>Eritema multiforme flictenular</v>
          </cell>
        </row>
        <row r="5016">
          <cell r="A5016" t="str">
            <v>L51.2</v>
          </cell>
          <cell r="B5016" t="str">
            <v>Necrólisis epidérmica tóxica [Lyell]</v>
          </cell>
        </row>
        <row r="5017">
          <cell r="A5017" t="str">
            <v>L51.8</v>
          </cell>
          <cell r="B5017" t="str">
            <v>Otros eritemas multiformes</v>
          </cell>
        </row>
        <row r="5018">
          <cell r="A5018" t="str">
            <v>L51.9</v>
          </cell>
          <cell r="B5018" t="str">
            <v>Eritema multiforme, no especificado</v>
          </cell>
        </row>
        <row r="5019">
          <cell r="A5019" t="str">
            <v>L52.X</v>
          </cell>
          <cell r="B5019" t="str">
            <v>Eritema nudoso</v>
          </cell>
        </row>
        <row r="5020">
          <cell r="A5020" t="str">
            <v>L53</v>
          </cell>
          <cell r="B5020" t="str">
            <v>Otras afecciones eritematosas</v>
          </cell>
        </row>
        <row r="5021">
          <cell r="A5021" t="str">
            <v>L53.0</v>
          </cell>
          <cell r="B5021" t="str">
            <v>Eritema tóxico</v>
          </cell>
        </row>
        <row r="5022">
          <cell r="A5022" t="str">
            <v>L53.1</v>
          </cell>
          <cell r="B5022" t="str">
            <v>Eritema anular centrífugo</v>
          </cell>
        </row>
        <row r="5023">
          <cell r="A5023" t="str">
            <v>L53.2</v>
          </cell>
          <cell r="B5023" t="str">
            <v>Eritema marginado</v>
          </cell>
        </row>
        <row r="5024">
          <cell r="A5024" t="str">
            <v>L53.3</v>
          </cell>
          <cell r="B5024" t="str">
            <v>Otros eritemas figurados crónicos</v>
          </cell>
        </row>
        <row r="5025">
          <cell r="A5025" t="str">
            <v>L53.8</v>
          </cell>
          <cell r="B5025" t="str">
            <v>Otras afecciones eritematosas especificadas</v>
          </cell>
        </row>
        <row r="5026">
          <cell r="A5026" t="str">
            <v>L53.9</v>
          </cell>
          <cell r="B5026" t="str">
            <v>Afección eritematosa, no especificada</v>
          </cell>
        </row>
        <row r="5027">
          <cell r="A5027" t="str">
            <v>L54*</v>
          </cell>
          <cell r="B5027" t="str">
            <v>Eritema en enfermedades clasificadas en otra parte</v>
          </cell>
        </row>
        <row r="5028">
          <cell r="A5028" t="str">
            <v>L54.0*</v>
          </cell>
          <cell r="B5028" t="str">
            <v>Eritema marginado en la fiebre reumática aguda (I00+)</v>
          </cell>
        </row>
        <row r="5029">
          <cell r="A5029" t="str">
            <v>L54.8*</v>
          </cell>
          <cell r="B5029" t="str">
            <v>Eritema en otras enfermedades clasificadas en otra parte</v>
          </cell>
        </row>
        <row r="5030">
          <cell r="A5030" t="str">
            <v>L55</v>
          </cell>
          <cell r="B5030" t="str">
            <v>Quemadura solar</v>
          </cell>
        </row>
        <row r="5031">
          <cell r="A5031" t="str">
            <v>L55.0</v>
          </cell>
          <cell r="B5031" t="str">
            <v>Quemadura solar de primer grado</v>
          </cell>
        </row>
        <row r="5032">
          <cell r="A5032" t="str">
            <v>L55.1</v>
          </cell>
          <cell r="B5032" t="str">
            <v>Quemadura solar de segundo grado</v>
          </cell>
        </row>
        <row r="5033">
          <cell r="A5033" t="str">
            <v>L55.2</v>
          </cell>
          <cell r="B5033" t="str">
            <v>Quemadura solar de tercer grado</v>
          </cell>
        </row>
        <row r="5034">
          <cell r="A5034" t="str">
            <v>L55.8</v>
          </cell>
          <cell r="B5034" t="str">
            <v>Otras quemaduras solares</v>
          </cell>
        </row>
        <row r="5035">
          <cell r="A5035" t="str">
            <v>L55.9</v>
          </cell>
          <cell r="B5035" t="str">
            <v>Quemadura solar, no especificada</v>
          </cell>
        </row>
        <row r="5036">
          <cell r="A5036" t="str">
            <v>L56</v>
          </cell>
          <cell r="B5036" t="str">
            <v>Otros cambios agudos de la piel debidos a radiación ultravioleta</v>
          </cell>
        </row>
        <row r="5037">
          <cell r="A5037" t="str">
            <v>L56.0</v>
          </cell>
          <cell r="B5037" t="str">
            <v>Respuesta fototóxica a drogas</v>
          </cell>
        </row>
        <row r="5038">
          <cell r="A5038" t="str">
            <v>L56.1</v>
          </cell>
          <cell r="B5038" t="str">
            <v>Respuesta fotoalérgica a drogas</v>
          </cell>
        </row>
        <row r="5039">
          <cell r="A5039" t="str">
            <v>L56.2</v>
          </cell>
          <cell r="B5039" t="str">
            <v>Dermatitis por fotocontacto [dermatitis de berloque]</v>
          </cell>
        </row>
        <row r="5040">
          <cell r="A5040" t="str">
            <v>L56.3</v>
          </cell>
          <cell r="B5040" t="str">
            <v>Urticaria solar</v>
          </cell>
        </row>
        <row r="5041">
          <cell r="A5041" t="str">
            <v>L56.4</v>
          </cell>
          <cell r="B5041" t="str">
            <v>Erupción polimorfa a la luz</v>
          </cell>
        </row>
        <row r="5042">
          <cell r="A5042" t="str">
            <v>L56.8</v>
          </cell>
          <cell r="B5042" t="str">
            <v>Otros cambios agudos especificados de la piel debidos a radiación ultravioleta</v>
          </cell>
        </row>
        <row r="5043">
          <cell r="A5043" t="str">
            <v>L56.9</v>
          </cell>
          <cell r="B5043" t="str">
            <v>Cambio agudo de la piel debido a radiación ultravioleta, sin otra especificación</v>
          </cell>
        </row>
        <row r="5044">
          <cell r="A5044" t="str">
            <v>L57</v>
          </cell>
          <cell r="B5044" t="str">
            <v>Cambios de la piel debidos a exposición crónica a radiación no ionizante</v>
          </cell>
        </row>
        <row r="5045">
          <cell r="A5045" t="str">
            <v>L57.0</v>
          </cell>
          <cell r="B5045" t="str">
            <v>Queratosis actínica</v>
          </cell>
        </row>
        <row r="5046">
          <cell r="A5046" t="str">
            <v>L57.1</v>
          </cell>
          <cell r="B5046" t="str">
            <v>Reticuloide actínico</v>
          </cell>
        </row>
        <row r="5047">
          <cell r="A5047" t="str">
            <v>L57.2</v>
          </cell>
          <cell r="B5047" t="str">
            <v>Piel romboidal de la nuca</v>
          </cell>
        </row>
        <row r="5048">
          <cell r="A5048" t="str">
            <v>L57.3</v>
          </cell>
          <cell r="B5048" t="str">
            <v>Poiquilodermia de Civatte</v>
          </cell>
        </row>
        <row r="5049">
          <cell r="A5049" t="str">
            <v>L57.4</v>
          </cell>
          <cell r="B5049" t="str">
            <v>Piel laxa senil</v>
          </cell>
        </row>
        <row r="5050">
          <cell r="A5050" t="str">
            <v>L57.5</v>
          </cell>
          <cell r="B5050" t="str">
            <v>Granuloma actínico</v>
          </cell>
        </row>
        <row r="5051">
          <cell r="A5051" t="str">
            <v>L57.8</v>
          </cell>
          <cell r="B5051" t="str">
            <v>Otros cambios de la piel debidos a exposición crónica a radiación no ionizante</v>
          </cell>
        </row>
        <row r="5052">
          <cell r="A5052" t="str">
            <v>L57.9</v>
          </cell>
          <cell r="B5052" t="str">
            <v>Cambios de la piel debidos a exposición crónica a radiación no ionizante, sin otra especificación</v>
          </cell>
        </row>
        <row r="5053">
          <cell r="A5053" t="str">
            <v>L58</v>
          </cell>
          <cell r="B5053" t="str">
            <v>Radiodermatitis</v>
          </cell>
        </row>
        <row r="5054">
          <cell r="A5054" t="str">
            <v>L58.0</v>
          </cell>
          <cell r="B5054" t="str">
            <v>Radiodermatitis aguda</v>
          </cell>
        </row>
        <row r="5055">
          <cell r="A5055" t="str">
            <v>L58.1</v>
          </cell>
          <cell r="B5055" t="str">
            <v>Radiodermatitis crónica</v>
          </cell>
        </row>
        <row r="5056">
          <cell r="A5056" t="str">
            <v>L58.9</v>
          </cell>
          <cell r="B5056" t="str">
            <v>Radiodermatitis, no especificada</v>
          </cell>
        </row>
        <row r="5057">
          <cell r="A5057" t="str">
            <v>L59</v>
          </cell>
          <cell r="B5057" t="str">
            <v>Otros trastornos de la piel y del tejido subcutáneo relacionados con radiación</v>
          </cell>
        </row>
        <row r="5058">
          <cell r="A5058" t="str">
            <v>L59.0</v>
          </cell>
          <cell r="B5058" t="str">
            <v>Eritema ab igne [dermatitis ab igne]</v>
          </cell>
        </row>
        <row r="5059">
          <cell r="A5059" t="str">
            <v>L59.8</v>
          </cell>
          <cell r="B5059" t="str">
            <v>Otros trastornos especificados de la piel y del tejido subcutáneo relacionados con radiación</v>
          </cell>
        </row>
        <row r="5060">
          <cell r="A5060" t="str">
            <v>L59.9</v>
          </cell>
          <cell r="B5060" t="str">
            <v>Trastornos no especificados de la piel y del tejido subcutáneo relacionados con radiación</v>
          </cell>
        </row>
        <row r="5061">
          <cell r="A5061" t="str">
            <v>L60</v>
          </cell>
          <cell r="B5061" t="str">
            <v>Trastornos de las uñas</v>
          </cell>
        </row>
        <row r="5062">
          <cell r="A5062" t="str">
            <v>L60.0</v>
          </cell>
          <cell r="B5062" t="str">
            <v>Uña encarnada</v>
          </cell>
        </row>
        <row r="5063">
          <cell r="A5063" t="str">
            <v>L60.1</v>
          </cell>
          <cell r="B5063" t="str">
            <v>Onicólisis</v>
          </cell>
        </row>
        <row r="5064">
          <cell r="A5064" t="str">
            <v>L60.2</v>
          </cell>
          <cell r="B5064" t="str">
            <v>Onicogriposis</v>
          </cell>
        </row>
        <row r="5065">
          <cell r="A5065" t="str">
            <v>L60.3</v>
          </cell>
          <cell r="B5065" t="str">
            <v>Distrofia ungueal</v>
          </cell>
        </row>
        <row r="5066">
          <cell r="A5066" t="str">
            <v>L60.4</v>
          </cell>
          <cell r="B5066" t="str">
            <v>Líneas de Beau</v>
          </cell>
        </row>
        <row r="5067">
          <cell r="A5067" t="str">
            <v>L60.5</v>
          </cell>
          <cell r="B5067" t="str">
            <v>Síndrome de la uña amarilla</v>
          </cell>
        </row>
        <row r="5068">
          <cell r="A5068" t="str">
            <v>L60.8</v>
          </cell>
          <cell r="B5068" t="str">
            <v>Otros trastornos de las uñas</v>
          </cell>
        </row>
        <row r="5069">
          <cell r="A5069" t="str">
            <v>L60.9</v>
          </cell>
          <cell r="B5069" t="str">
            <v>Trastorno de la uña, no especificado</v>
          </cell>
        </row>
        <row r="5070">
          <cell r="A5070" t="str">
            <v>L62</v>
          </cell>
          <cell r="B5070" t="str">
            <v>Trastornos de las uñas en enfermedades clasificadas en otra parte</v>
          </cell>
        </row>
        <row r="5071">
          <cell r="A5071" t="str">
            <v>L62.0*</v>
          </cell>
          <cell r="B5071" t="str">
            <v>Uña deforme de la paquidermoperiostosis (M89.4+)</v>
          </cell>
        </row>
        <row r="5072">
          <cell r="A5072" t="str">
            <v>L62.8*</v>
          </cell>
          <cell r="B5072" t="str">
            <v>Trastornos de las uñas en otras enfermedades clasificadas en otra parte</v>
          </cell>
        </row>
        <row r="5073">
          <cell r="A5073" t="str">
            <v>L63</v>
          </cell>
          <cell r="B5073" t="str">
            <v>Alopecia areata</v>
          </cell>
        </row>
        <row r="5074">
          <cell r="A5074" t="str">
            <v>L63.0</v>
          </cell>
          <cell r="B5074" t="str">
            <v>Alopecia (capitis) total</v>
          </cell>
        </row>
        <row r="5075">
          <cell r="A5075" t="str">
            <v>L63.1</v>
          </cell>
          <cell r="B5075" t="str">
            <v>Alopecia universal</v>
          </cell>
        </row>
        <row r="5076">
          <cell r="A5076" t="str">
            <v>L63.2</v>
          </cell>
          <cell r="B5076" t="str">
            <v>Ofiasis</v>
          </cell>
        </row>
        <row r="5077">
          <cell r="A5077" t="str">
            <v>L63.8</v>
          </cell>
          <cell r="B5077" t="str">
            <v>Otras alopecias areatas</v>
          </cell>
        </row>
        <row r="5078">
          <cell r="A5078" t="str">
            <v>L63.9</v>
          </cell>
          <cell r="B5078" t="str">
            <v>Alopecia areata, no especificada</v>
          </cell>
        </row>
        <row r="5079">
          <cell r="A5079" t="str">
            <v>L64</v>
          </cell>
          <cell r="B5079" t="str">
            <v>Alopecia andrógena</v>
          </cell>
        </row>
        <row r="5080">
          <cell r="A5080" t="str">
            <v>L64.0</v>
          </cell>
          <cell r="B5080" t="str">
            <v>Alopecia andrógena, inducida por drogas</v>
          </cell>
        </row>
        <row r="5081">
          <cell r="A5081" t="str">
            <v>L64.8</v>
          </cell>
          <cell r="B5081" t="str">
            <v>Otras alopecias andrógenas</v>
          </cell>
        </row>
        <row r="5082">
          <cell r="A5082" t="str">
            <v>L64.9</v>
          </cell>
          <cell r="B5082" t="str">
            <v>Alopecia andrógena, no especificada</v>
          </cell>
        </row>
        <row r="5083">
          <cell r="A5083" t="str">
            <v>L65</v>
          </cell>
          <cell r="B5083" t="str">
            <v>Otra pérdida no cicatricial del pelo</v>
          </cell>
        </row>
        <row r="5084">
          <cell r="A5084" t="str">
            <v>L65.0</v>
          </cell>
          <cell r="B5084" t="str">
            <v>Pérdida capilar telógena</v>
          </cell>
        </row>
        <row r="5085">
          <cell r="A5085" t="str">
            <v>L65.1</v>
          </cell>
          <cell r="B5085" t="str">
            <v>Pérdida capilar anágena</v>
          </cell>
        </row>
        <row r="5086">
          <cell r="A5086" t="str">
            <v>L65.2</v>
          </cell>
          <cell r="B5086" t="str">
            <v>Alopecia mucinosa</v>
          </cell>
        </row>
        <row r="5087">
          <cell r="A5087" t="str">
            <v>L65.8</v>
          </cell>
          <cell r="B5087" t="str">
            <v>Otras pérdidas especificadas no cicatriciales del pelo</v>
          </cell>
        </row>
        <row r="5088">
          <cell r="A5088" t="str">
            <v>L65.9</v>
          </cell>
          <cell r="B5088" t="str">
            <v>Pérdida no cicatricial del pelo, sin otra especificación</v>
          </cell>
        </row>
        <row r="5089">
          <cell r="A5089" t="str">
            <v>L66</v>
          </cell>
          <cell r="B5089" t="str">
            <v>Alopecia cicatricial [pérdida cicatricial del pelo]</v>
          </cell>
        </row>
        <row r="5090">
          <cell r="A5090" t="str">
            <v>L66.0</v>
          </cell>
          <cell r="B5090" t="str">
            <v>Seudopelada</v>
          </cell>
        </row>
        <row r="5091">
          <cell r="A5091" t="str">
            <v>L66.1</v>
          </cell>
          <cell r="B5091" t="str">
            <v>Liquen plano pilaris</v>
          </cell>
        </row>
        <row r="5092">
          <cell r="A5092" t="str">
            <v>L66.2</v>
          </cell>
          <cell r="B5092" t="str">
            <v>Foliculitis decalvante</v>
          </cell>
        </row>
        <row r="5093">
          <cell r="A5093" t="str">
            <v>L66.3</v>
          </cell>
          <cell r="B5093" t="str">
            <v>Perifoliculitis capitis abscedens</v>
          </cell>
        </row>
        <row r="5094">
          <cell r="A5094" t="str">
            <v>L66.4</v>
          </cell>
          <cell r="B5094" t="str">
            <v>Foliculitis uleritematosa reticulada</v>
          </cell>
        </row>
        <row r="5095">
          <cell r="A5095" t="str">
            <v>L66.8</v>
          </cell>
          <cell r="B5095" t="str">
            <v>Otras alopecias cicatriciales</v>
          </cell>
        </row>
        <row r="5096">
          <cell r="A5096" t="str">
            <v>L66.9</v>
          </cell>
          <cell r="B5096" t="str">
            <v>Alopecia cicatricial, no especificada</v>
          </cell>
        </row>
        <row r="5097">
          <cell r="A5097" t="str">
            <v>L67</v>
          </cell>
          <cell r="B5097" t="str">
            <v>Anormalidades del tallo y del color del pelo</v>
          </cell>
        </row>
        <row r="5098">
          <cell r="A5098" t="str">
            <v>L67.0</v>
          </cell>
          <cell r="B5098" t="str">
            <v>Tricorrexis nudosa</v>
          </cell>
        </row>
        <row r="5099">
          <cell r="A5099" t="str">
            <v>L67.1</v>
          </cell>
          <cell r="B5099" t="str">
            <v>Variación del color del pelo</v>
          </cell>
        </row>
        <row r="5100">
          <cell r="A5100" t="str">
            <v>L67.8</v>
          </cell>
          <cell r="B5100" t="str">
            <v>Otras anormalidades del tallo y del color del pelo</v>
          </cell>
        </row>
        <row r="5101">
          <cell r="A5101" t="str">
            <v>L67.9</v>
          </cell>
          <cell r="B5101" t="str">
            <v>Anormalidad no especificada del tallo y del color del pelo</v>
          </cell>
        </row>
        <row r="5102">
          <cell r="A5102" t="str">
            <v>L68</v>
          </cell>
          <cell r="B5102" t="str">
            <v>Hipertricosis</v>
          </cell>
        </row>
        <row r="5103">
          <cell r="A5103" t="str">
            <v>L68.0</v>
          </cell>
          <cell r="B5103" t="str">
            <v>Hirsutismo</v>
          </cell>
        </row>
        <row r="5104">
          <cell r="A5104" t="str">
            <v>L68.1</v>
          </cell>
          <cell r="B5104" t="str">
            <v>Hipertricosis lanuginosa adquirida</v>
          </cell>
        </row>
        <row r="5105">
          <cell r="A5105" t="str">
            <v>L68.2</v>
          </cell>
          <cell r="B5105" t="str">
            <v>Hipertricosis localizada</v>
          </cell>
        </row>
        <row r="5106">
          <cell r="A5106" t="str">
            <v>L68.3</v>
          </cell>
          <cell r="B5106" t="str">
            <v>Politriquia</v>
          </cell>
        </row>
        <row r="5107">
          <cell r="A5107" t="str">
            <v>L68.8</v>
          </cell>
          <cell r="B5107" t="str">
            <v>Otras hipertricosis</v>
          </cell>
        </row>
        <row r="5108">
          <cell r="A5108" t="str">
            <v>L68.9</v>
          </cell>
          <cell r="B5108" t="str">
            <v>Hipertricosis, no especificada</v>
          </cell>
        </row>
        <row r="5109">
          <cell r="A5109" t="str">
            <v>L70</v>
          </cell>
          <cell r="B5109" t="str">
            <v>Acné</v>
          </cell>
        </row>
        <row r="5110">
          <cell r="A5110" t="str">
            <v>L70.0</v>
          </cell>
          <cell r="B5110" t="str">
            <v>Acné vulgar</v>
          </cell>
        </row>
        <row r="5111">
          <cell r="A5111" t="str">
            <v>L70.1</v>
          </cell>
          <cell r="B5111" t="str">
            <v>Acné conglobado</v>
          </cell>
        </row>
        <row r="5112">
          <cell r="A5112" t="str">
            <v>L70.2</v>
          </cell>
          <cell r="B5112" t="str">
            <v>Acné varioliforme</v>
          </cell>
        </row>
        <row r="5113">
          <cell r="A5113" t="str">
            <v>L70.3</v>
          </cell>
          <cell r="B5113" t="str">
            <v>Acné tropical</v>
          </cell>
        </row>
        <row r="5114">
          <cell r="A5114" t="str">
            <v>L70.4</v>
          </cell>
          <cell r="B5114" t="str">
            <v>Acné infantil</v>
          </cell>
        </row>
        <row r="5115">
          <cell r="A5115" t="str">
            <v>L70.5</v>
          </cell>
          <cell r="B5115" t="str">
            <v>Acné excoriado de la mujer joven</v>
          </cell>
        </row>
        <row r="5116">
          <cell r="A5116" t="str">
            <v>L70.8</v>
          </cell>
          <cell r="B5116" t="str">
            <v>Otros acnés</v>
          </cell>
        </row>
        <row r="5117">
          <cell r="A5117" t="str">
            <v>L70.9</v>
          </cell>
          <cell r="B5117" t="str">
            <v>Acné, no especificado</v>
          </cell>
        </row>
        <row r="5118">
          <cell r="A5118" t="str">
            <v>L71</v>
          </cell>
          <cell r="B5118" t="str">
            <v>Rosácea</v>
          </cell>
        </row>
        <row r="5119">
          <cell r="A5119" t="str">
            <v>L71.0</v>
          </cell>
          <cell r="B5119" t="str">
            <v>Dermatitis peribucal</v>
          </cell>
        </row>
        <row r="5120">
          <cell r="A5120" t="str">
            <v>L71.1</v>
          </cell>
          <cell r="B5120" t="str">
            <v>Rinofima</v>
          </cell>
        </row>
        <row r="5121">
          <cell r="A5121" t="str">
            <v>L71.8</v>
          </cell>
          <cell r="B5121" t="str">
            <v>Otras rosáceas</v>
          </cell>
        </row>
        <row r="5122">
          <cell r="A5122" t="str">
            <v>L71.9</v>
          </cell>
          <cell r="B5122" t="str">
            <v>Rosácea, no especificada</v>
          </cell>
        </row>
        <row r="5123">
          <cell r="A5123" t="str">
            <v>L72</v>
          </cell>
          <cell r="B5123" t="str">
            <v>Quiste folicular de la piel y del tejido subcutáneo</v>
          </cell>
        </row>
        <row r="5124">
          <cell r="A5124" t="str">
            <v>L72.0</v>
          </cell>
          <cell r="B5124" t="str">
            <v>Quiste epidérmico</v>
          </cell>
        </row>
        <row r="5125">
          <cell r="A5125" t="str">
            <v>L72.1</v>
          </cell>
          <cell r="B5125" t="str">
            <v>Quiste tricodérmico</v>
          </cell>
        </row>
        <row r="5126">
          <cell r="A5126" t="str">
            <v>L72.2</v>
          </cell>
          <cell r="B5126" t="str">
            <v>Esteatocistoma múltiple</v>
          </cell>
        </row>
        <row r="5127">
          <cell r="A5127" t="str">
            <v>L72.8</v>
          </cell>
          <cell r="B5127" t="str">
            <v>Otros quistes foliculares de la piel y del tejido subcutáneo</v>
          </cell>
        </row>
        <row r="5128">
          <cell r="A5128" t="str">
            <v>L72.9</v>
          </cell>
          <cell r="B5128" t="str">
            <v>Quiste folicular de la piel y del tejido subcutáneo, sin otra especificación</v>
          </cell>
        </row>
        <row r="5129">
          <cell r="A5129" t="str">
            <v>L73</v>
          </cell>
          <cell r="B5129" t="str">
            <v>Otros trastornos foliculares</v>
          </cell>
        </row>
        <row r="5130">
          <cell r="A5130" t="str">
            <v>L73.0</v>
          </cell>
          <cell r="B5130" t="str">
            <v>Acné queloide</v>
          </cell>
        </row>
        <row r="5131">
          <cell r="A5131" t="str">
            <v>L73.1</v>
          </cell>
          <cell r="B5131" t="str">
            <v>Seudofoliculitis de la barba</v>
          </cell>
        </row>
        <row r="5132">
          <cell r="A5132" t="str">
            <v>L73.2</v>
          </cell>
          <cell r="B5132" t="str">
            <v>Hidradenitis supurativa</v>
          </cell>
        </row>
        <row r="5133">
          <cell r="A5133" t="str">
            <v>L73.8</v>
          </cell>
          <cell r="B5133" t="str">
            <v>Otros trastornos foliculares especificados</v>
          </cell>
        </row>
        <row r="5134">
          <cell r="A5134" t="str">
            <v>L73.9</v>
          </cell>
          <cell r="B5134" t="str">
            <v>Trastorno folicular, no especificado</v>
          </cell>
        </row>
        <row r="5135">
          <cell r="A5135" t="str">
            <v>L74</v>
          </cell>
          <cell r="B5135" t="str">
            <v>Trastornos sudoríparos ecrinos</v>
          </cell>
        </row>
        <row r="5136">
          <cell r="A5136" t="str">
            <v>L74.0</v>
          </cell>
          <cell r="B5136" t="str">
            <v>Miliaria rubra</v>
          </cell>
        </row>
        <row r="5137">
          <cell r="A5137" t="str">
            <v>L74.1</v>
          </cell>
          <cell r="B5137" t="str">
            <v>Miliaria cristalina</v>
          </cell>
        </row>
        <row r="5138">
          <cell r="A5138" t="str">
            <v>L74.2</v>
          </cell>
          <cell r="B5138" t="str">
            <v>Miliaria profunda</v>
          </cell>
        </row>
        <row r="5139">
          <cell r="A5139" t="str">
            <v>L74.3</v>
          </cell>
          <cell r="B5139" t="str">
            <v>Miliaria, no especificada</v>
          </cell>
        </row>
        <row r="5140">
          <cell r="A5140" t="str">
            <v>L74.4</v>
          </cell>
          <cell r="B5140" t="str">
            <v>Anhidrosis</v>
          </cell>
        </row>
        <row r="5141">
          <cell r="A5141" t="str">
            <v>L74.8</v>
          </cell>
          <cell r="B5141" t="str">
            <v>Otros trastornos sudoríparos ecrinos</v>
          </cell>
        </row>
        <row r="5142">
          <cell r="A5142" t="str">
            <v>L74.9</v>
          </cell>
          <cell r="B5142" t="str">
            <v>Trastorno sudoríparo ecrino, no especificado</v>
          </cell>
        </row>
        <row r="5143">
          <cell r="A5143" t="str">
            <v>L75</v>
          </cell>
          <cell r="B5143" t="str">
            <v>Trastornos sudoríparos apocrinos</v>
          </cell>
        </row>
        <row r="5144">
          <cell r="A5144" t="str">
            <v>L75.0</v>
          </cell>
          <cell r="B5144" t="str">
            <v>Bromhidrosis</v>
          </cell>
        </row>
        <row r="5145">
          <cell r="A5145" t="str">
            <v>L75.1</v>
          </cell>
          <cell r="B5145" t="str">
            <v>Cromhidrosis</v>
          </cell>
        </row>
        <row r="5146">
          <cell r="A5146" t="str">
            <v>L75.2</v>
          </cell>
          <cell r="B5146" t="str">
            <v>Miliaria apocrina</v>
          </cell>
        </row>
        <row r="5147">
          <cell r="A5147" t="str">
            <v>L75.8</v>
          </cell>
          <cell r="B5147" t="str">
            <v>Otros trastornos sudoríparos apocrinos</v>
          </cell>
        </row>
        <row r="5148">
          <cell r="A5148" t="str">
            <v>L75.9</v>
          </cell>
          <cell r="B5148" t="str">
            <v>Trastorno sudoríparo apocrino, no especificado</v>
          </cell>
        </row>
        <row r="5149">
          <cell r="A5149" t="str">
            <v>L80.X</v>
          </cell>
          <cell r="B5149" t="str">
            <v>Vitíligo</v>
          </cell>
        </row>
        <row r="5150">
          <cell r="A5150" t="str">
            <v>L81</v>
          </cell>
          <cell r="B5150" t="str">
            <v>Otros trastornos de la pigmentación</v>
          </cell>
        </row>
        <row r="5151">
          <cell r="A5151" t="str">
            <v>L81.0</v>
          </cell>
          <cell r="B5151" t="str">
            <v>Hiperpigmentación postinflamatoria</v>
          </cell>
        </row>
        <row r="5152">
          <cell r="A5152" t="str">
            <v>L81.1</v>
          </cell>
          <cell r="B5152" t="str">
            <v>Cloasma</v>
          </cell>
        </row>
        <row r="5153">
          <cell r="A5153" t="str">
            <v>L81.2</v>
          </cell>
          <cell r="B5153" t="str">
            <v>Efélide</v>
          </cell>
        </row>
        <row r="5154">
          <cell r="A5154" t="str">
            <v>L81.3</v>
          </cell>
          <cell r="B5154" t="str">
            <v>Manchas café con leche</v>
          </cell>
        </row>
        <row r="5155">
          <cell r="A5155" t="str">
            <v>L81.4</v>
          </cell>
          <cell r="B5155" t="str">
            <v>Otros tipos de hiperpigmentación melanodérmica</v>
          </cell>
        </row>
        <row r="5156">
          <cell r="A5156" t="str">
            <v>L81.5</v>
          </cell>
          <cell r="B5156" t="str">
            <v>Leucodermia, no clasificada en otra parte</v>
          </cell>
        </row>
        <row r="5157">
          <cell r="A5157" t="str">
            <v>L81.6</v>
          </cell>
          <cell r="B5157" t="str">
            <v>Otros trastornos de disminución de la formación de la melanina</v>
          </cell>
        </row>
        <row r="5158">
          <cell r="A5158" t="str">
            <v>L81.7</v>
          </cell>
          <cell r="B5158" t="str">
            <v>Dermatosis purpúrica pigmentada</v>
          </cell>
        </row>
        <row r="5159">
          <cell r="A5159" t="str">
            <v>L81.8</v>
          </cell>
          <cell r="B5159" t="str">
            <v>Otros trastornos especificados de la pigmentación</v>
          </cell>
        </row>
        <row r="5160">
          <cell r="A5160" t="str">
            <v>L81.9</v>
          </cell>
          <cell r="B5160" t="str">
            <v>Trastorno de la pigmentación, no especificado</v>
          </cell>
        </row>
        <row r="5161">
          <cell r="A5161" t="str">
            <v>L82.X</v>
          </cell>
          <cell r="B5161" t="str">
            <v>Queratosis seborreica</v>
          </cell>
        </row>
        <row r="5162">
          <cell r="A5162" t="str">
            <v>L83.X</v>
          </cell>
          <cell r="B5162" t="str">
            <v>Acantosis nigricans</v>
          </cell>
        </row>
        <row r="5163">
          <cell r="A5163" t="str">
            <v>L84.X</v>
          </cell>
          <cell r="B5163" t="str">
            <v>Callos y callosidades</v>
          </cell>
        </row>
        <row r="5164">
          <cell r="A5164" t="str">
            <v>L85</v>
          </cell>
          <cell r="B5164" t="str">
            <v>Otros tipos de engrosamiento epidérmico</v>
          </cell>
        </row>
        <row r="5165">
          <cell r="A5165" t="str">
            <v>L85.0</v>
          </cell>
          <cell r="B5165" t="str">
            <v>Ictiosis adquirida</v>
          </cell>
        </row>
        <row r="5166">
          <cell r="A5166" t="str">
            <v>L85.1</v>
          </cell>
          <cell r="B5166" t="str">
            <v>Queratosis [queratodermia] palmar y plantar adquirida</v>
          </cell>
        </row>
        <row r="5167">
          <cell r="A5167" t="str">
            <v>L85.2</v>
          </cell>
          <cell r="B5167" t="str">
            <v>Queratosis punctata (palmar y plantar)</v>
          </cell>
        </row>
        <row r="5168">
          <cell r="A5168" t="str">
            <v>L85.3</v>
          </cell>
          <cell r="B5168" t="str">
            <v>Xerosis del cutis</v>
          </cell>
        </row>
        <row r="5169">
          <cell r="A5169" t="str">
            <v>L85.8</v>
          </cell>
          <cell r="B5169" t="str">
            <v>Otros engrosamientos epidérmicos especificados</v>
          </cell>
        </row>
        <row r="5170">
          <cell r="A5170" t="str">
            <v>L85.9</v>
          </cell>
          <cell r="B5170" t="str">
            <v>Engrosamiento epidérmico, no especificado</v>
          </cell>
        </row>
        <row r="5171">
          <cell r="A5171" t="str">
            <v>L86.X</v>
          </cell>
          <cell r="B5171" t="str">
            <v>Queratoderma en enfermedades clasificadas en otra parte</v>
          </cell>
        </row>
        <row r="5172">
          <cell r="A5172" t="str">
            <v>L87</v>
          </cell>
          <cell r="B5172" t="str">
            <v>Trastornos de la eliminación transepidérmica</v>
          </cell>
        </row>
        <row r="5173">
          <cell r="A5173" t="str">
            <v>L87.0</v>
          </cell>
          <cell r="B5173" t="str">
            <v>Queratosis folicular y parafolicular penetrante del cutis [Kyrle]</v>
          </cell>
        </row>
        <row r="5174">
          <cell r="A5174" t="str">
            <v>L87.1</v>
          </cell>
          <cell r="B5174" t="str">
            <v>Colagenosis perforante reactiva</v>
          </cell>
        </row>
        <row r="5175">
          <cell r="A5175" t="str">
            <v>L87.2</v>
          </cell>
          <cell r="B5175" t="str">
            <v>Elastosis serpiginosa perforante</v>
          </cell>
        </row>
        <row r="5176">
          <cell r="A5176" t="str">
            <v>L87.8</v>
          </cell>
          <cell r="B5176" t="str">
            <v>Otros trastornos de la eliminación transepidérmica</v>
          </cell>
        </row>
        <row r="5177">
          <cell r="A5177" t="str">
            <v>L87.9</v>
          </cell>
          <cell r="B5177" t="str">
            <v>Trastorno de la eliminación transepidérmica, no especificado</v>
          </cell>
        </row>
        <row r="5178">
          <cell r="A5178" t="str">
            <v>L88.X</v>
          </cell>
          <cell r="B5178" t="str">
            <v>Pioderma gangrenoso</v>
          </cell>
        </row>
        <row r="5179">
          <cell r="A5179" t="str">
            <v>L89.X</v>
          </cell>
          <cell r="B5179" t="str">
            <v>Ulcera de decúbito</v>
          </cell>
        </row>
        <row r="5180">
          <cell r="A5180" t="str">
            <v>L90</v>
          </cell>
          <cell r="B5180" t="str">
            <v>Trastornos atróficos de la piel</v>
          </cell>
        </row>
        <row r="5181">
          <cell r="A5181" t="str">
            <v>L90.0</v>
          </cell>
          <cell r="B5181" t="str">
            <v>Liquen escleroso y atrófico</v>
          </cell>
        </row>
        <row r="5182">
          <cell r="A5182" t="str">
            <v>L90.1</v>
          </cell>
          <cell r="B5182" t="str">
            <v>Anetodermia de Schweninger-Buzzi</v>
          </cell>
        </row>
        <row r="5183">
          <cell r="A5183" t="str">
            <v>L90.2</v>
          </cell>
          <cell r="B5183" t="str">
            <v>Anetodermia de Jadassohn-Pellizzari</v>
          </cell>
        </row>
        <row r="5184">
          <cell r="A5184" t="str">
            <v>L90.3</v>
          </cell>
          <cell r="B5184" t="str">
            <v>Atrofoderma de Pasini y Pierini</v>
          </cell>
        </row>
        <row r="5185">
          <cell r="A5185" t="str">
            <v>L90.4</v>
          </cell>
          <cell r="B5185" t="str">
            <v>Acrodermatitis crónica atrófica</v>
          </cell>
        </row>
        <row r="5186">
          <cell r="A5186" t="str">
            <v>L90.5</v>
          </cell>
          <cell r="B5186" t="str">
            <v>Fibrosis y afecciones cicatriciales de la piel</v>
          </cell>
        </row>
        <row r="5187">
          <cell r="A5187" t="str">
            <v>L90.6</v>
          </cell>
          <cell r="B5187" t="str">
            <v>Estrías atróficas</v>
          </cell>
        </row>
        <row r="5188">
          <cell r="A5188" t="str">
            <v>L90.8</v>
          </cell>
          <cell r="B5188" t="str">
            <v>Otros trastornos atróficos de la piel</v>
          </cell>
        </row>
        <row r="5189">
          <cell r="A5189" t="str">
            <v>L90.9</v>
          </cell>
          <cell r="B5189" t="str">
            <v>Trastorno atrófico de la piel, no especificado</v>
          </cell>
        </row>
        <row r="5190">
          <cell r="A5190" t="str">
            <v>L91</v>
          </cell>
          <cell r="B5190" t="str">
            <v>Trastornos hipertróficos de la piel</v>
          </cell>
        </row>
        <row r="5191">
          <cell r="A5191" t="str">
            <v>L91.0</v>
          </cell>
          <cell r="B5191" t="str">
            <v>Cicatriz queloide</v>
          </cell>
        </row>
        <row r="5192">
          <cell r="A5192" t="str">
            <v>L91.8</v>
          </cell>
          <cell r="B5192" t="str">
            <v>Otros trastornos hipertróficos de la piel</v>
          </cell>
        </row>
        <row r="5193">
          <cell r="A5193" t="str">
            <v>L91.9</v>
          </cell>
          <cell r="B5193" t="str">
            <v>Trastorno hipertrófico de la piel, no especificado</v>
          </cell>
        </row>
        <row r="5194">
          <cell r="A5194" t="str">
            <v>L92</v>
          </cell>
          <cell r="B5194" t="str">
            <v>Trastornos granulomatosos de la piel y del tejido subcutáneo</v>
          </cell>
        </row>
        <row r="5195">
          <cell r="A5195" t="str">
            <v>L92.0</v>
          </cell>
          <cell r="B5195" t="str">
            <v>Granuloma anular</v>
          </cell>
        </row>
        <row r="5196">
          <cell r="A5196" t="str">
            <v>L92.1</v>
          </cell>
          <cell r="B5196" t="str">
            <v>Necrobiosis lipídica, no clasificada en otra parte</v>
          </cell>
        </row>
        <row r="5197">
          <cell r="A5197" t="str">
            <v>L92.2</v>
          </cell>
          <cell r="B5197" t="str">
            <v>Granuloma facial [granuloma eosinófilo de la piel]</v>
          </cell>
        </row>
        <row r="5198">
          <cell r="A5198" t="str">
            <v>L92.3</v>
          </cell>
          <cell r="B5198" t="str">
            <v>Granuloma por cuerpo extraño en la piel y en el tejido subcutáneo</v>
          </cell>
        </row>
        <row r="5199">
          <cell r="A5199" t="str">
            <v>L92.8</v>
          </cell>
          <cell r="B5199" t="str">
            <v>Otros trastornos granulomatosos de la piel y del tejido subcutáneo</v>
          </cell>
        </row>
        <row r="5200">
          <cell r="A5200" t="str">
            <v>L92.9</v>
          </cell>
          <cell r="B5200" t="str">
            <v>Trastorno granulomatoso de la piel y del tejido subcutáneo, no especificado</v>
          </cell>
        </row>
        <row r="5201">
          <cell r="A5201" t="str">
            <v>L93</v>
          </cell>
          <cell r="B5201" t="str">
            <v>Lupus eritematoso</v>
          </cell>
        </row>
        <row r="5202">
          <cell r="A5202" t="str">
            <v>L93.0</v>
          </cell>
          <cell r="B5202" t="str">
            <v>Lupus eritematoso discoide</v>
          </cell>
        </row>
        <row r="5203">
          <cell r="A5203" t="str">
            <v>L93.1</v>
          </cell>
          <cell r="B5203" t="str">
            <v>Lupus eritematoso cutáneo subagudo</v>
          </cell>
        </row>
        <row r="5204">
          <cell r="A5204" t="str">
            <v>L93.2</v>
          </cell>
          <cell r="B5204" t="str">
            <v>Otros lupus eritematosos localizados</v>
          </cell>
        </row>
        <row r="5205">
          <cell r="A5205" t="str">
            <v>L94</v>
          </cell>
          <cell r="B5205" t="str">
            <v>Otros trastornos localizados del tejido conjuntivo</v>
          </cell>
        </row>
        <row r="5206">
          <cell r="A5206" t="str">
            <v>L94.0</v>
          </cell>
          <cell r="B5206" t="str">
            <v>Escleroderma localizado [morfea]</v>
          </cell>
        </row>
        <row r="5207">
          <cell r="A5207" t="str">
            <v>L94.1</v>
          </cell>
          <cell r="B5207" t="str">
            <v>Escleroderma lineal</v>
          </cell>
        </row>
        <row r="5208">
          <cell r="A5208" t="str">
            <v>L94.2</v>
          </cell>
          <cell r="B5208" t="str">
            <v>Calcinosis de la piel</v>
          </cell>
        </row>
        <row r="5209">
          <cell r="A5209" t="str">
            <v>L94.3</v>
          </cell>
          <cell r="B5209" t="str">
            <v>Esclerodactilia</v>
          </cell>
        </row>
        <row r="5210">
          <cell r="A5210" t="str">
            <v>L94.4</v>
          </cell>
          <cell r="B5210" t="str">
            <v>Pápulas de Gottron</v>
          </cell>
        </row>
        <row r="5211">
          <cell r="A5211" t="str">
            <v>L94.5</v>
          </cell>
          <cell r="B5211" t="str">
            <v>Poiquilodermia vascular atrófica</v>
          </cell>
        </row>
        <row r="5212">
          <cell r="A5212" t="str">
            <v>L94.6</v>
          </cell>
          <cell r="B5212" t="str">
            <v>Ainhum</v>
          </cell>
        </row>
        <row r="5213">
          <cell r="A5213" t="str">
            <v>L94.8</v>
          </cell>
          <cell r="B5213" t="str">
            <v>Otros trastornos localizados especificados del tejido conjuntivo</v>
          </cell>
        </row>
        <row r="5214">
          <cell r="A5214" t="str">
            <v>L94.9</v>
          </cell>
          <cell r="B5214" t="str">
            <v>Trastorno localizado del tejido conjuntivo, no especificado</v>
          </cell>
        </row>
        <row r="5215">
          <cell r="A5215" t="str">
            <v>L95</v>
          </cell>
          <cell r="B5215" t="str">
            <v>Vasculitis limitada a la piel, no clasificada en otra parte</v>
          </cell>
        </row>
        <row r="5216">
          <cell r="A5216" t="str">
            <v>L95.0</v>
          </cell>
          <cell r="B5216" t="str">
            <v>Vasculitis livedoide</v>
          </cell>
        </row>
        <row r="5217">
          <cell r="A5217" t="str">
            <v>L95.1</v>
          </cell>
          <cell r="B5217" t="str">
            <v>Eritema elevatum diutinum</v>
          </cell>
        </row>
        <row r="5218">
          <cell r="A5218" t="str">
            <v>L95.8</v>
          </cell>
          <cell r="B5218" t="str">
            <v>Otras vasculitis limitadas a la piel</v>
          </cell>
        </row>
        <row r="5219">
          <cell r="A5219" t="str">
            <v>L95.9</v>
          </cell>
          <cell r="B5219" t="str">
            <v>Vasculitis limitada a la piel, sin otra especificación</v>
          </cell>
        </row>
        <row r="5220">
          <cell r="A5220" t="str">
            <v>L97.X</v>
          </cell>
          <cell r="B5220" t="str">
            <v>Ulcera de miembro inferior, no clasificada en otra parte</v>
          </cell>
        </row>
        <row r="5221">
          <cell r="A5221" t="str">
            <v>L98</v>
          </cell>
          <cell r="B5221" t="str">
            <v>Otros trastornos de la piel y del tejido subcutáneo, no clasificados en otra parte</v>
          </cell>
        </row>
        <row r="5222">
          <cell r="A5222" t="str">
            <v>L98.0</v>
          </cell>
          <cell r="B5222" t="str">
            <v>Granuloma piógeno</v>
          </cell>
        </row>
        <row r="5223">
          <cell r="A5223" t="str">
            <v>L98.1</v>
          </cell>
          <cell r="B5223" t="str">
            <v>Dermatitis facticia</v>
          </cell>
        </row>
        <row r="5224">
          <cell r="A5224" t="str">
            <v>L98.2</v>
          </cell>
          <cell r="B5224" t="str">
            <v>Dermatosis neutrófila febril [Sweet]</v>
          </cell>
        </row>
        <row r="5225">
          <cell r="A5225" t="str">
            <v>L98.3</v>
          </cell>
          <cell r="B5225" t="str">
            <v>Celulitis eosinófila [Wells]</v>
          </cell>
        </row>
        <row r="5226">
          <cell r="A5226" t="str">
            <v>L98.4</v>
          </cell>
          <cell r="B5226" t="str">
            <v>Ulcera crónica de la piel, no clasificada en otra parte</v>
          </cell>
        </row>
        <row r="5227">
          <cell r="A5227" t="str">
            <v>L98.5</v>
          </cell>
          <cell r="B5227" t="str">
            <v>Mucinosis de la piel</v>
          </cell>
        </row>
        <row r="5228">
          <cell r="A5228" t="str">
            <v>L98.6</v>
          </cell>
          <cell r="B5228" t="str">
            <v>Otros trastornos infiltrativos de la piel y del tejido subcutáneo</v>
          </cell>
        </row>
        <row r="5229">
          <cell r="A5229" t="str">
            <v>L98.8</v>
          </cell>
          <cell r="B5229" t="str">
            <v>Otros trastornos especificados de la piel y del tejido subcutáneo</v>
          </cell>
        </row>
        <row r="5230">
          <cell r="A5230" t="str">
            <v>L98.9</v>
          </cell>
          <cell r="B5230" t="str">
            <v>Trastorno de la piel y del tejido subcutáneo, no especificado</v>
          </cell>
        </row>
        <row r="5231">
          <cell r="A5231" t="str">
            <v>L99*</v>
          </cell>
          <cell r="B5231" t="str">
            <v>Otros trastornos de la piel y del tejido subcutáneo en enfermedades clasificadas en otra parte</v>
          </cell>
        </row>
        <row r="5232">
          <cell r="A5232" t="str">
            <v>L99.0*</v>
          </cell>
          <cell r="B5232" t="str">
            <v>Amiloidosis de la piel (E85.-+)</v>
          </cell>
        </row>
        <row r="5233">
          <cell r="A5233" t="str">
            <v>L99.8*</v>
          </cell>
          <cell r="B5233" t="str">
            <v>Otros trastornos de la piel y del tejido subcutáneo en enfermedades clasificadas en otra parte</v>
          </cell>
        </row>
        <row r="5234">
          <cell r="A5234" t="str">
            <v>M</v>
          </cell>
          <cell r="B5234" t="str">
            <v>Transtornos Osteomioarticulares</v>
          </cell>
        </row>
        <row r="5235">
          <cell r="A5235" t="str">
            <v>M00</v>
          </cell>
          <cell r="B5235" t="str">
            <v>Artritis piógena</v>
          </cell>
        </row>
        <row r="5236">
          <cell r="A5236" t="str">
            <v>M00.0</v>
          </cell>
          <cell r="B5236" t="str">
            <v>Artritis y poliartritis estafilocócica</v>
          </cell>
        </row>
        <row r="5237">
          <cell r="A5237" t="str">
            <v>M00.1</v>
          </cell>
          <cell r="B5237" t="str">
            <v>Artritis y poliartritis neumocócica</v>
          </cell>
        </row>
        <row r="5238">
          <cell r="A5238" t="str">
            <v>M00.2</v>
          </cell>
          <cell r="B5238" t="str">
            <v>Otras artritis y poliartritis estreptocócicas</v>
          </cell>
        </row>
        <row r="5239">
          <cell r="A5239" t="str">
            <v>M00.8</v>
          </cell>
          <cell r="B5239" t="str">
            <v>Artritis y poliartritis debidas a otros agentes bacterianos especificados</v>
          </cell>
        </row>
        <row r="5240">
          <cell r="A5240" t="str">
            <v>M00.9</v>
          </cell>
          <cell r="B5240" t="str">
            <v>Artritis piógena, no especificada</v>
          </cell>
        </row>
        <row r="5241">
          <cell r="A5241" t="str">
            <v>M01*</v>
          </cell>
          <cell r="B5241" t="str">
            <v>Infecciones directas de la articulación en enfermedades infecciosas y parasitarias clasificadas en otra parte</v>
          </cell>
        </row>
        <row r="5242">
          <cell r="A5242" t="str">
            <v>M01.0*</v>
          </cell>
          <cell r="B5242" t="str">
            <v>Artritis meningocócica (A39.8+)</v>
          </cell>
        </row>
        <row r="5243">
          <cell r="A5243" t="str">
            <v>M01.1*</v>
          </cell>
          <cell r="B5243" t="str">
            <v>Artritis tuberculosa (A18.0+)</v>
          </cell>
        </row>
        <row r="5244">
          <cell r="A5244" t="str">
            <v>M01.2*</v>
          </cell>
          <cell r="B5244" t="str">
            <v>Artritis en la enfermedad de Lyme (A69.2+)</v>
          </cell>
        </row>
        <row r="5245">
          <cell r="A5245" t="str">
            <v>M01.3*</v>
          </cell>
          <cell r="B5245" t="str">
            <v>Artritis en otras enfermedades bacterianas clasificadas en otra parte</v>
          </cell>
        </row>
        <row r="5246">
          <cell r="A5246" t="str">
            <v>M01.4*</v>
          </cell>
          <cell r="B5246" t="str">
            <v>Artritis en rubéola (B06.8+)</v>
          </cell>
        </row>
        <row r="5247">
          <cell r="A5247" t="str">
            <v>M01.5*</v>
          </cell>
          <cell r="B5247" t="str">
            <v>Artritis en otras enfermedades virales clasificadas en otra parte</v>
          </cell>
        </row>
        <row r="5248">
          <cell r="A5248" t="str">
            <v>M01.6*</v>
          </cell>
          <cell r="B5248" t="str">
            <v>Artritis en micosis (B35-B49+)</v>
          </cell>
        </row>
        <row r="5249">
          <cell r="A5249" t="str">
            <v>M01.8*</v>
          </cell>
          <cell r="B5249" t="str">
            <v>Artritis en otras enfermedades infecciosas y parasitarias clasificadas en otra parte</v>
          </cell>
        </row>
        <row r="5250">
          <cell r="A5250" t="str">
            <v>M02</v>
          </cell>
          <cell r="B5250" t="str">
            <v>Artropatías reactivas</v>
          </cell>
        </row>
        <row r="5251">
          <cell r="A5251" t="str">
            <v>M02.0</v>
          </cell>
          <cell r="B5251" t="str">
            <v>Artropatía consecutiva a derivación intestinal</v>
          </cell>
        </row>
        <row r="5252">
          <cell r="A5252" t="str">
            <v>M02.1</v>
          </cell>
          <cell r="B5252" t="str">
            <v>Artropatía postdisentérica</v>
          </cell>
        </row>
        <row r="5253">
          <cell r="A5253" t="str">
            <v>M02.2</v>
          </cell>
          <cell r="B5253" t="str">
            <v>Artropatía postinmunización</v>
          </cell>
        </row>
        <row r="5254">
          <cell r="A5254" t="str">
            <v>M02.3</v>
          </cell>
          <cell r="B5254" t="str">
            <v>Enfermedad de Reiter</v>
          </cell>
        </row>
        <row r="5255">
          <cell r="A5255" t="str">
            <v>M02.8</v>
          </cell>
          <cell r="B5255" t="str">
            <v>Otras artropatías reactivas</v>
          </cell>
        </row>
        <row r="5256">
          <cell r="A5256" t="str">
            <v>M02.9</v>
          </cell>
          <cell r="B5256" t="str">
            <v>Artropatía reactiva, no especificada</v>
          </cell>
        </row>
        <row r="5257">
          <cell r="A5257" t="str">
            <v>M03*</v>
          </cell>
          <cell r="B5257" t="str">
            <v>Artropatías postinfecciosas y reactivas en enfermedades clasificadas en otra parte</v>
          </cell>
        </row>
        <row r="5258">
          <cell r="A5258" t="str">
            <v>M03.0*</v>
          </cell>
          <cell r="B5258" t="str">
            <v>Artritis postmeningocócica (A39.8+)</v>
          </cell>
        </row>
        <row r="5259">
          <cell r="A5259" t="str">
            <v>M03.1*</v>
          </cell>
          <cell r="B5259" t="str">
            <v>Artropatía postinfecciosa en sífilis</v>
          </cell>
        </row>
        <row r="5260">
          <cell r="A5260" t="str">
            <v>M03.2*</v>
          </cell>
          <cell r="B5260" t="str">
            <v>Otras artropatías postinfecciosas en enfermedades clasificadas en otra parte</v>
          </cell>
        </row>
        <row r="5261">
          <cell r="A5261" t="str">
            <v>M03.6*</v>
          </cell>
          <cell r="B5261" t="str">
            <v>Artropatía reactiva en otras enfermedades clasificadas en otra parte</v>
          </cell>
        </row>
        <row r="5262">
          <cell r="A5262" t="str">
            <v>M05</v>
          </cell>
          <cell r="B5262" t="str">
            <v>Artritis reumatoide seropositiva</v>
          </cell>
        </row>
        <row r="5263">
          <cell r="A5263" t="str">
            <v>M05.0</v>
          </cell>
          <cell r="B5263" t="str">
            <v>Síndrome de Felty</v>
          </cell>
        </row>
        <row r="5264">
          <cell r="A5264" t="str">
            <v>M05.1</v>
          </cell>
          <cell r="B5264" t="str">
            <v>Enfermedad reumatoide del pulmón (J99.0*)</v>
          </cell>
        </row>
        <row r="5265">
          <cell r="A5265" t="str">
            <v>M05.2</v>
          </cell>
          <cell r="B5265" t="str">
            <v>Vasculitis reumatoide</v>
          </cell>
        </row>
        <row r="5266">
          <cell r="A5266" t="str">
            <v>M05.3</v>
          </cell>
          <cell r="B5266" t="str">
            <v>Artritis reumatoide con compromiso de otros órganos o sistemas</v>
          </cell>
        </row>
        <row r="5267">
          <cell r="A5267" t="str">
            <v>M05.8</v>
          </cell>
          <cell r="B5267" t="str">
            <v>Otras artritis reumatoideas seropositivas</v>
          </cell>
        </row>
        <row r="5268">
          <cell r="A5268" t="str">
            <v>M05.9</v>
          </cell>
          <cell r="B5268" t="str">
            <v>Artritis reumatoidea seropositiva, sin otra especificación</v>
          </cell>
        </row>
        <row r="5269">
          <cell r="A5269" t="str">
            <v>M06</v>
          </cell>
          <cell r="B5269" t="str">
            <v>Otras artritis reumatoides</v>
          </cell>
        </row>
        <row r="5270">
          <cell r="A5270" t="str">
            <v>M06.0</v>
          </cell>
          <cell r="B5270" t="str">
            <v>Artritis reumatoide seronegativa</v>
          </cell>
        </row>
        <row r="5271">
          <cell r="A5271" t="str">
            <v>M06.1</v>
          </cell>
          <cell r="B5271" t="str">
            <v>Enfermedad de Still de comienzo en el adulto</v>
          </cell>
        </row>
        <row r="5272">
          <cell r="A5272" t="str">
            <v>M06.2</v>
          </cell>
          <cell r="B5272" t="str">
            <v>Bursitis reumatoide</v>
          </cell>
        </row>
        <row r="5273">
          <cell r="A5273" t="str">
            <v>M06.3</v>
          </cell>
          <cell r="B5273" t="str">
            <v>Nódulo reumatoide</v>
          </cell>
        </row>
        <row r="5274">
          <cell r="A5274" t="str">
            <v>M06.4</v>
          </cell>
          <cell r="B5274" t="str">
            <v>Poliartropatía inflamatoria</v>
          </cell>
        </row>
        <row r="5275">
          <cell r="A5275" t="str">
            <v>M06.8</v>
          </cell>
          <cell r="B5275" t="str">
            <v>Otras artritis reumatoides especificadas</v>
          </cell>
        </row>
        <row r="5276">
          <cell r="A5276" t="str">
            <v>M06.9</v>
          </cell>
          <cell r="B5276" t="str">
            <v>Artritis reumatoide, no especificada</v>
          </cell>
        </row>
        <row r="5277">
          <cell r="A5277" t="str">
            <v>M07*</v>
          </cell>
          <cell r="B5277" t="str">
            <v>Artropatías psoriásicas y enteropáticas</v>
          </cell>
        </row>
        <row r="5278">
          <cell r="A5278" t="str">
            <v>M07.0*</v>
          </cell>
          <cell r="B5278" t="str">
            <v>Artropatía psoriásica interfalángica distal (L40.5+)</v>
          </cell>
        </row>
        <row r="5279">
          <cell r="A5279" t="str">
            <v>M07.1*</v>
          </cell>
          <cell r="B5279" t="str">
            <v>Artritis mutilante (L40.5+)</v>
          </cell>
        </row>
        <row r="5280">
          <cell r="A5280" t="str">
            <v>M07.2*</v>
          </cell>
          <cell r="B5280" t="str">
            <v>Espondilitis psoriásica (L40.5+)</v>
          </cell>
        </row>
        <row r="5281">
          <cell r="A5281" t="str">
            <v>M07.3*</v>
          </cell>
          <cell r="B5281" t="str">
            <v>Otras artropatías psoriásicas (L40.5+)</v>
          </cell>
        </row>
        <row r="5282">
          <cell r="A5282" t="str">
            <v>M07.4*</v>
          </cell>
          <cell r="B5282" t="str">
            <v>Artropatía en la enfermedad de Crohn [enteritis regional] (K50.-+)</v>
          </cell>
        </row>
        <row r="5283">
          <cell r="A5283" t="str">
            <v>M07.5*</v>
          </cell>
          <cell r="B5283" t="str">
            <v>Artropatía en la colitis ulcerativa (K51.-+)</v>
          </cell>
        </row>
        <row r="5284">
          <cell r="A5284" t="str">
            <v>M07.6*</v>
          </cell>
          <cell r="B5284" t="str">
            <v>Otras artropatías enteropáticas</v>
          </cell>
        </row>
        <row r="5285">
          <cell r="A5285" t="str">
            <v>M08</v>
          </cell>
          <cell r="B5285" t="str">
            <v>Artritis juvenil</v>
          </cell>
        </row>
        <row r="5286">
          <cell r="A5286" t="str">
            <v>M08.0</v>
          </cell>
          <cell r="B5286" t="str">
            <v>Artritis reumatoide juvenil</v>
          </cell>
        </row>
        <row r="5287">
          <cell r="A5287" t="str">
            <v>M08.1</v>
          </cell>
          <cell r="B5287" t="str">
            <v>Espondilitis anquilosante juvenil</v>
          </cell>
        </row>
        <row r="5288">
          <cell r="A5288" t="str">
            <v>M08.2</v>
          </cell>
          <cell r="B5288" t="str">
            <v>Artritis juvenil de comienzo generalizado</v>
          </cell>
        </row>
        <row r="5289">
          <cell r="A5289" t="str">
            <v>M08.3</v>
          </cell>
          <cell r="B5289" t="str">
            <v>Poliartritis juvenil (seronegativa)</v>
          </cell>
        </row>
        <row r="5290">
          <cell r="A5290" t="str">
            <v>M08.4</v>
          </cell>
          <cell r="B5290" t="str">
            <v>Artritis juvenil pauciarticular</v>
          </cell>
        </row>
        <row r="5291">
          <cell r="A5291" t="str">
            <v>M08.8</v>
          </cell>
          <cell r="B5291" t="str">
            <v>Otras artritis juveniles</v>
          </cell>
        </row>
        <row r="5292">
          <cell r="A5292" t="str">
            <v>M08.9</v>
          </cell>
          <cell r="B5292" t="str">
            <v>Artritis juvenil, no especificada</v>
          </cell>
        </row>
        <row r="5293">
          <cell r="A5293" t="str">
            <v>M09*</v>
          </cell>
          <cell r="B5293" t="str">
            <v>Artritis juvenil en enfermedades clasificadas en otra parte</v>
          </cell>
        </row>
        <row r="5294">
          <cell r="A5294" t="str">
            <v>M09.0*</v>
          </cell>
          <cell r="B5294" t="str">
            <v>Artritis juvenil en la psoriasis (L40.5+)</v>
          </cell>
        </row>
        <row r="5295">
          <cell r="A5295" t="str">
            <v>M09.1*</v>
          </cell>
          <cell r="B5295" t="str">
            <v>Artritis juvenil en la enfermedad de Crohn [enteritis regional] (K50.-+)</v>
          </cell>
        </row>
        <row r="5296">
          <cell r="A5296" t="str">
            <v>M09.2*</v>
          </cell>
          <cell r="B5296" t="str">
            <v>Artritis juvenil en la colitis ulcerativa (K51.-+)</v>
          </cell>
        </row>
        <row r="5297">
          <cell r="A5297" t="str">
            <v>M09.8*</v>
          </cell>
          <cell r="B5297" t="str">
            <v>Artritis juvenil en otras enfermedades clasificadas en otra parte</v>
          </cell>
        </row>
        <row r="5298">
          <cell r="A5298" t="str">
            <v>M10</v>
          </cell>
          <cell r="B5298" t="str">
            <v>Gota</v>
          </cell>
        </row>
        <row r="5299">
          <cell r="A5299" t="str">
            <v>M10.0</v>
          </cell>
          <cell r="B5299" t="str">
            <v>Gota idiopática</v>
          </cell>
        </row>
        <row r="5300">
          <cell r="A5300" t="str">
            <v>M10.1</v>
          </cell>
          <cell r="B5300" t="str">
            <v>Gota saturnina</v>
          </cell>
        </row>
        <row r="5301">
          <cell r="A5301" t="str">
            <v>M10.2</v>
          </cell>
          <cell r="B5301" t="str">
            <v>Gota inducida por drogas</v>
          </cell>
        </row>
        <row r="5302">
          <cell r="A5302" t="str">
            <v>M10.3</v>
          </cell>
          <cell r="B5302" t="str">
            <v>Gota debida a alteración renal</v>
          </cell>
        </row>
        <row r="5303">
          <cell r="A5303" t="str">
            <v>M10.4</v>
          </cell>
          <cell r="B5303" t="str">
            <v>Otras gotas secundarias</v>
          </cell>
        </row>
        <row r="5304">
          <cell r="A5304" t="str">
            <v>M10.9</v>
          </cell>
          <cell r="B5304" t="str">
            <v>Gota, no especificada</v>
          </cell>
        </row>
        <row r="5305">
          <cell r="A5305" t="str">
            <v>M11</v>
          </cell>
          <cell r="B5305" t="str">
            <v>Otras artropatías por cristales</v>
          </cell>
        </row>
        <row r="5306">
          <cell r="A5306" t="str">
            <v>M11.0</v>
          </cell>
          <cell r="B5306" t="str">
            <v>Enfermedad por depósito de hidroxiapatita</v>
          </cell>
        </row>
        <row r="5307">
          <cell r="A5307" t="str">
            <v>M11.1</v>
          </cell>
          <cell r="B5307" t="str">
            <v>Condrocalcinosis familiar</v>
          </cell>
        </row>
        <row r="5308">
          <cell r="A5308" t="str">
            <v>M11.2</v>
          </cell>
          <cell r="B5308" t="str">
            <v>Otras condrocalcinosis</v>
          </cell>
        </row>
        <row r="5309">
          <cell r="A5309" t="str">
            <v>M11.8</v>
          </cell>
          <cell r="B5309" t="str">
            <v>Otras artropatías por cristales, especificadas</v>
          </cell>
        </row>
        <row r="5310">
          <cell r="A5310" t="str">
            <v>M11.9</v>
          </cell>
          <cell r="B5310" t="str">
            <v>Artropatía por cristales, no especificada</v>
          </cell>
        </row>
        <row r="5311">
          <cell r="A5311" t="str">
            <v>M12</v>
          </cell>
          <cell r="B5311" t="str">
            <v>Otras artropatías específicas</v>
          </cell>
        </row>
        <row r="5312">
          <cell r="A5312" t="str">
            <v>M12.0</v>
          </cell>
          <cell r="B5312" t="str">
            <v>Artropatía postreumática crónica [de Jaccoud]</v>
          </cell>
        </row>
        <row r="5313">
          <cell r="A5313" t="str">
            <v>M12.1</v>
          </cell>
          <cell r="B5313" t="str">
            <v>Enfermedad de Kaschin-Beck</v>
          </cell>
        </row>
        <row r="5314">
          <cell r="A5314" t="str">
            <v>M12.2</v>
          </cell>
          <cell r="B5314" t="str">
            <v>Sinovitis vellonodular (pigmentada)</v>
          </cell>
        </row>
        <row r="5315">
          <cell r="A5315" t="str">
            <v>M12.3</v>
          </cell>
          <cell r="B5315" t="str">
            <v>Reumatismo palindrómico</v>
          </cell>
        </row>
        <row r="5316">
          <cell r="A5316" t="str">
            <v>M12.4</v>
          </cell>
          <cell r="B5316" t="str">
            <v>Hidrartrosis intermitente</v>
          </cell>
        </row>
        <row r="5317">
          <cell r="A5317" t="str">
            <v>M12.5</v>
          </cell>
          <cell r="B5317" t="str">
            <v>Artropatía traumática</v>
          </cell>
        </row>
        <row r="5318">
          <cell r="A5318" t="str">
            <v>M12.8</v>
          </cell>
          <cell r="B5318" t="str">
            <v>Otras artropatías específicas, no clasificadas en otra parte</v>
          </cell>
        </row>
        <row r="5319">
          <cell r="A5319" t="str">
            <v>M13</v>
          </cell>
          <cell r="B5319" t="str">
            <v>Otras artritis</v>
          </cell>
        </row>
        <row r="5320">
          <cell r="A5320" t="str">
            <v>M13.0</v>
          </cell>
          <cell r="B5320" t="str">
            <v>Poliartritis, no especificada</v>
          </cell>
        </row>
        <row r="5321">
          <cell r="A5321" t="str">
            <v>M13.1</v>
          </cell>
          <cell r="B5321" t="str">
            <v>Monoartritis, no clasificada en otra parte</v>
          </cell>
        </row>
        <row r="5322">
          <cell r="A5322" t="str">
            <v>M13.8</v>
          </cell>
          <cell r="B5322" t="str">
            <v>Otras artritis especificadas</v>
          </cell>
        </row>
        <row r="5323">
          <cell r="A5323" t="str">
            <v>M13.9</v>
          </cell>
          <cell r="B5323" t="str">
            <v>Artritis, no especificada</v>
          </cell>
        </row>
        <row r="5324">
          <cell r="A5324" t="str">
            <v>M14*</v>
          </cell>
          <cell r="B5324" t="str">
            <v>Artropatía en otras enfermedades clasificadas en otra parte</v>
          </cell>
        </row>
        <row r="5325">
          <cell r="A5325" t="str">
            <v>M14.0*</v>
          </cell>
          <cell r="B5325" t="str">
            <v>Artropatía gotosa debida a defectos enzimáticos y a otros trastornos hereditarios, clasificados en otra parte</v>
          </cell>
        </row>
        <row r="5326">
          <cell r="A5326" t="str">
            <v>M14.1*</v>
          </cell>
          <cell r="B5326" t="str">
            <v>Artropatía por cristales en otros trastornos metabólicos</v>
          </cell>
        </row>
        <row r="5327">
          <cell r="A5327" t="str">
            <v>M14.2*</v>
          </cell>
          <cell r="B5327" t="str">
            <v>Artropatía diabética (E10-E14+ con cuarto carácter común .6)</v>
          </cell>
        </row>
        <row r="5328">
          <cell r="A5328" t="str">
            <v>M14.3*</v>
          </cell>
          <cell r="B5328" t="str">
            <v>Dermatoartritis lipoide (E78.8+)</v>
          </cell>
        </row>
        <row r="5329">
          <cell r="A5329" t="str">
            <v>M14.4*</v>
          </cell>
          <cell r="B5329" t="str">
            <v>Artropatía en la amiloidosis (E85.-+)</v>
          </cell>
        </row>
        <row r="5330">
          <cell r="A5330" t="str">
            <v>M14.5*</v>
          </cell>
          <cell r="B5330" t="str">
            <v>Artropatía en otros trastornos endocrinos, metabólicos y nutricionales</v>
          </cell>
        </row>
        <row r="5331">
          <cell r="A5331" t="str">
            <v>M14.6*</v>
          </cell>
          <cell r="B5331" t="str">
            <v>Artropatía neuropática</v>
          </cell>
        </row>
        <row r="5332">
          <cell r="A5332" t="str">
            <v>M14.8*</v>
          </cell>
          <cell r="B5332" t="str">
            <v>Artropatía en otras enfermedades especificadas, clasificadas en otra parte</v>
          </cell>
        </row>
        <row r="5333">
          <cell r="A5333" t="str">
            <v>M15</v>
          </cell>
          <cell r="B5333" t="str">
            <v>Poliartrosis</v>
          </cell>
        </row>
        <row r="5334">
          <cell r="A5334" t="str">
            <v>M15.0</v>
          </cell>
          <cell r="B5334" t="str">
            <v>Osteoartrosis primaria generalizada</v>
          </cell>
        </row>
        <row r="5335">
          <cell r="A5335" t="str">
            <v>M15.1</v>
          </cell>
          <cell r="B5335" t="str">
            <v>Nódulos de Heberden (con artropatía)</v>
          </cell>
        </row>
        <row r="5336">
          <cell r="A5336" t="str">
            <v>M15.2</v>
          </cell>
          <cell r="B5336" t="str">
            <v>Nódulos de Bouchard (con artropatía)</v>
          </cell>
        </row>
        <row r="5337">
          <cell r="A5337" t="str">
            <v>M15.3</v>
          </cell>
          <cell r="B5337" t="str">
            <v>Artrosis secundaria múltiple</v>
          </cell>
        </row>
        <row r="5338">
          <cell r="A5338" t="str">
            <v>M15.4</v>
          </cell>
          <cell r="B5338" t="str">
            <v>Osteo)artrosis erosiva</v>
          </cell>
        </row>
        <row r="5339">
          <cell r="A5339" t="str">
            <v>M15.8</v>
          </cell>
          <cell r="B5339" t="str">
            <v>Otras poliartrosis</v>
          </cell>
        </row>
        <row r="5340">
          <cell r="A5340" t="str">
            <v>M15.9</v>
          </cell>
          <cell r="B5340" t="str">
            <v>Poliartrosis, no especificada</v>
          </cell>
        </row>
        <row r="5341">
          <cell r="A5341" t="str">
            <v>M16</v>
          </cell>
          <cell r="B5341" t="str">
            <v>Coxartrosis [artrosis de la cadera]</v>
          </cell>
        </row>
        <row r="5342">
          <cell r="A5342" t="str">
            <v>M16.</v>
          </cell>
          <cell r="B5342" t="str">
            <v>Otra coxartrosis secundaria, bilateral</v>
          </cell>
        </row>
        <row r="5343">
          <cell r="A5343" t="str">
            <v>M16.0</v>
          </cell>
          <cell r="B5343" t="str">
            <v>Coxartrosis primaria, bilateral</v>
          </cell>
        </row>
        <row r="5344">
          <cell r="A5344" t="str">
            <v>M16.1</v>
          </cell>
          <cell r="B5344" t="str">
            <v>Otras coxartrosis primarias</v>
          </cell>
        </row>
        <row r="5345">
          <cell r="A5345" t="str">
            <v>M16.2</v>
          </cell>
          <cell r="B5345" t="str">
            <v>Coxartrosis a consecuencia de displasia, bilateral</v>
          </cell>
        </row>
        <row r="5346">
          <cell r="A5346" t="str">
            <v>M16.3</v>
          </cell>
          <cell r="B5346" t="str">
            <v>Otras coxartrosis displásicas</v>
          </cell>
        </row>
        <row r="5347">
          <cell r="A5347" t="str">
            <v>M16.4</v>
          </cell>
          <cell r="B5347" t="str">
            <v>Coartrosis postraumática, bilateral</v>
          </cell>
        </row>
        <row r="5348">
          <cell r="A5348" t="str">
            <v>M16.5</v>
          </cell>
          <cell r="B5348" t="str">
            <v>Otra coxartrosis postraumática</v>
          </cell>
        </row>
        <row r="5349">
          <cell r="A5349" t="str">
            <v>M16.7</v>
          </cell>
          <cell r="B5349" t="str">
            <v>Otras coxartrosis secundarias</v>
          </cell>
        </row>
        <row r="5350">
          <cell r="A5350" t="str">
            <v>M16.9</v>
          </cell>
          <cell r="B5350" t="str">
            <v>Coxartrosis, no especificada</v>
          </cell>
        </row>
        <row r="5351">
          <cell r="A5351" t="str">
            <v>M17</v>
          </cell>
          <cell r="B5351" t="str">
            <v>Gonartrosis [artrosis de la rodilla]</v>
          </cell>
        </row>
        <row r="5352">
          <cell r="A5352" t="str">
            <v>M17.0</v>
          </cell>
          <cell r="B5352" t="str">
            <v>Gonartrosis primaria, bilateral</v>
          </cell>
        </row>
        <row r="5353">
          <cell r="A5353" t="str">
            <v>M17.1</v>
          </cell>
          <cell r="B5353" t="str">
            <v>Otras gonartrosis primarias</v>
          </cell>
        </row>
        <row r="5354">
          <cell r="A5354" t="str">
            <v>M17.2</v>
          </cell>
          <cell r="B5354" t="str">
            <v>Gonartrosis postraumática, bilateral</v>
          </cell>
        </row>
        <row r="5355">
          <cell r="A5355" t="str">
            <v>M17.3</v>
          </cell>
          <cell r="B5355" t="str">
            <v>Otras gonartrosis postraumáticas:</v>
          </cell>
        </row>
        <row r="5356">
          <cell r="A5356" t="str">
            <v>M17.4</v>
          </cell>
          <cell r="B5356" t="str">
            <v>Otras gonartrosis secundarias, bilaterales</v>
          </cell>
        </row>
        <row r="5357">
          <cell r="A5357" t="str">
            <v>M17.5</v>
          </cell>
          <cell r="B5357" t="str">
            <v>Otras gonartrosis secundarias</v>
          </cell>
        </row>
        <row r="5358">
          <cell r="A5358" t="str">
            <v>M17.9</v>
          </cell>
          <cell r="B5358" t="str">
            <v>Gonartrosis, no especificada</v>
          </cell>
        </row>
        <row r="5359">
          <cell r="A5359" t="str">
            <v>M18</v>
          </cell>
          <cell r="B5359" t="str">
            <v>Artrosis de la primera articulación carpometacarpiana</v>
          </cell>
        </row>
        <row r="5360">
          <cell r="A5360" t="str">
            <v>M18.0</v>
          </cell>
          <cell r="B5360" t="str">
            <v>Artrosis primaria de la primera articulación carpometacarpiana, bilateral</v>
          </cell>
        </row>
        <row r="5361">
          <cell r="A5361" t="str">
            <v>M18.1</v>
          </cell>
          <cell r="B5361" t="str">
            <v>Otras artrosis primarias de la primera articulación carpometacarpiana</v>
          </cell>
        </row>
        <row r="5362">
          <cell r="A5362" t="str">
            <v>M18.2</v>
          </cell>
          <cell r="B5362" t="str">
            <v>Artrosis postraumática de la primera articulación carpometacarpiana, bilateral</v>
          </cell>
        </row>
        <row r="5363">
          <cell r="A5363" t="str">
            <v>M18.3</v>
          </cell>
          <cell r="B5363" t="str">
            <v>Otras artrosis postraumáticas de la primera articulación carpometacarpiana</v>
          </cell>
        </row>
        <row r="5364">
          <cell r="A5364" t="str">
            <v>M18.4</v>
          </cell>
          <cell r="B5364" t="str">
            <v>Otras artrosis secundarias de la primera articulación carpometacarpiana, bilaterales</v>
          </cell>
        </row>
        <row r="5365">
          <cell r="A5365" t="str">
            <v>M18.5</v>
          </cell>
          <cell r="B5365" t="str">
            <v>Otras artrosis secundarias de la primera articulación carpometacarpiana</v>
          </cell>
        </row>
        <row r="5366">
          <cell r="A5366" t="str">
            <v>M18.9</v>
          </cell>
          <cell r="B5366" t="str">
            <v>Artrosis de la primera articulación carpometacarpiana, sin otra especificación</v>
          </cell>
        </row>
        <row r="5367">
          <cell r="A5367" t="str">
            <v>M19</v>
          </cell>
          <cell r="B5367" t="str">
            <v>Otras artrosis</v>
          </cell>
        </row>
        <row r="5368">
          <cell r="A5368" t="str">
            <v>M19.0</v>
          </cell>
          <cell r="B5368" t="str">
            <v>Artrosis primaria de otras articulaciones</v>
          </cell>
        </row>
        <row r="5369">
          <cell r="A5369" t="str">
            <v>M19.1</v>
          </cell>
          <cell r="B5369" t="str">
            <v>Artrosis postraumática de otras articulaciones</v>
          </cell>
        </row>
        <row r="5370">
          <cell r="A5370" t="str">
            <v>M19.2</v>
          </cell>
          <cell r="B5370" t="str">
            <v>Artrosis secundaria de otras articulaciones</v>
          </cell>
        </row>
        <row r="5371">
          <cell r="A5371" t="str">
            <v>M19.8</v>
          </cell>
          <cell r="B5371" t="str">
            <v>Otras artrosis especificadas</v>
          </cell>
        </row>
        <row r="5372">
          <cell r="A5372" t="str">
            <v>M19.9</v>
          </cell>
          <cell r="B5372" t="str">
            <v>Artrosis, no especificada</v>
          </cell>
        </row>
        <row r="5373">
          <cell r="A5373" t="str">
            <v>M20</v>
          </cell>
          <cell r="B5373" t="str">
            <v>Deformidades adquiridas de los dedos de la mano y del pie</v>
          </cell>
        </row>
        <row r="5374">
          <cell r="A5374" t="str">
            <v>M20.0</v>
          </cell>
          <cell r="B5374" t="str">
            <v>Deformidad de dedo(s) de la mano</v>
          </cell>
        </row>
        <row r="5375">
          <cell r="A5375" t="str">
            <v>M20.1</v>
          </cell>
          <cell r="B5375" t="str">
            <v>Hallux valgus (adquirido)</v>
          </cell>
        </row>
        <row r="5376">
          <cell r="A5376" t="str">
            <v>M20.2</v>
          </cell>
          <cell r="B5376" t="str">
            <v>Hallux rigidus</v>
          </cell>
        </row>
        <row r="5377">
          <cell r="A5377" t="str">
            <v>M20.3</v>
          </cell>
          <cell r="B5377" t="str">
            <v>Otras deformidades del hallux (adquiridas)</v>
          </cell>
        </row>
        <row r="5378">
          <cell r="A5378" t="str">
            <v>M20.4</v>
          </cell>
          <cell r="B5378" t="str">
            <v>Otro(s) dedo(s) del pie en martillo (adquiridos)</v>
          </cell>
        </row>
        <row r="5379">
          <cell r="A5379" t="str">
            <v>M20.5</v>
          </cell>
          <cell r="B5379" t="str">
            <v>Otras deformidades (adquiridas) del (de los) dedo(s) del pie</v>
          </cell>
        </row>
        <row r="5380">
          <cell r="A5380" t="str">
            <v>M20.6</v>
          </cell>
          <cell r="B5380" t="str">
            <v>Deformidades adquiridas de los dedos del pie, no especificadas</v>
          </cell>
        </row>
        <row r="5381">
          <cell r="A5381" t="str">
            <v>M21</v>
          </cell>
          <cell r="B5381" t="str">
            <v>Otras deformidades adquiridas de los miembros</v>
          </cell>
        </row>
        <row r="5382">
          <cell r="A5382" t="str">
            <v>M21.0</v>
          </cell>
          <cell r="B5382" t="str">
            <v>Deformidad en valgo, no clasificada en otra parte</v>
          </cell>
        </row>
        <row r="5383">
          <cell r="A5383" t="str">
            <v>M21.1</v>
          </cell>
          <cell r="B5383" t="str">
            <v>Deformidad en varo, no clasificada en otra parte</v>
          </cell>
        </row>
        <row r="5384">
          <cell r="A5384" t="str">
            <v>M21.2</v>
          </cell>
          <cell r="B5384" t="str">
            <v>Deformidad en flexión</v>
          </cell>
        </row>
        <row r="5385">
          <cell r="A5385" t="str">
            <v>M21.3</v>
          </cell>
          <cell r="B5385" t="str">
            <v>Muñeca o pie en péndulo (adquirido)</v>
          </cell>
        </row>
        <row r="5386">
          <cell r="A5386" t="str">
            <v>M21.4</v>
          </cell>
          <cell r="B5386" t="str">
            <v>Pie plano [pes planus] (adquirido)</v>
          </cell>
        </row>
        <row r="5387">
          <cell r="A5387" t="str">
            <v>M21.5</v>
          </cell>
          <cell r="B5387" t="str">
            <v>Mano o pie en garra o en talipes, pie equinovaro o zambo adquiridos</v>
          </cell>
        </row>
        <row r="5388">
          <cell r="A5388" t="str">
            <v>M21.6</v>
          </cell>
          <cell r="B5388" t="str">
            <v>Otras deformidades adquiridas del tobillo y del pie</v>
          </cell>
        </row>
        <row r="5389">
          <cell r="A5389" t="str">
            <v>M21.7</v>
          </cell>
          <cell r="B5389" t="str">
            <v>Longitud desigual de los miembros (adquirida)</v>
          </cell>
        </row>
        <row r="5390">
          <cell r="A5390" t="str">
            <v>M21.8</v>
          </cell>
          <cell r="B5390" t="str">
            <v>Otras deformidades adquiridas de los miembros, especificadas</v>
          </cell>
        </row>
        <row r="5391">
          <cell r="A5391" t="str">
            <v>M21.9</v>
          </cell>
          <cell r="B5391" t="str">
            <v>Deformidad adquirida del miembro, no especificada</v>
          </cell>
        </row>
        <row r="5392">
          <cell r="A5392" t="str">
            <v>M22</v>
          </cell>
          <cell r="B5392" t="str">
            <v>Trastornos de la rótula</v>
          </cell>
        </row>
        <row r="5393">
          <cell r="A5393" t="str">
            <v>M22.0</v>
          </cell>
          <cell r="B5393" t="str">
            <v>Luxación recidivante de la rótula</v>
          </cell>
        </row>
        <row r="5394">
          <cell r="A5394" t="str">
            <v>M22.1</v>
          </cell>
          <cell r="B5394" t="str">
            <v>Subluxación recidivante de la rótula</v>
          </cell>
        </row>
        <row r="5395">
          <cell r="A5395" t="str">
            <v>M22.2</v>
          </cell>
          <cell r="B5395" t="str">
            <v>Trastornos rotulofemorales</v>
          </cell>
        </row>
        <row r="5396">
          <cell r="A5396" t="str">
            <v>M22.3</v>
          </cell>
          <cell r="B5396" t="str">
            <v>Otros desarreglos de la rótula</v>
          </cell>
        </row>
        <row r="5397">
          <cell r="A5397" t="str">
            <v>M22.4</v>
          </cell>
          <cell r="B5397" t="str">
            <v>Condromalacia de la rótula</v>
          </cell>
        </row>
        <row r="5398">
          <cell r="A5398" t="str">
            <v>M22.8</v>
          </cell>
          <cell r="B5398" t="str">
            <v>Otros trastornos de la rótula</v>
          </cell>
        </row>
        <row r="5399">
          <cell r="A5399" t="str">
            <v>M22.9</v>
          </cell>
          <cell r="B5399" t="str">
            <v>Trastorno de la rótula, no especificado</v>
          </cell>
        </row>
        <row r="5400">
          <cell r="A5400" t="str">
            <v>M23</v>
          </cell>
          <cell r="B5400" t="str">
            <v>Trastorno interno de la rodilla</v>
          </cell>
        </row>
        <row r="5401">
          <cell r="A5401" t="str">
            <v>M23.0</v>
          </cell>
          <cell r="B5401" t="str">
            <v>Menisco quístico</v>
          </cell>
        </row>
        <row r="5402">
          <cell r="A5402" t="str">
            <v>M23.1</v>
          </cell>
          <cell r="B5402" t="str">
            <v>Menisco discoide (congénito)</v>
          </cell>
        </row>
        <row r="5403">
          <cell r="A5403" t="str">
            <v>M23.2</v>
          </cell>
          <cell r="B5403" t="str">
            <v>Trastorno de menisco debido a desgarro o lesión antigua</v>
          </cell>
        </row>
        <row r="5404">
          <cell r="A5404" t="str">
            <v>M23.3</v>
          </cell>
          <cell r="B5404" t="str">
            <v>Otros trastornos de los meniscos</v>
          </cell>
        </row>
        <row r="5405">
          <cell r="A5405" t="str">
            <v>M23.4</v>
          </cell>
          <cell r="B5405" t="str">
            <v>Cuerpo flotante en la rodilla</v>
          </cell>
        </row>
        <row r="5406">
          <cell r="A5406" t="str">
            <v>M23.5</v>
          </cell>
          <cell r="B5406" t="str">
            <v>Inestabilidad crónica de la rodilla</v>
          </cell>
        </row>
        <row r="5407">
          <cell r="A5407" t="str">
            <v>M23.6</v>
          </cell>
          <cell r="B5407" t="str">
            <v>Otra ruptura espontánea del (de los) ligamento(s) de la rodilla</v>
          </cell>
        </row>
        <row r="5408">
          <cell r="A5408" t="str">
            <v>M23.8</v>
          </cell>
          <cell r="B5408" t="str">
            <v>Otros trastornos internos de la rodilla</v>
          </cell>
        </row>
        <row r="5409">
          <cell r="A5409" t="str">
            <v>M23.9</v>
          </cell>
          <cell r="B5409" t="str">
            <v>Trastorno interno de la rodilla, no especificado</v>
          </cell>
        </row>
        <row r="5410">
          <cell r="A5410" t="str">
            <v>M24</v>
          </cell>
          <cell r="B5410" t="str">
            <v>Otros trastornos articulares específicos</v>
          </cell>
        </row>
        <row r="5411">
          <cell r="A5411" t="str">
            <v>M24.0</v>
          </cell>
          <cell r="B5411" t="str">
            <v>Cuerpo flotante articular</v>
          </cell>
        </row>
        <row r="5412">
          <cell r="A5412" t="str">
            <v>M24.1</v>
          </cell>
          <cell r="B5412" t="str">
            <v>Otros trastornos del cartílago articular</v>
          </cell>
        </row>
        <row r="5413">
          <cell r="A5413" t="str">
            <v>M24.2</v>
          </cell>
          <cell r="B5413" t="str">
            <v>Trastorno del ligamento</v>
          </cell>
        </row>
        <row r="5414">
          <cell r="A5414" t="str">
            <v>M24.3</v>
          </cell>
          <cell r="B5414" t="str">
            <v>Luxación y subluxación patológica de la articulación, no clasificada en otra parte</v>
          </cell>
        </row>
        <row r="5415">
          <cell r="A5415" t="str">
            <v>M24.4</v>
          </cell>
          <cell r="B5415" t="str">
            <v>Luxación y subluxación recidivante de la articulación</v>
          </cell>
        </row>
        <row r="5416">
          <cell r="A5416" t="str">
            <v>M24.5</v>
          </cell>
          <cell r="B5416" t="str">
            <v>Contractura articular</v>
          </cell>
        </row>
        <row r="5417">
          <cell r="A5417" t="str">
            <v>M24.6</v>
          </cell>
          <cell r="B5417" t="str">
            <v>Anquilosis articular</v>
          </cell>
        </row>
        <row r="5418">
          <cell r="A5418" t="str">
            <v>M24.7</v>
          </cell>
          <cell r="B5418" t="str">
            <v>Protrusión de acetábulo</v>
          </cell>
        </row>
        <row r="5419">
          <cell r="A5419" t="str">
            <v>M24.8</v>
          </cell>
          <cell r="B5419" t="str">
            <v>Otras lesiones articulares específicas, no clasificadas en otra parte</v>
          </cell>
        </row>
        <row r="5420">
          <cell r="A5420" t="str">
            <v>M24.9</v>
          </cell>
          <cell r="B5420" t="str">
            <v>Desarreglo articular, no especificado</v>
          </cell>
        </row>
        <row r="5421">
          <cell r="A5421" t="str">
            <v>M25</v>
          </cell>
          <cell r="B5421" t="str">
            <v>Otros trastornos articulares, no clasificados en otra parte</v>
          </cell>
        </row>
        <row r="5422">
          <cell r="A5422" t="str">
            <v>M25.0</v>
          </cell>
          <cell r="B5422" t="str">
            <v>Hemartrosis</v>
          </cell>
        </row>
        <row r="5423">
          <cell r="A5423" t="str">
            <v>M25.1</v>
          </cell>
          <cell r="B5423" t="str">
            <v>Fístula articular</v>
          </cell>
        </row>
        <row r="5424">
          <cell r="A5424" t="str">
            <v>M25.2</v>
          </cell>
          <cell r="B5424" t="str">
            <v>Articulación inestable</v>
          </cell>
        </row>
        <row r="5425">
          <cell r="A5425" t="str">
            <v>M25.3</v>
          </cell>
          <cell r="B5425" t="str">
            <v>Otras inestabilidades articulares</v>
          </cell>
        </row>
        <row r="5426">
          <cell r="A5426" t="str">
            <v>M25.4</v>
          </cell>
          <cell r="B5426" t="str">
            <v>Derrame articular</v>
          </cell>
        </row>
        <row r="5427">
          <cell r="A5427" t="str">
            <v>M25.5</v>
          </cell>
          <cell r="B5427" t="str">
            <v>Dolor en articulación</v>
          </cell>
        </row>
        <row r="5428">
          <cell r="A5428" t="str">
            <v>M25.6</v>
          </cell>
          <cell r="B5428" t="str">
            <v>Rigidez articular, no clasificada en otra parte</v>
          </cell>
        </row>
        <row r="5429">
          <cell r="A5429" t="str">
            <v>M25.7</v>
          </cell>
          <cell r="B5429" t="str">
            <v>Osteofito</v>
          </cell>
        </row>
        <row r="5430">
          <cell r="A5430" t="str">
            <v>M25.8</v>
          </cell>
          <cell r="B5430" t="str">
            <v>Otros trastornos articulares especificados</v>
          </cell>
        </row>
        <row r="5431">
          <cell r="A5431" t="str">
            <v>M25.9</v>
          </cell>
          <cell r="B5431" t="str">
            <v>Trastorno articular, no especificado</v>
          </cell>
        </row>
        <row r="5432">
          <cell r="A5432" t="str">
            <v>M30</v>
          </cell>
          <cell r="B5432" t="str">
            <v>Poliarteritis nudosa y afecciones relacionadas</v>
          </cell>
        </row>
        <row r="5433">
          <cell r="A5433" t="str">
            <v>M30.0</v>
          </cell>
          <cell r="B5433" t="str">
            <v>Poliarteritis nudosa</v>
          </cell>
        </row>
        <row r="5434">
          <cell r="A5434" t="str">
            <v>M30.1</v>
          </cell>
          <cell r="B5434" t="str">
            <v>Poliarteritis con compromiso pulmonar [Churg-Strauss]</v>
          </cell>
        </row>
        <row r="5435">
          <cell r="A5435" t="str">
            <v>M30.2</v>
          </cell>
          <cell r="B5435" t="str">
            <v>Poliarteritis juvenil</v>
          </cell>
        </row>
        <row r="5436">
          <cell r="A5436" t="str">
            <v>M30.3</v>
          </cell>
          <cell r="B5436" t="str">
            <v>Síndrome mucocutáneo linfonodular [Kawasaki]</v>
          </cell>
        </row>
        <row r="5437">
          <cell r="A5437" t="str">
            <v>M30.8</v>
          </cell>
          <cell r="B5437" t="str">
            <v>Otras afecciones relacionadas con la poliarteritis nudosa</v>
          </cell>
        </row>
        <row r="5438">
          <cell r="A5438" t="str">
            <v>M31</v>
          </cell>
          <cell r="B5438" t="str">
            <v>Otras vasculopatías necrotizantes</v>
          </cell>
        </row>
        <row r="5439">
          <cell r="A5439" t="str">
            <v>M31.0</v>
          </cell>
          <cell r="B5439" t="str">
            <v>Angiítis debida a hipersensibilidad</v>
          </cell>
        </row>
        <row r="5440">
          <cell r="A5440" t="str">
            <v>M31.1</v>
          </cell>
          <cell r="B5440" t="str">
            <v>Microangiopatía trombótica</v>
          </cell>
        </row>
        <row r="5441">
          <cell r="A5441" t="str">
            <v>M31.2</v>
          </cell>
          <cell r="B5441" t="str">
            <v>Granuloma letal de la línea media</v>
          </cell>
        </row>
        <row r="5442">
          <cell r="A5442" t="str">
            <v>M31.3</v>
          </cell>
          <cell r="B5442" t="str">
            <v>Granulomatosis de Wegener</v>
          </cell>
        </row>
        <row r="5443">
          <cell r="A5443" t="str">
            <v>M31.4</v>
          </cell>
          <cell r="B5443" t="str">
            <v>Síndrome del cayado de la aorta [Takayasu]</v>
          </cell>
        </row>
        <row r="5444">
          <cell r="A5444" t="str">
            <v>M31.5</v>
          </cell>
          <cell r="B5444" t="str">
            <v>Arteritis de células gigantes con polimialgia reumática</v>
          </cell>
        </row>
        <row r="5445">
          <cell r="A5445" t="str">
            <v>M31.6</v>
          </cell>
          <cell r="B5445" t="str">
            <v>Otras arteritis de células gigantes</v>
          </cell>
        </row>
        <row r="5446">
          <cell r="A5446" t="str">
            <v>M31.8</v>
          </cell>
          <cell r="B5446" t="str">
            <v>Otras vasculopatías necrotizantes especificadas</v>
          </cell>
        </row>
        <row r="5447">
          <cell r="A5447" t="str">
            <v>M31.9</v>
          </cell>
          <cell r="B5447" t="str">
            <v>Vasculopatía necrotizante, no especificada</v>
          </cell>
        </row>
        <row r="5448">
          <cell r="A5448" t="str">
            <v>M32</v>
          </cell>
          <cell r="B5448" t="str">
            <v>Lupus eritematoso sistémico</v>
          </cell>
        </row>
        <row r="5449">
          <cell r="A5449" t="str">
            <v>M32.0</v>
          </cell>
          <cell r="B5449" t="str">
            <v>Lupus eritematoso sistémico, inducido por drogas</v>
          </cell>
        </row>
        <row r="5450">
          <cell r="A5450" t="str">
            <v>M32.1</v>
          </cell>
          <cell r="B5450" t="str">
            <v>Lupus eritematoso sistémico con compromiso de órganos o sistemas</v>
          </cell>
        </row>
        <row r="5451">
          <cell r="A5451" t="str">
            <v>M32.8</v>
          </cell>
          <cell r="B5451" t="str">
            <v>Otras formas de lupus eritematoso sistémico</v>
          </cell>
        </row>
        <row r="5452">
          <cell r="A5452" t="str">
            <v>M32.9</v>
          </cell>
          <cell r="B5452" t="str">
            <v>Lupus eritematoso sistémico, sin otra especificación</v>
          </cell>
        </row>
        <row r="5453">
          <cell r="A5453" t="str">
            <v>M33</v>
          </cell>
          <cell r="B5453" t="str">
            <v>Dermatopolimiositis</v>
          </cell>
        </row>
        <row r="5454">
          <cell r="A5454" t="str">
            <v>M33.0</v>
          </cell>
          <cell r="B5454" t="str">
            <v>Dermatomiositis juvenil</v>
          </cell>
        </row>
        <row r="5455">
          <cell r="A5455" t="str">
            <v>M33.1</v>
          </cell>
          <cell r="B5455" t="str">
            <v>Otras dermatomiositis</v>
          </cell>
        </row>
        <row r="5456">
          <cell r="A5456" t="str">
            <v>M33.2</v>
          </cell>
          <cell r="B5456" t="str">
            <v>Polimiositis</v>
          </cell>
        </row>
        <row r="5457">
          <cell r="A5457" t="str">
            <v>M33.9</v>
          </cell>
          <cell r="B5457" t="str">
            <v>Dermatopolimiositis, no especificada</v>
          </cell>
        </row>
        <row r="5458">
          <cell r="A5458" t="str">
            <v>M34</v>
          </cell>
          <cell r="B5458" t="str">
            <v>Esclerosis sistémica</v>
          </cell>
        </row>
        <row r="5459">
          <cell r="A5459" t="str">
            <v>M34.0</v>
          </cell>
          <cell r="B5459" t="str">
            <v>Esclerosis sistémica progresiva</v>
          </cell>
        </row>
        <row r="5460">
          <cell r="A5460" t="str">
            <v>M34.1</v>
          </cell>
          <cell r="B5460" t="str">
            <v>Síndrome CR(E)ST</v>
          </cell>
        </row>
        <row r="5461">
          <cell r="A5461" t="str">
            <v>M34.2</v>
          </cell>
          <cell r="B5461" t="str">
            <v>Esclerosis sistémica inducida por drogas o productos químicos</v>
          </cell>
        </row>
        <row r="5462">
          <cell r="A5462" t="str">
            <v>M34.8</v>
          </cell>
          <cell r="B5462" t="str">
            <v>Otras formas de esclerosis sistémica</v>
          </cell>
        </row>
        <row r="5463">
          <cell r="A5463" t="str">
            <v>M34.9</v>
          </cell>
          <cell r="B5463" t="str">
            <v>Esclerosis sistémica, no especificada</v>
          </cell>
        </row>
        <row r="5464">
          <cell r="A5464" t="str">
            <v>M35</v>
          </cell>
          <cell r="B5464" t="str">
            <v>Otro compromiso sistémico del tejido conjuntivo</v>
          </cell>
        </row>
        <row r="5465">
          <cell r="A5465" t="str">
            <v>M35.0</v>
          </cell>
          <cell r="B5465" t="str">
            <v>Síndrome seco [Sj”gren]</v>
          </cell>
        </row>
        <row r="5466">
          <cell r="A5466" t="str">
            <v>M35.1</v>
          </cell>
          <cell r="B5466" t="str">
            <v>Otros síndromes superpuestos</v>
          </cell>
        </row>
        <row r="5467">
          <cell r="A5467" t="str">
            <v>M35.2</v>
          </cell>
          <cell r="B5467" t="str">
            <v>Enfermedad de Beh‡et</v>
          </cell>
        </row>
        <row r="5468">
          <cell r="A5468" t="str">
            <v>M35.3</v>
          </cell>
          <cell r="B5468" t="str">
            <v>Polimialgia reumática</v>
          </cell>
        </row>
        <row r="5469">
          <cell r="A5469" t="str">
            <v>M35.4</v>
          </cell>
          <cell r="B5469" t="str">
            <v>Fascitis difusa (eosinofílica)</v>
          </cell>
        </row>
        <row r="5470">
          <cell r="A5470" t="str">
            <v>M35.5</v>
          </cell>
          <cell r="B5470" t="str">
            <v>Fibrosclerosis multifocal</v>
          </cell>
        </row>
        <row r="5471">
          <cell r="A5471" t="str">
            <v>M35.6</v>
          </cell>
          <cell r="B5471" t="str">
            <v>Paniculitis recidivante [Weber-Christian]</v>
          </cell>
        </row>
        <row r="5472">
          <cell r="A5472" t="str">
            <v>M35.7</v>
          </cell>
          <cell r="B5472" t="str">
            <v>Síndrome de hipermovilidad</v>
          </cell>
        </row>
        <row r="5473">
          <cell r="A5473" t="str">
            <v>M35.8</v>
          </cell>
          <cell r="B5473" t="str">
            <v>Otras enfermedades especificadas con compromiso sistémico del tejido conjuntivo</v>
          </cell>
        </row>
        <row r="5474">
          <cell r="A5474" t="str">
            <v>M35.9</v>
          </cell>
          <cell r="B5474" t="str">
            <v>Compromiso sistémico del tejido conjuntivo, no especificado</v>
          </cell>
        </row>
        <row r="5475">
          <cell r="A5475" t="str">
            <v>M36*</v>
          </cell>
          <cell r="B5475" t="str">
            <v>Trastornos sistémicos del tejido conjuntivo en enfermedades clasificadas en otra parte</v>
          </cell>
        </row>
        <row r="5476">
          <cell r="A5476" t="str">
            <v>M36.0*</v>
          </cell>
          <cell r="B5476" t="str">
            <v>Dermato(poli)miositis en enfermedad neoplásica (C00-D48+)</v>
          </cell>
        </row>
        <row r="5477">
          <cell r="A5477" t="str">
            <v>M36.1*</v>
          </cell>
          <cell r="B5477" t="str">
            <v>Artropatía en enfermedad neoplásica (C00-D48+)</v>
          </cell>
        </row>
        <row r="5478">
          <cell r="A5478" t="str">
            <v>M36.2*</v>
          </cell>
          <cell r="B5478" t="str">
            <v>Artropatía hemofílica (D66-D68+)</v>
          </cell>
        </row>
        <row r="5479">
          <cell r="A5479" t="str">
            <v>M36.3*</v>
          </cell>
          <cell r="B5479" t="str">
            <v>Artropatía en otros trastornos de la sangre (D50-D76+)</v>
          </cell>
        </row>
        <row r="5480">
          <cell r="A5480" t="str">
            <v>M36.4*</v>
          </cell>
          <cell r="B5480" t="str">
            <v>Artropatía en reacciones de hipersensibilidad clasificadas en otra parte</v>
          </cell>
        </row>
        <row r="5481">
          <cell r="A5481" t="str">
            <v>M36.8*</v>
          </cell>
          <cell r="B5481" t="str">
            <v>Trastornos sistémicos del tejido conjuntivo en otras enfermedades clasificadas en otra parte</v>
          </cell>
        </row>
        <row r="5482">
          <cell r="A5482" t="str">
            <v>M40</v>
          </cell>
          <cell r="B5482" t="str">
            <v>Cifosis y lordosis</v>
          </cell>
        </row>
        <row r="5483">
          <cell r="A5483" t="str">
            <v>M40.0</v>
          </cell>
          <cell r="B5483" t="str">
            <v>Cifosis postural</v>
          </cell>
        </row>
        <row r="5484">
          <cell r="A5484" t="str">
            <v>M40.1</v>
          </cell>
          <cell r="B5484" t="str">
            <v>Otras cifosis secundarias</v>
          </cell>
        </row>
        <row r="5485">
          <cell r="A5485" t="str">
            <v>M40.2</v>
          </cell>
          <cell r="B5485" t="str">
            <v>Otras cifosis y las no especificadas</v>
          </cell>
        </row>
        <row r="5486">
          <cell r="A5486" t="str">
            <v>M40.3</v>
          </cell>
          <cell r="B5486" t="str">
            <v>Síndrome de espalda plana</v>
          </cell>
        </row>
        <row r="5487">
          <cell r="A5487" t="str">
            <v>M40.4</v>
          </cell>
          <cell r="B5487" t="str">
            <v>Otras lordosis</v>
          </cell>
        </row>
        <row r="5488">
          <cell r="A5488" t="str">
            <v>M40.5</v>
          </cell>
          <cell r="B5488" t="str">
            <v>Lordosis, no especificda</v>
          </cell>
        </row>
        <row r="5489">
          <cell r="A5489" t="str">
            <v>M41</v>
          </cell>
          <cell r="B5489" t="str">
            <v>Escoliosis</v>
          </cell>
        </row>
        <row r="5490">
          <cell r="A5490" t="str">
            <v>M41.0</v>
          </cell>
          <cell r="B5490" t="str">
            <v>Escoliosis idiopática infantil</v>
          </cell>
        </row>
        <row r="5491">
          <cell r="A5491" t="str">
            <v>M41.1</v>
          </cell>
          <cell r="B5491" t="str">
            <v>Escoliosis idiopática juvenil</v>
          </cell>
        </row>
        <row r="5492">
          <cell r="A5492" t="str">
            <v>M41.2</v>
          </cell>
          <cell r="B5492" t="str">
            <v>Otras escoliosis idiopáticas</v>
          </cell>
        </row>
        <row r="5493">
          <cell r="A5493" t="str">
            <v>M41.3</v>
          </cell>
          <cell r="B5493" t="str">
            <v>Escoliosis toracogénica</v>
          </cell>
        </row>
        <row r="5494">
          <cell r="A5494" t="str">
            <v>M41.4</v>
          </cell>
          <cell r="B5494" t="str">
            <v>Escoliosis neuromuscular</v>
          </cell>
        </row>
        <row r="5495">
          <cell r="A5495" t="str">
            <v>M41.5</v>
          </cell>
          <cell r="B5495" t="str">
            <v>Otras escoliosis secundarias</v>
          </cell>
        </row>
        <row r="5496">
          <cell r="A5496" t="str">
            <v>M41.8</v>
          </cell>
          <cell r="B5496" t="str">
            <v>Otras formas de escoliosis</v>
          </cell>
        </row>
        <row r="5497">
          <cell r="A5497" t="str">
            <v>M41.9</v>
          </cell>
          <cell r="B5497" t="str">
            <v>Escoliosis, no especificada</v>
          </cell>
        </row>
        <row r="5498">
          <cell r="A5498" t="str">
            <v>M42</v>
          </cell>
          <cell r="B5498" t="str">
            <v>Osteocondrosis de la columna vertebral</v>
          </cell>
        </row>
        <row r="5499">
          <cell r="A5499" t="str">
            <v>M42.0</v>
          </cell>
          <cell r="B5499" t="str">
            <v>Osteocondrosis juvenil de la columna vertebral</v>
          </cell>
        </row>
        <row r="5500">
          <cell r="A5500" t="str">
            <v>M42.1</v>
          </cell>
          <cell r="B5500" t="str">
            <v>Osteocondrosis de la columna vertebral del adulto</v>
          </cell>
        </row>
        <row r="5501">
          <cell r="A5501" t="str">
            <v>M42.9</v>
          </cell>
          <cell r="B5501" t="str">
            <v>Osteocondrosis vertebral, no especificada</v>
          </cell>
        </row>
        <row r="5502">
          <cell r="A5502" t="str">
            <v>M43</v>
          </cell>
          <cell r="B5502" t="str">
            <v>Otras dorsopatías deformantes</v>
          </cell>
        </row>
        <row r="5503">
          <cell r="A5503" t="str">
            <v>M43.0</v>
          </cell>
          <cell r="B5503" t="str">
            <v>Espondilólisis</v>
          </cell>
        </row>
        <row r="5504">
          <cell r="A5504" t="str">
            <v>M43.1</v>
          </cell>
          <cell r="B5504" t="str">
            <v>Espondilolistesis</v>
          </cell>
        </row>
        <row r="5505">
          <cell r="A5505" t="str">
            <v>M43.2</v>
          </cell>
          <cell r="B5505" t="str">
            <v>Otras fusiones de la columna vertebral</v>
          </cell>
        </row>
        <row r="5506">
          <cell r="A5506" t="str">
            <v>M43.3</v>
          </cell>
          <cell r="B5506" t="str">
            <v>Subluxación atlanto-axoidea recurrente, con mielopatía</v>
          </cell>
        </row>
        <row r="5507">
          <cell r="A5507" t="str">
            <v>M43.4</v>
          </cell>
          <cell r="B5507" t="str">
            <v>Otras subluxaciones atlanto-axoideas recurrentes</v>
          </cell>
        </row>
        <row r="5508">
          <cell r="A5508" t="str">
            <v>M43.5</v>
          </cell>
          <cell r="B5508" t="str">
            <v>Otras subluxaciones vertebrales recurrentes</v>
          </cell>
        </row>
        <row r="5509">
          <cell r="A5509" t="str">
            <v>M43.6</v>
          </cell>
          <cell r="B5509" t="str">
            <v>Tortícolis</v>
          </cell>
        </row>
        <row r="5510">
          <cell r="A5510" t="str">
            <v>M43.8</v>
          </cell>
          <cell r="B5510" t="str">
            <v>Otras dorsopatías deformantes de la columna vertebral especificadas</v>
          </cell>
        </row>
        <row r="5511">
          <cell r="A5511" t="str">
            <v>M43.9</v>
          </cell>
          <cell r="B5511" t="str">
            <v>Dorsopatía deformante, no especificada</v>
          </cell>
        </row>
        <row r="5512">
          <cell r="A5512" t="str">
            <v>M45.X</v>
          </cell>
          <cell r="B5512" t="str">
            <v>Espondilitis anquilosante</v>
          </cell>
        </row>
        <row r="5513">
          <cell r="A5513" t="str">
            <v>M46</v>
          </cell>
          <cell r="B5513" t="str">
            <v>Otras espondilopatías inflamatorias</v>
          </cell>
        </row>
        <row r="5514">
          <cell r="A5514" t="str">
            <v>M46.0</v>
          </cell>
          <cell r="B5514" t="str">
            <v>Entesopatía vertebral</v>
          </cell>
        </row>
        <row r="5515">
          <cell r="A5515" t="str">
            <v>M46.1</v>
          </cell>
          <cell r="B5515" t="str">
            <v>Sacroiliítis, no clasificada en otra parte</v>
          </cell>
        </row>
        <row r="5516">
          <cell r="A5516" t="str">
            <v>M46.2</v>
          </cell>
          <cell r="B5516" t="str">
            <v>Osteomielitis de vértebra</v>
          </cell>
        </row>
        <row r="5517">
          <cell r="A5517" t="str">
            <v>M46.3</v>
          </cell>
          <cell r="B5517" t="str">
            <v>Infección de disco intervertebral (piógena)</v>
          </cell>
        </row>
        <row r="5518">
          <cell r="A5518" t="str">
            <v>M46.4</v>
          </cell>
          <cell r="B5518" t="str">
            <v>Discitis, no especificada</v>
          </cell>
        </row>
        <row r="5519">
          <cell r="A5519" t="str">
            <v>M46.5</v>
          </cell>
          <cell r="B5519" t="str">
            <v>Otras espondilopatías infecciosas</v>
          </cell>
        </row>
        <row r="5520">
          <cell r="A5520" t="str">
            <v>M46.8</v>
          </cell>
          <cell r="B5520" t="str">
            <v>Otras espondilopatías inflamatorias especificadas</v>
          </cell>
        </row>
        <row r="5521">
          <cell r="A5521" t="str">
            <v>M46.9</v>
          </cell>
          <cell r="B5521" t="str">
            <v>Espondilopatía inflamatoria, no especificada</v>
          </cell>
        </row>
        <row r="5522">
          <cell r="A5522" t="str">
            <v>M47</v>
          </cell>
          <cell r="B5522" t="str">
            <v>Espondilosis</v>
          </cell>
        </row>
        <row r="5523">
          <cell r="A5523" t="str">
            <v>M47.0</v>
          </cell>
          <cell r="B5523" t="str">
            <v>Síndromes de compresión de la arteria espinal o vertebral anterior (G99.2*)</v>
          </cell>
        </row>
        <row r="5524">
          <cell r="A5524" t="str">
            <v>M47.1</v>
          </cell>
          <cell r="B5524" t="str">
            <v>Otras espondilosis con mielopatía</v>
          </cell>
        </row>
        <row r="5525">
          <cell r="A5525" t="str">
            <v>M47.2</v>
          </cell>
          <cell r="B5525" t="str">
            <v>Otras espondilosis con radiculopatía</v>
          </cell>
        </row>
        <row r="5526">
          <cell r="A5526" t="str">
            <v>M47.8</v>
          </cell>
          <cell r="B5526" t="str">
            <v>Otras espondilosis</v>
          </cell>
        </row>
        <row r="5527">
          <cell r="A5527" t="str">
            <v>M47.9</v>
          </cell>
          <cell r="B5527" t="str">
            <v>Espondilosis, no especificada</v>
          </cell>
        </row>
        <row r="5528">
          <cell r="A5528" t="str">
            <v>M48</v>
          </cell>
          <cell r="B5528" t="str">
            <v>Otras espondilopatías</v>
          </cell>
        </row>
        <row r="5529">
          <cell r="A5529" t="str">
            <v>M48.0</v>
          </cell>
          <cell r="B5529" t="str">
            <v>Estenosis espinal</v>
          </cell>
        </row>
        <row r="5530">
          <cell r="A5530" t="str">
            <v>M48.1</v>
          </cell>
          <cell r="B5530" t="str">
            <v>Hiperostosis anquilosante [Forestier]</v>
          </cell>
        </row>
        <row r="5531">
          <cell r="A5531" t="str">
            <v>M48.2</v>
          </cell>
          <cell r="B5531" t="str">
            <v>Espondilopatía interespinosa (vértebras</v>
          </cell>
        </row>
        <row r="5532">
          <cell r="A5532" t="str">
            <v>M48.3</v>
          </cell>
          <cell r="B5532" t="str">
            <v>Espondilopatía traumática</v>
          </cell>
        </row>
        <row r="5533">
          <cell r="A5533" t="str">
            <v>M48.4</v>
          </cell>
          <cell r="B5533" t="str">
            <v>Fractura de vértebra por fatiga</v>
          </cell>
        </row>
        <row r="5534">
          <cell r="A5534" t="str">
            <v>M48.5</v>
          </cell>
          <cell r="B5534" t="str">
            <v>Vértebra colapsada, no clasificada en otra parte</v>
          </cell>
        </row>
        <row r="5535">
          <cell r="A5535" t="str">
            <v>M48.8</v>
          </cell>
          <cell r="B5535" t="str">
            <v>Otras espondilopatías especificadas</v>
          </cell>
        </row>
        <row r="5536">
          <cell r="A5536" t="str">
            <v>M48.9</v>
          </cell>
          <cell r="B5536" t="str">
            <v>Espondilopatía, no especificada</v>
          </cell>
        </row>
        <row r="5537">
          <cell r="A5537" t="str">
            <v>M49*</v>
          </cell>
          <cell r="B5537" t="str">
            <v>Espondilopatías en enfermedades clasificadas en otra parte</v>
          </cell>
        </row>
        <row r="5538">
          <cell r="A5538" t="str">
            <v>M49.0*</v>
          </cell>
          <cell r="B5538" t="str">
            <v>Tuberculosis de la columna vertebral (A18.0+)</v>
          </cell>
        </row>
        <row r="5539">
          <cell r="A5539" t="str">
            <v>M49.1*</v>
          </cell>
          <cell r="B5539" t="str">
            <v>Espondilitis por brucelosis (A23.-+)</v>
          </cell>
        </row>
        <row r="5540">
          <cell r="A5540" t="str">
            <v>M49.2*</v>
          </cell>
          <cell r="B5540" t="str">
            <v>Espondilitis por enterobacterias (A01-A04+)</v>
          </cell>
        </row>
        <row r="5541">
          <cell r="A5541" t="str">
            <v>M49.3*</v>
          </cell>
          <cell r="B5541" t="str">
            <v>Espondilopatía en otras enfermedades infecciosas y parasitarias clasificadas en otra parte</v>
          </cell>
        </row>
        <row r="5542">
          <cell r="A5542" t="str">
            <v>M49.4*</v>
          </cell>
          <cell r="B5542" t="str">
            <v>Espondilopatía neuropática</v>
          </cell>
        </row>
        <row r="5543">
          <cell r="A5543" t="str">
            <v>M49.5*</v>
          </cell>
          <cell r="B5543" t="str">
            <v>Vértebra colapsada en enfermedades clasificadas en otra parte</v>
          </cell>
        </row>
        <row r="5544">
          <cell r="A5544" t="str">
            <v>M49.8*</v>
          </cell>
          <cell r="B5544" t="str">
            <v>Espondilopatía en otras enfermedades clasificadas en otra parte</v>
          </cell>
        </row>
        <row r="5545">
          <cell r="A5545" t="str">
            <v>M50</v>
          </cell>
          <cell r="B5545" t="str">
            <v>Trastornos de disco cervical</v>
          </cell>
        </row>
        <row r="5546">
          <cell r="A5546" t="str">
            <v>M50.0</v>
          </cell>
          <cell r="B5546" t="str">
            <v>Trastorno de disco cervical con mielopatía (G99.2*)</v>
          </cell>
        </row>
        <row r="5547">
          <cell r="A5547" t="str">
            <v>M50.1</v>
          </cell>
          <cell r="B5547" t="str">
            <v>Trastorno de disco cervical con radiculopatía</v>
          </cell>
        </row>
        <row r="5548">
          <cell r="A5548" t="str">
            <v>M50.2</v>
          </cell>
          <cell r="B5548" t="str">
            <v>Otros desplazamientos de disco cervical</v>
          </cell>
        </row>
        <row r="5549">
          <cell r="A5549" t="str">
            <v>M50.3</v>
          </cell>
          <cell r="B5549" t="str">
            <v>Otras degeneraciones de disco cervical</v>
          </cell>
        </row>
        <row r="5550">
          <cell r="A5550" t="str">
            <v>M50.8</v>
          </cell>
          <cell r="B5550" t="str">
            <v>Otros trastornos de disco cervical</v>
          </cell>
        </row>
        <row r="5551">
          <cell r="A5551" t="str">
            <v>M50.9</v>
          </cell>
          <cell r="B5551" t="str">
            <v>Trastorno de disco cervical, no especificado</v>
          </cell>
        </row>
        <row r="5552">
          <cell r="A5552" t="str">
            <v>M51</v>
          </cell>
          <cell r="B5552" t="str">
            <v>Otros trastornos de los discos intervertebrales</v>
          </cell>
        </row>
        <row r="5553">
          <cell r="A5553" t="str">
            <v>M51.0</v>
          </cell>
          <cell r="B5553" t="str">
            <v>Trastornos de discos intervertebrales lumbares y otros, con mielopatía (G99.2*)</v>
          </cell>
        </row>
        <row r="5554">
          <cell r="A5554" t="str">
            <v>M51.1</v>
          </cell>
          <cell r="B5554" t="str">
            <v>Trastornos de disco lumbar y otros, con radiculopatía</v>
          </cell>
        </row>
        <row r="5555">
          <cell r="A5555" t="str">
            <v>M51.2</v>
          </cell>
          <cell r="B5555" t="str">
            <v>Otros desplazamientos especificados de disco intervertebral</v>
          </cell>
        </row>
        <row r="5556">
          <cell r="A5556" t="str">
            <v>M51.3</v>
          </cell>
          <cell r="B5556" t="str">
            <v>Otras degeneraciones especificadas de disco intervertebral</v>
          </cell>
        </row>
        <row r="5557">
          <cell r="A5557" t="str">
            <v>M51.4</v>
          </cell>
          <cell r="B5557" t="str">
            <v>Nódulos de Schmorl</v>
          </cell>
        </row>
        <row r="5558">
          <cell r="A5558" t="str">
            <v>M51.8</v>
          </cell>
          <cell r="B5558" t="str">
            <v>Otros trastornos especificados de los discos intervertebrales</v>
          </cell>
        </row>
        <row r="5559">
          <cell r="A5559" t="str">
            <v>M51.9</v>
          </cell>
          <cell r="B5559" t="str">
            <v>Trastorno de los discos intervertebrales, no especificado</v>
          </cell>
        </row>
        <row r="5560">
          <cell r="A5560" t="str">
            <v>M53</v>
          </cell>
          <cell r="B5560" t="str">
            <v>Otras dorsopatías, no clasificadas en otra parte</v>
          </cell>
        </row>
        <row r="5561">
          <cell r="A5561" t="str">
            <v>M53.0</v>
          </cell>
          <cell r="B5561" t="str">
            <v>Síndrome cervicocraneal</v>
          </cell>
        </row>
        <row r="5562">
          <cell r="A5562" t="str">
            <v>M53.1</v>
          </cell>
          <cell r="B5562" t="str">
            <v>Síndrome cervicobraquial</v>
          </cell>
        </row>
        <row r="5563">
          <cell r="A5563" t="str">
            <v>M53.2</v>
          </cell>
          <cell r="B5563" t="str">
            <v>Inestabilidad de la columna vertebral</v>
          </cell>
        </row>
        <row r="5564">
          <cell r="A5564" t="str">
            <v>M53.3</v>
          </cell>
          <cell r="B5564" t="str">
            <v>Trastornos sacrococcígeos, no clasificados en otra parte</v>
          </cell>
        </row>
        <row r="5565">
          <cell r="A5565" t="str">
            <v>M53.8</v>
          </cell>
          <cell r="B5565" t="str">
            <v>Otras dorsopatías especificadas</v>
          </cell>
        </row>
        <row r="5566">
          <cell r="A5566" t="str">
            <v>M53.9</v>
          </cell>
          <cell r="B5566" t="str">
            <v>Dorsopatía, no especificada</v>
          </cell>
        </row>
        <row r="5567">
          <cell r="A5567" t="str">
            <v>M54</v>
          </cell>
          <cell r="B5567" t="str">
            <v>Dorsalgia</v>
          </cell>
        </row>
        <row r="5568">
          <cell r="A5568" t="str">
            <v>M54.0</v>
          </cell>
          <cell r="B5568" t="str">
            <v>Paniculitis que afecta regiones del cuello y de la espalda</v>
          </cell>
        </row>
        <row r="5569">
          <cell r="A5569" t="str">
            <v>M54.1</v>
          </cell>
          <cell r="B5569" t="str">
            <v>Radiculopatía</v>
          </cell>
        </row>
        <row r="5570">
          <cell r="A5570" t="str">
            <v>M54.2</v>
          </cell>
          <cell r="B5570" t="str">
            <v>Cervicalgia</v>
          </cell>
        </row>
        <row r="5571">
          <cell r="A5571" t="str">
            <v>M54.3</v>
          </cell>
          <cell r="B5571" t="str">
            <v>Ciática</v>
          </cell>
        </row>
        <row r="5572">
          <cell r="A5572" t="str">
            <v>M54.4</v>
          </cell>
          <cell r="B5572" t="str">
            <v>Lumbago con ciática</v>
          </cell>
        </row>
        <row r="5573">
          <cell r="A5573" t="str">
            <v>M54.5</v>
          </cell>
          <cell r="B5573" t="str">
            <v>Lumbago no especificado</v>
          </cell>
        </row>
        <row r="5574">
          <cell r="A5574" t="str">
            <v>M54.6</v>
          </cell>
          <cell r="B5574" t="str">
            <v>Dolor en la columna dorsal</v>
          </cell>
        </row>
        <row r="5575">
          <cell r="A5575" t="str">
            <v>M54.8</v>
          </cell>
          <cell r="B5575" t="str">
            <v>Otras dorsalgias</v>
          </cell>
        </row>
        <row r="5576">
          <cell r="A5576" t="str">
            <v>M54.9</v>
          </cell>
          <cell r="B5576" t="str">
            <v>Dorsalgia, no especificada</v>
          </cell>
        </row>
        <row r="5577">
          <cell r="A5577" t="str">
            <v>M60</v>
          </cell>
          <cell r="B5577" t="str">
            <v>Miositis</v>
          </cell>
        </row>
        <row r="5578">
          <cell r="A5578" t="str">
            <v>M60.0</v>
          </cell>
          <cell r="B5578" t="str">
            <v>Miositis infecciosa</v>
          </cell>
        </row>
        <row r="5579">
          <cell r="A5579" t="str">
            <v>M60.1</v>
          </cell>
          <cell r="B5579" t="str">
            <v>Miositis intersticial</v>
          </cell>
        </row>
        <row r="5580">
          <cell r="A5580" t="str">
            <v>M60.2</v>
          </cell>
          <cell r="B5580" t="str">
            <v>Granuloma por cuerpo extraño en tejido blando, no clasificado en otra parte</v>
          </cell>
        </row>
        <row r="5581">
          <cell r="A5581" t="str">
            <v>M60.8</v>
          </cell>
          <cell r="B5581" t="str">
            <v>Otras miositis</v>
          </cell>
        </row>
        <row r="5582">
          <cell r="A5582" t="str">
            <v>M60.9</v>
          </cell>
          <cell r="B5582" t="str">
            <v>Miositis, no especificada</v>
          </cell>
        </row>
        <row r="5583">
          <cell r="A5583" t="str">
            <v>M61</v>
          </cell>
          <cell r="B5583" t="str">
            <v>Calcificación y osificación del músculo</v>
          </cell>
        </row>
        <row r="5584">
          <cell r="A5584" t="str">
            <v>M61.0</v>
          </cell>
          <cell r="B5584" t="str">
            <v>Miositis osificante traumática</v>
          </cell>
        </row>
        <row r="5585">
          <cell r="A5585" t="str">
            <v>M61.1</v>
          </cell>
          <cell r="B5585" t="str">
            <v>Miositis osificante progresiva</v>
          </cell>
        </row>
        <row r="5586">
          <cell r="A5586" t="str">
            <v>M61.2</v>
          </cell>
          <cell r="B5586" t="str">
            <v>Calcificación y osificación paralítica del músculo</v>
          </cell>
        </row>
        <row r="5587">
          <cell r="A5587" t="str">
            <v>M61.3</v>
          </cell>
          <cell r="B5587" t="str">
            <v>Calcificación y osificación de los músculos asociadas con quemaduras</v>
          </cell>
        </row>
        <row r="5588">
          <cell r="A5588" t="str">
            <v>M61.4</v>
          </cell>
          <cell r="B5588" t="str">
            <v>Otras calcificaciones del músculo</v>
          </cell>
        </row>
        <row r="5589">
          <cell r="A5589" t="str">
            <v>M61.5</v>
          </cell>
          <cell r="B5589" t="str">
            <v>Otras osificaciones del músculo</v>
          </cell>
        </row>
        <row r="5590">
          <cell r="A5590" t="str">
            <v>M61.9</v>
          </cell>
          <cell r="B5590" t="str">
            <v>Calcificación y osificación del músculo, no especificada</v>
          </cell>
        </row>
        <row r="5591">
          <cell r="A5591" t="str">
            <v>M62</v>
          </cell>
          <cell r="B5591" t="str">
            <v>Otros trastornos de los músculos</v>
          </cell>
        </row>
        <row r="5592">
          <cell r="A5592" t="str">
            <v>M62.0</v>
          </cell>
          <cell r="B5592" t="str">
            <v>Diástasis del músculo</v>
          </cell>
        </row>
        <row r="5593">
          <cell r="A5593" t="str">
            <v>M62.1</v>
          </cell>
          <cell r="B5593" t="str">
            <v>Otros desgarros (no traumáticos) del músculo</v>
          </cell>
        </row>
        <row r="5594">
          <cell r="A5594" t="str">
            <v>M62.2</v>
          </cell>
          <cell r="B5594" t="str">
            <v>Infarto isquémico del músculo</v>
          </cell>
        </row>
        <row r="5595">
          <cell r="A5595" t="str">
            <v>M62.3</v>
          </cell>
          <cell r="B5595" t="str">
            <v>Síndrome de inmovilidad (parapléjico)</v>
          </cell>
        </row>
        <row r="5596">
          <cell r="A5596" t="str">
            <v>M62.4</v>
          </cell>
          <cell r="B5596" t="str">
            <v>Contractura muscular</v>
          </cell>
        </row>
        <row r="5597">
          <cell r="A5597" t="str">
            <v>M62.5</v>
          </cell>
          <cell r="B5597" t="str">
            <v>Atrofia y desgaste musculares, no clasificados en otra parte</v>
          </cell>
        </row>
        <row r="5598">
          <cell r="A5598" t="str">
            <v>M62.6</v>
          </cell>
          <cell r="B5598" t="str">
            <v>Distensión muscular</v>
          </cell>
        </row>
        <row r="5599">
          <cell r="A5599" t="str">
            <v>M62.8</v>
          </cell>
          <cell r="B5599" t="str">
            <v>Otros trastornos especificados de los músculos</v>
          </cell>
        </row>
        <row r="5600">
          <cell r="A5600" t="str">
            <v>M62.9</v>
          </cell>
          <cell r="B5600" t="str">
            <v>Trastorno muscular, no especificado</v>
          </cell>
        </row>
        <row r="5601">
          <cell r="A5601" t="str">
            <v>M63*</v>
          </cell>
          <cell r="B5601" t="str">
            <v>Trastornos de los músculos en enfermedades clasificadas en otra parte</v>
          </cell>
        </row>
        <row r="5602">
          <cell r="A5602" t="str">
            <v>M63.0*</v>
          </cell>
          <cell r="B5602" t="str">
            <v>Miositis en enfermedades bacterianas clasificadas en otra parte</v>
          </cell>
        </row>
        <row r="5603">
          <cell r="A5603" t="str">
            <v>M63.1*</v>
          </cell>
          <cell r="B5603" t="str">
            <v>Miositis en infecciones por protozoarios y parásitos clasificadas en otra parte</v>
          </cell>
        </row>
        <row r="5604">
          <cell r="A5604" t="str">
            <v>M63.2*</v>
          </cell>
          <cell r="B5604" t="str">
            <v>Miositis en otras enfermedades infecciosas clasificadas en otra parte</v>
          </cell>
        </row>
        <row r="5605">
          <cell r="A5605" t="str">
            <v>M63.3*</v>
          </cell>
          <cell r="B5605" t="str">
            <v>Miositis en sarcoidosis (D86.8+)</v>
          </cell>
        </row>
        <row r="5606">
          <cell r="A5606" t="str">
            <v>M63.8*</v>
          </cell>
          <cell r="B5606" t="str">
            <v>Otros trastornos de los músculos en enfermedades clasificadas en otra parte</v>
          </cell>
        </row>
        <row r="5607">
          <cell r="A5607" t="str">
            <v>M65</v>
          </cell>
          <cell r="B5607" t="str">
            <v>Sinovitis y tenosinovitis</v>
          </cell>
        </row>
        <row r="5608">
          <cell r="A5608" t="str">
            <v>M65.0</v>
          </cell>
          <cell r="B5608" t="str">
            <v>Absceso de vaina tendinosa</v>
          </cell>
        </row>
        <row r="5609">
          <cell r="A5609" t="str">
            <v>M65.1</v>
          </cell>
          <cell r="B5609" t="str">
            <v>Otras (teno)sinovitis infecciosas</v>
          </cell>
        </row>
        <row r="5610">
          <cell r="A5610" t="str">
            <v>M65.2</v>
          </cell>
          <cell r="B5610" t="str">
            <v>Tendinitis calcificada</v>
          </cell>
        </row>
        <row r="5611">
          <cell r="A5611" t="str">
            <v>M65.3</v>
          </cell>
          <cell r="B5611" t="str">
            <v>Dedo en gatillo</v>
          </cell>
        </row>
        <row r="5612">
          <cell r="A5612" t="str">
            <v>M65.4</v>
          </cell>
          <cell r="B5612" t="str">
            <v>Tenosinovitis de estiloides radial [de Quervain]</v>
          </cell>
        </row>
        <row r="5613">
          <cell r="A5613" t="str">
            <v>M65.8</v>
          </cell>
          <cell r="B5613" t="str">
            <v>Otras sinovitis y tenosinovitis</v>
          </cell>
        </row>
        <row r="5614">
          <cell r="A5614" t="str">
            <v>M65.9</v>
          </cell>
          <cell r="B5614" t="str">
            <v>Sinovitis y tenosinovitis, no especificada</v>
          </cell>
        </row>
        <row r="5615">
          <cell r="A5615" t="str">
            <v>M66</v>
          </cell>
          <cell r="B5615" t="str">
            <v>Ruptura espontánea de la sinovia y del tendón</v>
          </cell>
        </row>
        <row r="5616">
          <cell r="A5616" t="str">
            <v>M66.0</v>
          </cell>
          <cell r="B5616" t="str">
            <v>Ruptura de quiste sinovial poplíteo</v>
          </cell>
        </row>
        <row r="5617">
          <cell r="A5617" t="str">
            <v>M66.1</v>
          </cell>
          <cell r="B5617" t="str">
            <v>Ruptura de la sinovia</v>
          </cell>
        </row>
        <row r="5618">
          <cell r="A5618" t="str">
            <v>M66.2</v>
          </cell>
          <cell r="B5618" t="str">
            <v>Ruptura espontánea de tendones extensores</v>
          </cell>
        </row>
        <row r="5619">
          <cell r="A5619" t="str">
            <v>M66.3</v>
          </cell>
          <cell r="B5619" t="str">
            <v>Ruptura espontánea de tendones flexores</v>
          </cell>
        </row>
        <row r="5620">
          <cell r="A5620" t="str">
            <v>M66.4</v>
          </cell>
          <cell r="B5620" t="str">
            <v>Ruptura espontánea de otros tendones</v>
          </cell>
        </row>
        <row r="5621">
          <cell r="A5621" t="str">
            <v>M66.5</v>
          </cell>
          <cell r="B5621" t="str">
            <v>Ruptura espontánea de tendón no especificado</v>
          </cell>
        </row>
        <row r="5622">
          <cell r="A5622" t="str">
            <v>M67</v>
          </cell>
          <cell r="B5622" t="str">
            <v>Otros trastornos de la sinovia y del tendón</v>
          </cell>
        </row>
        <row r="5623">
          <cell r="A5623" t="str">
            <v>M67.0</v>
          </cell>
          <cell r="B5623" t="str">
            <v>Acortamiento del tendón de Aquiles (adquirido)</v>
          </cell>
        </row>
        <row r="5624">
          <cell r="A5624" t="str">
            <v>M67.1</v>
          </cell>
          <cell r="B5624" t="str">
            <v>Otras contracturas de tendón (vaina)</v>
          </cell>
        </row>
        <row r="5625">
          <cell r="A5625" t="str">
            <v>M67.2</v>
          </cell>
          <cell r="B5625" t="str">
            <v>Hipertrofia sinovial, no clasificada en otra parte</v>
          </cell>
        </row>
        <row r="5626">
          <cell r="A5626" t="str">
            <v>M67.3</v>
          </cell>
          <cell r="B5626" t="str">
            <v>Sinovitis transitoria</v>
          </cell>
        </row>
        <row r="5627">
          <cell r="A5627" t="str">
            <v>M67.4</v>
          </cell>
          <cell r="B5627" t="str">
            <v>Ganglión</v>
          </cell>
        </row>
        <row r="5628">
          <cell r="A5628" t="str">
            <v>M67.8</v>
          </cell>
          <cell r="B5628" t="str">
            <v>Otros trastornos especificados de la sinovia y del tendón</v>
          </cell>
        </row>
        <row r="5629">
          <cell r="A5629" t="str">
            <v>M67.9</v>
          </cell>
          <cell r="B5629" t="str">
            <v>Trastorno sinovial y tendinoso, no especificado</v>
          </cell>
        </row>
        <row r="5630">
          <cell r="A5630" t="str">
            <v>M68*</v>
          </cell>
          <cell r="B5630" t="str">
            <v>Trastornos de los tendones y de la sinovia en enfermedades clasificadas en  otra parte</v>
          </cell>
        </row>
        <row r="5631">
          <cell r="A5631" t="str">
            <v>M68.0*</v>
          </cell>
          <cell r="B5631" t="str">
            <v>Sinovitis y tenosinovitis en enfermedades bacterianas clasificadas en otra parte</v>
          </cell>
        </row>
        <row r="5632">
          <cell r="A5632" t="str">
            <v>M68.8*</v>
          </cell>
          <cell r="B5632" t="str">
            <v>Otros trastornos sinoviales y tendinosos en enfermedades clasificadas en otra parte</v>
          </cell>
        </row>
        <row r="5633">
          <cell r="A5633" t="str">
            <v>M70</v>
          </cell>
          <cell r="B5633" t="str">
            <v>Trastornos de los tejidos blandos relacionados con el uso, el uso excesivo y la presión</v>
          </cell>
        </row>
        <row r="5634">
          <cell r="A5634" t="str">
            <v>M70.0</v>
          </cell>
          <cell r="B5634" t="str">
            <v>Sinovitis crepitante crónica de la mano y de la muñeca</v>
          </cell>
        </row>
        <row r="5635">
          <cell r="A5635" t="str">
            <v>M70.1</v>
          </cell>
          <cell r="B5635" t="str">
            <v>Bursitis de la mano</v>
          </cell>
        </row>
        <row r="5636">
          <cell r="A5636" t="str">
            <v>M70.2</v>
          </cell>
          <cell r="B5636" t="str">
            <v>Bursitis del olécranon</v>
          </cell>
        </row>
        <row r="5637">
          <cell r="A5637" t="str">
            <v>M70.3</v>
          </cell>
          <cell r="B5637" t="str">
            <v>Otras bursitis del codo</v>
          </cell>
        </row>
        <row r="5638">
          <cell r="A5638" t="str">
            <v>M70.4</v>
          </cell>
          <cell r="B5638" t="str">
            <v>Otras bursitis prerrotulianas</v>
          </cell>
        </row>
        <row r="5639">
          <cell r="A5639" t="str">
            <v>M70.5</v>
          </cell>
          <cell r="B5639" t="str">
            <v>Otras bursitis de la rodilla</v>
          </cell>
        </row>
        <row r="5640">
          <cell r="A5640" t="str">
            <v>M70.6</v>
          </cell>
          <cell r="B5640" t="str">
            <v>Bursitis del trocánter</v>
          </cell>
        </row>
        <row r="5641">
          <cell r="A5641" t="str">
            <v>M70.7</v>
          </cell>
          <cell r="B5641" t="str">
            <v>Otras bursitis de la cadera</v>
          </cell>
        </row>
        <row r="5642">
          <cell r="A5642" t="str">
            <v>M70.8</v>
          </cell>
          <cell r="B5642" t="str">
            <v>Otros trastornos de los tejidos blandos relacionados con el uso, el uso excesivo y la presión</v>
          </cell>
        </row>
        <row r="5643">
          <cell r="A5643" t="str">
            <v>M70.9</v>
          </cell>
          <cell r="B5643" t="str">
            <v>Trastorno no especificado de los tejidos blandos relacionado con el uso, el uso excesivo y la presión</v>
          </cell>
        </row>
        <row r="5644">
          <cell r="A5644" t="str">
            <v>M71</v>
          </cell>
          <cell r="B5644" t="str">
            <v>Otras bursopatías</v>
          </cell>
        </row>
        <row r="5645">
          <cell r="A5645" t="str">
            <v>M71.0</v>
          </cell>
          <cell r="B5645" t="str">
            <v>Absceso de la bolsa sinovial</v>
          </cell>
        </row>
        <row r="5646">
          <cell r="A5646" t="str">
            <v>M71.1</v>
          </cell>
          <cell r="B5646" t="str">
            <v>Otras bursitis infecciosas</v>
          </cell>
        </row>
        <row r="5647">
          <cell r="A5647" t="str">
            <v>M71.2</v>
          </cell>
          <cell r="B5647" t="str">
            <v>Quiste sinovial del hueco poplíteo [de Baker]</v>
          </cell>
        </row>
        <row r="5648">
          <cell r="A5648" t="str">
            <v>M71.3</v>
          </cell>
          <cell r="B5648" t="str">
            <v>Otros quistes de la bolsa serosa</v>
          </cell>
        </row>
        <row r="5649">
          <cell r="A5649" t="str">
            <v>M71.4</v>
          </cell>
          <cell r="B5649" t="str">
            <v>Depósito de calcio en la bolsa serosa</v>
          </cell>
        </row>
        <row r="5650">
          <cell r="A5650" t="str">
            <v>M71.5</v>
          </cell>
          <cell r="B5650" t="str">
            <v>Otras bursitis, no clasificadas en otra parte</v>
          </cell>
        </row>
        <row r="5651">
          <cell r="A5651" t="str">
            <v>M71.8</v>
          </cell>
          <cell r="B5651" t="str">
            <v>Otros trastornos especificados de la bolsa serosa</v>
          </cell>
        </row>
        <row r="5652">
          <cell r="A5652" t="str">
            <v>M71.9</v>
          </cell>
          <cell r="B5652" t="str">
            <v>Bursopatía, no especificada</v>
          </cell>
        </row>
        <row r="5653">
          <cell r="A5653" t="str">
            <v>M72</v>
          </cell>
          <cell r="B5653" t="str">
            <v>Trastornos fibroblásticos</v>
          </cell>
        </row>
        <row r="5654">
          <cell r="A5654" t="str">
            <v>M72.0</v>
          </cell>
          <cell r="B5654" t="str">
            <v>Fibromatosis de la aponeurosis palmar [Dupuytren]</v>
          </cell>
        </row>
        <row r="5655">
          <cell r="A5655" t="str">
            <v>M72.1</v>
          </cell>
          <cell r="B5655" t="str">
            <v>Nódulos interfalángicos</v>
          </cell>
        </row>
        <row r="5656">
          <cell r="A5656" t="str">
            <v>M72.2</v>
          </cell>
          <cell r="B5656" t="str">
            <v>Fibromatosis de la aponeurosis plantar</v>
          </cell>
        </row>
        <row r="5657">
          <cell r="A5657" t="str">
            <v>M72.3</v>
          </cell>
          <cell r="B5657" t="str">
            <v>Fascitis nodular</v>
          </cell>
        </row>
        <row r="5658">
          <cell r="A5658" t="str">
            <v>M72.4</v>
          </cell>
          <cell r="B5658" t="str">
            <v>Fibromatosis seudosarcomatosa</v>
          </cell>
        </row>
        <row r="5659">
          <cell r="A5659" t="str">
            <v>M72.5</v>
          </cell>
          <cell r="B5659" t="str">
            <v>Fascitis, no clasificada en otra parte</v>
          </cell>
        </row>
        <row r="5660">
          <cell r="A5660" t="str">
            <v>M72.8</v>
          </cell>
          <cell r="B5660" t="str">
            <v>Otros trastornos fibroblásticos</v>
          </cell>
        </row>
        <row r="5661">
          <cell r="A5661" t="str">
            <v>M72.9</v>
          </cell>
          <cell r="B5661" t="str">
            <v>Trastorno fibroblástico, no especificado</v>
          </cell>
        </row>
        <row r="5662">
          <cell r="A5662" t="str">
            <v>M73*</v>
          </cell>
          <cell r="B5662" t="str">
            <v>Trastornos de los tejidos blandos en enfermedades clasificadas en otra parte</v>
          </cell>
        </row>
        <row r="5663">
          <cell r="A5663" t="str">
            <v>M73.0*</v>
          </cell>
          <cell r="B5663" t="str">
            <v>Bursitis gonocócica (A54.4+)</v>
          </cell>
        </row>
        <row r="5664">
          <cell r="A5664" t="str">
            <v>M73.1*</v>
          </cell>
          <cell r="B5664" t="str">
            <v>Bursitis sifilítica (A52.7+)</v>
          </cell>
        </row>
        <row r="5665">
          <cell r="A5665" t="str">
            <v>M73.8*</v>
          </cell>
          <cell r="B5665" t="str">
            <v>Otros trastornos de los tejidos blandos en enfermedades clasificadas en otra parte</v>
          </cell>
        </row>
        <row r="5666">
          <cell r="A5666" t="str">
            <v>M75</v>
          </cell>
          <cell r="B5666" t="str">
            <v>Lesiones del hombro</v>
          </cell>
        </row>
        <row r="5667">
          <cell r="A5667" t="str">
            <v>M75.0</v>
          </cell>
          <cell r="B5667" t="str">
            <v>Capsulitis adhesiva del hombro</v>
          </cell>
        </row>
        <row r="5668">
          <cell r="A5668" t="str">
            <v>M75.1</v>
          </cell>
          <cell r="B5668" t="str">
            <v>Síndrome del manguito rotatorio</v>
          </cell>
        </row>
        <row r="5669">
          <cell r="A5669" t="str">
            <v>M75.2</v>
          </cell>
          <cell r="B5669" t="str">
            <v>Tendinitis del bíceps</v>
          </cell>
        </row>
        <row r="5670">
          <cell r="A5670" t="str">
            <v>M75.3</v>
          </cell>
          <cell r="B5670" t="str">
            <v>Tendinitis calcificante del hombro</v>
          </cell>
        </row>
        <row r="5671">
          <cell r="A5671" t="str">
            <v>M75.4</v>
          </cell>
          <cell r="B5671" t="str">
            <v>Síndrome de abducción dolorosa del hombro</v>
          </cell>
        </row>
        <row r="5672">
          <cell r="A5672" t="str">
            <v>M75.5</v>
          </cell>
          <cell r="B5672" t="str">
            <v>Bursitis del hombro</v>
          </cell>
        </row>
        <row r="5673">
          <cell r="A5673" t="str">
            <v>M75.8</v>
          </cell>
          <cell r="B5673" t="str">
            <v>Otras lesiones del hombro</v>
          </cell>
        </row>
        <row r="5674">
          <cell r="A5674" t="str">
            <v>M75.9</v>
          </cell>
          <cell r="B5674" t="str">
            <v>Lesión del hombro, no especificada</v>
          </cell>
        </row>
        <row r="5675">
          <cell r="A5675" t="str">
            <v>M76</v>
          </cell>
          <cell r="B5675" t="str">
            <v>Entesopatías del miembro inferior, excluido el pie</v>
          </cell>
        </row>
        <row r="5676">
          <cell r="A5676" t="str">
            <v>M76.0</v>
          </cell>
          <cell r="B5676" t="str">
            <v>Tendinitis del glúteo</v>
          </cell>
        </row>
        <row r="5677">
          <cell r="A5677" t="str">
            <v>M76.1</v>
          </cell>
          <cell r="B5677" t="str">
            <v>Tendinitis del psoas</v>
          </cell>
        </row>
        <row r="5678">
          <cell r="A5678" t="str">
            <v>M76.2</v>
          </cell>
          <cell r="B5678" t="str">
            <v>Espolón de la cresta iliaca</v>
          </cell>
        </row>
        <row r="5679">
          <cell r="A5679" t="str">
            <v>M76.3</v>
          </cell>
          <cell r="B5679" t="str">
            <v>Síndrome del tendón del tensor de la fascia lata</v>
          </cell>
        </row>
        <row r="5680">
          <cell r="A5680" t="str">
            <v>M76.4</v>
          </cell>
          <cell r="B5680" t="str">
            <v>Bursitis tibial colateral [Pellegrini-Stieda]</v>
          </cell>
        </row>
        <row r="5681">
          <cell r="A5681" t="str">
            <v>M76.5</v>
          </cell>
          <cell r="B5681" t="str">
            <v>Tendinitis rotuliana</v>
          </cell>
        </row>
        <row r="5682">
          <cell r="A5682" t="str">
            <v>M76.6</v>
          </cell>
          <cell r="B5682" t="str">
            <v>Tendinitis aquiliana</v>
          </cell>
        </row>
        <row r="5683">
          <cell r="A5683" t="str">
            <v>M76.7</v>
          </cell>
          <cell r="B5683" t="str">
            <v>Tendinitis peroneal</v>
          </cell>
        </row>
        <row r="5684">
          <cell r="A5684" t="str">
            <v>M76.8</v>
          </cell>
          <cell r="B5684" t="str">
            <v>Otras entesopatías del miembro inferior, excluido el pie</v>
          </cell>
        </row>
        <row r="5685">
          <cell r="A5685" t="str">
            <v>M76.9</v>
          </cell>
          <cell r="B5685" t="str">
            <v>Entesopatía del miembro inferior, no especificada</v>
          </cell>
        </row>
        <row r="5686">
          <cell r="A5686" t="str">
            <v>M77</v>
          </cell>
          <cell r="B5686" t="str">
            <v>Otras entesopatías</v>
          </cell>
        </row>
        <row r="5687">
          <cell r="A5687" t="str">
            <v>M77.0</v>
          </cell>
          <cell r="B5687" t="str">
            <v>Epicondilitis media</v>
          </cell>
        </row>
        <row r="5688">
          <cell r="A5688" t="str">
            <v>M77.1</v>
          </cell>
          <cell r="B5688" t="str">
            <v>Epicondilitis lateral</v>
          </cell>
        </row>
        <row r="5689">
          <cell r="A5689" t="str">
            <v>M77.2</v>
          </cell>
          <cell r="B5689" t="str">
            <v>Periartritis de la muñeca</v>
          </cell>
        </row>
        <row r="5690">
          <cell r="A5690" t="str">
            <v>M77.3</v>
          </cell>
          <cell r="B5690" t="str">
            <v>Espolón calcáneo</v>
          </cell>
        </row>
        <row r="5691">
          <cell r="A5691" t="str">
            <v>M77.4</v>
          </cell>
          <cell r="B5691" t="str">
            <v>Metatarsalgia</v>
          </cell>
        </row>
        <row r="5692">
          <cell r="A5692" t="str">
            <v>M77.5</v>
          </cell>
          <cell r="B5692" t="str">
            <v>Otras entesopatías del pie</v>
          </cell>
        </row>
        <row r="5693">
          <cell r="A5693" t="str">
            <v>M77.8</v>
          </cell>
          <cell r="B5693" t="str">
            <v>Otras entesopatías, no clasificadas en otra parte</v>
          </cell>
        </row>
        <row r="5694">
          <cell r="A5694" t="str">
            <v>M77.9</v>
          </cell>
          <cell r="B5694" t="str">
            <v>Entesopatía, no especificada</v>
          </cell>
        </row>
        <row r="5695">
          <cell r="A5695" t="str">
            <v>M79</v>
          </cell>
          <cell r="B5695" t="str">
            <v>Otros trastornos de los tejidos blandos, no clasificados en otra parte</v>
          </cell>
        </row>
        <row r="5696">
          <cell r="A5696" t="str">
            <v>M79.0</v>
          </cell>
          <cell r="B5696" t="str">
            <v>Reumatismo, no especificado</v>
          </cell>
        </row>
        <row r="5697">
          <cell r="A5697" t="str">
            <v>M79.1</v>
          </cell>
          <cell r="B5697" t="str">
            <v>Mialgia</v>
          </cell>
        </row>
        <row r="5698">
          <cell r="A5698" t="str">
            <v>M79.2</v>
          </cell>
          <cell r="B5698" t="str">
            <v>Neuralgia y neuritis, no especificadas</v>
          </cell>
        </row>
        <row r="5699">
          <cell r="A5699" t="str">
            <v>M79.3</v>
          </cell>
          <cell r="B5699" t="str">
            <v>Paniculitis, no especificada</v>
          </cell>
        </row>
        <row r="5700">
          <cell r="A5700" t="str">
            <v>M79.4</v>
          </cell>
          <cell r="B5700" t="str">
            <v>Hipertrofia de paquete adiposo (infrarrotuliano)</v>
          </cell>
        </row>
        <row r="5701">
          <cell r="A5701" t="str">
            <v>M79.5</v>
          </cell>
          <cell r="B5701" t="str">
            <v>Cuerpo extraño residual en tejido blando</v>
          </cell>
        </row>
        <row r="5702">
          <cell r="A5702" t="str">
            <v>M79.6</v>
          </cell>
          <cell r="B5702" t="str">
            <v>Dolor en miembro</v>
          </cell>
        </row>
        <row r="5703">
          <cell r="A5703" t="str">
            <v>M79.8</v>
          </cell>
          <cell r="B5703" t="str">
            <v>Otros trastornos especificados de los tejidos blandos</v>
          </cell>
        </row>
        <row r="5704">
          <cell r="A5704" t="str">
            <v>M79.9</v>
          </cell>
          <cell r="B5704" t="str">
            <v>Trastorno de los tejidos blandos, no especificado</v>
          </cell>
        </row>
        <row r="5705">
          <cell r="A5705" t="str">
            <v>M80</v>
          </cell>
          <cell r="B5705" t="str">
            <v>Osteoporosis con fractura patológica</v>
          </cell>
        </row>
        <row r="5706">
          <cell r="A5706" t="str">
            <v>M80.0</v>
          </cell>
          <cell r="B5706" t="str">
            <v>Osteoporosis postmenopáusica, con fractura patológica</v>
          </cell>
        </row>
        <row r="5707">
          <cell r="A5707" t="str">
            <v>M80.1</v>
          </cell>
          <cell r="B5707" t="str">
            <v>Osteoporosis postooforectomía, con fractura patológica</v>
          </cell>
        </row>
        <row r="5708">
          <cell r="A5708" t="str">
            <v>M80.2</v>
          </cell>
          <cell r="B5708" t="str">
            <v>Osteoporosis por desuso, con fractura patológica</v>
          </cell>
        </row>
        <row r="5709">
          <cell r="A5709" t="str">
            <v>M80.3</v>
          </cell>
          <cell r="B5709" t="str">
            <v>Osteoporosis por malabsorción postquirúrgica, con fractura patológica</v>
          </cell>
        </row>
        <row r="5710">
          <cell r="A5710" t="str">
            <v>M80.4</v>
          </cell>
          <cell r="B5710" t="str">
            <v>Osteoporosis inducida por drogas, con fractura patológica</v>
          </cell>
        </row>
        <row r="5711">
          <cell r="A5711" t="str">
            <v>M80.5</v>
          </cell>
          <cell r="B5711" t="str">
            <v>Osteoporosis idiopática, con fractura patológica</v>
          </cell>
        </row>
        <row r="5712">
          <cell r="A5712" t="str">
            <v>M80.8</v>
          </cell>
          <cell r="B5712" t="str">
            <v>Otras osteoporosis, con fractura patológica</v>
          </cell>
        </row>
        <row r="5713">
          <cell r="A5713" t="str">
            <v>M80.9</v>
          </cell>
          <cell r="B5713" t="str">
            <v>Osteoporosis no especificada, con fractura patológica</v>
          </cell>
        </row>
        <row r="5714">
          <cell r="A5714" t="str">
            <v>M81</v>
          </cell>
          <cell r="B5714" t="str">
            <v>Osteoporosis sin fractura patológica</v>
          </cell>
        </row>
        <row r="5715">
          <cell r="A5715" t="str">
            <v>M81.0</v>
          </cell>
          <cell r="B5715" t="str">
            <v>Osteoporosis postmenopáusica, sin fractura patológica</v>
          </cell>
        </row>
        <row r="5716">
          <cell r="A5716" t="str">
            <v>M81.1</v>
          </cell>
          <cell r="B5716" t="str">
            <v>Osteoporosis postooforectomía, sin fractura patológica</v>
          </cell>
        </row>
        <row r="5717">
          <cell r="A5717" t="str">
            <v>M81.2</v>
          </cell>
          <cell r="B5717" t="str">
            <v>Osteoporosis por desuso, sin fractura patológica</v>
          </cell>
        </row>
        <row r="5718">
          <cell r="A5718" t="str">
            <v>M81.3</v>
          </cell>
          <cell r="B5718" t="str">
            <v>Osteoporosis por malabsorción postquirúrgica, sin fractura patológica</v>
          </cell>
        </row>
        <row r="5719">
          <cell r="A5719" t="str">
            <v>M81.4</v>
          </cell>
          <cell r="B5719" t="str">
            <v>Osteoporosis inducida por drogas, sin fractura patológica</v>
          </cell>
        </row>
        <row r="5720">
          <cell r="A5720" t="str">
            <v>M81.5</v>
          </cell>
          <cell r="B5720" t="str">
            <v>Osteoporosis idiopática, sin fractura patológica</v>
          </cell>
        </row>
        <row r="5721">
          <cell r="A5721" t="str">
            <v>M81.6</v>
          </cell>
          <cell r="B5721" t="str">
            <v>Osteoporosis localizada [Lequesne], sin fractura patológica</v>
          </cell>
        </row>
        <row r="5722">
          <cell r="A5722" t="str">
            <v>M81.8</v>
          </cell>
          <cell r="B5722" t="str">
            <v>Otras osteoporosis, sin fractura patológica</v>
          </cell>
        </row>
        <row r="5723">
          <cell r="A5723" t="str">
            <v>M81.9</v>
          </cell>
          <cell r="B5723" t="str">
            <v>Osteoporosis no especificada, sin fractura patológica</v>
          </cell>
        </row>
        <row r="5724">
          <cell r="A5724" t="str">
            <v>M82*</v>
          </cell>
          <cell r="B5724" t="str">
            <v>Osteoporosis en enfermedades clasificadas en otra parte</v>
          </cell>
        </row>
        <row r="5725">
          <cell r="A5725" t="str">
            <v>M82.0*</v>
          </cell>
          <cell r="B5725" t="str">
            <v>Osteoporosis en mielomatosis múltiple (C90.0+)</v>
          </cell>
        </row>
        <row r="5726">
          <cell r="A5726" t="str">
            <v>M82.1*</v>
          </cell>
          <cell r="B5726" t="str">
            <v>Osteoporosis en trastornos endocrinos (E00-E34+)</v>
          </cell>
        </row>
        <row r="5727">
          <cell r="A5727" t="str">
            <v>M82.8*</v>
          </cell>
          <cell r="B5727" t="str">
            <v>Osteoporosis en otras enfermedades clasificadas en otra parte</v>
          </cell>
        </row>
        <row r="5728">
          <cell r="A5728" t="str">
            <v>M83</v>
          </cell>
          <cell r="B5728" t="str">
            <v>Osteomalacia del adulto</v>
          </cell>
        </row>
        <row r="5729">
          <cell r="A5729" t="str">
            <v>M83.0</v>
          </cell>
          <cell r="B5729" t="str">
            <v>Osteomalacia puerperal</v>
          </cell>
        </row>
        <row r="5730">
          <cell r="A5730" t="str">
            <v>M83.1</v>
          </cell>
          <cell r="B5730" t="str">
            <v>Osteomalacia senil</v>
          </cell>
        </row>
        <row r="5731">
          <cell r="A5731" t="str">
            <v>M83.2</v>
          </cell>
          <cell r="B5731" t="str">
            <v>Osteomalacia del adulto debida a malabsorción</v>
          </cell>
        </row>
        <row r="5732">
          <cell r="A5732" t="str">
            <v>M83.3</v>
          </cell>
          <cell r="B5732" t="str">
            <v>Osteomalacia del adulto debida a desnutrición</v>
          </cell>
        </row>
        <row r="5733">
          <cell r="A5733" t="str">
            <v>M83.4</v>
          </cell>
          <cell r="B5733" t="str">
            <v>Enfermedad de los huesos por aluminio</v>
          </cell>
        </row>
        <row r="5734">
          <cell r="A5734" t="str">
            <v>M83.5</v>
          </cell>
          <cell r="B5734" t="str">
            <v>Otras osteomalacias del adulto inducidas por drogas</v>
          </cell>
        </row>
        <row r="5735">
          <cell r="A5735" t="str">
            <v>M83.8</v>
          </cell>
          <cell r="B5735" t="str">
            <v>Otras osteomalacias del adulto</v>
          </cell>
        </row>
        <row r="5736">
          <cell r="A5736" t="str">
            <v>M83.9</v>
          </cell>
          <cell r="B5736" t="str">
            <v>Osteomalacia del adulto, no especificada</v>
          </cell>
        </row>
        <row r="5737">
          <cell r="A5737" t="str">
            <v>M84</v>
          </cell>
          <cell r="B5737" t="str">
            <v>Trastornos de la continuidad del hueso</v>
          </cell>
        </row>
        <row r="5738">
          <cell r="A5738" t="str">
            <v>M84.0</v>
          </cell>
          <cell r="B5738" t="str">
            <v>Consolidación defectuosa de fractura</v>
          </cell>
        </row>
        <row r="5739">
          <cell r="A5739" t="str">
            <v>M84.1</v>
          </cell>
          <cell r="B5739" t="str">
            <v>Falta de consolidación de fractura [seudoartrosis]</v>
          </cell>
        </row>
        <row r="5740">
          <cell r="A5740" t="str">
            <v>M84.2</v>
          </cell>
          <cell r="B5740" t="str">
            <v>Consolidación retardada de fractura</v>
          </cell>
        </row>
        <row r="5741">
          <cell r="A5741" t="str">
            <v>M84.3</v>
          </cell>
          <cell r="B5741" t="str">
            <v>Fractura por tensión, no clasificada en otra parte</v>
          </cell>
        </row>
        <row r="5742">
          <cell r="A5742" t="str">
            <v>M84.4</v>
          </cell>
          <cell r="B5742" t="str">
            <v>Fractura patológica, no clasificada en otra parte</v>
          </cell>
        </row>
        <row r="5743">
          <cell r="A5743" t="str">
            <v>M84.8</v>
          </cell>
          <cell r="B5743" t="str">
            <v>Otros trastornos de la continuidad del hueso</v>
          </cell>
        </row>
        <row r="5744">
          <cell r="A5744" t="str">
            <v>M84.9</v>
          </cell>
          <cell r="B5744" t="str">
            <v>Trastorno de la continuidad del hueso, no especificado</v>
          </cell>
        </row>
        <row r="5745">
          <cell r="A5745" t="str">
            <v>M85</v>
          </cell>
          <cell r="B5745" t="str">
            <v>Otros trastornos de la densidad y de la estructura óseas</v>
          </cell>
        </row>
        <row r="5746">
          <cell r="A5746" t="str">
            <v>M85.0</v>
          </cell>
          <cell r="B5746" t="str">
            <v>Displasia fibrosa (monostótica)</v>
          </cell>
        </row>
        <row r="5747">
          <cell r="A5747" t="str">
            <v>M85.1</v>
          </cell>
          <cell r="B5747" t="str">
            <v>Fluorosis del esqueleto</v>
          </cell>
        </row>
        <row r="5748">
          <cell r="A5748" t="str">
            <v>M85.2</v>
          </cell>
          <cell r="B5748" t="str">
            <v>Hiperostosis del cráneo</v>
          </cell>
        </row>
        <row r="5749">
          <cell r="A5749" t="str">
            <v>M85.3</v>
          </cell>
          <cell r="B5749" t="str">
            <v>Osteítis condensante</v>
          </cell>
        </row>
        <row r="5750">
          <cell r="A5750" t="str">
            <v>M85.4</v>
          </cell>
          <cell r="B5750" t="str">
            <v>Quiste óseo solitario</v>
          </cell>
        </row>
        <row r="5751">
          <cell r="A5751" t="str">
            <v>M85.5</v>
          </cell>
          <cell r="B5751" t="str">
            <v>Quiste óseo aneurismático</v>
          </cell>
        </row>
        <row r="5752">
          <cell r="A5752" t="str">
            <v>M85.6</v>
          </cell>
          <cell r="B5752" t="str">
            <v>Otros quistes óseos</v>
          </cell>
        </row>
        <row r="5753">
          <cell r="A5753" t="str">
            <v>M85.8</v>
          </cell>
          <cell r="B5753" t="str">
            <v>Otros trastornos especificados de la densidad y de la estructura óseas</v>
          </cell>
        </row>
        <row r="5754">
          <cell r="A5754" t="str">
            <v>M85.9</v>
          </cell>
          <cell r="B5754" t="str">
            <v>Trastorno de la densidad y de la estructura óseas, no especificado</v>
          </cell>
        </row>
        <row r="5755">
          <cell r="A5755" t="str">
            <v>M86</v>
          </cell>
          <cell r="B5755" t="str">
            <v>Osteomielitis</v>
          </cell>
        </row>
        <row r="5756">
          <cell r="A5756" t="str">
            <v>M86.0</v>
          </cell>
          <cell r="B5756" t="str">
            <v>Osteomielitis hematógena aguda</v>
          </cell>
        </row>
        <row r="5757">
          <cell r="A5757" t="str">
            <v>M86.1</v>
          </cell>
          <cell r="B5757" t="str">
            <v>Otras osteomielitis agudas</v>
          </cell>
        </row>
        <row r="5758">
          <cell r="A5758" t="str">
            <v>M86.2</v>
          </cell>
          <cell r="B5758" t="str">
            <v>Osteomielitis subaguda</v>
          </cell>
        </row>
        <row r="5759">
          <cell r="A5759" t="str">
            <v>M86.3</v>
          </cell>
          <cell r="B5759" t="str">
            <v>Osteomielitis multifocal crónica</v>
          </cell>
        </row>
        <row r="5760">
          <cell r="A5760" t="str">
            <v>M86.4</v>
          </cell>
          <cell r="B5760" t="str">
            <v>Osteomielitis crónica con drenaje del seno</v>
          </cell>
        </row>
        <row r="5761">
          <cell r="A5761" t="str">
            <v>M86.5</v>
          </cell>
          <cell r="B5761" t="str">
            <v>Otras osteomielitis hematógenas crónicas</v>
          </cell>
        </row>
        <row r="5762">
          <cell r="A5762" t="str">
            <v>M86.6</v>
          </cell>
          <cell r="B5762" t="str">
            <v>Otras osteomielitis crónicas</v>
          </cell>
        </row>
        <row r="5763">
          <cell r="A5763" t="str">
            <v>M86.8</v>
          </cell>
          <cell r="B5763" t="str">
            <v>Otras osteomielitis</v>
          </cell>
        </row>
        <row r="5764">
          <cell r="A5764" t="str">
            <v>M86.9</v>
          </cell>
          <cell r="B5764" t="str">
            <v>Osteomielitis, no especificada</v>
          </cell>
        </row>
        <row r="5765">
          <cell r="A5765" t="str">
            <v>M87</v>
          </cell>
          <cell r="B5765" t="str">
            <v>Osteonecrosis</v>
          </cell>
        </row>
        <row r="5766">
          <cell r="A5766" t="str">
            <v>M87.0</v>
          </cell>
          <cell r="B5766" t="str">
            <v>Necrosis aséptica idiopática ósea</v>
          </cell>
        </row>
        <row r="5767">
          <cell r="A5767" t="str">
            <v>M87.1</v>
          </cell>
          <cell r="B5767" t="str">
            <v>Osteonecrosis debida a drogas</v>
          </cell>
        </row>
        <row r="5768">
          <cell r="A5768" t="str">
            <v>M87.2</v>
          </cell>
          <cell r="B5768" t="str">
            <v>Osteonecrosis debida a traumatismo previo</v>
          </cell>
        </row>
        <row r="5769">
          <cell r="A5769" t="str">
            <v>M87.3</v>
          </cell>
          <cell r="B5769" t="str">
            <v>Otras osteonecrosis secundarias</v>
          </cell>
        </row>
        <row r="5770">
          <cell r="A5770" t="str">
            <v>M87.8</v>
          </cell>
          <cell r="B5770" t="str">
            <v>Otras osteonecrosis</v>
          </cell>
        </row>
        <row r="5771">
          <cell r="A5771" t="str">
            <v>M87.9</v>
          </cell>
          <cell r="B5771" t="str">
            <v>Osteonecrosis, no especificada</v>
          </cell>
        </row>
        <row r="5772">
          <cell r="A5772" t="str">
            <v>M88</v>
          </cell>
          <cell r="B5772" t="str">
            <v>Enfermedad de Paget de los huesos [osteítis deformante]</v>
          </cell>
        </row>
        <row r="5773">
          <cell r="A5773" t="str">
            <v>M88.0</v>
          </cell>
          <cell r="B5773" t="str">
            <v>Enfermedad de Paget del cráneo</v>
          </cell>
        </row>
        <row r="5774">
          <cell r="A5774" t="str">
            <v>M88.8</v>
          </cell>
          <cell r="B5774" t="str">
            <v>Enfermedad de Paget de otros huesos</v>
          </cell>
        </row>
        <row r="5775">
          <cell r="A5775" t="str">
            <v>M88.9</v>
          </cell>
          <cell r="B5775" t="str">
            <v>Enfermedad ósea de Paget, huesos no especificados</v>
          </cell>
        </row>
        <row r="5776">
          <cell r="A5776" t="str">
            <v>M89</v>
          </cell>
          <cell r="B5776" t="str">
            <v>Otros trastornos del hueso</v>
          </cell>
        </row>
        <row r="5777">
          <cell r="A5777" t="str">
            <v>M89.0</v>
          </cell>
          <cell r="B5777" t="str">
            <v>Algoneurodistrofia</v>
          </cell>
        </row>
        <row r="5778">
          <cell r="A5778" t="str">
            <v>M89.1</v>
          </cell>
          <cell r="B5778" t="str">
            <v>Detención del crecimiento epifisario</v>
          </cell>
        </row>
        <row r="5779">
          <cell r="A5779" t="str">
            <v>M89.2</v>
          </cell>
          <cell r="B5779" t="str">
            <v>Otros trastornos del desarrollo y crecimiento óseo</v>
          </cell>
        </row>
        <row r="5780">
          <cell r="A5780" t="str">
            <v>M89.3</v>
          </cell>
          <cell r="B5780" t="str">
            <v>Hipertrofia del hueso</v>
          </cell>
        </row>
        <row r="5781">
          <cell r="A5781" t="str">
            <v>M89.4</v>
          </cell>
          <cell r="B5781" t="str">
            <v>Otras osteoartropatías hipertróficas</v>
          </cell>
        </row>
        <row r="5782">
          <cell r="A5782" t="str">
            <v>M89.5</v>
          </cell>
          <cell r="B5782" t="str">
            <v>Osteólisis</v>
          </cell>
        </row>
        <row r="5783">
          <cell r="A5783" t="str">
            <v>M89.6</v>
          </cell>
          <cell r="B5783" t="str">
            <v>Osteopatía a consecuencia de poliomielitis</v>
          </cell>
        </row>
        <row r="5784">
          <cell r="A5784" t="str">
            <v>M89.8</v>
          </cell>
          <cell r="B5784" t="str">
            <v>Otros trastornos especificados del hueso</v>
          </cell>
        </row>
        <row r="5785">
          <cell r="A5785" t="str">
            <v>M89.9</v>
          </cell>
          <cell r="B5785" t="str">
            <v>Trastorno del hueso, no especificado</v>
          </cell>
        </row>
        <row r="5786">
          <cell r="A5786" t="str">
            <v>M90*</v>
          </cell>
          <cell r="B5786" t="str">
            <v>Osteopatías en enfermedades clasificadas en otra parte</v>
          </cell>
        </row>
        <row r="5787">
          <cell r="A5787" t="str">
            <v>M90.0*</v>
          </cell>
          <cell r="B5787" t="str">
            <v>Tuberculosis ósea (A18.0+)</v>
          </cell>
        </row>
        <row r="5788">
          <cell r="A5788" t="str">
            <v>M90.1*</v>
          </cell>
          <cell r="B5788" t="str">
            <v>Periostitis en otras enfermedades infecciosas clasificadas en otra parte</v>
          </cell>
        </row>
        <row r="5789">
          <cell r="A5789" t="str">
            <v>M90.2*</v>
          </cell>
          <cell r="B5789" t="str">
            <v>Osteopatía en otras enfermedades infecciosas clasificadas en otra parte</v>
          </cell>
        </row>
        <row r="5790">
          <cell r="A5790" t="str">
            <v>M90.3*</v>
          </cell>
          <cell r="B5790" t="str">
            <v>Osteonecrosis en la enfermedad causada por descompresión (T70.3+)</v>
          </cell>
        </row>
        <row r="5791">
          <cell r="A5791" t="str">
            <v>M90.4*</v>
          </cell>
          <cell r="B5791" t="str">
            <v>Osteonecrosis debida a hemoglobinopatía (D50-D64+)</v>
          </cell>
        </row>
        <row r="5792">
          <cell r="A5792" t="str">
            <v>M90.5*</v>
          </cell>
          <cell r="B5792" t="str">
            <v>Osteonecrosis en otras enfermedades clasificadas en otra parte</v>
          </cell>
        </row>
        <row r="5793">
          <cell r="A5793" t="str">
            <v>M90.6*</v>
          </cell>
          <cell r="B5793" t="str">
            <v>Osteítis deformante en enfermedad neoplásica (C00-D48+)</v>
          </cell>
        </row>
        <row r="5794">
          <cell r="A5794" t="str">
            <v>M90.7*</v>
          </cell>
          <cell r="B5794" t="str">
            <v>Fractura ósea en enfermedad neoplásica (C00-D48+)</v>
          </cell>
        </row>
        <row r="5795">
          <cell r="A5795" t="str">
            <v>M90.8*</v>
          </cell>
          <cell r="B5795" t="str">
            <v>Osteopatía en otras enfermedades clasificadas en otra parte</v>
          </cell>
        </row>
        <row r="5796">
          <cell r="A5796" t="str">
            <v>M91</v>
          </cell>
          <cell r="B5796" t="str">
            <v>Osteocondrosis juvenil de la cadera y de la pelvis</v>
          </cell>
        </row>
        <row r="5797">
          <cell r="A5797" t="str">
            <v>M91.0</v>
          </cell>
          <cell r="B5797" t="str">
            <v>Osteocondrosis juvenil de la pelvis</v>
          </cell>
        </row>
        <row r="5798">
          <cell r="A5798" t="str">
            <v>M91.1</v>
          </cell>
          <cell r="B5798" t="str">
            <v>Osteocondrosis juvenil de la cabeza del fémur [Legg-Calvé-Perthes]</v>
          </cell>
        </row>
        <row r="5799">
          <cell r="A5799" t="str">
            <v>M91.2</v>
          </cell>
          <cell r="B5799" t="str">
            <v>Coxa plana</v>
          </cell>
        </row>
        <row r="5800">
          <cell r="A5800" t="str">
            <v>M91.3</v>
          </cell>
          <cell r="B5800" t="str">
            <v>Pseudocoxalgia</v>
          </cell>
        </row>
        <row r="5801">
          <cell r="A5801" t="str">
            <v>M91.8</v>
          </cell>
          <cell r="B5801" t="str">
            <v>Otras osteocondrosis juveniles de la cadera y de la pelvis</v>
          </cell>
        </row>
        <row r="5802">
          <cell r="A5802" t="str">
            <v>M91.9</v>
          </cell>
          <cell r="B5802" t="str">
            <v>Osteocondrosis juvenil de la cadera y de la pelvis, sin otra especificación</v>
          </cell>
        </row>
        <row r="5803">
          <cell r="A5803" t="str">
            <v>M92</v>
          </cell>
          <cell r="B5803" t="str">
            <v>Otras osteocondrosis juveniles</v>
          </cell>
        </row>
        <row r="5804">
          <cell r="A5804" t="str">
            <v>M92.0</v>
          </cell>
          <cell r="B5804" t="str">
            <v>Osteocondrosis juvenil del húmero</v>
          </cell>
        </row>
        <row r="5805">
          <cell r="A5805" t="str">
            <v>M92.1</v>
          </cell>
          <cell r="B5805" t="str">
            <v>Osteocondrosis juvenil del cúbito y del radio</v>
          </cell>
        </row>
        <row r="5806">
          <cell r="A5806" t="str">
            <v>M92.2</v>
          </cell>
          <cell r="B5806" t="str">
            <v>Osteocondrosis juvenil de la mano</v>
          </cell>
        </row>
        <row r="5807">
          <cell r="A5807" t="str">
            <v>M92.3</v>
          </cell>
          <cell r="B5807" t="str">
            <v>Otras osteocondrosis juveniles del miembro superior</v>
          </cell>
        </row>
        <row r="5808">
          <cell r="A5808" t="str">
            <v>M92.4</v>
          </cell>
          <cell r="B5808" t="str">
            <v>Osteocondrosis juvenil de la rótula</v>
          </cell>
        </row>
        <row r="5809">
          <cell r="A5809" t="str">
            <v>M92.5</v>
          </cell>
          <cell r="B5809" t="str">
            <v>Osteocondrosis juvenil de la tibia y del peroné</v>
          </cell>
        </row>
        <row r="5810">
          <cell r="A5810" t="str">
            <v>M92.6</v>
          </cell>
          <cell r="B5810" t="str">
            <v>Osteocondrosis juvenil del tarso</v>
          </cell>
        </row>
        <row r="5811">
          <cell r="A5811" t="str">
            <v>M92.7</v>
          </cell>
          <cell r="B5811" t="str">
            <v>Osteocondrosis juvenil del metatarso</v>
          </cell>
        </row>
        <row r="5812">
          <cell r="A5812" t="str">
            <v>M92.8</v>
          </cell>
          <cell r="B5812" t="str">
            <v>Otras osteocondrosis juveniles especificadas</v>
          </cell>
        </row>
        <row r="5813">
          <cell r="A5813" t="str">
            <v>M92.9</v>
          </cell>
          <cell r="B5813" t="str">
            <v>Osteocondrosis juvenil, no especificada</v>
          </cell>
        </row>
        <row r="5814">
          <cell r="A5814" t="str">
            <v>M93</v>
          </cell>
          <cell r="B5814" t="str">
            <v>Otras osteocondropatías</v>
          </cell>
        </row>
        <row r="5815">
          <cell r="A5815" t="str">
            <v>M93.0</v>
          </cell>
          <cell r="B5815" t="str">
            <v>Deslizamiento de la epífisis femoral superior (no traumático)</v>
          </cell>
        </row>
        <row r="5816">
          <cell r="A5816" t="str">
            <v>M93.1</v>
          </cell>
          <cell r="B5816" t="str">
            <v>Enfermedad de Kienb”ck del adulto</v>
          </cell>
        </row>
        <row r="5817">
          <cell r="A5817" t="str">
            <v>M93.2</v>
          </cell>
          <cell r="B5817" t="str">
            <v>Osteocondritis disecante</v>
          </cell>
        </row>
        <row r="5818">
          <cell r="A5818" t="str">
            <v>M93.8</v>
          </cell>
          <cell r="B5818" t="str">
            <v>Otras osteocondropatías especificadas</v>
          </cell>
        </row>
        <row r="5819">
          <cell r="A5819" t="str">
            <v>M93.9</v>
          </cell>
          <cell r="B5819" t="str">
            <v>Osteocondropatía, no especificada</v>
          </cell>
        </row>
        <row r="5820">
          <cell r="A5820" t="str">
            <v>M94</v>
          </cell>
          <cell r="B5820" t="str">
            <v>Otros trastornos del cartílago</v>
          </cell>
        </row>
        <row r="5821">
          <cell r="A5821" t="str">
            <v>M94.0</v>
          </cell>
          <cell r="B5821" t="str">
            <v>Síndrome de la articulación condrocostal [Tietze]</v>
          </cell>
        </row>
        <row r="5822">
          <cell r="A5822" t="str">
            <v>M94.1</v>
          </cell>
          <cell r="B5822" t="str">
            <v>Policondritis recidivante</v>
          </cell>
        </row>
        <row r="5823">
          <cell r="A5823" t="str">
            <v>M94.2</v>
          </cell>
          <cell r="B5823" t="str">
            <v>Condromalacia</v>
          </cell>
        </row>
        <row r="5824">
          <cell r="A5824" t="str">
            <v>M94.3</v>
          </cell>
          <cell r="B5824" t="str">
            <v>Condrólisis</v>
          </cell>
        </row>
        <row r="5825">
          <cell r="A5825" t="str">
            <v>M94.8</v>
          </cell>
          <cell r="B5825" t="str">
            <v>Otros trastornos especificados del cartílago</v>
          </cell>
        </row>
        <row r="5826">
          <cell r="A5826" t="str">
            <v>M94.9</v>
          </cell>
          <cell r="B5826" t="str">
            <v>Trastorno del cartílago, no especificado</v>
          </cell>
        </row>
        <row r="5827">
          <cell r="A5827" t="str">
            <v>M95</v>
          </cell>
          <cell r="B5827" t="str">
            <v>Otras deformidades adquiridas del sistema osteomuscular y del tejido conjuntivo</v>
          </cell>
        </row>
        <row r="5828">
          <cell r="A5828" t="str">
            <v>M95.0</v>
          </cell>
          <cell r="B5828" t="str">
            <v>Deformidad adquirida de la nariz</v>
          </cell>
        </row>
        <row r="5829">
          <cell r="A5829" t="str">
            <v>M95.1</v>
          </cell>
          <cell r="B5829" t="str">
            <v>Oreja en coliflor</v>
          </cell>
        </row>
        <row r="5830">
          <cell r="A5830" t="str">
            <v>M95.2</v>
          </cell>
          <cell r="B5830" t="str">
            <v>Otras deformidades adquiridas de la cabeza</v>
          </cell>
        </row>
        <row r="5831">
          <cell r="A5831" t="str">
            <v>M95.3</v>
          </cell>
          <cell r="B5831" t="str">
            <v>Deformidad adquirida del cuello</v>
          </cell>
        </row>
        <row r="5832">
          <cell r="A5832" t="str">
            <v>M95.4</v>
          </cell>
          <cell r="B5832" t="str">
            <v>Deformidad adquirida de costillas y tórax</v>
          </cell>
        </row>
        <row r="5833">
          <cell r="A5833" t="str">
            <v>M95.5</v>
          </cell>
          <cell r="B5833" t="str">
            <v>Deformidad adquirida de la pelvis</v>
          </cell>
        </row>
        <row r="5834">
          <cell r="A5834" t="str">
            <v>M95.8</v>
          </cell>
          <cell r="B5834" t="str">
            <v>Otras deformidades adquiridas especificadas del sistema osteomuscular</v>
          </cell>
        </row>
        <row r="5835">
          <cell r="A5835" t="str">
            <v>M95.9</v>
          </cell>
          <cell r="B5835" t="str">
            <v>Deformidad adquirida del sistema osteomuscular, no especificada</v>
          </cell>
        </row>
        <row r="5836">
          <cell r="A5836" t="str">
            <v>M96</v>
          </cell>
          <cell r="B5836" t="str">
            <v>Trastornos osteomusculares consecutivos a procedimientos, no clasificados  en otra parte</v>
          </cell>
        </row>
        <row r="5837">
          <cell r="A5837" t="str">
            <v>M96.0</v>
          </cell>
          <cell r="B5837" t="str">
            <v>Seudoartrosis consecutiva a fusión o artrodesis</v>
          </cell>
        </row>
        <row r="5838">
          <cell r="A5838" t="str">
            <v>M96.1</v>
          </cell>
          <cell r="B5838" t="str">
            <v>Síndrome postlaminectomía, no clasificado en otra parte</v>
          </cell>
        </row>
        <row r="5839">
          <cell r="A5839" t="str">
            <v>M96.2</v>
          </cell>
          <cell r="B5839" t="str">
            <v>Cifosis postradiación</v>
          </cell>
        </row>
        <row r="5840">
          <cell r="A5840" t="str">
            <v>M96.3</v>
          </cell>
          <cell r="B5840" t="str">
            <v>Cifosis postlaminectomía</v>
          </cell>
        </row>
        <row r="5841">
          <cell r="A5841" t="str">
            <v>M96.4</v>
          </cell>
          <cell r="B5841" t="str">
            <v>Lordosis postquirúrgica</v>
          </cell>
        </row>
        <row r="5842">
          <cell r="A5842" t="str">
            <v>M96.5</v>
          </cell>
          <cell r="B5842" t="str">
            <v>Escoliosis postrradiación</v>
          </cell>
        </row>
        <row r="5843">
          <cell r="A5843" t="str">
            <v>M96.6</v>
          </cell>
          <cell r="B5843" t="str">
            <v>Fractura de hueso posterior a inserción o implante ortopédico, prótesis articular o placa ósea</v>
          </cell>
        </row>
        <row r="5844">
          <cell r="A5844" t="str">
            <v>M96.8</v>
          </cell>
          <cell r="B5844" t="str">
            <v>Otros trastornos osteomusculares consecutivos a procedimientos</v>
          </cell>
        </row>
        <row r="5845">
          <cell r="A5845" t="str">
            <v>M96.9</v>
          </cell>
          <cell r="B5845" t="str">
            <v>Trastornos osteomusculares no especificados consecutivos a procedimientos</v>
          </cell>
        </row>
        <row r="5846">
          <cell r="A5846" t="str">
            <v>M99</v>
          </cell>
          <cell r="B5846" t="str">
            <v>Lesiones biomecánicas, no clasificadas en otra parte</v>
          </cell>
        </row>
        <row r="5847">
          <cell r="A5847" t="str">
            <v>M99.0</v>
          </cell>
          <cell r="B5847" t="str">
            <v>Disfunción segmental o somática</v>
          </cell>
        </row>
        <row r="5848">
          <cell r="A5848" t="str">
            <v>M99.1</v>
          </cell>
          <cell r="B5848" t="str">
            <v>Complejo de subluxación (vertebral)</v>
          </cell>
        </row>
        <row r="5849">
          <cell r="A5849" t="str">
            <v>M99.2</v>
          </cell>
          <cell r="B5849" t="str">
            <v>Subluxación con estenosis del canal neural</v>
          </cell>
        </row>
        <row r="5850">
          <cell r="A5850" t="str">
            <v>M99.3</v>
          </cell>
          <cell r="B5850" t="str">
            <v>Estenosis ósea del canal neural</v>
          </cell>
        </row>
        <row r="5851">
          <cell r="A5851" t="str">
            <v>M99.4</v>
          </cell>
          <cell r="B5851" t="str">
            <v>Estenosis del canal neural por tejido conjuntivo</v>
          </cell>
        </row>
        <row r="5852">
          <cell r="A5852" t="str">
            <v>M99.5</v>
          </cell>
          <cell r="B5852" t="str">
            <v>Estenosis del canal neural por disco intervertebral</v>
          </cell>
        </row>
        <row r="5853">
          <cell r="A5853" t="str">
            <v>M99.6</v>
          </cell>
          <cell r="B5853" t="str">
            <v>Estenosis ósea y subluxación de los agujeros intervertebrales</v>
          </cell>
        </row>
        <row r="5854">
          <cell r="A5854" t="str">
            <v>M99.7</v>
          </cell>
          <cell r="B5854" t="str">
            <v>Estenosis de los agujeros intervertebrales por tejido conjuntivo o por disco intervertebral</v>
          </cell>
        </row>
        <row r="5855">
          <cell r="A5855" t="str">
            <v>M99.8</v>
          </cell>
          <cell r="B5855" t="str">
            <v>Otras lesiones biomecánicas</v>
          </cell>
        </row>
        <row r="5856">
          <cell r="A5856" t="str">
            <v>M99.9</v>
          </cell>
          <cell r="B5856" t="str">
            <v>Lesión biomecánica, no especificada</v>
          </cell>
        </row>
        <row r="5857">
          <cell r="A5857" t="str">
            <v>N</v>
          </cell>
          <cell r="B5857" t="str">
            <v>Transtonos Renales y Genitourinarios</v>
          </cell>
        </row>
        <row r="5858">
          <cell r="A5858" t="str">
            <v>N00</v>
          </cell>
          <cell r="B5858" t="str">
            <v>Síndrome nefrítico agudo</v>
          </cell>
        </row>
        <row r="5859">
          <cell r="A5859" t="str">
            <v>N00.0</v>
          </cell>
          <cell r="B5859" t="str">
            <v>Síndrome nefrítico agudo,  anomalía glomerular mínima</v>
          </cell>
        </row>
        <row r="5860">
          <cell r="A5860" t="str">
            <v>N00.1</v>
          </cell>
          <cell r="B5860" t="str">
            <v>Síndrome nefrítico agudo, lesiones glomerulares focales y segmentarias</v>
          </cell>
        </row>
        <row r="5861">
          <cell r="A5861" t="str">
            <v>N00.2</v>
          </cell>
          <cell r="B5861" t="str">
            <v>Síndrome nefrítico agudo, glomerulonefritis membranosa difusa</v>
          </cell>
        </row>
        <row r="5862">
          <cell r="A5862" t="str">
            <v>N00.3</v>
          </cell>
          <cell r="B5862" t="str">
            <v>Síndrome nefrítico agudo, glomerulonefritis proliferativa mesangial difusa</v>
          </cell>
        </row>
        <row r="5863">
          <cell r="A5863" t="str">
            <v>N00.4</v>
          </cell>
          <cell r="B5863" t="str">
            <v>Síndrome nefrítico agudo, glomerulonefritis proliferativa endocapilar difusa</v>
          </cell>
        </row>
        <row r="5864">
          <cell r="A5864" t="str">
            <v>N00.5</v>
          </cell>
          <cell r="B5864" t="str">
            <v>Síndrome nefrítico agudo, glomerulonefritis mesangiocapilar difusa</v>
          </cell>
        </row>
        <row r="5865">
          <cell r="A5865" t="str">
            <v>N00.6</v>
          </cell>
          <cell r="B5865" t="str">
            <v>Síndrome nefrítico agudo, enfermedad por depósitos densos</v>
          </cell>
        </row>
        <row r="5866">
          <cell r="A5866" t="str">
            <v>N00.7</v>
          </cell>
          <cell r="B5866" t="str">
            <v>Síndrome nefrítico agudo, glomerulonefritis difusa en media luna</v>
          </cell>
        </row>
        <row r="5867">
          <cell r="A5867" t="str">
            <v>N00.8</v>
          </cell>
          <cell r="B5867" t="str">
            <v>Síndrome nefrítico agudo, otras</v>
          </cell>
        </row>
        <row r="5868">
          <cell r="A5868" t="str">
            <v>N00.9</v>
          </cell>
          <cell r="B5868" t="str">
            <v>Síndrome nefrítico agudo, no especificada</v>
          </cell>
        </row>
        <row r="5869">
          <cell r="A5869" t="str">
            <v>N01</v>
          </cell>
          <cell r="B5869" t="str">
            <v>Síndrome nefrítico rápidamente progresivo</v>
          </cell>
        </row>
        <row r="5870">
          <cell r="A5870" t="str">
            <v>N01.0</v>
          </cell>
          <cell r="B5870" t="str">
            <v>Síndrome nefrítico rápidamente progresivo, anomalía glomerular mínima</v>
          </cell>
        </row>
        <row r="5871">
          <cell r="A5871" t="str">
            <v>N01.1</v>
          </cell>
          <cell r="B5871" t="str">
            <v>Síndrome nefrítico rápidamente progresivo, lesiones glomerulares focales y segmentarias</v>
          </cell>
        </row>
        <row r="5872">
          <cell r="A5872" t="str">
            <v>N01.2</v>
          </cell>
          <cell r="B5872" t="str">
            <v>Síndrome nefrítico rápidamente progresivo, glomerulonefritis membranosa difusa</v>
          </cell>
        </row>
        <row r="5873">
          <cell r="A5873" t="str">
            <v>N01.3</v>
          </cell>
          <cell r="B5873" t="str">
            <v>Síndrome nefrítico rápidamente progresivo, glomerulonefritis proliferativa mesangial difusa</v>
          </cell>
        </row>
        <row r="5874">
          <cell r="A5874" t="str">
            <v>N01.4</v>
          </cell>
          <cell r="B5874" t="str">
            <v>Síndrome nefrítico rápidamente progresivo, glomerulonefritis proliferativa endocapilar difusa</v>
          </cell>
        </row>
        <row r="5875">
          <cell r="A5875" t="str">
            <v>N01.5</v>
          </cell>
          <cell r="B5875" t="str">
            <v>Síndrome nefrítico rápidamente progresivo, glomerulonefritis mesangiocapilar difusa</v>
          </cell>
        </row>
        <row r="5876">
          <cell r="A5876" t="str">
            <v>N01.6</v>
          </cell>
          <cell r="B5876" t="str">
            <v>Síndrome nefrítico rápidamente progresivo, enfermedad por depósitos densos</v>
          </cell>
        </row>
        <row r="5877">
          <cell r="A5877" t="str">
            <v>N01.7</v>
          </cell>
          <cell r="B5877" t="str">
            <v>Síndrome nefrítico rápidamente progresivo, glomerulonefritis difusa en media luna</v>
          </cell>
        </row>
        <row r="5878">
          <cell r="A5878" t="str">
            <v>N01.8</v>
          </cell>
          <cell r="B5878" t="str">
            <v>Síndrome nefrítico rápidamente progresivo, otras</v>
          </cell>
        </row>
        <row r="5879">
          <cell r="A5879" t="str">
            <v>N01.9</v>
          </cell>
          <cell r="B5879" t="str">
            <v>Síndrome nefrítico rápidamente progresivo, no especificada</v>
          </cell>
        </row>
        <row r="5880">
          <cell r="A5880" t="str">
            <v>N02</v>
          </cell>
          <cell r="B5880" t="str">
            <v>Hematuria recurrente y persistente</v>
          </cell>
        </row>
        <row r="5881">
          <cell r="A5881" t="str">
            <v>N02.0</v>
          </cell>
          <cell r="B5881" t="str">
            <v>Hematuria recurrente y persistente, anomalía glomerular mínima</v>
          </cell>
        </row>
        <row r="5882">
          <cell r="A5882" t="str">
            <v>N02.1</v>
          </cell>
          <cell r="B5882" t="str">
            <v>Hematuria recurrente y persistente, lesiones glomerulares focales y segmentarias</v>
          </cell>
        </row>
        <row r="5883">
          <cell r="A5883" t="str">
            <v>N02.2</v>
          </cell>
          <cell r="B5883" t="str">
            <v>Hematuria recurrente y persistente, glomerulonefritis membranosa difusa</v>
          </cell>
        </row>
        <row r="5884">
          <cell r="A5884" t="str">
            <v>N02.3</v>
          </cell>
          <cell r="B5884" t="str">
            <v>Hematuria recurrente y persistente, glomerulonefritis proliferativa mesangial difusa</v>
          </cell>
        </row>
        <row r="5885">
          <cell r="A5885" t="str">
            <v>N02.4</v>
          </cell>
          <cell r="B5885" t="str">
            <v>Hematuria recurrente y persistente, glomerulonefritis proliferativa endocapilar difusa</v>
          </cell>
        </row>
        <row r="5886">
          <cell r="A5886" t="str">
            <v>N02.5</v>
          </cell>
          <cell r="B5886" t="str">
            <v>Hematuria recurrente y persistente, glomerulonefritis mesangiocapilar difusa</v>
          </cell>
        </row>
        <row r="5887">
          <cell r="A5887" t="str">
            <v>N02.6</v>
          </cell>
          <cell r="B5887" t="str">
            <v>Hematuria recurrente y persistente, enfermedad por depósitos densos</v>
          </cell>
        </row>
        <row r="5888">
          <cell r="A5888" t="str">
            <v>N02.7</v>
          </cell>
          <cell r="B5888" t="str">
            <v>Hematuria recurrente y persistente, glomerulonefritis difusa en media luna</v>
          </cell>
        </row>
        <row r="5889">
          <cell r="A5889" t="str">
            <v>N02.8</v>
          </cell>
          <cell r="B5889" t="str">
            <v>Hematuria recurrente y persistente, otras</v>
          </cell>
        </row>
        <row r="5890">
          <cell r="A5890" t="str">
            <v>N02.9</v>
          </cell>
          <cell r="B5890" t="str">
            <v>Hematuria recurrente y persistente, no especificada</v>
          </cell>
        </row>
        <row r="5891">
          <cell r="A5891" t="str">
            <v>N03</v>
          </cell>
          <cell r="B5891" t="str">
            <v>Síndrome nefrítico crónico</v>
          </cell>
        </row>
        <row r="5892">
          <cell r="A5892" t="str">
            <v>N03.0</v>
          </cell>
          <cell r="B5892" t="str">
            <v>Síndrome nefrítico crónico, anomalía glomerular mínima</v>
          </cell>
        </row>
        <row r="5893">
          <cell r="A5893" t="str">
            <v>N03.1</v>
          </cell>
          <cell r="B5893" t="str">
            <v>Síndrome nefrítico crónico, lesiones glomerulares focales y segmentarias</v>
          </cell>
        </row>
        <row r="5894">
          <cell r="A5894" t="str">
            <v>N03.2</v>
          </cell>
          <cell r="B5894" t="str">
            <v>Síndrome nefrítico crónico, glomerulonefritis membranosa difusa</v>
          </cell>
        </row>
        <row r="5895">
          <cell r="A5895" t="str">
            <v>N03.3</v>
          </cell>
          <cell r="B5895" t="str">
            <v>Síndrome nefrítico crónico, glomerulonefritis proliferativa mesangial difusa</v>
          </cell>
        </row>
        <row r="5896">
          <cell r="A5896" t="str">
            <v>N03.4</v>
          </cell>
          <cell r="B5896" t="str">
            <v>Síndrome nefrítico crónico, glomerulonefritis proliferativa endocapilar difusa</v>
          </cell>
        </row>
        <row r="5897">
          <cell r="A5897" t="str">
            <v>N03.5</v>
          </cell>
          <cell r="B5897" t="str">
            <v>Síndrome nefrítico crónico, glomerulonefritis mesangiocapilar difusa</v>
          </cell>
        </row>
        <row r="5898">
          <cell r="A5898" t="str">
            <v>N03.6</v>
          </cell>
          <cell r="B5898" t="str">
            <v>Síndrome nefrítico crónico, enfermedad por depósitos densos</v>
          </cell>
        </row>
        <row r="5899">
          <cell r="A5899" t="str">
            <v>N03.7</v>
          </cell>
          <cell r="B5899" t="str">
            <v>Síndrome nefrítico crónico, glomerulonefritis difusa en media luna</v>
          </cell>
        </row>
        <row r="5900">
          <cell r="A5900" t="str">
            <v>N03.8</v>
          </cell>
          <cell r="B5900" t="str">
            <v>Síndrome nefrítico crónico, otras</v>
          </cell>
        </row>
        <row r="5901">
          <cell r="A5901" t="str">
            <v>N03.9</v>
          </cell>
          <cell r="B5901" t="str">
            <v>Síndrome nefrítico crónico, no especificada</v>
          </cell>
        </row>
        <row r="5902">
          <cell r="A5902" t="str">
            <v>N04</v>
          </cell>
          <cell r="B5902" t="str">
            <v>Síndrome nefrótico</v>
          </cell>
        </row>
        <row r="5903">
          <cell r="A5903" t="str">
            <v>N04.0</v>
          </cell>
          <cell r="B5903" t="str">
            <v>Síndrome nefrótico,  anomalía glomerular mínima</v>
          </cell>
        </row>
        <row r="5904">
          <cell r="A5904" t="str">
            <v>N04.1</v>
          </cell>
          <cell r="B5904" t="str">
            <v>Síndrome nefrótico, lesiones glomerulares focales y segmentarias</v>
          </cell>
        </row>
        <row r="5905">
          <cell r="A5905" t="str">
            <v>N04.2</v>
          </cell>
          <cell r="B5905" t="str">
            <v>Síndrome nefrótico, glomerulonefritis membranosa difusa</v>
          </cell>
        </row>
        <row r="5906">
          <cell r="A5906" t="str">
            <v>N04.3</v>
          </cell>
          <cell r="B5906" t="str">
            <v>Síndrome nefrótico, glomerulonefritis proliferativa mesangial difusa</v>
          </cell>
        </row>
        <row r="5907">
          <cell r="A5907" t="str">
            <v>N04.4</v>
          </cell>
          <cell r="B5907" t="str">
            <v>Síndrome nefrótico, glomerulonefritis proliferativa endocapilar difusa</v>
          </cell>
        </row>
        <row r="5908">
          <cell r="A5908" t="str">
            <v>N04.5</v>
          </cell>
          <cell r="B5908" t="str">
            <v>Síndrome nefrótico, glomerulonefritis mesangiocapilar difusa</v>
          </cell>
        </row>
        <row r="5909">
          <cell r="A5909" t="str">
            <v>N04.6</v>
          </cell>
          <cell r="B5909" t="str">
            <v>Síndrome nefrótico, enfermedad por depósitos densos</v>
          </cell>
        </row>
        <row r="5910">
          <cell r="A5910" t="str">
            <v>N04.7</v>
          </cell>
          <cell r="B5910" t="str">
            <v>Síndrome nefrótico, glomerulonefritis difusa en media luna</v>
          </cell>
        </row>
        <row r="5911">
          <cell r="A5911" t="str">
            <v>N04.8</v>
          </cell>
          <cell r="B5911" t="str">
            <v>Síndrome nefrótico, otras</v>
          </cell>
        </row>
        <row r="5912">
          <cell r="A5912" t="str">
            <v>N04.9</v>
          </cell>
          <cell r="B5912" t="str">
            <v>Síndrome nefrótico, no especificada</v>
          </cell>
        </row>
        <row r="5913">
          <cell r="A5913" t="str">
            <v>N05</v>
          </cell>
          <cell r="B5913" t="str">
            <v>Síndrome nefrítico no especificado</v>
          </cell>
        </row>
        <row r="5914">
          <cell r="A5914" t="str">
            <v>N05.0</v>
          </cell>
          <cell r="B5914" t="str">
            <v>Síndrome nefrítico no especificado,  anomalía glomerular mínima</v>
          </cell>
        </row>
        <row r="5915">
          <cell r="A5915" t="str">
            <v>N05.1</v>
          </cell>
          <cell r="B5915" t="str">
            <v>Síndrome nefrítico no especificado, lesiones glomerulares focales y segmentarias</v>
          </cell>
        </row>
        <row r="5916">
          <cell r="A5916" t="str">
            <v>N05.2</v>
          </cell>
          <cell r="B5916" t="str">
            <v>Síndrome nefrítico no especificado, glomerulonefritis membranosa difusa</v>
          </cell>
        </row>
        <row r="5917">
          <cell r="A5917" t="str">
            <v>N05.3</v>
          </cell>
          <cell r="B5917" t="str">
            <v>Síndrome nefrítico no especificado, glomerulonefritis proliferativa mesangial difusa</v>
          </cell>
        </row>
        <row r="5918">
          <cell r="A5918" t="str">
            <v>N05.4</v>
          </cell>
          <cell r="B5918" t="str">
            <v>Síndrome nefrítico no especificado, glomerulonefritis proliferativa endocapilar difusa</v>
          </cell>
        </row>
        <row r="5919">
          <cell r="A5919" t="str">
            <v>N05.5</v>
          </cell>
          <cell r="B5919" t="str">
            <v>Síndrome nefrítico no especificado, glomerulonefritis mesangiocapilar difusa</v>
          </cell>
        </row>
        <row r="5920">
          <cell r="A5920" t="str">
            <v>N05.6</v>
          </cell>
          <cell r="B5920" t="str">
            <v>Síndrome nefrítico no especificado, enfermedad por depósitos densos</v>
          </cell>
        </row>
        <row r="5921">
          <cell r="A5921" t="str">
            <v>N05.7</v>
          </cell>
          <cell r="B5921" t="str">
            <v>Síndrome nefrítico no especificado, glomerulonefritis difusa en media luna</v>
          </cell>
        </row>
        <row r="5922">
          <cell r="A5922" t="str">
            <v>N05.8</v>
          </cell>
          <cell r="B5922" t="str">
            <v>Síndrome nefrítico no especificado, otras</v>
          </cell>
        </row>
        <row r="5923">
          <cell r="A5923" t="str">
            <v>N05.9</v>
          </cell>
          <cell r="B5923" t="str">
            <v>Síndrome nefrítico no especificado, no especificada</v>
          </cell>
        </row>
        <row r="5924">
          <cell r="A5924" t="str">
            <v>N06</v>
          </cell>
          <cell r="B5924" t="str">
            <v>Proteinuria aislada con lesión morfológica especificada</v>
          </cell>
        </row>
        <row r="5925">
          <cell r="A5925" t="str">
            <v>N06.0</v>
          </cell>
          <cell r="B5925" t="str">
            <v>Proteinuria aislada con lesión morfológica especificada,  anomalía glomerular mínima</v>
          </cell>
        </row>
        <row r="5926">
          <cell r="A5926" t="str">
            <v>N06.1</v>
          </cell>
          <cell r="B5926" t="str">
            <v>Proteinuria aislada con lesión morfológica especificada, lesiones glomerulares focales y segmentarias</v>
          </cell>
        </row>
        <row r="5927">
          <cell r="A5927" t="str">
            <v>N06.2</v>
          </cell>
          <cell r="B5927" t="str">
            <v>Proteinuria aislada con lesión morfológica especificada, glomerulonefritis membranosa difusa</v>
          </cell>
        </row>
        <row r="5928">
          <cell r="A5928" t="str">
            <v>N06.3</v>
          </cell>
          <cell r="B5928" t="str">
            <v>Proteinuria aislada con lesión morfológica especificada, glomerulonefritis proliferativa mesangial difusa</v>
          </cell>
        </row>
        <row r="5929">
          <cell r="A5929" t="str">
            <v>N06.4</v>
          </cell>
          <cell r="B5929" t="str">
            <v>Proteinuria aislada con lesión morfológica especificada, glomerulonefritis proliferativa endocapilar difusa</v>
          </cell>
        </row>
        <row r="5930">
          <cell r="A5930" t="str">
            <v>N06.5</v>
          </cell>
          <cell r="B5930" t="str">
            <v>Proteinuria aislada con lesión morfológica especificada, glomerulonefritis mesangiocapilar difusa</v>
          </cell>
        </row>
        <row r="5931">
          <cell r="A5931" t="str">
            <v>N06.6</v>
          </cell>
          <cell r="B5931" t="str">
            <v>Proteinuria aislada con lesión morfológica especificada, enfermedad por depósitos densos</v>
          </cell>
        </row>
        <row r="5932">
          <cell r="A5932" t="str">
            <v>N06.7</v>
          </cell>
          <cell r="B5932" t="str">
            <v>Proteinuria aislada con lesión morfológica especificada, glomerulonefritis difusa en media luna</v>
          </cell>
        </row>
        <row r="5933">
          <cell r="A5933" t="str">
            <v>N06.8</v>
          </cell>
          <cell r="B5933" t="str">
            <v>Proteinuria aislada con lesión morfológica especificada, otras</v>
          </cell>
        </row>
        <row r="5934">
          <cell r="A5934" t="str">
            <v>N06.9</v>
          </cell>
          <cell r="B5934" t="str">
            <v>Proteinuria aislada con lesión morfológica especificada, no especificada</v>
          </cell>
        </row>
        <row r="5935">
          <cell r="A5935" t="str">
            <v>N07</v>
          </cell>
          <cell r="B5935" t="str">
            <v>Nefropatía hereditaria, no clasificada en otra parte</v>
          </cell>
        </row>
        <row r="5936">
          <cell r="A5936" t="str">
            <v>N07.0</v>
          </cell>
          <cell r="B5936" t="str">
            <v>Nefropatía hereditaria, no clasificada en otra parte,  anomalía glomerular mínima</v>
          </cell>
        </row>
        <row r="5937">
          <cell r="A5937" t="str">
            <v>N07.1</v>
          </cell>
          <cell r="B5937" t="str">
            <v>Nefropatía hereditaria, no clasificada en otra parte, lesiones glomerulares focales y segmentarias</v>
          </cell>
        </row>
        <row r="5938">
          <cell r="A5938" t="str">
            <v>N07.2</v>
          </cell>
          <cell r="B5938" t="str">
            <v>Nefropatía hereditaria, no clasificada en otra parte, glomerulonefritis membranosa difusa</v>
          </cell>
        </row>
        <row r="5939">
          <cell r="A5939" t="str">
            <v>N07.3</v>
          </cell>
          <cell r="B5939" t="str">
            <v>Nefropatía hereditaria, no clasificada en otra parte, glomerulonefritis proliferativa mesangial difusa</v>
          </cell>
        </row>
        <row r="5940">
          <cell r="A5940" t="str">
            <v>N07.4</v>
          </cell>
          <cell r="B5940" t="str">
            <v>Nefropatía hereditaria, no clasificada en otra parte, glomerulonefritis proliferativa endocapilar difusa</v>
          </cell>
        </row>
        <row r="5941">
          <cell r="A5941" t="str">
            <v>N07.5</v>
          </cell>
          <cell r="B5941" t="str">
            <v>Nefropatía hereditaria, no clasificada en otra parte, glomerulonefritis mesangiocapilar difusa</v>
          </cell>
        </row>
        <row r="5942">
          <cell r="A5942" t="str">
            <v>N07.6</v>
          </cell>
          <cell r="B5942" t="str">
            <v>Nefropatía hereditaria, no clasificada en otra parte, enfermedad por depósitos densos</v>
          </cell>
        </row>
        <row r="5943">
          <cell r="A5943" t="str">
            <v>N07.7</v>
          </cell>
          <cell r="B5943" t="str">
            <v>Nefropatía hereditaria, no clasificada en otra parte, glomerulonefritis difusa en media luna</v>
          </cell>
        </row>
        <row r="5944">
          <cell r="A5944" t="str">
            <v>N07.8</v>
          </cell>
          <cell r="B5944" t="str">
            <v>Nefropatía hereditaria, no clasificada en otra parte, otras</v>
          </cell>
        </row>
        <row r="5945">
          <cell r="A5945" t="str">
            <v>N07.9</v>
          </cell>
          <cell r="B5945" t="str">
            <v>Nefropatía hereditaria, no clasificada en otra parte, no especificada</v>
          </cell>
        </row>
        <row r="5946">
          <cell r="A5946" t="str">
            <v>N08*</v>
          </cell>
          <cell r="B5946" t="str">
            <v>Trastornos glomerulares en enfermedades clasificadas en otra parte</v>
          </cell>
        </row>
        <row r="5947">
          <cell r="A5947" t="str">
            <v>N08.0*</v>
          </cell>
          <cell r="B5947" t="str">
            <v>Trastornos glomerulares en enfermedades infecciosas y parasitarias clasificadas en otra parte</v>
          </cell>
        </row>
        <row r="5948">
          <cell r="A5948" t="str">
            <v>N08.1*</v>
          </cell>
          <cell r="B5948" t="str">
            <v>Trastornos glomerulares en enfermedades neoplásicas</v>
          </cell>
        </row>
        <row r="5949">
          <cell r="A5949" t="str">
            <v>N08.2*</v>
          </cell>
          <cell r="B5949" t="str">
            <v>Trastornos glomerulares en enfermedades de la sangre y otros trastornos que afectan al mecanismo inmunitario</v>
          </cell>
        </row>
        <row r="5950">
          <cell r="A5950" t="str">
            <v>N08.3*</v>
          </cell>
          <cell r="B5950" t="str">
            <v>Trastornos glomerulares en diabetes mellitus (E10-E14+ con cuarto carácter común .2)</v>
          </cell>
        </row>
        <row r="5951">
          <cell r="A5951" t="str">
            <v>N08.4*</v>
          </cell>
          <cell r="B5951" t="str">
            <v>Trastornos glomerulares en otras enfermedades endocrinas, nutricionales y metabólicas</v>
          </cell>
        </row>
        <row r="5952">
          <cell r="A5952" t="str">
            <v>N08.5*</v>
          </cell>
          <cell r="B5952" t="str">
            <v>Trastornos glomerulares en trastornos sistémicos del tejido conjuntivo</v>
          </cell>
        </row>
        <row r="5953">
          <cell r="A5953" t="str">
            <v>N08.8*</v>
          </cell>
          <cell r="B5953" t="str">
            <v>Trastornos glomerulares en otras enfermedades clasificadas en otra parte</v>
          </cell>
        </row>
        <row r="5954">
          <cell r="A5954" t="str">
            <v>N10.X</v>
          </cell>
          <cell r="B5954" t="str">
            <v>Nefritis tubulointersticial aguda</v>
          </cell>
        </row>
        <row r="5955">
          <cell r="A5955" t="str">
            <v>N11</v>
          </cell>
          <cell r="B5955" t="str">
            <v>Nefritis tubulointersticial crónica</v>
          </cell>
        </row>
        <row r="5956">
          <cell r="A5956" t="str">
            <v>N11.0</v>
          </cell>
          <cell r="B5956" t="str">
            <v>Pielonefritis crónica no obstructiva asociada con reflujo</v>
          </cell>
        </row>
        <row r="5957">
          <cell r="A5957" t="str">
            <v>N11.1</v>
          </cell>
          <cell r="B5957" t="str">
            <v>Pielonefritis crónica obstructiva</v>
          </cell>
        </row>
        <row r="5958">
          <cell r="A5958" t="str">
            <v>N11.8</v>
          </cell>
          <cell r="B5958" t="str">
            <v>Otras nefritis tubulointersticiales crónicas</v>
          </cell>
        </row>
        <row r="5959">
          <cell r="A5959" t="str">
            <v>N11.9</v>
          </cell>
          <cell r="B5959" t="str">
            <v>Nefritis tubulointersticial crónica, sin otra especificación</v>
          </cell>
        </row>
        <row r="5960">
          <cell r="A5960" t="str">
            <v>N12.X</v>
          </cell>
          <cell r="B5960" t="str">
            <v>Nefritis tubulointersticial, no especificada como aguda o crónica</v>
          </cell>
        </row>
        <row r="5961">
          <cell r="A5961" t="str">
            <v>N13</v>
          </cell>
          <cell r="B5961" t="str">
            <v>Uropatía obstructiva y por reflujo</v>
          </cell>
        </row>
        <row r="5962">
          <cell r="A5962" t="str">
            <v>N13.0</v>
          </cell>
          <cell r="B5962" t="str">
            <v>Hidronefrosis con obstrucción de la unión urétero-pélvica</v>
          </cell>
        </row>
        <row r="5963">
          <cell r="A5963" t="str">
            <v>N13.1</v>
          </cell>
          <cell r="B5963" t="str">
            <v>Hidronefrosis con estrechez ureteral, no clasificada en otra parte</v>
          </cell>
        </row>
        <row r="5964">
          <cell r="A5964" t="str">
            <v>N13.2</v>
          </cell>
          <cell r="B5964" t="str">
            <v>Hidronefrosis con obstrucción por cálculos del riñón y del uréter</v>
          </cell>
        </row>
        <row r="5965">
          <cell r="A5965" t="str">
            <v>N13.3</v>
          </cell>
          <cell r="B5965" t="str">
            <v>Otras hidronefrosis y las no especificadas</v>
          </cell>
        </row>
        <row r="5966">
          <cell r="A5966" t="str">
            <v>N13.4</v>
          </cell>
          <cell r="B5966" t="str">
            <v>Hidrouréter</v>
          </cell>
        </row>
        <row r="5967">
          <cell r="A5967" t="str">
            <v>N13.5</v>
          </cell>
          <cell r="B5967" t="str">
            <v>Torsión y estrechez del uréter sin hidronefrosis</v>
          </cell>
        </row>
        <row r="5968">
          <cell r="A5968" t="str">
            <v>N13.6</v>
          </cell>
          <cell r="B5968" t="str">
            <v>Pionefrosis</v>
          </cell>
        </row>
        <row r="5969">
          <cell r="A5969" t="str">
            <v>N13.7</v>
          </cell>
          <cell r="B5969" t="str">
            <v>Uropatía asociada con reflujo vesicoureteral</v>
          </cell>
        </row>
        <row r="5970">
          <cell r="A5970" t="str">
            <v>N13.8</v>
          </cell>
          <cell r="B5970" t="str">
            <v>Otras uropatías obstructivas y por reflujo</v>
          </cell>
        </row>
        <row r="5971">
          <cell r="A5971" t="str">
            <v>N13.9</v>
          </cell>
          <cell r="B5971" t="str">
            <v>Uropatía obstructiva y por reflujo, sin otra especificación</v>
          </cell>
        </row>
        <row r="5972">
          <cell r="A5972" t="str">
            <v>N14</v>
          </cell>
          <cell r="B5972" t="str">
            <v>Afecciones tubulares y tubulointersticiales inducidas por drogas y por metales pesados</v>
          </cell>
        </row>
        <row r="5973">
          <cell r="A5973" t="str">
            <v>N14.0</v>
          </cell>
          <cell r="B5973" t="str">
            <v>Nefropatía inducida por analgésicos</v>
          </cell>
        </row>
        <row r="5974">
          <cell r="A5974" t="str">
            <v>N14.1</v>
          </cell>
          <cell r="B5974" t="str">
            <v>Nefropatía inducida por otras drogas, medicamentos y sustancias biológicas</v>
          </cell>
        </row>
        <row r="5975">
          <cell r="A5975" t="str">
            <v>N14.2</v>
          </cell>
          <cell r="B5975" t="str">
            <v>Nefropatía inducida por drogas, medicamentos y sustancias biológicas no especificadas</v>
          </cell>
        </row>
        <row r="5976">
          <cell r="A5976" t="str">
            <v>N14.3</v>
          </cell>
          <cell r="B5976" t="str">
            <v>Nefropatía inducida por metales pesados</v>
          </cell>
        </row>
        <row r="5977">
          <cell r="A5977" t="str">
            <v>N14.4</v>
          </cell>
          <cell r="B5977" t="str">
            <v>Nefropatía tóxica, no clasificada en otra parte</v>
          </cell>
        </row>
        <row r="5978">
          <cell r="A5978" t="str">
            <v>N15</v>
          </cell>
          <cell r="B5978" t="str">
            <v>Otras enfermedades renales tubulointersticiales</v>
          </cell>
        </row>
        <row r="5979">
          <cell r="A5979" t="str">
            <v>N15.0</v>
          </cell>
          <cell r="B5979" t="str">
            <v>Nefropatía de los Balcanes</v>
          </cell>
        </row>
        <row r="5980">
          <cell r="A5980" t="str">
            <v>N15.1</v>
          </cell>
          <cell r="B5980" t="str">
            <v>Absceso renal y perirrenal</v>
          </cell>
        </row>
        <row r="5981">
          <cell r="A5981" t="str">
            <v>N15.8</v>
          </cell>
          <cell r="B5981" t="str">
            <v>Otras enfermedades renales tubulointersticiales especificadas</v>
          </cell>
        </row>
        <row r="5982">
          <cell r="A5982" t="str">
            <v>N15.9</v>
          </cell>
          <cell r="B5982" t="str">
            <v>Enfermedad renal tubulointersticial, no especificada</v>
          </cell>
        </row>
        <row r="5983">
          <cell r="A5983" t="str">
            <v>N16*</v>
          </cell>
          <cell r="B5983" t="str">
            <v>Trastornos renales tubulointersticiales en enfermedades clasificadas en otra parte</v>
          </cell>
        </row>
        <row r="5984">
          <cell r="A5984" t="str">
            <v>N16.0*</v>
          </cell>
          <cell r="B5984" t="str">
            <v>Trastornos renales tubulointersticiales en enfermedades infecciosas y parasitarias clasificadas en otra parte</v>
          </cell>
        </row>
        <row r="5985">
          <cell r="A5985" t="str">
            <v>N16.1*</v>
          </cell>
          <cell r="B5985" t="str">
            <v>Trastornos renales tubulointersticiales en enfermedades neoplásicas</v>
          </cell>
        </row>
        <row r="5986">
          <cell r="A5986" t="str">
            <v>N16.2*</v>
          </cell>
          <cell r="B5986" t="str">
            <v>Trastornos renales tubulointersticiales en enfermedades de la sangre y en trastornos que afectan el mecanismo inmunitario</v>
          </cell>
        </row>
        <row r="5987">
          <cell r="A5987" t="str">
            <v>N16.3*</v>
          </cell>
          <cell r="B5987" t="str">
            <v>Trastornos renales tubulointersticiales en enfermedades metabólicas</v>
          </cell>
        </row>
        <row r="5988">
          <cell r="A5988" t="str">
            <v>N16.4*</v>
          </cell>
          <cell r="B5988" t="str">
            <v>Trastornos renales tubulointersticiales en enfermedades del tejido conjuntivo</v>
          </cell>
        </row>
        <row r="5989">
          <cell r="A5989" t="str">
            <v>N16.5*</v>
          </cell>
          <cell r="B5989" t="str">
            <v>Trastornos renales tubulointersticiales en rechazo de trasplante (T86.-+)</v>
          </cell>
        </row>
        <row r="5990">
          <cell r="A5990" t="str">
            <v>N16.8*</v>
          </cell>
          <cell r="B5990" t="str">
            <v>Trastornos renales tubulointersticiales en otras enfermedades clasificadas en otra parte</v>
          </cell>
        </row>
        <row r="5991">
          <cell r="A5991" t="str">
            <v>N17</v>
          </cell>
          <cell r="B5991" t="str">
            <v>Insuficiencia renal aguda</v>
          </cell>
        </row>
        <row r="5992">
          <cell r="A5992" t="str">
            <v>N17.0</v>
          </cell>
          <cell r="B5992" t="str">
            <v>Insuficiencia renal aguda con necrosis tubular</v>
          </cell>
        </row>
        <row r="5993">
          <cell r="A5993" t="str">
            <v>N17.1</v>
          </cell>
          <cell r="B5993" t="str">
            <v>Insuficiencia renal aguda con necrosis cortical aguda</v>
          </cell>
        </row>
        <row r="5994">
          <cell r="A5994" t="str">
            <v>N17.2</v>
          </cell>
          <cell r="B5994" t="str">
            <v>Insuficiencia renal aguda con necrosis medular</v>
          </cell>
        </row>
        <row r="5995">
          <cell r="A5995" t="str">
            <v>N17.8</v>
          </cell>
          <cell r="B5995" t="str">
            <v>Otras insuficiencias renales agudas</v>
          </cell>
        </row>
        <row r="5996">
          <cell r="A5996" t="str">
            <v>N17.9</v>
          </cell>
          <cell r="B5996" t="str">
            <v>Insuficiencia renal aguda, no especificada</v>
          </cell>
        </row>
        <row r="5997">
          <cell r="A5997" t="str">
            <v>N18</v>
          </cell>
          <cell r="B5997" t="str">
            <v>Insuficiencia renal crónica</v>
          </cell>
        </row>
        <row r="5998">
          <cell r="A5998" t="str">
            <v>N18.0</v>
          </cell>
          <cell r="B5998" t="str">
            <v>Insuficiencia renal terminal</v>
          </cell>
        </row>
        <row r="5999">
          <cell r="A5999" t="str">
            <v>N18.8</v>
          </cell>
          <cell r="B5999" t="str">
            <v>Otras insuficiencias renales crónicas</v>
          </cell>
        </row>
        <row r="6000">
          <cell r="A6000" t="str">
            <v>N18.9</v>
          </cell>
          <cell r="B6000" t="str">
            <v>Insuficiencia renal crónica, no especificada</v>
          </cell>
        </row>
        <row r="6001">
          <cell r="A6001" t="str">
            <v>N19.X</v>
          </cell>
          <cell r="B6001" t="str">
            <v>Insuficiencia renal no especificada</v>
          </cell>
        </row>
        <row r="6002">
          <cell r="A6002" t="str">
            <v>N20</v>
          </cell>
          <cell r="B6002" t="str">
            <v>Cálculo del riñón y del uréter</v>
          </cell>
        </row>
        <row r="6003">
          <cell r="A6003" t="str">
            <v>N20.0</v>
          </cell>
          <cell r="B6003" t="str">
            <v>Cálculo del riñón</v>
          </cell>
        </row>
        <row r="6004">
          <cell r="A6004" t="str">
            <v>N20.1</v>
          </cell>
          <cell r="B6004" t="str">
            <v>Cálculo del uréter</v>
          </cell>
        </row>
        <row r="6005">
          <cell r="A6005" t="str">
            <v>N20.2</v>
          </cell>
          <cell r="B6005" t="str">
            <v>Cálculo del riñón con cálculo del uréter</v>
          </cell>
        </row>
        <row r="6006">
          <cell r="A6006" t="str">
            <v>N20.9</v>
          </cell>
          <cell r="B6006" t="str">
            <v>Cálculo urinario, no especificado</v>
          </cell>
        </row>
        <row r="6007">
          <cell r="A6007" t="str">
            <v>N21</v>
          </cell>
          <cell r="B6007" t="str">
            <v>Cálculo de las vías urinarias inferiores</v>
          </cell>
        </row>
        <row r="6008">
          <cell r="A6008" t="str">
            <v>N21.0</v>
          </cell>
          <cell r="B6008" t="str">
            <v>Cálculo en la vejiga</v>
          </cell>
        </row>
        <row r="6009">
          <cell r="A6009" t="str">
            <v>N21.1</v>
          </cell>
          <cell r="B6009" t="str">
            <v>Cálculo en la uretra</v>
          </cell>
        </row>
        <row r="6010">
          <cell r="A6010" t="str">
            <v>N21.8</v>
          </cell>
          <cell r="B6010" t="str">
            <v>Otros cálculos de las vías urinarias inferiores</v>
          </cell>
        </row>
        <row r="6011">
          <cell r="A6011" t="str">
            <v>N21.9</v>
          </cell>
          <cell r="B6011" t="str">
            <v>Cálculo de las vías urinarias inferiores, no especificado</v>
          </cell>
        </row>
        <row r="6012">
          <cell r="A6012" t="str">
            <v>N22*</v>
          </cell>
          <cell r="B6012" t="str">
            <v>Cálculo de las vías urinarias en enfermedades clasificadas en otra parte</v>
          </cell>
        </row>
        <row r="6013">
          <cell r="A6013" t="str">
            <v>N22.0*</v>
          </cell>
          <cell r="B6013" t="str">
            <v>Litiasis urinaria en esquistosomiasis [bilharziasis] (B65.-+)</v>
          </cell>
        </row>
        <row r="6014">
          <cell r="A6014" t="str">
            <v>N22.8*</v>
          </cell>
          <cell r="B6014" t="str">
            <v>Cálculo de las vías urinarias en otras enfermedades clasificadas en otra parte</v>
          </cell>
        </row>
        <row r="6015">
          <cell r="A6015" t="str">
            <v>N23.X</v>
          </cell>
          <cell r="B6015" t="str">
            <v>Cólico renal, no especificado</v>
          </cell>
        </row>
        <row r="6016">
          <cell r="A6016" t="str">
            <v>N25</v>
          </cell>
          <cell r="B6016" t="str">
            <v>Trastornos resultantes de la función tubular renal alterada</v>
          </cell>
        </row>
        <row r="6017">
          <cell r="A6017" t="str">
            <v>N25.0</v>
          </cell>
          <cell r="B6017" t="str">
            <v>Osteodistrofia renal</v>
          </cell>
        </row>
        <row r="6018">
          <cell r="A6018" t="str">
            <v>N25.1</v>
          </cell>
          <cell r="B6018" t="str">
            <v>Diabetes insípida nefrógena</v>
          </cell>
        </row>
        <row r="6019">
          <cell r="A6019" t="str">
            <v>N25.8</v>
          </cell>
          <cell r="B6019" t="str">
            <v>Otros trastornos resultantes de la función tubular renal alterada</v>
          </cell>
        </row>
        <row r="6020">
          <cell r="A6020" t="str">
            <v>N25.9</v>
          </cell>
          <cell r="B6020" t="str">
            <v>Trastorno no especificado, resultante de la función tubular renal alterada</v>
          </cell>
        </row>
        <row r="6021">
          <cell r="A6021" t="str">
            <v>N26.X</v>
          </cell>
          <cell r="B6021" t="str">
            <v>Riñón contraído, no especificado</v>
          </cell>
        </row>
        <row r="6022">
          <cell r="A6022" t="str">
            <v>N27</v>
          </cell>
          <cell r="B6022" t="str">
            <v>Riñón pequeño de causa desconocida</v>
          </cell>
        </row>
        <row r="6023">
          <cell r="A6023" t="str">
            <v>N27.0</v>
          </cell>
          <cell r="B6023" t="str">
            <v>Riñón pequeño, unilateral</v>
          </cell>
        </row>
        <row r="6024">
          <cell r="A6024" t="str">
            <v>N27.1</v>
          </cell>
          <cell r="B6024" t="str">
            <v>Riñón pequeño, bilateral</v>
          </cell>
        </row>
        <row r="6025">
          <cell r="A6025" t="str">
            <v>N27.9</v>
          </cell>
          <cell r="B6025" t="str">
            <v>Riñón pequeño, no especificado</v>
          </cell>
        </row>
        <row r="6026">
          <cell r="A6026" t="str">
            <v>N28</v>
          </cell>
          <cell r="B6026" t="str">
            <v>Otros trastornos del riñón y del uréter, no clasificados en otra parte</v>
          </cell>
        </row>
        <row r="6027">
          <cell r="A6027" t="str">
            <v>N28.0</v>
          </cell>
          <cell r="B6027" t="str">
            <v>Isquemia e infarto del riñón</v>
          </cell>
        </row>
        <row r="6028">
          <cell r="A6028" t="str">
            <v>N28.1</v>
          </cell>
          <cell r="B6028" t="str">
            <v>Quiste de riñón, adquirido</v>
          </cell>
        </row>
        <row r="6029">
          <cell r="A6029" t="str">
            <v>N28.8</v>
          </cell>
          <cell r="B6029" t="str">
            <v>Otros trastornos especificados del riñón y del uréter</v>
          </cell>
        </row>
        <row r="6030">
          <cell r="A6030" t="str">
            <v>N28.9</v>
          </cell>
          <cell r="B6030" t="str">
            <v>Trastorno del riñón y del uréter, no especificado</v>
          </cell>
        </row>
        <row r="6031">
          <cell r="A6031" t="str">
            <v>N29*</v>
          </cell>
          <cell r="B6031" t="str">
            <v>Otros trastornos del riñón y del uréter en enfermedades clasificadas en otra parte</v>
          </cell>
        </row>
        <row r="6032">
          <cell r="A6032" t="str">
            <v>N29.0*</v>
          </cell>
          <cell r="B6032" t="str">
            <v>Sífilis renal tardía (A52.7+)</v>
          </cell>
        </row>
        <row r="6033">
          <cell r="A6033" t="str">
            <v>N29.1*</v>
          </cell>
          <cell r="B6033" t="str">
            <v>Otros trastornos del riñón y del uréter en enfermedades infecciosas y parasitarias clasificadas en otra parte</v>
          </cell>
        </row>
        <row r="6034">
          <cell r="A6034" t="str">
            <v>N29.8*</v>
          </cell>
          <cell r="B6034" t="str">
            <v>Otros trastornos del riñón y del uréter en otras enfermedades clasificadas en otra parte</v>
          </cell>
        </row>
        <row r="6035">
          <cell r="A6035" t="str">
            <v>N30</v>
          </cell>
          <cell r="B6035" t="str">
            <v>Cistitis</v>
          </cell>
        </row>
        <row r="6036">
          <cell r="A6036" t="str">
            <v>N30.0</v>
          </cell>
          <cell r="B6036" t="str">
            <v>Cistitis aguda</v>
          </cell>
        </row>
        <row r="6037">
          <cell r="A6037" t="str">
            <v>N30.1</v>
          </cell>
          <cell r="B6037" t="str">
            <v>Cistitis intersticial (crónica)</v>
          </cell>
        </row>
        <row r="6038">
          <cell r="A6038" t="str">
            <v>N30.2</v>
          </cell>
          <cell r="B6038" t="str">
            <v>Otras cistitis crónicas</v>
          </cell>
        </row>
        <row r="6039">
          <cell r="A6039" t="str">
            <v>N30.3</v>
          </cell>
          <cell r="B6039" t="str">
            <v>Trigonitis</v>
          </cell>
        </row>
        <row r="6040">
          <cell r="A6040" t="str">
            <v>N30.4</v>
          </cell>
          <cell r="B6040" t="str">
            <v>Cistitis por irradiación</v>
          </cell>
        </row>
        <row r="6041">
          <cell r="A6041" t="str">
            <v>N30.8</v>
          </cell>
          <cell r="B6041" t="str">
            <v>Otras cistitis</v>
          </cell>
        </row>
        <row r="6042">
          <cell r="A6042" t="str">
            <v>N30.9</v>
          </cell>
          <cell r="B6042" t="str">
            <v>Cistitis, no especificada</v>
          </cell>
        </row>
        <row r="6043">
          <cell r="A6043" t="str">
            <v>N31</v>
          </cell>
          <cell r="B6043" t="str">
            <v>Disfunción neuromuscular de la vejiga, no clasificada en otra parte</v>
          </cell>
        </row>
        <row r="6044">
          <cell r="A6044" t="str">
            <v>N31.0</v>
          </cell>
          <cell r="B6044" t="str">
            <v>Vejiga neuropática no inhibida, no clasificada en otra parte</v>
          </cell>
        </row>
        <row r="6045">
          <cell r="A6045" t="str">
            <v>N31.1</v>
          </cell>
          <cell r="B6045" t="str">
            <v>Vejiga neuropática refleja, no clasificada en otra parte</v>
          </cell>
        </row>
        <row r="6046">
          <cell r="A6046" t="str">
            <v>N31.2</v>
          </cell>
          <cell r="B6046" t="str">
            <v>Vejiga neuropática flácida, no clasificada en otra parte</v>
          </cell>
        </row>
        <row r="6047">
          <cell r="A6047" t="str">
            <v>N31.8</v>
          </cell>
          <cell r="B6047" t="str">
            <v>Otras disfunciones neuromusculares de la vejiga</v>
          </cell>
        </row>
        <row r="6048">
          <cell r="A6048" t="str">
            <v>N31.9</v>
          </cell>
          <cell r="B6048" t="str">
            <v>Disfunción neuromuscular de la vejiga, no especificada</v>
          </cell>
        </row>
        <row r="6049">
          <cell r="A6049" t="str">
            <v>N32</v>
          </cell>
          <cell r="B6049" t="str">
            <v>Otros trastornos de la vejiga</v>
          </cell>
        </row>
        <row r="6050">
          <cell r="A6050" t="str">
            <v>N32.0</v>
          </cell>
          <cell r="B6050" t="str">
            <v>Obstrucción de cuello de la vejiga</v>
          </cell>
        </row>
        <row r="6051">
          <cell r="A6051" t="str">
            <v>N32.1</v>
          </cell>
          <cell r="B6051" t="str">
            <v>Fístula vesicointestinal</v>
          </cell>
        </row>
        <row r="6052">
          <cell r="A6052" t="str">
            <v>N32.2</v>
          </cell>
          <cell r="B6052" t="str">
            <v>Fístula de la vejiga, no clasificada en otra parte</v>
          </cell>
        </row>
        <row r="6053">
          <cell r="A6053" t="str">
            <v>N32.3</v>
          </cell>
          <cell r="B6053" t="str">
            <v>Divertículo de la vejiga</v>
          </cell>
        </row>
        <row r="6054">
          <cell r="A6054" t="str">
            <v>N32.4</v>
          </cell>
          <cell r="B6054" t="str">
            <v>Ruptura de la vejiga, no traumática</v>
          </cell>
        </row>
        <row r="6055">
          <cell r="A6055" t="str">
            <v>N32.8</v>
          </cell>
          <cell r="B6055" t="str">
            <v>Otros trastornos especificados de la vejiga</v>
          </cell>
        </row>
        <row r="6056">
          <cell r="A6056" t="str">
            <v>N32.9</v>
          </cell>
          <cell r="B6056" t="str">
            <v>Trastorno de la vejiga, no especificado</v>
          </cell>
        </row>
        <row r="6057">
          <cell r="A6057" t="str">
            <v>N33*</v>
          </cell>
          <cell r="B6057" t="str">
            <v>Trastornos de la vejiga en enfermedades clasificadas en otra parte</v>
          </cell>
        </row>
        <row r="6058">
          <cell r="A6058" t="str">
            <v>N33.0*</v>
          </cell>
          <cell r="B6058" t="str">
            <v>Cistitis tuberculosa (A18.1+)</v>
          </cell>
        </row>
        <row r="6059">
          <cell r="A6059" t="str">
            <v>N33.8*</v>
          </cell>
          <cell r="B6059" t="str">
            <v>Trastornos de la vejiga en otras enfermedades clasificadas en otra parte</v>
          </cell>
        </row>
        <row r="6060">
          <cell r="A6060" t="str">
            <v>N34</v>
          </cell>
          <cell r="B6060" t="str">
            <v>Uretritis y síndrome uretral</v>
          </cell>
        </row>
        <row r="6061">
          <cell r="A6061" t="str">
            <v>N34.0</v>
          </cell>
          <cell r="B6061" t="str">
            <v>Absceso uretral</v>
          </cell>
        </row>
        <row r="6062">
          <cell r="A6062" t="str">
            <v>N34.1</v>
          </cell>
          <cell r="B6062" t="str">
            <v>Uretritis no específica</v>
          </cell>
        </row>
        <row r="6063">
          <cell r="A6063" t="str">
            <v>N34.2</v>
          </cell>
          <cell r="B6063" t="str">
            <v>Otras uretritis</v>
          </cell>
        </row>
        <row r="6064">
          <cell r="A6064" t="str">
            <v>N34.3</v>
          </cell>
          <cell r="B6064" t="str">
            <v>Síndrome uretral, no especificado</v>
          </cell>
        </row>
        <row r="6065">
          <cell r="A6065" t="str">
            <v>N35</v>
          </cell>
          <cell r="B6065" t="str">
            <v>Estrechez uretral</v>
          </cell>
        </row>
        <row r="6066">
          <cell r="A6066" t="str">
            <v>N35.0</v>
          </cell>
          <cell r="B6066" t="str">
            <v>Estrechez uretral postraumática</v>
          </cell>
        </row>
        <row r="6067">
          <cell r="A6067" t="str">
            <v>N35.1</v>
          </cell>
          <cell r="B6067" t="str">
            <v>Estrechez uretral postinfección, no clasificada en otra parte</v>
          </cell>
        </row>
        <row r="6068">
          <cell r="A6068" t="str">
            <v>N35.8</v>
          </cell>
          <cell r="B6068" t="str">
            <v>Otras estrecheces uretrales</v>
          </cell>
        </row>
        <row r="6069">
          <cell r="A6069" t="str">
            <v>N35.9</v>
          </cell>
          <cell r="B6069" t="str">
            <v>Estrechez uretral, no especificada</v>
          </cell>
        </row>
        <row r="6070">
          <cell r="A6070" t="str">
            <v>N36</v>
          </cell>
          <cell r="B6070" t="str">
            <v>Otros trastornos de la uretra</v>
          </cell>
        </row>
        <row r="6071">
          <cell r="A6071" t="str">
            <v>N36.0</v>
          </cell>
          <cell r="B6071" t="str">
            <v>Fístula de la uretra</v>
          </cell>
        </row>
        <row r="6072">
          <cell r="A6072" t="str">
            <v>N36.1</v>
          </cell>
          <cell r="B6072" t="str">
            <v>Divertículo de la uretra</v>
          </cell>
        </row>
        <row r="6073">
          <cell r="A6073" t="str">
            <v>N36.2</v>
          </cell>
          <cell r="B6073" t="str">
            <v>Carúncula uretral</v>
          </cell>
        </row>
        <row r="6074">
          <cell r="A6074" t="str">
            <v>N36.3</v>
          </cell>
          <cell r="B6074" t="str">
            <v>Prolapso de la mucosa uretral</v>
          </cell>
        </row>
        <row r="6075">
          <cell r="A6075" t="str">
            <v>N36.8</v>
          </cell>
          <cell r="B6075" t="str">
            <v>Otros trastornos especificados de la uretra</v>
          </cell>
        </row>
        <row r="6076">
          <cell r="A6076" t="str">
            <v>N36.9</v>
          </cell>
          <cell r="B6076" t="str">
            <v>Trastorno de la uretra, no especificado</v>
          </cell>
        </row>
        <row r="6077">
          <cell r="A6077" t="str">
            <v>N37*</v>
          </cell>
          <cell r="B6077" t="str">
            <v>Trastornos de la uretra en enfermedades clasificadas en otra parte</v>
          </cell>
        </row>
        <row r="6078">
          <cell r="A6078" t="str">
            <v>N37.0*</v>
          </cell>
          <cell r="B6078" t="str">
            <v>Uretritis en enfermedades clasificadas en otra parte</v>
          </cell>
        </row>
        <row r="6079">
          <cell r="A6079" t="str">
            <v>N37.8*</v>
          </cell>
          <cell r="B6079" t="str">
            <v>Otros trastornos uretrales en enfermedades clasificadas en otra parte</v>
          </cell>
        </row>
        <row r="6080">
          <cell r="A6080" t="str">
            <v>N39</v>
          </cell>
          <cell r="B6080" t="str">
            <v>Otros trastornos del sistema urinario</v>
          </cell>
        </row>
        <row r="6081">
          <cell r="A6081" t="str">
            <v>N39.0</v>
          </cell>
          <cell r="B6081" t="str">
            <v>Infección de vías urinarias, sitio no especificado</v>
          </cell>
        </row>
        <row r="6082">
          <cell r="A6082" t="str">
            <v>N39.1</v>
          </cell>
          <cell r="B6082" t="str">
            <v>Proteinuria persistente, no especificada</v>
          </cell>
        </row>
        <row r="6083">
          <cell r="A6083" t="str">
            <v>N39.2</v>
          </cell>
          <cell r="B6083" t="str">
            <v>Proteinuria ortostática, no especificada</v>
          </cell>
        </row>
        <row r="6084">
          <cell r="A6084" t="str">
            <v>N39.3</v>
          </cell>
          <cell r="B6084" t="str">
            <v>Incontinencia urinaria por tensión</v>
          </cell>
        </row>
        <row r="6085">
          <cell r="A6085" t="str">
            <v>N39.4</v>
          </cell>
          <cell r="B6085" t="str">
            <v>Otras incontinencias urinarias especificadas</v>
          </cell>
        </row>
        <row r="6086">
          <cell r="A6086" t="str">
            <v>N39.8</v>
          </cell>
          <cell r="B6086" t="str">
            <v>Otros trastornos especificados del sistema urinario</v>
          </cell>
        </row>
        <row r="6087">
          <cell r="A6087" t="str">
            <v>N39.9</v>
          </cell>
          <cell r="B6087" t="str">
            <v>Trastorno del sistema urinario, no especificado</v>
          </cell>
        </row>
        <row r="6088">
          <cell r="A6088" t="str">
            <v>N40.X</v>
          </cell>
          <cell r="B6088" t="str">
            <v>Hiperplasia de la próstata</v>
          </cell>
        </row>
        <row r="6089">
          <cell r="A6089" t="str">
            <v>N41</v>
          </cell>
          <cell r="B6089" t="str">
            <v>Enfermedades inflamatorias de la próstata</v>
          </cell>
        </row>
        <row r="6090">
          <cell r="A6090" t="str">
            <v>N41.0</v>
          </cell>
          <cell r="B6090" t="str">
            <v>Prostatitis aguda</v>
          </cell>
        </row>
        <row r="6091">
          <cell r="A6091" t="str">
            <v>N41.1</v>
          </cell>
          <cell r="B6091" t="str">
            <v>Prostatitis crónica</v>
          </cell>
        </row>
        <row r="6092">
          <cell r="A6092" t="str">
            <v>N41.2</v>
          </cell>
          <cell r="B6092" t="str">
            <v>Absceso de la próstata</v>
          </cell>
        </row>
        <row r="6093">
          <cell r="A6093" t="str">
            <v>N41.3</v>
          </cell>
          <cell r="B6093" t="str">
            <v>Prostatocistitis</v>
          </cell>
        </row>
        <row r="6094">
          <cell r="A6094" t="str">
            <v>N41.8</v>
          </cell>
          <cell r="B6094" t="str">
            <v>Otras enfermedades inflamatorias de la próstata</v>
          </cell>
        </row>
        <row r="6095">
          <cell r="A6095" t="str">
            <v>N41.9</v>
          </cell>
          <cell r="B6095" t="str">
            <v>Enfermedad inflamatoria de la próstata, no especificada</v>
          </cell>
        </row>
        <row r="6096">
          <cell r="A6096" t="str">
            <v>N42</v>
          </cell>
          <cell r="B6096" t="str">
            <v>Otros trastornos de la próstata</v>
          </cell>
        </row>
        <row r="6097">
          <cell r="A6097" t="str">
            <v>N42.0</v>
          </cell>
          <cell r="B6097" t="str">
            <v>Cálculo de la próstata</v>
          </cell>
        </row>
        <row r="6098">
          <cell r="A6098" t="str">
            <v>N42.1</v>
          </cell>
          <cell r="B6098" t="str">
            <v>Congestión y hemorragia de la próstata</v>
          </cell>
        </row>
        <row r="6099">
          <cell r="A6099" t="str">
            <v>N42.2</v>
          </cell>
          <cell r="B6099" t="str">
            <v>Atrofia de la próstata</v>
          </cell>
        </row>
        <row r="6100">
          <cell r="A6100" t="str">
            <v>N42.8</v>
          </cell>
          <cell r="B6100" t="str">
            <v>Otros trastornos especificados de la próstata</v>
          </cell>
        </row>
        <row r="6101">
          <cell r="A6101" t="str">
            <v>N42.9</v>
          </cell>
          <cell r="B6101" t="str">
            <v>Trastorno de la próstata, no especificado</v>
          </cell>
        </row>
        <row r="6102">
          <cell r="A6102" t="str">
            <v>N43</v>
          </cell>
          <cell r="B6102" t="str">
            <v>Hidrocele y espermatocele</v>
          </cell>
        </row>
        <row r="6103">
          <cell r="A6103" t="str">
            <v>N43.0</v>
          </cell>
          <cell r="B6103" t="str">
            <v>Hidrocele enquistado</v>
          </cell>
        </row>
        <row r="6104">
          <cell r="A6104" t="str">
            <v>N43.1</v>
          </cell>
          <cell r="B6104" t="str">
            <v>Hidrocele infectado</v>
          </cell>
        </row>
        <row r="6105">
          <cell r="A6105" t="str">
            <v>N43.2</v>
          </cell>
          <cell r="B6105" t="str">
            <v>Otros hidroceles</v>
          </cell>
        </row>
        <row r="6106">
          <cell r="A6106" t="str">
            <v>N43.3</v>
          </cell>
          <cell r="B6106" t="str">
            <v>Hidrocele, no especificado</v>
          </cell>
        </row>
        <row r="6107">
          <cell r="A6107" t="str">
            <v>N43.4</v>
          </cell>
          <cell r="B6107" t="str">
            <v>Espermatocele</v>
          </cell>
        </row>
        <row r="6108">
          <cell r="A6108" t="str">
            <v>N44.X</v>
          </cell>
          <cell r="B6108" t="str">
            <v>Torsión del testículo</v>
          </cell>
        </row>
        <row r="6109">
          <cell r="A6109" t="str">
            <v>N45</v>
          </cell>
          <cell r="B6109" t="str">
            <v>Orquitis y epididimitis</v>
          </cell>
        </row>
        <row r="6110">
          <cell r="A6110" t="str">
            <v>N45.0</v>
          </cell>
          <cell r="B6110" t="str">
            <v>Orquitis, epididimitis y orquiepididimitis con absceso</v>
          </cell>
        </row>
        <row r="6111">
          <cell r="A6111" t="str">
            <v>N45.9</v>
          </cell>
          <cell r="B6111" t="str">
            <v>Orquitis, epididimitis y orquiepididimitis sin absceso</v>
          </cell>
        </row>
        <row r="6112">
          <cell r="A6112" t="str">
            <v>N46.X</v>
          </cell>
          <cell r="B6112" t="str">
            <v>Esterilidad en el varón</v>
          </cell>
        </row>
        <row r="6113">
          <cell r="A6113" t="str">
            <v>N47.X</v>
          </cell>
          <cell r="B6113" t="str">
            <v>Prepucio redundante, fimosis y parafimosis</v>
          </cell>
        </row>
        <row r="6114">
          <cell r="A6114" t="str">
            <v>N48</v>
          </cell>
          <cell r="B6114" t="str">
            <v>Otros trastornos del pene</v>
          </cell>
        </row>
        <row r="6115">
          <cell r="A6115" t="str">
            <v>N48.0</v>
          </cell>
          <cell r="B6115" t="str">
            <v>Leucoplasia del pene</v>
          </cell>
        </row>
        <row r="6116">
          <cell r="A6116" t="str">
            <v>N48.1</v>
          </cell>
          <cell r="B6116" t="str">
            <v>Balanopostitis</v>
          </cell>
        </row>
        <row r="6117">
          <cell r="A6117" t="str">
            <v>N48.2</v>
          </cell>
          <cell r="B6117" t="str">
            <v>Otros trastornos inflamatorios del pene</v>
          </cell>
        </row>
        <row r="6118">
          <cell r="A6118" t="str">
            <v>N48.3</v>
          </cell>
          <cell r="B6118" t="str">
            <v>Priapismo</v>
          </cell>
        </row>
        <row r="6119">
          <cell r="A6119" t="str">
            <v>N48.4</v>
          </cell>
          <cell r="B6119" t="str">
            <v>Impotencia de origen orgánico</v>
          </cell>
        </row>
        <row r="6120">
          <cell r="A6120" t="str">
            <v>N48.5</v>
          </cell>
          <cell r="B6120" t="str">
            <v>Ulcera del pene</v>
          </cell>
        </row>
        <row r="6121">
          <cell r="A6121" t="str">
            <v>N48.6</v>
          </cell>
          <cell r="B6121" t="str">
            <v>Balanitis xerótica obliterante</v>
          </cell>
        </row>
        <row r="6122">
          <cell r="A6122" t="str">
            <v>N48.8</v>
          </cell>
          <cell r="B6122" t="str">
            <v>Otros trastornos especificados del pene</v>
          </cell>
        </row>
        <row r="6123">
          <cell r="A6123" t="str">
            <v>N48.9</v>
          </cell>
          <cell r="B6123" t="str">
            <v>Trastorno del pene, no especificado</v>
          </cell>
        </row>
        <row r="6124">
          <cell r="A6124" t="str">
            <v>N49</v>
          </cell>
          <cell r="B6124" t="str">
            <v>Trastornos inflamatorios de órganos genitales masculinos, no clasificados en otra parte</v>
          </cell>
        </row>
        <row r="6125">
          <cell r="A6125" t="str">
            <v>N49.0</v>
          </cell>
          <cell r="B6125" t="str">
            <v>Trastornos inflamatorios de vesícula seminal</v>
          </cell>
        </row>
        <row r="6126">
          <cell r="A6126" t="str">
            <v>N49.1</v>
          </cell>
          <cell r="B6126" t="str">
            <v>Trastornos inflamatorios del cordón espermático, túnica vaginal y conducto deferente</v>
          </cell>
        </row>
        <row r="6127">
          <cell r="A6127" t="str">
            <v>N49.2</v>
          </cell>
          <cell r="B6127" t="str">
            <v>Trastornos inflamatorios del escroto</v>
          </cell>
        </row>
        <row r="6128">
          <cell r="A6128" t="str">
            <v>N49.8</v>
          </cell>
          <cell r="B6128" t="str">
            <v>Otros trastornos inflamatorios de los órganos genitales masculinos</v>
          </cell>
        </row>
        <row r="6129">
          <cell r="A6129" t="str">
            <v>N49.9</v>
          </cell>
          <cell r="B6129" t="str">
            <v>Trastorno inflamatorio de órgano genital masculino, no especificado</v>
          </cell>
        </row>
        <row r="6130">
          <cell r="A6130" t="str">
            <v>N50</v>
          </cell>
          <cell r="B6130" t="str">
            <v>Otros trastornos de los órganos genitales masculinos</v>
          </cell>
        </row>
        <row r="6131">
          <cell r="A6131" t="str">
            <v>N50.0</v>
          </cell>
          <cell r="B6131" t="str">
            <v>Atrofia del testículo</v>
          </cell>
        </row>
        <row r="6132">
          <cell r="A6132" t="str">
            <v>N50.1</v>
          </cell>
          <cell r="B6132" t="str">
            <v>Trastornos vasculares de los órganos genitales masculinos</v>
          </cell>
        </row>
        <row r="6133">
          <cell r="A6133" t="str">
            <v>N50.8</v>
          </cell>
          <cell r="B6133" t="str">
            <v>Otros trastornos especificados de los órganos genitales masculinos</v>
          </cell>
        </row>
        <row r="6134">
          <cell r="A6134" t="str">
            <v>N50.9</v>
          </cell>
          <cell r="B6134" t="str">
            <v>Trastorno no especificado de los órganos genitales masculinos</v>
          </cell>
        </row>
        <row r="6135">
          <cell r="A6135" t="str">
            <v>N51*</v>
          </cell>
          <cell r="B6135" t="str">
            <v>Trastornos de los órganos genitales masculinos en enfermedades clasificadas en otra parte</v>
          </cell>
        </row>
        <row r="6136">
          <cell r="A6136" t="str">
            <v>N51.0*</v>
          </cell>
          <cell r="B6136" t="str">
            <v>Trastornos de próstata en enfermedades clasificadas en otra parte</v>
          </cell>
        </row>
        <row r="6137">
          <cell r="A6137" t="str">
            <v>N51.1*</v>
          </cell>
          <cell r="B6137" t="str">
            <v>Trastornos del testículo y del epidídimo en enfermedades clasificadas en otra parte</v>
          </cell>
        </row>
        <row r="6138">
          <cell r="A6138" t="str">
            <v>N51.2*</v>
          </cell>
          <cell r="B6138" t="str">
            <v>Balanitis en enfermedades clasificadas en otra parte</v>
          </cell>
        </row>
        <row r="6139">
          <cell r="A6139" t="str">
            <v>N51.8*</v>
          </cell>
          <cell r="B6139" t="str">
            <v>Otros trastornos de los órganos genitales masculinos en enfermedades clasificadas en otra parte</v>
          </cell>
        </row>
        <row r="6140">
          <cell r="A6140" t="str">
            <v>N60</v>
          </cell>
          <cell r="B6140" t="str">
            <v>Displasia mamaria benigna</v>
          </cell>
        </row>
        <row r="6141">
          <cell r="A6141" t="str">
            <v>N60.0</v>
          </cell>
          <cell r="B6141" t="str">
            <v>Quiste solitario de la mama</v>
          </cell>
        </row>
        <row r="6142">
          <cell r="A6142" t="str">
            <v>N60.1</v>
          </cell>
          <cell r="B6142" t="str">
            <v>Mastopatía quística difusa</v>
          </cell>
        </row>
        <row r="6143">
          <cell r="A6143" t="str">
            <v>N60.2</v>
          </cell>
          <cell r="B6143" t="str">
            <v>Fibroadenosis de mama</v>
          </cell>
        </row>
        <row r="6144">
          <cell r="A6144" t="str">
            <v>N60.3</v>
          </cell>
          <cell r="B6144" t="str">
            <v>Fibroesclerosis de mama</v>
          </cell>
        </row>
        <row r="6145">
          <cell r="A6145" t="str">
            <v>N60.4</v>
          </cell>
          <cell r="B6145" t="str">
            <v>Ectasia de conducto mamario</v>
          </cell>
        </row>
        <row r="6146">
          <cell r="A6146" t="str">
            <v>N60.8</v>
          </cell>
          <cell r="B6146" t="str">
            <v>Otras displasias mamarias benignas</v>
          </cell>
        </row>
        <row r="6147">
          <cell r="A6147" t="str">
            <v>N60.9</v>
          </cell>
          <cell r="B6147" t="str">
            <v>Displasia mamaria benigna, sin otra especificación</v>
          </cell>
        </row>
        <row r="6148">
          <cell r="A6148" t="str">
            <v>N61.X</v>
          </cell>
          <cell r="B6148" t="str">
            <v>Trastornos inflamatorios de la mama</v>
          </cell>
        </row>
        <row r="6149">
          <cell r="A6149" t="str">
            <v>N62.X</v>
          </cell>
          <cell r="B6149" t="str">
            <v>Hipertrofia de la mama</v>
          </cell>
        </row>
        <row r="6150">
          <cell r="A6150" t="str">
            <v>N63.X</v>
          </cell>
          <cell r="B6150" t="str">
            <v>Masa no especificada en la mama</v>
          </cell>
        </row>
        <row r="6151">
          <cell r="A6151" t="str">
            <v>N64</v>
          </cell>
          <cell r="B6151" t="str">
            <v>Otros trastornos de la mama</v>
          </cell>
        </row>
        <row r="6152">
          <cell r="A6152" t="str">
            <v>N64.0</v>
          </cell>
          <cell r="B6152" t="str">
            <v>Fisura y fístula del pezón</v>
          </cell>
        </row>
        <row r="6153">
          <cell r="A6153" t="str">
            <v>N64.1</v>
          </cell>
          <cell r="B6153" t="str">
            <v>Necrosis grasa de la mama</v>
          </cell>
        </row>
        <row r="6154">
          <cell r="A6154" t="str">
            <v>N64.2</v>
          </cell>
          <cell r="B6154" t="str">
            <v>Atrofia de la mama</v>
          </cell>
        </row>
        <row r="6155">
          <cell r="A6155" t="str">
            <v>N64.3</v>
          </cell>
          <cell r="B6155" t="str">
            <v>Galactorrea no asociada con el parto</v>
          </cell>
        </row>
        <row r="6156">
          <cell r="A6156" t="str">
            <v>N64.4</v>
          </cell>
          <cell r="B6156" t="str">
            <v>Mastodinia</v>
          </cell>
        </row>
        <row r="6157">
          <cell r="A6157" t="str">
            <v>N64.5</v>
          </cell>
          <cell r="B6157" t="str">
            <v>Otros signos y síntomas relativos a la mama</v>
          </cell>
        </row>
        <row r="6158">
          <cell r="A6158" t="str">
            <v>N64.8</v>
          </cell>
          <cell r="B6158" t="str">
            <v>Otros trastornos especificados de la mama</v>
          </cell>
        </row>
        <row r="6159">
          <cell r="A6159" t="str">
            <v>N64.9</v>
          </cell>
          <cell r="B6159" t="str">
            <v>Trastorno de la mama, no especificado</v>
          </cell>
        </row>
        <row r="6160">
          <cell r="A6160" t="str">
            <v>N70</v>
          </cell>
          <cell r="B6160" t="str">
            <v>Salpingitis y ooforitis</v>
          </cell>
        </row>
        <row r="6161">
          <cell r="A6161" t="str">
            <v>N70.0</v>
          </cell>
          <cell r="B6161" t="str">
            <v>Salpingitis y ooforitis aguda</v>
          </cell>
        </row>
        <row r="6162">
          <cell r="A6162" t="str">
            <v>N70.1</v>
          </cell>
          <cell r="B6162" t="str">
            <v>Salpingitis y ooforitis crónica</v>
          </cell>
        </row>
        <row r="6163">
          <cell r="A6163" t="str">
            <v>N70.9</v>
          </cell>
          <cell r="B6163" t="str">
            <v>Salpingitis y ooforitis, no especificadas</v>
          </cell>
        </row>
        <row r="6164">
          <cell r="A6164" t="str">
            <v>N71</v>
          </cell>
          <cell r="B6164" t="str">
            <v>Enfermedad inflamatoria del útero, excepto del cuello uterino</v>
          </cell>
        </row>
        <row r="6165">
          <cell r="A6165" t="str">
            <v>N71.0</v>
          </cell>
          <cell r="B6165" t="str">
            <v>Enfermedad inflamatoria aguda del útero</v>
          </cell>
        </row>
        <row r="6166">
          <cell r="A6166" t="str">
            <v>N71.1</v>
          </cell>
          <cell r="B6166" t="str">
            <v>Enfermedad inflamatoria crónica del útero</v>
          </cell>
        </row>
        <row r="6167">
          <cell r="A6167" t="str">
            <v>N71.9</v>
          </cell>
          <cell r="B6167" t="str">
            <v>Enfermedad inflamatoria del útero, no especificada</v>
          </cell>
        </row>
        <row r="6168">
          <cell r="A6168" t="str">
            <v>N72.X</v>
          </cell>
          <cell r="B6168" t="str">
            <v>Enfermedad inflamatoria del cuello uterino</v>
          </cell>
        </row>
        <row r="6169">
          <cell r="A6169" t="str">
            <v>N73</v>
          </cell>
          <cell r="B6169" t="str">
            <v>Otras enfermedades pélvicas inflamatorias femeninas</v>
          </cell>
        </row>
        <row r="6170">
          <cell r="A6170" t="str">
            <v>N73.0</v>
          </cell>
          <cell r="B6170" t="str">
            <v>Parametritis y celulitis pélvica aguda</v>
          </cell>
        </row>
        <row r="6171">
          <cell r="A6171" t="str">
            <v>N73.1</v>
          </cell>
          <cell r="B6171" t="str">
            <v>Parametritis y celulitis pélvica crónica</v>
          </cell>
        </row>
        <row r="6172">
          <cell r="A6172" t="str">
            <v>N73.2</v>
          </cell>
          <cell r="B6172" t="str">
            <v>Parametritis y celulitis pélvica no especificada</v>
          </cell>
        </row>
        <row r="6173">
          <cell r="A6173" t="str">
            <v>N73.3</v>
          </cell>
          <cell r="B6173" t="str">
            <v>Peritonitis pélvica aguda, femenina</v>
          </cell>
        </row>
        <row r="6174">
          <cell r="A6174" t="str">
            <v>N73.4</v>
          </cell>
          <cell r="B6174" t="str">
            <v>Peritonitis pélvica crónica, femenina</v>
          </cell>
        </row>
        <row r="6175">
          <cell r="A6175" t="str">
            <v>N73.5</v>
          </cell>
          <cell r="B6175" t="str">
            <v>Peritonitis pélvica femenina, no especificada</v>
          </cell>
        </row>
        <row r="6176">
          <cell r="A6176" t="str">
            <v>N73.6</v>
          </cell>
          <cell r="B6176" t="str">
            <v>Adherencias peritoneales pélvicas femeninas</v>
          </cell>
        </row>
        <row r="6177">
          <cell r="A6177" t="str">
            <v>N73.8</v>
          </cell>
          <cell r="B6177" t="str">
            <v>Otras enfermedades inflamatorias pélvicas femeninas</v>
          </cell>
        </row>
        <row r="6178">
          <cell r="A6178" t="str">
            <v>N73.9</v>
          </cell>
          <cell r="B6178" t="str">
            <v>Enfermedad inflamatoria pélvica femenina, no especificada</v>
          </cell>
        </row>
        <row r="6179">
          <cell r="A6179" t="str">
            <v>N74*</v>
          </cell>
          <cell r="B6179" t="str">
            <v>Trastornos inflamatorios de la pelvis femenina en enfermedades clasificadas en otra parte</v>
          </cell>
        </row>
        <row r="6180">
          <cell r="A6180" t="str">
            <v>N74.0*</v>
          </cell>
          <cell r="B6180" t="str">
            <v>Infección tuberculosa del cuello del útero (A18.1+)</v>
          </cell>
        </row>
        <row r="6181">
          <cell r="A6181" t="str">
            <v>N74.1*</v>
          </cell>
          <cell r="B6181" t="str">
            <v>Enfermedad inflamatoria pélvica femenina por tuberculosis (A18.1+)</v>
          </cell>
        </row>
        <row r="6182">
          <cell r="A6182" t="str">
            <v>N74.2*</v>
          </cell>
          <cell r="B6182" t="str">
            <v>Enfermedad inflamatoria pélvica femenina por sífilis (A51.4+, A52.7+)</v>
          </cell>
        </row>
        <row r="6183">
          <cell r="A6183" t="str">
            <v>N74.3*</v>
          </cell>
          <cell r="B6183" t="str">
            <v>Enfermedad inflamatoria pélvica femenina por gonococos (A54.2+)</v>
          </cell>
        </row>
        <row r="6184">
          <cell r="A6184" t="str">
            <v>N74.4*</v>
          </cell>
          <cell r="B6184" t="str">
            <v>Enfermedad inflamatoria pélvica femenina por clamidias (A56.1+)</v>
          </cell>
        </row>
        <row r="6185">
          <cell r="A6185" t="str">
            <v>N74.8*</v>
          </cell>
          <cell r="B6185" t="str">
            <v>Trastornos inflamatorios pélvicos femeninos en otras enfermedades clasificadas en otra parte</v>
          </cell>
        </row>
        <row r="6186">
          <cell r="A6186" t="str">
            <v>N75</v>
          </cell>
          <cell r="B6186" t="str">
            <v>Enfermedades de la glándula de Bartholin</v>
          </cell>
        </row>
        <row r="6187">
          <cell r="A6187" t="str">
            <v>N75.0</v>
          </cell>
          <cell r="B6187" t="str">
            <v>Quiste de la glándula de Bartholin</v>
          </cell>
        </row>
        <row r="6188">
          <cell r="A6188" t="str">
            <v>N75.1</v>
          </cell>
          <cell r="B6188" t="str">
            <v>Absceso de la glándula de Bartholin</v>
          </cell>
        </row>
        <row r="6189">
          <cell r="A6189" t="str">
            <v>N75.8</v>
          </cell>
          <cell r="B6189" t="str">
            <v>Otras enfermedades de la glándula de Bartholin</v>
          </cell>
        </row>
        <row r="6190">
          <cell r="A6190" t="str">
            <v>N75.9</v>
          </cell>
          <cell r="B6190" t="str">
            <v>Enfermedad de la glándula de Bartholin, no especificada</v>
          </cell>
        </row>
        <row r="6191">
          <cell r="A6191" t="str">
            <v>N76</v>
          </cell>
          <cell r="B6191" t="str">
            <v>Otras afecciones inflamatorias de la vagina y de la vulva</v>
          </cell>
        </row>
        <row r="6192">
          <cell r="A6192" t="str">
            <v>N76.0</v>
          </cell>
          <cell r="B6192" t="str">
            <v>Vaginitis aguda</v>
          </cell>
        </row>
        <row r="6193">
          <cell r="A6193" t="str">
            <v>N76.1</v>
          </cell>
          <cell r="B6193" t="str">
            <v>Vaginitis subaguda y crónica</v>
          </cell>
        </row>
        <row r="6194">
          <cell r="A6194" t="str">
            <v>N76.2</v>
          </cell>
          <cell r="B6194" t="str">
            <v>Vulvitis aguda</v>
          </cell>
        </row>
        <row r="6195">
          <cell r="A6195" t="str">
            <v>N76.3</v>
          </cell>
          <cell r="B6195" t="str">
            <v>Vulvitis subaguda y crónica</v>
          </cell>
        </row>
        <row r="6196">
          <cell r="A6196" t="str">
            <v>N76.4</v>
          </cell>
          <cell r="B6196" t="str">
            <v>Absceso vulvar</v>
          </cell>
        </row>
        <row r="6197">
          <cell r="A6197" t="str">
            <v>N76.5</v>
          </cell>
          <cell r="B6197" t="str">
            <v>Ulceración de la vagina</v>
          </cell>
        </row>
        <row r="6198">
          <cell r="A6198" t="str">
            <v>N76.6</v>
          </cell>
          <cell r="B6198" t="str">
            <v>Ulceración de la vulva</v>
          </cell>
        </row>
        <row r="6199">
          <cell r="A6199" t="str">
            <v>N76.8</v>
          </cell>
          <cell r="B6199" t="str">
            <v>Otras inflamaciones especificadas de la vagina y de la vulva</v>
          </cell>
        </row>
        <row r="6200">
          <cell r="A6200" t="str">
            <v>N77*</v>
          </cell>
          <cell r="B6200" t="str">
            <v>Ulceración e inflamación vulvovaginal en enfermedades clasificadas en otra parte</v>
          </cell>
        </row>
        <row r="6201">
          <cell r="A6201" t="str">
            <v>N77.0*</v>
          </cell>
          <cell r="B6201" t="str">
            <v>Ulceración de la vulva en enfermedades infecciosas y parasitarias clasificadas en otra parte</v>
          </cell>
        </row>
        <row r="6202">
          <cell r="A6202" t="str">
            <v>N77.1*</v>
          </cell>
          <cell r="B6202" t="str">
            <v>Vaginitis, vulvitis y vulvovaginitis en enfermedades infecciosas y parasitarias clasificadas en otra parte</v>
          </cell>
        </row>
        <row r="6203">
          <cell r="A6203" t="str">
            <v>N77.8*</v>
          </cell>
          <cell r="B6203" t="str">
            <v>Ulceración e inflamación vulvovaginal en otras enfermedades clasificadas en otra parte</v>
          </cell>
        </row>
        <row r="6204">
          <cell r="A6204" t="str">
            <v>N80</v>
          </cell>
          <cell r="B6204" t="str">
            <v>Endometriosis</v>
          </cell>
        </row>
        <row r="6205">
          <cell r="A6205" t="str">
            <v>N80.0</v>
          </cell>
          <cell r="B6205" t="str">
            <v>Endometriosis del útero</v>
          </cell>
        </row>
        <row r="6206">
          <cell r="A6206" t="str">
            <v>N80.1</v>
          </cell>
          <cell r="B6206" t="str">
            <v>Endometriosis del ovario</v>
          </cell>
        </row>
        <row r="6207">
          <cell r="A6207" t="str">
            <v>N80.2</v>
          </cell>
          <cell r="B6207" t="str">
            <v>Endometriosis de la trompa de Falopio</v>
          </cell>
        </row>
        <row r="6208">
          <cell r="A6208" t="str">
            <v>N80.3</v>
          </cell>
          <cell r="B6208" t="str">
            <v>Endometriosis del peritoneo pélvico</v>
          </cell>
        </row>
        <row r="6209">
          <cell r="A6209" t="str">
            <v>N80.4</v>
          </cell>
          <cell r="B6209" t="str">
            <v>Endometriosis del tabique rectovaginal y de la vagina</v>
          </cell>
        </row>
        <row r="6210">
          <cell r="A6210" t="str">
            <v>N80.5</v>
          </cell>
          <cell r="B6210" t="str">
            <v>Endometriosis del intestino</v>
          </cell>
        </row>
        <row r="6211">
          <cell r="A6211" t="str">
            <v>N80.6</v>
          </cell>
          <cell r="B6211" t="str">
            <v>Endometriosis en cicatriz cutánea</v>
          </cell>
        </row>
        <row r="6212">
          <cell r="A6212" t="str">
            <v>N80.8</v>
          </cell>
          <cell r="B6212" t="str">
            <v>Otras endometriosis</v>
          </cell>
        </row>
        <row r="6213">
          <cell r="A6213" t="str">
            <v>N80.9</v>
          </cell>
          <cell r="B6213" t="str">
            <v>Endometriosis, no especificada</v>
          </cell>
        </row>
        <row r="6214">
          <cell r="A6214" t="str">
            <v>N81</v>
          </cell>
          <cell r="B6214" t="str">
            <v>Prolapso genital femenino</v>
          </cell>
        </row>
        <row r="6215">
          <cell r="A6215" t="str">
            <v>N81.0</v>
          </cell>
          <cell r="B6215" t="str">
            <v>Uretrocele femenino</v>
          </cell>
        </row>
        <row r="6216">
          <cell r="A6216" t="str">
            <v>N81.1</v>
          </cell>
          <cell r="B6216" t="str">
            <v>Cistocele</v>
          </cell>
        </row>
        <row r="6217">
          <cell r="A6217" t="str">
            <v>N81.2</v>
          </cell>
          <cell r="B6217" t="str">
            <v>Prolapso uterovaginal incompleto</v>
          </cell>
        </row>
        <row r="6218">
          <cell r="A6218" t="str">
            <v>N81.3</v>
          </cell>
          <cell r="B6218" t="str">
            <v>Prolapso uterovaginal completo</v>
          </cell>
        </row>
        <row r="6219">
          <cell r="A6219" t="str">
            <v>N81.4</v>
          </cell>
          <cell r="B6219" t="str">
            <v>Prolapso uterovaginal, sin otra especificación</v>
          </cell>
        </row>
        <row r="6220">
          <cell r="A6220" t="str">
            <v>N81.5</v>
          </cell>
          <cell r="B6220" t="str">
            <v>Enterocele vaginal</v>
          </cell>
        </row>
        <row r="6221">
          <cell r="A6221" t="str">
            <v>N81.6</v>
          </cell>
          <cell r="B6221" t="str">
            <v>Rectocele</v>
          </cell>
        </row>
        <row r="6222">
          <cell r="A6222" t="str">
            <v>N81.8</v>
          </cell>
          <cell r="B6222" t="str">
            <v>Otros prolapsos genitales femeninos</v>
          </cell>
        </row>
        <row r="6223">
          <cell r="A6223" t="str">
            <v>N81.9</v>
          </cell>
          <cell r="B6223" t="str">
            <v>Prolapso genital femenino, no especificado</v>
          </cell>
        </row>
        <row r="6224">
          <cell r="A6224" t="str">
            <v>N82</v>
          </cell>
          <cell r="B6224" t="str">
            <v>Fístulas que afectan el tracto genital femenino</v>
          </cell>
        </row>
        <row r="6225">
          <cell r="A6225" t="str">
            <v>N82.0</v>
          </cell>
          <cell r="B6225" t="str">
            <v>Fístula vesicovaginal</v>
          </cell>
        </row>
        <row r="6226">
          <cell r="A6226" t="str">
            <v>N82.1</v>
          </cell>
          <cell r="B6226" t="str">
            <v>Otras fístulas de las vías genitourinarias femeninas</v>
          </cell>
        </row>
        <row r="6227">
          <cell r="A6227" t="str">
            <v>N82.2</v>
          </cell>
          <cell r="B6227" t="str">
            <v>Fístula de la vagina al intestino delgado</v>
          </cell>
        </row>
        <row r="6228">
          <cell r="A6228" t="str">
            <v>N82.3</v>
          </cell>
          <cell r="B6228" t="str">
            <v>Fístula de la vagina al intestino grueso</v>
          </cell>
        </row>
        <row r="6229">
          <cell r="A6229" t="str">
            <v>N82.4</v>
          </cell>
          <cell r="B6229" t="str">
            <v>Otras fístulas del tracto genital femenino al tracto intestinal</v>
          </cell>
        </row>
        <row r="6230">
          <cell r="A6230" t="str">
            <v>N82.5</v>
          </cell>
          <cell r="B6230" t="str">
            <v>Fístula del tracto genital femenino a la piel</v>
          </cell>
        </row>
        <row r="6231">
          <cell r="A6231" t="str">
            <v>N82.8</v>
          </cell>
          <cell r="B6231" t="str">
            <v>Otras fístulas del tracto genital femenino</v>
          </cell>
        </row>
        <row r="6232">
          <cell r="A6232" t="str">
            <v>N82.9</v>
          </cell>
          <cell r="B6232" t="str">
            <v>Fístula del tracto genital femenino, sin otra especificación</v>
          </cell>
        </row>
        <row r="6233">
          <cell r="A6233" t="str">
            <v>N83</v>
          </cell>
          <cell r="B6233" t="str">
            <v>Trastornos no inflamatorios del ovario, de la trompa de Falopio y del ligamento  ancho</v>
          </cell>
        </row>
        <row r="6234">
          <cell r="A6234" t="str">
            <v>N83.0</v>
          </cell>
          <cell r="B6234" t="str">
            <v>Quiste folicular del ovario</v>
          </cell>
        </row>
        <row r="6235">
          <cell r="A6235" t="str">
            <v>N83.1</v>
          </cell>
          <cell r="B6235" t="str">
            <v>Quiste del cuerpo amarillo</v>
          </cell>
        </row>
        <row r="6236">
          <cell r="A6236" t="str">
            <v>N83.2</v>
          </cell>
          <cell r="B6236" t="str">
            <v>Otros quistes ováricos y los no especificados</v>
          </cell>
        </row>
        <row r="6237">
          <cell r="A6237" t="str">
            <v>N83.3</v>
          </cell>
          <cell r="B6237" t="str">
            <v>Atrofia adquirida del ovario y de la trompa de Falopio</v>
          </cell>
        </row>
        <row r="6238">
          <cell r="A6238" t="str">
            <v>N83.4</v>
          </cell>
          <cell r="B6238" t="str">
            <v>Prolapso y hernia del ovario y de la trompa de Falopio</v>
          </cell>
        </row>
        <row r="6239">
          <cell r="A6239" t="str">
            <v>N83.5</v>
          </cell>
          <cell r="B6239" t="str">
            <v>Torsión de ovario, pedículo de ovario y trompa de Falopio</v>
          </cell>
        </row>
        <row r="6240">
          <cell r="A6240" t="str">
            <v>N83.6</v>
          </cell>
          <cell r="B6240" t="str">
            <v>Hematosalpinx</v>
          </cell>
        </row>
        <row r="6241">
          <cell r="A6241" t="str">
            <v>N83.7</v>
          </cell>
          <cell r="B6241" t="str">
            <v>Hematoma del ligamento ancho</v>
          </cell>
        </row>
        <row r="6242">
          <cell r="A6242" t="str">
            <v>N83.8</v>
          </cell>
          <cell r="B6242" t="str">
            <v>Otros trastornos no inflamatorios del ovario, de la trompa de Falopio y del ligamento ancho</v>
          </cell>
        </row>
        <row r="6243">
          <cell r="A6243" t="str">
            <v>N83.9</v>
          </cell>
          <cell r="B6243" t="str">
            <v>Enfermedad no inflamatoria del ovario, de la trompa de Falopio y del ligamento ancho, no especificada</v>
          </cell>
        </row>
        <row r="6244">
          <cell r="A6244" t="str">
            <v>N84</v>
          </cell>
          <cell r="B6244" t="str">
            <v>Pólipo del tracto genital femenino</v>
          </cell>
        </row>
        <row r="6245">
          <cell r="A6245" t="str">
            <v>N84.0</v>
          </cell>
          <cell r="B6245" t="str">
            <v>Pólipo del cuerpo del útero</v>
          </cell>
        </row>
        <row r="6246">
          <cell r="A6246" t="str">
            <v>N84.1</v>
          </cell>
          <cell r="B6246" t="str">
            <v>Pólipo del cuello del útero</v>
          </cell>
        </row>
        <row r="6247">
          <cell r="A6247" t="str">
            <v>N84.2</v>
          </cell>
          <cell r="B6247" t="str">
            <v>Pólipo de la vagina</v>
          </cell>
        </row>
        <row r="6248">
          <cell r="A6248" t="str">
            <v>N84.3</v>
          </cell>
          <cell r="B6248" t="str">
            <v>Pólipo de la vulva</v>
          </cell>
        </row>
        <row r="6249">
          <cell r="A6249" t="str">
            <v>N84.8</v>
          </cell>
          <cell r="B6249" t="str">
            <v>Pólipos de otras partes del tracto genital femenino</v>
          </cell>
        </row>
        <row r="6250">
          <cell r="A6250" t="str">
            <v>N84.9</v>
          </cell>
          <cell r="B6250" t="str">
            <v>Pólipo del tracto genital femenino, no especificado</v>
          </cell>
        </row>
        <row r="6251">
          <cell r="A6251" t="str">
            <v>N85</v>
          </cell>
          <cell r="B6251" t="str">
            <v>Otros trastornos no inflamatorios del útero, excepto del cuello</v>
          </cell>
        </row>
        <row r="6252">
          <cell r="A6252" t="str">
            <v>N85.0</v>
          </cell>
          <cell r="B6252" t="str">
            <v>Hiperplasia de glándula del endometrio:</v>
          </cell>
        </row>
        <row r="6253">
          <cell r="A6253" t="str">
            <v>N85.1</v>
          </cell>
          <cell r="B6253" t="str">
            <v>Hiperplasia adenomatosa del endometrio</v>
          </cell>
        </row>
        <row r="6254">
          <cell r="A6254" t="str">
            <v>N85.2</v>
          </cell>
          <cell r="B6254" t="str">
            <v>Hipertrofia del útero</v>
          </cell>
        </row>
        <row r="6255">
          <cell r="A6255" t="str">
            <v>N85.3</v>
          </cell>
          <cell r="B6255" t="str">
            <v>Subinvolución del útero</v>
          </cell>
        </row>
        <row r="6256">
          <cell r="A6256" t="str">
            <v>N85.4</v>
          </cell>
          <cell r="B6256" t="str">
            <v>Mala posición del útero</v>
          </cell>
        </row>
        <row r="6257">
          <cell r="A6257" t="str">
            <v>N85.5</v>
          </cell>
          <cell r="B6257" t="str">
            <v>Inversión del útero</v>
          </cell>
        </row>
        <row r="6258">
          <cell r="A6258" t="str">
            <v>N85.6</v>
          </cell>
          <cell r="B6258" t="str">
            <v>Sinequias intrauterinas</v>
          </cell>
        </row>
        <row r="6259">
          <cell r="A6259" t="str">
            <v>N85.7</v>
          </cell>
          <cell r="B6259" t="str">
            <v>Hematómetra</v>
          </cell>
        </row>
        <row r="6260">
          <cell r="A6260" t="str">
            <v>N85.8</v>
          </cell>
          <cell r="B6260" t="str">
            <v>Otros trastornos no inflamatorios especificados del útero</v>
          </cell>
        </row>
        <row r="6261">
          <cell r="A6261" t="str">
            <v>N85.9</v>
          </cell>
          <cell r="B6261" t="str">
            <v>Trastorno no inflamatorio del útero, no especificado</v>
          </cell>
        </row>
        <row r="6262">
          <cell r="A6262" t="str">
            <v>N86.X</v>
          </cell>
          <cell r="B6262" t="str">
            <v>Erosión y ectropión del cuello del útero</v>
          </cell>
        </row>
        <row r="6263">
          <cell r="A6263" t="str">
            <v>N87</v>
          </cell>
          <cell r="B6263" t="str">
            <v>Displasia del cuello uterino</v>
          </cell>
        </row>
        <row r="6264">
          <cell r="A6264" t="str">
            <v>N87.0</v>
          </cell>
          <cell r="B6264" t="str">
            <v>Displasia cervical leve</v>
          </cell>
        </row>
        <row r="6265">
          <cell r="A6265" t="str">
            <v>N87.1</v>
          </cell>
          <cell r="B6265" t="str">
            <v>Displasia cervical moderada</v>
          </cell>
        </row>
        <row r="6266">
          <cell r="A6266" t="str">
            <v>N87.2</v>
          </cell>
          <cell r="B6266" t="str">
            <v>Displasia cervical severa, no clasificada en otra parte</v>
          </cell>
        </row>
        <row r="6267">
          <cell r="A6267" t="str">
            <v>N87.9</v>
          </cell>
          <cell r="B6267" t="str">
            <v>Displasia del cuello del útero, no especificada</v>
          </cell>
        </row>
        <row r="6268">
          <cell r="A6268" t="str">
            <v>N88</v>
          </cell>
          <cell r="B6268" t="str">
            <v>Otros trastornos no inflamatorios del cuello del útero</v>
          </cell>
        </row>
        <row r="6269">
          <cell r="A6269" t="str">
            <v>N88.0</v>
          </cell>
          <cell r="B6269" t="str">
            <v>Leucoplasia del cuello del útero</v>
          </cell>
        </row>
        <row r="6270">
          <cell r="A6270" t="str">
            <v>N88.1</v>
          </cell>
          <cell r="B6270" t="str">
            <v>Laceración antigua del cuello del útero</v>
          </cell>
        </row>
        <row r="6271">
          <cell r="A6271" t="str">
            <v>N88.2</v>
          </cell>
          <cell r="B6271" t="str">
            <v>Estrechez y estenosis del cuello del útero</v>
          </cell>
        </row>
        <row r="6272">
          <cell r="A6272" t="str">
            <v>N88.3</v>
          </cell>
          <cell r="B6272" t="str">
            <v>Incompetencia del cuello del útero</v>
          </cell>
        </row>
        <row r="6273">
          <cell r="A6273" t="str">
            <v>N88.4</v>
          </cell>
          <cell r="B6273" t="str">
            <v>Elongación hipertrófica del cuello del útero</v>
          </cell>
        </row>
        <row r="6274">
          <cell r="A6274" t="str">
            <v>N88.8</v>
          </cell>
          <cell r="B6274" t="str">
            <v>Otros trastornos no inflamatorios especificados del cuello del útero</v>
          </cell>
        </row>
        <row r="6275">
          <cell r="A6275" t="str">
            <v>N88.9</v>
          </cell>
          <cell r="B6275" t="str">
            <v>Trastorno no inflamatorio del cuello del útero, no especificado</v>
          </cell>
        </row>
        <row r="6276">
          <cell r="A6276" t="str">
            <v>N89</v>
          </cell>
          <cell r="B6276" t="str">
            <v>Otros trastornos no inflamatorios de la vagina</v>
          </cell>
        </row>
        <row r="6277">
          <cell r="A6277" t="str">
            <v>N89.0</v>
          </cell>
          <cell r="B6277" t="str">
            <v>Displasia vaginal leve</v>
          </cell>
        </row>
        <row r="6278">
          <cell r="A6278" t="str">
            <v>N89.1</v>
          </cell>
          <cell r="B6278" t="str">
            <v>Displasia vaginal moderada</v>
          </cell>
        </row>
        <row r="6279">
          <cell r="A6279" t="str">
            <v>N89.2</v>
          </cell>
          <cell r="B6279" t="str">
            <v>Displasia vaginal severa, no clasificada en otra parte</v>
          </cell>
        </row>
        <row r="6280">
          <cell r="A6280" t="str">
            <v>N89.3</v>
          </cell>
          <cell r="B6280" t="str">
            <v>Displasia de la vagina, no especificada</v>
          </cell>
        </row>
        <row r="6281">
          <cell r="A6281" t="str">
            <v>N89.4</v>
          </cell>
          <cell r="B6281" t="str">
            <v>Leucoplasia de la vagina</v>
          </cell>
        </row>
        <row r="6282">
          <cell r="A6282" t="str">
            <v>N89.5</v>
          </cell>
          <cell r="B6282" t="str">
            <v>Estrechez y atresia de la vagina</v>
          </cell>
        </row>
        <row r="6283">
          <cell r="A6283" t="str">
            <v>N89.6</v>
          </cell>
          <cell r="B6283" t="str">
            <v>Anillo de himen estrecho</v>
          </cell>
        </row>
        <row r="6284">
          <cell r="A6284" t="str">
            <v>N89.7</v>
          </cell>
          <cell r="B6284" t="str">
            <v>Hematocolpos</v>
          </cell>
        </row>
        <row r="6285">
          <cell r="A6285" t="str">
            <v>N89.8</v>
          </cell>
          <cell r="B6285" t="str">
            <v>Otros trastornos especificados no inflamatorios de la vagina</v>
          </cell>
        </row>
        <row r="6286">
          <cell r="A6286" t="str">
            <v>N89.9</v>
          </cell>
          <cell r="B6286" t="str">
            <v>Trastorno no inflamatorio de la vagina, no especificado</v>
          </cell>
        </row>
        <row r="6287">
          <cell r="A6287" t="str">
            <v>N90</v>
          </cell>
          <cell r="B6287" t="str">
            <v>Otros trastornos no inflamatorios de la vulva y del perineo</v>
          </cell>
        </row>
        <row r="6288">
          <cell r="A6288" t="str">
            <v>N90.0</v>
          </cell>
          <cell r="B6288" t="str">
            <v>Displasia vulvar leve</v>
          </cell>
        </row>
        <row r="6289">
          <cell r="A6289" t="str">
            <v>N90.1</v>
          </cell>
          <cell r="B6289" t="str">
            <v>Displasia vulvar moderada</v>
          </cell>
        </row>
        <row r="6290">
          <cell r="A6290" t="str">
            <v>N90.2</v>
          </cell>
          <cell r="B6290" t="str">
            <v>Displasia vulvar severa, no clasificada en otra parte</v>
          </cell>
        </row>
        <row r="6291">
          <cell r="A6291" t="str">
            <v>N90.3</v>
          </cell>
          <cell r="B6291" t="str">
            <v>Displasia de la vulva, no especificada</v>
          </cell>
        </row>
        <row r="6292">
          <cell r="A6292" t="str">
            <v>N90.4</v>
          </cell>
          <cell r="B6292" t="str">
            <v>Leucoplasia de la vulva</v>
          </cell>
        </row>
        <row r="6293">
          <cell r="A6293" t="str">
            <v>N90.5</v>
          </cell>
          <cell r="B6293" t="str">
            <v>Atrofia de la vulva</v>
          </cell>
        </row>
        <row r="6294">
          <cell r="A6294" t="str">
            <v>N90.6</v>
          </cell>
          <cell r="B6294" t="str">
            <v>Hipertrofia de la vulva</v>
          </cell>
        </row>
        <row r="6295">
          <cell r="A6295" t="str">
            <v>N90.7</v>
          </cell>
          <cell r="B6295" t="str">
            <v>Quiste de la vulva</v>
          </cell>
        </row>
        <row r="6296">
          <cell r="A6296" t="str">
            <v>N90.8</v>
          </cell>
          <cell r="B6296" t="str">
            <v>Otros trastornos no inflamatorios especificados de la vulva y del perineo</v>
          </cell>
        </row>
        <row r="6297">
          <cell r="A6297" t="str">
            <v>N90.9</v>
          </cell>
          <cell r="B6297" t="str">
            <v>Trastorno no inflamatorio de la vulva y del perineo, no especificado</v>
          </cell>
        </row>
        <row r="6298">
          <cell r="A6298" t="str">
            <v>N91</v>
          </cell>
          <cell r="B6298" t="str">
            <v>Menstruación ausente, escasa o rara</v>
          </cell>
        </row>
        <row r="6299">
          <cell r="A6299" t="str">
            <v>N91.0</v>
          </cell>
          <cell r="B6299" t="str">
            <v>Amenorrea primaria</v>
          </cell>
        </row>
        <row r="6300">
          <cell r="A6300" t="str">
            <v>N91.1</v>
          </cell>
          <cell r="B6300" t="str">
            <v>Amenorrea secundaria</v>
          </cell>
        </row>
        <row r="6301">
          <cell r="A6301" t="str">
            <v>N91.2</v>
          </cell>
          <cell r="B6301" t="str">
            <v>Amenorrea, sin otra especificación</v>
          </cell>
        </row>
        <row r="6302">
          <cell r="A6302" t="str">
            <v>N91.3</v>
          </cell>
          <cell r="B6302" t="str">
            <v>Oligomenorrea primaria</v>
          </cell>
        </row>
        <row r="6303">
          <cell r="A6303" t="str">
            <v>N91.4</v>
          </cell>
          <cell r="B6303" t="str">
            <v>Oligomenorrea secundaria</v>
          </cell>
        </row>
        <row r="6304">
          <cell r="A6304" t="str">
            <v>N91.5</v>
          </cell>
          <cell r="B6304" t="str">
            <v>Oligomenorrea, no especificada</v>
          </cell>
        </row>
        <row r="6305">
          <cell r="A6305" t="str">
            <v>N92</v>
          </cell>
          <cell r="B6305" t="str">
            <v>Menstruación excesiva, frecuente e irregular</v>
          </cell>
        </row>
        <row r="6306">
          <cell r="A6306" t="str">
            <v>N92.0</v>
          </cell>
          <cell r="B6306" t="str">
            <v>Menstruación excesiva y frecuente con ciclo regular</v>
          </cell>
        </row>
        <row r="6307">
          <cell r="A6307" t="str">
            <v>N92.1</v>
          </cell>
          <cell r="B6307" t="str">
            <v>Menstruación excesiva y frecuente con ciclo irregular</v>
          </cell>
        </row>
        <row r="6308">
          <cell r="A6308" t="str">
            <v>N92.2</v>
          </cell>
          <cell r="B6308" t="str">
            <v>Menstruación excesiva en la pubertad</v>
          </cell>
        </row>
        <row r="6309">
          <cell r="A6309" t="str">
            <v>N92.3</v>
          </cell>
          <cell r="B6309" t="str">
            <v>Hemorragia por ovulación</v>
          </cell>
        </row>
        <row r="6310">
          <cell r="A6310" t="str">
            <v>N92.4</v>
          </cell>
          <cell r="B6310" t="str">
            <v>Hemorragia excesiva en período premenopáusico</v>
          </cell>
        </row>
        <row r="6311">
          <cell r="A6311" t="str">
            <v>N92.5</v>
          </cell>
          <cell r="B6311" t="str">
            <v>Otras menstruaciones irregulares especificadas</v>
          </cell>
        </row>
        <row r="6312">
          <cell r="A6312" t="str">
            <v>N92.6</v>
          </cell>
          <cell r="B6312" t="str">
            <v>Menstruación irregular, no especificada</v>
          </cell>
        </row>
        <row r="6313">
          <cell r="A6313" t="str">
            <v>N93</v>
          </cell>
          <cell r="B6313" t="str">
            <v>Otras hemorragias uterinas o vaginales anormales</v>
          </cell>
        </row>
        <row r="6314">
          <cell r="A6314" t="str">
            <v>N93.0</v>
          </cell>
          <cell r="B6314" t="str">
            <v>Hemorragia postcoito y postcontacto</v>
          </cell>
        </row>
        <row r="6315">
          <cell r="A6315" t="str">
            <v>N93.8</v>
          </cell>
          <cell r="B6315" t="str">
            <v>Otras hemorragias uterinas o vaginales anormales especificadas</v>
          </cell>
        </row>
        <row r="6316">
          <cell r="A6316" t="str">
            <v>N93.9</v>
          </cell>
          <cell r="B6316" t="str">
            <v>Hemorragia vaginal y uterina anormal, no especificada</v>
          </cell>
        </row>
        <row r="6317">
          <cell r="A6317" t="str">
            <v>N94</v>
          </cell>
          <cell r="B6317" t="str">
            <v>Dolor y otras afecciones relacionadas con los órganos genitales femeninos y con el ciclo menstrual</v>
          </cell>
        </row>
        <row r="6318">
          <cell r="A6318" t="str">
            <v>N94.0</v>
          </cell>
          <cell r="B6318" t="str">
            <v>Dolor intermenstrual</v>
          </cell>
        </row>
        <row r="6319">
          <cell r="A6319" t="str">
            <v>N94.1</v>
          </cell>
          <cell r="B6319" t="str">
            <v>Dispareunia</v>
          </cell>
        </row>
        <row r="6320">
          <cell r="A6320" t="str">
            <v>N94.2</v>
          </cell>
          <cell r="B6320" t="str">
            <v>Vaginismo</v>
          </cell>
        </row>
        <row r="6321">
          <cell r="A6321" t="str">
            <v>N94.3</v>
          </cell>
          <cell r="B6321" t="str">
            <v>Síndrome de tensión premenstrual</v>
          </cell>
        </row>
        <row r="6322">
          <cell r="A6322" t="str">
            <v>N94.4</v>
          </cell>
          <cell r="B6322" t="str">
            <v>Dismenorrea primaria</v>
          </cell>
        </row>
        <row r="6323">
          <cell r="A6323" t="str">
            <v>N94.5</v>
          </cell>
          <cell r="B6323" t="str">
            <v>Dismenorrea secundaria</v>
          </cell>
        </row>
        <row r="6324">
          <cell r="A6324" t="str">
            <v>N94.6</v>
          </cell>
          <cell r="B6324" t="str">
            <v>Dismenorrea, no especificada</v>
          </cell>
        </row>
        <row r="6325">
          <cell r="A6325" t="str">
            <v>N94.8</v>
          </cell>
          <cell r="B6325" t="str">
            <v>Otras afecciones especificadas asociadas con los órganos genitales femeninos y el ciclo menstrual</v>
          </cell>
        </row>
        <row r="6326">
          <cell r="A6326" t="str">
            <v>N94.9</v>
          </cell>
          <cell r="B6326" t="str">
            <v>Afecciones no especificadas asociadas con los órganos genitales femeninos y el ciclo menstrual</v>
          </cell>
        </row>
        <row r="6327">
          <cell r="A6327" t="str">
            <v>N95</v>
          </cell>
          <cell r="B6327" t="str">
            <v>Otros trastornos menopáusicos y perimenopáusicos</v>
          </cell>
        </row>
        <row r="6328">
          <cell r="A6328" t="str">
            <v>N95.0</v>
          </cell>
          <cell r="B6328" t="str">
            <v>Hemorragia postmenopáusica</v>
          </cell>
        </row>
        <row r="6329">
          <cell r="A6329" t="str">
            <v>N95.1</v>
          </cell>
          <cell r="B6329" t="str">
            <v>Estados menopáusicos y climatéricos femeninos</v>
          </cell>
        </row>
        <row r="6330">
          <cell r="A6330" t="str">
            <v>N95.2</v>
          </cell>
          <cell r="B6330" t="str">
            <v>Vaginitis atrófica postmenopáusica</v>
          </cell>
        </row>
        <row r="6331">
          <cell r="A6331" t="str">
            <v>N95.3</v>
          </cell>
          <cell r="B6331" t="str">
            <v>Estados asociados con menopausia artificial</v>
          </cell>
        </row>
        <row r="6332">
          <cell r="A6332" t="str">
            <v>N95.8</v>
          </cell>
          <cell r="B6332" t="str">
            <v>Otros trastornos menopáusicos y perimenopáusicos especificados</v>
          </cell>
        </row>
        <row r="6333">
          <cell r="A6333" t="str">
            <v>N95.9</v>
          </cell>
          <cell r="B6333" t="str">
            <v>Trastorno menopáusico y perimenopáusico, no especificado</v>
          </cell>
        </row>
        <row r="6334">
          <cell r="A6334" t="str">
            <v>N96.X</v>
          </cell>
          <cell r="B6334" t="str">
            <v>Abortadora habitual</v>
          </cell>
        </row>
        <row r="6335">
          <cell r="A6335" t="str">
            <v>N97</v>
          </cell>
          <cell r="B6335" t="str">
            <v>Infertilidad femenina</v>
          </cell>
        </row>
        <row r="6336">
          <cell r="A6336" t="str">
            <v>N97.0</v>
          </cell>
          <cell r="B6336" t="str">
            <v>Infertilidad femenina asociada con falta de ovulación</v>
          </cell>
        </row>
        <row r="6337">
          <cell r="A6337" t="str">
            <v>N97.1</v>
          </cell>
          <cell r="B6337" t="str">
            <v>Infertilidad femenina de origen tubárico</v>
          </cell>
        </row>
        <row r="6338">
          <cell r="A6338" t="str">
            <v>N97.2</v>
          </cell>
          <cell r="B6338" t="str">
            <v>Infertilidad femenina de origen uterino</v>
          </cell>
        </row>
        <row r="6339">
          <cell r="A6339" t="str">
            <v>N97.3</v>
          </cell>
          <cell r="B6339" t="str">
            <v>Infertilidad femenina de origen cervical</v>
          </cell>
        </row>
        <row r="6340">
          <cell r="A6340" t="str">
            <v>N97.4</v>
          </cell>
          <cell r="B6340" t="str">
            <v>Infertilidad femenina asociada con factores masculinos</v>
          </cell>
        </row>
        <row r="6341">
          <cell r="A6341" t="str">
            <v>N97.8</v>
          </cell>
          <cell r="B6341" t="str">
            <v>Infertilidad femenina de otro origen</v>
          </cell>
        </row>
        <row r="6342">
          <cell r="A6342" t="str">
            <v>N97.9</v>
          </cell>
          <cell r="B6342" t="str">
            <v>Infertilidad femenina, no especificada</v>
          </cell>
        </row>
        <row r="6343">
          <cell r="A6343" t="str">
            <v>N98</v>
          </cell>
          <cell r="B6343" t="str">
            <v>Complicaciones asociadas con la fecundación artificial</v>
          </cell>
        </row>
        <row r="6344">
          <cell r="A6344" t="str">
            <v>N98.0</v>
          </cell>
          <cell r="B6344" t="str">
            <v>Infección asociada con inseminación artificial</v>
          </cell>
        </row>
        <row r="6345">
          <cell r="A6345" t="str">
            <v>N98.1</v>
          </cell>
          <cell r="B6345" t="str">
            <v>Hiperestimulación de ovarios</v>
          </cell>
        </row>
        <row r="6346">
          <cell r="A6346" t="str">
            <v>N98.2</v>
          </cell>
          <cell r="B6346" t="str">
            <v>Complicaciones en el intento de introducción del huevo fecundado en la fertilización in vitro</v>
          </cell>
        </row>
        <row r="6347">
          <cell r="A6347" t="str">
            <v>N98.3</v>
          </cell>
          <cell r="B6347" t="str">
            <v>Complicaciones en el intento de introducción del embrión en la transferencia de embriones</v>
          </cell>
        </row>
        <row r="6348">
          <cell r="A6348" t="str">
            <v>N98.8</v>
          </cell>
          <cell r="B6348" t="str">
            <v>Otras complicaciones asociadas con la fecundación artificial</v>
          </cell>
        </row>
        <row r="6349">
          <cell r="A6349" t="str">
            <v>N98.9</v>
          </cell>
          <cell r="B6349" t="str">
            <v>Complicación no especificada asociada con la fecundación artificial</v>
          </cell>
        </row>
        <row r="6350">
          <cell r="A6350" t="str">
            <v>N99</v>
          </cell>
          <cell r="B6350" t="str">
            <v>Trastornos del sistema genitourinario consecutivos a procedimientos, no  clasificados en otra parte</v>
          </cell>
        </row>
        <row r="6351">
          <cell r="A6351" t="str">
            <v>N99.0</v>
          </cell>
          <cell r="B6351" t="str">
            <v>Insuficiencia renal consecutiva a procedimientos</v>
          </cell>
        </row>
        <row r="6352">
          <cell r="A6352" t="str">
            <v>N99.1</v>
          </cell>
          <cell r="B6352" t="str">
            <v>Estrechez uretral consecutiva a procedimientos</v>
          </cell>
        </row>
        <row r="6353">
          <cell r="A6353" t="str">
            <v>N99.2</v>
          </cell>
          <cell r="B6353" t="str">
            <v>Adherencias postoperatorias de la vagina</v>
          </cell>
        </row>
        <row r="6354">
          <cell r="A6354" t="str">
            <v>N99.3</v>
          </cell>
          <cell r="B6354" t="str">
            <v>Prolapso de la cúpula vaginal después de histerectomía</v>
          </cell>
        </row>
        <row r="6355">
          <cell r="A6355" t="str">
            <v>N99.4</v>
          </cell>
          <cell r="B6355" t="str">
            <v>Adherencias peritoneales pélvicas consecutivas a procedimientos</v>
          </cell>
        </row>
        <row r="6356">
          <cell r="A6356" t="str">
            <v>N99.5</v>
          </cell>
          <cell r="B6356" t="str">
            <v>Mal funcionamiento de estoma externo de vías urinarias</v>
          </cell>
        </row>
        <row r="6357">
          <cell r="A6357" t="str">
            <v>N99.8</v>
          </cell>
          <cell r="B6357" t="str">
            <v>Otros trastornos del sistema genitourinario consecutivos a procedimientos</v>
          </cell>
        </row>
        <row r="6358">
          <cell r="A6358" t="str">
            <v>N99.9</v>
          </cell>
          <cell r="B6358" t="str">
            <v>Trastorno no especificado del sistema genitourinario consecutivo a procedimientos</v>
          </cell>
        </row>
        <row r="6359">
          <cell r="A6359" t="str">
            <v>O</v>
          </cell>
          <cell r="B6359" t="str">
            <v>Transtornos Gineco-Obstétricos</v>
          </cell>
        </row>
        <row r="6360">
          <cell r="A6360" t="str">
            <v>O00</v>
          </cell>
          <cell r="B6360" t="str">
            <v>Embarazo ectópico</v>
          </cell>
        </row>
        <row r="6361">
          <cell r="A6361" t="str">
            <v>O00.0</v>
          </cell>
          <cell r="B6361" t="str">
            <v>Embarazo abdominal</v>
          </cell>
        </row>
        <row r="6362">
          <cell r="A6362" t="str">
            <v>O00.1</v>
          </cell>
          <cell r="B6362" t="str">
            <v>Embarazo tubárico</v>
          </cell>
        </row>
        <row r="6363">
          <cell r="A6363" t="str">
            <v>O00.2</v>
          </cell>
          <cell r="B6363" t="str">
            <v>Embarazo ovárico</v>
          </cell>
        </row>
        <row r="6364">
          <cell r="A6364" t="str">
            <v>O00.8</v>
          </cell>
          <cell r="B6364" t="str">
            <v>Otros embarazos ectópicos</v>
          </cell>
        </row>
        <row r="6365">
          <cell r="A6365" t="str">
            <v>O00.9</v>
          </cell>
          <cell r="B6365" t="str">
            <v>Embarazo ectópico, no especificado</v>
          </cell>
        </row>
        <row r="6366">
          <cell r="A6366" t="str">
            <v>O01</v>
          </cell>
          <cell r="B6366" t="str">
            <v>Mola hidatiforme</v>
          </cell>
        </row>
        <row r="6367">
          <cell r="A6367" t="str">
            <v>O01.0</v>
          </cell>
          <cell r="B6367" t="str">
            <v>Mola hidatiforme clásica</v>
          </cell>
        </row>
        <row r="6368">
          <cell r="A6368" t="str">
            <v>O01.1</v>
          </cell>
          <cell r="B6368" t="str">
            <v>Mola hidatiforme, incompleta o parcial</v>
          </cell>
        </row>
        <row r="6369">
          <cell r="A6369" t="str">
            <v>O01.9</v>
          </cell>
          <cell r="B6369" t="str">
            <v>Mola hidatiforme, no especificada</v>
          </cell>
        </row>
        <row r="6370">
          <cell r="A6370" t="str">
            <v>O02</v>
          </cell>
          <cell r="B6370" t="str">
            <v>Otros productos anormales de la concepción</v>
          </cell>
        </row>
        <row r="6371">
          <cell r="A6371" t="str">
            <v>O02.0</v>
          </cell>
          <cell r="B6371" t="str">
            <v>Detención del desarrollo del huevo y mola no hidatiforme</v>
          </cell>
        </row>
        <row r="6372">
          <cell r="A6372" t="str">
            <v>O02.1</v>
          </cell>
          <cell r="B6372" t="str">
            <v>Aborto retenido</v>
          </cell>
        </row>
        <row r="6373">
          <cell r="A6373" t="str">
            <v>O02.8</v>
          </cell>
          <cell r="B6373" t="str">
            <v>Otros productos anormales especificados de la concepción</v>
          </cell>
        </row>
        <row r="6374">
          <cell r="A6374" t="str">
            <v>O02.9</v>
          </cell>
          <cell r="B6374" t="str">
            <v>Producto anormal de la concepción, no especificado</v>
          </cell>
        </row>
        <row r="6375">
          <cell r="A6375" t="str">
            <v>O03</v>
          </cell>
          <cell r="B6375" t="str">
            <v>Aborto espontáneo</v>
          </cell>
        </row>
        <row r="6376">
          <cell r="A6376" t="str">
            <v>O03.0</v>
          </cell>
          <cell r="B6376" t="str">
            <v>Aborto espontáneo, incompleto, complicado con infección genital y pelviana</v>
          </cell>
        </row>
        <row r="6377">
          <cell r="A6377" t="str">
            <v>O03.1</v>
          </cell>
          <cell r="B6377" t="str">
            <v>Aborto espontáneo, incompleto, complicado por hemorragia excesiva o tardía</v>
          </cell>
        </row>
        <row r="6378">
          <cell r="A6378" t="str">
            <v>O03.2</v>
          </cell>
          <cell r="B6378" t="str">
            <v>Aborto espontáneo, incompleto, complicado por embolia</v>
          </cell>
        </row>
        <row r="6379">
          <cell r="A6379" t="str">
            <v>O03.3</v>
          </cell>
          <cell r="B6379" t="str">
            <v>Aborto espontáneo, incompleto, con otras complicaciones especificadas y las no especificadas</v>
          </cell>
        </row>
        <row r="6380">
          <cell r="A6380" t="str">
            <v>O03.4</v>
          </cell>
          <cell r="B6380" t="str">
            <v>Aborto espontáneo, incompleto, sin complicación</v>
          </cell>
        </row>
        <row r="6381">
          <cell r="A6381" t="str">
            <v>O03.5</v>
          </cell>
          <cell r="B6381" t="str">
            <v>Aborto espontáneo, completo o no especificado, complicado con infección genital y pelviana</v>
          </cell>
        </row>
        <row r="6382">
          <cell r="A6382" t="str">
            <v>O03.6</v>
          </cell>
          <cell r="B6382" t="str">
            <v>Aborto espontáneo, completo o no especificado, complicado por hemorragia excesiva o tardía</v>
          </cell>
        </row>
        <row r="6383">
          <cell r="A6383" t="str">
            <v>O03.7</v>
          </cell>
          <cell r="B6383" t="str">
            <v>Aborto espontáneo, completo o no especificado, complicado por embolia</v>
          </cell>
        </row>
        <row r="6384">
          <cell r="A6384" t="str">
            <v>O03.8</v>
          </cell>
          <cell r="B6384" t="str">
            <v>Aborto espontáneo, completo o no especificado, con otras complicaciones especificadas y las no especificadas</v>
          </cell>
        </row>
        <row r="6385">
          <cell r="A6385" t="str">
            <v>O03.9</v>
          </cell>
          <cell r="B6385" t="str">
            <v>Aborto espontáneo, completo o no especificado, sin complicación</v>
          </cell>
        </row>
        <row r="6386">
          <cell r="A6386" t="str">
            <v>O04</v>
          </cell>
          <cell r="B6386" t="str">
            <v>Aborto médico</v>
          </cell>
        </row>
        <row r="6387">
          <cell r="A6387" t="str">
            <v>O04.0</v>
          </cell>
          <cell r="B6387" t="str">
            <v>Aborto médico, incompleto, complicado con infección genital y pelviana</v>
          </cell>
        </row>
        <row r="6388">
          <cell r="A6388" t="str">
            <v>O04.1</v>
          </cell>
          <cell r="B6388" t="str">
            <v>Aborto médico, incompleto, complicado por hemorragia excesiva o tardía</v>
          </cell>
        </row>
        <row r="6389">
          <cell r="A6389" t="str">
            <v>O04.2</v>
          </cell>
          <cell r="B6389" t="str">
            <v>Aborto médico, incompleto, complicado por embolia</v>
          </cell>
        </row>
        <row r="6390">
          <cell r="A6390" t="str">
            <v>O04.3</v>
          </cell>
          <cell r="B6390" t="str">
            <v>Aborto médico, incompleto, con otras complicaciones especificadas y las no especificadas</v>
          </cell>
        </row>
        <row r="6391">
          <cell r="A6391" t="str">
            <v>O04.4</v>
          </cell>
          <cell r="B6391" t="str">
            <v>Aborto médico, incompleto, sin complicación</v>
          </cell>
        </row>
        <row r="6392">
          <cell r="A6392" t="str">
            <v>O04.5</v>
          </cell>
          <cell r="B6392" t="str">
            <v>Aborto médico, completo o no especificado, complicado con infección genital y pelviana</v>
          </cell>
        </row>
        <row r="6393">
          <cell r="A6393" t="str">
            <v>O04.6</v>
          </cell>
          <cell r="B6393" t="str">
            <v>Aborto médico, completo o no especificado, complicado por hemorragia excesiva o tardía</v>
          </cell>
        </row>
        <row r="6394">
          <cell r="A6394" t="str">
            <v>O04.7</v>
          </cell>
          <cell r="B6394" t="str">
            <v>Aborto médico, completo o no especificado, complicado por embolia</v>
          </cell>
        </row>
        <row r="6395">
          <cell r="A6395" t="str">
            <v>O04.8</v>
          </cell>
          <cell r="B6395" t="str">
            <v>Aborto médico, completo o no especificado, con otras complicaciones especificadas y las no especificadas</v>
          </cell>
        </row>
        <row r="6396">
          <cell r="A6396" t="str">
            <v>O04.9</v>
          </cell>
          <cell r="B6396" t="str">
            <v>Aborto médico, completo o no especificado, sin complicación</v>
          </cell>
        </row>
        <row r="6397">
          <cell r="A6397" t="str">
            <v>O05</v>
          </cell>
          <cell r="B6397" t="str">
            <v>Otro aborto</v>
          </cell>
        </row>
        <row r="6398">
          <cell r="A6398" t="str">
            <v>O05.0</v>
          </cell>
          <cell r="B6398" t="str">
            <v>Otro aborto, incompleto, complicado con infección genital y pelviana</v>
          </cell>
        </row>
        <row r="6399">
          <cell r="A6399" t="str">
            <v>O05.1</v>
          </cell>
          <cell r="B6399" t="str">
            <v>Otro aborto, incompleto, complicado por hemorragia excesiva o tardía</v>
          </cell>
        </row>
        <row r="6400">
          <cell r="A6400" t="str">
            <v>O05.2</v>
          </cell>
          <cell r="B6400" t="str">
            <v>Otro aborto, incompleto, complicado por embolia</v>
          </cell>
        </row>
        <row r="6401">
          <cell r="A6401" t="str">
            <v>O05.3</v>
          </cell>
          <cell r="B6401" t="str">
            <v>Otro aborto, incompleto, con otras complicaciones especificadas y las no especificadas</v>
          </cell>
        </row>
        <row r="6402">
          <cell r="A6402" t="str">
            <v>O05.4</v>
          </cell>
          <cell r="B6402" t="str">
            <v>Otro aborto, incompleto, sin complicación</v>
          </cell>
        </row>
        <row r="6403">
          <cell r="A6403" t="str">
            <v>O05.5</v>
          </cell>
          <cell r="B6403" t="str">
            <v>Otro aborto, completo o no especificado, complicado con infección genital y pelviana</v>
          </cell>
        </row>
        <row r="6404">
          <cell r="A6404" t="str">
            <v>O05.6</v>
          </cell>
          <cell r="B6404" t="str">
            <v>Otro aborto, completo o no especificado, complicado por hemorragia excesiva o tardía</v>
          </cell>
        </row>
        <row r="6405">
          <cell r="A6405" t="str">
            <v>O05.7</v>
          </cell>
          <cell r="B6405" t="str">
            <v>Otro aborto, completo o no especificado, complicado por embolia</v>
          </cell>
        </row>
        <row r="6406">
          <cell r="A6406" t="str">
            <v>O05.8</v>
          </cell>
          <cell r="B6406" t="str">
            <v>Otro aborto, completo o no especificado, con otras complicaciones especificadas y las no especificadas</v>
          </cell>
        </row>
        <row r="6407">
          <cell r="A6407" t="str">
            <v>O05.9</v>
          </cell>
          <cell r="B6407" t="str">
            <v>Otro aborto, completo o no especificado, sin complicación</v>
          </cell>
        </row>
        <row r="6408">
          <cell r="A6408" t="str">
            <v>O06</v>
          </cell>
          <cell r="B6408" t="str">
            <v>Aborto no especificado</v>
          </cell>
        </row>
        <row r="6409">
          <cell r="A6409" t="str">
            <v>O06.0</v>
          </cell>
          <cell r="B6409" t="str">
            <v>Aborto no especificado, incompleto, complicado con infección genital y pelviana</v>
          </cell>
        </row>
        <row r="6410">
          <cell r="A6410" t="str">
            <v>O06.1</v>
          </cell>
          <cell r="B6410" t="str">
            <v>Aborto no especificado, incompleto, complicado por hemorragia excesiva o tardía</v>
          </cell>
        </row>
        <row r="6411">
          <cell r="A6411" t="str">
            <v>O06.2</v>
          </cell>
          <cell r="B6411" t="str">
            <v>Aborto no especificado, incompleto, complicado por embolia</v>
          </cell>
        </row>
        <row r="6412">
          <cell r="A6412" t="str">
            <v>O06.3</v>
          </cell>
          <cell r="B6412" t="str">
            <v>Aborto no especificado, incompleto, con otras complicaciones especificadas y las no especificadas</v>
          </cell>
        </row>
        <row r="6413">
          <cell r="A6413" t="str">
            <v>O06.4</v>
          </cell>
          <cell r="B6413" t="str">
            <v>Aborto no especificado, incompleto, sin complicación</v>
          </cell>
        </row>
        <row r="6414">
          <cell r="A6414" t="str">
            <v>O06.5</v>
          </cell>
          <cell r="B6414" t="str">
            <v>Aborto no especificado, completo o no especificado, complicado con infección genital y pelviana</v>
          </cell>
        </row>
        <row r="6415">
          <cell r="A6415" t="str">
            <v>O06.6</v>
          </cell>
          <cell r="B6415" t="str">
            <v>Aborto no especificado, completo o no especificado, complicado por hemorragia excesiva o tardía</v>
          </cell>
        </row>
        <row r="6416">
          <cell r="A6416" t="str">
            <v>O06.7</v>
          </cell>
          <cell r="B6416" t="str">
            <v>Aborto no especificado, completo o no especificado, complicado por embolia</v>
          </cell>
        </row>
        <row r="6417">
          <cell r="A6417" t="str">
            <v>O06.8</v>
          </cell>
          <cell r="B6417" t="str">
            <v>Aborto no especificado, completo o no especificado, con otras complicaciones especificadas y las no especificadas</v>
          </cell>
        </row>
        <row r="6418">
          <cell r="A6418" t="str">
            <v>O06.9</v>
          </cell>
          <cell r="B6418" t="str">
            <v>Aborto no especificado, completo o no especificado, sin complicación</v>
          </cell>
        </row>
        <row r="6419">
          <cell r="A6419" t="str">
            <v>O07</v>
          </cell>
          <cell r="B6419" t="str">
            <v>Intento fallido de aborto</v>
          </cell>
        </row>
        <row r="6420">
          <cell r="A6420" t="str">
            <v>O07.0</v>
          </cell>
          <cell r="B6420" t="str">
            <v>Falla de la inducción médica del aborto, complicado por infección genital y pelviana</v>
          </cell>
        </row>
        <row r="6421">
          <cell r="A6421" t="str">
            <v>O07.1</v>
          </cell>
          <cell r="B6421" t="str">
            <v>Falla de la inducción médica del aborto, complicado por hemorragia excesiva o tardía</v>
          </cell>
        </row>
        <row r="6422">
          <cell r="A6422" t="str">
            <v>O07.2</v>
          </cell>
          <cell r="B6422" t="str">
            <v>Falla de la inducción médica del aborto, complicado por embolia</v>
          </cell>
        </row>
        <row r="6423">
          <cell r="A6423" t="str">
            <v>O07.3</v>
          </cell>
          <cell r="B6423" t="str">
            <v>Falla de la inducción médica del aborto, con otras complicaciones y las no especificadas</v>
          </cell>
        </row>
        <row r="6424">
          <cell r="A6424" t="str">
            <v>O07.4</v>
          </cell>
          <cell r="B6424" t="str">
            <v>Falla de la inducción médica del aborto, sin complicación</v>
          </cell>
        </row>
        <row r="6425">
          <cell r="A6425" t="str">
            <v>O07.5</v>
          </cell>
          <cell r="B6425" t="str">
            <v>Otros intentos fallidos de aborto y los no especificados, complicados por infección genital y pelviana</v>
          </cell>
        </row>
        <row r="6426">
          <cell r="A6426" t="str">
            <v>O07.6</v>
          </cell>
          <cell r="B6426" t="str">
            <v>Otros intentos fallidos de aborto y los no especificados, complicados por hemorragia excesiva o tardía</v>
          </cell>
        </row>
        <row r="6427">
          <cell r="A6427" t="str">
            <v>O07.7</v>
          </cell>
          <cell r="B6427" t="str">
            <v>Otros intentos fallidos de aborto y los no especificados, complicados por embolia</v>
          </cell>
        </row>
        <row r="6428">
          <cell r="A6428" t="str">
            <v>O07.8</v>
          </cell>
          <cell r="B6428" t="str">
            <v>Otros intentos fallidos de aborto y los no especificados, con otras complicaciones y las no especificadas</v>
          </cell>
        </row>
        <row r="6429">
          <cell r="A6429" t="str">
            <v>O07.9</v>
          </cell>
          <cell r="B6429" t="str">
            <v>Otros intentos fallidos de aborto y los no especificados, sin complicación</v>
          </cell>
        </row>
        <row r="6430">
          <cell r="A6430" t="str">
            <v>O08</v>
          </cell>
          <cell r="B6430" t="str">
            <v>Complicaciones consecutivas al aborto, al embarazo ectópico y al embarazo  molar</v>
          </cell>
        </row>
        <row r="6431">
          <cell r="A6431" t="str">
            <v>O08.0</v>
          </cell>
          <cell r="B6431" t="str">
            <v>Infección genital y pelviana consecutiva al aborto, al embarazo ectópico y al embarazo molar</v>
          </cell>
        </row>
        <row r="6432">
          <cell r="A6432" t="str">
            <v>O08.1</v>
          </cell>
          <cell r="B6432" t="str">
            <v>Hemorragia excesiva o tardía consecutiva al aborto, al embarazo ectópico y al embarazo molar</v>
          </cell>
        </row>
        <row r="6433">
          <cell r="A6433" t="str">
            <v>O08.2</v>
          </cell>
          <cell r="B6433" t="str">
            <v>Embolia consecutiva al aborto, al embarazo ectópico y al embarazo molar</v>
          </cell>
        </row>
        <row r="6434">
          <cell r="A6434" t="str">
            <v>O08.3</v>
          </cell>
          <cell r="B6434" t="str">
            <v>Choque consecutivo al aborto, al embarazo ectópico y al embarazo molar</v>
          </cell>
        </row>
        <row r="6435">
          <cell r="A6435" t="str">
            <v>O08.4</v>
          </cell>
          <cell r="B6435" t="str">
            <v>Insuficiencia renal consecutiva al aborto, al embarazo ectópico y al embarazo molar</v>
          </cell>
        </row>
        <row r="6436">
          <cell r="A6436" t="str">
            <v>O08.5</v>
          </cell>
          <cell r="B6436" t="str">
            <v>Trastorno metabólico consecutivo al aborto, al embarazo ectópico y al embarazo molar</v>
          </cell>
        </row>
        <row r="6437">
          <cell r="A6437" t="str">
            <v>O08.6</v>
          </cell>
          <cell r="B6437" t="str">
            <v>Lesión de órganos o tejidos de la pelvis consecutivo al aborto, al embarazo ectópico y al embarazo molar</v>
          </cell>
        </row>
        <row r="6438">
          <cell r="A6438" t="str">
            <v>O08.7</v>
          </cell>
          <cell r="B6438" t="str">
            <v>Otras complicaciones venosas consecutivas al aborto, al embarazo ectópico y al embarazo molar</v>
          </cell>
        </row>
        <row r="6439">
          <cell r="A6439" t="str">
            <v>O08.8</v>
          </cell>
          <cell r="B6439" t="str">
            <v>Otras complicaciones consecutivas al aborto, al embarazo ectópico y al embarazo molar</v>
          </cell>
        </row>
        <row r="6440">
          <cell r="A6440" t="str">
            <v>O08.9</v>
          </cell>
          <cell r="B6440" t="str">
            <v>Complicación no especificada consecutiva al aborto, al embarazo ectópico y al embarazo molar</v>
          </cell>
        </row>
        <row r="6441">
          <cell r="A6441" t="str">
            <v>O10</v>
          </cell>
          <cell r="B6441" t="str">
            <v>Hipertensión preexistente que complica el embarazo, el parto y el puerperio</v>
          </cell>
        </row>
        <row r="6442">
          <cell r="A6442" t="str">
            <v>O10.0</v>
          </cell>
          <cell r="B6442" t="str">
            <v>Hipertensión esencial preexistente que complica el embarazo, el parto y el puerperio</v>
          </cell>
        </row>
        <row r="6443">
          <cell r="A6443" t="str">
            <v>O10.1</v>
          </cell>
          <cell r="B6443" t="str">
            <v>Enfermedad cardíaca hipertensiva preexistente que complica el embarazo, el parto y el puerperio</v>
          </cell>
        </row>
        <row r="6444">
          <cell r="A6444" t="str">
            <v>O10.2</v>
          </cell>
          <cell r="B6444" t="str">
            <v>Enfermedad renal hipertensiva preexistente que complica el embarazo, el parto y el puerperio</v>
          </cell>
        </row>
        <row r="6445">
          <cell r="A6445" t="str">
            <v>O10.3</v>
          </cell>
          <cell r="B6445" t="str">
            <v>Enfermedad cardiorrenal hipertensiva preexistente que complica el embarazo, el parto y el puerperio</v>
          </cell>
        </row>
        <row r="6446">
          <cell r="A6446" t="str">
            <v>O10.4</v>
          </cell>
          <cell r="B6446" t="str">
            <v>Hipertensión secundaria preexistente que complica el embarazo, el parto y el puerperio</v>
          </cell>
        </row>
        <row r="6447">
          <cell r="A6447" t="str">
            <v>O10.9</v>
          </cell>
          <cell r="B6447" t="str">
            <v>Hipertensión preexistente no especificada, que complica el embarazo, el parto y el puerperio</v>
          </cell>
        </row>
        <row r="6448">
          <cell r="A6448" t="str">
            <v>O11.X</v>
          </cell>
          <cell r="B6448" t="str">
            <v>Trastornos hipertensivos preexistentes, con proteinuria agregada</v>
          </cell>
        </row>
        <row r="6449">
          <cell r="A6449" t="str">
            <v>O12</v>
          </cell>
          <cell r="B6449" t="str">
            <v>Edema y proteinuria gestacionales [inducidos por el embarazo] sin hipertensión</v>
          </cell>
        </row>
        <row r="6450">
          <cell r="A6450" t="str">
            <v>O12.0</v>
          </cell>
          <cell r="B6450" t="str">
            <v>Edema gestacional</v>
          </cell>
        </row>
        <row r="6451">
          <cell r="A6451" t="str">
            <v>O12.1</v>
          </cell>
          <cell r="B6451" t="str">
            <v>Proteinuria gestacional</v>
          </cell>
        </row>
        <row r="6452">
          <cell r="A6452" t="str">
            <v>O12.2</v>
          </cell>
          <cell r="B6452" t="str">
            <v>Edema gestacional con proteinuria</v>
          </cell>
        </row>
        <row r="6453">
          <cell r="A6453" t="str">
            <v>O13.X</v>
          </cell>
          <cell r="B6453" t="str">
            <v>Hipertensión gestacional [inducida por el embarazo] sin proteinuria significativa</v>
          </cell>
        </row>
        <row r="6454">
          <cell r="A6454" t="str">
            <v>O14</v>
          </cell>
          <cell r="B6454" t="str">
            <v>Hipertensión gestacional [inducida por el embarazo] con proteinuria significativa</v>
          </cell>
        </row>
        <row r="6455">
          <cell r="A6455" t="str">
            <v>O14.0</v>
          </cell>
          <cell r="B6455" t="str">
            <v>Preeclampsia moderada</v>
          </cell>
        </row>
        <row r="6456">
          <cell r="A6456" t="str">
            <v>O14.1</v>
          </cell>
          <cell r="B6456" t="str">
            <v>Preeclampsia severa</v>
          </cell>
        </row>
        <row r="6457">
          <cell r="A6457" t="str">
            <v>O14.9</v>
          </cell>
          <cell r="B6457" t="str">
            <v>Preeclampsia, no especificada</v>
          </cell>
        </row>
        <row r="6458">
          <cell r="A6458" t="str">
            <v>O15</v>
          </cell>
          <cell r="B6458" t="str">
            <v>Eclampsia</v>
          </cell>
        </row>
        <row r="6459">
          <cell r="A6459" t="str">
            <v>O15.0</v>
          </cell>
          <cell r="B6459" t="str">
            <v>Eclampsia en el embarazo</v>
          </cell>
        </row>
        <row r="6460">
          <cell r="A6460" t="str">
            <v>O15.1</v>
          </cell>
          <cell r="B6460" t="str">
            <v>Eclampsia durante el trabajo de parto</v>
          </cell>
        </row>
        <row r="6461">
          <cell r="A6461" t="str">
            <v>O15.2</v>
          </cell>
          <cell r="B6461" t="str">
            <v>Eclampsia en el puerperio</v>
          </cell>
        </row>
        <row r="6462">
          <cell r="A6462" t="str">
            <v>O15.9</v>
          </cell>
          <cell r="B6462" t="str">
            <v>Eclampsia, en período no especificado</v>
          </cell>
        </row>
        <row r="6463">
          <cell r="A6463" t="str">
            <v>O16.X</v>
          </cell>
          <cell r="B6463" t="str">
            <v>Hipertensión materna, no especificada</v>
          </cell>
        </row>
        <row r="6464">
          <cell r="A6464" t="str">
            <v>O20</v>
          </cell>
          <cell r="B6464" t="str">
            <v>Hemorragia precoz del embarazo</v>
          </cell>
        </row>
        <row r="6465">
          <cell r="A6465" t="str">
            <v>O20.0</v>
          </cell>
          <cell r="B6465" t="str">
            <v>Amenaza de aborto</v>
          </cell>
        </row>
        <row r="6466">
          <cell r="A6466" t="str">
            <v>O20.8</v>
          </cell>
          <cell r="B6466" t="str">
            <v>Otras hemorragias precoces del embarazo</v>
          </cell>
        </row>
        <row r="6467">
          <cell r="A6467" t="str">
            <v>O20.9</v>
          </cell>
          <cell r="B6467" t="str">
            <v>Hemorragia precoz del embarazo, sin otra especificación</v>
          </cell>
        </row>
        <row r="6468">
          <cell r="A6468" t="str">
            <v>O21</v>
          </cell>
          <cell r="B6468" t="str">
            <v>Vómitos excesivos en el embarazo</v>
          </cell>
        </row>
        <row r="6469">
          <cell r="A6469" t="str">
            <v>O21.0</v>
          </cell>
          <cell r="B6469" t="str">
            <v>Hiperemesis gravídica leve</v>
          </cell>
        </row>
        <row r="6470">
          <cell r="A6470" t="str">
            <v>O21.1</v>
          </cell>
          <cell r="B6470" t="str">
            <v>Hiperemesis gravídica con trastornos metabólicos</v>
          </cell>
        </row>
        <row r="6471">
          <cell r="A6471" t="str">
            <v>O21.2</v>
          </cell>
          <cell r="B6471" t="str">
            <v>Hiperemesis gravídica tardía</v>
          </cell>
        </row>
        <row r="6472">
          <cell r="A6472" t="str">
            <v>O21.8</v>
          </cell>
          <cell r="B6472" t="str">
            <v>Otros vómitos que complican el embarazo</v>
          </cell>
        </row>
        <row r="6473">
          <cell r="A6473" t="str">
            <v>O21.9</v>
          </cell>
          <cell r="B6473" t="str">
            <v>Vómitos del embarazo, no especificados</v>
          </cell>
        </row>
        <row r="6474">
          <cell r="A6474" t="str">
            <v>O22</v>
          </cell>
          <cell r="B6474" t="str">
            <v>Complicaciones venosas en el embarazo</v>
          </cell>
        </row>
        <row r="6475">
          <cell r="A6475" t="str">
            <v>O22.0</v>
          </cell>
          <cell r="B6475" t="str">
            <v>Venas varicosas de los miembros inferiores en el embarazo</v>
          </cell>
        </row>
        <row r="6476">
          <cell r="A6476" t="str">
            <v>O22.1</v>
          </cell>
          <cell r="B6476" t="str">
            <v>Várices genitales en el embarazo</v>
          </cell>
        </row>
        <row r="6477">
          <cell r="A6477" t="str">
            <v>O22.2</v>
          </cell>
          <cell r="B6477" t="str">
            <v>Tromboflebitis superficial en el embarazo</v>
          </cell>
        </row>
        <row r="6478">
          <cell r="A6478" t="str">
            <v>O22.3</v>
          </cell>
          <cell r="B6478" t="str">
            <v>Flebotrombosis profunda en el embarazo</v>
          </cell>
        </row>
        <row r="6479">
          <cell r="A6479" t="str">
            <v>O22.4</v>
          </cell>
          <cell r="B6479" t="str">
            <v>Hemorroides en el embarazo</v>
          </cell>
        </row>
        <row r="6480">
          <cell r="A6480" t="str">
            <v>O22.5</v>
          </cell>
          <cell r="B6480" t="str">
            <v>Trombosis venosa cerebral en el embarazo</v>
          </cell>
        </row>
        <row r="6481">
          <cell r="A6481" t="str">
            <v>O22.8</v>
          </cell>
          <cell r="B6481" t="str">
            <v>Otras complicaciones venosas en el embarazo</v>
          </cell>
        </row>
        <row r="6482">
          <cell r="A6482" t="str">
            <v>O22.9</v>
          </cell>
          <cell r="B6482" t="str">
            <v>Complicación venosa no especificada en el embarazo</v>
          </cell>
        </row>
        <row r="6483">
          <cell r="A6483" t="str">
            <v>O23</v>
          </cell>
          <cell r="B6483" t="str">
            <v>Infección de las vías genitourinarias en el embarazo</v>
          </cell>
        </row>
        <row r="6484">
          <cell r="A6484" t="str">
            <v>O23.0</v>
          </cell>
          <cell r="B6484" t="str">
            <v>Infección del riñón en el embarazo</v>
          </cell>
        </row>
        <row r="6485">
          <cell r="A6485" t="str">
            <v>O23.1</v>
          </cell>
          <cell r="B6485" t="str">
            <v>Infección de la vejiga urinaria en el embarazo</v>
          </cell>
        </row>
        <row r="6486">
          <cell r="A6486" t="str">
            <v>O23.2</v>
          </cell>
          <cell r="B6486" t="str">
            <v>Infección de la uretra en el embarazo</v>
          </cell>
        </row>
        <row r="6487">
          <cell r="A6487" t="str">
            <v>O23.3</v>
          </cell>
          <cell r="B6487" t="str">
            <v>Infección de otras partes de las vías urinarias en el embarazo</v>
          </cell>
        </row>
        <row r="6488">
          <cell r="A6488" t="str">
            <v>O23.4</v>
          </cell>
          <cell r="B6488" t="str">
            <v>Infección no especificada de las vías urinarias en el embarazo</v>
          </cell>
        </row>
        <row r="6489">
          <cell r="A6489" t="str">
            <v>O23.5</v>
          </cell>
          <cell r="B6489" t="str">
            <v>Infección genital en el embarazo</v>
          </cell>
        </row>
        <row r="6490">
          <cell r="A6490" t="str">
            <v>O23.9</v>
          </cell>
          <cell r="B6490" t="str">
            <v>Otras infecciones y las no especificadas de las vías genitourinarias en el embarazo</v>
          </cell>
        </row>
        <row r="6491">
          <cell r="A6491" t="str">
            <v>O24</v>
          </cell>
          <cell r="B6491" t="str">
            <v>Diabetes mellitus en el embarazo</v>
          </cell>
        </row>
        <row r="6492">
          <cell r="A6492" t="str">
            <v>O24.0</v>
          </cell>
          <cell r="B6492" t="str">
            <v>Diabetes mellitus preexistente insulinodependiente, en el embarazo</v>
          </cell>
        </row>
        <row r="6493">
          <cell r="A6493" t="str">
            <v>O24.1</v>
          </cell>
          <cell r="B6493" t="str">
            <v>Diabetes mellitus preexistente no insulinodependiente, en el embarazo</v>
          </cell>
        </row>
        <row r="6494">
          <cell r="A6494" t="str">
            <v>O24.2</v>
          </cell>
          <cell r="B6494" t="str">
            <v>Diabetes mellitus preexistente relacionada con desnutrición, en el embarazo</v>
          </cell>
        </row>
        <row r="6495">
          <cell r="A6495" t="str">
            <v>O24.3</v>
          </cell>
          <cell r="B6495" t="str">
            <v>Diabetes mellitus preexistente, sin otra especificación, en el embarazo</v>
          </cell>
        </row>
        <row r="6496">
          <cell r="A6496" t="str">
            <v>O24.4</v>
          </cell>
          <cell r="B6496" t="str">
            <v>Diabetes mellitus que se origina con el embarazo</v>
          </cell>
        </row>
        <row r="6497">
          <cell r="A6497" t="str">
            <v>O24.9</v>
          </cell>
          <cell r="B6497" t="str">
            <v>Diabetes mellitus no especificada, en el embarazo</v>
          </cell>
        </row>
        <row r="6498">
          <cell r="A6498" t="str">
            <v>O25.X</v>
          </cell>
          <cell r="B6498" t="str">
            <v>Desnutrición en el embarazo</v>
          </cell>
        </row>
        <row r="6499">
          <cell r="A6499" t="str">
            <v>O26</v>
          </cell>
          <cell r="B6499" t="str">
            <v>Atención a la madre por otras complicaciones principalmente relacionadas con el embarazo</v>
          </cell>
        </row>
        <row r="6500">
          <cell r="A6500" t="str">
            <v>O26.0</v>
          </cell>
          <cell r="B6500" t="str">
            <v>Aumento excesivo de peso en el embarazo</v>
          </cell>
        </row>
        <row r="6501">
          <cell r="A6501" t="str">
            <v>O26.1</v>
          </cell>
          <cell r="B6501" t="str">
            <v>Aumento pequeño de peso en el embarazo</v>
          </cell>
        </row>
        <row r="6502">
          <cell r="A6502" t="str">
            <v>O26.2</v>
          </cell>
          <cell r="B6502" t="str">
            <v>Atención del embarazo en una abortadora habitual</v>
          </cell>
        </row>
        <row r="6503">
          <cell r="A6503" t="str">
            <v>O26.3</v>
          </cell>
          <cell r="B6503" t="str">
            <v>Retención de dispositivo anticonceptivo intrauterino en el embarazo</v>
          </cell>
        </row>
        <row r="6504">
          <cell r="A6504" t="str">
            <v>O26.4</v>
          </cell>
          <cell r="B6504" t="str">
            <v>Herpes gestacional</v>
          </cell>
        </row>
        <row r="6505">
          <cell r="A6505" t="str">
            <v>O26.5</v>
          </cell>
          <cell r="B6505" t="str">
            <v>Síndrome de hipotensión materna</v>
          </cell>
        </row>
        <row r="6506">
          <cell r="A6506" t="str">
            <v>O26.6</v>
          </cell>
          <cell r="B6506" t="str">
            <v>Trastornos del hígado en el embarazo, el parto y el puerperio</v>
          </cell>
        </row>
        <row r="6507">
          <cell r="A6507" t="str">
            <v>O26.7</v>
          </cell>
          <cell r="B6507" t="str">
            <v>Subluxación de la sínfisis (del pubis) en el embarazo, el parto y el puerperio</v>
          </cell>
        </row>
        <row r="6508">
          <cell r="A6508" t="str">
            <v>O26.8</v>
          </cell>
          <cell r="B6508" t="str">
            <v>Otras complicaciones especificadas relacionadas con el embarazo</v>
          </cell>
        </row>
        <row r="6509">
          <cell r="A6509" t="str">
            <v>O26.9</v>
          </cell>
          <cell r="B6509" t="str">
            <v>Complicación relacionada con el embarazo, no especificada</v>
          </cell>
        </row>
        <row r="6510">
          <cell r="A6510" t="str">
            <v>O28</v>
          </cell>
          <cell r="B6510" t="str">
            <v>Hallazgos anormales en el examen prenatal de la madre</v>
          </cell>
        </row>
        <row r="6511">
          <cell r="A6511" t="str">
            <v>O28.0</v>
          </cell>
          <cell r="B6511" t="str">
            <v>Hallazgo hematológico anormal en el examen prenatal de la madre</v>
          </cell>
        </row>
        <row r="6512">
          <cell r="A6512" t="str">
            <v>O28.1</v>
          </cell>
          <cell r="B6512" t="str">
            <v>Hallazgo bioquímico anormal en el examen prenatal de la madre</v>
          </cell>
        </row>
        <row r="6513">
          <cell r="A6513" t="str">
            <v>O28.2</v>
          </cell>
          <cell r="B6513" t="str">
            <v>Hallazgo citológico anormal en el examen prenatal de la madre</v>
          </cell>
        </row>
        <row r="6514">
          <cell r="A6514" t="str">
            <v>O28.3</v>
          </cell>
          <cell r="B6514" t="str">
            <v>Hallazgo ultrasónico anormal en el examen prenatal de la madre</v>
          </cell>
        </row>
        <row r="6515">
          <cell r="A6515" t="str">
            <v>O28.4</v>
          </cell>
          <cell r="B6515" t="str">
            <v>Hallazgo radiológico anormal en el examen prenatal de la madre</v>
          </cell>
        </row>
        <row r="6516">
          <cell r="A6516" t="str">
            <v>O28.5</v>
          </cell>
          <cell r="B6516" t="str">
            <v>Hallazgo cromosómico o genético anormal en el examen prenatal de la madre</v>
          </cell>
        </row>
        <row r="6517">
          <cell r="A6517" t="str">
            <v>O28.8</v>
          </cell>
          <cell r="B6517" t="str">
            <v>Otros hallazgos anormales en el examen prenatal de la madre</v>
          </cell>
        </row>
        <row r="6518">
          <cell r="A6518" t="str">
            <v>O28.9</v>
          </cell>
          <cell r="B6518" t="str">
            <v>Hallazgo anormal no especificado en el examen prenatal de la madre</v>
          </cell>
        </row>
        <row r="6519">
          <cell r="A6519" t="str">
            <v>O29</v>
          </cell>
          <cell r="B6519" t="str">
            <v>Complicaciones de la anestesia administrada durante el embarazo</v>
          </cell>
        </row>
        <row r="6520">
          <cell r="A6520" t="str">
            <v>O29.0</v>
          </cell>
          <cell r="B6520" t="str">
            <v>Complicaciones pulmonares de la anestesia administrada durante el embarazo</v>
          </cell>
        </row>
        <row r="6521">
          <cell r="A6521" t="str">
            <v>O29.1</v>
          </cell>
          <cell r="B6521" t="str">
            <v>Complicaciones cardíacas de la anestesia administrada durante el embarazo</v>
          </cell>
        </row>
        <row r="6522">
          <cell r="A6522" t="str">
            <v>O29.2</v>
          </cell>
          <cell r="B6522" t="str">
            <v>Complicaciones del sistema nervioso central debidas a la anestesia administrada durante el embarazo</v>
          </cell>
        </row>
        <row r="6523">
          <cell r="A6523" t="str">
            <v>O29.3</v>
          </cell>
          <cell r="B6523" t="str">
            <v>Reacción tóxica a la anestesia local administrada durante el embarazo</v>
          </cell>
        </row>
        <row r="6524">
          <cell r="A6524" t="str">
            <v>O29.4</v>
          </cell>
          <cell r="B6524" t="str">
            <v>Cefalalgia inducida por la anestesia espinal o epidural administradas durante el embarazo</v>
          </cell>
        </row>
        <row r="6525">
          <cell r="A6525" t="str">
            <v>O29.5</v>
          </cell>
          <cell r="B6525" t="str">
            <v>Otras complicaciones de la anestesia espinal o epidural administradas durante el embarazo</v>
          </cell>
        </row>
        <row r="6526">
          <cell r="A6526" t="str">
            <v>O29.6</v>
          </cell>
          <cell r="B6526" t="str">
            <v>Falla o dificultad en la intubación durante el embarazo</v>
          </cell>
        </row>
        <row r="6527">
          <cell r="A6527" t="str">
            <v>O29.8</v>
          </cell>
          <cell r="B6527" t="str">
            <v>Otras complicaciones de la anestesia administrada durante el embarazo</v>
          </cell>
        </row>
        <row r="6528">
          <cell r="A6528" t="str">
            <v>O29.9</v>
          </cell>
          <cell r="B6528" t="str">
            <v>Complicación no especificada de la anestesia administrada durante el embarazo</v>
          </cell>
        </row>
        <row r="6529">
          <cell r="A6529" t="str">
            <v>O30</v>
          </cell>
          <cell r="B6529" t="str">
            <v>Embarazo múltiple</v>
          </cell>
        </row>
        <row r="6530">
          <cell r="A6530" t="str">
            <v>O30.0</v>
          </cell>
          <cell r="B6530" t="str">
            <v>Embarazo doble</v>
          </cell>
        </row>
        <row r="6531">
          <cell r="A6531" t="str">
            <v>O30.1</v>
          </cell>
          <cell r="B6531" t="str">
            <v>Embarazo triple</v>
          </cell>
        </row>
        <row r="6532">
          <cell r="A6532" t="str">
            <v>O30.2</v>
          </cell>
          <cell r="B6532" t="str">
            <v>Embarazo cuádruple</v>
          </cell>
        </row>
        <row r="6533">
          <cell r="A6533" t="str">
            <v>O30.8</v>
          </cell>
          <cell r="B6533" t="str">
            <v>Otros embarazos múltiples</v>
          </cell>
        </row>
        <row r="6534">
          <cell r="A6534" t="str">
            <v>O30.9</v>
          </cell>
          <cell r="B6534" t="str">
            <v>Embarazo múltiple, no especificado</v>
          </cell>
        </row>
        <row r="6535">
          <cell r="A6535" t="str">
            <v>O31</v>
          </cell>
          <cell r="B6535" t="str">
            <v>Complicaciones específicas del embarazo múltiple</v>
          </cell>
        </row>
        <row r="6536">
          <cell r="A6536" t="str">
            <v>O31.0</v>
          </cell>
          <cell r="B6536" t="str">
            <v>Feto papiráceo</v>
          </cell>
        </row>
        <row r="6537">
          <cell r="A6537" t="str">
            <v>O31.1</v>
          </cell>
          <cell r="B6537" t="str">
            <v>Embarazo que continúa después del aborto de un feto o más</v>
          </cell>
        </row>
        <row r="6538">
          <cell r="A6538" t="str">
            <v>O31.2</v>
          </cell>
          <cell r="B6538" t="str">
            <v>Embarazo que continúa después de la muerte intrauterina de un feto o más</v>
          </cell>
        </row>
        <row r="6539">
          <cell r="A6539" t="str">
            <v>O31.8</v>
          </cell>
          <cell r="B6539" t="str">
            <v>Otras complicaciones específicas del embarazo múltiple</v>
          </cell>
        </row>
        <row r="6540">
          <cell r="A6540" t="str">
            <v>O32</v>
          </cell>
          <cell r="B6540" t="str">
            <v>Atención materna por presentación anormal del feto, conocida o presunta</v>
          </cell>
        </row>
        <row r="6541">
          <cell r="A6541" t="str">
            <v>O32.0</v>
          </cell>
          <cell r="B6541" t="str">
            <v>Atención materna por posición fetal inestable</v>
          </cell>
        </row>
        <row r="6542">
          <cell r="A6542" t="str">
            <v>O32.1</v>
          </cell>
          <cell r="B6542" t="str">
            <v>Atención materna por presentación de nalgas</v>
          </cell>
        </row>
        <row r="6543">
          <cell r="A6543" t="str">
            <v>O32.2</v>
          </cell>
          <cell r="B6543" t="str">
            <v>Atención materna por posición fetal oblicua o transversa</v>
          </cell>
        </row>
        <row r="6544">
          <cell r="A6544" t="str">
            <v>O32.3</v>
          </cell>
          <cell r="B6544" t="str">
            <v>Atención materna por presentación de cara, de frente o de mentón</v>
          </cell>
        </row>
        <row r="6545">
          <cell r="A6545" t="str">
            <v>O32.4</v>
          </cell>
          <cell r="B6545" t="str">
            <v>Atención materna por cabeza alta en gestación a término</v>
          </cell>
        </row>
        <row r="6546">
          <cell r="A6546" t="str">
            <v>O32.5</v>
          </cell>
          <cell r="B6546" t="str">
            <v>Atención materna por embarazo múltiple con presentación anormal de un feto o más</v>
          </cell>
        </row>
        <row r="6547">
          <cell r="A6547" t="str">
            <v>O32.6</v>
          </cell>
          <cell r="B6547" t="str">
            <v>Atención materna por presentación compuesta</v>
          </cell>
        </row>
        <row r="6548">
          <cell r="A6548" t="str">
            <v>O32.8</v>
          </cell>
          <cell r="B6548" t="str">
            <v>Atención materna por otras presentaciones anormales del feto</v>
          </cell>
        </row>
        <row r="6549">
          <cell r="A6549" t="str">
            <v>O32.9</v>
          </cell>
          <cell r="B6549" t="str">
            <v>Atención materna por presentación anormal no especificada del feto</v>
          </cell>
        </row>
        <row r="6550">
          <cell r="A6550" t="str">
            <v>O33</v>
          </cell>
          <cell r="B6550" t="str">
            <v>Atención materna por desproporción conocida o presunta</v>
          </cell>
        </row>
        <row r="6551">
          <cell r="A6551" t="str">
            <v>O33.0</v>
          </cell>
          <cell r="B6551" t="str">
            <v>Atención materna por desproporción debida a deformidad de la pelvis ósea en la madre</v>
          </cell>
        </row>
        <row r="6552">
          <cell r="A6552" t="str">
            <v>O33.1</v>
          </cell>
          <cell r="B6552" t="str">
            <v>Atención materna por desproporción debida a estrechez general de la pelvis</v>
          </cell>
        </row>
        <row r="6553">
          <cell r="A6553" t="str">
            <v>O33.2</v>
          </cell>
          <cell r="B6553" t="str">
            <v>Atención materna por desproporción debida a disminución del estrecho superior de la pelvis</v>
          </cell>
        </row>
        <row r="6554">
          <cell r="A6554" t="str">
            <v>O33.3</v>
          </cell>
          <cell r="B6554" t="str">
            <v>Atención materna por desproporción debida a disminución del estrecho inferior de la pelvis</v>
          </cell>
        </row>
        <row r="6555">
          <cell r="A6555" t="str">
            <v>O33.4</v>
          </cell>
          <cell r="B6555" t="str">
            <v>Atención materna por desproporción fetopelviana de origen mixto, materno y fetal</v>
          </cell>
        </row>
        <row r="6556">
          <cell r="A6556" t="str">
            <v>O33.5</v>
          </cell>
          <cell r="B6556" t="str">
            <v>Atención materna por desproporción debida a feto demasiado grande</v>
          </cell>
        </row>
        <row r="6557">
          <cell r="A6557" t="str">
            <v>O33.6</v>
          </cell>
          <cell r="B6557" t="str">
            <v>Atención materna por desproporción debida a feto hidrocefálico</v>
          </cell>
        </row>
        <row r="6558">
          <cell r="A6558" t="str">
            <v>O33.7</v>
          </cell>
          <cell r="B6558" t="str">
            <v>Atención materna por desproporción debida a otra deformidad fetal</v>
          </cell>
        </row>
        <row r="6559">
          <cell r="A6559" t="str">
            <v>O33.8</v>
          </cell>
          <cell r="B6559" t="str">
            <v>Atención materna por desproporción de otro origen</v>
          </cell>
        </row>
        <row r="6560">
          <cell r="A6560" t="str">
            <v>O33.9</v>
          </cell>
          <cell r="B6560" t="str">
            <v>Atención materna por desproporción de origen no especificado</v>
          </cell>
        </row>
        <row r="6561">
          <cell r="A6561" t="str">
            <v>O34</v>
          </cell>
          <cell r="B6561" t="str">
            <v>Atención materna por anormalidades conocidas o presuntas de los órganos pelvianos de la madre</v>
          </cell>
        </row>
        <row r="6562">
          <cell r="A6562" t="str">
            <v>O34.0</v>
          </cell>
          <cell r="B6562" t="str">
            <v>Atención materna por anomalía congénita del útero</v>
          </cell>
        </row>
        <row r="6563">
          <cell r="A6563" t="str">
            <v>O34.1</v>
          </cell>
          <cell r="B6563" t="str">
            <v>Atención materna por tumor del cuerpo del útero</v>
          </cell>
        </row>
        <row r="6564">
          <cell r="A6564" t="str">
            <v>O34.2</v>
          </cell>
          <cell r="B6564" t="str">
            <v>Atención materna por cicatriz uterina debida a cirugía previa</v>
          </cell>
        </row>
        <row r="6565">
          <cell r="A6565" t="str">
            <v>O34.3</v>
          </cell>
          <cell r="B6565" t="str">
            <v>Atención materna por incompetencia del cuello uterino</v>
          </cell>
        </row>
        <row r="6566">
          <cell r="A6566" t="str">
            <v>O34.4</v>
          </cell>
          <cell r="B6566" t="str">
            <v>Atención materna por otra anormalidad del cuello uterino</v>
          </cell>
        </row>
        <row r="6567">
          <cell r="A6567" t="str">
            <v>O34.5</v>
          </cell>
          <cell r="B6567" t="str">
            <v>Atención materna por otras anormalidades del útero grávido</v>
          </cell>
        </row>
        <row r="6568">
          <cell r="A6568" t="str">
            <v>O34.6</v>
          </cell>
          <cell r="B6568" t="str">
            <v>Atención materna por anormalidad de la vagina</v>
          </cell>
        </row>
        <row r="6569">
          <cell r="A6569" t="str">
            <v>O34.7</v>
          </cell>
          <cell r="B6569" t="str">
            <v>Atención materna por anormalidad de la vulva y del perineo</v>
          </cell>
        </row>
        <row r="6570">
          <cell r="A6570" t="str">
            <v>O34.8</v>
          </cell>
          <cell r="B6570" t="str">
            <v>Atención materna por otras anormalidades de los órganos pelvianos</v>
          </cell>
        </row>
        <row r="6571">
          <cell r="A6571" t="str">
            <v>O34.9</v>
          </cell>
          <cell r="B6571" t="str">
            <v>Atención materna por anormalidad no especificada de órgano pelviano</v>
          </cell>
        </row>
        <row r="6572">
          <cell r="A6572" t="str">
            <v>O35</v>
          </cell>
          <cell r="B6572" t="str">
            <v>Atención materna por anormalidad o lesión fetal, conocida o presunta</v>
          </cell>
        </row>
        <row r="6573">
          <cell r="A6573" t="str">
            <v>O35.0</v>
          </cell>
          <cell r="B6573" t="str">
            <v>Atención materna por (presunta) malformación del sistema nervioso central en el feto</v>
          </cell>
        </row>
        <row r="6574">
          <cell r="A6574" t="str">
            <v>O35.1</v>
          </cell>
          <cell r="B6574" t="str">
            <v>Atención materna por (presunta) anormalidad cromosómica en el feto</v>
          </cell>
        </row>
        <row r="6575">
          <cell r="A6575" t="str">
            <v>O35.2</v>
          </cell>
          <cell r="B6575" t="str">
            <v>Atención materna por (presunta) enfermedad hereditaria en el feto</v>
          </cell>
        </row>
        <row r="6576">
          <cell r="A6576" t="str">
            <v>O35.3</v>
          </cell>
          <cell r="B6576" t="str">
            <v>Atención materna por (presunta) lesión fetal debida a enfermedad vírica en la madre</v>
          </cell>
        </row>
        <row r="6577">
          <cell r="A6577" t="str">
            <v>O35.4</v>
          </cell>
          <cell r="B6577" t="str">
            <v>Atención materna por (presunta) lesión al feto debida al alcohol</v>
          </cell>
        </row>
        <row r="6578">
          <cell r="A6578" t="str">
            <v>O35.5</v>
          </cell>
          <cell r="B6578" t="str">
            <v>Atención materna por (presunta) lesión fetal debida a drogas</v>
          </cell>
        </row>
        <row r="6579">
          <cell r="A6579" t="str">
            <v>O35.6</v>
          </cell>
          <cell r="B6579" t="str">
            <v>Atención materna por (presunta) lesión al feto debida a radiación</v>
          </cell>
        </row>
        <row r="6580">
          <cell r="A6580" t="str">
            <v>O35.7</v>
          </cell>
          <cell r="B6580" t="str">
            <v>Atención materna por (presunta) lesión fetal debida a otros procedimientos médicos</v>
          </cell>
        </row>
        <row r="6581">
          <cell r="A6581" t="str">
            <v>O35.8</v>
          </cell>
          <cell r="B6581" t="str">
            <v>Atención materna por otras (presuntas) anormalidades y lesiones fetales</v>
          </cell>
        </row>
        <row r="6582">
          <cell r="A6582" t="str">
            <v>O35.9</v>
          </cell>
          <cell r="B6582" t="str">
            <v>Atención materna por (presunta) anormalidad y lesión fetal no especificada</v>
          </cell>
        </row>
        <row r="6583">
          <cell r="A6583" t="str">
            <v>O36</v>
          </cell>
          <cell r="B6583" t="str">
            <v>Atención materna por otros problemas fetales conocidos o presuntos</v>
          </cell>
        </row>
        <row r="6584">
          <cell r="A6584" t="str">
            <v>O36.0</v>
          </cell>
          <cell r="B6584" t="str">
            <v>Atención materna por isoinmunización rhesus</v>
          </cell>
        </row>
        <row r="6585">
          <cell r="A6585" t="str">
            <v>O36.1</v>
          </cell>
          <cell r="B6585" t="str">
            <v>Atención materna por otra isoinmunización</v>
          </cell>
        </row>
        <row r="6586">
          <cell r="A6586" t="str">
            <v>O36.2</v>
          </cell>
          <cell r="B6586" t="str">
            <v>Atención materna por hidropesía fetal</v>
          </cell>
        </row>
        <row r="6587">
          <cell r="A6587" t="str">
            <v>O36.3</v>
          </cell>
          <cell r="B6587" t="str">
            <v>Atención materna por signos de hipoxia fetal</v>
          </cell>
        </row>
        <row r="6588">
          <cell r="A6588" t="str">
            <v>O36.4</v>
          </cell>
          <cell r="B6588" t="str">
            <v>Atención materna por muerte intrauterina</v>
          </cell>
        </row>
        <row r="6589">
          <cell r="A6589" t="str">
            <v>O36.5</v>
          </cell>
          <cell r="B6589" t="str">
            <v>Atención materna por déficit del crecimiento fetal</v>
          </cell>
        </row>
        <row r="6590">
          <cell r="A6590" t="str">
            <v>O36.6</v>
          </cell>
          <cell r="B6590" t="str">
            <v>Atención materna por crecimiento fetal excesivo</v>
          </cell>
        </row>
        <row r="6591">
          <cell r="A6591" t="str">
            <v>O36.7</v>
          </cell>
          <cell r="B6591" t="str">
            <v>Atención materna por feto viable en embarazo abdominal</v>
          </cell>
        </row>
        <row r="6592">
          <cell r="A6592" t="str">
            <v>O36.8</v>
          </cell>
          <cell r="B6592" t="str">
            <v>Atención materna por otros problemas fetales especificados</v>
          </cell>
        </row>
        <row r="6593">
          <cell r="A6593" t="str">
            <v>O36.9</v>
          </cell>
          <cell r="B6593" t="str">
            <v>Atención materna por problemas fetales no especificados</v>
          </cell>
        </row>
        <row r="6594">
          <cell r="A6594" t="str">
            <v>O40.X</v>
          </cell>
          <cell r="B6594" t="str">
            <v>Polihidramnios</v>
          </cell>
        </row>
        <row r="6595">
          <cell r="A6595" t="str">
            <v>O41</v>
          </cell>
          <cell r="B6595" t="str">
            <v>Otros trastornos del líquido amniótico y de las membranas</v>
          </cell>
        </row>
        <row r="6596">
          <cell r="A6596" t="str">
            <v>O41.0</v>
          </cell>
          <cell r="B6596" t="str">
            <v>Oligohidramnios</v>
          </cell>
        </row>
        <row r="6597">
          <cell r="A6597" t="str">
            <v>O41.1</v>
          </cell>
          <cell r="B6597" t="str">
            <v>Infección de la bolsa amniótica o de las membranas</v>
          </cell>
        </row>
        <row r="6598">
          <cell r="A6598" t="str">
            <v>O41.8</v>
          </cell>
          <cell r="B6598" t="str">
            <v>Otros trastornos especificados del líquido amniótico y de las membranas</v>
          </cell>
        </row>
        <row r="6599">
          <cell r="A6599" t="str">
            <v>O41.9</v>
          </cell>
          <cell r="B6599" t="str">
            <v>Trastorno del líquido amniótico y de las membranas, no especificado</v>
          </cell>
        </row>
        <row r="6600">
          <cell r="A6600">
            <v>0</v>
          </cell>
          <cell r="B6600" t="str">
            <v>Ruptura prematura de las membranas</v>
          </cell>
        </row>
        <row r="6601">
          <cell r="A6601" t="str">
            <v>O42.0</v>
          </cell>
          <cell r="B6601" t="str">
            <v>Ruptura prematura de las membranas, e inicio del trabajo de parto dentro de las 24 horas</v>
          </cell>
        </row>
        <row r="6602">
          <cell r="A6602" t="str">
            <v>O42.1</v>
          </cell>
          <cell r="B6602" t="str">
            <v>Ruptura prematura de las membranas, e inicio del trabajo de parto después de las 24 horas</v>
          </cell>
        </row>
        <row r="6603">
          <cell r="A6603" t="str">
            <v>O42.2</v>
          </cell>
          <cell r="B6603" t="str">
            <v>Ruptura prematura de las membranas, trabajo de parto retrasado por la terapéutica</v>
          </cell>
        </row>
        <row r="6604">
          <cell r="A6604" t="str">
            <v>O42.9</v>
          </cell>
          <cell r="B6604" t="str">
            <v>Ruptura prematura de las membranas, sin otra especificación</v>
          </cell>
        </row>
        <row r="6605">
          <cell r="A6605" t="str">
            <v>O43</v>
          </cell>
          <cell r="B6605" t="str">
            <v>Trastornos placentarios</v>
          </cell>
        </row>
        <row r="6606">
          <cell r="A6606" t="str">
            <v>O43.0</v>
          </cell>
          <cell r="B6606" t="str">
            <v>Síndrome de transfusión placentaria</v>
          </cell>
        </row>
        <row r="6607">
          <cell r="A6607" t="str">
            <v>O43.1</v>
          </cell>
          <cell r="B6607" t="str">
            <v>Malformación de la placenta</v>
          </cell>
        </row>
        <row r="6608">
          <cell r="A6608" t="str">
            <v>O43.8</v>
          </cell>
          <cell r="B6608" t="str">
            <v>Otros trastornos placentarios</v>
          </cell>
        </row>
        <row r="6609">
          <cell r="A6609" t="str">
            <v>O43.9</v>
          </cell>
          <cell r="B6609" t="str">
            <v>Trastorno de la placenta, no especificado</v>
          </cell>
        </row>
        <row r="6610">
          <cell r="A6610" t="str">
            <v>O44</v>
          </cell>
          <cell r="B6610" t="str">
            <v>Placenta previa</v>
          </cell>
        </row>
        <row r="6611">
          <cell r="A6611" t="str">
            <v>O44.0</v>
          </cell>
          <cell r="B6611" t="str">
            <v>Placenta previa con especificación de que no hubo hemorragia</v>
          </cell>
        </row>
        <row r="6612">
          <cell r="A6612" t="str">
            <v>O44.1</v>
          </cell>
          <cell r="B6612" t="str">
            <v>Placenta previa con hemorragia</v>
          </cell>
        </row>
        <row r="6613">
          <cell r="A6613" t="str">
            <v>O45</v>
          </cell>
          <cell r="B6613" t="str">
            <v>Desprendimiento prematuro de la placenta [abruptio placentae]</v>
          </cell>
        </row>
        <row r="6614">
          <cell r="A6614" t="str">
            <v>O45.0</v>
          </cell>
          <cell r="B6614" t="str">
            <v>Desprendimiento prematuro de la placenta con defecto de la coagulación</v>
          </cell>
        </row>
        <row r="6615">
          <cell r="A6615" t="str">
            <v>O45.8</v>
          </cell>
          <cell r="B6615" t="str">
            <v>Otros desprendimientos prematuros de la placenta</v>
          </cell>
        </row>
        <row r="6616">
          <cell r="A6616" t="str">
            <v>O45.9</v>
          </cell>
          <cell r="B6616" t="str">
            <v>Desprendimiento prematuro de la placenta, sin otra especificación</v>
          </cell>
        </row>
        <row r="6617">
          <cell r="A6617" t="str">
            <v>O46</v>
          </cell>
          <cell r="B6617" t="str">
            <v>Hemorragia anteparto, no clasificada en otra parte</v>
          </cell>
        </row>
        <row r="6618">
          <cell r="A6618" t="str">
            <v>O46.0</v>
          </cell>
          <cell r="B6618" t="str">
            <v>Hemorragia anteparto con defecto de la coagulación</v>
          </cell>
        </row>
        <row r="6619">
          <cell r="A6619" t="str">
            <v>O46.8</v>
          </cell>
          <cell r="B6619" t="str">
            <v>Otras hemorragias anteparto</v>
          </cell>
        </row>
        <row r="6620">
          <cell r="A6620" t="str">
            <v>O46.9</v>
          </cell>
          <cell r="B6620" t="str">
            <v>Hemorragia anteparto, no especificada</v>
          </cell>
        </row>
        <row r="6621">
          <cell r="A6621" t="str">
            <v>O47</v>
          </cell>
          <cell r="B6621" t="str">
            <v>Falso trabajo de parto</v>
          </cell>
        </row>
        <row r="6622">
          <cell r="A6622" t="str">
            <v>O47.0</v>
          </cell>
          <cell r="B6622" t="str">
            <v>Falso trabajo de parto antes de las 37 semanas completas de gestación</v>
          </cell>
        </row>
        <row r="6623">
          <cell r="A6623" t="str">
            <v>O47.1</v>
          </cell>
          <cell r="B6623" t="str">
            <v>Falso trabajo de parto a las 37 y más semanas completas de gestación</v>
          </cell>
        </row>
        <row r="6624">
          <cell r="A6624" t="str">
            <v>O47.9</v>
          </cell>
          <cell r="B6624" t="str">
            <v>Falso trabajo de parto, sin otra especificación</v>
          </cell>
        </row>
        <row r="6625">
          <cell r="A6625" t="str">
            <v>O48.X</v>
          </cell>
          <cell r="B6625" t="str">
            <v>Embarazo prolongado</v>
          </cell>
        </row>
        <row r="6626">
          <cell r="A6626" t="str">
            <v>O60.X</v>
          </cell>
          <cell r="B6626" t="str">
            <v>Parto prematuro</v>
          </cell>
        </row>
        <row r="6627">
          <cell r="A6627" t="str">
            <v>O61</v>
          </cell>
          <cell r="B6627" t="str">
            <v>Fracaso de la inducción del trabajo de parto</v>
          </cell>
        </row>
        <row r="6628">
          <cell r="A6628" t="str">
            <v>O61.0</v>
          </cell>
          <cell r="B6628" t="str">
            <v>Fracaso de la inducción médica del trabajo de parto</v>
          </cell>
        </row>
        <row r="6629">
          <cell r="A6629" t="str">
            <v>O61.1</v>
          </cell>
          <cell r="B6629" t="str">
            <v>Fracaso de la inducción instrumental del trabajo de parto</v>
          </cell>
        </row>
        <row r="6630">
          <cell r="A6630" t="str">
            <v>O61.8</v>
          </cell>
          <cell r="B6630" t="str">
            <v>Otros fracasos de la inducción del trabajo de parto</v>
          </cell>
        </row>
        <row r="6631">
          <cell r="A6631" t="str">
            <v>O61.9</v>
          </cell>
          <cell r="B6631" t="str">
            <v>Fracaso no especificado de la inducción del trabajo de parto</v>
          </cell>
        </row>
        <row r="6632">
          <cell r="A6632" t="str">
            <v>O62</v>
          </cell>
          <cell r="B6632" t="str">
            <v>Anormalidades de la dinámica del trabajo de parto</v>
          </cell>
        </row>
        <row r="6633">
          <cell r="A6633" t="str">
            <v>O62.0</v>
          </cell>
          <cell r="B6633" t="str">
            <v>Contracciones primarias inadecuadas</v>
          </cell>
        </row>
        <row r="6634">
          <cell r="A6634" t="str">
            <v>O62.1</v>
          </cell>
          <cell r="B6634" t="str">
            <v>Inercia uterina secundaria</v>
          </cell>
        </row>
        <row r="6635">
          <cell r="A6635" t="str">
            <v>O62.2</v>
          </cell>
          <cell r="B6635" t="str">
            <v>Otras inercias uterinas</v>
          </cell>
        </row>
        <row r="6636">
          <cell r="A6636" t="str">
            <v>O62.3</v>
          </cell>
          <cell r="B6636" t="str">
            <v>Trabajo de parto precipitado</v>
          </cell>
        </row>
        <row r="6637">
          <cell r="A6637" t="str">
            <v>O62.4</v>
          </cell>
          <cell r="B6637" t="str">
            <v>Contracciones uterinas hipertónicas, incoordinadas y prolongadas</v>
          </cell>
        </row>
        <row r="6638">
          <cell r="A6638" t="str">
            <v>O62.8</v>
          </cell>
          <cell r="B6638" t="str">
            <v>Otras anomalías dinámicas del trabajo de parto</v>
          </cell>
        </row>
        <row r="6639">
          <cell r="A6639" t="str">
            <v>O62.9</v>
          </cell>
          <cell r="B6639" t="str">
            <v>Anomalía dinámica del trabajo de parto, no especificada</v>
          </cell>
        </row>
        <row r="6640">
          <cell r="A6640" t="str">
            <v>O63</v>
          </cell>
          <cell r="B6640" t="str">
            <v>Trabajo de parto prolongado</v>
          </cell>
        </row>
        <row r="6641">
          <cell r="A6641" t="str">
            <v>O63.0</v>
          </cell>
          <cell r="B6641" t="str">
            <v>Prolongación del primer período (del trabajo de parto)</v>
          </cell>
        </row>
        <row r="6642">
          <cell r="A6642" t="str">
            <v>O63.1</v>
          </cell>
          <cell r="B6642" t="str">
            <v>Prolongación del segundo período (del trabajo de parto)</v>
          </cell>
        </row>
        <row r="6643">
          <cell r="A6643" t="str">
            <v>O63.2</v>
          </cell>
          <cell r="B6643" t="str">
            <v>Retraso de la expulsión del segundo gemelo, del tercero, etc.</v>
          </cell>
        </row>
        <row r="6644">
          <cell r="A6644" t="str">
            <v>O63.9</v>
          </cell>
          <cell r="B6644" t="str">
            <v>Trabajo de parto prolongado, no especificado</v>
          </cell>
        </row>
        <row r="6645">
          <cell r="A6645" t="str">
            <v>O64</v>
          </cell>
          <cell r="B6645" t="str">
            <v>Trabajo de parto obstruido debido a mala posición y presentación anormal del feto</v>
          </cell>
        </row>
        <row r="6646">
          <cell r="A6646" t="str">
            <v>O64.0</v>
          </cell>
          <cell r="B6646" t="str">
            <v>Trabajo de parto obstruido debido a rotación incompleta de la cabeza fetal</v>
          </cell>
        </row>
        <row r="6647">
          <cell r="A6647" t="str">
            <v>O64.1</v>
          </cell>
          <cell r="B6647" t="str">
            <v>Trabajo de parto obstruido debido a presentación de nalgas</v>
          </cell>
        </row>
        <row r="6648">
          <cell r="A6648" t="str">
            <v>O64.2</v>
          </cell>
          <cell r="B6648" t="str">
            <v>Trabajo de parto obstruido debido a presentación de cara</v>
          </cell>
        </row>
        <row r="6649">
          <cell r="A6649" t="str">
            <v>O64.3</v>
          </cell>
          <cell r="B6649" t="str">
            <v>Trabajo de parto obstruido debido a presentación de frente</v>
          </cell>
        </row>
        <row r="6650">
          <cell r="A6650" t="str">
            <v>O64.4</v>
          </cell>
          <cell r="B6650" t="str">
            <v>Trabajo de parto obstruido debido a presentación de hombro</v>
          </cell>
        </row>
        <row r="6651">
          <cell r="A6651" t="str">
            <v>O64.5</v>
          </cell>
          <cell r="B6651" t="str">
            <v>Trabajo de parto obstruido debido a presentación compuesta</v>
          </cell>
        </row>
        <row r="6652">
          <cell r="A6652" t="str">
            <v>O64.8</v>
          </cell>
          <cell r="B6652" t="str">
            <v>Trabajo de parto obstruido debido a otras presentaciones anormales del feto</v>
          </cell>
        </row>
        <row r="6653">
          <cell r="A6653" t="str">
            <v>O64.9</v>
          </cell>
          <cell r="B6653" t="str">
            <v>Trabajo de parto obstruido debido a presentación anormal del feto no especificada</v>
          </cell>
        </row>
        <row r="6654">
          <cell r="A6654" t="str">
            <v>O65</v>
          </cell>
          <cell r="B6654" t="str">
            <v>Trabajo de parto obstruido debido a anormalidad de la pelvis materna</v>
          </cell>
        </row>
        <row r="6655">
          <cell r="A6655" t="str">
            <v>O65.0</v>
          </cell>
          <cell r="B6655" t="str">
            <v>Trabajo de parto obstruido debido a deformidad de la pelvis</v>
          </cell>
        </row>
        <row r="6656">
          <cell r="A6656" t="str">
            <v>O65.1</v>
          </cell>
          <cell r="B6656" t="str">
            <v>Trabajo de parto obstruido debido a estrechez general de la pelvis</v>
          </cell>
        </row>
        <row r="6657">
          <cell r="A6657" t="str">
            <v>O65.2</v>
          </cell>
          <cell r="B6657" t="str">
            <v>Trabajo de parto obstruido debido a disminución del estrecho superior de la pelvis</v>
          </cell>
        </row>
        <row r="6658">
          <cell r="A6658" t="str">
            <v>O65.3</v>
          </cell>
          <cell r="B6658" t="str">
            <v>Trabajo de parto obstruido debido a disminución del estrecho inferior de la pelvis</v>
          </cell>
        </row>
        <row r="6659">
          <cell r="A6659" t="str">
            <v>O65.4</v>
          </cell>
          <cell r="B6659" t="str">
            <v>Trabajo de parto obstruido debido a desproporción fetopelviana, sin otra especificación</v>
          </cell>
        </row>
        <row r="6660">
          <cell r="A6660" t="str">
            <v>O65.5</v>
          </cell>
          <cell r="B6660" t="str">
            <v>Trabajo de parto obstruido debido a anomalías de los órganos pelvianos maternos</v>
          </cell>
        </row>
        <row r="6661">
          <cell r="A6661" t="str">
            <v>O65.8</v>
          </cell>
          <cell r="B6661" t="str">
            <v>Trabajo de parto obstruido debido a otras anomalías pelvianas maternas</v>
          </cell>
        </row>
        <row r="6662">
          <cell r="A6662" t="str">
            <v>O65.9</v>
          </cell>
          <cell r="B6662" t="str">
            <v>Trabajo de parto obstruido debido a anomalía pelviana no especificada</v>
          </cell>
        </row>
        <row r="6663">
          <cell r="A6663" t="str">
            <v>O66</v>
          </cell>
          <cell r="B6663" t="str">
            <v>Otras obstrucciones del trabajo de parto</v>
          </cell>
        </row>
        <row r="6664">
          <cell r="A6664" t="str">
            <v>O66.0</v>
          </cell>
          <cell r="B6664" t="str">
            <v>Trabajo de parto obstruido debido a distocia de hombros</v>
          </cell>
        </row>
        <row r="6665">
          <cell r="A6665" t="str">
            <v>O66.1</v>
          </cell>
          <cell r="B6665" t="str">
            <v>Trabajo de parto obstruido debido a distocia gemelar</v>
          </cell>
        </row>
        <row r="6666">
          <cell r="A6666" t="str">
            <v>O66.2</v>
          </cell>
          <cell r="B6666" t="str">
            <v>Trabajo de parto obstruido debido a distocia por feto inusualmente grande</v>
          </cell>
        </row>
        <row r="6667">
          <cell r="A6667" t="str">
            <v>O66.3</v>
          </cell>
          <cell r="B6667" t="str">
            <v>Trabajo de parto obstruido debido a otras anormalidades del feto</v>
          </cell>
        </row>
        <row r="6668">
          <cell r="A6668" t="str">
            <v>O66.4</v>
          </cell>
          <cell r="B6668" t="str">
            <v>Fracaso de la prueba del trabajo de parto, no especificada</v>
          </cell>
        </row>
        <row r="6669">
          <cell r="A6669" t="str">
            <v>O66.5</v>
          </cell>
          <cell r="B6669" t="str">
            <v>Fracaso no especificado de la aplicación de fórceps o de ventosa extractora</v>
          </cell>
        </row>
        <row r="6670">
          <cell r="A6670" t="str">
            <v>O66.8</v>
          </cell>
          <cell r="B6670" t="str">
            <v>Otras obstrucciones especificadas del trabajo de parto</v>
          </cell>
        </row>
        <row r="6671">
          <cell r="A6671" t="str">
            <v>O66.9</v>
          </cell>
          <cell r="B6671" t="str">
            <v>Trabajo de parto obstruido, sin otra especificación</v>
          </cell>
        </row>
        <row r="6672">
          <cell r="A6672" t="str">
            <v>O67</v>
          </cell>
          <cell r="B6672" t="str">
            <v>Trabajo de parto y parto complicados por hemorragia intraparto, no clasificados en otra parte</v>
          </cell>
        </row>
        <row r="6673">
          <cell r="A6673" t="str">
            <v>O67.0</v>
          </cell>
          <cell r="B6673" t="str">
            <v>Hemorragia intraparto con defectos de la coagulación</v>
          </cell>
        </row>
        <row r="6674">
          <cell r="A6674" t="str">
            <v>O67.8</v>
          </cell>
          <cell r="B6674" t="str">
            <v>Otras hemorragias intraparto</v>
          </cell>
        </row>
        <row r="6675">
          <cell r="A6675" t="str">
            <v>O67.9</v>
          </cell>
          <cell r="B6675" t="str">
            <v>Hemorragia intraparto, no especificada</v>
          </cell>
        </row>
        <row r="6676">
          <cell r="A6676" t="str">
            <v>O68</v>
          </cell>
          <cell r="B6676" t="str">
            <v>Trabajo de parto y parto complicados por sufrimiento fetal</v>
          </cell>
        </row>
        <row r="6677">
          <cell r="A6677" t="str">
            <v>O68.0</v>
          </cell>
          <cell r="B6677" t="str">
            <v>Trabajo de parto y parto complicados por anomalía de la frecuencia cardíaca fetal</v>
          </cell>
        </row>
        <row r="6678">
          <cell r="A6678" t="str">
            <v>O68.1</v>
          </cell>
          <cell r="B6678" t="str">
            <v>Trabajo de parto y parto complicados por la presencia de meconio en el líquido amniótico</v>
          </cell>
        </row>
        <row r="6679">
          <cell r="A6679" t="str">
            <v>O68.2</v>
          </cell>
          <cell r="B6679" t="str">
            <v>Trabajo de parto y parto complicados por anomalía de la frecuencia cardíaca fetal asociada con presencia de meconio en el líquido amniótico</v>
          </cell>
        </row>
        <row r="6680">
          <cell r="A6680" t="str">
            <v>O68.3</v>
          </cell>
          <cell r="B6680" t="str">
            <v>Trabajo de parto y parto complicados por evidencia bioquímica de sufrimiento fetal</v>
          </cell>
        </row>
        <row r="6681">
          <cell r="A6681" t="str">
            <v>O68.8</v>
          </cell>
          <cell r="B6681" t="str">
            <v>Trabajo de parto y parto complicados por otras evidencias de sufrimiento fetal</v>
          </cell>
        </row>
        <row r="6682">
          <cell r="A6682" t="str">
            <v>O68.9</v>
          </cell>
          <cell r="B6682" t="str">
            <v>Trabajo de parto y parto complicados por sufrimiento fetal, sin otra especificación</v>
          </cell>
        </row>
        <row r="6683">
          <cell r="A6683" t="str">
            <v>O69</v>
          </cell>
          <cell r="B6683" t="str">
            <v>Trabajo de parto y parto complicados por problemas del cordón umbilical</v>
          </cell>
        </row>
        <row r="6684">
          <cell r="A6684" t="str">
            <v>O69.0</v>
          </cell>
          <cell r="B6684" t="str">
            <v>Trabajo de parto y parto complicados por prolapso del cordón umbilical</v>
          </cell>
        </row>
        <row r="6685">
          <cell r="A6685" t="str">
            <v>O69.1</v>
          </cell>
          <cell r="B6685" t="str">
            <v>Trabajo de parto y parto complicados por circular pericervical del cordón, con compresión</v>
          </cell>
        </row>
        <row r="6686">
          <cell r="A6686" t="str">
            <v>O69.2</v>
          </cell>
          <cell r="B6686" t="str">
            <v>Trabajo de parto y parto complicados por otros enredos del cordón</v>
          </cell>
        </row>
        <row r="6687">
          <cell r="A6687" t="str">
            <v>O69.3</v>
          </cell>
          <cell r="B6687" t="str">
            <v>Trabajo de parto y parto complicados por cordón umbilical corto</v>
          </cell>
        </row>
        <row r="6688">
          <cell r="A6688" t="str">
            <v>O69.4</v>
          </cell>
          <cell r="B6688" t="str">
            <v>Trabajo de parto y parto complicados por vasa previa</v>
          </cell>
        </row>
        <row r="6689">
          <cell r="A6689" t="str">
            <v>O69.5</v>
          </cell>
          <cell r="B6689" t="str">
            <v>Trabajo de parto y parto complicados por lesión vascular del cordón</v>
          </cell>
        </row>
        <row r="6690">
          <cell r="A6690" t="str">
            <v>O69.8</v>
          </cell>
          <cell r="B6690" t="str">
            <v>Trabajo de parto y parto complicados por otros problemas del cordón umbilical</v>
          </cell>
        </row>
        <row r="6691">
          <cell r="A6691" t="str">
            <v>O69.9</v>
          </cell>
          <cell r="B6691" t="str">
            <v>Trabajo de parto y parto complicados por problemas no especificados del cordón umbilical</v>
          </cell>
        </row>
        <row r="6692">
          <cell r="A6692" t="str">
            <v>O70</v>
          </cell>
          <cell r="B6692" t="str">
            <v>Desgarro perineal durante el parto</v>
          </cell>
        </row>
        <row r="6693">
          <cell r="A6693" t="str">
            <v>O70.0</v>
          </cell>
          <cell r="B6693" t="str">
            <v>Desgarro perineal de primer grado durante el parto</v>
          </cell>
        </row>
        <row r="6694">
          <cell r="A6694" t="str">
            <v>O70.1</v>
          </cell>
          <cell r="B6694" t="str">
            <v>Desgarro perineal de segundo grado durante el parto</v>
          </cell>
        </row>
        <row r="6695">
          <cell r="A6695" t="str">
            <v>O70.2</v>
          </cell>
          <cell r="B6695" t="str">
            <v>Desgarro perineal de tercer grado durante el parto</v>
          </cell>
        </row>
        <row r="6696">
          <cell r="A6696" t="str">
            <v>O70.3</v>
          </cell>
          <cell r="B6696" t="str">
            <v>Desgarro perineal de cuarto grado durante el parto</v>
          </cell>
        </row>
        <row r="6697">
          <cell r="A6697" t="str">
            <v>O70.9</v>
          </cell>
          <cell r="B6697" t="str">
            <v>Desgarro perineal durante el parto, de grado no especificado</v>
          </cell>
        </row>
        <row r="6698">
          <cell r="A6698" t="str">
            <v>O71</v>
          </cell>
          <cell r="B6698" t="str">
            <v>Otro trauma obstétrico</v>
          </cell>
        </row>
        <row r="6699">
          <cell r="A6699" t="str">
            <v>O71.0</v>
          </cell>
          <cell r="B6699" t="str">
            <v>Ruptura del útero antes del inicio del trabajo de parto</v>
          </cell>
        </row>
        <row r="6700">
          <cell r="A6700" t="str">
            <v>O71.1</v>
          </cell>
          <cell r="B6700" t="str">
            <v>Ruptura del útero durante el trabajo de parto</v>
          </cell>
        </row>
        <row r="6701">
          <cell r="A6701" t="str">
            <v>O71.2</v>
          </cell>
          <cell r="B6701" t="str">
            <v>Inversión del útero, postparto</v>
          </cell>
        </row>
        <row r="6702">
          <cell r="A6702" t="str">
            <v>O71.3</v>
          </cell>
          <cell r="B6702" t="str">
            <v>Desgarro obstétrico del cuello uterino</v>
          </cell>
        </row>
        <row r="6703">
          <cell r="A6703" t="str">
            <v>O71.4</v>
          </cell>
          <cell r="B6703" t="str">
            <v>Desgarro vaginal obstétrico alto, sólo</v>
          </cell>
        </row>
        <row r="6704">
          <cell r="A6704" t="str">
            <v>O71.5</v>
          </cell>
          <cell r="B6704" t="str">
            <v>Otros traumatismos obstétricos de los órganos pelvianos</v>
          </cell>
        </row>
        <row r="6705">
          <cell r="A6705" t="str">
            <v>O71.6</v>
          </cell>
          <cell r="B6705" t="str">
            <v>Traumatismo obstétrico de los ligamentos y articulaciones de la pelvis</v>
          </cell>
        </row>
        <row r="6706">
          <cell r="A6706" t="str">
            <v>O71.7</v>
          </cell>
          <cell r="B6706" t="str">
            <v>Hematoma obstétrico de la pelvis</v>
          </cell>
        </row>
        <row r="6707">
          <cell r="A6707" t="str">
            <v>O71.8</v>
          </cell>
          <cell r="B6707" t="str">
            <v>Otros traumas obstétricos especificados</v>
          </cell>
        </row>
        <row r="6708">
          <cell r="A6708" t="str">
            <v>O71.9</v>
          </cell>
          <cell r="B6708" t="str">
            <v>Trauma obstétrico, no especificado</v>
          </cell>
        </row>
        <row r="6709">
          <cell r="A6709" t="str">
            <v>O72</v>
          </cell>
          <cell r="B6709" t="str">
            <v>Hemorragia postparto</v>
          </cell>
        </row>
        <row r="6710">
          <cell r="A6710" t="str">
            <v>O72.0</v>
          </cell>
          <cell r="B6710" t="str">
            <v>Hemorragia del tercer período del parto</v>
          </cell>
        </row>
        <row r="6711">
          <cell r="A6711" t="str">
            <v>O72.1</v>
          </cell>
          <cell r="B6711" t="str">
            <v>Otras hemorragias postparto inmediatas</v>
          </cell>
        </row>
        <row r="6712">
          <cell r="A6712" t="str">
            <v>O72.2</v>
          </cell>
          <cell r="B6712" t="str">
            <v>Hemorragia postparto secundaria o tardía</v>
          </cell>
        </row>
        <row r="6713">
          <cell r="A6713" t="str">
            <v>O72.3</v>
          </cell>
          <cell r="B6713" t="str">
            <v>Defecto de la coagulación postparto</v>
          </cell>
        </row>
        <row r="6714">
          <cell r="A6714" t="str">
            <v>O73</v>
          </cell>
          <cell r="B6714" t="str">
            <v>Retención de la placenta o de las membranas, sin hemorragia</v>
          </cell>
        </row>
        <row r="6715">
          <cell r="A6715" t="str">
            <v>O73.0</v>
          </cell>
          <cell r="B6715" t="str">
            <v>Retención de la placenta sin hemorragia</v>
          </cell>
        </row>
        <row r="6716">
          <cell r="A6716" t="str">
            <v>O73.1</v>
          </cell>
          <cell r="B6716" t="str">
            <v>Retención de fragmentos de la placenta o de las membranas, sin hemorragia</v>
          </cell>
        </row>
        <row r="6717">
          <cell r="A6717" t="str">
            <v>O74</v>
          </cell>
          <cell r="B6717" t="str">
            <v>Complicaciones de la anestesia administrada durante el trabajo de parto y el parto</v>
          </cell>
        </row>
        <row r="6718">
          <cell r="A6718" t="str">
            <v>O74.0</v>
          </cell>
          <cell r="B6718" t="str">
            <v>Neumonitis por aspiración debida a la anestesia administrada durante el trabajo de parto y el parto</v>
          </cell>
        </row>
        <row r="6719">
          <cell r="A6719" t="str">
            <v>O74.1</v>
          </cell>
          <cell r="B6719" t="str">
            <v>Otras complicaciones pulmonares debidas a la anestesia administrada  durante el trabajo de parto y el parto</v>
          </cell>
        </row>
        <row r="6720">
          <cell r="A6720" t="str">
            <v>O74.2</v>
          </cell>
          <cell r="B6720" t="str">
            <v>Complicaciones cardíacas de la anestesia administrada durante el trabajo de parto y el parto</v>
          </cell>
        </row>
        <row r="6721">
          <cell r="A6721" t="str">
            <v>O74.3</v>
          </cell>
          <cell r="B6721" t="str">
            <v>Complicaciones del sistema nervioso central por la anestesia administrada durante el trabajo de parto y el parto</v>
          </cell>
        </row>
        <row r="6722">
          <cell r="A6722" t="str">
            <v>O74.4</v>
          </cell>
          <cell r="B6722" t="str">
            <v>Reacción tóxica a la anestesia local administrada durante el trabajo de parto y el parto</v>
          </cell>
        </row>
        <row r="6723">
          <cell r="A6723" t="str">
            <v>O74.5</v>
          </cell>
          <cell r="B6723" t="str">
            <v>Cefalalgia inducida por la anestesia espinal o epidural administradas  durante el trabajo de parto y el parto</v>
          </cell>
        </row>
        <row r="6724">
          <cell r="A6724" t="str">
            <v>O74.6</v>
          </cell>
          <cell r="B6724" t="str">
            <v>Otras complicaciones de la anestesia espinal o epidural administradas durante el trabajo de parto y el parto</v>
          </cell>
        </row>
        <row r="6725">
          <cell r="A6725" t="str">
            <v>O74.7</v>
          </cell>
          <cell r="B6725" t="str">
            <v>Falla o dificultad en la intubación durante el trabajo de parto y el parto</v>
          </cell>
        </row>
        <row r="6726">
          <cell r="A6726" t="str">
            <v>O74.8</v>
          </cell>
          <cell r="B6726" t="str">
            <v>Otras complicaciones de la anestesia administrada durante el trabajo de parto y el parto</v>
          </cell>
        </row>
        <row r="6727">
          <cell r="A6727" t="str">
            <v>O74.9</v>
          </cell>
          <cell r="B6727" t="str">
            <v>Complicación no especificada de la anestesia administrada durante el trabajo de parto y el parto</v>
          </cell>
        </row>
        <row r="6728">
          <cell r="A6728" t="str">
            <v>O75</v>
          </cell>
          <cell r="B6728" t="str">
            <v>Otras complicaciones del trabajo de parto y del parto, no clasificadas en otra parte</v>
          </cell>
        </row>
        <row r="6729">
          <cell r="A6729" t="str">
            <v>O75.0</v>
          </cell>
          <cell r="B6729" t="str">
            <v>Sufrimiento materno durante el trabajo de parto y el parto</v>
          </cell>
        </row>
        <row r="6730">
          <cell r="A6730" t="str">
            <v>O75.1</v>
          </cell>
          <cell r="B6730" t="str">
            <v>Choque durante o después del trabajo de parto y el parto</v>
          </cell>
        </row>
        <row r="6731">
          <cell r="A6731" t="str">
            <v>O75.2</v>
          </cell>
          <cell r="B6731" t="str">
            <v>Pirexia durante el trabajo de parto, no clasificada en otra parte</v>
          </cell>
        </row>
        <row r="6732">
          <cell r="A6732" t="str">
            <v>O75.3</v>
          </cell>
          <cell r="B6732" t="str">
            <v>Otras infecciones durante el trabajo de parto</v>
          </cell>
        </row>
        <row r="6733">
          <cell r="A6733" t="str">
            <v>O75.4</v>
          </cell>
          <cell r="B6733" t="str">
            <v>Otras complicaciones de la cirugía y de otros procedimientos obstétricos</v>
          </cell>
        </row>
        <row r="6734">
          <cell r="A6734" t="str">
            <v>O75.5</v>
          </cell>
          <cell r="B6734" t="str">
            <v>Retraso del parto después de la ruptura artificial de las membranas</v>
          </cell>
        </row>
        <row r="6735">
          <cell r="A6735" t="str">
            <v>O75.6</v>
          </cell>
          <cell r="B6735" t="str">
            <v>Retraso del parto después de la ruptura espontánea o no especificada de las membranas</v>
          </cell>
        </row>
        <row r="6736">
          <cell r="A6736" t="str">
            <v>O75.7</v>
          </cell>
          <cell r="B6736" t="str">
            <v>Parto vaginal posterior a una cesárea previa</v>
          </cell>
        </row>
        <row r="6737">
          <cell r="A6737" t="str">
            <v>O75.8</v>
          </cell>
          <cell r="B6737" t="str">
            <v>Otras complicaciones especificadas del trabajo de parto y del parto</v>
          </cell>
        </row>
        <row r="6738">
          <cell r="A6738" t="str">
            <v>O75.9</v>
          </cell>
          <cell r="B6738" t="str">
            <v>Complicación no especificada del trabajo de parto y del parto</v>
          </cell>
        </row>
        <row r="6739">
          <cell r="A6739" t="str">
            <v>O80</v>
          </cell>
          <cell r="B6739" t="str">
            <v>Parto único espontáneo</v>
          </cell>
        </row>
        <row r="6740">
          <cell r="A6740" t="str">
            <v>O80.0</v>
          </cell>
          <cell r="B6740" t="str">
            <v>Parto único espontáneo, presentación cefálica de vértice</v>
          </cell>
        </row>
        <row r="6741">
          <cell r="A6741" t="str">
            <v>O80.1</v>
          </cell>
          <cell r="B6741" t="str">
            <v>Parto único espontáneo, presentación de nalgas o podálica</v>
          </cell>
        </row>
        <row r="6742">
          <cell r="A6742" t="str">
            <v>O80.8</v>
          </cell>
          <cell r="B6742" t="str">
            <v>Parto único espontáneo, otras presentaciones</v>
          </cell>
        </row>
        <row r="6743">
          <cell r="A6743" t="str">
            <v>O80.9</v>
          </cell>
          <cell r="B6743" t="str">
            <v>Parto único espontáneo, sin otra especificación</v>
          </cell>
        </row>
        <row r="6744">
          <cell r="A6744" t="str">
            <v>O81</v>
          </cell>
          <cell r="B6744" t="str">
            <v>Parto único con fórceps y ventosa extractora</v>
          </cell>
        </row>
        <row r="6745">
          <cell r="A6745" t="str">
            <v>O81.0</v>
          </cell>
          <cell r="B6745" t="str">
            <v>Parto con fórceps bajo</v>
          </cell>
        </row>
        <row r="6746">
          <cell r="A6746" t="str">
            <v>O81.1</v>
          </cell>
          <cell r="B6746" t="str">
            <v>Parto con fórceps medio</v>
          </cell>
        </row>
        <row r="6747">
          <cell r="A6747" t="str">
            <v>O81.2</v>
          </cell>
          <cell r="B6747" t="str">
            <v>Parto con fórceps medio con rotación</v>
          </cell>
        </row>
        <row r="6748">
          <cell r="A6748" t="str">
            <v>O81.3</v>
          </cell>
          <cell r="B6748" t="str">
            <v>Parto con fórceps de otros tipos y los no especificados</v>
          </cell>
        </row>
        <row r="6749">
          <cell r="A6749" t="str">
            <v>O81.4</v>
          </cell>
          <cell r="B6749" t="str">
            <v>Parto con ventosa extractora</v>
          </cell>
        </row>
        <row r="6750">
          <cell r="A6750" t="str">
            <v>O81.5</v>
          </cell>
          <cell r="B6750" t="str">
            <v>Parto con combinación de fórceps y ventosa extractora</v>
          </cell>
        </row>
        <row r="6751">
          <cell r="A6751" t="str">
            <v>O82</v>
          </cell>
          <cell r="B6751" t="str">
            <v>Parto único por cesárea</v>
          </cell>
        </row>
        <row r="6752">
          <cell r="A6752" t="str">
            <v>O82.0</v>
          </cell>
          <cell r="B6752" t="str">
            <v>Parto por cesárea electiva</v>
          </cell>
        </row>
        <row r="6753">
          <cell r="A6753" t="str">
            <v>O82.1</v>
          </cell>
          <cell r="B6753" t="str">
            <v>Parto por cesárea de emergencia</v>
          </cell>
        </row>
        <row r="6754">
          <cell r="A6754" t="str">
            <v>O82.2</v>
          </cell>
          <cell r="B6754" t="str">
            <v>Parto por cesárea con histerectomía</v>
          </cell>
        </row>
        <row r="6755">
          <cell r="A6755" t="str">
            <v>O82.8</v>
          </cell>
          <cell r="B6755" t="str">
            <v>Otros partos únicos por cesárea</v>
          </cell>
        </row>
        <row r="6756">
          <cell r="A6756" t="str">
            <v>O82.9</v>
          </cell>
          <cell r="B6756" t="str">
            <v>Parto por cesárea, sin otra especificación</v>
          </cell>
        </row>
        <row r="6757">
          <cell r="A6757" t="str">
            <v>O83</v>
          </cell>
          <cell r="B6757" t="str">
            <v>Otros partos únicos asistidos</v>
          </cell>
        </row>
        <row r="6758">
          <cell r="A6758" t="str">
            <v>O83.0</v>
          </cell>
          <cell r="B6758" t="str">
            <v>Extracción de nalgas</v>
          </cell>
        </row>
        <row r="6759">
          <cell r="A6759" t="str">
            <v>O83.1</v>
          </cell>
          <cell r="B6759" t="str">
            <v>Otros partos únicos asistidos, de nalgas</v>
          </cell>
        </row>
        <row r="6760">
          <cell r="A6760" t="str">
            <v>O83.2</v>
          </cell>
          <cell r="B6760" t="str">
            <v>Otros partos únicos con ayuda de manipulación obstétrica</v>
          </cell>
        </row>
        <row r="6761">
          <cell r="A6761" t="str">
            <v>O83.3</v>
          </cell>
          <cell r="B6761" t="str">
            <v>Parto de feto viable en embarazo abdominal</v>
          </cell>
        </row>
        <row r="6762">
          <cell r="A6762" t="str">
            <v>O83.4</v>
          </cell>
          <cell r="B6762" t="str">
            <v>Operación destructiva para facilitar el parto</v>
          </cell>
        </row>
        <row r="6763">
          <cell r="A6763" t="str">
            <v>O83.8</v>
          </cell>
          <cell r="B6763" t="str">
            <v>Otros partos únicos asistidos especificados</v>
          </cell>
        </row>
        <row r="6764">
          <cell r="A6764" t="str">
            <v>O83.9</v>
          </cell>
          <cell r="B6764" t="str">
            <v>Parto único asistido, sin otra especificación</v>
          </cell>
        </row>
        <row r="6765">
          <cell r="A6765" t="str">
            <v>O84</v>
          </cell>
          <cell r="B6765" t="str">
            <v>Parto múltiple</v>
          </cell>
        </row>
        <row r="6766">
          <cell r="A6766" t="str">
            <v>O84.0</v>
          </cell>
          <cell r="B6766" t="str">
            <v>Parto múltiple, todos espontáneos</v>
          </cell>
        </row>
        <row r="6767">
          <cell r="A6767" t="str">
            <v>O84.1</v>
          </cell>
          <cell r="B6767" t="str">
            <v>Parto múltiple, todos por fórceps y ventosa extractora</v>
          </cell>
        </row>
        <row r="6768">
          <cell r="A6768" t="str">
            <v>O84.2</v>
          </cell>
          <cell r="B6768" t="str">
            <v>Parto múltiple, todos por cesárea</v>
          </cell>
        </row>
        <row r="6769">
          <cell r="A6769" t="str">
            <v>O84.8</v>
          </cell>
          <cell r="B6769" t="str">
            <v>Otros partos múltiples</v>
          </cell>
        </row>
        <row r="6770">
          <cell r="A6770" t="str">
            <v>O84.9</v>
          </cell>
          <cell r="B6770" t="str">
            <v>Parto múltiple, no especificado</v>
          </cell>
        </row>
        <row r="6771">
          <cell r="A6771" t="str">
            <v>O85.X</v>
          </cell>
          <cell r="B6771" t="str">
            <v>Sepsis puerperal</v>
          </cell>
        </row>
        <row r="6772">
          <cell r="A6772" t="str">
            <v>O86</v>
          </cell>
          <cell r="B6772" t="str">
            <v>Otras infecciones puerperales</v>
          </cell>
        </row>
        <row r="6773">
          <cell r="A6773" t="str">
            <v>O86.0</v>
          </cell>
          <cell r="B6773" t="str">
            <v>Infección de herida quirúrgica obstétrica</v>
          </cell>
        </row>
        <row r="6774">
          <cell r="A6774" t="str">
            <v>O86.1</v>
          </cell>
          <cell r="B6774" t="str">
            <v>Otras infecciones genitales consecutivas al parto</v>
          </cell>
        </row>
        <row r="6775">
          <cell r="A6775" t="str">
            <v>O86.2</v>
          </cell>
          <cell r="B6775" t="str">
            <v>Infección de las vías urinarias consecutiva al parto</v>
          </cell>
        </row>
        <row r="6776">
          <cell r="A6776" t="str">
            <v>O86.3</v>
          </cell>
          <cell r="B6776" t="str">
            <v>Otras infecciones de las vías genitourinarias consecutivas al parto</v>
          </cell>
        </row>
        <row r="6777">
          <cell r="A6777" t="str">
            <v>O86.4</v>
          </cell>
          <cell r="B6777" t="str">
            <v>Pirexia de origen desconocido consecutiva al parto</v>
          </cell>
        </row>
        <row r="6778">
          <cell r="A6778" t="str">
            <v>O86.8</v>
          </cell>
          <cell r="B6778" t="str">
            <v>Otras infecciones puerperales especificadas</v>
          </cell>
        </row>
        <row r="6779">
          <cell r="A6779" t="str">
            <v>O87</v>
          </cell>
          <cell r="B6779" t="str">
            <v>Complicaciones venosas en el puerperio</v>
          </cell>
        </row>
        <row r="6780">
          <cell r="A6780" t="str">
            <v>O87.0</v>
          </cell>
          <cell r="B6780" t="str">
            <v>Tromboflebitis superficial en el puerperio</v>
          </cell>
        </row>
        <row r="6781">
          <cell r="A6781" t="str">
            <v>O87.1</v>
          </cell>
          <cell r="B6781" t="str">
            <v>Flebotrombosis profunda en el puerperio</v>
          </cell>
        </row>
        <row r="6782">
          <cell r="A6782" t="str">
            <v>O87.2</v>
          </cell>
          <cell r="B6782" t="str">
            <v>Hemorroides en el puerperio</v>
          </cell>
        </row>
        <row r="6783">
          <cell r="A6783" t="str">
            <v>O87.3</v>
          </cell>
          <cell r="B6783" t="str">
            <v>Trombosis venosa cerebral en el puerperio</v>
          </cell>
        </row>
        <row r="6784">
          <cell r="A6784" t="str">
            <v>O87.8</v>
          </cell>
          <cell r="B6784" t="str">
            <v>Otras complicaciones venosas en el puerperio</v>
          </cell>
        </row>
        <row r="6785">
          <cell r="A6785" t="str">
            <v>O87.9</v>
          </cell>
          <cell r="B6785" t="str">
            <v>Complicación venosa en el puerperio, no especificada</v>
          </cell>
        </row>
        <row r="6786">
          <cell r="A6786" t="str">
            <v>O88</v>
          </cell>
          <cell r="B6786" t="str">
            <v>Embolia obstétrica</v>
          </cell>
        </row>
        <row r="6787">
          <cell r="A6787" t="str">
            <v>O88.0</v>
          </cell>
          <cell r="B6787" t="str">
            <v>Embolia gaseosa, obstétrica</v>
          </cell>
        </row>
        <row r="6788">
          <cell r="A6788" t="str">
            <v>O88.1</v>
          </cell>
          <cell r="B6788" t="str">
            <v>Embolia de líquido amniótico</v>
          </cell>
        </row>
        <row r="6789">
          <cell r="A6789" t="str">
            <v>O88.2</v>
          </cell>
          <cell r="B6789" t="str">
            <v>Embolia de coágulo sanguíneo, obstétrica</v>
          </cell>
        </row>
        <row r="6790">
          <cell r="A6790" t="str">
            <v>O88.3</v>
          </cell>
          <cell r="B6790" t="str">
            <v>Embolia séptica y piémica, obstétrica</v>
          </cell>
        </row>
        <row r="6791">
          <cell r="A6791" t="str">
            <v>O88.8</v>
          </cell>
          <cell r="B6791" t="str">
            <v>Otras embolias obstétricas</v>
          </cell>
        </row>
        <row r="6792">
          <cell r="A6792" t="str">
            <v>O89</v>
          </cell>
          <cell r="B6792" t="str">
            <v>Complicaciones de la anestesia administrada durante el puerperio</v>
          </cell>
        </row>
        <row r="6793">
          <cell r="A6793" t="str">
            <v>O89.0</v>
          </cell>
          <cell r="B6793" t="str">
            <v>Complicaciones pulmonares de la anestesia administrada durante el puerperio</v>
          </cell>
        </row>
        <row r="6794">
          <cell r="A6794" t="str">
            <v>O89.1</v>
          </cell>
          <cell r="B6794" t="str">
            <v>Complicaciones cardíacas de la anestesia administrada durante el puerperio</v>
          </cell>
        </row>
        <row r="6795">
          <cell r="A6795" t="str">
            <v>O89.2</v>
          </cell>
          <cell r="B6795" t="str">
            <v>Complicaciones del sistema nervioso central debidas a la anestesia administrada durante el puerperio</v>
          </cell>
        </row>
        <row r="6796">
          <cell r="A6796" t="str">
            <v>O89.3</v>
          </cell>
          <cell r="B6796" t="str">
            <v>Reacción tóxica a la anestesia local administrada durante el puerperio</v>
          </cell>
        </row>
        <row r="6797">
          <cell r="A6797" t="str">
            <v>O89.4</v>
          </cell>
          <cell r="B6797" t="str">
            <v>Cefalalgia inducida por la anestesia espinal o epidural administradas durante el puerperio</v>
          </cell>
        </row>
        <row r="6798">
          <cell r="A6798" t="str">
            <v>O89.5</v>
          </cell>
          <cell r="B6798" t="str">
            <v>Otras complicaciones de la anestesia espinal o epidural administradas durante el puerperio</v>
          </cell>
        </row>
        <row r="6799">
          <cell r="A6799" t="str">
            <v>O89.6</v>
          </cell>
          <cell r="B6799" t="str">
            <v>Falla o dificultad de intubación durante el puerperio</v>
          </cell>
        </row>
        <row r="6800">
          <cell r="A6800" t="str">
            <v>O89.8</v>
          </cell>
          <cell r="B6800" t="str">
            <v>Otras complicaciones de la anestesia administrada durante el puerperio</v>
          </cell>
        </row>
        <row r="6801">
          <cell r="A6801" t="str">
            <v>O89.9</v>
          </cell>
          <cell r="B6801" t="str">
            <v>Complicación no especificada de la anestesia administrada durante el puerperio</v>
          </cell>
        </row>
        <row r="6802">
          <cell r="A6802" t="str">
            <v>O90</v>
          </cell>
          <cell r="B6802" t="str">
            <v>Complicaciones del puerperio, no clasificadas en otra parte</v>
          </cell>
        </row>
        <row r="6803">
          <cell r="A6803" t="str">
            <v>O90.0</v>
          </cell>
          <cell r="B6803" t="str">
            <v>Dehiscencia de sutura de cesárea</v>
          </cell>
        </row>
        <row r="6804">
          <cell r="A6804" t="str">
            <v>O90.1</v>
          </cell>
          <cell r="B6804" t="str">
            <v>Dehiscencia de sutura obstétrica perineal</v>
          </cell>
        </row>
        <row r="6805">
          <cell r="A6805" t="str">
            <v>O90.2</v>
          </cell>
          <cell r="B6805" t="str">
            <v>Hematoma de herida quirúrgica obstétrica</v>
          </cell>
        </row>
        <row r="6806">
          <cell r="A6806" t="str">
            <v>O90.3</v>
          </cell>
          <cell r="B6806" t="str">
            <v>Cardiomiopatía en el puerperio</v>
          </cell>
        </row>
        <row r="6807">
          <cell r="A6807" t="str">
            <v>O90.4</v>
          </cell>
          <cell r="B6807" t="str">
            <v>Insuficiencia renal aguda postparto</v>
          </cell>
        </row>
        <row r="6808">
          <cell r="A6808" t="str">
            <v>O90.5</v>
          </cell>
          <cell r="B6808" t="str">
            <v>Tiroiditis postparto</v>
          </cell>
        </row>
        <row r="6809">
          <cell r="A6809" t="str">
            <v>O90.8</v>
          </cell>
          <cell r="B6809" t="str">
            <v>Otras complicaciones puerperales, no clasificadas en otra parte</v>
          </cell>
        </row>
        <row r="6810">
          <cell r="A6810" t="str">
            <v>O90.9</v>
          </cell>
          <cell r="B6810" t="str">
            <v>Complicación puerperal, no especificada</v>
          </cell>
        </row>
        <row r="6811">
          <cell r="A6811" t="str">
            <v>O91</v>
          </cell>
          <cell r="B6811" t="str">
            <v>Infecciones de la mama asociadas con el parto</v>
          </cell>
        </row>
        <row r="6812">
          <cell r="A6812" t="str">
            <v>O91.0</v>
          </cell>
          <cell r="B6812" t="str">
            <v>Infecciones del pezón asociadas con el parto</v>
          </cell>
        </row>
        <row r="6813">
          <cell r="A6813" t="str">
            <v>O91.1</v>
          </cell>
          <cell r="B6813" t="str">
            <v>Absceso de la mama asociado con el parto</v>
          </cell>
        </row>
        <row r="6814">
          <cell r="A6814" t="str">
            <v>O91.2</v>
          </cell>
          <cell r="B6814" t="str">
            <v>Mastitis no purulenta asociada con el parto</v>
          </cell>
        </row>
        <row r="6815">
          <cell r="A6815" t="str">
            <v>O92</v>
          </cell>
          <cell r="B6815" t="str">
            <v>Otros trastornos de la mama y de la lactancia asociados con el parto</v>
          </cell>
        </row>
        <row r="6816">
          <cell r="A6816" t="str">
            <v>O92.0</v>
          </cell>
          <cell r="B6816" t="str">
            <v>Retracción del pezón asociada con el parto</v>
          </cell>
        </row>
        <row r="6817">
          <cell r="A6817" t="str">
            <v>O92.1</v>
          </cell>
          <cell r="B6817" t="str">
            <v>Fisuras del pezón asociadas con el parto</v>
          </cell>
        </row>
        <row r="6818">
          <cell r="A6818" t="str">
            <v>O92.2</v>
          </cell>
          <cell r="B6818" t="str">
            <v>Otros trastornos de la mama y los no especificados asociados con el parto</v>
          </cell>
        </row>
        <row r="6819">
          <cell r="A6819" t="str">
            <v>O92.3</v>
          </cell>
          <cell r="B6819" t="str">
            <v>Agalactia</v>
          </cell>
        </row>
        <row r="6820">
          <cell r="A6820" t="str">
            <v>O92.4</v>
          </cell>
          <cell r="B6820" t="str">
            <v>Hipogalactia</v>
          </cell>
        </row>
        <row r="6821">
          <cell r="A6821" t="str">
            <v>O92.5</v>
          </cell>
          <cell r="B6821" t="str">
            <v>Supresión de la lactancia</v>
          </cell>
        </row>
        <row r="6822">
          <cell r="A6822" t="str">
            <v>O92.6</v>
          </cell>
          <cell r="B6822" t="str">
            <v>Galactorrea</v>
          </cell>
        </row>
        <row r="6823">
          <cell r="A6823" t="str">
            <v>O92.7</v>
          </cell>
          <cell r="B6823" t="str">
            <v>Otros trastornos y los no especificados de la lactancia</v>
          </cell>
        </row>
        <row r="6824">
          <cell r="A6824" t="str">
            <v>O95.X</v>
          </cell>
          <cell r="B6824" t="str">
            <v>Muerte obstétrica de causa no especificada</v>
          </cell>
        </row>
        <row r="6825">
          <cell r="A6825" t="str">
            <v>O96.X</v>
          </cell>
          <cell r="B6825" t="str">
            <v>Muerte materna debida a cualquier causa obstétrica que ocurre después de 42 días pero antes de un año del parto</v>
          </cell>
        </row>
        <row r="6826">
          <cell r="A6826" t="str">
            <v>O97.X</v>
          </cell>
          <cell r="B6826" t="str">
            <v>Muerte por secuelas de causas obstétricas directas</v>
          </cell>
        </row>
        <row r="6827">
          <cell r="A6827" t="str">
            <v>O98</v>
          </cell>
          <cell r="B6827" t="str">
            <v>Enfermedades maternas infecciosas y parasitarias clasificables en otra parte, pero que complican el embarazo, el parto y el puerperio</v>
          </cell>
        </row>
        <row r="6828">
          <cell r="A6828" t="str">
            <v>O98.0</v>
          </cell>
          <cell r="B6828" t="str">
            <v>Tuberculosis que complica el embarazo, el parto y el puerperio</v>
          </cell>
        </row>
        <row r="6829">
          <cell r="A6829" t="str">
            <v>O98.1</v>
          </cell>
          <cell r="B6829" t="str">
            <v>Sífilis que complica el embarazo, el parto y el puerperio</v>
          </cell>
        </row>
        <row r="6830">
          <cell r="A6830" t="str">
            <v>O98.2</v>
          </cell>
          <cell r="B6830" t="str">
            <v>Gonorrea que complica el embarazo, el parto y el puerperio</v>
          </cell>
        </row>
        <row r="6831">
          <cell r="A6831" t="str">
            <v>O98.3</v>
          </cell>
          <cell r="B6831" t="str">
            <v>Otras infecciones con un modo de transmisión predominantemente sexual que complican el embarazo, el parto y el puerperio</v>
          </cell>
        </row>
        <row r="6832">
          <cell r="A6832" t="str">
            <v>O98.4</v>
          </cell>
          <cell r="B6832" t="str">
            <v>Hepatitis viral que complica el embarazo, el parto y el puerperio</v>
          </cell>
        </row>
        <row r="6833">
          <cell r="A6833" t="str">
            <v>O98.5</v>
          </cell>
          <cell r="B6833" t="str">
            <v>Otras enfermedades virales que complican el embarazo, el parto y el puerperio</v>
          </cell>
        </row>
        <row r="6834">
          <cell r="A6834" t="str">
            <v>O98.6</v>
          </cell>
          <cell r="B6834" t="str">
            <v>Enfermedades causadas por protozoarios que complican el embarazo, el parto y el puerperio</v>
          </cell>
        </row>
        <row r="6835">
          <cell r="A6835" t="str">
            <v>O98.8</v>
          </cell>
          <cell r="B6835" t="str">
            <v>Otras enfermedades infecciosas y parasitarias maternas que complican el embarazo, el parto y el puerperio</v>
          </cell>
        </row>
        <row r="6836">
          <cell r="A6836" t="str">
            <v>O98.9</v>
          </cell>
          <cell r="B6836" t="str">
            <v>Enfermedad infecciosa y parasitaria materna no especificada que complica el embarazo, el parto y el puerperio</v>
          </cell>
        </row>
        <row r="6837">
          <cell r="A6837" t="str">
            <v>O99</v>
          </cell>
          <cell r="B6837" t="str">
            <v>Otras enfermedades maternas clasificables en otra parte, pero que complican el embarazo, el parto y el puerperio</v>
          </cell>
        </row>
        <row r="6838">
          <cell r="A6838" t="str">
            <v>O99.0</v>
          </cell>
          <cell r="B6838" t="str">
            <v>Anemia que complica el embarazo, el parto y el puerperio</v>
          </cell>
        </row>
        <row r="6839">
          <cell r="A6839" t="str">
            <v>O99.1</v>
          </cell>
          <cell r="B6839" t="str">
            <v>Otras enfermedades de la sangre y de los órganos hematopoyéticos y ciertos trastornos que afectan el sistema inmunitario cuando complican el embarazo, el parto y el puerperio</v>
          </cell>
        </row>
        <row r="6840">
          <cell r="A6840" t="str">
            <v>O99.2</v>
          </cell>
          <cell r="B6840" t="str">
            <v>Enfermedades endocrinas, de la nutrición y del metabolismo que complican el embarazo, el parto y el puerperio</v>
          </cell>
        </row>
        <row r="6841">
          <cell r="A6841" t="str">
            <v>O99.3</v>
          </cell>
          <cell r="B6841" t="str">
            <v>Trastornos mentales y enfermedades del sistema nervioso que complican el embarazo, el parto y el puerperio</v>
          </cell>
        </row>
        <row r="6842">
          <cell r="A6842" t="str">
            <v>O99.4</v>
          </cell>
          <cell r="B6842" t="str">
            <v>Enfermedades del sistema circulatorio que complican el embarazo, el parto y el puerperio</v>
          </cell>
        </row>
        <row r="6843">
          <cell r="A6843" t="str">
            <v>O99.5</v>
          </cell>
          <cell r="B6843" t="str">
            <v>Enfermedades del sistema respiratorio que complican el embarazo, el parto y el puerperio</v>
          </cell>
        </row>
        <row r="6844">
          <cell r="A6844" t="str">
            <v>O99.6</v>
          </cell>
          <cell r="B6844" t="str">
            <v>Enfermedades del sistema digestivo que complican el embarazo, el parto y el puerperio</v>
          </cell>
        </row>
        <row r="6845">
          <cell r="A6845" t="str">
            <v>O99.7</v>
          </cell>
          <cell r="B6845" t="str">
            <v>Enfermedades de la piel y del tejido subcutáneo que complican el embarazo, el parto y el puerperio</v>
          </cell>
        </row>
        <row r="6846">
          <cell r="A6846" t="str">
            <v>O99.8</v>
          </cell>
          <cell r="B6846" t="str">
            <v>Otras enfermedades especificadas y afecciones que complican el embarazo, el parto y el puerperio</v>
          </cell>
        </row>
        <row r="6847">
          <cell r="A6847" t="str">
            <v>P</v>
          </cell>
          <cell r="B6847" t="str">
            <v>Transtornos Perinatales</v>
          </cell>
        </row>
        <row r="6848">
          <cell r="A6848" t="str">
            <v>P00</v>
          </cell>
          <cell r="B6848" t="str">
            <v>Feto y recién nacido afectados por condiciones de la madre no necesariamente relacionadas con el embarazo presente</v>
          </cell>
        </row>
        <row r="6849">
          <cell r="A6849" t="str">
            <v>P00.0</v>
          </cell>
          <cell r="B6849" t="str">
            <v>Feto y recién nacido afectados por trastornos hipertensivos de la madre</v>
          </cell>
        </row>
        <row r="6850">
          <cell r="A6850" t="str">
            <v>P00.1</v>
          </cell>
          <cell r="B6850" t="str">
            <v>Feto y recién nacido afectados por enfermedades renales y de las vías urinarias de la madre</v>
          </cell>
        </row>
        <row r="6851">
          <cell r="A6851" t="str">
            <v>P00.2</v>
          </cell>
          <cell r="B6851" t="str">
            <v>Feto y recién nacido afectados por enfermedades infecciosas y parasitarias de la madre</v>
          </cell>
        </row>
        <row r="6852">
          <cell r="A6852" t="str">
            <v>P00.3</v>
          </cell>
          <cell r="B6852" t="str">
            <v>Feto y recién nacido afectados por otras enfermedades circulatorias y respiratorias de la madre</v>
          </cell>
        </row>
        <row r="6853">
          <cell r="A6853" t="str">
            <v>P00.4</v>
          </cell>
          <cell r="B6853" t="str">
            <v>Feto y recién nacido afectados por trastornos nutricionales de la madre</v>
          </cell>
        </row>
        <row r="6854">
          <cell r="A6854" t="str">
            <v>P00.5</v>
          </cell>
          <cell r="B6854" t="str">
            <v>Feto y recién nacido afectados por traumatismo de la madre</v>
          </cell>
        </row>
        <row r="6855">
          <cell r="A6855" t="str">
            <v>P00.6</v>
          </cell>
          <cell r="B6855" t="str">
            <v>Feto y recién nacido afectados por procedimiento quirúrgico en la madre</v>
          </cell>
        </row>
        <row r="6856">
          <cell r="A6856" t="str">
            <v>P00.7</v>
          </cell>
          <cell r="B6856" t="str">
            <v>Feto y recién nacido afectados por otro procedimiento médico en la madre, no clasificado en otra parte</v>
          </cell>
        </row>
        <row r="6857">
          <cell r="A6857" t="str">
            <v>P00.8</v>
          </cell>
          <cell r="B6857" t="str">
            <v>Feto y recién nacido afectados por otras afecciones maternas</v>
          </cell>
        </row>
        <row r="6858">
          <cell r="A6858" t="str">
            <v>P00.9</v>
          </cell>
          <cell r="B6858" t="str">
            <v>Feto y recién nacido afectados por afección materna no especificada</v>
          </cell>
        </row>
        <row r="6859">
          <cell r="A6859" t="str">
            <v>P01</v>
          </cell>
          <cell r="B6859" t="str">
            <v>Feto y recién nacido afectados por complicaciones maternas del embarazo</v>
          </cell>
        </row>
        <row r="6860">
          <cell r="A6860" t="str">
            <v>P01.0</v>
          </cell>
          <cell r="B6860" t="str">
            <v>Feto y recién nacido afectados por incompetencia del cuello uterino</v>
          </cell>
        </row>
        <row r="6861">
          <cell r="A6861" t="str">
            <v>P01.1</v>
          </cell>
          <cell r="B6861" t="str">
            <v>Feto y recién nacido afectados por ruptura prematura de las membranas</v>
          </cell>
        </row>
        <row r="6862">
          <cell r="A6862" t="str">
            <v>P01.2</v>
          </cell>
          <cell r="B6862" t="str">
            <v>Feto y recién nacido afectados por oligohidramnios</v>
          </cell>
        </row>
        <row r="6863">
          <cell r="A6863" t="str">
            <v>P01.3</v>
          </cell>
          <cell r="B6863" t="str">
            <v>Feto y recién nacido afectados por polihidramnios</v>
          </cell>
        </row>
        <row r="6864">
          <cell r="A6864" t="str">
            <v>P01.4</v>
          </cell>
          <cell r="B6864" t="str">
            <v>Feto y recién nacido afectados por embarazo ectópico</v>
          </cell>
        </row>
        <row r="6865">
          <cell r="A6865" t="str">
            <v>P01.5</v>
          </cell>
          <cell r="B6865" t="str">
            <v>Feto y recién nacido afectados por embarazo múltiple</v>
          </cell>
        </row>
        <row r="6866">
          <cell r="A6866" t="str">
            <v>P01.6</v>
          </cell>
          <cell r="B6866" t="str">
            <v>Feto y recién nacido afectados por muerte materna</v>
          </cell>
        </row>
        <row r="6867">
          <cell r="A6867" t="str">
            <v>P01.7</v>
          </cell>
          <cell r="B6867" t="str">
            <v>Feto y recién nacido afectados por presentación anómala antes del trabajo de parto</v>
          </cell>
        </row>
        <row r="6868">
          <cell r="A6868" t="str">
            <v>P01.8</v>
          </cell>
          <cell r="B6868" t="str">
            <v>Feto y recién nacido afectados por otras complicaciones maternas del embarazo</v>
          </cell>
        </row>
        <row r="6869">
          <cell r="A6869" t="str">
            <v>P01.9</v>
          </cell>
          <cell r="B6869" t="str">
            <v>Feto y recién nacido afectados por complicaciones maternas no especificadas del embarazo</v>
          </cell>
        </row>
        <row r="6870">
          <cell r="A6870" t="str">
            <v>P02</v>
          </cell>
          <cell r="B6870" t="str">
            <v>Feto y recién nacido afectados por complicaciones de la placenta, del cordón umbilical y de las membranas</v>
          </cell>
        </row>
        <row r="6871">
          <cell r="A6871" t="str">
            <v>P02.0</v>
          </cell>
          <cell r="B6871" t="str">
            <v>Feto y recién nacido afectados por placenta previa</v>
          </cell>
        </row>
        <row r="6872">
          <cell r="A6872" t="str">
            <v>P02.1</v>
          </cell>
          <cell r="B6872" t="str">
            <v>Feto y recién nacido afectados por otras formas de desprendimiento y de hemorragia placentarios</v>
          </cell>
        </row>
        <row r="6873">
          <cell r="A6873" t="str">
            <v>P02.2</v>
          </cell>
          <cell r="B6873" t="str">
            <v>Feto y recién nacido afectados por otras anormalidades morfológicas y funcionales de la placenta y las no especificadas</v>
          </cell>
        </row>
        <row r="6874">
          <cell r="A6874" t="str">
            <v>P02.3</v>
          </cell>
          <cell r="B6874" t="str">
            <v>Feto y recién nacido afectados por síndromes de transfusión placentaria</v>
          </cell>
        </row>
        <row r="6875">
          <cell r="A6875" t="str">
            <v>P02.4</v>
          </cell>
          <cell r="B6875" t="str">
            <v>Feto y recién nacido afectados por prolapso del cordón umbilical</v>
          </cell>
        </row>
        <row r="6876">
          <cell r="A6876" t="str">
            <v>P02.5</v>
          </cell>
          <cell r="B6876" t="str">
            <v>Feto y recién nacido afectados por otra compresión del cordón umbilical</v>
          </cell>
        </row>
        <row r="6877">
          <cell r="A6877" t="str">
            <v>P02.6</v>
          </cell>
          <cell r="B6877" t="str">
            <v>Feto y recién nacido afectados por otras complicaciones del cordón umbilical y las no especificadas</v>
          </cell>
        </row>
        <row r="6878">
          <cell r="A6878" t="str">
            <v>P02.7</v>
          </cell>
          <cell r="B6878" t="str">
            <v>Feto y recién nacido afectados por corioamnionitis</v>
          </cell>
        </row>
        <row r="6879">
          <cell r="A6879" t="str">
            <v>P02.8</v>
          </cell>
          <cell r="B6879" t="str">
            <v>Feto y recién nacido afectados por otras anormalidades de las membranas</v>
          </cell>
        </row>
        <row r="6880">
          <cell r="A6880" t="str">
            <v>P02.9</v>
          </cell>
          <cell r="B6880" t="str">
            <v>Feto y recién nacido afectados por anormalidad no especificada de las membranas</v>
          </cell>
        </row>
        <row r="6881">
          <cell r="A6881" t="str">
            <v>P03</v>
          </cell>
          <cell r="B6881" t="str">
            <v>Feto y recién nacido afectados por otras complicaciones del trabajo de parto y del parto</v>
          </cell>
        </row>
        <row r="6882">
          <cell r="A6882" t="str">
            <v>P03.0</v>
          </cell>
          <cell r="B6882" t="str">
            <v>Feto y recién nacido afectados por parto y extracción de nalgas</v>
          </cell>
        </row>
        <row r="6883">
          <cell r="A6883" t="str">
            <v>P03.1</v>
          </cell>
          <cell r="B6883" t="str">
            <v>Feto y recién nacido afectados por otra presentación anómala, posición anómala y desproporción durante el trabajo de parto y el parto</v>
          </cell>
        </row>
        <row r="6884">
          <cell r="A6884" t="str">
            <v>P03.2</v>
          </cell>
          <cell r="B6884" t="str">
            <v>Feto y recién nacido afectados por parto con fórceps</v>
          </cell>
        </row>
        <row r="6885">
          <cell r="A6885" t="str">
            <v>P03.3</v>
          </cell>
          <cell r="B6885" t="str">
            <v>Feto y recién nacido afectados por parto con ventosa extractora</v>
          </cell>
        </row>
        <row r="6886">
          <cell r="A6886" t="str">
            <v>P03.4</v>
          </cell>
          <cell r="B6886" t="str">
            <v>Feto y recién nacido afectados por parto por cesárea</v>
          </cell>
        </row>
        <row r="6887">
          <cell r="A6887" t="str">
            <v>P03.5</v>
          </cell>
          <cell r="B6887" t="str">
            <v>Feto y recién nacido afectados por parto precipitado</v>
          </cell>
        </row>
        <row r="6888">
          <cell r="A6888" t="str">
            <v>P03.6</v>
          </cell>
          <cell r="B6888" t="str">
            <v>Feto y recién nacido afectados por contracciones uterinas anormales</v>
          </cell>
        </row>
        <row r="6889">
          <cell r="A6889" t="str">
            <v>P03.8</v>
          </cell>
          <cell r="B6889" t="str">
            <v>Feto y recién nacido afectados por otras complicaciones especificadas del trabajo de parto y del parto</v>
          </cell>
        </row>
        <row r="6890">
          <cell r="A6890" t="str">
            <v>P03.9</v>
          </cell>
          <cell r="B6890" t="str">
            <v>Feto y recién nacido afectados por complicaciones no especificadas del trabajo de parto y del parto</v>
          </cell>
        </row>
        <row r="6891">
          <cell r="A6891" t="str">
            <v>P04</v>
          </cell>
          <cell r="B6891" t="str">
            <v>Feto y recién nacido afectados por influencias nocivas transmitidas a través de la placenta o de la leche materna</v>
          </cell>
        </row>
        <row r="6892">
          <cell r="A6892" t="str">
            <v>P04.0</v>
          </cell>
          <cell r="B6892" t="str">
            <v>Feto y recién nacido afectados por anestesia y analgesia materna en el embarazo, en el trabajo de parto y en el parto</v>
          </cell>
        </row>
        <row r="6893">
          <cell r="A6893" t="str">
            <v>P04.1</v>
          </cell>
          <cell r="B6893" t="str">
            <v>Feto y recién nacido afectados por otras medicaciones maternas</v>
          </cell>
        </row>
        <row r="6894">
          <cell r="A6894" t="str">
            <v>P04.2</v>
          </cell>
          <cell r="B6894" t="str">
            <v>Feto y recién nacido afectados por tabaquismo de la madre</v>
          </cell>
        </row>
        <row r="6895">
          <cell r="A6895" t="str">
            <v>P04.3</v>
          </cell>
          <cell r="B6895" t="str">
            <v>Feto y recién nacido afectados por alcoholismo de la madre</v>
          </cell>
        </row>
        <row r="6896">
          <cell r="A6896" t="str">
            <v>P04.4</v>
          </cell>
          <cell r="B6896" t="str">
            <v>Feto y recién nacido afectados por drogradicción materna</v>
          </cell>
        </row>
        <row r="6897">
          <cell r="A6897" t="str">
            <v>P04.5</v>
          </cell>
          <cell r="B6897" t="str">
            <v>Feto y recién nacido afectados por el uso materno de sustancias químicas nutricionales</v>
          </cell>
        </row>
        <row r="6898">
          <cell r="A6898" t="str">
            <v>P04.6</v>
          </cell>
          <cell r="B6898" t="str">
            <v>Feto y recién nacido afectados por exposición materna a sustancias químicas ambientales</v>
          </cell>
        </row>
        <row r="6899">
          <cell r="A6899" t="str">
            <v>P04.8</v>
          </cell>
          <cell r="B6899" t="str">
            <v>Feto y recién nacido afectados por otras influencias nocivas de la madre</v>
          </cell>
        </row>
        <row r="6900">
          <cell r="A6900" t="str">
            <v>P04.9</v>
          </cell>
          <cell r="B6900" t="str">
            <v>Feto y recién nacido afectados por influencias nocivas de la madre, no especificadas</v>
          </cell>
        </row>
        <row r="6901">
          <cell r="A6901" t="str">
            <v>P05</v>
          </cell>
          <cell r="B6901" t="str">
            <v>Retardo del crecimiento fetal y desnutrición fetal</v>
          </cell>
        </row>
        <row r="6902">
          <cell r="A6902" t="str">
            <v>P05.0</v>
          </cell>
          <cell r="B6902" t="str">
            <v>Bajo peso para la edad gestacional</v>
          </cell>
        </row>
        <row r="6903">
          <cell r="A6903" t="str">
            <v>P05.1</v>
          </cell>
          <cell r="B6903" t="str">
            <v>Pequeño para la edad gestacional</v>
          </cell>
        </row>
        <row r="6904">
          <cell r="A6904" t="str">
            <v>P05.2</v>
          </cell>
          <cell r="B6904" t="str">
            <v>Desnutrición fetal, sin mención de peso o talla bajos para la edad gestacional</v>
          </cell>
        </row>
        <row r="6905">
          <cell r="A6905" t="str">
            <v>P05.9</v>
          </cell>
          <cell r="B6905" t="str">
            <v>Retardo del crecimiento fetal, no especificado</v>
          </cell>
        </row>
        <row r="6906">
          <cell r="A6906" t="str">
            <v>P07</v>
          </cell>
          <cell r="B6906" t="str">
            <v>Trastornos relacionados con duración corta de la gestación y con bajo peso al nacer, no clasificados en otra parte</v>
          </cell>
        </row>
        <row r="6907">
          <cell r="A6907" t="str">
            <v>P07.0</v>
          </cell>
          <cell r="B6907" t="str">
            <v>Peso extremadamente bajo al nacer</v>
          </cell>
        </row>
        <row r="6908">
          <cell r="A6908" t="str">
            <v>P07.1</v>
          </cell>
          <cell r="B6908" t="str">
            <v>Otro peso bajo al nacer</v>
          </cell>
        </row>
        <row r="6909">
          <cell r="A6909" t="str">
            <v>P07.2</v>
          </cell>
          <cell r="B6909" t="str">
            <v>Inmaturidad extrema</v>
          </cell>
        </row>
        <row r="6910">
          <cell r="A6910" t="str">
            <v>P07.3</v>
          </cell>
          <cell r="B6910" t="str">
            <v>Otros recién nacidos pretérmino</v>
          </cell>
        </row>
        <row r="6911">
          <cell r="A6911" t="str">
            <v>P08</v>
          </cell>
          <cell r="B6911" t="str">
            <v>Trastornos relacionados con el embarazo prolongado y con sobrepeso al nacer</v>
          </cell>
        </row>
        <row r="6912">
          <cell r="A6912" t="str">
            <v>P08.0</v>
          </cell>
          <cell r="B6912" t="str">
            <v>Recién nacido excepcionalmente grande</v>
          </cell>
        </row>
        <row r="6913">
          <cell r="A6913" t="str">
            <v>P08.1</v>
          </cell>
          <cell r="B6913" t="str">
            <v>Otros recién nacidos con sobrepeso para la edad gestacional</v>
          </cell>
        </row>
        <row r="6914">
          <cell r="A6914" t="str">
            <v>P08.2</v>
          </cell>
          <cell r="B6914" t="str">
            <v>Recién nacido postérmino sin sobrepeso para su edad gestacional</v>
          </cell>
        </row>
        <row r="6915">
          <cell r="A6915" t="str">
            <v>P10</v>
          </cell>
          <cell r="B6915" t="str">
            <v>Hemorragia y laceración intracraneal debidas a traumatismo del nacimiento</v>
          </cell>
        </row>
        <row r="6916">
          <cell r="A6916" t="str">
            <v>P10.0</v>
          </cell>
          <cell r="B6916" t="str">
            <v>Hemorragia subdural debida a traumatismo del nacimiento</v>
          </cell>
        </row>
        <row r="6917">
          <cell r="A6917" t="str">
            <v>P10.1</v>
          </cell>
          <cell r="B6917" t="str">
            <v>Hemorragia cerebral debida a traumatismo del nacimiento</v>
          </cell>
        </row>
        <row r="6918">
          <cell r="A6918" t="str">
            <v>P10.2</v>
          </cell>
          <cell r="B6918" t="str">
            <v>Hemorragia intraventricular debida a traumatismo del nacimiento</v>
          </cell>
        </row>
        <row r="6919">
          <cell r="A6919" t="str">
            <v>P10.3</v>
          </cell>
          <cell r="B6919" t="str">
            <v>Hemorragia subaracnoidea debida a traumatismo del nacimiento</v>
          </cell>
        </row>
        <row r="6920">
          <cell r="A6920" t="str">
            <v>P10.4</v>
          </cell>
          <cell r="B6920" t="str">
            <v>Desgarro tentorial debido a traumatismo del nacimiento</v>
          </cell>
        </row>
        <row r="6921">
          <cell r="A6921" t="str">
            <v>P10.8</v>
          </cell>
          <cell r="B6921" t="str">
            <v>Otras hemorragias y laceraciones intracraneales debidas a traumatismo del nacimiento</v>
          </cell>
        </row>
        <row r="6922">
          <cell r="A6922" t="str">
            <v>P10.9</v>
          </cell>
          <cell r="B6922" t="str">
            <v>Hemorragia y laceración intracraneales no especificadas, debidas a traumatismo del nacimiento</v>
          </cell>
        </row>
        <row r="6923">
          <cell r="A6923" t="str">
            <v>P11</v>
          </cell>
          <cell r="B6923" t="str">
            <v>Otros traumatismos del nacimiento en el sistema nervioso central</v>
          </cell>
        </row>
        <row r="6924">
          <cell r="A6924" t="str">
            <v>P11.0</v>
          </cell>
          <cell r="B6924" t="str">
            <v>Edema cerebral debido a traumatismo del nacimiento</v>
          </cell>
        </row>
        <row r="6925">
          <cell r="A6925" t="str">
            <v>P11.1</v>
          </cell>
          <cell r="B6925" t="str">
            <v>Otras lesiones especificadas del encéfalo, debidas a traumatismo del nacimiento</v>
          </cell>
        </row>
        <row r="6926">
          <cell r="A6926" t="str">
            <v>P11.2</v>
          </cell>
          <cell r="B6926" t="str">
            <v>Lesión no especificada del encéfalo, debida a traumatismo del nacimiento</v>
          </cell>
        </row>
        <row r="6927">
          <cell r="A6927" t="str">
            <v>P11.3</v>
          </cell>
          <cell r="B6927" t="str">
            <v>Traumatismo del nacimiento en el nervio facial</v>
          </cell>
        </row>
        <row r="6928">
          <cell r="A6928" t="str">
            <v>P11.4</v>
          </cell>
          <cell r="B6928" t="str">
            <v>Traumatismo del nacimiento en otros nervios craneales</v>
          </cell>
        </row>
        <row r="6929">
          <cell r="A6929" t="str">
            <v>P11.5</v>
          </cell>
          <cell r="B6929" t="str">
            <v>Traumatismo del nacimiento en la columna vertebral y en la médula espinal</v>
          </cell>
        </row>
        <row r="6930">
          <cell r="A6930" t="str">
            <v>P11.9</v>
          </cell>
          <cell r="B6930" t="str">
            <v>Traumatismo del nacimiento en el sistema nervioso central, no especificado</v>
          </cell>
        </row>
        <row r="6931">
          <cell r="A6931" t="str">
            <v>P12</v>
          </cell>
          <cell r="B6931" t="str">
            <v>Traumatismo del nacimiento en el cuero cabelludo</v>
          </cell>
        </row>
        <row r="6932">
          <cell r="A6932" t="str">
            <v>P12.0</v>
          </cell>
          <cell r="B6932" t="str">
            <v>Cefalohematoma debido a traumatismo del nacimiento</v>
          </cell>
        </row>
        <row r="6933">
          <cell r="A6933" t="str">
            <v>P12.1</v>
          </cell>
          <cell r="B6933" t="str">
            <v>Caput succedaneum debido a traumatismo del nacimiento</v>
          </cell>
        </row>
        <row r="6934">
          <cell r="A6934" t="str">
            <v>P12.2</v>
          </cell>
          <cell r="B6934" t="str">
            <v>Hemorragia epicraneal subaponeurótica debida a traumatismo del nacimiento</v>
          </cell>
        </row>
        <row r="6935">
          <cell r="A6935" t="str">
            <v>P12.3</v>
          </cell>
          <cell r="B6935" t="str">
            <v>Equimosis del cuero cabelludo debida a traumatismo del nacimiento</v>
          </cell>
        </row>
        <row r="6936">
          <cell r="A6936" t="str">
            <v>P12.4</v>
          </cell>
          <cell r="B6936" t="str">
            <v>Traumatismo en el cuero cabelludo del recién nacido por monitoreo fetal</v>
          </cell>
        </row>
        <row r="6937">
          <cell r="A6937" t="str">
            <v>P12.8</v>
          </cell>
          <cell r="B6937" t="str">
            <v>Otros traumatismos del nacimiento en el cuero cabelludo</v>
          </cell>
        </row>
        <row r="6938">
          <cell r="A6938" t="str">
            <v>P12.9</v>
          </cell>
          <cell r="B6938" t="str">
            <v>Traumatismo del nacimiento en el cuero cabelludo, no especificado</v>
          </cell>
        </row>
        <row r="6939">
          <cell r="A6939" t="str">
            <v>P13</v>
          </cell>
          <cell r="B6939" t="str">
            <v>Traumatismo del esqueleto durante el nacimiento</v>
          </cell>
        </row>
        <row r="6940">
          <cell r="A6940" t="str">
            <v>P13.0</v>
          </cell>
          <cell r="B6940" t="str">
            <v>Fractura del cráneo debida a traumatismo del nacimiento</v>
          </cell>
        </row>
        <row r="6941">
          <cell r="A6941" t="str">
            <v>P13.1</v>
          </cell>
          <cell r="B6941" t="str">
            <v>Otros traumatismos del cráneo durante el nacimiento</v>
          </cell>
        </row>
        <row r="6942">
          <cell r="A6942" t="str">
            <v>P13.2</v>
          </cell>
          <cell r="B6942" t="str">
            <v>Traumatismo del fémur durante el nacimiento</v>
          </cell>
        </row>
        <row r="6943">
          <cell r="A6943" t="str">
            <v>P13.3</v>
          </cell>
          <cell r="B6943" t="str">
            <v>Traumatismo de otros huesos largos durante el nacimiento</v>
          </cell>
        </row>
        <row r="6944">
          <cell r="A6944" t="str">
            <v>P13.4</v>
          </cell>
          <cell r="B6944" t="str">
            <v>Fractura de la clavícula debida a traumatismo del nacimiento</v>
          </cell>
        </row>
        <row r="6945">
          <cell r="A6945" t="str">
            <v>P13.8</v>
          </cell>
          <cell r="B6945" t="str">
            <v>Traumatismo del nacimiento en otras partes del esqueleto</v>
          </cell>
        </row>
        <row r="6946">
          <cell r="A6946" t="str">
            <v>P13.9</v>
          </cell>
          <cell r="B6946" t="str">
            <v>Traumatismo no especificado del esqueleto durante el nacimiento</v>
          </cell>
        </row>
        <row r="6947">
          <cell r="A6947" t="str">
            <v>P14</v>
          </cell>
          <cell r="B6947" t="str">
            <v>Traumatismo del sistema nervioso periférico durante el nacimiento</v>
          </cell>
        </row>
        <row r="6948">
          <cell r="A6948" t="str">
            <v>P14.0</v>
          </cell>
          <cell r="B6948" t="str">
            <v>Parálisis de Erb debida a traumatismo del nacimiento</v>
          </cell>
        </row>
        <row r="6949">
          <cell r="A6949" t="str">
            <v>P14.1</v>
          </cell>
          <cell r="B6949" t="str">
            <v>Parálisis de Klumpke debida a traumatismo del nacimiento</v>
          </cell>
        </row>
        <row r="6950">
          <cell r="A6950" t="str">
            <v>P14.2</v>
          </cell>
          <cell r="B6950" t="str">
            <v>Parálisis del nervio frénico debida a traumatismo del nacimiento</v>
          </cell>
        </row>
        <row r="6951">
          <cell r="A6951" t="str">
            <v>P14.3</v>
          </cell>
          <cell r="B6951" t="str">
            <v>Otro traumatismo del plexo braquial durante el nacimiento</v>
          </cell>
        </row>
        <row r="6952">
          <cell r="A6952" t="str">
            <v>P14.8</v>
          </cell>
          <cell r="B6952" t="str">
            <v>Traumatismo durante el nacimiento en otras partes del sistema nervioso periférico</v>
          </cell>
        </row>
        <row r="6953">
          <cell r="A6953" t="str">
            <v>P14.9</v>
          </cell>
          <cell r="B6953" t="str">
            <v>Traumatismo no especificado del sistema nervioso periférico durante el nacimiento</v>
          </cell>
        </row>
        <row r="6954">
          <cell r="A6954" t="str">
            <v>P15</v>
          </cell>
          <cell r="B6954" t="str">
            <v>Otros traumatismos del nacimiento</v>
          </cell>
        </row>
        <row r="6955">
          <cell r="A6955" t="str">
            <v>P15.0</v>
          </cell>
          <cell r="B6955" t="str">
            <v>Lesión del hígado durante el nacimiento</v>
          </cell>
        </row>
        <row r="6956">
          <cell r="A6956" t="str">
            <v>P15.1</v>
          </cell>
          <cell r="B6956" t="str">
            <v>Lesión del bazo durante el nacimiento</v>
          </cell>
        </row>
        <row r="6957">
          <cell r="A6957" t="str">
            <v>P15.2</v>
          </cell>
          <cell r="B6957" t="str">
            <v>Traumatismo del músculo esternocleidomastoideo durante el nacimiento</v>
          </cell>
        </row>
        <row r="6958">
          <cell r="A6958" t="str">
            <v>P15.3</v>
          </cell>
          <cell r="B6958" t="str">
            <v>Traumatismo ocular durante el nacimiento</v>
          </cell>
        </row>
        <row r="6959">
          <cell r="A6959" t="str">
            <v>P15.4</v>
          </cell>
          <cell r="B6959" t="str">
            <v>Traumatismo facial durante el nacimiento</v>
          </cell>
        </row>
        <row r="6960">
          <cell r="A6960" t="str">
            <v>P15.5</v>
          </cell>
          <cell r="B6960" t="str">
            <v>Traumatismo de los genitales externos durante el nacimiento</v>
          </cell>
        </row>
        <row r="6961">
          <cell r="A6961" t="str">
            <v>P15.6</v>
          </cell>
          <cell r="B6961" t="str">
            <v>Necrosis grasa subcutánea debida a traumatismo del nacimiento</v>
          </cell>
        </row>
        <row r="6962">
          <cell r="A6962" t="str">
            <v>P15.8</v>
          </cell>
          <cell r="B6962" t="str">
            <v>Otros traumatismos especificados, durante el nacimiento</v>
          </cell>
        </row>
        <row r="6963">
          <cell r="A6963" t="str">
            <v>P15.9</v>
          </cell>
          <cell r="B6963" t="str">
            <v>Traumatismo no especificado, durante el nacimiento</v>
          </cell>
        </row>
        <row r="6964">
          <cell r="A6964" t="str">
            <v>P20</v>
          </cell>
          <cell r="B6964" t="str">
            <v>Hipoxia intrauterina</v>
          </cell>
        </row>
        <row r="6965">
          <cell r="A6965" t="str">
            <v>P20.0</v>
          </cell>
          <cell r="B6965" t="str">
            <v>Hipoxia intrauterina notada por primera vez antes del inicio del trabajo de parto</v>
          </cell>
        </row>
        <row r="6966">
          <cell r="A6966" t="str">
            <v>P20.1</v>
          </cell>
          <cell r="B6966" t="str">
            <v>Hipoxia intrauterina notada por primera vez durante el trabajo de parto y el parto</v>
          </cell>
        </row>
        <row r="6967">
          <cell r="A6967" t="str">
            <v>P20.9</v>
          </cell>
          <cell r="B6967" t="str">
            <v>Hipoxia intrauterina, no especificada</v>
          </cell>
        </row>
        <row r="6968">
          <cell r="A6968" t="str">
            <v>P21</v>
          </cell>
          <cell r="B6968" t="str">
            <v>Asfixia del nacimiento</v>
          </cell>
        </row>
        <row r="6969">
          <cell r="A6969" t="str">
            <v>P21.0</v>
          </cell>
          <cell r="B6969" t="str">
            <v>Asfixia del nacimiento, severa</v>
          </cell>
        </row>
        <row r="6970">
          <cell r="A6970" t="str">
            <v>P21.1</v>
          </cell>
          <cell r="B6970" t="str">
            <v>Asfixia del nacimiento, leve y moderada</v>
          </cell>
        </row>
        <row r="6971">
          <cell r="A6971" t="str">
            <v>P21.9</v>
          </cell>
          <cell r="B6971" t="str">
            <v>Asfixia del nacimiento, no especificada</v>
          </cell>
        </row>
        <row r="6972">
          <cell r="A6972" t="str">
            <v>P22</v>
          </cell>
          <cell r="B6972" t="str">
            <v>Dificultad respiratoria del recién nacido</v>
          </cell>
        </row>
        <row r="6973">
          <cell r="A6973" t="str">
            <v>P22.0</v>
          </cell>
          <cell r="B6973" t="str">
            <v>Síndrome de dificultad respiratoria del recién nacido</v>
          </cell>
        </row>
        <row r="6974">
          <cell r="A6974" t="str">
            <v>P22.1</v>
          </cell>
          <cell r="B6974" t="str">
            <v>Taquipnea transitoria del recién nacido</v>
          </cell>
        </row>
        <row r="6975">
          <cell r="A6975" t="str">
            <v>P22.8</v>
          </cell>
          <cell r="B6975" t="str">
            <v>Otras dificultades respiratorias del recién nacido</v>
          </cell>
        </row>
        <row r="6976">
          <cell r="A6976" t="str">
            <v>P22.9</v>
          </cell>
          <cell r="B6976" t="str">
            <v>Dificultad respiratoria del recién nacido, no especificada</v>
          </cell>
        </row>
        <row r="6977">
          <cell r="A6977" t="str">
            <v>P23</v>
          </cell>
          <cell r="B6977" t="str">
            <v>Neumonía congénita</v>
          </cell>
        </row>
        <row r="6978">
          <cell r="A6978" t="str">
            <v>P23.0</v>
          </cell>
          <cell r="B6978" t="str">
            <v>Neumonía congénita debida a agente viral</v>
          </cell>
        </row>
        <row r="6979">
          <cell r="A6979" t="str">
            <v>P23.1</v>
          </cell>
          <cell r="B6979" t="str">
            <v>Neumonía congénita debida a Chlamydia</v>
          </cell>
        </row>
        <row r="6980">
          <cell r="A6980" t="str">
            <v>P23.2</v>
          </cell>
          <cell r="B6980" t="str">
            <v>Neumonía congénita debida a estafilococos</v>
          </cell>
        </row>
        <row r="6981">
          <cell r="A6981" t="str">
            <v>P23.3</v>
          </cell>
          <cell r="B6981" t="str">
            <v>Neumonía congénita debida a estreptococos del grupo B</v>
          </cell>
        </row>
        <row r="6982">
          <cell r="A6982" t="str">
            <v>P23.4</v>
          </cell>
          <cell r="B6982" t="str">
            <v>Neumonía congénita debida a Escherichia coli</v>
          </cell>
        </row>
        <row r="6983">
          <cell r="A6983" t="str">
            <v>P23.5</v>
          </cell>
          <cell r="B6983" t="str">
            <v>Neumonía congénita debida a Pseudomonas</v>
          </cell>
        </row>
        <row r="6984">
          <cell r="A6984" t="str">
            <v>P23.6</v>
          </cell>
          <cell r="B6984" t="str">
            <v>Neumonía congénita debida a otros agentes bacterianos</v>
          </cell>
        </row>
        <row r="6985">
          <cell r="A6985" t="str">
            <v>P23.8</v>
          </cell>
          <cell r="B6985" t="str">
            <v>Neumonía congénita debida a otros organismos</v>
          </cell>
        </row>
        <row r="6986">
          <cell r="A6986" t="str">
            <v>P23.9</v>
          </cell>
          <cell r="B6986" t="str">
            <v>Neumonía congénita, organismo no especificado</v>
          </cell>
        </row>
        <row r="6987">
          <cell r="A6987" t="str">
            <v>P24</v>
          </cell>
          <cell r="B6987" t="str">
            <v>Síndromes de aspiración neonatal</v>
          </cell>
        </row>
        <row r="6988">
          <cell r="A6988" t="str">
            <v>P24.0</v>
          </cell>
          <cell r="B6988" t="str">
            <v>Aspiración neonatal de meconio</v>
          </cell>
        </row>
        <row r="6989">
          <cell r="A6989" t="str">
            <v>P24.1</v>
          </cell>
          <cell r="B6989" t="str">
            <v>Aspiración neonatal de líquido amniótico y de moco</v>
          </cell>
        </row>
        <row r="6990">
          <cell r="A6990" t="str">
            <v>P24.2</v>
          </cell>
          <cell r="B6990" t="str">
            <v>Aspiración neonatal de sangre</v>
          </cell>
        </row>
        <row r="6991">
          <cell r="A6991" t="str">
            <v>P24.3</v>
          </cell>
          <cell r="B6991" t="str">
            <v>Aspiración neonatal de leche y alimento regurgitado</v>
          </cell>
        </row>
        <row r="6992">
          <cell r="A6992" t="str">
            <v>P24.8</v>
          </cell>
          <cell r="B6992" t="str">
            <v>Otros síndromes de aspiración neonatal</v>
          </cell>
        </row>
        <row r="6993">
          <cell r="A6993" t="str">
            <v>P24.9</v>
          </cell>
          <cell r="B6993" t="str">
            <v>Síndrome de aspiración neonatal, sin otra especificación</v>
          </cell>
        </row>
        <row r="6994">
          <cell r="A6994" t="str">
            <v>P25</v>
          </cell>
          <cell r="B6994" t="str">
            <v>Enfisema intersticial y afecciones relacionadas, originadas en el período perinatal</v>
          </cell>
        </row>
        <row r="6995">
          <cell r="A6995" t="str">
            <v>P25.0</v>
          </cell>
          <cell r="B6995" t="str">
            <v>Enfisema intersticial originado en el período perinatal</v>
          </cell>
        </row>
        <row r="6996">
          <cell r="A6996" t="str">
            <v>P25.1</v>
          </cell>
          <cell r="B6996" t="str">
            <v>Neumotórax originado en el período perinatal</v>
          </cell>
        </row>
        <row r="6997">
          <cell r="A6997" t="str">
            <v>P25.2</v>
          </cell>
          <cell r="B6997" t="str">
            <v>Neumomediastino originado en el período perinatal</v>
          </cell>
        </row>
        <row r="6998">
          <cell r="A6998" t="str">
            <v>P25.3</v>
          </cell>
          <cell r="B6998" t="str">
            <v>Neumopericardio originado en el período perinatal</v>
          </cell>
        </row>
        <row r="6999">
          <cell r="A6999" t="str">
            <v>P25.8</v>
          </cell>
          <cell r="B6999" t="str">
            <v>Otras afecciones relacionadas con el enfisema intersticial, originadas en el período perinatal</v>
          </cell>
        </row>
        <row r="7000">
          <cell r="A7000" t="str">
            <v>P26</v>
          </cell>
          <cell r="B7000" t="str">
            <v>Hemorragia pulmonar originada en el período perinatal</v>
          </cell>
        </row>
        <row r="7001">
          <cell r="A7001" t="str">
            <v>P26.0</v>
          </cell>
          <cell r="B7001" t="str">
            <v>Hemorragia traqueobronquial originada en el período perinatal</v>
          </cell>
        </row>
        <row r="7002">
          <cell r="A7002" t="str">
            <v>P26.1</v>
          </cell>
          <cell r="B7002" t="str">
            <v>Hemorragia pulmonar masiva originada en el período perinatal</v>
          </cell>
        </row>
        <row r="7003">
          <cell r="A7003" t="str">
            <v>P26.8</v>
          </cell>
          <cell r="B7003" t="str">
            <v>Otras hemorragias pulmonares originadas en el período perinatal</v>
          </cell>
        </row>
        <row r="7004">
          <cell r="A7004" t="str">
            <v>P26.9</v>
          </cell>
          <cell r="B7004" t="str">
            <v>Hemorragia pulmonar no especificada, originada en el período perinatal</v>
          </cell>
        </row>
        <row r="7005">
          <cell r="A7005" t="str">
            <v>P27</v>
          </cell>
          <cell r="B7005" t="str">
            <v>Enfermedad respiratoria crónica originada en el período perinatal</v>
          </cell>
        </row>
        <row r="7006">
          <cell r="A7006" t="str">
            <v>P27.0</v>
          </cell>
          <cell r="B7006" t="str">
            <v>Síndrome de Wilson-Mikity</v>
          </cell>
        </row>
        <row r="7007">
          <cell r="A7007" t="str">
            <v>P27.1</v>
          </cell>
          <cell r="B7007" t="str">
            <v>Displasia broncopulmonar originada en el período perinatal</v>
          </cell>
        </row>
        <row r="7008">
          <cell r="A7008" t="str">
            <v>P27.8</v>
          </cell>
          <cell r="B7008" t="str">
            <v>Otras enfermedades respiratorias crónicas originadas en el período perinatal</v>
          </cell>
        </row>
        <row r="7009">
          <cell r="A7009" t="str">
            <v>P27.9</v>
          </cell>
          <cell r="B7009" t="str">
            <v>Enfermedad respiratoria crónica no especificada originada en el período perinatal</v>
          </cell>
        </row>
        <row r="7010">
          <cell r="A7010" t="str">
            <v>P28</v>
          </cell>
          <cell r="B7010" t="str">
            <v>Otros problemas respiratorios del recién nacido, originados en el período perinatal</v>
          </cell>
        </row>
        <row r="7011">
          <cell r="A7011" t="str">
            <v>P28.0</v>
          </cell>
          <cell r="B7011" t="str">
            <v>Atelectasia primaria del recién nacido</v>
          </cell>
        </row>
        <row r="7012">
          <cell r="A7012" t="str">
            <v>P28.1</v>
          </cell>
          <cell r="B7012" t="str">
            <v>Otras atelectasias del recién nacido y las no especificadas</v>
          </cell>
        </row>
        <row r="7013">
          <cell r="A7013" t="str">
            <v>P28.2</v>
          </cell>
          <cell r="B7013" t="str">
            <v>Ataque ciánotico del recién nacido</v>
          </cell>
        </row>
        <row r="7014">
          <cell r="A7014" t="str">
            <v>P28.3</v>
          </cell>
          <cell r="B7014" t="str">
            <v>Apnea primaria del sueño del recién nacido</v>
          </cell>
        </row>
        <row r="7015">
          <cell r="A7015" t="str">
            <v>P28.4</v>
          </cell>
          <cell r="B7015" t="str">
            <v>Otras apneas del recién nacido</v>
          </cell>
        </row>
        <row r="7016">
          <cell r="A7016" t="str">
            <v>P28.5</v>
          </cell>
          <cell r="B7016" t="str">
            <v>Insuficiencia respiratoria del recién nacido</v>
          </cell>
        </row>
        <row r="7017">
          <cell r="A7017" t="str">
            <v>P28.8</v>
          </cell>
          <cell r="B7017" t="str">
            <v>Otros problemas respiratorios especificados del recién nacido</v>
          </cell>
        </row>
        <row r="7018">
          <cell r="A7018" t="str">
            <v>P28.9</v>
          </cell>
          <cell r="B7018" t="str">
            <v>Afección respiratoria no especificada del recién nacido</v>
          </cell>
        </row>
        <row r="7019">
          <cell r="A7019" t="str">
            <v>P29</v>
          </cell>
          <cell r="B7019" t="str">
            <v>Trastornos cardiovasculares originados en el período perinatal</v>
          </cell>
        </row>
        <row r="7020">
          <cell r="A7020" t="str">
            <v>P29.0</v>
          </cell>
          <cell r="B7020" t="str">
            <v>Insuficiencia cardíaca neonatal</v>
          </cell>
        </row>
        <row r="7021">
          <cell r="A7021" t="str">
            <v>P29.1</v>
          </cell>
          <cell r="B7021" t="str">
            <v>Disritmia cardíaca neonatal</v>
          </cell>
        </row>
        <row r="7022">
          <cell r="A7022" t="str">
            <v>P29.2</v>
          </cell>
          <cell r="B7022" t="str">
            <v>Hipertensión neonatal</v>
          </cell>
        </row>
        <row r="7023">
          <cell r="A7023" t="str">
            <v>P29.3</v>
          </cell>
          <cell r="B7023" t="str">
            <v>Persistencia de la circulación fetal</v>
          </cell>
        </row>
        <row r="7024">
          <cell r="A7024" t="str">
            <v>P29.4</v>
          </cell>
          <cell r="B7024" t="str">
            <v>Isquemia miocárdica transitoria del recién nacido</v>
          </cell>
        </row>
        <row r="7025">
          <cell r="A7025" t="str">
            <v>P29.8</v>
          </cell>
          <cell r="B7025" t="str">
            <v>Otros trastornos cardiovasculares originados en el período perinatal</v>
          </cell>
        </row>
        <row r="7026">
          <cell r="A7026" t="str">
            <v>P29.9</v>
          </cell>
          <cell r="B7026" t="str">
            <v>Trastorno cardiovascular no especificado, originado en el período perinatal</v>
          </cell>
        </row>
        <row r="7027">
          <cell r="A7027" t="str">
            <v>P35</v>
          </cell>
          <cell r="B7027" t="str">
            <v>Enfermedades virales congénitas</v>
          </cell>
        </row>
        <row r="7028">
          <cell r="A7028" t="str">
            <v>P35.0</v>
          </cell>
          <cell r="B7028" t="str">
            <v>Síndrome de rubéola congénita</v>
          </cell>
        </row>
        <row r="7029">
          <cell r="A7029" t="str">
            <v>P35.1</v>
          </cell>
          <cell r="B7029" t="str">
            <v>Infección citomegalovírica congénita</v>
          </cell>
        </row>
        <row r="7030">
          <cell r="A7030" t="str">
            <v>P35.2</v>
          </cell>
          <cell r="B7030" t="str">
            <v>Infecciones congénitas por virus del herpes simple</v>
          </cell>
        </row>
        <row r="7031">
          <cell r="A7031" t="str">
            <v>P35.3</v>
          </cell>
          <cell r="B7031" t="str">
            <v>Hepatitis viral congénita</v>
          </cell>
        </row>
        <row r="7032">
          <cell r="A7032" t="str">
            <v>P35.8</v>
          </cell>
          <cell r="B7032" t="str">
            <v>Otras enfermedades virales congénitas</v>
          </cell>
        </row>
        <row r="7033">
          <cell r="A7033" t="str">
            <v>P35.9</v>
          </cell>
          <cell r="B7033" t="str">
            <v>Enfermedad viral congénita, sin otra especificación</v>
          </cell>
        </row>
        <row r="7034">
          <cell r="A7034" t="str">
            <v>P36</v>
          </cell>
          <cell r="B7034" t="str">
            <v>Sepsis bacteriana del recién nacido</v>
          </cell>
        </row>
        <row r="7035">
          <cell r="A7035" t="str">
            <v>P36.0</v>
          </cell>
          <cell r="B7035" t="str">
            <v>Sepsis del recién nacido debida a estreptococo del grupo B</v>
          </cell>
        </row>
        <row r="7036">
          <cell r="A7036" t="str">
            <v>P36.1</v>
          </cell>
          <cell r="B7036" t="str">
            <v>Sepsis del recién nacido debida a otros estreptococos y a los no especificados</v>
          </cell>
        </row>
        <row r="7037">
          <cell r="A7037" t="str">
            <v>P36.2</v>
          </cell>
          <cell r="B7037" t="str">
            <v>Sepsis del recién nacido debida a Staphylococcus aureus</v>
          </cell>
        </row>
        <row r="7038">
          <cell r="A7038" t="str">
            <v>P36.3</v>
          </cell>
          <cell r="B7038" t="str">
            <v>Sepsis del recién nacido debida a otros estafilococos y a los no especificados</v>
          </cell>
        </row>
        <row r="7039">
          <cell r="A7039" t="str">
            <v>P36.4</v>
          </cell>
          <cell r="B7039" t="str">
            <v>Sepsis del recién nacido debida a Escherichia coli</v>
          </cell>
        </row>
        <row r="7040">
          <cell r="A7040" t="str">
            <v>P36.5</v>
          </cell>
          <cell r="B7040" t="str">
            <v>Sepsis del recién nacido debida a anaerobios</v>
          </cell>
        </row>
        <row r="7041">
          <cell r="A7041" t="str">
            <v>P36.8</v>
          </cell>
          <cell r="B7041" t="str">
            <v>Sepsis del recién nacido debida a otras bacterias</v>
          </cell>
        </row>
        <row r="7042">
          <cell r="A7042" t="str">
            <v>P36.9</v>
          </cell>
          <cell r="B7042" t="str">
            <v>Sepsis bacteriana del recién nacido, no especificada</v>
          </cell>
        </row>
        <row r="7043">
          <cell r="A7043" t="str">
            <v>P37</v>
          </cell>
          <cell r="B7043" t="str">
            <v>Otras enfermedades infecciosas y parasitarias congénitas</v>
          </cell>
        </row>
        <row r="7044">
          <cell r="A7044" t="str">
            <v>P37.0</v>
          </cell>
          <cell r="B7044" t="str">
            <v>Tuberculosis congénita</v>
          </cell>
        </row>
        <row r="7045">
          <cell r="A7045" t="str">
            <v>P37.1</v>
          </cell>
          <cell r="B7045" t="str">
            <v>Toxoplasmosis congénita</v>
          </cell>
        </row>
        <row r="7046">
          <cell r="A7046" t="str">
            <v>P37.2</v>
          </cell>
          <cell r="B7046" t="str">
            <v>Listeriosis congénita (diseminada)</v>
          </cell>
        </row>
        <row r="7047">
          <cell r="A7047" t="str">
            <v>P37.3</v>
          </cell>
          <cell r="B7047" t="str">
            <v>Paludismo congénito por Plasmodium falciparum</v>
          </cell>
        </row>
        <row r="7048">
          <cell r="A7048" t="str">
            <v>P37.4</v>
          </cell>
          <cell r="B7048" t="str">
            <v>Otros paludismos congénitos</v>
          </cell>
        </row>
        <row r="7049">
          <cell r="A7049" t="str">
            <v>P37.5</v>
          </cell>
          <cell r="B7049" t="str">
            <v>Candidiasis neonatal</v>
          </cell>
        </row>
        <row r="7050">
          <cell r="A7050" t="str">
            <v>P37.8</v>
          </cell>
          <cell r="B7050" t="str">
            <v>Otras enfermedades neonatales infecciosas o parasitarias especificadas</v>
          </cell>
        </row>
        <row r="7051">
          <cell r="A7051" t="str">
            <v>P37.9</v>
          </cell>
          <cell r="B7051" t="str">
            <v>Enfermedad infecciosa y parasitaria congénita, no especificada</v>
          </cell>
        </row>
        <row r="7052">
          <cell r="A7052" t="str">
            <v>P38.X</v>
          </cell>
          <cell r="B7052" t="str">
            <v>Onfalitis del recién nacido con o sin hemorragia leve</v>
          </cell>
        </row>
        <row r="7053">
          <cell r="A7053" t="str">
            <v>P39</v>
          </cell>
          <cell r="B7053" t="str">
            <v>Otras infecciones específicas del período perinatal</v>
          </cell>
        </row>
        <row r="7054">
          <cell r="A7054" t="str">
            <v>P39.0</v>
          </cell>
          <cell r="B7054" t="str">
            <v>Mastitis infecciosa neonatal</v>
          </cell>
        </row>
        <row r="7055">
          <cell r="A7055" t="str">
            <v>P39.1</v>
          </cell>
          <cell r="B7055" t="str">
            <v>Conjuntivitis y dacriocistitis neonatales</v>
          </cell>
        </row>
        <row r="7056">
          <cell r="A7056" t="str">
            <v>P39.2</v>
          </cell>
          <cell r="B7056" t="str">
            <v>Infección intraamniótica del feto, no clasificada en otra parte</v>
          </cell>
        </row>
        <row r="7057">
          <cell r="A7057" t="str">
            <v>P39.3</v>
          </cell>
          <cell r="B7057" t="str">
            <v>Infección neonatal de las vías urinarias</v>
          </cell>
        </row>
        <row r="7058">
          <cell r="A7058" t="str">
            <v>P39.4</v>
          </cell>
          <cell r="B7058" t="str">
            <v>Infección cutánea neonatal</v>
          </cell>
        </row>
        <row r="7059">
          <cell r="A7059" t="str">
            <v>P39.8</v>
          </cell>
          <cell r="B7059" t="str">
            <v>Otras infecciones especificadas propias del período perinatal</v>
          </cell>
        </row>
        <row r="7060">
          <cell r="A7060" t="str">
            <v>P39.9</v>
          </cell>
          <cell r="B7060" t="str">
            <v>Infección propia del período perinatal, no especificada</v>
          </cell>
        </row>
        <row r="7061">
          <cell r="A7061" t="str">
            <v>P50</v>
          </cell>
          <cell r="B7061" t="str">
            <v>Pérdida de sangre fetal</v>
          </cell>
        </row>
        <row r="7062">
          <cell r="A7062" t="str">
            <v>P50.0</v>
          </cell>
          <cell r="B7062" t="str">
            <v>Pérdida de sangre fetal por vasa previa</v>
          </cell>
        </row>
        <row r="7063">
          <cell r="A7063" t="str">
            <v>P50.1</v>
          </cell>
          <cell r="B7063" t="str">
            <v>Pérdida de sangre fetal por ruptura del cordón umbilical</v>
          </cell>
        </row>
        <row r="7064">
          <cell r="A7064" t="str">
            <v>P50.2</v>
          </cell>
          <cell r="B7064" t="str">
            <v>Pérdida de sangre fetal por la placenta</v>
          </cell>
        </row>
        <row r="7065">
          <cell r="A7065" t="str">
            <v>P50.3</v>
          </cell>
          <cell r="B7065" t="str">
            <v>Hemorragia fetal hacia el otro gemelo</v>
          </cell>
        </row>
        <row r="7066">
          <cell r="A7066" t="str">
            <v>P50.4</v>
          </cell>
          <cell r="B7066" t="str">
            <v>Hemorragia fetal hacia la circulación materna</v>
          </cell>
        </row>
        <row r="7067">
          <cell r="A7067" t="str">
            <v>P50.5</v>
          </cell>
          <cell r="B7067" t="str">
            <v>Pérdida de sangre fetal por el corte del cordón umbilical en el otro gemelo</v>
          </cell>
        </row>
        <row r="7068">
          <cell r="A7068" t="str">
            <v>P50.8</v>
          </cell>
          <cell r="B7068" t="str">
            <v>Otras pérdidas de sangre fetal</v>
          </cell>
        </row>
        <row r="7069">
          <cell r="A7069" t="str">
            <v>P50.9</v>
          </cell>
          <cell r="B7069" t="str">
            <v>Pérdida de sangre fetal, no especificada</v>
          </cell>
        </row>
        <row r="7070">
          <cell r="A7070" t="str">
            <v>P51</v>
          </cell>
          <cell r="B7070" t="str">
            <v>Hemorragia umbilical del recién nacido</v>
          </cell>
        </row>
        <row r="7071">
          <cell r="A7071" t="str">
            <v>P51.0</v>
          </cell>
          <cell r="B7071" t="str">
            <v>Hemorragia umbilical masiva del recién nacido</v>
          </cell>
        </row>
        <row r="7072">
          <cell r="A7072" t="str">
            <v>P51.8</v>
          </cell>
          <cell r="B7072" t="str">
            <v>Otras hemorragias umbilicales del recién nacido</v>
          </cell>
        </row>
        <row r="7073">
          <cell r="A7073" t="str">
            <v>P51.9</v>
          </cell>
          <cell r="B7073" t="str">
            <v>Hemorragia umbilical del recién nacido, sin otra especificación</v>
          </cell>
        </row>
        <row r="7074">
          <cell r="A7074" t="str">
            <v>P52</v>
          </cell>
          <cell r="B7074" t="str">
            <v>Hemorragia intracraneal no traumática del feto y del recién nacido</v>
          </cell>
        </row>
        <row r="7075">
          <cell r="A7075" t="str">
            <v>P52.0</v>
          </cell>
          <cell r="B7075" t="str">
            <v>Hemorragia intraventricular (no traumática) grado 1, del feto y del recién nacido</v>
          </cell>
        </row>
        <row r="7076">
          <cell r="A7076" t="str">
            <v>P52.1</v>
          </cell>
          <cell r="B7076" t="str">
            <v>Hemorragia intraventricular (no traumática) grado 2, del feto y del recién nacido</v>
          </cell>
        </row>
        <row r="7077">
          <cell r="A7077" t="str">
            <v>P52.2</v>
          </cell>
          <cell r="B7077" t="str">
            <v>Hemorragia intraventricular (no traumática) grado 3, del feto y del recién nacido</v>
          </cell>
        </row>
        <row r="7078">
          <cell r="A7078" t="str">
            <v>P52.3</v>
          </cell>
          <cell r="B7078" t="str">
            <v>Hemorragia intraventricular (no traumática) del feto y del recién nacido, sin otra especificación</v>
          </cell>
        </row>
        <row r="7079">
          <cell r="A7079" t="str">
            <v>P52.4</v>
          </cell>
          <cell r="B7079" t="str">
            <v>Hemorragia intracerebral (no traumática) del feto y del recién nacido</v>
          </cell>
        </row>
        <row r="7080">
          <cell r="A7080" t="str">
            <v>P52.5</v>
          </cell>
          <cell r="B7080" t="str">
            <v>Hemorragia subaracnoidea (no traumática) del feto y del recién nacido</v>
          </cell>
        </row>
        <row r="7081">
          <cell r="A7081" t="str">
            <v>P52.6</v>
          </cell>
          <cell r="B7081" t="str">
            <v>Hemorragia cerebelosa y de la fosa posterior (no traumática) del feto y del recién nacido</v>
          </cell>
        </row>
        <row r="7082">
          <cell r="A7082" t="str">
            <v>P52.8</v>
          </cell>
          <cell r="B7082" t="str">
            <v>Otras hemorragias intracraneales (no traumáticas) del feto y del recién nacido</v>
          </cell>
        </row>
        <row r="7083">
          <cell r="A7083" t="str">
            <v>P52.9</v>
          </cell>
          <cell r="B7083" t="str">
            <v>Hemorragia intracraneal (no traumática) del feto y del recién nacido, sin otra especificación</v>
          </cell>
        </row>
        <row r="7084">
          <cell r="A7084" t="str">
            <v>P53.X</v>
          </cell>
          <cell r="B7084" t="str">
            <v>Enfermedad hemorrágica del feto y del recién nacido</v>
          </cell>
        </row>
        <row r="7085">
          <cell r="A7085" t="str">
            <v>P54</v>
          </cell>
          <cell r="B7085" t="str">
            <v>Otras hemorragias neonatales</v>
          </cell>
        </row>
        <row r="7086">
          <cell r="A7086" t="str">
            <v>P54.0</v>
          </cell>
          <cell r="B7086" t="str">
            <v>Hematemesis neonatal</v>
          </cell>
        </row>
        <row r="7087">
          <cell r="A7087" t="str">
            <v>P54.1</v>
          </cell>
          <cell r="B7087" t="str">
            <v>Melena neonatal</v>
          </cell>
        </row>
        <row r="7088">
          <cell r="A7088" t="str">
            <v>P54.2</v>
          </cell>
          <cell r="B7088" t="str">
            <v>Hemorragia rectal neonatal</v>
          </cell>
        </row>
        <row r="7089">
          <cell r="A7089" t="str">
            <v>P54.3</v>
          </cell>
          <cell r="B7089" t="str">
            <v>Otras hemorragias gastrointestinales neonatales</v>
          </cell>
        </row>
        <row r="7090">
          <cell r="A7090" t="str">
            <v>P54.4</v>
          </cell>
          <cell r="B7090" t="str">
            <v>Hemorragia suprarrenal neonatal</v>
          </cell>
        </row>
        <row r="7091">
          <cell r="A7091" t="str">
            <v>P54.5</v>
          </cell>
          <cell r="B7091" t="str">
            <v>Hemorragia cutánea neonatal</v>
          </cell>
        </row>
        <row r="7092">
          <cell r="A7092" t="str">
            <v>P54.6</v>
          </cell>
          <cell r="B7092" t="str">
            <v>Hemorragia vaginal neonatal</v>
          </cell>
        </row>
        <row r="7093">
          <cell r="A7093" t="str">
            <v>P54.8</v>
          </cell>
          <cell r="B7093" t="str">
            <v>Otras hemorragias fetales y neonatales especificadas</v>
          </cell>
        </row>
        <row r="7094">
          <cell r="A7094" t="str">
            <v>P54.9</v>
          </cell>
          <cell r="B7094" t="str">
            <v>Hemorragia fetal y neonatal, no especificada</v>
          </cell>
        </row>
        <row r="7095">
          <cell r="A7095" t="str">
            <v>P55</v>
          </cell>
          <cell r="B7095" t="str">
            <v>Enfermedad hemolítica del feto y del recién nacido</v>
          </cell>
        </row>
        <row r="7096">
          <cell r="A7096" t="str">
            <v>P55.0</v>
          </cell>
          <cell r="B7096" t="str">
            <v>Incompatibilidad Rh del feto y del recién nacido</v>
          </cell>
        </row>
        <row r="7097">
          <cell r="A7097" t="str">
            <v>P55.1</v>
          </cell>
          <cell r="B7097" t="str">
            <v>Incompatibilidad ABO del feto y del recién nacido</v>
          </cell>
        </row>
        <row r="7098">
          <cell r="A7098" t="str">
            <v>P55.8</v>
          </cell>
          <cell r="B7098" t="str">
            <v>Otras enfermedades hemolíticas del feto y del recién nacido</v>
          </cell>
        </row>
        <row r="7099">
          <cell r="A7099" t="str">
            <v>P55.9</v>
          </cell>
          <cell r="B7099" t="str">
            <v>Enfermedad hemolítica del feto y del recién nacido, no especificada</v>
          </cell>
        </row>
        <row r="7100">
          <cell r="A7100" t="str">
            <v>P56</v>
          </cell>
          <cell r="B7100" t="str">
            <v>Hidropesía fetal debida a enfermedad hemolítica</v>
          </cell>
        </row>
        <row r="7101">
          <cell r="A7101" t="str">
            <v>P56.0</v>
          </cell>
          <cell r="B7101" t="str">
            <v>Hidropesía fetal debida a incompatibilidad</v>
          </cell>
        </row>
        <row r="7102">
          <cell r="A7102" t="str">
            <v>P56.9</v>
          </cell>
          <cell r="B7102" t="str">
            <v>Hidropesía fetal debida a otras enfermedades hemolíticas especificadas y a las no especificadas</v>
          </cell>
        </row>
        <row r="7103">
          <cell r="A7103" t="str">
            <v>P57</v>
          </cell>
          <cell r="B7103" t="str">
            <v>Kernicterus</v>
          </cell>
        </row>
        <row r="7104">
          <cell r="A7104" t="str">
            <v>P57.0</v>
          </cell>
          <cell r="B7104" t="str">
            <v>Kernicterus debido a incompatibilidad</v>
          </cell>
        </row>
        <row r="7105">
          <cell r="A7105" t="str">
            <v>P57.8</v>
          </cell>
          <cell r="B7105" t="str">
            <v>Kernicterus debido a otras causas especificadas</v>
          </cell>
        </row>
        <row r="7106">
          <cell r="A7106" t="str">
            <v>P57.9</v>
          </cell>
          <cell r="B7106" t="str">
            <v>Kernicterus, no especificado</v>
          </cell>
        </row>
        <row r="7107">
          <cell r="A7107" t="str">
            <v>P58</v>
          </cell>
          <cell r="B7107" t="str">
            <v>Ictericia neonatal debida a otras hemólisis excesivas</v>
          </cell>
        </row>
        <row r="7108">
          <cell r="A7108" t="str">
            <v>P58.0</v>
          </cell>
          <cell r="B7108" t="str">
            <v>Ictericia neonatal debida a contusión</v>
          </cell>
        </row>
        <row r="7109">
          <cell r="A7109" t="str">
            <v>P58.1</v>
          </cell>
          <cell r="B7109" t="str">
            <v>Ictericia neonatal debida a hemorragia</v>
          </cell>
        </row>
        <row r="7110">
          <cell r="A7110" t="str">
            <v>P58.2</v>
          </cell>
          <cell r="B7110" t="str">
            <v>Ictericia neonatal debida a infección</v>
          </cell>
        </row>
        <row r="7111">
          <cell r="A7111" t="str">
            <v>P58.3</v>
          </cell>
          <cell r="B7111" t="str">
            <v>Ictericia neonatal debida a policitemia</v>
          </cell>
        </row>
        <row r="7112">
          <cell r="A7112" t="str">
            <v>P58.4</v>
          </cell>
          <cell r="B7112" t="str">
            <v>Ictericia neonatal debida a drogas o toxinas transmitidas por la madre o administradas al recién nacido</v>
          </cell>
        </row>
        <row r="7113">
          <cell r="A7113" t="str">
            <v>P58.5</v>
          </cell>
          <cell r="B7113" t="str">
            <v>Ictericia neonatal debida a deglución de sangre materna</v>
          </cell>
        </row>
        <row r="7114">
          <cell r="A7114" t="str">
            <v>P58.8</v>
          </cell>
          <cell r="B7114" t="str">
            <v>Ictericia neonatal debida a otras hemólisis excesivas especificadas</v>
          </cell>
        </row>
        <row r="7115">
          <cell r="A7115" t="str">
            <v>P58.9</v>
          </cell>
          <cell r="B7115" t="str">
            <v>Ictericia neonatal debida a hemólisis excesiva, sin otra especificación</v>
          </cell>
        </row>
        <row r="7116">
          <cell r="A7116" t="str">
            <v>P59</v>
          </cell>
          <cell r="B7116" t="str">
            <v>Ictericia neonatal por otras causas y por las no especificadas</v>
          </cell>
        </row>
        <row r="7117">
          <cell r="A7117" t="str">
            <v>P59.0</v>
          </cell>
          <cell r="B7117" t="str">
            <v>Ictericia neonatal asociada con el parto antes de término</v>
          </cell>
        </row>
        <row r="7118">
          <cell r="A7118" t="str">
            <v>P59.1</v>
          </cell>
          <cell r="B7118" t="str">
            <v>Síndrome de la bilis espesa</v>
          </cell>
        </row>
        <row r="7119">
          <cell r="A7119" t="str">
            <v>P59.2</v>
          </cell>
          <cell r="B7119" t="str">
            <v>Ictericia neonatal debida a otra lesión hepática especificada o no</v>
          </cell>
        </row>
        <row r="7120">
          <cell r="A7120" t="str">
            <v>P59.3</v>
          </cell>
          <cell r="B7120" t="str">
            <v>Ictericia neonatal por inhibidor de la leche materna</v>
          </cell>
        </row>
        <row r="7121">
          <cell r="A7121" t="str">
            <v>P59.8</v>
          </cell>
          <cell r="B7121" t="str">
            <v>Ictericia neonatal por otras causas especificadas</v>
          </cell>
        </row>
        <row r="7122">
          <cell r="A7122" t="str">
            <v>P59.9</v>
          </cell>
          <cell r="B7122" t="str">
            <v>Ictericia neonatal, no especificada</v>
          </cell>
        </row>
        <row r="7123">
          <cell r="A7123" t="str">
            <v>P60.X</v>
          </cell>
          <cell r="B7123" t="str">
            <v>Coagulación intravascular diseminada en el feto y el recién nacido</v>
          </cell>
        </row>
        <row r="7124">
          <cell r="A7124" t="str">
            <v>P61</v>
          </cell>
          <cell r="B7124" t="str">
            <v>Otros trastornos hematológicos perinatales</v>
          </cell>
        </row>
        <row r="7125">
          <cell r="A7125" t="str">
            <v>P61.0</v>
          </cell>
          <cell r="B7125" t="str">
            <v>Trombocitopenia neonatal transitoria</v>
          </cell>
        </row>
        <row r="7126">
          <cell r="A7126" t="str">
            <v>P61.1</v>
          </cell>
          <cell r="B7126" t="str">
            <v>Policitemia neonatal</v>
          </cell>
        </row>
        <row r="7127">
          <cell r="A7127" t="str">
            <v>P61.2</v>
          </cell>
          <cell r="B7127" t="str">
            <v>Anemia de la prematuridad</v>
          </cell>
        </row>
        <row r="7128">
          <cell r="A7128" t="str">
            <v>P61.3</v>
          </cell>
          <cell r="B7128" t="str">
            <v>Anemia congénita debida a pérdida de sangre fetal</v>
          </cell>
        </row>
        <row r="7129">
          <cell r="A7129" t="str">
            <v>P61.4</v>
          </cell>
          <cell r="B7129" t="str">
            <v>Otras anemias congénitas, no clasificadas en otra parte</v>
          </cell>
        </row>
        <row r="7130">
          <cell r="A7130" t="str">
            <v>P61.5</v>
          </cell>
          <cell r="B7130" t="str">
            <v>Neutropenia neonatal transitoria</v>
          </cell>
        </row>
        <row r="7131">
          <cell r="A7131" t="str">
            <v>P61.6</v>
          </cell>
          <cell r="B7131" t="str">
            <v>Otros trastornos neonatales transitorios de la coagulación</v>
          </cell>
        </row>
        <row r="7132">
          <cell r="A7132" t="str">
            <v>P61.8</v>
          </cell>
          <cell r="B7132" t="str">
            <v>Otros trastornos hematológicos perinatales especificados</v>
          </cell>
        </row>
        <row r="7133">
          <cell r="A7133" t="str">
            <v>P61.9</v>
          </cell>
          <cell r="B7133" t="str">
            <v>Trastorno hematólogico perinatal, no especificado</v>
          </cell>
        </row>
        <row r="7134">
          <cell r="A7134" t="str">
            <v>P70</v>
          </cell>
          <cell r="B7134" t="str">
            <v>Trastornos transitorios del metabolismo de los carbohidratos específicos del feto y del recién nacido</v>
          </cell>
        </row>
        <row r="7135">
          <cell r="A7135" t="str">
            <v>P70.0</v>
          </cell>
          <cell r="B7135" t="str">
            <v>Síndrome del recién nacido de madre con diabetes gestacional</v>
          </cell>
        </row>
        <row r="7136">
          <cell r="A7136" t="str">
            <v>P70.1</v>
          </cell>
          <cell r="B7136" t="str">
            <v>Síndrome del recién nacido de madre diabética</v>
          </cell>
        </row>
        <row r="7137">
          <cell r="A7137" t="str">
            <v>P70.2</v>
          </cell>
          <cell r="B7137" t="str">
            <v>Diabetes mellitus neonatal</v>
          </cell>
        </row>
        <row r="7138">
          <cell r="A7138" t="str">
            <v>P70.3</v>
          </cell>
          <cell r="B7138" t="str">
            <v>Hipoglicemia neonatal yatrogénica</v>
          </cell>
        </row>
        <row r="7139">
          <cell r="A7139" t="str">
            <v>P70.4</v>
          </cell>
          <cell r="B7139" t="str">
            <v>Otras hipoglicemias neonatales</v>
          </cell>
        </row>
        <row r="7140">
          <cell r="A7140" t="str">
            <v>P70.8</v>
          </cell>
          <cell r="B7140" t="str">
            <v>Otros trastornos transitorios del metabolismo de los carbohidratos en el feto y el recién nacido</v>
          </cell>
        </row>
        <row r="7141">
          <cell r="A7141" t="str">
            <v>P70.9</v>
          </cell>
          <cell r="B7141" t="str">
            <v>Trastorno transitorio no especificado del metabolismo de los carbohidratos en el feto y el recién nacido</v>
          </cell>
        </row>
        <row r="7142">
          <cell r="A7142" t="str">
            <v>P71</v>
          </cell>
          <cell r="B7142" t="str">
            <v>Trastornos neonatales transitorios del metabolismo del calcio y del magnesio</v>
          </cell>
        </row>
        <row r="7143">
          <cell r="A7143" t="str">
            <v>P71.0</v>
          </cell>
          <cell r="B7143" t="str">
            <v>Hipocalcemia del recién nacido debida a la leche de vaca</v>
          </cell>
        </row>
        <row r="7144">
          <cell r="A7144" t="str">
            <v>P71.1</v>
          </cell>
          <cell r="B7144" t="str">
            <v>Otra hipocalcemia neonatal</v>
          </cell>
        </row>
        <row r="7145">
          <cell r="A7145" t="str">
            <v>P71.2</v>
          </cell>
          <cell r="B7145" t="str">
            <v>Hipomagnesemia neonatal</v>
          </cell>
        </row>
        <row r="7146">
          <cell r="A7146" t="str">
            <v>P71.3</v>
          </cell>
          <cell r="B7146" t="str">
            <v>Tetania neonatal sin mención de deficiencia de calcio o de magnesio</v>
          </cell>
        </row>
        <row r="7147">
          <cell r="A7147" t="str">
            <v>P71.4</v>
          </cell>
          <cell r="B7147" t="str">
            <v>Hipoparatiroidismo neonatal transitorio</v>
          </cell>
        </row>
        <row r="7148">
          <cell r="A7148" t="str">
            <v>P71.8</v>
          </cell>
          <cell r="B7148" t="str">
            <v>Otros trastornos neonatales transitorios del metabolismo del calcio y del magnesio</v>
          </cell>
        </row>
        <row r="7149">
          <cell r="A7149" t="str">
            <v>P71.9</v>
          </cell>
          <cell r="B7149" t="str">
            <v>Trastorno neonatal transitorio no especificado del metabolismo del calcio y del magnesio</v>
          </cell>
        </row>
        <row r="7150">
          <cell r="A7150" t="str">
            <v>P72</v>
          </cell>
          <cell r="B7150" t="str">
            <v>Otros trastornos endocrinos neonatales transitorios</v>
          </cell>
        </row>
        <row r="7151">
          <cell r="A7151" t="str">
            <v>P72.0</v>
          </cell>
          <cell r="B7151" t="str">
            <v>Bocio neonatal, no clasificado en otra parte</v>
          </cell>
        </row>
        <row r="7152">
          <cell r="A7152" t="str">
            <v>P72.1</v>
          </cell>
          <cell r="B7152" t="str">
            <v>Hipertiroidismo neonatal transitorio</v>
          </cell>
        </row>
        <row r="7153">
          <cell r="A7153" t="str">
            <v>P72.2</v>
          </cell>
          <cell r="B7153" t="str">
            <v>Otros trastornos neonatales transitorios de la función tiroidea, no clasificados en otra parte</v>
          </cell>
        </row>
        <row r="7154">
          <cell r="A7154" t="str">
            <v>P72.8</v>
          </cell>
          <cell r="B7154" t="str">
            <v>Otros trastornos endocrinos neonatales transitorios especificados</v>
          </cell>
        </row>
        <row r="7155">
          <cell r="A7155" t="str">
            <v>P72.9</v>
          </cell>
          <cell r="B7155" t="str">
            <v>Trastorno endocrino neonatal transitorio, no especificado</v>
          </cell>
        </row>
        <row r="7156">
          <cell r="A7156" t="str">
            <v>P74</v>
          </cell>
          <cell r="B7156" t="str">
            <v>Otras alteraciones metabólicas y electrolíticas neonatales transitorias</v>
          </cell>
        </row>
        <row r="7157">
          <cell r="A7157" t="str">
            <v>P74.0</v>
          </cell>
          <cell r="B7157" t="str">
            <v>Acidosis metabólica tardía del recién nacido</v>
          </cell>
        </row>
        <row r="7158">
          <cell r="A7158" t="str">
            <v>P74.1</v>
          </cell>
          <cell r="B7158" t="str">
            <v>Deshidratación del recién nacido</v>
          </cell>
        </row>
        <row r="7159">
          <cell r="A7159" t="str">
            <v>P74.2</v>
          </cell>
          <cell r="B7159" t="str">
            <v>Alteraciones del equilibrio del sodio en el recién nacido</v>
          </cell>
        </row>
        <row r="7160">
          <cell r="A7160" t="str">
            <v>P74.3</v>
          </cell>
          <cell r="B7160" t="str">
            <v>Alteraciones del equilibrio del potasio en el recién nacido</v>
          </cell>
        </row>
        <row r="7161">
          <cell r="A7161" t="str">
            <v>P74.4</v>
          </cell>
          <cell r="B7161" t="str">
            <v>Otras alteraciones electrolíticas transitorias del recién nacido</v>
          </cell>
        </row>
        <row r="7162">
          <cell r="A7162" t="str">
            <v>P74.5</v>
          </cell>
          <cell r="B7162" t="str">
            <v>Tirosinemia transitoria del recién nacido</v>
          </cell>
        </row>
        <row r="7163">
          <cell r="A7163" t="str">
            <v>P74.8</v>
          </cell>
          <cell r="B7163" t="str">
            <v>Otras alteraciones metabólicas transitorias del recién nacido</v>
          </cell>
        </row>
        <row r="7164">
          <cell r="A7164" t="str">
            <v>P74.9</v>
          </cell>
          <cell r="B7164" t="str">
            <v>Trastorno metabólico transitorio del recién nacido, no especificado</v>
          </cell>
        </row>
        <row r="7165">
          <cell r="A7165" t="str">
            <v>P75.X</v>
          </cell>
          <cell r="B7165" t="str">
            <v>Ileo meconial (E84.1+)</v>
          </cell>
        </row>
        <row r="7166">
          <cell r="A7166" t="str">
            <v>P76</v>
          </cell>
          <cell r="B7166" t="str">
            <v>Otras obstrucciones intestinales del recién nacido</v>
          </cell>
        </row>
        <row r="7167">
          <cell r="A7167" t="str">
            <v>P76.0</v>
          </cell>
          <cell r="B7167" t="str">
            <v>Síndrome del tapón de meconio</v>
          </cell>
        </row>
        <row r="7168">
          <cell r="A7168" t="str">
            <v>P76.1</v>
          </cell>
          <cell r="B7168" t="str">
            <v>Ileo transitorio del recién nacido</v>
          </cell>
        </row>
        <row r="7169">
          <cell r="A7169" t="str">
            <v>P76.2</v>
          </cell>
          <cell r="B7169" t="str">
            <v>Obstrucción intestinal debida a la leche espesa</v>
          </cell>
        </row>
        <row r="7170">
          <cell r="A7170" t="str">
            <v>P76.8</v>
          </cell>
          <cell r="B7170" t="str">
            <v>Otras obstrucciones intestinales especificadas del recién nacido</v>
          </cell>
        </row>
        <row r="7171">
          <cell r="A7171" t="str">
            <v>P76.9</v>
          </cell>
          <cell r="B7171" t="str">
            <v>Obstrucción intestinal del recién nacido, no especificada</v>
          </cell>
        </row>
        <row r="7172">
          <cell r="A7172" t="str">
            <v>P77.X</v>
          </cell>
          <cell r="B7172" t="str">
            <v>Enterocolitis necrotizante del feto y del recién nacido</v>
          </cell>
        </row>
        <row r="7173">
          <cell r="A7173" t="str">
            <v>P78</v>
          </cell>
          <cell r="B7173" t="str">
            <v>Otros trastornos perinatales del sistema digestivo</v>
          </cell>
        </row>
        <row r="7174">
          <cell r="A7174" t="str">
            <v>P78.0</v>
          </cell>
          <cell r="B7174" t="str">
            <v>Perforación intestinal perinatal</v>
          </cell>
        </row>
        <row r="7175">
          <cell r="A7175" t="str">
            <v>P78.1</v>
          </cell>
          <cell r="B7175" t="str">
            <v>Otras peritonitis neonatales</v>
          </cell>
        </row>
        <row r="7176">
          <cell r="A7176" t="str">
            <v>P78.2</v>
          </cell>
          <cell r="B7176" t="str">
            <v>Hematemesis y melena neonatales debidas a la deglución de sangre materna</v>
          </cell>
        </row>
        <row r="7177">
          <cell r="A7177" t="str">
            <v>P78.3</v>
          </cell>
          <cell r="B7177" t="str">
            <v>Diarrea neonatal no infecciosa</v>
          </cell>
        </row>
        <row r="7178">
          <cell r="A7178" t="str">
            <v>P78.8</v>
          </cell>
          <cell r="B7178" t="str">
            <v>Otros trastornos perinatales específicos del sistema digestivo</v>
          </cell>
        </row>
        <row r="7179">
          <cell r="A7179" t="str">
            <v>P78.9</v>
          </cell>
          <cell r="B7179" t="str">
            <v>Trastorno perinatal del sistema digestivo, no especificado</v>
          </cell>
        </row>
        <row r="7180">
          <cell r="A7180" t="str">
            <v>P80</v>
          </cell>
          <cell r="B7180" t="str">
            <v>Hipotermia del recién nacido</v>
          </cell>
        </row>
        <row r="7181">
          <cell r="A7181" t="str">
            <v>P80.0</v>
          </cell>
          <cell r="B7181" t="str">
            <v>Síndrome del enfriamiento</v>
          </cell>
        </row>
        <row r="7182">
          <cell r="A7182" t="str">
            <v>P80.8</v>
          </cell>
          <cell r="B7182" t="str">
            <v>Otras hipotermias del recién nacido</v>
          </cell>
        </row>
        <row r="7183">
          <cell r="A7183" t="str">
            <v>P80.9</v>
          </cell>
          <cell r="B7183" t="str">
            <v>Hipotermia del recién nacido, no especificada</v>
          </cell>
        </row>
        <row r="7184">
          <cell r="A7184" t="str">
            <v>P81</v>
          </cell>
          <cell r="B7184" t="str">
            <v>Otras alteraciones de la regulación de la temperatura en el recién nacido</v>
          </cell>
        </row>
        <row r="7185">
          <cell r="A7185" t="str">
            <v>P81.0</v>
          </cell>
          <cell r="B7185" t="str">
            <v>Hipertermia del recién nacido inducida por las condiciones ambientales</v>
          </cell>
        </row>
        <row r="7186">
          <cell r="A7186" t="str">
            <v>P81.8</v>
          </cell>
          <cell r="B7186" t="str">
            <v>Otras alteraciones especificadas de la regulación de la temperatura del recién nacido</v>
          </cell>
        </row>
        <row r="7187">
          <cell r="A7187" t="str">
            <v>P81.9</v>
          </cell>
          <cell r="B7187" t="str">
            <v>Alteración no especificada de la regulación de la temperatura en el recién nacido</v>
          </cell>
        </row>
        <row r="7188">
          <cell r="A7188" t="str">
            <v>P83</v>
          </cell>
          <cell r="B7188" t="str">
            <v>Otras afecciones de la piel específicas del feto y del recién nacido</v>
          </cell>
        </row>
        <row r="7189">
          <cell r="A7189" t="str">
            <v>P83.0</v>
          </cell>
          <cell r="B7189" t="str">
            <v>Esclerema neonatal</v>
          </cell>
        </row>
        <row r="7190">
          <cell r="A7190" t="str">
            <v>P83.1</v>
          </cell>
          <cell r="B7190" t="str">
            <v>Eritema tóxico neonatal</v>
          </cell>
        </row>
        <row r="7191">
          <cell r="A7191" t="str">
            <v>P83.2</v>
          </cell>
          <cell r="B7191" t="str">
            <v>Hidropesía fetal no debida a enfermedad hemolítica</v>
          </cell>
        </row>
        <row r="7192">
          <cell r="A7192" t="str">
            <v>P83.3</v>
          </cell>
          <cell r="B7192" t="str">
            <v>Otros edemas y los no especificados, propios del feto y del recién nacido</v>
          </cell>
        </row>
        <row r="7193">
          <cell r="A7193" t="str">
            <v>P83.4</v>
          </cell>
          <cell r="B7193" t="str">
            <v>Ingurgitación mamaria del recién nacido</v>
          </cell>
        </row>
        <row r="7194">
          <cell r="A7194" t="str">
            <v>P83.5</v>
          </cell>
          <cell r="B7194" t="str">
            <v>Hidrocele congénito</v>
          </cell>
        </row>
        <row r="7195">
          <cell r="A7195" t="str">
            <v>P83.6</v>
          </cell>
          <cell r="B7195" t="str">
            <v>Pólipo umbilical del recién nacido</v>
          </cell>
        </row>
        <row r="7196">
          <cell r="A7196" t="str">
            <v>P83.8</v>
          </cell>
          <cell r="B7196" t="str">
            <v>Otras afecciones especificadas de la piel, propias del feto y del recién nacido</v>
          </cell>
        </row>
        <row r="7197">
          <cell r="A7197" t="str">
            <v>P83.9</v>
          </cell>
          <cell r="B7197" t="str">
            <v>Afección no especificada de la piel, propia del feto y del recién nacido</v>
          </cell>
        </row>
        <row r="7198">
          <cell r="A7198" t="str">
            <v>P90.X</v>
          </cell>
          <cell r="B7198" t="str">
            <v>Convulsiones del recién nacido</v>
          </cell>
        </row>
        <row r="7199">
          <cell r="A7199" t="str">
            <v>P91</v>
          </cell>
          <cell r="B7199" t="str">
            <v>Otras alteraciones cerebrales del recién nacido</v>
          </cell>
        </row>
        <row r="7200">
          <cell r="A7200" t="str">
            <v>P91.0</v>
          </cell>
          <cell r="B7200" t="str">
            <v>Isquemia cerebral neonatal</v>
          </cell>
        </row>
        <row r="7201">
          <cell r="A7201" t="str">
            <v>P91.1</v>
          </cell>
          <cell r="B7201" t="str">
            <v>Quistes periventriculares adquiridos del recién nacido</v>
          </cell>
        </row>
        <row r="7202">
          <cell r="A7202" t="str">
            <v>P91.2</v>
          </cell>
          <cell r="B7202" t="str">
            <v>Leucomalacia cerebral neonatal</v>
          </cell>
        </row>
        <row r="7203">
          <cell r="A7203" t="str">
            <v>P91.3</v>
          </cell>
          <cell r="B7203" t="str">
            <v>Irritabilidad cerebral neonatal</v>
          </cell>
        </row>
        <row r="7204">
          <cell r="A7204" t="str">
            <v>P91.4</v>
          </cell>
          <cell r="B7204" t="str">
            <v>Depresión cerebral neonatal</v>
          </cell>
        </row>
        <row r="7205">
          <cell r="A7205" t="str">
            <v>P91.5</v>
          </cell>
          <cell r="B7205" t="str">
            <v>Coma neonatal</v>
          </cell>
        </row>
        <row r="7206">
          <cell r="A7206" t="str">
            <v>P91.8</v>
          </cell>
          <cell r="B7206" t="str">
            <v>Otras alteraciones cerebrales especificadas del recién nacido</v>
          </cell>
        </row>
        <row r="7207">
          <cell r="A7207" t="str">
            <v>P91.9</v>
          </cell>
          <cell r="B7207" t="str">
            <v>Alteración cerebral no especificada del recién nacido</v>
          </cell>
        </row>
        <row r="7208">
          <cell r="A7208" t="str">
            <v>P92</v>
          </cell>
          <cell r="B7208" t="str">
            <v>Problemas de la ingestión de alimentos del recién nacido</v>
          </cell>
        </row>
        <row r="7209">
          <cell r="A7209" t="str">
            <v>P92.0</v>
          </cell>
          <cell r="B7209" t="str">
            <v>Vómitos del recién nacido</v>
          </cell>
        </row>
        <row r="7210">
          <cell r="A7210" t="str">
            <v>P92.1</v>
          </cell>
          <cell r="B7210" t="str">
            <v>Regurgitación y rumiación del recién nacido</v>
          </cell>
        </row>
        <row r="7211">
          <cell r="A7211" t="str">
            <v>P92.2</v>
          </cell>
          <cell r="B7211" t="str">
            <v>Lentitud en la ingestión de alimentos del recién nacido</v>
          </cell>
        </row>
        <row r="7212">
          <cell r="A7212" t="str">
            <v>P92.3</v>
          </cell>
          <cell r="B7212" t="str">
            <v>Hipoalimentación del recién nacido</v>
          </cell>
        </row>
        <row r="7213">
          <cell r="A7213" t="str">
            <v>P92.4</v>
          </cell>
          <cell r="B7213" t="str">
            <v>Hiperalimentación del recién nacido</v>
          </cell>
        </row>
        <row r="7214">
          <cell r="A7214" t="str">
            <v>P92.5</v>
          </cell>
          <cell r="B7214" t="str">
            <v>Dificultad neonatal en la lactancia materna</v>
          </cell>
        </row>
        <row r="7215">
          <cell r="A7215" t="str">
            <v>P92.8</v>
          </cell>
          <cell r="B7215" t="str">
            <v>Otros problemas de alimentación del recién nacido</v>
          </cell>
        </row>
        <row r="7216">
          <cell r="A7216" t="str">
            <v>P92.9</v>
          </cell>
          <cell r="B7216" t="str">
            <v>Problema no especificado de la alimentación del recién nacido</v>
          </cell>
        </row>
        <row r="7217">
          <cell r="A7217" t="str">
            <v>P93.X</v>
          </cell>
          <cell r="B7217" t="str">
            <v>Reacciones e intoxicaciones debidas a drogas administradas al feto y al recién nacido</v>
          </cell>
        </row>
        <row r="7218">
          <cell r="A7218" t="str">
            <v>P94</v>
          </cell>
          <cell r="B7218" t="str">
            <v>Trastornos del tono muscular en el recién nacido</v>
          </cell>
        </row>
        <row r="7219">
          <cell r="A7219" t="str">
            <v>P94.0</v>
          </cell>
          <cell r="B7219" t="str">
            <v>Miastenia grave neonatal transitoria</v>
          </cell>
        </row>
        <row r="7220">
          <cell r="A7220" t="str">
            <v>P94.1</v>
          </cell>
          <cell r="B7220" t="str">
            <v>Hipertonía congénita</v>
          </cell>
        </row>
        <row r="7221">
          <cell r="A7221" t="str">
            <v>P94.2</v>
          </cell>
          <cell r="B7221" t="str">
            <v>Hipotonía congénita</v>
          </cell>
        </row>
        <row r="7222">
          <cell r="A7222" t="str">
            <v>P94.8</v>
          </cell>
          <cell r="B7222" t="str">
            <v>Otros trastornos del tono muscular en el recién nacido</v>
          </cell>
        </row>
        <row r="7223">
          <cell r="A7223" t="str">
            <v>P94.9</v>
          </cell>
          <cell r="B7223" t="str">
            <v>Trastorno no especificado del tono muscular en el recién nacido</v>
          </cell>
        </row>
        <row r="7224">
          <cell r="A7224" t="str">
            <v>P95.X</v>
          </cell>
          <cell r="B7224" t="str">
            <v>Muerte fetal de causa no especificada</v>
          </cell>
        </row>
        <row r="7225">
          <cell r="A7225" t="str">
            <v>P96</v>
          </cell>
          <cell r="B7225" t="str">
            <v>Otras afecciones originadas en el período perinatal</v>
          </cell>
        </row>
        <row r="7226">
          <cell r="A7226" t="str">
            <v>P96.0</v>
          </cell>
          <cell r="B7226" t="str">
            <v>Insuficiencia renal congénita</v>
          </cell>
        </row>
        <row r="7227">
          <cell r="A7227" t="str">
            <v>P96.1</v>
          </cell>
          <cell r="B7227" t="str">
            <v>Síntomas neonatales de abstinencia por drogadicción materna</v>
          </cell>
        </row>
        <row r="7228">
          <cell r="A7228" t="str">
            <v>P96.2</v>
          </cell>
          <cell r="B7228" t="str">
            <v>Síntomas de abstinencia por el uso terapéutico de drogas en el recién nacido</v>
          </cell>
        </row>
        <row r="7229">
          <cell r="A7229" t="str">
            <v>P96.3</v>
          </cell>
          <cell r="B7229" t="str">
            <v>Amplitud de las suturas craneales del recién nacido</v>
          </cell>
        </row>
        <row r="7230">
          <cell r="A7230" t="str">
            <v>P96.4</v>
          </cell>
          <cell r="B7230" t="str">
            <v>Terminación del embarazo, feto y recién nacido</v>
          </cell>
        </row>
        <row r="7231">
          <cell r="A7231" t="str">
            <v>P96.5</v>
          </cell>
          <cell r="B7231" t="str">
            <v>Complicaciones de procedimientos intrauterinos, no clasificados en otra parte</v>
          </cell>
        </row>
        <row r="7232">
          <cell r="A7232" t="str">
            <v>P96.8</v>
          </cell>
          <cell r="B7232" t="str">
            <v>Otras afecciones especificadas originadas en el período perinatal</v>
          </cell>
        </row>
        <row r="7233">
          <cell r="A7233" t="str">
            <v>P96.9</v>
          </cell>
          <cell r="B7233" t="str">
            <v>Afección no especificada originada en el período perinatal</v>
          </cell>
        </row>
        <row r="7234">
          <cell r="A7234" t="str">
            <v>Q</v>
          </cell>
          <cell r="B7234" t="str">
            <v>Malformaciones Congénitas</v>
          </cell>
        </row>
        <row r="7235">
          <cell r="A7235" t="str">
            <v>Q00</v>
          </cell>
          <cell r="B7235" t="str">
            <v>Anencefalia y malformaciones congénitas similares</v>
          </cell>
        </row>
        <row r="7236">
          <cell r="A7236" t="str">
            <v>Q00.0</v>
          </cell>
          <cell r="B7236" t="str">
            <v>Anencefalia</v>
          </cell>
        </row>
        <row r="7237">
          <cell r="A7237" t="str">
            <v>Q00.1</v>
          </cell>
          <cell r="B7237" t="str">
            <v>Craneorraquisquisis</v>
          </cell>
        </row>
        <row r="7238">
          <cell r="A7238" t="str">
            <v>Q00.2</v>
          </cell>
          <cell r="B7238" t="str">
            <v>Iniencefalia</v>
          </cell>
        </row>
        <row r="7239">
          <cell r="A7239" t="str">
            <v>Q01</v>
          </cell>
          <cell r="B7239" t="str">
            <v>Encefalocele</v>
          </cell>
        </row>
        <row r="7240">
          <cell r="A7240" t="str">
            <v>Q01.0</v>
          </cell>
          <cell r="B7240" t="str">
            <v>Encefalocele frontal</v>
          </cell>
        </row>
        <row r="7241">
          <cell r="A7241" t="str">
            <v>Q01.1</v>
          </cell>
          <cell r="B7241" t="str">
            <v>Encefalocele nasofrontal</v>
          </cell>
        </row>
        <row r="7242">
          <cell r="A7242" t="str">
            <v>Q01.2</v>
          </cell>
          <cell r="B7242" t="str">
            <v>Encefalocele occipital</v>
          </cell>
        </row>
        <row r="7243">
          <cell r="A7243" t="str">
            <v>Q01.8</v>
          </cell>
          <cell r="B7243" t="str">
            <v>Encefalocele de otros sitios</v>
          </cell>
        </row>
        <row r="7244">
          <cell r="A7244" t="str">
            <v>Q01.9</v>
          </cell>
          <cell r="B7244" t="str">
            <v>Encefalocele, no especificado</v>
          </cell>
        </row>
        <row r="7245">
          <cell r="A7245" t="str">
            <v>Q02.X</v>
          </cell>
          <cell r="B7245" t="str">
            <v>Microcefalia</v>
          </cell>
        </row>
        <row r="7246">
          <cell r="A7246" t="str">
            <v>Q03</v>
          </cell>
          <cell r="B7246" t="str">
            <v>Hidrocéfalo congénito</v>
          </cell>
        </row>
        <row r="7247">
          <cell r="A7247" t="str">
            <v>Q03.0</v>
          </cell>
          <cell r="B7247" t="str">
            <v>Malformaciones del acueducto de Silvio</v>
          </cell>
        </row>
        <row r="7248">
          <cell r="A7248" t="str">
            <v>Q03.1</v>
          </cell>
          <cell r="B7248" t="str">
            <v>Atresia de los agujeros de Magendie y de Luschka</v>
          </cell>
        </row>
        <row r="7249">
          <cell r="A7249" t="str">
            <v>Q03.8</v>
          </cell>
          <cell r="B7249" t="str">
            <v>Otros hidrocéfalos congénitos</v>
          </cell>
        </row>
        <row r="7250">
          <cell r="A7250" t="str">
            <v>Q03.9</v>
          </cell>
          <cell r="B7250" t="str">
            <v>Hidrocéfalo congénito, no especificado</v>
          </cell>
        </row>
        <row r="7251">
          <cell r="A7251" t="str">
            <v>Q04</v>
          </cell>
          <cell r="B7251" t="str">
            <v>Otras malformaciones congénitas del encéfalo</v>
          </cell>
        </row>
        <row r="7252">
          <cell r="A7252" t="str">
            <v>Q04.0</v>
          </cell>
          <cell r="B7252" t="str">
            <v>Malformaciones congénitas del cuerpo calloso</v>
          </cell>
        </row>
        <row r="7253">
          <cell r="A7253" t="str">
            <v>Q04.1</v>
          </cell>
          <cell r="B7253" t="str">
            <v>Arrinencefalia</v>
          </cell>
        </row>
        <row r="7254">
          <cell r="A7254" t="str">
            <v>Q04.2</v>
          </cell>
          <cell r="B7254" t="str">
            <v>Holoprosencefalia</v>
          </cell>
        </row>
        <row r="7255">
          <cell r="A7255" t="str">
            <v>Q04.3</v>
          </cell>
          <cell r="B7255" t="str">
            <v>Otras anomalías hipoplásicas del encéfalo</v>
          </cell>
        </row>
        <row r="7256">
          <cell r="A7256" t="str">
            <v>Q04.4</v>
          </cell>
          <cell r="B7256" t="str">
            <v>Displasia opticoseptal</v>
          </cell>
        </row>
        <row r="7257">
          <cell r="A7257" t="str">
            <v>Q04.5</v>
          </cell>
          <cell r="B7257" t="str">
            <v>Megalencefalia</v>
          </cell>
        </row>
        <row r="7258">
          <cell r="A7258" t="str">
            <v>Q04.6</v>
          </cell>
          <cell r="B7258" t="str">
            <v>Quistes cerebrales congénitos</v>
          </cell>
        </row>
        <row r="7259">
          <cell r="A7259" t="str">
            <v>Q04.8</v>
          </cell>
          <cell r="B7259" t="str">
            <v>Otras malformaciones congénitas del encéfalo, especificadas</v>
          </cell>
        </row>
        <row r="7260">
          <cell r="A7260" t="str">
            <v>Q04.9</v>
          </cell>
          <cell r="B7260" t="str">
            <v>Malformación congénita del encéfalo, no especificada</v>
          </cell>
        </row>
        <row r="7261">
          <cell r="A7261" t="str">
            <v>Q05</v>
          </cell>
          <cell r="B7261" t="str">
            <v>Espina bífida</v>
          </cell>
        </row>
        <row r="7262">
          <cell r="A7262" t="str">
            <v>Q05.0</v>
          </cell>
          <cell r="B7262" t="str">
            <v>Espina bífida cervical con hidrocéfalo</v>
          </cell>
        </row>
        <row r="7263">
          <cell r="A7263" t="str">
            <v>Q05.1</v>
          </cell>
          <cell r="B7263" t="str">
            <v>Espina bífida torácica con hidrocéfalo</v>
          </cell>
        </row>
        <row r="7264">
          <cell r="A7264" t="str">
            <v>Q05.2</v>
          </cell>
          <cell r="B7264" t="str">
            <v>Espina bífida lumbar con hidrocéfalo</v>
          </cell>
        </row>
        <row r="7265">
          <cell r="A7265" t="str">
            <v>Q05.3</v>
          </cell>
          <cell r="B7265" t="str">
            <v>Espina bífida sacra con hidrocéfalo</v>
          </cell>
        </row>
        <row r="7266">
          <cell r="A7266" t="str">
            <v>Q05.4</v>
          </cell>
          <cell r="B7266" t="str">
            <v>Espina bífida con hidrocéfalo, sin otra especificación</v>
          </cell>
        </row>
        <row r="7267">
          <cell r="A7267" t="str">
            <v>Q05.5</v>
          </cell>
          <cell r="B7267" t="str">
            <v>Espina bífida cervical sin hidrocéfalo</v>
          </cell>
        </row>
        <row r="7268">
          <cell r="A7268" t="str">
            <v>Q05.6</v>
          </cell>
          <cell r="B7268" t="str">
            <v>Espina bífida torácica sin hidrocéfalo</v>
          </cell>
        </row>
        <row r="7269">
          <cell r="A7269" t="str">
            <v>Q05.7</v>
          </cell>
          <cell r="B7269" t="str">
            <v>Espina bífida lumbar sin hidrocéfalo</v>
          </cell>
        </row>
        <row r="7270">
          <cell r="A7270" t="str">
            <v>Q05.8</v>
          </cell>
          <cell r="B7270" t="str">
            <v>Espina bífida sacra sin hidrocéfalo</v>
          </cell>
        </row>
        <row r="7271">
          <cell r="A7271" t="str">
            <v>Q05.9</v>
          </cell>
          <cell r="B7271" t="str">
            <v>Espina bífida, no especificada</v>
          </cell>
        </row>
        <row r="7272">
          <cell r="A7272" t="str">
            <v>Q06</v>
          </cell>
          <cell r="B7272" t="str">
            <v>Otras malformaciones congénitas de la médula espinal</v>
          </cell>
        </row>
        <row r="7273">
          <cell r="A7273" t="str">
            <v>Q06.0</v>
          </cell>
          <cell r="B7273" t="str">
            <v>Amielia</v>
          </cell>
        </row>
        <row r="7274">
          <cell r="A7274" t="str">
            <v>Q06.1</v>
          </cell>
          <cell r="B7274" t="str">
            <v>Hipoplasia y displasia de la médula espinal</v>
          </cell>
        </row>
        <row r="7275">
          <cell r="A7275" t="str">
            <v>Q06.2</v>
          </cell>
          <cell r="B7275" t="str">
            <v>Diastematomielia</v>
          </cell>
        </row>
        <row r="7276">
          <cell r="A7276" t="str">
            <v>Q06.3</v>
          </cell>
          <cell r="B7276" t="str">
            <v>Otras anomalías congénitas de la cola de caballo</v>
          </cell>
        </row>
        <row r="7277">
          <cell r="A7277" t="str">
            <v>Q06.4</v>
          </cell>
          <cell r="B7277" t="str">
            <v>Hidromielia</v>
          </cell>
        </row>
        <row r="7278">
          <cell r="A7278" t="str">
            <v>Q06.8</v>
          </cell>
          <cell r="B7278" t="str">
            <v>Otras malformaciones congénitas especificadas de la médula espinal</v>
          </cell>
        </row>
        <row r="7279">
          <cell r="A7279" t="str">
            <v>Q06.9</v>
          </cell>
          <cell r="B7279" t="str">
            <v>Malformación congénita de la médula espinal, no especificada</v>
          </cell>
        </row>
        <row r="7280">
          <cell r="A7280" t="str">
            <v>Q07</v>
          </cell>
          <cell r="B7280" t="str">
            <v>Otras malformaciones congénitas del sistema nervioso</v>
          </cell>
        </row>
        <row r="7281">
          <cell r="A7281" t="str">
            <v>Q07.0</v>
          </cell>
          <cell r="B7281" t="str">
            <v>Síndrome de Arnold-Chiari</v>
          </cell>
        </row>
        <row r="7282">
          <cell r="A7282" t="str">
            <v>Q07.8</v>
          </cell>
          <cell r="B7282" t="str">
            <v>Otras malformaciones congénitas del sistema nervioso, especificadas</v>
          </cell>
        </row>
        <row r="7283">
          <cell r="A7283" t="str">
            <v>Q07.9</v>
          </cell>
          <cell r="B7283" t="str">
            <v>Malformación congénita del sistema nervioso, no especificada</v>
          </cell>
        </row>
        <row r="7284">
          <cell r="A7284" t="str">
            <v>Q10</v>
          </cell>
          <cell r="B7284" t="str">
            <v>Malformaciones congénitas de los párpados, del aparato lagrimal y de la órbita</v>
          </cell>
        </row>
        <row r="7285">
          <cell r="A7285" t="str">
            <v>Q10.0</v>
          </cell>
          <cell r="B7285" t="str">
            <v>Blefaroptosis congénita</v>
          </cell>
        </row>
        <row r="7286">
          <cell r="A7286" t="str">
            <v>Q10.1</v>
          </cell>
          <cell r="B7286" t="str">
            <v>Ectropión congénito</v>
          </cell>
        </row>
        <row r="7287">
          <cell r="A7287" t="str">
            <v>Q10.2</v>
          </cell>
          <cell r="B7287" t="str">
            <v>Entropión congénito</v>
          </cell>
        </row>
        <row r="7288">
          <cell r="A7288" t="str">
            <v>Q10.3</v>
          </cell>
          <cell r="B7288" t="str">
            <v>Otras malformaciones congénitas de los párpados</v>
          </cell>
        </row>
        <row r="7289">
          <cell r="A7289" t="str">
            <v>Q10.4</v>
          </cell>
          <cell r="B7289" t="str">
            <v>Ausencia y agenesia del aparato lagrimal</v>
          </cell>
        </row>
        <row r="7290">
          <cell r="A7290" t="str">
            <v>Q10.5</v>
          </cell>
          <cell r="B7290" t="str">
            <v>Estenosis y estrechez congénitas del conducto lagrimal</v>
          </cell>
        </row>
        <row r="7291">
          <cell r="A7291" t="str">
            <v>Q10.6</v>
          </cell>
          <cell r="B7291" t="str">
            <v>Otras malformaciones congénitas del aparato lagrimal</v>
          </cell>
        </row>
        <row r="7292">
          <cell r="A7292" t="str">
            <v>Q10.7</v>
          </cell>
          <cell r="B7292" t="str">
            <v>Malformación congénita de la órbita</v>
          </cell>
        </row>
        <row r="7293">
          <cell r="A7293" t="str">
            <v>Q11</v>
          </cell>
          <cell r="B7293" t="str">
            <v>Anoftalmía, microftalmía y macroftalmía</v>
          </cell>
        </row>
        <row r="7294">
          <cell r="A7294" t="str">
            <v>Q11.0</v>
          </cell>
          <cell r="B7294" t="str">
            <v>Globo ocular quístico</v>
          </cell>
        </row>
        <row r="7295">
          <cell r="A7295" t="str">
            <v>Q11.1</v>
          </cell>
          <cell r="B7295" t="str">
            <v>Otras anoftalmías</v>
          </cell>
        </row>
        <row r="7296">
          <cell r="A7296" t="str">
            <v>Q11.2</v>
          </cell>
          <cell r="B7296" t="str">
            <v>Microftalmía</v>
          </cell>
        </row>
        <row r="7297">
          <cell r="A7297" t="str">
            <v>Q11.3</v>
          </cell>
          <cell r="B7297" t="str">
            <v>Macroftalmía</v>
          </cell>
        </row>
        <row r="7298">
          <cell r="A7298" t="str">
            <v>Q12</v>
          </cell>
          <cell r="B7298" t="str">
            <v>Malformaciones congénitas del cristalino</v>
          </cell>
        </row>
        <row r="7299">
          <cell r="A7299" t="str">
            <v>Q12.0</v>
          </cell>
          <cell r="B7299" t="str">
            <v>Catarata congénita</v>
          </cell>
        </row>
        <row r="7300">
          <cell r="A7300" t="str">
            <v>Q12.1</v>
          </cell>
          <cell r="B7300" t="str">
            <v>Desplazamiento congénito del cristalino</v>
          </cell>
        </row>
        <row r="7301">
          <cell r="A7301" t="str">
            <v>Q12.2</v>
          </cell>
          <cell r="B7301" t="str">
            <v>Coloboma del cristalino</v>
          </cell>
        </row>
        <row r="7302">
          <cell r="A7302" t="str">
            <v>Q12.3</v>
          </cell>
          <cell r="B7302" t="str">
            <v>Afaquia congénita</v>
          </cell>
        </row>
        <row r="7303">
          <cell r="A7303" t="str">
            <v>Q12.4</v>
          </cell>
          <cell r="B7303" t="str">
            <v>Esferofaquia</v>
          </cell>
        </row>
        <row r="7304">
          <cell r="A7304" t="str">
            <v>Q12.8</v>
          </cell>
          <cell r="B7304" t="str">
            <v>Otras malformaciones congénitas del cristalino</v>
          </cell>
        </row>
        <row r="7305">
          <cell r="A7305" t="str">
            <v>Q12.9</v>
          </cell>
          <cell r="B7305" t="str">
            <v>Malformación congénita del cristalino, no especificada</v>
          </cell>
        </row>
        <row r="7306">
          <cell r="A7306" t="str">
            <v>Q13</v>
          </cell>
          <cell r="B7306" t="str">
            <v>Malformaciones congénitas del segmento anterior del ojo</v>
          </cell>
        </row>
        <row r="7307">
          <cell r="A7307" t="str">
            <v>Q13.0</v>
          </cell>
          <cell r="B7307" t="str">
            <v>Coloboma del iris</v>
          </cell>
        </row>
        <row r="7308">
          <cell r="A7308" t="str">
            <v>Q13.1</v>
          </cell>
          <cell r="B7308" t="str">
            <v>Ausencia del iris</v>
          </cell>
        </row>
        <row r="7309">
          <cell r="A7309" t="str">
            <v>Q13.2</v>
          </cell>
          <cell r="B7309" t="str">
            <v>Otras malformaciones congénitas del iris</v>
          </cell>
        </row>
        <row r="7310">
          <cell r="A7310" t="str">
            <v>Q13.3</v>
          </cell>
          <cell r="B7310" t="str">
            <v>Opacidad corneal congénita</v>
          </cell>
        </row>
        <row r="7311">
          <cell r="A7311" t="str">
            <v>Q13.4</v>
          </cell>
          <cell r="B7311" t="str">
            <v>Otras malformaciones congénitas de la córnea</v>
          </cell>
        </row>
        <row r="7312">
          <cell r="A7312" t="str">
            <v>Q13.5</v>
          </cell>
          <cell r="B7312" t="str">
            <v>Esclerótica azul</v>
          </cell>
        </row>
        <row r="7313">
          <cell r="A7313" t="str">
            <v>Q13.8</v>
          </cell>
          <cell r="B7313" t="str">
            <v>Otras malformaciones congénitas del segmento anterior del ojo</v>
          </cell>
        </row>
        <row r="7314">
          <cell r="A7314" t="str">
            <v>Q13.9</v>
          </cell>
          <cell r="B7314" t="str">
            <v>Malformación congénita del segmento anterior del ojo, no especificada</v>
          </cell>
        </row>
        <row r="7315">
          <cell r="A7315" t="str">
            <v>Q14</v>
          </cell>
          <cell r="B7315" t="str">
            <v>Malformaciones congénitas del segmento posterior del ojo</v>
          </cell>
        </row>
        <row r="7316">
          <cell r="A7316" t="str">
            <v>Q14.0</v>
          </cell>
          <cell r="B7316" t="str">
            <v>Malformación congénita del humor vítreo</v>
          </cell>
        </row>
        <row r="7317">
          <cell r="A7317" t="str">
            <v>Q14.1</v>
          </cell>
          <cell r="B7317" t="str">
            <v>Malformación congénita de la retina</v>
          </cell>
        </row>
        <row r="7318">
          <cell r="A7318" t="str">
            <v>Q14.2</v>
          </cell>
          <cell r="B7318" t="str">
            <v>Malformación congénita del disco óptico</v>
          </cell>
        </row>
        <row r="7319">
          <cell r="A7319" t="str">
            <v>Q14.3</v>
          </cell>
          <cell r="B7319" t="str">
            <v>Malformación congénita de la coroides</v>
          </cell>
        </row>
        <row r="7320">
          <cell r="A7320" t="str">
            <v>Q14.8</v>
          </cell>
          <cell r="B7320" t="str">
            <v>Otras malformaciones congénitas del segmento posterior del ojo</v>
          </cell>
        </row>
        <row r="7321">
          <cell r="A7321" t="str">
            <v>Q14.9</v>
          </cell>
          <cell r="B7321" t="str">
            <v>Malformación congénita del segmento posterior del ojo, no especificada</v>
          </cell>
        </row>
        <row r="7322">
          <cell r="A7322" t="str">
            <v>Q15</v>
          </cell>
          <cell r="B7322" t="str">
            <v>Otras malformaciones congénitas del ojo</v>
          </cell>
        </row>
        <row r="7323">
          <cell r="A7323" t="str">
            <v>Q15.0</v>
          </cell>
          <cell r="B7323" t="str">
            <v>Glaucoma congénito</v>
          </cell>
        </row>
        <row r="7324">
          <cell r="A7324" t="str">
            <v>Q15.8</v>
          </cell>
          <cell r="B7324" t="str">
            <v>Otras malformaciones congénitas del ojo, especificadas</v>
          </cell>
        </row>
        <row r="7325">
          <cell r="A7325" t="str">
            <v>Q15.9</v>
          </cell>
          <cell r="B7325" t="str">
            <v>Malformaciones congénitas del ojo, no especificadas</v>
          </cell>
        </row>
        <row r="7326">
          <cell r="A7326" t="str">
            <v>Q16</v>
          </cell>
          <cell r="B7326" t="str">
            <v>Malformaciones congénitas del oído que causan alteración de la audición</v>
          </cell>
        </row>
        <row r="7327">
          <cell r="A7327" t="str">
            <v>Q16.0</v>
          </cell>
          <cell r="B7327" t="str">
            <v>Ausencia congénita del pabellón (de la oreja)</v>
          </cell>
        </row>
        <row r="7328">
          <cell r="A7328" t="str">
            <v>Q16.1</v>
          </cell>
          <cell r="B7328" t="str">
            <v>Ausencia congénita, atresia o estrechez del conducto auditivo (externo)</v>
          </cell>
        </row>
        <row r="7329">
          <cell r="A7329" t="str">
            <v>Q16.2</v>
          </cell>
          <cell r="B7329" t="str">
            <v>Ausencia de la trompa de Eustaquio</v>
          </cell>
        </row>
        <row r="7330">
          <cell r="A7330" t="str">
            <v>Q16.3</v>
          </cell>
          <cell r="B7330" t="str">
            <v>Malformación congénita de los huesecillos del oído</v>
          </cell>
        </row>
        <row r="7331">
          <cell r="A7331" t="str">
            <v>Q16.4</v>
          </cell>
          <cell r="B7331" t="str">
            <v>Otras malformaciones congénitas del oído medio</v>
          </cell>
        </row>
        <row r="7332">
          <cell r="A7332" t="str">
            <v>Q16.5</v>
          </cell>
          <cell r="B7332" t="str">
            <v>Malformación congénita del oído interno</v>
          </cell>
        </row>
        <row r="7333">
          <cell r="A7333" t="str">
            <v>Q16.9</v>
          </cell>
          <cell r="B7333" t="str">
            <v>Malformación congénita del oído que causa alteración de la audición, sin otra especificación</v>
          </cell>
        </row>
        <row r="7334">
          <cell r="A7334" t="str">
            <v>Q17</v>
          </cell>
          <cell r="B7334" t="str">
            <v>Otras malformaciones congénitas del oído</v>
          </cell>
        </row>
        <row r="7335">
          <cell r="A7335" t="str">
            <v>Q17.0</v>
          </cell>
          <cell r="B7335" t="str">
            <v>Oreja supernumeraria</v>
          </cell>
        </row>
        <row r="7336">
          <cell r="A7336" t="str">
            <v>Q17.1</v>
          </cell>
          <cell r="B7336" t="str">
            <v>Macrotia</v>
          </cell>
        </row>
        <row r="7337">
          <cell r="A7337" t="str">
            <v>Q17.2</v>
          </cell>
          <cell r="B7337" t="str">
            <v>Microtia</v>
          </cell>
        </row>
        <row r="7338">
          <cell r="A7338" t="str">
            <v>Q17.3</v>
          </cell>
          <cell r="B7338" t="str">
            <v>Otras deformidades del pabellón auricular</v>
          </cell>
        </row>
        <row r="7339">
          <cell r="A7339" t="str">
            <v>Q17.4</v>
          </cell>
          <cell r="B7339" t="str">
            <v>Anomalía de la posición de la oreja</v>
          </cell>
        </row>
        <row r="7340">
          <cell r="A7340" t="str">
            <v>Q17.5</v>
          </cell>
          <cell r="B7340" t="str">
            <v>Oreja prominente</v>
          </cell>
        </row>
        <row r="7341">
          <cell r="A7341" t="str">
            <v>Q17.8</v>
          </cell>
          <cell r="B7341" t="str">
            <v>Otras malformaciones congénitas del oído, especificadas</v>
          </cell>
        </row>
        <row r="7342">
          <cell r="A7342" t="str">
            <v>Q17.9</v>
          </cell>
          <cell r="B7342" t="str">
            <v>Malformación congénita del oído, no especificada</v>
          </cell>
        </row>
        <row r="7343">
          <cell r="A7343" t="str">
            <v>Q18</v>
          </cell>
          <cell r="B7343" t="str">
            <v>Otras malformaciones congénitas de la cara y del cuello</v>
          </cell>
        </row>
        <row r="7344">
          <cell r="A7344" t="str">
            <v>Q18.0</v>
          </cell>
          <cell r="B7344" t="str">
            <v>Seno, fístula o quiste de la hendidura branquial</v>
          </cell>
        </row>
        <row r="7345">
          <cell r="A7345" t="str">
            <v>Q18.1</v>
          </cell>
          <cell r="B7345" t="str">
            <v>Seno y quiste preauricular</v>
          </cell>
        </row>
        <row r="7346">
          <cell r="A7346" t="str">
            <v>Q18.2</v>
          </cell>
          <cell r="B7346" t="str">
            <v>Otras malformaciones de las hendiduras branquiales</v>
          </cell>
        </row>
        <row r="7347">
          <cell r="A7347" t="str">
            <v>Q18.3</v>
          </cell>
          <cell r="B7347" t="str">
            <v>Pterigión del cuello</v>
          </cell>
        </row>
        <row r="7348">
          <cell r="A7348" t="str">
            <v>Q18.4</v>
          </cell>
          <cell r="B7348" t="str">
            <v>Macrostomía</v>
          </cell>
        </row>
        <row r="7349">
          <cell r="A7349" t="str">
            <v>Q18.5</v>
          </cell>
          <cell r="B7349" t="str">
            <v>Microstomía</v>
          </cell>
        </row>
        <row r="7350">
          <cell r="A7350" t="str">
            <v>Q18.6</v>
          </cell>
          <cell r="B7350" t="str">
            <v>Macroqueilia</v>
          </cell>
        </row>
        <row r="7351">
          <cell r="A7351" t="str">
            <v>Q18.7</v>
          </cell>
          <cell r="B7351" t="str">
            <v>Microqueilia</v>
          </cell>
        </row>
        <row r="7352">
          <cell r="A7352" t="str">
            <v>Q18.8</v>
          </cell>
          <cell r="B7352" t="str">
            <v>Otras malformaciones congénitas especificadas de cara y cuello</v>
          </cell>
        </row>
        <row r="7353">
          <cell r="A7353" t="str">
            <v>Q18.9</v>
          </cell>
          <cell r="B7353" t="str">
            <v>Malformación congénita de la cara y del cuello, no especificada</v>
          </cell>
        </row>
        <row r="7354">
          <cell r="A7354" t="str">
            <v>Q20</v>
          </cell>
          <cell r="B7354" t="str">
            <v>Malformaciones congénitas de las cámaras cardíacas y sus conexiones</v>
          </cell>
        </row>
        <row r="7355">
          <cell r="A7355" t="str">
            <v>Q20.0</v>
          </cell>
          <cell r="B7355" t="str">
            <v>Tronco arterioso común</v>
          </cell>
        </row>
        <row r="7356">
          <cell r="A7356" t="str">
            <v>Q20.1</v>
          </cell>
          <cell r="B7356" t="str">
            <v>Transposición de los grandes vasos en ventrículo derecho</v>
          </cell>
        </row>
        <row r="7357">
          <cell r="A7357" t="str">
            <v>Q20.2</v>
          </cell>
          <cell r="B7357" t="str">
            <v>Transposición de los grandes vasos en ventrículo izquierdo</v>
          </cell>
        </row>
        <row r="7358">
          <cell r="A7358" t="str">
            <v>Q20.3</v>
          </cell>
          <cell r="B7358" t="str">
            <v>Discordancia de la conexión ventriculoarterial</v>
          </cell>
        </row>
        <row r="7359">
          <cell r="A7359" t="str">
            <v>Q20.4</v>
          </cell>
          <cell r="B7359" t="str">
            <v>Ventrículo con doble entrada</v>
          </cell>
        </row>
        <row r="7360">
          <cell r="A7360" t="str">
            <v>Q20.5</v>
          </cell>
          <cell r="B7360" t="str">
            <v>Discordancia de la conexión auriculoventricular</v>
          </cell>
        </row>
        <row r="7361">
          <cell r="A7361" t="str">
            <v>Q20.6</v>
          </cell>
          <cell r="B7361" t="str">
            <v>Isomerismo de los apéndices auriculares</v>
          </cell>
        </row>
        <row r="7362">
          <cell r="A7362" t="str">
            <v>Q20.8</v>
          </cell>
          <cell r="B7362" t="str">
            <v>Otras malformaciones congénitas de las cámaras cardíacas y sus conexiones</v>
          </cell>
        </row>
        <row r="7363">
          <cell r="A7363" t="str">
            <v>Q20.9</v>
          </cell>
          <cell r="B7363" t="str">
            <v>Malformación congénita de las cámaras cardíacas y sus conexiones, no especificada</v>
          </cell>
        </row>
        <row r="7364">
          <cell r="A7364" t="str">
            <v>Q21</v>
          </cell>
          <cell r="B7364" t="str">
            <v>Malformaciones congénitas de los tabiques cardíacos</v>
          </cell>
        </row>
        <row r="7365">
          <cell r="A7365" t="str">
            <v>Q21.0</v>
          </cell>
          <cell r="B7365" t="str">
            <v>Defecto del tabique ventricular</v>
          </cell>
        </row>
        <row r="7366">
          <cell r="A7366" t="str">
            <v>Q21.1</v>
          </cell>
          <cell r="B7366" t="str">
            <v>Defecto del tabique auricular</v>
          </cell>
        </row>
        <row r="7367">
          <cell r="A7367" t="str">
            <v>Q21.2</v>
          </cell>
          <cell r="B7367" t="str">
            <v>Defecto del tabique auriculoventricular</v>
          </cell>
        </row>
        <row r="7368">
          <cell r="A7368" t="str">
            <v>Q21.3</v>
          </cell>
          <cell r="B7368" t="str">
            <v>Tetralogía de Fallot</v>
          </cell>
        </row>
        <row r="7369">
          <cell r="A7369" t="str">
            <v>Q21.4</v>
          </cell>
          <cell r="B7369" t="str">
            <v>Defecto del tabique aortopulmonar</v>
          </cell>
        </row>
        <row r="7370">
          <cell r="A7370" t="str">
            <v>Q21.8</v>
          </cell>
          <cell r="B7370" t="str">
            <v>Otras malformaciones congénitas de los tabiques cardíacos</v>
          </cell>
        </row>
        <row r="7371">
          <cell r="A7371" t="str">
            <v>Q21.9</v>
          </cell>
          <cell r="B7371" t="str">
            <v>Malformación congénita del tabique cardíaco, no especificada</v>
          </cell>
        </row>
        <row r="7372">
          <cell r="A7372" t="str">
            <v>Q22</v>
          </cell>
          <cell r="B7372" t="str">
            <v>Malformaciones congénitas de las válvulas pulmonar y tricúspide</v>
          </cell>
        </row>
        <row r="7373">
          <cell r="A7373" t="str">
            <v>Q22.0</v>
          </cell>
          <cell r="B7373" t="str">
            <v>Atresia de la válvula pulmonar</v>
          </cell>
        </row>
        <row r="7374">
          <cell r="A7374" t="str">
            <v>Q22.1</v>
          </cell>
          <cell r="B7374" t="str">
            <v>Estenosis congénita de la válvula pulmonar</v>
          </cell>
        </row>
        <row r="7375">
          <cell r="A7375" t="str">
            <v>Q22.2</v>
          </cell>
          <cell r="B7375" t="str">
            <v>Insuficiencia congénita de la válvula pulmonar</v>
          </cell>
        </row>
        <row r="7376">
          <cell r="A7376" t="str">
            <v>Q22.3</v>
          </cell>
          <cell r="B7376" t="str">
            <v>Otras malformaciones congénitas de la válvula pulmonar</v>
          </cell>
        </row>
        <row r="7377">
          <cell r="A7377" t="str">
            <v>Q22.4</v>
          </cell>
          <cell r="B7377" t="str">
            <v>Estenosis congénita de la válvula tricúspide</v>
          </cell>
        </row>
        <row r="7378">
          <cell r="A7378" t="str">
            <v>Q22.5</v>
          </cell>
          <cell r="B7378" t="str">
            <v>Anomalía de Ebstein</v>
          </cell>
        </row>
        <row r="7379">
          <cell r="A7379" t="str">
            <v>Q22.6</v>
          </cell>
          <cell r="B7379" t="str">
            <v>Síndrome de hipoplasia del corazón derecho</v>
          </cell>
        </row>
        <row r="7380">
          <cell r="A7380" t="str">
            <v>Q22.8</v>
          </cell>
          <cell r="B7380" t="str">
            <v>Otras malformaciones congénitas de la válvula tricúspide</v>
          </cell>
        </row>
        <row r="7381">
          <cell r="A7381" t="str">
            <v>Q22.9</v>
          </cell>
          <cell r="B7381" t="str">
            <v>Malformación congénita de la válvula tricúspide, no especificada</v>
          </cell>
        </row>
        <row r="7382">
          <cell r="A7382" t="str">
            <v>Q23</v>
          </cell>
          <cell r="B7382" t="str">
            <v>Malformaciones congénitas de las válvulas aórtica y mitral</v>
          </cell>
        </row>
        <row r="7383">
          <cell r="A7383" t="str">
            <v>Q23.0</v>
          </cell>
          <cell r="B7383" t="str">
            <v>Estenosis congénita de la válvula aórtica</v>
          </cell>
        </row>
        <row r="7384">
          <cell r="A7384" t="str">
            <v>Q23.1</v>
          </cell>
          <cell r="B7384" t="str">
            <v>Insuficiencia congénita de la válvula aórtica</v>
          </cell>
        </row>
        <row r="7385">
          <cell r="A7385" t="str">
            <v>Q23.2</v>
          </cell>
          <cell r="B7385" t="str">
            <v>Estenosis mitral congénita</v>
          </cell>
        </row>
        <row r="7386">
          <cell r="A7386" t="str">
            <v>Q23.3</v>
          </cell>
          <cell r="B7386" t="str">
            <v>Insuficiencia mitral congénita</v>
          </cell>
        </row>
        <row r="7387">
          <cell r="A7387" t="str">
            <v>Q23.4</v>
          </cell>
          <cell r="B7387" t="str">
            <v>Síndrome de hipoplasia del corazón izquierdo</v>
          </cell>
        </row>
        <row r="7388">
          <cell r="A7388" t="str">
            <v>Q23.8</v>
          </cell>
          <cell r="B7388" t="str">
            <v>Otras malformaciones congénitas de las válvulas aórtica y mitral</v>
          </cell>
        </row>
        <row r="7389">
          <cell r="A7389" t="str">
            <v>Q23.9</v>
          </cell>
          <cell r="B7389" t="str">
            <v>Malformación congénita de las válvulas aórtica y mitral, no especificada</v>
          </cell>
        </row>
        <row r="7390">
          <cell r="A7390" t="str">
            <v>Q24</v>
          </cell>
          <cell r="B7390" t="str">
            <v>Otras malformaciones congénitas del corazón</v>
          </cell>
        </row>
        <row r="7391">
          <cell r="A7391" t="str">
            <v>Q24.0</v>
          </cell>
          <cell r="B7391" t="str">
            <v>Dextrocardia</v>
          </cell>
        </row>
        <row r="7392">
          <cell r="A7392" t="str">
            <v>Q24.1</v>
          </cell>
          <cell r="B7392" t="str">
            <v>Levocardia</v>
          </cell>
        </row>
        <row r="7393">
          <cell r="A7393" t="str">
            <v>Q24.2</v>
          </cell>
          <cell r="B7393" t="str">
            <v>Corazón triauricular</v>
          </cell>
        </row>
        <row r="7394">
          <cell r="A7394" t="str">
            <v>Q24.3</v>
          </cell>
          <cell r="B7394" t="str">
            <v>Estenosis del infundíbulo pulmonar</v>
          </cell>
        </row>
        <row r="7395">
          <cell r="A7395" t="str">
            <v>Q24.4</v>
          </cell>
          <cell r="B7395" t="str">
            <v>Estenosis subaórtica congénita</v>
          </cell>
        </row>
        <row r="7396">
          <cell r="A7396" t="str">
            <v>Q24.5</v>
          </cell>
          <cell r="B7396" t="str">
            <v>Malformación de los vasos coronarios</v>
          </cell>
        </row>
        <row r="7397">
          <cell r="A7397" t="str">
            <v>Q24.6</v>
          </cell>
          <cell r="B7397" t="str">
            <v>Bloqueo cardíaco congénito</v>
          </cell>
        </row>
        <row r="7398">
          <cell r="A7398" t="str">
            <v>Q24.8</v>
          </cell>
          <cell r="B7398" t="str">
            <v>Otras malformaciones congénitas del corazón, especificadas</v>
          </cell>
        </row>
        <row r="7399">
          <cell r="A7399" t="str">
            <v>Q24.9</v>
          </cell>
          <cell r="B7399" t="str">
            <v>Malformación congénita del corazón, no especificada</v>
          </cell>
        </row>
        <row r="7400">
          <cell r="A7400" t="str">
            <v>Q25</v>
          </cell>
          <cell r="B7400" t="str">
            <v>Malformaciones congénitas de las grandes arterias</v>
          </cell>
        </row>
        <row r="7401">
          <cell r="A7401" t="str">
            <v>Q25.0</v>
          </cell>
          <cell r="B7401" t="str">
            <v>Conducto arterioso permeable</v>
          </cell>
        </row>
        <row r="7402">
          <cell r="A7402" t="str">
            <v>Q25.1</v>
          </cell>
          <cell r="B7402" t="str">
            <v>Coartación de la aorta</v>
          </cell>
        </row>
        <row r="7403">
          <cell r="A7403" t="str">
            <v>Q25.2</v>
          </cell>
          <cell r="B7403" t="str">
            <v>Atresia de la aorta</v>
          </cell>
        </row>
        <row r="7404">
          <cell r="A7404" t="str">
            <v>Q25.3</v>
          </cell>
          <cell r="B7404" t="str">
            <v>Estenosis de la aorta</v>
          </cell>
        </row>
        <row r="7405">
          <cell r="A7405" t="str">
            <v>Q25.4</v>
          </cell>
          <cell r="B7405" t="str">
            <v>Otras malformaciones congénitas de la aorta</v>
          </cell>
        </row>
        <row r="7406">
          <cell r="A7406" t="str">
            <v>Q25.5</v>
          </cell>
          <cell r="B7406" t="str">
            <v>Atresia de la arteria pulmonar</v>
          </cell>
        </row>
        <row r="7407">
          <cell r="A7407" t="str">
            <v>Q25.6</v>
          </cell>
          <cell r="B7407" t="str">
            <v>Estenosis de la arteria pulmonar</v>
          </cell>
        </row>
        <row r="7408">
          <cell r="A7408" t="str">
            <v>Q25.7</v>
          </cell>
          <cell r="B7408" t="str">
            <v>Otras malformaciones congénitas de la arteria pulmonar</v>
          </cell>
        </row>
        <row r="7409">
          <cell r="A7409" t="str">
            <v>Q25.8</v>
          </cell>
          <cell r="B7409" t="str">
            <v>Otras malformaciones congénitas de las grandes arterias</v>
          </cell>
        </row>
        <row r="7410">
          <cell r="A7410" t="str">
            <v>Q25.9</v>
          </cell>
          <cell r="B7410" t="str">
            <v>Malformación congénita de las grandes arterias, no especificada</v>
          </cell>
        </row>
        <row r="7411">
          <cell r="A7411" t="str">
            <v>Q26</v>
          </cell>
          <cell r="B7411" t="str">
            <v>Malformaciones congénitas de las grandes venas</v>
          </cell>
        </row>
        <row r="7412">
          <cell r="A7412" t="str">
            <v>Q26.0</v>
          </cell>
          <cell r="B7412" t="str">
            <v>Estenosis congénita de la vena cava</v>
          </cell>
        </row>
        <row r="7413">
          <cell r="A7413" t="str">
            <v>Q26.1</v>
          </cell>
          <cell r="B7413" t="str">
            <v>Persistencia de la vena cava superior izquierda</v>
          </cell>
        </row>
        <row r="7414">
          <cell r="A7414" t="str">
            <v>Q26.2</v>
          </cell>
          <cell r="B7414" t="str">
            <v>Conexión anómala total de las venas pulmonares</v>
          </cell>
        </row>
        <row r="7415">
          <cell r="A7415" t="str">
            <v>Q26.3</v>
          </cell>
          <cell r="B7415" t="str">
            <v>Conexión anómala parcial de las venas pulmonares</v>
          </cell>
        </row>
        <row r="7416">
          <cell r="A7416" t="str">
            <v>Q26.4</v>
          </cell>
          <cell r="B7416" t="str">
            <v>Conexión anómala de las venas pulmonares, sin otra especificación</v>
          </cell>
        </row>
        <row r="7417">
          <cell r="A7417" t="str">
            <v>Q26.5</v>
          </cell>
          <cell r="B7417" t="str">
            <v>Conexión anómala de la vena porta</v>
          </cell>
        </row>
        <row r="7418">
          <cell r="A7418" t="str">
            <v>Q26.6</v>
          </cell>
          <cell r="B7418" t="str">
            <v>Fístula arteria hepática-vena porta</v>
          </cell>
        </row>
        <row r="7419">
          <cell r="A7419" t="str">
            <v>Q26.8</v>
          </cell>
          <cell r="B7419" t="str">
            <v>Otras malformaciones congénitas de las grandes venas</v>
          </cell>
        </row>
        <row r="7420">
          <cell r="A7420" t="str">
            <v>Q26.9</v>
          </cell>
          <cell r="B7420" t="str">
            <v>Malformación congénita de las grandes venas, no especificada</v>
          </cell>
        </row>
        <row r="7421">
          <cell r="A7421" t="str">
            <v>Q27</v>
          </cell>
          <cell r="B7421" t="str">
            <v>Otras malformaciones congénitas del sistema vascular periférico</v>
          </cell>
        </row>
        <row r="7422">
          <cell r="A7422" t="str">
            <v>Q27.0</v>
          </cell>
          <cell r="B7422" t="str">
            <v>Ausencia e hipoplasia congénita de la arteria umbilical</v>
          </cell>
        </row>
        <row r="7423">
          <cell r="A7423" t="str">
            <v>Q27.1</v>
          </cell>
          <cell r="B7423" t="str">
            <v>Estenosis congénita de la arteria renal</v>
          </cell>
        </row>
        <row r="7424">
          <cell r="A7424" t="str">
            <v>Q27.2</v>
          </cell>
          <cell r="B7424" t="str">
            <v>Otras malformaciones congénitas de la arteria renal</v>
          </cell>
        </row>
        <row r="7425">
          <cell r="A7425" t="str">
            <v>Q27.3</v>
          </cell>
          <cell r="B7425" t="str">
            <v>Malformación arteriovenosa periférica</v>
          </cell>
        </row>
        <row r="7426">
          <cell r="A7426" t="str">
            <v>Q27.4</v>
          </cell>
          <cell r="B7426" t="str">
            <v>Flebectasia congénita</v>
          </cell>
        </row>
        <row r="7427">
          <cell r="A7427" t="str">
            <v>Q27.8</v>
          </cell>
          <cell r="B7427" t="str">
            <v>Otras malformaciones congénitas del sistema vascular periférico, especificadas</v>
          </cell>
        </row>
        <row r="7428">
          <cell r="A7428" t="str">
            <v>Q27.9</v>
          </cell>
          <cell r="B7428" t="str">
            <v>Malformación congénita del sistema vascular periférico, no especificada</v>
          </cell>
        </row>
        <row r="7429">
          <cell r="A7429" t="str">
            <v>Q28</v>
          </cell>
          <cell r="B7429" t="str">
            <v>Otras malformaciones congénitas del sistema circulatorio</v>
          </cell>
        </row>
        <row r="7430">
          <cell r="A7430" t="str">
            <v>Q28.0</v>
          </cell>
          <cell r="B7430" t="str">
            <v>Malformación arteriovenosa de los vasos precerebrales</v>
          </cell>
        </row>
        <row r="7431">
          <cell r="A7431" t="str">
            <v>Q28.1</v>
          </cell>
          <cell r="B7431" t="str">
            <v>Otras malformaciones de los vasos precerebrales</v>
          </cell>
        </row>
        <row r="7432">
          <cell r="A7432" t="str">
            <v>Q28.2</v>
          </cell>
          <cell r="B7432" t="str">
            <v>Malformación arteriovenosa de los vasos cerebrales</v>
          </cell>
        </row>
        <row r="7433">
          <cell r="A7433" t="str">
            <v>Q28.3</v>
          </cell>
          <cell r="B7433" t="str">
            <v>Otras malformaciones de los vasos cerebrales</v>
          </cell>
        </row>
        <row r="7434">
          <cell r="A7434" t="str">
            <v>Q28.8</v>
          </cell>
          <cell r="B7434" t="str">
            <v>Otras malformaciones congénitas del sistema circulatorio, especificadas</v>
          </cell>
        </row>
        <row r="7435">
          <cell r="A7435" t="str">
            <v>Q28.9</v>
          </cell>
          <cell r="B7435" t="str">
            <v>Malformación congénita del sistema circulatorio, no especificada</v>
          </cell>
        </row>
        <row r="7436">
          <cell r="A7436" t="str">
            <v>Q30</v>
          </cell>
          <cell r="B7436" t="str">
            <v>Malformaciones congénitas de la nariz</v>
          </cell>
        </row>
        <row r="7437">
          <cell r="A7437" t="str">
            <v>Q30.0</v>
          </cell>
          <cell r="B7437" t="str">
            <v>Atresia de las coanas</v>
          </cell>
        </row>
        <row r="7438">
          <cell r="A7438" t="str">
            <v>Q30.1</v>
          </cell>
          <cell r="B7438" t="str">
            <v>Agenesia o hipoplasia de la nariz</v>
          </cell>
        </row>
        <row r="7439">
          <cell r="A7439" t="str">
            <v>Q30.2</v>
          </cell>
          <cell r="B7439" t="str">
            <v>Hendidura, fisura o muesca de la nariz</v>
          </cell>
        </row>
        <row r="7440">
          <cell r="A7440" t="str">
            <v>Q30.3</v>
          </cell>
          <cell r="B7440" t="str">
            <v>Perforación congénita del tabique nasal</v>
          </cell>
        </row>
        <row r="7441">
          <cell r="A7441" t="str">
            <v>Q30.8</v>
          </cell>
          <cell r="B7441" t="str">
            <v>Otras malformaciones congénitas de la nariz</v>
          </cell>
        </row>
        <row r="7442">
          <cell r="A7442" t="str">
            <v>Q30.9</v>
          </cell>
          <cell r="B7442" t="str">
            <v>Malformación congénita de la nariz, no especificada</v>
          </cell>
        </row>
        <row r="7443">
          <cell r="A7443" t="str">
            <v>Q31</v>
          </cell>
          <cell r="B7443" t="str">
            <v>Malformaciones congénitas de la laringe</v>
          </cell>
        </row>
        <row r="7444">
          <cell r="A7444" t="str">
            <v>Q31.0</v>
          </cell>
          <cell r="B7444" t="str">
            <v>Pterigión de la laringe</v>
          </cell>
        </row>
        <row r="7445">
          <cell r="A7445" t="str">
            <v>Q31.1</v>
          </cell>
          <cell r="B7445" t="str">
            <v>Estenosis subglótica congénita</v>
          </cell>
        </row>
        <row r="7446">
          <cell r="A7446" t="str">
            <v>Q31.2</v>
          </cell>
          <cell r="B7446" t="str">
            <v>Hipoplasia laríngea</v>
          </cell>
        </row>
        <row r="7447">
          <cell r="A7447" t="str">
            <v>Q31.3</v>
          </cell>
          <cell r="B7447" t="str">
            <v>Laringocele</v>
          </cell>
        </row>
        <row r="7448">
          <cell r="A7448" t="str">
            <v>Q31.4</v>
          </cell>
          <cell r="B7448" t="str">
            <v>Estridor laríngeo congénito</v>
          </cell>
        </row>
        <row r="7449">
          <cell r="A7449" t="str">
            <v>Q31.8</v>
          </cell>
          <cell r="B7449" t="str">
            <v>Otras malformaciones congénitas de la laringe</v>
          </cell>
        </row>
        <row r="7450">
          <cell r="A7450" t="str">
            <v>Q31.9</v>
          </cell>
          <cell r="B7450" t="str">
            <v>Malformación congénita de la laringe, no especificada</v>
          </cell>
        </row>
        <row r="7451">
          <cell r="A7451" t="str">
            <v>Q32</v>
          </cell>
          <cell r="B7451" t="str">
            <v>Malformaciones congénitas de la tráquea y de los bronquios</v>
          </cell>
        </row>
        <row r="7452">
          <cell r="A7452" t="str">
            <v>Q32.0</v>
          </cell>
          <cell r="B7452" t="str">
            <v>Traqueomalacia congénita</v>
          </cell>
        </row>
        <row r="7453">
          <cell r="A7453" t="str">
            <v>Q32.1</v>
          </cell>
          <cell r="B7453" t="str">
            <v>Otras malformaciones congénitas de la tráquea</v>
          </cell>
        </row>
        <row r="7454">
          <cell r="A7454" t="str">
            <v>Q32.2</v>
          </cell>
          <cell r="B7454" t="str">
            <v>Broncomalacia congénita</v>
          </cell>
        </row>
        <row r="7455">
          <cell r="A7455" t="str">
            <v>Q32.3</v>
          </cell>
          <cell r="B7455" t="str">
            <v>Estenosis congénita de los bronquios</v>
          </cell>
        </row>
        <row r="7456">
          <cell r="A7456" t="str">
            <v>Q32.4</v>
          </cell>
          <cell r="B7456" t="str">
            <v>Otras malformaciones congénitas de los bronquios</v>
          </cell>
        </row>
        <row r="7457">
          <cell r="A7457" t="str">
            <v>Q33</v>
          </cell>
          <cell r="B7457" t="str">
            <v>Malformaciones congénitas del pulmón</v>
          </cell>
        </row>
        <row r="7458">
          <cell r="A7458" t="str">
            <v>Q33.0</v>
          </cell>
          <cell r="B7458" t="str">
            <v>Quiste pulmonar congénito</v>
          </cell>
        </row>
        <row r="7459">
          <cell r="A7459" t="str">
            <v>Q33.1</v>
          </cell>
          <cell r="B7459" t="str">
            <v>Lóbulo pulmonar supernumerario</v>
          </cell>
        </row>
        <row r="7460">
          <cell r="A7460" t="str">
            <v>Q33.2</v>
          </cell>
          <cell r="B7460" t="str">
            <v>Secuestro del pulmón</v>
          </cell>
        </row>
        <row r="7461">
          <cell r="A7461" t="str">
            <v>Q33.3</v>
          </cell>
          <cell r="B7461" t="str">
            <v>Agenesia del pulmón</v>
          </cell>
        </row>
        <row r="7462">
          <cell r="A7462" t="str">
            <v>Q33.4</v>
          </cell>
          <cell r="B7462" t="str">
            <v>Bronquiectasia congénita</v>
          </cell>
        </row>
        <row r="7463">
          <cell r="A7463" t="str">
            <v>Q33.5</v>
          </cell>
          <cell r="B7463" t="str">
            <v>Tejido ectópico en el pulmón</v>
          </cell>
        </row>
        <row r="7464">
          <cell r="A7464" t="str">
            <v>Q33.6</v>
          </cell>
          <cell r="B7464" t="str">
            <v>Hipoplasia y displasia pulmonar</v>
          </cell>
        </row>
        <row r="7465">
          <cell r="A7465" t="str">
            <v>Q33.8</v>
          </cell>
          <cell r="B7465" t="str">
            <v>Otras malformaciones congénitas del pulmón</v>
          </cell>
        </row>
        <row r="7466">
          <cell r="A7466" t="str">
            <v>Q33.9</v>
          </cell>
          <cell r="B7466" t="str">
            <v>Malformación congénita del pulmón, no especificada</v>
          </cell>
        </row>
        <row r="7467">
          <cell r="A7467" t="str">
            <v>Q34</v>
          </cell>
          <cell r="B7467" t="str">
            <v>Otras malformaciones congénitas del sistema respiratorio</v>
          </cell>
        </row>
        <row r="7468">
          <cell r="A7468" t="str">
            <v>Q34.0</v>
          </cell>
          <cell r="B7468" t="str">
            <v>Anomalía de la pleura</v>
          </cell>
        </row>
        <row r="7469">
          <cell r="A7469" t="str">
            <v>Q34.1</v>
          </cell>
          <cell r="B7469" t="str">
            <v>Quiste congénito del mediastino</v>
          </cell>
        </row>
        <row r="7470">
          <cell r="A7470" t="str">
            <v>Q34.8</v>
          </cell>
          <cell r="B7470" t="str">
            <v>Otras malformaciones congénitas especificadas del sistema respiratorio</v>
          </cell>
        </row>
        <row r="7471">
          <cell r="A7471" t="str">
            <v>Q34.9</v>
          </cell>
          <cell r="B7471" t="str">
            <v>Malformación congénita del sistema respiratorio, no especificada</v>
          </cell>
        </row>
        <row r="7472">
          <cell r="A7472" t="str">
            <v>Q35</v>
          </cell>
          <cell r="B7472" t="str">
            <v>Fisura del paladar</v>
          </cell>
        </row>
        <row r="7473">
          <cell r="A7473" t="str">
            <v>Q35.0</v>
          </cell>
          <cell r="B7473" t="str">
            <v>Fisura del paladar duro, bilateral</v>
          </cell>
        </row>
        <row r="7474">
          <cell r="A7474" t="str">
            <v>Q35.1</v>
          </cell>
          <cell r="B7474" t="str">
            <v>Fisura del paladar duro, unilateral</v>
          </cell>
        </row>
        <row r="7475">
          <cell r="A7475" t="str">
            <v>Q35.2</v>
          </cell>
          <cell r="B7475" t="str">
            <v>Fisura del paladar blando, bilateral</v>
          </cell>
        </row>
        <row r="7476">
          <cell r="A7476" t="str">
            <v>Q35.3</v>
          </cell>
          <cell r="B7476" t="str">
            <v>Fisura del paladar blando, unilateral</v>
          </cell>
        </row>
        <row r="7477">
          <cell r="A7477" t="str">
            <v>Q35.4</v>
          </cell>
          <cell r="B7477" t="str">
            <v>Fisura del paladar duro y del paladar blando, bilateral</v>
          </cell>
        </row>
        <row r="7478">
          <cell r="A7478" t="str">
            <v>Q35.5</v>
          </cell>
          <cell r="B7478" t="str">
            <v>Fisura del paladar duro y del paladar blando, unilateral</v>
          </cell>
        </row>
        <row r="7479">
          <cell r="A7479" t="str">
            <v>Q35.6</v>
          </cell>
          <cell r="B7479" t="str">
            <v>Fisura del paladar, línea media</v>
          </cell>
        </row>
        <row r="7480">
          <cell r="A7480" t="str">
            <v>Q35.7</v>
          </cell>
          <cell r="B7480" t="str">
            <v>Fisura de la úvula</v>
          </cell>
        </row>
        <row r="7481">
          <cell r="A7481" t="str">
            <v>Q35.8</v>
          </cell>
          <cell r="B7481" t="str">
            <v>Fisura del paladar bilateral, sin otra especificación</v>
          </cell>
        </row>
        <row r="7482">
          <cell r="A7482" t="str">
            <v>Q35.9</v>
          </cell>
          <cell r="B7482" t="str">
            <v>Fisura del paladar unilateral, sin otra especificación</v>
          </cell>
        </row>
        <row r="7483">
          <cell r="A7483" t="str">
            <v>Q36</v>
          </cell>
          <cell r="B7483" t="str">
            <v>Labio leporino</v>
          </cell>
        </row>
        <row r="7484">
          <cell r="A7484" t="str">
            <v>Q36.0</v>
          </cell>
          <cell r="B7484" t="str">
            <v>Labio leporino, bilateral</v>
          </cell>
        </row>
        <row r="7485">
          <cell r="A7485" t="str">
            <v>Q36.1</v>
          </cell>
          <cell r="B7485" t="str">
            <v>Labio leporino, línea media</v>
          </cell>
        </row>
        <row r="7486">
          <cell r="A7486" t="str">
            <v>Q36.9</v>
          </cell>
          <cell r="B7486" t="str">
            <v>Labio leporino, unilateral</v>
          </cell>
        </row>
        <row r="7487">
          <cell r="A7487" t="str">
            <v>Q37</v>
          </cell>
          <cell r="B7487" t="str">
            <v>Fisura del paladar con labio leporino</v>
          </cell>
        </row>
        <row r="7488">
          <cell r="A7488" t="str">
            <v>Q37.0</v>
          </cell>
          <cell r="B7488" t="str">
            <v>Fisura del paladar duro con labio leporino, bilateral</v>
          </cell>
        </row>
        <row r="7489">
          <cell r="A7489" t="str">
            <v>Q37.1</v>
          </cell>
          <cell r="B7489" t="str">
            <v>Fisura del paladar duro con labio leporino, unilateral</v>
          </cell>
        </row>
        <row r="7490">
          <cell r="A7490" t="str">
            <v>Q37.2</v>
          </cell>
          <cell r="B7490" t="str">
            <v>Fisura del paladar blando con labio leporino, bilateral</v>
          </cell>
        </row>
        <row r="7491">
          <cell r="A7491" t="str">
            <v>Q37.3</v>
          </cell>
          <cell r="B7491" t="str">
            <v>Fisura del paladar blando con labio leporino, unilateral</v>
          </cell>
        </row>
        <row r="7492">
          <cell r="A7492" t="str">
            <v>Q37.4</v>
          </cell>
          <cell r="B7492" t="str">
            <v>Fisura del paladar duro y del paladar blando con labio leporino, bilateral</v>
          </cell>
        </row>
        <row r="7493">
          <cell r="A7493" t="str">
            <v>Q37.5</v>
          </cell>
          <cell r="B7493" t="str">
            <v>Fisura del paladar duro y del paladar blando con labio leporino, unilateral</v>
          </cell>
        </row>
        <row r="7494">
          <cell r="A7494" t="str">
            <v>Q37.8</v>
          </cell>
          <cell r="B7494" t="str">
            <v>Fisura del paladar con labio leporino bilateral, sin otra especificación</v>
          </cell>
        </row>
        <row r="7495">
          <cell r="A7495" t="str">
            <v>Q37.9</v>
          </cell>
          <cell r="B7495" t="str">
            <v>Fisura del paladar con labio leporino unilateral, sin otra especificación</v>
          </cell>
        </row>
        <row r="7496">
          <cell r="A7496" t="str">
            <v>Q38</v>
          </cell>
          <cell r="B7496" t="str">
            <v>Otras malformaciones congénitas de la lengua, de la boca y de la faringe</v>
          </cell>
        </row>
        <row r="7497">
          <cell r="A7497" t="str">
            <v>Q38.0</v>
          </cell>
          <cell r="B7497" t="str">
            <v>Malformaciones congénitas de los labios, no clasificadas en otra parte</v>
          </cell>
        </row>
        <row r="7498">
          <cell r="A7498" t="str">
            <v>Q38.1</v>
          </cell>
          <cell r="B7498" t="str">
            <v>Anquiloglosia</v>
          </cell>
        </row>
        <row r="7499">
          <cell r="A7499" t="str">
            <v>Q38.2</v>
          </cell>
          <cell r="B7499" t="str">
            <v>Macroglosia</v>
          </cell>
        </row>
        <row r="7500">
          <cell r="A7500" t="str">
            <v>Q38.3</v>
          </cell>
          <cell r="B7500" t="str">
            <v>Otras malformaciones congénitas de la lengua</v>
          </cell>
        </row>
        <row r="7501">
          <cell r="A7501" t="str">
            <v>Q38.4</v>
          </cell>
          <cell r="B7501" t="str">
            <v>Malformaciones congénitas de las glándulas y de los conductos salivales</v>
          </cell>
        </row>
        <row r="7502">
          <cell r="A7502" t="str">
            <v>Q38.5</v>
          </cell>
          <cell r="B7502" t="str">
            <v>Malformaciones congénitas del paladar, no clasificadas en otra parte</v>
          </cell>
        </row>
        <row r="7503">
          <cell r="A7503" t="str">
            <v>Q38.6</v>
          </cell>
          <cell r="B7503" t="str">
            <v>Otras malformaciones congénitas de la boca</v>
          </cell>
        </row>
        <row r="7504">
          <cell r="A7504" t="str">
            <v>Q38.7</v>
          </cell>
          <cell r="B7504" t="str">
            <v>Divertículo faríngeo</v>
          </cell>
        </row>
        <row r="7505">
          <cell r="A7505" t="str">
            <v>Q38.8</v>
          </cell>
          <cell r="B7505" t="str">
            <v>Otras malformaciones congénitas de la faringe</v>
          </cell>
        </row>
        <row r="7506">
          <cell r="A7506" t="str">
            <v>Q39</v>
          </cell>
          <cell r="B7506" t="str">
            <v>Malformaciones congénitas del esófago</v>
          </cell>
        </row>
        <row r="7507">
          <cell r="A7507" t="str">
            <v>Q39.0</v>
          </cell>
          <cell r="B7507" t="str">
            <v>Atresia del esófago sin mención de fístula</v>
          </cell>
        </row>
        <row r="7508">
          <cell r="A7508" t="str">
            <v>Q39.1</v>
          </cell>
          <cell r="B7508" t="str">
            <v>Atresia del esófago con fístula traqueoesofágica</v>
          </cell>
        </row>
        <row r="7509">
          <cell r="A7509" t="str">
            <v>Q39.2</v>
          </cell>
          <cell r="B7509" t="str">
            <v>Fístula traqueoesofágica congénita sin mención de atresia</v>
          </cell>
        </row>
        <row r="7510">
          <cell r="A7510" t="str">
            <v>Q39.3</v>
          </cell>
          <cell r="B7510" t="str">
            <v>Estrechez o estenosis congénita del esófago</v>
          </cell>
        </row>
        <row r="7511">
          <cell r="A7511" t="str">
            <v>Q39.4</v>
          </cell>
          <cell r="B7511" t="str">
            <v>Pterigión del esófago</v>
          </cell>
        </row>
        <row r="7512">
          <cell r="A7512" t="str">
            <v>Q39.5</v>
          </cell>
          <cell r="B7512" t="str">
            <v>Dilatación congénita del esófago</v>
          </cell>
        </row>
        <row r="7513">
          <cell r="A7513" t="str">
            <v>Q39.6</v>
          </cell>
          <cell r="B7513" t="str">
            <v>Divertículo del esófago</v>
          </cell>
        </row>
        <row r="7514">
          <cell r="A7514" t="str">
            <v>Q39.8</v>
          </cell>
          <cell r="B7514" t="str">
            <v>Otras malformaciones congénitas del esófago</v>
          </cell>
        </row>
        <row r="7515">
          <cell r="A7515" t="str">
            <v>Q39.9</v>
          </cell>
          <cell r="B7515" t="str">
            <v>Malformación congénita del esófago, no especificada</v>
          </cell>
        </row>
        <row r="7516">
          <cell r="A7516" t="str">
            <v>Q40</v>
          </cell>
          <cell r="B7516" t="str">
            <v>Otras malformaciones congénitas de la parte superior del tubo digestivo</v>
          </cell>
        </row>
        <row r="7517">
          <cell r="A7517" t="str">
            <v>Q40.0</v>
          </cell>
          <cell r="B7517" t="str">
            <v>Estenosis hipertrófica congénita del píloro</v>
          </cell>
        </row>
        <row r="7518">
          <cell r="A7518" t="str">
            <v>Q40.1</v>
          </cell>
          <cell r="B7518" t="str">
            <v>Hernia hiatal congénita</v>
          </cell>
        </row>
        <row r="7519">
          <cell r="A7519" t="str">
            <v>Q40.2</v>
          </cell>
          <cell r="B7519" t="str">
            <v>Otras malformaciones congénitas del estómago, especificadas</v>
          </cell>
        </row>
        <row r="7520">
          <cell r="A7520" t="str">
            <v>Q40.3</v>
          </cell>
          <cell r="B7520" t="str">
            <v>Malformación congénita del estómago, no especificada</v>
          </cell>
        </row>
        <row r="7521">
          <cell r="A7521" t="str">
            <v>Q40.8</v>
          </cell>
          <cell r="B7521" t="str">
            <v>Otras malformaciones congénitas de la parte superior del tubo digestivo</v>
          </cell>
        </row>
        <row r="7522">
          <cell r="A7522" t="str">
            <v>Q40.9</v>
          </cell>
          <cell r="B7522" t="str">
            <v>Malformación congénita de la parte superior del tubo digestivo, no especificada</v>
          </cell>
        </row>
        <row r="7523">
          <cell r="A7523" t="str">
            <v>Q41</v>
          </cell>
          <cell r="B7523" t="str">
            <v>Ausencia, atresia y estenosis congénita del intestino delgado</v>
          </cell>
        </row>
        <row r="7524">
          <cell r="A7524" t="str">
            <v>Q41.0</v>
          </cell>
          <cell r="B7524" t="str">
            <v>Ausencia, atresia y estenosis congénita del duodeno</v>
          </cell>
        </row>
        <row r="7525">
          <cell r="A7525" t="str">
            <v>Q41.1</v>
          </cell>
          <cell r="B7525" t="str">
            <v>Ausencia, atresia y estenosis congénita del yeyuno</v>
          </cell>
        </row>
        <row r="7526">
          <cell r="A7526" t="str">
            <v>Q41.2</v>
          </cell>
          <cell r="B7526" t="str">
            <v>Ausencia, atresia y estenosis congénita del íleon</v>
          </cell>
        </row>
        <row r="7527">
          <cell r="A7527" t="str">
            <v>Q41.8</v>
          </cell>
          <cell r="B7527" t="str">
            <v>Ausencia, atresia y estenosis congénita de otras partes especificadas del intestino delgado</v>
          </cell>
        </row>
        <row r="7528">
          <cell r="A7528" t="str">
            <v>Q41.9</v>
          </cell>
          <cell r="B7528" t="str">
            <v>Ausencia, atresia y estenosis congénita del intestino delgado, parte no especificada</v>
          </cell>
        </row>
        <row r="7529">
          <cell r="A7529" t="str">
            <v>Q42</v>
          </cell>
          <cell r="B7529" t="str">
            <v>Ausencia, atresia y estenosis congénita del intestino grueso</v>
          </cell>
        </row>
        <row r="7530">
          <cell r="A7530" t="str">
            <v>Q42.0</v>
          </cell>
          <cell r="B7530" t="str">
            <v>Ausencia, atresia y estenosis congénita del recto, con fístula</v>
          </cell>
        </row>
        <row r="7531">
          <cell r="A7531" t="str">
            <v>Q42.1</v>
          </cell>
          <cell r="B7531" t="str">
            <v>Ausencia, atresia y estenosis congénita del recto, sin fístula</v>
          </cell>
        </row>
        <row r="7532">
          <cell r="A7532" t="str">
            <v>Q42.2</v>
          </cell>
          <cell r="B7532" t="str">
            <v>Ausencia, atresia y estenosis congénita del ano, con fístula</v>
          </cell>
        </row>
        <row r="7533">
          <cell r="A7533" t="str">
            <v>Q42.3</v>
          </cell>
          <cell r="B7533" t="str">
            <v>Ausencia, atresia y estenosis congénita del ano, sin fístula</v>
          </cell>
        </row>
        <row r="7534">
          <cell r="A7534" t="str">
            <v>Q42.8</v>
          </cell>
          <cell r="B7534" t="str">
            <v>Ausencia, atresia y estenosis congénita de otras partes del intestino grueso</v>
          </cell>
        </row>
        <row r="7535">
          <cell r="A7535" t="str">
            <v>Q42.9</v>
          </cell>
          <cell r="B7535" t="str">
            <v>Ausencia, atresia y estenosis congénita del intestino grueso, parte no especificada</v>
          </cell>
        </row>
        <row r="7536">
          <cell r="A7536" t="str">
            <v>Q43</v>
          </cell>
          <cell r="B7536" t="str">
            <v>Otras malformaciones congénitas del intestino</v>
          </cell>
        </row>
        <row r="7537">
          <cell r="A7537" t="str">
            <v>Q43.0</v>
          </cell>
          <cell r="B7537" t="str">
            <v>Divertículo de Meckel</v>
          </cell>
        </row>
        <row r="7538">
          <cell r="A7538" t="str">
            <v>Q43.1</v>
          </cell>
          <cell r="B7538" t="str">
            <v>Enfermedad de Hirschsprung</v>
          </cell>
        </row>
        <row r="7539">
          <cell r="A7539" t="str">
            <v>Q43.2</v>
          </cell>
          <cell r="B7539" t="str">
            <v>Otros trastornos funcionales congénitos del colon</v>
          </cell>
        </row>
        <row r="7540">
          <cell r="A7540" t="str">
            <v>Q43.3</v>
          </cell>
          <cell r="B7540" t="str">
            <v>Malformaciones congénitas de la fijación del intestino</v>
          </cell>
        </row>
        <row r="7541">
          <cell r="A7541" t="str">
            <v>Q43.4</v>
          </cell>
          <cell r="B7541" t="str">
            <v>Duplicación del intestino</v>
          </cell>
        </row>
        <row r="7542">
          <cell r="A7542" t="str">
            <v>Q43.5</v>
          </cell>
          <cell r="B7542" t="str">
            <v>Ano ectópico</v>
          </cell>
        </row>
        <row r="7543">
          <cell r="A7543" t="str">
            <v>Q43.6</v>
          </cell>
          <cell r="B7543" t="str">
            <v>Fístula congénita del recto y del ano</v>
          </cell>
        </row>
        <row r="7544">
          <cell r="A7544" t="str">
            <v>Q43.7</v>
          </cell>
          <cell r="B7544" t="str">
            <v>Persistencia de la cloaca</v>
          </cell>
        </row>
        <row r="7545">
          <cell r="A7545" t="str">
            <v>Q43.8</v>
          </cell>
          <cell r="B7545" t="str">
            <v>Otras malformaciones congénitas del intestino, especificadas</v>
          </cell>
        </row>
        <row r="7546">
          <cell r="A7546" t="str">
            <v>Q43.9</v>
          </cell>
          <cell r="B7546" t="str">
            <v>Malformación congénita del intestino, no especificada</v>
          </cell>
        </row>
        <row r="7547">
          <cell r="A7547" t="str">
            <v>Q44</v>
          </cell>
          <cell r="B7547" t="str">
            <v>Malformaciones congénitas de la vesícula biliar, de los conductos biliares y  del hígado</v>
          </cell>
        </row>
        <row r="7548">
          <cell r="A7548" t="str">
            <v>Q44.0</v>
          </cell>
          <cell r="B7548" t="str">
            <v>Agenesia, aplasia e hipoplasia de la vesícula biliar</v>
          </cell>
        </row>
        <row r="7549">
          <cell r="A7549" t="str">
            <v>Q44.1</v>
          </cell>
          <cell r="B7549" t="str">
            <v>Otras malformaciones congénitas de la vesícula biliar</v>
          </cell>
        </row>
        <row r="7550">
          <cell r="A7550" t="str">
            <v>Q44.2</v>
          </cell>
          <cell r="B7550" t="str">
            <v>Atresia de los conductos biliares</v>
          </cell>
        </row>
        <row r="7551">
          <cell r="A7551" t="str">
            <v>Q44.3</v>
          </cell>
          <cell r="B7551" t="str">
            <v>Estrechez y estenosis congénita de los conductos biliares</v>
          </cell>
        </row>
        <row r="7552">
          <cell r="A7552" t="str">
            <v>Q44.4</v>
          </cell>
          <cell r="B7552" t="str">
            <v>Quiste del colédoco</v>
          </cell>
        </row>
        <row r="7553">
          <cell r="A7553" t="str">
            <v>Q44.5</v>
          </cell>
          <cell r="B7553" t="str">
            <v>Otras malformaciones congénitas de los conductos biliares</v>
          </cell>
        </row>
        <row r="7554">
          <cell r="A7554" t="str">
            <v>Q44.6</v>
          </cell>
          <cell r="B7554" t="str">
            <v>Enfermedad quística del hígado</v>
          </cell>
        </row>
        <row r="7555">
          <cell r="A7555" t="str">
            <v>Q44.7</v>
          </cell>
          <cell r="B7555" t="str">
            <v>Otras malformaciones congénitas del hígado</v>
          </cell>
        </row>
        <row r="7556">
          <cell r="A7556" t="str">
            <v>Q45</v>
          </cell>
          <cell r="B7556" t="str">
            <v>Otras malformaciones congénitas del sistema digestivo</v>
          </cell>
        </row>
        <row r="7557">
          <cell r="A7557" t="str">
            <v>Q45.0</v>
          </cell>
          <cell r="B7557" t="str">
            <v>Agenesia, aplasia e hipoplasia del páncreas</v>
          </cell>
        </row>
        <row r="7558">
          <cell r="A7558" t="str">
            <v>Q45.1</v>
          </cell>
          <cell r="B7558" t="str">
            <v>Páncreas anular</v>
          </cell>
        </row>
        <row r="7559">
          <cell r="A7559" t="str">
            <v>Q45.2</v>
          </cell>
          <cell r="B7559" t="str">
            <v>Quiste congénito del páncreas</v>
          </cell>
        </row>
        <row r="7560">
          <cell r="A7560" t="str">
            <v>Q45.3</v>
          </cell>
          <cell r="B7560" t="str">
            <v>Otras malformaciones congénitas del páncreas y del conducto pancreático</v>
          </cell>
        </row>
        <row r="7561">
          <cell r="A7561" t="str">
            <v>Q45.8</v>
          </cell>
          <cell r="B7561" t="str">
            <v>Otras malformaciones congénitas del sistema digestivo, especificadas</v>
          </cell>
        </row>
        <row r="7562">
          <cell r="A7562" t="str">
            <v>Q45.9</v>
          </cell>
          <cell r="B7562" t="str">
            <v>Malformación congénita del sistema digestivo, no especificada</v>
          </cell>
        </row>
        <row r="7563">
          <cell r="A7563" t="str">
            <v>Q50</v>
          </cell>
          <cell r="B7563" t="str">
            <v>Malformaciones congénitas de los ovarios, de las trompas de Falopio y de los ligamentos anchos</v>
          </cell>
        </row>
        <row r="7564">
          <cell r="A7564" t="str">
            <v>Q50.0</v>
          </cell>
          <cell r="B7564" t="str">
            <v>Ausencia congénita de ovario</v>
          </cell>
        </row>
        <row r="7565">
          <cell r="A7565" t="str">
            <v>Q50.1</v>
          </cell>
          <cell r="B7565" t="str">
            <v>Quiste en desarrollo del ovario</v>
          </cell>
        </row>
        <row r="7566">
          <cell r="A7566" t="str">
            <v>Q50.2</v>
          </cell>
          <cell r="B7566" t="str">
            <v>Torsión congénita del ovario</v>
          </cell>
        </row>
        <row r="7567">
          <cell r="A7567" t="str">
            <v>Q50.3</v>
          </cell>
          <cell r="B7567" t="str">
            <v>Otras malformaciones congénitas de los ovarios</v>
          </cell>
        </row>
        <row r="7568">
          <cell r="A7568" t="str">
            <v>Q50.4</v>
          </cell>
          <cell r="B7568" t="str">
            <v>Quiste embrionario de la trompa de Falopio</v>
          </cell>
        </row>
        <row r="7569">
          <cell r="A7569" t="str">
            <v>Q50.5</v>
          </cell>
          <cell r="B7569" t="str">
            <v>Quiste embrionario del ligamento ancho</v>
          </cell>
        </row>
        <row r="7570">
          <cell r="A7570" t="str">
            <v>Q50.6</v>
          </cell>
          <cell r="B7570" t="str">
            <v>Otras malformaciones congénitas de la trompa de Falopio y del ligamento ancho</v>
          </cell>
        </row>
        <row r="7571">
          <cell r="A7571" t="str">
            <v>Q51</v>
          </cell>
          <cell r="B7571" t="str">
            <v>Malformaciones congénitas del útero y del cuello uterino</v>
          </cell>
        </row>
        <row r="7572">
          <cell r="A7572" t="str">
            <v>Q51.0</v>
          </cell>
          <cell r="B7572" t="str">
            <v>Agenesia y aplasia del útero</v>
          </cell>
        </row>
        <row r="7573">
          <cell r="A7573" t="str">
            <v>Q51.1</v>
          </cell>
          <cell r="B7573" t="str">
            <v>Duplicación del útero con duplicación del cuello uterino y de la vagina</v>
          </cell>
        </row>
        <row r="7574">
          <cell r="A7574" t="str">
            <v>Q51.2</v>
          </cell>
          <cell r="B7574" t="str">
            <v>Otra duplicación del útero</v>
          </cell>
        </row>
        <row r="7575">
          <cell r="A7575" t="str">
            <v>Q51.3</v>
          </cell>
          <cell r="B7575" t="str">
            <v>Utero bicorne</v>
          </cell>
        </row>
        <row r="7576">
          <cell r="A7576" t="str">
            <v>Q51.4</v>
          </cell>
          <cell r="B7576" t="str">
            <v>Utero unicorne</v>
          </cell>
        </row>
        <row r="7577">
          <cell r="A7577" t="str">
            <v>Q51.5</v>
          </cell>
          <cell r="B7577" t="str">
            <v>Agenesia y aplasia del cuello uterino</v>
          </cell>
        </row>
        <row r="7578">
          <cell r="A7578" t="str">
            <v>Q51.6</v>
          </cell>
          <cell r="B7578" t="str">
            <v>Quiste embrionario del cuello uterino</v>
          </cell>
        </row>
        <row r="7579">
          <cell r="A7579" t="str">
            <v>Q51.7</v>
          </cell>
          <cell r="B7579" t="str">
            <v>Fístula congénita entre el útero y el tracto digestivo y urinario</v>
          </cell>
        </row>
        <row r="7580">
          <cell r="A7580" t="str">
            <v>Q51.8</v>
          </cell>
          <cell r="B7580" t="str">
            <v>Otras malformaciones congénitas del útero y del cuello uterino</v>
          </cell>
        </row>
        <row r="7581">
          <cell r="A7581" t="str">
            <v>Q51.9</v>
          </cell>
          <cell r="B7581" t="str">
            <v>Malformación congénita del útero y del cuello uterino, no especificada</v>
          </cell>
        </row>
        <row r="7582">
          <cell r="A7582" t="str">
            <v>Q52</v>
          </cell>
          <cell r="B7582" t="str">
            <v>Otras malformaciones congénitas de los órganos genitales femeninos</v>
          </cell>
        </row>
        <row r="7583">
          <cell r="A7583" t="str">
            <v>Q52.0</v>
          </cell>
          <cell r="B7583" t="str">
            <v>Ausencia congénita de la vagina</v>
          </cell>
        </row>
        <row r="7584">
          <cell r="A7584" t="str">
            <v>Q52.1</v>
          </cell>
          <cell r="B7584" t="str">
            <v>Duplicación de la vagina</v>
          </cell>
        </row>
        <row r="7585">
          <cell r="A7585" t="str">
            <v>Q52.2</v>
          </cell>
          <cell r="B7585" t="str">
            <v>Fístula rectovaginal congénita</v>
          </cell>
        </row>
        <row r="7586">
          <cell r="A7586" t="str">
            <v>Q52.3</v>
          </cell>
          <cell r="B7586" t="str">
            <v>Himen imperforado</v>
          </cell>
        </row>
        <row r="7587">
          <cell r="A7587" t="str">
            <v>Q52.4</v>
          </cell>
          <cell r="B7587" t="str">
            <v>Otras malformaciones congénitas de la vagina</v>
          </cell>
        </row>
        <row r="7588">
          <cell r="A7588" t="str">
            <v>Q52.5</v>
          </cell>
          <cell r="B7588" t="str">
            <v>Fusión de labios de la vulva</v>
          </cell>
        </row>
        <row r="7589">
          <cell r="A7589" t="str">
            <v>Q52.6</v>
          </cell>
          <cell r="B7589" t="str">
            <v>Malformación congénita del clítoris</v>
          </cell>
        </row>
        <row r="7590">
          <cell r="A7590" t="str">
            <v>Q52.7</v>
          </cell>
          <cell r="B7590" t="str">
            <v>Otras malformaciones congénitas de la vulva</v>
          </cell>
        </row>
        <row r="7591">
          <cell r="A7591" t="str">
            <v>Q52.8</v>
          </cell>
          <cell r="B7591" t="str">
            <v>Otras malformaciones congénitas de los órganos genitales femeninos, especificadas</v>
          </cell>
        </row>
        <row r="7592">
          <cell r="A7592" t="str">
            <v>Q52.9</v>
          </cell>
          <cell r="B7592" t="str">
            <v>Malformación congénita de los genitales femeninos, no especificada</v>
          </cell>
        </row>
        <row r="7593">
          <cell r="A7593" t="str">
            <v>Q53</v>
          </cell>
          <cell r="B7593" t="str">
            <v>Testículo no descendido</v>
          </cell>
        </row>
        <row r="7594">
          <cell r="A7594" t="str">
            <v>Q53.0</v>
          </cell>
          <cell r="B7594" t="str">
            <v>Ectopia testicular</v>
          </cell>
        </row>
        <row r="7595">
          <cell r="A7595" t="str">
            <v>Q53.1</v>
          </cell>
          <cell r="B7595" t="str">
            <v>Testículo no descendido, unilateral</v>
          </cell>
        </row>
        <row r="7596">
          <cell r="A7596" t="str">
            <v>Q53.2</v>
          </cell>
          <cell r="B7596" t="str">
            <v>Testículo no descendido, bilateral</v>
          </cell>
        </row>
        <row r="7597">
          <cell r="A7597" t="str">
            <v>Q53.9</v>
          </cell>
          <cell r="B7597" t="str">
            <v>Testículo no descendido, sin otra especificación</v>
          </cell>
        </row>
        <row r="7598">
          <cell r="A7598" t="str">
            <v>Q54</v>
          </cell>
          <cell r="B7598" t="str">
            <v>Hipospadias</v>
          </cell>
        </row>
        <row r="7599">
          <cell r="A7599" t="str">
            <v>Q54.0</v>
          </cell>
          <cell r="B7599" t="str">
            <v>Hipospadias del glande</v>
          </cell>
        </row>
        <row r="7600">
          <cell r="A7600" t="str">
            <v>Q54.1</v>
          </cell>
          <cell r="B7600" t="str">
            <v>Hipospadias peneana</v>
          </cell>
        </row>
        <row r="7601">
          <cell r="A7601" t="str">
            <v>Q54.2</v>
          </cell>
          <cell r="B7601" t="str">
            <v>Hipospadias penoscrotal</v>
          </cell>
        </row>
        <row r="7602">
          <cell r="A7602" t="str">
            <v>Q54.3</v>
          </cell>
          <cell r="B7602" t="str">
            <v>Hipospadias perineal</v>
          </cell>
        </row>
        <row r="7603">
          <cell r="A7603" t="str">
            <v>Q54.4</v>
          </cell>
          <cell r="B7603" t="str">
            <v>Encordamiento congénito del pene</v>
          </cell>
        </row>
        <row r="7604">
          <cell r="A7604" t="str">
            <v>Q54.8</v>
          </cell>
          <cell r="B7604" t="str">
            <v>Otras hipospadias</v>
          </cell>
        </row>
        <row r="7605">
          <cell r="A7605" t="str">
            <v>Q54.9</v>
          </cell>
          <cell r="B7605" t="str">
            <v>Hipospadias, no especificada</v>
          </cell>
        </row>
        <row r="7606">
          <cell r="A7606" t="str">
            <v>Q55</v>
          </cell>
          <cell r="B7606" t="str">
            <v>Otras malformaciones congénitas de los órganos genitales masculinos</v>
          </cell>
        </row>
        <row r="7607">
          <cell r="A7607" t="str">
            <v>Q55.0</v>
          </cell>
          <cell r="B7607" t="str">
            <v>Ausencia y aplasia del testículo</v>
          </cell>
        </row>
        <row r="7608">
          <cell r="A7608" t="str">
            <v>Q55.1</v>
          </cell>
          <cell r="B7608" t="str">
            <v>Hipoplasia del testículo y del escroto</v>
          </cell>
        </row>
        <row r="7609">
          <cell r="A7609" t="str">
            <v>Q55.2</v>
          </cell>
          <cell r="B7609" t="str">
            <v>Otras malformaciones congénitas de los testículos y del escroto</v>
          </cell>
        </row>
        <row r="7610">
          <cell r="A7610" t="str">
            <v>Q55.3</v>
          </cell>
          <cell r="B7610" t="str">
            <v>Atresia del conducto deferente</v>
          </cell>
        </row>
        <row r="7611">
          <cell r="A7611" t="str">
            <v>Q55.4</v>
          </cell>
          <cell r="B7611" t="str">
            <v>Otras malformaciones congénitas de los conductos deferentes, del epidídimo, de las vesículas seminales y de la próstata</v>
          </cell>
        </row>
        <row r="7612">
          <cell r="A7612" t="str">
            <v>Q55.5</v>
          </cell>
          <cell r="B7612" t="str">
            <v>Aplasia y ausencia congénita del pene</v>
          </cell>
        </row>
        <row r="7613">
          <cell r="A7613" t="str">
            <v>Q55.6</v>
          </cell>
          <cell r="B7613" t="str">
            <v>Otras malformaciones congénitas del pene</v>
          </cell>
        </row>
        <row r="7614">
          <cell r="A7614" t="str">
            <v>Q55.8</v>
          </cell>
          <cell r="B7614" t="str">
            <v>Otras malformaciones congénitas de los órganos genitales masculinos, especificadas</v>
          </cell>
        </row>
        <row r="7615">
          <cell r="A7615" t="str">
            <v>Q55.9</v>
          </cell>
          <cell r="B7615" t="str">
            <v>Malformación congénita de los órganos genitales masculinos, no especificada</v>
          </cell>
        </row>
        <row r="7616">
          <cell r="A7616" t="str">
            <v>Q56</v>
          </cell>
          <cell r="B7616" t="str">
            <v>Sexo indeterminado y seudohermafroditismo</v>
          </cell>
        </row>
        <row r="7617">
          <cell r="A7617" t="str">
            <v>Q56.0</v>
          </cell>
          <cell r="B7617" t="str">
            <v>Hermafroditismo, no clasificado en otra parte</v>
          </cell>
        </row>
        <row r="7618">
          <cell r="A7618" t="str">
            <v>Q56.1</v>
          </cell>
          <cell r="B7618" t="str">
            <v>Seudohermafroditismo masculino, no clasificado en otra parte</v>
          </cell>
        </row>
        <row r="7619">
          <cell r="A7619" t="str">
            <v>Q56.2</v>
          </cell>
          <cell r="B7619" t="str">
            <v>Seudohermafroditismo femenino, no clasificado en otra parte</v>
          </cell>
        </row>
        <row r="7620">
          <cell r="A7620" t="str">
            <v>Q56.3</v>
          </cell>
          <cell r="B7620" t="str">
            <v>Seudohermafroditismo, no especificado</v>
          </cell>
        </row>
        <row r="7621">
          <cell r="A7621" t="str">
            <v>Q56.4</v>
          </cell>
          <cell r="B7621" t="str">
            <v>Sexo indeterminado, sin otra especificación</v>
          </cell>
        </row>
        <row r="7622">
          <cell r="A7622" t="str">
            <v>Q60</v>
          </cell>
          <cell r="B7622" t="str">
            <v>Agenesia renal y otras malformaciones hipoplásicas del riñón</v>
          </cell>
        </row>
        <row r="7623">
          <cell r="A7623" t="str">
            <v>Q60.0</v>
          </cell>
          <cell r="B7623" t="str">
            <v>Agenesia renal, unilateral</v>
          </cell>
        </row>
        <row r="7624">
          <cell r="A7624" t="str">
            <v>Q60.1</v>
          </cell>
          <cell r="B7624" t="str">
            <v>Agenesia renal, bilateral</v>
          </cell>
        </row>
        <row r="7625">
          <cell r="A7625" t="str">
            <v>Q60.2</v>
          </cell>
          <cell r="B7625" t="str">
            <v>Agenesia renal, sin otra especificación</v>
          </cell>
        </row>
        <row r="7626">
          <cell r="A7626" t="str">
            <v>Q60.3</v>
          </cell>
          <cell r="B7626" t="str">
            <v>Hipoplasia renal, unilateral</v>
          </cell>
        </row>
        <row r="7627">
          <cell r="A7627" t="str">
            <v>Q60.4</v>
          </cell>
          <cell r="B7627" t="str">
            <v>Hipoplasia renal, bilateral</v>
          </cell>
        </row>
        <row r="7628">
          <cell r="A7628" t="str">
            <v>Q60.5</v>
          </cell>
          <cell r="B7628" t="str">
            <v>Hipoplasia renal, no especificada</v>
          </cell>
        </row>
        <row r="7629">
          <cell r="A7629" t="str">
            <v>Q60.6</v>
          </cell>
          <cell r="B7629" t="str">
            <v>Síndrome de Potter</v>
          </cell>
        </row>
        <row r="7630">
          <cell r="A7630" t="str">
            <v>Q61</v>
          </cell>
          <cell r="B7630" t="str">
            <v>Enfermedad quística del riñón</v>
          </cell>
        </row>
        <row r="7631">
          <cell r="A7631" t="str">
            <v>Q61.0</v>
          </cell>
          <cell r="B7631" t="str">
            <v>Quiste renal solitario congénito</v>
          </cell>
        </row>
        <row r="7632">
          <cell r="A7632" t="str">
            <v>Q61.1</v>
          </cell>
          <cell r="B7632" t="str">
            <v>Riñón poliquístico, tipo infantil</v>
          </cell>
        </row>
        <row r="7633">
          <cell r="A7633" t="str">
            <v>Q61.2</v>
          </cell>
          <cell r="B7633" t="str">
            <v>Riñón poliquístico, tipo adulto</v>
          </cell>
        </row>
        <row r="7634">
          <cell r="A7634" t="str">
            <v>Q61.3</v>
          </cell>
          <cell r="B7634" t="str">
            <v>Riñón poliquístico, tipo no especificado</v>
          </cell>
        </row>
        <row r="7635">
          <cell r="A7635" t="str">
            <v>Q61.4</v>
          </cell>
          <cell r="B7635" t="str">
            <v>Displasia renal</v>
          </cell>
        </row>
        <row r="7636">
          <cell r="A7636" t="str">
            <v>Q61.5</v>
          </cell>
          <cell r="B7636" t="str">
            <v>Riñón quístico medular</v>
          </cell>
        </row>
        <row r="7637">
          <cell r="A7637" t="str">
            <v>Q61.8</v>
          </cell>
          <cell r="B7637" t="str">
            <v>Otras enfermedades renales quísticas</v>
          </cell>
        </row>
        <row r="7638">
          <cell r="A7638" t="str">
            <v>Q61.9</v>
          </cell>
          <cell r="B7638" t="str">
            <v>Enfermedad quística del riñón, no especificada</v>
          </cell>
        </row>
        <row r="7639">
          <cell r="A7639" t="str">
            <v>Q62</v>
          </cell>
          <cell r="B7639" t="str">
            <v>Defectos obstructivos congénitos de la pelvis renal y malformaciones congénitas del uréter</v>
          </cell>
        </row>
        <row r="7640">
          <cell r="A7640" t="str">
            <v>Q62.0</v>
          </cell>
          <cell r="B7640" t="str">
            <v>Hidronefrosis congénita</v>
          </cell>
        </row>
        <row r="7641">
          <cell r="A7641" t="str">
            <v>Q62.1</v>
          </cell>
          <cell r="B7641" t="str">
            <v>Atresia y estenosis del uréter</v>
          </cell>
        </row>
        <row r="7642">
          <cell r="A7642" t="str">
            <v>Q62.2</v>
          </cell>
          <cell r="B7642" t="str">
            <v>Megalouréter congénito</v>
          </cell>
        </row>
        <row r="7643">
          <cell r="A7643" t="str">
            <v>Q62.3</v>
          </cell>
          <cell r="B7643" t="str">
            <v>Otros defectos obstructivos de la pelvis renal y del uréter</v>
          </cell>
        </row>
        <row r="7644">
          <cell r="A7644" t="str">
            <v>Q62.4</v>
          </cell>
          <cell r="B7644" t="str">
            <v>Agenesia del uréter</v>
          </cell>
        </row>
        <row r="7645">
          <cell r="A7645" t="str">
            <v>Q62.5</v>
          </cell>
          <cell r="B7645" t="str">
            <v>Duplicación del uréter</v>
          </cell>
        </row>
        <row r="7646">
          <cell r="A7646" t="str">
            <v>Q62.6</v>
          </cell>
          <cell r="B7646" t="str">
            <v>Mala posición del uréter</v>
          </cell>
        </row>
        <row r="7647">
          <cell r="A7647" t="str">
            <v>Q62.7</v>
          </cell>
          <cell r="B7647" t="str">
            <v>Reflujo vésico-urétero-renal congénito</v>
          </cell>
        </row>
        <row r="7648">
          <cell r="A7648" t="str">
            <v>Q62.8</v>
          </cell>
          <cell r="B7648" t="str">
            <v>Otras malformaciones congénitas del uréter</v>
          </cell>
        </row>
        <row r="7649">
          <cell r="A7649" t="str">
            <v>Q63</v>
          </cell>
          <cell r="B7649" t="str">
            <v>Otras malformaciones congénitas del riñón</v>
          </cell>
        </row>
        <row r="7650">
          <cell r="A7650" t="str">
            <v>Q63.0</v>
          </cell>
          <cell r="B7650" t="str">
            <v>Riñón supernumerario</v>
          </cell>
        </row>
        <row r="7651">
          <cell r="A7651" t="str">
            <v>Q63.1</v>
          </cell>
          <cell r="B7651" t="str">
            <v>Riñón lobulado, fusionado y en herradura</v>
          </cell>
        </row>
        <row r="7652">
          <cell r="A7652" t="str">
            <v>Q63.2</v>
          </cell>
          <cell r="B7652" t="str">
            <v>Riñón ectópico</v>
          </cell>
        </row>
        <row r="7653">
          <cell r="A7653" t="str">
            <v>Q63.3</v>
          </cell>
          <cell r="B7653" t="str">
            <v>Hiperplasia renal y riñón gigante</v>
          </cell>
        </row>
        <row r="7654">
          <cell r="A7654" t="str">
            <v>Q63.8</v>
          </cell>
          <cell r="B7654" t="str">
            <v>Otras malformaciones congénitas del riñón, especificadas</v>
          </cell>
        </row>
        <row r="7655">
          <cell r="A7655" t="str">
            <v>Q63.9</v>
          </cell>
          <cell r="B7655" t="str">
            <v>Malformación congénita del riñón, no especificada</v>
          </cell>
        </row>
        <row r="7656">
          <cell r="A7656" t="str">
            <v>Q64</v>
          </cell>
          <cell r="B7656" t="str">
            <v>Otras malformaciones congénitas del sistema urinario</v>
          </cell>
        </row>
        <row r="7657">
          <cell r="A7657" t="str">
            <v>Q64.0</v>
          </cell>
          <cell r="B7657" t="str">
            <v>Epispadias</v>
          </cell>
        </row>
        <row r="7658">
          <cell r="A7658" t="str">
            <v>Q64.1</v>
          </cell>
          <cell r="B7658" t="str">
            <v>Extrofia de la vejiga urinaria</v>
          </cell>
        </row>
        <row r="7659">
          <cell r="A7659" t="str">
            <v>Q64.2</v>
          </cell>
          <cell r="B7659" t="str">
            <v>Válvulas uretrales posteriores congénitas</v>
          </cell>
        </row>
        <row r="7660">
          <cell r="A7660" t="str">
            <v>Q64.3</v>
          </cell>
          <cell r="B7660" t="str">
            <v>Otras atresias y estenosis de la uretra y del cuello de la vejiga</v>
          </cell>
        </row>
        <row r="7661">
          <cell r="A7661" t="str">
            <v>Q64.4</v>
          </cell>
          <cell r="B7661" t="str">
            <v>Malformación del uraco</v>
          </cell>
        </row>
        <row r="7662">
          <cell r="A7662" t="str">
            <v>Q64.5</v>
          </cell>
          <cell r="B7662" t="str">
            <v>Ausencia congénita de la vejiga y de la uretra</v>
          </cell>
        </row>
        <row r="7663">
          <cell r="A7663" t="str">
            <v>Q64.6</v>
          </cell>
          <cell r="B7663" t="str">
            <v>Divertículo congénito de la vejiga</v>
          </cell>
        </row>
        <row r="7664">
          <cell r="A7664" t="str">
            <v>Q64.7</v>
          </cell>
          <cell r="B7664" t="str">
            <v>Otras malformaciones congénitas de la vejiga y de la uretra</v>
          </cell>
        </row>
        <row r="7665">
          <cell r="A7665" t="str">
            <v>Q64.8</v>
          </cell>
          <cell r="B7665" t="str">
            <v>Otras malformaciones congénitas del aparato urinario, especificadas</v>
          </cell>
        </row>
        <row r="7666">
          <cell r="A7666" t="str">
            <v>Q64.9</v>
          </cell>
          <cell r="B7666" t="str">
            <v>Malformación congénita del aparato urinario, no especificada</v>
          </cell>
        </row>
        <row r="7667">
          <cell r="A7667" t="str">
            <v>Q65</v>
          </cell>
          <cell r="B7667" t="str">
            <v>Deformidades congénitas de la cadera</v>
          </cell>
        </row>
        <row r="7668">
          <cell r="A7668" t="str">
            <v>Q65.0</v>
          </cell>
          <cell r="B7668" t="str">
            <v>Luxación congénita de la cadera, unilateral</v>
          </cell>
        </row>
        <row r="7669">
          <cell r="A7669" t="str">
            <v>Q65.1</v>
          </cell>
          <cell r="B7669" t="str">
            <v>Luxación congénita de la cadera, bilateral</v>
          </cell>
        </row>
        <row r="7670">
          <cell r="A7670" t="str">
            <v>Q65.2</v>
          </cell>
          <cell r="B7670" t="str">
            <v>Luxación congénita de la cadera, no especificada</v>
          </cell>
        </row>
        <row r="7671">
          <cell r="A7671" t="str">
            <v>Q65.3</v>
          </cell>
          <cell r="B7671" t="str">
            <v>Subluxación congénita de la cadera, unilateral</v>
          </cell>
        </row>
        <row r="7672">
          <cell r="A7672" t="str">
            <v>Q65.4</v>
          </cell>
          <cell r="B7672" t="str">
            <v>Subluxación congénita de la cadera, bilateral</v>
          </cell>
        </row>
        <row r="7673">
          <cell r="A7673" t="str">
            <v>Q65.5</v>
          </cell>
          <cell r="B7673" t="str">
            <v>Subluxación congénita de la cadera, no especificada</v>
          </cell>
        </row>
        <row r="7674">
          <cell r="A7674" t="str">
            <v>Q65.6</v>
          </cell>
          <cell r="B7674" t="str">
            <v>Cadera inestable</v>
          </cell>
        </row>
        <row r="7675">
          <cell r="A7675" t="str">
            <v>Q65.8</v>
          </cell>
          <cell r="B7675" t="str">
            <v>Otras deformidades congénitas de la cadera</v>
          </cell>
        </row>
        <row r="7676">
          <cell r="A7676" t="str">
            <v>Q65.9</v>
          </cell>
          <cell r="B7676" t="str">
            <v>Deformidad congénita de la cadera, no especificada</v>
          </cell>
        </row>
        <row r="7677">
          <cell r="A7677" t="str">
            <v>Q66</v>
          </cell>
          <cell r="B7677" t="str">
            <v>Deformidades congénitas de los pies</v>
          </cell>
        </row>
        <row r="7678">
          <cell r="A7678" t="str">
            <v>Q66.0</v>
          </cell>
          <cell r="B7678" t="str">
            <v>Talipes equinovarus</v>
          </cell>
        </row>
        <row r="7679">
          <cell r="A7679" t="str">
            <v>Q66.1</v>
          </cell>
          <cell r="B7679" t="str">
            <v>Talipes calcaneovarus</v>
          </cell>
        </row>
        <row r="7680">
          <cell r="A7680" t="str">
            <v>Q66.2</v>
          </cell>
          <cell r="B7680" t="str">
            <v>Metatarsus varus</v>
          </cell>
        </row>
        <row r="7681">
          <cell r="A7681" t="str">
            <v>Q66.3</v>
          </cell>
          <cell r="B7681" t="str">
            <v>Otras deformidades varus congénitas de los pies</v>
          </cell>
        </row>
        <row r="7682">
          <cell r="A7682" t="str">
            <v>Q66.4</v>
          </cell>
          <cell r="B7682" t="str">
            <v>Talipes calcaneovalgus</v>
          </cell>
        </row>
        <row r="7683">
          <cell r="A7683" t="str">
            <v>Q66.5</v>
          </cell>
          <cell r="B7683" t="str">
            <v>Pie plano congénito</v>
          </cell>
        </row>
        <row r="7684">
          <cell r="A7684" t="str">
            <v>Q66.6</v>
          </cell>
          <cell r="B7684" t="str">
            <v>Otras deformidades valgus congénitas de los pies</v>
          </cell>
        </row>
        <row r="7685">
          <cell r="A7685" t="str">
            <v>Q66.7</v>
          </cell>
          <cell r="B7685" t="str">
            <v>Pie cavus</v>
          </cell>
        </row>
        <row r="7686">
          <cell r="A7686" t="str">
            <v>Q66.8</v>
          </cell>
          <cell r="B7686" t="str">
            <v>Otras deformidades congénitas de los pies</v>
          </cell>
        </row>
        <row r="7687">
          <cell r="A7687" t="str">
            <v>Q66.9</v>
          </cell>
          <cell r="B7687" t="str">
            <v>Deformidad congénita de los pies, no especificada</v>
          </cell>
        </row>
        <row r="7688">
          <cell r="A7688" t="str">
            <v>Q67</v>
          </cell>
          <cell r="B7688" t="str">
            <v>Deformidades osteomusculares congénitas de la cabeza, de la cara, de la columna vertebral y del tórax</v>
          </cell>
        </row>
        <row r="7689">
          <cell r="A7689" t="str">
            <v>Q67.0</v>
          </cell>
          <cell r="B7689" t="str">
            <v>Asimetría facial</v>
          </cell>
        </row>
        <row r="7690">
          <cell r="A7690" t="str">
            <v>Q67.1</v>
          </cell>
          <cell r="B7690" t="str">
            <v>Facies comprimida</v>
          </cell>
        </row>
        <row r="7691">
          <cell r="A7691" t="str">
            <v>Q67.2</v>
          </cell>
          <cell r="B7691" t="str">
            <v>Dolicocefalia</v>
          </cell>
        </row>
        <row r="7692">
          <cell r="A7692" t="str">
            <v>Q67.3</v>
          </cell>
          <cell r="B7692" t="str">
            <v>Plagiocefalia</v>
          </cell>
        </row>
        <row r="7693">
          <cell r="A7693" t="str">
            <v>Q67.4</v>
          </cell>
          <cell r="B7693" t="str">
            <v>Otras deformidades congénitas del cráneo, de la cara y de la mandíbula</v>
          </cell>
        </row>
        <row r="7694">
          <cell r="A7694" t="str">
            <v>Q67.5</v>
          </cell>
          <cell r="B7694" t="str">
            <v>Deformidad congénita de la columna vertebral</v>
          </cell>
        </row>
        <row r="7695">
          <cell r="A7695" t="str">
            <v>Q67.6</v>
          </cell>
          <cell r="B7695" t="str">
            <v>Tórax excavado</v>
          </cell>
        </row>
        <row r="7696">
          <cell r="A7696" t="str">
            <v>Q67.7</v>
          </cell>
          <cell r="B7696" t="str">
            <v>Tórax en quilla</v>
          </cell>
        </row>
        <row r="7697">
          <cell r="A7697" t="str">
            <v>Q67.8</v>
          </cell>
          <cell r="B7697" t="str">
            <v>Otras deformidades congénitas del tórax</v>
          </cell>
        </row>
        <row r="7698">
          <cell r="A7698" t="str">
            <v>Q68</v>
          </cell>
          <cell r="B7698" t="str">
            <v>Otras deformidades osteomusculares congénitas</v>
          </cell>
        </row>
        <row r="7699">
          <cell r="A7699" t="str">
            <v>Q68.0</v>
          </cell>
          <cell r="B7699" t="str">
            <v>Deformidad congénita del músculo esternocleidomastoideo</v>
          </cell>
        </row>
        <row r="7700">
          <cell r="A7700" t="str">
            <v>Q68.1</v>
          </cell>
          <cell r="B7700" t="str">
            <v>Deformidad congénita de la mano</v>
          </cell>
        </row>
        <row r="7701">
          <cell r="A7701" t="str">
            <v>Q68.2</v>
          </cell>
          <cell r="B7701" t="str">
            <v>Deformidad congénita de la rodilla</v>
          </cell>
        </row>
        <row r="7702">
          <cell r="A7702" t="str">
            <v>Q68.3</v>
          </cell>
          <cell r="B7702" t="str">
            <v>Curvatura congénita del fémur</v>
          </cell>
        </row>
        <row r="7703">
          <cell r="A7703" t="str">
            <v>Q68.4</v>
          </cell>
          <cell r="B7703" t="str">
            <v>Curvatura congénita de la tibia y del peroné</v>
          </cell>
        </row>
        <row r="7704">
          <cell r="A7704" t="str">
            <v>Q68.5</v>
          </cell>
          <cell r="B7704" t="str">
            <v>Curvatura congénita de hueso(s) largo(s) del miembro inferior, sin otra especificación</v>
          </cell>
        </row>
        <row r="7705">
          <cell r="A7705" t="str">
            <v>Q68.8</v>
          </cell>
          <cell r="B7705" t="str">
            <v>Otras deformidades congénitas osteomusculares, especificadas</v>
          </cell>
        </row>
        <row r="7706">
          <cell r="A7706" t="str">
            <v>Q69</v>
          </cell>
          <cell r="B7706" t="str">
            <v>Polidactilia</v>
          </cell>
        </row>
        <row r="7707">
          <cell r="A7707" t="str">
            <v>Q69.0</v>
          </cell>
          <cell r="B7707" t="str">
            <v>Dedo(s) supernumerario(s) de la mano</v>
          </cell>
        </row>
        <row r="7708">
          <cell r="A7708" t="str">
            <v>Q69.1</v>
          </cell>
          <cell r="B7708" t="str">
            <v>Pulgar(es) supernumerario(s)</v>
          </cell>
        </row>
        <row r="7709">
          <cell r="A7709" t="str">
            <v>Q69.2</v>
          </cell>
          <cell r="B7709" t="str">
            <v>Dedo(s) supernumerario(s) del pie</v>
          </cell>
        </row>
        <row r="7710">
          <cell r="A7710" t="str">
            <v>Q69.9</v>
          </cell>
          <cell r="B7710" t="str">
            <v>Polidactilia, no especificada</v>
          </cell>
        </row>
        <row r="7711">
          <cell r="A7711" t="str">
            <v>Q70</v>
          </cell>
          <cell r="B7711" t="str">
            <v>Sindactilia</v>
          </cell>
        </row>
        <row r="7712">
          <cell r="A7712" t="str">
            <v>Q70.0</v>
          </cell>
          <cell r="B7712" t="str">
            <v>Fusión de los dedos de la mano</v>
          </cell>
        </row>
        <row r="7713">
          <cell r="A7713" t="str">
            <v>Q70.1</v>
          </cell>
          <cell r="B7713" t="str">
            <v>Membrana interdigital de la mano</v>
          </cell>
        </row>
        <row r="7714">
          <cell r="A7714" t="str">
            <v>Q70.2</v>
          </cell>
          <cell r="B7714" t="str">
            <v>Fusión de los dedos del pie</v>
          </cell>
        </row>
        <row r="7715">
          <cell r="A7715" t="str">
            <v>Q70.3</v>
          </cell>
          <cell r="B7715" t="str">
            <v>Membrana interdigital del pie</v>
          </cell>
        </row>
        <row r="7716">
          <cell r="A7716" t="str">
            <v>Q70.4</v>
          </cell>
          <cell r="B7716" t="str">
            <v>Polisindactilia</v>
          </cell>
        </row>
        <row r="7717">
          <cell r="A7717" t="str">
            <v>Q70.9</v>
          </cell>
          <cell r="B7717" t="str">
            <v>Sindactilia, no especificada</v>
          </cell>
        </row>
        <row r="7718">
          <cell r="A7718" t="str">
            <v>Q71</v>
          </cell>
          <cell r="B7718" t="str">
            <v>Defectos por reducción del miembro superior</v>
          </cell>
        </row>
        <row r="7719">
          <cell r="A7719" t="str">
            <v>Q71.0</v>
          </cell>
          <cell r="B7719" t="str">
            <v>Ausencia congénita completa del (de los) miembro(s) superior(es)</v>
          </cell>
        </row>
        <row r="7720">
          <cell r="A7720" t="str">
            <v>Q71.1</v>
          </cell>
          <cell r="B7720" t="str">
            <v>Ausencia congénita del brazo y del antebrazo con presencia de la mano</v>
          </cell>
        </row>
        <row r="7721">
          <cell r="A7721" t="str">
            <v>Q71.2</v>
          </cell>
          <cell r="B7721" t="str">
            <v>Ausencia congénita del antebrazo y de la mano</v>
          </cell>
        </row>
        <row r="7722">
          <cell r="A7722" t="str">
            <v>Q71.3</v>
          </cell>
          <cell r="B7722" t="str">
            <v>Ausencia congénita de la mano y el (los) dedo(s)</v>
          </cell>
        </row>
        <row r="7723">
          <cell r="A7723" t="str">
            <v>Q71.4</v>
          </cell>
          <cell r="B7723" t="str">
            <v>Defecto por reducción longitudinal del radio</v>
          </cell>
        </row>
        <row r="7724">
          <cell r="A7724" t="str">
            <v>Q71.5</v>
          </cell>
          <cell r="B7724" t="str">
            <v>Defecto por reducción longitudinal del cúbito</v>
          </cell>
        </row>
        <row r="7725">
          <cell r="A7725" t="str">
            <v>Q71.6</v>
          </cell>
          <cell r="B7725" t="str">
            <v>Mano en pinza de langosta</v>
          </cell>
        </row>
        <row r="7726">
          <cell r="A7726" t="str">
            <v>Q71.8</v>
          </cell>
          <cell r="B7726" t="str">
            <v>Otros defectos por reducción del (de los) miembro(s) superior(es)</v>
          </cell>
        </row>
        <row r="7727">
          <cell r="A7727" t="str">
            <v>Q71.9</v>
          </cell>
          <cell r="B7727" t="str">
            <v>Defecto por reducción del miembro superior, no especificado</v>
          </cell>
        </row>
        <row r="7728">
          <cell r="A7728" t="str">
            <v>Q72</v>
          </cell>
          <cell r="B7728" t="str">
            <v>Defectos por reducción del miembro inferior</v>
          </cell>
        </row>
        <row r="7729">
          <cell r="A7729" t="str">
            <v>Q72.0</v>
          </cell>
          <cell r="B7729" t="str">
            <v>Ausencia congénita completa del (de los) miembro(s) inferior(es)</v>
          </cell>
        </row>
        <row r="7730">
          <cell r="A7730" t="str">
            <v>Q72.1</v>
          </cell>
          <cell r="B7730" t="str">
            <v>Ausencia congénita del muslo y de la pierna con presencia del pie</v>
          </cell>
        </row>
        <row r="7731">
          <cell r="A7731" t="str">
            <v>Q72.2</v>
          </cell>
          <cell r="B7731" t="str">
            <v>Ausencia congénita de la pierna y del pie</v>
          </cell>
        </row>
        <row r="7732">
          <cell r="A7732" t="str">
            <v>Q72.3</v>
          </cell>
          <cell r="B7732" t="str">
            <v>Ausencia congénita del pie y dedo(s) del pie</v>
          </cell>
        </row>
        <row r="7733">
          <cell r="A7733" t="str">
            <v>Q72.4</v>
          </cell>
          <cell r="B7733" t="str">
            <v>Defecto por reducción longitudinal del fémur</v>
          </cell>
        </row>
        <row r="7734">
          <cell r="A7734" t="str">
            <v>Q72.5</v>
          </cell>
          <cell r="B7734" t="str">
            <v>Defecto por reducción longitudinal de la tibia</v>
          </cell>
        </row>
        <row r="7735">
          <cell r="A7735" t="str">
            <v>Q72.6</v>
          </cell>
          <cell r="B7735" t="str">
            <v>Defecto por reducción longitudinal del peroné</v>
          </cell>
        </row>
        <row r="7736">
          <cell r="A7736" t="str">
            <v>Q72.7</v>
          </cell>
          <cell r="B7736" t="str">
            <v>Pie hendido</v>
          </cell>
        </row>
        <row r="7737">
          <cell r="A7737" t="str">
            <v>Q72.8</v>
          </cell>
          <cell r="B7737" t="str">
            <v>Otros defectos por reducción del (de los) miembro(s) inferior(es)</v>
          </cell>
        </row>
        <row r="7738">
          <cell r="A7738" t="str">
            <v>Q72.9</v>
          </cell>
          <cell r="B7738" t="str">
            <v>Defecto por reducción del miembro inferior, no especificado</v>
          </cell>
        </row>
        <row r="7739">
          <cell r="A7739" t="str">
            <v>Q73</v>
          </cell>
          <cell r="B7739" t="str">
            <v>Defectos por reducción de miembro no especificado</v>
          </cell>
        </row>
        <row r="7740">
          <cell r="A7740" t="str">
            <v>Q73.0</v>
          </cell>
          <cell r="B7740" t="str">
            <v>Ausencia completa de miembro(s) no especificado(s)</v>
          </cell>
        </row>
        <row r="7741">
          <cell r="A7741" t="str">
            <v>Q73.1</v>
          </cell>
          <cell r="B7741" t="str">
            <v>Focomelia, miembro(s) no especificado(s)</v>
          </cell>
        </row>
        <row r="7742">
          <cell r="A7742" t="str">
            <v>Q73.8</v>
          </cell>
          <cell r="B7742" t="str">
            <v>Otros defectos por reducción de miembro(s) no especificado(s)</v>
          </cell>
        </row>
        <row r="7743">
          <cell r="A7743" t="str">
            <v>Q74</v>
          </cell>
          <cell r="B7743" t="str">
            <v>Otras anomalías congénitas del (de los) miembro(s)</v>
          </cell>
        </row>
        <row r="7744">
          <cell r="A7744" t="str">
            <v>Q74.0</v>
          </cell>
          <cell r="B7744" t="str">
            <v>Otras malformaciones congénitas del (de los) miembro(s) superior(es), incluida la cintura escapular</v>
          </cell>
        </row>
        <row r="7745">
          <cell r="A7745" t="str">
            <v>Q74.1</v>
          </cell>
          <cell r="B7745" t="str">
            <v>Malformación congénita de la rodilla</v>
          </cell>
        </row>
        <row r="7746">
          <cell r="A7746" t="str">
            <v>Q74.2</v>
          </cell>
          <cell r="B7746" t="str">
            <v>Otras malformaciones congénitas del (de los) miembro(s) inferior(es), incluida la cintura pelviana</v>
          </cell>
        </row>
        <row r="7747">
          <cell r="A7747" t="str">
            <v>Q74.3</v>
          </cell>
          <cell r="B7747" t="str">
            <v>Artrogriposis múltiple congénita</v>
          </cell>
        </row>
        <row r="7748">
          <cell r="A7748" t="str">
            <v>Q74.8</v>
          </cell>
          <cell r="B7748" t="str">
            <v>Otras malformaciones congénitas especificadas del (de los) miembro(s)</v>
          </cell>
        </row>
        <row r="7749">
          <cell r="A7749" t="str">
            <v>Q74.9</v>
          </cell>
          <cell r="B7749" t="str">
            <v>Malformación congénita de miembro(s), no especificada</v>
          </cell>
        </row>
        <row r="7750">
          <cell r="A7750" t="str">
            <v>Q75</v>
          </cell>
          <cell r="B7750" t="str">
            <v>Otras malformaciones congénitas de los huesos del cráneo y de la cara</v>
          </cell>
        </row>
        <row r="7751">
          <cell r="A7751" t="str">
            <v>Q75.0</v>
          </cell>
          <cell r="B7751" t="str">
            <v>Craneosinostosis</v>
          </cell>
        </row>
        <row r="7752">
          <cell r="A7752" t="str">
            <v>Q75.1</v>
          </cell>
          <cell r="B7752" t="str">
            <v>Disostosis craneofacial</v>
          </cell>
        </row>
        <row r="7753">
          <cell r="A7753" t="str">
            <v>Q75.2</v>
          </cell>
          <cell r="B7753" t="str">
            <v>Hipertelorismo</v>
          </cell>
        </row>
        <row r="7754">
          <cell r="A7754" t="str">
            <v>Q75.3</v>
          </cell>
          <cell r="B7754" t="str">
            <v>Macrocefalia</v>
          </cell>
        </row>
        <row r="7755">
          <cell r="A7755" t="str">
            <v>Q75.4</v>
          </cell>
          <cell r="B7755" t="str">
            <v>Disostosis maxilofacial</v>
          </cell>
        </row>
        <row r="7756">
          <cell r="A7756" t="str">
            <v>Q75.5</v>
          </cell>
          <cell r="B7756" t="str">
            <v>Disostosis oculomaxilar</v>
          </cell>
        </row>
        <row r="7757">
          <cell r="A7757" t="str">
            <v>Q75.8</v>
          </cell>
          <cell r="B7757" t="str">
            <v>Otras malformaciones congénitas especificadas de los huesos del cráneo y de la cara</v>
          </cell>
        </row>
        <row r="7758">
          <cell r="A7758" t="str">
            <v>Q75.9</v>
          </cell>
          <cell r="B7758" t="str">
            <v>Malformación congénita no especificada de los huesos del cráneo y de la cara</v>
          </cell>
        </row>
        <row r="7759">
          <cell r="A7759" t="str">
            <v>Q76</v>
          </cell>
          <cell r="B7759" t="str">
            <v>Malformaciones congénitas de la columna vertebral y tórax óseo</v>
          </cell>
        </row>
        <row r="7760">
          <cell r="A7760" t="str">
            <v>Q76.0</v>
          </cell>
          <cell r="B7760" t="str">
            <v>Espina bífida oculta</v>
          </cell>
        </row>
        <row r="7761">
          <cell r="A7761" t="str">
            <v>Q76.1</v>
          </cell>
          <cell r="B7761" t="str">
            <v>Síndrome de Klippel-Feil</v>
          </cell>
        </row>
        <row r="7762">
          <cell r="A7762" t="str">
            <v>Q76.2</v>
          </cell>
          <cell r="B7762" t="str">
            <v>Espondilolistesis congénita</v>
          </cell>
        </row>
        <row r="7763">
          <cell r="A7763" t="str">
            <v>Q76.3</v>
          </cell>
          <cell r="B7763" t="str">
            <v>Escoliosis congénita debida a malformación congénita ósea</v>
          </cell>
        </row>
        <row r="7764">
          <cell r="A7764" t="str">
            <v>Q76.4</v>
          </cell>
          <cell r="B7764" t="str">
            <v>Otra malformación congénita de la columna vertebral, no asociada con escoliosis</v>
          </cell>
        </row>
        <row r="7765">
          <cell r="A7765" t="str">
            <v>Q76.5</v>
          </cell>
          <cell r="B7765" t="str">
            <v>Costilla cervical</v>
          </cell>
        </row>
        <row r="7766">
          <cell r="A7766" t="str">
            <v>Q76.6</v>
          </cell>
          <cell r="B7766" t="str">
            <v>Otras malformaciones congénitas de las costillas</v>
          </cell>
        </row>
        <row r="7767">
          <cell r="A7767" t="str">
            <v>Q76.7</v>
          </cell>
          <cell r="B7767" t="str">
            <v>Malformación congénita del esternón</v>
          </cell>
        </row>
        <row r="7768">
          <cell r="A7768" t="str">
            <v>Q76.8</v>
          </cell>
          <cell r="B7768" t="str">
            <v>Otras malformaciones congénitas del tórax óseo</v>
          </cell>
        </row>
        <row r="7769">
          <cell r="A7769" t="str">
            <v>Q76.9</v>
          </cell>
          <cell r="B7769" t="str">
            <v>Malformación congénita del tórax óseo, no especificada</v>
          </cell>
        </row>
        <row r="7770">
          <cell r="A7770" t="str">
            <v>Q77</v>
          </cell>
          <cell r="B7770" t="str">
            <v>Osteocondrodisplasia con defecto del crecimiento de los huesos largos y de la columna vertebral</v>
          </cell>
        </row>
        <row r="7771">
          <cell r="A7771" t="str">
            <v>Q77.0</v>
          </cell>
          <cell r="B7771" t="str">
            <v>Acondrogénesis</v>
          </cell>
        </row>
        <row r="7772">
          <cell r="A7772" t="str">
            <v>Q77.1</v>
          </cell>
          <cell r="B7772" t="str">
            <v>Enanismo tanatofórico</v>
          </cell>
        </row>
        <row r="7773">
          <cell r="A7773" t="str">
            <v>Q77.2</v>
          </cell>
          <cell r="B7773" t="str">
            <v>Síndrome de costilla corta</v>
          </cell>
        </row>
        <row r="7774">
          <cell r="A7774" t="str">
            <v>Q77.3</v>
          </cell>
          <cell r="B7774" t="str">
            <v>Condrodisplasia punctata</v>
          </cell>
        </row>
        <row r="7775">
          <cell r="A7775" t="str">
            <v>Q77.4</v>
          </cell>
          <cell r="B7775" t="str">
            <v>Acondroplasia</v>
          </cell>
        </row>
        <row r="7776">
          <cell r="A7776" t="str">
            <v>Q77.5</v>
          </cell>
          <cell r="B7776" t="str">
            <v>Displasia distrófica</v>
          </cell>
        </row>
        <row r="7777">
          <cell r="A7777" t="str">
            <v>Q77.6</v>
          </cell>
          <cell r="B7777" t="str">
            <v>Displasia condroectodérmica</v>
          </cell>
        </row>
        <row r="7778">
          <cell r="A7778" t="str">
            <v>Q77.7</v>
          </cell>
          <cell r="B7778" t="str">
            <v>Displasia espondiloepifisaria</v>
          </cell>
        </row>
        <row r="7779">
          <cell r="A7779" t="str">
            <v>Q77.8</v>
          </cell>
          <cell r="B7779" t="str">
            <v>Otras osteocondrodisplasias con defectos del crecimiento de los huesos largos y de la columna vertebral</v>
          </cell>
        </row>
        <row r="7780">
          <cell r="A7780" t="str">
            <v>Q77.9</v>
          </cell>
          <cell r="B7780" t="str">
            <v>Osteocondrodisplasia con defectos del crecimiento de los huesos largos y de la columna vertebral, sin otra especificación</v>
          </cell>
        </row>
        <row r="7781">
          <cell r="A7781" t="str">
            <v>Q78</v>
          </cell>
          <cell r="B7781" t="str">
            <v>Otras osteocondrodisplasias</v>
          </cell>
        </row>
        <row r="7782">
          <cell r="A7782" t="str">
            <v>Q78.0</v>
          </cell>
          <cell r="B7782" t="str">
            <v>Osteogénesis imperfecta</v>
          </cell>
        </row>
        <row r="7783">
          <cell r="A7783" t="str">
            <v>Q78.1</v>
          </cell>
          <cell r="B7783" t="str">
            <v>Displasia poliostótica fibrosa</v>
          </cell>
        </row>
        <row r="7784">
          <cell r="A7784" t="str">
            <v>Q78.2</v>
          </cell>
          <cell r="B7784" t="str">
            <v>Osteopetrosis</v>
          </cell>
        </row>
        <row r="7785">
          <cell r="A7785" t="str">
            <v>Q78.3</v>
          </cell>
          <cell r="B7785" t="str">
            <v>Displasia diafisaria progresiva</v>
          </cell>
        </row>
        <row r="7786">
          <cell r="A7786" t="str">
            <v>Q78.4</v>
          </cell>
          <cell r="B7786" t="str">
            <v>Encondromatosis</v>
          </cell>
        </row>
        <row r="7787">
          <cell r="A7787" t="str">
            <v>Q78.5</v>
          </cell>
          <cell r="B7787" t="str">
            <v>Displasia metafisaria</v>
          </cell>
        </row>
        <row r="7788">
          <cell r="A7788" t="str">
            <v>Q78.6</v>
          </cell>
          <cell r="B7788" t="str">
            <v>Exostosis congénita múltiple</v>
          </cell>
        </row>
        <row r="7789">
          <cell r="A7789" t="str">
            <v>Q78.8</v>
          </cell>
          <cell r="B7789" t="str">
            <v>Otras osteocondrodisplasias especificadas</v>
          </cell>
        </row>
        <row r="7790">
          <cell r="A7790" t="str">
            <v>Q78.9</v>
          </cell>
          <cell r="B7790" t="str">
            <v>Osteocondrodisplasia, no especificada</v>
          </cell>
        </row>
        <row r="7791">
          <cell r="A7791" t="str">
            <v>Q79</v>
          </cell>
          <cell r="B7791" t="str">
            <v>Malformaciones congénitas del sistema osteomuscular, no clasificadas en otra parte</v>
          </cell>
        </row>
        <row r="7792">
          <cell r="A7792" t="str">
            <v>Q79.0</v>
          </cell>
          <cell r="B7792" t="str">
            <v>Hernia diafragmática congénita</v>
          </cell>
        </row>
        <row r="7793">
          <cell r="A7793" t="str">
            <v>Q79.1</v>
          </cell>
          <cell r="B7793" t="str">
            <v>Otras malformaciones congénitas del diafragma</v>
          </cell>
        </row>
        <row r="7794">
          <cell r="A7794" t="str">
            <v>Q79.2</v>
          </cell>
          <cell r="B7794" t="str">
            <v>Exónfalos</v>
          </cell>
        </row>
        <row r="7795">
          <cell r="A7795" t="str">
            <v>Q79.3</v>
          </cell>
          <cell r="B7795" t="str">
            <v>Gastrosquisis</v>
          </cell>
        </row>
        <row r="7796">
          <cell r="A7796" t="str">
            <v>Q79.4</v>
          </cell>
          <cell r="B7796" t="str">
            <v>Síndrome del abdomen en ciruela pasa</v>
          </cell>
        </row>
        <row r="7797">
          <cell r="A7797" t="str">
            <v>Q79.5</v>
          </cell>
          <cell r="B7797" t="str">
            <v>Otras malformaciones congénitas de la pared abdominal</v>
          </cell>
        </row>
        <row r="7798">
          <cell r="A7798" t="str">
            <v>Q79.6</v>
          </cell>
          <cell r="B7798" t="str">
            <v>Síndrome de Ehlers-Danlos</v>
          </cell>
        </row>
        <row r="7799">
          <cell r="A7799" t="str">
            <v>Q79.8</v>
          </cell>
          <cell r="B7799" t="str">
            <v>Otras malformaciones congénitas del sistema osteomuscular</v>
          </cell>
        </row>
        <row r="7800">
          <cell r="A7800" t="str">
            <v>Q79.9</v>
          </cell>
          <cell r="B7800" t="str">
            <v>Malformación congénita del sistema osteomuscular, no especificada</v>
          </cell>
        </row>
        <row r="7801">
          <cell r="A7801" t="str">
            <v>Q80</v>
          </cell>
          <cell r="B7801" t="str">
            <v>Ictiosis congénita</v>
          </cell>
        </row>
        <row r="7802">
          <cell r="A7802" t="str">
            <v>Q80.0</v>
          </cell>
          <cell r="B7802" t="str">
            <v>Ictiosis vulgar</v>
          </cell>
        </row>
        <row r="7803">
          <cell r="A7803" t="str">
            <v>Q80.1</v>
          </cell>
          <cell r="B7803" t="str">
            <v>Ictiosis ligada al cromosoma X</v>
          </cell>
        </row>
        <row r="7804">
          <cell r="A7804" t="str">
            <v>Q80.2</v>
          </cell>
          <cell r="B7804" t="str">
            <v>Ictiosis lamelar</v>
          </cell>
        </row>
        <row r="7805">
          <cell r="A7805" t="str">
            <v>Q80.3</v>
          </cell>
          <cell r="B7805" t="str">
            <v>Eritrodermia ictiosiforme vesicular congénita</v>
          </cell>
        </row>
        <row r="7806">
          <cell r="A7806" t="str">
            <v>Q80.4</v>
          </cell>
          <cell r="B7806" t="str">
            <v>Feto arlequín</v>
          </cell>
        </row>
        <row r="7807">
          <cell r="A7807" t="str">
            <v>Q80.8</v>
          </cell>
          <cell r="B7807" t="str">
            <v>Otras ictiosis congénitas</v>
          </cell>
        </row>
        <row r="7808">
          <cell r="A7808" t="str">
            <v>Q80.9</v>
          </cell>
          <cell r="B7808" t="str">
            <v>Ictiosis congénita, no especificada</v>
          </cell>
        </row>
        <row r="7809">
          <cell r="A7809" t="str">
            <v>Q81</v>
          </cell>
          <cell r="B7809" t="str">
            <v>Epidermólisis bullosa</v>
          </cell>
        </row>
        <row r="7810">
          <cell r="A7810" t="str">
            <v>Q81.0</v>
          </cell>
          <cell r="B7810" t="str">
            <v>Epidermólisis bullosa simple</v>
          </cell>
        </row>
        <row r="7811">
          <cell r="A7811" t="str">
            <v>Q81.1</v>
          </cell>
          <cell r="B7811" t="str">
            <v>Epidermólisis bullosa letal</v>
          </cell>
        </row>
        <row r="7812">
          <cell r="A7812" t="str">
            <v>Q81.2</v>
          </cell>
          <cell r="B7812" t="str">
            <v>Epidermólisis bullosa distrófica</v>
          </cell>
        </row>
        <row r="7813">
          <cell r="A7813" t="str">
            <v>Q81.8</v>
          </cell>
          <cell r="B7813" t="str">
            <v>Otras epidermólisis bullosas</v>
          </cell>
        </row>
        <row r="7814">
          <cell r="A7814" t="str">
            <v>Q81.9</v>
          </cell>
          <cell r="B7814" t="str">
            <v>Epidermólisis bullosa, no especificada</v>
          </cell>
        </row>
        <row r="7815">
          <cell r="A7815" t="str">
            <v>Q82</v>
          </cell>
          <cell r="B7815" t="str">
            <v>Otras malformaciones congénitas de la piel</v>
          </cell>
        </row>
        <row r="7816">
          <cell r="A7816" t="str">
            <v>Q82.0</v>
          </cell>
          <cell r="B7816" t="str">
            <v>Linfedema hereditario</v>
          </cell>
        </row>
        <row r="7817">
          <cell r="A7817" t="str">
            <v>Q82.1</v>
          </cell>
          <cell r="B7817" t="str">
            <v>Xeroderma pigmentoso</v>
          </cell>
        </row>
        <row r="7818">
          <cell r="A7818" t="str">
            <v>Q82.2</v>
          </cell>
          <cell r="B7818" t="str">
            <v>Mastocitosis</v>
          </cell>
        </row>
        <row r="7819">
          <cell r="A7819" t="str">
            <v>Q82.3</v>
          </cell>
          <cell r="B7819" t="str">
            <v>Incontinencia pigmentaria</v>
          </cell>
        </row>
        <row r="7820">
          <cell r="A7820" t="str">
            <v>Q82.4</v>
          </cell>
          <cell r="B7820" t="str">
            <v>Displasia ectodérmica (anhidrótica)</v>
          </cell>
        </row>
        <row r="7821">
          <cell r="A7821" t="str">
            <v>Q82.5</v>
          </cell>
          <cell r="B7821" t="str">
            <v>Nevo no neoplásico, congénito</v>
          </cell>
        </row>
        <row r="7822">
          <cell r="A7822" t="str">
            <v>Q82.8</v>
          </cell>
          <cell r="B7822" t="str">
            <v>Otras malformaciones congénitas de la piel, especificadas</v>
          </cell>
        </row>
        <row r="7823">
          <cell r="A7823" t="str">
            <v>Q82.9</v>
          </cell>
          <cell r="B7823" t="str">
            <v>Malformación congénita de la piel, no especificada</v>
          </cell>
        </row>
        <row r="7824">
          <cell r="A7824" t="str">
            <v>Q83</v>
          </cell>
          <cell r="B7824" t="str">
            <v>Malformaciones congénitas de la mama</v>
          </cell>
        </row>
        <row r="7825">
          <cell r="A7825" t="str">
            <v>Q83.0</v>
          </cell>
          <cell r="B7825" t="str">
            <v>Ausencia congénita de la mama con ausencia del pezón</v>
          </cell>
        </row>
        <row r="7826">
          <cell r="A7826" t="str">
            <v>Q83.1</v>
          </cell>
          <cell r="B7826" t="str">
            <v>Mama supernumeraria</v>
          </cell>
        </row>
        <row r="7827">
          <cell r="A7827" t="str">
            <v>Q83.2</v>
          </cell>
          <cell r="B7827" t="str">
            <v>Ausencia de pezón</v>
          </cell>
        </row>
        <row r="7828">
          <cell r="A7828" t="str">
            <v>Q83.3</v>
          </cell>
          <cell r="B7828" t="str">
            <v>Pezón supernumerario</v>
          </cell>
        </row>
        <row r="7829">
          <cell r="A7829" t="str">
            <v>Q83.8</v>
          </cell>
          <cell r="B7829" t="str">
            <v>Otras malformaciones congénitas de la mama</v>
          </cell>
        </row>
        <row r="7830">
          <cell r="A7830" t="str">
            <v>Q83.9</v>
          </cell>
          <cell r="B7830" t="str">
            <v>Malformación congénita de la mama, no especificada</v>
          </cell>
        </row>
        <row r="7831">
          <cell r="A7831" t="str">
            <v>Q84</v>
          </cell>
          <cell r="B7831" t="str">
            <v>Otras malformaciones congénitas de las faneras</v>
          </cell>
        </row>
        <row r="7832">
          <cell r="A7832" t="str">
            <v>Q84.0</v>
          </cell>
          <cell r="B7832" t="str">
            <v>Alopecia congénita</v>
          </cell>
        </row>
        <row r="7833">
          <cell r="A7833" t="str">
            <v>Q84.1</v>
          </cell>
          <cell r="B7833" t="str">
            <v>Alteraciones morfológicas congénitas del pelo, no clasificadas en otra parte</v>
          </cell>
        </row>
        <row r="7834">
          <cell r="A7834" t="str">
            <v>Q84.2</v>
          </cell>
          <cell r="B7834" t="str">
            <v>Otras malformaciones congénitas del pelo</v>
          </cell>
        </row>
        <row r="7835">
          <cell r="A7835" t="str">
            <v>Q84.3</v>
          </cell>
          <cell r="B7835" t="str">
            <v>Anoniquia</v>
          </cell>
        </row>
        <row r="7836">
          <cell r="A7836" t="str">
            <v>Q84.4</v>
          </cell>
          <cell r="B7836" t="str">
            <v>Leuconiquia congénita</v>
          </cell>
        </row>
        <row r="7837">
          <cell r="A7837" t="str">
            <v>Q84.5</v>
          </cell>
          <cell r="B7837" t="str">
            <v>Agrandamiento e hipertrofia de las uñas</v>
          </cell>
        </row>
        <row r="7838">
          <cell r="A7838" t="str">
            <v>Q84.6</v>
          </cell>
          <cell r="B7838" t="str">
            <v>Otras malformaciones congénitas de las uñas</v>
          </cell>
        </row>
        <row r="7839">
          <cell r="A7839" t="str">
            <v>Q84.8</v>
          </cell>
          <cell r="B7839" t="str">
            <v>Otras malformaciones congénitas de las faneras, especificadas</v>
          </cell>
        </row>
        <row r="7840">
          <cell r="A7840" t="str">
            <v>Q84.9</v>
          </cell>
          <cell r="B7840" t="str">
            <v>Malformación congénita de las faneras, no especificada</v>
          </cell>
        </row>
        <row r="7841">
          <cell r="A7841" t="str">
            <v>Q85</v>
          </cell>
          <cell r="B7841" t="str">
            <v>Facomatosis, no clasificada en otra parte</v>
          </cell>
        </row>
        <row r="7842">
          <cell r="A7842" t="str">
            <v>Q85.0</v>
          </cell>
          <cell r="B7842" t="str">
            <v>Neurofibromatosis (no maligna)</v>
          </cell>
        </row>
        <row r="7843">
          <cell r="A7843" t="str">
            <v>Q85.1</v>
          </cell>
          <cell r="B7843" t="str">
            <v>Esclerosis tuberosa</v>
          </cell>
        </row>
        <row r="7844">
          <cell r="A7844" t="str">
            <v>Q85.8</v>
          </cell>
          <cell r="B7844" t="str">
            <v>Otras facomatosis, no clasificadas en otra parte</v>
          </cell>
        </row>
        <row r="7845">
          <cell r="A7845" t="str">
            <v>Q85.9</v>
          </cell>
          <cell r="B7845" t="str">
            <v>Facomatosis, no especificada</v>
          </cell>
        </row>
        <row r="7846">
          <cell r="A7846" t="str">
            <v>Q86</v>
          </cell>
          <cell r="B7846" t="str">
            <v>Síndromes de malformaciones congénitas debidos a causas exógenas conocidas, no  clasificados en otra parte</v>
          </cell>
        </row>
        <row r="7847">
          <cell r="A7847" t="str">
            <v>Q86.0</v>
          </cell>
          <cell r="B7847" t="str">
            <v>Síndrome fetal (dismórfico) debido al alcohol</v>
          </cell>
        </row>
        <row r="7848">
          <cell r="A7848" t="str">
            <v>Q86.1</v>
          </cell>
          <cell r="B7848" t="str">
            <v>Síndrome de hidantoína fetal</v>
          </cell>
        </row>
        <row r="7849">
          <cell r="A7849" t="str">
            <v>Q86.2</v>
          </cell>
          <cell r="B7849" t="str">
            <v>Dismorfismo debido a warfarina</v>
          </cell>
        </row>
        <row r="7850">
          <cell r="A7850" t="str">
            <v>Q86.8</v>
          </cell>
          <cell r="B7850" t="str">
            <v>Otros síndromes de malformaciones congénitas debidos a causas exógenas conocidas</v>
          </cell>
        </row>
        <row r="7851">
          <cell r="A7851" t="str">
            <v>Q87</v>
          </cell>
          <cell r="B7851" t="str">
            <v>Otros síndromes de malformaciones congénitas especificados que afectan múltiples sistemas</v>
          </cell>
        </row>
        <row r="7852">
          <cell r="A7852" t="str">
            <v>Q87.0</v>
          </cell>
          <cell r="B7852" t="str">
            <v>Síndromes de malformaciones congénitas que afectan principalmente la apariencia facial</v>
          </cell>
        </row>
        <row r="7853">
          <cell r="A7853" t="str">
            <v>Q87.1</v>
          </cell>
          <cell r="B7853" t="str">
            <v>Síndromes de malformaciones congénitas asociadas principalmente con estatura baja</v>
          </cell>
        </row>
        <row r="7854">
          <cell r="A7854" t="str">
            <v>Q87.2</v>
          </cell>
          <cell r="B7854" t="str">
            <v>Síndromes de malformaciones congénitas que afectan principalmente los miembros</v>
          </cell>
        </row>
        <row r="7855">
          <cell r="A7855" t="str">
            <v>Q87.3</v>
          </cell>
          <cell r="B7855" t="str">
            <v>Síndromes de malformaciones congénitas con exceso de crecimiento precoz</v>
          </cell>
        </row>
        <row r="7856">
          <cell r="A7856" t="str">
            <v>Q87.4</v>
          </cell>
          <cell r="B7856" t="str">
            <v>Síndrome de Marfan</v>
          </cell>
        </row>
        <row r="7857">
          <cell r="A7857" t="str">
            <v>Q87.5</v>
          </cell>
          <cell r="B7857" t="str">
            <v>Otros síndromes de malformaciones congénitas con otros cambios esqueléticos</v>
          </cell>
        </row>
        <row r="7858">
          <cell r="A7858" t="str">
            <v>Q87.8</v>
          </cell>
          <cell r="B7858" t="str">
            <v>Otros síndromes de malformaciones congénitas especificados, no clasificados en otra parte</v>
          </cell>
        </row>
        <row r="7859">
          <cell r="A7859" t="str">
            <v>Q89</v>
          </cell>
          <cell r="B7859" t="str">
            <v>Otras malformaciones congénitas, no clasificadas en otra parte</v>
          </cell>
        </row>
        <row r="7860">
          <cell r="A7860" t="str">
            <v>Q89.0</v>
          </cell>
          <cell r="B7860" t="str">
            <v>Malformaciones congénitas del bazo</v>
          </cell>
        </row>
        <row r="7861">
          <cell r="A7861" t="str">
            <v>Q89.1</v>
          </cell>
          <cell r="B7861" t="str">
            <v>Malformaciones congénitas de la glándula suprarrenal</v>
          </cell>
        </row>
        <row r="7862">
          <cell r="A7862" t="str">
            <v>Q89.2</v>
          </cell>
          <cell r="B7862" t="str">
            <v>Malformaciones congénitas de otras glándulas endocrinas</v>
          </cell>
        </row>
        <row r="7863">
          <cell r="A7863" t="str">
            <v>Q89.3</v>
          </cell>
          <cell r="B7863" t="str">
            <v>Situs inversus</v>
          </cell>
        </row>
        <row r="7864">
          <cell r="A7864" t="str">
            <v>Q89.4</v>
          </cell>
          <cell r="B7864" t="str">
            <v>Gemelos siameses</v>
          </cell>
        </row>
        <row r="7865">
          <cell r="A7865" t="str">
            <v>Q89.7</v>
          </cell>
          <cell r="B7865" t="str">
            <v>Malformaciones congénitas múltiples, no clasificadas en otra parte</v>
          </cell>
        </row>
        <row r="7866">
          <cell r="A7866" t="str">
            <v>Q89.8</v>
          </cell>
          <cell r="B7866" t="str">
            <v>Otras malformaciones congénitas, especificadas</v>
          </cell>
        </row>
        <row r="7867">
          <cell r="A7867" t="str">
            <v>Q89.9</v>
          </cell>
          <cell r="B7867" t="str">
            <v>Malformación congénita, no especificada</v>
          </cell>
        </row>
        <row r="7868">
          <cell r="A7868" t="str">
            <v>Q90</v>
          </cell>
          <cell r="B7868" t="str">
            <v>Síndrome de Down</v>
          </cell>
        </row>
        <row r="7869">
          <cell r="A7869" t="str">
            <v>Q90.0</v>
          </cell>
          <cell r="B7869" t="str">
            <v>Trisomía 21, por falta de disyunción meiótica</v>
          </cell>
        </row>
        <row r="7870">
          <cell r="A7870" t="str">
            <v>Q90.1</v>
          </cell>
          <cell r="B7870" t="str">
            <v>Trisomía 21, mosaico (por falta de disyunción mitótica)</v>
          </cell>
        </row>
        <row r="7871">
          <cell r="A7871" t="str">
            <v>Q90.2</v>
          </cell>
          <cell r="B7871" t="str">
            <v>Trisomía 21, por translocación</v>
          </cell>
        </row>
        <row r="7872">
          <cell r="A7872" t="str">
            <v>Q90.9</v>
          </cell>
          <cell r="B7872" t="str">
            <v>Síndrome de Down, no especificado</v>
          </cell>
        </row>
        <row r="7873">
          <cell r="A7873" t="str">
            <v>Q91</v>
          </cell>
          <cell r="B7873" t="str">
            <v>Síndrome de Edwards y síndrome de Patau</v>
          </cell>
        </row>
        <row r="7874">
          <cell r="A7874" t="str">
            <v>Q91.0</v>
          </cell>
          <cell r="B7874" t="str">
            <v>Trisomía 18, por falta de disyunción meiótica</v>
          </cell>
        </row>
        <row r="7875">
          <cell r="A7875" t="str">
            <v>Q91.1</v>
          </cell>
          <cell r="B7875" t="str">
            <v>Trisomía 18, mosaico (por falta de disyunción mitótica)</v>
          </cell>
        </row>
        <row r="7876">
          <cell r="A7876" t="str">
            <v>Q91.2</v>
          </cell>
          <cell r="B7876" t="str">
            <v>Trisomía 18, por translocación</v>
          </cell>
        </row>
        <row r="7877">
          <cell r="A7877" t="str">
            <v>Q91.3</v>
          </cell>
          <cell r="B7877" t="str">
            <v>Síndrome de Edwards, no especificado</v>
          </cell>
        </row>
        <row r="7878">
          <cell r="A7878" t="str">
            <v>Q91.4</v>
          </cell>
          <cell r="B7878" t="str">
            <v>Trisomía 13, por falta de disyunción meiótica</v>
          </cell>
        </row>
        <row r="7879">
          <cell r="A7879" t="str">
            <v>Q91.5</v>
          </cell>
          <cell r="B7879" t="str">
            <v>Trisomía 13, mosaico (por falta de disyunción mitótica)</v>
          </cell>
        </row>
        <row r="7880">
          <cell r="A7880" t="str">
            <v>Q91.6</v>
          </cell>
          <cell r="B7880" t="str">
            <v>Trisomía 13, por translocación</v>
          </cell>
        </row>
        <row r="7881">
          <cell r="A7881" t="str">
            <v>Q91.7</v>
          </cell>
          <cell r="B7881" t="str">
            <v>Síndrome de Patau, no especificado</v>
          </cell>
        </row>
        <row r="7882">
          <cell r="A7882" t="str">
            <v>Q92</v>
          </cell>
          <cell r="B7882" t="str">
            <v>Otras trisomías y trisomías parciales de los autosomas, no clasificadas en otra  parte</v>
          </cell>
        </row>
        <row r="7883">
          <cell r="A7883" t="str">
            <v>Q92.0</v>
          </cell>
          <cell r="B7883" t="str">
            <v>Trisomía de un cromosoma completo, por falta de disyunción meiótica</v>
          </cell>
        </row>
        <row r="7884">
          <cell r="A7884" t="str">
            <v>Q92.1</v>
          </cell>
          <cell r="B7884" t="str">
            <v>Trisomía de un cromosoma completo, mosaico (por falta de disyunción mitótica)</v>
          </cell>
        </row>
        <row r="7885">
          <cell r="A7885" t="str">
            <v>Q92.2</v>
          </cell>
          <cell r="B7885" t="str">
            <v>Trisomía parcial mayor</v>
          </cell>
        </row>
        <row r="7886">
          <cell r="A7886" t="str">
            <v>Q92.3</v>
          </cell>
          <cell r="B7886" t="str">
            <v>Trisomía parcial menor</v>
          </cell>
        </row>
        <row r="7887">
          <cell r="A7887" t="str">
            <v>Q92.4</v>
          </cell>
          <cell r="B7887" t="str">
            <v>Duplicaciones visibles sólo en la prometafase</v>
          </cell>
        </row>
        <row r="7888">
          <cell r="A7888" t="str">
            <v>Q92.5</v>
          </cell>
          <cell r="B7888" t="str">
            <v>Duplicaciones con otros reordenamientos complejos</v>
          </cell>
        </row>
        <row r="7889">
          <cell r="A7889" t="str">
            <v>Q92.6</v>
          </cell>
          <cell r="B7889" t="str">
            <v>Cromosomas marcadores suplementarios</v>
          </cell>
        </row>
        <row r="7890">
          <cell r="A7890" t="str">
            <v>Q92.7</v>
          </cell>
          <cell r="B7890" t="str">
            <v>Triploidía y poliploidía</v>
          </cell>
        </row>
        <row r="7891">
          <cell r="A7891" t="str">
            <v>Q92.8</v>
          </cell>
          <cell r="B7891" t="str">
            <v>Otras trisomías y trisomías parciales de los autosomas, especificadas</v>
          </cell>
        </row>
        <row r="7892">
          <cell r="A7892" t="str">
            <v>Q92.9</v>
          </cell>
          <cell r="B7892" t="str">
            <v>Trisomía y trisomía parcial de los autosomas, sin otra especificación</v>
          </cell>
        </row>
        <row r="7893">
          <cell r="A7893" t="str">
            <v>Q93</v>
          </cell>
          <cell r="B7893" t="str">
            <v>Monosomías y supresiones de los autosomas, no clasificadas en otra parte</v>
          </cell>
        </row>
        <row r="7894">
          <cell r="A7894" t="str">
            <v>Q93.0</v>
          </cell>
          <cell r="B7894" t="str">
            <v>Monosomía completa de un cromosoma, por falta de disyunción meiótica</v>
          </cell>
        </row>
        <row r="7895">
          <cell r="A7895" t="str">
            <v>Q93.1</v>
          </cell>
          <cell r="B7895" t="str">
            <v>Monosomía completa de un cromosoma, mosaico (por falta de disyunción mitótica)</v>
          </cell>
        </row>
        <row r="7896">
          <cell r="A7896" t="str">
            <v>Q93.2</v>
          </cell>
          <cell r="B7896" t="str">
            <v>Cromosoma reemplazado por anillo o dicéntrico</v>
          </cell>
        </row>
        <row r="7897">
          <cell r="A7897" t="str">
            <v>Q93.3</v>
          </cell>
          <cell r="B7897" t="str">
            <v>Supresión del brazo corto del cromosoma 4</v>
          </cell>
        </row>
        <row r="7898">
          <cell r="A7898" t="str">
            <v>Q93.4</v>
          </cell>
          <cell r="B7898" t="str">
            <v>Supresión del brazo corto del cromosoma 5</v>
          </cell>
        </row>
        <row r="7899">
          <cell r="A7899" t="str">
            <v>Q93.5</v>
          </cell>
          <cell r="B7899" t="str">
            <v>Otras supresiones de parte de un cromosoma</v>
          </cell>
        </row>
        <row r="7900">
          <cell r="A7900" t="str">
            <v>Q93.6</v>
          </cell>
          <cell r="B7900" t="str">
            <v>Supresiones visibles sólo en la prometafase</v>
          </cell>
        </row>
        <row r="7901">
          <cell r="A7901" t="str">
            <v>Q93.7</v>
          </cell>
          <cell r="B7901" t="str">
            <v>Supresiones con otros reordenamientos complejos</v>
          </cell>
        </row>
        <row r="7902">
          <cell r="A7902" t="str">
            <v>Q93.8</v>
          </cell>
          <cell r="B7902" t="str">
            <v>Otras supresiones de los autosomas</v>
          </cell>
        </row>
        <row r="7903">
          <cell r="A7903" t="str">
            <v>Q93.9</v>
          </cell>
          <cell r="B7903" t="str">
            <v>Supresión de los autosomas, no especificada</v>
          </cell>
        </row>
        <row r="7904">
          <cell r="A7904" t="str">
            <v>Q95</v>
          </cell>
          <cell r="B7904" t="str">
            <v>Reordenamientos equilibrados y marcadores estructurales, no clasificados en otra parte</v>
          </cell>
        </row>
        <row r="7905">
          <cell r="A7905" t="str">
            <v>Q95.0</v>
          </cell>
          <cell r="B7905" t="str">
            <v>Translocación equilibrada e inserción en individuo normal</v>
          </cell>
        </row>
        <row r="7906">
          <cell r="A7906" t="str">
            <v>Q95.1</v>
          </cell>
          <cell r="B7906" t="str">
            <v>Inversión cromosómica en individuo normal</v>
          </cell>
        </row>
        <row r="7907">
          <cell r="A7907" t="str">
            <v>Q95.2</v>
          </cell>
          <cell r="B7907" t="str">
            <v>Reordenamiento autosómico equilibrado en individuo anormal</v>
          </cell>
        </row>
        <row r="7908">
          <cell r="A7908" t="str">
            <v>Q95.3</v>
          </cell>
          <cell r="B7908" t="str">
            <v>Reordenamiento autosómico/sexual equilibrado en individuo anormal</v>
          </cell>
        </row>
        <row r="7909">
          <cell r="A7909" t="str">
            <v>Q95.4</v>
          </cell>
          <cell r="B7909" t="str">
            <v>Individuos con heterocromatina marcadora</v>
          </cell>
        </row>
        <row r="7910">
          <cell r="A7910" t="str">
            <v>Q95.5</v>
          </cell>
          <cell r="B7910" t="str">
            <v>Individuos con sitio frágil autosómico</v>
          </cell>
        </row>
        <row r="7911">
          <cell r="A7911" t="str">
            <v>Q95.8</v>
          </cell>
          <cell r="B7911" t="str">
            <v>Otros reordenamientos equilibrados y marcadores estructurales</v>
          </cell>
        </row>
        <row r="7912">
          <cell r="A7912" t="str">
            <v>Q95.9</v>
          </cell>
          <cell r="B7912" t="str">
            <v>Reordenamiento equilibrado y marcador estructural, sin otra especificación</v>
          </cell>
        </row>
        <row r="7913">
          <cell r="A7913" t="str">
            <v>Q96</v>
          </cell>
          <cell r="B7913" t="str">
            <v>Síndrome de Turner</v>
          </cell>
        </row>
        <row r="7914">
          <cell r="A7914" t="str">
            <v>Q96.0</v>
          </cell>
          <cell r="B7914" t="str">
            <v>Cariotipo 45,X</v>
          </cell>
        </row>
        <row r="7915">
          <cell r="A7915" t="str">
            <v>Q96.1</v>
          </cell>
          <cell r="B7915" t="str">
            <v>Cariotipo 46,X iso (Xq)</v>
          </cell>
        </row>
        <row r="7916">
          <cell r="A7916" t="str">
            <v>Q96.2</v>
          </cell>
          <cell r="B7916" t="str">
            <v>Cariotipo 46,X con cromosoma sexual anormal excepto iso (Xq)</v>
          </cell>
        </row>
        <row r="7917">
          <cell r="A7917" t="str">
            <v>Q96.3</v>
          </cell>
          <cell r="B7917" t="str">
            <v>Mosaico 45,X/46,XX o XY</v>
          </cell>
        </row>
        <row r="7918">
          <cell r="A7918" t="str">
            <v>Q96.4</v>
          </cell>
          <cell r="B7918" t="str">
            <v>Mosaico 45,X/otra(s) línea(s) celular(es) con cromosoma sexual anormal</v>
          </cell>
        </row>
        <row r="7919">
          <cell r="A7919" t="str">
            <v>Q96.8</v>
          </cell>
          <cell r="B7919" t="str">
            <v>Otras variantes del síndrome de Turner</v>
          </cell>
        </row>
        <row r="7920">
          <cell r="A7920" t="str">
            <v>Q96.9</v>
          </cell>
          <cell r="B7920" t="str">
            <v>Síndrome de Turner, no especificado</v>
          </cell>
        </row>
        <row r="7921">
          <cell r="A7921" t="str">
            <v>Q97</v>
          </cell>
          <cell r="B7921" t="str">
            <v>Otras anomalías de los cromosomas sexuales, con fenotipo femenino, no clasificadas en otra parte</v>
          </cell>
        </row>
        <row r="7922">
          <cell r="A7922" t="str">
            <v>Q97.0</v>
          </cell>
          <cell r="B7922" t="str">
            <v>Cariotipo 47,XXX</v>
          </cell>
        </row>
        <row r="7923">
          <cell r="A7923" t="str">
            <v>Q97.1</v>
          </cell>
          <cell r="B7923" t="str">
            <v>Mujer con más de tres cromosomas X</v>
          </cell>
        </row>
        <row r="7924">
          <cell r="A7924" t="str">
            <v>Q97.2</v>
          </cell>
          <cell r="B7924" t="str">
            <v>Mosaico, líneas con número variable de cromosomas X</v>
          </cell>
        </row>
        <row r="7925">
          <cell r="A7925" t="str">
            <v>Q97.3</v>
          </cell>
          <cell r="B7925" t="str">
            <v>Mujer con cariotipo 46,XY</v>
          </cell>
        </row>
        <row r="7926">
          <cell r="A7926" t="str">
            <v>Q97.8</v>
          </cell>
          <cell r="B7926" t="str">
            <v>Otras anomalías de los cromosomas sexuales, con fenotipo femenino, especificadas</v>
          </cell>
        </row>
        <row r="7927">
          <cell r="A7927" t="str">
            <v>Q97.9</v>
          </cell>
          <cell r="B7927" t="str">
            <v>Anomalía de los cromosomas sexuales, con fenotipo femenino, sin otra especificación</v>
          </cell>
        </row>
        <row r="7928">
          <cell r="A7928" t="str">
            <v>Q98</v>
          </cell>
          <cell r="B7928" t="str">
            <v>Otras anomalías de los cromosomas sexuales, con fenotipo masculino, no clasificadas en otra  parte</v>
          </cell>
        </row>
        <row r="7929">
          <cell r="A7929" t="str">
            <v>Q98.0</v>
          </cell>
          <cell r="B7929" t="str">
            <v>Síndrome de Klinefelter, cariotipo 47,XXY</v>
          </cell>
        </row>
        <row r="7930">
          <cell r="A7930" t="str">
            <v>Q98.1</v>
          </cell>
          <cell r="B7930" t="str">
            <v>Síndrome de Klinefelter, hombre con más de dos cromosomas X</v>
          </cell>
        </row>
        <row r="7931">
          <cell r="A7931" t="str">
            <v>Q98.2</v>
          </cell>
          <cell r="B7931" t="str">
            <v>Síndrome de Klinefelter, hombre con cariotipo 46,XX</v>
          </cell>
        </row>
        <row r="7932">
          <cell r="A7932" t="str">
            <v>Q98.3</v>
          </cell>
          <cell r="B7932" t="str">
            <v>Otro hombre con cariotipo 46,XX</v>
          </cell>
        </row>
        <row r="7933">
          <cell r="A7933" t="str">
            <v>Q98.4</v>
          </cell>
          <cell r="B7933" t="str">
            <v>Síndrome de Klinefelter, no especificado</v>
          </cell>
        </row>
        <row r="7934">
          <cell r="A7934" t="str">
            <v>Q98.5</v>
          </cell>
          <cell r="B7934" t="str">
            <v>Cariotipo 47,XYY</v>
          </cell>
        </row>
        <row r="7935">
          <cell r="A7935" t="str">
            <v>Q98.6</v>
          </cell>
          <cell r="B7935" t="str">
            <v>Hombre con cromosoma sexual estructuralmente anormal</v>
          </cell>
        </row>
        <row r="7936">
          <cell r="A7936" t="str">
            <v>Q98.7</v>
          </cell>
          <cell r="B7936" t="str">
            <v>Hombre con mosaico de cromosomas sexuales</v>
          </cell>
        </row>
        <row r="7937">
          <cell r="A7937" t="str">
            <v>Q98.8</v>
          </cell>
          <cell r="B7937" t="str">
            <v>Otras anomalías de los cromosomas sexuales, con fenotipo masculino, especificadas</v>
          </cell>
        </row>
        <row r="7938">
          <cell r="A7938" t="str">
            <v>Q98.9</v>
          </cell>
          <cell r="B7938" t="str">
            <v>Anomalía de los cromosomas sexuales, fenotipo masculino, sin otra especificación</v>
          </cell>
        </row>
        <row r="7939">
          <cell r="A7939" t="str">
            <v>Q99</v>
          </cell>
          <cell r="B7939" t="str">
            <v>Otras anomalías cromosómicas, no clasificadas en otra parte</v>
          </cell>
        </row>
        <row r="7940">
          <cell r="A7940" t="str">
            <v>Q99.0</v>
          </cell>
          <cell r="B7940" t="str">
            <v>Quimera 46,XX/46,XY</v>
          </cell>
        </row>
        <row r="7941">
          <cell r="A7941" t="str">
            <v>Q99.1</v>
          </cell>
          <cell r="B7941" t="str">
            <v>Hermafrodita verdadero 46,XX</v>
          </cell>
        </row>
        <row r="7942">
          <cell r="A7942" t="str">
            <v>Q99.2</v>
          </cell>
          <cell r="B7942" t="str">
            <v>Cromosoma X frágil</v>
          </cell>
        </row>
        <row r="7943">
          <cell r="A7943" t="str">
            <v>Q99.8</v>
          </cell>
          <cell r="B7943" t="str">
            <v>Otras anomalías de los cromosomas, especificadas</v>
          </cell>
        </row>
        <row r="7944">
          <cell r="A7944" t="str">
            <v>Q99.9</v>
          </cell>
          <cell r="B7944" t="str">
            <v>Anomalía cromosómica, no especificada</v>
          </cell>
        </row>
        <row r="7945">
          <cell r="A7945" t="str">
            <v>R</v>
          </cell>
          <cell r="B7945" t="str">
            <v>Transtornos Sintomatológicos</v>
          </cell>
        </row>
        <row r="7946">
          <cell r="A7946" t="str">
            <v>R00</v>
          </cell>
          <cell r="B7946" t="str">
            <v>Anormalidades del latido cardíaco</v>
          </cell>
        </row>
        <row r="7947">
          <cell r="A7947" t="str">
            <v>R00.0</v>
          </cell>
          <cell r="B7947" t="str">
            <v>Taquicardia, no especificada</v>
          </cell>
        </row>
        <row r="7948">
          <cell r="A7948" t="str">
            <v>R00.1</v>
          </cell>
          <cell r="B7948" t="str">
            <v>Bradicardia, no especificada</v>
          </cell>
        </row>
        <row r="7949">
          <cell r="A7949" t="str">
            <v>R00.2</v>
          </cell>
          <cell r="B7949" t="str">
            <v>Palpitaciones</v>
          </cell>
        </row>
        <row r="7950">
          <cell r="A7950" t="str">
            <v>R00.8</v>
          </cell>
          <cell r="B7950" t="str">
            <v>Otras anormalidades del latido cardíaco y las no especificadas</v>
          </cell>
        </row>
        <row r="7951">
          <cell r="A7951" t="str">
            <v>R01</v>
          </cell>
          <cell r="B7951" t="str">
            <v>Soplos y otros sonidos cardíacos</v>
          </cell>
        </row>
        <row r="7952">
          <cell r="A7952" t="str">
            <v>R01.0</v>
          </cell>
          <cell r="B7952" t="str">
            <v>Soplos cardíacos benignos o inocentes</v>
          </cell>
        </row>
        <row r="7953">
          <cell r="A7953" t="str">
            <v>R01.1</v>
          </cell>
          <cell r="B7953" t="str">
            <v>Soplo cardíaco, no especificado</v>
          </cell>
        </row>
        <row r="7954">
          <cell r="A7954" t="str">
            <v>R01.2</v>
          </cell>
          <cell r="B7954" t="str">
            <v>Otros sonidos cardíacos</v>
          </cell>
        </row>
        <row r="7955">
          <cell r="A7955" t="str">
            <v>R02.X</v>
          </cell>
          <cell r="B7955" t="str">
            <v>Gangrena, no clasificada en otra parte</v>
          </cell>
        </row>
        <row r="7956">
          <cell r="A7956" t="str">
            <v>R03</v>
          </cell>
          <cell r="B7956" t="str">
            <v>Lectura de presión sanguínea anormal, sin diagnóstico</v>
          </cell>
        </row>
        <row r="7957">
          <cell r="A7957" t="str">
            <v>R03.0</v>
          </cell>
          <cell r="B7957" t="str">
            <v>Lectura elevada de la presión sanguínea, sin diagnóstico de hipertensión</v>
          </cell>
        </row>
        <row r="7958">
          <cell r="A7958" t="str">
            <v>R03.1</v>
          </cell>
          <cell r="B7958" t="str">
            <v>Lectura de presión baja no específica</v>
          </cell>
        </row>
        <row r="7959">
          <cell r="A7959" t="str">
            <v>R04</v>
          </cell>
          <cell r="B7959" t="str">
            <v>Hemorragias de las vías respiratorias</v>
          </cell>
        </row>
        <row r="7960">
          <cell r="A7960" t="str">
            <v>R04.0</v>
          </cell>
          <cell r="B7960" t="str">
            <v>Epistaxis</v>
          </cell>
        </row>
        <row r="7961">
          <cell r="A7961" t="str">
            <v>R04.1</v>
          </cell>
          <cell r="B7961" t="str">
            <v>Hemorragia de la garganta</v>
          </cell>
        </row>
        <row r="7962">
          <cell r="A7962" t="str">
            <v>R04.2</v>
          </cell>
          <cell r="B7962" t="str">
            <v>Hemoptisis</v>
          </cell>
        </row>
        <row r="7963">
          <cell r="A7963" t="str">
            <v>R04.8</v>
          </cell>
          <cell r="B7963" t="str">
            <v>Hemorragia de otros sitios de las vías respiratorias</v>
          </cell>
        </row>
        <row r="7964">
          <cell r="A7964" t="str">
            <v>R04.9</v>
          </cell>
          <cell r="B7964" t="str">
            <v>Hemorragia de las vías respiratorias, no especificada</v>
          </cell>
        </row>
        <row r="7965">
          <cell r="A7965" t="str">
            <v>R05.X</v>
          </cell>
          <cell r="B7965" t="str">
            <v>Tos</v>
          </cell>
        </row>
        <row r="7966">
          <cell r="A7966" t="str">
            <v>R06</v>
          </cell>
          <cell r="B7966" t="str">
            <v>Anormalidades de la respiración</v>
          </cell>
        </row>
        <row r="7967">
          <cell r="A7967" t="str">
            <v>R06.0</v>
          </cell>
          <cell r="B7967" t="str">
            <v>Disnea</v>
          </cell>
        </row>
        <row r="7968">
          <cell r="A7968" t="str">
            <v>R06.1</v>
          </cell>
          <cell r="B7968" t="str">
            <v>Estridor</v>
          </cell>
        </row>
        <row r="7969">
          <cell r="A7969" t="str">
            <v>R06.2</v>
          </cell>
          <cell r="B7969" t="str">
            <v>Silbido</v>
          </cell>
        </row>
        <row r="7970">
          <cell r="A7970" t="str">
            <v>R06.3</v>
          </cell>
          <cell r="B7970" t="str">
            <v>Respiración periódica</v>
          </cell>
        </row>
        <row r="7971">
          <cell r="A7971" t="str">
            <v>R06.4</v>
          </cell>
          <cell r="B7971" t="str">
            <v>Hiperventilación</v>
          </cell>
        </row>
        <row r="7972">
          <cell r="A7972" t="str">
            <v>R06.5</v>
          </cell>
          <cell r="B7972" t="str">
            <v>Respiración con la boca</v>
          </cell>
        </row>
        <row r="7973">
          <cell r="A7973" t="str">
            <v>R06.6</v>
          </cell>
          <cell r="B7973" t="str">
            <v>Hipo</v>
          </cell>
        </row>
        <row r="7974">
          <cell r="A7974" t="str">
            <v>R06.7</v>
          </cell>
          <cell r="B7974" t="str">
            <v>Estornudo</v>
          </cell>
        </row>
        <row r="7975">
          <cell r="A7975" t="str">
            <v>R06.8</v>
          </cell>
          <cell r="B7975" t="str">
            <v>Otras anormalidades de la respiración y las no especificadas</v>
          </cell>
        </row>
        <row r="7976">
          <cell r="A7976" t="str">
            <v>R07</v>
          </cell>
          <cell r="B7976" t="str">
            <v>Dolor de garganta y en el pecho</v>
          </cell>
        </row>
        <row r="7977">
          <cell r="A7977" t="str">
            <v>R07.0</v>
          </cell>
          <cell r="B7977" t="str">
            <v>Dolor de garganta</v>
          </cell>
        </row>
        <row r="7978">
          <cell r="A7978" t="str">
            <v>R07.1</v>
          </cell>
          <cell r="B7978" t="str">
            <v>Dolor en el pecho al respirar</v>
          </cell>
        </row>
        <row r="7979">
          <cell r="A7979" t="str">
            <v>R07.2</v>
          </cell>
          <cell r="B7979" t="str">
            <v>Dolor precordial</v>
          </cell>
        </row>
        <row r="7980">
          <cell r="A7980" t="str">
            <v>R07.3</v>
          </cell>
          <cell r="B7980" t="str">
            <v>Otros dolores en el pecho</v>
          </cell>
        </row>
        <row r="7981">
          <cell r="A7981" t="str">
            <v>R07.4</v>
          </cell>
          <cell r="B7981" t="str">
            <v>Dolor en el pecho, no especificado</v>
          </cell>
        </row>
        <row r="7982">
          <cell r="A7982" t="str">
            <v>R09</v>
          </cell>
          <cell r="B7982" t="str">
            <v>Otros síntomas y signos que involucran los sistemas circulatorio y respiratorio</v>
          </cell>
        </row>
        <row r="7983">
          <cell r="A7983" t="str">
            <v>R09.0</v>
          </cell>
          <cell r="B7983" t="str">
            <v>Asfixia</v>
          </cell>
        </row>
        <row r="7984">
          <cell r="A7984" t="str">
            <v>R09.1</v>
          </cell>
          <cell r="B7984" t="str">
            <v>Pleuresía</v>
          </cell>
        </row>
        <row r="7985">
          <cell r="A7985" t="str">
            <v>R09.2</v>
          </cell>
          <cell r="B7985" t="str">
            <v>Paro respiratorio</v>
          </cell>
        </row>
        <row r="7986">
          <cell r="A7986" t="str">
            <v>R09.3</v>
          </cell>
          <cell r="B7986" t="str">
            <v>Esputo anormal</v>
          </cell>
        </row>
        <row r="7987">
          <cell r="A7987" t="str">
            <v>R09.8</v>
          </cell>
          <cell r="B7987" t="str">
            <v>Otros síntomas y signos especificados que involucran los sistemas circulatorio y respiratorio</v>
          </cell>
        </row>
        <row r="7988">
          <cell r="A7988" t="str">
            <v>R10</v>
          </cell>
          <cell r="B7988" t="str">
            <v>Dolor abdominal y pélvico</v>
          </cell>
        </row>
        <row r="7989">
          <cell r="A7989" t="str">
            <v>R10.0</v>
          </cell>
          <cell r="B7989" t="str">
            <v>Abdomen agudo</v>
          </cell>
        </row>
        <row r="7990">
          <cell r="A7990" t="str">
            <v>R10.1</v>
          </cell>
          <cell r="B7990" t="str">
            <v>Dolor abdominal localizado en parte superior</v>
          </cell>
        </row>
        <row r="7991">
          <cell r="A7991" t="str">
            <v>R10.2</v>
          </cell>
          <cell r="B7991" t="str">
            <v>Dolor pélvico y perineal</v>
          </cell>
        </row>
        <row r="7992">
          <cell r="A7992" t="str">
            <v>R10.3</v>
          </cell>
          <cell r="B7992" t="str">
            <v>Dolor localizado en otras partes inferiores del abdomen</v>
          </cell>
        </row>
        <row r="7993">
          <cell r="A7993" t="str">
            <v>R10.4</v>
          </cell>
          <cell r="B7993" t="str">
            <v>Otros dolores abdominales y los no especificados</v>
          </cell>
        </row>
        <row r="7994">
          <cell r="A7994" t="str">
            <v>R11.X</v>
          </cell>
          <cell r="B7994" t="str">
            <v>Náusea y vómito</v>
          </cell>
        </row>
        <row r="7995">
          <cell r="A7995" t="str">
            <v>R12.X</v>
          </cell>
          <cell r="B7995" t="str">
            <v>Acidez</v>
          </cell>
        </row>
        <row r="7996">
          <cell r="A7996" t="str">
            <v>R13.X</v>
          </cell>
          <cell r="B7996" t="str">
            <v>Disfagia</v>
          </cell>
        </row>
        <row r="7997">
          <cell r="A7997" t="str">
            <v>R14.X</v>
          </cell>
          <cell r="B7997" t="str">
            <v>Flatulencia y afecciones afines</v>
          </cell>
        </row>
        <row r="7998">
          <cell r="A7998" t="str">
            <v>R15.X</v>
          </cell>
          <cell r="B7998" t="str">
            <v>Incontinencia fecal</v>
          </cell>
        </row>
        <row r="7999">
          <cell r="A7999" t="str">
            <v>R16</v>
          </cell>
          <cell r="B7999" t="str">
            <v>Hepatomegalia y esplenomegalia, no clasificadas en otra parte</v>
          </cell>
        </row>
        <row r="8000">
          <cell r="A8000" t="str">
            <v>R16.0</v>
          </cell>
          <cell r="B8000" t="str">
            <v>Hepatomegalia, no clasificada en otra parte</v>
          </cell>
        </row>
        <row r="8001">
          <cell r="A8001" t="str">
            <v>R16.1</v>
          </cell>
          <cell r="B8001" t="str">
            <v>Esplenomegalia, no clasificada en otra parte</v>
          </cell>
        </row>
        <row r="8002">
          <cell r="A8002" t="str">
            <v>R16.2</v>
          </cell>
          <cell r="B8002" t="str">
            <v>Hepatomegalia con esplenomegalia, no clasificadas en otra parte</v>
          </cell>
        </row>
        <row r="8003">
          <cell r="A8003" t="str">
            <v>R17.X</v>
          </cell>
          <cell r="B8003" t="str">
            <v>Ictericia no especificada</v>
          </cell>
        </row>
        <row r="8004">
          <cell r="A8004" t="str">
            <v>R18.X</v>
          </cell>
          <cell r="B8004" t="str">
            <v>Ascitis</v>
          </cell>
        </row>
        <row r="8005">
          <cell r="A8005" t="str">
            <v>R19</v>
          </cell>
          <cell r="B8005" t="str">
            <v>Otros síntomas y signos que involucran el sistema digestivo y el abdomen</v>
          </cell>
        </row>
        <row r="8006">
          <cell r="A8006" t="str">
            <v>R19.0</v>
          </cell>
          <cell r="B8006" t="str">
            <v>Tumefacción, masa o prominencia intraabdominal y pélvica</v>
          </cell>
        </row>
        <row r="8007">
          <cell r="A8007" t="str">
            <v>R19.1</v>
          </cell>
          <cell r="B8007" t="str">
            <v>Sonidos intestinales anormales</v>
          </cell>
        </row>
        <row r="8008">
          <cell r="A8008" t="str">
            <v>R19.2</v>
          </cell>
          <cell r="B8008" t="str">
            <v>Peristalsis visible</v>
          </cell>
        </row>
        <row r="8009">
          <cell r="A8009" t="str">
            <v>R19.3</v>
          </cell>
          <cell r="B8009" t="str">
            <v>Rigidez abdominal</v>
          </cell>
        </row>
        <row r="8010">
          <cell r="A8010" t="str">
            <v>R19.4</v>
          </cell>
          <cell r="B8010" t="str">
            <v>Cambios en los hábitos intestinales</v>
          </cell>
        </row>
        <row r="8011">
          <cell r="A8011" t="str">
            <v>R19.5</v>
          </cell>
          <cell r="B8011" t="str">
            <v>Otras anormalidades fecales</v>
          </cell>
        </row>
        <row r="8012">
          <cell r="A8012" t="str">
            <v>R19.6</v>
          </cell>
          <cell r="B8012" t="str">
            <v>Halitosis</v>
          </cell>
        </row>
        <row r="8013">
          <cell r="A8013" t="str">
            <v>R19.8</v>
          </cell>
          <cell r="B8013" t="str">
            <v>Otros síntomas y signos especificados que involucran el sistema digestivo y el abdomen</v>
          </cell>
        </row>
        <row r="8014">
          <cell r="A8014" t="str">
            <v>R20</v>
          </cell>
          <cell r="B8014" t="str">
            <v>Alteraciones de la sensibilidad cutánea</v>
          </cell>
        </row>
        <row r="8015">
          <cell r="A8015" t="str">
            <v>R20.0</v>
          </cell>
          <cell r="B8015" t="str">
            <v>Anestesia de la piel</v>
          </cell>
        </row>
        <row r="8016">
          <cell r="A8016" t="str">
            <v>R20.1</v>
          </cell>
          <cell r="B8016" t="str">
            <v>Hipoestesia de la piel</v>
          </cell>
        </row>
        <row r="8017">
          <cell r="A8017" t="str">
            <v>R20.2</v>
          </cell>
          <cell r="B8017" t="str">
            <v>Parestesia de la piel</v>
          </cell>
        </row>
        <row r="8018">
          <cell r="A8018" t="str">
            <v>R20.3</v>
          </cell>
          <cell r="B8018" t="str">
            <v>Hiperestesia</v>
          </cell>
        </row>
        <row r="8019">
          <cell r="A8019" t="str">
            <v>R20.8</v>
          </cell>
          <cell r="B8019" t="str">
            <v>Otras alteraciones de la sensibilidad cutánea y las no especificadas</v>
          </cell>
        </row>
        <row r="8020">
          <cell r="A8020" t="str">
            <v>R21.X</v>
          </cell>
          <cell r="B8020" t="str">
            <v>Salpullido y otras erupciones cutáneas no especificadas</v>
          </cell>
        </row>
        <row r="8021">
          <cell r="A8021" t="str">
            <v>R22</v>
          </cell>
          <cell r="B8021" t="str">
            <v>Tumefacción, masa o prominencia de la piel y del tejido subcutáneo localizadas</v>
          </cell>
        </row>
        <row r="8022">
          <cell r="A8022" t="str">
            <v>R22.0</v>
          </cell>
          <cell r="B8022" t="str">
            <v>Tumefacción, masa o prominencia localizada en la cabeza</v>
          </cell>
        </row>
        <row r="8023">
          <cell r="A8023" t="str">
            <v>R22.1</v>
          </cell>
          <cell r="B8023" t="str">
            <v>Tumefacción, masa o prominencia localizada en el cuello</v>
          </cell>
        </row>
        <row r="8024">
          <cell r="A8024" t="str">
            <v>R22.2</v>
          </cell>
          <cell r="B8024" t="str">
            <v>Tumefacción, masa o prominencia localizada en el tronco</v>
          </cell>
        </row>
        <row r="8025">
          <cell r="A8025" t="str">
            <v>R22.3</v>
          </cell>
          <cell r="B8025" t="str">
            <v>Tumefacción, masa o prominencia localizada en el miembro superior</v>
          </cell>
        </row>
        <row r="8026">
          <cell r="A8026" t="str">
            <v>R22.4</v>
          </cell>
          <cell r="B8026" t="str">
            <v>Tumefacción, masa o prominencia localizada en el miembro inferior</v>
          </cell>
        </row>
        <row r="8027">
          <cell r="A8027" t="str">
            <v>R22.7</v>
          </cell>
          <cell r="B8027" t="str">
            <v>Tumefacción, masa o prominencia localizada en sitios múltiples</v>
          </cell>
        </row>
        <row r="8028">
          <cell r="A8028" t="str">
            <v>R22.9</v>
          </cell>
          <cell r="B8028" t="str">
            <v>Tumefacción, masa o prominencia localizada en parte no especificada</v>
          </cell>
        </row>
        <row r="8029">
          <cell r="A8029" t="str">
            <v>R23</v>
          </cell>
          <cell r="B8029" t="str">
            <v>Otros cambios en la piel</v>
          </cell>
        </row>
        <row r="8030">
          <cell r="A8030" t="str">
            <v>R23.0</v>
          </cell>
          <cell r="B8030" t="str">
            <v>Cianosis</v>
          </cell>
        </row>
        <row r="8031">
          <cell r="A8031" t="str">
            <v>R23.1</v>
          </cell>
          <cell r="B8031" t="str">
            <v>Palidez</v>
          </cell>
        </row>
        <row r="8032">
          <cell r="A8032" t="str">
            <v>R23.2</v>
          </cell>
          <cell r="B8032" t="str">
            <v>Rubor</v>
          </cell>
        </row>
        <row r="8033">
          <cell r="A8033" t="str">
            <v>R23.3</v>
          </cell>
          <cell r="B8033" t="str">
            <v>Equimosis espontánea</v>
          </cell>
        </row>
        <row r="8034">
          <cell r="A8034" t="str">
            <v>R23.4</v>
          </cell>
          <cell r="B8034" t="str">
            <v>Cambios en la textura de la piel</v>
          </cell>
        </row>
        <row r="8035">
          <cell r="A8035" t="str">
            <v>R23.8</v>
          </cell>
          <cell r="B8035" t="str">
            <v>Otros cambios de la piel y los no especificados</v>
          </cell>
        </row>
        <row r="8036">
          <cell r="A8036" t="str">
            <v>R25</v>
          </cell>
          <cell r="B8036" t="str">
            <v>Movimientos involuntarios anormales</v>
          </cell>
        </row>
        <row r="8037">
          <cell r="A8037" t="str">
            <v>R25.0</v>
          </cell>
          <cell r="B8037" t="str">
            <v>Movimientos anormales de la cabeza</v>
          </cell>
        </row>
        <row r="8038">
          <cell r="A8038" t="str">
            <v>R25.1</v>
          </cell>
          <cell r="B8038" t="str">
            <v>Temblor no especificado</v>
          </cell>
        </row>
        <row r="8039">
          <cell r="A8039" t="str">
            <v>R25.2</v>
          </cell>
          <cell r="B8039" t="str">
            <v>Calambres y espasmos</v>
          </cell>
        </row>
        <row r="8040">
          <cell r="A8040" t="str">
            <v>R25.3</v>
          </cell>
          <cell r="B8040" t="str">
            <v>Fasciculación</v>
          </cell>
        </row>
        <row r="8041">
          <cell r="A8041" t="str">
            <v>R25.8</v>
          </cell>
          <cell r="B8041" t="str">
            <v>Otros movimientos anormales involuntarios y los no especificados</v>
          </cell>
        </row>
        <row r="8042">
          <cell r="A8042" t="str">
            <v>R26</v>
          </cell>
          <cell r="B8042" t="str">
            <v>Anormalidades de la marcha y de la movilidad</v>
          </cell>
        </row>
        <row r="8043">
          <cell r="A8043" t="str">
            <v>R26.0</v>
          </cell>
          <cell r="B8043" t="str">
            <v>Marcha atáxica</v>
          </cell>
        </row>
        <row r="8044">
          <cell r="A8044" t="str">
            <v>R26.1</v>
          </cell>
          <cell r="B8044" t="str">
            <v>Marcha paralítica</v>
          </cell>
        </row>
        <row r="8045">
          <cell r="A8045" t="str">
            <v>R26.2</v>
          </cell>
          <cell r="B8045" t="str">
            <v>Dificultad para caminar, no clasificada en otra parte</v>
          </cell>
        </row>
        <row r="8046">
          <cell r="A8046" t="str">
            <v>R26.8</v>
          </cell>
          <cell r="B8046" t="str">
            <v>Otras anormalidades de la marcha y de la movilidad y las no especificadas</v>
          </cell>
        </row>
        <row r="8047">
          <cell r="A8047" t="str">
            <v>R27</v>
          </cell>
          <cell r="B8047" t="str">
            <v>Otras fallas de coordinación</v>
          </cell>
        </row>
        <row r="8048">
          <cell r="A8048" t="str">
            <v>R27.0</v>
          </cell>
          <cell r="B8048" t="str">
            <v>Ataxia, no especificada</v>
          </cell>
        </row>
        <row r="8049">
          <cell r="A8049" t="str">
            <v>R27.8</v>
          </cell>
          <cell r="B8049" t="str">
            <v>Otras fallas de la coordinación y las no especificadas</v>
          </cell>
        </row>
        <row r="8050">
          <cell r="A8050" t="str">
            <v>R29</v>
          </cell>
          <cell r="B8050" t="str">
            <v>Otros síntomas y signos que involucran los sistemas nervioso y  osteomuscular</v>
          </cell>
        </row>
        <row r="8051">
          <cell r="A8051" t="str">
            <v>R29.0</v>
          </cell>
          <cell r="B8051" t="str">
            <v>Tetania</v>
          </cell>
        </row>
        <row r="8052">
          <cell r="A8052" t="str">
            <v>R29.1</v>
          </cell>
          <cell r="B8052" t="str">
            <v>Meningismo</v>
          </cell>
        </row>
        <row r="8053">
          <cell r="A8053" t="str">
            <v>R29.2</v>
          </cell>
          <cell r="B8053" t="str">
            <v>Reflejos anormales</v>
          </cell>
        </row>
        <row r="8054">
          <cell r="A8054" t="str">
            <v>R29.3</v>
          </cell>
          <cell r="B8054" t="str">
            <v>Postura anormal</v>
          </cell>
        </row>
        <row r="8055">
          <cell r="A8055" t="str">
            <v>R29.4</v>
          </cell>
          <cell r="B8055" t="str">
            <v>Chasquido de la cadera</v>
          </cell>
        </row>
        <row r="8056">
          <cell r="A8056" t="str">
            <v>R29.8</v>
          </cell>
          <cell r="B8056" t="str">
            <v>Otros síntomas y signos que involucran los sistemas nervioso y osteomuscular y los no especificados</v>
          </cell>
        </row>
        <row r="8057">
          <cell r="A8057" t="str">
            <v>R30</v>
          </cell>
          <cell r="B8057" t="str">
            <v>Dolor asociado con la micción</v>
          </cell>
        </row>
        <row r="8058">
          <cell r="A8058" t="str">
            <v>R30.0</v>
          </cell>
          <cell r="B8058" t="str">
            <v>Disuria</v>
          </cell>
        </row>
        <row r="8059">
          <cell r="A8059" t="str">
            <v>R30.1</v>
          </cell>
          <cell r="B8059" t="str">
            <v>Tenesmo vesical</v>
          </cell>
        </row>
        <row r="8060">
          <cell r="A8060" t="str">
            <v>R30.9</v>
          </cell>
          <cell r="B8060" t="str">
            <v>Micción dolorosa, no especificada</v>
          </cell>
        </row>
        <row r="8061">
          <cell r="A8061" t="str">
            <v>R31.X</v>
          </cell>
          <cell r="B8061" t="str">
            <v>Hematuria, no especificada</v>
          </cell>
        </row>
        <row r="8062">
          <cell r="A8062" t="str">
            <v>R32.X</v>
          </cell>
          <cell r="B8062" t="str">
            <v>Incontinencia urinaria, no especificada</v>
          </cell>
        </row>
        <row r="8063">
          <cell r="A8063" t="str">
            <v>R33.X</v>
          </cell>
          <cell r="B8063" t="str">
            <v>Retención de orina</v>
          </cell>
        </row>
        <row r="8064">
          <cell r="A8064" t="str">
            <v>R34.X</v>
          </cell>
          <cell r="B8064" t="str">
            <v>Anuria y oliguria</v>
          </cell>
        </row>
        <row r="8065">
          <cell r="A8065" t="str">
            <v>R35.X</v>
          </cell>
          <cell r="B8065" t="str">
            <v>Poliuria</v>
          </cell>
        </row>
        <row r="8066">
          <cell r="A8066" t="str">
            <v>R36.X</v>
          </cell>
          <cell r="B8066" t="str">
            <v>Descarga uretral</v>
          </cell>
        </row>
        <row r="8067">
          <cell r="A8067" t="str">
            <v>R39</v>
          </cell>
          <cell r="B8067" t="str">
            <v>Otros síntomas y signos que involucran el sistema urinario</v>
          </cell>
        </row>
        <row r="8068">
          <cell r="A8068" t="str">
            <v>R39.0</v>
          </cell>
          <cell r="B8068" t="str">
            <v>Extravasación de la orina</v>
          </cell>
        </row>
        <row r="8069">
          <cell r="A8069" t="str">
            <v>R39.1</v>
          </cell>
          <cell r="B8069" t="str">
            <v>Otras dificultades de la micción</v>
          </cell>
        </row>
        <row r="8070">
          <cell r="A8070" t="str">
            <v>R39.2</v>
          </cell>
          <cell r="B8070" t="str">
            <v>Uremia extrarrenal</v>
          </cell>
        </row>
        <row r="8071">
          <cell r="A8071" t="str">
            <v>R39.8</v>
          </cell>
          <cell r="B8071" t="str">
            <v>Otros síntomas y signos que involucran el sistema urinario y los no especificados</v>
          </cell>
        </row>
        <row r="8072">
          <cell r="A8072" t="str">
            <v>R40</v>
          </cell>
          <cell r="B8072" t="str">
            <v>Somnolencia, estupor y coma</v>
          </cell>
        </row>
        <row r="8073">
          <cell r="A8073" t="str">
            <v>R40.0</v>
          </cell>
          <cell r="B8073" t="str">
            <v>Somnolencia</v>
          </cell>
        </row>
        <row r="8074">
          <cell r="A8074" t="str">
            <v>R40.1</v>
          </cell>
          <cell r="B8074" t="str">
            <v>Estupor</v>
          </cell>
        </row>
        <row r="8075">
          <cell r="A8075" t="str">
            <v>R40.2</v>
          </cell>
          <cell r="B8075" t="str">
            <v>Coma, no especificado</v>
          </cell>
        </row>
        <row r="8076">
          <cell r="A8076" t="str">
            <v>R41</v>
          </cell>
          <cell r="B8076" t="str">
            <v>Otros síntomas y signos que involucran la función cognoscitiva y la  conciencia</v>
          </cell>
        </row>
        <row r="8077">
          <cell r="A8077" t="str">
            <v>R41.0</v>
          </cell>
          <cell r="B8077" t="str">
            <v>Desorientación no especificada</v>
          </cell>
        </row>
        <row r="8078">
          <cell r="A8078" t="str">
            <v>R41.1</v>
          </cell>
          <cell r="B8078" t="str">
            <v>Amnesia anterógrada</v>
          </cell>
        </row>
        <row r="8079">
          <cell r="A8079" t="str">
            <v>R41.2</v>
          </cell>
          <cell r="B8079" t="str">
            <v>Amnesia retrógrada</v>
          </cell>
        </row>
        <row r="8080">
          <cell r="A8080" t="str">
            <v>R41.3</v>
          </cell>
          <cell r="B8080" t="str">
            <v>Otra amnesia</v>
          </cell>
        </row>
        <row r="8081">
          <cell r="A8081" t="str">
            <v>R41.8</v>
          </cell>
          <cell r="B8081" t="str">
            <v>Otros síntomas y signos que involucran la función cognoscitiva y la conciencia y los no especificados</v>
          </cell>
        </row>
        <row r="8082">
          <cell r="A8082" t="str">
            <v>R42.X</v>
          </cell>
          <cell r="B8082" t="str">
            <v>Mareo y desvanecimiento</v>
          </cell>
        </row>
        <row r="8083">
          <cell r="A8083" t="str">
            <v>R43</v>
          </cell>
          <cell r="B8083" t="str">
            <v>Trastornos del olfato y del gusto</v>
          </cell>
        </row>
        <row r="8084">
          <cell r="A8084" t="str">
            <v>R43.0</v>
          </cell>
          <cell r="B8084" t="str">
            <v>Anosmia</v>
          </cell>
        </row>
        <row r="8085">
          <cell r="A8085" t="str">
            <v>R43.1</v>
          </cell>
          <cell r="B8085" t="str">
            <v>Parosmia</v>
          </cell>
        </row>
        <row r="8086">
          <cell r="A8086" t="str">
            <v>R43.2</v>
          </cell>
          <cell r="B8086" t="str">
            <v>Parageusia</v>
          </cell>
        </row>
        <row r="8087">
          <cell r="A8087" t="str">
            <v>R43.8</v>
          </cell>
          <cell r="B8087" t="str">
            <v>Otras alteraciones del gusto y del olfato y las no especificadas</v>
          </cell>
        </row>
        <row r="8088">
          <cell r="A8088" t="str">
            <v>R44</v>
          </cell>
          <cell r="B8088" t="str">
            <v>Otros síntomas y signos que involucran las sensaciones y percepciones  generales</v>
          </cell>
        </row>
        <row r="8089">
          <cell r="A8089" t="str">
            <v>R44.0</v>
          </cell>
          <cell r="B8089" t="str">
            <v>Alucinaciones auditivas</v>
          </cell>
        </row>
        <row r="8090">
          <cell r="A8090" t="str">
            <v>R44.1</v>
          </cell>
          <cell r="B8090" t="str">
            <v>Alucinaciones visuales</v>
          </cell>
        </row>
        <row r="8091">
          <cell r="A8091" t="str">
            <v>R44.2</v>
          </cell>
          <cell r="B8091" t="str">
            <v>Otras alucinaciones</v>
          </cell>
        </row>
        <row r="8092">
          <cell r="A8092" t="str">
            <v>R44.3</v>
          </cell>
          <cell r="B8092" t="str">
            <v>Alucinaciones, no especificadas</v>
          </cell>
        </row>
        <row r="8093">
          <cell r="A8093" t="str">
            <v>R44.8</v>
          </cell>
          <cell r="B8093" t="str">
            <v>Otros síntomas y signos que involucran las sensaciones y percepciones generales y los no especificados</v>
          </cell>
        </row>
        <row r="8094">
          <cell r="A8094" t="str">
            <v>R45</v>
          </cell>
          <cell r="B8094" t="str">
            <v>Síntomas y signos que involucran el estado emocional</v>
          </cell>
        </row>
        <row r="8095">
          <cell r="A8095" t="str">
            <v>R45.0</v>
          </cell>
          <cell r="B8095" t="str">
            <v>Nerviosismo</v>
          </cell>
        </row>
        <row r="8096">
          <cell r="A8096" t="str">
            <v>R45.1</v>
          </cell>
          <cell r="B8096" t="str">
            <v>Inquietud y agitación</v>
          </cell>
        </row>
        <row r="8097">
          <cell r="A8097" t="str">
            <v>R45.2</v>
          </cell>
          <cell r="B8097" t="str">
            <v>Infelicidad</v>
          </cell>
        </row>
        <row r="8098">
          <cell r="A8098" t="str">
            <v>R45.3</v>
          </cell>
          <cell r="B8098" t="str">
            <v>Desmoralización y apatía</v>
          </cell>
        </row>
        <row r="8099">
          <cell r="A8099" t="str">
            <v>R45.4</v>
          </cell>
          <cell r="B8099" t="str">
            <v>Irritabilidad y enojo</v>
          </cell>
        </row>
        <row r="8100">
          <cell r="A8100" t="str">
            <v>R45.5</v>
          </cell>
          <cell r="B8100" t="str">
            <v>Hostilidad</v>
          </cell>
        </row>
        <row r="8101">
          <cell r="A8101" t="str">
            <v>R45.6</v>
          </cell>
          <cell r="B8101" t="str">
            <v>Violencia física</v>
          </cell>
        </row>
        <row r="8102">
          <cell r="A8102" t="str">
            <v>R45.7</v>
          </cell>
          <cell r="B8102" t="str">
            <v>Tensión y estado de choque emocional, no especificado</v>
          </cell>
        </row>
        <row r="8103">
          <cell r="A8103" t="str">
            <v>R45.8</v>
          </cell>
          <cell r="B8103" t="str">
            <v>Otros síntomas y signos que involucran el estado emocional</v>
          </cell>
        </row>
        <row r="8104">
          <cell r="A8104" t="str">
            <v>R46</v>
          </cell>
          <cell r="B8104" t="str">
            <v>Síntomas y signos que involucran la apariencia y el comportamiento</v>
          </cell>
        </row>
        <row r="8105">
          <cell r="A8105" t="str">
            <v>R46.0</v>
          </cell>
          <cell r="B8105" t="str">
            <v>Muy bajo nivel de higiene personal</v>
          </cell>
        </row>
        <row r="8106">
          <cell r="A8106" t="str">
            <v>R46.1</v>
          </cell>
          <cell r="B8106" t="str">
            <v>Apariencia personal extraña</v>
          </cell>
        </row>
        <row r="8107">
          <cell r="A8107" t="str">
            <v>R46.2</v>
          </cell>
          <cell r="B8107" t="str">
            <v>Conducta extraña e inexplicable</v>
          </cell>
        </row>
        <row r="8108">
          <cell r="A8108" t="str">
            <v>R46.3</v>
          </cell>
          <cell r="B8108" t="str">
            <v>Hiperactividad</v>
          </cell>
        </row>
        <row r="8109">
          <cell r="A8109" t="str">
            <v>R46.4</v>
          </cell>
          <cell r="B8109" t="str">
            <v>Lentitud y pobre respuesta</v>
          </cell>
        </row>
        <row r="8110">
          <cell r="A8110" t="str">
            <v>R46.5</v>
          </cell>
          <cell r="B8110" t="str">
            <v>Suspicacia y evasividad marcadas</v>
          </cell>
        </row>
        <row r="8111">
          <cell r="A8111" t="str">
            <v>R46.6</v>
          </cell>
          <cell r="B8111" t="str">
            <v>Preocupación indebida por sucesos que causan tensión</v>
          </cell>
        </row>
        <row r="8112">
          <cell r="A8112" t="str">
            <v>R46.7</v>
          </cell>
          <cell r="B8112" t="str">
            <v>Verbosidad y detalles circunstanciales que oscurecen la razón de la consulta o el contacto</v>
          </cell>
        </row>
        <row r="8113">
          <cell r="A8113" t="str">
            <v>R46.8</v>
          </cell>
          <cell r="B8113" t="str">
            <v>Otros síntomas y signos que involucran la apariencia y el comportamiento</v>
          </cell>
        </row>
        <row r="8114">
          <cell r="A8114" t="str">
            <v>R47</v>
          </cell>
          <cell r="B8114" t="str">
            <v>Alteraciones del habla, no clasificadas en otra parte</v>
          </cell>
        </row>
        <row r="8115">
          <cell r="A8115" t="str">
            <v>R47.0</v>
          </cell>
          <cell r="B8115" t="str">
            <v>Disfasia y afasia</v>
          </cell>
        </row>
        <row r="8116">
          <cell r="A8116" t="str">
            <v>R47.1</v>
          </cell>
          <cell r="B8116" t="str">
            <v>Disartria y anartria</v>
          </cell>
        </row>
        <row r="8117">
          <cell r="A8117" t="str">
            <v>R47.8</v>
          </cell>
          <cell r="B8117" t="str">
            <v>Otras alteraciones del habla y las no especificadas</v>
          </cell>
        </row>
        <row r="8118">
          <cell r="A8118" t="str">
            <v>R48</v>
          </cell>
          <cell r="B8118" t="str">
            <v>Dislexia y otras disfunciones simbólicas, no clasificadas en otra parte</v>
          </cell>
        </row>
        <row r="8119">
          <cell r="A8119" t="str">
            <v>R48.0</v>
          </cell>
          <cell r="B8119" t="str">
            <v>Dislexia y alexia</v>
          </cell>
        </row>
        <row r="8120">
          <cell r="A8120" t="str">
            <v>R48.1</v>
          </cell>
          <cell r="B8120" t="str">
            <v>Agnosia</v>
          </cell>
        </row>
        <row r="8121">
          <cell r="A8121" t="str">
            <v>R48.2</v>
          </cell>
          <cell r="B8121" t="str">
            <v>Apraxia</v>
          </cell>
        </row>
        <row r="8122">
          <cell r="A8122" t="str">
            <v>R48.8</v>
          </cell>
          <cell r="B8122" t="str">
            <v>Otras disfunciones simbólicas y las no especificadas</v>
          </cell>
        </row>
        <row r="8123">
          <cell r="A8123" t="str">
            <v>R49</v>
          </cell>
          <cell r="B8123" t="str">
            <v>Alteraciones de la voz</v>
          </cell>
        </row>
        <row r="8124">
          <cell r="A8124" t="str">
            <v>R49.0</v>
          </cell>
          <cell r="B8124" t="str">
            <v>Disfonía</v>
          </cell>
        </row>
        <row r="8125">
          <cell r="A8125" t="str">
            <v>R49.1</v>
          </cell>
          <cell r="B8125" t="str">
            <v>Afonía</v>
          </cell>
        </row>
        <row r="8126">
          <cell r="A8126" t="str">
            <v>R49.2</v>
          </cell>
          <cell r="B8126" t="str">
            <v>Hipernasalidad e hiponasalidad</v>
          </cell>
        </row>
        <row r="8127">
          <cell r="A8127" t="str">
            <v>R49.8</v>
          </cell>
          <cell r="B8127" t="str">
            <v>Otras alteraciones de la voz y las no especificadas</v>
          </cell>
        </row>
        <row r="8128">
          <cell r="A8128">
            <v>0</v>
          </cell>
          <cell r="B8128" t="str">
            <v>Fiebre de origen desconocido</v>
          </cell>
        </row>
        <row r="8129">
          <cell r="A8129" t="str">
            <v>R50.0</v>
          </cell>
          <cell r="B8129" t="str">
            <v>Fiebre con escalofrío</v>
          </cell>
        </row>
        <row r="8130">
          <cell r="A8130" t="str">
            <v>R50.1</v>
          </cell>
          <cell r="B8130" t="str">
            <v>Fiebre persistente</v>
          </cell>
        </row>
        <row r="8131">
          <cell r="A8131" t="str">
            <v>R50.9</v>
          </cell>
          <cell r="B8131" t="str">
            <v>Fiebre, no especificada</v>
          </cell>
        </row>
        <row r="8132">
          <cell r="A8132" t="str">
            <v>R51.X</v>
          </cell>
          <cell r="B8132" t="str">
            <v>Cefalea</v>
          </cell>
        </row>
        <row r="8133">
          <cell r="A8133" t="str">
            <v>R52</v>
          </cell>
          <cell r="B8133" t="str">
            <v>Dolor, no clasificado en otra parte</v>
          </cell>
        </row>
        <row r="8134">
          <cell r="A8134" t="str">
            <v>R52.0</v>
          </cell>
          <cell r="B8134" t="str">
            <v>Dolor agudo</v>
          </cell>
        </row>
        <row r="8135">
          <cell r="A8135" t="str">
            <v>R52.1</v>
          </cell>
          <cell r="B8135" t="str">
            <v>Dolor crónico intratable</v>
          </cell>
        </row>
        <row r="8136">
          <cell r="A8136" t="str">
            <v>R52.2</v>
          </cell>
          <cell r="B8136" t="str">
            <v>Otro dolor crónico</v>
          </cell>
        </row>
        <row r="8137">
          <cell r="A8137" t="str">
            <v>R52.9</v>
          </cell>
          <cell r="B8137" t="str">
            <v>Dolor, no especificado</v>
          </cell>
        </row>
        <row r="8138">
          <cell r="A8138" t="str">
            <v>R53.X</v>
          </cell>
          <cell r="B8138" t="str">
            <v>Malestar y fatiga</v>
          </cell>
        </row>
        <row r="8139">
          <cell r="A8139" t="str">
            <v>R54.X</v>
          </cell>
          <cell r="B8139" t="str">
            <v>Senilidad</v>
          </cell>
        </row>
        <row r="8140">
          <cell r="A8140" t="str">
            <v>R55.X</v>
          </cell>
          <cell r="B8140" t="str">
            <v>Síncope y colapso</v>
          </cell>
        </row>
        <row r="8141">
          <cell r="A8141" t="str">
            <v>R56</v>
          </cell>
          <cell r="B8141" t="str">
            <v>Convulsiones, no clasificadas en otra parte</v>
          </cell>
        </row>
        <row r="8142">
          <cell r="A8142" t="str">
            <v>R56.0</v>
          </cell>
          <cell r="B8142" t="str">
            <v>Convulsiones febriles</v>
          </cell>
        </row>
        <row r="8143">
          <cell r="A8143" t="str">
            <v>R56.8</v>
          </cell>
          <cell r="B8143" t="str">
            <v>Otras convulsiones y las no especificadas</v>
          </cell>
        </row>
        <row r="8144">
          <cell r="A8144" t="str">
            <v>R57</v>
          </cell>
          <cell r="B8144" t="str">
            <v>Choque, no clasificado en otra parte</v>
          </cell>
        </row>
        <row r="8145">
          <cell r="A8145" t="str">
            <v>R57.0</v>
          </cell>
          <cell r="B8145" t="str">
            <v>Choque cardiogénico</v>
          </cell>
        </row>
        <row r="8146">
          <cell r="A8146" t="str">
            <v>R57.1</v>
          </cell>
          <cell r="B8146" t="str">
            <v>Choque hipovolémico</v>
          </cell>
        </row>
        <row r="8147">
          <cell r="A8147" t="str">
            <v>R57.8</v>
          </cell>
          <cell r="B8147" t="str">
            <v>Otras formas de choque</v>
          </cell>
        </row>
        <row r="8148">
          <cell r="A8148" t="str">
            <v>R57.9</v>
          </cell>
          <cell r="B8148" t="str">
            <v>Choque, no especificado</v>
          </cell>
        </row>
        <row r="8149">
          <cell r="A8149" t="str">
            <v>R58.X</v>
          </cell>
          <cell r="B8149" t="str">
            <v>Hemorragia, no clasificada en otra parte</v>
          </cell>
        </row>
        <row r="8150">
          <cell r="A8150" t="str">
            <v>R59</v>
          </cell>
          <cell r="B8150" t="str">
            <v>Adenomegalia</v>
          </cell>
        </row>
        <row r="8151">
          <cell r="A8151" t="str">
            <v>R59.0</v>
          </cell>
          <cell r="B8151" t="str">
            <v>Adenomegalia localizada</v>
          </cell>
        </row>
        <row r="8152">
          <cell r="A8152" t="str">
            <v>R59.1</v>
          </cell>
          <cell r="B8152" t="str">
            <v>Adenomegalia generalizada</v>
          </cell>
        </row>
        <row r="8153">
          <cell r="A8153" t="str">
            <v>R59.9</v>
          </cell>
          <cell r="B8153" t="str">
            <v>Adenomegalia, no especificada</v>
          </cell>
        </row>
        <row r="8154">
          <cell r="A8154" t="str">
            <v>R60</v>
          </cell>
          <cell r="B8154" t="str">
            <v>Edema, no clasificado en otra parte</v>
          </cell>
        </row>
        <row r="8155">
          <cell r="A8155" t="str">
            <v>R60.0</v>
          </cell>
          <cell r="B8155" t="str">
            <v>Edema localizado</v>
          </cell>
        </row>
        <row r="8156">
          <cell r="A8156" t="str">
            <v>R60.1</v>
          </cell>
          <cell r="B8156" t="str">
            <v>Edema generalizado</v>
          </cell>
        </row>
        <row r="8157">
          <cell r="A8157" t="str">
            <v>R60.9</v>
          </cell>
          <cell r="B8157" t="str">
            <v>Edema, no especificado</v>
          </cell>
        </row>
        <row r="8158">
          <cell r="A8158" t="str">
            <v>R61</v>
          </cell>
          <cell r="B8158" t="str">
            <v>Hiperhidrosis</v>
          </cell>
        </row>
        <row r="8159">
          <cell r="A8159" t="str">
            <v>R61.0</v>
          </cell>
          <cell r="B8159" t="str">
            <v>Hiperhidrosis localizada</v>
          </cell>
        </row>
        <row r="8160">
          <cell r="A8160" t="str">
            <v>R61.1</v>
          </cell>
          <cell r="B8160" t="str">
            <v>Hiperhidrosis generalizada</v>
          </cell>
        </row>
        <row r="8161">
          <cell r="A8161" t="str">
            <v>R61.9</v>
          </cell>
          <cell r="B8161" t="str">
            <v>Hiperhidrosis, no especificada</v>
          </cell>
        </row>
        <row r="8162">
          <cell r="A8162" t="str">
            <v>R62</v>
          </cell>
          <cell r="B8162" t="str">
            <v>Falta del desarrollo fisiológico normal esperado</v>
          </cell>
        </row>
        <row r="8163">
          <cell r="A8163" t="str">
            <v>R62.0</v>
          </cell>
          <cell r="B8163" t="str">
            <v>Retardo del desarrollo</v>
          </cell>
        </row>
        <row r="8164">
          <cell r="A8164" t="str">
            <v>R62.8</v>
          </cell>
          <cell r="B8164" t="str">
            <v>Otras faltas del desarrollo fisiológico normal esperado</v>
          </cell>
        </row>
        <row r="8165">
          <cell r="A8165" t="str">
            <v>R62.9</v>
          </cell>
          <cell r="B8165" t="str">
            <v>Falta del desarrollo fisiológico normal esperado, sin otra especificación</v>
          </cell>
        </row>
        <row r="8166">
          <cell r="A8166" t="str">
            <v>R63</v>
          </cell>
          <cell r="B8166" t="str">
            <v>Síntomas y signos concernientes a la alimentación y a la ingestión de líquidos</v>
          </cell>
        </row>
        <row r="8167">
          <cell r="A8167" t="str">
            <v>R63.0</v>
          </cell>
          <cell r="B8167" t="str">
            <v>Anorexia</v>
          </cell>
        </row>
        <row r="8168">
          <cell r="A8168" t="str">
            <v>R63.1</v>
          </cell>
          <cell r="B8168" t="str">
            <v>Polidipsia</v>
          </cell>
        </row>
        <row r="8169">
          <cell r="A8169" t="str">
            <v>R63.2</v>
          </cell>
          <cell r="B8169" t="str">
            <v>Polifagia</v>
          </cell>
        </row>
        <row r="8170">
          <cell r="A8170" t="str">
            <v>R63.3</v>
          </cell>
          <cell r="B8170" t="str">
            <v>Dificultades y mala administración de la alimentación</v>
          </cell>
        </row>
        <row r="8171">
          <cell r="A8171" t="str">
            <v>R63.4</v>
          </cell>
          <cell r="B8171" t="str">
            <v>Pérdida anormal de peso</v>
          </cell>
        </row>
        <row r="8172">
          <cell r="A8172" t="str">
            <v>R63.5</v>
          </cell>
          <cell r="B8172" t="str">
            <v>Aumento anormal de peso</v>
          </cell>
        </row>
        <row r="8173">
          <cell r="A8173" t="str">
            <v>R63.8</v>
          </cell>
          <cell r="B8173" t="str">
            <v>Otros síntomas y signos concernientes a la alimentación y a la ingestión de líquidos</v>
          </cell>
        </row>
        <row r="8174">
          <cell r="A8174" t="str">
            <v>R64.X</v>
          </cell>
          <cell r="B8174" t="str">
            <v>Caquexia</v>
          </cell>
        </row>
        <row r="8175">
          <cell r="A8175" t="str">
            <v>R68</v>
          </cell>
          <cell r="B8175" t="str">
            <v>Otros síntomas y signos generales</v>
          </cell>
        </row>
        <row r="8176">
          <cell r="A8176" t="str">
            <v>R68.0</v>
          </cell>
          <cell r="B8176" t="str">
            <v>Hipotermia no asociada con baja temperatura del ambiente</v>
          </cell>
        </row>
        <row r="8177">
          <cell r="A8177" t="str">
            <v>R68.1</v>
          </cell>
          <cell r="B8177" t="str">
            <v>Síntomas no específicos propios de la infancia</v>
          </cell>
        </row>
        <row r="8178">
          <cell r="A8178" t="str">
            <v>R68.2</v>
          </cell>
          <cell r="B8178" t="str">
            <v>Boca seca, no especificada</v>
          </cell>
        </row>
        <row r="8179">
          <cell r="A8179" t="str">
            <v>R68.3</v>
          </cell>
          <cell r="B8179" t="str">
            <v>Dedos de la mano deformes</v>
          </cell>
        </row>
        <row r="8180">
          <cell r="A8180" t="str">
            <v>R68.8</v>
          </cell>
          <cell r="B8180" t="str">
            <v>Otros síntomas y signos generales especificados</v>
          </cell>
        </row>
        <row r="8181">
          <cell r="A8181" t="str">
            <v>R69.X</v>
          </cell>
          <cell r="B8181" t="str">
            <v>Causas de morbilidad desconocidas y no especificadas</v>
          </cell>
        </row>
        <row r="8182">
          <cell r="A8182" t="str">
            <v>R70</v>
          </cell>
          <cell r="B8182" t="str">
            <v>Velocidad de eritrosedimentación elevada y otras anormalidades de la viscosidad del plasma</v>
          </cell>
        </row>
        <row r="8183">
          <cell r="A8183" t="str">
            <v>R70.0</v>
          </cell>
          <cell r="B8183" t="str">
            <v>Velocidad de eritrosedimentación elevada</v>
          </cell>
        </row>
        <row r="8184">
          <cell r="A8184" t="str">
            <v>R70.1</v>
          </cell>
          <cell r="B8184" t="str">
            <v>Viscosidad plasmática anormal</v>
          </cell>
        </row>
        <row r="8185">
          <cell r="A8185" t="str">
            <v>R71.X</v>
          </cell>
          <cell r="B8185" t="str">
            <v>Anormalidad de los eritrocitos</v>
          </cell>
        </row>
        <row r="8186">
          <cell r="A8186" t="str">
            <v>R72.X</v>
          </cell>
          <cell r="B8186" t="str">
            <v>Anormalidades de los leucocitos, no clasificadas en otra parte</v>
          </cell>
        </row>
        <row r="8187">
          <cell r="A8187" t="str">
            <v>R73</v>
          </cell>
          <cell r="B8187" t="str">
            <v>Nivel elevado de glucosa en sangre</v>
          </cell>
        </row>
        <row r="8188">
          <cell r="A8188" t="str">
            <v>R73.0</v>
          </cell>
          <cell r="B8188" t="str">
            <v>Anormalidades en la prueba de tolerancia a la glucosa</v>
          </cell>
        </row>
        <row r="8189">
          <cell r="A8189" t="str">
            <v>R73.9</v>
          </cell>
          <cell r="B8189" t="str">
            <v>Hiperglicemia, no especificada</v>
          </cell>
        </row>
        <row r="8190">
          <cell r="A8190" t="str">
            <v>R74</v>
          </cell>
          <cell r="B8190" t="str">
            <v>Nivel anormal de enzimas en suero</v>
          </cell>
        </row>
        <row r="8191">
          <cell r="A8191" t="str">
            <v>R74.0</v>
          </cell>
          <cell r="B8191" t="str">
            <v>Elevación de los niveles de transaminasas o deshidrogenasa láctica [DHL]</v>
          </cell>
        </row>
        <row r="8192">
          <cell r="A8192" t="str">
            <v>R74.8</v>
          </cell>
          <cell r="B8192" t="str">
            <v>Niveles anormales de otras enzimas en suero</v>
          </cell>
        </row>
        <row r="8193">
          <cell r="A8193" t="str">
            <v>R74.9</v>
          </cell>
          <cell r="B8193" t="str">
            <v>Nivel anormal de enzimas en suero, no especificado</v>
          </cell>
        </row>
        <row r="8194">
          <cell r="A8194" t="str">
            <v>R75.X</v>
          </cell>
          <cell r="B8194" t="str">
            <v>Evidencias de laboratorio del virus de la inmunodeficiencia humana [VIH]</v>
          </cell>
        </row>
        <row r="8195">
          <cell r="A8195" t="str">
            <v>R76</v>
          </cell>
          <cell r="B8195" t="str">
            <v>Otros hallazgos inmunológicos anormales en suero</v>
          </cell>
        </row>
        <row r="8196">
          <cell r="A8196" t="str">
            <v>R76.0</v>
          </cell>
          <cell r="B8196" t="str">
            <v>Titulación elevada de anticuerpos</v>
          </cell>
        </row>
        <row r="8197">
          <cell r="A8197" t="str">
            <v>R76.1</v>
          </cell>
          <cell r="B8197" t="str">
            <v>Reacción anormal a la prueba con tuberculina</v>
          </cell>
        </row>
        <row r="8198">
          <cell r="A8198" t="str">
            <v>R76.2</v>
          </cell>
          <cell r="B8198" t="str">
            <v>Falso positivo en la prueba serológica para sífilis</v>
          </cell>
        </row>
        <row r="8199">
          <cell r="A8199" t="str">
            <v>R76.8</v>
          </cell>
          <cell r="B8199" t="str">
            <v>Otros hallazgos inmunológicos anormales especificados en suero</v>
          </cell>
        </row>
        <row r="8200">
          <cell r="A8200" t="str">
            <v>R76.9</v>
          </cell>
          <cell r="B8200" t="str">
            <v>Hallazgos inmunológicos anormales no especificados en suero</v>
          </cell>
        </row>
        <row r="8201">
          <cell r="A8201" t="str">
            <v>R77</v>
          </cell>
          <cell r="B8201" t="str">
            <v>Otras anormalidades de las proteínas plasmáticas</v>
          </cell>
        </row>
        <row r="8202">
          <cell r="A8202" t="str">
            <v>R77.0</v>
          </cell>
          <cell r="B8202" t="str">
            <v>Anormalidad de la albúmina</v>
          </cell>
        </row>
        <row r="8203">
          <cell r="A8203" t="str">
            <v>R77.1</v>
          </cell>
          <cell r="B8203" t="str">
            <v>Anormalidad de la globulina</v>
          </cell>
        </row>
        <row r="8204">
          <cell r="A8204" t="str">
            <v>R77.2</v>
          </cell>
          <cell r="B8204" t="str">
            <v>Anormalidad de la alfafetoproteína</v>
          </cell>
        </row>
        <row r="8205">
          <cell r="A8205" t="str">
            <v>R77.8</v>
          </cell>
          <cell r="B8205" t="str">
            <v>Otras anormalidades especificadas de las proteínas plasmáticas</v>
          </cell>
        </row>
        <row r="8206">
          <cell r="A8206" t="str">
            <v>R77.9</v>
          </cell>
          <cell r="B8206" t="str">
            <v>Anormalidades no especificadas de las proteínas plasmáticas</v>
          </cell>
        </row>
        <row r="8207">
          <cell r="A8207" t="str">
            <v>R78</v>
          </cell>
          <cell r="B8207" t="str">
            <v>Hallazgo de drogas y otras sustancias que normalmente no se encuentran en  la sangre</v>
          </cell>
        </row>
        <row r="8208">
          <cell r="A8208" t="str">
            <v>R78.0</v>
          </cell>
          <cell r="B8208" t="str">
            <v>Hallazgo de alcohol en la sangre</v>
          </cell>
        </row>
        <row r="8209">
          <cell r="A8209" t="str">
            <v>R78.1</v>
          </cell>
          <cell r="B8209" t="str">
            <v>Hallazgo de drogas opiáceas en la sangre</v>
          </cell>
        </row>
        <row r="8210">
          <cell r="A8210" t="str">
            <v>R78.2</v>
          </cell>
          <cell r="B8210" t="str">
            <v>Hallazgo de cocaína en la sangre</v>
          </cell>
        </row>
        <row r="8211">
          <cell r="A8211" t="str">
            <v>R78.3</v>
          </cell>
          <cell r="B8211" t="str">
            <v>Hallazgo de alucinógenos en la sangre</v>
          </cell>
        </row>
        <row r="8212">
          <cell r="A8212" t="str">
            <v>R78.4</v>
          </cell>
          <cell r="B8212" t="str">
            <v>Hallazgo de otras drogas potencialmente adictivas en la sangre</v>
          </cell>
        </row>
        <row r="8213">
          <cell r="A8213" t="str">
            <v>R78.5</v>
          </cell>
          <cell r="B8213" t="str">
            <v>Hallazgo de drogas psicotrópicas en la sangre</v>
          </cell>
        </row>
        <row r="8214">
          <cell r="A8214" t="str">
            <v>R78.6</v>
          </cell>
          <cell r="B8214" t="str">
            <v>Hallazgo de agentes esteroides en la sangre</v>
          </cell>
        </row>
        <row r="8215">
          <cell r="A8215" t="str">
            <v>R78.7</v>
          </cell>
          <cell r="B8215" t="str">
            <v>Hallazgo de niveles anormales de metales pesados en la sangre</v>
          </cell>
        </row>
        <row r="8216">
          <cell r="A8216" t="str">
            <v>R78.8</v>
          </cell>
          <cell r="B8216" t="str">
            <v>Hallazgo de otras sustancias especificadas que normalmente no se encuentran en la sangre</v>
          </cell>
        </row>
        <row r="8217">
          <cell r="A8217" t="str">
            <v>R78.9</v>
          </cell>
          <cell r="B8217" t="str">
            <v>Hallazgo de sustancia no especificada que normalmente no se encuentra en la sangre</v>
          </cell>
        </row>
        <row r="8218">
          <cell r="A8218" t="str">
            <v>R79</v>
          </cell>
          <cell r="B8218" t="str">
            <v>Otros hallazgos anormales en la química sanguínea</v>
          </cell>
        </row>
        <row r="8219">
          <cell r="A8219" t="str">
            <v>R79.0</v>
          </cell>
          <cell r="B8219" t="str">
            <v>Nivel anormal de mineral en la sangre</v>
          </cell>
        </row>
        <row r="8220">
          <cell r="A8220" t="str">
            <v>R79.8</v>
          </cell>
          <cell r="B8220" t="str">
            <v>Otros hallazgos anormales especificados en la química sanguínea</v>
          </cell>
        </row>
        <row r="8221">
          <cell r="A8221" t="str">
            <v>R79.9</v>
          </cell>
          <cell r="B8221" t="str">
            <v>Hallazgo anormal en la química sanguínea, sin otra especificación</v>
          </cell>
        </row>
        <row r="8222">
          <cell r="A8222" t="str">
            <v>R80.X</v>
          </cell>
          <cell r="B8222" t="str">
            <v>Proteinuria aislada</v>
          </cell>
        </row>
        <row r="8223">
          <cell r="A8223" t="str">
            <v>R81.X</v>
          </cell>
          <cell r="B8223" t="str">
            <v>Glucosuria</v>
          </cell>
        </row>
        <row r="8224">
          <cell r="A8224" t="str">
            <v>R82</v>
          </cell>
          <cell r="B8224" t="str">
            <v>Otros hallazgos anormales en la orina</v>
          </cell>
        </row>
        <row r="8225">
          <cell r="A8225" t="str">
            <v>R82.0</v>
          </cell>
          <cell r="B8225" t="str">
            <v>Quiluria</v>
          </cell>
        </row>
        <row r="8226">
          <cell r="A8226" t="str">
            <v>R82.1</v>
          </cell>
          <cell r="B8226" t="str">
            <v>Mioglobinuria</v>
          </cell>
        </row>
        <row r="8227">
          <cell r="A8227" t="str">
            <v>R82.2</v>
          </cell>
          <cell r="B8227" t="str">
            <v>Biliuria</v>
          </cell>
        </row>
        <row r="8228">
          <cell r="A8228" t="str">
            <v>R82.3</v>
          </cell>
          <cell r="B8228" t="str">
            <v>Hemoglobinuria</v>
          </cell>
        </row>
        <row r="8229">
          <cell r="A8229" t="str">
            <v>R82.4</v>
          </cell>
          <cell r="B8229" t="str">
            <v>Acetonuria</v>
          </cell>
        </row>
        <row r="8230">
          <cell r="A8230" t="str">
            <v>R82.5</v>
          </cell>
          <cell r="B8230" t="str">
            <v>Elevación de los niveles de drogas, medicamentos y sustancias biológicas en la orina</v>
          </cell>
        </row>
        <row r="8231">
          <cell r="A8231" t="str">
            <v>R82.6</v>
          </cell>
          <cell r="B8231" t="str">
            <v>Niveles anormales en la orina de sustancias de origen principalmente no medicinal</v>
          </cell>
        </row>
        <row r="8232">
          <cell r="A8232" t="str">
            <v>R82.7</v>
          </cell>
          <cell r="B8232" t="str">
            <v>Hallazgos anormales en el examen microbiológico de la orina</v>
          </cell>
        </row>
        <row r="8233">
          <cell r="A8233" t="str">
            <v>R82.8</v>
          </cell>
          <cell r="B8233" t="str">
            <v>Hallazgos anormales en el examen citológico e histológico de la orina</v>
          </cell>
        </row>
        <row r="8234">
          <cell r="A8234" t="str">
            <v>R82.9</v>
          </cell>
          <cell r="B8234" t="str">
            <v>Otros hallazgos anormales en la orina y los no especificados</v>
          </cell>
        </row>
        <row r="8235">
          <cell r="A8235" t="str">
            <v>R83</v>
          </cell>
          <cell r="B8235" t="str">
            <v>Hallazgos anormales en el líquido cefalorraquídeo</v>
          </cell>
        </row>
        <row r="8236">
          <cell r="A8236" t="str">
            <v>R83.0</v>
          </cell>
          <cell r="B8236" t="str">
            <v>Hallazgos anormales en el líquido cefalorraquídeo, nivel anormal de enzimas</v>
          </cell>
        </row>
        <row r="8237">
          <cell r="A8237" t="str">
            <v>R83.1</v>
          </cell>
          <cell r="B8237" t="str">
            <v>Hallazgos anormales en el líquido cefalorraquídeo, nivel anormal de hormonas</v>
          </cell>
        </row>
        <row r="8238">
          <cell r="A8238" t="str">
            <v>R83.2</v>
          </cell>
          <cell r="B8238" t="str">
            <v>Hallazgos anormales en el líquido cefalorraquídeo, nivel anormal de otras drogas, medicamentos y sustancias biológicas</v>
          </cell>
        </row>
        <row r="8239">
          <cell r="A8239" t="str">
            <v>R83.3</v>
          </cell>
          <cell r="B8239" t="str">
            <v>Hallazgos anormales en el líquido cefalorraquídeo, nivel anormal de sustancias de origen fundamentalmente no medicinal</v>
          </cell>
        </row>
        <row r="8240">
          <cell r="A8240" t="str">
            <v>R83.4</v>
          </cell>
          <cell r="B8240" t="str">
            <v>Hallazgos anormales en el líquido cefalorraquídeo, hallazgos inmunológicos anormales</v>
          </cell>
        </row>
        <row r="8241">
          <cell r="A8241" t="str">
            <v>R83.5</v>
          </cell>
          <cell r="B8241" t="str">
            <v>Hallazgos anormales en el líquido cefalorraquídeo, hallazgos microbiológicos anormales</v>
          </cell>
        </row>
        <row r="8242">
          <cell r="A8242" t="str">
            <v>R83.6</v>
          </cell>
          <cell r="B8242" t="str">
            <v>Hallazgos anormales en el líquido cefalorraquídeo, hallazgos citológicos anormales</v>
          </cell>
        </row>
        <row r="8243">
          <cell r="A8243" t="str">
            <v>R83.7</v>
          </cell>
          <cell r="B8243" t="str">
            <v>Hallazgos anormales en el líquido cefalorraquídeo, hallazgos histológicos anormales</v>
          </cell>
        </row>
        <row r="8244">
          <cell r="A8244" t="str">
            <v>R83.8</v>
          </cell>
          <cell r="B8244" t="str">
            <v>Hallazgos anormales en el líquido cefalorraquídeo, otros hallazgos anormales</v>
          </cell>
        </row>
        <row r="8245">
          <cell r="A8245" t="str">
            <v>R83.9</v>
          </cell>
          <cell r="B8245" t="str">
            <v>Hallazgos anormales en el líquido cefalorraquídeo, hallazgos anormales, no especificados</v>
          </cell>
        </row>
        <row r="8246">
          <cell r="A8246" t="str">
            <v>R84</v>
          </cell>
          <cell r="B8246" t="str">
            <v>Hallazgos anormales en muestras tomadas de órganos respiratorios y  torácicos</v>
          </cell>
        </row>
        <row r="8247">
          <cell r="A8247" t="str">
            <v>R84.0</v>
          </cell>
          <cell r="B8247" t="str">
            <v>Hallazgos anormales en muestras tomadas de órganos respiratorios y  torácicos, nivel anormal de enzimas</v>
          </cell>
        </row>
        <row r="8248">
          <cell r="A8248" t="str">
            <v>R84.1</v>
          </cell>
          <cell r="B8248" t="str">
            <v>Hallazgos anormales en muestras tomadas de órganos respiratorios y  torácicos, nivel anormal de hormonas</v>
          </cell>
        </row>
        <row r="8249">
          <cell r="A8249" t="str">
            <v>R84.2</v>
          </cell>
          <cell r="B8249" t="str">
            <v>Hallazgos anormales en muestras tomadas de órganos respiratorios y  torácicos, nivel anormal de otras drogas, medicamentos y sustancias biológicas</v>
          </cell>
        </row>
        <row r="8250">
          <cell r="A8250" t="str">
            <v>R84.3</v>
          </cell>
          <cell r="B8250" t="str">
            <v>Hallazgos anormales en muestras tomadas de órganos respiratorios y  torácicos, nivel anormal de sustancias de origen fundamentalmente no medicinal</v>
          </cell>
        </row>
        <row r="8251">
          <cell r="A8251" t="str">
            <v>R84.4</v>
          </cell>
          <cell r="B8251" t="str">
            <v>Hallazgos anormales en muestras tomadas de órganos respiratorios y  torácicos, hallazgos inmunológicos anormales</v>
          </cell>
        </row>
        <row r="8252">
          <cell r="A8252" t="str">
            <v>R84.5</v>
          </cell>
          <cell r="B8252" t="str">
            <v>Hallazgos anormales en muestras tomadas de órganos respiratorios y  torácicos, hallazgos microbiológicos anormales</v>
          </cell>
        </row>
        <row r="8253">
          <cell r="A8253" t="str">
            <v>R84.6</v>
          </cell>
          <cell r="B8253" t="str">
            <v>Hallazgos anormales en muestras tomadas de órganos respiratorios y  torácicos, hallazgos citológicos anormales</v>
          </cell>
        </row>
        <row r="8254">
          <cell r="A8254" t="str">
            <v>R84.7</v>
          </cell>
          <cell r="B8254" t="str">
            <v>Hallazgos anormales en muestras tomadas de órganos respiratorios y  torácicos, hallazgos histológicos anormales</v>
          </cell>
        </row>
        <row r="8255">
          <cell r="A8255" t="str">
            <v>R84.8</v>
          </cell>
          <cell r="B8255" t="str">
            <v>Hallazgos anormales en muestras tomadas de órganos respiratorios y  torácicos, otros hallazgos anormales</v>
          </cell>
        </row>
        <row r="8256">
          <cell r="A8256" t="str">
            <v>R84.9</v>
          </cell>
          <cell r="B8256" t="str">
            <v>Hallazgos anormales en muestras tomadas de órganos respiratorios y  torácicos, hallazgos anormales, no especificados</v>
          </cell>
        </row>
        <row r="8257">
          <cell r="A8257" t="str">
            <v>R85</v>
          </cell>
          <cell r="B8257" t="str">
            <v>Hallazgos anormales en muestras tomadas de órganos digestivos y de la cavidad abdominal</v>
          </cell>
        </row>
        <row r="8258">
          <cell r="A8258" t="str">
            <v>R85.0</v>
          </cell>
          <cell r="B8258" t="str">
            <v>Hallazgos anormales en muestras tomadas de órganos digestivos y de la cavidad abdominal, nivel anormal de enzimas</v>
          </cell>
        </row>
        <row r="8259">
          <cell r="A8259" t="str">
            <v>R85.1</v>
          </cell>
          <cell r="B8259" t="str">
            <v>Hallazgos anormales en muestras tomadas de órganos digestivos y de la cavidad abdominal, nivel anormal de hormonas</v>
          </cell>
        </row>
        <row r="8260">
          <cell r="A8260" t="str">
            <v>R85.2</v>
          </cell>
          <cell r="B8260" t="str">
            <v>Hallazgos anormales en muestras tomadas de órganos digestivos y de la cavidad abdominal, nivel anormal de otras drogas, medicamentos y sustancias biológicas</v>
          </cell>
        </row>
        <row r="8261">
          <cell r="A8261" t="str">
            <v>R85.3</v>
          </cell>
          <cell r="B8261" t="str">
            <v>Hallazgos anormales en muestras tomadas de órganos digestivos y de la cavidad abdominal, nivel anormal de sustancias de origen fundamentalmente no medicinal</v>
          </cell>
        </row>
        <row r="8262">
          <cell r="A8262" t="str">
            <v>R85.4</v>
          </cell>
          <cell r="B8262" t="str">
            <v>Hallazgos anormales en muestras tomadas de órganos digestivos y de la cavidad abdominal, hallazgos inmunológicos anormales</v>
          </cell>
        </row>
        <row r="8263">
          <cell r="A8263" t="str">
            <v>R85.5</v>
          </cell>
          <cell r="B8263" t="str">
            <v>Hallazgos anormales en muestras tomadas de órganos digestivos y de la cavidad abdominal, hallazgos microbiológicos anormales</v>
          </cell>
        </row>
        <row r="8264">
          <cell r="A8264" t="str">
            <v>R85.6</v>
          </cell>
          <cell r="B8264" t="str">
            <v>Hallazgos anormales en muestras tomadas de órganos digestivos y de la cavidad abdominal, hallazgos citológicos anormales</v>
          </cell>
        </row>
        <row r="8265">
          <cell r="A8265" t="str">
            <v>R85.7</v>
          </cell>
          <cell r="B8265" t="str">
            <v>Hallazgos anormales en muestras tomadas de órganos digestivos y de la cavidad abdominal, hallazgos histológicos anormales</v>
          </cell>
        </row>
        <row r="8266">
          <cell r="A8266" t="str">
            <v>R85.8</v>
          </cell>
          <cell r="B8266" t="str">
            <v>Hallazgos anormales en muestras tomadas de órganos digestivos y de la cavidad abdominal, otros hallazgos anormales</v>
          </cell>
        </row>
        <row r="8267">
          <cell r="A8267" t="str">
            <v>R85.9</v>
          </cell>
          <cell r="B8267" t="str">
            <v>Hallazgos anormales en muestras tomadas de órganos digestivos y de la cavidad abdominal, hallazgos anormales, no especificados</v>
          </cell>
        </row>
        <row r="8268">
          <cell r="A8268" t="str">
            <v>R86</v>
          </cell>
          <cell r="B8268" t="str">
            <v>Hallazgos anormales en muestras tomadas de órganos genitales masculinos</v>
          </cell>
        </row>
        <row r="8269">
          <cell r="A8269" t="str">
            <v>R86.0</v>
          </cell>
          <cell r="B8269" t="str">
            <v>Hallazgos anormales en muestras tomadas de órganos genitales masculinos, nivel anormal de enzimas</v>
          </cell>
        </row>
        <row r="8270">
          <cell r="A8270" t="str">
            <v>R86.1</v>
          </cell>
          <cell r="B8270" t="str">
            <v>Hallazgos anormales en muestras tomadas de órganos genitales masculinos, nivel anormal de hormonas</v>
          </cell>
        </row>
        <row r="8271">
          <cell r="A8271" t="str">
            <v>R86.2</v>
          </cell>
          <cell r="B8271" t="str">
            <v>Hallazgos anormales en muestras tomadas de órganos genitales masculinos, nivel anormal de otras drogas, medicamentos y sustancias biológicas</v>
          </cell>
        </row>
        <row r="8272">
          <cell r="A8272" t="str">
            <v>R86.3</v>
          </cell>
          <cell r="B8272" t="str">
            <v>Hallazgos anormales en muestras tomadas de órganos genitales masculinos, nivel anormal de sustancias de origen fundamentalmente no medicinal</v>
          </cell>
        </row>
        <row r="8273">
          <cell r="A8273" t="str">
            <v>R86.4</v>
          </cell>
          <cell r="B8273" t="str">
            <v>Hallazgos anormales en muestras tomadas de órganos genitales masculinos, hallazgos inmunológicos anormales</v>
          </cell>
        </row>
        <row r="8274">
          <cell r="A8274" t="str">
            <v>R86.5</v>
          </cell>
          <cell r="B8274" t="str">
            <v>Hallazgos anormales en muestras tomadas de órganos genitales masculinos, hallazgos microbiológicos anormales</v>
          </cell>
        </row>
        <row r="8275">
          <cell r="A8275" t="str">
            <v>R86.6</v>
          </cell>
          <cell r="B8275" t="str">
            <v>Hallazgos anormales en muestras tomadas de órganos genitales masculinos, hallazgos citológicos anormales</v>
          </cell>
        </row>
        <row r="8276">
          <cell r="A8276" t="str">
            <v>R86.7</v>
          </cell>
          <cell r="B8276" t="str">
            <v>Hallazgos anormales en muestras tomadas de órganos genitales masculinos, hallazgos histológicos anormales</v>
          </cell>
        </row>
        <row r="8277">
          <cell r="A8277" t="str">
            <v>R86.8</v>
          </cell>
          <cell r="B8277" t="str">
            <v>Hallazgos anormales en muestras tomadas de órganos genitales masculinos, otros hallazgos anormales</v>
          </cell>
        </row>
        <row r="8278">
          <cell r="A8278" t="str">
            <v>R86.9</v>
          </cell>
          <cell r="B8278" t="str">
            <v>Hallazgos anormales en muestras tomadas de órganos genitales masculinos, hallazgos anormales, no especificados</v>
          </cell>
        </row>
        <row r="8279">
          <cell r="A8279" t="str">
            <v>R87</v>
          </cell>
          <cell r="B8279" t="str">
            <v>Hallazgos anormales en muestras tomadas de órganos genitales femeninos</v>
          </cell>
        </row>
        <row r="8280">
          <cell r="A8280" t="str">
            <v>R87.0</v>
          </cell>
          <cell r="B8280" t="str">
            <v>Hallazgos anormales en muestras tomadas de órganos genitales femeninos, nivel anormal de enzimas</v>
          </cell>
        </row>
        <row r="8281">
          <cell r="A8281" t="str">
            <v>R87.1</v>
          </cell>
          <cell r="B8281" t="str">
            <v>Hallazgos anormales en muestras tomadas de órganos genitales femeninos, nivel anormal de hormonas</v>
          </cell>
        </row>
        <row r="8282">
          <cell r="A8282" t="str">
            <v>R87.2</v>
          </cell>
          <cell r="B8282" t="str">
            <v>Hallazgos anormales en muestras tomadas de órganos genitales femeninos, nivel anormal de otras drogas, medicamentos y sustancias biológicas</v>
          </cell>
        </row>
        <row r="8283">
          <cell r="A8283" t="str">
            <v>R87.3</v>
          </cell>
          <cell r="B8283" t="str">
            <v>Hallazgos anormales en muestras tomadas de órganos genitales femeninos, nivel anormal de sustancias de origen fundamentalmente no medicinal</v>
          </cell>
        </row>
        <row r="8284">
          <cell r="A8284" t="str">
            <v>R87.4</v>
          </cell>
          <cell r="B8284" t="str">
            <v>Hallazgos anormales en muestras tomadas de órganos genitales femeninos, hallazgos inmunológicos anormales</v>
          </cell>
        </row>
        <row r="8285">
          <cell r="A8285" t="str">
            <v>R87.5</v>
          </cell>
          <cell r="B8285" t="str">
            <v>Hallazgos anormales en muestras tomadas de órganos genitales femeninos, hallazgos microbiológicos anormales</v>
          </cell>
        </row>
        <row r="8286">
          <cell r="A8286" t="str">
            <v>R87.6</v>
          </cell>
          <cell r="B8286" t="str">
            <v>Hallazgos anormales en muestras tomadas de órganos genitales femeninos, hallazgos citológicos anormales</v>
          </cell>
        </row>
        <row r="8287">
          <cell r="A8287" t="str">
            <v>R87.7</v>
          </cell>
          <cell r="B8287" t="str">
            <v>Hallazgos anormales en muestras tomadas de órganos genitales femeninos, hallazgos histológicos anormales</v>
          </cell>
        </row>
        <row r="8288">
          <cell r="A8288" t="str">
            <v>R87.8</v>
          </cell>
          <cell r="B8288" t="str">
            <v>Hallazgos anormales en muestras tomadas de órganos genitales femeninos, otros hallazgos anormales</v>
          </cell>
        </row>
        <row r="8289">
          <cell r="A8289" t="str">
            <v>R87.9</v>
          </cell>
          <cell r="B8289" t="str">
            <v>Hallazgos anormales en muestras tomadas de órganos genitales femeninos, hallazgos anormales, no especificados</v>
          </cell>
        </row>
        <row r="8290">
          <cell r="A8290" t="str">
            <v>R89</v>
          </cell>
          <cell r="B8290" t="str">
            <v>Hallazgos anormales en muestras tomadas de otros órganos, sistemas y tejidos</v>
          </cell>
        </row>
        <row r="8291">
          <cell r="A8291" t="str">
            <v>R89.0</v>
          </cell>
          <cell r="B8291" t="str">
            <v>Hallazgos anormales en muestras tomadas de otros órganos, sistemas y tejidos, nivel anormal de enzimas</v>
          </cell>
        </row>
        <row r="8292">
          <cell r="A8292" t="str">
            <v>R89.1</v>
          </cell>
          <cell r="B8292" t="str">
            <v>Hallazgos anormales en muestras tomadas de otros órganos, sistemas y tejidos, nivel anormal de hormonas</v>
          </cell>
        </row>
        <row r="8293">
          <cell r="A8293" t="str">
            <v>R89.2</v>
          </cell>
          <cell r="B8293" t="str">
            <v>Hallazgos anormales en muestras tomadas de otros órganos, sistemas y tejidos, nivel anormal de otras drogas, medicamentos y sustancias biológicas</v>
          </cell>
        </row>
        <row r="8294">
          <cell r="A8294" t="str">
            <v>R89.3</v>
          </cell>
          <cell r="B8294" t="str">
            <v>Hallazgos anormales en muestras tomadas de otros órganos, sistemas y tejidos, nivel anormal de sustancias de origen fundamentalmente no medicinal</v>
          </cell>
        </row>
        <row r="8295">
          <cell r="A8295" t="str">
            <v>R89.4</v>
          </cell>
          <cell r="B8295" t="str">
            <v>Hallazgos anormales en muestras tomadas de otros órganos, sistemas y tejidos, hallazgos inmunológicos anormales</v>
          </cell>
        </row>
        <row r="8296">
          <cell r="A8296" t="str">
            <v>R89.5</v>
          </cell>
          <cell r="B8296" t="str">
            <v>Hallazgos anormales en muestras tomadas de otros órganos,  sistemas y tejidos, hallazgos microbiológicos anormales</v>
          </cell>
        </row>
        <row r="8297">
          <cell r="A8297" t="str">
            <v>R89.6</v>
          </cell>
          <cell r="B8297" t="str">
            <v>Hallazgos anormales en muestras tomadas de otros órganos, sistemas y tejidos, hallazgos citológicos anormales</v>
          </cell>
        </row>
        <row r="8298">
          <cell r="A8298" t="str">
            <v>R89.7</v>
          </cell>
          <cell r="B8298" t="str">
            <v>Hallazgos anormales en muestras tomadas de otros órganos, sistemas y tejidos, hallazgos histológicos anormales</v>
          </cell>
        </row>
        <row r="8299">
          <cell r="A8299" t="str">
            <v>R89.8</v>
          </cell>
          <cell r="B8299" t="str">
            <v>Hallazgos anormales en muestras tomadas de otros órganos, sistemas y tejidos, otros hallazgos anormales</v>
          </cell>
        </row>
        <row r="8300">
          <cell r="A8300" t="str">
            <v>R89.9</v>
          </cell>
          <cell r="B8300" t="str">
            <v>Hallazgos anormales en muestras tomadas de otros órganos, sistemas y tejidos, hallazgos anormales, no especificados</v>
          </cell>
        </row>
        <row r="8301">
          <cell r="A8301" t="str">
            <v>R90</v>
          </cell>
          <cell r="B8301" t="str">
            <v>Hallazgos anormales en diagnóstico por imagen del sistema nervioso central</v>
          </cell>
        </row>
        <row r="8302">
          <cell r="A8302" t="str">
            <v>R90.0</v>
          </cell>
          <cell r="B8302" t="str">
            <v>Lesión que ocupa el espacio intracraneal</v>
          </cell>
        </row>
        <row r="8303">
          <cell r="A8303" t="str">
            <v>R90.8</v>
          </cell>
          <cell r="B8303" t="str">
            <v>Otros hallazgos anormales en diagnóstico por imagen del sistema nervioso central</v>
          </cell>
        </row>
        <row r="8304">
          <cell r="A8304" t="str">
            <v>R91.X</v>
          </cell>
          <cell r="B8304" t="str">
            <v>Hallazgos anormales en diagnóstico por imagen del pulmón</v>
          </cell>
        </row>
        <row r="8305">
          <cell r="A8305" t="str">
            <v>R92.X</v>
          </cell>
          <cell r="B8305" t="str">
            <v>Hallazgos anormales en diagnóstico por imagen de la mama</v>
          </cell>
        </row>
        <row r="8306">
          <cell r="A8306" t="str">
            <v>R93</v>
          </cell>
          <cell r="B8306" t="str">
            <v>Hallazgos anormales en diagnóstico por imagen de otras estructuras del  cuerpo</v>
          </cell>
        </row>
        <row r="8307">
          <cell r="A8307" t="str">
            <v>R93.0</v>
          </cell>
          <cell r="B8307" t="str">
            <v>Hallazgos anormales en diagnóstico por imagen del cráneo y de la cabeza, no clasificados en otra parte</v>
          </cell>
        </row>
        <row r="8308">
          <cell r="A8308" t="str">
            <v>R93.1</v>
          </cell>
          <cell r="B8308" t="str">
            <v>Hallazgos anormales en diagnóstico por imagen del corazón y de la circulación coronaria</v>
          </cell>
        </row>
        <row r="8309">
          <cell r="A8309" t="str">
            <v>R93.2</v>
          </cell>
          <cell r="B8309" t="str">
            <v>Hallazgos anormales en diagnóstico por imagen del hígado y de las vías biliares</v>
          </cell>
        </row>
        <row r="8310">
          <cell r="A8310" t="str">
            <v>R93.3</v>
          </cell>
          <cell r="B8310" t="str">
            <v>Hallazgos anormales en diagnóstico por imagen de otras partes de las vías digestivas</v>
          </cell>
        </row>
        <row r="8311">
          <cell r="A8311" t="str">
            <v>R93.4</v>
          </cell>
          <cell r="B8311" t="str">
            <v>Hallazgos anormales en diagnóstico por imagen de los órganos urinarios</v>
          </cell>
        </row>
        <row r="8312">
          <cell r="A8312" t="str">
            <v>R93.5</v>
          </cell>
          <cell r="B8312" t="str">
            <v>Hallazgos anormales en diagnóstico por imagen de otras regiones abdominales, incluido el retroperitoneo</v>
          </cell>
        </row>
        <row r="8313">
          <cell r="A8313" t="str">
            <v>R93.6</v>
          </cell>
          <cell r="B8313" t="str">
            <v>Hallazgos anormales en diagnóstico por imagen de los miembros</v>
          </cell>
        </row>
        <row r="8314">
          <cell r="A8314" t="str">
            <v>R93.7</v>
          </cell>
          <cell r="B8314" t="str">
            <v>Hallazgos anormales en diagnóstico por imagen de otras partes del sistema osteomuscular</v>
          </cell>
        </row>
        <row r="8315">
          <cell r="A8315" t="str">
            <v>R93.8</v>
          </cell>
          <cell r="B8315" t="str">
            <v>Hallazgos anormales en diagnóstico por imagen de otras estructuras especificadas del cuerpo</v>
          </cell>
        </row>
        <row r="8316">
          <cell r="A8316" t="str">
            <v>R94</v>
          </cell>
          <cell r="B8316" t="str">
            <v>Resultados anormales de estudios funcionales</v>
          </cell>
        </row>
        <row r="8317">
          <cell r="A8317" t="str">
            <v>R94.0</v>
          </cell>
          <cell r="B8317" t="str">
            <v>Resultados anormales en estudios funcionales del sistema nervioso central</v>
          </cell>
        </row>
        <row r="8318">
          <cell r="A8318" t="str">
            <v>R94.1</v>
          </cell>
          <cell r="B8318" t="str">
            <v>Resultados anormales en estudios funcionales del sistema nervioso periférico y sentidos especiales</v>
          </cell>
        </row>
        <row r="8319">
          <cell r="A8319" t="str">
            <v>R94.2</v>
          </cell>
          <cell r="B8319" t="str">
            <v>Resultados anormales en estudios funcionales del pulmón</v>
          </cell>
        </row>
        <row r="8320">
          <cell r="A8320" t="str">
            <v>R94.3</v>
          </cell>
          <cell r="B8320" t="str">
            <v>Resultados anormales en estudios funcionales cardiovasculares</v>
          </cell>
        </row>
        <row r="8321">
          <cell r="A8321" t="str">
            <v>R94.4</v>
          </cell>
          <cell r="B8321" t="str">
            <v>Resultados anormales en estudios funcionales del riñón</v>
          </cell>
        </row>
        <row r="8322">
          <cell r="A8322" t="str">
            <v>R94.5</v>
          </cell>
          <cell r="B8322" t="str">
            <v>Resultados anormales en estudios funcionales del hígado</v>
          </cell>
        </row>
        <row r="8323">
          <cell r="A8323" t="str">
            <v>R94.6</v>
          </cell>
          <cell r="B8323" t="str">
            <v>Resultados anormales en estudios funcionales de la tiroides</v>
          </cell>
        </row>
        <row r="8324">
          <cell r="A8324" t="str">
            <v>R94.7</v>
          </cell>
          <cell r="B8324" t="str">
            <v>Resultados anormales en otros estudios funcionales endocrinos</v>
          </cell>
        </row>
        <row r="8325">
          <cell r="A8325" t="str">
            <v>R94.8</v>
          </cell>
          <cell r="B8325" t="str">
            <v>Resultados anormales en los estudios funcionales de otros órganos y sistemas</v>
          </cell>
        </row>
        <row r="8326">
          <cell r="A8326" t="str">
            <v>R95.X</v>
          </cell>
          <cell r="B8326" t="str">
            <v>Síndrome de la muerte súbita infantil</v>
          </cell>
        </row>
        <row r="8327">
          <cell r="A8327" t="str">
            <v>R96</v>
          </cell>
          <cell r="B8327" t="str">
            <v>Otras muertes súbitas de causa desconocida</v>
          </cell>
        </row>
        <row r="8328">
          <cell r="A8328" t="str">
            <v>R96.0</v>
          </cell>
          <cell r="B8328" t="str">
            <v>Muerte instantánea</v>
          </cell>
        </row>
        <row r="8329">
          <cell r="A8329" t="str">
            <v>R96.1</v>
          </cell>
          <cell r="B8329" t="str">
            <v>Muerte que ocurre en menos de 24 horas del inicio de los síntomas, no explicada de otra forma</v>
          </cell>
        </row>
        <row r="8330">
          <cell r="A8330" t="str">
            <v>R98.X</v>
          </cell>
          <cell r="B8330" t="str">
            <v>Muerte sin asistencia</v>
          </cell>
        </row>
        <row r="8331">
          <cell r="A8331" t="str">
            <v>R99.X</v>
          </cell>
          <cell r="B8331" t="str">
            <v>Otras causas mal definidas y las no especificadas de mortalidad</v>
          </cell>
        </row>
        <row r="8332">
          <cell r="A8332" t="str">
            <v>S</v>
          </cell>
          <cell r="B8332" t="str">
            <v>Traumatismos en General</v>
          </cell>
        </row>
        <row r="8333">
          <cell r="A8333" t="str">
            <v>S00</v>
          </cell>
          <cell r="B8333" t="str">
            <v>Traumatismo superficial de la cabeza</v>
          </cell>
        </row>
        <row r="8334">
          <cell r="A8334" t="str">
            <v>S00.0</v>
          </cell>
          <cell r="B8334" t="str">
            <v>Traumatismo superficial del cuero cabelludo</v>
          </cell>
        </row>
        <row r="8335">
          <cell r="A8335" t="str">
            <v>S00.1</v>
          </cell>
          <cell r="B8335" t="str">
            <v>Contusión de los párpados y de la región periocular</v>
          </cell>
        </row>
        <row r="8336">
          <cell r="A8336" t="str">
            <v>S00.2</v>
          </cell>
          <cell r="B8336" t="str">
            <v>Otros traumatismos superficiales del párpado y de la región periocular</v>
          </cell>
        </row>
        <row r="8337">
          <cell r="A8337" t="str">
            <v>S00.3</v>
          </cell>
          <cell r="B8337" t="str">
            <v>Traumatismo superficial de la nariz</v>
          </cell>
        </row>
        <row r="8338">
          <cell r="A8338" t="str">
            <v>S00.4</v>
          </cell>
          <cell r="B8338" t="str">
            <v>Traumatismo superficial del oído</v>
          </cell>
        </row>
        <row r="8339">
          <cell r="A8339" t="str">
            <v>S00.5</v>
          </cell>
          <cell r="B8339" t="str">
            <v>Traumatismo superficial del labio y de la cavidad bucal</v>
          </cell>
        </row>
        <row r="8340">
          <cell r="A8340" t="str">
            <v>S00.7</v>
          </cell>
          <cell r="B8340" t="str">
            <v>Traumatismos superficiales múltiples de la cabeza</v>
          </cell>
        </row>
        <row r="8341">
          <cell r="A8341" t="str">
            <v>S00.8</v>
          </cell>
          <cell r="B8341" t="str">
            <v>Traumatismo superficial de otras partes de la cabeza</v>
          </cell>
        </row>
        <row r="8342">
          <cell r="A8342" t="str">
            <v>S00.9</v>
          </cell>
          <cell r="B8342" t="str">
            <v>Traumatismo superficial de la cabeza, parte no especificada</v>
          </cell>
        </row>
        <row r="8343">
          <cell r="A8343" t="str">
            <v>S01</v>
          </cell>
          <cell r="B8343" t="str">
            <v>Herida de la cabeza</v>
          </cell>
        </row>
        <row r="8344">
          <cell r="A8344" t="str">
            <v>S01.0</v>
          </cell>
          <cell r="B8344" t="str">
            <v>Herida del cuero cabelludo</v>
          </cell>
        </row>
        <row r="8345">
          <cell r="A8345" t="str">
            <v>S01.1</v>
          </cell>
          <cell r="B8345" t="str">
            <v>Herida del párpado y de la región periocular</v>
          </cell>
        </row>
        <row r="8346">
          <cell r="A8346" t="str">
            <v>S01.2</v>
          </cell>
          <cell r="B8346" t="str">
            <v>Herida de la nariz</v>
          </cell>
        </row>
        <row r="8347">
          <cell r="A8347" t="str">
            <v>S01.3</v>
          </cell>
          <cell r="B8347" t="str">
            <v>Herida del oído</v>
          </cell>
        </row>
        <row r="8348">
          <cell r="A8348" t="str">
            <v>S01.4</v>
          </cell>
          <cell r="B8348" t="str">
            <v>Herida de la mejilla y de la región temporomandibular</v>
          </cell>
        </row>
        <row r="8349">
          <cell r="A8349" t="str">
            <v>S01.5</v>
          </cell>
          <cell r="B8349" t="str">
            <v>Herida del labio y de la cavidad bucal</v>
          </cell>
        </row>
        <row r="8350">
          <cell r="A8350" t="str">
            <v>S01.7</v>
          </cell>
          <cell r="B8350" t="str">
            <v>Heridas múltiples de la cabeza</v>
          </cell>
        </row>
        <row r="8351">
          <cell r="A8351" t="str">
            <v>S01.8</v>
          </cell>
          <cell r="B8351" t="str">
            <v>Herida de otras partes de la cabeza</v>
          </cell>
        </row>
        <row r="8352">
          <cell r="A8352" t="str">
            <v>S01.9</v>
          </cell>
          <cell r="B8352" t="str">
            <v>Herida de la cabeza, parte no especificada</v>
          </cell>
        </row>
        <row r="8353">
          <cell r="A8353" t="str">
            <v>S02</v>
          </cell>
          <cell r="B8353" t="str">
            <v>Fractura de huesos del cráneo y de la cara</v>
          </cell>
        </row>
        <row r="8354">
          <cell r="A8354" t="str">
            <v>S02.0</v>
          </cell>
          <cell r="B8354" t="str">
            <v>Fractura de la bóveda del cráneo</v>
          </cell>
        </row>
        <row r="8355">
          <cell r="A8355" t="str">
            <v>S02.1</v>
          </cell>
          <cell r="B8355" t="str">
            <v>Fractura de la base del cráneo</v>
          </cell>
        </row>
        <row r="8356">
          <cell r="A8356" t="str">
            <v>S02.2</v>
          </cell>
          <cell r="B8356" t="str">
            <v>Fractura de los huesos de la nariz</v>
          </cell>
        </row>
        <row r="8357">
          <cell r="A8357" t="str">
            <v>S02.3</v>
          </cell>
          <cell r="B8357" t="str">
            <v>Fractura del suelo de la órbita</v>
          </cell>
        </row>
        <row r="8358">
          <cell r="A8358" t="str">
            <v>S02.4</v>
          </cell>
          <cell r="B8358" t="str">
            <v>Fractura del malar y del hueso maxilar superior</v>
          </cell>
        </row>
        <row r="8359">
          <cell r="A8359" t="str">
            <v>S02.5</v>
          </cell>
          <cell r="B8359" t="str">
            <v>Fractura de los dientes</v>
          </cell>
        </row>
        <row r="8360">
          <cell r="A8360" t="str">
            <v>S02.6</v>
          </cell>
          <cell r="B8360" t="str">
            <v>Fractura del maxilar inferior</v>
          </cell>
        </row>
        <row r="8361">
          <cell r="A8361" t="str">
            <v>S02.7</v>
          </cell>
          <cell r="B8361" t="str">
            <v>Fracturas múltiples que comprometen el cráneo y los huesos de la cara</v>
          </cell>
        </row>
        <row r="8362">
          <cell r="A8362" t="str">
            <v>S02.8</v>
          </cell>
          <cell r="B8362" t="str">
            <v>Fractura de otros huesos del cráneo y de la cara</v>
          </cell>
        </row>
        <row r="8363">
          <cell r="A8363" t="str">
            <v>S02.9</v>
          </cell>
          <cell r="B8363" t="str">
            <v>Fractura del cráneo y de los huesos de la cara, parte no           especificada</v>
          </cell>
        </row>
        <row r="8364">
          <cell r="A8364" t="str">
            <v>S03</v>
          </cell>
          <cell r="B8364" t="str">
            <v>Luxación, esguince y torcedura de articulaciones y de ligamentos de la cabeza</v>
          </cell>
        </row>
        <row r="8365">
          <cell r="A8365" t="str">
            <v>S03.0</v>
          </cell>
          <cell r="B8365" t="str">
            <v>Luxación del maxilar</v>
          </cell>
        </row>
        <row r="8366">
          <cell r="A8366" t="str">
            <v>S03.1</v>
          </cell>
          <cell r="B8366" t="str">
            <v>Luxación del cartílago septal de la nariz</v>
          </cell>
        </row>
        <row r="8367">
          <cell r="A8367" t="str">
            <v>S03.2</v>
          </cell>
          <cell r="B8367" t="str">
            <v>Luxación de diente</v>
          </cell>
        </row>
        <row r="8368">
          <cell r="A8368" t="str">
            <v>S03.3</v>
          </cell>
          <cell r="B8368" t="str">
            <v>Luxación de otras partes y de las no especificadas de la cabeza</v>
          </cell>
        </row>
        <row r="8369">
          <cell r="A8369" t="str">
            <v>S03.4</v>
          </cell>
          <cell r="B8369" t="str">
            <v>Esguinces y torcedura del maxilar</v>
          </cell>
        </row>
        <row r="8370">
          <cell r="A8370" t="str">
            <v>S03.5</v>
          </cell>
          <cell r="B8370" t="str">
            <v>Esguinces y torcedura de articulaciones y ligamentos de otras partes y las no especificadas de la cabeza</v>
          </cell>
        </row>
        <row r="8371">
          <cell r="A8371" t="str">
            <v>S04</v>
          </cell>
          <cell r="B8371" t="str">
            <v>Traumatismo de nervios craneales</v>
          </cell>
        </row>
        <row r="8372">
          <cell r="A8372" t="str">
            <v>S04.0</v>
          </cell>
          <cell r="B8372" t="str">
            <v>Traumatismo del nervio óptico [II par] y de las vías ópticas</v>
          </cell>
        </row>
        <row r="8373">
          <cell r="A8373" t="str">
            <v>S04.1</v>
          </cell>
          <cell r="B8373" t="str">
            <v>Traumatismo del nervio motor ocular común [III par]</v>
          </cell>
        </row>
        <row r="8374">
          <cell r="A8374" t="str">
            <v>S04.2</v>
          </cell>
          <cell r="B8374" t="str">
            <v>Traumatismo del nervio patético [IV par]</v>
          </cell>
        </row>
        <row r="8375">
          <cell r="A8375" t="str">
            <v>S04.3</v>
          </cell>
          <cell r="B8375" t="str">
            <v>Traumatismo del nervio trigémino [V par]</v>
          </cell>
        </row>
        <row r="8376">
          <cell r="A8376" t="str">
            <v>S04.4</v>
          </cell>
          <cell r="B8376" t="str">
            <v>Traumatismo del nervio motor ocular externo [VI par]</v>
          </cell>
        </row>
        <row r="8377">
          <cell r="A8377" t="str">
            <v>S04.5</v>
          </cell>
          <cell r="B8377" t="str">
            <v>Traumatismo del nervio facial [VII par]</v>
          </cell>
        </row>
        <row r="8378">
          <cell r="A8378" t="str">
            <v>S04.6</v>
          </cell>
          <cell r="B8378" t="str">
            <v>Traumatismo del nervio acústico [VIII par]</v>
          </cell>
        </row>
        <row r="8379">
          <cell r="A8379" t="str">
            <v>S04.7</v>
          </cell>
          <cell r="B8379" t="str">
            <v>Traumatismo del nervio espinal [XI par]</v>
          </cell>
        </row>
        <row r="8380">
          <cell r="A8380" t="str">
            <v>S04.8</v>
          </cell>
          <cell r="B8380" t="str">
            <v>Traumatismo de otros nervios craneales</v>
          </cell>
        </row>
        <row r="8381">
          <cell r="A8381" t="str">
            <v>S04.9</v>
          </cell>
          <cell r="B8381" t="str">
            <v>Traumatismo de nervios craneales, no especificado</v>
          </cell>
        </row>
        <row r="8382">
          <cell r="A8382" t="str">
            <v>S05</v>
          </cell>
          <cell r="B8382" t="str">
            <v>Traumatismo del ojo y de la órbita</v>
          </cell>
        </row>
        <row r="8383">
          <cell r="A8383" t="str">
            <v>S05.0</v>
          </cell>
          <cell r="B8383" t="str">
            <v>Traumatismo de la conjuntiva y abrasión corneal sin mención de cuerpo extraño</v>
          </cell>
        </row>
        <row r="8384">
          <cell r="A8384" t="str">
            <v>S05.1</v>
          </cell>
          <cell r="B8384" t="str">
            <v>Contusión del globo ocular y del tejido orbitario</v>
          </cell>
        </row>
        <row r="8385">
          <cell r="A8385" t="str">
            <v>S05.2</v>
          </cell>
          <cell r="B8385" t="str">
            <v>Laceración y ruptura ocular con prolapso o pérdida del tejido intraocular</v>
          </cell>
        </row>
        <row r="8386">
          <cell r="A8386" t="str">
            <v>S05.3</v>
          </cell>
          <cell r="B8386" t="str">
            <v>Laceración ocular sin prolapso o pérdida del tejido intraocular</v>
          </cell>
        </row>
        <row r="8387">
          <cell r="A8387" t="str">
            <v>S05.4</v>
          </cell>
          <cell r="B8387" t="str">
            <v>Herida penetrante de la órbita con o sin cuerpo extraño</v>
          </cell>
        </row>
        <row r="8388">
          <cell r="A8388" t="str">
            <v>S05.5</v>
          </cell>
          <cell r="B8388" t="str">
            <v>Herida penetrante del globo ocular con cuerpo extraño</v>
          </cell>
        </row>
        <row r="8389">
          <cell r="A8389" t="str">
            <v>S05.6</v>
          </cell>
          <cell r="B8389" t="str">
            <v>Herida penetrante de globo ocular sin cuerpo extraño</v>
          </cell>
        </row>
        <row r="8390">
          <cell r="A8390" t="str">
            <v>S05.7</v>
          </cell>
          <cell r="B8390" t="str">
            <v>Avulsión de ojo</v>
          </cell>
        </row>
        <row r="8391">
          <cell r="A8391" t="str">
            <v>S05.8</v>
          </cell>
          <cell r="B8391" t="str">
            <v>Otros traumatismos del ojo y de la órbita</v>
          </cell>
        </row>
        <row r="8392">
          <cell r="A8392" t="str">
            <v>S05.9</v>
          </cell>
          <cell r="B8392" t="str">
            <v>Traumatismo del ojo y de la órbita, no especificado</v>
          </cell>
        </row>
        <row r="8393">
          <cell r="A8393">
            <v>0</v>
          </cell>
          <cell r="B8393" t="str">
            <v>Traumatismo intracraneal</v>
          </cell>
        </row>
        <row r="8394">
          <cell r="A8394" t="str">
            <v>S06.0</v>
          </cell>
          <cell r="B8394" t="str">
            <v>Concusión</v>
          </cell>
        </row>
        <row r="8395">
          <cell r="A8395" t="str">
            <v>S06.1</v>
          </cell>
          <cell r="B8395" t="str">
            <v>Edema cerebral traumático</v>
          </cell>
        </row>
        <row r="8396">
          <cell r="A8396" t="str">
            <v>S06.2</v>
          </cell>
          <cell r="B8396" t="str">
            <v>Traumatismo cerebral difuso</v>
          </cell>
        </row>
        <row r="8397">
          <cell r="A8397" t="str">
            <v>S06.3</v>
          </cell>
          <cell r="B8397" t="str">
            <v>Traumatismo cerebral focal</v>
          </cell>
        </row>
        <row r="8398">
          <cell r="A8398" t="str">
            <v>S06.4</v>
          </cell>
          <cell r="B8398" t="str">
            <v>Hemorragia epidural</v>
          </cell>
        </row>
        <row r="8399">
          <cell r="A8399" t="str">
            <v>S06.5</v>
          </cell>
          <cell r="B8399" t="str">
            <v>Hemorragia subdural traumática</v>
          </cell>
        </row>
        <row r="8400">
          <cell r="A8400" t="str">
            <v>S06.6</v>
          </cell>
          <cell r="B8400" t="str">
            <v>Hemorragia subaracnoidea traumática</v>
          </cell>
        </row>
        <row r="8401">
          <cell r="A8401" t="str">
            <v>S06.7</v>
          </cell>
          <cell r="B8401" t="str">
            <v>Traumatismo intracraneal con coma prolongado</v>
          </cell>
        </row>
        <row r="8402">
          <cell r="A8402" t="str">
            <v>S06.8</v>
          </cell>
          <cell r="B8402" t="str">
            <v>Otros traumatismos intracraneales</v>
          </cell>
        </row>
        <row r="8403">
          <cell r="A8403" t="str">
            <v>S06.9</v>
          </cell>
          <cell r="B8403" t="str">
            <v>Traumatismo intracraneal, no especificado</v>
          </cell>
        </row>
        <row r="8404">
          <cell r="A8404" t="str">
            <v>S07</v>
          </cell>
          <cell r="B8404" t="str">
            <v>Traumatismo por aplastamiento de la cabeza</v>
          </cell>
        </row>
        <row r="8405">
          <cell r="A8405" t="str">
            <v>S07.0</v>
          </cell>
          <cell r="B8405" t="str">
            <v>Traumatismo por aplastamiento de la cara</v>
          </cell>
        </row>
        <row r="8406">
          <cell r="A8406" t="str">
            <v>S07.1</v>
          </cell>
          <cell r="B8406" t="str">
            <v>Traumatismo por aplastamiento del cráneo</v>
          </cell>
        </row>
        <row r="8407">
          <cell r="A8407" t="str">
            <v>S07.8</v>
          </cell>
          <cell r="B8407" t="str">
            <v>Traumatismo por aplastamiento de otras partes de la cabeza</v>
          </cell>
        </row>
        <row r="8408">
          <cell r="A8408" t="str">
            <v>S07.9</v>
          </cell>
          <cell r="B8408" t="str">
            <v>Traumatismo por aplastamiento de la cabeza, parte no especificada</v>
          </cell>
        </row>
        <row r="8409">
          <cell r="A8409" t="str">
            <v>S08</v>
          </cell>
          <cell r="B8409" t="str">
            <v>Amputación traumática de parte de la cabeza</v>
          </cell>
        </row>
        <row r="8410">
          <cell r="A8410" t="str">
            <v>S08.0</v>
          </cell>
          <cell r="B8410" t="str">
            <v>Avulsión del cuero cabelludo</v>
          </cell>
        </row>
        <row r="8411">
          <cell r="A8411" t="str">
            <v>S08.1</v>
          </cell>
          <cell r="B8411" t="str">
            <v>Amputación traumática de la oreja</v>
          </cell>
        </row>
        <row r="8412">
          <cell r="A8412" t="str">
            <v>S08.8</v>
          </cell>
          <cell r="B8412" t="str">
            <v>Amputación traumática de otras partes de la cabeza</v>
          </cell>
        </row>
        <row r="8413">
          <cell r="A8413" t="str">
            <v>S08.9</v>
          </cell>
          <cell r="B8413" t="str">
            <v>Amputación traumática de parte no especificada de la cabeza</v>
          </cell>
        </row>
        <row r="8414">
          <cell r="A8414" t="str">
            <v>S09</v>
          </cell>
          <cell r="B8414" t="str">
            <v>Otros traumatismos y los no especificados de la cabeza</v>
          </cell>
        </row>
        <row r="8415">
          <cell r="A8415" t="str">
            <v>S09.0</v>
          </cell>
          <cell r="B8415" t="str">
            <v>Traumatismo de los vasos sanguíneos de la cabeza no clasificados en otra parte</v>
          </cell>
        </row>
        <row r="8416">
          <cell r="A8416" t="str">
            <v>S09.1</v>
          </cell>
          <cell r="B8416" t="str">
            <v>Traumatismo de tendón y músculos de la cabeza</v>
          </cell>
        </row>
        <row r="8417">
          <cell r="A8417" t="str">
            <v>S09.2</v>
          </cell>
          <cell r="B8417" t="str">
            <v>Ruptura traumática del tímpano del oído</v>
          </cell>
        </row>
        <row r="8418">
          <cell r="A8418" t="str">
            <v>S09.7</v>
          </cell>
          <cell r="B8418" t="str">
            <v>Traumatismos múltiples de la cabeza</v>
          </cell>
        </row>
        <row r="8419">
          <cell r="A8419" t="str">
            <v>S09.8</v>
          </cell>
          <cell r="B8419" t="str">
            <v>Otros traumatismos de la cabeza, especificados</v>
          </cell>
        </row>
        <row r="8420">
          <cell r="A8420" t="str">
            <v>S09.9</v>
          </cell>
          <cell r="B8420" t="str">
            <v>Traumatismo de la cabeza, no especificado</v>
          </cell>
        </row>
        <row r="8421">
          <cell r="A8421" t="str">
            <v>S10</v>
          </cell>
          <cell r="B8421" t="str">
            <v>Traumatismo superficial del cuello</v>
          </cell>
        </row>
        <row r="8422">
          <cell r="A8422" t="str">
            <v>S10.0</v>
          </cell>
          <cell r="B8422" t="str">
            <v>Contusión de la garganta</v>
          </cell>
        </row>
        <row r="8423">
          <cell r="A8423" t="str">
            <v>S10.1</v>
          </cell>
          <cell r="B8423" t="str">
            <v>Otros traumatismos superficiales y los no especificados de la garganta</v>
          </cell>
        </row>
        <row r="8424">
          <cell r="A8424" t="str">
            <v>S10.7</v>
          </cell>
          <cell r="B8424" t="str">
            <v>Traumatismo superficial múltiple del cuello</v>
          </cell>
        </row>
        <row r="8425">
          <cell r="A8425" t="str">
            <v>S10.8</v>
          </cell>
          <cell r="B8425" t="str">
            <v>Traumatismo superficial de otras partes del cuello</v>
          </cell>
        </row>
        <row r="8426">
          <cell r="A8426" t="str">
            <v>S10.9</v>
          </cell>
          <cell r="B8426" t="str">
            <v>Traumatismo superficial del cuello, parte no especificada</v>
          </cell>
        </row>
        <row r="8427">
          <cell r="A8427" t="str">
            <v>S11</v>
          </cell>
          <cell r="B8427" t="str">
            <v>Herida del cuello</v>
          </cell>
        </row>
        <row r="8428">
          <cell r="A8428" t="str">
            <v>S11.0</v>
          </cell>
          <cell r="B8428" t="str">
            <v>Herida que compromete la laringe y la tráquea</v>
          </cell>
        </row>
        <row r="8429">
          <cell r="A8429" t="str">
            <v>S11.1</v>
          </cell>
          <cell r="B8429" t="str">
            <v>Herida que compromete la glándula tiroides</v>
          </cell>
        </row>
        <row r="8430">
          <cell r="A8430" t="str">
            <v>S11.2</v>
          </cell>
          <cell r="B8430" t="str">
            <v>Herida que compromete la faringe y el esófago cervical</v>
          </cell>
        </row>
        <row r="8431">
          <cell r="A8431" t="str">
            <v>S11.7</v>
          </cell>
          <cell r="B8431" t="str">
            <v>Heridas múltiples del cuello</v>
          </cell>
        </row>
        <row r="8432">
          <cell r="A8432" t="str">
            <v>S11.8</v>
          </cell>
          <cell r="B8432" t="str">
            <v>Heridas de otras partes del cuello</v>
          </cell>
        </row>
        <row r="8433">
          <cell r="A8433" t="str">
            <v>S11.9</v>
          </cell>
          <cell r="B8433" t="str">
            <v>Herida de cuello, parte no especificada</v>
          </cell>
        </row>
        <row r="8434">
          <cell r="A8434" t="str">
            <v>S12</v>
          </cell>
          <cell r="B8434" t="str">
            <v>Fractura del cuello</v>
          </cell>
        </row>
        <row r="8435">
          <cell r="A8435" t="str">
            <v>S12.0</v>
          </cell>
          <cell r="B8435" t="str">
            <v>Fractura de la primera vértebra cervical</v>
          </cell>
        </row>
        <row r="8436">
          <cell r="A8436" t="str">
            <v>S12.1</v>
          </cell>
          <cell r="B8436" t="str">
            <v>Fractura de la segunda vértebra cervical</v>
          </cell>
        </row>
        <row r="8437">
          <cell r="A8437" t="str">
            <v>S12.2</v>
          </cell>
          <cell r="B8437" t="str">
            <v>Fractura de otras vértebras cervicales especificadas</v>
          </cell>
        </row>
        <row r="8438">
          <cell r="A8438" t="str">
            <v>S12.7</v>
          </cell>
          <cell r="B8438" t="str">
            <v>Fracturas múltiples de columna cervical</v>
          </cell>
        </row>
        <row r="8439">
          <cell r="A8439" t="str">
            <v>S12.8</v>
          </cell>
          <cell r="B8439" t="str">
            <v>Fractura de otras partes del cuello</v>
          </cell>
        </row>
        <row r="8440">
          <cell r="A8440" t="str">
            <v>S12.9</v>
          </cell>
          <cell r="B8440" t="str">
            <v>Fractura del cuello, parte no especificada</v>
          </cell>
        </row>
        <row r="8441">
          <cell r="A8441" t="str">
            <v>S13</v>
          </cell>
          <cell r="B8441" t="str">
            <v>Luxación, esguince y torcedura de articulaciones y ligamentos del cuello</v>
          </cell>
        </row>
        <row r="8442">
          <cell r="A8442" t="str">
            <v>S13.0</v>
          </cell>
          <cell r="B8442" t="str">
            <v>Ruptura traumática de disco cervical intervertebral</v>
          </cell>
        </row>
        <row r="8443">
          <cell r="A8443" t="str">
            <v>S13.1</v>
          </cell>
          <cell r="B8443" t="str">
            <v>Luxación de vértebra cervical</v>
          </cell>
        </row>
        <row r="8444">
          <cell r="A8444" t="str">
            <v>S13.2</v>
          </cell>
          <cell r="B8444" t="str">
            <v>Luxaciones de otras partes y de las no especificadas del cuello</v>
          </cell>
        </row>
        <row r="8445">
          <cell r="A8445" t="str">
            <v>S13.3</v>
          </cell>
          <cell r="B8445" t="str">
            <v>Luxaciones múltiples del cuello</v>
          </cell>
        </row>
        <row r="8446">
          <cell r="A8446" t="str">
            <v>S13.4</v>
          </cell>
          <cell r="B8446" t="str">
            <v>Esguinces y torcedura de la columna cervical</v>
          </cell>
        </row>
        <row r="8447">
          <cell r="A8447" t="str">
            <v>S13.5</v>
          </cell>
          <cell r="B8447" t="str">
            <v>Esguinces y torcedura de la región tiroidea</v>
          </cell>
        </row>
        <row r="8448">
          <cell r="A8448" t="str">
            <v>S13.6</v>
          </cell>
          <cell r="B8448" t="str">
            <v>Esguinces y torcedura de articulaciones y ligamentos de otros sitios especificados y de los no especificados del cuello</v>
          </cell>
        </row>
        <row r="8449">
          <cell r="A8449" t="str">
            <v>S14</v>
          </cell>
          <cell r="B8449" t="str">
            <v>Traumatismo de la médula espinal y de nervios a nivel del cuello</v>
          </cell>
        </row>
        <row r="8450">
          <cell r="A8450" t="str">
            <v>S14.0</v>
          </cell>
          <cell r="B8450" t="str">
            <v>Concusión y edema de la médula espinal cervical</v>
          </cell>
        </row>
        <row r="8451">
          <cell r="A8451" t="str">
            <v>S14.1</v>
          </cell>
          <cell r="B8451" t="str">
            <v>Otros traumatismos de la médula espinal cervical y los no especificados</v>
          </cell>
        </row>
        <row r="8452">
          <cell r="A8452" t="str">
            <v>S14.2</v>
          </cell>
          <cell r="B8452" t="str">
            <v>Traumatismo de raíz nerviosa de columna cervical</v>
          </cell>
        </row>
        <row r="8453">
          <cell r="A8453" t="str">
            <v>S14.3</v>
          </cell>
          <cell r="B8453" t="str">
            <v>Traumatismo del plexo braquial</v>
          </cell>
        </row>
        <row r="8454">
          <cell r="A8454" t="str">
            <v>S14.4</v>
          </cell>
          <cell r="B8454" t="str">
            <v>Traumatismo de nervios periféricos del cuello</v>
          </cell>
        </row>
        <row r="8455">
          <cell r="A8455" t="str">
            <v>S14.5</v>
          </cell>
          <cell r="B8455" t="str">
            <v>Traumatismo de nervios cervicales simpáticos</v>
          </cell>
        </row>
        <row r="8456">
          <cell r="A8456" t="str">
            <v>S14.6</v>
          </cell>
          <cell r="B8456" t="str">
            <v>Traumatismo de otros nervios y de los no especificados del cuello</v>
          </cell>
        </row>
        <row r="8457">
          <cell r="A8457" t="str">
            <v>S15</v>
          </cell>
          <cell r="B8457" t="str">
            <v>Traumatismo de vasos sanguíneos a nivel del cuello</v>
          </cell>
        </row>
        <row r="8458">
          <cell r="A8458" t="str">
            <v>S15.0</v>
          </cell>
          <cell r="B8458" t="str">
            <v>Traumatismo de la arteria carótida</v>
          </cell>
        </row>
        <row r="8459">
          <cell r="A8459" t="str">
            <v>S15.1</v>
          </cell>
          <cell r="B8459" t="str">
            <v>Traumatismo de la arteria vertebral</v>
          </cell>
        </row>
        <row r="8460">
          <cell r="A8460" t="str">
            <v>S15.2</v>
          </cell>
          <cell r="B8460" t="str">
            <v>Traumatismo de la vena yugular externa</v>
          </cell>
        </row>
        <row r="8461">
          <cell r="A8461" t="str">
            <v>S15.3</v>
          </cell>
          <cell r="B8461" t="str">
            <v>Traumatismo de la vena yugular interna</v>
          </cell>
        </row>
        <row r="8462">
          <cell r="A8462" t="str">
            <v>S15.7</v>
          </cell>
          <cell r="B8462" t="str">
            <v>Traumatismo de múltiples vasos sanguíneos a nivel del cuello</v>
          </cell>
        </row>
        <row r="8463">
          <cell r="A8463" t="str">
            <v>S15.8</v>
          </cell>
          <cell r="B8463" t="str">
            <v>Traumatismo de otros vasos sanguíneos a nivel del cuello</v>
          </cell>
        </row>
        <row r="8464">
          <cell r="A8464" t="str">
            <v>S15.9</v>
          </cell>
          <cell r="B8464" t="str">
            <v>Traumatismo de vasos sanguíneos no especificados a nivel del cuello</v>
          </cell>
        </row>
        <row r="8465">
          <cell r="A8465" t="str">
            <v>S16.X</v>
          </cell>
          <cell r="B8465" t="str">
            <v>Traumatismo de tendón y músculos a nivel del cuello</v>
          </cell>
        </row>
        <row r="8466">
          <cell r="A8466" t="str">
            <v>S17</v>
          </cell>
          <cell r="B8466" t="str">
            <v>Traumatismo por aplastamiento del cuello</v>
          </cell>
        </row>
        <row r="8467">
          <cell r="A8467" t="str">
            <v>S17.0</v>
          </cell>
          <cell r="B8467" t="str">
            <v>Traumatismo por aplastamiento de la laringe y de la tráquea</v>
          </cell>
        </row>
        <row r="8468">
          <cell r="A8468" t="str">
            <v>S17.8</v>
          </cell>
          <cell r="B8468" t="str">
            <v>Traumatismo por aplastamiento de otras partes del cuello</v>
          </cell>
        </row>
        <row r="8469">
          <cell r="A8469" t="str">
            <v>S17.9</v>
          </cell>
          <cell r="B8469" t="str">
            <v>Traumatismo por aplastamiento del cuello, parte no especificada</v>
          </cell>
        </row>
        <row r="8470">
          <cell r="A8470" t="str">
            <v>S18.X</v>
          </cell>
          <cell r="B8470" t="str">
            <v>Amputación traumática a nivel del cuello</v>
          </cell>
        </row>
        <row r="8471">
          <cell r="A8471" t="str">
            <v>S19</v>
          </cell>
          <cell r="B8471" t="str">
            <v>Otros traumatismos y los no especificados del cuello</v>
          </cell>
        </row>
        <row r="8472">
          <cell r="A8472" t="str">
            <v>S19.7</v>
          </cell>
          <cell r="B8472" t="str">
            <v>Traumatismos múltiples del cuello</v>
          </cell>
        </row>
        <row r="8473">
          <cell r="A8473" t="str">
            <v>S19.8</v>
          </cell>
          <cell r="B8473" t="str">
            <v>Otros traumatismos del cuello, especificados</v>
          </cell>
        </row>
        <row r="8474">
          <cell r="A8474" t="str">
            <v>S19.9</v>
          </cell>
          <cell r="B8474" t="str">
            <v>Traumatismo del cuello, no especificado</v>
          </cell>
        </row>
        <row r="8475">
          <cell r="A8475" t="str">
            <v>S20</v>
          </cell>
          <cell r="B8475" t="str">
            <v>Traumatismo superficial del tórax</v>
          </cell>
        </row>
        <row r="8476">
          <cell r="A8476" t="str">
            <v>S20.0</v>
          </cell>
          <cell r="B8476" t="str">
            <v>Contusión de la mama</v>
          </cell>
        </row>
        <row r="8477">
          <cell r="A8477" t="str">
            <v>S20.1</v>
          </cell>
          <cell r="B8477" t="str">
            <v>Otros traumatismos superficiales y los no especificados de la mama</v>
          </cell>
        </row>
        <row r="8478">
          <cell r="A8478" t="str">
            <v>S20.2</v>
          </cell>
          <cell r="B8478" t="str">
            <v>Contusión del tórax</v>
          </cell>
        </row>
        <row r="8479">
          <cell r="A8479" t="str">
            <v>S20.3</v>
          </cell>
          <cell r="B8479" t="str">
            <v>Otros traumatismos superficiales de la pared anterior del tórax</v>
          </cell>
        </row>
        <row r="8480">
          <cell r="A8480" t="str">
            <v>S20.4</v>
          </cell>
          <cell r="B8480" t="str">
            <v>Otros traumatismos superficiales de la pared posterior del tórax</v>
          </cell>
        </row>
        <row r="8481">
          <cell r="A8481" t="str">
            <v>S20.7</v>
          </cell>
          <cell r="B8481" t="str">
            <v>Traumatismos superficiales múltiples del tórax</v>
          </cell>
        </row>
        <row r="8482">
          <cell r="A8482" t="str">
            <v>S20.8</v>
          </cell>
          <cell r="B8482" t="str">
            <v>Traumatismo superficial de otras partes y de las no especificadas del tórax</v>
          </cell>
        </row>
        <row r="8483">
          <cell r="A8483" t="str">
            <v>S21</v>
          </cell>
          <cell r="B8483" t="str">
            <v>Herida del tórax</v>
          </cell>
        </row>
        <row r="8484">
          <cell r="A8484" t="str">
            <v>S21.0</v>
          </cell>
          <cell r="B8484" t="str">
            <v>Herida de la mama</v>
          </cell>
        </row>
        <row r="8485">
          <cell r="A8485" t="str">
            <v>S21.1</v>
          </cell>
          <cell r="B8485" t="str">
            <v>Herida de la pared anterior del tórax</v>
          </cell>
        </row>
        <row r="8486">
          <cell r="A8486" t="str">
            <v>S21.2</v>
          </cell>
          <cell r="B8486" t="str">
            <v>Herida de la pared posterior del tórax</v>
          </cell>
        </row>
        <row r="8487">
          <cell r="A8487" t="str">
            <v>S21.7</v>
          </cell>
          <cell r="B8487" t="str">
            <v>Herida múltiple de la pared torácica</v>
          </cell>
        </row>
        <row r="8488">
          <cell r="A8488" t="str">
            <v>S21.8</v>
          </cell>
          <cell r="B8488" t="str">
            <v>Herida de otras partes del tórax</v>
          </cell>
        </row>
        <row r="8489">
          <cell r="A8489" t="str">
            <v>S21.9</v>
          </cell>
          <cell r="B8489" t="str">
            <v>Herida del tórax, parte no especificada</v>
          </cell>
        </row>
        <row r="8490">
          <cell r="A8490" t="str">
            <v>S22</v>
          </cell>
          <cell r="B8490" t="str">
            <v>Fractura de las costillas, del esternón y de la columna torácica [dorsal]</v>
          </cell>
        </row>
        <row r="8491">
          <cell r="A8491" t="str">
            <v>S22.0</v>
          </cell>
          <cell r="B8491" t="str">
            <v>Fractura de vértebra torácica</v>
          </cell>
        </row>
        <row r="8492">
          <cell r="A8492" t="str">
            <v>S22.1</v>
          </cell>
          <cell r="B8492" t="str">
            <v>Fracturas múltiples de columna torácica</v>
          </cell>
        </row>
        <row r="8493">
          <cell r="A8493" t="str">
            <v>S22.2</v>
          </cell>
          <cell r="B8493" t="str">
            <v>Fractura del esternón</v>
          </cell>
        </row>
        <row r="8494">
          <cell r="A8494" t="str">
            <v>S22.3</v>
          </cell>
          <cell r="B8494" t="str">
            <v>Fractura de costilla</v>
          </cell>
        </row>
        <row r="8495">
          <cell r="A8495" t="str">
            <v>S22.4</v>
          </cell>
          <cell r="B8495" t="str">
            <v>Fracturas múltiples de costillas</v>
          </cell>
        </row>
        <row r="8496">
          <cell r="A8496" t="str">
            <v>S22.5</v>
          </cell>
          <cell r="B8496" t="str">
            <v>Tórax azotado</v>
          </cell>
        </row>
        <row r="8497">
          <cell r="A8497" t="str">
            <v>S22.8</v>
          </cell>
          <cell r="B8497" t="str">
            <v>Fractura de otras partes del tórax óseo</v>
          </cell>
        </row>
        <row r="8498">
          <cell r="A8498" t="str">
            <v>S22.9</v>
          </cell>
          <cell r="B8498" t="str">
            <v>Fractura del tórax óseo, parte no especificada</v>
          </cell>
        </row>
        <row r="8499">
          <cell r="A8499" t="str">
            <v>S23</v>
          </cell>
          <cell r="B8499" t="str">
            <v>Luxación, esguince y torcedura de articulaciones y ligamentos del tórax</v>
          </cell>
        </row>
        <row r="8500">
          <cell r="A8500" t="str">
            <v>S23.0</v>
          </cell>
          <cell r="B8500" t="str">
            <v>Ruptura traumática de disco intervertebral torácico</v>
          </cell>
        </row>
        <row r="8501">
          <cell r="A8501" t="str">
            <v>S23.1</v>
          </cell>
          <cell r="B8501" t="str">
            <v>Luxación de vértebra torácica</v>
          </cell>
        </row>
        <row r="8502">
          <cell r="A8502" t="str">
            <v>S23.2</v>
          </cell>
          <cell r="B8502" t="str">
            <v>Luxación de otras partes y de las no especificadas del tórax</v>
          </cell>
        </row>
        <row r="8503">
          <cell r="A8503" t="str">
            <v>S23.3</v>
          </cell>
          <cell r="B8503" t="str">
            <v>Esguinces y torceduras de columna torácica</v>
          </cell>
        </row>
        <row r="8504">
          <cell r="A8504" t="str">
            <v>S23.4</v>
          </cell>
          <cell r="B8504" t="str">
            <v>Esguinces y torceduras de costillas y esternón</v>
          </cell>
        </row>
        <row r="8505">
          <cell r="A8505" t="str">
            <v>S23.5</v>
          </cell>
          <cell r="B8505" t="str">
            <v>Esguinces y torceduras de otras partes y de las no especificadas del tórax</v>
          </cell>
        </row>
        <row r="8506">
          <cell r="A8506" t="str">
            <v>S24</v>
          </cell>
          <cell r="B8506" t="str">
            <v>Traumatismo de nervios y de la médula espinal a nivel del tórax</v>
          </cell>
        </row>
        <row r="8507">
          <cell r="A8507" t="str">
            <v>S24.0</v>
          </cell>
          <cell r="B8507" t="str">
            <v>Concusión y edema de la médula espinal torácica</v>
          </cell>
        </row>
        <row r="8508">
          <cell r="A8508" t="str">
            <v>S24.1</v>
          </cell>
          <cell r="B8508" t="str">
            <v>Otros traumatismos y los no especificados de la médula espinal torácica</v>
          </cell>
        </row>
        <row r="8509">
          <cell r="A8509" t="str">
            <v>S24.2</v>
          </cell>
          <cell r="B8509" t="str">
            <v>Traumatismo de raíces nerviosas de la columna torácica</v>
          </cell>
        </row>
        <row r="8510">
          <cell r="A8510" t="str">
            <v>S24.3</v>
          </cell>
          <cell r="B8510" t="str">
            <v>Traumatismo de nervios periféricos del tórax</v>
          </cell>
        </row>
        <row r="8511">
          <cell r="A8511" t="str">
            <v>S24.4</v>
          </cell>
          <cell r="B8511" t="str">
            <v>Traumatismo de nervios simpáticos torácicos</v>
          </cell>
        </row>
        <row r="8512">
          <cell r="A8512" t="str">
            <v>S24.5</v>
          </cell>
          <cell r="B8512" t="str">
            <v>Traumatismo de otros nervios del tórax</v>
          </cell>
        </row>
        <row r="8513">
          <cell r="A8513" t="str">
            <v>S24.6</v>
          </cell>
          <cell r="B8513" t="str">
            <v>Traumatismo de nervio no especificado del tórax</v>
          </cell>
        </row>
        <row r="8514">
          <cell r="A8514" t="str">
            <v>S25</v>
          </cell>
          <cell r="B8514" t="str">
            <v>Traumatismo de vasos sanguíneos del tórax</v>
          </cell>
        </row>
        <row r="8515">
          <cell r="A8515" t="str">
            <v>S25.0</v>
          </cell>
          <cell r="B8515" t="str">
            <v>Traumatismo de la aorta torácica</v>
          </cell>
        </row>
        <row r="8516">
          <cell r="A8516" t="str">
            <v>S25.1</v>
          </cell>
          <cell r="B8516" t="str">
            <v>Traumatismo de la arteria innominada o subclavia</v>
          </cell>
        </row>
        <row r="8517">
          <cell r="A8517" t="str">
            <v>S25.2</v>
          </cell>
          <cell r="B8517" t="str">
            <v>Traumatismo de vena cava superior</v>
          </cell>
        </row>
        <row r="8518">
          <cell r="A8518" t="str">
            <v>S25.3</v>
          </cell>
          <cell r="B8518" t="str">
            <v>Traumatismo de la vena innominada o subclavia</v>
          </cell>
        </row>
        <row r="8519">
          <cell r="A8519" t="str">
            <v>S25.4</v>
          </cell>
          <cell r="B8519" t="str">
            <v>Traumatismo de vasos sanguíneos pulmonares</v>
          </cell>
        </row>
        <row r="8520">
          <cell r="A8520" t="str">
            <v>S25.5</v>
          </cell>
          <cell r="B8520" t="str">
            <v>Traumatismo de vasos sanguíneos intercostales</v>
          </cell>
        </row>
        <row r="8521">
          <cell r="A8521" t="str">
            <v>S25.7</v>
          </cell>
          <cell r="B8521" t="str">
            <v>Traumatismo de múltiples vasos sanguíneos del tórax</v>
          </cell>
        </row>
        <row r="8522">
          <cell r="A8522" t="str">
            <v>S25.8</v>
          </cell>
          <cell r="B8522" t="str">
            <v>Traumatismo de otros vasos sanguíneos del tórax</v>
          </cell>
        </row>
        <row r="8523">
          <cell r="A8523" t="str">
            <v>S25.9</v>
          </cell>
          <cell r="B8523" t="str">
            <v>Traumatismo de vasos sanguíneos no especificados del tórax</v>
          </cell>
        </row>
        <row r="8524">
          <cell r="A8524" t="str">
            <v>S26</v>
          </cell>
          <cell r="B8524" t="str">
            <v>Traumatismo del corazón</v>
          </cell>
        </row>
        <row r="8525">
          <cell r="A8525" t="str">
            <v>S26.0</v>
          </cell>
          <cell r="B8525" t="str">
            <v>Traumatismo del corazón con hemopericardio</v>
          </cell>
        </row>
        <row r="8526">
          <cell r="A8526" t="str">
            <v>S26.8</v>
          </cell>
          <cell r="B8526" t="str">
            <v>Otros traumatismos del corazón</v>
          </cell>
        </row>
        <row r="8527">
          <cell r="A8527" t="str">
            <v>S26.9</v>
          </cell>
          <cell r="B8527" t="str">
            <v>Traumatismo del corazón, no especificado</v>
          </cell>
        </row>
        <row r="8528">
          <cell r="A8528" t="str">
            <v>S27</v>
          </cell>
          <cell r="B8528" t="str">
            <v>Traumatismo de otros órganos intratorácicos y de los no especificados</v>
          </cell>
        </row>
        <row r="8529">
          <cell r="A8529" t="str">
            <v>S27.0</v>
          </cell>
          <cell r="B8529" t="str">
            <v>Neumotórax traumático</v>
          </cell>
        </row>
        <row r="8530">
          <cell r="A8530" t="str">
            <v>S27.1</v>
          </cell>
          <cell r="B8530" t="str">
            <v>Hemotórax traumático</v>
          </cell>
        </row>
        <row r="8531">
          <cell r="A8531" t="str">
            <v>S27.2</v>
          </cell>
          <cell r="B8531" t="str">
            <v>Hemoneumotórax traumático</v>
          </cell>
        </row>
        <row r="8532">
          <cell r="A8532" t="str">
            <v>S27.3</v>
          </cell>
          <cell r="B8532" t="str">
            <v>Otros traumatismos del pulmón</v>
          </cell>
        </row>
        <row r="8533">
          <cell r="A8533" t="str">
            <v>S27.4</v>
          </cell>
          <cell r="B8533" t="str">
            <v>Traumatismo de los bronquios</v>
          </cell>
        </row>
        <row r="8534">
          <cell r="A8534" t="str">
            <v>S27.5</v>
          </cell>
          <cell r="B8534" t="str">
            <v>Traumatismo de la tráquea torácica</v>
          </cell>
        </row>
        <row r="8535">
          <cell r="A8535" t="str">
            <v>S27.6</v>
          </cell>
          <cell r="B8535" t="str">
            <v>Traumatismo de la pleura</v>
          </cell>
        </row>
        <row r="8536">
          <cell r="A8536" t="str">
            <v>S27.7</v>
          </cell>
          <cell r="B8536" t="str">
            <v>Traumatismos múltiples de órganos intratorácicos</v>
          </cell>
        </row>
        <row r="8537">
          <cell r="A8537" t="str">
            <v>S27.8</v>
          </cell>
          <cell r="B8537" t="str">
            <v>Traumatismo de otros órganos intratorácicos, especificados</v>
          </cell>
        </row>
        <row r="8538">
          <cell r="A8538" t="str">
            <v>S27.9</v>
          </cell>
          <cell r="B8538" t="str">
            <v>Traumatismo de órgano intratorácico, no especificado</v>
          </cell>
        </row>
        <row r="8539">
          <cell r="A8539" t="str">
            <v>S28</v>
          </cell>
          <cell r="B8539" t="str">
            <v>Traumatismo por aplastamiento del tórax y amputación traumática de parte del tórax</v>
          </cell>
        </row>
        <row r="8540">
          <cell r="A8540" t="str">
            <v>S28.0</v>
          </cell>
          <cell r="B8540" t="str">
            <v>Aplastamiento del tórax</v>
          </cell>
        </row>
        <row r="8541">
          <cell r="A8541" t="str">
            <v>S28.1</v>
          </cell>
          <cell r="B8541" t="str">
            <v>Amputación traumática de parte del tórax</v>
          </cell>
        </row>
        <row r="8542">
          <cell r="A8542" t="str">
            <v>S29</v>
          </cell>
          <cell r="B8542" t="str">
            <v>Otros traumatismos y los no especificados del tórax</v>
          </cell>
        </row>
        <row r="8543">
          <cell r="A8543" t="str">
            <v>S29.0</v>
          </cell>
          <cell r="B8543" t="str">
            <v>Traumatismo de tendón y músculos a nivel del tórax</v>
          </cell>
        </row>
        <row r="8544">
          <cell r="A8544" t="str">
            <v>S29.7</v>
          </cell>
          <cell r="B8544" t="str">
            <v>Traumatismos múltiples del tórax</v>
          </cell>
        </row>
        <row r="8545">
          <cell r="A8545" t="str">
            <v>S29.8</v>
          </cell>
          <cell r="B8545" t="str">
            <v>Otros traumatismos del tórax, especificados</v>
          </cell>
        </row>
        <row r="8546">
          <cell r="A8546" t="str">
            <v>S29.9</v>
          </cell>
          <cell r="B8546" t="str">
            <v>Traumatismo del tórax, no especificado</v>
          </cell>
        </row>
        <row r="8547">
          <cell r="A8547" t="str">
            <v>S30</v>
          </cell>
          <cell r="B8547" t="str">
            <v>Traumatismo superficial del abdomen, de la región lumbosacra y de la pelvis</v>
          </cell>
        </row>
        <row r="8548">
          <cell r="A8548" t="str">
            <v>S30.0</v>
          </cell>
          <cell r="B8548" t="str">
            <v>Contusión de la región lumbosacra y de la pelvis</v>
          </cell>
        </row>
        <row r="8549">
          <cell r="A8549" t="str">
            <v>S30.1</v>
          </cell>
          <cell r="B8549" t="str">
            <v>Contusión de la pared abdominal</v>
          </cell>
        </row>
        <row r="8550">
          <cell r="A8550" t="str">
            <v>S30.2</v>
          </cell>
          <cell r="B8550" t="str">
            <v>Contusión de órganos genitales externos</v>
          </cell>
        </row>
        <row r="8551">
          <cell r="A8551" t="str">
            <v>S30.7</v>
          </cell>
          <cell r="B8551" t="str">
            <v>Traumatismos superficiales múltiples del abdomen, de la región lumbosacra y de la pelvis</v>
          </cell>
        </row>
        <row r="8552">
          <cell r="A8552" t="str">
            <v>S30.8</v>
          </cell>
          <cell r="B8552" t="str">
            <v>Otros traumatismos superficiales del abdomen, de la región lumbosacra y de la pelvis</v>
          </cell>
        </row>
        <row r="8553">
          <cell r="A8553" t="str">
            <v>S30.9</v>
          </cell>
          <cell r="B8553" t="str">
            <v>Traumatismo superficial del abdomen, de la región lumbosacra y de la pelvis, parte no especificada</v>
          </cell>
        </row>
        <row r="8554">
          <cell r="A8554" t="str">
            <v>S31</v>
          </cell>
          <cell r="B8554" t="str">
            <v>Herida del abdomen, de la región lumbosacra y de la pelvis</v>
          </cell>
        </row>
        <row r="8555">
          <cell r="A8555" t="str">
            <v>S31.0</v>
          </cell>
          <cell r="B8555" t="str">
            <v>Herida de la región lumbosacra y de la pelvis</v>
          </cell>
        </row>
        <row r="8556">
          <cell r="A8556" t="str">
            <v>S31.1</v>
          </cell>
          <cell r="B8556" t="str">
            <v>Herida de la pared abdominal</v>
          </cell>
        </row>
        <row r="8557">
          <cell r="A8557" t="str">
            <v>S31.2</v>
          </cell>
          <cell r="B8557" t="str">
            <v>Herida del pene</v>
          </cell>
        </row>
        <row r="8558">
          <cell r="A8558" t="str">
            <v>S31.3</v>
          </cell>
          <cell r="B8558" t="str">
            <v>Herida del escroto y de los testículos</v>
          </cell>
        </row>
        <row r="8559">
          <cell r="A8559" t="str">
            <v>S31.4</v>
          </cell>
          <cell r="B8559" t="str">
            <v>Herida de la vagina y de la vulva</v>
          </cell>
        </row>
        <row r="8560">
          <cell r="A8560" t="str">
            <v>S31.5</v>
          </cell>
          <cell r="B8560" t="str">
            <v>Herida de otros órganos genitales externos y de los no especificados</v>
          </cell>
        </row>
        <row r="8561">
          <cell r="A8561" t="str">
            <v>S31.7</v>
          </cell>
          <cell r="B8561" t="str">
            <v>Heridas múltiples del abdomen, de la región lumbosacra y de la pelvis</v>
          </cell>
        </row>
        <row r="8562">
          <cell r="A8562" t="str">
            <v>S31.8</v>
          </cell>
          <cell r="B8562" t="str">
            <v>Heridas de otras partes y de las no especificadas del abdomen</v>
          </cell>
        </row>
        <row r="8563">
          <cell r="A8563" t="str">
            <v>S32</v>
          </cell>
          <cell r="B8563" t="str">
            <v>Fractura de la columna lumbar y de la pelvis</v>
          </cell>
        </row>
        <row r="8564">
          <cell r="A8564" t="str">
            <v>S32.0</v>
          </cell>
          <cell r="B8564" t="str">
            <v>Fractura de vértebra lumbar</v>
          </cell>
        </row>
        <row r="8565">
          <cell r="A8565" t="str">
            <v>S32.1</v>
          </cell>
          <cell r="B8565" t="str">
            <v>Fractura del sacro</v>
          </cell>
        </row>
        <row r="8566">
          <cell r="A8566" t="str">
            <v>S32.2</v>
          </cell>
          <cell r="B8566" t="str">
            <v>Fractura del cóccix</v>
          </cell>
        </row>
        <row r="8567">
          <cell r="A8567" t="str">
            <v>S32.3</v>
          </cell>
          <cell r="B8567" t="str">
            <v>Fractura del hueso iliaco</v>
          </cell>
        </row>
        <row r="8568">
          <cell r="A8568" t="str">
            <v>S32.4</v>
          </cell>
          <cell r="B8568" t="str">
            <v>Fractura del acetábulo</v>
          </cell>
        </row>
        <row r="8569">
          <cell r="A8569" t="str">
            <v>S32.5</v>
          </cell>
          <cell r="B8569" t="str">
            <v>Fractura del pubis</v>
          </cell>
        </row>
        <row r="8570">
          <cell r="A8570" t="str">
            <v>S32.7</v>
          </cell>
          <cell r="B8570" t="str">
            <v>Fracturas múltiples de la columna lumbar y de la pelvis</v>
          </cell>
        </row>
        <row r="8571">
          <cell r="A8571" t="str">
            <v>S32.8</v>
          </cell>
          <cell r="B8571" t="str">
            <v>Fractura de otras partes y de las no especificadas de la columna lumbar y de la pelvis</v>
          </cell>
        </row>
        <row r="8572">
          <cell r="A8572" t="str">
            <v>S33</v>
          </cell>
          <cell r="B8572" t="str">
            <v>Luxación, esguince y torcedura de articulaciones y ligamentos de la columna lumbar y de la pelvis</v>
          </cell>
        </row>
        <row r="8573">
          <cell r="A8573" t="str">
            <v>S33.0</v>
          </cell>
          <cell r="B8573" t="str">
            <v>Ruptura traumática de disco intervertebral lumbar</v>
          </cell>
        </row>
        <row r="8574">
          <cell r="A8574" t="str">
            <v>S33.1</v>
          </cell>
          <cell r="B8574" t="str">
            <v>Luxación de vértebra lumbar</v>
          </cell>
        </row>
        <row r="8575">
          <cell r="A8575" t="str">
            <v>S33.2</v>
          </cell>
          <cell r="B8575" t="str">
            <v>Luxación de articulación sacrococcígea y sacroiliaca</v>
          </cell>
        </row>
        <row r="8576">
          <cell r="A8576" t="str">
            <v>S33.3</v>
          </cell>
          <cell r="B8576" t="str">
            <v>Luxación de otras partes y de las no especificadas de la columna lumbar y de la pelvis</v>
          </cell>
        </row>
        <row r="8577">
          <cell r="A8577" t="str">
            <v>S33.4</v>
          </cell>
          <cell r="B8577" t="str">
            <v>Ruptura traumática de la sínfisis del pubis</v>
          </cell>
        </row>
        <row r="8578">
          <cell r="A8578" t="str">
            <v>S33.5</v>
          </cell>
          <cell r="B8578" t="str">
            <v>Esguinces y torceduras de la columna lumbar</v>
          </cell>
        </row>
        <row r="8579">
          <cell r="A8579" t="str">
            <v>S33.6</v>
          </cell>
          <cell r="B8579" t="str">
            <v>Esguinces y torceduras de la articulación sacroiliaca</v>
          </cell>
        </row>
        <row r="8580">
          <cell r="A8580" t="str">
            <v>S33.7</v>
          </cell>
          <cell r="B8580" t="str">
            <v>Esguinces y torceduras de otras partes y de las no especificadas de la columna lumbar y de la pelvis</v>
          </cell>
        </row>
        <row r="8581">
          <cell r="A8581" t="str">
            <v>S34</v>
          </cell>
          <cell r="B8581" t="str">
            <v>Traumatismo de los nervios y de la médula espinal lumbar, a nivel del abdomen, de la región lumbosacra y de la pelvis</v>
          </cell>
        </row>
        <row r="8582">
          <cell r="A8582" t="str">
            <v>S34.0</v>
          </cell>
          <cell r="B8582" t="str">
            <v>Concusión y edema de la médula espinal lumbar</v>
          </cell>
        </row>
        <row r="8583">
          <cell r="A8583" t="str">
            <v>S34.1</v>
          </cell>
          <cell r="B8583" t="str">
            <v>Otro traumatismo de la médula espinal lumbar</v>
          </cell>
        </row>
        <row r="8584">
          <cell r="A8584" t="str">
            <v>S34.2</v>
          </cell>
          <cell r="B8584" t="str">
            <v>Traumatismo de raíz nerviosa de la columna lumbar y sacra</v>
          </cell>
        </row>
        <row r="8585">
          <cell r="A8585" t="str">
            <v>S34.3</v>
          </cell>
          <cell r="B8585" t="str">
            <v>Traumatismo de la cola de caballo</v>
          </cell>
        </row>
        <row r="8586">
          <cell r="A8586" t="str">
            <v>S34.4</v>
          </cell>
          <cell r="B8586" t="str">
            <v>Traumatismo del plexo lumbosacro</v>
          </cell>
        </row>
        <row r="8587">
          <cell r="A8587" t="str">
            <v>S34.5</v>
          </cell>
          <cell r="B8587" t="str">
            <v>Traumatismo de nervios(s) simpático(s) lumbar(es), sacro(s) y pélvico(s)</v>
          </cell>
        </row>
        <row r="8588">
          <cell r="A8588" t="str">
            <v>S34.6</v>
          </cell>
          <cell r="B8588" t="str">
            <v>Traumatismo de nervio(s) periférico(s) del abdomen, de la región lumbosacra y de la pelvis</v>
          </cell>
        </row>
        <row r="8589">
          <cell r="A8589" t="str">
            <v>S34.8</v>
          </cell>
          <cell r="B8589" t="str">
            <v>Traumatismo de otros nervios a nivel del abdomen, de la región lumbosacra y de la pelvis y de los no especificados</v>
          </cell>
        </row>
        <row r="8590">
          <cell r="A8590" t="str">
            <v>S35</v>
          </cell>
          <cell r="B8590" t="str">
            <v>Traumatismo de vasos sanguíneos a nivel del abdomen, de la región lumbosacra y de la pelvis</v>
          </cell>
        </row>
        <row r="8591">
          <cell r="A8591" t="str">
            <v>S35.0</v>
          </cell>
          <cell r="B8591" t="str">
            <v>Traumatismo de la aorta abdominal</v>
          </cell>
        </row>
        <row r="8592">
          <cell r="A8592" t="str">
            <v>S35.1</v>
          </cell>
          <cell r="B8592" t="str">
            <v>Traumatismo de la vena cava inferior</v>
          </cell>
        </row>
        <row r="8593">
          <cell r="A8593" t="str">
            <v>S35.2</v>
          </cell>
          <cell r="B8593" t="str">
            <v>Traumatismo de arterias celíacas y mesentéricas</v>
          </cell>
        </row>
        <row r="8594">
          <cell r="A8594" t="str">
            <v>S35.3</v>
          </cell>
          <cell r="B8594" t="str">
            <v>Traumatismo de venas porta y esplénica</v>
          </cell>
        </row>
        <row r="8595">
          <cell r="A8595" t="str">
            <v>S35.4</v>
          </cell>
          <cell r="B8595" t="str">
            <v>Traumatismo de vasos sanguíneos renales</v>
          </cell>
        </row>
        <row r="8596">
          <cell r="A8596" t="str">
            <v>S35.5</v>
          </cell>
          <cell r="B8596" t="str">
            <v>Traumatismo de vasos sanguíneos iliacos</v>
          </cell>
        </row>
        <row r="8597">
          <cell r="A8597" t="str">
            <v>S35.7</v>
          </cell>
          <cell r="B8597" t="str">
            <v>Traumatismo de múltiples vasos sanguíneos a nivel del abdomen, de la región lumbosacra y de la pelvis</v>
          </cell>
        </row>
        <row r="8598">
          <cell r="A8598" t="str">
            <v>S35.8</v>
          </cell>
          <cell r="B8598" t="str">
            <v>Traumatismo de otros vasos sanguíneos a nivel del abdomen, de la región lumbosacra y de la pelvis</v>
          </cell>
        </row>
        <row r="8599">
          <cell r="A8599" t="str">
            <v>S35.9</v>
          </cell>
          <cell r="B8599" t="str">
            <v>Traumatismo de vasos sanguíneos no especificados a nivel del abdomen, de la región lumbosacra y de la pelvis</v>
          </cell>
        </row>
        <row r="8600">
          <cell r="A8600" t="str">
            <v>S36</v>
          </cell>
          <cell r="B8600" t="str">
            <v>Traumatismo de órganos intraabdominales</v>
          </cell>
        </row>
        <row r="8601">
          <cell r="A8601" t="str">
            <v>S36.0</v>
          </cell>
          <cell r="B8601" t="str">
            <v>Traumatismo del bazo</v>
          </cell>
        </row>
        <row r="8602">
          <cell r="A8602" t="str">
            <v>S36.1</v>
          </cell>
          <cell r="B8602" t="str">
            <v>Traumatismo del hígado y de la vesícula biliar</v>
          </cell>
        </row>
        <row r="8603">
          <cell r="A8603" t="str">
            <v>S36.2</v>
          </cell>
          <cell r="B8603" t="str">
            <v>Traumatismo del páncreas</v>
          </cell>
        </row>
        <row r="8604">
          <cell r="A8604" t="str">
            <v>S36.3</v>
          </cell>
          <cell r="B8604" t="str">
            <v>Traumatismo del estómago</v>
          </cell>
        </row>
        <row r="8605">
          <cell r="A8605" t="str">
            <v>S36.4</v>
          </cell>
          <cell r="B8605" t="str">
            <v>Traumatismo del intestino delgado</v>
          </cell>
        </row>
        <row r="8606">
          <cell r="A8606" t="str">
            <v>S36.5</v>
          </cell>
          <cell r="B8606" t="str">
            <v>Traumatismo del colon</v>
          </cell>
        </row>
        <row r="8607">
          <cell r="A8607" t="str">
            <v>S36.6</v>
          </cell>
          <cell r="B8607" t="str">
            <v>Traumatismo del recto</v>
          </cell>
        </row>
        <row r="8608">
          <cell r="A8608" t="str">
            <v>S36.7</v>
          </cell>
          <cell r="B8608" t="str">
            <v>Traumatismo de múltiples órganos intraabdominales</v>
          </cell>
        </row>
        <row r="8609">
          <cell r="A8609" t="str">
            <v>S36.8</v>
          </cell>
          <cell r="B8609" t="str">
            <v>Traumatismo de otros órganos intraabdominales</v>
          </cell>
        </row>
        <row r="8610">
          <cell r="A8610" t="str">
            <v>S36.9</v>
          </cell>
          <cell r="B8610" t="str">
            <v>Traumatismo de órgano intraabdominal no especificado</v>
          </cell>
        </row>
        <row r="8611">
          <cell r="A8611" t="str">
            <v>S37</v>
          </cell>
          <cell r="B8611" t="str">
            <v>Traumatismo de órganos pélvicos</v>
          </cell>
        </row>
        <row r="8612">
          <cell r="A8612" t="str">
            <v>S37.0</v>
          </cell>
          <cell r="B8612" t="str">
            <v>Traumatismo del riñón</v>
          </cell>
        </row>
        <row r="8613">
          <cell r="A8613" t="str">
            <v>S37.1</v>
          </cell>
          <cell r="B8613" t="str">
            <v>Traumatismo del uréter</v>
          </cell>
        </row>
        <row r="8614">
          <cell r="A8614" t="str">
            <v>S37.2</v>
          </cell>
          <cell r="B8614" t="str">
            <v>Traumatismo de la vejiga</v>
          </cell>
        </row>
        <row r="8615">
          <cell r="A8615" t="str">
            <v>S37.3</v>
          </cell>
          <cell r="B8615" t="str">
            <v>Traumatismo de la uretra</v>
          </cell>
        </row>
        <row r="8616">
          <cell r="A8616" t="str">
            <v>S37.4</v>
          </cell>
          <cell r="B8616" t="str">
            <v>Traumatismo del ovario</v>
          </cell>
        </row>
        <row r="8617">
          <cell r="A8617" t="str">
            <v>S37.5</v>
          </cell>
          <cell r="B8617" t="str">
            <v>Traumatismo de la trompa de Falopio</v>
          </cell>
        </row>
        <row r="8618">
          <cell r="A8618" t="str">
            <v>S37.6</v>
          </cell>
          <cell r="B8618" t="str">
            <v>Traumatismo del útero</v>
          </cell>
        </row>
        <row r="8619">
          <cell r="A8619" t="str">
            <v>S37.7</v>
          </cell>
          <cell r="B8619" t="str">
            <v>Traumatismo de múltiples órganos pélvicos</v>
          </cell>
        </row>
        <row r="8620">
          <cell r="A8620" t="str">
            <v>S37.8</v>
          </cell>
          <cell r="B8620" t="str">
            <v>Traumatismo de otros órganos pélvicos</v>
          </cell>
        </row>
        <row r="8621">
          <cell r="A8621" t="str">
            <v>S37.9</v>
          </cell>
          <cell r="B8621" t="str">
            <v>Traumatismo de órgano pélvico no especificado</v>
          </cell>
        </row>
        <row r="8622">
          <cell r="A8622" t="str">
            <v>S38</v>
          </cell>
          <cell r="B8622" t="str">
            <v>Traumatismo por aplastamiento y amputación traumática de parte del abdomen, de la región lumbosacra y de la pelvis</v>
          </cell>
        </row>
        <row r="8623">
          <cell r="A8623" t="str">
            <v>S38.0</v>
          </cell>
          <cell r="B8623" t="str">
            <v>Traumatismo por aplastamiento de órganos genitales externos</v>
          </cell>
        </row>
        <row r="8624">
          <cell r="A8624" t="str">
            <v>S38.1</v>
          </cell>
          <cell r="B8624" t="str">
            <v>Traumatismo por aplastamiento de otras partes y de las no especificadas del abdomen, de la región lumbosacra y de la pelvis</v>
          </cell>
        </row>
        <row r="8625">
          <cell r="A8625" t="str">
            <v>S38.2</v>
          </cell>
          <cell r="B8625" t="str">
            <v>Amputación traumática de órganos genitales externos</v>
          </cell>
        </row>
        <row r="8626">
          <cell r="A8626" t="str">
            <v>S38.3</v>
          </cell>
          <cell r="B8626" t="str">
            <v>Amputación traumática de otras partes y de las no especificadas del abdomen, región lumbosacra y pelvis</v>
          </cell>
        </row>
        <row r="8627">
          <cell r="A8627" t="str">
            <v>S39</v>
          </cell>
          <cell r="B8627" t="str">
            <v>Otros traumatismos y los no especificados del abdomen, de la región lumbosacra y de la pelvis</v>
          </cell>
        </row>
        <row r="8628">
          <cell r="A8628" t="str">
            <v>S39.0</v>
          </cell>
          <cell r="B8628" t="str">
            <v>Traumatismo de tendón y de músculos del abdomen, de la región lumbosacra y de la pelvis</v>
          </cell>
        </row>
        <row r="8629">
          <cell r="A8629" t="str">
            <v>S39.6</v>
          </cell>
          <cell r="B8629" t="str">
            <v>Traumatismo de órgano(s) intraabdominal(es) con órgano(s) pélvico(s)</v>
          </cell>
        </row>
        <row r="8630">
          <cell r="A8630" t="str">
            <v>S39.7</v>
          </cell>
          <cell r="B8630" t="str">
            <v>Otros traumatismos múltiples del abdomen, de la región lumbosacra y de la pelvis</v>
          </cell>
        </row>
        <row r="8631">
          <cell r="A8631" t="str">
            <v>S39.8</v>
          </cell>
          <cell r="B8631" t="str">
            <v>Otros traumatismos especificados del abdomen, de la región lumbosacra y de la pelvis</v>
          </cell>
        </row>
        <row r="8632">
          <cell r="A8632" t="str">
            <v>S39.9</v>
          </cell>
          <cell r="B8632" t="str">
            <v>Traumatismo no especificado del abdomen, de la región lumbosacra y de la pelvis</v>
          </cell>
        </row>
        <row r="8633">
          <cell r="A8633" t="str">
            <v>S40</v>
          </cell>
          <cell r="B8633" t="str">
            <v>Traumatismo superficial del hombro y del brazo</v>
          </cell>
        </row>
        <row r="8634">
          <cell r="A8634" t="str">
            <v>S40.0</v>
          </cell>
          <cell r="B8634" t="str">
            <v>Contusión del hombro y del brazo</v>
          </cell>
        </row>
        <row r="8635">
          <cell r="A8635" t="str">
            <v>S40.7</v>
          </cell>
          <cell r="B8635" t="str">
            <v>Traumatismos superficiales múltiples del hombro y del brazo</v>
          </cell>
        </row>
        <row r="8636">
          <cell r="A8636" t="str">
            <v>S40.8</v>
          </cell>
          <cell r="B8636" t="str">
            <v>Otros traumatismos superficiales del hombro y del brazo</v>
          </cell>
        </row>
        <row r="8637">
          <cell r="A8637" t="str">
            <v>S40.9</v>
          </cell>
          <cell r="B8637" t="str">
            <v>Traumatismo superficial no especificado del hombro y del brazo</v>
          </cell>
        </row>
        <row r="8638">
          <cell r="A8638" t="str">
            <v>S41</v>
          </cell>
          <cell r="B8638" t="str">
            <v>Herida del hombro y del brazo</v>
          </cell>
        </row>
        <row r="8639">
          <cell r="A8639" t="str">
            <v>S41.0</v>
          </cell>
          <cell r="B8639" t="str">
            <v>Herida del hombro</v>
          </cell>
        </row>
        <row r="8640">
          <cell r="A8640" t="str">
            <v>S41.1</v>
          </cell>
          <cell r="B8640" t="str">
            <v>Herida del brazo</v>
          </cell>
        </row>
        <row r="8641">
          <cell r="A8641" t="str">
            <v>S41.7</v>
          </cell>
          <cell r="B8641" t="str">
            <v>Heridas múltiples del hombro y del brazo</v>
          </cell>
        </row>
        <row r="8642">
          <cell r="A8642" t="str">
            <v>S41.8</v>
          </cell>
          <cell r="B8642" t="str">
            <v>Herida de otras partes y de las no especificadas del hombro y del brazo</v>
          </cell>
        </row>
        <row r="8643">
          <cell r="A8643" t="str">
            <v>S42</v>
          </cell>
          <cell r="B8643" t="str">
            <v>Fractura del hombro y del brazo</v>
          </cell>
        </row>
        <row r="8644">
          <cell r="A8644" t="str">
            <v>S42.0</v>
          </cell>
          <cell r="B8644" t="str">
            <v>Fractura de la clavícula</v>
          </cell>
        </row>
        <row r="8645">
          <cell r="A8645" t="str">
            <v>S42.1</v>
          </cell>
          <cell r="B8645" t="str">
            <v>Fractura del omóplato</v>
          </cell>
        </row>
        <row r="8646">
          <cell r="A8646" t="str">
            <v>S42.2</v>
          </cell>
          <cell r="B8646" t="str">
            <v>Fractura de la epífisis superior del húmero</v>
          </cell>
        </row>
        <row r="8647">
          <cell r="A8647" t="str">
            <v>S42.3</v>
          </cell>
          <cell r="B8647" t="str">
            <v>Fractura de la diáfisis del húmero</v>
          </cell>
        </row>
        <row r="8648">
          <cell r="A8648" t="str">
            <v>S42.4</v>
          </cell>
          <cell r="B8648" t="str">
            <v>Fractura de la epífisis inferior del húmero</v>
          </cell>
        </row>
        <row r="8649">
          <cell r="A8649" t="str">
            <v>S42.7</v>
          </cell>
          <cell r="B8649" t="str">
            <v>Fracturas múltiples de la clavícula, del omóplato y del húmero</v>
          </cell>
        </row>
        <row r="8650">
          <cell r="A8650" t="str">
            <v>S42.8</v>
          </cell>
          <cell r="B8650" t="str">
            <v>Fractura de otras partes del hombro y del brazo</v>
          </cell>
        </row>
        <row r="8651">
          <cell r="A8651" t="str">
            <v>S42.9</v>
          </cell>
          <cell r="B8651" t="str">
            <v>Fractura del hombro y del brazo, parte no especificada</v>
          </cell>
        </row>
        <row r="8652">
          <cell r="A8652" t="str">
            <v>S43</v>
          </cell>
          <cell r="B8652" t="str">
            <v>Luxación, esguince y torcedura de articulaciones y ligamentos de la cintura escapular</v>
          </cell>
        </row>
        <row r="8653">
          <cell r="A8653" t="str">
            <v>S43.0</v>
          </cell>
          <cell r="B8653" t="str">
            <v>Luxación de la articulación del hombro</v>
          </cell>
        </row>
        <row r="8654">
          <cell r="A8654" t="str">
            <v>S43.1</v>
          </cell>
          <cell r="B8654" t="str">
            <v>Luxación de la articulación acromioclavicular</v>
          </cell>
        </row>
        <row r="8655">
          <cell r="A8655" t="str">
            <v>S43.2</v>
          </cell>
          <cell r="B8655" t="str">
            <v>Luxación de la articulación esternoclavicular</v>
          </cell>
        </row>
        <row r="8656">
          <cell r="A8656" t="str">
            <v>S43.3</v>
          </cell>
          <cell r="B8656" t="str">
            <v>Luxación de otras partes de la cintura escapular y de las no especificadas</v>
          </cell>
        </row>
        <row r="8657">
          <cell r="A8657" t="str">
            <v>S43.4</v>
          </cell>
          <cell r="B8657" t="str">
            <v>Esguinces y torceduras de la articulación del hombro</v>
          </cell>
        </row>
        <row r="8658">
          <cell r="A8658" t="str">
            <v>S43.5</v>
          </cell>
          <cell r="B8658" t="str">
            <v>Esguinces y torceduras de la articulación acromioclavicular</v>
          </cell>
        </row>
        <row r="8659">
          <cell r="A8659" t="str">
            <v>S43.6</v>
          </cell>
          <cell r="B8659" t="str">
            <v>Esguinces y torceduras de la articulación esternoclavicular</v>
          </cell>
        </row>
        <row r="8660">
          <cell r="A8660" t="str">
            <v>S43.7</v>
          </cell>
          <cell r="B8660" t="str">
            <v>Esguinces y torceduras de otras partes y de las no especificadas de la cintura escapular</v>
          </cell>
        </row>
        <row r="8661">
          <cell r="A8661" t="str">
            <v>S44</v>
          </cell>
          <cell r="B8661" t="str">
            <v>Traumatismo de nervios a nivel del hombro y del brazo</v>
          </cell>
        </row>
        <row r="8662">
          <cell r="A8662" t="str">
            <v>S44.0</v>
          </cell>
          <cell r="B8662" t="str">
            <v>Traumatismo del nervio cubital a nivel del brazo</v>
          </cell>
        </row>
        <row r="8663">
          <cell r="A8663" t="str">
            <v>S44.1</v>
          </cell>
          <cell r="B8663" t="str">
            <v>Traumatismo del nervio mediano a nivel del brazo</v>
          </cell>
        </row>
        <row r="8664">
          <cell r="A8664" t="str">
            <v>S44.2</v>
          </cell>
          <cell r="B8664" t="str">
            <v>Traumatismo del nervio radial a nivel del brazo</v>
          </cell>
        </row>
        <row r="8665">
          <cell r="A8665" t="str">
            <v>S44.3</v>
          </cell>
          <cell r="B8665" t="str">
            <v>Traumatismo del nervio axilar</v>
          </cell>
        </row>
        <row r="8666">
          <cell r="A8666" t="str">
            <v>S44.4</v>
          </cell>
          <cell r="B8666" t="str">
            <v>Traumatismo del nervio musculocutáneo</v>
          </cell>
        </row>
        <row r="8667">
          <cell r="A8667" t="str">
            <v>S44.5</v>
          </cell>
          <cell r="B8667" t="str">
            <v>Traumatismo del nervio sensitivo cutáneo a nivel del hombro y del brazo</v>
          </cell>
        </row>
        <row r="8668">
          <cell r="A8668" t="str">
            <v>S44.7</v>
          </cell>
          <cell r="B8668" t="str">
            <v>Traumatismo de múltiples nervios a nivel del hombro y del brazo</v>
          </cell>
        </row>
        <row r="8669">
          <cell r="A8669" t="str">
            <v>S44.8</v>
          </cell>
          <cell r="B8669" t="str">
            <v>Traumatismo de otros nervios a nivel del hombro y del brazo</v>
          </cell>
        </row>
        <row r="8670">
          <cell r="A8670" t="str">
            <v>S44.9</v>
          </cell>
          <cell r="B8670" t="str">
            <v>Traumatismo de nervio no especificado a nivel del hombro y del brazo</v>
          </cell>
        </row>
        <row r="8671">
          <cell r="A8671" t="str">
            <v>S45</v>
          </cell>
          <cell r="B8671" t="str">
            <v>Traumatismo de vasos sanguíneos a nivel del hombro y del brazo</v>
          </cell>
        </row>
        <row r="8672">
          <cell r="A8672" t="str">
            <v>S45.0</v>
          </cell>
          <cell r="B8672" t="str">
            <v>Traumatismo de la arteria axilar</v>
          </cell>
        </row>
        <row r="8673">
          <cell r="A8673" t="str">
            <v>S45.1</v>
          </cell>
          <cell r="B8673" t="str">
            <v>Traumatismo de la arteria braquial</v>
          </cell>
        </row>
        <row r="8674">
          <cell r="A8674" t="str">
            <v>S45.2</v>
          </cell>
          <cell r="B8674" t="str">
            <v>Traumatismo de la vena axilar o braquial</v>
          </cell>
        </row>
        <row r="8675">
          <cell r="A8675" t="str">
            <v>S45.3</v>
          </cell>
          <cell r="B8675" t="str">
            <v>Traumatismo de vena superficial a nivel del hombro y del brazo</v>
          </cell>
        </row>
        <row r="8676">
          <cell r="A8676" t="str">
            <v>S45.7</v>
          </cell>
          <cell r="B8676" t="str">
            <v>Traumatismo de múltiples vasos sanguíneos a nivel del hombro y del brazo</v>
          </cell>
        </row>
        <row r="8677">
          <cell r="A8677" t="str">
            <v>S45.8</v>
          </cell>
          <cell r="B8677" t="str">
            <v>Traumatismo de otros vasos sanguíneos a nivel del hombro y del brazo</v>
          </cell>
        </row>
        <row r="8678">
          <cell r="A8678" t="str">
            <v>S45.9</v>
          </cell>
          <cell r="B8678" t="str">
            <v>Traumatismo de vaso sanguíneo no especificado a nivel del hombro y del brazo</v>
          </cell>
        </row>
        <row r="8679">
          <cell r="A8679" t="str">
            <v>S46</v>
          </cell>
          <cell r="B8679" t="str">
            <v>Traumatismo de tendón y músculo a nivel del hombro y del brazo</v>
          </cell>
        </row>
        <row r="8680">
          <cell r="A8680" t="str">
            <v>S46.0</v>
          </cell>
          <cell r="B8680" t="str">
            <v>Traumatismo del tendón del manguito rotatorio del hombro</v>
          </cell>
        </row>
        <row r="8681">
          <cell r="A8681" t="str">
            <v>S46.1</v>
          </cell>
          <cell r="B8681" t="str">
            <v>Traumatismo del tendón y músculo de la cabeza larga del bíceps</v>
          </cell>
        </row>
        <row r="8682">
          <cell r="A8682" t="str">
            <v>S46.2</v>
          </cell>
          <cell r="B8682" t="str">
            <v>Traumatismo del tendón y músculo de otras partes del bíceps</v>
          </cell>
        </row>
        <row r="8683">
          <cell r="A8683" t="str">
            <v>S46.3</v>
          </cell>
          <cell r="B8683" t="str">
            <v>Traumatismo del tendón y músculo del tríceps</v>
          </cell>
        </row>
        <row r="8684">
          <cell r="A8684" t="str">
            <v>S46.7</v>
          </cell>
          <cell r="B8684" t="str">
            <v>Traumatismo de múltiples tendones y músculos a nivel del hombro y del brazo</v>
          </cell>
        </row>
        <row r="8685">
          <cell r="A8685" t="str">
            <v>S46.8</v>
          </cell>
          <cell r="B8685" t="str">
            <v>Traumatismo de otros tendones y músculos a nivel del hombro y del brazo</v>
          </cell>
        </row>
        <row r="8686">
          <cell r="A8686" t="str">
            <v>S46.9</v>
          </cell>
          <cell r="B8686" t="str">
            <v>Traumatismo de tendón y músculo no especificado, a nivel del hombro y del brazo</v>
          </cell>
        </row>
        <row r="8687">
          <cell r="A8687" t="str">
            <v>S47.X</v>
          </cell>
          <cell r="B8687" t="str">
            <v>Traumatismo por aplastamiento del hombro y del brazo</v>
          </cell>
        </row>
        <row r="8688">
          <cell r="A8688" t="str">
            <v>S48</v>
          </cell>
          <cell r="B8688" t="str">
            <v>Amputación traumática del hombro y del brazo</v>
          </cell>
        </row>
        <row r="8689">
          <cell r="A8689" t="str">
            <v>S48.0</v>
          </cell>
          <cell r="B8689" t="str">
            <v>Amputación traumática en la articulación del hombro</v>
          </cell>
        </row>
        <row r="8690">
          <cell r="A8690" t="str">
            <v>S48.1</v>
          </cell>
          <cell r="B8690" t="str">
            <v>Amputación traumática a nivel entre el hombro y el codo</v>
          </cell>
        </row>
        <row r="8691">
          <cell r="A8691" t="str">
            <v>S48.9</v>
          </cell>
          <cell r="B8691" t="str">
            <v>Amputación traumática del hombro y del brazo, nivel no especificado</v>
          </cell>
        </row>
        <row r="8692">
          <cell r="A8692" t="str">
            <v>S49</v>
          </cell>
          <cell r="B8692" t="str">
            <v>Otros traumatismos y los no especificados del hombro y del brazo</v>
          </cell>
        </row>
        <row r="8693">
          <cell r="A8693" t="str">
            <v>S49.7</v>
          </cell>
          <cell r="B8693" t="str">
            <v>Traumatismos múltiples del hombro y del brazo</v>
          </cell>
        </row>
        <row r="8694">
          <cell r="A8694" t="str">
            <v>S49.8</v>
          </cell>
          <cell r="B8694" t="str">
            <v>Otros traumatismos especificados del hombro y del brazo</v>
          </cell>
        </row>
        <row r="8695">
          <cell r="A8695" t="str">
            <v>S49.9</v>
          </cell>
          <cell r="B8695" t="str">
            <v>Traumatismos no especificados del hombro y del brazo</v>
          </cell>
        </row>
        <row r="8696">
          <cell r="A8696" t="str">
            <v>S50</v>
          </cell>
          <cell r="B8696" t="str">
            <v>Traumatismo superficial del antebrazo y del codo</v>
          </cell>
        </row>
        <row r="8697">
          <cell r="A8697" t="str">
            <v>S50.0</v>
          </cell>
          <cell r="B8697" t="str">
            <v>Contusión del codo</v>
          </cell>
        </row>
        <row r="8698">
          <cell r="A8698" t="str">
            <v>S50.1</v>
          </cell>
          <cell r="B8698" t="str">
            <v>Contusión de otras partes del antebrazo y de las no especificadas</v>
          </cell>
        </row>
        <row r="8699">
          <cell r="A8699" t="str">
            <v>S50.7</v>
          </cell>
          <cell r="B8699" t="str">
            <v>Traumatismos superficiales múltiples del antebrazo</v>
          </cell>
        </row>
        <row r="8700">
          <cell r="A8700" t="str">
            <v>S50.8</v>
          </cell>
          <cell r="B8700" t="str">
            <v>Otros traumatismos superficiales del antebrazo</v>
          </cell>
        </row>
        <row r="8701">
          <cell r="A8701" t="str">
            <v>S50.9</v>
          </cell>
          <cell r="B8701" t="str">
            <v>Traumatismo superficial del antebrazo, no especificado</v>
          </cell>
        </row>
        <row r="8702">
          <cell r="A8702" t="str">
            <v>S51</v>
          </cell>
          <cell r="B8702" t="str">
            <v>Herida del antebrazo y del codo</v>
          </cell>
        </row>
        <row r="8703">
          <cell r="A8703" t="str">
            <v>S51.0</v>
          </cell>
          <cell r="B8703" t="str">
            <v>Herida del codo</v>
          </cell>
        </row>
        <row r="8704">
          <cell r="A8704" t="str">
            <v>S51.7</v>
          </cell>
          <cell r="B8704" t="str">
            <v>Heridas múltiples del antebrazo</v>
          </cell>
        </row>
        <row r="8705">
          <cell r="A8705" t="str">
            <v>S51.8</v>
          </cell>
          <cell r="B8705" t="str">
            <v>Herida de otras partes del antebrazo</v>
          </cell>
        </row>
        <row r="8706">
          <cell r="A8706" t="str">
            <v>S51.9</v>
          </cell>
          <cell r="B8706" t="str">
            <v>Herida del antebrazo, parte no especificada</v>
          </cell>
        </row>
        <row r="8707">
          <cell r="A8707" t="str">
            <v>S52</v>
          </cell>
          <cell r="B8707" t="str">
            <v>Fractura del antebrazo</v>
          </cell>
        </row>
        <row r="8708">
          <cell r="A8708" t="str">
            <v>S52.0</v>
          </cell>
          <cell r="B8708" t="str">
            <v>Fractura de la epífisis superior del cúbito</v>
          </cell>
        </row>
        <row r="8709">
          <cell r="A8709" t="str">
            <v>S52.1</v>
          </cell>
          <cell r="B8709" t="str">
            <v>Fractura de la epífisis superior del radio</v>
          </cell>
        </row>
        <row r="8710">
          <cell r="A8710" t="str">
            <v>S52.2</v>
          </cell>
          <cell r="B8710" t="str">
            <v>Fractura de la diáfisis del cúbito</v>
          </cell>
        </row>
        <row r="8711">
          <cell r="A8711" t="str">
            <v>S52.3</v>
          </cell>
          <cell r="B8711" t="str">
            <v>Fractura de la diáfisis del radio</v>
          </cell>
        </row>
        <row r="8712">
          <cell r="A8712" t="str">
            <v>S52.4</v>
          </cell>
          <cell r="B8712" t="str">
            <v>Fractura de la diáfisis del cúbito y del radio</v>
          </cell>
        </row>
        <row r="8713">
          <cell r="A8713" t="str">
            <v>S52.5</v>
          </cell>
          <cell r="B8713" t="str">
            <v>Fractura de la epífisis inferior del radio</v>
          </cell>
        </row>
        <row r="8714">
          <cell r="A8714" t="str">
            <v>S52.6</v>
          </cell>
          <cell r="B8714" t="str">
            <v>Fractura de la epífisis inferior del cúbito y del radio</v>
          </cell>
        </row>
        <row r="8715">
          <cell r="A8715" t="str">
            <v>S52.7</v>
          </cell>
          <cell r="B8715" t="str">
            <v>Fracturas múltiples del antebrazo</v>
          </cell>
        </row>
        <row r="8716">
          <cell r="A8716" t="str">
            <v>S52.8</v>
          </cell>
          <cell r="B8716" t="str">
            <v>Fractura de otras partes del antebrazo</v>
          </cell>
        </row>
        <row r="8717">
          <cell r="A8717" t="str">
            <v>S52.9</v>
          </cell>
          <cell r="B8717" t="str">
            <v>Fractura del antebrazo, parte no especificada</v>
          </cell>
        </row>
        <row r="8718">
          <cell r="A8718" t="str">
            <v>S53</v>
          </cell>
          <cell r="B8718" t="str">
            <v>Luxación, esguince y torcedura de articulaciones y ligamentos del codo</v>
          </cell>
        </row>
        <row r="8719">
          <cell r="A8719" t="str">
            <v>S53.0</v>
          </cell>
          <cell r="B8719" t="str">
            <v>Luxación de la cabeza del radio</v>
          </cell>
        </row>
        <row r="8720">
          <cell r="A8720" t="str">
            <v>S53.1</v>
          </cell>
          <cell r="B8720" t="str">
            <v>Luxación del codo, no especificada</v>
          </cell>
        </row>
        <row r="8721">
          <cell r="A8721" t="str">
            <v>S53.2</v>
          </cell>
          <cell r="B8721" t="str">
            <v>Ruptura traumática del ligamento lateral del radio</v>
          </cell>
        </row>
        <row r="8722">
          <cell r="A8722" t="str">
            <v>S53.3</v>
          </cell>
          <cell r="B8722" t="str">
            <v>Ruptura traumática del ligamento lateral del cúbito</v>
          </cell>
        </row>
        <row r="8723">
          <cell r="A8723" t="str">
            <v>S53.4</v>
          </cell>
          <cell r="B8723" t="str">
            <v>Esguinces y torceduras del codo</v>
          </cell>
        </row>
        <row r="8724">
          <cell r="A8724" t="str">
            <v>S54</v>
          </cell>
          <cell r="B8724" t="str">
            <v>Traumatismo de nervios a nivel del antebrazo</v>
          </cell>
        </row>
        <row r="8725">
          <cell r="A8725" t="str">
            <v>S54.0</v>
          </cell>
          <cell r="B8725" t="str">
            <v>Traumatismo del nervio cubital a nivel del antebrazo</v>
          </cell>
        </row>
        <row r="8726">
          <cell r="A8726" t="str">
            <v>S54.1</v>
          </cell>
          <cell r="B8726" t="str">
            <v>Traumatismo del nervio mediano a nivel del antebrazo</v>
          </cell>
        </row>
        <row r="8727">
          <cell r="A8727" t="str">
            <v>S54.2</v>
          </cell>
          <cell r="B8727" t="str">
            <v>Traumatismo del nervio radial a nivel del antebrazo</v>
          </cell>
        </row>
        <row r="8728">
          <cell r="A8728" t="str">
            <v>S54.3</v>
          </cell>
          <cell r="B8728" t="str">
            <v>Traumatismo del nervio sensorial cutáneo a nivel del antebrazo</v>
          </cell>
        </row>
        <row r="8729">
          <cell r="A8729" t="str">
            <v>S54.7</v>
          </cell>
          <cell r="B8729" t="str">
            <v>Traumatismo de múltiples nervios a nivel del antebrazo</v>
          </cell>
        </row>
        <row r="8730">
          <cell r="A8730" t="str">
            <v>S54.8</v>
          </cell>
          <cell r="B8730" t="str">
            <v>Traumatismo de otros nervios a nivel del antebrazo</v>
          </cell>
        </row>
        <row r="8731">
          <cell r="A8731" t="str">
            <v>S54.9</v>
          </cell>
          <cell r="B8731" t="str">
            <v>Traumatismo de nervio no especificado a nivel del antebrazo</v>
          </cell>
        </row>
        <row r="8732">
          <cell r="A8732" t="str">
            <v>S55</v>
          </cell>
          <cell r="B8732" t="str">
            <v>Traumatismo de los vasos sanguíneos a nivel del antebrazo</v>
          </cell>
        </row>
        <row r="8733">
          <cell r="A8733" t="str">
            <v>S55.0</v>
          </cell>
          <cell r="B8733" t="str">
            <v>Traumatismo de la arteria cubital a nivel del antebrazo</v>
          </cell>
        </row>
        <row r="8734">
          <cell r="A8734" t="str">
            <v>S55.1</v>
          </cell>
          <cell r="B8734" t="str">
            <v>Traumatismo de la arteria radial a nivel del antebrazo</v>
          </cell>
        </row>
        <row r="8735">
          <cell r="A8735" t="str">
            <v>S55.2</v>
          </cell>
          <cell r="B8735" t="str">
            <v>Traumatismo de vena a nivel del antebrazo</v>
          </cell>
        </row>
        <row r="8736">
          <cell r="A8736" t="str">
            <v>S55.7</v>
          </cell>
          <cell r="B8736" t="str">
            <v>Traumatismo de múltiples vasos sanguíneos a nivel del antebrazo</v>
          </cell>
        </row>
        <row r="8737">
          <cell r="A8737" t="str">
            <v>S55.8</v>
          </cell>
          <cell r="B8737" t="str">
            <v>Traumatismo de otros vasos sanguíneos a nivel del antebrazo</v>
          </cell>
        </row>
        <row r="8738">
          <cell r="A8738" t="str">
            <v>S55.9</v>
          </cell>
          <cell r="B8738" t="str">
            <v>Traumatismo de vaso sanguíneo no especificado a nivel del antebrazo</v>
          </cell>
        </row>
        <row r="8739">
          <cell r="A8739" t="str">
            <v>S56</v>
          </cell>
          <cell r="B8739" t="str">
            <v>Traumatismo de tendón y músculo a nivel del antebrazo</v>
          </cell>
        </row>
        <row r="8740">
          <cell r="A8740" t="str">
            <v>S56.0</v>
          </cell>
          <cell r="B8740" t="str">
            <v>Traumatismo del tendón y músculo flexor del pulgar a nivel del antebrazo</v>
          </cell>
        </row>
        <row r="8741">
          <cell r="A8741" t="str">
            <v>S56.1</v>
          </cell>
          <cell r="B8741" t="str">
            <v>Traumatismo del tendón y músculo flexor de otro(s) dedo(s) a nivel del antebrazo</v>
          </cell>
        </row>
        <row r="8742">
          <cell r="A8742" t="str">
            <v>S56.2</v>
          </cell>
          <cell r="B8742" t="str">
            <v>Traumatismo de otro tendón y músculo flexor a nivel del antebrazo</v>
          </cell>
        </row>
        <row r="8743">
          <cell r="A8743" t="str">
            <v>S56.3</v>
          </cell>
          <cell r="B8743" t="str">
            <v>Traumatismo de tendones y músculos abductores y extensores del pulgar a nivel del antebrazo</v>
          </cell>
        </row>
        <row r="8744">
          <cell r="A8744" t="str">
            <v>S56.4</v>
          </cell>
          <cell r="B8744" t="str">
            <v>Traumatismo del tendón y músculo extensor de otro(s) dedo(s) a nivel del antebrazo</v>
          </cell>
        </row>
        <row r="8745">
          <cell r="A8745" t="str">
            <v>S56.5</v>
          </cell>
          <cell r="B8745" t="str">
            <v>Traumatismo de otro tendón y músculo extensor a nivel del antebrazo</v>
          </cell>
        </row>
        <row r="8746">
          <cell r="A8746" t="str">
            <v>S56.7</v>
          </cell>
          <cell r="B8746" t="str">
            <v>Traumatismo de múltiples tendones y músculos a nivel del antebrazo</v>
          </cell>
        </row>
        <row r="8747">
          <cell r="A8747" t="str">
            <v>S56.8</v>
          </cell>
          <cell r="B8747" t="str">
            <v>Traumatismo de otros tendones y músculos y de los no especificados, a nivel del antebrazo</v>
          </cell>
        </row>
        <row r="8748">
          <cell r="A8748" t="str">
            <v>S57</v>
          </cell>
          <cell r="B8748" t="str">
            <v>Traumatismo por aplastamiento del antebrazo</v>
          </cell>
        </row>
        <row r="8749">
          <cell r="A8749" t="str">
            <v>S57.0</v>
          </cell>
          <cell r="B8749" t="str">
            <v>Traumatismo por aplastamiento del codo</v>
          </cell>
        </row>
        <row r="8750">
          <cell r="A8750" t="str">
            <v>S57.8</v>
          </cell>
          <cell r="B8750" t="str">
            <v>Traumatismo por aplastamiento de otras partes del antebrazo</v>
          </cell>
        </row>
        <row r="8751">
          <cell r="A8751" t="str">
            <v>S57.9</v>
          </cell>
          <cell r="B8751" t="str">
            <v>Traumatismo por aplastamiento del antebrazo, parte no especificada</v>
          </cell>
        </row>
        <row r="8752">
          <cell r="A8752" t="str">
            <v>S58</v>
          </cell>
          <cell r="B8752" t="str">
            <v>Amputación traumática del antebrazo</v>
          </cell>
        </row>
        <row r="8753">
          <cell r="A8753" t="str">
            <v>S58.0</v>
          </cell>
          <cell r="B8753" t="str">
            <v>Amputación traumática a nivel del codo</v>
          </cell>
        </row>
        <row r="8754">
          <cell r="A8754" t="str">
            <v>S58.1</v>
          </cell>
          <cell r="B8754" t="str">
            <v>Amputación traumática nivel entre el codo y la muñeca</v>
          </cell>
        </row>
        <row r="8755">
          <cell r="A8755" t="str">
            <v>S58.9</v>
          </cell>
          <cell r="B8755" t="str">
            <v>Amputación traumática del antebrazo, nivel no especificado</v>
          </cell>
        </row>
        <row r="8756">
          <cell r="A8756" t="str">
            <v>S59</v>
          </cell>
          <cell r="B8756" t="str">
            <v>Otros traumatismos y los no especificados del antebrazo</v>
          </cell>
        </row>
        <row r="8757">
          <cell r="A8757" t="str">
            <v>S59.7</v>
          </cell>
          <cell r="B8757" t="str">
            <v>Traumatismos múltiples del antebrazo</v>
          </cell>
        </row>
        <row r="8758">
          <cell r="A8758" t="str">
            <v>S59.8</v>
          </cell>
          <cell r="B8758" t="str">
            <v>Otros traumatismos especificados del antebrazo</v>
          </cell>
        </row>
        <row r="8759">
          <cell r="A8759" t="str">
            <v>S59.9</v>
          </cell>
          <cell r="B8759" t="str">
            <v>Traumatismo no especificado del antebrazo</v>
          </cell>
        </row>
        <row r="8760">
          <cell r="A8760" t="str">
            <v>S60</v>
          </cell>
          <cell r="B8760" t="str">
            <v>Traumatismo superficial de la muñeca y de la mano</v>
          </cell>
        </row>
        <row r="8761">
          <cell r="A8761" t="str">
            <v>S60.0</v>
          </cell>
          <cell r="B8761" t="str">
            <v>Contusión de dedo(s) de la mano, sin daño de la(s) uña(s)</v>
          </cell>
        </row>
        <row r="8762">
          <cell r="A8762" t="str">
            <v>S60.1</v>
          </cell>
          <cell r="B8762" t="str">
            <v>Contusión de dedo(s) de la mano con daño de la(s) uña(s)</v>
          </cell>
        </row>
        <row r="8763">
          <cell r="A8763" t="str">
            <v>S60.2</v>
          </cell>
          <cell r="B8763" t="str">
            <v>Contusión de otras partes de la muñeca y de la mano</v>
          </cell>
        </row>
        <row r="8764">
          <cell r="A8764" t="str">
            <v>S60.7</v>
          </cell>
          <cell r="B8764" t="str">
            <v>Traumatismos superficiales múltiples de la muñeca y de la mano</v>
          </cell>
        </row>
        <row r="8765">
          <cell r="A8765" t="str">
            <v>S60.8</v>
          </cell>
          <cell r="B8765" t="str">
            <v>Otros traumatismos superficiales de la muñeca y de la mano</v>
          </cell>
        </row>
        <row r="8766">
          <cell r="A8766" t="str">
            <v>S60.9</v>
          </cell>
          <cell r="B8766" t="str">
            <v>Traumatismo superficial de la muñeca y de la mano, no especificado</v>
          </cell>
        </row>
        <row r="8767">
          <cell r="A8767" t="str">
            <v>S61</v>
          </cell>
          <cell r="B8767" t="str">
            <v>Herida de la muñeca y de la mano</v>
          </cell>
        </row>
        <row r="8768">
          <cell r="A8768" t="str">
            <v>S61.0</v>
          </cell>
          <cell r="B8768" t="str">
            <v>Herida de dedo(s) de la mano, sin daño de la(s) uña(s)</v>
          </cell>
        </row>
        <row r="8769">
          <cell r="A8769" t="str">
            <v>S61.1</v>
          </cell>
          <cell r="B8769" t="str">
            <v>Herida de dedo(s) de la mano, con daño de la(s) uña(s)</v>
          </cell>
        </row>
        <row r="8770">
          <cell r="A8770" t="str">
            <v>S61.7</v>
          </cell>
          <cell r="B8770" t="str">
            <v>Heridas múltiples de la muñeca y de la mano</v>
          </cell>
        </row>
        <row r="8771">
          <cell r="A8771" t="str">
            <v>S61.8</v>
          </cell>
          <cell r="B8771" t="str">
            <v>Herida de otras partes de la muñeca y de la mano</v>
          </cell>
        </row>
        <row r="8772">
          <cell r="A8772" t="str">
            <v>S61.9</v>
          </cell>
          <cell r="B8772" t="str">
            <v>Herida de la muñeca y de la mano, parte no especificada</v>
          </cell>
        </row>
        <row r="8773">
          <cell r="A8773" t="str">
            <v>S62</v>
          </cell>
          <cell r="B8773" t="str">
            <v>Fractura a nivel de la muñeca y de la mano</v>
          </cell>
        </row>
        <row r="8774">
          <cell r="A8774" t="str">
            <v>S62.0</v>
          </cell>
          <cell r="B8774" t="str">
            <v>Fractura del hueso escafoides [navicular] de la mano</v>
          </cell>
        </row>
        <row r="8775">
          <cell r="A8775" t="str">
            <v>S62.1</v>
          </cell>
          <cell r="B8775" t="str">
            <v>Fractura de otro(s) hueso(s) del carpo</v>
          </cell>
        </row>
        <row r="8776">
          <cell r="A8776" t="str">
            <v>S62.2</v>
          </cell>
          <cell r="B8776" t="str">
            <v>Fractura del primer metacarpiano</v>
          </cell>
        </row>
        <row r="8777">
          <cell r="A8777" t="str">
            <v>S62.3</v>
          </cell>
          <cell r="B8777" t="str">
            <v>Fractura de otros huesos metacarpianos</v>
          </cell>
        </row>
        <row r="8778">
          <cell r="A8778" t="str">
            <v>S62.4</v>
          </cell>
          <cell r="B8778" t="str">
            <v>Fracturas múltiples de huesos metacarpianos</v>
          </cell>
        </row>
        <row r="8779">
          <cell r="A8779" t="str">
            <v>S62.5</v>
          </cell>
          <cell r="B8779" t="str">
            <v>Fractura del pulgar</v>
          </cell>
        </row>
        <row r="8780">
          <cell r="A8780" t="str">
            <v>S62.6</v>
          </cell>
          <cell r="B8780" t="str">
            <v>Fractura de otro dedo de la mano</v>
          </cell>
        </row>
        <row r="8781">
          <cell r="A8781" t="str">
            <v>S62.7</v>
          </cell>
          <cell r="B8781" t="str">
            <v>Fracturas múltiples de los dedos de la mano</v>
          </cell>
        </row>
        <row r="8782">
          <cell r="A8782" t="str">
            <v>S62.8</v>
          </cell>
          <cell r="B8782" t="str">
            <v>Fractura de otras partes y de las no especificadas de la muñeca y de la mano</v>
          </cell>
        </row>
        <row r="8783">
          <cell r="A8783" t="str">
            <v>S63</v>
          </cell>
          <cell r="B8783" t="str">
            <v>Luxación, esguince y torcedura de articulaciones y ligamentos a nivel de la muñeca y de la mano</v>
          </cell>
        </row>
        <row r="8784">
          <cell r="A8784" t="str">
            <v>S63.0</v>
          </cell>
          <cell r="B8784" t="str">
            <v>Luxación de la muñeca</v>
          </cell>
        </row>
        <row r="8785">
          <cell r="A8785" t="str">
            <v>S63.1</v>
          </cell>
          <cell r="B8785" t="str">
            <v>Luxación de dedos de la mano</v>
          </cell>
        </row>
        <row r="8786">
          <cell r="A8786" t="str">
            <v>S63.2</v>
          </cell>
          <cell r="B8786" t="str">
            <v>Luxaciones múltiples de dedos de la mano</v>
          </cell>
        </row>
        <row r="8787">
          <cell r="A8787" t="str">
            <v>S63.3</v>
          </cell>
          <cell r="B8787" t="str">
            <v>Ruptura traumática de ligamentos de la muñeca y del carpo</v>
          </cell>
        </row>
        <row r="8788">
          <cell r="A8788" t="str">
            <v>S63.4</v>
          </cell>
          <cell r="B8788" t="str">
            <v>Ruptura traumática de ligamentos del dedo de la mano en la(s) articulación(es) metacarpofalángica e interfalángica</v>
          </cell>
        </row>
        <row r="8789">
          <cell r="A8789" t="str">
            <v>S63.5</v>
          </cell>
          <cell r="B8789" t="str">
            <v>Esguince y torcedura de la muñeca</v>
          </cell>
        </row>
        <row r="8790">
          <cell r="A8790" t="str">
            <v>S63.6</v>
          </cell>
          <cell r="B8790" t="str">
            <v>Esguinces y torceduras de dedo(s) de la mano</v>
          </cell>
        </row>
        <row r="8791">
          <cell r="A8791" t="str">
            <v>S63.7</v>
          </cell>
          <cell r="B8791" t="str">
            <v>Esguinces y torceduras de otras partes y de las no especificadas de la muñeca y de la mano</v>
          </cell>
        </row>
        <row r="8792">
          <cell r="A8792" t="str">
            <v>S64</v>
          </cell>
          <cell r="B8792" t="str">
            <v>Traumatismo de nervios a nivel de la muñeca y de la mano</v>
          </cell>
        </row>
        <row r="8793">
          <cell r="A8793" t="str">
            <v>S64.0</v>
          </cell>
          <cell r="B8793" t="str">
            <v>Traumatismo del nervio cubital a nivel de la muñeca y de la mano</v>
          </cell>
        </row>
        <row r="8794">
          <cell r="A8794" t="str">
            <v>S64.1</v>
          </cell>
          <cell r="B8794" t="str">
            <v>Traumatismo del nervio mediano a nivel de la muñeca y de la mano</v>
          </cell>
        </row>
        <row r="8795">
          <cell r="A8795" t="str">
            <v>S64.2</v>
          </cell>
          <cell r="B8795" t="str">
            <v>Traumatismo del nervio radial a nivel de la muñeca y de la mano</v>
          </cell>
        </row>
        <row r="8796">
          <cell r="A8796" t="str">
            <v>S64.3</v>
          </cell>
          <cell r="B8796" t="str">
            <v>Traumatismo del nervio digital del pulgar</v>
          </cell>
        </row>
        <row r="8797">
          <cell r="A8797" t="str">
            <v>S64.4</v>
          </cell>
          <cell r="B8797" t="str">
            <v>Traumatismo del nervio digital de otro dedo</v>
          </cell>
        </row>
        <row r="8798">
          <cell r="A8798" t="str">
            <v>S64.7</v>
          </cell>
          <cell r="B8798" t="str">
            <v>Traumatismo de múltiples nervios a nivel de la muñeca y de la mano</v>
          </cell>
        </row>
        <row r="8799">
          <cell r="A8799" t="str">
            <v>S64.8</v>
          </cell>
          <cell r="B8799" t="str">
            <v>Traumatismo de otros nervios a nivel de la muñeca y de la mano</v>
          </cell>
        </row>
        <row r="8800">
          <cell r="A8800" t="str">
            <v>S64.9</v>
          </cell>
          <cell r="B8800" t="str">
            <v>Traumatismo de nervio no especificado a nivel de la muñeca y de la mano</v>
          </cell>
        </row>
        <row r="8801">
          <cell r="A8801" t="str">
            <v>S65</v>
          </cell>
          <cell r="B8801" t="str">
            <v>Traumatismo de vasos sanguíneos a nivel de la muñeca y de la mano</v>
          </cell>
        </row>
        <row r="8802">
          <cell r="A8802" t="str">
            <v>S65.0</v>
          </cell>
          <cell r="B8802" t="str">
            <v>Traumatismo de la arteria cubital a nivel de la muñeca y de la mano</v>
          </cell>
        </row>
        <row r="8803">
          <cell r="A8803" t="str">
            <v>S65.1</v>
          </cell>
          <cell r="B8803" t="str">
            <v>Traumatismo de la arteria radial a nivel de la muñeca y de la mano</v>
          </cell>
        </row>
        <row r="8804">
          <cell r="A8804" t="str">
            <v>S65.2</v>
          </cell>
          <cell r="B8804" t="str">
            <v>Traumatismo del arco palmar superficial</v>
          </cell>
        </row>
        <row r="8805">
          <cell r="A8805" t="str">
            <v>S65.3</v>
          </cell>
          <cell r="B8805" t="str">
            <v>Traumatismo del arco palmar profundo</v>
          </cell>
        </row>
        <row r="8806">
          <cell r="A8806" t="str">
            <v>S65.4</v>
          </cell>
          <cell r="B8806" t="str">
            <v>Traumatismo de vaso(s) sanguíneo(s) del pulgar</v>
          </cell>
        </row>
        <row r="8807">
          <cell r="A8807" t="str">
            <v>S65.5</v>
          </cell>
          <cell r="B8807" t="str">
            <v>Traumatismo de vaso(s) sanguíneo(s) de otro dedo</v>
          </cell>
        </row>
        <row r="8808">
          <cell r="A8808" t="str">
            <v>S65.7</v>
          </cell>
          <cell r="B8808" t="str">
            <v>Traumatismo de múltiples vasos sanguíneos a nivel de la muñeca y de la mano</v>
          </cell>
        </row>
        <row r="8809">
          <cell r="A8809" t="str">
            <v>S65.8</v>
          </cell>
          <cell r="B8809" t="str">
            <v>Traumatismo de otros vasos sanguíneos a nivel de la muñeca y de la mano</v>
          </cell>
        </row>
        <row r="8810">
          <cell r="A8810" t="str">
            <v>S65.9</v>
          </cell>
          <cell r="B8810" t="str">
            <v>Traumatismo de vaso sanguíneo no especificado, a nivel de la muñeca y de la mano</v>
          </cell>
        </row>
        <row r="8811">
          <cell r="A8811" t="str">
            <v>S66</v>
          </cell>
          <cell r="B8811" t="str">
            <v>Traumatismo de tendón y músculo a nivel de la muñeca y de la mano</v>
          </cell>
        </row>
        <row r="8812">
          <cell r="A8812" t="str">
            <v>S66.0</v>
          </cell>
          <cell r="B8812" t="str">
            <v>Traumatismo del tendón y músculo flexor largo del pulgar a nivel de la muñeca y de la mano</v>
          </cell>
        </row>
        <row r="8813">
          <cell r="A8813" t="str">
            <v>S66.1</v>
          </cell>
          <cell r="B8813" t="str">
            <v>Traumatismo del tendón y músculo flexor de otro dedo a nivel de la muñeca y de la mano</v>
          </cell>
        </row>
        <row r="8814">
          <cell r="A8814" t="str">
            <v>S66.2</v>
          </cell>
          <cell r="B8814" t="str">
            <v>Traumatismo del tendón y músculo extensor del pulgar a nivel de la muñeca y de la mano</v>
          </cell>
        </row>
        <row r="8815">
          <cell r="A8815" t="str">
            <v>S66.3</v>
          </cell>
          <cell r="B8815" t="str">
            <v>Traumatismo del tendón y músculo extensor de otro(s) dedo(s) a nivel de la muñeca y de la mano</v>
          </cell>
        </row>
        <row r="8816">
          <cell r="A8816" t="str">
            <v>S66.4</v>
          </cell>
          <cell r="B8816" t="str">
            <v>Traumatismo del músculo y tendón intrínseco del pulgar a nivel de la muñeca y de la mano</v>
          </cell>
        </row>
        <row r="8817">
          <cell r="A8817" t="str">
            <v>S66.5</v>
          </cell>
          <cell r="B8817" t="str">
            <v>Traumatismo del músculo y tendón intrínseco de otro(s) dedo(s) a nivel de la muñeca y de la mano</v>
          </cell>
        </row>
        <row r="8818">
          <cell r="A8818" t="str">
            <v>S66.6</v>
          </cell>
          <cell r="B8818" t="str">
            <v>Traumatismo de múltiples tendones y músculos flexores a nivel de la muñeca y de la mano</v>
          </cell>
        </row>
        <row r="8819">
          <cell r="A8819" t="str">
            <v>S66.7</v>
          </cell>
          <cell r="B8819" t="str">
            <v>Traumatismo de múltiples tendones y músculos extensores a nivel de la muñeca y de la mano</v>
          </cell>
        </row>
        <row r="8820">
          <cell r="A8820" t="str">
            <v>S66.8</v>
          </cell>
          <cell r="B8820" t="str">
            <v>Traumatismo de otros tendones y músculos a nivel de la muñeca y de la mano</v>
          </cell>
        </row>
        <row r="8821">
          <cell r="A8821" t="str">
            <v>S66.9</v>
          </cell>
          <cell r="B8821" t="str">
            <v>Traumatismo de tendón y músculo no especificado, a nivel de la muñeca y de la mano</v>
          </cell>
        </row>
        <row r="8822">
          <cell r="A8822" t="str">
            <v>S67</v>
          </cell>
          <cell r="B8822" t="str">
            <v>Traumatismo por aplastamiento de la muñeca y de la mano</v>
          </cell>
        </row>
        <row r="8823">
          <cell r="A8823" t="str">
            <v>S67.0</v>
          </cell>
          <cell r="B8823" t="str">
            <v>Traumatismo por aplastamiento del pulgar y otro(s) dedo(s)</v>
          </cell>
        </row>
        <row r="8824">
          <cell r="A8824" t="str">
            <v>S67.8</v>
          </cell>
          <cell r="B8824" t="str">
            <v>Traumatismo por aplastamiento de otras partes y de las no especificadas de la muñeca y de la mano</v>
          </cell>
        </row>
        <row r="8825">
          <cell r="A8825" t="str">
            <v>S68</v>
          </cell>
          <cell r="B8825" t="str">
            <v>Amputación traumática de la muñeca y de la mano</v>
          </cell>
        </row>
        <row r="8826">
          <cell r="A8826" t="str">
            <v>S68.0</v>
          </cell>
          <cell r="B8826" t="str">
            <v>Amputación traumática del pulgar (completa) (parcial)</v>
          </cell>
        </row>
        <row r="8827">
          <cell r="A8827" t="str">
            <v>S68.1</v>
          </cell>
          <cell r="B8827" t="str">
            <v>Amputación traumática de otro dedo único (completa) (parcial)</v>
          </cell>
        </row>
        <row r="8828">
          <cell r="A8828" t="str">
            <v>S68.2</v>
          </cell>
          <cell r="B8828" t="str">
            <v>Amputación traumática de dos o más dedos solamente (completa) (parcial)</v>
          </cell>
        </row>
        <row r="8829">
          <cell r="A8829" t="str">
            <v>S68.3</v>
          </cell>
          <cell r="B8829" t="str">
            <v>Amputación traumática combinada (de parte) de dedo(s) con otras partes de la muñeca y de la mano</v>
          </cell>
        </row>
        <row r="8830">
          <cell r="A8830" t="str">
            <v>S68.4</v>
          </cell>
          <cell r="B8830" t="str">
            <v>Amputación traumática de la mano a nivel de la muñeca</v>
          </cell>
        </row>
        <row r="8831">
          <cell r="A8831" t="str">
            <v>S68.8</v>
          </cell>
          <cell r="B8831" t="str">
            <v>Amputación traumática de otras partes de la muñeca y de la mano</v>
          </cell>
        </row>
        <row r="8832">
          <cell r="A8832" t="str">
            <v>S68.9</v>
          </cell>
          <cell r="B8832" t="str">
            <v>Amputación traumática de la muñeca y de la mano, nivel no especificado</v>
          </cell>
        </row>
        <row r="8833">
          <cell r="A8833" t="str">
            <v>S69</v>
          </cell>
          <cell r="B8833" t="str">
            <v>Otros traumatismos y los no especificados de la muñeca y de la mano</v>
          </cell>
        </row>
        <row r="8834">
          <cell r="A8834" t="str">
            <v>S69.7</v>
          </cell>
          <cell r="B8834" t="str">
            <v>Traumatismos múltiples de la muñeca y de la mano</v>
          </cell>
        </row>
        <row r="8835">
          <cell r="A8835" t="str">
            <v>S69.8</v>
          </cell>
          <cell r="B8835" t="str">
            <v>Otros traumatismos especificados de la muñeca y de la mano</v>
          </cell>
        </row>
        <row r="8836">
          <cell r="A8836" t="str">
            <v>S69.9</v>
          </cell>
          <cell r="B8836" t="str">
            <v>Traumatismo no especificado de la muñeca y de la mano</v>
          </cell>
        </row>
        <row r="8837">
          <cell r="A8837" t="str">
            <v>S70</v>
          </cell>
          <cell r="B8837" t="str">
            <v>Traumatismo superficial de la cadera y del muslo</v>
          </cell>
        </row>
        <row r="8838">
          <cell r="A8838" t="str">
            <v>S70.0</v>
          </cell>
          <cell r="B8838" t="str">
            <v>Contusión de la cadera</v>
          </cell>
        </row>
        <row r="8839">
          <cell r="A8839" t="str">
            <v>S70.1</v>
          </cell>
          <cell r="B8839" t="str">
            <v>Contusión del muslo</v>
          </cell>
        </row>
        <row r="8840">
          <cell r="A8840" t="str">
            <v>S70.7</v>
          </cell>
          <cell r="B8840" t="str">
            <v>Traumatismos superficiales múltiples de la cadera y del muslo</v>
          </cell>
        </row>
        <row r="8841">
          <cell r="A8841" t="str">
            <v>S70.8</v>
          </cell>
          <cell r="B8841" t="str">
            <v>Otros traumatismos superficiales de la cadera y del muslo</v>
          </cell>
        </row>
        <row r="8842">
          <cell r="A8842" t="str">
            <v>S70.9</v>
          </cell>
          <cell r="B8842" t="str">
            <v>Traumatismo superficial de la cadera y del muslo, no especificado</v>
          </cell>
        </row>
        <row r="8843">
          <cell r="A8843" t="str">
            <v>S71</v>
          </cell>
          <cell r="B8843" t="str">
            <v>Herida de la cadera y del muslo</v>
          </cell>
        </row>
        <row r="8844">
          <cell r="A8844" t="str">
            <v>S71.0</v>
          </cell>
          <cell r="B8844" t="str">
            <v>Herida de la cadera</v>
          </cell>
        </row>
        <row r="8845">
          <cell r="A8845" t="str">
            <v>S71.1</v>
          </cell>
          <cell r="B8845" t="str">
            <v>Herida del muslo</v>
          </cell>
        </row>
        <row r="8846">
          <cell r="A8846" t="str">
            <v>S71.7</v>
          </cell>
          <cell r="B8846" t="str">
            <v>Heridas múltiples de la cadera y del muslo</v>
          </cell>
        </row>
        <row r="8847">
          <cell r="A8847" t="str">
            <v>S71.8</v>
          </cell>
          <cell r="B8847" t="str">
            <v>Herida de otras partes y de las no especificadas de la cintura pélvica</v>
          </cell>
        </row>
        <row r="8848">
          <cell r="A8848" t="str">
            <v>S72</v>
          </cell>
          <cell r="B8848" t="str">
            <v>Fractura del fémur</v>
          </cell>
        </row>
        <row r="8849">
          <cell r="A8849" t="str">
            <v>S72.0</v>
          </cell>
          <cell r="B8849" t="str">
            <v>Fractura del cuello de fémur</v>
          </cell>
        </row>
        <row r="8850">
          <cell r="A8850" t="str">
            <v>S72.1</v>
          </cell>
          <cell r="B8850" t="str">
            <v>Fractura pertrocanteriana</v>
          </cell>
        </row>
        <row r="8851">
          <cell r="A8851" t="str">
            <v>S72.2</v>
          </cell>
          <cell r="B8851" t="str">
            <v>Fractura subtrocanteriana</v>
          </cell>
        </row>
        <row r="8852">
          <cell r="A8852" t="str">
            <v>S72.3</v>
          </cell>
          <cell r="B8852" t="str">
            <v>Fractura de la diáfisis del fémur</v>
          </cell>
        </row>
        <row r="8853">
          <cell r="A8853" t="str">
            <v>S72.4</v>
          </cell>
          <cell r="B8853" t="str">
            <v>Fractura de la epífisis inferior del fémur</v>
          </cell>
        </row>
        <row r="8854">
          <cell r="A8854" t="str">
            <v>S72.7</v>
          </cell>
          <cell r="B8854" t="str">
            <v>Fracturas múltiples del fémur</v>
          </cell>
        </row>
        <row r="8855">
          <cell r="A8855" t="str">
            <v>S72.8</v>
          </cell>
          <cell r="B8855" t="str">
            <v>Fracturas de otras partes del fémur</v>
          </cell>
        </row>
        <row r="8856">
          <cell r="A8856" t="str">
            <v>S72.9</v>
          </cell>
          <cell r="B8856" t="str">
            <v>Fractura del fémur, parte no especificada</v>
          </cell>
        </row>
        <row r="8857">
          <cell r="A8857" t="str">
            <v>S73</v>
          </cell>
          <cell r="B8857" t="str">
            <v>Luxación, esguince y torcedura de la articulación y de los ligamentos de la cadera</v>
          </cell>
        </row>
        <row r="8858">
          <cell r="A8858" t="str">
            <v>S73.0</v>
          </cell>
          <cell r="B8858" t="str">
            <v>Luxación de la cadera</v>
          </cell>
        </row>
        <row r="8859">
          <cell r="A8859" t="str">
            <v>S73.1</v>
          </cell>
          <cell r="B8859" t="str">
            <v>Esguinces y torceduras de la cadera</v>
          </cell>
        </row>
        <row r="8860">
          <cell r="A8860" t="str">
            <v>S74</v>
          </cell>
          <cell r="B8860" t="str">
            <v>Traumatismo de nervios a nivel de la cadera y del muslo</v>
          </cell>
        </row>
        <row r="8861">
          <cell r="A8861" t="str">
            <v>S74.0</v>
          </cell>
          <cell r="B8861" t="str">
            <v>Traumatismo del nervio ciático a nivel de la cadera y del muslo</v>
          </cell>
        </row>
        <row r="8862">
          <cell r="A8862" t="str">
            <v>S74.1</v>
          </cell>
          <cell r="B8862" t="str">
            <v>Traumatismo del nervio femorocutáneo a nivel de la cadera y del muslo</v>
          </cell>
        </row>
        <row r="8863">
          <cell r="A8863" t="str">
            <v>S74.2</v>
          </cell>
          <cell r="B8863" t="str">
            <v>Traumatismo del nervio sensorial cutáneo a nivel de la cadera y del muslo</v>
          </cell>
        </row>
        <row r="8864">
          <cell r="A8864" t="str">
            <v>S74.7</v>
          </cell>
          <cell r="B8864" t="str">
            <v>Traumatismo de nervios múltiples a nivel de la cadera y del muslo</v>
          </cell>
        </row>
        <row r="8865">
          <cell r="A8865" t="str">
            <v>S74.8</v>
          </cell>
          <cell r="B8865" t="str">
            <v>Traumatismo de otros nervios a nivel de la cadera y del muslo</v>
          </cell>
        </row>
        <row r="8866">
          <cell r="A8866" t="str">
            <v>S74.9</v>
          </cell>
          <cell r="B8866" t="str">
            <v>Traumatismo de nervio no especificado a nivel de la cadera y del muslo</v>
          </cell>
        </row>
        <row r="8867">
          <cell r="A8867" t="str">
            <v>S75</v>
          </cell>
          <cell r="B8867" t="str">
            <v>Traumatismo de vasos sanguíneos a nivel de la cadera y del muslo</v>
          </cell>
        </row>
        <row r="8868">
          <cell r="A8868" t="str">
            <v>S75.0</v>
          </cell>
          <cell r="B8868" t="str">
            <v>Traumatismo de la arteria femoral</v>
          </cell>
        </row>
        <row r="8869">
          <cell r="A8869" t="str">
            <v>S75.1</v>
          </cell>
          <cell r="B8869" t="str">
            <v>Traumatismo de la vena femoral a nivel de la cadera y del muslo</v>
          </cell>
        </row>
        <row r="8870">
          <cell r="A8870" t="str">
            <v>S75.2</v>
          </cell>
          <cell r="B8870" t="str">
            <v>Traumatismo de la gran vena safena a nivel de la cadera y del muslo</v>
          </cell>
        </row>
        <row r="8871">
          <cell r="A8871" t="str">
            <v>S75.7</v>
          </cell>
          <cell r="B8871" t="str">
            <v>Traumatismo de múltiples vasos sanguíneos a nivel de la cadera y del muslo</v>
          </cell>
        </row>
        <row r="8872">
          <cell r="A8872" t="str">
            <v>S75.8</v>
          </cell>
          <cell r="B8872" t="str">
            <v>Traumatismo de otros vasos sanguíneos a nivel de la cadera y del muslo</v>
          </cell>
        </row>
        <row r="8873">
          <cell r="A8873" t="str">
            <v>S75.9</v>
          </cell>
          <cell r="B8873" t="str">
            <v>Traumatismo de vaso sanguíneo no especificado a nivel de la cadera y del muslo</v>
          </cell>
        </row>
        <row r="8874">
          <cell r="A8874" t="str">
            <v>S76</v>
          </cell>
          <cell r="B8874" t="str">
            <v>Traumatismo de tendón y músculo a nivel de la cadera y del muslo</v>
          </cell>
        </row>
        <row r="8875">
          <cell r="A8875" t="str">
            <v>S76.0</v>
          </cell>
          <cell r="B8875" t="str">
            <v>Traumatismo del tendón y músculo de la cadera</v>
          </cell>
        </row>
        <row r="8876">
          <cell r="A8876" t="str">
            <v>S76.1</v>
          </cell>
          <cell r="B8876" t="str">
            <v>Traumatismo del tendón y músculo cuádriceps</v>
          </cell>
        </row>
        <row r="8877">
          <cell r="A8877" t="str">
            <v>S76.2</v>
          </cell>
          <cell r="B8877" t="str">
            <v>Traumatismo del tendón y músculo aductor mayor del muslo</v>
          </cell>
        </row>
        <row r="8878">
          <cell r="A8878" t="str">
            <v>S76.3</v>
          </cell>
          <cell r="B8878" t="str">
            <v>Traumatismo de tendón y músculo del grupo muscular posterior a nivel del muslo</v>
          </cell>
        </row>
        <row r="8879">
          <cell r="A8879" t="str">
            <v>S76.4</v>
          </cell>
          <cell r="B8879" t="str">
            <v>Traumatismo de otros tendones y músculos y los no especificados a nivel del muslo</v>
          </cell>
        </row>
        <row r="8880">
          <cell r="A8880" t="str">
            <v>S76.7</v>
          </cell>
          <cell r="B8880" t="str">
            <v>Traumatismo de múltiples tendones y músculos a nivel de la cadera y del muslo</v>
          </cell>
        </row>
        <row r="8881">
          <cell r="A8881" t="str">
            <v>S77</v>
          </cell>
          <cell r="B8881" t="str">
            <v>Traumatismo por aplastamiento de la cadera y del muslo</v>
          </cell>
        </row>
        <row r="8882">
          <cell r="A8882" t="str">
            <v>S77.0</v>
          </cell>
          <cell r="B8882" t="str">
            <v>Traumatismo por aplastamiento de la cadera</v>
          </cell>
        </row>
        <row r="8883">
          <cell r="A8883" t="str">
            <v>S77.1</v>
          </cell>
          <cell r="B8883" t="str">
            <v>Traumatismo por aplastamiento del muslo</v>
          </cell>
        </row>
        <row r="8884">
          <cell r="A8884" t="str">
            <v>S77.2</v>
          </cell>
          <cell r="B8884" t="str">
            <v>Traumatismo por aplastamiento de la cadera con el muslo</v>
          </cell>
        </row>
        <row r="8885">
          <cell r="A8885" t="str">
            <v>S78</v>
          </cell>
          <cell r="B8885" t="str">
            <v>Amputación traumática de la cadera y del muslo</v>
          </cell>
        </row>
        <row r="8886">
          <cell r="A8886" t="str">
            <v>S78.0</v>
          </cell>
          <cell r="B8886" t="str">
            <v>Amputación traumática de la articulación de la cadera</v>
          </cell>
        </row>
        <row r="8887">
          <cell r="A8887" t="str">
            <v>S78.1</v>
          </cell>
          <cell r="B8887" t="str">
            <v>Amputación traumática en algún nivel entre la cadera y la rodilla</v>
          </cell>
        </row>
        <row r="8888">
          <cell r="A8888" t="str">
            <v>S78.9</v>
          </cell>
          <cell r="B8888" t="str">
            <v>Amputación traumática de cadera y muslo, nivel no especificado</v>
          </cell>
        </row>
        <row r="8889">
          <cell r="A8889" t="str">
            <v>S79</v>
          </cell>
          <cell r="B8889" t="str">
            <v>Otros traumatismos y los no especificados de la cadera y del muslo</v>
          </cell>
        </row>
        <row r="8890">
          <cell r="A8890" t="str">
            <v>S79.7</v>
          </cell>
          <cell r="B8890" t="str">
            <v>Traumatismos múltiples de la cadera y del muslo</v>
          </cell>
        </row>
        <row r="8891">
          <cell r="A8891" t="str">
            <v>S79.8</v>
          </cell>
          <cell r="B8891" t="str">
            <v>Otros traumatismos especificados de la cadera y del muslo</v>
          </cell>
        </row>
        <row r="8892">
          <cell r="A8892" t="str">
            <v>S79.9</v>
          </cell>
          <cell r="B8892" t="str">
            <v>Traumatismo no especificado de la cadera y del muslo</v>
          </cell>
        </row>
        <row r="8893">
          <cell r="A8893" t="str">
            <v>S80</v>
          </cell>
          <cell r="B8893" t="str">
            <v>Traumatismo superficial de la pierna</v>
          </cell>
        </row>
        <row r="8894">
          <cell r="A8894" t="str">
            <v>S80.0</v>
          </cell>
          <cell r="B8894" t="str">
            <v>Contusión de la rodilla</v>
          </cell>
        </row>
        <row r="8895">
          <cell r="A8895" t="str">
            <v>S80.1</v>
          </cell>
          <cell r="B8895" t="str">
            <v>Contusión de otras partes y las no especificadas de la pierna</v>
          </cell>
        </row>
        <row r="8896">
          <cell r="A8896" t="str">
            <v>S80.7</v>
          </cell>
          <cell r="B8896" t="str">
            <v>Traumatismos superficiales múltiples de la pierna</v>
          </cell>
        </row>
        <row r="8897">
          <cell r="A8897" t="str">
            <v>S80.8</v>
          </cell>
          <cell r="B8897" t="str">
            <v>Otros traumatismos superficiales de la pierna</v>
          </cell>
        </row>
        <row r="8898">
          <cell r="A8898" t="str">
            <v>S80.9</v>
          </cell>
          <cell r="B8898" t="str">
            <v>Traumatismo superficial de la pierna, no especificado</v>
          </cell>
        </row>
        <row r="8899">
          <cell r="A8899" t="str">
            <v>S81</v>
          </cell>
          <cell r="B8899" t="str">
            <v>Herida de la pierna</v>
          </cell>
        </row>
        <row r="8900">
          <cell r="A8900" t="str">
            <v>S81.0</v>
          </cell>
          <cell r="B8900" t="str">
            <v>Herida de la rodilla</v>
          </cell>
        </row>
        <row r="8901">
          <cell r="A8901" t="str">
            <v>S81.7</v>
          </cell>
          <cell r="B8901" t="str">
            <v>Heridas múltiples de la pierna</v>
          </cell>
        </row>
        <row r="8902">
          <cell r="A8902" t="str">
            <v>S81.8</v>
          </cell>
          <cell r="B8902" t="str">
            <v>Herida de otras partes de la pierna</v>
          </cell>
        </row>
        <row r="8903">
          <cell r="A8903" t="str">
            <v>S81.9</v>
          </cell>
          <cell r="B8903" t="str">
            <v>Herida de la pierna, parte no especificada</v>
          </cell>
        </row>
        <row r="8904">
          <cell r="A8904" t="str">
            <v>S82</v>
          </cell>
          <cell r="B8904" t="str">
            <v>Fractura de la pierna, inclusive el tobillo</v>
          </cell>
        </row>
        <row r="8905">
          <cell r="A8905" t="str">
            <v>S82.0</v>
          </cell>
          <cell r="B8905" t="str">
            <v>Fractura de la rótula</v>
          </cell>
        </row>
        <row r="8906">
          <cell r="A8906" t="str">
            <v>S82.1</v>
          </cell>
          <cell r="B8906" t="str">
            <v>Fractura de la epífisis superior de la tibia</v>
          </cell>
        </row>
        <row r="8907">
          <cell r="A8907" t="str">
            <v>S82.2</v>
          </cell>
          <cell r="B8907" t="str">
            <v>Fractura de la diáfisis de la tibia</v>
          </cell>
        </row>
        <row r="8908">
          <cell r="A8908" t="str">
            <v>S82.3</v>
          </cell>
          <cell r="B8908" t="str">
            <v>Fractura de la epífisis inferior de la tibia</v>
          </cell>
        </row>
        <row r="8909">
          <cell r="A8909" t="str">
            <v>S82.4</v>
          </cell>
          <cell r="B8909" t="str">
            <v>Fractura del peroné solamente</v>
          </cell>
        </row>
        <row r="8910">
          <cell r="A8910" t="str">
            <v>S82.5</v>
          </cell>
          <cell r="B8910" t="str">
            <v>Fractura del maléolo interno</v>
          </cell>
        </row>
        <row r="8911">
          <cell r="A8911" t="str">
            <v>S82.6</v>
          </cell>
          <cell r="B8911" t="str">
            <v>Fractura del maléolo externo</v>
          </cell>
        </row>
        <row r="8912">
          <cell r="A8912" t="str">
            <v>S82.7</v>
          </cell>
          <cell r="B8912" t="str">
            <v>Fracturas múltiples de la pierna</v>
          </cell>
        </row>
        <row r="8913">
          <cell r="A8913" t="str">
            <v>S82.8</v>
          </cell>
          <cell r="B8913" t="str">
            <v>Fractura de otras partes de la pierna</v>
          </cell>
        </row>
        <row r="8914">
          <cell r="A8914" t="str">
            <v>S82.9</v>
          </cell>
          <cell r="B8914" t="str">
            <v>Fractura de la pierna, parte no especificada</v>
          </cell>
        </row>
        <row r="8915">
          <cell r="A8915" t="str">
            <v>S83</v>
          </cell>
          <cell r="B8915" t="str">
            <v>Luxación, esguince y torcedura de articulaciones y ligamentos de la rodilla</v>
          </cell>
        </row>
        <row r="8916">
          <cell r="A8916" t="str">
            <v>S83.0</v>
          </cell>
          <cell r="B8916" t="str">
            <v>Luxación de la rótula</v>
          </cell>
        </row>
        <row r="8917">
          <cell r="A8917" t="str">
            <v>S83.1</v>
          </cell>
          <cell r="B8917" t="str">
            <v>Luxación de la rodilla</v>
          </cell>
        </row>
        <row r="8918">
          <cell r="A8918" t="str">
            <v>S83.2</v>
          </cell>
          <cell r="B8918" t="str">
            <v>Desgarro de meniscos, presente</v>
          </cell>
        </row>
        <row r="8919">
          <cell r="A8919" t="str">
            <v>S83.3</v>
          </cell>
          <cell r="B8919" t="str">
            <v>Desgarro del cartílago articular de la rodilla, presente</v>
          </cell>
        </row>
        <row r="8920">
          <cell r="A8920" t="str">
            <v>S83.4</v>
          </cell>
          <cell r="B8920" t="str">
            <v>Esguinces y torceduras que comprometen los ligamentos laterales (externo) (interno) de la rodilla</v>
          </cell>
        </row>
        <row r="8921">
          <cell r="A8921" t="str">
            <v>S83.5</v>
          </cell>
          <cell r="B8921" t="str">
            <v>Esguinces y torceduras que comprometen el ligamento cruzado (anterior) (posterior) de la rodilla</v>
          </cell>
        </row>
        <row r="8922">
          <cell r="A8922" t="str">
            <v>S83.6</v>
          </cell>
          <cell r="B8922" t="str">
            <v>Esguinces y torceduras de otras partes y las no especificadas de la rodilla</v>
          </cell>
        </row>
        <row r="8923">
          <cell r="A8923" t="str">
            <v>S83.7</v>
          </cell>
          <cell r="B8923" t="str">
            <v>Traumatismo de estructuras múltiples de la rodilla</v>
          </cell>
        </row>
        <row r="8924">
          <cell r="A8924" t="str">
            <v>S84</v>
          </cell>
          <cell r="B8924" t="str">
            <v>Traumatismo de nervios a nivel de la pierna</v>
          </cell>
        </row>
        <row r="8925">
          <cell r="A8925" t="str">
            <v>S84.0</v>
          </cell>
          <cell r="B8925" t="str">
            <v>Traumatismo del nervio tibial a nivel de la pierna</v>
          </cell>
        </row>
        <row r="8926">
          <cell r="A8926" t="str">
            <v>S84.1</v>
          </cell>
          <cell r="B8926" t="str">
            <v>Traumatismo del nervio peroneo a nivel de la pierna</v>
          </cell>
        </row>
        <row r="8927">
          <cell r="A8927" t="str">
            <v>S84.2</v>
          </cell>
          <cell r="B8927" t="str">
            <v>Traumatismo del nervio sensorial cutáneo a nivel de la pierna</v>
          </cell>
        </row>
        <row r="8928">
          <cell r="A8928" t="str">
            <v>S84.7</v>
          </cell>
          <cell r="B8928" t="str">
            <v>Traumatismo de nervios múltiples a nivel de la pierna</v>
          </cell>
        </row>
        <row r="8929">
          <cell r="A8929" t="str">
            <v>S84.8</v>
          </cell>
          <cell r="B8929" t="str">
            <v>Traumatismo de otros nervios a nivel de la pierna</v>
          </cell>
        </row>
        <row r="8930">
          <cell r="A8930" t="str">
            <v>S84.9</v>
          </cell>
          <cell r="B8930" t="str">
            <v>Traumatismo de nervio no especificado a nivel de la pierna</v>
          </cell>
        </row>
        <row r="8931">
          <cell r="A8931" t="str">
            <v>S85</v>
          </cell>
          <cell r="B8931" t="str">
            <v>Traumatismo de vasos sanguíneos a nivel de la pierna</v>
          </cell>
        </row>
        <row r="8932">
          <cell r="A8932" t="str">
            <v>S85.0</v>
          </cell>
          <cell r="B8932" t="str">
            <v>Traumatismo de la arteria poplítea</v>
          </cell>
        </row>
        <row r="8933">
          <cell r="A8933" t="str">
            <v>S85.1</v>
          </cell>
          <cell r="B8933" t="str">
            <v>Traumatismo de la arteria tibial (anterior) (posterior)</v>
          </cell>
        </row>
        <row r="8934">
          <cell r="A8934" t="str">
            <v>S85.2</v>
          </cell>
          <cell r="B8934" t="str">
            <v>Traumatismo de la arteria peronea</v>
          </cell>
        </row>
        <row r="8935">
          <cell r="A8935" t="str">
            <v>S85.3</v>
          </cell>
          <cell r="B8935" t="str">
            <v>Traumatismo de la gran vena safena a nivel de la pierna</v>
          </cell>
        </row>
        <row r="8936">
          <cell r="A8936" t="str">
            <v>S85.4</v>
          </cell>
          <cell r="B8936" t="str">
            <v>Traumatismo de la vena safena externa a nivel de la pierna</v>
          </cell>
        </row>
        <row r="8937">
          <cell r="A8937" t="str">
            <v>S85.5</v>
          </cell>
          <cell r="B8937" t="str">
            <v>Traumatismo de la vena poplítea</v>
          </cell>
        </row>
        <row r="8938">
          <cell r="A8938" t="str">
            <v>S85.7</v>
          </cell>
          <cell r="B8938" t="str">
            <v>Traumatismo de vasos sanguíneos múltiples a nivel de la pierna</v>
          </cell>
        </row>
        <row r="8939">
          <cell r="A8939" t="str">
            <v>S85.8</v>
          </cell>
          <cell r="B8939" t="str">
            <v>Traumatismo de otros vasos sanguíneos a nivel de la pierna</v>
          </cell>
        </row>
        <row r="8940">
          <cell r="A8940" t="str">
            <v>S85.9</v>
          </cell>
          <cell r="B8940" t="str">
            <v>Traumatismo de vaso sanguíneo no especificado a nivel de la pierna</v>
          </cell>
        </row>
        <row r="8941">
          <cell r="A8941" t="str">
            <v>S86</v>
          </cell>
          <cell r="B8941" t="str">
            <v>Traumatismo de tendón y músculo a nivel de la pierna</v>
          </cell>
        </row>
        <row r="8942">
          <cell r="A8942" t="str">
            <v>S86.0</v>
          </cell>
          <cell r="B8942" t="str">
            <v>Traumatismo del tendón de Aquiles</v>
          </cell>
        </row>
        <row r="8943">
          <cell r="A8943" t="str">
            <v>S86.1</v>
          </cell>
          <cell r="B8943" t="str">
            <v>Traumatismo de otro(s) tendón(es) y músculo(s) del grupo muscular posterior a nivel de la pierna</v>
          </cell>
        </row>
        <row r="8944">
          <cell r="A8944" t="str">
            <v>S86.2</v>
          </cell>
          <cell r="B8944" t="str">
            <v>Traumatismo de tendón(es) y músculo(s) del grupo muscular anterior a nivel de la pierna</v>
          </cell>
        </row>
        <row r="8945">
          <cell r="A8945" t="str">
            <v>S86.3</v>
          </cell>
          <cell r="B8945" t="str">
            <v>Traumatismo de tendón(es) y músculo(s) del grupo muscular peroneo a nivel de la pierna</v>
          </cell>
        </row>
        <row r="8946">
          <cell r="A8946" t="str">
            <v>S86.7</v>
          </cell>
          <cell r="B8946" t="str">
            <v>Traumatismo de múltiples tendones y músculos a nivel de la pierna</v>
          </cell>
        </row>
        <row r="8947">
          <cell r="A8947" t="str">
            <v>S86.8</v>
          </cell>
          <cell r="B8947" t="str">
            <v>Traumatismo de otros tendones y músculos a nivel de la pierna</v>
          </cell>
        </row>
        <row r="8948">
          <cell r="A8948" t="str">
            <v>S86.9</v>
          </cell>
          <cell r="B8948" t="str">
            <v>Traumatismo de tendón y músculo no especificado a nivel de la pierna</v>
          </cell>
        </row>
        <row r="8949">
          <cell r="A8949" t="str">
            <v>S87</v>
          </cell>
          <cell r="B8949" t="str">
            <v>Traumatismo por aplastamiento de la pierna</v>
          </cell>
        </row>
        <row r="8950">
          <cell r="A8950" t="str">
            <v>S87.0</v>
          </cell>
          <cell r="B8950" t="str">
            <v>Traumatismo por aplastamiento de la rodilla</v>
          </cell>
        </row>
        <row r="8951">
          <cell r="A8951" t="str">
            <v>S87.8</v>
          </cell>
          <cell r="B8951" t="str">
            <v>Traumatismo por aplastamiento de otras partes y de las no especificadas de la pierna</v>
          </cell>
        </row>
        <row r="8952">
          <cell r="A8952" t="str">
            <v>S88</v>
          </cell>
          <cell r="B8952" t="str">
            <v>Amputación traumática de la pierna</v>
          </cell>
        </row>
        <row r="8953">
          <cell r="A8953" t="str">
            <v>S88.0</v>
          </cell>
          <cell r="B8953" t="str">
            <v>Amputación traumática a nivel de la rodilla</v>
          </cell>
        </row>
        <row r="8954">
          <cell r="A8954" t="str">
            <v>S88.1</v>
          </cell>
          <cell r="B8954" t="str">
            <v>Amputación traumática en algún nivel entre la rodilla y el tobillo</v>
          </cell>
        </row>
        <row r="8955">
          <cell r="A8955" t="str">
            <v>S88.9</v>
          </cell>
          <cell r="B8955" t="str">
            <v>Amputación traumática de la pierna, nivel no especificado</v>
          </cell>
        </row>
        <row r="8956">
          <cell r="A8956" t="str">
            <v>S89</v>
          </cell>
          <cell r="B8956" t="str">
            <v>Otros traumatismos y los no especificados de la pierna</v>
          </cell>
        </row>
        <row r="8957">
          <cell r="A8957" t="str">
            <v>S89.7</v>
          </cell>
          <cell r="B8957" t="str">
            <v>Traumatismos múltiples de la pierna</v>
          </cell>
        </row>
        <row r="8958">
          <cell r="A8958" t="str">
            <v>S89.8</v>
          </cell>
          <cell r="B8958" t="str">
            <v>Otros traumatismos de la pierna, especificados</v>
          </cell>
        </row>
        <row r="8959">
          <cell r="A8959" t="str">
            <v>S89.9</v>
          </cell>
          <cell r="B8959" t="str">
            <v>Traumatismo de la pierna, no especificado</v>
          </cell>
        </row>
        <row r="8960">
          <cell r="A8960" t="str">
            <v>S90</v>
          </cell>
          <cell r="B8960" t="str">
            <v>Traumatismo superficial del tobillo y del pie</v>
          </cell>
        </row>
        <row r="8961">
          <cell r="A8961" t="str">
            <v>S90.0</v>
          </cell>
          <cell r="B8961" t="str">
            <v>Contusión del tobillo</v>
          </cell>
        </row>
        <row r="8962">
          <cell r="A8962" t="str">
            <v>S90.1</v>
          </cell>
          <cell r="B8962" t="str">
            <v>Contusión de dedo(s) del pie sin daño de la(s) uña(s)</v>
          </cell>
        </row>
        <row r="8963">
          <cell r="A8963" t="str">
            <v>S90.2</v>
          </cell>
          <cell r="B8963" t="str">
            <v>Contusión de dedo(s) del pie con daño de la(s) uña(s)</v>
          </cell>
        </row>
        <row r="8964">
          <cell r="A8964" t="str">
            <v>S90.3</v>
          </cell>
          <cell r="B8964" t="str">
            <v>Contusión de otras partes y de las no especificadas del pie</v>
          </cell>
        </row>
        <row r="8965">
          <cell r="A8965" t="str">
            <v>S90.7</v>
          </cell>
          <cell r="B8965" t="str">
            <v>Traumatismos superficiales múltiples del pie y del tobillo</v>
          </cell>
        </row>
        <row r="8966">
          <cell r="A8966" t="str">
            <v>S90.8</v>
          </cell>
          <cell r="B8966" t="str">
            <v>Otros traumatismos superficiales del pie y del tobillo</v>
          </cell>
        </row>
        <row r="8967">
          <cell r="A8967" t="str">
            <v>S90.9</v>
          </cell>
          <cell r="B8967" t="str">
            <v>Traumatismo superficial del pie y del tobillo, no especificado</v>
          </cell>
        </row>
        <row r="8968">
          <cell r="A8968" t="str">
            <v>S91</v>
          </cell>
          <cell r="B8968" t="str">
            <v>Herida del tobillo y del pie</v>
          </cell>
        </row>
        <row r="8969">
          <cell r="A8969" t="str">
            <v>S91.0</v>
          </cell>
          <cell r="B8969" t="str">
            <v>Herida del tobillo</v>
          </cell>
        </row>
        <row r="8970">
          <cell r="A8970" t="str">
            <v>S91.1</v>
          </cell>
          <cell r="B8970" t="str">
            <v>Herida de dedo(s) del pie sin daño de la(s) uña(s)</v>
          </cell>
        </row>
        <row r="8971">
          <cell r="A8971" t="str">
            <v>S91.2</v>
          </cell>
          <cell r="B8971" t="str">
            <v>Herida de dedo(s) del pie con daño de la(s) uña(s)</v>
          </cell>
        </row>
        <row r="8972">
          <cell r="A8972" t="str">
            <v>S91.3</v>
          </cell>
          <cell r="B8972" t="str">
            <v>Herida de otras partes del pie</v>
          </cell>
        </row>
        <row r="8973">
          <cell r="A8973" t="str">
            <v>S91.7</v>
          </cell>
          <cell r="B8973" t="str">
            <v>Heridas múltiples del tobillo y del pie</v>
          </cell>
        </row>
        <row r="8974">
          <cell r="A8974" t="str">
            <v>S92</v>
          </cell>
          <cell r="B8974" t="str">
            <v>Fractura del pie, excepto del tobillo (0 cerrada, 1 abierta)</v>
          </cell>
        </row>
        <row r="8975">
          <cell r="A8975" t="str">
            <v>S92.0</v>
          </cell>
          <cell r="B8975" t="str">
            <v>Fractura del calcáneo</v>
          </cell>
        </row>
        <row r="8976">
          <cell r="A8976" t="str">
            <v>S92.1</v>
          </cell>
          <cell r="B8976" t="str">
            <v>Fractura del astrágalo</v>
          </cell>
        </row>
        <row r="8977">
          <cell r="A8977" t="str">
            <v>S92.2</v>
          </cell>
          <cell r="B8977" t="str">
            <v>Fractura de otro(s) hueso(s) del tarso</v>
          </cell>
        </row>
        <row r="8978">
          <cell r="A8978" t="str">
            <v>S92.3</v>
          </cell>
          <cell r="B8978" t="str">
            <v>Fractura de hueso del metatarso</v>
          </cell>
        </row>
        <row r="8979">
          <cell r="A8979" t="str">
            <v>S92.4</v>
          </cell>
          <cell r="B8979" t="str">
            <v>Fractura de los huesos del dedo gordo del pie</v>
          </cell>
        </row>
        <row r="8980">
          <cell r="A8980" t="str">
            <v>S92.5</v>
          </cell>
          <cell r="B8980" t="str">
            <v>Fractura de los huesos de otro(s) dedo(s) del pie</v>
          </cell>
        </row>
        <row r="8981">
          <cell r="A8981" t="str">
            <v>S92.7</v>
          </cell>
          <cell r="B8981" t="str">
            <v>Fracturas múltiples del pie</v>
          </cell>
        </row>
        <row r="8982">
          <cell r="A8982" t="str">
            <v>S92.9</v>
          </cell>
          <cell r="B8982" t="str">
            <v>Fractura del pie, no especificada</v>
          </cell>
        </row>
        <row r="8983">
          <cell r="A8983" t="str">
            <v>S93</v>
          </cell>
          <cell r="B8983" t="str">
            <v>Luxación, esguince y torcedura de articulaciones y ligamentos del tobillo y del pie</v>
          </cell>
        </row>
        <row r="8984">
          <cell r="A8984" t="str">
            <v>S93.0</v>
          </cell>
          <cell r="B8984" t="str">
            <v>Luxación de la articulación del tobillo</v>
          </cell>
        </row>
        <row r="8985">
          <cell r="A8985" t="str">
            <v>S93.1</v>
          </cell>
          <cell r="B8985" t="str">
            <v>Luxación de dedo(s) del pie</v>
          </cell>
        </row>
        <row r="8986">
          <cell r="A8986" t="str">
            <v>S93.2</v>
          </cell>
          <cell r="B8986" t="str">
            <v>Ruptura de ligamentos a nivel del tobillo y del pie</v>
          </cell>
        </row>
        <row r="8987">
          <cell r="A8987" t="str">
            <v>S93.3</v>
          </cell>
          <cell r="B8987" t="str">
            <v>Luxación de otros sitios y los no especificados del pie</v>
          </cell>
        </row>
        <row r="8988">
          <cell r="A8988" t="str">
            <v>S93.4</v>
          </cell>
          <cell r="B8988" t="str">
            <v>Esguinces y torceduras del tobillo</v>
          </cell>
        </row>
        <row r="8989">
          <cell r="A8989" t="str">
            <v>S93.5</v>
          </cell>
          <cell r="B8989" t="str">
            <v>Esguinces y torceduras de dedo(s) del pie</v>
          </cell>
        </row>
        <row r="8990">
          <cell r="A8990" t="str">
            <v>S93.6</v>
          </cell>
          <cell r="B8990" t="str">
            <v>Esguinces y torceduras de otros sitios y de los no especificados del pie</v>
          </cell>
        </row>
        <row r="8991">
          <cell r="A8991" t="str">
            <v>S94</v>
          </cell>
          <cell r="B8991" t="str">
            <v>Traumatismo de nervios a nivel del pie y del tobillo</v>
          </cell>
        </row>
        <row r="8992">
          <cell r="A8992" t="str">
            <v>S94.0</v>
          </cell>
          <cell r="B8992" t="str">
            <v>Traumatismo del nervio plantar externo</v>
          </cell>
        </row>
        <row r="8993">
          <cell r="A8993" t="str">
            <v>S94.1</v>
          </cell>
          <cell r="B8993" t="str">
            <v>Traumatismo del nervio plantar interno</v>
          </cell>
        </row>
        <row r="8994">
          <cell r="A8994" t="str">
            <v>S94.2</v>
          </cell>
          <cell r="B8994" t="str">
            <v>Traumatismo del nervio peroneal profundo a nivel del pie y del tobillo</v>
          </cell>
        </row>
        <row r="8995">
          <cell r="A8995" t="str">
            <v>S94.3</v>
          </cell>
          <cell r="B8995" t="str">
            <v>Traumatismo de nervio sensorial cutáneo a nivel del pie y del tobillo</v>
          </cell>
        </row>
        <row r="8996">
          <cell r="A8996" t="str">
            <v>S94.7</v>
          </cell>
          <cell r="B8996" t="str">
            <v>Traumatismo de múltiples nervios a nivel del pie y del tobillo</v>
          </cell>
        </row>
        <row r="8997">
          <cell r="A8997" t="str">
            <v>S94.8</v>
          </cell>
          <cell r="B8997" t="str">
            <v>Traumatismo de otros nervios a nivel del pie y del tobillo</v>
          </cell>
        </row>
        <row r="8998">
          <cell r="A8998" t="str">
            <v>S94.9</v>
          </cell>
          <cell r="B8998" t="str">
            <v>Traumatismo de nervio no especificado a nivel del pie y del tobillo</v>
          </cell>
        </row>
        <row r="8999">
          <cell r="A8999" t="str">
            <v>S95</v>
          </cell>
          <cell r="B8999" t="str">
            <v>Traumatismo de vasos sanguíneos a nivel del pie y del tobillo</v>
          </cell>
        </row>
        <row r="9000">
          <cell r="A9000" t="str">
            <v>S95.0</v>
          </cell>
          <cell r="B9000" t="str">
            <v>Traumatismo de la arteria dorsal del pie</v>
          </cell>
        </row>
        <row r="9001">
          <cell r="A9001" t="str">
            <v>S95.1</v>
          </cell>
          <cell r="B9001" t="str">
            <v>Traumatismo de la arteria plantar del pie</v>
          </cell>
        </row>
        <row r="9002">
          <cell r="A9002" t="str">
            <v>S95.2</v>
          </cell>
          <cell r="B9002" t="str">
            <v>Traumatismo de la vena dorsal del pie</v>
          </cell>
        </row>
        <row r="9003">
          <cell r="A9003" t="str">
            <v>S95.7</v>
          </cell>
          <cell r="B9003" t="str">
            <v>Traumatismo de múltiples vasos sanguíneos a nivel del pie y del tobillo</v>
          </cell>
        </row>
        <row r="9004">
          <cell r="A9004" t="str">
            <v>S95.8</v>
          </cell>
          <cell r="B9004" t="str">
            <v>Traumatismo de otros vasos sanguíneos a nivel del pie y del tobillo</v>
          </cell>
        </row>
        <row r="9005">
          <cell r="A9005" t="str">
            <v>S95.9</v>
          </cell>
          <cell r="B9005" t="str">
            <v>Traumatismo de vaso sanguíneo no especificado a nivel del pie y del tobillo</v>
          </cell>
        </row>
        <row r="9006">
          <cell r="A9006" t="str">
            <v>S96</v>
          </cell>
          <cell r="B9006" t="str">
            <v>Traumatismo de tendón y músculo a nivel del pie y del tobillo</v>
          </cell>
        </row>
        <row r="9007">
          <cell r="A9007" t="str">
            <v>S96.0</v>
          </cell>
          <cell r="B9007" t="str">
            <v>Traumatismo del tendón y músculo del flexor largo del dedo a nivel del pie y del tobillo</v>
          </cell>
        </row>
        <row r="9008">
          <cell r="A9008" t="str">
            <v>S96.1</v>
          </cell>
          <cell r="B9008" t="str">
            <v>Traumatismo del tendón y músculo del extensor largo del (de los) dedo(s) a nivel del pie y del tobillo</v>
          </cell>
        </row>
        <row r="9009">
          <cell r="A9009" t="str">
            <v>S96.2</v>
          </cell>
          <cell r="B9009" t="str">
            <v>Traumatismo de tendones y músculos intrínsecos a nivel del pie y del tobillo</v>
          </cell>
        </row>
        <row r="9010">
          <cell r="A9010" t="str">
            <v>S96.7</v>
          </cell>
          <cell r="B9010" t="str">
            <v>Traumatismo de múltiples tendones y músculos a nivel del pie y del tobillo</v>
          </cell>
        </row>
        <row r="9011">
          <cell r="A9011" t="str">
            <v>S96.8</v>
          </cell>
          <cell r="B9011" t="str">
            <v>Traumatismo de otros tendones y músculos a nivel del pie y del tobillo</v>
          </cell>
        </row>
        <row r="9012">
          <cell r="A9012" t="str">
            <v>S96.9</v>
          </cell>
          <cell r="B9012" t="str">
            <v>Traumatismo de tendones y músculos no especificados a nivel del pie y del tobillo</v>
          </cell>
        </row>
        <row r="9013">
          <cell r="A9013" t="str">
            <v>S97</v>
          </cell>
          <cell r="B9013" t="str">
            <v>Traumatismo por aplastamiento del pie y del tobillo</v>
          </cell>
        </row>
        <row r="9014">
          <cell r="A9014" t="str">
            <v>S97.0</v>
          </cell>
          <cell r="B9014" t="str">
            <v>Traumatismo por aplastamiento del tobillo</v>
          </cell>
        </row>
        <row r="9015">
          <cell r="A9015" t="str">
            <v>S97.1</v>
          </cell>
          <cell r="B9015" t="str">
            <v>Traumatismo por aplastamiento de dedo(s) del pie</v>
          </cell>
        </row>
        <row r="9016">
          <cell r="A9016" t="str">
            <v>S97.8</v>
          </cell>
          <cell r="B9016" t="str">
            <v>Traumatismo por aplastamiento de otras partes del pie y del tobillo</v>
          </cell>
        </row>
        <row r="9017">
          <cell r="A9017" t="str">
            <v>S98</v>
          </cell>
          <cell r="B9017" t="str">
            <v>Amputación traumática del pie y del tobillo</v>
          </cell>
        </row>
        <row r="9018">
          <cell r="A9018" t="str">
            <v>S98.0</v>
          </cell>
          <cell r="B9018" t="str">
            <v>Amputación traumática del pie a nivel del tobillo</v>
          </cell>
        </row>
        <row r="9019">
          <cell r="A9019" t="str">
            <v>S98.1</v>
          </cell>
          <cell r="B9019" t="str">
            <v>Amputación traumática de un dedo del pie</v>
          </cell>
        </row>
        <row r="9020">
          <cell r="A9020" t="str">
            <v>S98.2</v>
          </cell>
          <cell r="B9020" t="str">
            <v>Amputación traumática de dos o más dedos del pie</v>
          </cell>
        </row>
        <row r="9021">
          <cell r="A9021" t="str">
            <v>S98.3</v>
          </cell>
          <cell r="B9021" t="str">
            <v>Amputación traumática de otras partes del pie</v>
          </cell>
        </row>
        <row r="9022">
          <cell r="A9022" t="str">
            <v>S98.4</v>
          </cell>
          <cell r="B9022" t="str">
            <v>Amputación del pie, nivel no especificado</v>
          </cell>
        </row>
        <row r="9023">
          <cell r="A9023" t="str">
            <v>S99</v>
          </cell>
          <cell r="B9023" t="str">
            <v>Otros traumatismos y los no especificados del pie y del tobillo</v>
          </cell>
        </row>
        <row r="9024">
          <cell r="A9024" t="str">
            <v>S99.7</v>
          </cell>
          <cell r="B9024" t="str">
            <v>Traumatismos múltiples del pie y del tobillo</v>
          </cell>
        </row>
        <row r="9025">
          <cell r="A9025" t="str">
            <v>S99.8</v>
          </cell>
          <cell r="B9025" t="str">
            <v>Otros traumatismos del pie y del tobillo, especificados</v>
          </cell>
        </row>
        <row r="9026">
          <cell r="A9026" t="str">
            <v>S99.9</v>
          </cell>
          <cell r="B9026" t="str">
            <v>Traumatismo del pie y del tobillo, no especificado</v>
          </cell>
        </row>
        <row r="9027">
          <cell r="A9027" t="str">
            <v>T</v>
          </cell>
          <cell r="B9027" t="str">
            <v>Diversas Lesiones por Agentes Externos</v>
          </cell>
        </row>
        <row r="9028">
          <cell r="A9028" t="str">
            <v>T00</v>
          </cell>
          <cell r="B9028" t="str">
            <v>Traumatismos superficiales que afectan múltiples regiones del cuerpo</v>
          </cell>
        </row>
        <row r="9029">
          <cell r="A9029" t="str">
            <v>T00.0</v>
          </cell>
          <cell r="B9029" t="str">
            <v>Traumatismos superficiales que afectan la cabeza con el cuello</v>
          </cell>
        </row>
        <row r="9030">
          <cell r="A9030" t="str">
            <v>T00.1</v>
          </cell>
          <cell r="B9030" t="str">
            <v>Traumatismos superficiales que afectan el tórax con el abdomen, la región lumbosacra y la pelvis</v>
          </cell>
        </row>
        <row r="9031">
          <cell r="A9031" t="str">
            <v>T00.2</v>
          </cell>
          <cell r="B9031" t="str">
            <v>Traumatismos superficiales que afectan múltiples regiones del(os) miembro(s) superior(es)</v>
          </cell>
        </row>
        <row r="9032">
          <cell r="A9032" t="str">
            <v>T00.3</v>
          </cell>
          <cell r="B9032" t="str">
            <v>Traumatismos superficiales que afectan múltiples regiones del (de los) miembro(s) inferior(es)</v>
          </cell>
        </row>
        <row r="9033">
          <cell r="A9033" t="str">
            <v>T00.6</v>
          </cell>
          <cell r="B9033" t="str">
            <v>Traumatismos superficiales que afectan múltiples regiones del (de los) miembro(s) superior(es) con miembro(s) inferior(es)</v>
          </cell>
        </row>
        <row r="9034">
          <cell r="A9034" t="str">
            <v>T00.8</v>
          </cell>
          <cell r="B9034" t="str">
            <v>Traumatismos superficiales que afectan otras combinaciones de regiones del cuerpo</v>
          </cell>
        </row>
        <row r="9035">
          <cell r="A9035" t="str">
            <v>T00.9</v>
          </cell>
          <cell r="B9035" t="str">
            <v>Traumatismos superficiales múltiples, no especificados</v>
          </cell>
        </row>
        <row r="9036">
          <cell r="A9036" t="str">
            <v>T01</v>
          </cell>
          <cell r="B9036" t="str">
            <v>Heridas que afectan múltiples regiones del cuerpo</v>
          </cell>
        </row>
        <row r="9037">
          <cell r="A9037" t="str">
            <v>T01.0</v>
          </cell>
          <cell r="B9037" t="str">
            <v>Heridas que afectan la cabeza con el cuello</v>
          </cell>
        </row>
        <row r="9038">
          <cell r="A9038" t="str">
            <v>T01.1</v>
          </cell>
          <cell r="B9038" t="str">
            <v>Heridas que afectan el tórax con el abdomen, la región lumbosacra y la pelvis</v>
          </cell>
        </row>
        <row r="9039">
          <cell r="A9039" t="str">
            <v>T01.2</v>
          </cell>
          <cell r="B9039" t="str">
            <v>Heridas que afectan múltiples regiones del (de los) miembro(s) superior(es)</v>
          </cell>
        </row>
        <row r="9040">
          <cell r="A9040" t="str">
            <v>T01.3</v>
          </cell>
          <cell r="B9040" t="str">
            <v>Heridas que afectan múltiples regiones del (de los) miembro(s) inferior(es)</v>
          </cell>
        </row>
        <row r="9041">
          <cell r="A9041" t="str">
            <v>T01.6</v>
          </cell>
          <cell r="B9041" t="str">
            <v>Heridas que afectan múltiples regiones del (de los)  miembro(s) superior(es) con miembro(s) inferior(es)</v>
          </cell>
        </row>
        <row r="9042">
          <cell r="A9042" t="str">
            <v>T01.8</v>
          </cell>
          <cell r="B9042" t="str">
            <v>Heridas que afectan otras combinaciones de las regiones del cuerpo</v>
          </cell>
        </row>
        <row r="9043">
          <cell r="A9043" t="str">
            <v>T01.9</v>
          </cell>
          <cell r="B9043" t="str">
            <v>Heridas múltiples, no especificadas</v>
          </cell>
        </row>
        <row r="9044">
          <cell r="A9044" t="str">
            <v>T02</v>
          </cell>
          <cell r="B9044" t="str">
            <v>Fracturas que afectan múltiples regiones del cuerpo</v>
          </cell>
        </row>
        <row r="9045">
          <cell r="A9045" t="str">
            <v>T02.0</v>
          </cell>
          <cell r="B9045" t="str">
            <v>Fracturas que afectan la cabeza con el cuello</v>
          </cell>
        </row>
        <row r="9046">
          <cell r="A9046" t="str">
            <v>T02.1</v>
          </cell>
          <cell r="B9046" t="str">
            <v>Fracturas que afectan el tórax con la región lumbosacra y la pelvis</v>
          </cell>
        </row>
        <row r="9047">
          <cell r="A9047" t="str">
            <v>T02.2</v>
          </cell>
          <cell r="B9047" t="str">
            <v>Fracturas que afectan múltiples regiones de un miembro superior</v>
          </cell>
        </row>
        <row r="9048">
          <cell r="A9048" t="str">
            <v>T02.3</v>
          </cell>
          <cell r="B9048" t="str">
            <v>Fracturas que afectan múltiples regiones de un miembro inferior</v>
          </cell>
        </row>
        <row r="9049">
          <cell r="A9049" t="str">
            <v>T02.4</v>
          </cell>
          <cell r="B9049" t="str">
            <v>Fracturas que afectan múltiples regiones de ambos miembros superiores</v>
          </cell>
        </row>
        <row r="9050">
          <cell r="A9050" t="str">
            <v>T02.5</v>
          </cell>
          <cell r="B9050" t="str">
            <v>Fracturas que afectan múltiples regiones de ambos miembros inferiores</v>
          </cell>
        </row>
        <row r="9051">
          <cell r="A9051" t="str">
            <v>T02.6</v>
          </cell>
          <cell r="B9051" t="str">
            <v>Fracturas que afectan múltiples regiones de miembro(s) superior(es) con miembro(s) inferior(es)</v>
          </cell>
        </row>
        <row r="9052">
          <cell r="A9052" t="str">
            <v>T02.7</v>
          </cell>
          <cell r="B9052" t="str">
            <v>Fracturas que afectan el tórax con la región lumbosacra y la pelvis con miembro(s)</v>
          </cell>
        </row>
        <row r="9053">
          <cell r="A9053" t="str">
            <v>T02.8</v>
          </cell>
          <cell r="B9053" t="str">
            <v>Fracturas que afectan otras combinaciones de las regiones del cuerpo</v>
          </cell>
        </row>
        <row r="9054">
          <cell r="A9054" t="str">
            <v>T02.9</v>
          </cell>
          <cell r="B9054" t="str">
            <v>Fracturas múltiples, no especificadas</v>
          </cell>
        </row>
        <row r="9055">
          <cell r="A9055" t="str">
            <v>T03</v>
          </cell>
          <cell r="B9055" t="str">
            <v>Luxaciones, torceduras y esguinces que afectan múltiples regiones del cuerpo</v>
          </cell>
        </row>
        <row r="9056">
          <cell r="A9056" t="str">
            <v>T03.0</v>
          </cell>
          <cell r="B9056" t="str">
            <v>Luxaciones, torceduras y esguinces que afectan la cabeza con el cuello</v>
          </cell>
        </row>
        <row r="9057">
          <cell r="A9057" t="str">
            <v>T03.1</v>
          </cell>
          <cell r="B9057" t="str">
            <v>Luxaciones, torceduras y esguinces que afectan el tórax con la región lumbosacra y la pelvis</v>
          </cell>
        </row>
        <row r="9058">
          <cell r="A9058" t="str">
            <v>T03.2</v>
          </cell>
          <cell r="B9058" t="str">
            <v>Luxaciones, torceduras y esguinces que afectan múltiples regiones del (de los) miembros(s) superior(es)</v>
          </cell>
        </row>
        <row r="9059">
          <cell r="A9059" t="str">
            <v>T03.3</v>
          </cell>
          <cell r="B9059" t="str">
            <v>Luxaciones, torceduras y esguinces que afectan múltiples regiones del (de los) miembros(s) inferior(es)</v>
          </cell>
        </row>
        <row r="9060">
          <cell r="A9060" t="str">
            <v>T03.4</v>
          </cell>
          <cell r="B9060" t="str">
            <v>Luxaciones, torceduras y esguinces que afectan múltiples regiones del (de los) miembro(s) superior(es) con miembro(s) inferior(es)</v>
          </cell>
        </row>
        <row r="9061">
          <cell r="A9061" t="str">
            <v>T03.8</v>
          </cell>
          <cell r="B9061" t="str">
            <v>Luxaciones, torceduras y esguinces que afectan otras combinaciones de regiones del cuerpo</v>
          </cell>
        </row>
        <row r="9062">
          <cell r="A9062" t="str">
            <v>T03.9</v>
          </cell>
          <cell r="B9062" t="str">
            <v>Luxaciones, torceduras y esguinces múltiples, no especificados</v>
          </cell>
        </row>
        <row r="9063">
          <cell r="A9063" t="str">
            <v>T04</v>
          </cell>
          <cell r="B9063" t="str">
            <v>Traumatismos por aplastamiento que afectan múltiples regiones del cuerpo</v>
          </cell>
        </row>
        <row r="9064">
          <cell r="A9064" t="str">
            <v>T04.0</v>
          </cell>
          <cell r="B9064" t="str">
            <v>Traumatismos por aplastamiento que afectan la cabeza con el cuello</v>
          </cell>
        </row>
        <row r="9065">
          <cell r="A9065" t="str">
            <v>T04.1</v>
          </cell>
          <cell r="B9065" t="str">
            <v>Traumatismos por aplastamiento que afectan el tórax con el abdomen, la región lumbosacra y la pelvis</v>
          </cell>
        </row>
        <row r="9066">
          <cell r="A9066" t="str">
            <v>T04.2</v>
          </cell>
          <cell r="B9066" t="str">
            <v>Traumatismos por aplastamiento que afectan múltiples regiones del (de los) miembro(s) superior(es)</v>
          </cell>
        </row>
        <row r="9067">
          <cell r="A9067" t="str">
            <v>T04.3</v>
          </cell>
          <cell r="B9067" t="str">
            <v>Traumatismos por aplastamiento que afectan múltiples regiones del (de los) miembro(s) inferior(es)</v>
          </cell>
        </row>
        <row r="9068">
          <cell r="A9068" t="str">
            <v>T04.4</v>
          </cell>
          <cell r="B9068" t="str">
            <v>Traumatismos por aplastamiento que afectan múltiples regiones del (de los) miembro(s) superior(es) con miembros inferior(es)</v>
          </cell>
        </row>
        <row r="9069">
          <cell r="A9069" t="str">
            <v>T04.7</v>
          </cell>
          <cell r="B9069" t="str">
            <v>Traumatismos por aplastamiento del tórax, del abdomen, de la región lumbosacra y de la pelvis con miembro(s)</v>
          </cell>
        </row>
        <row r="9070">
          <cell r="A9070" t="str">
            <v>T04.8</v>
          </cell>
          <cell r="B9070" t="str">
            <v>Traumatismos por aplastamiento que afectan otras combinaciones de regiones del cuerpo</v>
          </cell>
        </row>
        <row r="9071">
          <cell r="A9071" t="str">
            <v>T04.9</v>
          </cell>
          <cell r="B9071" t="str">
            <v>Traumatismos por aplastamiento múltiple, no especificados</v>
          </cell>
        </row>
        <row r="9072">
          <cell r="A9072" t="str">
            <v>T05</v>
          </cell>
          <cell r="B9072" t="str">
            <v>Amputaciones traumáticas que afectan múltiples regiones del cuerpo</v>
          </cell>
        </row>
        <row r="9073">
          <cell r="A9073" t="str">
            <v>T05.0</v>
          </cell>
          <cell r="B9073" t="str">
            <v>Amputación traumática de ambas manos</v>
          </cell>
        </row>
        <row r="9074">
          <cell r="A9074" t="str">
            <v>T05.1</v>
          </cell>
          <cell r="B9074" t="str">
            <v>Amputación traumática de una mano y el otro brazo [cualquier nivel, excepto mano]</v>
          </cell>
        </row>
        <row r="9075">
          <cell r="A9075" t="str">
            <v>T05.2</v>
          </cell>
          <cell r="B9075" t="str">
            <v>Amputación traumática de ambos brazos [cualquier nivel]</v>
          </cell>
        </row>
        <row r="9076">
          <cell r="A9076" t="str">
            <v>T05.3</v>
          </cell>
          <cell r="B9076" t="str">
            <v>Amputación traumática de ambos pies</v>
          </cell>
        </row>
        <row r="9077">
          <cell r="A9077" t="str">
            <v>T05.4</v>
          </cell>
          <cell r="B9077" t="str">
            <v>Amputación traumática de un pie y la otra pierna [cualquier nivel, excepto pie]</v>
          </cell>
        </row>
        <row r="9078">
          <cell r="A9078" t="str">
            <v>T05.5</v>
          </cell>
          <cell r="B9078" t="str">
            <v>Amputación traumática de ambas piernas [cualquier nivel]</v>
          </cell>
        </row>
        <row r="9079">
          <cell r="A9079" t="str">
            <v>T05.6</v>
          </cell>
          <cell r="B9079" t="str">
            <v>Amputación traumática de miembros superior(es) e inferior(es), cualquier combinación [cualquier nivel]</v>
          </cell>
        </row>
        <row r="9080">
          <cell r="A9080" t="str">
            <v>T05.8</v>
          </cell>
          <cell r="B9080" t="str">
            <v>Amputación traumática que afecta otras combinaciones de regiones del cuerpo</v>
          </cell>
        </row>
        <row r="9081">
          <cell r="A9081" t="str">
            <v>T05.9</v>
          </cell>
          <cell r="B9081" t="str">
            <v>Amputaciones traumáticas múltiples, no especificadas</v>
          </cell>
        </row>
        <row r="9082">
          <cell r="A9082" t="str">
            <v>T06</v>
          </cell>
          <cell r="B9082" t="str">
            <v>Otros traumatismos que afectan múltiples regiones del cuerpo, no clasificados en otra parte</v>
          </cell>
        </row>
        <row r="9083">
          <cell r="A9083" t="str">
            <v>T06.0</v>
          </cell>
          <cell r="B9083" t="str">
            <v>Traumatismos del encéfalo y de nervios craneales con traumatismo de nervios y médula espinal a nivel del cuello</v>
          </cell>
        </row>
        <row r="9084">
          <cell r="A9084" t="str">
            <v>T06.1</v>
          </cell>
          <cell r="B9084" t="str">
            <v>Traumatismos de nervios y médula espinal que afectan otras múltiples regiones del cuerpo</v>
          </cell>
        </row>
        <row r="9085">
          <cell r="A9085" t="str">
            <v>T06.2</v>
          </cell>
          <cell r="B9085" t="str">
            <v>Traumatismos de nervios que afectan múltiples regiones del cuerpo</v>
          </cell>
        </row>
        <row r="9086">
          <cell r="A9086" t="str">
            <v>T06.3</v>
          </cell>
          <cell r="B9086" t="str">
            <v>Traumatismos de vasos sanguíneos que afectan múltiples regiones del cuerpo</v>
          </cell>
        </row>
        <row r="9087">
          <cell r="A9087" t="str">
            <v>T06.4</v>
          </cell>
          <cell r="B9087" t="str">
            <v>Traumatismos de tendones y músculos que afectan múltiples regiones del cuerpo</v>
          </cell>
        </row>
        <row r="9088">
          <cell r="A9088" t="str">
            <v>T06.5</v>
          </cell>
          <cell r="B9088" t="str">
            <v>Traumatismos de órganos intratorácicos con órganos intraabdominales y pélvicos</v>
          </cell>
        </row>
        <row r="9089">
          <cell r="A9089" t="str">
            <v>T06.8</v>
          </cell>
          <cell r="B9089" t="str">
            <v>Otros traumatismos especificados que afectan múltiples regiones del cuerpo</v>
          </cell>
        </row>
        <row r="9090">
          <cell r="A9090" t="str">
            <v>T07.X</v>
          </cell>
          <cell r="B9090" t="str">
            <v>Traumatismos múltiples, no especificados</v>
          </cell>
        </row>
        <row r="9091">
          <cell r="A9091" t="str">
            <v>T08.X</v>
          </cell>
          <cell r="B9091" t="str">
            <v>Fractura de la columna vertebral, nivel no especificado</v>
          </cell>
        </row>
        <row r="9092">
          <cell r="A9092" t="str">
            <v>T09</v>
          </cell>
          <cell r="B9092" t="str">
            <v>Otros traumatismos de la columna vertebral y del tronco, nivel no especificado</v>
          </cell>
        </row>
        <row r="9093">
          <cell r="A9093" t="str">
            <v>T09.0</v>
          </cell>
          <cell r="B9093" t="str">
            <v>Traumatismo superficial del tronco, nivel no especificado</v>
          </cell>
        </row>
        <row r="9094">
          <cell r="A9094" t="str">
            <v>T09.1</v>
          </cell>
          <cell r="B9094" t="str">
            <v>Herida del tronco, nivel no especificado</v>
          </cell>
        </row>
        <row r="9095">
          <cell r="A9095" t="str">
            <v>T09.2</v>
          </cell>
          <cell r="B9095" t="str">
            <v>Luxación, esguince o torcedura de articulación y ligamentos del tronco, no especificado</v>
          </cell>
        </row>
        <row r="9096">
          <cell r="A9096" t="str">
            <v>T09.3</v>
          </cell>
          <cell r="B9096" t="str">
            <v>Traumatismo de la médula espinal, nivel no especificado</v>
          </cell>
        </row>
        <row r="9097">
          <cell r="A9097" t="str">
            <v>T09.4</v>
          </cell>
          <cell r="B9097" t="str">
            <v>Traumatismo de nervios, raíz de nervio espinal y plexos del tronco no especificados</v>
          </cell>
        </row>
        <row r="9098">
          <cell r="A9098" t="str">
            <v>T09.5</v>
          </cell>
          <cell r="B9098" t="str">
            <v>Traumatismo de tendones y músculos del tronco no especificados</v>
          </cell>
        </row>
        <row r="9099">
          <cell r="A9099" t="str">
            <v>T09.6</v>
          </cell>
          <cell r="B9099" t="str">
            <v>Amputación traumática del tronco, nivel no especificado</v>
          </cell>
        </row>
        <row r="9100">
          <cell r="A9100" t="str">
            <v>T09.8</v>
          </cell>
          <cell r="B9100" t="str">
            <v>Otros traumatismos especificados del tronco, nivel no especificado</v>
          </cell>
        </row>
        <row r="9101">
          <cell r="A9101" t="str">
            <v>T09.9</v>
          </cell>
          <cell r="B9101" t="str">
            <v>Traumatismo no especificado del tronco, nivel no especificado</v>
          </cell>
        </row>
        <row r="9102">
          <cell r="A9102" t="str">
            <v>T10.X</v>
          </cell>
          <cell r="B9102" t="str">
            <v>Fractura de miembro superior, nivel no especificado</v>
          </cell>
        </row>
        <row r="9103">
          <cell r="A9103" t="str">
            <v>T11</v>
          </cell>
          <cell r="B9103" t="str">
            <v>Otros traumatismos de miembro superior, nivel no especificado</v>
          </cell>
        </row>
        <row r="9104">
          <cell r="A9104" t="str">
            <v>T11.0</v>
          </cell>
          <cell r="B9104" t="str">
            <v>Traumatismo superficial de miembro superior, nivel no especificado</v>
          </cell>
        </row>
        <row r="9105">
          <cell r="A9105" t="str">
            <v>T11.1</v>
          </cell>
          <cell r="B9105" t="str">
            <v>Herida de miembro superior, nivel no especificado</v>
          </cell>
        </row>
        <row r="9106">
          <cell r="A9106" t="str">
            <v>T11.2</v>
          </cell>
          <cell r="B9106" t="str">
            <v>Luxación, esguince o torcedura de articulación o ligamento no especificado de miembro superior, nivel no especificado</v>
          </cell>
        </row>
        <row r="9107">
          <cell r="A9107" t="str">
            <v>T11.3</v>
          </cell>
          <cell r="B9107" t="str">
            <v>Traumatismo de nervio no especificado de miembro superior, nivel no especificado</v>
          </cell>
        </row>
        <row r="9108">
          <cell r="A9108" t="str">
            <v>T11.4</v>
          </cell>
          <cell r="B9108" t="str">
            <v>Traumatismo de vasos sanguíneos no especificados de miembro superior, nivel no especificado</v>
          </cell>
        </row>
        <row r="9109">
          <cell r="A9109" t="str">
            <v>T11.5</v>
          </cell>
          <cell r="B9109" t="str">
            <v>Traumatismo de tendón y músculo no especificados de miembro superior, nivel no especificado</v>
          </cell>
        </row>
        <row r="9110">
          <cell r="A9110" t="str">
            <v>T11.6</v>
          </cell>
          <cell r="B9110" t="str">
            <v>Amputación traumática de miembro superior, nivel no especificado</v>
          </cell>
        </row>
        <row r="9111">
          <cell r="A9111" t="str">
            <v>T11.8</v>
          </cell>
          <cell r="B9111" t="str">
            <v>Otros traumatismos especificados de miembro superior, nivel no especificado</v>
          </cell>
        </row>
        <row r="9112">
          <cell r="A9112" t="str">
            <v>T11.9</v>
          </cell>
          <cell r="B9112" t="str">
            <v>Traumatismo no especificado de miembro superior, nivel no especificado</v>
          </cell>
        </row>
        <row r="9113">
          <cell r="A9113" t="str">
            <v>T12.X</v>
          </cell>
          <cell r="B9113" t="str">
            <v>Fractura de miembro inferior, nivel no especificado</v>
          </cell>
        </row>
        <row r="9114">
          <cell r="A9114" t="str">
            <v>T13</v>
          </cell>
          <cell r="B9114" t="str">
            <v>Otros traumatismos de miembro inferior, nivel no especificado</v>
          </cell>
        </row>
        <row r="9115">
          <cell r="A9115" t="str">
            <v>T13.0</v>
          </cell>
          <cell r="B9115" t="str">
            <v>Traumatismo superficial de miembro inferior, nivel no especificado</v>
          </cell>
        </row>
        <row r="9116">
          <cell r="A9116" t="str">
            <v>T13.1</v>
          </cell>
          <cell r="B9116" t="str">
            <v>Herida de miembro inferior, nivel no especificado</v>
          </cell>
        </row>
        <row r="9117">
          <cell r="A9117" t="str">
            <v>T13.2</v>
          </cell>
          <cell r="B9117" t="str">
            <v>Luxación, esguince o torcedura de articulación y ligamentos no especificados de miembro inferior, nivel no especificado</v>
          </cell>
        </row>
        <row r="9118">
          <cell r="A9118" t="str">
            <v>T13.3</v>
          </cell>
          <cell r="B9118" t="str">
            <v>Traumatismo de nervios no especificados de miembro inferior, nivel no especificado</v>
          </cell>
        </row>
        <row r="9119">
          <cell r="A9119" t="str">
            <v>T13.4</v>
          </cell>
          <cell r="B9119" t="str">
            <v>Traumatismo de vasos sanguíneos no especificados de miembro inferior, nivel no especificado</v>
          </cell>
        </row>
        <row r="9120">
          <cell r="A9120" t="str">
            <v>T13.5</v>
          </cell>
          <cell r="B9120" t="str">
            <v>Traumatismo de tendones y músculos no especificados de miembro inferior, nivel no especificado</v>
          </cell>
        </row>
        <row r="9121">
          <cell r="A9121" t="str">
            <v>T13.6</v>
          </cell>
          <cell r="B9121" t="str">
            <v>Amputación traumática de miembro inferior, nivel no especificado</v>
          </cell>
        </row>
        <row r="9122">
          <cell r="A9122" t="str">
            <v>T13.8</v>
          </cell>
          <cell r="B9122" t="str">
            <v>Otros traumatismos especificados de miembro inferior, nivel no especificado</v>
          </cell>
        </row>
        <row r="9123">
          <cell r="A9123" t="str">
            <v>T13.9</v>
          </cell>
          <cell r="B9123" t="str">
            <v>Traumatismo no especificado de miembro inferior, nivel no especificado</v>
          </cell>
        </row>
        <row r="9124">
          <cell r="A9124" t="str">
            <v>T14</v>
          </cell>
          <cell r="B9124" t="str">
            <v>Traumatismo de regiones no especificadas del cuerpo</v>
          </cell>
        </row>
        <row r="9125">
          <cell r="A9125" t="str">
            <v>T14.0</v>
          </cell>
          <cell r="B9125" t="str">
            <v>Traumatismo superficial de región no especificada del cuerpo</v>
          </cell>
        </row>
        <row r="9126">
          <cell r="A9126" t="str">
            <v>T14.1</v>
          </cell>
          <cell r="B9126" t="str">
            <v>Herida de región no especificada del cuerpo</v>
          </cell>
        </row>
        <row r="9127">
          <cell r="A9127" t="str">
            <v>T14.2</v>
          </cell>
          <cell r="B9127" t="str">
            <v>Fractura de región no especificada del cuerpo</v>
          </cell>
        </row>
        <row r="9128">
          <cell r="A9128" t="str">
            <v>T14.3</v>
          </cell>
          <cell r="B9128" t="str">
            <v>Luxación, esguince y torcedura de región no especificada del cuerpo</v>
          </cell>
        </row>
        <row r="9129">
          <cell r="A9129" t="str">
            <v>T14.4</v>
          </cell>
          <cell r="B9129" t="str">
            <v>Traumatismo de nervio(s) de región no especificada del cuerpo</v>
          </cell>
        </row>
        <row r="9130">
          <cell r="A9130" t="str">
            <v>T14.5</v>
          </cell>
          <cell r="B9130" t="str">
            <v>Traumatismo de vaso(s) sanguíneo(s) de región no especificada del cuerpo</v>
          </cell>
        </row>
        <row r="9131">
          <cell r="A9131" t="str">
            <v>T14.6</v>
          </cell>
          <cell r="B9131" t="str">
            <v>Traumatismo de tendones y músculos de región no especificada del cuerpo</v>
          </cell>
        </row>
        <row r="9132">
          <cell r="A9132" t="str">
            <v>T14.7</v>
          </cell>
          <cell r="B9132" t="str">
            <v>Traumatismo por aplastamiento y amputación traumática de regiones no especificadas del cuerpo</v>
          </cell>
        </row>
        <row r="9133">
          <cell r="A9133" t="str">
            <v>T14.8</v>
          </cell>
          <cell r="B9133" t="str">
            <v>Otros traumatismos de región no especificada del cuerpo</v>
          </cell>
        </row>
        <row r="9134">
          <cell r="A9134" t="str">
            <v>T14.9</v>
          </cell>
          <cell r="B9134" t="str">
            <v>Traumatismo, no especificado</v>
          </cell>
        </row>
        <row r="9135">
          <cell r="A9135" t="str">
            <v>T15</v>
          </cell>
          <cell r="B9135" t="str">
            <v>Cuerpo extraño en parte externa del ojo</v>
          </cell>
        </row>
        <row r="9136">
          <cell r="A9136" t="str">
            <v>T15.0</v>
          </cell>
          <cell r="B9136" t="str">
            <v>Cuerpo extraño en la córnea</v>
          </cell>
        </row>
        <row r="9137">
          <cell r="A9137" t="str">
            <v>T15.1</v>
          </cell>
          <cell r="B9137" t="str">
            <v>Cuerpo extraño en el saco conjuntival</v>
          </cell>
        </row>
        <row r="9138">
          <cell r="A9138" t="str">
            <v>T15.8</v>
          </cell>
          <cell r="B9138" t="str">
            <v>Cuerpo extraño en otras y en múltiples partes de la parte externa del ojo</v>
          </cell>
        </row>
        <row r="9139">
          <cell r="A9139" t="str">
            <v>T15.9</v>
          </cell>
          <cell r="B9139" t="str">
            <v>Cuerpo extraño en parte externa del ojo, sitio no especificado</v>
          </cell>
        </row>
        <row r="9140">
          <cell r="A9140" t="str">
            <v>T16.X</v>
          </cell>
          <cell r="B9140" t="str">
            <v>Cuerpo extraño en el oído</v>
          </cell>
        </row>
        <row r="9141">
          <cell r="A9141" t="str">
            <v>T17</v>
          </cell>
          <cell r="B9141" t="str">
            <v>Cuerpo extraño en las vías respiratorias</v>
          </cell>
        </row>
        <row r="9142">
          <cell r="A9142" t="str">
            <v>T17.0</v>
          </cell>
          <cell r="B9142" t="str">
            <v>Cuerpo extraño en seno paranasal</v>
          </cell>
        </row>
        <row r="9143">
          <cell r="A9143" t="str">
            <v>T17.1</v>
          </cell>
          <cell r="B9143" t="str">
            <v>Cuerpo extraño en el orificio nasal</v>
          </cell>
        </row>
        <row r="9144">
          <cell r="A9144" t="str">
            <v>T17.2</v>
          </cell>
          <cell r="B9144" t="str">
            <v>Cuerpo extraño en la faringe</v>
          </cell>
        </row>
        <row r="9145">
          <cell r="A9145" t="str">
            <v>T17.3</v>
          </cell>
          <cell r="B9145" t="str">
            <v>Cuerpo extraño en la laringe</v>
          </cell>
        </row>
        <row r="9146">
          <cell r="A9146" t="str">
            <v>T17.4</v>
          </cell>
          <cell r="B9146" t="str">
            <v>Cuerpo extraño en la tráquea</v>
          </cell>
        </row>
        <row r="9147">
          <cell r="A9147" t="str">
            <v>T17.5</v>
          </cell>
          <cell r="B9147" t="str">
            <v>Cuerpo extraño en bronquios</v>
          </cell>
        </row>
        <row r="9148">
          <cell r="A9148" t="str">
            <v>T17.8</v>
          </cell>
          <cell r="B9148" t="str">
            <v>Cuerpo extraño en otras y en múltiples partes de las vías respiratorias</v>
          </cell>
        </row>
        <row r="9149">
          <cell r="A9149" t="str">
            <v>T17.9</v>
          </cell>
          <cell r="B9149" t="str">
            <v>Cuerpo extraño en las vías respiratorias, parte no especificada</v>
          </cell>
        </row>
        <row r="9150">
          <cell r="A9150" t="str">
            <v>T18</v>
          </cell>
          <cell r="B9150" t="str">
            <v>Cuerpo extraño en el tubo digestivo</v>
          </cell>
        </row>
        <row r="9151">
          <cell r="A9151" t="str">
            <v>T18.0</v>
          </cell>
          <cell r="B9151" t="str">
            <v>Cuerpo extraño en la boca</v>
          </cell>
        </row>
        <row r="9152">
          <cell r="A9152" t="str">
            <v>T18.1</v>
          </cell>
          <cell r="B9152" t="str">
            <v>Cuerpo extraño en el esófago</v>
          </cell>
        </row>
        <row r="9153">
          <cell r="A9153" t="str">
            <v>T18.2</v>
          </cell>
          <cell r="B9153" t="str">
            <v>Cuerpo extraño en el estómago</v>
          </cell>
        </row>
        <row r="9154">
          <cell r="A9154" t="str">
            <v>T18.3</v>
          </cell>
          <cell r="B9154" t="str">
            <v>Cuerpo extraño en el intestino delgado</v>
          </cell>
        </row>
        <row r="9155">
          <cell r="A9155" t="str">
            <v>T18.4</v>
          </cell>
          <cell r="B9155" t="str">
            <v>Cuerpo extraño en el colon</v>
          </cell>
        </row>
        <row r="9156">
          <cell r="A9156" t="str">
            <v>T18.5</v>
          </cell>
          <cell r="B9156" t="str">
            <v>Cuerpo extraño en el ano y en el recto</v>
          </cell>
        </row>
        <row r="9157">
          <cell r="A9157" t="str">
            <v>T18.8</v>
          </cell>
          <cell r="B9157" t="str">
            <v>Cuerpo extraño en otras y en múltiples partes del tubo digestivo</v>
          </cell>
        </row>
        <row r="9158">
          <cell r="A9158" t="str">
            <v>T18.9</v>
          </cell>
          <cell r="B9158" t="str">
            <v>Cuerpo extraño en el tubo digestivo, parte no especificada</v>
          </cell>
        </row>
        <row r="9159">
          <cell r="A9159" t="str">
            <v>T19</v>
          </cell>
          <cell r="B9159" t="str">
            <v>Cuerpo extraño en las vías genitourinarias</v>
          </cell>
        </row>
        <row r="9160">
          <cell r="A9160" t="str">
            <v>T19.0</v>
          </cell>
          <cell r="B9160" t="str">
            <v>Cuerpo extraño en la uretra</v>
          </cell>
        </row>
        <row r="9161">
          <cell r="A9161" t="str">
            <v>T19.1</v>
          </cell>
          <cell r="B9161" t="str">
            <v>Cuerpo extraño en la vejiga</v>
          </cell>
        </row>
        <row r="9162">
          <cell r="A9162" t="str">
            <v>T19.2</v>
          </cell>
          <cell r="B9162" t="str">
            <v>Cuerpo extraño en la vulva y en la vagina</v>
          </cell>
        </row>
        <row r="9163">
          <cell r="A9163" t="str">
            <v>T19.3</v>
          </cell>
          <cell r="B9163" t="str">
            <v>Cuerpo extraño en el útero [cualquier parte]</v>
          </cell>
        </row>
        <row r="9164">
          <cell r="A9164" t="str">
            <v>T19.8</v>
          </cell>
          <cell r="B9164" t="str">
            <v>Cuerpo extraño en otras y en múltiples partes de las vías genitourinarias</v>
          </cell>
        </row>
        <row r="9165">
          <cell r="A9165" t="str">
            <v>T19.9</v>
          </cell>
          <cell r="B9165" t="str">
            <v>Cuerpo extraño en las vías genitourinarias, parte no especificada</v>
          </cell>
        </row>
        <row r="9166">
          <cell r="A9166" t="str">
            <v>T20</v>
          </cell>
          <cell r="B9166" t="str">
            <v>Quemadura y corrosión de la cabeza y del cuello</v>
          </cell>
        </row>
        <row r="9167">
          <cell r="A9167" t="str">
            <v>T20.0</v>
          </cell>
          <cell r="B9167" t="str">
            <v>Quemadura de la cabeza y del cuello, grado no especificado</v>
          </cell>
        </row>
        <row r="9168">
          <cell r="A9168" t="str">
            <v>T20.1</v>
          </cell>
          <cell r="B9168" t="str">
            <v>Quemadura de la cabeza y del cuello, de primer grado</v>
          </cell>
        </row>
        <row r="9169">
          <cell r="A9169" t="str">
            <v>T20.2</v>
          </cell>
          <cell r="B9169" t="str">
            <v>Quemadura de la cabeza y del cuello, de segundo grado</v>
          </cell>
        </row>
        <row r="9170">
          <cell r="A9170" t="str">
            <v>T20.3</v>
          </cell>
          <cell r="B9170" t="str">
            <v>Quemadura de la cabeza y del cuello, de tercer grado</v>
          </cell>
        </row>
        <row r="9171">
          <cell r="A9171" t="str">
            <v>T20.4</v>
          </cell>
          <cell r="B9171" t="str">
            <v>Corrosión de la cabeza y del cuello, grado no especificado</v>
          </cell>
        </row>
        <row r="9172">
          <cell r="A9172" t="str">
            <v>T20.5</v>
          </cell>
          <cell r="B9172" t="str">
            <v>Corrosión de la cabeza y del cuello, de primer grado</v>
          </cell>
        </row>
        <row r="9173">
          <cell r="A9173" t="str">
            <v>T20.6</v>
          </cell>
          <cell r="B9173" t="str">
            <v>Corrosión de la cabeza y del cuello, de segundo grado</v>
          </cell>
        </row>
        <row r="9174">
          <cell r="A9174" t="str">
            <v>T20.7</v>
          </cell>
          <cell r="B9174" t="str">
            <v>Corrosión de la cabeza y del cuello, de tercer grado</v>
          </cell>
        </row>
        <row r="9175">
          <cell r="A9175" t="str">
            <v>T21</v>
          </cell>
          <cell r="B9175" t="str">
            <v>Quemadura y corrosión del tronco</v>
          </cell>
        </row>
        <row r="9176">
          <cell r="A9176" t="str">
            <v>T21.0</v>
          </cell>
          <cell r="B9176" t="str">
            <v>Quemadura del tronco, grado no especificado</v>
          </cell>
        </row>
        <row r="9177">
          <cell r="A9177" t="str">
            <v>T21.1</v>
          </cell>
          <cell r="B9177" t="str">
            <v>Quemadura del tronco, de primer grado</v>
          </cell>
        </row>
        <row r="9178">
          <cell r="A9178" t="str">
            <v>T21.2</v>
          </cell>
          <cell r="B9178" t="str">
            <v>Quemadura del tronco, de segundo grado</v>
          </cell>
        </row>
        <row r="9179">
          <cell r="A9179" t="str">
            <v>T21.3</v>
          </cell>
          <cell r="B9179" t="str">
            <v>Quemadura del tronco, de tercer grado</v>
          </cell>
        </row>
        <row r="9180">
          <cell r="A9180" t="str">
            <v>T21.4</v>
          </cell>
          <cell r="B9180" t="str">
            <v>Corrosión del tronco, grado no especificado</v>
          </cell>
        </row>
        <row r="9181">
          <cell r="A9181" t="str">
            <v>T21.5</v>
          </cell>
          <cell r="B9181" t="str">
            <v>Corrosión del tronco, de primer grado</v>
          </cell>
        </row>
        <row r="9182">
          <cell r="A9182" t="str">
            <v>T21.6</v>
          </cell>
          <cell r="B9182" t="str">
            <v>Corrosión del tronco, de segundo grado</v>
          </cell>
        </row>
        <row r="9183">
          <cell r="A9183" t="str">
            <v>T21.7</v>
          </cell>
          <cell r="B9183" t="str">
            <v>Corrosión del tronco, de tercer grado</v>
          </cell>
        </row>
        <row r="9184">
          <cell r="A9184" t="str">
            <v>T22</v>
          </cell>
          <cell r="B9184" t="str">
            <v>Quemadura y corrosión del hombro y miembro superior, excepto de la muñeca y de la mano</v>
          </cell>
        </row>
        <row r="9185">
          <cell r="A9185" t="str">
            <v>T22.0</v>
          </cell>
          <cell r="B9185" t="str">
            <v>Quemadura del hombro y miembro superior, grado no especificado, excepto de la muñeca y de la mano</v>
          </cell>
        </row>
        <row r="9186">
          <cell r="A9186" t="str">
            <v>T22.1</v>
          </cell>
          <cell r="B9186" t="str">
            <v>Quemadura del hombro y miembro superior, de primer grado, excepto de la muñeca y de la mano</v>
          </cell>
        </row>
        <row r="9187">
          <cell r="A9187" t="str">
            <v>T22.2</v>
          </cell>
          <cell r="B9187" t="str">
            <v>Quemadura del hombro y miembro superior, de segundo grado, excepto de la muñeca y de la mano</v>
          </cell>
        </row>
        <row r="9188">
          <cell r="A9188" t="str">
            <v>T22.3</v>
          </cell>
          <cell r="B9188" t="str">
            <v>Quemadura del hombro y miembro superior, de tercer grado, excepto de la muñeca y de la mano</v>
          </cell>
        </row>
        <row r="9189">
          <cell r="A9189" t="str">
            <v>T22.4</v>
          </cell>
          <cell r="B9189" t="str">
            <v>Corrosión del hombro y miembro superior, grado no especificado, excepto de la muñeca y de la mano</v>
          </cell>
        </row>
        <row r="9190">
          <cell r="A9190" t="str">
            <v>T22.5</v>
          </cell>
          <cell r="B9190" t="str">
            <v>Corrosión del hombro y miembro superior, de primer grado, excepto de la muñeca y de la mano</v>
          </cell>
        </row>
        <row r="9191">
          <cell r="A9191" t="str">
            <v>T22.6</v>
          </cell>
          <cell r="B9191" t="str">
            <v>Corrosión del hombro y miembro superior, de segundo grado, excepto de la muñeca y de la mano</v>
          </cell>
        </row>
        <row r="9192">
          <cell r="A9192" t="str">
            <v>T22.7</v>
          </cell>
          <cell r="B9192" t="str">
            <v>Corrosión del hombro y miembro superior, de tercer grado, excepto de la muñeca y de la mano</v>
          </cell>
        </row>
        <row r="9193">
          <cell r="A9193" t="str">
            <v>T23</v>
          </cell>
          <cell r="B9193" t="str">
            <v>Quemadura y corrosión de la muñeca y de la mano</v>
          </cell>
        </row>
        <row r="9194">
          <cell r="A9194" t="str">
            <v>T23.0</v>
          </cell>
          <cell r="B9194" t="str">
            <v>Quemadura de la muñeca y de la mano, grado no especificado</v>
          </cell>
        </row>
        <row r="9195">
          <cell r="A9195" t="str">
            <v>T23.1</v>
          </cell>
          <cell r="B9195" t="str">
            <v>Quemadura de la muñeca y de la mano, de primer grado</v>
          </cell>
        </row>
        <row r="9196">
          <cell r="A9196" t="str">
            <v>T23.2</v>
          </cell>
          <cell r="B9196" t="str">
            <v>Quemadura de la muñeca y de la mano, de segundo grado</v>
          </cell>
        </row>
        <row r="9197">
          <cell r="A9197" t="str">
            <v>T23.3</v>
          </cell>
          <cell r="B9197" t="str">
            <v>Quemadura de la muñeca y de la mano, de tercer grado</v>
          </cell>
        </row>
        <row r="9198">
          <cell r="A9198" t="str">
            <v>T23.4</v>
          </cell>
          <cell r="B9198" t="str">
            <v>Corrosión de la muñeca y de la mano, grado no especificado</v>
          </cell>
        </row>
        <row r="9199">
          <cell r="A9199" t="str">
            <v>T23.5</v>
          </cell>
          <cell r="B9199" t="str">
            <v>Corrosión de la muñeca y de la mano, de primer grado</v>
          </cell>
        </row>
        <row r="9200">
          <cell r="A9200" t="str">
            <v>T23.6</v>
          </cell>
          <cell r="B9200" t="str">
            <v>Corrosión de la muñeca y de la mano, de segundo grado</v>
          </cell>
        </row>
        <row r="9201">
          <cell r="A9201" t="str">
            <v>T23.7</v>
          </cell>
          <cell r="B9201" t="str">
            <v>Corrosión de la muñeca y de la mano, de tercer grado</v>
          </cell>
        </row>
        <row r="9202">
          <cell r="A9202" t="str">
            <v>T24</v>
          </cell>
          <cell r="B9202" t="str">
            <v>Quemadura y corrosión de la cadera y miembro inferior, excepto tobillo y pie</v>
          </cell>
        </row>
        <row r="9203">
          <cell r="A9203" t="str">
            <v>T24.0</v>
          </cell>
          <cell r="B9203" t="str">
            <v>Quemadura de la cadera y miembro inferior, grado no especificado, excepto tobillo y pie</v>
          </cell>
        </row>
        <row r="9204">
          <cell r="A9204" t="str">
            <v>T24.1</v>
          </cell>
          <cell r="B9204" t="str">
            <v>Quemadura de la cadera y miembro inferior, de primer grado, excepto tobillo y pie</v>
          </cell>
        </row>
        <row r="9205">
          <cell r="A9205" t="str">
            <v>T24.2</v>
          </cell>
          <cell r="B9205" t="str">
            <v>Quemadura de la cadera y miembro inferior, de segundo grado, excepto tobillo y pie</v>
          </cell>
        </row>
        <row r="9206">
          <cell r="A9206" t="str">
            <v>T24.3</v>
          </cell>
          <cell r="B9206" t="str">
            <v>Quemadura de la cadera y miembro inferior, de tercer grado, excepto tobillo y pie</v>
          </cell>
        </row>
        <row r="9207">
          <cell r="A9207" t="str">
            <v>T24.4</v>
          </cell>
          <cell r="B9207" t="str">
            <v>Corrosión de la cadera y miembro inferior, grado no especificado, excepto tobillo y pie</v>
          </cell>
        </row>
        <row r="9208">
          <cell r="A9208" t="str">
            <v>T24.5</v>
          </cell>
          <cell r="B9208" t="str">
            <v>Corrosión de la cadera y miembro inferior, de primer grado, excepto tobillo y pie</v>
          </cell>
        </row>
        <row r="9209">
          <cell r="A9209" t="str">
            <v>T24.6</v>
          </cell>
          <cell r="B9209" t="str">
            <v>Corrosión de la cadera y miembro inferior, de segundo grado, excepto tobillo y pie</v>
          </cell>
        </row>
        <row r="9210">
          <cell r="A9210" t="str">
            <v>T24.7</v>
          </cell>
          <cell r="B9210" t="str">
            <v>Corrosión de la cadera y miembro inferior, de tercer grado, excepto tobillo y pie</v>
          </cell>
        </row>
        <row r="9211">
          <cell r="A9211" t="str">
            <v>T25</v>
          </cell>
          <cell r="B9211" t="str">
            <v>Quemadura y corrosión del tobillo y del pie</v>
          </cell>
        </row>
        <row r="9212">
          <cell r="A9212" t="str">
            <v>T25.0</v>
          </cell>
          <cell r="B9212" t="str">
            <v>Quemadura del tobillo y del pie, grado no especificado</v>
          </cell>
        </row>
        <row r="9213">
          <cell r="A9213" t="str">
            <v>T25.1</v>
          </cell>
          <cell r="B9213" t="str">
            <v>Quemadura del tobillo y del pie, de primer grado</v>
          </cell>
        </row>
        <row r="9214">
          <cell r="A9214" t="str">
            <v>T25.2</v>
          </cell>
          <cell r="B9214" t="str">
            <v>Quemadura del tobillo y del pie, de segundo grado</v>
          </cell>
        </row>
        <row r="9215">
          <cell r="A9215" t="str">
            <v>T25.3</v>
          </cell>
          <cell r="B9215" t="str">
            <v>Quemadura del tobillo y del pie, de tercer grado</v>
          </cell>
        </row>
        <row r="9216">
          <cell r="A9216" t="str">
            <v>T25.4</v>
          </cell>
          <cell r="B9216" t="str">
            <v>Corrosión del tobillo y del pie, grado no especificado</v>
          </cell>
        </row>
        <row r="9217">
          <cell r="A9217" t="str">
            <v>T25.5</v>
          </cell>
          <cell r="B9217" t="str">
            <v>Corrosión del tobillo y del pie, de primer grado</v>
          </cell>
        </row>
        <row r="9218">
          <cell r="A9218" t="str">
            <v>T25.6</v>
          </cell>
          <cell r="B9218" t="str">
            <v>Corrosión del tobillo y del pie, de segundo grado</v>
          </cell>
        </row>
        <row r="9219">
          <cell r="A9219" t="str">
            <v>T25.7</v>
          </cell>
          <cell r="B9219" t="str">
            <v>Corrosión del tobillo y del pie, de tercer grado</v>
          </cell>
        </row>
        <row r="9220">
          <cell r="A9220" t="str">
            <v>T26</v>
          </cell>
          <cell r="B9220" t="str">
            <v>Quemadura y corrosión limitada al ojo y sus anexos</v>
          </cell>
        </row>
        <row r="9221">
          <cell r="A9221" t="str">
            <v>T26.0</v>
          </cell>
          <cell r="B9221" t="str">
            <v>Quemadura del párpado y área periocular</v>
          </cell>
        </row>
        <row r="9222">
          <cell r="A9222" t="str">
            <v>T26.1</v>
          </cell>
          <cell r="B9222" t="str">
            <v>Quemadura de la córnea y saco conjuntival</v>
          </cell>
        </row>
        <row r="9223">
          <cell r="A9223" t="str">
            <v>T26.2</v>
          </cell>
          <cell r="B9223" t="str">
            <v>Quemadura con ruptura y destrucción resultantes del globo ocular</v>
          </cell>
        </row>
        <row r="9224">
          <cell r="A9224" t="str">
            <v>T26.3</v>
          </cell>
          <cell r="B9224" t="str">
            <v>Quemadura de otras partes del ojo y sus anexos</v>
          </cell>
        </row>
        <row r="9225">
          <cell r="A9225" t="str">
            <v>T26.4</v>
          </cell>
          <cell r="B9225" t="str">
            <v>Quemadura del ojo y anexos, parte no especificada</v>
          </cell>
        </row>
        <row r="9226">
          <cell r="A9226" t="str">
            <v>T26.5</v>
          </cell>
          <cell r="B9226" t="str">
            <v>Corrosión del párpado y área periocular</v>
          </cell>
        </row>
        <row r="9227">
          <cell r="A9227" t="str">
            <v>T26.6</v>
          </cell>
          <cell r="B9227" t="str">
            <v>Corrosión de la córnea y saco conjuntival</v>
          </cell>
        </row>
        <row r="9228">
          <cell r="A9228" t="str">
            <v>T26.7</v>
          </cell>
          <cell r="B9228" t="str">
            <v>Corrosión con ruptura y destrucción resultantes del globo ocular</v>
          </cell>
        </row>
        <row r="9229">
          <cell r="A9229" t="str">
            <v>T26.8</v>
          </cell>
          <cell r="B9229" t="str">
            <v>Corrosión de otras partes del ojo y sus anexos</v>
          </cell>
        </row>
        <row r="9230">
          <cell r="A9230" t="str">
            <v>T26.9</v>
          </cell>
          <cell r="B9230" t="str">
            <v>Corrosión del ojo y sus anexos, parte no especificada</v>
          </cell>
        </row>
        <row r="9231">
          <cell r="A9231" t="str">
            <v>T27</v>
          </cell>
          <cell r="B9231" t="str">
            <v>Quemadura y corrosión de las vías respiratorias</v>
          </cell>
        </row>
        <row r="9232">
          <cell r="A9232" t="str">
            <v>T27.0</v>
          </cell>
          <cell r="B9232" t="str">
            <v>Quemadura de la laringe y de la tráquea</v>
          </cell>
        </row>
        <row r="9233">
          <cell r="A9233" t="str">
            <v>T27.1</v>
          </cell>
          <cell r="B9233" t="str">
            <v>Quemadura que afecta la laringe y la tráquea con el pulmón</v>
          </cell>
        </row>
        <row r="9234">
          <cell r="A9234" t="str">
            <v>T27.2</v>
          </cell>
          <cell r="B9234" t="str">
            <v>Quemadura de otras partes de las vías respiratorias</v>
          </cell>
        </row>
        <row r="9235">
          <cell r="A9235" t="str">
            <v>T27.3</v>
          </cell>
          <cell r="B9235" t="str">
            <v>Quemadura de las vías respiratorias, parte no especificada</v>
          </cell>
        </row>
        <row r="9236">
          <cell r="A9236" t="str">
            <v>T27.4</v>
          </cell>
          <cell r="B9236" t="str">
            <v>Corrosión de la laringe y de la tráquea</v>
          </cell>
        </row>
        <row r="9237">
          <cell r="A9237" t="str">
            <v>T27.5</v>
          </cell>
          <cell r="B9237" t="str">
            <v>Corrosión que afecta la laringe y la tráquea con el pulmón</v>
          </cell>
        </row>
        <row r="9238">
          <cell r="A9238" t="str">
            <v>T27.6</v>
          </cell>
          <cell r="B9238" t="str">
            <v>Corrosión de otras partes de las vías respiratorias</v>
          </cell>
        </row>
        <row r="9239">
          <cell r="A9239" t="str">
            <v>T27.7</v>
          </cell>
          <cell r="B9239" t="str">
            <v>Corrosión de las vías respiratorias, parte no especificada</v>
          </cell>
        </row>
        <row r="9240">
          <cell r="A9240" t="str">
            <v>T28</v>
          </cell>
          <cell r="B9240" t="str">
            <v>Quemadura y corrosión de otros órganos internos</v>
          </cell>
        </row>
        <row r="9241">
          <cell r="A9241" t="str">
            <v>T28.0</v>
          </cell>
          <cell r="B9241" t="str">
            <v>Quemadura de la boca y de la faringe</v>
          </cell>
        </row>
        <row r="9242">
          <cell r="A9242" t="str">
            <v>T28.1</v>
          </cell>
          <cell r="B9242" t="str">
            <v>Quemadura del esófago</v>
          </cell>
        </row>
        <row r="9243">
          <cell r="A9243" t="str">
            <v>T28.2</v>
          </cell>
          <cell r="B9243" t="str">
            <v>Quemadura de otras partes del tubo digestivo</v>
          </cell>
        </row>
        <row r="9244">
          <cell r="A9244" t="str">
            <v>T28.3</v>
          </cell>
          <cell r="B9244" t="str">
            <v>Quemadura de órganos genitourinarios internos</v>
          </cell>
        </row>
        <row r="9245">
          <cell r="A9245" t="str">
            <v>T28.4</v>
          </cell>
          <cell r="B9245" t="str">
            <v>Quemadura de otros órganos internos y de los no especificados</v>
          </cell>
        </row>
        <row r="9246">
          <cell r="A9246" t="str">
            <v>T28.5</v>
          </cell>
          <cell r="B9246" t="str">
            <v>Corrosión de la boca y de la faringe</v>
          </cell>
        </row>
        <row r="9247">
          <cell r="A9247" t="str">
            <v>T28.6</v>
          </cell>
          <cell r="B9247" t="str">
            <v>Corrosión del esófago</v>
          </cell>
        </row>
        <row r="9248">
          <cell r="A9248" t="str">
            <v>T28.7</v>
          </cell>
          <cell r="B9248" t="str">
            <v>Corrosión de otras partes del tubo digestivo</v>
          </cell>
        </row>
        <row r="9249">
          <cell r="A9249" t="str">
            <v>T28.8</v>
          </cell>
          <cell r="B9249" t="str">
            <v>Corrosión de órganos genitourinarios internos</v>
          </cell>
        </row>
        <row r="9250">
          <cell r="A9250" t="str">
            <v>T28.9</v>
          </cell>
          <cell r="B9250" t="str">
            <v>Corrosión de otros órganos internos y de los no especificados</v>
          </cell>
        </row>
        <row r="9251">
          <cell r="A9251" t="str">
            <v>T29</v>
          </cell>
          <cell r="B9251" t="str">
            <v>Quemaduras y corrosiones de múltiples regiones del cuerpo</v>
          </cell>
        </row>
        <row r="9252">
          <cell r="A9252" t="str">
            <v>T29.0</v>
          </cell>
          <cell r="B9252" t="str">
            <v>Quemaduras de múltiples regiones, grado no especificado</v>
          </cell>
        </row>
        <row r="9253">
          <cell r="A9253" t="str">
            <v>T29.1</v>
          </cell>
          <cell r="B9253" t="str">
            <v>Quemaduras de múltiples regiones, mencionadas como de no más de primer grado</v>
          </cell>
        </row>
        <row r="9254">
          <cell r="A9254" t="str">
            <v>T29.2</v>
          </cell>
          <cell r="B9254" t="str">
            <v>Quemaduras de múltiples regiones, mencionadas como de no más de segundo grado</v>
          </cell>
        </row>
        <row r="9255">
          <cell r="A9255" t="str">
            <v>T29.3</v>
          </cell>
          <cell r="B9255" t="str">
            <v>Quemaduras múltiples, con mención al menos de una quemadura de tercer grado</v>
          </cell>
        </row>
        <row r="9256">
          <cell r="A9256" t="str">
            <v>T29.4</v>
          </cell>
          <cell r="B9256" t="str">
            <v>Corrosiones de múltiples regiones, grado no especificado</v>
          </cell>
        </row>
        <row r="9257">
          <cell r="A9257" t="str">
            <v>T29.5</v>
          </cell>
          <cell r="B9257" t="str">
            <v>Corrosiones múltiples, mencionadas como de no más de primer grado</v>
          </cell>
        </row>
        <row r="9258">
          <cell r="A9258" t="str">
            <v>T29.6</v>
          </cell>
          <cell r="B9258" t="str">
            <v>Corrosiones múltiples, mencionadas como de no más de segundo grado</v>
          </cell>
        </row>
        <row r="9259">
          <cell r="A9259" t="str">
            <v>T29.7</v>
          </cell>
          <cell r="B9259" t="str">
            <v>Corrosiones múltiples, con mención al menos de una corrosión de tercer grado</v>
          </cell>
        </row>
        <row r="9260">
          <cell r="A9260" t="str">
            <v>T30</v>
          </cell>
          <cell r="B9260" t="str">
            <v>Quemadura y corrosión, región del cuerpo no especificada</v>
          </cell>
        </row>
        <row r="9261">
          <cell r="A9261" t="str">
            <v>T30.0</v>
          </cell>
          <cell r="B9261" t="str">
            <v>Quemadura de región del cuerpo y grado no especificados</v>
          </cell>
        </row>
        <row r="9262">
          <cell r="A9262" t="str">
            <v>T30.1</v>
          </cell>
          <cell r="B9262" t="str">
            <v>Quemadura de primer grado, región del cuerpo no especificada</v>
          </cell>
        </row>
        <row r="9263">
          <cell r="A9263" t="str">
            <v>T30.2</v>
          </cell>
          <cell r="B9263" t="str">
            <v>Quemadura de segundo grado, región del cuerpo no especificada</v>
          </cell>
        </row>
        <row r="9264">
          <cell r="A9264" t="str">
            <v>T30.3</v>
          </cell>
          <cell r="B9264" t="str">
            <v>Quemadura de tercer grado, región del cuerpo no especificada</v>
          </cell>
        </row>
        <row r="9265">
          <cell r="A9265" t="str">
            <v>T30.4</v>
          </cell>
          <cell r="B9265" t="str">
            <v>Corrosión de región del cuerpo y grado no especificados</v>
          </cell>
        </row>
        <row r="9266">
          <cell r="A9266" t="str">
            <v>T30.5</v>
          </cell>
          <cell r="B9266" t="str">
            <v>Corrosión de primer grado, región del cuerpo no especificada</v>
          </cell>
        </row>
        <row r="9267">
          <cell r="A9267" t="str">
            <v>T30.6</v>
          </cell>
          <cell r="B9267" t="str">
            <v>Corrosión de segundo grado, región del cuerpo no especificada</v>
          </cell>
        </row>
        <row r="9268">
          <cell r="A9268" t="str">
            <v>T30.7</v>
          </cell>
          <cell r="B9268" t="str">
            <v>Corrosión de tercer grado, región del cuerpo no especificada</v>
          </cell>
        </row>
        <row r="9269">
          <cell r="A9269" t="str">
            <v>T31</v>
          </cell>
          <cell r="B9269" t="str">
            <v>Quemaduras clasificadas según la extensión de la superficie del cuerpo afectada</v>
          </cell>
        </row>
        <row r="9270">
          <cell r="A9270" t="str">
            <v>T31.0</v>
          </cell>
          <cell r="B9270" t="str">
            <v>Quemaduras que afectan menos del 10% de la superficie del cuerpo</v>
          </cell>
        </row>
        <row r="9271">
          <cell r="A9271" t="str">
            <v>T31.1</v>
          </cell>
          <cell r="B9271" t="str">
            <v>Quemaduras que afectan del 10 al 19% de la superficie del cuerpo</v>
          </cell>
        </row>
        <row r="9272">
          <cell r="A9272" t="str">
            <v>T31.2</v>
          </cell>
          <cell r="B9272" t="str">
            <v>Quemaduras que afectan del 20 al 29% de la superficie del cuerpo</v>
          </cell>
        </row>
        <row r="9273">
          <cell r="A9273" t="str">
            <v>T31.3</v>
          </cell>
          <cell r="B9273" t="str">
            <v>Quemaduras que afectan del 30 al 39% de la superficie del cuerpo</v>
          </cell>
        </row>
        <row r="9274">
          <cell r="A9274" t="str">
            <v>T31.4</v>
          </cell>
          <cell r="B9274" t="str">
            <v>Quemaduras que afectan del 40 al 49% de la superficie del cuerpo</v>
          </cell>
        </row>
        <row r="9275">
          <cell r="A9275" t="str">
            <v>T31.5</v>
          </cell>
          <cell r="B9275" t="str">
            <v>Quemaduras que afectan del 50 al 59% de la superficie del cuerpo</v>
          </cell>
        </row>
        <row r="9276">
          <cell r="A9276" t="str">
            <v>T31.6</v>
          </cell>
          <cell r="B9276" t="str">
            <v>Quemaduras que afectan del 60 al 69% de la superficie del cuerpo</v>
          </cell>
        </row>
        <row r="9277">
          <cell r="A9277" t="str">
            <v>T31.7</v>
          </cell>
          <cell r="B9277" t="str">
            <v>Quemaduras que afectan del 70 al 79% de la superficie del cuerpo</v>
          </cell>
        </row>
        <row r="9278">
          <cell r="A9278" t="str">
            <v>T31.8</v>
          </cell>
          <cell r="B9278" t="str">
            <v>Quemaduras que afectan del 80 al 89% de la superficie del cuerpo</v>
          </cell>
        </row>
        <row r="9279">
          <cell r="A9279" t="str">
            <v>T31.9</v>
          </cell>
          <cell r="B9279" t="str">
            <v>Quemaduras que afectan el 90% o más de la superficie del cuerpo</v>
          </cell>
        </row>
        <row r="9280">
          <cell r="A9280" t="str">
            <v>T32</v>
          </cell>
          <cell r="B9280" t="str">
            <v>Corrosiones clasificadas según la extensión de la superficie del cuerpo afectada</v>
          </cell>
        </row>
        <row r="9281">
          <cell r="A9281" t="str">
            <v>T32.0</v>
          </cell>
          <cell r="B9281" t="str">
            <v>Corrosiones que afectan menos del 10% de la superficie del cuerpo</v>
          </cell>
        </row>
        <row r="9282">
          <cell r="A9282" t="str">
            <v>T32.1</v>
          </cell>
          <cell r="B9282" t="str">
            <v>Corrosiones que afectan del 10 al 19% de la superficie del cuerpo</v>
          </cell>
        </row>
        <row r="9283">
          <cell r="A9283" t="str">
            <v>T32.2</v>
          </cell>
          <cell r="B9283" t="str">
            <v>Corrosiones que afectan del 20 al 29% de la superficie del cuerpo</v>
          </cell>
        </row>
        <row r="9284">
          <cell r="A9284" t="str">
            <v>T32.3</v>
          </cell>
          <cell r="B9284" t="str">
            <v>Corrosiones que afectan del 30 al 39% de la superficie del cuerpo</v>
          </cell>
        </row>
        <row r="9285">
          <cell r="A9285" t="str">
            <v>T32.4</v>
          </cell>
          <cell r="B9285" t="str">
            <v>Corrosiones que afectan del 40 al 49% de la superficie del cuerpo</v>
          </cell>
        </row>
        <row r="9286">
          <cell r="A9286" t="str">
            <v>T32.5</v>
          </cell>
          <cell r="B9286" t="str">
            <v>Corrosiones que afectan del 50 al 59% de la superficie del cuerpo</v>
          </cell>
        </row>
        <row r="9287">
          <cell r="A9287" t="str">
            <v>T32.6</v>
          </cell>
          <cell r="B9287" t="str">
            <v>Corrosiones que afectan del 60 al 69% de la superficie del cuerpo</v>
          </cell>
        </row>
        <row r="9288">
          <cell r="A9288" t="str">
            <v>T32.7</v>
          </cell>
          <cell r="B9288" t="str">
            <v>Corrosiones que afectan del 70 al 79% de la superficie del cuerpo</v>
          </cell>
        </row>
        <row r="9289">
          <cell r="A9289" t="str">
            <v>T32.8</v>
          </cell>
          <cell r="B9289" t="str">
            <v>Corrosiones que afectan del 80 al 89% de la superficie del cuerpo</v>
          </cell>
        </row>
        <row r="9290">
          <cell r="A9290" t="str">
            <v>T32.9</v>
          </cell>
          <cell r="B9290" t="str">
            <v>Corrosiones que afectan el 90% o más de la superficie del cuerpo</v>
          </cell>
        </row>
        <row r="9291">
          <cell r="A9291" t="str">
            <v>T33</v>
          </cell>
          <cell r="B9291" t="str">
            <v>Congelamiento superficial</v>
          </cell>
        </row>
        <row r="9292">
          <cell r="A9292" t="str">
            <v>T33.0</v>
          </cell>
          <cell r="B9292" t="str">
            <v>Congelamiento superficial de la cabeza</v>
          </cell>
        </row>
        <row r="9293">
          <cell r="A9293" t="str">
            <v>T33.1</v>
          </cell>
          <cell r="B9293" t="str">
            <v>Congelamiento superficial del cuello</v>
          </cell>
        </row>
        <row r="9294">
          <cell r="A9294" t="str">
            <v>T33.2</v>
          </cell>
          <cell r="B9294" t="str">
            <v>Congelamiento superficial del tórax</v>
          </cell>
        </row>
        <row r="9295">
          <cell r="A9295" t="str">
            <v>T33.3</v>
          </cell>
          <cell r="B9295" t="str">
            <v>Congelamiento superficial de la pared abdominal, región lumbosacra y pelvis</v>
          </cell>
        </row>
        <row r="9296">
          <cell r="A9296" t="str">
            <v>T33.4</v>
          </cell>
          <cell r="B9296" t="str">
            <v>Congelamiento superficial del brazo</v>
          </cell>
        </row>
        <row r="9297">
          <cell r="A9297" t="str">
            <v>T33.5</v>
          </cell>
          <cell r="B9297" t="str">
            <v>Congelamiento superficial de la muñeca y de la mano</v>
          </cell>
        </row>
        <row r="9298">
          <cell r="A9298" t="str">
            <v>T33.6</v>
          </cell>
          <cell r="B9298" t="str">
            <v>Congelamiento superficial de la cadera y del muslo</v>
          </cell>
        </row>
        <row r="9299">
          <cell r="A9299" t="str">
            <v>T33.7</v>
          </cell>
          <cell r="B9299" t="str">
            <v>Congelamiento superficial de la rodilla y de la pierna</v>
          </cell>
        </row>
        <row r="9300">
          <cell r="A9300" t="str">
            <v>T33.8</v>
          </cell>
          <cell r="B9300" t="str">
            <v>Congelamiento superficial del tobillo y del pie</v>
          </cell>
        </row>
        <row r="9301">
          <cell r="A9301" t="str">
            <v>T33.9</v>
          </cell>
          <cell r="B9301" t="str">
            <v>Congelamiento superficial de otros sitios y de los no especificados</v>
          </cell>
        </row>
        <row r="9302">
          <cell r="A9302" t="str">
            <v>T34</v>
          </cell>
          <cell r="B9302" t="str">
            <v>Congelamiento con necrosis tisular</v>
          </cell>
        </row>
        <row r="9303">
          <cell r="A9303" t="str">
            <v>T34.0</v>
          </cell>
          <cell r="B9303" t="str">
            <v>Congelamiento con necrosis tisular de la cabeza</v>
          </cell>
        </row>
        <row r="9304">
          <cell r="A9304" t="str">
            <v>T34.1</v>
          </cell>
          <cell r="B9304" t="str">
            <v>Congelamiento con necrosis tisular del cuello</v>
          </cell>
        </row>
        <row r="9305">
          <cell r="A9305" t="str">
            <v>T34.2</v>
          </cell>
          <cell r="B9305" t="str">
            <v>Congelamiento con necrosis tisular del tórax</v>
          </cell>
        </row>
        <row r="9306">
          <cell r="A9306" t="str">
            <v>T34.3</v>
          </cell>
          <cell r="B9306" t="str">
            <v>Congelamiento con necrosis tisular de la pared abdominal, región lumbosacra y pelvis</v>
          </cell>
        </row>
        <row r="9307">
          <cell r="A9307" t="str">
            <v>T34.4</v>
          </cell>
          <cell r="B9307" t="str">
            <v>Congelamiento con necrosis tisular del brazo</v>
          </cell>
        </row>
        <row r="9308">
          <cell r="A9308" t="str">
            <v>T34.5</v>
          </cell>
          <cell r="B9308" t="str">
            <v>Congelamiento con necrosis tisular de la muñeca y de la mano</v>
          </cell>
        </row>
        <row r="9309">
          <cell r="A9309" t="str">
            <v>T34.6</v>
          </cell>
          <cell r="B9309" t="str">
            <v>Congelamiento con necrosis tisular de la cadera y del muslo</v>
          </cell>
        </row>
        <row r="9310">
          <cell r="A9310" t="str">
            <v>T34.7</v>
          </cell>
          <cell r="B9310" t="str">
            <v>Congelamiento con necrosis tisular de la rodilla y de la pierna</v>
          </cell>
        </row>
        <row r="9311">
          <cell r="A9311" t="str">
            <v>T34.8</v>
          </cell>
          <cell r="B9311" t="str">
            <v>Congelamiento con necrosis tisular del tobillo y del pie</v>
          </cell>
        </row>
        <row r="9312">
          <cell r="A9312" t="str">
            <v>T34.9</v>
          </cell>
          <cell r="B9312" t="str">
            <v>Congelamiento con necrosis tisular de otros sitios y de los no especificados</v>
          </cell>
        </row>
        <row r="9313">
          <cell r="A9313" t="str">
            <v>T35</v>
          </cell>
          <cell r="B9313" t="str">
            <v>Congelamiento que afecta múltiples regiones del cuerpo y congelamiento no especificado</v>
          </cell>
        </row>
        <row r="9314">
          <cell r="A9314" t="str">
            <v>T35.0</v>
          </cell>
          <cell r="B9314" t="str">
            <v>Congelamiento superficial que afecta múltiples regiones del cuerpo</v>
          </cell>
        </row>
        <row r="9315">
          <cell r="A9315" t="str">
            <v>T35.1</v>
          </cell>
          <cell r="B9315" t="str">
            <v>Congelamiento con necrosis tisular que afecta múltiples regiones del cuerpo</v>
          </cell>
        </row>
        <row r="9316">
          <cell r="A9316" t="str">
            <v>T35.2</v>
          </cell>
          <cell r="B9316" t="str">
            <v>Congelamiento no especificado de la cabeza y del cuello</v>
          </cell>
        </row>
        <row r="9317">
          <cell r="A9317" t="str">
            <v>T35.3</v>
          </cell>
          <cell r="B9317" t="str">
            <v>Congelamiento no especificado del tórax, del abdomen, de la región lumbosacra y de la pelvis</v>
          </cell>
        </row>
        <row r="9318">
          <cell r="A9318" t="str">
            <v>T35.4</v>
          </cell>
          <cell r="B9318" t="str">
            <v>Congelamiento no especificado del miembro superior</v>
          </cell>
        </row>
        <row r="9319">
          <cell r="A9319" t="str">
            <v>T35.5</v>
          </cell>
          <cell r="B9319" t="str">
            <v>Congelamiento no especificado del miembro inferior</v>
          </cell>
        </row>
        <row r="9320">
          <cell r="A9320" t="str">
            <v>T35.6</v>
          </cell>
          <cell r="B9320" t="str">
            <v>Congelamiento no especificado que afecta múltiples regiones del cuerpo</v>
          </cell>
        </row>
        <row r="9321">
          <cell r="A9321" t="str">
            <v>T35.7</v>
          </cell>
          <cell r="B9321" t="str">
            <v>Congelamiento no especificado, de sitio no especificado</v>
          </cell>
        </row>
        <row r="9322">
          <cell r="A9322" t="str">
            <v>T36</v>
          </cell>
          <cell r="B9322" t="str">
            <v>Envenenamiento por antibióticos sistémicos</v>
          </cell>
        </row>
        <row r="9323">
          <cell r="A9323" t="str">
            <v>T36.0</v>
          </cell>
          <cell r="B9323" t="str">
            <v>Penicilinas</v>
          </cell>
        </row>
        <row r="9324">
          <cell r="A9324" t="str">
            <v>T36.1</v>
          </cell>
          <cell r="B9324" t="str">
            <v>Cefalosporinas y otros antibióticos beta-lactámicos</v>
          </cell>
        </row>
        <row r="9325">
          <cell r="A9325" t="str">
            <v>T36.2</v>
          </cell>
          <cell r="B9325" t="str">
            <v>Grupo del cloramfenicol</v>
          </cell>
        </row>
        <row r="9326">
          <cell r="A9326" t="str">
            <v>T36.3</v>
          </cell>
          <cell r="B9326" t="str">
            <v>Macrólidos</v>
          </cell>
        </row>
        <row r="9327">
          <cell r="A9327" t="str">
            <v>T36.4</v>
          </cell>
          <cell r="B9327" t="str">
            <v>Tetraciclinas</v>
          </cell>
        </row>
        <row r="9328">
          <cell r="A9328" t="str">
            <v>T36.5</v>
          </cell>
          <cell r="B9328" t="str">
            <v>Aminoglucósidos</v>
          </cell>
        </row>
        <row r="9329">
          <cell r="A9329" t="str">
            <v>T36.6</v>
          </cell>
          <cell r="B9329" t="str">
            <v>Rifamicinas</v>
          </cell>
        </row>
        <row r="9330">
          <cell r="A9330" t="str">
            <v>T36.7</v>
          </cell>
          <cell r="B9330" t="str">
            <v>Antibióticos antimicóticos usados sistémicamente</v>
          </cell>
        </row>
        <row r="9331">
          <cell r="A9331" t="str">
            <v>T36.8</v>
          </cell>
          <cell r="B9331" t="str">
            <v>Otros antibióticos sistémicos</v>
          </cell>
        </row>
        <row r="9332">
          <cell r="A9332" t="str">
            <v>T36.9</v>
          </cell>
          <cell r="B9332" t="str">
            <v>Antibióticos sistémicos, no especificados</v>
          </cell>
        </row>
        <row r="9333">
          <cell r="A9333" t="str">
            <v>T37</v>
          </cell>
          <cell r="B9333" t="str">
            <v>Envenenamiento por otros antiinfecciosos y antiparasitarios sistémicos</v>
          </cell>
        </row>
        <row r="9334">
          <cell r="A9334" t="str">
            <v>T37.0</v>
          </cell>
          <cell r="B9334" t="str">
            <v>Sulfonamidas</v>
          </cell>
        </row>
        <row r="9335">
          <cell r="A9335" t="str">
            <v>T37.1</v>
          </cell>
          <cell r="B9335" t="str">
            <v>Drogas antimicobacterianas</v>
          </cell>
        </row>
        <row r="9336">
          <cell r="A9336" t="str">
            <v>T37.2</v>
          </cell>
          <cell r="B9336" t="str">
            <v>Antipalúdicos y drogas de acción contra otros protozoarios sanguíneos</v>
          </cell>
        </row>
        <row r="9337">
          <cell r="A9337" t="str">
            <v>T37.3</v>
          </cell>
          <cell r="B9337" t="str">
            <v>Otras drogas antiprotozoarias</v>
          </cell>
        </row>
        <row r="9338">
          <cell r="A9338" t="str">
            <v>T37.4</v>
          </cell>
          <cell r="B9338" t="str">
            <v>Antihelmínticos</v>
          </cell>
        </row>
        <row r="9339">
          <cell r="A9339" t="str">
            <v>T37.5</v>
          </cell>
          <cell r="B9339" t="str">
            <v>Drogas antivirales</v>
          </cell>
        </row>
        <row r="9340">
          <cell r="A9340" t="str">
            <v>T37.8</v>
          </cell>
          <cell r="B9340" t="str">
            <v>Otros antiinfecciosos y antiparasitarios sistémicos especificados</v>
          </cell>
        </row>
        <row r="9341">
          <cell r="A9341" t="str">
            <v>T37.9</v>
          </cell>
          <cell r="B9341" t="str">
            <v>Antiinfecciosos y antiparasitarios sistémicos, no especificados</v>
          </cell>
        </row>
        <row r="9342">
          <cell r="A9342" t="str">
            <v>T38</v>
          </cell>
          <cell r="B9342" t="str">
            <v>Envenenamiento por hormonas y sus sustitutos y antagonistas sintéticos, no clasificados en otra parte</v>
          </cell>
        </row>
        <row r="9343">
          <cell r="A9343" t="str">
            <v>T38.0</v>
          </cell>
          <cell r="B9343" t="str">
            <v>Glucocorticoides y análogos sintéticos</v>
          </cell>
        </row>
        <row r="9344">
          <cell r="A9344" t="str">
            <v>T38.1</v>
          </cell>
          <cell r="B9344" t="str">
            <v>Hormonas tiroideas y sustitutos</v>
          </cell>
        </row>
        <row r="9345">
          <cell r="A9345" t="str">
            <v>T38.2</v>
          </cell>
          <cell r="B9345" t="str">
            <v>Drogas antitiroideas</v>
          </cell>
        </row>
        <row r="9346">
          <cell r="A9346" t="str">
            <v>T38.3</v>
          </cell>
          <cell r="B9346" t="str">
            <v>Insulina y drogas hipoglucemiantes orales [antidiabéticas]</v>
          </cell>
        </row>
        <row r="9347">
          <cell r="A9347" t="str">
            <v>T38.4</v>
          </cell>
          <cell r="B9347" t="str">
            <v>Anticonceptivos orales</v>
          </cell>
        </row>
        <row r="9348">
          <cell r="A9348" t="str">
            <v>T38.5</v>
          </cell>
          <cell r="B9348" t="str">
            <v>Otros estrógenos y progestógenos</v>
          </cell>
        </row>
        <row r="9349">
          <cell r="A9349" t="str">
            <v>T38.6</v>
          </cell>
          <cell r="B9349" t="str">
            <v>Antigonadotrofinas, antiestrógenos y antiandrógenos, no clasificados en otra parte</v>
          </cell>
        </row>
        <row r="9350">
          <cell r="A9350" t="str">
            <v>T38.7</v>
          </cell>
          <cell r="B9350" t="str">
            <v>Andrógenos y sus congéneres anabólicos</v>
          </cell>
        </row>
        <row r="9351">
          <cell r="A9351" t="str">
            <v>T38.8</v>
          </cell>
          <cell r="B9351" t="str">
            <v>Otras hormonas y sustitutos sintéticos y los no especificados</v>
          </cell>
        </row>
        <row r="9352">
          <cell r="A9352" t="str">
            <v>T38.9</v>
          </cell>
          <cell r="B9352" t="str">
            <v>Otros antagonistas de las hormonas y los no especificados</v>
          </cell>
        </row>
        <row r="9353">
          <cell r="A9353" t="str">
            <v>T39</v>
          </cell>
          <cell r="B9353" t="str">
            <v>Envenenamiento por analgésicos no narcóticos, antipiréticos y antirreumáticos</v>
          </cell>
        </row>
        <row r="9354">
          <cell r="A9354" t="str">
            <v>T39.0</v>
          </cell>
          <cell r="B9354" t="str">
            <v>Salicilatos</v>
          </cell>
        </row>
        <row r="9355">
          <cell r="A9355" t="str">
            <v>T39.1</v>
          </cell>
          <cell r="B9355" t="str">
            <v>Derivados del paraaminofenol</v>
          </cell>
        </row>
        <row r="9356">
          <cell r="A9356" t="str">
            <v>T39.2</v>
          </cell>
          <cell r="B9356" t="str">
            <v>Derivados de la pirazolona</v>
          </cell>
        </row>
        <row r="9357">
          <cell r="A9357" t="str">
            <v>T39.3</v>
          </cell>
          <cell r="B9357" t="str">
            <v>Otras drogas antiinflamatorias no esteroideas [DAINE]</v>
          </cell>
        </row>
        <row r="9358">
          <cell r="A9358" t="str">
            <v>T39.4</v>
          </cell>
          <cell r="B9358" t="str">
            <v>Antirreumáticos, no clasificados en otra parte</v>
          </cell>
        </row>
        <row r="9359">
          <cell r="A9359" t="str">
            <v>T39.8</v>
          </cell>
          <cell r="B9359" t="str">
            <v>Otros analgésicos no narcóticos y antipiréticos, no clasificados en otra parte</v>
          </cell>
        </row>
        <row r="9360">
          <cell r="A9360" t="str">
            <v>T39.9</v>
          </cell>
          <cell r="B9360" t="str">
            <v>Analgésicos no narcóticos, antipiréticos y antirreumáticos, no especificados</v>
          </cell>
        </row>
        <row r="9361">
          <cell r="A9361" t="str">
            <v>T40</v>
          </cell>
          <cell r="B9361" t="str">
            <v>Envenenamiento por narcóticos y psicodislépticos [alucinógenos]</v>
          </cell>
        </row>
        <row r="9362">
          <cell r="A9362" t="str">
            <v>T40.0</v>
          </cell>
          <cell r="B9362" t="str">
            <v>Opio</v>
          </cell>
        </row>
        <row r="9363">
          <cell r="A9363" t="str">
            <v>T40.1</v>
          </cell>
          <cell r="B9363" t="str">
            <v>Heroína</v>
          </cell>
        </row>
        <row r="9364">
          <cell r="A9364" t="str">
            <v>T40.2</v>
          </cell>
          <cell r="B9364" t="str">
            <v>Otros opiáceos</v>
          </cell>
        </row>
        <row r="9365">
          <cell r="A9365" t="str">
            <v>T40.3</v>
          </cell>
          <cell r="B9365" t="str">
            <v>Metadona</v>
          </cell>
        </row>
        <row r="9366">
          <cell r="A9366" t="str">
            <v>T40.4</v>
          </cell>
          <cell r="B9366" t="str">
            <v>Otros narcóticos sintéticos</v>
          </cell>
        </row>
        <row r="9367">
          <cell r="A9367" t="str">
            <v>T40.5</v>
          </cell>
          <cell r="B9367" t="str">
            <v>Cocaína</v>
          </cell>
        </row>
        <row r="9368">
          <cell r="A9368" t="str">
            <v>T40.6</v>
          </cell>
          <cell r="B9368" t="str">
            <v>Otros narcóticos y los no especificados</v>
          </cell>
        </row>
        <row r="9369">
          <cell r="A9369" t="str">
            <v>T40.7</v>
          </cell>
          <cell r="B9369" t="str">
            <v>Cannabis (derivados)</v>
          </cell>
        </row>
        <row r="9370">
          <cell r="A9370" t="str">
            <v>T40.8</v>
          </cell>
          <cell r="B9370" t="str">
            <v>Acido lisérgico [LSD]</v>
          </cell>
        </row>
        <row r="9371">
          <cell r="A9371" t="str">
            <v>T40.9</v>
          </cell>
          <cell r="B9371" t="str">
            <v>Otros psicodislépticos y los no especificados [alucinógenos]</v>
          </cell>
        </row>
        <row r="9372">
          <cell r="A9372" t="str">
            <v>T41</v>
          </cell>
          <cell r="B9372" t="str">
            <v>Envenenamiento por anestésicos y gases terapéuticos</v>
          </cell>
        </row>
        <row r="9373">
          <cell r="A9373" t="str">
            <v>T41.0</v>
          </cell>
          <cell r="B9373" t="str">
            <v>Anestésicos por inhalación</v>
          </cell>
        </row>
        <row r="9374">
          <cell r="A9374" t="str">
            <v>T41.1</v>
          </cell>
          <cell r="B9374" t="str">
            <v>Anestésicos intravenosos</v>
          </cell>
        </row>
        <row r="9375">
          <cell r="A9375" t="str">
            <v>T41.2</v>
          </cell>
          <cell r="B9375" t="str">
            <v>Otros anestésicos generales y los no especificados</v>
          </cell>
        </row>
        <row r="9376">
          <cell r="A9376" t="str">
            <v>T41.3</v>
          </cell>
          <cell r="B9376" t="str">
            <v>Anestésicos locales</v>
          </cell>
        </row>
        <row r="9377">
          <cell r="A9377" t="str">
            <v>T41.4</v>
          </cell>
          <cell r="B9377" t="str">
            <v>Anestésicos, no especificados</v>
          </cell>
        </row>
        <row r="9378">
          <cell r="A9378" t="str">
            <v>T41.5</v>
          </cell>
          <cell r="B9378" t="str">
            <v>Gases terapéuticos</v>
          </cell>
        </row>
        <row r="9379">
          <cell r="A9379" t="str">
            <v>T42</v>
          </cell>
          <cell r="B9379" t="str">
            <v>Envenenamiento por antiepilépticos, hipnóticos-sedantes y drogas antiparkinsonianas</v>
          </cell>
        </row>
        <row r="9380">
          <cell r="A9380" t="str">
            <v>T42.0</v>
          </cell>
          <cell r="B9380" t="str">
            <v>Derivados de la hidantoína</v>
          </cell>
        </row>
        <row r="9381">
          <cell r="A9381" t="str">
            <v>T42.1</v>
          </cell>
          <cell r="B9381" t="str">
            <v>Iminostilbenos</v>
          </cell>
        </row>
        <row r="9382">
          <cell r="A9382" t="str">
            <v>T42.2</v>
          </cell>
          <cell r="B9382" t="str">
            <v>Succinamidas y derivados de la oxazolidina</v>
          </cell>
        </row>
        <row r="9383">
          <cell r="A9383" t="str">
            <v>T42.3</v>
          </cell>
          <cell r="B9383" t="str">
            <v>Barbitúricos</v>
          </cell>
        </row>
        <row r="9384">
          <cell r="A9384" t="str">
            <v>T42.4</v>
          </cell>
          <cell r="B9384" t="str">
            <v>Benzodiazepinas</v>
          </cell>
        </row>
        <row r="9385">
          <cell r="A9385" t="str">
            <v>T42.5</v>
          </cell>
          <cell r="B9385" t="str">
            <v>Antiepilépticos mixtos, no clasificados en otra parte</v>
          </cell>
        </row>
        <row r="9386">
          <cell r="A9386" t="str">
            <v>T42.6</v>
          </cell>
          <cell r="B9386" t="str">
            <v>Otros antiepilépticos y drogas hipnótico-sedantes</v>
          </cell>
        </row>
        <row r="9387">
          <cell r="A9387" t="str">
            <v>T42.7</v>
          </cell>
          <cell r="B9387" t="str">
            <v>Antiepilépticos y drogas hipnótico-sedantes, no especificados</v>
          </cell>
        </row>
        <row r="9388">
          <cell r="A9388" t="str">
            <v>T42.8</v>
          </cell>
          <cell r="B9388" t="str">
            <v>Drogas antiparkinsonianas y otros depresores del tono muscular central</v>
          </cell>
        </row>
        <row r="9389">
          <cell r="A9389" t="str">
            <v>T43</v>
          </cell>
          <cell r="B9389" t="str">
            <v>Envenenamiento por psicotrópicos, no clasificados en otra parte</v>
          </cell>
        </row>
        <row r="9390">
          <cell r="A9390" t="str">
            <v>T43.0</v>
          </cell>
          <cell r="B9390" t="str">
            <v>Antidepresivos tricíclicos y tetracíclicos</v>
          </cell>
        </row>
        <row r="9391">
          <cell r="A9391" t="str">
            <v>T43.1</v>
          </cell>
          <cell r="B9391" t="str">
            <v>Antidepresivos inhibidores de la monoaminoxidasa</v>
          </cell>
        </row>
        <row r="9392">
          <cell r="A9392" t="str">
            <v>T43.2</v>
          </cell>
          <cell r="B9392" t="str">
            <v>Otros antidepresivos y los no especificados</v>
          </cell>
        </row>
        <row r="9393">
          <cell r="A9393" t="str">
            <v>T43.3</v>
          </cell>
          <cell r="B9393" t="str">
            <v>Antipsicóticos y neurolépticos fenotiacínicos</v>
          </cell>
        </row>
        <row r="9394">
          <cell r="A9394" t="str">
            <v>T43.4</v>
          </cell>
          <cell r="B9394" t="str">
            <v>Butirofenona y neurolépticos tioxanténicos</v>
          </cell>
        </row>
        <row r="9395">
          <cell r="A9395" t="str">
            <v>T43.5</v>
          </cell>
          <cell r="B9395" t="str">
            <v>Otros antipsicóticos y neurolépticos y los no especificados</v>
          </cell>
        </row>
        <row r="9396">
          <cell r="A9396" t="str">
            <v>T43.6</v>
          </cell>
          <cell r="B9396" t="str">
            <v>Psicoestimulantes con abuso potencial</v>
          </cell>
        </row>
        <row r="9397">
          <cell r="A9397" t="str">
            <v>T43.8</v>
          </cell>
          <cell r="B9397" t="str">
            <v>Otras drogas psicotrópicas, no clasificadas en otra parte</v>
          </cell>
        </row>
        <row r="9398">
          <cell r="A9398" t="str">
            <v>T43.9</v>
          </cell>
          <cell r="B9398" t="str">
            <v>Droga psicotrópica, no especificada</v>
          </cell>
        </row>
        <row r="9399">
          <cell r="A9399" t="str">
            <v>T44</v>
          </cell>
          <cell r="B9399" t="str">
            <v>Envenenamiento por drogas que afectan principalmente el sistema nervioso autónomo</v>
          </cell>
        </row>
        <row r="9400">
          <cell r="A9400" t="str">
            <v>T44.0</v>
          </cell>
          <cell r="B9400" t="str">
            <v>Agentes anticolinesterasa</v>
          </cell>
        </row>
        <row r="9401">
          <cell r="A9401" t="str">
            <v>T44.1</v>
          </cell>
          <cell r="B9401" t="str">
            <v>Otros parasimpáticomiméticos [colinérgicos]</v>
          </cell>
        </row>
        <row r="9402">
          <cell r="A9402" t="str">
            <v>T44.2</v>
          </cell>
          <cell r="B9402" t="str">
            <v>Drogas bloqueadoras ganglionares, no clasificadas en otra parte</v>
          </cell>
        </row>
        <row r="9403">
          <cell r="A9403" t="str">
            <v>T44.3</v>
          </cell>
          <cell r="B9403" t="str">
            <v>Otros parasimpaticolíticos [anticolinérgicos y antimuscarínicos] y espasmolíticos, no clasificados en otra parte</v>
          </cell>
        </row>
        <row r="9404">
          <cell r="A9404" t="str">
            <v>T44.4</v>
          </cell>
          <cell r="B9404" t="str">
            <v>Agonistas, predominantemente alfa-adrenérgicos, no clasificados en otra parte</v>
          </cell>
        </row>
        <row r="9405">
          <cell r="A9405" t="str">
            <v>T44.5</v>
          </cell>
          <cell r="B9405" t="str">
            <v>Agonistas, predominantemente beta-adrenérgicos, no clasificados en otra parte</v>
          </cell>
        </row>
        <row r="9406">
          <cell r="A9406" t="str">
            <v>T44.6</v>
          </cell>
          <cell r="B9406" t="str">
            <v>Antagonistas alfa-adrenérgicos, no clasificados en otra parte</v>
          </cell>
        </row>
        <row r="9407">
          <cell r="A9407" t="str">
            <v>T44.7</v>
          </cell>
          <cell r="B9407" t="str">
            <v>Antagonistas beta-adrenérgicos, no clasificados en otra parte</v>
          </cell>
        </row>
        <row r="9408">
          <cell r="A9408" t="str">
            <v>T44.8</v>
          </cell>
          <cell r="B9408" t="str">
            <v>Agentes de acción central y bloqueadores neuronales adrenérgicos, no clasificados en otra parte</v>
          </cell>
        </row>
        <row r="9409">
          <cell r="A9409" t="str">
            <v>T44.9</v>
          </cell>
          <cell r="B9409" t="str">
            <v>Otras drogas y las no especificadas que afectan principalmente el sistema nervioso autónomo</v>
          </cell>
        </row>
        <row r="9410">
          <cell r="A9410" t="str">
            <v>T45</v>
          </cell>
          <cell r="B9410" t="str">
            <v>Envenenamiento por agentes principalmente sistémicos y hematológicos, no clasificados en otra parte</v>
          </cell>
        </row>
        <row r="9411">
          <cell r="A9411" t="str">
            <v>T45.0</v>
          </cell>
          <cell r="B9411" t="str">
            <v>Drogas antialérgicas y antieméticas</v>
          </cell>
        </row>
        <row r="9412">
          <cell r="A9412" t="str">
            <v>T45.1</v>
          </cell>
          <cell r="B9412" t="str">
            <v>Drogas antineoplásicas e inmunosupresoras</v>
          </cell>
        </row>
        <row r="9413">
          <cell r="A9413" t="str">
            <v>T45.2</v>
          </cell>
          <cell r="B9413" t="str">
            <v>Vitaminas, no clasificadas en otra parte</v>
          </cell>
        </row>
        <row r="9414">
          <cell r="A9414" t="str">
            <v>T45.3</v>
          </cell>
          <cell r="B9414" t="str">
            <v>Enzimas, no clasificadas en otra parte</v>
          </cell>
        </row>
        <row r="9415">
          <cell r="A9415" t="str">
            <v>T45.4</v>
          </cell>
          <cell r="B9415" t="str">
            <v>Hierro y sus compuestos</v>
          </cell>
        </row>
        <row r="9416">
          <cell r="A9416" t="str">
            <v>T45.5</v>
          </cell>
          <cell r="B9416" t="str">
            <v>Anticoagulantes</v>
          </cell>
        </row>
        <row r="9417">
          <cell r="A9417" t="str">
            <v>T45.6</v>
          </cell>
          <cell r="B9417" t="str">
            <v>Drogas que afectan la fibrinólisis</v>
          </cell>
        </row>
        <row r="9418">
          <cell r="A9418" t="str">
            <v>T45.7</v>
          </cell>
          <cell r="B9418" t="str">
            <v>Antagonistas de anticoagulantes, vitamina K y otros coagulantes</v>
          </cell>
        </row>
        <row r="9419">
          <cell r="A9419" t="str">
            <v>T45.8</v>
          </cell>
          <cell r="B9419" t="str">
            <v>Otros agentes principalmente sistémicos y hematológicos</v>
          </cell>
        </row>
        <row r="9420">
          <cell r="A9420" t="str">
            <v>T45.9</v>
          </cell>
          <cell r="B9420" t="str">
            <v>Agentes principalmente sistémicos y hematológicos, no especificados</v>
          </cell>
        </row>
        <row r="9421">
          <cell r="A9421" t="str">
            <v>T46</v>
          </cell>
          <cell r="B9421" t="str">
            <v>Envenenamiento por agentes que afectan principalmente el sistema cardiovascular</v>
          </cell>
        </row>
        <row r="9422">
          <cell r="A9422" t="str">
            <v>T46.0</v>
          </cell>
          <cell r="B9422" t="str">
            <v>Glucósidos cardiotónicos y medicamentos de acción similar</v>
          </cell>
        </row>
        <row r="9423">
          <cell r="A9423" t="str">
            <v>T46.1</v>
          </cell>
          <cell r="B9423" t="str">
            <v>Bloqueadores del canal del calcio</v>
          </cell>
        </row>
        <row r="9424">
          <cell r="A9424" t="str">
            <v>T46.2</v>
          </cell>
          <cell r="B9424" t="str">
            <v>Otras drogas antiarrítmicas, no clasificadas en otra parte</v>
          </cell>
        </row>
        <row r="9425">
          <cell r="A9425" t="str">
            <v>T46.3</v>
          </cell>
          <cell r="B9425" t="str">
            <v>Vasodilatadores coronarios, no clasificados en otra parte</v>
          </cell>
        </row>
        <row r="9426">
          <cell r="A9426" t="str">
            <v>T46.4</v>
          </cell>
          <cell r="B9426" t="str">
            <v>Inhibidores de la enzima convertidora de la angiotensina</v>
          </cell>
        </row>
        <row r="9427">
          <cell r="A9427" t="str">
            <v>T46.5</v>
          </cell>
          <cell r="B9427" t="str">
            <v>Otras drogas antihipertensivas, no clasificadas en otra parte</v>
          </cell>
        </row>
        <row r="9428">
          <cell r="A9428" t="str">
            <v>T46.6</v>
          </cell>
          <cell r="B9428" t="str">
            <v>Drogas antilipémicas y antiarterioscleróticas</v>
          </cell>
        </row>
        <row r="9429">
          <cell r="A9429" t="str">
            <v>T46.7</v>
          </cell>
          <cell r="B9429" t="str">
            <v>Vasodilatadores periféricos</v>
          </cell>
        </row>
        <row r="9430">
          <cell r="A9430" t="str">
            <v>T46.8</v>
          </cell>
          <cell r="B9430" t="str">
            <v>Drogas antivaricosas, inclusive agentes esclerosantes</v>
          </cell>
        </row>
        <row r="9431">
          <cell r="A9431" t="str">
            <v>T46.9</v>
          </cell>
          <cell r="B9431" t="str">
            <v>Otros agentes y los no especificados que afectan principalmente el sistema cardiovascular</v>
          </cell>
        </row>
        <row r="9432">
          <cell r="A9432" t="str">
            <v>T47</v>
          </cell>
          <cell r="B9432" t="str">
            <v>Envenenamiento por agentes que afectan principalmente el sistema gastrointestinal</v>
          </cell>
        </row>
        <row r="9433">
          <cell r="A9433" t="str">
            <v>T47.0</v>
          </cell>
          <cell r="B9433" t="str">
            <v>Antagonistas del receptor H2 de histamina</v>
          </cell>
        </row>
        <row r="9434">
          <cell r="A9434" t="str">
            <v>T47.1</v>
          </cell>
          <cell r="B9434" t="str">
            <v>Otras drogas antiácidas y que inhiben la secreción gástrica</v>
          </cell>
        </row>
        <row r="9435">
          <cell r="A9435" t="str">
            <v>T47.2</v>
          </cell>
          <cell r="B9435" t="str">
            <v>Laxantes estimulantes</v>
          </cell>
        </row>
        <row r="9436">
          <cell r="A9436" t="str">
            <v>T47.3</v>
          </cell>
          <cell r="B9436" t="str">
            <v>Laxantes salinos y osmóticos</v>
          </cell>
        </row>
        <row r="9437">
          <cell r="A9437" t="str">
            <v>T47.4</v>
          </cell>
          <cell r="B9437" t="str">
            <v>Otros laxantes</v>
          </cell>
        </row>
        <row r="9438">
          <cell r="A9438" t="str">
            <v>T47.5</v>
          </cell>
          <cell r="B9438" t="str">
            <v>Digestivos</v>
          </cell>
        </row>
        <row r="9439">
          <cell r="A9439" t="str">
            <v>T47.6</v>
          </cell>
          <cell r="B9439" t="str">
            <v>Drogas antidiarreicas</v>
          </cell>
        </row>
        <row r="9440">
          <cell r="A9440" t="str">
            <v>T47.7</v>
          </cell>
          <cell r="B9440" t="str">
            <v>Eméticos</v>
          </cell>
        </row>
        <row r="9441">
          <cell r="A9441" t="str">
            <v>T47.8</v>
          </cell>
          <cell r="B9441" t="str">
            <v>Otros agentes que afectan principalmente el sistema gastrointestinal</v>
          </cell>
        </row>
        <row r="9442">
          <cell r="A9442" t="str">
            <v>T47.9</v>
          </cell>
          <cell r="B9442" t="str">
            <v>Agentes no especificados que afectan principalmente el sistema gastrointestinal</v>
          </cell>
        </row>
        <row r="9443">
          <cell r="A9443" t="str">
            <v>T48</v>
          </cell>
          <cell r="B9443" t="str">
            <v>Envenenamiento por agentes con acción principal sobre los músculos lisos y esqueléticos y sobre el sistema respiratorio</v>
          </cell>
        </row>
        <row r="9444">
          <cell r="A9444" t="str">
            <v>T48.0</v>
          </cell>
          <cell r="B9444" t="str">
            <v>Drogas oxitócicas</v>
          </cell>
        </row>
        <row r="9445">
          <cell r="A9445" t="str">
            <v>T48.1</v>
          </cell>
          <cell r="B9445" t="str">
            <v>Relajantes musculoesqueléticos [agentes bloqueadores neuromusculares]</v>
          </cell>
        </row>
        <row r="9446">
          <cell r="A9446" t="str">
            <v>T48.2</v>
          </cell>
          <cell r="B9446" t="str">
            <v>Otros medicamentos y los no especificados de acción principal sobre los músculos</v>
          </cell>
        </row>
        <row r="9447">
          <cell r="A9447" t="str">
            <v>T48.3</v>
          </cell>
          <cell r="B9447" t="str">
            <v>Antitusígenos</v>
          </cell>
        </row>
        <row r="9448">
          <cell r="A9448" t="str">
            <v>T48.4</v>
          </cell>
          <cell r="B9448" t="str">
            <v>Expectorantes</v>
          </cell>
        </row>
        <row r="9449">
          <cell r="A9449" t="str">
            <v>T48.5</v>
          </cell>
          <cell r="B9449" t="str">
            <v>Drogas contra el catarro común</v>
          </cell>
        </row>
        <row r="9450">
          <cell r="A9450" t="str">
            <v>T48.6</v>
          </cell>
          <cell r="B9450" t="str">
            <v>Antiasmáticos, no clasificados en otra parte</v>
          </cell>
        </row>
        <row r="9451">
          <cell r="A9451" t="str">
            <v>T48.7</v>
          </cell>
          <cell r="B9451" t="str">
            <v>Otros agentes y los no especificados de acción principal sobre el sistema respiratorio</v>
          </cell>
        </row>
        <row r="9452">
          <cell r="A9452" t="str">
            <v>T49</v>
          </cell>
          <cell r="B9452" t="str">
            <v>Envenenamiento por agentes tópicos que afectan principalmente la piel y las membranas mucosas y por drogas oftalmológicas, otorrinolaringológicas y dentales</v>
          </cell>
        </row>
        <row r="9453">
          <cell r="A9453" t="str">
            <v>T49.0</v>
          </cell>
          <cell r="B9453" t="str">
            <v>Drogas locales antimicóticas, antiinfecciosas y antiinflamatorias, no clasificadas en otra parte</v>
          </cell>
        </row>
        <row r="9454">
          <cell r="A9454" t="str">
            <v>T49.1</v>
          </cell>
          <cell r="B9454" t="str">
            <v>Antipruríticos</v>
          </cell>
        </row>
        <row r="9455">
          <cell r="A9455" t="str">
            <v>T49.2</v>
          </cell>
          <cell r="B9455" t="str">
            <v>Astringentes y detergentes locales</v>
          </cell>
        </row>
        <row r="9456">
          <cell r="A9456" t="str">
            <v>T49.3</v>
          </cell>
          <cell r="B9456" t="str">
            <v>Emolientes, demulcentes y protectores</v>
          </cell>
        </row>
        <row r="9457">
          <cell r="A9457" t="str">
            <v>T49.4</v>
          </cell>
          <cell r="B9457" t="str">
            <v>Queratolíticos, queratoplásticos, drogas y otras preparaciones para el tratamiento del cabello</v>
          </cell>
        </row>
        <row r="9458">
          <cell r="A9458" t="str">
            <v>T49.5</v>
          </cell>
          <cell r="B9458" t="str">
            <v>Drogas y preparaciones oftalmológicas</v>
          </cell>
        </row>
        <row r="9459">
          <cell r="A9459" t="str">
            <v>T49.6</v>
          </cell>
          <cell r="B9459" t="str">
            <v>Drogas y preparaciones otorrinolaringológicas</v>
          </cell>
        </row>
        <row r="9460">
          <cell r="A9460" t="str">
            <v>T49.7</v>
          </cell>
          <cell r="B9460" t="str">
            <v>Drogas dentales, aplicadas tópicamente</v>
          </cell>
        </row>
        <row r="9461">
          <cell r="A9461" t="str">
            <v>T49.8</v>
          </cell>
          <cell r="B9461" t="str">
            <v>Otros agentes tópicos</v>
          </cell>
        </row>
        <row r="9462">
          <cell r="A9462" t="str">
            <v>T49.9</v>
          </cell>
          <cell r="B9462" t="str">
            <v>Agentes tópicos, no especificados</v>
          </cell>
        </row>
        <row r="9463">
          <cell r="A9463" t="str">
            <v>T50</v>
          </cell>
          <cell r="B9463" t="str">
            <v>Envenenamiento por diuréticos y otras drogas, medicamentos y sustancias biológicas no especificadas</v>
          </cell>
        </row>
        <row r="9464">
          <cell r="A9464" t="str">
            <v>T50.0</v>
          </cell>
          <cell r="B9464" t="str">
            <v>Mineralocorticoides y sus antagonistas</v>
          </cell>
        </row>
        <row r="9465">
          <cell r="A9465" t="str">
            <v>T50.1</v>
          </cell>
          <cell r="B9465" t="str">
            <v>Diuréticos del asa [dintel alto]</v>
          </cell>
        </row>
        <row r="9466">
          <cell r="A9466" t="str">
            <v>T50.2</v>
          </cell>
          <cell r="B9466" t="str">
            <v>Inhibidores de la anhidrasa del ácido carbónico, benzotiazidas y otros diuréticos</v>
          </cell>
        </row>
        <row r="9467">
          <cell r="A9467" t="str">
            <v>T50.3</v>
          </cell>
          <cell r="B9467" t="str">
            <v>Agentes del equilibrio hidrolítico, electrolítico y calórico</v>
          </cell>
        </row>
        <row r="9468">
          <cell r="A9468" t="str">
            <v>T50.4</v>
          </cell>
          <cell r="B9468" t="str">
            <v>Drogas que afectan el metabolismo del ácido úrico</v>
          </cell>
        </row>
        <row r="9469">
          <cell r="A9469" t="str">
            <v>T50.5</v>
          </cell>
          <cell r="B9469" t="str">
            <v>Depresores del apetito</v>
          </cell>
        </row>
        <row r="9470">
          <cell r="A9470" t="str">
            <v>T50.6</v>
          </cell>
          <cell r="B9470" t="str">
            <v>Antídotos y agentes quelantes, no clasificados en otra parte</v>
          </cell>
        </row>
        <row r="9471">
          <cell r="A9471" t="str">
            <v>T50.7</v>
          </cell>
          <cell r="B9471" t="str">
            <v>Analépticos y antagonistas del opio</v>
          </cell>
        </row>
        <row r="9472">
          <cell r="A9472" t="str">
            <v>T50.8</v>
          </cell>
          <cell r="B9472" t="str">
            <v>Agentes diagnósticos</v>
          </cell>
        </row>
        <row r="9473">
          <cell r="A9473" t="str">
            <v>T50.9</v>
          </cell>
          <cell r="B9473" t="str">
            <v>Otras drogas y sustancias biológicas, y las no especificadas</v>
          </cell>
        </row>
        <row r="9474">
          <cell r="A9474" t="str">
            <v>T51</v>
          </cell>
          <cell r="B9474" t="str">
            <v>Efecto tóxico del alcohol</v>
          </cell>
        </row>
        <row r="9475">
          <cell r="A9475" t="str">
            <v>T51.0</v>
          </cell>
          <cell r="B9475" t="str">
            <v>Etanol</v>
          </cell>
        </row>
        <row r="9476">
          <cell r="A9476" t="str">
            <v>T51.1</v>
          </cell>
          <cell r="B9476" t="str">
            <v>Metanol</v>
          </cell>
        </row>
        <row r="9477">
          <cell r="A9477" t="str">
            <v>T51.2</v>
          </cell>
          <cell r="B9477" t="str">
            <v>Propanol-2</v>
          </cell>
        </row>
        <row r="9478">
          <cell r="A9478" t="str">
            <v>T51.3</v>
          </cell>
          <cell r="B9478" t="str">
            <v>Licor de alcohol insuficientemente destilado</v>
          </cell>
        </row>
        <row r="9479">
          <cell r="A9479" t="str">
            <v>T51.8</v>
          </cell>
          <cell r="B9479" t="str">
            <v>Otros alcoholes</v>
          </cell>
        </row>
        <row r="9480">
          <cell r="A9480" t="str">
            <v>T51.9</v>
          </cell>
          <cell r="B9480" t="str">
            <v>Alcohol, no especificado</v>
          </cell>
        </row>
        <row r="9481">
          <cell r="A9481" t="str">
            <v>T52</v>
          </cell>
          <cell r="B9481" t="str">
            <v>Efecto tóxico de disolventes orgánicos</v>
          </cell>
        </row>
        <row r="9482">
          <cell r="A9482" t="str">
            <v>T52.0</v>
          </cell>
          <cell r="B9482" t="str">
            <v>Productos del petróleo</v>
          </cell>
        </row>
        <row r="9483">
          <cell r="A9483" t="str">
            <v>T52.1</v>
          </cell>
          <cell r="B9483" t="str">
            <v>Benceno</v>
          </cell>
        </row>
        <row r="9484">
          <cell r="A9484" t="str">
            <v>T52.2</v>
          </cell>
          <cell r="B9484" t="str">
            <v>Homólogos del benceno</v>
          </cell>
        </row>
        <row r="9485">
          <cell r="A9485" t="str">
            <v>T52.3</v>
          </cell>
          <cell r="B9485" t="str">
            <v>Glicoles</v>
          </cell>
        </row>
        <row r="9486">
          <cell r="A9486" t="str">
            <v>T52.4</v>
          </cell>
          <cell r="B9486" t="str">
            <v>Cetonas</v>
          </cell>
        </row>
        <row r="9487">
          <cell r="A9487" t="str">
            <v>T52.8</v>
          </cell>
          <cell r="B9487" t="str">
            <v>Otros disolventes orgánicos</v>
          </cell>
        </row>
        <row r="9488">
          <cell r="A9488" t="str">
            <v>T52.9</v>
          </cell>
          <cell r="B9488" t="str">
            <v>Disolventes orgánicos, no especificados</v>
          </cell>
        </row>
        <row r="9489">
          <cell r="A9489" t="str">
            <v>T53</v>
          </cell>
          <cell r="B9489" t="str">
            <v>Efecto tóxico de los derivados halogenados de los hidrocarburos alifáticos y aromáticos</v>
          </cell>
        </row>
        <row r="9490">
          <cell r="A9490" t="str">
            <v>T53.0</v>
          </cell>
          <cell r="B9490" t="str">
            <v>Tetracloruro de carbono</v>
          </cell>
        </row>
        <row r="9491">
          <cell r="A9491" t="str">
            <v>T53.1</v>
          </cell>
          <cell r="B9491" t="str">
            <v>Cloroformo</v>
          </cell>
        </row>
        <row r="9492">
          <cell r="A9492" t="str">
            <v>T53.2</v>
          </cell>
          <cell r="B9492" t="str">
            <v>Tricloroetileno</v>
          </cell>
        </row>
        <row r="9493">
          <cell r="A9493" t="str">
            <v>T53.3</v>
          </cell>
          <cell r="B9493" t="str">
            <v>Tetracloroetileno</v>
          </cell>
        </row>
        <row r="9494">
          <cell r="A9494" t="str">
            <v>T53.4</v>
          </cell>
          <cell r="B9494" t="str">
            <v>Dicloroetano</v>
          </cell>
        </row>
        <row r="9495">
          <cell r="A9495" t="str">
            <v>T53.5</v>
          </cell>
          <cell r="B9495" t="str">
            <v>Clorofluorocarburos</v>
          </cell>
        </row>
        <row r="9496">
          <cell r="A9496" t="str">
            <v>T53.6</v>
          </cell>
          <cell r="B9496" t="str">
            <v>Otros derivados halogenados de hidrocarburos alifáticos</v>
          </cell>
        </row>
        <row r="9497">
          <cell r="A9497" t="str">
            <v>T53.7</v>
          </cell>
          <cell r="B9497" t="str">
            <v>Otros derivados halogenados de hidrocarburos aromáticos</v>
          </cell>
        </row>
        <row r="9498">
          <cell r="A9498" t="str">
            <v>T53.9</v>
          </cell>
          <cell r="B9498" t="str">
            <v>Derivados halogenados de hidrocarburos alifáticos y aromáticos, no especificados</v>
          </cell>
        </row>
        <row r="9499">
          <cell r="A9499" t="str">
            <v>T54</v>
          </cell>
          <cell r="B9499" t="str">
            <v>Efecto tóxico de sustancias corrosivas</v>
          </cell>
        </row>
        <row r="9500">
          <cell r="A9500" t="str">
            <v>T54.0</v>
          </cell>
          <cell r="B9500" t="str">
            <v>Fenol y homólogos del fenol</v>
          </cell>
        </row>
        <row r="9501">
          <cell r="A9501" t="str">
            <v>T54.1</v>
          </cell>
          <cell r="B9501" t="str">
            <v>Otros compuestos orgánicos corrosivos</v>
          </cell>
        </row>
        <row r="9502">
          <cell r="A9502" t="str">
            <v>T54.2</v>
          </cell>
          <cell r="B9502" t="str">
            <v>Acidos corrosivos y sustancias ácidas similares</v>
          </cell>
        </row>
        <row r="9503">
          <cell r="A9503" t="str">
            <v>T54.3</v>
          </cell>
          <cell r="B9503" t="str">
            <v>Alcalis cáusticos y sustancias alcalinas similares</v>
          </cell>
        </row>
        <row r="9504">
          <cell r="A9504" t="str">
            <v>T54.9</v>
          </cell>
          <cell r="B9504" t="str">
            <v>Efecto tóxico de sustancia corrosiva, no especificada</v>
          </cell>
        </row>
        <row r="9505">
          <cell r="A9505" t="str">
            <v>T55.X</v>
          </cell>
          <cell r="B9505" t="str">
            <v>Efecto tóxico de detergentes y jabones</v>
          </cell>
        </row>
        <row r="9506">
          <cell r="A9506" t="str">
            <v>T56</v>
          </cell>
          <cell r="B9506" t="str">
            <v>Efecto tóxico de metales</v>
          </cell>
        </row>
        <row r="9507">
          <cell r="A9507" t="str">
            <v>T56.0</v>
          </cell>
          <cell r="B9507" t="str">
            <v>Plomo y sus compuestos</v>
          </cell>
        </row>
        <row r="9508">
          <cell r="A9508" t="str">
            <v>T56.1</v>
          </cell>
          <cell r="B9508" t="str">
            <v>Mercurio y sus compuestos</v>
          </cell>
        </row>
        <row r="9509">
          <cell r="A9509" t="str">
            <v>T56.2</v>
          </cell>
          <cell r="B9509" t="str">
            <v>Cromo y sus compuestos</v>
          </cell>
        </row>
        <row r="9510">
          <cell r="A9510" t="str">
            <v>T56.3</v>
          </cell>
          <cell r="B9510" t="str">
            <v>Cadmio y sus compuestos</v>
          </cell>
        </row>
        <row r="9511">
          <cell r="A9511" t="str">
            <v>T56.4</v>
          </cell>
          <cell r="B9511" t="str">
            <v>Cobre y sus compuestos</v>
          </cell>
        </row>
        <row r="9512">
          <cell r="A9512" t="str">
            <v>T56.5</v>
          </cell>
          <cell r="B9512" t="str">
            <v>Zinc y sus compuestos</v>
          </cell>
        </row>
        <row r="9513">
          <cell r="A9513" t="str">
            <v>T56.6</v>
          </cell>
          <cell r="B9513" t="str">
            <v>Estaño y sus compuestos</v>
          </cell>
        </row>
        <row r="9514">
          <cell r="A9514" t="str">
            <v>T56.7</v>
          </cell>
          <cell r="B9514" t="str">
            <v>Berilio y sus compuestos</v>
          </cell>
        </row>
        <row r="9515">
          <cell r="A9515" t="str">
            <v>T56.8</v>
          </cell>
          <cell r="B9515" t="str">
            <v>Otros metales</v>
          </cell>
        </row>
        <row r="9516">
          <cell r="A9516" t="str">
            <v>T56.9</v>
          </cell>
          <cell r="B9516" t="str">
            <v>Metal, no especificado</v>
          </cell>
        </row>
        <row r="9517">
          <cell r="A9517" t="str">
            <v>T57</v>
          </cell>
          <cell r="B9517" t="str">
            <v>Efecto tóxico de otras sustancias inorgánicas</v>
          </cell>
        </row>
        <row r="9518">
          <cell r="A9518" t="str">
            <v>T57.0</v>
          </cell>
          <cell r="B9518" t="str">
            <v>Arsénico y sus compuestos</v>
          </cell>
        </row>
        <row r="9519">
          <cell r="A9519" t="str">
            <v>T57.1</v>
          </cell>
          <cell r="B9519" t="str">
            <v>Fósforo y sus compuestos</v>
          </cell>
        </row>
        <row r="9520">
          <cell r="A9520" t="str">
            <v>T57.2</v>
          </cell>
          <cell r="B9520" t="str">
            <v>Manganeso y sus compuestos</v>
          </cell>
        </row>
        <row r="9521">
          <cell r="A9521" t="str">
            <v>T57.3</v>
          </cell>
          <cell r="B9521" t="str">
            <v>Acido cianhídrico</v>
          </cell>
        </row>
        <row r="9522">
          <cell r="A9522" t="str">
            <v>T57.8</v>
          </cell>
          <cell r="B9522" t="str">
            <v>Otras sustancias inorgánicas, especificadas</v>
          </cell>
        </row>
        <row r="9523">
          <cell r="A9523" t="str">
            <v>T57.9</v>
          </cell>
          <cell r="B9523" t="str">
            <v>Sustancia inorgánica, no especificada</v>
          </cell>
        </row>
        <row r="9524">
          <cell r="A9524" t="str">
            <v>T58.X</v>
          </cell>
          <cell r="B9524" t="str">
            <v>Efecto tóxico del monóxido de carbono</v>
          </cell>
        </row>
        <row r="9525">
          <cell r="A9525" t="str">
            <v>T59</v>
          </cell>
          <cell r="B9525" t="str">
            <v>Efecto tóxico de otros gases, humos y vapores</v>
          </cell>
        </row>
        <row r="9526">
          <cell r="A9526" t="str">
            <v>T59.0</v>
          </cell>
          <cell r="B9526" t="str">
            <v>Oxidos de nitrógeno</v>
          </cell>
        </row>
        <row r="9527">
          <cell r="A9527" t="str">
            <v>T59.1</v>
          </cell>
          <cell r="B9527" t="str">
            <v>Dióxido de sulfuro</v>
          </cell>
        </row>
        <row r="9528">
          <cell r="A9528" t="str">
            <v>T59.2</v>
          </cell>
          <cell r="B9528" t="str">
            <v>Formaldehído</v>
          </cell>
        </row>
        <row r="9529">
          <cell r="A9529" t="str">
            <v>T59.3</v>
          </cell>
          <cell r="B9529" t="str">
            <v>Gas lacrimógeno</v>
          </cell>
        </row>
        <row r="9530">
          <cell r="A9530" t="str">
            <v>T59.4</v>
          </cell>
          <cell r="B9530" t="str">
            <v>Cloro gaseoso</v>
          </cell>
        </row>
        <row r="9531">
          <cell r="A9531" t="str">
            <v>T59.5</v>
          </cell>
          <cell r="B9531" t="str">
            <v>Gas de flúor y fluoruro de hidrógeno</v>
          </cell>
        </row>
        <row r="9532">
          <cell r="A9532" t="str">
            <v>T59.6</v>
          </cell>
          <cell r="B9532" t="str">
            <v>Sulfuro de hidrógeno</v>
          </cell>
        </row>
        <row r="9533">
          <cell r="A9533" t="str">
            <v>T59.7</v>
          </cell>
          <cell r="B9533" t="str">
            <v>Dióxido de carbono</v>
          </cell>
        </row>
        <row r="9534">
          <cell r="A9534" t="str">
            <v>T59.8</v>
          </cell>
          <cell r="B9534" t="str">
            <v>Otros gases, humos y vapores especificados</v>
          </cell>
        </row>
        <row r="9535">
          <cell r="A9535" t="str">
            <v>T59.9</v>
          </cell>
          <cell r="B9535" t="str">
            <v>Gases, humos y vapores no especificados</v>
          </cell>
        </row>
        <row r="9536">
          <cell r="A9536" t="str">
            <v>T60</v>
          </cell>
          <cell r="B9536" t="str">
            <v>Efecto tóxico de plaguicidas [pesticidas]</v>
          </cell>
        </row>
        <row r="9537">
          <cell r="A9537" t="str">
            <v>T60.0</v>
          </cell>
          <cell r="B9537" t="str">
            <v>Insecticidas organofosforados y carbamatos</v>
          </cell>
        </row>
        <row r="9538">
          <cell r="A9538" t="str">
            <v>T60.1</v>
          </cell>
          <cell r="B9538" t="str">
            <v>Insecticidas halogenados</v>
          </cell>
        </row>
        <row r="9539">
          <cell r="A9539" t="str">
            <v>T60.2</v>
          </cell>
          <cell r="B9539" t="str">
            <v>Otros insecticidas</v>
          </cell>
        </row>
        <row r="9540">
          <cell r="A9540" t="str">
            <v>T60.3</v>
          </cell>
          <cell r="B9540" t="str">
            <v>Herbicidas y fungicidas</v>
          </cell>
        </row>
        <row r="9541">
          <cell r="A9541" t="str">
            <v>T60.4</v>
          </cell>
          <cell r="B9541" t="str">
            <v>Rodenticidas</v>
          </cell>
        </row>
        <row r="9542">
          <cell r="A9542" t="str">
            <v>T60.8</v>
          </cell>
          <cell r="B9542" t="str">
            <v>Otros plaguicidas</v>
          </cell>
        </row>
        <row r="9543">
          <cell r="A9543" t="str">
            <v>T60.9</v>
          </cell>
          <cell r="B9543" t="str">
            <v>Plaguicida, no especificado</v>
          </cell>
        </row>
        <row r="9544">
          <cell r="A9544" t="str">
            <v>T61</v>
          </cell>
          <cell r="B9544" t="str">
            <v>Efecto tóxico de sustancias nocivas ingeridas como alimentos marinos</v>
          </cell>
        </row>
        <row r="9545">
          <cell r="A9545" t="str">
            <v>T61.0</v>
          </cell>
          <cell r="B9545" t="str">
            <v>Envenenamiento ciguatero por pescado</v>
          </cell>
        </row>
        <row r="9546">
          <cell r="A9546" t="str">
            <v>T61.1</v>
          </cell>
          <cell r="B9546" t="str">
            <v>Envenenamiento escombroideo por pescado</v>
          </cell>
        </row>
        <row r="9547">
          <cell r="A9547" t="str">
            <v>T61.2</v>
          </cell>
          <cell r="B9547" t="str">
            <v>Otros envenenamientos por pescados y mariscos</v>
          </cell>
        </row>
        <row r="9548">
          <cell r="A9548" t="str">
            <v>T61.8</v>
          </cell>
          <cell r="B9548" t="str">
            <v>Efecto tóxico de otros alimentos marinos</v>
          </cell>
        </row>
        <row r="9549">
          <cell r="A9549" t="str">
            <v>T61.9</v>
          </cell>
          <cell r="B9549" t="str">
            <v>Efecto tóxico de alimentos marinos no especificados</v>
          </cell>
        </row>
        <row r="9550">
          <cell r="A9550" t="str">
            <v>T62</v>
          </cell>
          <cell r="B9550" t="str">
            <v>Efecto tóxico de otras sustancias nocivas ingeridas como alimento</v>
          </cell>
        </row>
        <row r="9551">
          <cell r="A9551" t="str">
            <v>T62.0</v>
          </cell>
          <cell r="B9551" t="str">
            <v>Hongos ingeridos</v>
          </cell>
        </row>
        <row r="9552">
          <cell r="A9552" t="str">
            <v>T62.1</v>
          </cell>
          <cell r="B9552" t="str">
            <v>Bayas ingeridas</v>
          </cell>
        </row>
        <row r="9553">
          <cell r="A9553" t="str">
            <v>T62.2</v>
          </cell>
          <cell r="B9553" t="str">
            <v>Otra(s) (partes de) planta(s) ingerida(s)</v>
          </cell>
        </row>
        <row r="9554">
          <cell r="A9554" t="str">
            <v>T62.8</v>
          </cell>
          <cell r="B9554" t="str">
            <v>Otras sustancias nocivas especificadas ingeridas como alimento</v>
          </cell>
        </row>
        <row r="9555">
          <cell r="A9555" t="str">
            <v>T62.9</v>
          </cell>
          <cell r="B9555" t="str">
            <v>Sustancia nociva ingerida como alimento, no especificada</v>
          </cell>
        </row>
        <row r="9556">
          <cell r="A9556" t="str">
            <v>T63</v>
          </cell>
          <cell r="B9556" t="str">
            <v>Efecto tóxico del contacto con animales venenosos</v>
          </cell>
        </row>
        <row r="9557">
          <cell r="A9557" t="str">
            <v>T63.0</v>
          </cell>
          <cell r="B9557" t="str">
            <v>Veneno de serpiente</v>
          </cell>
        </row>
        <row r="9558">
          <cell r="A9558" t="str">
            <v>T63.1</v>
          </cell>
          <cell r="B9558" t="str">
            <v>Veneno de otros reptiles</v>
          </cell>
        </row>
        <row r="9559">
          <cell r="A9559" t="str">
            <v>T63.2</v>
          </cell>
          <cell r="B9559" t="str">
            <v>Veneno de escorpión</v>
          </cell>
        </row>
        <row r="9560">
          <cell r="A9560" t="str">
            <v>T63.3</v>
          </cell>
          <cell r="B9560" t="str">
            <v>Veneno de arañas</v>
          </cell>
        </row>
        <row r="9561">
          <cell r="A9561" t="str">
            <v>T63.4</v>
          </cell>
          <cell r="B9561" t="str">
            <v>Veneno de otros artrópodos</v>
          </cell>
        </row>
        <row r="9562">
          <cell r="A9562" t="str">
            <v>T63.5</v>
          </cell>
          <cell r="B9562" t="str">
            <v>Efecto tóxico del contacto con peces</v>
          </cell>
        </row>
        <row r="9563">
          <cell r="A9563" t="str">
            <v>T63.6</v>
          </cell>
          <cell r="B9563" t="str">
            <v>Efecto tóxico del contacto con otros animales marinos</v>
          </cell>
        </row>
        <row r="9564">
          <cell r="A9564" t="str">
            <v>T63.8</v>
          </cell>
          <cell r="B9564" t="str">
            <v>Efectos tóxicos del contacto con otros animales venenosos</v>
          </cell>
        </row>
        <row r="9565">
          <cell r="A9565" t="str">
            <v>T63.9</v>
          </cell>
          <cell r="B9565" t="str">
            <v>Efecto tóxico del contacto con animal venenoso no especificado</v>
          </cell>
        </row>
        <row r="9566">
          <cell r="A9566" t="str">
            <v>T64.X</v>
          </cell>
          <cell r="B9566" t="str">
            <v>Efecto tóxico de aflatoxina y otras micotoxinas contaminantes de alimentos</v>
          </cell>
        </row>
        <row r="9567">
          <cell r="A9567" t="str">
            <v>T65</v>
          </cell>
          <cell r="B9567" t="str">
            <v>Efecto tóxico de otras sustancias y las no especificadas</v>
          </cell>
        </row>
        <row r="9568">
          <cell r="A9568" t="str">
            <v>T65.0</v>
          </cell>
          <cell r="B9568" t="str">
            <v>Cianuro</v>
          </cell>
        </row>
        <row r="9569">
          <cell r="A9569" t="str">
            <v>T65.1</v>
          </cell>
          <cell r="B9569" t="str">
            <v>Estricnina y sus sales</v>
          </cell>
        </row>
        <row r="9570">
          <cell r="A9570" t="str">
            <v>T65.2</v>
          </cell>
          <cell r="B9570" t="str">
            <v>Tabaco y nicotina</v>
          </cell>
        </row>
        <row r="9571">
          <cell r="A9571" t="str">
            <v>T65.3</v>
          </cell>
          <cell r="B9571" t="str">
            <v>Nitroderivados y aminoderivados del benceno y sus homólogos</v>
          </cell>
        </row>
        <row r="9572">
          <cell r="A9572" t="str">
            <v>T65.4</v>
          </cell>
          <cell r="B9572" t="str">
            <v>Bisulfuro de carbono</v>
          </cell>
        </row>
        <row r="9573">
          <cell r="A9573" t="str">
            <v>T65.5</v>
          </cell>
          <cell r="B9573" t="str">
            <v>Nitroglicerina y otros ácidos y ésteres nítricos</v>
          </cell>
        </row>
        <row r="9574">
          <cell r="A9574" t="str">
            <v>T65.6</v>
          </cell>
          <cell r="B9574" t="str">
            <v>Pinturas y colorantes, no clasificados en otra parte</v>
          </cell>
        </row>
        <row r="9575">
          <cell r="A9575" t="str">
            <v>T65.8</v>
          </cell>
          <cell r="B9575" t="str">
            <v>Efectos tóxicos de otras sustancias especificadas</v>
          </cell>
        </row>
        <row r="9576">
          <cell r="A9576" t="str">
            <v>T65.9</v>
          </cell>
          <cell r="B9576" t="str">
            <v>Efecto tóxico de sustancia no especificada</v>
          </cell>
        </row>
        <row r="9577">
          <cell r="A9577" t="str">
            <v>T66.X</v>
          </cell>
          <cell r="B9577" t="str">
            <v>Efectos no especificados de la radiación</v>
          </cell>
        </row>
        <row r="9578">
          <cell r="A9578" t="str">
            <v>T67</v>
          </cell>
          <cell r="B9578" t="str">
            <v>Efectos del calor y de la luz</v>
          </cell>
        </row>
        <row r="9579">
          <cell r="A9579" t="str">
            <v>T67.0</v>
          </cell>
          <cell r="B9579" t="str">
            <v>Golpe de calor e insolación</v>
          </cell>
        </row>
        <row r="9580">
          <cell r="A9580" t="str">
            <v>T67.1</v>
          </cell>
          <cell r="B9580" t="str">
            <v>Síncope por calor</v>
          </cell>
        </row>
        <row r="9581">
          <cell r="A9581" t="str">
            <v>T67.2</v>
          </cell>
          <cell r="B9581" t="str">
            <v>Calambre por calor</v>
          </cell>
        </row>
        <row r="9582">
          <cell r="A9582" t="str">
            <v>T67.3</v>
          </cell>
          <cell r="B9582" t="str">
            <v>Agotamiento por calor, anhidrótico</v>
          </cell>
        </row>
        <row r="9583">
          <cell r="A9583" t="str">
            <v>T67.4</v>
          </cell>
          <cell r="B9583" t="str">
            <v>Agotamiento por calor debido a depleción de sal</v>
          </cell>
        </row>
        <row r="9584">
          <cell r="A9584" t="str">
            <v>T67.5</v>
          </cell>
          <cell r="B9584" t="str">
            <v>Agotamiento por calor, no especificado</v>
          </cell>
        </row>
        <row r="9585">
          <cell r="A9585" t="str">
            <v>T67.6</v>
          </cell>
          <cell r="B9585" t="str">
            <v>Fatiga por calor, transitoria</v>
          </cell>
        </row>
        <row r="9586">
          <cell r="A9586" t="str">
            <v>T67.7</v>
          </cell>
          <cell r="B9586" t="str">
            <v>Edema por calor</v>
          </cell>
        </row>
        <row r="9587">
          <cell r="A9587" t="str">
            <v>T67.8</v>
          </cell>
          <cell r="B9587" t="str">
            <v>Otros efectos del calor y de la luz</v>
          </cell>
        </row>
        <row r="9588">
          <cell r="A9588" t="str">
            <v>T67.9</v>
          </cell>
          <cell r="B9588" t="str">
            <v>Efecto del calor y de la luz, no especificado</v>
          </cell>
        </row>
        <row r="9589">
          <cell r="A9589" t="str">
            <v>T68.X</v>
          </cell>
          <cell r="B9589" t="str">
            <v>Hipotermia</v>
          </cell>
        </row>
        <row r="9590">
          <cell r="A9590" t="str">
            <v>T69</v>
          </cell>
          <cell r="B9590" t="str">
            <v>Otros efectos de la reducción de la temperatura</v>
          </cell>
        </row>
        <row r="9591">
          <cell r="A9591" t="str">
            <v>T69.0</v>
          </cell>
          <cell r="B9591" t="str">
            <v>Mano y pie de inmersión</v>
          </cell>
        </row>
        <row r="9592">
          <cell r="A9592" t="str">
            <v>T69.1</v>
          </cell>
          <cell r="B9592" t="str">
            <v>Sabañón(es)</v>
          </cell>
        </row>
        <row r="9593">
          <cell r="A9593" t="str">
            <v>T69.8</v>
          </cell>
          <cell r="B9593" t="str">
            <v>Otros efectos especificados de la reducción de la temperatura</v>
          </cell>
        </row>
        <row r="9594">
          <cell r="A9594" t="str">
            <v>T69.9</v>
          </cell>
          <cell r="B9594" t="str">
            <v>Efecto de la reducción de la temperatura, no especificado</v>
          </cell>
        </row>
        <row r="9595">
          <cell r="A9595" t="str">
            <v>T70</v>
          </cell>
          <cell r="B9595" t="str">
            <v>Efectos de la presión del aire y de la presión del agua</v>
          </cell>
        </row>
        <row r="9596">
          <cell r="A9596" t="str">
            <v>T70.0</v>
          </cell>
          <cell r="B9596" t="str">
            <v>Barotrauma otítico</v>
          </cell>
        </row>
        <row r="9597">
          <cell r="A9597" t="str">
            <v>T70.1</v>
          </cell>
          <cell r="B9597" t="str">
            <v>Barotrauma sinusal</v>
          </cell>
        </row>
        <row r="9598">
          <cell r="A9598" t="str">
            <v>T70.2</v>
          </cell>
          <cell r="B9598" t="str">
            <v>Otros efectos y los no especificados de la gran altitud</v>
          </cell>
        </row>
        <row r="9599">
          <cell r="A9599" t="str">
            <v>T70.3</v>
          </cell>
          <cell r="B9599" t="str">
            <v>Enfermedad por descompresión [de los cajones sumergidos]</v>
          </cell>
        </row>
        <row r="9600">
          <cell r="A9600" t="str">
            <v>T70.4</v>
          </cell>
          <cell r="B9600" t="str">
            <v>Efectos de líquidos con alta presión</v>
          </cell>
        </row>
        <row r="9601">
          <cell r="A9601" t="str">
            <v>T70.8</v>
          </cell>
          <cell r="B9601" t="str">
            <v>Otros efectos de la presión del aire y del agua</v>
          </cell>
        </row>
        <row r="9602">
          <cell r="A9602" t="str">
            <v>T70.9</v>
          </cell>
          <cell r="B9602" t="str">
            <v>Efecto de la presión del aire y del agua, no especificado</v>
          </cell>
        </row>
        <row r="9603">
          <cell r="A9603" t="str">
            <v>T71.X</v>
          </cell>
          <cell r="B9603" t="str">
            <v>Asfixia</v>
          </cell>
        </row>
        <row r="9604">
          <cell r="A9604" t="str">
            <v>T73</v>
          </cell>
          <cell r="B9604" t="str">
            <v>Efectos de otras privaciones</v>
          </cell>
        </row>
        <row r="9605">
          <cell r="A9605" t="str">
            <v>T73.0</v>
          </cell>
          <cell r="B9605" t="str">
            <v>Efectos del hambre</v>
          </cell>
        </row>
        <row r="9606">
          <cell r="A9606" t="str">
            <v>T73.1</v>
          </cell>
          <cell r="B9606" t="str">
            <v>Efectos de la sed</v>
          </cell>
        </row>
        <row r="9607">
          <cell r="A9607" t="str">
            <v>T73.2</v>
          </cell>
          <cell r="B9607" t="str">
            <v>Agotamiento debido a exposición a la intemperie</v>
          </cell>
        </row>
        <row r="9608">
          <cell r="A9608" t="str">
            <v>T73.3</v>
          </cell>
          <cell r="B9608" t="str">
            <v>Agotamiento debido a esfuerzo excesivo</v>
          </cell>
        </row>
        <row r="9609">
          <cell r="A9609" t="str">
            <v>T73.8</v>
          </cell>
          <cell r="B9609" t="str">
            <v>Otros efectos de privación</v>
          </cell>
        </row>
        <row r="9610">
          <cell r="A9610" t="str">
            <v>T73.9</v>
          </cell>
          <cell r="B9610" t="str">
            <v>Efectos de privación, no especificados</v>
          </cell>
        </row>
        <row r="9611">
          <cell r="A9611" t="str">
            <v>T74</v>
          </cell>
          <cell r="B9611" t="str">
            <v>Síndromes del maltrato</v>
          </cell>
        </row>
        <row r="9612">
          <cell r="A9612" t="str">
            <v>T74.0</v>
          </cell>
          <cell r="B9612" t="str">
            <v>Negligencia o abandono</v>
          </cell>
        </row>
        <row r="9613">
          <cell r="A9613" t="str">
            <v>T74.1</v>
          </cell>
          <cell r="B9613" t="str">
            <v>Abuso físico</v>
          </cell>
        </row>
        <row r="9614">
          <cell r="A9614" t="str">
            <v>T74.2</v>
          </cell>
          <cell r="B9614" t="str">
            <v>Abuso sexual</v>
          </cell>
        </row>
        <row r="9615">
          <cell r="A9615" t="str">
            <v>T74.3</v>
          </cell>
          <cell r="B9615" t="str">
            <v>Abuso psicológico</v>
          </cell>
        </row>
        <row r="9616">
          <cell r="A9616" t="str">
            <v>T74.8</v>
          </cell>
          <cell r="B9616" t="str">
            <v>Otros síndromes del maltrato</v>
          </cell>
        </row>
        <row r="9617">
          <cell r="A9617" t="str">
            <v>T74.9</v>
          </cell>
          <cell r="B9617" t="str">
            <v>Síndrome del maltrato, no especificado</v>
          </cell>
        </row>
        <row r="9618">
          <cell r="A9618" t="str">
            <v>T75</v>
          </cell>
          <cell r="B9618" t="str">
            <v>Efectos de otras causas externas</v>
          </cell>
        </row>
        <row r="9619">
          <cell r="A9619" t="str">
            <v>T75.0</v>
          </cell>
          <cell r="B9619" t="str">
            <v>Efectos del rayo</v>
          </cell>
        </row>
        <row r="9620">
          <cell r="A9620" t="str">
            <v>T75.1</v>
          </cell>
          <cell r="B9620" t="str">
            <v>Ahogamiento y sumersión no mortal</v>
          </cell>
        </row>
        <row r="9621">
          <cell r="A9621" t="str">
            <v>T75.2</v>
          </cell>
          <cell r="B9621" t="str">
            <v>Efectos de la vibración</v>
          </cell>
        </row>
        <row r="9622">
          <cell r="A9622" t="str">
            <v>T75.3</v>
          </cell>
          <cell r="B9622" t="str">
            <v>Mal del movimiento</v>
          </cell>
        </row>
        <row r="9623">
          <cell r="A9623" t="str">
            <v>T75.4</v>
          </cell>
          <cell r="B9623" t="str">
            <v>Efectos de la corriente eléctrica</v>
          </cell>
        </row>
        <row r="9624">
          <cell r="A9624" t="str">
            <v>T75.8</v>
          </cell>
          <cell r="B9624" t="str">
            <v>Otros efectos especificados de causas externas</v>
          </cell>
        </row>
        <row r="9625">
          <cell r="A9625" t="str">
            <v>T78</v>
          </cell>
          <cell r="B9625" t="str">
            <v>Efectos adversos, no clasificados en otra parte</v>
          </cell>
        </row>
        <row r="9626">
          <cell r="A9626" t="str">
            <v>T78.0</v>
          </cell>
          <cell r="B9626" t="str">
            <v>Choque anafiláctico debido a reacción adversa a alimentos</v>
          </cell>
        </row>
        <row r="9627">
          <cell r="A9627" t="str">
            <v>T78.1</v>
          </cell>
          <cell r="B9627" t="str">
            <v>Otra reacción adversa a alimentos, no clasificada en otra parte</v>
          </cell>
        </row>
        <row r="9628">
          <cell r="A9628" t="str">
            <v>T78.2</v>
          </cell>
          <cell r="B9628" t="str">
            <v>Choque anafiláctico, no especificado</v>
          </cell>
        </row>
        <row r="9629">
          <cell r="A9629" t="str">
            <v>T78.3</v>
          </cell>
          <cell r="B9629" t="str">
            <v>Edema angioneurótico</v>
          </cell>
        </row>
        <row r="9630">
          <cell r="A9630" t="str">
            <v>T78.4</v>
          </cell>
          <cell r="B9630" t="str">
            <v>Alergia no especificada</v>
          </cell>
        </row>
        <row r="9631">
          <cell r="A9631" t="str">
            <v>T78.8</v>
          </cell>
          <cell r="B9631" t="str">
            <v>Otros efectos adversos, no clasificados en otra parte</v>
          </cell>
        </row>
        <row r="9632">
          <cell r="A9632" t="str">
            <v>T78.9</v>
          </cell>
          <cell r="B9632" t="str">
            <v>Efecto adverso no especificado</v>
          </cell>
        </row>
        <row r="9633">
          <cell r="A9633" t="str">
            <v>T79</v>
          </cell>
          <cell r="B9633" t="str">
            <v>Algunas complicaciones precoces de traumatismos, no clasificadas en otra parte</v>
          </cell>
        </row>
        <row r="9634">
          <cell r="A9634" t="str">
            <v>T79.0</v>
          </cell>
          <cell r="B9634" t="str">
            <v>Embolia gaseosa (traumática)</v>
          </cell>
        </row>
        <row r="9635">
          <cell r="A9635" t="str">
            <v>T79.1</v>
          </cell>
          <cell r="B9635" t="str">
            <v>Embolia grasa (traumática)</v>
          </cell>
        </row>
        <row r="9636">
          <cell r="A9636" t="str">
            <v>T79.2</v>
          </cell>
          <cell r="B9636" t="str">
            <v>Hemorragia traumática secundaria y recurrente</v>
          </cell>
        </row>
        <row r="9637">
          <cell r="A9637" t="str">
            <v>T79.3</v>
          </cell>
          <cell r="B9637" t="str">
            <v>Infección postraumática de herida, no clasificada en otra parte</v>
          </cell>
        </row>
        <row r="9638">
          <cell r="A9638" t="str">
            <v>T79.4</v>
          </cell>
          <cell r="B9638" t="str">
            <v>Choque traumático</v>
          </cell>
        </row>
        <row r="9639">
          <cell r="A9639" t="str">
            <v>T79.5</v>
          </cell>
          <cell r="B9639" t="str">
            <v>Anuria traumática</v>
          </cell>
        </row>
        <row r="9640">
          <cell r="A9640" t="str">
            <v>T79.6</v>
          </cell>
          <cell r="B9640" t="str">
            <v>Isquemia traumática de músculo</v>
          </cell>
        </row>
        <row r="9641">
          <cell r="A9641" t="str">
            <v>T79.7</v>
          </cell>
          <cell r="B9641" t="str">
            <v>Enfisema subcutáneo traumático</v>
          </cell>
        </row>
        <row r="9642">
          <cell r="A9642" t="str">
            <v>T79.8</v>
          </cell>
          <cell r="B9642" t="str">
            <v>Otras complicaciones precoces de los traumatismos</v>
          </cell>
        </row>
        <row r="9643">
          <cell r="A9643" t="str">
            <v>T79.9</v>
          </cell>
          <cell r="B9643" t="str">
            <v>Complicaciones precoces no especificadas de los traumatismos</v>
          </cell>
        </row>
        <row r="9644">
          <cell r="A9644" t="str">
            <v>T80</v>
          </cell>
          <cell r="B9644" t="str">
            <v>Complicaciones consecutivas a infusión, transfusión e inyección terapéutica</v>
          </cell>
        </row>
        <row r="9645">
          <cell r="A9645" t="str">
            <v>T80.0</v>
          </cell>
          <cell r="B9645" t="str">
            <v>Embolia gaseosa consecutiva a infusión, transfusión e inyección terapéutica</v>
          </cell>
        </row>
        <row r="9646">
          <cell r="A9646" t="str">
            <v>T80.1</v>
          </cell>
          <cell r="B9646" t="str">
            <v>Complicaciones vasculares consecutivas a infusión, transfusión e inyección terapéutica</v>
          </cell>
        </row>
        <row r="9647">
          <cell r="A9647" t="str">
            <v>T80.2</v>
          </cell>
          <cell r="B9647" t="str">
            <v>Infecciones consecutivas a infusión, transfusión e inyección terapéutica</v>
          </cell>
        </row>
        <row r="9648">
          <cell r="A9648" t="str">
            <v>T80.3</v>
          </cell>
          <cell r="B9648" t="str">
            <v>Reacción de incompatibilidad al grupo ABO</v>
          </cell>
        </row>
        <row r="9649">
          <cell r="A9649" t="str">
            <v>T80.4</v>
          </cell>
          <cell r="B9649" t="str">
            <v>Reacción de incompatibilidad a Rh</v>
          </cell>
        </row>
        <row r="9650">
          <cell r="A9650" t="str">
            <v>T80.5</v>
          </cell>
          <cell r="B9650" t="str">
            <v>Choque anafiláctico debido a suero</v>
          </cell>
        </row>
        <row r="9651">
          <cell r="A9651" t="str">
            <v>T80.6</v>
          </cell>
          <cell r="B9651" t="str">
            <v>Otras reacciones al suero</v>
          </cell>
        </row>
        <row r="9652">
          <cell r="A9652" t="str">
            <v>T80.8</v>
          </cell>
          <cell r="B9652" t="str">
            <v>Otras complicaciones consecutivas a infusión, transfusión, e inyección terapéutica</v>
          </cell>
        </row>
        <row r="9653">
          <cell r="A9653" t="str">
            <v>T80.9</v>
          </cell>
          <cell r="B9653" t="str">
            <v>Complicaciones no especificadas consecutivas a infusión, transfusión e inyección terapéutica</v>
          </cell>
        </row>
        <row r="9654">
          <cell r="A9654" t="str">
            <v>T81</v>
          </cell>
          <cell r="B9654" t="str">
            <v>Complicaciones de procedimientos, no clasificadas en otra parte</v>
          </cell>
        </row>
        <row r="9655">
          <cell r="A9655" t="str">
            <v>T81.0</v>
          </cell>
          <cell r="B9655" t="str">
            <v>Hemorragia y hematoma que complican un procedimiento, no clasificados en otra parte</v>
          </cell>
        </row>
        <row r="9656">
          <cell r="A9656" t="str">
            <v>T81.1</v>
          </cell>
          <cell r="B9656" t="str">
            <v>Choque durante o resultante de un procedimiento, no clasificado en otra parte</v>
          </cell>
        </row>
        <row r="9657">
          <cell r="A9657" t="str">
            <v>T81.2</v>
          </cell>
          <cell r="B9657" t="str">
            <v>Punción o laceración accidental durante un procedimiento, no clasificadas en otra parte</v>
          </cell>
        </row>
        <row r="9658">
          <cell r="A9658" t="str">
            <v>T81.3</v>
          </cell>
          <cell r="B9658" t="str">
            <v>Desgarro de herida operatoria, no clasificado en otra parte</v>
          </cell>
        </row>
        <row r="9659">
          <cell r="A9659" t="str">
            <v>T81.4</v>
          </cell>
          <cell r="B9659" t="str">
            <v>Infección consecutiva a procedimiento, no clasificada en otra parte</v>
          </cell>
        </row>
        <row r="9660">
          <cell r="A9660" t="str">
            <v>T81.5</v>
          </cell>
          <cell r="B9660" t="str">
            <v>Cuerpo extraño dejado accidentalmente en cavidad corporal o en herida operatoria consecutiva a procedimiento</v>
          </cell>
        </row>
        <row r="9661">
          <cell r="A9661" t="str">
            <v>T81.6</v>
          </cell>
          <cell r="B9661" t="str">
            <v>Reacción aguda a sustancia extraña dejada accidentalmente durante un procedimiento</v>
          </cell>
        </row>
        <row r="9662">
          <cell r="A9662" t="str">
            <v>T81.7</v>
          </cell>
          <cell r="B9662" t="str">
            <v>Complicaciones vasculares consecutivas a procedimiento, no clasificadas en otra parte</v>
          </cell>
        </row>
        <row r="9663">
          <cell r="A9663" t="str">
            <v>T81.8</v>
          </cell>
          <cell r="B9663" t="str">
            <v>Otras complicaciones de procedimientos, no clasificadas en otra parte</v>
          </cell>
        </row>
        <row r="9664">
          <cell r="A9664" t="str">
            <v>T81.9</v>
          </cell>
          <cell r="B9664" t="str">
            <v>Complicación de procedimientos, no especificada</v>
          </cell>
        </row>
        <row r="9665">
          <cell r="A9665" t="str">
            <v>T82</v>
          </cell>
          <cell r="B9665" t="str">
            <v>Complicaciones de dispositivos protésicos, implantes e injertos cardiovasculares</v>
          </cell>
        </row>
        <row r="9666">
          <cell r="A9666" t="str">
            <v>T82.0</v>
          </cell>
          <cell r="B9666" t="str">
            <v>Complicación mecánica de prótesis de válvula cardíaca</v>
          </cell>
        </row>
        <row r="9667">
          <cell r="A9667" t="str">
            <v>T82.1</v>
          </cell>
          <cell r="B9667" t="str">
            <v>Complicación mecánica de dispositivo electrónico cardíaco</v>
          </cell>
        </row>
        <row r="9668">
          <cell r="A9668" t="str">
            <v>T82.2</v>
          </cell>
          <cell r="B9668" t="str">
            <v>Complicación mecánica de derivación de arteria coronaria e injerto valvular</v>
          </cell>
        </row>
        <row r="9669">
          <cell r="A9669" t="str">
            <v>T82.3</v>
          </cell>
          <cell r="B9669" t="str">
            <v>Complicación mecánica de otros injertos vasculares</v>
          </cell>
        </row>
        <row r="9670">
          <cell r="A9670" t="str">
            <v>T82.4</v>
          </cell>
          <cell r="B9670" t="str">
            <v>Complicación mecánica de catéter para diálisis vascular</v>
          </cell>
        </row>
        <row r="9671">
          <cell r="A9671" t="str">
            <v>T82.5</v>
          </cell>
          <cell r="B9671" t="str">
            <v>Complicación mecánica de otros dispositivos e implantes cardiovasculares</v>
          </cell>
        </row>
        <row r="9672">
          <cell r="A9672" t="str">
            <v>T82.6</v>
          </cell>
          <cell r="B9672" t="str">
            <v>Infección y reacción inflamatoria debidas a prótesis de válvula cardíaca</v>
          </cell>
        </row>
        <row r="9673">
          <cell r="A9673" t="str">
            <v>T82.7</v>
          </cell>
          <cell r="B9673" t="str">
            <v>Infección y reacción inflamatoria debidas a otros dispositivos, implantes e injertos cardiovasculares</v>
          </cell>
        </row>
        <row r="9674">
          <cell r="A9674" t="str">
            <v>T82.8</v>
          </cell>
          <cell r="B9674" t="str">
            <v>Otras complicaciones de dispositivos protésicos, implantes e injertos cardiovasculares</v>
          </cell>
        </row>
        <row r="9675">
          <cell r="A9675" t="str">
            <v>T82.9</v>
          </cell>
          <cell r="B9675" t="str">
            <v>Complicación no especificada de dispositivo protésico, implante e injerto cardiovascular</v>
          </cell>
        </row>
        <row r="9676">
          <cell r="A9676" t="str">
            <v>T83</v>
          </cell>
          <cell r="B9676" t="str">
            <v>Complicaciones de dispositivos, implantes e injertos genitourinarios</v>
          </cell>
        </row>
        <row r="9677">
          <cell r="A9677" t="str">
            <v>T83.0</v>
          </cell>
          <cell r="B9677" t="str">
            <v>Complicación mecánica de catéter urinario (fijo)</v>
          </cell>
        </row>
        <row r="9678">
          <cell r="A9678" t="str">
            <v>T83.1</v>
          </cell>
          <cell r="B9678" t="str">
            <v>Complicación mecánica de otros dispositivos e implantes urinarios</v>
          </cell>
        </row>
        <row r="9679">
          <cell r="A9679" t="str">
            <v>T83.2</v>
          </cell>
          <cell r="B9679" t="str">
            <v>Complicación mecánica de injerto en órgano urinario</v>
          </cell>
        </row>
        <row r="9680">
          <cell r="A9680" t="str">
            <v>T83.3</v>
          </cell>
          <cell r="B9680" t="str">
            <v>Complicación mecánica de dispositivo anticonceptivo intrauterino</v>
          </cell>
        </row>
        <row r="9681">
          <cell r="A9681" t="str">
            <v>T83.4</v>
          </cell>
          <cell r="B9681" t="str">
            <v>Complicación mecánica de otros dispositivos, implantes e injertos en el tracto genital</v>
          </cell>
        </row>
        <row r="9682">
          <cell r="A9682" t="str">
            <v>T83.5</v>
          </cell>
          <cell r="B9682" t="str">
            <v>Infección y reacción inflamatoria debidas a dispositivo protésico, implante e injerto en el sistema urinario</v>
          </cell>
        </row>
        <row r="9683">
          <cell r="A9683" t="str">
            <v>T83.6</v>
          </cell>
          <cell r="B9683" t="str">
            <v>Infección y reacción inflamatoria debidas a dispositivo protésico, implante e injerto en el tracto genital</v>
          </cell>
        </row>
        <row r="9684">
          <cell r="A9684" t="str">
            <v>T83.8</v>
          </cell>
          <cell r="B9684" t="str">
            <v>Otras complicaciones de dispositivos protésicos, implantes e injertos genitourinarios</v>
          </cell>
        </row>
        <row r="9685">
          <cell r="A9685" t="str">
            <v>T83.9</v>
          </cell>
          <cell r="B9685" t="str">
            <v>Complicación no especificada de dispositivo protésico, implante e injerto genitourinario</v>
          </cell>
        </row>
        <row r="9686">
          <cell r="A9686" t="str">
            <v>T84</v>
          </cell>
          <cell r="B9686" t="str">
            <v>Complicaciones de dispositivos protésicos, implantes e injertos ortopédicos internos</v>
          </cell>
        </row>
        <row r="9687">
          <cell r="A9687" t="str">
            <v>T84.0</v>
          </cell>
          <cell r="B9687" t="str">
            <v>Complicación mecánica de prótesis articular interna</v>
          </cell>
        </row>
        <row r="9688">
          <cell r="A9688" t="str">
            <v>T84.1</v>
          </cell>
          <cell r="B9688" t="str">
            <v>Complicación mecánica de dispositivo de fijación interna de huesos de un miembro</v>
          </cell>
        </row>
        <row r="9689">
          <cell r="A9689" t="str">
            <v>T84.2</v>
          </cell>
          <cell r="B9689" t="str">
            <v>Complicación mecánica de dispositivo de fijación interna de otros huesos</v>
          </cell>
        </row>
        <row r="9690">
          <cell r="A9690" t="str">
            <v>T84.3</v>
          </cell>
          <cell r="B9690" t="str">
            <v>Complicación mecánica de otros dispositivos óseos, implantes e injertos</v>
          </cell>
        </row>
        <row r="9691">
          <cell r="A9691" t="str">
            <v>T84.4</v>
          </cell>
          <cell r="B9691" t="str">
            <v>Complicación mecánica de otros dispositivos protésicos, implantes e injertos ortopédicos internos</v>
          </cell>
        </row>
        <row r="9692">
          <cell r="A9692" t="str">
            <v>T84.5</v>
          </cell>
          <cell r="B9692" t="str">
            <v>Infección y reacción inflamatoria debidas a prótesis articular interna</v>
          </cell>
        </row>
        <row r="9693">
          <cell r="A9693" t="str">
            <v>T84.6</v>
          </cell>
          <cell r="B9693" t="str">
            <v>Infección y reacción inflamatoria debidas a dispositivo de fijación interna [cualquier sitio]</v>
          </cell>
        </row>
        <row r="9694">
          <cell r="A9694" t="str">
            <v>T84.7</v>
          </cell>
          <cell r="B9694" t="str">
            <v>Infección y reacción inflamatoria debidas a otros dispositivos protésicos, implantes e injertos ortopédicos internos</v>
          </cell>
        </row>
        <row r="9695">
          <cell r="A9695" t="str">
            <v>T84.8</v>
          </cell>
          <cell r="B9695" t="str">
            <v>Otras complicaciones de dispositivos protésicos, implantes e injertos ortopédicos internos</v>
          </cell>
        </row>
        <row r="9696">
          <cell r="A9696" t="str">
            <v>T84.9</v>
          </cell>
          <cell r="B9696" t="str">
            <v>Complicaciones no especificadas de dispositivos protésicos, implantes e injertos ortopédicos internos</v>
          </cell>
        </row>
        <row r="9697">
          <cell r="A9697" t="str">
            <v>T85</v>
          </cell>
          <cell r="B9697" t="str">
            <v>Complicaciones de otros dispositivos protésicos, implantes e injertos internos</v>
          </cell>
        </row>
        <row r="9698">
          <cell r="A9698" t="str">
            <v>T85.0</v>
          </cell>
          <cell r="B9698" t="str">
            <v>Complicación mecánica de derivación (anastomótica) ventricular intracraneal</v>
          </cell>
        </row>
        <row r="9699">
          <cell r="A9699" t="str">
            <v>T85.1</v>
          </cell>
          <cell r="B9699" t="str">
            <v>Complicación mecánica de implante de estimulador electrónico del sistema nervioso</v>
          </cell>
        </row>
        <row r="9700">
          <cell r="A9700" t="str">
            <v>T85.2</v>
          </cell>
          <cell r="B9700" t="str">
            <v>Complicación mecánica de lentes intraoculares</v>
          </cell>
        </row>
        <row r="9701">
          <cell r="A9701" t="str">
            <v>T85.3</v>
          </cell>
          <cell r="B9701" t="str">
            <v>Complicación mecánica de otros dispositivos protésicos, implantes e injertos oculares</v>
          </cell>
        </row>
        <row r="9702">
          <cell r="A9702" t="str">
            <v>T85.4</v>
          </cell>
          <cell r="B9702" t="str">
            <v>Complicación mecánica de prótesis e implante de mama</v>
          </cell>
        </row>
        <row r="9703">
          <cell r="A9703" t="str">
            <v>T85.5</v>
          </cell>
          <cell r="B9703" t="str">
            <v>Complicación mecánica de dispositivo protésico, implante e injerto gastrointestinal</v>
          </cell>
        </row>
        <row r="9704">
          <cell r="A9704" t="str">
            <v>T85.6</v>
          </cell>
          <cell r="B9704" t="str">
            <v>Complicación mecánica de otros dispositivos protésicos, implantes e injertos internos especificados</v>
          </cell>
        </row>
        <row r="9705">
          <cell r="A9705" t="str">
            <v>T85.7</v>
          </cell>
          <cell r="B9705" t="str">
            <v>Infección y reacción inflamatoria debidas a otros dispositivos protésicos, implantes e injertos internos</v>
          </cell>
        </row>
        <row r="9706">
          <cell r="A9706" t="str">
            <v>T85.8</v>
          </cell>
          <cell r="B9706" t="str">
            <v>Otras complicaciones de dispositivos protésicos, implantes e injertos internos, no clasificadas en otra parte</v>
          </cell>
        </row>
        <row r="9707">
          <cell r="A9707" t="str">
            <v>T85.9</v>
          </cell>
          <cell r="B9707" t="str">
            <v>Complicación no especificada de dispositivo protésico, implante e injerto interno</v>
          </cell>
        </row>
        <row r="9708">
          <cell r="A9708" t="str">
            <v>T86</v>
          </cell>
          <cell r="B9708" t="str">
            <v>Falla y rechazo del trasplante de órganos y tejidos</v>
          </cell>
        </row>
        <row r="9709">
          <cell r="A9709" t="str">
            <v>T86.0</v>
          </cell>
          <cell r="B9709" t="str">
            <v>Rechazo de trasplante de médula ósea</v>
          </cell>
        </row>
        <row r="9710">
          <cell r="A9710" t="str">
            <v>T86.1</v>
          </cell>
          <cell r="B9710" t="str">
            <v>Falla y rechazo de trasplante de riñón</v>
          </cell>
        </row>
        <row r="9711">
          <cell r="A9711" t="str">
            <v>T86.2</v>
          </cell>
          <cell r="B9711" t="str">
            <v>Falla y rechazo de trasplante de corazón</v>
          </cell>
        </row>
        <row r="9712">
          <cell r="A9712" t="str">
            <v>T86.3</v>
          </cell>
          <cell r="B9712" t="str">
            <v>Falla y rechazo de trasplante de pulmón-corazón</v>
          </cell>
        </row>
        <row r="9713">
          <cell r="A9713" t="str">
            <v>T86.4</v>
          </cell>
          <cell r="B9713" t="str">
            <v>Falla y rechazo de trasplante de hígado</v>
          </cell>
        </row>
        <row r="9714">
          <cell r="A9714" t="str">
            <v>T86.8</v>
          </cell>
          <cell r="B9714" t="str">
            <v>Falla y rechazo de otros órganos y tejidos trasplantados</v>
          </cell>
        </row>
        <row r="9715">
          <cell r="A9715" t="str">
            <v>T86.9</v>
          </cell>
          <cell r="B9715" t="str">
            <v>Falla y rechazo de trasplante de órgano y tejido no especificado</v>
          </cell>
        </row>
        <row r="9716">
          <cell r="A9716" t="str">
            <v>T87</v>
          </cell>
          <cell r="B9716" t="str">
            <v>Complicaciones peculiares de la reinserción y amputación</v>
          </cell>
        </row>
        <row r="9717">
          <cell r="A9717" t="str">
            <v>T87.0</v>
          </cell>
          <cell r="B9717" t="str">
            <v>Complicaciones de la reinserción (de parte) de extremidad superior</v>
          </cell>
        </row>
        <row r="9718">
          <cell r="A9718" t="str">
            <v>T87.1</v>
          </cell>
          <cell r="B9718" t="str">
            <v>Complicaciones de la reinserción (de parte) de extremidad inferior</v>
          </cell>
        </row>
        <row r="9719">
          <cell r="A9719" t="str">
            <v>T87.2</v>
          </cell>
          <cell r="B9719" t="str">
            <v>Complicaciones de otras partes del cuerpo reinsertadas</v>
          </cell>
        </row>
        <row r="9720">
          <cell r="A9720" t="str">
            <v>T87.3</v>
          </cell>
          <cell r="B9720" t="str">
            <v>Neuroma de muñón de amputación</v>
          </cell>
        </row>
        <row r="9721">
          <cell r="A9721" t="str">
            <v>T87.4</v>
          </cell>
          <cell r="B9721" t="str">
            <v>Infección de muñón de amputación</v>
          </cell>
        </row>
        <row r="9722">
          <cell r="A9722" t="str">
            <v>T87.5</v>
          </cell>
          <cell r="B9722" t="str">
            <v>Necrosis de muñón de amputación</v>
          </cell>
        </row>
        <row r="9723">
          <cell r="A9723" t="str">
            <v>T87.6</v>
          </cell>
          <cell r="B9723" t="str">
            <v>Otras complicaciones y las no especificadas de muñón de amputación</v>
          </cell>
        </row>
        <row r="9724">
          <cell r="A9724" t="str">
            <v>T88</v>
          </cell>
          <cell r="B9724" t="str">
            <v>Otras complicaciones de la atención médica y quirúrgica, no clasificadas en otra parte</v>
          </cell>
        </row>
        <row r="9725">
          <cell r="A9725" t="str">
            <v>T88.0</v>
          </cell>
          <cell r="B9725" t="str">
            <v>Infección consecutiva a inmunización</v>
          </cell>
        </row>
        <row r="9726">
          <cell r="A9726" t="str">
            <v>T88.1</v>
          </cell>
          <cell r="B9726" t="str">
            <v>Otras complicaciones consecutivas a inmunización, no clasificadas en otra parte</v>
          </cell>
        </row>
        <row r="9727">
          <cell r="A9727" t="str">
            <v>T88.2</v>
          </cell>
          <cell r="B9727" t="str">
            <v>Choque debido a la anestesia</v>
          </cell>
        </row>
        <row r="9728">
          <cell r="A9728" t="str">
            <v>T88.3</v>
          </cell>
          <cell r="B9728" t="str">
            <v>Hipertermia maligna debida a la anestesia</v>
          </cell>
        </row>
        <row r="9729">
          <cell r="A9729" t="str">
            <v>T88.4</v>
          </cell>
          <cell r="B9729" t="str">
            <v>Falla o dificultad de la intubación</v>
          </cell>
        </row>
        <row r="9730">
          <cell r="A9730" t="str">
            <v>T88.5</v>
          </cell>
          <cell r="B9730" t="str">
            <v>Otras complicaciones de la anestesia</v>
          </cell>
        </row>
        <row r="9731">
          <cell r="A9731" t="str">
            <v>T88.6</v>
          </cell>
          <cell r="B9731" t="str">
            <v>Choque anafiláctico debido a efecto adverso de droga o medicamento correcto administrado apropiadamente</v>
          </cell>
        </row>
        <row r="9732">
          <cell r="A9732" t="str">
            <v>T88.7</v>
          </cell>
          <cell r="B9732" t="str">
            <v>Efecto adverso no especificado de droga o medicamento</v>
          </cell>
        </row>
        <row r="9733">
          <cell r="A9733" t="str">
            <v>T88.8</v>
          </cell>
          <cell r="B9733" t="str">
            <v>Otras complicaciones especificadas de la atención médica y quirúrgica, no clasificadas en otra parte</v>
          </cell>
        </row>
        <row r="9734">
          <cell r="A9734" t="str">
            <v>T88.9</v>
          </cell>
          <cell r="B9734" t="str">
            <v>Complicaciones no especificadas de la atención médica y quirúrgica</v>
          </cell>
        </row>
        <row r="9735">
          <cell r="A9735" t="str">
            <v>T90</v>
          </cell>
          <cell r="B9735" t="str">
            <v>Secuelas de traumatismos de la cabeza</v>
          </cell>
        </row>
        <row r="9736">
          <cell r="A9736" t="str">
            <v>T90.0</v>
          </cell>
          <cell r="B9736" t="str">
            <v>Secuelas de traumatismo superficial de la cabeza</v>
          </cell>
        </row>
        <row r="9737">
          <cell r="A9737" t="str">
            <v>T90.1</v>
          </cell>
          <cell r="B9737" t="str">
            <v>Secuelas de herida de la cabeza</v>
          </cell>
        </row>
        <row r="9738">
          <cell r="A9738" t="str">
            <v>T90.2</v>
          </cell>
          <cell r="B9738" t="str">
            <v>Secuelas de fractura del cráneo y de huesos faciales</v>
          </cell>
        </row>
        <row r="9739">
          <cell r="A9739" t="str">
            <v>T90.3</v>
          </cell>
          <cell r="B9739" t="str">
            <v>Secuelas de traumatismo de nervios craneales</v>
          </cell>
        </row>
        <row r="9740">
          <cell r="A9740" t="str">
            <v>T90.4</v>
          </cell>
          <cell r="B9740" t="str">
            <v>Secuelas de traumatismo del ojo y de la órbita</v>
          </cell>
        </row>
        <row r="9741">
          <cell r="A9741" t="str">
            <v>T90.5</v>
          </cell>
          <cell r="B9741" t="str">
            <v>Secuelas de traumatismo intracraneal</v>
          </cell>
        </row>
        <row r="9742">
          <cell r="A9742" t="str">
            <v>T90.8</v>
          </cell>
          <cell r="B9742" t="str">
            <v>Secuelas de otros traumatismos especificados de la cabeza</v>
          </cell>
        </row>
        <row r="9743">
          <cell r="A9743" t="str">
            <v>T90.9</v>
          </cell>
          <cell r="B9743" t="str">
            <v>Secuelas de traumatismo no especificado de la cabeza</v>
          </cell>
        </row>
        <row r="9744">
          <cell r="A9744" t="str">
            <v>T91</v>
          </cell>
          <cell r="B9744" t="str">
            <v>Secuelas de traumatismos del cuello y del tronco</v>
          </cell>
        </row>
        <row r="9745">
          <cell r="A9745" t="str">
            <v>T91.0</v>
          </cell>
          <cell r="B9745" t="str">
            <v>Secuelas de traumatismo superficial y de heridas del cuello y del tronco</v>
          </cell>
        </row>
        <row r="9746">
          <cell r="A9746" t="str">
            <v>T91.1</v>
          </cell>
          <cell r="B9746" t="str">
            <v>Secuelas de fractura de la columna vertebral</v>
          </cell>
        </row>
        <row r="9747">
          <cell r="A9747" t="str">
            <v>T91.2</v>
          </cell>
          <cell r="B9747" t="str">
            <v>Secuelas de otra fractura del tórax y de la pelvis</v>
          </cell>
        </row>
        <row r="9748">
          <cell r="A9748" t="str">
            <v>T91.3</v>
          </cell>
          <cell r="B9748" t="str">
            <v>Secuelas de traumatismo de la médula espinal</v>
          </cell>
        </row>
        <row r="9749">
          <cell r="A9749" t="str">
            <v>T91.4</v>
          </cell>
          <cell r="B9749" t="str">
            <v>Secuelas de traumatismo de órganos intratorácicos</v>
          </cell>
        </row>
        <row r="9750">
          <cell r="A9750" t="str">
            <v>T91.5</v>
          </cell>
          <cell r="B9750" t="str">
            <v>Secuelas de traumatismo de órganos intraabdominales y pélvicos</v>
          </cell>
        </row>
        <row r="9751">
          <cell r="A9751" t="str">
            <v>T91.8</v>
          </cell>
          <cell r="B9751" t="str">
            <v>Secuelas de otros traumatismos especificados del cuello y del tronco</v>
          </cell>
        </row>
        <row r="9752">
          <cell r="A9752" t="str">
            <v>T91.9</v>
          </cell>
          <cell r="B9752" t="str">
            <v>Secuelas de traumatismo no especificado del cuello y del tronco</v>
          </cell>
        </row>
        <row r="9753">
          <cell r="A9753" t="str">
            <v>T92</v>
          </cell>
          <cell r="B9753" t="str">
            <v>Secuelas de traumatismos de miembro superior</v>
          </cell>
        </row>
        <row r="9754">
          <cell r="A9754" t="str">
            <v>T92.0</v>
          </cell>
          <cell r="B9754" t="str">
            <v>Secuelas de herida de miembro superior</v>
          </cell>
        </row>
        <row r="9755">
          <cell r="A9755" t="str">
            <v>T92.1</v>
          </cell>
          <cell r="B9755" t="str">
            <v>Secuelas de fractura del brazo</v>
          </cell>
        </row>
        <row r="9756">
          <cell r="A9756" t="str">
            <v>T92.2</v>
          </cell>
          <cell r="B9756" t="str">
            <v>Secuelas de fractura de la muñeca y de la mano</v>
          </cell>
        </row>
        <row r="9757">
          <cell r="A9757" t="str">
            <v>T92.3</v>
          </cell>
          <cell r="B9757" t="str">
            <v>Secuelas de luxación, torcedura y esguince de miembro superior</v>
          </cell>
        </row>
        <row r="9758">
          <cell r="A9758" t="str">
            <v>T92.4</v>
          </cell>
          <cell r="B9758" t="str">
            <v>Secuelas de traumatismo de nervio de miembro superior</v>
          </cell>
        </row>
        <row r="9759">
          <cell r="A9759" t="str">
            <v>T92.5</v>
          </cell>
          <cell r="B9759" t="str">
            <v>Secuelas de traumatismo de tendón y músculo de miembro superior</v>
          </cell>
        </row>
        <row r="9760">
          <cell r="A9760" t="str">
            <v>T92.6</v>
          </cell>
          <cell r="B9760" t="str">
            <v>Secuelas de aplastamiento y amputación traumáticas de miembro superior</v>
          </cell>
        </row>
        <row r="9761">
          <cell r="A9761" t="str">
            <v>T92.8</v>
          </cell>
          <cell r="B9761" t="str">
            <v>Secuelas de otros traumatismos especificados de miembro superior</v>
          </cell>
        </row>
        <row r="9762">
          <cell r="A9762" t="str">
            <v>T92.9</v>
          </cell>
          <cell r="B9762" t="str">
            <v>Secuelas de traumatismo no especificado de miembro superior</v>
          </cell>
        </row>
        <row r="9763">
          <cell r="A9763" t="str">
            <v>T93</v>
          </cell>
          <cell r="B9763" t="str">
            <v>Secuelas de traumatismos de miembro inferior</v>
          </cell>
        </row>
        <row r="9764">
          <cell r="A9764" t="str">
            <v>T93.0</v>
          </cell>
          <cell r="B9764" t="str">
            <v>Secuelas de herida de miembro inferior</v>
          </cell>
        </row>
        <row r="9765">
          <cell r="A9765" t="str">
            <v>T93.1</v>
          </cell>
          <cell r="B9765" t="str">
            <v>Secuelas de fractura del fémur</v>
          </cell>
        </row>
        <row r="9766">
          <cell r="A9766" t="str">
            <v>T93.2</v>
          </cell>
          <cell r="B9766" t="str">
            <v>Secuelas de otras fracturas de miembro inferior</v>
          </cell>
        </row>
        <row r="9767">
          <cell r="A9767" t="str">
            <v>T93.3</v>
          </cell>
          <cell r="B9767" t="str">
            <v>Secuelas de luxación, torcedura y esguince de miembro inferior</v>
          </cell>
        </row>
        <row r="9768">
          <cell r="A9768" t="str">
            <v>T93.4</v>
          </cell>
          <cell r="B9768" t="str">
            <v>Secuelas de traumatismo de nervio de miembro inferior</v>
          </cell>
        </row>
        <row r="9769">
          <cell r="A9769" t="str">
            <v>T93.5</v>
          </cell>
          <cell r="B9769" t="str">
            <v>Secuelas de traumatismo de tendón y músculo de miembro inferior</v>
          </cell>
        </row>
        <row r="9770">
          <cell r="A9770" t="str">
            <v>T93.6</v>
          </cell>
          <cell r="B9770" t="str">
            <v>Secuelas de aplastamiento y amputación traumáticas de miembro inferior</v>
          </cell>
        </row>
        <row r="9771">
          <cell r="A9771" t="str">
            <v>T93.8</v>
          </cell>
          <cell r="B9771" t="str">
            <v>Secuelas de otros traumatismos especificados de miembro inferior</v>
          </cell>
        </row>
        <row r="9772">
          <cell r="A9772" t="str">
            <v>T93.9</v>
          </cell>
          <cell r="B9772" t="str">
            <v>Secuelas de traumatismo no especificado de miembro inferior</v>
          </cell>
        </row>
        <row r="9773">
          <cell r="A9773" t="str">
            <v>T94</v>
          </cell>
          <cell r="B9773" t="str">
            <v>Secuelas de traumatismos que afectan múltiples regiones del cuerpo y las no especificadas</v>
          </cell>
        </row>
        <row r="9774">
          <cell r="A9774" t="str">
            <v>T94.0</v>
          </cell>
          <cell r="B9774" t="str">
            <v>Secuelas de traumatismos que afectan múltiples regiones del cuerpo</v>
          </cell>
        </row>
        <row r="9775">
          <cell r="A9775" t="str">
            <v>T94.1</v>
          </cell>
          <cell r="B9775" t="str">
            <v>Secuelas de traumatismos de regiones no especificadas del cuerpo</v>
          </cell>
        </row>
        <row r="9776">
          <cell r="A9776" t="str">
            <v>T95</v>
          </cell>
          <cell r="B9776" t="str">
            <v>Secuelas de quemaduras, corrosiones y congelamientos</v>
          </cell>
        </row>
        <row r="9777">
          <cell r="A9777" t="str">
            <v>T95.0</v>
          </cell>
          <cell r="B9777" t="str">
            <v>Secuelas de quemadura, corrosión y congelamiento de la cabeza y del cuello</v>
          </cell>
        </row>
        <row r="9778">
          <cell r="A9778" t="str">
            <v>T95.1</v>
          </cell>
          <cell r="B9778" t="str">
            <v>Secuelas de quemadura, corrosión y congelamiento del tronco</v>
          </cell>
        </row>
        <row r="9779">
          <cell r="A9779" t="str">
            <v>T95.2</v>
          </cell>
          <cell r="B9779" t="str">
            <v>Secuelas de quemadura, corrosión y congelamiento de miembro superior</v>
          </cell>
        </row>
        <row r="9780">
          <cell r="A9780" t="str">
            <v>T95.3</v>
          </cell>
          <cell r="B9780" t="str">
            <v>Secuelas de quemadura, corrosión y congelamiento de miembro inferior</v>
          </cell>
        </row>
        <row r="9781">
          <cell r="A9781" t="str">
            <v>T95.4</v>
          </cell>
          <cell r="B9781" t="str">
            <v>Secuelas de quemadura y corrosión clasificables sólo de acuerdo con la extensión de la superficie del cuerpo afectada</v>
          </cell>
        </row>
        <row r="9782">
          <cell r="A9782" t="str">
            <v>T95.8</v>
          </cell>
          <cell r="B9782" t="str">
            <v>Secuelas de otras quemaduras, corrosiones y congelamientos especificados</v>
          </cell>
        </row>
        <row r="9783">
          <cell r="A9783" t="str">
            <v>T95.9</v>
          </cell>
          <cell r="B9783" t="str">
            <v>Secuelas de quemadura, corrosión y congelamiento no especificados</v>
          </cell>
        </row>
        <row r="9784">
          <cell r="A9784" t="str">
            <v>T96.X</v>
          </cell>
          <cell r="B9784" t="str">
            <v>Secuelas de envenenamientos por drogas, medicamentos y sustancias  biológicas</v>
          </cell>
        </row>
        <row r="9785">
          <cell r="A9785" t="str">
            <v>T97.X</v>
          </cell>
          <cell r="B9785" t="str">
            <v>Secuelas de efectos tóxicos de sustancias de procedencia principalmente no medicinal</v>
          </cell>
        </row>
        <row r="9786">
          <cell r="A9786" t="str">
            <v>T98</v>
          </cell>
          <cell r="B9786" t="str">
            <v>Secuelas de otros efectos y los no especificados de causas externas</v>
          </cell>
        </row>
        <row r="9787">
          <cell r="A9787" t="str">
            <v>T98.0</v>
          </cell>
          <cell r="B9787" t="str">
            <v>Secuelas de efectos de cuerpos extraños que penetran en orificios naturales</v>
          </cell>
        </row>
        <row r="9788">
          <cell r="A9788" t="str">
            <v>T98.1</v>
          </cell>
          <cell r="B9788" t="str">
            <v>Secuelas de otros efectos y los no especificados de causas externas</v>
          </cell>
        </row>
        <row r="9789">
          <cell r="A9789" t="str">
            <v>T98.2</v>
          </cell>
          <cell r="B9789" t="str">
            <v>Secuelas de ciertas complicaciones precoces de los traumatismos</v>
          </cell>
        </row>
        <row r="9790">
          <cell r="A9790" t="str">
            <v>T98.3</v>
          </cell>
          <cell r="B9790" t="str">
            <v>Secuelas de complicaciones de la atención médica y quirúrgica, no clasificadas en otra parte</v>
          </cell>
        </row>
        <row r="9791">
          <cell r="A9791" t="str">
            <v>V</v>
          </cell>
          <cell r="B9791" t="str">
            <v>Accidentes</v>
          </cell>
        </row>
        <row r="9792">
          <cell r="A9792" t="str">
            <v>V01</v>
          </cell>
          <cell r="B9792" t="str">
            <v>Peatón lesionado por colisión con vehículo de pedal</v>
          </cell>
        </row>
        <row r="9793">
          <cell r="A9793" t="str">
            <v>V01.0</v>
          </cell>
          <cell r="B9793" t="str">
            <v>Peatón lesionado por colisión con vehículo de pedal, accidente no de tránsito</v>
          </cell>
        </row>
        <row r="9794">
          <cell r="A9794" t="str">
            <v>V01.1</v>
          </cell>
          <cell r="B9794" t="str">
            <v>Peatón lesionado por colisión con vehículo de pedal, accidente de tránsito</v>
          </cell>
        </row>
        <row r="9795">
          <cell r="A9795" t="str">
            <v>V01.9</v>
          </cell>
          <cell r="B9795" t="str">
            <v>Peatón lesionado por colisión con vehículo de pedal, accidente no especificado como de tránsito o no de tránsito</v>
          </cell>
        </row>
        <row r="9796">
          <cell r="A9796" t="str">
            <v>V02</v>
          </cell>
          <cell r="B9796" t="str">
            <v>Peatón lesionado por colisión con vehículo de motor de dos o tres ruedas</v>
          </cell>
        </row>
        <row r="9797">
          <cell r="A9797" t="str">
            <v>V02.0</v>
          </cell>
          <cell r="B9797" t="str">
            <v>Peatón lesionado por colisión con vehículo de motor de dos o tres ruedas, accidente no de tránsito</v>
          </cell>
        </row>
        <row r="9798">
          <cell r="A9798" t="str">
            <v>V02.1</v>
          </cell>
          <cell r="B9798" t="str">
            <v>Peatón lesionado por colisión con vehículo de motor de dos o tres ruedas, accidente de tránsito</v>
          </cell>
        </row>
        <row r="9799">
          <cell r="A9799" t="str">
            <v>V02.9</v>
          </cell>
          <cell r="B9799" t="str">
            <v>Peatón lesionado por colisión con vehículo de motor de dos o tres ruedas, accidente no especificado como de tránsito o no de tránsito</v>
          </cell>
        </row>
        <row r="9800">
          <cell r="A9800" t="str">
            <v>V03</v>
          </cell>
          <cell r="B9800" t="str">
            <v>Peatón lesionado por colisión con automóvil, camioneta o furgoneta</v>
          </cell>
        </row>
        <row r="9801">
          <cell r="A9801" t="str">
            <v>V03.0</v>
          </cell>
          <cell r="B9801" t="str">
            <v>Peatón lesionado por colisión con automóvil, camioneta o furgoneta, accidente no de tránsito</v>
          </cell>
        </row>
        <row r="9802">
          <cell r="A9802" t="str">
            <v>V03.1</v>
          </cell>
          <cell r="B9802" t="str">
            <v>Peatón lesionado por colisión con automóvil, camioneta o furgoneta, accidente de tránsito</v>
          </cell>
        </row>
        <row r="9803">
          <cell r="A9803" t="str">
            <v>V03.9</v>
          </cell>
          <cell r="B9803" t="str">
            <v>Peatón lesionado por colisión con automóvil, camioneta o furgoneta, accidente no especificado como de tránsito o no de tránsito</v>
          </cell>
        </row>
        <row r="9804">
          <cell r="A9804" t="str">
            <v>V04</v>
          </cell>
          <cell r="B9804" t="str">
            <v>Peatón lesionado por colisión con vehículo de transporte pesado o autobús</v>
          </cell>
        </row>
        <row r="9805">
          <cell r="A9805" t="str">
            <v>V04.0</v>
          </cell>
          <cell r="B9805" t="str">
            <v>Peatón lesionado por colisión con vehículo de transporte pesado o autobús, accidente no de tránsito</v>
          </cell>
        </row>
        <row r="9806">
          <cell r="A9806" t="str">
            <v>V04.1</v>
          </cell>
          <cell r="B9806" t="str">
            <v>Peatón lesionado por colisión con vehículo de transporte pesado o autobús, accidente de tránsito</v>
          </cell>
        </row>
        <row r="9807">
          <cell r="A9807" t="str">
            <v>V04.9</v>
          </cell>
          <cell r="B9807" t="str">
            <v>Peatón lesionado por colisión con vehículo de transporte pesado o autobús, accidente no especificado como de tránsito o no de tránsito</v>
          </cell>
        </row>
        <row r="9808">
          <cell r="A9808" t="str">
            <v>V05</v>
          </cell>
          <cell r="B9808" t="str">
            <v>Peatón lesionado por colisión con tren o vehículo de rieles</v>
          </cell>
        </row>
        <row r="9809">
          <cell r="A9809" t="str">
            <v>V05.0</v>
          </cell>
          <cell r="B9809" t="str">
            <v>Peatón lesionado por colisión con tren o vehículo de rieles, accidente no de tránsito</v>
          </cell>
        </row>
        <row r="9810">
          <cell r="A9810" t="str">
            <v>V05.1</v>
          </cell>
          <cell r="B9810" t="str">
            <v>Peatón lesionado por colisión con tren o vehículo de rieles, accidente de tránsito</v>
          </cell>
        </row>
        <row r="9811">
          <cell r="A9811" t="str">
            <v>V05.9</v>
          </cell>
          <cell r="B9811" t="str">
            <v>Peatón lesionado por colisión con tren o vehículo de rieles, accidente no especificado como de tránsito o no de tránsito</v>
          </cell>
        </row>
        <row r="9812">
          <cell r="A9812" t="str">
            <v>V06</v>
          </cell>
          <cell r="B9812" t="str">
            <v>Peatón lesionado por colisión con otros vehículos sin motor</v>
          </cell>
        </row>
        <row r="9813">
          <cell r="A9813" t="str">
            <v>V06.0</v>
          </cell>
          <cell r="B9813" t="str">
            <v>Peatón lesionado por colisión con otros vehículos sin motor, accidente no de tránsito</v>
          </cell>
        </row>
        <row r="9814">
          <cell r="A9814" t="str">
            <v>V06.1</v>
          </cell>
          <cell r="B9814" t="str">
            <v>Peatón lesionado por colisión con otros vehículos sin motor, accidente de tránsito</v>
          </cell>
        </row>
        <row r="9815">
          <cell r="A9815" t="str">
            <v>V06.9</v>
          </cell>
          <cell r="B9815" t="str">
            <v>Peatón lesionado por colisión con otros vehículos sin motor, accidente no especificado como de tránsito o no de tránsito</v>
          </cell>
        </row>
        <row r="9816">
          <cell r="A9816" t="str">
            <v>V09</v>
          </cell>
          <cell r="B9816" t="str">
            <v>Peatón lesionado en otros accidentes de transporte, y en los no especificados</v>
          </cell>
        </row>
        <row r="9817">
          <cell r="A9817" t="str">
            <v>V09.0</v>
          </cell>
          <cell r="B9817" t="str">
            <v>Peatón lesionado en accidente no de tránsito que involucra otros vehículos de motor, y los no especificados</v>
          </cell>
        </row>
        <row r="9818">
          <cell r="A9818" t="str">
            <v>V09.1</v>
          </cell>
          <cell r="B9818" t="str">
            <v>Peatón lesionado en accidente no de tránsito no especificado</v>
          </cell>
        </row>
        <row r="9819">
          <cell r="A9819" t="str">
            <v>V09.2</v>
          </cell>
          <cell r="B9819" t="str">
            <v>Peatón lesionado en accidente de tránsito que involucra otros vehículos de motor, y los no especificados</v>
          </cell>
        </row>
        <row r="9820">
          <cell r="A9820" t="str">
            <v>V09.3</v>
          </cell>
          <cell r="B9820" t="str">
            <v>Peatón lesionado en accidente de tránsito no especificado</v>
          </cell>
        </row>
        <row r="9821">
          <cell r="A9821" t="str">
            <v>V09.9</v>
          </cell>
          <cell r="B9821" t="str">
            <v>Peatón lesionado en accidente de transporte no especificado</v>
          </cell>
        </row>
        <row r="9822">
          <cell r="A9822" t="str">
            <v>V10</v>
          </cell>
          <cell r="B9822" t="str">
            <v>Ciclista lesionado por colisión con peatón o animal</v>
          </cell>
        </row>
        <row r="9823">
          <cell r="A9823" t="str">
            <v>V10.0</v>
          </cell>
          <cell r="B9823" t="str">
            <v>Ciclista lesionado por colisión con peatón o animal, conductor lesionado en accidente no de tránsito</v>
          </cell>
        </row>
        <row r="9824">
          <cell r="A9824" t="str">
            <v>V10.1</v>
          </cell>
          <cell r="B9824" t="str">
            <v>Ciclista lesionado por colisión con peatón o animal, pasajero lesionado en accidente no de tránsito</v>
          </cell>
        </row>
        <row r="9825">
          <cell r="A9825" t="str">
            <v>V10.2</v>
          </cell>
          <cell r="B9825" t="str">
            <v>Ciclista lesionado por colisión con peatón o animal, ciclista no especificado, lesionado en accidente no de tránsito</v>
          </cell>
        </row>
        <row r="9826">
          <cell r="A9826" t="str">
            <v>V10.3</v>
          </cell>
          <cell r="B9826" t="str">
            <v>Ciclista lesionado por colisión con peatón o animal, persona lesionada al subir o bajar del vehículo</v>
          </cell>
        </row>
        <row r="9827">
          <cell r="A9827" t="str">
            <v>V10.4</v>
          </cell>
          <cell r="B9827" t="str">
            <v>Ciclista lesionado por colisión con peatón o animal, conductor lesionado en accidente de tránsito</v>
          </cell>
        </row>
        <row r="9828">
          <cell r="A9828" t="str">
            <v>V10.5</v>
          </cell>
          <cell r="B9828" t="str">
            <v>Ciclista lesionado por colisión con peatón o animal, pasajero lesionado en accidente de tránsito</v>
          </cell>
        </row>
        <row r="9829">
          <cell r="A9829" t="str">
            <v>V10.9</v>
          </cell>
          <cell r="B9829" t="str">
            <v>Ciclista lesionado por colisión con peatón o animal, ciclista no especificado, lesionado en accidente de tránsito</v>
          </cell>
        </row>
        <row r="9830">
          <cell r="A9830" t="str">
            <v>V11</v>
          </cell>
          <cell r="B9830" t="str">
            <v>Ciclista lesionado por colisión con otro ciclista</v>
          </cell>
        </row>
        <row r="9831">
          <cell r="A9831" t="str">
            <v>V11.0</v>
          </cell>
          <cell r="B9831" t="str">
            <v>Ciclista lesionado por colisión con otro ciclista, conductor lesionado en accidente no de tránsito</v>
          </cell>
        </row>
        <row r="9832">
          <cell r="A9832" t="str">
            <v>V11.1</v>
          </cell>
          <cell r="B9832" t="str">
            <v>Ciclista lesionado por colisión con otro ciclista, pasajero lesionado en accidente no de tránsito</v>
          </cell>
        </row>
        <row r="9833">
          <cell r="A9833" t="str">
            <v>V11.2</v>
          </cell>
          <cell r="B9833" t="str">
            <v>Ciclista lesionado por colisión con otro ciclista, ciclista no especificado, lesionado en accidente no de tránsito</v>
          </cell>
        </row>
        <row r="9834">
          <cell r="A9834" t="str">
            <v>V11.3</v>
          </cell>
          <cell r="B9834" t="str">
            <v>Ciclista lesionado por colisión con otro ciclista, persona lesionada al subir o bajar del vehículo</v>
          </cell>
        </row>
        <row r="9835">
          <cell r="A9835" t="str">
            <v>V11.4</v>
          </cell>
          <cell r="B9835" t="str">
            <v>Ciclista lesionado por colisión con otro ciclista, conductor lesionado en accidente de tránsito</v>
          </cell>
        </row>
        <row r="9836">
          <cell r="A9836" t="str">
            <v>V11.5</v>
          </cell>
          <cell r="B9836" t="str">
            <v>Ciclista lesionado por colisión con otro ciclista, pasajero lesionado en accidente de tránsito</v>
          </cell>
        </row>
        <row r="9837">
          <cell r="A9837" t="str">
            <v>V11.9</v>
          </cell>
          <cell r="B9837" t="str">
            <v>Ciclista lesionado por colisión con otro ciclista, ciclista no especificado, lesionado en accidente de tránsito</v>
          </cell>
        </row>
        <row r="9838">
          <cell r="A9838" t="str">
            <v>V12</v>
          </cell>
          <cell r="B9838" t="str">
            <v>Ciclista lesionado por colisión con vehículo de motor de dos o tres ruedas</v>
          </cell>
        </row>
        <row r="9839">
          <cell r="A9839" t="str">
            <v>V12.0</v>
          </cell>
          <cell r="B9839" t="str">
            <v>Ciclista lesionado por colisión con vehículo de motor de dos o tres ruedas, conductor lesionado en accidente no de tránsito</v>
          </cell>
        </row>
        <row r="9840">
          <cell r="A9840" t="str">
            <v>V12.1</v>
          </cell>
          <cell r="B9840" t="str">
            <v>Ciclista lesionado por colisión con vehículo de motor de dos o tres ruedas, pasajero lesionado en accidente no de tránsito</v>
          </cell>
        </row>
        <row r="9841">
          <cell r="A9841" t="str">
            <v>V12.2</v>
          </cell>
          <cell r="B9841" t="str">
            <v>Ciclista lesionado por colisión con vehículo de motor de dos o tres ruedas, ciclista no especificado, lesionado en accidente no de tránsito</v>
          </cell>
        </row>
        <row r="9842">
          <cell r="A9842" t="str">
            <v>V12.3</v>
          </cell>
          <cell r="B9842" t="str">
            <v>Ciclista lesionado por colisión con vehículo de motor de dos o tres ruedas, persona lesionada al subir o bajar del vehículo</v>
          </cell>
        </row>
        <row r="9843">
          <cell r="A9843" t="str">
            <v>V12.4</v>
          </cell>
          <cell r="B9843" t="str">
            <v>Ciclista lesionado por colisión con vehículo de motor de dos o tres ruedas, conductor lesionado en accidente de tránsito</v>
          </cell>
        </row>
        <row r="9844">
          <cell r="A9844" t="str">
            <v>V12.5</v>
          </cell>
          <cell r="B9844" t="str">
            <v>Ciclista lesionado por colisión con vehículo de motor de dos o tres ruedas, pasajero lesionado en accidente de tránsito</v>
          </cell>
        </row>
        <row r="9845">
          <cell r="A9845" t="str">
            <v>V12.9</v>
          </cell>
          <cell r="B9845" t="str">
            <v>Ciclista lesionado por colisión con vehículo de motor de dos o tres ruedas, ciclista no especificado, lesionado en accidente de tránsito</v>
          </cell>
        </row>
        <row r="9846">
          <cell r="A9846" t="str">
            <v>V13</v>
          </cell>
          <cell r="B9846" t="str">
            <v>Ciclista lesionado por colisión con automóvil, camioneta o furgoneta</v>
          </cell>
        </row>
        <row r="9847">
          <cell r="A9847" t="str">
            <v>V13.0</v>
          </cell>
          <cell r="B9847" t="str">
            <v>Ciclista lesionado por colisión con automóvil, camioneta o furgoneta, conductor lesionado en accidente no de tránsito</v>
          </cell>
        </row>
        <row r="9848">
          <cell r="A9848" t="str">
            <v>V13.1</v>
          </cell>
          <cell r="B9848" t="str">
            <v>Ciclista lesionado por colisión con automóvil, camioneta o furgoneta, pasajero lesionado en accidente no de tránsito</v>
          </cell>
        </row>
        <row r="9849">
          <cell r="A9849" t="str">
            <v>V13.2</v>
          </cell>
          <cell r="B9849" t="str">
            <v>Ciclista lesionado por colisión con automóvil, camioneta o furgoneta, ciclista no especificado, lesionado en accidente no de tránsito</v>
          </cell>
        </row>
        <row r="9850">
          <cell r="A9850" t="str">
            <v>V13.3</v>
          </cell>
          <cell r="B9850" t="str">
            <v>Ciclista lesionado por colisión con automóvil, camioneta o furgoneta, persona lesionada al subir o bajar del vehículo</v>
          </cell>
        </row>
        <row r="9851">
          <cell r="A9851" t="str">
            <v>V13.4</v>
          </cell>
          <cell r="B9851" t="str">
            <v>Ciclista lesionado por colisión con automóvil, camioneta o furgoneta, conductor lesionado en accidente de tránsito</v>
          </cell>
        </row>
        <row r="9852">
          <cell r="A9852" t="str">
            <v>V13.5</v>
          </cell>
          <cell r="B9852" t="str">
            <v>Ciclista lesionado por colisión con automóvil, camioneta o furgoneta, pasajero lesionado en accidente de tránsito</v>
          </cell>
        </row>
        <row r="9853">
          <cell r="A9853" t="str">
            <v>V13.9</v>
          </cell>
          <cell r="B9853" t="str">
            <v>Ciclista lesionado por colisión con automóvil, camioneta o furgoneta, ciclista no especificado, lesionado en accidente de tránsito</v>
          </cell>
        </row>
        <row r="9854">
          <cell r="A9854" t="str">
            <v>V14</v>
          </cell>
          <cell r="B9854" t="str">
            <v>Ciclista lesionado por colisión con vehículo de transporte pesado o autobús</v>
          </cell>
        </row>
        <row r="9855">
          <cell r="A9855" t="str">
            <v>V14.0</v>
          </cell>
          <cell r="B9855" t="str">
            <v>Ciclista lesionado por colisión con vehículo de transporte pesado o autobús, conductor lesionado en accidente no de tránsito</v>
          </cell>
        </row>
        <row r="9856">
          <cell r="A9856" t="str">
            <v>V14.1</v>
          </cell>
          <cell r="B9856" t="str">
            <v>Ciclista lesionado por colisión con vehículo de transporte pesado o autobús, pasajero lesionado en accidente no de tránsito</v>
          </cell>
        </row>
        <row r="9857">
          <cell r="A9857" t="str">
            <v>V14.2</v>
          </cell>
          <cell r="B9857" t="str">
            <v>Ciclista lesionado por colisión con vehículo de transporte pesado o autobús, ciclista no especificado, lesionado en accidente no de tránsito</v>
          </cell>
        </row>
        <row r="9858">
          <cell r="A9858" t="str">
            <v>V14.3</v>
          </cell>
          <cell r="B9858" t="str">
            <v>Ciclista lesionado por colisión con vehículo de transporte pesado o autobús, persona lesionada al subir o bajar del vehículo</v>
          </cell>
        </row>
        <row r="9859">
          <cell r="A9859" t="str">
            <v>V14.4</v>
          </cell>
          <cell r="B9859" t="str">
            <v>Ciclista lesionado por colisión con vehículo de transporte pesado o autobús, conductor lesionado en accidente de tránsito</v>
          </cell>
        </row>
        <row r="9860">
          <cell r="A9860" t="str">
            <v>V14.5</v>
          </cell>
          <cell r="B9860" t="str">
            <v>Ciclista lesionado por colisión con vehículo de transporte pesado o autobús, pasajero lesionado en accidente de tránsito</v>
          </cell>
        </row>
        <row r="9861">
          <cell r="A9861" t="str">
            <v>V14.9</v>
          </cell>
          <cell r="B9861" t="str">
            <v>Ciclista lesionado por colisión con vehículo de transporte pesado o autobús, ciclista no especificado, lesionado en accidente de tránsito</v>
          </cell>
        </row>
        <row r="9862">
          <cell r="A9862" t="str">
            <v>V15</v>
          </cell>
          <cell r="B9862" t="str">
            <v>Ciclista lesionado por colisión con tren o vehículo de rieles</v>
          </cell>
        </row>
        <row r="9863">
          <cell r="A9863" t="str">
            <v>V15.0</v>
          </cell>
          <cell r="B9863" t="str">
            <v>Ciclista lesionado por colisión con tren o vehículo de rieles, conductor lesionado en accidente no de tránsito</v>
          </cell>
        </row>
        <row r="9864">
          <cell r="A9864" t="str">
            <v>V15.1</v>
          </cell>
          <cell r="B9864" t="str">
            <v>Ciclista lesionado por colisión con tren o vehículo de rieles, pasajero lesionado en accidente no de tránsito</v>
          </cell>
        </row>
        <row r="9865">
          <cell r="A9865" t="str">
            <v>V15.2</v>
          </cell>
          <cell r="B9865" t="str">
            <v>Ciclista lesionado por colisión con tren o vehículo de rieles, ciclista no especificado, lesionado en accidente no de tránsito</v>
          </cell>
        </row>
        <row r="9866">
          <cell r="A9866" t="str">
            <v>V15.3</v>
          </cell>
          <cell r="B9866" t="str">
            <v>Ciclista lesionado por colisión con tren o vehículo de rieles, persona lesionada al subir o bajar del vehículo</v>
          </cell>
        </row>
        <row r="9867">
          <cell r="A9867" t="str">
            <v>V15.4</v>
          </cell>
          <cell r="B9867" t="str">
            <v>Ciclista lesionado por colisión con tren o vehículo de rieles, conductor lesionado en accidente de tránsito</v>
          </cell>
        </row>
        <row r="9868">
          <cell r="A9868" t="str">
            <v>V15.5</v>
          </cell>
          <cell r="B9868" t="str">
            <v>Ciclista lesionado por colisión con tren o vehículo de rieles, pasajero lesionado en accidente de tránsito</v>
          </cell>
        </row>
        <row r="9869">
          <cell r="A9869" t="str">
            <v>V15.9</v>
          </cell>
          <cell r="B9869" t="str">
            <v>Ciclista lesionado por colisión con tren o vehículo de rieles, ciclista no especificado, lesionado en accidente de tránsito</v>
          </cell>
        </row>
        <row r="9870">
          <cell r="A9870" t="str">
            <v>V16</v>
          </cell>
          <cell r="B9870" t="str">
            <v>Ciclista lesionado por colisión con otros vehículos sin motor</v>
          </cell>
        </row>
        <row r="9871">
          <cell r="A9871" t="str">
            <v>V16.0</v>
          </cell>
          <cell r="B9871" t="str">
            <v>Ciclista lesionado por colisión con otros vehículos sin motor, conductor lesionado en accidente no de tránsito</v>
          </cell>
        </row>
        <row r="9872">
          <cell r="A9872" t="str">
            <v>V16.1</v>
          </cell>
          <cell r="B9872" t="str">
            <v>Ciclista lesionado por colisión con otros vehículos sin motor, pasajero lesionado en accidente no de tránsito</v>
          </cell>
        </row>
        <row r="9873">
          <cell r="A9873" t="str">
            <v>V16.2</v>
          </cell>
          <cell r="B9873" t="str">
            <v>Ciclista lesionado por colisión con otros vehículos sin motor, ciclista no especificado, lesionado en accidente no de tránsito</v>
          </cell>
        </row>
        <row r="9874">
          <cell r="A9874" t="str">
            <v>V16.3</v>
          </cell>
          <cell r="B9874" t="str">
            <v>Ciclista lesionado por colisión con otros vehículos sin motor, persona lesionada al subir o bajar del vehículo</v>
          </cell>
        </row>
        <row r="9875">
          <cell r="A9875" t="str">
            <v>V16.4</v>
          </cell>
          <cell r="B9875" t="str">
            <v>Ciclista lesionado por colisión con otros vehículos sin motor, conductor lesionado en accidente de tránsito</v>
          </cell>
        </row>
        <row r="9876">
          <cell r="A9876" t="str">
            <v>V16.5</v>
          </cell>
          <cell r="B9876" t="str">
            <v>Ciclista lesionado por colisión con otros vehículos sin motor, pasajero lesionado en accidente de tránsito</v>
          </cell>
        </row>
        <row r="9877">
          <cell r="A9877" t="str">
            <v>V16.9</v>
          </cell>
          <cell r="B9877" t="str">
            <v>Ciclista lesionado por colisión con otros vehículos sin motor, ciclista no especificado, lesionado en accidente de tránsito</v>
          </cell>
        </row>
        <row r="9878">
          <cell r="A9878" t="str">
            <v>V17</v>
          </cell>
          <cell r="B9878" t="str">
            <v>Ciclista lesionado por colisión con objeto estacionado o fijo,</v>
          </cell>
        </row>
        <row r="9879">
          <cell r="A9879" t="str">
            <v>V17.0</v>
          </cell>
          <cell r="B9879" t="str">
            <v>Ciclista lesionado por colisión con objeto estacionado o fijo, conductor lesionado en accidente no de tránsito</v>
          </cell>
        </row>
        <row r="9880">
          <cell r="A9880" t="str">
            <v>V17.1</v>
          </cell>
          <cell r="B9880" t="str">
            <v>Ciclista lesionado por colisión con objeto estacionado o fijo, pasajero lesionado en accidente no de tránsito</v>
          </cell>
        </row>
        <row r="9881">
          <cell r="A9881" t="str">
            <v>V17.2</v>
          </cell>
          <cell r="B9881" t="str">
            <v>Ciclista lesionado por colisión con objeto estacionado o fijo, ciclista no especificado, lesionado en accidente no de tránsito</v>
          </cell>
        </row>
        <row r="9882">
          <cell r="A9882" t="str">
            <v>V17.3</v>
          </cell>
          <cell r="B9882" t="str">
            <v>Ciclista lesionado por colisión con objeto estacionado o fijo, persona lesionada al subir o bajar del vehículo</v>
          </cell>
        </row>
        <row r="9883">
          <cell r="A9883" t="str">
            <v>V17.4</v>
          </cell>
          <cell r="B9883" t="str">
            <v>Ciclista lesionado por colisión con objeto estacionado o fijo, conductor lesionado en accidente de tránsito</v>
          </cell>
        </row>
        <row r="9884">
          <cell r="A9884" t="str">
            <v>V17.5</v>
          </cell>
          <cell r="B9884" t="str">
            <v>Ciclista lesionado por colisión con objeto estacionado o fijo, pasajero lesionado en accidente de tránsito</v>
          </cell>
        </row>
        <row r="9885">
          <cell r="A9885" t="str">
            <v>V17.9</v>
          </cell>
          <cell r="B9885" t="str">
            <v>Ciclista lesionado por colisión con objeto estacionado o fijo, ciclista no especificado, lesionado en accidente de tránsito</v>
          </cell>
        </row>
        <row r="9886">
          <cell r="A9886" t="str">
            <v>V18</v>
          </cell>
          <cell r="B9886" t="str">
            <v>Ciclista lesionado en accidente de transporte sin colisión</v>
          </cell>
        </row>
        <row r="9887">
          <cell r="A9887" t="str">
            <v>V18.0</v>
          </cell>
          <cell r="B9887" t="str">
            <v>Ciclista lesionado en accidente de transporte sin colisión, conductor lesionado en accidente no de tránsito</v>
          </cell>
        </row>
        <row r="9888">
          <cell r="A9888" t="str">
            <v>V18.1</v>
          </cell>
          <cell r="B9888" t="str">
            <v>Ciclista lesionado en accidente de transporte sin colisión, pasajero lesionado en accidente no de tránsito</v>
          </cell>
        </row>
        <row r="9889">
          <cell r="A9889" t="str">
            <v>V18.2</v>
          </cell>
          <cell r="B9889" t="str">
            <v>Ciclista lesionado en accidente de transporte sin colisión, ciclista lesionado en accidente no de tránsito</v>
          </cell>
        </row>
        <row r="9890">
          <cell r="A9890" t="str">
            <v>V18.3</v>
          </cell>
          <cell r="B9890" t="str">
            <v>Ciclista lesionado en accidente de transporte sin colisión, persona lesionada al subir o bajar del vehículo</v>
          </cell>
        </row>
        <row r="9891">
          <cell r="A9891" t="str">
            <v>V18.4</v>
          </cell>
          <cell r="B9891" t="str">
            <v>Ciclista lesionado en accidente de transporte sin colisión, conductor lesionado en accidente de tránsito</v>
          </cell>
        </row>
        <row r="9892">
          <cell r="A9892" t="str">
            <v>V18.5</v>
          </cell>
          <cell r="B9892" t="str">
            <v>Ciclista lesionado en accidente de transporte sin colisión, pasajero lesionado en accidente de tránsito</v>
          </cell>
        </row>
        <row r="9893">
          <cell r="A9893" t="str">
            <v>V18.9</v>
          </cell>
          <cell r="B9893" t="str">
            <v>Ciclista lesionado en accidente de transporte sin colisión, ciclista no especificado, lesionado en accidente de tránsito</v>
          </cell>
        </row>
        <row r="9894">
          <cell r="A9894" t="str">
            <v>V19</v>
          </cell>
          <cell r="B9894" t="str">
            <v>Ciclista lesionado en otros accidentes de transporte, y en los no especificados</v>
          </cell>
        </row>
        <row r="9895">
          <cell r="A9895" t="str">
            <v>V19.0</v>
          </cell>
          <cell r="B9895" t="str">
            <v>Conductor de vehículo de pedal lesionado por colisión con otros vehículos de motor, y con los no especificados, en accidente no de tránsito</v>
          </cell>
        </row>
        <row r="9896">
          <cell r="A9896" t="str">
            <v>V19.1</v>
          </cell>
          <cell r="B9896" t="str">
            <v>Pasajero de vehículo de pedal lesionado por colisión con otros vehículos de motor, y con los no especificados, en accidente no de tránsito</v>
          </cell>
        </row>
        <row r="9897">
          <cell r="A9897" t="str">
            <v>V19.2</v>
          </cell>
          <cell r="B9897" t="str">
            <v>Ciclista no especificado lesionado por colisión con otros vehículos de motor, y con los no especificados, en accidente no de tránsito</v>
          </cell>
        </row>
        <row r="9898">
          <cell r="A9898" t="str">
            <v>V19.3</v>
          </cell>
          <cell r="B9898" t="str">
            <v>Ciclista [cualquiera] lesionado en accidente no de tránsito, no especificado</v>
          </cell>
        </row>
        <row r="9899">
          <cell r="A9899" t="str">
            <v>V19.4</v>
          </cell>
          <cell r="B9899" t="str">
            <v>Conductor de vehículo de pedal lesionado por colisión con otros vehículos de motor, y con los no especificados, en accidente de tránsito</v>
          </cell>
        </row>
        <row r="9900">
          <cell r="A9900" t="str">
            <v>V19.5</v>
          </cell>
          <cell r="B9900" t="str">
            <v>Pasajero de vehículo de pedal lesionado por colisión con otros vehículos de motor, y con los no especificados, en accidente de tránsito</v>
          </cell>
        </row>
        <row r="9901">
          <cell r="A9901" t="str">
            <v>V19.6</v>
          </cell>
          <cell r="B9901" t="str">
            <v>Ciclista no especificado lesionado por colisión con otros vehículos de motor, y con los no especificados, en accidente de tránsito</v>
          </cell>
        </row>
        <row r="9902">
          <cell r="A9902" t="str">
            <v>V19.8</v>
          </cell>
          <cell r="B9902" t="str">
            <v>Ciclista [cualquiera] lesionado en otros accidentes de transporte especificados</v>
          </cell>
        </row>
        <row r="9903">
          <cell r="A9903" t="str">
            <v>V19.9</v>
          </cell>
          <cell r="B9903" t="str">
            <v>Ciclista [cualquiera] lesionado en accidente de tránsito no especificado</v>
          </cell>
        </row>
        <row r="9904">
          <cell r="A9904" t="str">
            <v>V20</v>
          </cell>
          <cell r="B9904" t="str">
            <v>Motociclista lesionado por colisión con peatón o animal</v>
          </cell>
        </row>
        <row r="9905">
          <cell r="A9905" t="str">
            <v>V20.0</v>
          </cell>
          <cell r="B9905" t="str">
            <v>Motociclista lesionado por colisión con peatón o animal, conductor lesionado en accidente no de tránsito</v>
          </cell>
        </row>
        <row r="9906">
          <cell r="A9906" t="str">
            <v>V20.1</v>
          </cell>
          <cell r="B9906" t="str">
            <v>Motociclista lesionado por colisión con peatón o animal, pasajero lesionado en accidente no de tránsito</v>
          </cell>
        </row>
        <row r="9907">
          <cell r="A9907" t="str">
            <v>V20.2</v>
          </cell>
          <cell r="B9907" t="str">
            <v>Motociclista lesionado por colisión con peatón o animal, motociclista no especificado, lesionado en accidente no de tránsito</v>
          </cell>
        </row>
        <row r="9908">
          <cell r="A9908" t="str">
            <v>V20.3</v>
          </cell>
          <cell r="B9908" t="str">
            <v>Motociclista lesionado por colisión con peatón o animal, persona lesionada al subir o bajar del vehículo</v>
          </cell>
        </row>
        <row r="9909">
          <cell r="A9909" t="str">
            <v>V20.4</v>
          </cell>
          <cell r="B9909" t="str">
            <v>Motociclista lesionado por colisión con peatón o animal, conductor lesionado en accidente de tránsito</v>
          </cell>
        </row>
        <row r="9910">
          <cell r="A9910" t="str">
            <v>V20.5</v>
          </cell>
          <cell r="B9910" t="str">
            <v>Motociclista lesionado por colisión con peatón o animal, pasajero lesionado en accidente de tránsito</v>
          </cell>
        </row>
        <row r="9911">
          <cell r="A9911" t="str">
            <v>V20.9</v>
          </cell>
          <cell r="B9911" t="str">
            <v>Motociclista lesionado por colisión con peatón o animal, motociclista no especificado, lesionado en accidente de tránsito</v>
          </cell>
        </row>
        <row r="9912">
          <cell r="A9912" t="str">
            <v>V21</v>
          </cell>
          <cell r="B9912" t="str">
            <v>Motociclista lesionado por colisión con vehículo de pedal,</v>
          </cell>
        </row>
        <row r="9913">
          <cell r="A9913" t="str">
            <v>V21.0</v>
          </cell>
          <cell r="B9913" t="str">
            <v>Motociclista lesionado por colisión con vehículo de pedal, conductor lesionado en accidente no de tránsito</v>
          </cell>
        </row>
        <row r="9914">
          <cell r="A9914" t="str">
            <v>V21.1</v>
          </cell>
          <cell r="B9914" t="str">
            <v>Motociclista lesionado por colisión con vehículo de pedal, pasajero lesionado en accidente no de tránsito</v>
          </cell>
        </row>
        <row r="9915">
          <cell r="A9915" t="str">
            <v>V21.2</v>
          </cell>
          <cell r="B9915" t="str">
            <v>Motociclista lesionado por colisión con vehículo de pedal, motociclista no especificado, lesionado en accidente no de tránsito</v>
          </cell>
        </row>
        <row r="9916">
          <cell r="A9916" t="str">
            <v>V21.3</v>
          </cell>
          <cell r="B9916" t="str">
            <v>Motociclista lesionado por colisión con vehículo de pedal, persona lesionada al subir o bajar del vehículo</v>
          </cell>
        </row>
        <row r="9917">
          <cell r="A9917" t="str">
            <v>V21.4</v>
          </cell>
          <cell r="B9917" t="str">
            <v>Motociclista lesionado por colisión con vehículo de pedal, conductor lesionado en accidente de tránsito</v>
          </cell>
        </row>
        <row r="9918">
          <cell r="A9918" t="str">
            <v>V21.5</v>
          </cell>
          <cell r="B9918" t="str">
            <v>Motociclista lesionado por colisión con vehículo de pedal, pasajero lesionado en accidente de tránsito</v>
          </cell>
        </row>
        <row r="9919">
          <cell r="A9919" t="str">
            <v>V21.9</v>
          </cell>
          <cell r="B9919" t="str">
            <v>Motociclista lesionado por colisión con vehículo de pedal, motociclista no especificado, lesionado en accidente de tránsito</v>
          </cell>
        </row>
        <row r="9920">
          <cell r="A9920" t="str">
            <v>V22</v>
          </cell>
          <cell r="B9920" t="str">
            <v>Motociclista lesionado por colisión con vehículo de motor de dos o tres ruedas</v>
          </cell>
        </row>
        <row r="9921">
          <cell r="A9921" t="str">
            <v>V22.0</v>
          </cell>
          <cell r="B9921" t="str">
            <v>Motociclista lesionado por colisión con vehículo de motor de dos o tres ruedas, conductor lesionado en accidente no de tránsito</v>
          </cell>
        </row>
        <row r="9922">
          <cell r="A9922" t="str">
            <v>V22.1</v>
          </cell>
          <cell r="B9922" t="str">
            <v>Motociclista lesionado por colisión con vehículo de motor de dos o tres ruedas, pasajero lesionado en accidente no de tránsito</v>
          </cell>
        </row>
        <row r="9923">
          <cell r="A9923" t="str">
            <v>V22.2</v>
          </cell>
          <cell r="B9923" t="str">
            <v>Motociclista lesionado por colisión con vehículo de motor de dos o tres ruedas, motociclista no especificado, lesionado en accidente no de tránsito</v>
          </cell>
        </row>
        <row r="9924">
          <cell r="A9924" t="str">
            <v>V22.3</v>
          </cell>
          <cell r="B9924" t="str">
            <v>Motociclista lesionado por colisión con vehículo de motor de dos o tres ruedas, persona lesionada al subir o bajar del vehículo</v>
          </cell>
        </row>
        <row r="9925">
          <cell r="A9925" t="str">
            <v>V22.4</v>
          </cell>
          <cell r="B9925" t="str">
            <v>Motociclista lesionado por colisión con vehículo de motor de dos o tres ruedas, conductor lesionado en accidente de tránsito</v>
          </cell>
        </row>
        <row r="9926">
          <cell r="A9926" t="str">
            <v>V22.5</v>
          </cell>
          <cell r="B9926" t="str">
            <v>Motociclista lesionado por colisión con vehículo de motor de dos o tres ruedas, pasajero lesionado en accidente de tránsito</v>
          </cell>
        </row>
        <row r="9927">
          <cell r="A9927" t="str">
            <v>V22.9</v>
          </cell>
          <cell r="B9927" t="str">
            <v>Motociclista lesionado por colisión con vehículo de motor de dos o tres ruedas, motociclista no especificado, lesionado en accidente de tránsito</v>
          </cell>
        </row>
        <row r="9928">
          <cell r="A9928" t="str">
            <v>V23</v>
          </cell>
          <cell r="B9928" t="str">
            <v>Motociclista lesionado por colisión con automóvil, camioneta o furgoneta</v>
          </cell>
        </row>
        <row r="9929">
          <cell r="A9929" t="str">
            <v>V23.0</v>
          </cell>
          <cell r="B9929" t="str">
            <v>Motociclista lesionado por colisión con automóvil, camioneta o furgoneta, conductor lesionado en accidente no de tránsito</v>
          </cell>
        </row>
        <row r="9930">
          <cell r="A9930" t="str">
            <v>V23.1</v>
          </cell>
          <cell r="B9930" t="str">
            <v>Motociclista lesionado por colisión con automóvil, camioneta o furgoneta, pasajero lesionado en accidente no de tránsito</v>
          </cell>
        </row>
        <row r="9931">
          <cell r="A9931" t="str">
            <v>V23.2</v>
          </cell>
          <cell r="B9931" t="str">
            <v>Motociclista lesionado por colisión con automóvil, camioneta o furgoneta, motociclista no especificado, lesionado en accidente no de tránsito</v>
          </cell>
        </row>
        <row r="9932">
          <cell r="A9932" t="str">
            <v>V23.3</v>
          </cell>
          <cell r="B9932" t="str">
            <v>Motociclista lesionado por colisión con automóvil, camioneta o furgoneta, persona lesionada al subir o bajar del vehículo</v>
          </cell>
        </row>
        <row r="9933">
          <cell r="A9933" t="str">
            <v>V23.4</v>
          </cell>
          <cell r="B9933" t="str">
            <v>Motociclista lesionado por colisión con automóvil, camioneta o furgoneta, conductor lesionado en accidente de tránsito</v>
          </cell>
        </row>
        <row r="9934">
          <cell r="A9934" t="str">
            <v>V23.5</v>
          </cell>
          <cell r="B9934" t="str">
            <v>Motociclista lesionado por colisión con automóvil, camioneta o furgoneta, pasajero lesionado en accidente de tránsito</v>
          </cell>
        </row>
        <row r="9935">
          <cell r="A9935" t="str">
            <v>V23.9</v>
          </cell>
          <cell r="B9935" t="str">
            <v>Motociclista lesionado por colisión con automóvil, camioneta o furgoneta, motociclista no especificado, lesionado en accidente de tránsito</v>
          </cell>
        </row>
        <row r="9936">
          <cell r="A9936" t="str">
            <v>V24</v>
          </cell>
          <cell r="B9936" t="str">
            <v>Motociclista lesionado por colisión con vehículo de transporte pesado o autobús</v>
          </cell>
        </row>
        <row r="9937">
          <cell r="A9937" t="str">
            <v>V24.0</v>
          </cell>
          <cell r="B9937" t="str">
            <v>Motociclista lesionado por colisión con vehículo de transporte pesado o autobús, conductor lesionado en accidente no de tránsito</v>
          </cell>
        </row>
        <row r="9938">
          <cell r="A9938" t="str">
            <v>V24.1</v>
          </cell>
          <cell r="B9938" t="str">
            <v>Motociclista lesionado por colisión con vehículo de transporte pesado o autobús, pasajero lesionado en accidente no de tránsito</v>
          </cell>
        </row>
        <row r="9939">
          <cell r="A9939" t="str">
            <v>V24.2</v>
          </cell>
          <cell r="B9939" t="str">
            <v>Motociclista lesionado por colisión con vehículo de transporte pesado o autobús, motociclista no especificado, lesionado en accidente no de tránsito</v>
          </cell>
        </row>
        <row r="9940">
          <cell r="A9940" t="str">
            <v>V24.3</v>
          </cell>
          <cell r="B9940" t="str">
            <v>Motociclista lesionado por colisión con vehículo de transporte pesado o autobús, persona lesionada al subir o bajar del vehículo</v>
          </cell>
        </row>
        <row r="9941">
          <cell r="A9941" t="str">
            <v>V24.4</v>
          </cell>
          <cell r="B9941" t="str">
            <v>Motociclista lesionado por colisión con vehículo de transporte pesado o autobús, conductor lesionado en accidente de tránsito</v>
          </cell>
        </row>
        <row r="9942">
          <cell r="A9942" t="str">
            <v>V24.5</v>
          </cell>
          <cell r="B9942" t="str">
            <v>Motociclista lesionado por colisión con vehículo de transporte pesado o autobús, pasajero lesionado en accidente de tránsito</v>
          </cell>
        </row>
        <row r="9943">
          <cell r="A9943" t="str">
            <v>V24.9</v>
          </cell>
          <cell r="B9943" t="str">
            <v>Motociclista lesionado por colisión con vehículo de transporte pesado o autobús, motociclista no especificado, lesionado en accidente de tránsito</v>
          </cell>
        </row>
        <row r="9944">
          <cell r="A9944" t="str">
            <v>V25</v>
          </cell>
          <cell r="B9944" t="str">
            <v>Motociclista lesionado por colisión con tren o vehículo de rieles</v>
          </cell>
        </row>
        <row r="9945">
          <cell r="A9945" t="str">
            <v>V25.0</v>
          </cell>
          <cell r="B9945" t="str">
            <v>Motociclista lesionado por colisión con tren o vehículo de rieles, conductor lesionado en accidente no de tránsito</v>
          </cell>
        </row>
        <row r="9946">
          <cell r="A9946" t="str">
            <v>V25.1</v>
          </cell>
          <cell r="B9946" t="str">
            <v>Motociclista lesionado por colisión con tren o vehículo de rieles, pasajero lesionado en accidente no de tránsito</v>
          </cell>
        </row>
        <row r="9947">
          <cell r="A9947" t="str">
            <v>V25.2</v>
          </cell>
          <cell r="B9947" t="str">
            <v>Motociclista lesionado por colisión con tren o vehículo de rieles, motociclista no especificado, lesionado en accidente no de tránsito</v>
          </cell>
        </row>
        <row r="9948">
          <cell r="A9948" t="str">
            <v>V25.3</v>
          </cell>
          <cell r="B9948" t="str">
            <v>Motociclista lesionado por colisión con tren o vehículo de rieles, persona lesionada al subir o bajar del vehículo</v>
          </cell>
        </row>
        <row r="9949">
          <cell r="A9949" t="str">
            <v>V25.4</v>
          </cell>
          <cell r="B9949" t="str">
            <v>Motociclista lesionado por colisión con tren o vehículo de rieles, conductor lesionado en accidente de tránsito</v>
          </cell>
        </row>
        <row r="9950">
          <cell r="A9950" t="str">
            <v>V25.5</v>
          </cell>
          <cell r="B9950" t="str">
            <v>Motociclista lesionado por colisión con tren o vehículo de rieles, pasajero lesionado en accidente de tránsito</v>
          </cell>
        </row>
        <row r="9951">
          <cell r="A9951" t="str">
            <v>V25.9</v>
          </cell>
          <cell r="B9951" t="str">
            <v>Motociclista lesionado por colisión con tren o vehículo de rieles, motociclista no especificado, lesionado en accidente de tránsito</v>
          </cell>
        </row>
        <row r="9952">
          <cell r="A9952" t="str">
            <v>V26</v>
          </cell>
          <cell r="B9952" t="str">
            <v>Motociclista lesionado por colisión con otros vehículos sin motor</v>
          </cell>
        </row>
        <row r="9953">
          <cell r="A9953" t="str">
            <v>V26.0</v>
          </cell>
          <cell r="B9953" t="str">
            <v>Motociclista lesionado por colisión con otros vehículos sin motor, conductor lesionado en accidente no de tránsito</v>
          </cell>
        </row>
        <row r="9954">
          <cell r="A9954" t="str">
            <v>V26.1</v>
          </cell>
          <cell r="B9954" t="str">
            <v>Motociclista lesionado por colisión con otros vehículos sin motor,  pasajero lesionado en accidente no de tránsito</v>
          </cell>
        </row>
        <row r="9955">
          <cell r="A9955" t="str">
            <v>V26.2</v>
          </cell>
          <cell r="B9955" t="str">
            <v>Motociclista lesionado por colisión con otros vehículos sin motor, motociclista no especificado, lesionado en accidente no de tránsito</v>
          </cell>
        </row>
        <row r="9956">
          <cell r="A9956" t="str">
            <v>V26.3</v>
          </cell>
          <cell r="B9956" t="str">
            <v>Motociclista lesionado por colisión con otros vehículos sin motor, persona lesionada al subir o bajar del vehículo</v>
          </cell>
        </row>
        <row r="9957">
          <cell r="A9957" t="str">
            <v>V26.4</v>
          </cell>
          <cell r="B9957" t="str">
            <v>Motociclista lesionado por colisión con otros vehículos sin motor, furgoneta, conductor lesionado en accidente de tránsito</v>
          </cell>
        </row>
        <row r="9958">
          <cell r="A9958" t="str">
            <v>V26.5</v>
          </cell>
          <cell r="B9958" t="str">
            <v>Motociclista lesionado por colisión con otros vehículos sin motor, pasajero lesionado en accidente de tránsito</v>
          </cell>
        </row>
        <row r="9959">
          <cell r="A9959" t="str">
            <v>V26.9</v>
          </cell>
          <cell r="B9959" t="str">
            <v>Motociclista lesionado por colisión con otros vehículos sin motor, motociclista no especificado, lesionado en accidente de tránsito</v>
          </cell>
        </row>
        <row r="9960">
          <cell r="A9960" t="str">
            <v>V27</v>
          </cell>
          <cell r="B9960" t="str">
            <v>Motociclista lesionado por colisión con objeto fijo o estacionado</v>
          </cell>
        </row>
        <row r="9961">
          <cell r="A9961" t="str">
            <v>V27.0</v>
          </cell>
          <cell r="B9961" t="str">
            <v>Motociclista lesionado por colisión con objeto fijo o estacionado, conductor lesionado en accidente no de tránsito</v>
          </cell>
        </row>
        <row r="9962">
          <cell r="A9962" t="str">
            <v>V27.1</v>
          </cell>
          <cell r="B9962" t="str">
            <v>Motociclista lesionado por colisión con objeto fijo o estacionado, pasajero lesionado en accidente no de tránsito</v>
          </cell>
        </row>
        <row r="9963">
          <cell r="A9963" t="str">
            <v>V27.2</v>
          </cell>
          <cell r="B9963" t="str">
            <v>Motociclista lesionado por colisión con objeto fijo o estacionado, motociclista no especificado, lesionado en accidente no de tránsito</v>
          </cell>
        </row>
        <row r="9964">
          <cell r="A9964" t="str">
            <v>V27.3</v>
          </cell>
          <cell r="B9964" t="str">
            <v>Motociclista lesionado por colisión con objeto fijo o estacionado, persona lesionada al subir o bajar del vehículo</v>
          </cell>
        </row>
        <row r="9965">
          <cell r="A9965" t="str">
            <v>V27.4</v>
          </cell>
          <cell r="B9965" t="str">
            <v>Motociclista lesionado por colisión con objeto fijo o estacionado, conductor lesionado en accidente de tránsito</v>
          </cell>
        </row>
        <row r="9966">
          <cell r="A9966" t="str">
            <v>V27.5</v>
          </cell>
          <cell r="B9966" t="str">
            <v>Motociclista lesionado por colisión con objeto fijo o estacionado, pasajero lesionado en accidente de tránsito</v>
          </cell>
        </row>
        <row r="9967">
          <cell r="A9967" t="str">
            <v>V27.9</v>
          </cell>
          <cell r="B9967" t="str">
            <v>Motociclista lesionado por colisión con objeto fijo o estacionado, motociclista no especificado, lesionado en accidente de tránsito</v>
          </cell>
        </row>
        <row r="9968">
          <cell r="A9968" t="str">
            <v>V28</v>
          </cell>
          <cell r="B9968" t="str">
            <v>Motociclista lesionado en accidente de transporte sin colisión</v>
          </cell>
        </row>
        <row r="9969">
          <cell r="A9969" t="str">
            <v>V28.0</v>
          </cell>
          <cell r="B9969" t="str">
            <v>Motociclista lesionado en accidente de transporte sin colisión, conductor lesionado en accidente no de tránsito</v>
          </cell>
        </row>
        <row r="9970">
          <cell r="A9970" t="str">
            <v>V28.1</v>
          </cell>
          <cell r="B9970" t="str">
            <v>Motociclista lesionado en accidente de transporte sin colisión, pasajero lesionado en accidente no de tránsito</v>
          </cell>
        </row>
        <row r="9971">
          <cell r="A9971" t="str">
            <v>V28.2</v>
          </cell>
          <cell r="B9971" t="str">
            <v>Motociclista lesionado en accidente de transporte sin colisión, motociclista no especificado, lesionado en accidente no de tránsito</v>
          </cell>
        </row>
        <row r="9972">
          <cell r="A9972" t="str">
            <v>V28.3</v>
          </cell>
          <cell r="B9972" t="str">
            <v>Motociclista lesionado en accidente de transporte sin colisión, persona lesionada al subir o bajar del vehículo</v>
          </cell>
        </row>
        <row r="9973">
          <cell r="A9973" t="str">
            <v>V28.4</v>
          </cell>
          <cell r="B9973" t="str">
            <v>Motociclista lesionado en accidente de transporte sin colisión, conductor lesionado en accidente de tránsito</v>
          </cell>
        </row>
        <row r="9974">
          <cell r="A9974" t="str">
            <v>V28.5</v>
          </cell>
          <cell r="B9974" t="str">
            <v>Motociclista lesionado en accidente de transporte sin colisión, pasajero lesionado en accidente de tránsito</v>
          </cell>
        </row>
        <row r="9975">
          <cell r="A9975" t="str">
            <v>V28.9</v>
          </cell>
          <cell r="B9975" t="str">
            <v>Motociclista lesionado en accidente de transporte sin colisión, motociclista no especificado, lesionado en accidente de tránsito</v>
          </cell>
        </row>
        <row r="9976">
          <cell r="A9976" t="str">
            <v>V29</v>
          </cell>
          <cell r="B9976" t="str">
            <v>Motociclista lesionado en otros accidentes de transporte, y en los no especificados</v>
          </cell>
        </row>
        <row r="9977">
          <cell r="A9977" t="str">
            <v>V29.0</v>
          </cell>
          <cell r="B9977" t="str">
            <v>Conductor de motocicleta lesionado por colisión con otros vehículos de motor, y con los no especificados, en accidente no de tránsito</v>
          </cell>
        </row>
        <row r="9978">
          <cell r="A9978" t="str">
            <v>V29.1</v>
          </cell>
          <cell r="B9978" t="str">
            <v>Pasajero de motocicleta lesionado por colisión con otros vehículos de motor, y con los no especificados, en accidente no de tránsito</v>
          </cell>
        </row>
        <row r="9979">
          <cell r="A9979" t="str">
            <v>V29.2</v>
          </cell>
          <cell r="B9979" t="str">
            <v>Motociclista no especificado lesionado por colisión con otros vehículos de motor, y con los no especificados, en accidente no de tránsito</v>
          </cell>
        </row>
        <row r="9980">
          <cell r="A9980" t="str">
            <v>V29.3</v>
          </cell>
          <cell r="B9980" t="str">
            <v>Motociclista [cualquiera] lesionado en accidente no de tránsito, no especificado</v>
          </cell>
        </row>
        <row r="9981">
          <cell r="A9981" t="str">
            <v>V29.4</v>
          </cell>
          <cell r="B9981" t="str">
            <v>Conductor de motocicleta lesionado por colisión con otros vehículos de motor, y con los no especificados, en accidente de tránsito</v>
          </cell>
        </row>
        <row r="9982">
          <cell r="A9982" t="str">
            <v>V29.5</v>
          </cell>
          <cell r="B9982" t="str">
            <v>Pasajero de motocicleta lesionado por colisión con otros vehículos de motor, y con los no especificados, en accidente de tránsito</v>
          </cell>
        </row>
        <row r="9983">
          <cell r="A9983" t="str">
            <v>V29.6</v>
          </cell>
          <cell r="B9983" t="str">
            <v>Motociclista no especificado lesionado por colisión con otros vehículos de motor, y con los no especificados, en accidente de tránsito</v>
          </cell>
        </row>
        <row r="9984">
          <cell r="A9984" t="str">
            <v>V29.8</v>
          </cell>
          <cell r="B9984" t="str">
            <v>Motociclista [cualquiera] lesionado en otros accidentes de transporte especificados</v>
          </cell>
        </row>
        <row r="9985">
          <cell r="A9985" t="str">
            <v>V29.9</v>
          </cell>
          <cell r="B9985" t="str">
            <v>Motociclista [cualquiera] lesionado en accidente de tránsito no especificado</v>
          </cell>
        </row>
        <row r="9986">
          <cell r="A9986" t="str">
            <v>V30</v>
          </cell>
          <cell r="B9986" t="str">
            <v>Ocupante de vehículo de motor de tres ruedas lesionado por colisión con peatón o animal</v>
          </cell>
        </row>
        <row r="9987">
          <cell r="A9987" t="str">
            <v>V30.0</v>
          </cell>
          <cell r="B9987" t="str">
            <v>Ocupante de vehículo de motor de tres ruedas lesionado por colisión con peatón o animal, conductor lesionado en accidente no de tránsito</v>
          </cell>
        </row>
        <row r="9988">
          <cell r="A9988" t="str">
            <v>V30.1</v>
          </cell>
          <cell r="B9988" t="str">
            <v>Ocupante de vehículo de motor de tres ruedas lesionado por colisión con peatón o animal, pasajero lesionado en accidente no de tránsito</v>
          </cell>
        </row>
        <row r="9989">
          <cell r="A9989" t="str">
            <v>V30.2</v>
          </cell>
          <cell r="B9989" t="str">
            <v>Ocupante de vehículo de motor de tres ruedas lesionado por colisión con peatón o animal, persona que viaja fuera del vehículo, lesionada en accidente no de tránsito</v>
          </cell>
        </row>
        <row r="9990">
          <cell r="A9990" t="str">
            <v>V30.3</v>
          </cell>
          <cell r="B9990" t="str">
            <v>Ocupante de vehículo de motor de tres ruedas lesionado por colisión con peatón o animal, ocupante no especificado de vehículo de motor de tres ruedas, lesionado en accidente no de tránsito</v>
          </cell>
        </row>
        <row r="9991">
          <cell r="A9991" t="str">
            <v>V30.4</v>
          </cell>
          <cell r="B9991" t="str">
            <v>Ocupante de vehículo de motor de tres ruedas lesionado por colisión con peatón o animal, persona lesionada al subir o bajar del vehículo</v>
          </cell>
        </row>
        <row r="9992">
          <cell r="A9992" t="str">
            <v>V30.5</v>
          </cell>
          <cell r="B9992" t="str">
            <v>Ocupante de vehículo de motor de tres ruedas lesionado por colisión con peatón o animal, conductor lesionado en accidente de tránsito</v>
          </cell>
        </row>
        <row r="9993">
          <cell r="A9993" t="str">
            <v>V30.6</v>
          </cell>
          <cell r="B9993" t="str">
            <v>Ocupante de vehículo de motor de tres ruedas lesionado por colisión con peatón o animal, pasajero lesionado en accidente de tránsito</v>
          </cell>
        </row>
        <row r="9994">
          <cell r="A9994" t="str">
            <v>V30.7</v>
          </cell>
          <cell r="B9994" t="str">
            <v>Ocupante de vehículo de motor de tres ruedas lesionado por colisión con peatón o animal, persona que viaja fuera del vehículo, lesionada en accidente de tránsito</v>
          </cell>
        </row>
        <row r="9995">
          <cell r="A9995" t="str">
            <v>V30.9</v>
          </cell>
          <cell r="B9995" t="str">
            <v>Ocupante de vehículo de motor de tres ruedas lesionado por colisión con peatón o animal, ocupante no especificado de vehículo de motor de tres ruedas, lesionado en accidente de tránsito</v>
          </cell>
        </row>
        <row r="9996">
          <cell r="A9996" t="str">
            <v>V31</v>
          </cell>
          <cell r="B9996" t="str">
            <v>Ocupante de vehículo de motor de tres ruedas lesionado por colisión con vehículo de pedal</v>
          </cell>
        </row>
        <row r="9997">
          <cell r="A9997" t="str">
            <v>V31.0</v>
          </cell>
          <cell r="B9997" t="str">
            <v>Ocupante de vehículo de motor de tres ruedas lesionado por colisión con vehículo de pedal, conductor lesionado en accidente no de tránsito</v>
          </cell>
        </row>
        <row r="9998">
          <cell r="A9998" t="str">
            <v>V31.1</v>
          </cell>
          <cell r="B9998" t="str">
            <v>Ocupante de vehículo de motor de tres ruedas lesionado por colisión con vehículo de pedal, pasajero lesionado en accidente no de tránsito</v>
          </cell>
        </row>
        <row r="9999">
          <cell r="A9999" t="str">
            <v>V31.2</v>
          </cell>
          <cell r="B9999" t="str">
            <v>Ocupante de vehículo de motor de tres ruedas lesionado por colisión con vehículo de pedal, persona que viaja fuera del vehículo, lesionada en accidente no de tránsito</v>
          </cell>
        </row>
        <row r="10000">
          <cell r="A10000" t="str">
            <v>V31.3</v>
          </cell>
          <cell r="B10000" t="str">
            <v>Ocupante de vehículo de motor de tres ruedas lesionado por colisión con vehículo de pedal, ocupante no especificado de vehículo de motor de tres ruedas, lesionado en accidente no de tránsito</v>
          </cell>
        </row>
        <row r="10001">
          <cell r="A10001" t="str">
            <v>V31.4</v>
          </cell>
          <cell r="B10001" t="str">
            <v>Ocupante de vehículo de motor de tres ruedas lesionado por colisión con vehículo de pedal, persona lesionada al subir o bajar del vehículo</v>
          </cell>
        </row>
        <row r="10002">
          <cell r="A10002" t="str">
            <v>V31.5</v>
          </cell>
          <cell r="B10002" t="str">
            <v>Ocupante de vehículo de motor de tres ruedas lesionado por colisión con vehículo de pedal, conductor lesionado en accidente de tránsito</v>
          </cell>
        </row>
        <row r="10003">
          <cell r="A10003" t="str">
            <v>V31.6</v>
          </cell>
          <cell r="B10003" t="str">
            <v>Ocupante de vehículo de motor de tres ruedas lesionado por colisión con vehículo de pedal, pasajero lesionado en accidente de tránsito</v>
          </cell>
        </row>
        <row r="10004">
          <cell r="A10004" t="str">
            <v>V31.7</v>
          </cell>
          <cell r="B10004" t="str">
            <v>Ocupante de vehículo de motor de tres ruedas lesionado por colisión con vehículo de pedal, persona que viaja fuera del vehículo, lesionada en accidente de tránsito</v>
          </cell>
        </row>
        <row r="10005">
          <cell r="A10005" t="str">
            <v>V31.9</v>
          </cell>
          <cell r="B10005" t="str">
            <v>Ocupante de vehículo de motor de tres ruedas lesionado por colisión con vehículo de pedal, ocupante no especificado de vehículo de motor de tres ruedas, lesionado en accidente de tránsito</v>
          </cell>
        </row>
        <row r="10006">
          <cell r="A10006" t="str">
            <v>V32</v>
          </cell>
          <cell r="B10006" t="str">
            <v>Ocupante de vehículo de motor de tres ruedas lesionado por colisión con otro vehículo de motor de dos o tres ruedas</v>
          </cell>
        </row>
        <row r="10007">
          <cell r="A10007" t="str">
            <v>V32.0</v>
          </cell>
          <cell r="B10007" t="str">
            <v>Ocupante de vehículo de motor de tres ruedas lesionado por colisión con otro vehículo de motor de dos o tres ruedas, conductor lesionado en accidente no de tránsito</v>
          </cell>
        </row>
        <row r="10008">
          <cell r="A10008" t="str">
            <v>V32.1</v>
          </cell>
          <cell r="B10008" t="str">
            <v>Ocupante de vehículo de motor de tres ruedas lesionado por colisión con otro vehículo de motor de dos o tres ruedas, pasajero lesionado en accidente no de tránsito</v>
          </cell>
        </row>
        <row r="10009">
          <cell r="A10009" t="str">
            <v>V32.2</v>
          </cell>
          <cell r="B10009" t="str">
            <v>Ocupante de vehículo de motor de tres ruedas lesionado por colisión con otro vehículo de motor de dos o tres ruedas, persona que viaja fuera del vehículo, lesionada en accidente no de tránsito</v>
          </cell>
        </row>
        <row r="10010">
          <cell r="A10010" t="str">
            <v>V32.3</v>
          </cell>
          <cell r="B10010" t="str">
            <v>Ocupante de vehículo de motor de tres ruedas lesionado por colisión con otro vehículo de motor de dos o tres ruedas, ocupante no especificado de vehículo de motor de tres ruedas, lesionado en accident</v>
          </cell>
        </row>
        <row r="10011">
          <cell r="A10011" t="str">
            <v>V32.4</v>
          </cell>
          <cell r="B10011" t="str">
            <v>Ocupante de vehículo de motor de tres ruedas lesionado por colisión con otro vehículo de motor de dos o tres ruedas, persona lesionada al subir o bajar del vehículo</v>
          </cell>
        </row>
        <row r="10012">
          <cell r="A10012" t="str">
            <v>V32.5</v>
          </cell>
          <cell r="B10012" t="str">
            <v>Ocupante de vehículo de motor de tres ruedas lesionado por colisión con otro vehículo de motor de dos o tres ruedas, conductor lesionado en accidente de tránsito</v>
          </cell>
        </row>
        <row r="10013">
          <cell r="A10013" t="str">
            <v>V32.6</v>
          </cell>
          <cell r="B10013" t="str">
            <v>Ocupante de vehículo de motor de tres ruedas lesionado por colisión con otro vehículo de motor de dos o tres ruedas, pasajero lesionado en accidente de tránsito</v>
          </cell>
        </row>
        <row r="10014">
          <cell r="A10014" t="str">
            <v>V32.7</v>
          </cell>
          <cell r="B10014" t="str">
            <v>Ocupante de vehículo de motor de tres ruedas lesionado por colisión con otro vehículo de motor de dos o tres ruedas, persona que viaja fuera del vehículo, lesionada en accidente de tránsito</v>
          </cell>
        </row>
        <row r="10015">
          <cell r="A10015" t="str">
            <v>V32.9</v>
          </cell>
          <cell r="B10015" t="str">
            <v>Ocupante de vehículo de motor de tres ruedas lesionado por colisión con otro vehículo de motor de dos o tres ruedas, ocupante no especificado de vehículo de motor de tres ruedas, lesionado en accident</v>
          </cell>
        </row>
        <row r="10016">
          <cell r="A10016" t="str">
            <v>V33</v>
          </cell>
          <cell r="B10016" t="str">
            <v>Ocupante de vehículo de motor de tres ruedas lesionado por colisión con automóvil, camioneta o furgoneta</v>
          </cell>
        </row>
        <row r="10017">
          <cell r="A10017" t="str">
            <v>V33.0</v>
          </cell>
          <cell r="B10017" t="str">
            <v>Ocupante de vehículo de motor de tres ruedas lesionado por colisión con automóvil, camioneta o furgoneta, conductor lesionado en accidente no de tránsito</v>
          </cell>
        </row>
        <row r="10018">
          <cell r="A10018" t="str">
            <v>V33.1</v>
          </cell>
          <cell r="B10018" t="str">
            <v>Ocupante de vehículo de motor de tres ruedas lesionado por colisión con automóvil, camioneta o furgoneta, pasajero lesionado en accidente no de tránsito</v>
          </cell>
        </row>
        <row r="10019">
          <cell r="A10019" t="str">
            <v>V33.2</v>
          </cell>
          <cell r="B10019" t="str">
            <v>Ocupante de vehículo de motor de tres ruedas lesionado por colisión con automóvil, camioneta o furgoneta, persona que viaja fuera del vehículo, lesionada en accidente no de tránsito</v>
          </cell>
        </row>
        <row r="10020">
          <cell r="A10020" t="str">
            <v>V33.3</v>
          </cell>
          <cell r="B10020" t="str">
            <v>Ocupante de vehículo de motor de tres ruedas lesionado por colisión con automóvil, camioneta o furgoneta, ocupante no especificado de vehículo de motor de tres ruedas, lesionado en accidente no de trá</v>
          </cell>
        </row>
        <row r="10021">
          <cell r="A10021" t="str">
            <v>V33.4</v>
          </cell>
          <cell r="B10021" t="str">
            <v>Ocupante de vehículo de motor de tres ruedas lesionado por colisión con automóvil, camioneta o furgoneta, persona lesionada al subir o bajar del vehículo</v>
          </cell>
        </row>
        <row r="10022">
          <cell r="A10022" t="str">
            <v>V33.5</v>
          </cell>
          <cell r="B10022" t="str">
            <v>Ocupante de vehículo de motor de tres ruedas lesionado por colisión con automóvil, camioneta o furgoneta, conductor lesionado en accidente de tránsito</v>
          </cell>
        </row>
        <row r="10023">
          <cell r="A10023" t="str">
            <v>V33.6</v>
          </cell>
          <cell r="B10023" t="str">
            <v>Ocupante de vehículo de motor de tres ruedas lesionado por colisión con automóvil, camioneta o furgoneta, pasajero lesionado en accidente de tránsito</v>
          </cell>
        </row>
        <row r="10024">
          <cell r="A10024" t="str">
            <v>V33.7</v>
          </cell>
          <cell r="B10024" t="str">
            <v>Ocupante de vehículo de motor de tres ruedas lesionado por colisión con automóvil, camioneta o furgoneta, persona que viaja fuera del vehículo, lesionada en accidente de tránsito</v>
          </cell>
        </row>
        <row r="10025">
          <cell r="A10025" t="str">
            <v>V33.9</v>
          </cell>
          <cell r="B10025" t="str">
            <v>Ocupante de vehículo de motor de tres ruedas lesionado por colisión con automóvil, camioneta o furgoneta, ocupante no especificado de vehículo de motor de tres ruedas, lesionado en accidente de tránsi</v>
          </cell>
        </row>
        <row r="10026">
          <cell r="A10026" t="str">
            <v>V34</v>
          </cell>
          <cell r="B10026" t="str">
            <v>Ocupante de vehículo de motor de tres ruedas lesionado por colisión con vehículo de transporte pesado o autobús</v>
          </cell>
        </row>
        <row r="10027">
          <cell r="A10027" t="str">
            <v>V34.0</v>
          </cell>
          <cell r="B10027" t="str">
            <v>Ocupante de vehículo de motor de tres ruedas lesionado por colisión con vehículo de transporte pesado o autobús, conductor lesionado en accidente no de tránsito</v>
          </cell>
        </row>
        <row r="10028">
          <cell r="A10028" t="str">
            <v>V34.1</v>
          </cell>
          <cell r="B10028" t="str">
            <v>Ocupante de vehículo de motor de tres ruedas lesionado por colisión con vehículo de transporte pesado o autobús, pasajero lesionado en accidente no de tránsito</v>
          </cell>
        </row>
        <row r="10029">
          <cell r="A10029" t="str">
            <v>V34.2</v>
          </cell>
          <cell r="B10029" t="str">
            <v>Ocupante de vehículo de motor de tres ruedas lesionado por colisión con vehículo de transporte pesado o autobús, persona que viaja fuera del vehículo, lesionada en accidente no de tránsito</v>
          </cell>
        </row>
        <row r="10030">
          <cell r="A10030" t="str">
            <v>V34.3</v>
          </cell>
          <cell r="B10030" t="str">
            <v>Ocupante de vehículo de motor de tres ruedas lesionado por colisión con vehículo de transporte pesado o autobús, ocupante no especificado de vehículo de motor de tres ruedas, lesionado en accidente no</v>
          </cell>
        </row>
        <row r="10031">
          <cell r="A10031" t="str">
            <v>V34.4</v>
          </cell>
          <cell r="B10031" t="str">
            <v>Ocupante de vehículo de motor de tres ruedas lesionado por colisión con vehículo de transporte pesado o autobús, persona lesionada al subir o bajar del vehículo</v>
          </cell>
        </row>
        <row r="10032">
          <cell r="A10032" t="str">
            <v>V34.5</v>
          </cell>
          <cell r="B10032" t="str">
            <v>Ocupante de vehículo de motor de tres ruedas lesionado por colisión con vehículo de transporte pesado o autobús, conductor lesionado en accidente de tránsito</v>
          </cell>
        </row>
        <row r="10033">
          <cell r="A10033" t="str">
            <v>V34.6</v>
          </cell>
          <cell r="B10033" t="str">
            <v>Ocupante de vehículo de motor de tres ruedas lesionado por colisión con vehículo de transporte pesado o autobús, pasajero lesionado en accidente de tránsito</v>
          </cell>
        </row>
        <row r="10034">
          <cell r="A10034" t="str">
            <v>V34.7</v>
          </cell>
          <cell r="B10034" t="str">
            <v>Ocupante de vehículo de motor de tres ruedas lesionado por colisión con vehículo de transporte pesado o autobús, persona que viaja fuera del vehículo, lesionada en accidente de tránsito</v>
          </cell>
        </row>
        <row r="10035">
          <cell r="A10035" t="str">
            <v>V34.9</v>
          </cell>
          <cell r="B10035" t="str">
            <v>Ocupante de vehículo de motor de tres ruedas lesionado por colisión con vehículo de transporte pesado o autobús, ocupante no especificado de vehículo de motor de tres ruedas, lesionado en accidente de</v>
          </cell>
        </row>
        <row r="10036">
          <cell r="A10036" t="str">
            <v>V35</v>
          </cell>
          <cell r="B10036" t="str">
            <v>Ocupante de vehículo de motor de tres ruedas lesionado por colisión con tren o vehículo de rieles</v>
          </cell>
        </row>
        <row r="10037">
          <cell r="A10037" t="str">
            <v>V35.0</v>
          </cell>
          <cell r="B10037" t="str">
            <v>Ocupante de vehículo de motor de tres ruedas lesionado por colisión con tren o vehículo de rieles, conductor lesionado en accidente no de tránsito</v>
          </cell>
        </row>
        <row r="10038">
          <cell r="A10038" t="str">
            <v>V35.1</v>
          </cell>
          <cell r="B10038" t="str">
            <v>Ocupante de vehículo de motor de tres ruedas lesionado por colisión con tren o vehículo de rieles, pasajero lesionado en accidente no de tránsito</v>
          </cell>
        </row>
        <row r="10039">
          <cell r="A10039" t="str">
            <v>V35.2</v>
          </cell>
          <cell r="B10039" t="str">
            <v>Ocupante de vehículo de motor de tres ruedas lesionado por colisión con tren o vehículo de rieles, persona que viaja fuera del vehículo, lesionada en accidente no de tránsito</v>
          </cell>
        </row>
        <row r="10040">
          <cell r="A10040" t="str">
            <v>V35.3</v>
          </cell>
          <cell r="B10040" t="str">
            <v>Ocupante de vehículo de motor de tres ruedas lesionado por colisión con tren o vehículo de rieles, ocupante no especificado de vehículo de motor de tres ruedas, lesionado en accidente no de tránsito</v>
          </cell>
        </row>
        <row r="10041">
          <cell r="A10041" t="str">
            <v>V35.4</v>
          </cell>
          <cell r="B10041" t="str">
            <v>Ocupante de vehículo de motor de tres ruedas lesionado por colisión con tren o vehículo de rieles, persona lesionada al subir o bajar del vehículo</v>
          </cell>
        </row>
        <row r="10042">
          <cell r="A10042" t="str">
            <v>V35.5</v>
          </cell>
          <cell r="B10042" t="str">
            <v>Ocupante de vehículo de motor de tres ruedas lesionado por colisión con tren o vehículo de rieles, conductor lesionado en accidente de tránsito</v>
          </cell>
        </row>
        <row r="10043">
          <cell r="A10043" t="str">
            <v>V35.6</v>
          </cell>
          <cell r="B10043" t="str">
            <v>Ocupante de vehículo de motor de tres ruedas lesionado por colisión con tren o vehículo de rieles, pasajero lesionado en accidente de tránsito</v>
          </cell>
        </row>
        <row r="10044">
          <cell r="A10044" t="str">
            <v>V35.7</v>
          </cell>
          <cell r="B10044" t="str">
            <v>Ocupante de vehículo de motor de tres ruedas lesionado por colisión con tren o vehículo de rieles, persona que viaja fuera del vehículo, lesionada en accidente de tránsito</v>
          </cell>
        </row>
        <row r="10045">
          <cell r="A10045" t="str">
            <v>V35.9</v>
          </cell>
          <cell r="B10045" t="str">
            <v>Ocupante de vehículo de motor de tres ruedas lesionado por colisión con tren o vehículo de rieles, ocupante no especificado de vehículo de motor de tres ruedas, lesionado en accidente de tránsito</v>
          </cell>
        </row>
        <row r="10046">
          <cell r="A10046" t="str">
            <v>V36</v>
          </cell>
          <cell r="B10046" t="str">
            <v>Ocupante de vehículo de motor de tres ruedas lesionado por colisión con otros vehículos sin motor</v>
          </cell>
        </row>
        <row r="10047">
          <cell r="A10047" t="str">
            <v>V36.0</v>
          </cell>
          <cell r="B10047" t="str">
            <v>Ocupante de vehículo de motor de tres ruedas lesionado por colisión con otros vehículos sin motor, conductor lesionado en accidente no de tránsito</v>
          </cell>
        </row>
        <row r="10048">
          <cell r="A10048" t="str">
            <v>V36.1</v>
          </cell>
          <cell r="B10048" t="str">
            <v>Ocupante de vehículo de motor de tres ruedas lesionado por colisión con otros vehículos sin motor, pasajero lesionado en accidente no de tránsito</v>
          </cell>
        </row>
        <row r="10049">
          <cell r="A10049" t="str">
            <v>V36.2</v>
          </cell>
          <cell r="B10049" t="str">
            <v>Ocupante de vehículo de motor de tres ruedas lesionado por colisión con otros vehículos sin motor, persona que viaja fuera del vehículo, lesionada en accidente no de tránsito</v>
          </cell>
        </row>
        <row r="10050">
          <cell r="A10050" t="str">
            <v>V36.3</v>
          </cell>
          <cell r="B10050" t="str">
            <v>Ocupante de vehículo de motor de tres ruedas lesionado por colisión con otros vehículos sin motor, ocupante no especificado de vehículo de motor de tres ruedas, lesionado en accidente no de tránsito</v>
          </cell>
        </row>
        <row r="10051">
          <cell r="A10051" t="str">
            <v>V36.4</v>
          </cell>
          <cell r="B10051" t="str">
            <v>Ocupante de vehículo de motor de tres ruedas lesionado por colisión con otros vehículos sin motor, persona lesionada al subir o bajar del vehículo</v>
          </cell>
        </row>
        <row r="10052">
          <cell r="A10052" t="str">
            <v>V36.5</v>
          </cell>
          <cell r="B10052" t="str">
            <v>Ocupante de vehículo de motor de tres ruedas lesionado por colisión con otros vehículos sin motor, conductor lesionado en accidente de tránsito</v>
          </cell>
        </row>
        <row r="10053">
          <cell r="A10053" t="str">
            <v>V36.6</v>
          </cell>
          <cell r="B10053" t="str">
            <v>Ocupante de vehículo de motor de tres ruedas lesionado por colisión con otros vehículos sin motor, pasajero lesionado en accidente de tránsito</v>
          </cell>
        </row>
        <row r="10054">
          <cell r="A10054" t="str">
            <v>V36.7</v>
          </cell>
          <cell r="B10054" t="str">
            <v>Ocupante de vehículo de motor de tres ruedas lesionado por colisión con otros vehículos sin motor, persona que viaja fuera del vehículo, lesionada en accidente de tránsito</v>
          </cell>
        </row>
        <row r="10055">
          <cell r="A10055" t="str">
            <v>V36.9</v>
          </cell>
          <cell r="B10055" t="str">
            <v>Ocupante de vehículo de motor de tres ruedas lesionado por colisión con otros vehículos sin motor, ocupante no especificado de vehículo de motor de tres ruedas, lesionado en accidente de tránsito</v>
          </cell>
        </row>
        <row r="10056">
          <cell r="A10056" t="str">
            <v>V37</v>
          </cell>
          <cell r="B10056" t="str">
            <v>Ocupante de vehículo de motor de tres ruedas lesionado por colisión con objeto fijo o estacionado</v>
          </cell>
        </row>
        <row r="10057">
          <cell r="A10057" t="str">
            <v>V37.0</v>
          </cell>
          <cell r="B10057" t="str">
            <v>Ocupante de vehículo de motor de tres ruedas lesionado por colisión con objeto fijo o estacionado, conductor lesionado en accidente no de tránsito</v>
          </cell>
        </row>
        <row r="10058">
          <cell r="A10058" t="str">
            <v>V37.1</v>
          </cell>
          <cell r="B10058" t="str">
            <v>Ocupante de vehículo de motor de tres ruedas lesionado por colisión con objeto fijo o estacionado, pasajero lesionado en accidente no de tránsito</v>
          </cell>
        </row>
        <row r="10059">
          <cell r="A10059" t="str">
            <v>V37.2</v>
          </cell>
          <cell r="B10059" t="str">
            <v>Ocupante de vehículo de motor de tres ruedas lesionado por colisión con objeto fijo o estacionado, persona que viaja fuera del vehículo, lesionada en accidente no de tránsito</v>
          </cell>
        </row>
        <row r="10060">
          <cell r="A10060" t="str">
            <v>V37.3</v>
          </cell>
          <cell r="B10060" t="str">
            <v>Ocupante de vehículo de motor de tres ruedas lesionado por colisión con objeto fijo o estacionado, ocupante no especificado de vehículo de motor de tres ruedas, lesionado en accidente no de tránsito</v>
          </cell>
        </row>
        <row r="10061">
          <cell r="A10061" t="str">
            <v>V37.4</v>
          </cell>
          <cell r="B10061" t="str">
            <v>Ocupante de vehículo de motor de tres ruedas lesionado por colisión con objeto fijo o estacionado, persona lesionada al subir o bajar del vehículo</v>
          </cell>
        </row>
        <row r="10062">
          <cell r="A10062" t="str">
            <v>V37.5</v>
          </cell>
          <cell r="B10062" t="str">
            <v>Ocupante de vehículo de motor de tres ruedas lesionado por colisión con objeto fijo o estacionado, conductor lesionado en accidente de tránsito</v>
          </cell>
        </row>
        <row r="10063">
          <cell r="A10063" t="str">
            <v>V37.6</v>
          </cell>
          <cell r="B10063" t="str">
            <v>Ocupante de vehículo de motor de tres ruedas lesionado por colisión con objeto fijo o estacionado, pasajero lesionado en accidente de tránsito</v>
          </cell>
        </row>
        <row r="10064">
          <cell r="A10064" t="str">
            <v>V37.7</v>
          </cell>
          <cell r="B10064" t="str">
            <v>Ocupante de vehículo de motor de tres ruedas lesionado por colisión con objeto fijo o estacionado, persona que viaja fuera del vehículo, lesionada en accidente de tránsito</v>
          </cell>
        </row>
        <row r="10065">
          <cell r="A10065" t="str">
            <v>V37.9</v>
          </cell>
          <cell r="B10065" t="str">
            <v>Ocupante de vehículo de motor de tres ruedas lesionado por colisión con objeto fijo o estacionado, ocupante no especificado de vehículo de motor de tres ruedas, lesionado en accidente de tránsito</v>
          </cell>
        </row>
        <row r="10066">
          <cell r="A10066" t="str">
            <v>V38</v>
          </cell>
          <cell r="B10066" t="str">
            <v>Ocupante de vehículo de motor de tres ruedas lesionado en accidente de transporte sin colisión</v>
          </cell>
        </row>
        <row r="10067">
          <cell r="A10067" t="str">
            <v>V38.0</v>
          </cell>
          <cell r="B10067" t="str">
            <v>Ocupante de vehículo de motor de tres ruedas lesionado en accidente de transporte sin colisión, conductor lesionado en accidente no de tránsito</v>
          </cell>
        </row>
        <row r="10068">
          <cell r="A10068" t="str">
            <v>V38.1</v>
          </cell>
          <cell r="B10068" t="str">
            <v>Ocupante de vehículo de motor de tres ruedas lesionado en accidente de transporte sin colisión, pasajero lesionado en accidente no de tránsito</v>
          </cell>
        </row>
        <row r="10069">
          <cell r="A10069" t="str">
            <v>V38.2</v>
          </cell>
          <cell r="B10069" t="str">
            <v>Ocupante de vehículo de motor de tres ruedas lesionado en accidente de transporte sin colisión, persona que viaja fuera del vehículo, lesionada en accidente no de tránsito</v>
          </cell>
        </row>
        <row r="10070">
          <cell r="A10070" t="str">
            <v>V38.3</v>
          </cell>
          <cell r="B10070" t="str">
            <v>Ocupante de vehículo de motor de tres ruedas lesionado en accidente de transporte sin colisión, ocupante no especificado de vehículo de motor de tres ruedas, lesionado en accidente no de tránsito</v>
          </cell>
        </row>
        <row r="10071">
          <cell r="A10071" t="str">
            <v>V38.4</v>
          </cell>
          <cell r="B10071" t="str">
            <v>Ocupante de vehículo de motor de tres ruedas lesionado en accidente de transporte sin colisión, persona lesionada al subir o bajar del vehículo</v>
          </cell>
        </row>
        <row r="10072">
          <cell r="A10072" t="str">
            <v>V38.5</v>
          </cell>
          <cell r="B10072" t="str">
            <v>Ocupante de vehículo de motor de tres ruedas lesionado en accidente de transporte sin colisión, conductor lesionado en accidente de tránsito</v>
          </cell>
        </row>
        <row r="10073">
          <cell r="A10073" t="str">
            <v>V38.6</v>
          </cell>
          <cell r="B10073" t="str">
            <v>Ocupante de vehículo de motor de tres ruedas lesionado en accidente de transporte sin colisión, pasajero lesionado en accidente de tránsito</v>
          </cell>
        </row>
        <row r="10074">
          <cell r="A10074" t="str">
            <v>V38.7</v>
          </cell>
          <cell r="B10074" t="str">
            <v>Ocupante de vehículo de motor de tres ruedas lesionado en accidente de transporte sin colisión, persona que viaja fuera del vehículo, lesionada en accidente de tránsito</v>
          </cell>
        </row>
        <row r="10075">
          <cell r="A10075" t="str">
            <v>V38.9</v>
          </cell>
          <cell r="B10075" t="str">
            <v>Ocupante de vehículo de motor de tres ruedas lesionado en accidente detransporte sin colisión, ocupante no especificado de vehículo de motor de tres ruedas, lesionado en accidente de tránsito</v>
          </cell>
        </row>
        <row r="10076">
          <cell r="A10076" t="str">
            <v>V39</v>
          </cell>
          <cell r="B10076" t="str">
            <v>Ocupante de vehículo de motor de tres ruedas lesionado en otros accidentes de transporte, y  en los no especificados</v>
          </cell>
        </row>
        <row r="10077">
          <cell r="A10077" t="str">
            <v>V39.0</v>
          </cell>
          <cell r="B10077" t="str">
            <v>Conductor de vehículo de motor de tres ruedas lesionado por colisión con otros vehículos de motor, y con los no especificados, en accidente no de tránsito</v>
          </cell>
        </row>
        <row r="10078">
          <cell r="A10078" t="str">
            <v>V39.1</v>
          </cell>
          <cell r="B10078" t="str">
            <v>Pasajero de vehículo de motor de tres ruedas lesionado por colisión con otros vehículos de motor, y con los no especificados, en accidente no de tránsito</v>
          </cell>
        </row>
        <row r="10079">
          <cell r="A10079" t="str">
            <v>V39.2</v>
          </cell>
          <cell r="B10079" t="str">
            <v>Ocupante no especificado de vehículo de motor de tres ruedas lesionado por colisión con otros vehículos de  motor, y con los no especificados, en accidente no de tránsito</v>
          </cell>
        </row>
        <row r="10080">
          <cell r="A10080" t="str">
            <v>V39.3</v>
          </cell>
          <cell r="B10080" t="str">
            <v>Ocupante [cualquiera] de vehículo de motor de tres ruedas lesionado en accidente no de tránsito, no especificado</v>
          </cell>
        </row>
        <row r="10081">
          <cell r="A10081" t="str">
            <v>V39.4</v>
          </cell>
          <cell r="B10081" t="str">
            <v>Conductor de vehículo de motor de tres ruedas lesionado por colisión con otros vehículos de motor, y con los no especificados, en accidente de tránsito</v>
          </cell>
        </row>
        <row r="10082">
          <cell r="A10082" t="str">
            <v>V39.5</v>
          </cell>
          <cell r="B10082" t="str">
            <v>Pasajero de vehículo de motor de tres ruedas lesionado por colisión con otros vehículos de motor, y con los no especificados, en accidente de tránsito</v>
          </cell>
        </row>
        <row r="10083">
          <cell r="A10083" t="str">
            <v>V39.6</v>
          </cell>
          <cell r="B10083" t="str">
            <v>Ocupante no especificado de vehículo de motor de tres ruedas lesionado por colisión con otros vehículos de motor, y con los no especificados, en accidente de tránsito</v>
          </cell>
        </row>
        <row r="10084">
          <cell r="A10084" t="str">
            <v>V39.8</v>
          </cell>
          <cell r="B10084" t="str">
            <v>Ocupante [cualquiera] de vehículo de motor de tres ruedas lesionado en otros accidentes de transporte especificados</v>
          </cell>
        </row>
        <row r="10085">
          <cell r="A10085" t="str">
            <v>V39.9</v>
          </cell>
          <cell r="B10085" t="str">
            <v>Ocupante [cualquiera] de vehículo de motor de tres ruedas lesionado en accidente de tránsito no especificado</v>
          </cell>
        </row>
        <row r="10086">
          <cell r="A10086" t="str">
            <v>V40</v>
          </cell>
          <cell r="B10086" t="str">
            <v>Ocupante de automóvil lesionado por colisión con peatón o animal</v>
          </cell>
        </row>
        <row r="10087">
          <cell r="A10087" t="str">
            <v>V40.0</v>
          </cell>
          <cell r="B10087" t="str">
            <v>Ocupante de automóvil lesionado por colisión con peatón o animal, conductor lesionado en accidente no de tránsito</v>
          </cell>
        </row>
        <row r="10088">
          <cell r="A10088" t="str">
            <v>V40.1</v>
          </cell>
          <cell r="B10088" t="str">
            <v>Ocupante de automóvil lesionado por colisión con peatón o animal, pasajero lesionado en accidente no de tránsito</v>
          </cell>
        </row>
        <row r="10089">
          <cell r="A10089" t="str">
            <v>V40.2</v>
          </cell>
          <cell r="B10089" t="str">
            <v>Ocupante de automóvil lesionado por colisión con peatón o animal, persona que viaja fuera del vehículo, lesionada en accidente no de tránsito</v>
          </cell>
        </row>
        <row r="10090">
          <cell r="A10090" t="str">
            <v>V40.3</v>
          </cell>
          <cell r="B10090" t="str">
            <v>Ocupante de automóvil lesionado por colisión con peatón o animal, ocupante no especificado de automóvil, lesionado en accidente no de tránsito</v>
          </cell>
        </row>
        <row r="10091">
          <cell r="A10091" t="str">
            <v>V40.4</v>
          </cell>
          <cell r="B10091" t="str">
            <v>Ocupante de automóvil lesionado por colisión con peatón o animal, persona lesionada al subir o bajar del vehículo</v>
          </cell>
        </row>
        <row r="10092">
          <cell r="A10092" t="str">
            <v>V40.5</v>
          </cell>
          <cell r="B10092" t="str">
            <v>Ocupante de automóvil lesionado por colisión con peatón o animal, conductor lesionado en accidente de tránsito</v>
          </cell>
        </row>
        <row r="10093">
          <cell r="A10093" t="str">
            <v>V40.6</v>
          </cell>
          <cell r="B10093" t="str">
            <v>Ocupante de automóvil lesionado por colisión con peatón o animal, pasajero lesionado en accidente de tránsito</v>
          </cell>
        </row>
        <row r="10094">
          <cell r="A10094" t="str">
            <v>V40.7</v>
          </cell>
          <cell r="B10094" t="str">
            <v>Ocupante de automóvil lesionado por colisión con peatón o animal, persona que viaja fuera del vehículo, lesionada en accidente de tránsito</v>
          </cell>
        </row>
        <row r="10095">
          <cell r="A10095" t="str">
            <v>V40.9</v>
          </cell>
          <cell r="B10095" t="str">
            <v>Ocupante de automóvil lesionado por colisión con peatón o animal, ocupante no especificado de automóvil, lesionado en accidente de tránsito</v>
          </cell>
        </row>
        <row r="10096">
          <cell r="A10096" t="str">
            <v>V41</v>
          </cell>
          <cell r="B10096" t="str">
            <v>Ocupante de automóvil lesionado por colisión con vehículo de pedal</v>
          </cell>
        </row>
        <row r="10097">
          <cell r="A10097" t="str">
            <v>V41.0</v>
          </cell>
          <cell r="B10097" t="str">
            <v>Ocupante de automóvil lesionado por colisión con vehículo de pedal, conductor lesionado en accidente no de tránsito</v>
          </cell>
        </row>
        <row r="10098">
          <cell r="A10098" t="str">
            <v>V41.1</v>
          </cell>
          <cell r="B10098" t="str">
            <v>Ocupante de automóvil lesionado por colisión con vehículo de pedal, pasajero lesionado en accidente no de tránsito</v>
          </cell>
        </row>
        <row r="10099">
          <cell r="A10099" t="str">
            <v>V41.2</v>
          </cell>
          <cell r="B10099" t="str">
            <v>Ocupante de automóvil lesionado por colisión con vehículo de pedal, persona que viaja fuera del vehículo, lesionada en accidente no de tránsito</v>
          </cell>
        </row>
        <row r="10100">
          <cell r="A10100" t="str">
            <v>V41.3</v>
          </cell>
          <cell r="B10100" t="str">
            <v>Ocupante de automóvil lesionado por colisión con vehículo de pedal, ocupante no especificado de automóvil, lesionado en accidente no de tránsito</v>
          </cell>
        </row>
        <row r="10101">
          <cell r="A10101" t="str">
            <v>V41.4</v>
          </cell>
          <cell r="B10101" t="str">
            <v>Ocupante de automóvil lesionado por colisión con vehículo de pedal, persona lesionada al subir o bajar del vehículo</v>
          </cell>
        </row>
        <row r="10102">
          <cell r="A10102" t="str">
            <v>V41.5</v>
          </cell>
          <cell r="B10102" t="str">
            <v>Ocupante de automóvil lesionado por colisión con vehículo de pedal, conductor lesionado en accidente de tránsito</v>
          </cell>
        </row>
        <row r="10103">
          <cell r="A10103" t="str">
            <v>V41.6</v>
          </cell>
          <cell r="B10103" t="str">
            <v>Ocupante de automóvil lesionado por colisión con vehículo de pedal, pasajero lesionado en accidente de tránsito</v>
          </cell>
        </row>
        <row r="10104">
          <cell r="A10104" t="str">
            <v>V41.7</v>
          </cell>
          <cell r="B10104" t="str">
            <v>Ocupante de automóvil lesionado por colisión con vehículo de pedal, persona que viaja fuera del vehículo, lesionada en accidente de tránsito</v>
          </cell>
        </row>
        <row r="10105">
          <cell r="A10105" t="str">
            <v>V41.9</v>
          </cell>
          <cell r="B10105" t="str">
            <v>Ocupante de automóvil lesionado por colisión con vehículo de pedal, ocupante no especificado de automóvil, lesionado en accidente de tránsito</v>
          </cell>
        </row>
        <row r="10106">
          <cell r="A10106" t="str">
            <v>V42</v>
          </cell>
          <cell r="B10106" t="str">
            <v>Ocupante de automóvil lesionado por colisión con vehículo de motor de dos o tres ruedas</v>
          </cell>
        </row>
        <row r="10107">
          <cell r="A10107" t="str">
            <v>V42.0</v>
          </cell>
          <cell r="B10107" t="str">
            <v>Ocupante de automóvil lesionado por colisión con vehículo de motor de dos o tres ruedas, conductor lesionado en accidente no de tránsito</v>
          </cell>
        </row>
        <row r="10108">
          <cell r="A10108" t="str">
            <v>V42.1</v>
          </cell>
          <cell r="B10108" t="str">
            <v>Ocupante de automóvil lesionado por colisión con vehículo de motor de dos o tres ruedas, pasajero lesionado en accidente no de tránsito</v>
          </cell>
        </row>
        <row r="10109">
          <cell r="A10109" t="str">
            <v>V42.2</v>
          </cell>
          <cell r="B10109" t="str">
            <v>Ocupante de automóvil lesionado por colisión con vehículo de motor de dos o tres ruedas, persona que viaja fuera del vehículo, lesionada en accidente no de tránsito</v>
          </cell>
        </row>
        <row r="10110">
          <cell r="A10110" t="str">
            <v>V42.3</v>
          </cell>
          <cell r="B10110" t="str">
            <v>Ocupante de automóvil lesionado por colisión con vehículo de motor de dos o tres ruedas, ocupante no especificado de automóvil, lesionado en accidente no de tránsito</v>
          </cell>
        </row>
        <row r="10111">
          <cell r="A10111" t="str">
            <v>V42.4</v>
          </cell>
          <cell r="B10111" t="str">
            <v>Ocupante de automóvil lesionado por colisión con vehículo de motor de dos o tres ruedas, persona lesionada al subir o bajar del vehículo</v>
          </cell>
        </row>
        <row r="10112">
          <cell r="A10112" t="str">
            <v>V42.5</v>
          </cell>
          <cell r="B10112" t="str">
            <v>Ocupante de automóvil lesionado por colisión con vehículo de motor de dos o tres ruedas, conductor lesionado en accidente de tránsito</v>
          </cell>
        </row>
        <row r="10113">
          <cell r="A10113" t="str">
            <v>V42.6</v>
          </cell>
          <cell r="B10113" t="str">
            <v>Ocupante de automóvil lesionado por colisión con vehículo de motor de dos o tres ruedas, pasajero lesionado en accidente de tránsito</v>
          </cell>
        </row>
        <row r="10114">
          <cell r="A10114" t="str">
            <v>V42.7</v>
          </cell>
          <cell r="B10114" t="str">
            <v>Ocupante de automóvil lesionado por colisión con vehículo de motor de dos o tres ruedas, persona que viaja fuera del vehículo, lesionada en accidente de tránsito</v>
          </cell>
        </row>
        <row r="10115">
          <cell r="A10115" t="str">
            <v>V42.9</v>
          </cell>
          <cell r="B10115" t="str">
            <v>Ocupante de automóvil lesionado por colisión con vehículo de motor de dos o tres ruedas, ocupante no especificado de automóvil, lesionado en accidente de tránsito</v>
          </cell>
        </row>
        <row r="10116">
          <cell r="A10116" t="str">
            <v>V43</v>
          </cell>
          <cell r="B10116" t="str">
            <v>Ocupante de automóvil lesionado por colisión con otro automóvil, camioneta o furgoneta</v>
          </cell>
        </row>
        <row r="10117">
          <cell r="A10117" t="str">
            <v>V43.0</v>
          </cell>
          <cell r="B10117" t="str">
            <v>Ocupante de automóvil lesionado por colisión con otro automóvil, camioneta o furgoneta, conductor lesionado en accidente no de tránsito</v>
          </cell>
        </row>
        <row r="10118">
          <cell r="A10118" t="str">
            <v>V43.1</v>
          </cell>
          <cell r="B10118" t="str">
            <v>Ocupante de automóvil lesionado por colisión con otro automóvil, camioneta o furgoneta, pasajero lesionado en accidente no de tránsito</v>
          </cell>
        </row>
        <row r="10119">
          <cell r="A10119" t="str">
            <v>V43.2</v>
          </cell>
          <cell r="B10119" t="str">
            <v>Ocupante de automóvil lesionado por colisión con otro automóvil, camioneta o furgoneta, persona que viaja fuera del vehículo, lesionada en accidente no de tránsito</v>
          </cell>
        </row>
        <row r="10120">
          <cell r="A10120" t="str">
            <v>V43.3</v>
          </cell>
          <cell r="B10120" t="str">
            <v>Ocupante de automóvil lesionado por colisión con otro automóvil, camioneta o furgoneta, ocupante no especificado de automóvil, lesionado en accidente no de tránsito</v>
          </cell>
        </row>
        <row r="10121">
          <cell r="A10121" t="str">
            <v>V43.4</v>
          </cell>
          <cell r="B10121" t="str">
            <v>Ocupante de automóvil lesionado por colisión con otro automóvil, camioneta o furgoneta, persona lesionada al subir o bajar del vehículo</v>
          </cell>
        </row>
        <row r="10122">
          <cell r="A10122" t="str">
            <v>V43.5</v>
          </cell>
          <cell r="B10122" t="str">
            <v>Ocupante de automóvil lesionado por colisión con otro automóvil, camioneta o furgoneta, conductor lesionado en accidente de tránsito</v>
          </cell>
        </row>
        <row r="10123">
          <cell r="A10123" t="str">
            <v>V43.6</v>
          </cell>
          <cell r="B10123" t="str">
            <v>Ocupante de automóvil lesionado por colisión con otro automóvil, camioneta o furgoneta, pasajero lesionado en accidente de tránsito</v>
          </cell>
        </row>
        <row r="10124">
          <cell r="A10124" t="str">
            <v>V43.7</v>
          </cell>
          <cell r="B10124" t="str">
            <v>Ocupante de automóvil lesionado por colisión con otro automóvil, camioneta o furgoneta, persona que viaja fuera del vehículo, lesionada en accidente de tránsito</v>
          </cell>
        </row>
        <row r="10125">
          <cell r="A10125" t="str">
            <v>V43.9</v>
          </cell>
          <cell r="B10125" t="str">
            <v>Ocupante de automóvil lesionado por colisión con otro automóvil, camioneta o furgoneta, ocupante no especificado de automóvil, lesionado en accidente de tránsito</v>
          </cell>
        </row>
        <row r="10126">
          <cell r="A10126" t="str">
            <v>V44</v>
          </cell>
          <cell r="B10126" t="str">
            <v>Ocupante de automóvil lesionado por colisión con vehículo de transporte pesado o autobús</v>
          </cell>
        </row>
        <row r="10127">
          <cell r="A10127" t="str">
            <v>V44.0</v>
          </cell>
          <cell r="B10127" t="str">
            <v>Ocupante de automóvil lesionado por colisión con vehículo de transporte pesado o autobús, conductor lesionado en accidente no de tránsito</v>
          </cell>
        </row>
        <row r="10128">
          <cell r="A10128" t="str">
            <v>V44.1</v>
          </cell>
          <cell r="B10128" t="str">
            <v>Ocupante de automóvil lesionado por colisión con vehículo de transporte pesado o autobús, pasajero lesionado en accidente no de tránsito</v>
          </cell>
        </row>
        <row r="10129">
          <cell r="A10129" t="str">
            <v>V44.2</v>
          </cell>
          <cell r="B10129" t="str">
            <v>Ocupante de automóvil lesionado por colisión con vehículo de transporte pesado o autobús, persona que viaja fuera del vehículo, lesionada en accidente no de tránsito</v>
          </cell>
        </row>
        <row r="10130">
          <cell r="A10130" t="str">
            <v>V44.3</v>
          </cell>
          <cell r="B10130" t="str">
            <v>Ocupante de automóvil lesionado por colisión con vehículo de transporte pesado o autobús, ocupante no especificado de automóvil, lesionado en accidente no de tránsito</v>
          </cell>
        </row>
        <row r="10131">
          <cell r="A10131" t="str">
            <v>V44.4</v>
          </cell>
          <cell r="B10131" t="str">
            <v>Ocupante de automóvil lesionado por colisión con vehículo de transporte pesado o autobús, persona lesionada al subir o bajar del vehículo</v>
          </cell>
        </row>
        <row r="10132">
          <cell r="A10132" t="str">
            <v>V44.5</v>
          </cell>
          <cell r="B10132" t="str">
            <v>Ocupante de automóvil lesionado por colisión con vehículo de transporte pesado o autobús, conductor lesionado en accidente de tránsito</v>
          </cell>
        </row>
        <row r="10133">
          <cell r="A10133" t="str">
            <v>V44.6</v>
          </cell>
          <cell r="B10133" t="str">
            <v>Ocupante de automóvil lesionado por colisión con vehículo de transporte pesado o autobús, pasajero lesionado en accidente de tránsito</v>
          </cell>
        </row>
        <row r="10134">
          <cell r="A10134" t="str">
            <v>V44.7</v>
          </cell>
          <cell r="B10134" t="str">
            <v>Ocupante de automóvil lesionado por colisión con vehículo de transporte pesado o autobús, persona que viaja fuera del vehículo, lesionada en accidente de tránsito</v>
          </cell>
        </row>
        <row r="10135">
          <cell r="A10135" t="str">
            <v>V44.9</v>
          </cell>
          <cell r="B10135" t="str">
            <v>Ocupante de automóvil lesionado por colisión con vehículo de transporte pesado o autobús, ocupante no especificado de automóvil, lesionado en accidente de tránsito</v>
          </cell>
        </row>
        <row r="10136">
          <cell r="A10136" t="str">
            <v>V45</v>
          </cell>
          <cell r="B10136" t="str">
            <v>Ocupante de automóvil lesionado por colisión con tren o vehículo de rieles</v>
          </cell>
        </row>
        <row r="10137">
          <cell r="A10137" t="str">
            <v>V45.0</v>
          </cell>
          <cell r="B10137" t="str">
            <v>Ocupante de automóvil lesionado por colisión con tren o vehículo de rieles, conductor lesionado en accidente no de tránsito</v>
          </cell>
        </row>
        <row r="10138">
          <cell r="A10138" t="str">
            <v>V45.1</v>
          </cell>
          <cell r="B10138" t="str">
            <v>Ocupante de automóvil lesionado por colisión con tren o vehículo de rieles, pasajero lesionado en accidente no de tránsito</v>
          </cell>
        </row>
        <row r="10139">
          <cell r="A10139" t="str">
            <v>V45.2</v>
          </cell>
          <cell r="B10139" t="str">
            <v>Ocupante de automóvil lesionado por colisión con tren o vehículo de rieles, persona que viaja fuera del vehículo, lesionada en accidente no de tránsito</v>
          </cell>
        </row>
        <row r="10140">
          <cell r="A10140" t="str">
            <v>V45.3</v>
          </cell>
          <cell r="B10140" t="str">
            <v>Ocupante de automóvil lesionado por colisión con tren o vehículo de rieles, ocupante no especificado de automóvil, lesionado en accidente no de tránsito</v>
          </cell>
        </row>
        <row r="10141">
          <cell r="A10141" t="str">
            <v>V45.4</v>
          </cell>
          <cell r="B10141" t="str">
            <v>Ocupante de automóvil lesionado por colisión con tren o vehículo de rieles, persona lesionada al subir o bajar del vehículo</v>
          </cell>
        </row>
        <row r="10142">
          <cell r="A10142" t="str">
            <v>V45.5</v>
          </cell>
          <cell r="B10142" t="str">
            <v>Ocupante de automóvil lesionado por colisión con tren o vehículo de rieles, conductor lesionado en accidente de tránsito</v>
          </cell>
        </row>
        <row r="10143">
          <cell r="A10143" t="str">
            <v>V45.6</v>
          </cell>
          <cell r="B10143" t="str">
            <v>Ocupante de automóvil lesionado por colisión con tren o vehículo de rieles, pasajero lesionado en accidente de tránsito</v>
          </cell>
        </row>
        <row r="10144">
          <cell r="A10144" t="str">
            <v>V45.7</v>
          </cell>
          <cell r="B10144" t="str">
            <v>Ocupante de automóvil lesionado por colisión con tren o vehículo de rieles, persona que viaja fuera del vehículo, lesionada en accidente de tránsito</v>
          </cell>
        </row>
        <row r="10145">
          <cell r="A10145" t="str">
            <v>V45.9</v>
          </cell>
          <cell r="B10145" t="str">
            <v>Ocupante de automóvil lesionado por colisión con tren o vehículo de rieles, ocupante no especificado de automóvil, lesionado en accidente de tránsito</v>
          </cell>
        </row>
        <row r="10146">
          <cell r="A10146" t="str">
            <v>V46</v>
          </cell>
          <cell r="B10146" t="str">
            <v>Ocupante de automóvil lesionado por colisión con otros vehículos sin motor</v>
          </cell>
        </row>
        <row r="10147">
          <cell r="A10147" t="str">
            <v>V46.0</v>
          </cell>
          <cell r="B10147" t="str">
            <v>Ocupante de automóvil lesionado por colisión con otros vehículos sin motor, conductor lesionado en accidente no de tránsito</v>
          </cell>
        </row>
        <row r="10148">
          <cell r="A10148" t="str">
            <v>V46.1</v>
          </cell>
          <cell r="B10148" t="str">
            <v>Ocupante de automóvil lesionado por colisión con otros vehículos sin motor, pasajero lesionado en accidente no de tránsito</v>
          </cell>
        </row>
        <row r="10149">
          <cell r="A10149" t="str">
            <v>V46.2</v>
          </cell>
          <cell r="B10149" t="str">
            <v>Ocupante de automóvil lesionado por colisión con otros vehículos sin motor, persona que viaja fuera del vehículo, lesionada en accidente no de tránsito</v>
          </cell>
        </row>
        <row r="10150">
          <cell r="A10150" t="str">
            <v>V46.3</v>
          </cell>
          <cell r="B10150" t="str">
            <v>Ocupante de automóvil lesionado por colisión con otros vehículos sin motor, ocupante no especificado de automóvil, lesionado en accidente no de tránsito</v>
          </cell>
        </row>
        <row r="10151">
          <cell r="A10151" t="str">
            <v>V46.4</v>
          </cell>
          <cell r="B10151" t="str">
            <v>Ocupante de automóvil lesionado por colisión con otros vehículos sin motor, persona lesionada al subir o bajar del vehículo</v>
          </cell>
        </row>
        <row r="10152">
          <cell r="A10152" t="str">
            <v>V46.5</v>
          </cell>
          <cell r="B10152" t="str">
            <v>Ocupante de automóvil lesionado por colisión con otros vehículos sin motor, conductor lesionado en accidente de tránsito</v>
          </cell>
        </row>
        <row r="10153">
          <cell r="A10153" t="str">
            <v>V46.6</v>
          </cell>
          <cell r="B10153" t="str">
            <v>Ocupante de automóvil lesionado por colisión con otros vehículos sin motor, pasajero lesionado en accidente de tránsito</v>
          </cell>
        </row>
        <row r="10154">
          <cell r="A10154" t="str">
            <v>V46.7</v>
          </cell>
          <cell r="B10154" t="str">
            <v>Ocupante de automóvil lesionado por colisión con otros vehículos sin motor, persona que viaja fuera del vehículo, lesionada en accidente de tránsito</v>
          </cell>
        </row>
        <row r="10155">
          <cell r="A10155" t="str">
            <v>V46.9</v>
          </cell>
          <cell r="B10155" t="str">
            <v>Ocupante de automóvil lesionado por colisión con otros vehículos sin motor, ocupante no especificado de automóvil, lesionado en accidente de tránsito</v>
          </cell>
        </row>
        <row r="10156">
          <cell r="A10156" t="str">
            <v>V47</v>
          </cell>
          <cell r="B10156" t="str">
            <v>Ocupante de automóvil lesionado por colisión con objeto fijo o estacionado</v>
          </cell>
        </row>
        <row r="10157">
          <cell r="A10157" t="str">
            <v>V47.0</v>
          </cell>
          <cell r="B10157" t="str">
            <v>Ocupante de automóvil lesionado por colisión con objeto fijo o estacionado, conductor lesionado en accidente no de tránsito</v>
          </cell>
        </row>
        <row r="10158">
          <cell r="A10158" t="str">
            <v>V47.1</v>
          </cell>
          <cell r="B10158" t="str">
            <v>Ocupante de automóvil lesionado por colisión con objeto fijo o estacionado, pasajero lesionado en accidente no de tránsito</v>
          </cell>
        </row>
        <row r="10159">
          <cell r="A10159" t="str">
            <v>V47.2</v>
          </cell>
          <cell r="B10159" t="str">
            <v>Ocupante de automóvil lesionado por colisión con objeto fijo o estacionado, persona que viaja fuera del vehículo, lesionada en accidente no de tránsito</v>
          </cell>
        </row>
        <row r="10160">
          <cell r="A10160" t="str">
            <v>V47.3</v>
          </cell>
          <cell r="B10160" t="str">
            <v>Ocupante de automóvil lesionado por colisión con objeto fijo o estacionado, ocupante no especificado de automóvil, lesionado en accidente no de tránsito</v>
          </cell>
        </row>
        <row r="10161">
          <cell r="A10161" t="str">
            <v>V47.4</v>
          </cell>
          <cell r="B10161" t="str">
            <v>Ocupante de automóvil lesionado por colisión con objeto fijo o estacionado, persona lesionada al subir o bajar del vehículo</v>
          </cell>
        </row>
        <row r="10162">
          <cell r="A10162" t="str">
            <v>V47.5</v>
          </cell>
          <cell r="B10162" t="str">
            <v>Ocupante de automóvil lesionado por colisión con objeto fijo o estacionado, conductor lesionado en accidente de tránsito</v>
          </cell>
        </row>
        <row r="10163">
          <cell r="A10163" t="str">
            <v>V47.6</v>
          </cell>
          <cell r="B10163" t="str">
            <v>Ocupante de automóvil lesionado por colisión con objeto fijo o estacionado, pasajero lesionado en accidente de tránsito</v>
          </cell>
        </row>
        <row r="10164">
          <cell r="A10164" t="str">
            <v>V47.7</v>
          </cell>
          <cell r="B10164" t="str">
            <v>Ocupante de automóvil lesionado por colisión con objeto fijo o estacionado, persona que viaja fuera del vehículo, lesionada en accidente de tránsito</v>
          </cell>
        </row>
        <row r="10165">
          <cell r="A10165" t="str">
            <v>V47.9</v>
          </cell>
          <cell r="B10165" t="str">
            <v>Ocupante de automóvil lesionado por colisión con objeto fijo o estacionado, ocupante no especificado de automóvil, lesionado en accidente de tránsito</v>
          </cell>
        </row>
        <row r="10166">
          <cell r="A10166" t="str">
            <v>V48</v>
          </cell>
          <cell r="B10166" t="str">
            <v>Ocupante de automóvil lesionado en accidente de transporte sin colisión,</v>
          </cell>
        </row>
        <row r="10167">
          <cell r="A10167" t="str">
            <v>V48.0</v>
          </cell>
          <cell r="B10167" t="str">
            <v>Ocupante de automóvil lesionado en accidente de transporte sin colisión, conductor lesionado en accidente no de tránsito</v>
          </cell>
        </row>
        <row r="10168">
          <cell r="A10168" t="str">
            <v>V48.1</v>
          </cell>
          <cell r="B10168" t="str">
            <v>Ocupante de automóvil lesionado en accidente de transporte sin colisión, pasajero lesionado en accidente no de tránsito</v>
          </cell>
        </row>
        <row r="10169">
          <cell r="A10169" t="str">
            <v>V48.2</v>
          </cell>
          <cell r="B10169" t="str">
            <v>Ocupante de automóvil lesionado en accidente de transporte sin colisión, persona que viaja fuera del vehículo, lesionada en accidente no de tránsito</v>
          </cell>
        </row>
        <row r="10170">
          <cell r="A10170" t="str">
            <v>V48.3</v>
          </cell>
          <cell r="B10170" t="str">
            <v>Ocupante de automóvil lesionado en accidente de transporte sin colisión, ocupante no especificado de automóvil, lesionado en accidente no de tránsito</v>
          </cell>
        </row>
        <row r="10171">
          <cell r="A10171" t="str">
            <v>V48.4</v>
          </cell>
          <cell r="B10171" t="str">
            <v>Ocupante de automóvil lesionado en accidente de transporte sin colisión, persona lesionada al subir o bajar del vehículo</v>
          </cell>
        </row>
        <row r="10172">
          <cell r="A10172" t="str">
            <v>V48.5</v>
          </cell>
          <cell r="B10172" t="str">
            <v>Ocupante de automóvil lesionado en accidente de transporte sin colisión, conductor lesionado en accidente de tránsito</v>
          </cell>
        </row>
        <row r="10173">
          <cell r="A10173" t="str">
            <v>V48.6</v>
          </cell>
          <cell r="B10173" t="str">
            <v>Ocupante de automóvil lesionado en accidente de transporte sin colisión, pasajero lesionado en accidente de tránsito</v>
          </cell>
        </row>
        <row r="10174">
          <cell r="A10174" t="str">
            <v>V48.7</v>
          </cell>
          <cell r="B10174" t="str">
            <v>Ocupante de automóvil lesionado en accidente de transporte sin colisión, persona que viaja fuera del vehículo, lesionada en accidente de tránsito</v>
          </cell>
        </row>
        <row r="10175">
          <cell r="A10175" t="str">
            <v>V48.9</v>
          </cell>
          <cell r="B10175" t="str">
            <v>Ocupante de automóvil lesionado en accidente de transporte sin colisión, ocupante no especificado de automóvil, lesionado en accidente de tránsito</v>
          </cell>
        </row>
        <row r="10176">
          <cell r="A10176" t="str">
            <v>V49</v>
          </cell>
          <cell r="B10176" t="str">
            <v>Ocupante de automóvil lesionado en otros accidentes de transporte, y en los no especificados</v>
          </cell>
        </row>
        <row r="10177">
          <cell r="A10177" t="str">
            <v>V49.0</v>
          </cell>
          <cell r="B10177" t="str">
            <v>Conductor de automóvil lesionado por colisión con otros vehículos de motor, y con los no especificados, en accidente no de tránsito</v>
          </cell>
        </row>
        <row r="10178">
          <cell r="A10178" t="str">
            <v>V49.1</v>
          </cell>
          <cell r="B10178" t="str">
            <v>Pasajero de automóvil lesionado por colisión con otros vehículos de motor, y con los no especificados, en accidente no de tránsito</v>
          </cell>
        </row>
        <row r="10179">
          <cell r="A10179" t="str">
            <v>V49.2</v>
          </cell>
          <cell r="B10179" t="str">
            <v>Ocupante no especificado de automóvil lesionado por colisión con otros vehículos de motor, y con los no especificados, en accidente no de tránsito</v>
          </cell>
        </row>
        <row r="10180">
          <cell r="A10180" t="str">
            <v>V49.3</v>
          </cell>
          <cell r="B10180" t="str">
            <v>Ocupante [cualquiera] de automóvil lesionado en accidente no de tránsito, no especificado</v>
          </cell>
        </row>
        <row r="10181">
          <cell r="A10181" t="str">
            <v>V49.4</v>
          </cell>
          <cell r="B10181" t="str">
            <v>Conductor de automóvil lesionado por colisión con otros vehículos de motor, y con los no especificados, en accidente de tránsito</v>
          </cell>
        </row>
        <row r="10182">
          <cell r="A10182" t="str">
            <v>V49.5</v>
          </cell>
          <cell r="B10182" t="str">
            <v>Pasajero de automóvil lesionado por colisión con otros vehículos de motor, y con los no especificados, en accidente de tránsito</v>
          </cell>
        </row>
        <row r="10183">
          <cell r="A10183" t="str">
            <v>V49.6</v>
          </cell>
          <cell r="B10183" t="str">
            <v>Ocupante no especificado de automóvil lesionado por colisión con otros vehículos de motor, y con los no especificados, en accidente de tránsito</v>
          </cell>
        </row>
        <row r="10184">
          <cell r="A10184" t="str">
            <v>V49.8</v>
          </cell>
          <cell r="B10184" t="str">
            <v>Ocupante [cualquiera] de automóvil lesionado en otros accidentes de transporte especificados</v>
          </cell>
        </row>
        <row r="10185">
          <cell r="A10185" t="str">
            <v>V49.9</v>
          </cell>
          <cell r="B10185" t="str">
            <v>Ocupante [cualquiera] de automóvil lesionado en accidente de tránsito no especificado</v>
          </cell>
        </row>
        <row r="10186">
          <cell r="A10186" t="str">
            <v>V50</v>
          </cell>
          <cell r="B10186" t="str">
            <v>Ocupante de camioneta o furgoneta lesionado por colisión con peatón o animal</v>
          </cell>
        </row>
        <row r="10187">
          <cell r="A10187" t="str">
            <v>V50.0</v>
          </cell>
          <cell r="B10187" t="str">
            <v>Ocupante de camioneta o furgoneta lesionado por colisión con peatón o animal, conductor lesionado en accidente no de tránsito</v>
          </cell>
        </row>
        <row r="10188">
          <cell r="A10188" t="str">
            <v>V50.1</v>
          </cell>
          <cell r="B10188" t="str">
            <v>Ocupante de camioneta o furgoneta lesionado por colisión con peatón o animal, pasajero lesionado en accidente no de tránsito</v>
          </cell>
        </row>
        <row r="10189">
          <cell r="A10189" t="str">
            <v>V50.2</v>
          </cell>
          <cell r="B10189" t="str">
            <v>Ocupante de camioneta o furgoneta lesionado por colisión con peatón o animal, persona que viaja fuera del vehículo, lesionada en accidente no de tránsito</v>
          </cell>
        </row>
        <row r="10190">
          <cell r="A10190" t="str">
            <v>V50.3</v>
          </cell>
          <cell r="B10190" t="str">
            <v>Ocupante de camioneta o furgoneta lesionado por colisión con peatón o animal, ocupante no especificado de camioneta o furgoneta, lesionado en accidente no de tránsito</v>
          </cell>
        </row>
        <row r="10191">
          <cell r="A10191" t="str">
            <v>V50.4</v>
          </cell>
          <cell r="B10191" t="str">
            <v>Ocupante de camioneta o furgoneta lesionado por colisión con peatón o animal, persona lesionada al subir o bajar del vehículo</v>
          </cell>
        </row>
        <row r="10192">
          <cell r="A10192" t="str">
            <v>V50.5</v>
          </cell>
          <cell r="B10192" t="str">
            <v>Ocupante de camioneta o furgoneta lesionado por colisión con peatón o animal, conductor lesionado en accidente de tránsito</v>
          </cell>
        </row>
        <row r="10193">
          <cell r="A10193" t="str">
            <v>V50.6</v>
          </cell>
          <cell r="B10193" t="str">
            <v>Ocupante de camioneta o furgoneta lesionado por colisión con peatón o animal, pasajero lesionado en accidente de tránsito</v>
          </cell>
        </row>
        <row r="10194">
          <cell r="A10194" t="str">
            <v>V50.7</v>
          </cell>
          <cell r="B10194" t="str">
            <v>Ocupante de camioneta o furgoneta lesionado por colisión con peatón o animal, persona que viaja fuera del vehículo, lesionada en accidente de tránsito</v>
          </cell>
        </row>
        <row r="10195">
          <cell r="A10195" t="str">
            <v>V50.9</v>
          </cell>
          <cell r="B10195" t="str">
            <v>Ocupante de camioneta o furgoneta lesionado por colisión con peatón o animal, ocupante no especificado de camioneta o furgoneta, lesionado en accidente de tránsito</v>
          </cell>
        </row>
        <row r="10196">
          <cell r="A10196" t="str">
            <v>V51</v>
          </cell>
          <cell r="B10196" t="str">
            <v>Ocupante de camioneta o furgoneta lesionado por colisión con vehículo de pedal</v>
          </cell>
        </row>
        <row r="10197">
          <cell r="A10197" t="str">
            <v>V51.0</v>
          </cell>
          <cell r="B10197" t="str">
            <v>Ocupante de camioneta o furgoneta lesionado por colisión con vehículo de pedal, conductor lesionado en accidente no de tránsito</v>
          </cell>
        </row>
        <row r="10198">
          <cell r="A10198" t="str">
            <v>V51.1</v>
          </cell>
          <cell r="B10198" t="str">
            <v>Ocupante de camioneta o furgoneta lesionado por colisión con vehículo de pedal, pasajero lesionado en accidente no de tránsito</v>
          </cell>
        </row>
        <row r="10199">
          <cell r="A10199" t="str">
            <v>V51.2</v>
          </cell>
          <cell r="B10199" t="str">
            <v>Ocupante de camioneta o furgoneta lesionado por colisión con vehículo de pedal, persona que viaja fuera del vehículo, lesionada en accidente no de tránsito</v>
          </cell>
        </row>
        <row r="10200">
          <cell r="A10200" t="str">
            <v>V51.3</v>
          </cell>
          <cell r="B10200" t="str">
            <v>Ocupante de camioneta o furgoneta lesionado por colisión con vehículo de pedal, ocupante no especificado de camioneta o furgoneta, lesionado en accidente no de tránsito</v>
          </cell>
        </row>
        <row r="10201">
          <cell r="A10201" t="str">
            <v>V51.4</v>
          </cell>
          <cell r="B10201" t="str">
            <v>Ocupante de camioneta o furgoneta lesionado por colisión con vehículo de pedal, persona lesionada al subir o bajar del vehículo</v>
          </cell>
        </row>
        <row r="10202">
          <cell r="A10202" t="str">
            <v>V51.5</v>
          </cell>
          <cell r="B10202" t="str">
            <v>Ocupante de camioneta o furgoneta lesionado por colisión con vehículo de pedal, conductor lesionado en accidente de tránsito</v>
          </cell>
        </row>
        <row r="10203">
          <cell r="A10203" t="str">
            <v>V51.6</v>
          </cell>
          <cell r="B10203" t="str">
            <v>Ocupante de camioneta o furgoneta lesionado por colisión con vehículo de pedal, pasajero lesionado en accidente de tránsito</v>
          </cell>
        </row>
        <row r="10204">
          <cell r="A10204" t="str">
            <v>V51.7</v>
          </cell>
          <cell r="B10204" t="str">
            <v>Ocupante de camioneta o furgoneta lesionado por colisión con vehículo de pedal, persona que viaja fuera del vehículo, lesionada en accidente de tránsito</v>
          </cell>
        </row>
        <row r="10205">
          <cell r="A10205" t="str">
            <v>V51.9</v>
          </cell>
          <cell r="B10205" t="str">
            <v>Ocupante de camioneta o furgoneta lesionado por colisión con vehículo de pedal, ocupante no especificado de camioneta o furgoneta, lesionado en accidente de tránsito</v>
          </cell>
        </row>
        <row r="10206">
          <cell r="A10206" t="str">
            <v>V52</v>
          </cell>
          <cell r="B10206" t="str">
            <v>Ocupante de camioneta o furgoneta lesionado por colisión con vehículo de motor de dos o tres ruedas</v>
          </cell>
        </row>
        <row r="10207">
          <cell r="A10207" t="str">
            <v>V52.0</v>
          </cell>
          <cell r="B10207" t="str">
            <v>Ocupante de camioneta o furgoneta lesionado por colisión con vehículo de motor de dos o tres ruedas, conductor lesionado en accidente no de tránsito</v>
          </cell>
        </row>
        <row r="10208">
          <cell r="A10208" t="str">
            <v>V52.1</v>
          </cell>
          <cell r="B10208" t="str">
            <v>Ocupante de camioneta o furgoneta lesionado por colisión con vehículo de motor de dos o tres ruedas, pasajero lesionado en accidente no de tránsito</v>
          </cell>
        </row>
        <row r="10209">
          <cell r="A10209" t="str">
            <v>V52.2</v>
          </cell>
          <cell r="B10209" t="str">
            <v>Ocupante de camioneta o furgoneta lesionado por colisión con vehículo de motor de dos o tres ruedas, persona que viaja fuera del vehículo, lesionada en accidente no de tránsito</v>
          </cell>
        </row>
        <row r="10210">
          <cell r="A10210" t="str">
            <v>V52.3</v>
          </cell>
          <cell r="B10210" t="str">
            <v>Ocupante de camioneta o furgoneta lesionado por colisión con vehículo de motor de dos o tres ruedas, ocupante no especificado de camioneta o furgoneta, lesionado en accidente no de tránsito</v>
          </cell>
        </row>
        <row r="10211">
          <cell r="A10211" t="str">
            <v>V52.4</v>
          </cell>
          <cell r="B10211" t="str">
            <v>Ocupante de camioneta o furgoneta lesionado por colisión con vehículo de motor de dos o tres ruedas, persona lesionada al subir o bajar del vehículo</v>
          </cell>
        </row>
        <row r="10212">
          <cell r="A10212" t="str">
            <v>V52.5</v>
          </cell>
          <cell r="B10212" t="str">
            <v>Ocupante de camioneta o furgoneta lesionado por colisión con vehículo de motor de dos o tres ruedas, conductor lesionado en accidente de tránsito</v>
          </cell>
        </row>
        <row r="10213">
          <cell r="A10213" t="str">
            <v>V52.6</v>
          </cell>
          <cell r="B10213" t="str">
            <v>Ocupante de camioneta o furgoneta lesionado por colisión con vehículo de motor de dos o tres ruedas, pasajero lesionado en accidente de tránsito</v>
          </cell>
        </row>
        <row r="10214">
          <cell r="A10214" t="str">
            <v>V52.7</v>
          </cell>
          <cell r="B10214" t="str">
            <v>Ocupante de camioneta o furgoneta lesionado por colisión con vehículo de motor de dos o tres ruedas, persona que viaja fuera del vehículo, lesionada en accidente de tránsito</v>
          </cell>
        </row>
        <row r="10215">
          <cell r="A10215" t="str">
            <v>V52.9</v>
          </cell>
          <cell r="B10215" t="str">
            <v>Ocupante de camioneta o furgoneta lesionado por colisión con vehículo de motor de dos o tres ruedas, ocupante no especificado de camioneta o furgoneta, lesionado en accidente de tránsito</v>
          </cell>
        </row>
        <row r="10216">
          <cell r="A10216" t="str">
            <v>V53</v>
          </cell>
          <cell r="B10216" t="str">
            <v>Ocupante de camioneta o furgoneta lesionado por colisión con automóvil, camioneta o furgoneta</v>
          </cell>
        </row>
        <row r="10217">
          <cell r="A10217" t="str">
            <v>V53.0</v>
          </cell>
          <cell r="B10217" t="str">
            <v>Ocupante de camioneta o furgoneta lesionado por colisión con automóvil, camioneta o furgoneta, conductor lesionado en accidente no de tránsito</v>
          </cell>
        </row>
        <row r="10218">
          <cell r="A10218" t="str">
            <v>V53.1</v>
          </cell>
          <cell r="B10218" t="str">
            <v>Ocupante de camioneta o furgoneta lesionado por colisión con automóvil, camioneta o furgoneta, pasajero lesionado en accidente no de tránsito</v>
          </cell>
        </row>
        <row r="10219">
          <cell r="A10219" t="str">
            <v>V53.2</v>
          </cell>
          <cell r="B10219" t="str">
            <v>Ocupante de camioneta o furgoneta lesionado por colisión con automóvil, camioneta o furgoneta, persona que viaja fuera del vehículo, lesionada en accidente no de tránsito</v>
          </cell>
        </row>
        <row r="10220">
          <cell r="A10220" t="str">
            <v>V53.3</v>
          </cell>
          <cell r="B10220" t="str">
            <v>Ocupante de camioneta o furgoneta lesionado por colisión con automóvil, camioneta o furgoneta, ocupante no especificado de camioneta o furgoneta, lesionado en accidente no de tránsito</v>
          </cell>
        </row>
        <row r="10221">
          <cell r="A10221" t="str">
            <v>V53.4</v>
          </cell>
          <cell r="B10221" t="str">
            <v>Ocupante de camioneta o furgoneta lesionado por colisión con automóvil, camioneta o furgoneta, persona lesionada al subir o bajar del vehículo</v>
          </cell>
        </row>
        <row r="10222">
          <cell r="A10222" t="str">
            <v>V53.5</v>
          </cell>
          <cell r="B10222" t="str">
            <v>Ocupante de camioneta o furgoneta lesionado por colisión con automóvil, camioneta o furgoneta, conductor lesionado en accidente de tránsito</v>
          </cell>
        </row>
        <row r="10223">
          <cell r="A10223" t="str">
            <v>V53.6</v>
          </cell>
          <cell r="B10223" t="str">
            <v>Ocupante de camioneta o furgoneta lesionado por colisión con automóvil, camioneta o furgoneta, pasajero lesionado en accidente de tránsito</v>
          </cell>
        </row>
        <row r="10224">
          <cell r="A10224" t="str">
            <v>V53.7</v>
          </cell>
          <cell r="B10224" t="str">
            <v>Ocupante de camioneta o furgoneta lesionado por colisión con automóvil, camioneta o furgoneta, persona que viaja fuera del vehículo, lesionada en accidente de tránsito</v>
          </cell>
        </row>
        <row r="10225">
          <cell r="A10225" t="str">
            <v>V53.9</v>
          </cell>
          <cell r="B10225" t="str">
            <v>Ocupante de camioneta o furgoneta lesionado por colisión con automóvil, camioneta o furgoneta, ocupante no especificado de camioneta o furgoneta, lesionado en accidente de tránsito</v>
          </cell>
        </row>
        <row r="10226">
          <cell r="A10226" t="str">
            <v>V54</v>
          </cell>
          <cell r="B10226" t="str">
            <v>Ocupante de camioneta o furgoneta lesionado por colisión con vehículo de transporte pesado o autobús</v>
          </cell>
        </row>
        <row r="10227">
          <cell r="A10227" t="str">
            <v>V54.0</v>
          </cell>
          <cell r="B10227" t="str">
            <v>Ocupante de camioneta o furgoneta lesionado por colisión con vehículo de transporte pesado o autobús, conductor lesionado en accidente no de tránsito</v>
          </cell>
        </row>
        <row r="10228">
          <cell r="A10228" t="str">
            <v>V54.1</v>
          </cell>
          <cell r="B10228" t="str">
            <v>Ocupante de camioneta o furgoneta lesionado por colisión con vehículo de transporte pesado o autobús, pasajero lesionado en accidente no de tránsito</v>
          </cell>
        </row>
        <row r="10229">
          <cell r="A10229" t="str">
            <v>V54.2</v>
          </cell>
          <cell r="B10229" t="str">
            <v>Ocupante de camioneta o furgoneta lesionado por colisión con vehículo de transporte pesado o autobús, persona que viaja fuera del vehículo, lesionada en accidente no de tránsito</v>
          </cell>
        </row>
        <row r="10230">
          <cell r="A10230" t="str">
            <v>V54.3</v>
          </cell>
          <cell r="B10230" t="str">
            <v>Ocupante de camioneta o furgoneta lesionado por colisión con vehículo de transporte pesado o autobús, ocupante no especificado de camioneta o furgoneta, lesionado en accidente no de tránsito</v>
          </cell>
        </row>
        <row r="10231">
          <cell r="A10231" t="str">
            <v>V54.4</v>
          </cell>
          <cell r="B10231" t="str">
            <v>Ocupante de camioneta o furgoneta lesionado por colisión con vehículo de transporte pesado o autobús, persona lesionada al subir o bajar del vehículo</v>
          </cell>
        </row>
        <row r="10232">
          <cell r="A10232" t="str">
            <v>V54.5</v>
          </cell>
          <cell r="B10232" t="str">
            <v>Ocupante de camioneta o furgoneta lesionado por colisión con vehículo de transporte pesado o autobús, conductor lesionado en accidente de tránsito</v>
          </cell>
        </row>
        <row r="10233">
          <cell r="A10233" t="str">
            <v>V54.6</v>
          </cell>
          <cell r="B10233" t="str">
            <v>Ocupante de camioneta o furgoneta lesionado por colisión con vehículo de transporte pesado o autobús, pasajero lesionado en accidente de tránsito</v>
          </cell>
        </row>
        <row r="10234">
          <cell r="A10234" t="str">
            <v>V54.7</v>
          </cell>
          <cell r="B10234" t="str">
            <v>Ocupante de camioneta o furgoneta lesionado por colisión con vehículo de transporte pesado o autobús, persona que viaja fuera del vehículo, lesionada en accidente de tránsito</v>
          </cell>
        </row>
        <row r="10235">
          <cell r="A10235" t="str">
            <v>V54.9</v>
          </cell>
          <cell r="B10235" t="str">
            <v>Ocupante de camioneta o furgoneta lesionado por colisión con vehículo de transporte pesado o autobús, ocupante no especificado de camioneta o furgoneta, lesionado en accidente de tránsito</v>
          </cell>
        </row>
        <row r="10236">
          <cell r="A10236" t="str">
            <v>V55</v>
          </cell>
          <cell r="B10236" t="str">
            <v>Ocupante de camioneta o furgoneta lesionado por colisión con tren o vehículo de rieles</v>
          </cell>
        </row>
        <row r="10237">
          <cell r="A10237" t="str">
            <v>V55.0</v>
          </cell>
          <cell r="B10237" t="str">
            <v>Ocupante de camioneta o furgoneta lesionado por colisión con tren o vehículo de rieles, conductor lesionado en accidente no de tránsito</v>
          </cell>
        </row>
        <row r="10238">
          <cell r="A10238" t="str">
            <v>V55.1</v>
          </cell>
          <cell r="B10238" t="str">
            <v>Ocupante de camioneta o furgoneta lesionado por colisión con tren o vehículo de rieles, pasajero lesionado en accidente no de tránsito</v>
          </cell>
        </row>
        <row r="10239">
          <cell r="A10239" t="str">
            <v>V55.2</v>
          </cell>
          <cell r="B10239" t="str">
            <v>Ocupante de camioneta o furgoneta lesionado por colisión con tren o vehículo de rieles, persona que viaja fuera del vehículo, lesionada en accidente no de tránsito</v>
          </cell>
        </row>
        <row r="10240">
          <cell r="A10240" t="str">
            <v>V55.3</v>
          </cell>
          <cell r="B10240" t="str">
            <v>Ocupante de camioneta o furgoneta lesionado por colisión con tren o vehículo de rieles, ocupante no especificado de camioneta o furgoneta, lesionado en accidente no de tránsito</v>
          </cell>
        </row>
        <row r="10241">
          <cell r="A10241" t="str">
            <v>V55.4</v>
          </cell>
          <cell r="B10241" t="str">
            <v>Ocupante de camioneta o furgoneta lesionado por colisión con tren o vehículo de rieles, persona lesionada al subir o bajar del vehículo</v>
          </cell>
        </row>
        <row r="10242">
          <cell r="A10242" t="str">
            <v>V55.5</v>
          </cell>
          <cell r="B10242" t="str">
            <v>Ocupante de camioneta o furgoneta lesionado por colisión con tren o vehículo de rieles, conductor lesionado en accidente de tránsito</v>
          </cell>
        </row>
        <row r="10243">
          <cell r="A10243" t="str">
            <v>V55.6</v>
          </cell>
          <cell r="B10243" t="str">
            <v>Ocupante de camioneta o furgoneta lesionado por colisión con tren o vehículo de rieles, pasajero lesionado en accidente de tránsito</v>
          </cell>
        </row>
        <row r="10244">
          <cell r="A10244" t="str">
            <v>V55.7</v>
          </cell>
          <cell r="B10244" t="str">
            <v>Ocupante de camioneta o furgoneta lesionado por colisión con tren o vehículo de rieles, persona que viaja fuera del vehículo, lesionada en accidente de tránsito</v>
          </cell>
        </row>
        <row r="10245">
          <cell r="A10245" t="str">
            <v>V55.9</v>
          </cell>
          <cell r="B10245" t="str">
            <v>Ocupante de camioneta o furgoneta lesionado por colisión con tren o vehículo de rieles, ocupante no especificado de camioneta o furgoneta, lesionado en accidente de tránsito</v>
          </cell>
        </row>
        <row r="10246">
          <cell r="A10246" t="str">
            <v>V56</v>
          </cell>
          <cell r="B10246" t="str">
            <v>Ocupante de camioneta o furgoneta lesionado por colisión con otros vehículos sin motor</v>
          </cell>
        </row>
        <row r="10247">
          <cell r="A10247" t="str">
            <v>V56.0</v>
          </cell>
          <cell r="B10247" t="str">
            <v>Ocupante de camioneta o furgoneta lesionado por colisión con otros vehículos sin motor, conductor lesionado en accidente no de tránsito</v>
          </cell>
        </row>
        <row r="10248">
          <cell r="A10248" t="str">
            <v>V56.1</v>
          </cell>
          <cell r="B10248" t="str">
            <v>Ocupante de camioneta o furgoneta lesionado por colisión con otros vehículos sin motor, pasajero lesionado en accidente no de tránsito</v>
          </cell>
        </row>
        <row r="10249">
          <cell r="A10249" t="str">
            <v>V56.2</v>
          </cell>
          <cell r="B10249" t="str">
            <v>Ocupante de camioneta o furgoneta lesionado por colisión con otros vehículos sin motor, persona que viaja fuera del vehículo, lesionada en accidente no de tránsito</v>
          </cell>
        </row>
        <row r="10250">
          <cell r="A10250" t="str">
            <v>V56.3</v>
          </cell>
          <cell r="B10250" t="str">
            <v>Ocupante de camioneta o furgoneta lesionado por colisión con otros vehículos sin motor, ocupante no especificado de camioneta o furgoneta, lesionado en accidente no de tránsito</v>
          </cell>
        </row>
        <row r="10251">
          <cell r="A10251" t="str">
            <v>V56.4</v>
          </cell>
          <cell r="B10251" t="str">
            <v>Ocupante de camioneta o furgoneta lesionado por colisión con otros vehículos sin motor, persona lesionada al subir o bajar del vehículo</v>
          </cell>
        </row>
        <row r="10252">
          <cell r="A10252" t="str">
            <v>V56.5</v>
          </cell>
          <cell r="B10252" t="str">
            <v>Ocupante de camioneta o furgoneta lesionado por colisión con otros vehículos sin motor, conductor lesionado en accidente de tránsito</v>
          </cell>
        </row>
        <row r="10253">
          <cell r="A10253" t="str">
            <v>V56.6</v>
          </cell>
          <cell r="B10253" t="str">
            <v>Ocupante de camioneta o furgoneta lesionado por colisión con otros vehículos sin motor, pasajero lesionado en accidente de tránsito</v>
          </cell>
        </row>
        <row r="10254">
          <cell r="A10254" t="str">
            <v>V56.7</v>
          </cell>
          <cell r="B10254" t="str">
            <v>Ocupante de camioneta o furgoneta lesionado por colisión con otros vehículos sin motor, persona que viaja fuera del vehículo, lesionada en accidente de tránsito</v>
          </cell>
        </row>
        <row r="10255">
          <cell r="A10255" t="str">
            <v>V56.9</v>
          </cell>
          <cell r="B10255" t="str">
            <v>Ocupante de camioneta o furgoneta lesionado por colisión con otros vehículos sin motor, ocupante no especificado de camioneta o furgoneta, lesionado en accidente de tránsito</v>
          </cell>
        </row>
        <row r="10256">
          <cell r="A10256" t="str">
            <v>V57</v>
          </cell>
          <cell r="B10256" t="str">
            <v>Ocupante de camioneta o furgoneta lesionado por colisión con objeto fijo o estacionado</v>
          </cell>
        </row>
        <row r="10257">
          <cell r="A10257" t="str">
            <v>V57.0</v>
          </cell>
          <cell r="B10257" t="str">
            <v>Ocupante de camioneta o furgoneta lesionado por colisión con objeto fijo o estacionado, conductor lesionado en accidente no de tránsito</v>
          </cell>
        </row>
        <row r="10258">
          <cell r="A10258" t="str">
            <v>V57.1</v>
          </cell>
          <cell r="B10258" t="str">
            <v>Ocupante de camioneta o furgoneta lesionado por colisión con objeto fijo o estacionado, pasajero lesionado en accidente no de tránsito</v>
          </cell>
        </row>
        <row r="10259">
          <cell r="A10259" t="str">
            <v>V57.2</v>
          </cell>
          <cell r="B10259" t="str">
            <v>Ocupante de camioneta o furgoneta lesionado por colisión con objeto fijo o estacionado, persona que viaja fuera del vehículo, lesionada en accidente no de tránsito</v>
          </cell>
        </row>
        <row r="10260">
          <cell r="A10260" t="str">
            <v>V57.3</v>
          </cell>
          <cell r="B10260" t="str">
            <v>Ocupante de camioneta o furgoneta lesionado por colisión con objeto fijo o estacionado, ocupante no especificado de camioneta o furgoneta, lesionado en accidente no de tránsito</v>
          </cell>
        </row>
        <row r="10261">
          <cell r="A10261" t="str">
            <v>V57.4</v>
          </cell>
          <cell r="B10261" t="str">
            <v>Ocupante de camioneta o furgoneta lesionado por colisión con objeto fijo o estacionado, persona lesionada al subir o bajar del vehículo</v>
          </cell>
        </row>
        <row r="10262">
          <cell r="A10262" t="str">
            <v>V57.5</v>
          </cell>
          <cell r="B10262" t="str">
            <v>Ocupante de camioneta o furgoneta lesionado por colisión con objeto fijo o estacionado, conductor lesionado en accidente de tránsito</v>
          </cell>
        </row>
        <row r="10263">
          <cell r="A10263" t="str">
            <v>V57.6</v>
          </cell>
          <cell r="B10263" t="str">
            <v>Ocupante de camioneta o furgoneta lesionado por colisión con objeto fijo o estacionado, pasajero lesionado en accidente de tránsito</v>
          </cell>
        </row>
        <row r="10264">
          <cell r="A10264" t="str">
            <v>V57.7</v>
          </cell>
          <cell r="B10264" t="str">
            <v>Ocupante de camioneta o furgoneta lesionado por colisión con objeto fijo o estacionado, persona que viaja fuera del vehículo, lesionada en accidente de tránsito</v>
          </cell>
        </row>
        <row r="10265">
          <cell r="A10265" t="str">
            <v>V57.9</v>
          </cell>
          <cell r="B10265" t="str">
            <v>Ocupante de camioneta o furgoneta lesionado por colisión con objeto fijo o estacionado, ocupante no especificado de camioneta o furgoneta, lesionado en accidente de tránsito</v>
          </cell>
        </row>
        <row r="10266">
          <cell r="A10266" t="str">
            <v>V58</v>
          </cell>
          <cell r="B10266" t="str">
            <v>Ocupante de camioneta o furgoneta lesionado en accidente de transporte sin colisión</v>
          </cell>
        </row>
        <row r="10267">
          <cell r="A10267" t="str">
            <v>V58.0</v>
          </cell>
          <cell r="B10267" t="str">
            <v>Ocupante de camioneta o furgoneta lesionado en accidente de transporte sin colisión, conductor lesionado en accidente no de tránsito</v>
          </cell>
        </row>
        <row r="10268">
          <cell r="A10268" t="str">
            <v>V58.1</v>
          </cell>
          <cell r="B10268" t="str">
            <v>Ocupante de camioneta o furgoneta lesionado en accidente de transporte sin colisión, pasajero lesionado en accidente no de tránsito</v>
          </cell>
        </row>
        <row r="10269">
          <cell r="A10269" t="str">
            <v>V58.2</v>
          </cell>
          <cell r="B10269" t="str">
            <v>Ocupante de camioneta o furgoneta lesionado en accidente de transporte sin colisión, persona que viaja fuera del vehículo, lesionada en accidente no de tránsito</v>
          </cell>
        </row>
        <row r="10270">
          <cell r="A10270" t="str">
            <v>V58.3</v>
          </cell>
          <cell r="B10270" t="str">
            <v>Ocupante de camioneta o furgoneta lesionado en accidente de transporte sin colisión, ocupante no especificado de camioneta o furgoneta, lesionado en accidente no de tránsito</v>
          </cell>
        </row>
        <row r="10271">
          <cell r="A10271" t="str">
            <v>V58.4</v>
          </cell>
          <cell r="B10271" t="str">
            <v>Ocupante de camioneta o furgoneta lesionado en accidente de transporte sin colisión, persona lesionada al subir o bajar del vehículo</v>
          </cell>
        </row>
        <row r="10272">
          <cell r="A10272" t="str">
            <v>V58.5</v>
          </cell>
          <cell r="B10272" t="str">
            <v>Ocupante de camioneta o furgoneta lesionado en accidente de transporte sin colisión, conductor lesionado en accidente de tránsito</v>
          </cell>
        </row>
        <row r="10273">
          <cell r="A10273" t="str">
            <v>V58.6</v>
          </cell>
          <cell r="B10273" t="str">
            <v>Ocupante de camioneta o furgoneta lesionado en accidente de transporte sin colisión, pasajero lesionado en accidente de tránsito</v>
          </cell>
        </row>
        <row r="10274">
          <cell r="A10274" t="str">
            <v>V58.7</v>
          </cell>
          <cell r="B10274" t="str">
            <v>Ocupante de camioneta o furgoneta lesionado en accidente de transporte sin colisión, persona que viaja fuera del vehículo, lesionada en accidente de tránsito</v>
          </cell>
        </row>
        <row r="10275">
          <cell r="A10275" t="str">
            <v>V58.9</v>
          </cell>
          <cell r="B10275" t="str">
            <v>Ocupante de camioneta o furgoneta lesionado en accidente de transporte sin colisión, ocupante no especificado de camioneta o furgoneta, lesionado en accidente de tránsito</v>
          </cell>
        </row>
        <row r="10276">
          <cell r="A10276" t="str">
            <v>V59</v>
          </cell>
          <cell r="B10276" t="str">
            <v>Ocupante de camioneta o furgoneta lesionado en otros accidentes de transporte, y en los no especificados</v>
          </cell>
        </row>
        <row r="10277">
          <cell r="A10277" t="str">
            <v>V59.0</v>
          </cell>
          <cell r="B10277" t="str">
            <v>Conductor de camioneta o furgoneta lesionado por colisión con otros vehículos de motor, y con los no especificados, en accidente no de tránsito</v>
          </cell>
        </row>
        <row r="10278">
          <cell r="A10278" t="str">
            <v>V59.1</v>
          </cell>
          <cell r="B10278" t="str">
            <v>Pasajero de camioneta o furgoneta lesionado por colisión con otros vehículos de motor, y con los no  especificados, en accidente no de tránsito</v>
          </cell>
        </row>
        <row r="10279">
          <cell r="A10279" t="str">
            <v>V59.2</v>
          </cell>
          <cell r="B10279" t="str">
            <v>Ocupante no especificado de camioneta o furgoneta lesionado por colisión con otros vehículos de motor, y con los no especificados, en accidente no de tránsito</v>
          </cell>
        </row>
        <row r="10280">
          <cell r="A10280" t="str">
            <v>V59.3</v>
          </cell>
          <cell r="B10280" t="str">
            <v>Ocupante [cualquiera] de camioneta o furgoneta lesionado en accidente no de tránsito, no especificado</v>
          </cell>
        </row>
        <row r="10281">
          <cell r="A10281" t="str">
            <v>V59.4</v>
          </cell>
          <cell r="B10281" t="str">
            <v>Conductor de camioneta o furgoneta lesionado por colisión con otros vehículos de motor, y con los no especificados, en accidente de tránsito</v>
          </cell>
        </row>
        <row r="10282">
          <cell r="A10282" t="str">
            <v>V59.5</v>
          </cell>
          <cell r="B10282" t="str">
            <v>Pasajero de camioneta o furgoneta lesionado por colisión con otros vehículos de motor, y con los no especificados, en accidente de tránsito</v>
          </cell>
        </row>
        <row r="10283">
          <cell r="A10283" t="str">
            <v>V59.6</v>
          </cell>
          <cell r="B10283" t="str">
            <v>Ocupante no especificado de camioneta o furgoneta lesionado por colisión con otros vehículos de motor, y con los no especificados, en accidente de tránsito</v>
          </cell>
        </row>
        <row r="10284">
          <cell r="A10284" t="str">
            <v>V59.8</v>
          </cell>
          <cell r="B10284" t="str">
            <v>Ocupante [cualquiera] de camioneta o furgoneta lesionado en otros accidentes de transporte especificados</v>
          </cell>
        </row>
        <row r="10285">
          <cell r="A10285" t="str">
            <v>V59.9</v>
          </cell>
          <cell r="B10285" t="str">
            <v>Ocupante [cualquiera] de camioneta o furgoneta lesionado en accidente de tránsito no especificado</v>
          </cell>
        </row>
        <row r="10286">
          <cell r="A10286" t="str">
            <v>V60</v>
          </cell>
          <cell r="B10286" t="str">
            <v>Ocupante de vehículo de transporte pesado lesionado por colisión con peatón o animal</v>
          </cell>
        </row>
        <row r="10287">
          <cell r="A10287" t="str">
            <v>V60.0</v>
          </cell>
          <cell r="B10287" t="str">
            <v>Ocupante de vehículo de transporte pesado lesionado por colisión con peatón o animal, conductor lesionado en accidente no de tránsito</v>
          </cell>
        </row>
        <row r="10288">
          <cell r="A10288" t="str">
            <v>V60.1</v>
          </cell>
          <cell r="B10288" t="str">
            <v>Ocupante de vehículo de transporte pesado lesionado por colisión con peatón o animal, pasajero lesionado en accidente no de tránsito</v>
          </cell>
        </row>
        <row r="10289">
          <cell r="A10289" t="str">
            <v>V60.2</v>
          </cell>
          <cell r="B10289" t="str">
            <v>Ocupante de vehículo de transporte pesado lesionado por colisión con peatón o animal, persona que viaja fuera del vehículo, lesionada en accidente no de tránsito</v>
          </cell>
        </row>
        <row r="10290">
          <cell r="A10290" t="str">
            <v>V60.3</v>
          </cell>
          <cell r="B10290" t="str">
            <v>Ocupante de vehículo de transporte pesado lesionado por colisión con peatón o animal, ocupante no especificado de vehículo de transporte pesado lesionado en accidente no de tránsito</v>
          </cell>
        </row>
        <row r="10291">
          <cell r="A10291" t="str">
            <v>V60.4</v>
          </cell>
          <cell r="B10291" t="str">
            <v>Ocupante de vehículo de transporte pesado lesionado por colisión con peatón o animal, persona lesionada al subir o bajar del vehículo</v>
          </cell>
        </row>
        <row r="10292">
          <cell r="A10292" t="str">
            <v>V60.5</v>
          </cell>
          <cell r="B10292" t="str">
            <v>Ocupante de vehículo de transporte pesado lesionado por colisión con peatón o animal, conductor lesionado en accidente de tránsito</v>
          </cell>
        </row>
        <row r="10293">
          <cell r="A10293" t="str">
            <v>V60.6</v>
          </cell>
          <cell r="B10293" t="str">
            <v>Ocupante de vehículo de transporte pesado lesionado por colisión con peatón o animal, pasajero lesionado en accidente de tránsito</v>
          </cell>
        </row>
        <row r="10294">
          <cell r="A10294" t="str">
            <v>V60.7</v>
          </cell>
          <cell r="B10294" t="str">
            <v>Ocupante de vehículo de transporte pesado lesionado por colisión con peatón o animal, persona que viaja fuera del vehículo, lesionada en accidente de tránsito</v>
          </cell>
        </row>
        <row r="10295">
          <cell r="A10295" t="str">
            <v>V60.9</v>
          </cell>
          <cell r="B10295" t="str">
            <v>Ocupante de vehículo de transporte pesado lesionado por colisión con peatón o animal, ocupante no especificado de vehículo de transporte pesado, lesionado en accidente de tránsito</v>
          </cell>
        </row>
        <row r="10296">
          <cell r="A10296" t="str">
            <v>V61</v>
          </cell>
          <cell r="B10296" t="str">
            <v>Ocupante de vehículo de transporte pesado lesionado por colisión con vehículo de pedal</v>
          </cell>
        </row>
        <row r="10297">
          <cell r="A10297" t="str">
            <v>V61.0</v>
          </cell>
          <cell r="B10297" t="str">
            <v>Ocupante de vehículo de transporte pesado lesionado por colisión con vehículo de pedal, conductor lesionado en accidente no de tránsito</v>
          </cell>
        </row>
        <row r="10298">
          <cell r="A10298" t="str">
            <v>V61.1</v>
          </cell>
          <cell r="B10298" t="str">
            <v>Ocupante de vehículo de transporte pesado lesionado por colisión con vehículo de pedal, pasajero lesionado en accidente no de tránsito</v>
          </cell>
        </row>
        <row r="10299">
          <cell r="A10299" t="str">
            <v>V61.2</v>
          </cell>
          <cell r="B10299" t="str">
            <v>Ocupante de vehículo de transporte pesado lesionado por colisión con vehículo de pedal, persona que viaja fuera del vehículo, lesionada en accidente no de tránsito</v>
          </cell>
        </row>
        <row r="10300">
          <cell r="A10300" t="str">
            <v>V61.3</v>
          </cell>
          <cell r="B10300" t="str">
            <v>Ocupante de vehículo de transporte pesado lesionado por colisión con vehículo de pedal, ocupante no especificado de vehículo de transporte pesado lesionado en accidente no de tránsito</v>
          </cell>
        </row>
        <row r="10301">
          <cell r="A10301" t="str">
            <v>V61.4</v>
          </cell>
          <cell r="B10301" t="str">
            <v>Ocupante de vehículo de transporte pesado lesionado por colisión con vehículo de pedal, persona lesionada al subir o bajar del vehículo</v>
          </cell>
        </row>
        <row r="10302">
          <cell r="A10302" t="str">
            <v>V61.5</v>
          </cell>
          <cell r="B10302" t="str">
            <v>Ocupante de vehículo de transporte pesado lesionado por colisión con vehículo de pedal, conductor lesionado en accidente de tránsito</v>
          </cell>
        </row>
        <row r="10303">
          <cell r="A10303" t="str">
            <v>V61.6</v>
          </cell>
          <cell r="B10303" t="str">
            <v>Ocupante de vehículo de transporte pesado lesionado por colisión con vehículo de pedal, pasajero lesionado en accidente de tránsito</v>
          </cell>
        </row>
        <row r="10304">
          <cell r="A10304" t="str">
            <v>V61.7</v>
          </cell>
          <cell r="B10304" t="str">
            <v>Ocupante de vehículo de transporte pesado lesionado por colisión con vehículo de pedal, persona que viaja fuera del vehículo, lesionada en accidente de tránsito</v>
          </cell>
        </row>
        <row r="10305">
          <cell r="A10305" t="str">
            <v>V61.9</v>
          </cell>
          <cell r="B10305" t="str">
            <v>Ocupante de vehículo de transporte pesado lesionado por colisión con vehículo de pedal, ocupante no especificado de vehículo de transporte pesado, lesionado en accidente de tránsito</v>
          </cell>
        </row>
        <row r="10306">
          <cell r="A10306" t="str">
            <v>V62</v>
          </cell>
          <cell r="B10306" t="str">
            <v>Ocupante de vehículo de transporte pesado lesionado por colisión con vehículo de motor de dos o tres ruedas</v>
          </cell>
        </row>
        <row r="10307">
          <cell r="A10307" t="str">
            <v>V62.0</v>
          </cell>
          <cell r="B10307" t="str">
            <v>Ocupante de vehículo de transporte pesado lesionado por colisión con vehículo de motor de dos o tres ruedas, conductor lesionado en accidente no de tránsito</v>
          </cell>
        </row>
        <row r="10308">
          <cell r="A10308" t="str">
            <v>V62.1</v>
          </cell>
          <cell r="B10308" t="str">
            <v>Ocupante de vehículo de transporte pesado lesionado por colisión con vehículo de motor de dos o tres ruedas, pasajero lesionado en accidente no de tránsito</v>
          </cell>
        </row>
        <row r="10309">
          <cell r="A10309" t="str">
            <v>V62.2</v>
          </cell>
          <cell r="B10309" t="str">
            <v>Ocupante de vehículo de transporte pesado lesionado por colisión con vehículo de motor de dos o tres ruedas, persona que viaja fuera del vehículo, lesionada en accidente no de tránsito</v>
          </cell>
        </row>
        <row r="10310">
          <cell r="A10310" t="str">
            <v>V62.3</v>
          </cell>
          <cell r="B10310" t="str">
            <v>Ocupante de vehículo de transporte pesado lesionado por colisión con vehículo de motor de dos o tres ruedas, ocupante no especificado de vehículo de transporte pesado lesionado en accidente no de trán</v>
          </cell>
        </row>
        <row r="10311">
          <cell r="A10311" t="str">
            <v>V62.4</v>
          </cell>
          <cell r="B10311" t="str">
            <v>Ocupante de vehículo de transporte pesado lesionado por colisión con vehículo de motor de dos o tres ruedas, persona lesionada al subir o bajar del vehículo</v>
          </cell>
        </row>
        <row r="10312">
          <cell r="A10312" t="str">
            <v>V62.5</v>
          </cell>
          <cell r="B10312" t="str">
            <v>Ocupante de vehículo de transporte pesado lesionado por colisión con vehículo de motor de dos o tres ruedas, conductor lesionado en accidente de tránsito</v>
          </cell>
        </row>
        <row r="10313">
          <cell r="A10313" t="str">
            <v>V62.6</v>
          </cell>
          <cell r="B10313" t="str">
            <v>Ocupante de vehículo de transporte pesado lesionado por colisión con vehículo de motor de dos o tres ruedas, pasajero lesionado en accidente de tránsito</v>
          </cell>
        </row>
        <row r="10314">
          <cell r="A10314" t="str">
            <v>V62.7</v>
          </cell>
          <cell r="B10314" t="str">
            <v>Ocupante de vehículo de transporte pesado lesionado por colisión con vehículo de motor de dos o tres ruedas, persona que viaja fuera del vehículo, lesionada en accidente de tránsito</v>
          </cell>
        </row>
        <row r="10315">
          <cell r="A10315" t="str">
            <v>V62.9</v>
          </cell>
          <cell r="B10315" t="str">
            <v>Ocupante de vehículo de transporte pesado lesionado por colisión con vehículo de motor de dos o tres ruedas, ocupante no especificado de vehículo de transporte pesado, lesionado en accidente de tránsi</v>
          </cell>
        </row>
        <row r="10316">
          <cell r="A10316" t="str">
            <v>V63</v>
          </cell>
          <cell r="B10316" t="str">
            <v>Ocupante de vehículo de transporte pesado lesionado por colisión con automóvil, camioneta o furgoneta</v>
          </cell>
        </row>
        <row r="10317">
          <cell r="A10317" t="str">
            <v>V63.0</v>
          </cell>
          <cell r="B10317" t="str">
            <v>Ocupante de vehículo de transporte pesado lesionado por colisión con automóvil, camioneta o furgoneta, conductor lesionado en accidente no de tránsito</v>
          </cell>
        </row>
        <row r="10318">
          <cell r="A10318" t="str">
            <v>V63.1</v>
          </cell>
          <cell r="B10318" t="str">
            <v>Ocupante de vehículo de transporte pesado lesionado por colisión con automóvil, camioneta o furgoneta, pasajero lesionado en accidente no de tránsito</v>
          </cell>
        </row>
        <row r="10319">
          <cell r="A10319" t="str">
            <v>V63.2</v>
          </cell>
          <cell r="B10319" t="str">
            <v>Ocupante de vehículo de transporte pesado lesionado por colisión con automóvil, camioneta o furgoneta, persona que viaja fuera del vehículo, lesionada en accidente no de tránsito</v>
          </cell>
        </row>
        <row r="10320">
          <cell r="A10320" t="str">
            <v>V63.3</v>
          </cell>
          <cell r="B10320" t="str">
            <v>Ocupante de vehículo de transporte pesado lesionado por colisión con automóvil, camioneta o furgoneta, ocupante no especificado de vehículo de transporte pesado lesionado en accidente no de tránsito</v>
          </cell>
        </row>
        <row r="10321">
          <cell r="A10321" t="str">
            <v>V63.4</v>
          </cell>
          <cell r="B10321" t="str">
            <v>Ocupante de vehículo de transporte pesado lesionado por colisión con automóvil, camioneta o furgoneta, persona lesionada al subir o bajar del vehículo</v>
          </cell>
        </row>
        <row r="10322">
          <cell r="A10322" t="str">
            <v>V63.5</v>
          </cell>
          <cell r="B10322" t="str">
            <v>Ocupante de vehículo de transporte pesado lesionado por colisión con automóvil, camioneta o furgoneta, conductor lesionado en accidente de tránsito</v>
          </cell>
        </row>
        <row r="10323">
          <cell r="A10323" t="str">
            <v>V63.6</v>
          </cell>
          <cell r="B10323" t="str">
            <v>Ocupante de vehículo de transporte pesado lesionado por colisión con automóvil, camioneta o furgoneta, pasajero lesionado en accidente de tránsito</v>
          </cell>
        </row>
        <row r="10324">
          <cell r="A10324" t="str">
            <v>V63.7</v>
          </cell>
          <cell r="B10324" t="str">
            <v>Ocupante de vehículo de transporte pesado lesionado por colisión con automóvil, camioneta o furgoneta, persona que viaja fuera del vehículo, lesionada en accidente de tránsito</v>
          </cell>
        </row>
        <row r="10325">
          <cell r="A10325" t="str">
            <v>V63.9</v>
          </cell>
          <cell r="B10325" t="str">
            <v>Ocupante de vehículo de transporte pesado lesionado por colisión con automóvil, camioneta o furgoneta, ocupante no especificado de vehículo de transporte pesado, lesionado en accidente de tránsito</v>
          </cell>
        </row>
        <row r="10326">
          <cell r="A10326" t="str">
            <v>V64</v>
          </cell>
          <cell r="B10326" t="str">
            <v>Ocupante de vehículo de transporte pesado lesionado por colisión con otro vehículo de transporte pesado o autobús</v>
          </cell>
        </row>
        <row r="10327">
          <cell r="A10327" t="str">
            <v>V64.0</v>
          </cell>
          <cell r="B10327" t="str">
            <v>Ocupante de vehículo de transporte pesado lesionado por colisión con otro vehículo de transporte pesado o autobús, conductor lesionado en accidente no de tránsito</v>
          </cell>
        </row>
        <row r="10328">
          <cell r="A10328" t="str">
            <v>V64.1</v>
          </cell>
          <cell r="B10328" t="str">
            <v>Ocupante de vehículo de transporte pesado lesionado por colisión con otro vehículo de transporte pesado o autobús, pasajero lesionado en accidente no de tránsito</v>
          </cell>
        </row>
        <row r="10329">
          <cell r="A10329" t="str">
            <v>V64.2</v>
          </cell>
          <cell r="B10329" t="str">
            <v>Ocupante de vehículo de transporte pesado lesionado por colisión con otro vehículo de transporte pesado o autobús, persona que viaja fuera del vehículo, lesionada en accidente no de tránsito</v>
          </cell>
        </row>
        <row r="10330">
          <cell r="A10330" t="str">
            <v>V64.3</v>
          </cell>
          <cell r="B10330" t="str">
            <v>Ocupante de vehículo de transporte pesado lesionado por colisión con otro vehículo de transporte pesado o autobús, ocupante no especificado de vehículo de transporte pesado lesionado en accidente no d</v>
          </cell>
        </row>
        <row r="10331">
          <cell r="A10331" t="str">
            <v>V64.4</v>
          </cell>
          <cell r="B10331" t="str">
            <v>Ocupante de vehículo de transporte pesado lesionado por colisión con otro vehículo de transporte pesado o autobús, persona lesionada al subir o bajar del vehículo</v>
          </cell>
        </row>
        <row r="10332">
          <cell r="A10332" t="str">
            <v>V64.5</v>
          </cell>
          <cell r="B10332" t="str">
            <v>Ocupante de vehículo de transporte pesado lesionado por colisión con otro vehículo de transporte pesado o autobús, conductor lesionado en accidente de tránsito</v>
          </cell>
        </row>
        <row r="10333">
          <cell r="A10333" t="str">
            <v>V64.6</v>
          </cell>
          <cell r="B10333" t="str">
            <v>Ocupante de vehículo de transporte pesado lesionado por colisión con otro vehículo de transporte pesado o autobús, pasajero lesionado en accidente de tránsito</v>
          </cell>
        </row>
        <row r="10334">
          <cell r="A10334" t="str">
            <v>V64.7</v>
          </cell>
          <cell r="B10334" t="str">
            <v>Ocupante de vehículo de transporte pesado lesionado por colisión con otro vehículo de transporte pesado o autobús, persona que viaja fuera del vehículo, lesionada en accidente de tránsito</v>
          </cell>
        </row>
        <row r="10335">
          <cell r="A10335" t="str">
            <v>V64.9</v>
          </cell>
          <cell r="B10335" t="str">
            <v>Ocupante de vehículo de transporte pesado lesionado por colisión con otro vehículo de transporte pesado o autobús, ocupante no especificado de vehículo de transporte pesado, lesionado en accidente de</v>
          </cell>
        </row>
        <row r="10336">
          <cell r="A10336" t="str">
            <v>V65</v>
          </cell>
          <cell r="B10336" t="str">
            <v>Ocupante de vehículo de transporte pesado lesionado por colisión con tren o vehículo de rieles</v>
          </cell>
        </row>
        <row r="10337">
          <cell r="A10337" t="str">
            <v>V65.0</v>
          </cell>
          <cell r="B10337" t="str">
            <v>Ocupante de vehículo de transporte pesado lesionado por colisión con tren o vehículo de rieles, conductor lesionado en accidente no de tránsito</v>
          </cell>
        </row>
        <row r="10338">
          <cell r="A10338" t="str">
            <v>V65.1</v>
          </cell>
          <cell r="B10338" t="str">
            <v>Ocupante de vehículo de transporte pesado lesionado por colisión con tren o vehículo de rieles, pasajero lesionado en accidente no de tránsito</v>
          </cell>
        </row>
        <row r="10339">
          <cell r="A10339" t="str">
            <v>V65.2</v>
          </cell>
          <cell r="B10339" t="str">
            <v>Ocupante de vehículo de transporte pesado lesionado por colisión con tren o vehículo de rieles, persona que viaja fuera del vehículo, lesionada en accidente no de tránsito</v>
          </cell>
        </row>
        <row r="10340">
          <cell r="A10340" t="str">
            <v>V65.3</v>
          </cell>
          <cell r="B10340" t="str">
            <v>Ocupante de vehículo de transporte pesado lesionado por colisión con tren o vehículo de rieles, ocupante no especificado de vehículo de transporte pesado lesionado en accidente no de tránsito</v>
          </cell>
        </row>
        <row r="10341">
          <cell r="A10341" t="str">
            <v>V65.4</v>
          </cell>
          <cell r="B10341" t="str">
            <v>Ocupante de vehículo de transporte pesado lesionado por colisión con tren o vehículo de rieles, persona lesionada al subir o bajar del vehículo</v>
          </cell>
        </row>
        <row r="10342">
          <cell r="A10342" t="str">
            <v>V65.5</v>
          </cell>
          <cell r="B10342" t="str">
            <v>Ocupante de vehículo de transporte pesado lesionado por colisión con tren o vehículo de rieles, conductor lesionado en accidente de tránsito</v>
          </cell>
        </row>
        <row r="10343">
          <cell r="A10343" t="str">
            <v>V65.6</v>
          </cell>
          <cell r="B10343" t="str">
            <v>Ocupante de vehículo de transporte pesado lesionado por colisión con tren o vehículo de rieles, pasajero lesionado en accidente de tránsito</v>
          </cell>
        </row>
        <row r="10344">
          <cell r="A10344" t="str">
            <v>V65.7</v>
          </cell>
          <cell r="B10344" t="str">
            <v>Ocupante de vehículo de transporte pesado lesionado por colisión con tren o vehículo de rieles, persona que viaja fuera del vehículo, lesionada en accidente de tránsito</v>
          </cell>
        </row>
        <row r="10345">
          <cell r="A10345" t="str">
            <v>V65.9</v>
          </cell>
          <cell r="B10345" t="str">
            <v>Ocupante de vehículo de transporte pesado lesionado por colisión con tren o vehículo de rieles, ocupante no especificado de vehículo de transporte pesado, lesionado en accidente de tránsito</v>
          </cell>
        </row>
        <row r="10346">
          <cell r="A10346" t="str">
            <v>V66</v>
          </cell>
          <cell r="B10346" t="str">
            <v>Ocupante de vehículo de transporte pesado lesionado por colisión con otros vehículos sin  motor</v>
          </cell>
        </row>
        <row r="10347">
          <cell r="A10347" t="str">
            <v>V66.0</v>
          </cell>
          <cell r="B10347" t="str">
            <v>Ocupante de vehículo de transporte pesado lesionado por colisión con otros vehículos sin  motor, conductor lesionado en accidente no de tránsito</v>
          </cell>
        </row>
        <row r="10348">
          <cell r="A10348" t="str">
            <v>V66.1</v>
          </cell>
          <cell r="B10348" t="str">
            <v>Ocupante de vehículo de transporte pesado lesionado por colisión con otros vehículos sin  motor, pasajero lesionado en accidente no de tránsito</v>
          </cell>
        </row>
        <row r="10349">
          <cell r="A10349" t="str">
            <v>V66.2</v>
          </cell>
          <cell r="B10349" t="str">
            <v>Ocupante de vehículo de transporte pesado lesionado por colisión con otros vehículos sin  motor, persona que viaja fuera del vehículo, lesionada en accidente no de tránsito</v>
          </cell>
        </row>
        <row r="10350">
          <cell r="A10350" t="str">
            <v>V66.3</v>
          </cell>
          <cell r="B10350" t="str">
            <v>Ocupante de vehículo de transporte pesado lesionado por colisión con otros vehículos sin  motor, ocupante no especificado de vehículo de transporte pesado lesionado en accidente no de tránsito</v>
          </cell>
        </row>
        <row r="10351">
          <cell r="A10351" t="str">
            <v>V66.4</v>
          </cell>
          <cell r="B10351" t="str">
            <v>Ocupante de vehículo de transporte pesado lesionado por colisión con otros vehículos sin  motor, persona lesionada al subir o bajar del vehículo</v>
          </cell>
        </row>
        <row r="10352">
          <cell r="A10352" t="str">
            <v>V66.5</v>
          </cell>
          <cell r="B10352" t="str">
            <v>Ocupante de vehículo de transporte pesado lesionado por colisión con otros vehículos sin  motor, conductor lesionado en accidente de tránsito</v>
          </cell>
        </row>
        <row r="10353">
          <cell r="A10353" t="str">
            <v>V66.6</v>
          </cell>
          <cell r="B10353" t="str">
            <v>Ocupante de vehículo de transporte pesado lesionado por colisión con otros vehículos sin  motor, pasajero lesionado en accidente de tránsito</v>
          </cell>
        </row>
        <row r="10354">
          <cell r="A10354" t="str">
            <v>V66.7</v>
          </cell>
          <cell r="B10354" t="str">
            <v>Ocupante de vehículo de transporte pesado lesionado por colisión con otros vehículos sin  motor, persona que viaja fuera del vehículo, lesionada en accidente de tránsito</v>
          </cell>
        </row>
        <row r="10355">
          <cell r="A10355" t="str">
            <v>V66.9</v>
          </cell>
          <cell r="B10355" t="str">
            <v>Ocupante de vehículo de transporte pesado lesionado por colisión con otros vehículos sin  motor, ocupante no especificado de vehículo de transporte pesado, lesionado en accidente de tránsito</v>
          </cell>
        </row>
        <row r="10356">
          <cell r="A10356" t="str">
            <v>V67</v>
          </cell>
          <cell r="B10356" t="str">
            <v>Ocupante de vehículo de transporte pesado lesionado por colisión con objeto fijo o estacionado</v>
          </cell>
        </row>
        <row r="10357">
          <cell r="A10357" t="str">
            <v>V67.0</v>
          </cell>
          <cell r="B10357" t="str">
            <v>Ocupante de vehículo de transporte pesado lesionado por colisión con objeto fijo o estacionado, conductor lesionado en accidente no de tránsito</v>
          </cell>
        </row>
        <row r="10358">
          <cell r="A10358" t="str">
            <v>V67.1</v>
          </cell>
          <cell r="B10358" t="str">
            <v>Ocupante de vehículo de transporte pesado lesionado por colisión con objeto fijo o estacionado, pasajero lesionado en accidente no de tránsito</v>
          </cell>
        </row>
        <row r="10359">
          <cell r="A10359" t="str">
            <v>V67.2</v>
          </cell>
          <cell r="B10359" t="str">
            <v>Ocupante de vehículo de transporte pesado lesionado por colisión con objeto fijo o estacionado, persona que viaja fuera del vehículo, lesionada en accidente no de tránsito</v>
          </cell>
        </row>
        <row r="10360">
          <cell r="A10360" t="str">
            <v>V67.3</v>
          </cell>
          <cell r="B10360" t="str">
            <v>Ocupante de vehículo de transporte pesado lesionado por colisión con objeto fijo o estacionado, ocupante no especificado de vehículo de transporte pesado lesionado en accidente no de tránsito</v>
          </cell>
        </row>
        <row r="10361">
          <cell r="A10361" t="str">
            <v>V67.4</v>
          </cell>
          <cell r="B10361" t="str">
            <v>Ocupante de vehículo de transporte pesado lesionado por colisión con objeto fijo o estacionado, persona lesionada al subir o bajar del vehículo</v>
          </cell>
        </row>
        <row r="10362">
          <cell r="A10362" t="str">
            <v>V67.5</v>
          </cell>
          <cell r="B10362" t="str">
            <v>Ocupante de vehículo de transporte pesado lesionado por colisión con objeto fijo o estacionado, conductor lesionado en accidente de tránsito</v>
          </cell>
        </row>
        <row r="10363">
          <cell r="A10363" t="str">
            <v>V67.6</v>
          </cell>
          <cell r="B10363" t="str">
            <v>Ocupante de vehículo de transporte pesado lesionado por colisión con objeto fijo o estacionado, pasajero lesionado en accidente de tránsito</v>
          </cell>
        </row>
        <row r="10364">
          <cell r="A10364" t="str">
            <v>V67.7</v>
          </cell>
          <cell r="B10364" t="str">
            <v>Ocupante de vehículo de transporte pesado lesionado por colisión con objeto fijo o estacionado, persona que viaja fuera del vehículo, lesionada en accidente de tránsito</v>
          </cell>
        </row>
        <row r="10365">
          <cell r="A10365" t="str">
            <v>V67.9</v>
          </cell>
          <cell r="B10365" t="str">
            <v>Ocupante de vehículo de transporte pesado lesionado por colisión con objeto fijo o estacionado, ocupante no especificado de vehículo de transporte pesado, lesionado en accidente de tránsito</v>
          </cell>
        </row>
        <row r="10366">
          <cell r="A10366" t="str">
            <v>V68</v>
          </cell>
          <cell r="B10366" t="str">
            <v>Ocupante de vehículo de transporte pesado lesionado en accidente de transporte sin colisión</v>
          </cell>
        </row>
        <row r="10367">
          <cell r="A10367" t="str">
            <v>V68.0</v>
          </cell>
          <cell r="B10367" t="str">
            <v>Ocupante de vehículo de transporte pesado lesionado en accidente de transporte sin colisión, conductor lesionado en accidente no de tránsito</v>
          </cell>
        </row>
        <row r="10368">
          <cell r="A10368" t="str">
            <v>V68.1</v>
          </cell>
          <cell r="B10368" t="str">
            <v>Ocupante de vehículo de transporte pesado lesionado en accidente de transporte sin colisión, pasajero lesionado en accidente no de tránsito</v>
          </cell>
        </row>
        <row r="10369">
          <cell r="A10369" t="str">
            <v>V68.2</v>
          </cell>
          <cell r="B10369" t="str">
            <v>Ocupante de vehículo de transporte pesado lesionado en accidente de transporte sin colisión, persona que viaja fuera del vehículo, lesionada en accidente no de tránsito</v>
          </cell>
        </row>
        <row r="10370">
          <cell r="A10370" t="str">
            <v>V68.3</v>
          </cell>
          <cell r="B10370" t="str">
            <v>Ocupante de vehículo de transporte pesado lesionado en accidente de transporte sin colisión, ocupante no especificado de vehículo de transporte pesado lesionado en accidente no de tránsito</v>
          </cell>
        </row>
        <row r="10371">
          <cell r="A10371" t="str">
            <v>V68.4</v>
          </cell>
          <cell r="B10371" t="str">
            <v>Ocupante de vehículo de transporte pesado lesionado en accidente de transporte sin colisión, persona lesionada al subir o bajar del vehículo</v>
          </cell>
        </row>
        <row r="10372">
          <cell r="A10372" t="str">
            <v>V68.5</v>
          </cell>
          <cell r="B10372" t="str">
            <v>Ocupante de vehículo de transporte pesado lesionado en accidente de transporte sin colisión, conductor lesionado en accidente de tránsito</v>
          </cell>
        </row>
        <row r="10373">
          <cell r="A10373" t="str">
            <v>V68.6</v>
          </cell>
          <cell r="B10373" t="str">
            <v>Ocupante de vehículo de transporte pesado lesionado en accidente de transporte sin colisión, pasajero lesionado en accidente de tránsito</v>
          </cell>
        </row>
        <row r="10374">
          <cell r="A10374" t="str">
            <v>V68.7</v>
          </cell>
          <cell r="B10374" t="str">
            <v>Ocupante de vehículo de transporte pesado lesionado en accidente de transporte sin colisión, persona que viaja fuera del vehículo, lesionada en accidente de tránsito</v>
          </cell>
        </row>
        <row r="10375">
          <cell r="A10375" t="str">
            <v>V68.9</v>
          </cell>
          <cell r="B10375" t="str">
            <v>Ocupante de vehículo de transporte pesado lesionado en accidente de transporte sin colisión, ocupante no especificado de vehículo de transporte pesado, lesionado en accidente de tránsito</v>
          </cell>
        </row>
        <row r="10376">
          <cell r="A10376" t="str">
            <v>V69</v>
          </cell>
          <cell r="B10376" t="str">
            <v>Ocupante de vehículo de transporte pesado lesionado en otros accidentes de transporte, y en los no especificados</v>
          </cell>
        </row>
        <row r="10377">
          <cell r="A10377" t="str">
            <v>V69.0</v>
          </cell>
          <cell r="B10377" t="str">
            <v>Conductor de vehículo de transporte pesado lesionado por colisión con otros vehículos de motor, y con los no especificados, en accidente no de tránsito</v>
          </cell>
        </row>
        <row r="10378">
          <cell r="A10378" t="str">
            <v>V69.1</v>
          </cell>
          <cell r="B10378" t="str">
            <v>Pasajero de vehículo de transporte pesado lesionado por colisión con otros vehículos de motor, y con los no especificados, en accidente no de tránsito</v>
          </cell>
        </row>
        <row r="10379">
          <cell r="A10379" t="str">
            <v>V69.2</v>
          </cell>
          <cell r="B10379" t="str">
            <v>Ocupante no especificado de vehículo de transporte pesado lesionado por colisión con otros vehículos de motor, y con los no especificados, en accidente no de tránsito</v>
          </cell>
        </row>
        <row r="10380">
          <cell r="A10380" t="str">
            <v>V69.3</v>
          </cell>
          <cell r="B10380" t="str">
            <v>Ocupante [cualquiera] de vehículo de transporte pesado lesionado en accidente no de tránsito, no especificado</v>
          </cell>
        </row>
        <row r="10381">
          <cell r="A10381" t="str">
            <v>V69.4</v>
          </cell>
          <cell r="B10381" t="str">
            <v>Conductor de vehículo de transporte pesado lesionado por colisión con otros vehículos de motor, y con los no especificados, en accidente de tránsito</v>
          </cell>
        </row>
        <row r="10382">
          <cell r="A10382" t="str">
            <v>V69.5</v>
          </cell>
          <cell r="B10382" t="str">
            <v>Pasajero de vehículo de transporte pesado lesionado por colisión con otros vehículos de motor, y con los no especificados, en accidente de tránsito</v>
          </cell>
        </row>
        <row r="10383">
          <cell r="A10383" t="str">
            <v>V69.6</v>
          </cell>
          <cell r="B10383" t="str">
            <v>Ocupante no especificado de vehículo de transporte pesado lesionado por  colisión con otros vehículos de motor, y con los no especificados, en accidente de tránsito</v>
          </cell>
        </row>
        <row r="10384">
          <cell r="A10384" t="str">
            <v>V69.8</v>
          </cell>
          <cell r="B10384" t="str">
            <v>Ocupante [cualquiera] de vehículo de transporte pesado lesionado en otros accidentes de transporte especificados</v>
          </cell>
        </row>
        <row r="10385">
          <cell r="A10385" t="str">
            <v>V69.9</v>
          </cell>
          <cell r="B10385" t="str">
            <v>Ocupante [cualquiera] de vehículo de transporte pesado lesionado en accidente de tránsito no especificado</v>
          </cell>
        </row>
        <row r="10386">
          <cell r="A10386" t="str">
            <v>V70</v>
          </cell>
          <cell r="B10386" t="str">
            <v>Ocupante de autobús lesionado por colisión con peatón o animal</v>
          </cell>
        </row>
        <row r="10387">
          <cell r="A10387" t="str">
            <v>V70.0</v>
          </cell>
          <cell r="B10387" t="str">
            <v>Ocupante de autobús lesionado por colisión con peatón o animal, conductor lesionado en accidente no de tránsito</v>
          </cell>
        </row>
        <row r="10388">
          <cell r="A10388" t="str">
            <v>V70.1</v>
          </cell>
          <cell r="B10388" t="str">
            <v>Ocupante de autobús lesionado por colisión con peatón o animal, pasajero lesionado en accidente no de tránsito</v>
          </cell>
        </row>
        <row r="10389">
          <cell r="A10389" t="str">
            <v>V70.2</v>
          </cell>
          <cell r="B10389" t="str">
            <v>Ocupante de autobús lesionado por colisión con peatón o animal, persona que viaja fuera del vehículo, lesionada en accidente no de tránsito</v>
          </cell>
        </row>
        <row r="10390">
          <cell r="A10390" t="str">
            <v>V70.3</v>
          </cell>
          <cell r="B10390" t="str">
            <v>Ocupante de autobús lesionado por colisión con peatón o animal, ocupante no especificado de autobús, lesionado en accidente no de tránsito</v>
          </cell>
        </row>
        <row r="10391">
          <cell r="A10391" t="str">
            <v>V70.4</v>
          </cell>
          <cell r="B10391" t="str">
            <v>Ocupante de autobús lesionado por colisión con peatón o animal, persona lesionada al subir o bajar del vehículo</v>
          </cell>
        </row>
        <row r="10392">
          <cell r="A10392" t="str">
            <v>V70.5</v>
          </cell>
          <cell r="B10392" t="str">
            <v>Ocupante de autobús lesionado por colisión con peatón o animal, conductor lesionado en accidente de tránsito</v>
          </cell>
        </row>
        <row r="10393">
          <cell r="A10393" t="str">
            <v>V70.6</v>
          </cell>
          <cell r="B10393" t="str">
            <v>Ocupante de autobús lesionado por colisión con peatón o animal, pasajero lesionado en accidente de tránsito</v>
          </cell>
        </row>
        <row r="10394">
          <cell r="A10394" t="str">
            <v>V70.7</v>
          </cell>
          <cell r="B10394" t="str">
            <v>Ocupante de autobús lesionado por colisión con peatón o animal, persona que viaja fuera del vehículo, lesionada en accidente de tránsito</v>
          </cell>
        </row>
        <row r="10395">
          <cell r="A10395" t="str">
            <v>V70.9</v>
          </cell>
          <cell r="B10395" t="str">
            <v>Ocupante de autobús lesionado por colisión con peatón o animal, ocupante no especificado de autobús, lesionado en accidente de tránsito</v>
          </cell>
        </row>
        <row r="10396">
          <cell r="A10396" t="str">
            <v>V71</v>
          </cell>
          <cell r="B10396" t="str">
            <v>Ocupante de autobús lesionado por colisión con vehículo de pedal,</v>
          </cell>
        </row>
        <row r="10397">
          <cell r="A10397" t="str">
            <v>V71.0</v>
          </cell>
          <cell r="B10397" t="str">
            <v>Ocupante de autobús lesionado por colisión con vehículo de pedal, conductor lesionado en accidente no de tránsito</v>
          </cell>
        </row>
        <row r="10398">
          <cell r="A10398" t="str">
            <v>V71.1</v>
          </cell>
          <cell r="B10398" t="str">
            <v>Ocupante de autobús lesionado por colisión con vehículo de pedal, pasajero lesionado en accidente no de tránsito</v>
          </cell>
        </row>
        <row r="10399">
          <cell r="A10399" t="str">
            <v>V71.2</v>
          </cell>
          <cell r="B10399" t="str">
            <v>Ocupante de autobús lesionado por colisión con vehículo de pedal, persona que viaja fuera del vehículo, lesionada en accidente no de tránsito</v>
          </cell>
        </row>
        <row r="10400">
          <cell r="A10400" t="str">
            <v>V71.3</v>
          </cell>
          <cell r="B10400" t="str">
            <v>Ocupante de autobús lesionado por colisión con vehículo de pedal, ocupante no especificado de autobús, lesionado en accidente no de tránsito</v>
          </cell>
        </row>
        <row r="10401">
          <cell r="A10401" t="str">
            <v>V71.4</v>
          </cell>
          <cell r="B10401" t="str">
            <v>Ocupante de autobús lesionado por colisión con vehículo de pedal, persona lesionada al subir o bajar del vehículo</v>
          </cell>
        </row>
        <row r="10402">
          <cell r="A10402" t="str">
            <v>V71.5</v>
          </cell>
          <cell r="B10402" t="str">
            <v>Ocupante de autobús lesionado por colisión con vehículo de pedal, conductor lesionado en accidente de tránsito</v>
          </cell>
        </row>
        <row r="10403">
          <cell r="A10403" t="str">
            <v>V71.6</v>
          </cell>
          <cell r="B10403" t="str">
            <v>Ocupante de autobús lesionado por colisión con vehículo de pedal, pasajero lesionado en accidente de tránsito</v>
          </cell>
        </row>
        <row r="10404">
          <cell r="A10404" t="str">
            <v>V71.7</v>
          </cell>
          <cell r="B10404" t="str">
            <v>Ocupante de autobús lesionado por colisión con vehículo de pedal, persona que viaja fuera del vehículo, lesionada en accidente de tránsito</v>
          </cell>
        </row>
        <row r="10405">
          <cell r="A10405" t="str">
            <v>V71.9</v>
          </cell>
          <cell r="B10405" t="str">
            <v>Ocupante de autobús lesionado por colisión con vehículo de pedal, ocupante no especificado de autobús, lesionado en accidente de tránsito</v>
          </cell>
        </row>
        <row r="10406">
          <cell r="A10406" t="str">
            <v>V72</v>
          </cell>
          <cell r="B10406" t="str">
            <v>Ocupante de autobús lesionado por colisión con vehículo de motor de dos o tres ruedas</v>
          </cell>
        </row>
        <row r="10407">
          <cell r="A10407" t="str">
            <v>V72.0</v>
          </cell>
          <cell r="B10407" t="str">
            <v>Ocupante de autobús lesionado por colisión con vehículo de motor de dos o tres ruedas, conductor lesionado en accidente no de tránsito</v>
          </cell>
        </row>
        <row r="10408">
          <cell r="A10408" t="str">
            <v>V72.1</v>
          </cell>
          <cell r="B10408" t="str">
            <v>Ocupante de autobús lesionado por colisión con vehículo de motor de dos o tres ruedas, pasajero lesionado en accidente no de tránsito</v>
          </cell>
        </row>
        <row r="10409">
          <cell r="A10409" t="str">
            <v>V72.2</v>
          </cell>
          <cell r="B10409" t="str">
            <v>Ocupante de autobús lesionado por colisión con vehículo de motor de dos o tres ruedas, persona que viaja fuera del vehículo, lesionada en accidente no de tránsito</v>
          </cell>
        </row>
        <row r="10410">
          <cell r="A10410" t="str">
            <v>V72.3</v>
          </cell>
          <cell r="B10410" t="str">
            <v>Ocupante de autobús lesionado por colisión con vehículo de motor de dos o tres ruedas, ocupante no especificado de autobús, lesionado en accidente no de tránsito</v>
          </cell>
        </row>
        <row r="10411">
          <cell r="A10411" t="str">
            <v>V72.4</v>
          </cell>
          <cell r="B10411" t="str">
            <v>Ocupante de autobús lesionado por colisión con vehículo de motor de dos o tres ruedas, persona lesionada al subir o bajar del vehículo</v>
          </cell>
        </row>
        <row r="10412">
          <cell r="A10412" t="str">
            <v>V72.5</v>
          </cell>
          <cell r="B10412" t="str">
            <v>Ocupante de autobús lesionado por colisión con vehículo de motor de dos o tres ruedas, conductor lesionado en accidente de tránsito</v>
          </cell>
        </row>
        <row r="10413">
          <cell r="A10413" t="str">
            <v>V72.6</v>
          </cell>
          <cell r="B10413" t="str">
            <v>Ocupante de autobús lesionado por colisión con vehículo de motor de dos o tres ruedas, pasajero lesionado en accidente de tránsito</v>
          </cell>
        </row>
        <row r="10414">
          <cell r="A10414" t="str">
            <v>V72.7</v>
          </cell>
          <cell r="B10414" t="str">
            <v>Ocupante de autobús lesionado por colisión con vehículo de motor de dos o tres ruedas, persona que viaja fuera del vehículo, lesionada en accidente de tránsito</v>
          </cell>
        </row>
        <row r="10415">
          <cell r="A10415" t="str">
            <v>V72.9</v>
          </cell>
          <cell r="B10415" t="str">
            <v>Ocupante de autobús lesionado por colisión con vehículo de motor de dos o tres ruedas, ocupante no especificado de autobús, lesionado en accidente de tránsito</v>
          </cell>
        </row>
        <row r="10416">
          <cell r="A10416" t="str">
            <v>V73</v>
          </cell>
          <cell r="B10416" t="str">
            <v>Ocupante de autobús lesionado por colisión con automóvil, camioneta o furgoneta</v>
          </cell>
        </row>
        <row r="10417">
          <cell r="A10417" t="str">
            <v>V73.0</v>
          </cell>
          <cell r="B10417" t="str">
            <v>Ocupante de autobús lesionado por colisión con automóvil, camioneta o furgoneta, conductor lesionado en accidente no de tránsito</v>
          </cell>
        </row>
        <row r="10418">
          <cell r="A10418" t="str">
            <v>V73.1</v>
          </cell>
          <cell r="B10418" t="str">
            <v>Ocupante de autobús lesionado por colisión con automóvil, camioneta o furgoneta, pasajero lesionado en accidente no de tránsito</v>
          </cell>
        </row>
        <row r="10419">
          <cell r="A10419" t="str">
            <v>V73.2</v>
          </cell>
          <cell r="B10419" t="str">
            <v>Ocupante de autobús lesionado por colisión con automóvil, camioneta o furgoneta, persona que viaja fuera del vehículo, lesionada en accidente no de tránsito</v>
          </cell>
        </row>
        <row r="10420">
          <cell r="A10420" t="str">
            <v>V73.3</v>
          </cell>
          <cell r="B10420" t="str">
            <v>Ocupante de autobús lesionado por colisión con automóvil, camioneta o furgoneta, ocupante no especificado de autobús, lesionado en accidente no de tránsito</v>
          </cell>
        </row>
        <row r="10421">
          <cell r="A10421" t="str">
            <v>V73.4</v>
          </cell>
          <cell r="B10421" t="str">
            <v>Ocupante de autobús lesionado por colisión con automóvil, camioneta o furgoneta, persona lesionada al subir o bajar del vehículo</v>
          </cell>
        </row>
        <row r="10422">
          <cell r="A10422" t="str">
            <v>V73.5</v>
          </cell>
          <cell r="B10422" t="str">
            <v>Ocupante de autobús lesionado por colisión con automóvil, camioneta o furgoneta, conductor lesionado en accidente de tránsito</v>
          </cell>
        </row>
        <row r="10423">
          <cell r="A10423" t="str">
            <v>V73.6</v>
          </cell>
          <cell r="B10423" t="str">
            <v>Ocupante de autobús lesionado por colisión con automóvil, camioneta o furgoneta, pasajero lesionado en accidente de tránsito</v>
          </cell>
        </row>
        <row r="10424">
          <cell r="A10424" t="str">
            <v>V73.7</v>
          </cell>
          <cell r="B10424" t="str">
            <v>Ocupante de autobús lesionado por colisión con automóvil, camioneta o furgoneta, persona que viaja fuera del vehículo, lesionada en accidente de tránsito</v>
          </cell>
        </row>
        <row r="10425">
          <cell r="A10425" t="str">
            <v>V73.9</v>
          </cell>
          <cell r="B10425" t="str">
            <v>Ocupante de autobús lesionado por colisión con automóvil, camioneta o furgoneta, ocupante no especificado de autobús, lesionado en accidente de tránsito</v>
          </cell>
        </row>
        <row r="10426">
          <cell r="A10426" t="str">
            <v>V74</v>
          </cell>
          <cell r="B10426" t="str">
            <v>Ocupante de autobús lesionado por colisión con vehículo de transporte pesado o autobús</v>
          </cell>
        </row>
        <row r="10427">
          <cell r="A10427" t="str">
            <v>V74.0</v>
          </cell>
          <cell r="B10427" t="str">
            <v>Ocupante de autobús lesionado por colisión con vehículo de transporte pesado o autobús, conductor lesionado en accidente no de tránsito</v>
          </cell>
        </row>
        <row r="10428">
          <cell r="A10428" t="str">
            <v>V74.1</v>
          </cell>
          <cell r="B10428" t="str">
            <v>Ocupante de autobús lesionado por colisión con vehículo de transporte pesado o autobús, pasajero lesionado en accidente no de tránsito</v>
          </cell>
        </row>
        <row r="10429">
          <cell r="A10429" t="str">
            <v>V74.2</v>
          </cell>
          <cell r="B10429" t="str">
            <v>Ocupante de autobús lesionado por colisión con vehículo de transporte pesado o autobús, persona que viaja fuera del vehículo, lesionada en accidente no de tránsito</v>
          </cell>
        </row>
        <row r="10430">
          <cell r="A10430" t="str">
            <v>V74.3</v>
          </cell>
          <cell r="B10430" t="str">
            <v>Ocupante de autobús lesionado por colisión con vehículo de transporte pesado o autobús, ocupante no especificado de autobús, lesionado en accidente no de tránsito</v>
          </cell>
        </row>
        <row r="10431">
          <cell r="A10431" t="str">
            <v>V74.4</v>
          </cell>
          <cell r="B10431" t="str">
            <v>Ocupante de autobús lesionado por colisión con vehículo de transporte pesado o autobús, persona lesionada al subir o bajar del vehículo</v>
          </cell>
        </row>
        <row r="10432">
          <cell r="A10432" t="str">
            <v>V74.5</v>
          </cell>
          <cell r="B10432" t="str">
            <v>Ocupante de autobús lesionado por colisión con vehículo de transporte pesado o autobús, conductor lesionado en accidente de tránsito</v>
          </cell>
        </row>
        <row r="10433">
          <cell r="A10433" t="str">
            <v>V74.6</v>
          </cell>
          <cell r="B10433" t="str">
            <v>Ocupante de autobús lesionado por colisión con vehículo de transporte pesado o autobús, pasajero lesionado en accidente de tránsito</v>
          </cell>
        </row>
        <row r="10434">
          <cell r="A10434" t="str">
            <v>V74.7</v>
          </cell>
          <cell r="B10434" t="str">
            <v>Ocupante de autobús lesionado por colisión con vehículo de transporte pesado o autobús, persona que viaja fuera del vehículo, lesionada en accidente de tránsito</v>
          </cell>
        </row>
        <row r="10435">
          <cell r="A10435" t="str">
            <v>V74.9</v>
          </cell>
          <cell r="B10435" t="str">
            <v>Ocupante de autobús lesionado por colisión con vehículo de transporte pesado o autobús, ocupante no especificado de autobús, lesionado en accidente de tránsito</v>
          </cell>
        </row>
        <row r="10436">
          <cell r="A10436" t="str">
            <v>V75</v>
          </cell>
          <cell r="B10436" t="str">
            <v>Ocupante de autobús lesionado por colisión con tren o vehículo de rieles</v>
          </cell>
        </row>
        <row r="10437">
          <cell r="A10437" t="str">
            <v>V75.0</v>
          </cell>
          <cell r="B10437" t="str">
            <v>Ocupante de autobús lesionado por colisión con tren o vehículo de rieles, conductor lesionado en accidente no de tránsito</v>
          </cell>
        </row>
        <row r="10438">
          <cell r="A10438" t="str">
            <v>V75.1</v>
          </cell>
          <cell r="B10438" t="str">
            <v>Ocupante de autobús lesionado por colisión con tren o vehículo de rieles, pasajero lesionado en accidente no de tránsito</v>
          </cell>
        </row>
        <row r="10439">
          <cell r="A10439" t="str">
            <v>V75.2</v>
          </cell>
          <cell r="B10439" t="str">
            <v>Ocupante de autobús lesionado por colisión con tren o vehículo de rieles, persona que viaja fuera del vehículo, lesionada en accidente no de tránsito</v>
          </cell>
        </row>
        <row r="10440">
          <cell r="A10440" t="str">
            <v>V75.3</v>
          </cell>
          <cell r="B10440" t="str">
            <v>Ocupante de autobús lesionado por colisión con tren o vehículo de rieles, ocupante no especificado de autobús, lesionado en accidente no de tránsito</v>
          </cell>
        </row>
        <row r="10441">
          <cell r="A10441" t="str">
            <v>V75.4</v>
          </cell>
          <cell r="B10441" t="str">
            <v>Ocupante de autobús lesionado por colisión con tren o vehículo de rieles, persona lesionada al subir o bajar del vehículo</v>
          </cell>
        </row>
        <row r="10442">
          <cell r="A10442" t="str">
            <v>V75.5</v>
          </cell>
          <cell r="B10442" t="str">
            <v>Ocupante de autobús lesionado por colisión con tren o vehículo de rieles, conductor lesionado en accidente de tránsito</v>
          </cell>
        </row>
        <row r="10443">
          <cell r="A10443" t="str">
            <v>V75.6</v>
          </cell>
          <cell r="B10443" t="str">
            <v>Ocupante de autobús lesionado por colisión con tren o vehículo de rieles, pasajero lesionado en accidente de tránsito</v>
          </cell>
        </row>
        <row r="10444">
          <cell r="A10444" t="str">
            <v>V75.7</v>
          </cell>
          <cell r="B10444" t="str">
            <v>Ocupante de autobús lesionado por colisión con tren o vehículo de rieles, persona que viaja fuera del vehículo, lesionada en accidente de tránsito</v>
          </cell>
        </row>
        <row r="10445">
          <cell r="A10445" t="str">
            <v>V75.9</v>
          </cell>
          <cell r="B10445" t="str">
            <v>Ocupante de autobús lesionado por colisión con tren o vehículo de rieles, ocupante no especificado de autobús, lesionado en accidente de tránsito</v>
          </cell>
        </row>
        <row r="10446">
          <cell r="A10446" t="str">
            <v>V76</v>
          </cell>
          <cell r="B10446" t="str">
            <v>Ocupante de autobús lesionado por colisión con otros vehículos sin motor</v>
          </cell>
        </row>
        <row r="10447">
          <cell r="A10447" t="str">
            <v>V76.0</v>
          </cell>
          <cell r="B10447" t="str">
            <v>Ocupante de autobús lesionado por colisión con otros vehículos sin motor, conductor lesionado en accidente no de tránsito</v>
          </cell>
        </row>
        <row r="10448">
          <cell r="A10448" t="str">
            <v>V76.1</v>
          </cell>
          <cell r="B10448" t="str">
            <v>Ocupante de autobús lesionado por colisión con otros vehículos sin motor, pasajero lesionado en accidente no de tránsito</v>
          </cell>
        </row>
        <row r="10449">
          <cell r="A10449" t="str">
            <v>V76.2</v>
          </cell>
          <cell r="B10449" t="str">
            <v>Ocupante de autobús lesionado por colisión con otros vehículos sin motor, persona que viaja fuera del vehículo, lesionada en accidente no de tránsito</v>
          </cell>
        </row>
        <row r="10450">
          <cell r="A10450" t="str">
            <v>V76.3</v>
          </cell>
          <cell r="B10450" t="str">
            <v>Ocupante de autobús lesionado por colisión con otros vehículos sin motor, ocupante no especificado de autobús, lesionado en accidente no de tránsito</v>
          </cell>
        </row>
        <row r="10451">
          <cell r="A10451" t="str">
            <v>V76.4</v>
          </cell>
          <cell r="B10451" t="str">
            <v>Ocupante de autobús lesionado por colisión con otros vehículos sin motor, persona lesionada al subir o bajar del vehículo</v>
          </cell>
        </row>
        <row r="10452">
          <cell r="A10452" t="str">
            <v>V76.5</v>
          </cell>
          <cell r="B10452" t="str">
            <v>Ocupante de autobús lesionado por colisión con otros vehículos sin motor, conductor lesionado en accidente de tránsito</v>
          </cell>
        </row>
        <row r="10453">
          <cell r="A10453" t="str">
            <v>V76.6</v>
          </cell>
          <cell r="B10453" t="str">
            <v>Ocupante de autobús lesionado por colisión con otros vehículos sin motor, pasajero lesionado en accidente de tránsito</v>
          </cell>
        </row>
        <row r="10454">
          <cell r="A10454" t="str">
            <v>V76.7</v>
          </cell>
          <cell r="B10454" t="str">
            <v>Ocupante de autobús lesionado por colisión con otros vehículos sin motor, persona que viaja fuera del vehículo, lesionada en accidente de tránsito</v>
          </cell>
        </row>
        <row r="10455">
          <cell r="A10455" t="str">
            <v>V76.9</v>
          </cell>
          <cell r="B10455" t="str">
            <v>Ocupante de autobús lesionado por colisión con otros vehículos sin motor, ocupante no especificado de autobús, lesionado en accidente de tránsito</v>
          </cell>
        </row>
        <row r="10456">
          <cell r="A10456" t="str">
            <v>V77</v>
          </cell>
          <cell r="B10456" t="str">
            <v>Ocupante de autobús lesionado por colisión con objeto fijo o estacionado</v>
          </cell>
        </row>
        <row r="10457">
          <cell r="A10457" t="str">
            <v>V77.0</v>
          </cell>
          <cell r="B10457" t="str">
            <v>Ocupante de autobús lesionado por colisión con objeto fijo o estacionado, conductor lesionado en accidente no de tránsito</v>
          </cell>
        </row>
        <row r="10458">
          <cell r="A10458" t="str">
            <v>V77.1</v>
          </cell>
          <cell r="B10458" t="str">
            <v>Ocupante de autobús lesionado por colisión con objeto fijo o estacionado, pasajero lesionado en accidente no de tránsito</v>
          </cell>
        </row>
        <row r="10459">
          <cell r="A10459" t="str">
            <v>V77.2</v>
          </cell>
          <cell r="B10459" t="str">
            <v>Ocupante de autobús lesionado por colisión con objeto fijo o estacionado, persona que viaja fuera del vehículo, lesionada en accidente no de tránsito</v>
          </cell>
        </row>
        <row r="10460">
          <cell r="A10460" t="str">
            <v>V77.3</v>
          </cell>
          <cell r="B10460" t="str">
            <v>Ocupante de autobús lesionado por colisión con objeto fijo o estacionado, ocupante no especificado de autobús, lesionado en accidente no de tránsito</v>
          </cell>
        </row>
        <row r="10461">
          <cell r="A10461" t="str">
            <v>V77.4</v>
          </cell>
          <cell r="B10461" t="str">
            <v>Ocupante de autobús lesionado por colisión con objeto fijo o estacionado, persona lesionada al subir o bajar del vehículo</v>
          </cell>
        </row>
        <row r="10462">
          <cell r="A10462" t="str">
            <v>V77.5</v>
          </cell>
          <cell r="B10462" t="str">
            <v>Ocupante de autobús lesionado por colisión con objeto fijo o estacionado, conductor lesionado en accidente de tránsito</v>
          </cell>
        </row>
        <row r="10463">
          <cell r="A10463" t="str">
            <v>V77.6</v>
          </cell>
          <cell r="B10463" t="str">
            <v>Ocupante de autobús lesionado por colisión con objeto fijo o estacionado, pasajero lesionado en accidente de tránsito</v>
          </cell>
        </row>
        <row r="10464">
          <cell r="A10464" t="str">
            <v>V77.7</v>
          </cell>
          <cell r="B10464" t="str">
            <v>Ocupante de autobús lesionado por colisión con objeto fijo o estacionado, persona que viaja fuera del vehículo, lesionada en accidente de tránsito</v>
          </cell>
        </row>
        <row r="10465">
          <cell r="A10465" t="str">
            <v>V77.9</v>
          </cell>
          <cell r="B10465" t="str">
            <v>Ocupante de autobús lesionado por colisión con objeto fijo o estacionado, ocupante no especificado de autobús, lesionado en accidente de tránsito</v>
          </cell>
        </row>
        <row r="10466">
          <cell r="A10466" t="str">
            <v>V78</v>
          </cell>
          <cell r="B10466" t="str">
            <v>Ocupante de autobús lesionado en accidente de transporte sin colisión</v>
          </cell>
        </row>
        <row r="10467">
          <cell r="A10467" t="str">
            <v>V78.0</v>
          </cell>
          <cell r="B10467" t="str">
            <v>Ocupante de autobús lesionado en accidente de transporte sin colisión, conductor lesionado en accidente no de tránsito</v>
          </cell>
        </row>
        <row r="10468">
          <cell r="A10468" t="str">
            <v>V78.1</v>
          </cell>
          <cell r="B10468" t="str">
            <v>Ocupante de autobús lesionado en accidente de transporte sin colisión, pasajero lesionado en accidente no de tránsito</v>
          </cell>
        </row>
        <row r="10469">
          <cell r="A10469" t="str">
            <v>V78.2</v>
          </cell>
          <cell r="B10469" t="str">
            <v>Ocupante de autobús lesionado en accidente de transporte sin colisión, persona que viaja fuera del vehículo, lesionada en accidente no de tránsito</v>
          </cell>
        </row>
        <row r="10470">
          <cell r="A10470" t="str">
            <v>V78.3</v>
          </cell>
          <cell r="B10470" t="str">
            <v>Ocupante de autobús lesionado en accidente de transporte sin colisión, ocupante no especificado de autobús, lesionado en accidente no de tránsito</v>
          </cell>
        </row>
        <row r="10471">
          <cell r="A10471" t="str">
            <v>V78.4</v>
          </cell>
          <cell r="B10471" t="str">
            <v>Ocupante de autobús lesionado en accidente de transporte sin colisión, persona lesionada al subir o bajar del vehículo</v>
          </cell>
        </row>
        <row r="10472">
          <cell r="A10472" t="str">
            <v>V78.5</v>
          </cell>
          <cell r="B10472" t="str">
            <v>Ocupante de autobús lesionado en accidente de transporte sin colisión, conductor lesionado en accidente de tránsito</v>
          </cell>
        </row>
        <row r="10473">
          <cell r="A10473" t="str">
            <v>V78.6</v>
          </cell>
          <cell r="B10473" t="str">
            <v>Ocupante de autobús lesionado en accidente de transporte sin colisión, pasajero lesionado en accidente de tránsito</v>
          </cell>
        </row>
        <row r="10474">
          <cell r="A10474" t="str">
            <v>V78.7</v>
          </cell>
          <cell r="B10474" t="str">
            <v>Ocupante de autobús lesionado en accidente de transporte sin colisión, persona que viaja fuera del vehículo, lesionada en accidente de tránsito</v>
          </cell>
        </row>
        <row r="10475">
          <cell r="A10475" t="str">
            <v>V78.9</v>
          </cell>
          <cell r="B10475" t="str">
            <v>Ocupante de autobús lesionado en accidente de transporte sin colisión, ocupante no especificado de autobús, lesionado en accidente de tránsito</v>
          </cell>
        </row>
        <row r="10476">
          <cell r="A10476" t="str">
            <v>V79</v>
          </cell>
          <cell r="B10476" t="str">
            <v>Ocupante de autobús lesionado en otros accidentes de transporte, y en los no especificados</v>
          </cell>
        </row>
        <row r="10477">
          <cell r="A10477" t="str">
            <v>V79.0</v>
          </cell>
          <cell r="B10477" t="str">
            <v>Conductor de autobús lesionado por colisión con otros vehículos de motor, y con los no especificados, en accidente no de tránsito</v>
          </cell>
        </row>
        <row r="10478">
          <cell r="A10478" t="str">
            <v>V79.1</v>
          </cell>
          <cell r="B10478" t="str">
            <v>Pasajero de autobús lesionado por colisión con otros vehículos de motor, y con los no especificados, en accidente no de tránsito</v>
          </cell>
        </row>
        <row r="10479">
          <cell r="A10479" t="str">
            <v>V79.2</v>
          </cell>
          <cell r="B10479" t="str">
            <v>Ocupante no especificado de autobús lesionado por colisión con otros vehículos de motor, y con los no especificados, en accidente no de tránsito</v>
          </cell>
        </row>
        <row r="10480">
          <cell r="A10480" t="str">
            <v>V79.3</v>
          </cell>
          <cell r="B10480" t="str">
            <v>Ocupante [cualquiera] de autobús lesionado en accidente no de tránsito, no especificado</v>
          </cell>
        </row>
        <row r="10481">
          <cell r="A10481" t="str">
            <v>V79.4</v>
          </cell>
          <cell r="B10481" t="str">
            <v>Conductor de autobús lesionado por colisión con otros vehículos de motor, y con los no especificados, en accidente de tránsito</v>
          </cell>
        </row>
        <row r="10482">
          <cell r="A10482" t="str">
            <v>V79.5</v>
          </cell>
          <cell r="B10482" t="str">
            <v>Pasajero de autobús lesionado por colisión con otros vehículos de motor, y con los no especificados, en accidente de tránsito</v>
          </cell>
        </row>
        <row r="10483">
          <cell r="A10483" t="str">
            <v>V79.6</v>
          </cell>
          <cell r="B10483" t="str">
            <v>Ocupante no especificado de autobús lesionado por colisión con otros vehículos de motor, y con los no especificados, en accidente de tránsito</v>
          </cell>
        </row>
        <row r="10484">
          <cell r="A10484" t="str">
            <v>V79.8</v>
          </cell>
          <cell r="B10484" t="str">
            <v>Ocupante [cualquiera] de autobús lesionado en otros accidentes de transporte especificados</v>
          </cell>
        </row>
        <row r="10485">
          <cell r="A10485" t="str">
            <v>V79.9</v>
          </cell>
          <cell r="B10485" t="str">
            <v>Ocupante [cualquiera] de autobús lesionado en accidente de tránsito no especificado</v>
          </cell>
        </row>
        <row r="10486">
          <cell r="A10486" t="str">
            <v>V80</v>
          </cell>
          <cell r="B10486" t="str">
            <v>Jinete u ocupante de vehículo de tracción animal lesionado en accidente de transporte</v>
          </cell>
        </row>
        <row r="10487">
          <cell r="A10487" t="str">
            <v>V80.0</v>
          </cell>
          <cell r="B10487" t="str">
            <v>Jinete u ocupante de vehículo de tracción animal lesionado por caída (o por ser despedido) del animal o del vehículo de tracción animal, en accidente sin colisión</v>
          </cell>
        </row>
        <row r="10488">
          <cell r="A10488" t="str">
            <v>V80.1</v>
          </cell>
          <cell r="B10488" t="str">
            <v>Jinete u ocupante de vehículo de tracción animal lesionado por colisión con peatón o animal</v>
          </cell>
        </row>
        <row r="10489">
          <cell r="A10489" t="str">
            <v>V80.2</v>
          </cell>
          <cell r="B10489" t="str">
            <v>Jinete u ocupante de vehículo de tracción animal lesionado por colisión con vehículo de pedal</v>
          </cell>
        </row>
        <row r="10490">
          <cell r="A10490" t="str">
            <v>V80.3</v>
          </cell>
          <cell r="B10490" t="str">
            <v>Jinete u ocupante de vehículo de tracción animal lesionado por colisión con vehículo de motor de dos o tres ruedas</v>
          </cell>
        </row>
        <row r="10491">
          <cell r="A10491" t="str">
            <v>V80.4</v>
          </cell>
          <cell r="B10491" t="str">
            <v>Jinete u ocupante de vehículo de tracción animal lesionado por colisión con automóvil, camioneta o furgoneta, vehículo de transporte pesado, o autobús</v>
          </cell>
        </row>
        <row r="10492">
          <cell r="A10492" t="str">
            <v>V80.5</v>
          </cell>
          <cell r="B10492" t="str">
            <v>Jinete u ocupante de vehículo de tracción animal lesionado por colisión con otros vehículos de motor especificados</v>
          </cell>
        </row>
        <row r="10493">
          <cell r="A10493" t="str">
            <v>V80.6</v>
          </cell>
          <cell r="B10493" t="str">
            <v>Jinete u ocupante de vehículo de tracción animal lesionado por colisión con tren o vehículo de rieles</v>
          </cell>
        </row>
        <row r="10494">
          <cell r="A10494" t="str">
            <v>V80.7</v>
          </cell>
          <cell r="B10494" t="str">
            <v>Jinete u ocupante de vehículo de tracción animal lesionado por colisión con otros vehículos sin motor</v>
          </cell>
        </row>
        <row r="10495">
          <cell r="A10495" t="str">
            <v>V80.8</v>
          </cell>
          <cell r="B10495" t="str">
            <v>Jinete u ocupante de vehículo de tracción animal lesionado por colisión con objeto fijo o estacionado</v>
          </cell>
        </row>
        <row r="10496">
          <cell r="A10496" t="str">
            <v>V80.9</v>
          </cell>
          <cell r="B10496" t="str">
            <v>Jinete u ocupante de vehículo de tracción animal lesionado en otros accidentes de transporte, y en los no especificados</v>
          </cell>
        </row>
        <row r="10497">
          <cell r="A10497" t="str">
            <v>V81</v>
          </cell>
          <cell r="B10497" t="str">
            <v>Ocupante de tren o vehículo de rieles lesionado en accidente de transporte</v>
          </cell>
        </row>
        <row r="10498">
          <cell r="A10498" t="str">
            <v>V81.0</v>
          </cell>
          <cell r="B10498" t="str">
            <v>Ocupante de tren o vehículo de rieles lesionado por colisión con vehículo de motor, en accidente no de tránsito</v>
          </cell>
        </row>
        <row r="10499">
          <cell r="A10499" t="str">
            <v>V81.1</v>
          </cell>
          <cell r="B10499" t="str">
            <v>Ocupante de tren o vehículo de rieles lesionado por colisión con vehículo de motor, en accidente de tránsito</v>
          </cell>
        </row>
        <row r="10500">
          <cell r="A10500" t="str">
            <v>V81.2</v>
          </cell>
          <cell r="B10500" t="str">
            <v>Ocupante de tren o vehículo de rieles lesionado por colisión con, o golpeado por vagón</v>
          </cell>
        </row>
        <row r="10501">
          <cell r="A10501" t="str">
            <v>V81.3</v>
          </cell>
          <cell r="B10501" t="str">
            <v>Ocupante de tren o vehículo de rieles lesionado por colisión con otros objetos</v>
          </cell>
        </row>
        <row r="10502">
          <cell r="A10502" t="str">
            <v>V81.4</v>
          </cell>
          <cell r="B10502" t="str">
            <v>Persona lesionada al subir o bajar del tren o vehículo de rieles</v>
          </cell>
        </row>
        <row r="10503">
          <cell r="A10503" t="str">
            <v>V81.5</v>
          </cell>
          <cell r="B10503" t="str">
            <v>Ocupante de tren o vehículo de rieles lesionado por caída dentro del tren o vehículo de rieles</v>
          </cell>
        </row>
        <row r="10504">
          <cell r="A10504" t="str">
            <v>V81.6</v>
          </cell>
          <cell r="B10504" t="str">
            <v>Ocupante de tren o vehículo de rieles lesionado por caída desde el tren o vehículo de rieles</v>
          </cell>
        </row>
        <row r="10505">
          <cell r="A10505" t="str">
            <v>V81.7</v>
          </cell>
          <cell r="B10505" t="str">
            <v>Ocupante de tren o vehículo de rieles lesionado en descarrilamiento sin colisión anterior</v>
          </cell>
        </row>
        <row r="10506">
          <cell r="A10506" t="str">
            <v>V81.8</v>
          </cell>
          <cell r="B10506" t="str">
            <v>Ocupante de tren o vehículo de rieles lesionado en otros accidentes ferroviarios especificados</v>
          </cell>
        </row>
        <row r="10507">
          <cell r="A10507" t="str">
            <v>V81.9</v>
          </cell>
          <cell r="B10507" t="str">
            <v>Ocupante de tren o vehículo de rieles lesionado en accidente ferroviario no especificado</v>
          </cell>
        </row>
        <row r="10508">
          <cell r="A10508" t="str">
            <v>V82</v>
          </cell>
          <cell r="B10508" t="str">
            <v>Ocupante de tranvía lesionado en accidente de transporte</v>
          </cell>
        </row>
        <row r="10509">
          <cell r="A10509" t="str">
            <v>V82.0</v>
          </cell>
          <cell r="B10509" t="str">
            <v>Ocupante de tranvía lesionado por colisión con vehículo de motor, en accidente no de tránsito</v>
          </cell>
        </row>
        <row r="10510">
          <cell r="A10510" t="str">
            <v>V82.1</v>
          </cell>
          <cell r="B10510" t="str">
            <v>Ocupante de tranvía lesionado por colisión con vehículo de motor, en accidente de tránsito</v>
          </cell>
        </row>
        <row r="10511">
          <cell r="A10511" t="str">
            <v>V82.2</v>
          </cell>
          <cell r="B10511" t="str">
            <v>Ocupante de tranvía lesionado por colisión con, o golpeado por vagón</v>
          </cell>
        </row>
        <row r="10512">
          <cell r="A10512" t="str">
            <v>V82.3</v>
          </cell>
          <cell r="B10512" t="str">
            <v>Ocupante de tranvía lesionado por colisión con otros objetos</v>
          </cell>
        </row>
        <row r="10513">
          <cell r="A10513" t="str">
            <v>V82.4</v>
          </cell>
          <cell r="B10513" t="str">
            <v>Persona lesionada al subir o bajar del tranvía</v>
          </cell>
        </row>
        <row r="10514">
          <cell r="A10514" t="str">
            <v>V82.5</v>
          </cell>
          <cell r="B10514" t="str">
            <v>Ocupante de tranvía lesionado por caída dentro del tranvía</v>
          </cell>
        </row>
        <row r="10515">
          <cell r="A10515" t="str">
            <v>V82.6</v>
          </cell>
          <cell r="B10515" t="str">
            <v>Ocupante de tranvía lesionado por caída desde el tranvía</v>
          </cell>
        </row>
        <row r="10516">
          <cell r="A10516" t="str">
            <v>V82.7</v>
          </cell>
          <cell r="B10516" t="str">
            <v>Ocupante de tranvía lesionado por descarrilamiento, sin colisión anterior</v>
          </cell>
        </row>
        <row r="10517">
          <cell r="A10517" t="str">
            <v>V82.8</v>
          </cell>
          <cell r="B10517" t="str">
            <v>Ocupante de tranvía lesionado en otros accidentes de transporte, especificados</v>
          </cell>
        </row>
        <row r="10518">
          <cell r="A10518" t="str">
            <v>V82.9</v>
          </cell>
          <cell r="B10518" t="str">
            <v>Ocupante de tranvía lesionado en accidente de tránsito no especificado</v>
          </cell>
        </row>
        <row r="10519">
          <cell r="A10519" t="str">
            <v>V83</v>
          </cell>
          <cell r="B10519" t="str">
            <v>Ocupante de vehículo especial (de motor) para uso principalmente en plantas industriales lesionado en accidente de transporte</v>
          </cell>
        </row>
        <row r="10520">
          <cell r="A10520" t="str">
            <v>V83.0</v>
          </cell>
          <cell r="B10520" t="str">
            <v>Conductor de vehículo industrial especial lesionado en accidente de tránsito</v>
          </cell>
        </row>
        <row r="10521">
          <cell r="A10521" t="str">
            <v>V83.1</v>
          </cell>
          <cell r="B10521" t="str">
            <v>Pasajero de vehículo industrial especial lesionado en accidente de tránsito</v>
          </cell>
        </row>
        <row r="10522">
          <cell r="A10522" t="str">
            <v>V83.2</v>
          </cell>
          <cell r="B10522" t="str">
            <v>Persona que viaja fuera de vehículo industrial especial lesionada en accidente de tránsito</v>
          </cell>
        </row>
        <row r="10523">
          <cell r="A10523" t="str">
            <v>V83.3</v>
          </cell>
          <cell r="B10523" t="str">
            <v>Ocupante no especificado de vehículo industrial especial lesionado en accidente de tránsito</v>
          </cell>
        </row>
        <row r="10524">
          <cell r="A10524" t="str">
            <v>V83.4</v>
          </cell>
          <cell r="B10524" t="str">
            <v>Persona lesionada al subir o bajar del vehículo industrial especial</v>
          </cell>
        </row>
        <row r="10525">
          <cell r="A10525" t="str">
            <v>V83.5</v>
          </cell>
          <cell r="B10525" t="str">
            <v>Conductor de vehículo industrial especial lesionado en accidente no de tránsito</v>
          </cell>
        </row>
        <row r="10526">
          <cell r="A10526" t="str">
            <v>V83.6</v>
          </cell>
          <cell r="B10526" t="str">
            <v>Pasajero de vehículo industrial especial lesionado en accidente no de tránsito</v>
          </cell>
        </row>
        <row r="10527">
          <cell r="A10527" t="str">
            <v>V83.7</v>
          </cell>
          <cell r="B10527" t="str">
            <v>Persona que viaja fuera del vehículo industrial especial lesionada en accidente no de tránsito</v>
          </cell>
        </row>
        <row r="10528">
          <cell r="A10528" t="str">
            <v>V83.9</v>
          </cell>
          <cell r="B10528" t="str">
            <v>Ocupante no especificado del vehículo industrial especial lesionado en accidente no de tránsito</v>
          </cell>
        </row>
        <row r="10529">
          <cell r="A10529" t="str">
            <v>V84</v>
          </cell>
          <cell r="B10529" t="str">
            <v>Ocupante de vehículo especial (de motor) para uso principalmente en agricultura lesionado en accidente de transporte</v>
          </cell>
        </row>
        <row r="10530">
          <cell r="A10530" t="str">
            <v>V84.0</v>
          </cell>
          <cell r="B10530" t="str">
            <v>Conductor de vehículo agrícola especial lesionado en accidente de tránsito</v>
          </cell>
        </row>
        <row r="10531">
          <cell r="A10531" t="str">
            <v>V84.1</v>
          </cell>
          <cell r="B10531" t="str">
            <v>Pasajero de vehículo agrícola especial lesionado en accidente de tránsito</v>
          </cell>
        </row>
        <row r="10532">
          <cell r="A10532" t="str">
            <v>V84.2</v>
          </cell>
          <cell r="B10532" t="str">
            <v>Persona que viaja fuera del vehículo agrícola especial lesionada en accidente de tránsito</v>
          </cell>
        </row>
        <row r="10533">
          <cell r="A10533" t="str">
            <v>V84.3</v>
          </cell>
          <cell r="B10533" t="str">
            <v>Ocupante no especificado de vehículo agrícola especial lesionado en accidente de tránsito</v>
          </cell>
        </row>
        <row r="10534">
          <cell r="A10534" t="str">
            <v>V84.4</v>
          </cell>
          <cell r="B10534" t="str">
            <v>Persona lesionada al subir o bajar del vehículo agrícola especial</v>
          </cell>
        </row>
        <row r="10535">
          <cell r="A10535" t="str">
            <v>V84.5</v>
          </cell>
          <cell r="B10535" t="str">
            <v>Conductor de vehículo agrícola especial lesionado en accidente no de tránsito</v>
          </cell>
        </row>
        <row r="10536">
          <cell r="A10536" t="str">
            <v>V84.6</v>
          </cell>
          <cell r="B10536" t="str">
            <v>Pasajero de vehículo agrícola especial lesionado en accidente no de tránsito</v>
          </cell>
        </row>
        <row r="10537">
          <cell r="A10537" t="str">
            <v>V84.7</v>
          </cell>
          <cell r="B10537" t="str">
            <v>Persona que viaja fuera del vehículo agrícola especial lesionada en accidente no de tránsito</v>
          </cell>
        </row>
        <row r="10538">
          <cell r="A10538" t="str">
            <v>V84.9</v>
          </cell>
          <cell r="B10538" t="str">
            <v>Ocupante no especificado de vehículo agrícola especial lesionado en accidente no de tránsito</v>
          </cell>
        </row>
        <row r="10539">
          <cell r="A10539" t="str">
            <v>V85</v>
          </cell>
          <cell r="B10539" t="str">
            <v>Ocupante de vehículo especial (de motor) para construcción lesionado en accidente de transporte</v>
          </cell>
        </row>
        <row r="10540">
          <cell r="A10540" t="str">
            <v>V85.0</v>
          </cell>
          <cell r="B10540" t="str">
            <v>Conductor de vehículo especial para construcción lesionado en accidente de tránsito</v>
          </cell>
        </row>
        <row r="10541">
          <cell r="A10541" t="str">
            <v>V85.1</v>
          </cell>
          <cell r="B10541" t="str">
            <v>Pasajero de vehículo especial para construcción lesionado en accidente de tránsito</v>
          </cell>
        </row>
        <row r="10542">
          <cell r="A10542" t="str">
            <v>V85.2</v>
          </cell>
          <cell r="B10542" t="str">
            <v>Persona que viaja fuera del vehículo especial para construcción lesionada en accidente de tránsito</v>
          </cell>
        </row>
        <row r="10543">
          <cell r="A10543" t="str">
            <v>V85.3</v>
          </cell>
          <cell r="B10543" t="str">
            <v>Ocupante no especificado de vehículo especial para construcción lesionado en accidente de tránsito</v>
          </cell>
        </row>
        <row r="10544">
          <cell r="A10544" t="str">
            <v>V85.4</v>
          </cell>
          <cell r="B10544" t="str">
            <v>Persona lesionada al subir o bajar del vehículo especial para construcción</v>
          </cell>
        </row>
        <row r="10545">
          <cell r="A10545" t="str">
            <v>V85.5</v>
          </cell>
          <cell r="B10545" t="str">
            <v>Conductor de vehículo especial para construcción lesionado en accidente no de tránsito</v>
          </cell>
        </row>
        <row r="10546">
          <cell r="A10546" t="str">
            <v>V85.6</v>
          </cell>
          <cell r="B10546" t="str">
            <v>Pasajero de vehículo especial para construcción lesionado en accidente no de tránsito</v>
          </cell>
        </row>
        <row r="10547">
          <cell r="A10547" t="str">
            <v>V85.7</v>
          </cell>
          <cell r="B10547" t="str">
            <v>Persona que viaja fuera del vehículo especial para construcción lesionada en accidente no de tránsito</v>
          </cell>
        </row>
        <row r="10548">
          <cell r="A10548" t="str">
            <v>V85.9</v>
          </cell>
          <cell r="B10548" t="str">
            <v>Ocupante no especificado de vehículo especial para construcción lesionado en accidente no de tránsito</v>
          </cell>
        </row>
        <row r="10549">
          <cell r="A10549" t="str">
            <v>V86</v>
          </cell>
          <cell r="B10549" t="str">
            <v>Ocupante de vehículo especial para todo terreno o de otro vehículo de motor para uso fuera de la carretera lesionado en accidente de transporte</v>
          </cell>
        </row>
        <row r="10550">
          <cell r="A10550" t="str">
            <v>V86.0</v>
          </cell>
          <cell r="B10550" t="str">
            <v>Conductor de vehículo para todo terreno o de otro vehículo de motor para uso fuera de la carretera lesionado en accidente de tránsito</v>
          </cell>
        </row>
        <row r="10551">
          <cell r="A10551" t="str">
            <v>V86.1</v>
          </cell>
          <cell r="B10551" t="str">
            <v>Pasajero de vehículo para todo terreno o de otro vehículo de motor para uso fuera de la carretera lesionado en accidente de tránsito</v>
          </cell>
        </row>
        <row r="10552">
          <cell r="A10552" t="str">
            <v>V86.2</v>
          </cell>
          <cell r="B10552" t="str">
            <v>Persona que viaja fuera del vehículo para todo terreno o de  otro vehículo de motor para uso fuera de la carretera lesionada en accidente de tránsito</v>
          </cell>
        </row>
        <row r="10553">
          <cell r="A10553" t="str">
            <v>V86.3</v>
          </cell>
          <cell r="B10553" t="str">
            <v>Ocupante no especificado de vehículo para todo terreno o de otro vehículo de motor para uso fuera de la carretera lesionado en accidente de tránsito</v>
          </cell>
        </row>
        <row r="10554">
          <cell r="A10554" t="str">
            <v>V86.4</v>
          </cell>
          <cell r="B10554" t="str">
            <v>Persona lesionada en accidente de tránsito al subir o bajar de vehículo para todo terreno o de otro vehículo de motor para uso fuera de la carretera</v>
          </cell>
        </row>
        <row r="10555">
          <cell r="A10555" t="str">
            <v>V86.5</v>
          </cell>
          <cell r="B10555" t="str">
            <v>Conductor de vehículo para todo terreno o de otro vehículo de motor para uso fuera de la carretera lesionado en accidente no de tránsito</v>
          </cell>
        </row>
        <row r="10556">
          <cell r="A10556" t="str">
            <v>V86.6</v>
          </cell>
          <cell r="B10556" t="str">
            <v>Pasajero de vehículo para todo terreno o de otro vehículo de motor para uso fuera de la carretera lesionado en accidente no de tránsito</v>
          </cell>
        </row>
        <row r="10557">
          <cell r="A10557" t="str">
            <v>V86.7</v>
          </cell>
          <cell r="B10557" t="str">
            <v>Persona que viaja fuera de vehículo para todo terreno o de otro vehículo de motor para uso fuera de la carretera lesionada en accidente no de tránsito</v>
          </cell>
        </row>
        <row r="10558">
          <cell r="A10558" t="str">
            <v>V86.9</v>
          </cell>
          <cell r="B10558" t="str">
            <v>Ocupante no especificado de vehículo para todo terreno o de otro vehículo de motor para uso fuera de la carretera lesionado en accidente no de tránsito</v>
          </cell>
        </row>
        <row r="10559">
          <cell r="A10559" t="str">
            <v>V87</v>
          </cell>
          <cell r="B10559" t="str">
            <v>Accidente de tránsito de tipo especificado, pero donde se desconoce el modo de transporte de la víctima</v>
          </cell>
        </row>
        <row r="10560">
          <cell r="A10560" t="str">
            <v>V87.0</v>
          </cell>
          <cell r="B10560" t="str">
            <v>Persona lesionada por colisión entre automóvil y vehículo de motor de dos o tres ruedas (tránsito)</v>
          </cell>
        </row>
        <row r="10561">
          <cell r="A10561" t="str">
            <v>V87.1</v>
          </cell>
          <cell r="B10561" t="str">
            <v>Persona lesionada por colisión entre otros vehículos de motor y un vehículo de motor de dos o tres ruedas  (tránsito)</v>
          </cell>
        </row>
        <row r="10562">
          <cell r="A10562" t="str">
            <v>V87.2</v>
          </cell>
          <cell r="B10562" t="str">
            <v>Persona lesionada por colisión entre automóvil y camioneta o furgoneta (tránsito)</v>
          </cell>
        </row>
        <row r="10563">
          <cell r="A10563" t="str">
            <v>V87.3</v>
          </cell>
          <cell r="B10563" t="str">
            <v>Persona lesionada por colisión entre automóvil y autobús (tránsito)</v>
          </cell>
        </row>
        <row r="10564">
          <cell r="A10564" t="str">
            <v>V87.4</v>
          </cell>
          <cell r="B10564" t="str">
            <v>Persona lesionada por colisión entre automóvil y vehículo de transporte pesado (tránsito)</v>
          </cell>
        </row>
        <row r="10565">
          <cell r="A10565" t="str">
            <v>V87.5</v>
          </cell>
          <cell r="B10565" t="str">
            <v>Persona lesionada por colisión entre vehículo de transporte pesado y autobús (tránsito)</v>
          </cell>
        </row>
        <row r="10566">
          <cell r="A10566" t="str">
            <v>V87.6</v>
          </cell>
          <cell r="B10566" t="str">
            <v>Persona lesionada por colisión entre tren o vehículo de rieles y automóvil (tránsito)</v>
          </cell>
        </row>
        <row r="10567">
          <cell r="A10567" t="str">
            <v>V87.7</v>
          </cell>
          <cell r="B10567" t="str">
            <v>Persona lesionada por colisión entre otros vehículos de motor especificados (tránsito)</v>
          </cell>
        </row>
        <row r="10568">
          <cell r="A10568" t="str">
            <v>V87.8</v>
          </cell>
          <cell r="B10568" t="str">
            <v>Persona lesionada en otros accidentes especificados de transporte de vehículo de motor sin colisión (tránsito)</v>
          </cell>
        </row>
        <row r="10569">
          <cell r="A10569" t="str">
            <v>V87.9</v>
          </cell>
          <cell r="B10569" t="str">
            <v>Persona lesionada en otros accidentes especificados de transporte de vehículo sin motor (con colisión) (sin colisión) (tránsito)</v>
          </cell>
        </row>
        <row r="10570">
          <cell r="A10570" t="str">
            <v>V88</v>
          </cell>
          <cell r="B10570" t="str">
            <v>Accidente no de tránsito de tipo especificado, pero donde se desconoce el modo de transporte  de la víctima</v>
          </cell>
        </row>
        <row r="10571">
          <cell r="A10571" t="str">
            <v>V88.0</v>
          </cell>
          <cell r="B10571" t="str">
            <v>Persona lesionada por colisión entre automóvil y vehículo de motor de dos o tres ruedas, no de tránsito</v>
          </cell>
        </row>
        <row r="10572">
          <cell r="A10572" t="str">
            <v>V88.1</v>
          </cell>
          <cell r="B10572" t="str">
            <v>Persona lesionada por colisión entre otros vehículos de motor y un vehículo de motor de dos o tres ruedas, no de tránsito</v>
          </cell>
        </row>
        <row r="10573">
          <cell r="A10573" t="str">
            <v>V88.2</v>
          </cell>
          <cell r="B10573" t="str">
            <v>Persona lesionada por colisión entre automóvil y camioneta o furgoneta, no de tránsito</v>
          </cell>
        </row>
        <row r="10574">
          <cell r="A10574" t="str">
            <v>V88.3</v>
          </cell>
          <cell r="B10574" t="str">
            <v>Persona lesionada por colisión entre automóvil y autobús, no de tránsito</v>
          </cell>
        </row>
        <row r="10575">
          <cell r="A10575" t="str">
            <v>V88.4</v>
          </cell>
          <cell r="B10575" t="str">
            <v>Persona lesionada por colisión entre automóvil y vehículo de transporte pesado, no de tránsito</v>
          </cell>
        </row>
        <row r="10576">
          <cell r="A10576" t="str">
            <v>V88.5</v>
          </cell>
          <cell r="B10576" t="str">
            <v>Persona lesionada por colisión entre vehículo de transporte pesado y autobús, no de tránsito</v>
          </cell>
        </row>
        <row r="10577">
          <cell r="A10577" t="str">
            <v>V88.6</v>
          </cell>
          <cell r="B10577" t="str">
            <v>Persona lesionada por colisión entre tren o vehículo de rieles y automóvil, no de tránsito</v>
          </cell>
        </row>
        <row r="10578">
          <cell r="A10578" t="str">
            <v>V88.7</v>
          </cell>
          <cell r="B10578" t="str">
            <v>Persona lesionada por colisión entre otros vehículos de motor especificados,no de tránsito</v>
          </cell>
        </row>
        <row r="10579">
          <cell r="A10579" t="str">
            <v>V88.8</v>
          </cell>
          <cell r="B10579" t="str">
            <v>Persona lesionada en otros accidentes especificados de transporte de vehículo de motor sin colisión, no de tránsito</v>
          </cell>
        </row>
        <row r="10580">
          <cell r="A10580" t="str">
            <v>V88.9</v>
          </cell>
          <cell r="B10580" t="str">
            <v>Persona lesionada en otros accidentes especificados de transporte de vehículo sin motor (con colisión) (sin colisión), no de tránsito</v>
          </cell>
        </row>
        <row r="10581">
          <cell r="A10581" t="str">
            <v>V89</v>
          </cell>
          <cell r="B10581" t="str">
            <v>Accidente de vehículo de motor o sin motor, tipo de vehículo no especificado</v>
          </cell>
        </row>
        <row r="10582">
          <cell r="A10582" t="str">
            <v>V89.0</v>
          </cell>
          <cell r="B10582" t="str">
            <v>Persona lesionada en accidente no de tránsito, de vehículo de motor no especificado</v>
          </cell>
        </row>
        <row r="10583">
          <cell r="A10583" t="str">
            <v>V89.1</v>
          </cell>
          <cell r="B10583" t="str">
            <v>Persona lesionada en accidente no de tránsito, de vehículo sin motor no especificado</v>
          </cell>
        </row>
        <row r="10584">
          <cell r="A10584" t="str">
            <v>V89.2</v>
          </cell>
          <cell r="B10584" t="str">
            <v>Persona lesionada en accidente de tránsito, de vehículo de motor no especificado</v>
          </cell>
        </row>
        <row r="10585">
          <cell r="A10585" t="str">
            <v>V89.3</v>
          </cell>
          <cell r="B10585" t="str">
            <v>Persona lesionada en accidente de tránsito, de vehículo sin motor no especificado</v>
          </cell>
        </row>
        <row r="10586">
          <cell r="A10586" t="str">
            <v>V89.9</v>
          </cell>
          <cell r="B10586" t="str">
            <v>Persona lesionada en accidente de vehículo no especificado</v>
          </cell>
        </row>
        <row r="10587">
          <cell r="A10587" t="str">
            <v>V90</v>
          </cell>
          <cell r="B10587" t="str">
            <v>Accidente de embarcación que causa ahogamiento y sumersión</v>
          </cell>
        </row>
        <row r="10588">
          <cell r="A10588" t="str">
            <v>V90.0</v>
          </cell>
          <cell r="B10588" t="str">
            <v>Accidente de embarcación que causa ahogamiento y sumersión, barco mercante</v>
          </cell>
        </row>
        <row r="10589">
          <cell r="A10589" t="str">
            <v>V90.1</v>
          </cell>
          <cell r="B10589" t="str">
            <v>Accidente de embarcación que causa ahogamiento y sumersión, barco de pasajeros</v>
          </cell>
        </row>
        <row r="10590">
          <cell r="A10590" t="str">
            <v>V90.2</v>
          </cell>
          <cell r="B10590" t="str">
            <v>Accidente de embarcación que causa ahogamiento y sumersión, bote de pesca</v>
          </cell>
        </row>
        <row r="10591">
          <cell r="A10591" t="str">
            <v>V90.3</v>
          </cell>
          <cell r="B10591" t="str">
            <v>Accidente de embarcación que causa ahogamiento y sumersión, otro vehículo acuático con motor</v>
          </cell>
        </row>
        <row r="10592">
          <cell r="A10592" t="str">
            <v>V90.4</v>
          </cell>
          <cell r="B10592" t="str">
            <v>Accidente de embarcación que causa ahogamiento y sumersión, velero</v>
          </cell>
        </row>
        <row r="10593">
          <cell r="A10593" t="str">
            <v>V90.5</v>
          </cell>
          <cell r="B10593" t="str">
            <v>Accidente de embarcación que causa ahogamiento y sumersión, canoa o kayak</v>
          </cell>
        </row>
        <row r="10594">
          <cell r="A10594" t="str">
            <v>V90.6</v>
          </cell>
          <cell r="B10594" t="str">
            <v>Accidente de embarcación que causa ahogamiento y sumersión, balsa inflable (sin motor)</v>
          </cell>
        </row>
        <row r="10595">
          <cell r="A10595" t="str">
            <v>V90.7</v>
          </cell>
          <cell r="B10595" t="str">
            <v>Accidente de embarcación que causa ahogamiento y sumersión, esquí acuático</v>
          </cell>
        </row>
        <row r="10596">
          <cell r="A10596" t="str">
            <v>V90.8</v>
          </cell>
          <cell r="B10596" t="str">
            <v>Accidente de embarcación que causa ahogamiento y sumersión, otro vehículo acuático sin motor</v>
          </cell>
        </row>
        <row r="10597">
          <cell r="A10597" t="str">
            <v>V90.9</v>
          </cell>
          <cell r="B10597" t="str">
            <v>Accidente de embarcación que causa ahogamiento y sumersión, vehículo acuático no especificado</v>
          </cell>
        </row>
        <row r="10598">
          <cell r="A10598" t="str">
            <v>V91</v>
          </cell>
          <cell r="B10598" t="str">
            <v>Accidente de embarcación que causa otros tipos de traumatismo</v>
          </cell>
        </row>
        <row r="10599">
          <cell r="A10599" t="str">
            <v>V91.0</v>
          </cell>
          <cell r="B10599" t="str">
            <v>Accidente de embarcación que causa otros tipos de traumatismo, barco mercante</v>
          </cell>
        </row>
        <row r="10600">
          <cell r="A10600" t="str">
            <v>V91.1</v>
          </cell>
          <cell r="B10600" t="str">
            <v>Accidente de embarcación que causa otros tipos de traumatismo, barco de pasajeros</v>
          </cell>
        </row>
        <row r="10601">
          <cell r="A10601" t="str">
            <v>V91.2</v>
          </cell>
          <cell r="B10601" t="str">
            <v>Accidente de embarcación que causa otros tipos de traumatismo, bote de pesca</v>
          </cell>
        </row>
        <row r="10602">
          <cell r="A10602" t="str">
            <v>V91.3</v>
          </cell>
          <cell r="B10602" t="str">
            <v>Accidente de embarcación que causa otros tipos de traumatismo, otro vehículo acuático con motor</v>
          </cell>
        </row>
        <row r="10603">
          <cell r="A10603" t="str">
            <v>V91.4</v>
          </cell>
          <cell r="B10603" t="str">
            <v>Accidente de embarcación que causa otros tipos de traumatismo, velero</v>
          </cell>
        </row>
        <row r="10604">
          <cell r="A10604" t="str">
            <v>V91.5</v>
          </cell>
          <cell r="B10604" t="str">
            <v>Accidente de embarcación que causa otros tipos de traumatismo, canoa o kayak</v>
          </cell>
        </row>
        <row r="10605">
          <cell r="A10605" t="str">
            <v>V91.6</v>
          </cell>
          <cell r="B10605" t="str">
            <v>Accidente de embarcación que causa otros tipos de traumatismo, balsa inflable (sin motor)</v>
          </cell>
        </row>
        <row r="10606">
          <cell r="A10606" t="str">
            <v>V91.7</v>
          </cell>
          <cell r="B10606" t="str">
            <v>Accidente de embarcación que causa otros tipos de traumatismo, esquí acuático</v>
          </cell>
        </row>
        <row r="10607">
          <cell r="A10607" t="str">
            <v>V91.8</v>
          </cell>
          <cell r="B10607" t="str">
            <v>Accidente de embarcación que causa otros tipos de traumatismo, otro vehículo acuático sin motor</v>
          </cell>
        </row>
        <row r="10608">
          <cell r="A10608" t="str">
            <v>V91.9</v>
          </cell>
          <cell r="B10608" t="str">
            <v>Accidente de embarcación que causa otros tipos de traumatismo, vehículo acuático no especificado</v>
          </cell>
        </row>
        <row r="10609">
          <cell r="A10609" t="str">
            <v>V92</v>
          </cell>
          <cell r="B10609" t="str">
            <v>Ahogamiento y sumersión relacionados con transporte por agua, sin accidente a la embarcación</v>
          </cell>
        </row>
        <row r="10610">
          <cell r="A10610" t="str">
            <v>V92.0</v>
          </cell>
          <cell r="B10610" t="str">
            <v>Ahogamiento y sumersión relacionados con transporte por agua, sin accidente a la embarcación, barco mercante</v>
          </cell>
        </row>
        <row r="10611">
          <cell r="A10611" t="str">
            <v>V92.1</v>
          </cell>
          <cell r="B10611" t="str">
            <v>Ahogamiento y sumersión relacionados con transporte por agua, sin accidente a la embarcación, barco de pasajeros</v>
          </cell>
        </row>
        <row r="10612">
          <cell r="A10612" t="str">
            <v>V92.2</v>
          </cell>
          <cell r="B10612" t="str">
            <v>Ahogamiento y sumersión relacionados con transporte por agua, sin accidente a la embarcación, bote de pesca</v>
          </cell>
        </row>
        <row r="10613">
          <cell r="A10613" t="str">
            <v>V92.3</v>
          </cell>
          <cell r="B10613" t="str">
            <v>Ahogamiento y sumersión relacionados con transporte por agua, sin accidente a la embarcación, otro vehículo acuático con motor</v>
          </cell>
        </row>
        <row r="10614">
          <cell r="A10614" t="str">
            <v>V92.4</v>
          </cell>
          <cell r="B10614" t="str">
            <v>Ahogamiento y sumersión relacionados con transporte por agua, sin accidente a la embarcación, velero</v>
          </cell>
        </row>
        <row r="10615">
          <cell r="A10615" t="str">
            <v>V92.5</v>
          </cell>
          <cell r="B10615" t="str">
            <v>Ahogamiento y sumersión relacionados con transporte por agua, sin accidente a la embarcación, canoa o kayak</v>
          </cell>
        </row>
        <row r="10616">
          <cell r="A10616" t="str">
            <v>V92.6</v>
          </cell>
          <cell r="B10616" t="str">
            <v>Ahogamiento y sumersión relacionados con transporte por agua, sin accidente a la embarcación, balsa inflable (sin motor)</v>
          </cell>
        </row>
        <row r="10617">
          <cell r="A10617" t="str">
            <v>V92.7</v>
          </cell>
          <cell r="B10617" t="str">
            <v>Ahogamiento y sumersión relacionados con transporte por agua, sin accidente a la embarcación, esquí acuático</v>
          </cell>
        </row>
        <row r="10618">
          <cell r="A10618" t="str">
            <v>V92.8</v>
          </cell>
          <cell r="B10618" t="str">
            <v>Ahogamiento y sumersión relacionados con transporte por agua, sin accidente a la embarcación, otro vehículo acuático sin motor</v>
          </cell>
        </row>
        <row r="10619">
          <cell r="A10619" t="str">
            <v>V92.9</v>
          </cell>
          <cell r="B10619" t="str">
            <v>Ahogamiento y sumersión relacionados con transporte por agua, sin accidente a la embarcación, vehículo acuático no especificado</v>
          </cell>
        </row>
        <row r="10620">
          <cell r="A10620" t="str">
            <v>V93</v>
          </cell>
          <cell r="B10620" t="str">
            <v>Accidente en una embarcación, sin accidente a la embarcación, que no causa ahogamiento o sumersión</v>
          </cell>
        </row>
        <row r="10621">
          <cell r="A10621" t="str">
            <v>V93.0</v>
          </cell>
          <cell r="B10621" t="str">
            <v>Accidente en una embarcación, sin accidente a la embarcación, que no causa ahogamiento o sumersión, barco mercante</v>
          </cell>
        </row>
        <row r="10622">
          <cell r="A10622" t="str">
            <v>V93.1</v>
          </cell>
          <cell r="B10622" t="str">
            <v>Accidente en una embarcación, sin accidente a la embarcación, que no causa ahogamiento o sumersión, barco de pasajeros</v>
          </cell>
        </row>
        <row r="10623">
          <cell r="A10623" t="str">
            <v>V93.2</v>
          </cell>
          <cell r="B10623" t="str">
            <v>Accidente en una embarcación, sin accidente a la embarcación, que no causa ahogamiento o sumersión, bote de pesca</v>
          </cell>
        </row>
        <row r="10624">
          <cell r="A10624" t="str">
            <v>V93.3</v>
          </cell>
          <cell r="B10624" t="str">
            <v>Accidente en una embarcación, sin accidente a la embarcación, que no causa ahogamiento o sumersión, otro vehículo acuático con motor</v>
          </cell>
        </row>
        <row r="10625">
          <cell r="A10625" t="str">
            <v>V93.4</v>
          </cell>
          <cell r="B10625" t="str">
            <v>Accidente en una embarcación, sin accidente a la embarcación, que no causa ahogamiento o sumersión, velero</v>
          </cell>
        </row>
        <row r="10626">
          <cell r="A10626" t="str">
            <v>V93.5</v>
          </cell>
          <cell r="B10626" t="str">
            <v>Accidente en una embarcación, sin accidente a la embarcación, que no causa ahogamiento o sumersión, canoa o kayak</v>
          </cell>
        </row>
        <row r="10627">
          <cell r="A10627" t="str">
            <v>V93.6</v>
          </cell>
          <cell r="B10627" t="str">
            <v>Accidente en una embarcación, sin accidente a la embarcación, que no causa ahogamiento o sumersión, balsa inflable (sin motor)</v>
          </cell>
        </row>
        <row r="10628">
          <cell r="A10628" t="str">
            <v>V93.7</v>
          </cell>
          <cell r="B10628" t="str">
            <v>Accidente en una embarcación, sin accidente a la embarcación, que no causa ahogamiento o sumersión, esquí acuático</v>
          </cell>
        </row>
        <row r="10629">
          <cell r="A10629" t="str">
            <v>V93.8</v>
          </cell>
          <cell r="B10629" t="str">
            <v>Accidente en una embarcación, sin accidente a la embarcación, que no causa ahogamiento o sumersión, otro vehículo acuático sin motor</v>
          </cell>
        </row>
        <row r="10630">
          <cell r="A10630" t="str">
            <v>V93.9</v>
          </cell>
          <cell r="B10630" t="str">
            <v>Accidente en una embarcación, sin accidente a la embarcación, que no causa ahogamiento o sumersión, vehículo acuático no especificado</v>
          </cell>
        </row>
        <row r="10631">
          <cell r="A10631" t="str">
            <v>V94</v>
          </cell>
          <cell r="B10631" t="str">
            <v>Otros accidentes de transporte por agua, y los no especificados</v>
          </cell>
        </row>
        <row r="10632">
          <cell r="A10632" t="str">
            <v>V94.0</v>
          </cell>
          <cell r="B10632" t="str">
            <v>Otros accidentes de transporte por agua, y los no especificados, barco mercante</v>
          </cell>
        </row>
        <row r="10633">
          <cell r="A10633" t="str">
            <v>V94.1</v>
          </cell>
          <cell r="B10633" t="str">
            <v>Otros accidentes de transporte por agua, y los no especificados, barco de pasajeros</v>
          </cell>
        </row>
        <row r="10634">
          <cell r="A10634" t="str">
            <v>V94.2</v>
          </cell>
          <cell r="B10634" t="str">
            <v>Otros accidentes de transporte por agua, y los no especificados, bote de pesca</v>
          </cell>
        </row>
        <row r="10635">
          <cell r="A10635" t="str">
            <v>V94.3</v>
          </cell>
          <cell r="B10635" t="str">
            <v>Otros accidentes de transporte por agua, y los no especificados, otro vehículo acuático con motor</v>
          </cell>
        </row>
        <row r="10636">
          <cell r="A10636" t="str">
            <v>V94.4</v>
          </cell>
          <cell r="B10636" t="str">
            <v>Otros accidentes de transporte por agua, y los no especificados, velero</v>
          </cell>
        </row>
        <row r="10637">
          <cell r="A10637" t="str">
            <v>V94.5</v>
          </cell>
          <cell r="B10637" t="str">
            <v>Otros accidentes de transporte por agua, y los no especificados, canoa o kayak</v>
          </cell>
        </row>
        <row r="10638">
          <cell r="A10638" t="str">
            <v>V94.6</v>
          </cell>
          <cell r="B10638" t="str">
            <v>Otros accidentes de transporte por agua, y los no especificados, balsa inflable (sin motor)</v>
          </cell>
        </row>
        <row r="10639">
          <cell r="A10639" t="str">
            <v>V94.7</v>
          </cell>
          <cell r="B10639" t="str">
            <v>Otros accidentes de transporte por agua, y los no especificados, esquí acuático</v>
          </cell>
        </row>
        <row r="10640">
          <cell r="A10640" t="str">
            <v>V94.8</v>
          </cell>
          <cell r="B10640" t="str">
            <v>Otros accidentes de transporte por agua, y los no especificados, otro vehículo acuático sin motor</v>
          </cell>
        </row>
        <row r="10641">
          <cell r="A10641" t="str">
            <v>V94.9</v>
          </cell>
          <cell r="B10641" t="str">
            <v>Otros accidentes de transporte por agua, y los no especificados, vehículo acuático no especificado</v>
          </cell>
        </row>
        <row r="10642">
          <cell r="A10642" t="str">
            <v>V95</v>
          </cell>
          <cell r="B10642" t="str">
            <v>Accidente de aeronave de motor, con ocupante lesionado</v>
          </cell>
        </row>
        <row r="10643">
          <cell r="A10643" t="str">
            <v>V95.0</v>
          </cell>
          <cell r="B10643" t="str">
            <v>Accidente de helicóptero con ocupante lesionado</v>
          </cell>
        </row>
        <row r="10644">
          <cell r="A10644" t="str">
            <v>V95.1</v>
          </cell>
          <cell r="B10644" t="str">
            <v>Accidente de planeador ultra liviano, micro liviano o motorizado, con ocupante lesionado</v>
          </cell>
        </row>
        <row r="10645">
          <cell r="A10645" t="str">
            <v>V95.2</v>
          </cell>
          <cell r="B10645" t="str">
            <v>Accidente de otros vehículos aéreos de alas fijas, privados, con ocupante lesionado</v>
          </cell>
        </row>
        <row r="10646">
          <cell r="A10646" t="str">
            <v>V95.3</v>
          </cell>
          <cell r="B10646" t="str">
            <v>Accidente de vehículo aéreo de alas fijas, comercial, con ocupante lesionado</v>
          </cell>
        </row>
        <row r="10647">
          <cell r="A10647" t="str">
            <v>V95.4</v>
          </cell>
          <cell r="B10647" t="str">
            <v>Accidente de nave espacial, con ocupante lesionado</v>
          </cell>
        </row>
        <row r="10648">
          <cell r="A10648" t="str">
            <v>V95.8</v>
          </cell>
          <cell r="B10648" t="str">
            <v>Accidente de otras aeronaves, con ocupante lesionado</v>
          </cell>
        </row>
        <row r="10649">
          <cell r="A10649" t="str">
            <v>V95.9</v>
          </cell>
          <cell r="B10649" t="str">
            <v>Accidente de aeronave no especificada, con ocupante lesionado</v>
          </cell>
        </row>
        <row r="10650">
          <cell r="A10650" t="str">
            <v>V96</v>
          </cell>
          <cell r="B10650" t="str">
            <v>Accidente de aeronave sin motor, con ocupante lesionado</v>
          </cell>
        </row>
        <row r="10651">
          <cell r="A10651" t="str">
            <v>V96.0</v>
          </cell>
          <cell r="B10651" t="str">
            <v>Accidente de globo aerostático, con ocupante lesionado</v>
          </cell>
        </row>
        <row r="10652">
          <cell r="A10652" t="str">
            <v>V96.1</v>
          </cell>
          <cell r="B10652" t="str">
            <v>Accidente de ala delta, con ocupante lesionado</v>
          </cell>
        </row>
        <row r="10653">
          <cell r="A10653" t="str">
            <v>V96.2</v>
          </cell>
          <cell r="B10653" t="str">
            <v>Accidente de planeador (sin motor), con ocupante lesionado</v>
          </cell>
        </row>
        <row r="10654">
          <cell r="A10654" t="str">
            <v>V96.8</v>
          </cell>
          <cell r="B10654" t="str">
            <v>Accidente de otras aeronaves sin motor, con ocupante lesionado</v>
          </cell>
        </row>
        <row r="10655">
          <cell r="A10655" t="str">
            <v>V96.9</v>
          </cell>
          <cell r="B10655" t="str">
            <v>Accidente de aeronave sin motor no especificada, con ocupante lesionado</v>
          </cell>
        </row>
        <row r="10656">
          <cell r="A10656" t="str">
            <v>V97</v>
          </cell>
          <cell r="B10656" t="str">
            <v>Otros accidentes de transporte aéreo especificados</v>
          </cell>
        </row>
        <row r="10657">
          <cell r="A10657" t="str">
            <v>V97.0</v>
          </cell>
          <cell r="B10657" t="str">
            <v>Ocupante de aeronave lesionado en otros accidentes especificados de transporte aéreo</v>
          </cell>
        </row>
        <row r="10658">
          <cell r="A10658" t="str">
            <v>V97.1</v>
          </cell>
          <cell r="B10658" t="str">
            <v>Persona lesionada al subir o bajar de una aeronave</v>
          </cell>
        </row>
        <row r="10659">
          <cell r="A10659" t="str">
            <v>V97.2</v>
          </cell>
          <cell r="B10659" t="str">
            <v>Paracaidista lesionado en accidente de transporte aéreo</v>
          </cell>
        </row>
        <row r="10660">
          <cell r="A10660" t="str">
            <v>V97.3</v>
          </cell>
          <cell r="B10660" t="str">
            <v>Persona en tierra lesionada por accidente de transporte aéreo</v>
          </cell>
        </row>
        <row r="10661">
          <cell r="A10661" t="str">
            <v>V97.8</v>
          </cell>
          <cell r="B10661" t="str">
            <v>Otros accidentes de transporte aéreo, no clasificados en otra parte</v>
          </cell>
        </row>
        <row r="10662">
          <cell r="A10662" t="str">
            <v>V98.X</v>
          </cell>
          <cell r="B10662" t="str">
            <v>Otros accidentes de transporte especificados</v>
          </cell>
        </row>
        <row r="10663">
          <cell r="A10663" t="str">
            <v>V99.X</v>
          </cell>
          <cell r="B10663" t="str">
            <v>Accidente de transporte no especificado</v>
          </cell>
        </row>
        <row r="10664">
          <cell r="A10664" t="str">
            <v>W</v>
          </cell>
          <cell r="B10664" t="str">
            <v>Caídas, Agresiones, Envenenamientos</v>
          </cell>
        </row>
        <row r="10665">
          <cell r="A10665" t="str">
            <v>W00</v>
          </cell>
          <cell r="B10665" t="str">
            <v>Caída en el mismo nivel por hielo o nieve</v>
          </cell>
        </row>
        <row r="10666">
          <cell r="A10666" t="str">
            <v>W00.0</v>
          </cell>
          <cell r="B10666" t="str">
            <v>Caída en el mismo nivel por hielo o nieve, en vivienda</v>
          </cell>
        </row>
        <row r="10667">
          <cell r="A10667" t="str">
            <v>W00.1</v>
          </cell>
          <cell r="B10667" t="str">
            <v>Caída en el mismo nivel por hielo o nieve, en institución residencial</v>
          </cell>
        </row>
        <row r="10668">
          <cell r="A10668" t="str">
            <v>W00.2</v>
          </cell>
          <cell r="B10668" t="str">
            <v>Caída en el mismo nivel por hielo o nieve, en escuelas, otras instituciones y áreas administrativas públicas</v>
          </cell>
        </row>
        <row r="10669">
          <cell r="A10669" t="str">
            <v>W00.3</v>
          </cell>
          <cell r="B10669" t="str">
            <v>Caída en el mismo nivel por hielo o nieve, en áreas de deporte y atletismo</v>
          </cell>
        </row>
        <row r="10670">
          <cell r="A10670" t="str">
            <v>W00.4</v>
          </cell>
          <cell r="B10670" t="str">
            <v>Caída en el mismo nivel por hielo o nieve, en calles y carreteras</v>
          </cell>
        </row>
        <row r="10671">
          <cell r="A10671" t="str">
            <v>W00.5</v>
          </cell>
          <cell r="B10671" t="str">
            <v>Caída en el mismo nivel por hielo o nieve, en comercio y área de servicios</v>
          </cell>
        </row>
        <row r="10672">
          <cell r="A10672" t="str">
            <v>W00.6</v>
          </cell>
          <cell r="B10672" t="str">
            <v>Caída en el mismo nivel por hielo o nieve, en área industrial y de la construcción</v>
          </cell>
        </row>
        <row r="10673">
          <cell r="A10673" t="str">
            <v>W00.7</v>
          </cell>
          <cell r="B10673" t="str">
            <v>Caída en el mismo nivel por hielo o nieve, en granja</v>
          </cell>
        </row>
        <row r="10674">
          <cell r="A10674" t="str">
            <v>W00.8</v>
          </cell>
          <cell r="B10674" t="str">
            <v>Caída en el mismo nivel por hielo o nieve, en otro lugar especificado</v>
          </cell>
        </row>
        <row r="10675">
          <cell r="A10675" t="str">
            <v>W00.9</v>
          </cell>
          <cell r="B10675" t="str">
            <v>Caída en el mismo nivel por hielo o nieve, en lugar no especificado</v>
          </cell>
        </row>
        <row r="10676">
          <cell r="A10676" t="str">
            <v>W01</v>
          </cell>
          <cell r="B10676" t="str">
            <v>Caída en el mismo nivel por deslizamiento, tropezón y traspié</v>
          </cell>
        </row>
        <row r="10677">
          <cell r="A10677" t="str">
            <v>W01.0</v>
          </cell>
          <cell r="B10677" t="str">
            <v>Caída en el mismo nivel por deslizamiento, tropezón y traspié, en vivienda</v>
          </cell>
        </row>
        <row r="10678">
          <cell r="A10678" t="str">
            <v>W01.1</v>
          </cell>
          <cell r="B10678" t="str">
            <v>Caída en el mismo nivel por deslizamiento, tropezón y traspié, en institución residencial</v>
          </cell>
        </row>
        <row r="10679">
          <cell r="A10679" t="str">
            <v>W01.2</v>
          </cell>
          <cell r="B10679" t="str">
            <v>Caída en el mismo nivel por deslizamiento, tropezón y traspié, en escuelas, otras instituciones y áreas administrativas públicas</v>
          </cell>
        </row>
        <row r="10680">
          <cell r="A10680" t="str">
            <v>W01.3</v>
          </cell>
          <cell r="B10680" t="str">
            <v>Caída en el mismo nivel por deslizamiento, tropezón y traspié, en áreas de deporte y atletismo</v>
          </cell>
        </row>
        <row r="10681">
          <cell r="A10681" t="str">
            <v>W01.4</v>
          </cell>
          <cell r="B10681" t="str">
            <v>Caída en el mismo nivel por deslizamiento, tropezón y traspié, en calles y carreteras</v>
          </cell>
        </row>
        <row r="10682">
          <cell r="A10682" t="str">
            <v>W01.5</v>
          </cell>
          <cell r="B10682" t="str">
            <v>Caída en el mismo nivel por deslizamiento, tropezón y traspié, en comercio y área de servicios</v>
          </cell>
        </row>
        <row r="10683">
          <cell r="A10683" t="str">
            <v>W01.6</v>
          </cell>
          <cell r="B10683" t="str">
            <v>Caída en el mismo nivel por deslizamiento, tropezón y traspié, en área industrial y de la construcción</v>
          </cell>
        </row>
        <row r="10684">
          <cell r="A10684" t="str">
            <v>W01.7</v>
          </cell>
          <cell r="B10684" t="str">
            <v>Caída en el mismo nivel por deslizamiento, tropezón y traspié, en granja</v>
          </cell>
        </row>
        <row r="10685">
          <cell r="A10685" t="str">
            <v>W01.8</v>
          </cell>
          <cell r="B10685" t="str">
            <v>Caída en el mismo nivel por deslizamiento, tropezón y traspié, en otro lugar especificado</v>
          </cell>
        </row>
        <row r="10686">
          <cell r="A10686" t="str">
            <v>W01.9</v>
          </cell>
          <cell r="B10686" t="str">
            <v>Caída en el mismo nivel por deslizamiento, tropezón y traspié, en lugar no especificado</v>
          </cell>
        </row>
        <row r="10687">
          <cell r="A10687" t="str">
            <v>W02</v>
          </cell>
          <cell r="B10687" t="str">
            <v>Caída por patines para hielo, esquís, patines de ruedas o patineta</v>
          </cell>
        </row>
        <row r="10688">
          <cell r="A10688" t="str">
            <v>W02.0</v>
          </cell>
          <cell r="B10688" t="str">
            <v>Caída por patines para hielo, esquís, patines de ruedas o patineta, en vivienda</v>
          </cell>
        </row>
        <row r="10689">
          <cell r="A10689" t="str">
            <v>W02.1</v>
          </cell>
          <cell r="B10689" t="str">
            <v>Caída por patines para hielo, esquís, patines de ruedas o patineta, en institución residencial</v>
          </cell>
        </row>
        <row r="10690">
          <cell r="A10690" t="str">
            <v>W02.2</v>
          </cell>
          <cell r="B10690" t="str">
            <v>Caída por patines para hielo, esquís, patines de ruedas o patineta, en escuelas, otras instituciones y áreas administrativas públicas</v>
          </cell>
        </row>
        <row r="10691">
          <cell r="A10691" t="str">
            <v>W02.3</v>
          </cell>
          <cell r="B10691" t="str">
            <v>Caída por patines para hielo, esquís, patines de ruedas o patineta, en áreas de deporte y atletismo</v>
          </cell>
        </row>
        <row r="10692">
          <cell r="A10692" t="str">
            <v>W02.4</v>
          </cell>
          <cell r="B10692" t="str">
            <v>Caída por patines para hielo, esquís, patines de ruedas o patineta, en calles y carreteras</v>
          </cell>
        </row>
        <row r="10693">
          <cell r="A10693" t="str">
            <v>W02.5</v>
          </cell>
          <cell r="B10693" t="str">
            <v>Caída por patines para hielo, esquís, patines de ruedas o patineta, en comercio y área de servicios</v>
          </cell>
        </row>
        <row r="10694">
          <cell r="A10694" t="str">
            <v>W02.6</v>
          </cell>
          <cell r="B10694" t="str">
            <v>Caída por patines para hielo, esquís, patines de ruedas o patineta, en área industrial y de la construcción</v>
          </cell>
        </row>
        <row r="10695">
          <cell r="A10695" t="str">
            <v>W02.7</v>
          </cell>
          <cell r="B10695" t="str">
            <v>Caída por patines para hielo, esquís, patines de ruedas o patineta, en granja</v>
          </cell>
        </row>
        <row r="10696">
          <cell r="A10696" t="str">
            <v>W02.8</v>
          </cell>
          <cell r="B10696" t="str">
            <v>Caída por patines para hielo, esquís, patines de ruedas o patineta, en otro lugar especificado</v>
          </cell>
        </row>
        <row r="10697">
          <cell r="A10697" t="str">
            <v>W02.9</v>
          </cell>
          <cell r="B10697" t="str">
            <v>Caída por patines para hielo, esquís, patines de ruedas o patineta, en lugar no especificado</v>
          </cell>
        </row>
        <row r="10698">
          <cell r="A10698" t="str">
            <v>W03</v>
          </cell>
          <cell r="B10698" t="str">
            <v>Otras caídas en el mismo nivel por colisión con o por empujón de otra persona</v>
          </cell>
        </row>
        <row r="10699">
          <cell r="A10699" t="str">
            <v>W03.0</v>
          </cell>
          <cell r="B10699" t="str">
            <v>Otras caídas en el mismo nivel por colisión con o por empujón de otra persona, en vivienda</v>
          </cell>
        </row>
        <row r="10700">
          <cell r="A10700" t="str">
            <v>W03.1</v>
          </cell>
          <cell r="B10700" t="str">
            <v>Otras caídas en el mismo nivel por colisión con o por empujón de otra persona, en institución residencial</v>
          </cell>
        </row>
        <row r="10701">
          <cell r="A10701" t="str">
            <v>W03.2</v>
          </cell>
          <cell r="B10701" t="str">
            <v>Otras caídas en el mismo nivel por colisión con o por empujón de otra persona, en escuelas, otras instituciones y áreas administrativas públicas</v>
          </cell>
        </row>
        <row r="10702">
          <cell r="A10702" t="str">
            <v>W03.3</v>
          </cell>
          <cell r="B10702" t="str">
            <v>Otras caídas en el mismo nivel por colisión con o por empujón de otra persona, en áreas de deporte y atletismo</v>
          </cell>
        </row>
        <row r="10703">
          <cell r="A10703" t="str">
            <v>W03.4</v>
          </cell>
          <cell r="B10703" t="str">
            <v>Otras caídas en el mismo nivel por colisión con o por empujón de otra persona, en calles y carreteras</v>
          </cell>
        </row>
        <row r="10704">
          <cell r="A10704" t="str">
            <v>W03.5</v>
          </cell>
          <cell r="B10704" t="str">
            <v>Otras caídas en el mismo nivel por colisión con o por empujón de otra persona, en comercio y área de servicios</v>
          </cell>
        </row>
        <row r="10705">
          <cell r="A10705" t="str">
            <v>W03.6</v>
          </cell>
          <cell r="B10705" t="str">
            <v>Otras caídas en el mismo nivel por colisión con o por empujón de otra persona, en área industrial y de la construcción</v>
          </cell>
        </row>
        <row r="10706">
          <cell r="A10706" t="str">
            <v>W03.7</v>
          </cell>
          <cell r="B10706" t="str">
            <v>Otras caídas en el mismo nivel por colisión con o por empujón de otra persona, en granja</v>
          </cell>
        </row>
        <row r="10707">
          <cell r="A10707" t="str">
            <v>W03.8</v>
          </cell>
          <cell r="B10707" t="str">
            <v>Otras caídas en el mismo nivel por colisión con o por empujón de otra persona, en otro lugar especificado</v>
          </cell>
        </row>
        <row r="10708">
          <cell r="A10708" t="str">
            <v>W03.9</v>
          </cell>
          <cell r="B10708" t="str">
            <v>Otras caídas en el mismo nivel por colisión con o por empujón de otra persona, en lugar no especificado</v>
          </cell>
        </row>
        <row r="10709">
          <cell r="A10709" t="str">
            <v>W04</v>
          </cell>
          <cell r="B10709" t="str">
            <v>Caída al ser trasladado o sostenido por otras personas</v>
          </cell>
        </row>
        <row r="10710">
          <cell r="A10710" t="str">
            <v>W04.0</v>
          </cell>
          <cell r="B10710" t="str">
            <v>Caída al ser trasladado o sostenido por otras personas, en vivienda</v>
          </cell>
        </row>
        <row r="10711">
          <cell r="A10711" t="str">
            <v>W04.1</v>
          </cell>
          <cell r="B10711" t="str">
            <v>Caída al ser trasladado o sostenido por otras personas, en institución residencial</v>
          </cell>
        </row>
        <row r="10712">
          <cell r="A10712" t="str">
            <v>W04.2</v>
          </cell>
          <cell r="B10712" t="str">
            <v>Caída al ser trasladado o sostenido por otras personas, en escuelas, otras instituciones y áreas administrativas públicas</v>
          </cell>
        </row>
        <row r="10713">
          <cell r="A10713" t="str">
            <v>W04.3</v>
          </cell>
          <cell r="B10713" t="str">
            <v>Caída al ser trasladado o sostenido por otras personas, en áreas de deporte y atletismo</v>
          </cell>
        </row>
        <row r="10714">
          <cell r="A10714" t="str">
            <v>W04.4</v>
          </cell>
          <cell r="B10714" t="str">
            <v>Caída al ser trasladado o sostenido por otras personas, en calles y carreteras</v>
          </cell>
        </row>
        <row r="10715">
          <cell r="A10715" t="str">
            <v>W04.5</v>
          </cell>
          <cell r="B10715" t="str">
            <v>Caída al ser trasladado o sostenido por otras personas, en comercio y área de servicios</v>
          </cell>
        </row>
        <row r="10716">
          <cell r="A10716" t="str">
            <v>W04.6</v>
          </cell>
          <cell r="B10716" t="str">
            <v>Caída al ser trasladado o sostenido por otras personas, en área industrial y de la construcción</v>
          </cell>
        </row>
        <row r="10717">
          <cell r="A10717" t="str">
            <v>W04.7</v>
          </cell>
          <cell r="B10717" t="str">
            <v>Caída al ser trasladado o sostenido por otras personas, en granja</v>
          </cell>
        </row>
        <row r="10718">
          <cell r="A10718" t="str">
            <v>W04.8</v>
          </cell>
          <cell r="B10718" t="str">
            <v>Caída al ser trasladado o sostenido por otras personas, en otro lugar especificado</v>
          </cell>
        </row>
        <row r="10719">
          <cell r="A10719" t="str">
            <v>W04.9</v>
          </cell>
          <cell r="B10719" t="str">
            <v>Caída al ser trasladado o sostenido por otras personas, en lugar no especificado</v>
          </cell>
        </row>
        <row r="10720">
          <cell r="A10720" t="str">
            <v>W05</v>
          </cell>
          <cell r="B10720" t="str">
            <v>Caída que implica silla de ruedas</v>
          </cell>
        </row>
        <row r="10721">
          <cell r="A10721" t="str">
            <v>W05.0</v>
          </cell>
          <cell r="B10721" t="str">
            <v>Caída que implica silla de ruedas, en vivienda</v>
          </cell>
        </row>
        <row r="10722">
          <cell r="A10722" t="str">
            <v>W05.1</v>
          </cell>
          <cell r="B10722" t="str">
            <v>Caída que implica silla de ruedas, en institución residencial</v>
          </cell>
        </row>
        <row r="10723">
          <cell r="A10723" t="str">
            <v>W05.2</v>
          </cell>
          <cell r="B10723" t="str">
            <v>Caída que implica silla de ruedas, en escuelas, otras instituciones y áreas administrativas públicas</v>
          </cell>
        </row>
        <row r="10724">
          <cell r="A10724" t="str">
            <v>W05.3</v>
          </cell>
          <cell r="B10724" t="str">
            <v>Caída que implica silla de ruedas, en áreas de deporte y atletismo</v>
          </cell>
        </row>
        <row r="10725">
          <cell r="A10725" t="str">
            <v>W05.4</v>
          </cell>
          <cell r="B10725" t="str">
            <v>Caída que implica silla de ruedas, en calles y carreteras</v>
          </cell>
        </row>
        <row r="10726">
          <cell r="A10726" t="str">
            <v>W05.5</v>
          </cell>
          <cell r="B10726" t="str">
            <v>Caída que implica silla de ruedas, en comercio y área de servicios</v>
          </cell>
        </row>
        <row r="10727">
          <cell r="A10727" t="str">
            <v>W05.6</v>
          </cell>
          <cell r="B10727" t="str">
            <v>Caída que implica silla de ruedas, en área industrial y de la construcción</v>
          </cell>
        </row>
        <row r="10728">
          <cell r="A10728" t="str">
            <v>W05.7</v>
          </cell>
          <cell r="B10728" t="str">
            <v>Caída que implica silla de ruedas, en granja</v>
          </cell>
        </row>
        <row r="10729">
          <cell r="A10729" t="str">
            <v>W05.8</v>
          </cell>
          <cell r="B10729" t="str">
            <v>Caída que implica silla de ruedas, en otro lugar especificado</v>
          </cell>
        </row>
        <row r="10730">
          <cell r="A10730" t="str">
            <v>W05.9</v>
          </cell>
          <cell r="B10730" t="str">
            <v>Caída que implica silla de ruedas, en lugar no especificado</v>
          </cell>
        </row>
        <row r="10731">
          <cell r="A10731" t="str">
            <v>W06</v>
          </cell>
          <cell r="B10731" t="str">
            <v>Caída que implica cama</v>
          </cell>
        </row>
        <row r="10732">
          <cell r="A10732" t="str">
            <v>W06.0</v>
          </cell>
          <cell r="B10732" t="str">
            <v>Caída que implica cama, en vivienda</v>
          </cell>
        </row>
        <row r="10733">
          <cell r="A10733" t="str">
            <v>W06.1</v>
          </cell>
          <cell r="B10733" t="str">
            <v>Caída que implica cama, en institución residencial</v>
          </cell>
        </row>
        <row r="10734">
          <cell r="A10734" t="str">
            <v>W06.2</v>
          </cell>
          <cell r="B10734" t="str">
            <v>Caída que implica cama, en escuelas, otras instituciones y áreas administrativas  públicas</v>
          </cell>
        </row>
        <row r="10735">
          <cell r="A10735" t="str">
            <v>W06.3</v>
          </cell>
          <cell r="B10735" t="str">
            <v>Caída que implica cama, en áreas de deporte y atletismo</v>
          </cell>
        </row>
        <row r="10736">
          <cell r="A10736" t="str">
            <v>W06.4</v>
          </cell>
          <cell r="B10736" t="str">
            <v>Caída que implica cama, en calles y carreteras</v>
          </cell>
        </row>
        <row r="10737">
          <cell r="A10737" t="str">
            <v>W06.5</v>
          </cell>
          <cell r="B10737" t="str">
            <v>Caída que implica cama, en comercio y área de servicios</v>
          </cell>
        </row>
        <row r="10738">
          <cell r="A10738" t="str">
            <v>W06.6</v>
          </cell>
          <cell r="B10738" t="str">
            <v>Caída que implica cama, en área industrial y de la construcción</v>
          </cell>
        </row>
        <row r="10739">
          <cell r="A10739" t="str">
            <v>W06.7</v>
          </cell>
          <cell r="B10739" t="str">
            <v>Caída que implica cama, en granja</v>
          </cell>
        </row>
        <row r="10740">
          <cell r="A10740" t="str">
            <v>W06.8</v>
          </cell>
          <cell r="B10740" t="str">
            <v>Caída que implica cama, en otro lugar especificado</v>
          </cell>
        </row>
        <row r="10741">
          <cell r="A10741" t="str">
            <v>W06.9</v>
          </cell>
          <cell r="B10741" t="str">
            <v>Caída que implica cama, en lugar no especificado</v>
          </cell>
        </row>
        <row r="10742">
          <cell r="A10742" t="str">
            <v>W07</v>
          </cell>
          <cell r="B10742" t="str">
            <v>Caída que implica silla</v>
          </cell>
        </row>
        <row r="10743">
          <cell r="A10743" t="str">
            <v>W07.0</v>
          </cell>
          <cell r="B10743" t="str">
            <v>Caída que implica silla, en vivienda</v>
          </cell>
        </row>
        <row r="10744">
          <cell r="A10744" t="str">
            <v>W07.1</v>
          </cell>
          <cell r="B10744" t="str">
            <v>Caída que implica silla, en institución residencial</v>
          </cell>
        </row>
        <row r="10745">
          <cell r="A10745" t="str">
            <v>W07.2</v>
          </cell>
          <cell r="B10745" t="str">
            <v>Caída que implica silla, en escuelas, otras instituciones y áreas administrativas públicas</v>
          </cell>
        </row>
        <row r="10746">
          <cell r="A10746" t="str">
            <v>W07.3</v>
          </cell>
          <cell r="B10746" t="str">
            <v>Caída que implica silla, en áreas de deporte y atletismo</v>
          </cell>
        </row>
        <row r="10747">
          <cell r="A10747" t="str">
            <v>W07.4</v>
          </cell>
          <cell r="B10747" t="str">
            <v>Caída que implica silla, en calles y carreteras</v>
          </cell>
        </row>
        <row r="10748">
          <cell r="A10748" t="str">
            <v>W07.5</v>
          </cell>
          <cell r="B10748" t="str">
            <v>Caída que implica silla, en comercio y área de servicios</v>
          </cell>
        </row>
        <row r="10749">
          <cell r="A10749" t="str">
            <v>W07.6</v>
          </cell>
          <cell r="B10749" t="str">
            <v>Caída que implica silla, en área industrial y de la construcción</v>
          </cell>
        </row>
        <row r="10750">
          <cell r="A10750" t="str">
            <v>W07.7</v>
          </cell>
          <cell r="B10750" t="str">
            <v>Caída que implica silla, en granja</v>
          </cell>
        </row>
        <row r="10751">
          <cell r="A10751" t="str">
            <v>W07.8</v>
          </cell>
          <cell r="B10751" t="str">
            <v>Caída que implica silla, en otro lugar especificado</v>
          </cell>
        </row>
        <row r="10752">
          <cell r="A10752" t="str">
            <v>W07.9</v>
          </cell>
          <cell r="B10752" t="str">
            <v>Caída que implica silla, en lugar no especificado</v>
          </cell>
        </row>
        <row r="10753">
          <cell r="A10753" t="str">
            <v>W08</v>
          </cell>
          <cell r="B10753" t="str">
            <v>Caída que implica otro mueble</v>
          </cell>
        </row>
        <row r="10754">
          <cell r="A10754" t="str">
            <v>W08.0</v>
          </cell>
          <cell r="B10754" t="str">
            <v>Caída que implica otro mueble, en vivienda</v>
          </cell>
        </row>
        <row r="10755">
          <cell r="A10755" t="str">
            <v>W08.1</v>
          </cell>
          <cell r="B10755" t="str">
            <v>Caída que implica otro mueble, en institución residencial</v>
          </cell>
        </row>
        <row r="10756">
          <cell r="A10756" t="str">
            <v>W08.2</v>
          </cell>
          <cell r="B10756" t="str">
            <v>Caída que implica otro mueble, en escuelas, otras instituciones y áreas administrativas públicas</v>
          </cell>
        </row>
        <row r="10757">
          <cell r="A10757" t="str">
            <v>W08.3</v>
          </cell>
          <cell r="B10757" t="str">
            <v>Caída que implica otro mueble, en áreas de deporte y atletismo</v>
          </cell>
        </row>
        <row r="10758">
          <cell r="A10758" t="str">
            <v>W08.4</v>
          </cell>
          <cell r="B10758" t="str">
            <v>Caída que implica otro mueble, en calles y carreteras</v>
          </cell>
        </row>
        <row r="10759">
          <cell r="A10759" t="str">
            <v>W08.5</v>
          </cell>
          <cell r="B10759" t="str">
            <v>Caída que implica otro mueble, en comercio y área de servicios</v>
          </cell>
        </row>
        <row r="10760">
          <cell r="A10760" t="str">
            <v>W08.6</v>
          </cell>
          <cell r="B10760" t="str">
            <v>Caída que implica otro mueble, en área industrial y de la construcción</v>
          </cell>
        </row>
        <row r="10761">
          <cell r="A10761" t="str">
            <v>W08.7</v>
          </cell>
          <cell r="B10761" t="str">
            <v>Caída que implica otro mueble, en granja</v>
          </cell>
        </row>
        <row r="10762">
          <cell r="A10762" t="str">
            <v>W08.8</v>
          </cell>
          <cell r="B10762" t="str">
            <v>Caída que implica otro mueble, en otro lugar especificado</v>
          </cell>
        </row>
        <row r="10763">
          <cell r="A10763" t="str">
            <v>W08.9</v>
          </cell>
          <cell r="B10763" t="str">
            <v>Caída que implica otro mueble, en lugar no especificado</v>
          </cell>
        </row>
        <row r="10764">
          <cell r="A10764" t="str">
            <v>W09</v>
          </cell>
          <cell r="B10764" t="str">
            <v>Caída que implica equipos para juegos infantiles</v>
          </cell>
        </row>
        <row r="10765">
          <cell r="A10765" t="str">
            <v>W09.0</v>
          </cell>
          <cell r="B10765" t="str">
            <v>Caída que implica equipos para juegos infantiles, en vivienda</v>
          </cell>
        </row>
        <row r="10766">
          <cell r="A10766" t="str">
            <v>W09.1</v>
          </cell>
          <cell r="B10766" t="str">
            <v>Caída que implica equipos para juegos infantiles, en institución residencial</v>
          </cell>
        </row>
        <row r="10767">
          <cell r="A10767" t="str">
            <v>W09.2</v>
          </cell>
          <cell r="B10767" t="str">
            <v>Caída que implica equipos para juegos infantiles, en escuelas, otras instituciones y áreas administrativas públicas</v>
          </cell>
        </row>
        <row r="10768">
          <cell r="A10768" t="str">
            <v>W09.3</v>
          </cell>
          <cell r="B10768" t="str">
            <v>Caída que implica equipos para juegos infantiles, en áreas de deporte y atletismo</v>
          </cell>
        </row>
        <row r="10769">
          <cell r="A10769" t="str">
            <v>W09.4</v>
          </cell>
          <cell r="B10769" t="str">
            <v>Caída que implica equipos para juegos infantiles, en calles y carreteras</v>
          </cell>
        </row>
        <row r="10770">
          <cell r="A10770" t="str">
            <v>W09.5</v>
          </cell>
          <cell r="B10770" t="str">
            <v>Caída que implica equipos para juegos infantiles, en comercio y área de servicios</v>
          </cell>
        </row>
        <row r="10771">
          <cell r="A10771" t="str">
            <v>W09.6</v>
          </cell>
          <cell r="B10771" t="str">
            <v>Caída que implica equipos para juegos infantiles, en área industrial y de la construcción</v>
          </cell>
        </row>
        <row r="10772">
          <cell r="A10772" t="str">
            <v>W09.7</v>
          </cell>
          <cell r="B10772" t="str">
            <v>Caída que implica equipos para juegos infantiles, en granja</v>
          </cell>
        </row>
        <row r="10773">
          <cell r="A10773" t="str">
            <v>W09.8</v>
          </cell>
          <cell r="B10773" t="str">
            <v>Caída que implica equipos para juegos infantiles, en otro lugar especificado</v>
          </cell>
        </row>
        <row r="10774">
          <cell r="A10774" t="str">
            <v>W09.9</v>
          </cell>
          <cell r="B10774" t="str">
            <v>Caída que implica equipos para juegos infantiles, en lugar no especificado</v>
          </cell>
        </row>
        <row r="10775">
          <cell r="A10775" t="str">
            <v>W10</v>
          </cell>
          <cell r="B10775" t="str">
            <v>Caída en o desde escalera y escalones</v>
          </cell>
        </row>
        <row r="10776">
          <cell r="A10776" t="str">
            <v>W10.0</v>
          </cell>
          <cell r="B10776" t="str">
            <v>Caída en o desde escalera y escalones, en vivienda</v>
          </cell>
        </row>
        <row r="10777">
          <cell r="A10777" t="str">
            <v>W10.1</v>
          </cell>
          <cell r="B10777" t="str">
            <v>Caída en o desde escalera y escalones, en institución residencial</v>
          </cell>
        </row>
        <row r="10778">
          <cell r="A10778" t="str">
            <v>W10.2</v>
          </cell>
          <cell r="B10778" t="str">
            <v>Caída en o desde escalera y escalones, en escuelas, otras instituciones y áreas administrativas públicas</v>
          </cell>
        </row>
        <row r="10779">
          <cell r="A10779" t="str">
            <v>W10.3</v>
          </cell>
          <cell r="B10779" t="str">
            <v>Caída en o desde escalera y escalones, en áreas de deporte y atletismo</v>
          </cell>
        </row>
        <row r="10780">
          <cell r="A10780" t="str">
            <v>W10.4</v>
          </cell>
          <cell r="B10780" t="str">
            <v>Caída en o desde escalera y escalones, en calles y carreteras</v>
          </cell>
        </row>
        <row r="10781">
          <cell r="A10781" t="str">
            <v>W10.5</v>
          </cell>
          <cell r="B10781" t="str">
            <v>Caída en o desde escalera y escalones, en comercio y área de servicios</v>
          </cell>
        </row>
        <row r="10782">
          <cell r="A10782" t="str">
            <v>W10.6</v>
          </cell>
          <cell r="B10782" t="str">
            <v>Caída en o desde escalera y escalones, en área industrial y de la construcción</v>
          </cell>
        </row>
        <row r="10783">
          <cell r="A10783" t="str">
            <v>W10.7</v>
          </cell>
          <cell r="B10783" t="str">
            <v>Caída en o desde escalera y escalones, en granja</v>
          </cell>
        </row>
        <row r="10784">
          <cell r="A10784" t="str">
            <v>W10.8</v>
          </cell>
          <cell r="B10784" t="str">
            <v>Caída en o desde escalera y escalones, en otro lugar especificado</v>
          </cell>
        </row>
        <row r="10785">
          <cell r="A10785" t="str">
            <v>W10.9</v>
          </cell>
          <cell r="B10785" t="str">
            <v>Caída en o desde escalera y escalones, en lugar no especificado</v>
          </cell>
        </row>
        <row r="10786">
          <cell r="A10786" t="str">
            <v>W11</v>
          </cell>
          <cell r="B10786" t="str">
            <v>Caída en o desde escaleras manuales</v>
          </cell>
        </row>
        <row r="10787">
          <cell r="A10787" t="str">
            <v>W11.0</v>
          </cell>
          <cell r="B10787" t="str">
            <v>Caída en o desde escaleras manuales, en vivienda</v>
          </cell>
        </row>
        <row r="10788">
          <cell r="A10788" t="str">
            <v>W11.1</v>
          </cell>
          <cell r="B10788" t="str">
            <v>Caída en o desde escaleras manuales, en institución residencial</v>
          </cell>
        </row>
        <row r="10789">
          <cell r="A10789" t="str">
            <v>W11.2</v>
          </cell>
          <cell r="B10789" t="str">
            <v>Caída en o desde escaleras manuales, en escuelas, otras instituciones y áreas administrativas públicas</v>
          </cell>
        </row>
        <row r="10790">
          <cell r="A10790" t="str">
            <v>W11.3</v>
          </cell>
          <cell r="B10790" t="str">
            <v>Caída en o desde escaleras manuales, en áreas de deporte y atletismo</v>
          </cell>
        </row>
        <row r="10791">
          <cell r="A10791" t="str">
            <v>W11.4</v>
          </cell>
          <cell r="B10791" t="str">
            <v>Caída en o desde escaleras manuales, en calles y carreteras</v>
          </cell>
        </row>
        <row r="10792">
          <cell r="A10792" t="str">
            <v>W11.5</v>
          </cell>
          <cell r="B10792" t="str">
            <v>Caída en o desde escaleras manuales, en comercio y área de servicios</v>
          </cell>
        </row>
        <row r="10793">
          <cell r="A10793" t="str">
            <v>W11.6</v>
          </cell>
          <cell r="B10793" t="str">
            <v>Caída en o desde escaleras manuales, en área industrial y de la construcción</v>
          </cell>
        </row>
        <row r="10794">
          <cell r="A10794" t="str">
            <v>W11.7</v>
          </cell>
          <cell r="B10794" t="str">
            <v>Caída en o desde escaleras manuales, en granja</v>
          </cell>
        </row>
        <row r="10795">
          <cell r="A10795" t="str">
            <v>W11.8</v>
          </cell>
          <cell r="B10795" t="str">
            <v>Caída en o desde escaleras manuales, en otro lugar especificado</v>
          </cell>
        </row>
        <row r="10796">
          <cell r="A10796" t="str">
            <v>W11.9</v>
          </cell>
          <cell r="B10796" t="str">
            <v>Caída en o desde escaleras manuales, en lugar no especificado</v>
          </cell>
        </row>
        <row r="10797">
          <cell r="A10797" t="str">
            <v>W12</v>
          </cell>
          <cell r="B10797" t="str">
            <v>Caída en o desde andamio</v>
          </cell>
        </row>
        <row r="10798">
          <cell r="A10798" t="str">
            <v>W12.0</v>
          </cell>
          <cell r="B10798" t="str">
            <v>Caída en o desde andamio, en vivienda</v>
          </cell>
        </row>
        <row r="10799">
          <cell r="A10799" t="str">
            <v>W12.1</v>
          </cell>
          <cell r="B10799" t="str">
            <v>Caída en o desde andamio, en institución residencial</v>
          </cell>
        </row>
        <row r="10800">
          <cell r="A10800" t="str">
            <v>W12.2</v>
          </cell>
          <cell r="B10800" t="str">
            <v>Caída en o desde andamio, en escuelas, otras instituciones y áreas administrativas públicas</v>
          </cell>
        </row>
        <row r="10801">
          <cell r="A10801" t="str">
            <v>W12.3</v>
          </cell>
          <cell r="B10801" t="str">
            <v>Caída en o desde andamio, en áreas de deporte y atletismo</v>
          </cell>
        </row>
        <row r="10802">
          <cell r="A10802" t="str">
            <v>W12.4</v>
          </cell>
          <cell r="B10802" t="str">
            <v>Caída en o desde andamio, en calles y carreteras</v>
          </cell>
        </row>
        <row r="10803">
          <cell r="A10803" t="str">
            <v>W12.5</v>
          </cell>
          <cell r="B10803" t="str">
            <v>Caída en o desde andamio, en comercio y área de servicios</v>
          </cell>
        </row>
        <row r="10804">
          <cell r="A10804" t="str">
            <v>W12.6</v>
          </cell>
          <cell r="B10804" t="str">
            <v>Caída en o desde andamio, en área industrial y de la construcción</v>
          </cell>
        </row>
        <row r="10805">
          <cell r="A10805" t="str">
            <v>W12.7</v>
          </cell>
          <cell r="B10805" t="str">
            <v>Caída en o desde andamio, en granja</v>
          </cell>
        </row>
        <row r="10806">
          <cell r="A10806" t="str">
            <v>W12.8</v>
          </cell>
          <cell r="B10806" t="str">
            <v>Caída en o desde andamio, en otro lugar especificado</v>
          </cell>
        </row>
        <row r="10807">
          <cell r="A10807" t="str">
            <v>W12.9</v>
          </cell>
          <cell r="B10807" t="str">
            <v>Caída en o desde andamio, en lugar no especificado</v>
          </cell>
        </row>
        <row r="10808">
          <cell r="A10808" t="str">
            <v>W13</v>
          </cell>
          <cell r="B10808" t="str">
            <v>Caída desde, fuera o a través de un edificio u otra construcción</v>
          </cell>
        </row>
        <row r="10809">
          <cell r="A10809" t="str">
            <v>W13.0</v>
          </cell>
          <cell r="B10809" t="str">
            <v>Caída desde, fuera o a través de un edificio u otra construcción, en vivienda</v>
          </cell>
        </row>
        <row r="10810">
          <cell r="A10810" t="str">
            <v>W13.1</v>
          </cell>
          <cell r="B10810" t="str">
            <v>Caída desde, fuera o a través de un edificio u otra construcción, en institución residencial</v>
          </cell>
        </row>
        <row r="10811">
          <cell r="A10811" t="str">
            <v>W13.2</v>
          </cell>
          <cell r="B10811" t="str">
            <v>Caída desde, fuera o a través de un edificio u otra construcción, en escuelas, otras instituciones y áreas administrativas públicas</v>
          </cell>
        </row>
        <row r="10812">
          <cell r="A10812" t="str">
            <v>W13.3</v>
          </cell>
          <cell r="B10812" t="str">
            <v>Caída desde, fuera o a través de un edificio u otra construcción, en áreas de deporte y atletismo</v>
          </cell>
        </row>
        <row r="10813">
          <cell r="A10813" t="str">
            <v>W13.4</v>
          </cell>
          <cell r="B10813" t="str">
            <v>Caída desde, fuera o a través de un edificio u otra construcción, en calles y carreteras</v>
          </cell>
        </row>
        <row r="10814">
          <cell r="A10814" t="str">
            <v>W13.5</v>
          </cell>
          <cell r="B10814" t="str">
            <v>Caída desde, fuera o a través de un edificio u otra construcción, en comercio y área de servicios</v>
          </cell>
        </row>
        <row r="10815">
          <cell r="A10815" t="str">
            <v>W13.6</v>
          </cell>
          <cell r="B10815" t="str">
            <v>Caída desde, fuera o a través de un edificio u otra construcción, en área industrial y de la construcción</v>
          </cell>
        </row>
        <row r="10816">
          <cell r="A10816" t="str">
            <v>W13.7</v>
          </cell>
          <cell r="B10816" t="str">
            <v>Caída desde, fuera o a través de un edificio u otra construcción, en granja</v>
          </cell>
        </row>
        <row r="10817">
          <cell r="A10817" t="str">
            <v>W13.8</v>
          </cell>
          <cell r="B10817" t="str">
            <v>Caída desde, fuera o a través de un edificio u otra construcción, en otro lugar especificado</v>
          </cell>
        </row>
        <row r="10818">
          <cell r="A10818" t="str">
            <v>W13.9</v>
          </cell>
          <cell r="B10818" t="str">
            <v>Caída desde, fuera o a través de un edificio u otra construcción, en lugar no especificado</v>
          </cell>
        </row>
        <row r="10819">
          <cell r="A10819" t="str">
            <v>W14</v>
          </cell>
          <cell r="B10819" t="str">
            <v>Caída desde un árbol</v>
          </cell>
        </row>
        <row r="10820">
          <cell r="A10820" t="str">
            <v>W14.0</v>
          </cell>
          <cell r="B10820" t="str">
            <v>Caída desde un árbol, en vivienda</v>
          </cell>
        </row>
        <row r="10821">
          <cell r="A10821" t="str">
            <v>W14.1</v>
          </cell>
          <cell r="B10821" t="str">
            <v>Caída desde un árbol, en institución residencial</v>
          </cell>
        </row>
        <row r="10822">
          <cell r="A10822" t="str">
            <v>W14.2</v>
          </cell>
          <cell r="B10822" t="str">
            <v>Caída desde un árbol, en escuelas, otras instituciones y áreas administrativas públicas</v>
          </cell>
        </row>
        <row r="10823">
          <cell r="A10823" t="str">
            <v>W14.3</v>
          </cell>
          <cell r="B10823" t="str">
            <v>Caída desde un árbol, en áreas de deporte y atletismo</v>
          </cell>
        </row>
        <row r="10824">
          <cell r="A10824" t="str">
            <v>W14.4</v>
          </cell>
          <cell r="B10824" t="str">
            <v>Caída desde un árbol, en calles y carreteras</v>
          </cell>
        </row>
        <row r="10825">
          <cell r="A10825" t="str">
            <v>W14.5</v>
          </cell>
          <cell r="B10825" t="str">
            <v>Caída desde un árbol, en comercio y área de servicios</v>
          </cell>
        </row>
        <row r="10826">
          <cell r="A10826" t="str">
            <v>W14.6</v>
          </cell>
          <cell r="B10826" t="str">
            <v>Caída desde un árbol, en área industrial y de la construcción</v>
          </cell>
        </row>
        <row r="10827">
          <cell r="A10827" t="str">
            <v>W14.7</v>
          </cell>
          <cell r="B10827" t="str">
            <v>Caída desde un árbol, en granja</v>
          </cell>
        </row>
        <row r="10828">
          <cell r="A10828" t="str">
            <v>W14.8</v>
          </cell>
          <cell r="B10828" t="str">
            <v>Caída desde un árbol, en otro lugar especificado</v>
          </cell>
        </row>
        <row r="10829">
          <cell r="A10829" t="str">
            <v>W14.9</v>
          </cell>
          <cell r="B10829" t="str">
            <v>Caída desde un árbol, en lugar no especificado</v>
          </cell>
        </row>
        <row r="10830">
          <cell r="A10830" t="str">
            <v>W15</v>
          </cell>
          <cell r="B10830" t="str">
            <v>Caída desde peñasco</v>
          </cell>
        </row>
        <row r="10831">
          <cell r="A10831" t="str">
            <v>W15.0</v>
          </cell>
          <cell r="B10831" t="str">
            <v>Caída desde peñasco, en vivienda</v>
          </cell>
        </row>
        <row r="10832">
          <cell r="A10832" t="str">
            <v>W15.1</v>
          </cell>
          <cell r="B10832" t="str">
            <v>Caída desde peñasco, en institución residencial</v>
          </cell>
        </row>
        <row r="10833">
          <cell r="A10833" t="str">
            <v>W15.2</v>
          </cell>
          <cell r="B10833" t="str">
            <v>Caída desde peñasco, en escuelas, otras instituciones y áreas administrativas públicas</v>
          </cell>
        </row>
        <row r="10834">
          <cell r="A10834" t="str">
            <v>W15.3</v>
          </cell>
          <cell r="B10834" t="str">
            <v>Caída desde peñasco, en áreas de deporte y atletismo</v>
          </cell>
        </row>
        <row r="10835">
          <cell r="A10835" t="str">
            <v>W15.4</v>
          </cell>
          <cell r="B10835" t="str">
            <v>Caída desde peñasco, en calles y carreteras</v>
          </cell>
        </row>
        <row r="10836">
          <cell r="A10836" t="str">
            <v>W15.5</v>
          </cell>
          <cell r="B10836" t="str">
            <v>Caída desde peñasco, en comercio y área de servicios</v>
          </cell>
        </row>
        <row r="10837">
          <cell r="A10837" t="str">
            <v>W15.6</v>
          </cell>
          <cell r="B10837" t="str">
            <v>Caída desde peñasco, en área industrial y de la construcción</v>
          </cell>
        </row>
        <row r="10838">
          <cell r="A10838" t="str">
            <v>W15.7</v>
          </cell>
          <cell r="B10838" t="str">
            <v>Caída desde peñasco, en granja</v>
          </cell>
        </row>
        <row r="10839">
          <cell r="A10839" t="str">
            <v>W15.8</v>
          </cell>
          <cell r="B10839" t="str">
            <v>Caída desde peñasco, en otro lugar especificado</v>
          </cell>
        </row>
        <row r="10840">
          <cell r="A10840" t="str">
            <v>W15.9</v>
          </cell>
          <cell r="B10840" t="str">
            <v>Caída desde peñasco, en lugar no especificado</v>
          </cell>
        </row>
        <row r="10841">
          <cell r="A10841" t="str">
            <v>W16</v>
          </cell>
          <cell r="B10841" t="str">
            <v>Salto o zambullida dentro del agua que causa otro traumatismo sin sumersión o ahogamiento</v>
          </cell>
        </row>
        <row r="10842">
          <cell r="A10842" t="str">
            <v>W16.0</v>
          </cell>
          <cell r="B10842" t="str">
            <v>Salto o zambullida dentro del agua que causa otro traumatismo sin sumersión o ahogamiento, en vivienda</v>
          </cell>
        </row>
        <row r="10843">
          <cell r="A10843" t="str">
            <v>W16.1</v>
          </cell>
          <cell r="B10843" t="str">
            <v>Salto o zambullida dentro del agua que causa otro traumatismo sin sumersión o ahogamiento, en institución residencial</v>
          </cell>
        </row>
        <row r="10844">
          <cell r="A10844" t="str">
            <v>W16.2</v>
          </cell>
          <cell r="B10844" t="str">
            <v>Salto o zambullida dentro del agua que causa otro traumatismo sin sumersión o ahogamiento, en escuelas, otras instituciones y áreas administrativas públicas</v>
          </cell>
        </row>
        <row r="10845">
          <cell r="A10845" t="str">
            <v>W16.3</v>
          </cell>
          <cell r="B10845" t="str">
            <v>Salto o zambullida dentro del agua que causa otro traumatismo sin sumersión o ahogamiento, en áreas de deporte y atletismo</v>
          </cell>
        </row>
        <row r="10846">
          <cell r="A10846" t="str">
            <v>W16.4</v>
          </cell>
          <cell r="B10846" t="str">
            <v>Salto o zambullida dentro del agua que causa otro traumatismo sin sumersión o ahogamiento, en calles y carreteras</v>
          </cell>
        </row>
        <row r="10847">
          <cell r="A10847" t="str">
            <v>W16.5</v>
          </cell>
          <cell r="B10847" t="str">
            <v>Salto o zambullida dentro del agua que causa otro traumatismo sin sumersión o ahogamiento, en comercio y área de servicios</v>
          </cell>
        </row>
        <row r="10848">
          <cell r="A10848" t="str">
            <v>W16.6</v>
          </cell>
          <cell r="B10848" t="str">
            <v>Salto o zambullida dentro del agua que causa otro traumatismo sin sumersión o ahogamiento, en área industrial y de la construcción</v>
          </cell>
        </row>
        <row r="10849">
          <cell r="A10849" t="str">
            <v>W16.7</v>
          </cell>
          <cell r="B10849" t="str">
            <v>Salto o zambullida dentro del agua que causa otro traumatismo sin sumersión o ahogamiento, en granja</v>
          </cell>
        </row>
        <row r="10850">
          <cell r="A10850" t="str">
            <v>W16.8</v>
          </cell>
          <cell r="B10850" t="str">
            <v>Salto o zambullida dentro del agua que causa otro traumatismo sin sumersión o ahogamiento, en otro lugar especificado</v>
          </cell>
        </row>
        <row r="10851">
          <cell r="A10851" t="str">
            <v>W16.9</v>
          </cell>
          <cell r="B10851" t="str">
            <v>Salto o zambullida dentro del agua que causa otro traumatismo sin sumersión o ahogamiento, en lugar no especificado</v>
          </cell>
        </row>
        <row r="10852">
          <cell r="A10852" t="str">
            <v>W17</v>
          </cell>
          <cell r="B10852" t="str">
            <v>Otras caídas de un nivel a otro</v>
          </cell>
        </row>
        <row r="10853">
          <cell r="A10853" t="str">
            <v>W17.0</v>
          </cell>
          <cell r="B10853" t="str">
            <v>Otras caídas de un nivel a otro, en vivienda</v>
          </cell>
        </row>
        <row r="10854">
          <cell r="A10854" t="str">
            <v>W17.1</v>
          </cell>
          <cell r="B10854" t="str">
            <v>Otras caídas de un nivel a otro, en institución residencial</v>
          </cell>
        </row>
        <row r="10855">
          <cell r="A10855" t="str">
            <v>W17.2</v>
          </cell>
          <cell r="B10855" t="str">
            <v>Otras caídas de un nivel a otro, en escuelas, otras instituciones y áreas administrativas públicas</v>
          </cell>
        </row>
        <row r="10856">
          <cell r="A10856" t="str">
            <v>W17.3</v>
          </cell>
          <cell r="B10856" t="str">
            <v>Otras caídas de un nivel a otro, en áreas de deporte y atletismo</v>
          </cell>
        </row>
        <row r="10857">
          <cell r="A10857" t="str">
            <v>W17.4</v>
          </cell>
          <cell r="B10857" t="str">
            <v>Otras caídas de un nivel a otro, en calles y carreteras</v>
          </cell>
        </row>
        <row r="10858">
          <cell r="A10858" t="str">
            <v>W17.5</v>
          </cell>
          <cell r="B10858" t="str">
            <v>Otras caídas de un nivel a otro, en comercio y área de servicios</v>
          </cell>
        </row>
        <row r="10859">
          <cell r="A10859" t="str">
            <v>W17.6</v>
          </cell>
          <cell r="B10859" t="str">
            <v>Otras caídas de un nivel a otro, en área industrial y de la construcción</v>
          </cell>
        </row>
        <row r="10860">
          <cell r="A10860" t="str">
            <v>W17.7</v>
          </cell>
          <cell r="B10860" t="str">
            <v>Otras caídas de un nivel a otro, en granja</v>
          </cell>
        </row>
        <row r="10861">
          <cell r="A10861" t="str">
            <v>W17.8</v>
          </cell>
          <cell r="B10861" t="str">
            <v>Otras caídas de un nivel a otro, en otro lugar especificado</v>
          </cell>
        </row>
        <row r="10862">
          <cell r="A10862" t="str">
            <v>W17.9</v>
          </cell>
          <cell r="B10862" t="str">
            <v>Otras caídas de un nivel a otro, en lugar no especificado</v>
          </cell>
        </row>
        <row r="10863">
          <cell r="A10863" t="str">
            <v>W18</v>
          </cell>
          <cell r="B10863" t="str">
            <v>Otras caídas en el mismo nivel</v>
          </cell>
        </row>
        <row r="10864">
          <cell r="A10864" t="str">
            <v>W18.0</v>
          </cell>
          <cell r="B10864" t="str">
            <v>Otras caídas en el mismo nivel, en vivienda</v>
          </cell>
        </row>
        <row r="10865">
          <cell r="A10865" t="str">
            <v>W18.1</v>
          </cell>
          <cell r="B10865" t="str">
            <v>Otras caídas en el mismo nivel, en institución residencial</v>
          </cell>
        </row>
        <row r="10866">
          <cell r="A10866" t="str">
            <v>W18.2</v>
          </cell>
          <cell r="B10866" t="str">
            <v>Otras caídas en el mismo nivel, en escuelas, otras instituciones y áreas administrativas públicas</v>
          </cell>
        </row>
        <row r="10867">
          <cell r="A10867" t="str">
            <v>W18.3</v>
          </cell>
          <cell r="B10867" t="str">
            <v>Otras caídas en el mismo nivel, en áreas de deporte y atletismo</v>
          </cell>
        </row>
        <row r="10868">
          <cell r="A10868" t="str">
            <v>W18.4</v>
          </cell>
          <cell r="B10868" t="str">
            <v>Otras caídas en el mismo nivel, en calles y carreteras</v>
          </cell>
        </row>
        <row r="10869">
          <cell r="A10869" t="str">
            <v>W18.5</v>
          </cell>
          <cell r="B10869" t="str">
            <v>Otras caídas en el mismo nivel, en comercio y área de servicios</v>
          </cell>
        </row>
        <row r="10870">
          <cell r="A10870" t="str">
            <v>W18.6</v>
          </cell>
          <cell r="B10870" t="str">
            <v>Otras caídas en el mismo nivel, en área industrial y de la construcción</v>
          </cell>
        </row>
        <row r="10871">
          <cell r="A10871" t="str">
            <v>W18.7</v>
          </cell>
          <cell r="B10871" t="str">
            <v>Otras caídas en el mismo nivel, en granja</v>
          </cell>
        </row>
        <row r="10872">
          <cell r="A10872" t="str">
            <v>W18.8</v>
          </cell>
          <cell r="B10872" t="str">
            <v>Otras caídas en el mismo nivel, en otro lugar especificado</v>
          </cell>
        </row>
        <row r="10873">
          <cell r="A10873" t="str">
            <v>W18.9</v>
          </cell>
          <cell r="B10873" t="str">
            <v>Otras caídas en el mismo nivel, en lugar no especificado</v>
          </cell>
        </row>
        <row r="10874">
          <cell r="A10874" t="str">
            <v>W19</v>
          </cell>
          <cell r="B10874" t="str">
            <v>Caída no especificada</v>
          </cell>
        </row>
        <row r="10875">
          <cell r="A10875" t="str">
            <v>W19.0</v>
          </cell>
          <cell r="B10875" t="str">
            <v>Caída no especificada, en vivienda</v>
          </cell>
        </row>
        <row r="10876">
          <cell r="A10876" t="str">
            <v>W19.1</v>
          </cell>
          <cell r="B10876" t="str">
            <v>Caída no especificada, en institución residencial</v>
          </cell>
        </row>
        <row r="10877">
          <cell r="A10877" t="str">
            <v>W19.2</v>
          </cell>
          <cell r="B10877" t="str">
            <v>Caída no especificada, en escuelas, otras instituciones y áreas administrativas públicas</v>
          </cell>
        </row>
        <row r="10878">
          <cell r="A10878" t="str">
            <v>W19.3</v>
          </cell>
          <cell r="B10878" t="str">
            <v>Caída no especificada, en áreas de deporte y atletismo</v>
          </cell>
        </row>
        <row r="10879">
          <cell r="A10879" t="str">
            <v>W19.4</v>
          </cell>
          <cell r="B10879" t="str">
            <v>Caída no especificada, en calles y carreteras</v>
          </cell>
        </row>
        <row r="10880">
          <cell r="A10880" t="str">
            <v>W19.5</v>
          </cell>
          <cell r="B10880" t="str">
            <v>Caída no especificada, en comercio y área de servicios</v>
          </cell>
        </row>
        <row r="10881">
          <cell r="A10881" t="str">
            <v>W19.6</v>
          </cell>
          <cell r="B10881" t="str">
            <v>Caída no especificada, en área industrial y de la construcción</v>
          </cell>
        </row>
        <row r="10882">
          <cell r="A10882" t="str">
            <v>W19.7</v>
          </cell>
          <cell r="B10882" t="str">
            <v>Caída no especificada, en granja</v>
          </cell>
        </row>
        <row r="10883">
          <cell r="A10883" t="str">
            <v>W19.8</v>
          </cell>
          <cell r="B10883" t="str">
            <v>Caída no especificada, en otro lugar especificado</v>
          </cell>
        </row>
        <row r="10884">
          <cell r="A10884" t="str">
            <v>W19.9</v>
          </cell>
          <cell r="B10884" t="str">
            <v>Caída no especificada, en lugar no especificado</v>
          </cell>
        </row>
        <row r="10885">
          <cell r="A10885" t="str">
            <v>W20</v>
          </cell>
          <cell r="B10885" t="str">
            <v>Golpe por objeto arrojado, proyectado o que cae</v>
          </cell>
        </row>
        <row r="10886">
          <cell r="A10886" t="str">
            <v>W20.0</v>
          </cell>
          <cell r="B10886" t="str">
            <v>Golpe por objeto arrojado, proyectado o que cae, en vivienda</v>
          </cell>
        </row>
        <row r="10887">
          <cell r="A10887" t="str">
            <v>W20.1</v>
          </cell>
          <cell r="B10887" t="str">
            <v>Golpe por objeto arrojado, proyectado o que cae, en institución residencial</v>
          </cell>
        </row>
        <row r="10888">
          <cell r="A10888" t="str">
            <v>W20.2</v>
          </cell>
          <cell r="B10888" t="str">
            <v>Golpe por objeto arrojado, proyectado o que cae, en escuelas, otras instituciones y áreas administrativas públicas</v>
          </cell>
        </row>
        <row r="10889">
          <cell r="A10889" t="str">
            <v>W20.3</v>
          </cell>
          <cell r="B10889" t="str">
            <v>Golpe por objeto arrojado, proyectado o que cae, en áreas de deporte y atletismo</v>
          </cell>
        </row>
        <row r="10890">
          <cell r="A10890" t="str">
            <v>W20.4</v>
          </cell>
          <cell r="B10890" t="str">
            <v>Golpe por objeto arrojado, proyectado o que cae, en calles y carreteras</v>
          </cell>
        </row>
        <row r="10891">
          <cell r="A10891" t="str">
            <v>W20.5</v>
          </cell>
          <cell r="B10891" t="str">
            <v>Golpe por objeto arrojado, proyectado o que cae, en comercio y área de servicios</v>
          </cell>
        </row>
        <row r="10892">
          <cell r="A10892" t="str">
            <v>W20.6</v>
          </cell>
          <cell r="B10892" t="str">
            <v>Golpe por objeto arrojado, proyectado o que cae, en área industrial y de la construcción</v>
          </cell>
        </row>
        <row r="10893">
          <cell r="A10893" t="str">
            <v>W20.7</v>
          </cell>
          <cell r="B10893" t="str">
            <v>Golpe por objeto arrojado, proyectado o que cae, en granja</v>
          </cell>
        </row>
        <row r="10894">
          <cell r="A10894" t="str">
            <v>W20.8</v>
          </cell>
          <cell r="B10894" t="str">
            <v>Golpe por objeto arrojado, proyectado o que cae, en otro lugar especificado</v>
          </cell>
        </row>
        <row r="10895">
          <cell r="A10895" t="str">
            <v>W20.9</v>
          </cell>
          <cell r="B10895" t="str">
            <v>Golpe por objeto arrojado, proyectado o que cae, en lugar no especificado</v>
          </cell>
        </row>
        <row r="10896">
          <cell r="A10896" t="str">
            <v>W21</v>
          </cell>
          <cell r="B10896" t="str">
            <v>Golpe contra o golpeado por equipo para deportes</v>
          </cell>
        </row>
        <row r="10897">
          <cell r="A10897" t="str">
            <v>W21.0</v>
          </cell>
          <cell r="B10897" t="str">
            <v>Golpe contra o golpeado por equipo para deportes, en  vivienda</v>
          </cell>
        </row>
        <row r="10898">
          <cell r="A10898" t="str">
            <v>W21.1</v>
          </cell>
          <cell r="B10898" t="str">
            <v>Golpe contra o golpeado por equipo para deportes, en institución residencial</v>
          </cell>
        </row>
        <row r="10899">
          <cell r="A10899" t="str">
            <v>W21.2</v>
          </cell>
          <cell r="B10899" t="str">
            <v>Golpe contra o golpeado por equipo para deportes, en escuelas, otras instituciones y áreas administrativas públicas</v>
          </cell>
        </row>
        <row r="10900">
          <cell r="A10900" t="str">
            <v>W21.3</v>
          </cell>
          <cell r="B10900" t="str">
            <v>Golpe contra o golpeado por equipo para deportes, en áreas de deporte y atletismo</v>
          </cell>
        </row>
        <row r="10901">
          <cell r="A10901" t="str">
            <v>W21.4</v>
          </cell>
          <cell r="B10901" t="str">
            <v>Golpe contra o golpeado por equipo para deportes, en calles y carreteras</v>
          </cell>
        </row>
        <row r="10902">
          <cell r="A10902" t="str">
            <v>W21.5</v>
          </cell>
          <cell r="B10902" t="str">
            <v>Golpe contra o golpeado por equipo para deportes, en comercio y área de servicios</v>
          </cell>
        </row>
        <row r="10903">
          <cell r="A10903" t="str">
            <v>W21.6</v>
          </cell>
          <cell r="B10903" t="str">
            <v>Golpe contra o golpeado por equipo para deportes, en área industrial y de la construcción</v>
          </cell>
        </row>
        <row r="10904">
          <cell r="A10904" t="str">
            <v>W21.7</v>
          </cell>
          <cell r="B10904" t="str">
            <v>Golpe contra o golpeado por equipo para deportes, en granja</v>
          </cell>
        </row>
        <row r="10905">
          <cell r="A10905" t="str">
            <v>W21.8</v>
          </cell>
          <cell r="B10905" t="str">
            <v>Golpe contra o golpeado por equipo para deportes, en otro lugar especificado</v>
          </cell>
        </row>
        <row r="10906">
          <cell r="A10906" t="str">
            <v>W21.9</v>
          </cell>
          <cell r="B10906" t="str">
            <v>Golpe contra o golpeado por equipo para deportes, en lugar no especificado</v>
          </cell>
        </row>
        <row r="10907">
          <cell r="A10907" t="str">
            <v>W22</v>
          </cell>
          <cell r="B10907" t="str">
            <v>Golpe contra o golpeado por otros objetos</v>
          </cell>
        </row>
        <row r="10908">
          <cell r="A10908" t="str">
            <v>W22.0</v>
          </cell>
          <cell r="B10908" t="str">
            <v>Golpe contra o golpeado por otros objetos, en vivienda</v>
          </cell>
        </row>
        <row r="10909">
          <cell r="A10909" t="str">
            <v>W22.1</v>
          </cell>
          <cell r="B10909" t="str">
            <v>Golpe contra o golpeado por otros objetos, en institución residencial</v>
          </cell>
        </row>
        <row r="10910">
          <cell r="A10910" t="str">
            <v>W22.2</v>
          </cell>
          <cell r="B10910" t="str">
            <v>Golpe contra o golpeado por otros objetos, en escuelas, otras instituciones y áreas administrativas públicas</v>
          </cell>
        </row>
        <row r="10911">
          <cell r="A10911" t="str">
            <v>W22.3</v>
          </cell>
          <cell r="B10911" t="str">
            <v>Golpe contra o golpeado por otros objetos, en áreas de deporte y atletismo</v>
          </cell>
        </row>
        <row r="10912">
          <cell r="A10912" t="str">
            <v>W22.4</v>
          </cell>
          <cell r="B10912" t="str">
            <v>Golpe contra o golpeado por otros objetos, en calles y carreteras</v>
          </cell>
        </row>
        <row r="10913">
          <cell r="A10913" t="str">
            <v>W22.5</v>
          </cell>
          <cell r="B10913" t="str">
            <v>Golpe contra o golpeado por otros objetos, en comercio y área de servicios</v>
          </cell>
        </row>
        <row r="10914">
          <cell r="A10914" t="str">
            <v>W22.6</v>
          </cell>
          <cell r="B10914" t="str">
            <v>Golpe contra o golpeado por otros objetos, en área industrial y de la construcción</v>
          </cell>
        </row>
        <row r="10915">
          <cell r="A10915" t="str">
            <v>W22.7</v>
          </cell>
          <cell r="B10915" t="str">
            <v>Golpe contra o golpeado por otros objetos, en granja</v>
          </cell>
        </row>
        <row r="10916">
          <cell r="A10916" t="str">
            <v>W22.8</v>
          </cell>
          <cell r="B10916" t="str">
            <v>Golpe contra o golpeado por otros objetos, en otro lugar especificado</v>
          </cell>
        </row>
        <row r="10917">
          <cell r="A10917" t="str">
            <v>W22.9</v>
          </cell>
          <cell r="B10917" t="str">
            <v>Golpe contra o golpeado por otros objetos, en lugar no especificado</v>
          </cell>
        </row>
        <row r="10918">
          <cell r="A10918" t="str">
            <v>W23</v>
          </cell>
          <cell r="B10918" t="str">
            <v>Atrapado, aplastado, trabado o apretado en o entre objetos</v>
          </cell>
        </row>
        <row r="10919">
          <cell r="A10919" t="str">
            <v>W23.0</v>
          </cell>
          <cell r="B10919" t="str">
            <v>Atrapado, aplastado, trabado o apretado en o entre objetos, en vivienda</v>
          </cell>
        </row>
        <row r="10920">
          <cell r="A10920" t="str">
            <v>W23.1</v>
          </cell>
          <cell r="B10920" t="str">
            <v>Atrapado, aplastado, trabado o apretado en o entre objetos, en institución residencial</v>
          </cell>
        </row>
        <row r="10921">
          <cell r="A10921" t="str">
            <v>W23.2</v>
          </cell>
          <cell r="B10921" t="str">
            <v>Atrapado, aplastado, trabado o apretado en o entre objetos, en escuelas, otras instituciones y áreas administrativas públicas</v>
          </cell>
        </row>
        <row r="10922">
          <cell r="A10922" t="str">
            <v>W23.3</v>
          </cell>
          <cell r="B10922" t="str">
            <v>Atrapado, aplastado, trabado o apretado en o entre objetos, en áreas de deporte y atletismo</v>
          </cell>
        </row>
        <row r="10923">
          <cell r="A10923" t="str">
            <v>W23.4</v>
          </cell>
          <cell r="B10923" t="str">
            <v>Atrapado, aplastado, trabado o apretado en o entre objetos, en calles y carreteras</v>
          </cell>
        </row>
        <row r="10924">
          <cell r="A10924" t="str">
            <v>W23.5</v>
          </cell>
          <cell r="B10924" t="str">
            <v>Atrapado, aplastado, trabado o apretado en o entre objetos, en comercio y área de servicios</v>
          </cell>
        </row>
        <row r="10925">
          <cell r="A10925" t="str">
            <v>W23.6</v>
          </cell>
          <cell r="B10925" t="str">
            <v>Atrapado, aplastado, trabado o apretado en o entre objetos, en área industrial y de la construcción</v>
          </cell>
        </row>
        <row r="10926">
          <cell r="A10926" t="str">
            <v>W23.7</v>
          </cell>
          <cell r="B10926" t="str">
            <v>Atrapado, aplastado, trabado o apretado en o entre objetos, en granja</v>
          </cell>
        </row>
        <row r="10927">
          <cell r="A10927" t="str">
            <v>W23.8</v>
          </cell>
          <cell r="B10927" t="str">
            <v>Atrapado, aplastado, trabado o apretado en o entre objetos, en otro lugar especificado</v>
          </cell>
        </row>
        <row r="10928">
          <cell r="A10928" t="str">
            <v>W23.9</v>
          </cell>
          <cell r="B10928" t="str">
            <v>Atrapado, aplastado, trabado o apretado en o entre objetos, en lugar no especificado</v>
          </cell>
        </row>
        <row r="10929">
          <cell r="A10929" t="str">
            <v>W24</v>
          </cell>
          <cell r="B10929" t="str">
            <v>Contacto traumático con dispositivos de elevación y transmisión, no clasificados en otra parte</v>
          </cell>
        </row>
        <row r="10930">
          <cell r="A10930" t="str">
            <v>W24.0</v>
          </cell>
          <cell r="B10930" t="str">
            <v>Contacto traumático con dispositivos de elevación y transmisión, no clasificados en otra parte, en vivienda</v>
          </cell>
        </row>
        <row r="10931">
          <cell r="A10931" t="str">
            <v>W24.1</v>
          </cell>
          <cell r="B10931" t="str">
            <v>Contacto traumático con dispositivos de elevación y transmisión, no clasificados en otra parte, en institución residencial</v>
          </cell>
        </row>
        <row r="10932">
          <cell r="A10932" t="str">
            <v>W24.2</v>
          </cell>
          <cell r="B10932" t="str">
            <v>Contacto traumático con dispositivos de elevación y transmisión, no clasificados en otra parte, en escuelas, otras instituciones y áreas administrativas públicas</v>
          </cell>
        </row>
        <row r="10933">
          <cell r="A10933" t="str">
            <v>W24.3</v>
          </cell>
          <cell r="B10933" t="str">
            <v>Contacto traumático con dispositivos de elevación y transmisión, no clasificados en otra parte, en áreas de deporte y atletismo</v>
          </cell>
        </row>
        <row r="10934">
          <cell r="A10934" t="str">
            <v>W24.4</v>
          </cell>
          <cell r="B10934" t="str">
            <v>Contacto traumático con dispositivos de elevación y transmisión, no clasificados en otra parte, en calles y carreteras</v>
          </cell>
        </row>
        <row r="10935">
          <cell r="A10935" t="str">
            <v>W24.5</v>
          </cell>
          <cell r="B10935" t="str">
            <v>Contacto traumático con dispositivos de elevación y transmisión, no clasificados en otra parte, en comercio y área de servicios</v>
          </cell>
        </row>
        <row r="10936">
          <cell r="A10936" t="str">
            <v>W24.6</v>
          </cell>
          <cell r="B10936" t="str">
            <v>Contacto traumático con dispositivos de elevación y transmisión, no clasificados en otra parte, en área industrial y de la construcción</v>
          </cell>
        </row>
        <row r="10937">
          <cell r="A10937" t="str">
            <v>W24.7</v>
          </cell>
          <cell r="B10937" t="str">
            <v>Contacto traumático con dispositivos de elevación y transmisión, no clasificados en otra parte, en granja</v>
          </cell>
        </row>
        <row r="10938">
          <cell r="A10938" t="str">
            <v>W24.8</v>
          </cell>
          <cell r="B10938" t="str">
            <v>Contacto traumático con dispositivos de elevación y transmisión, no clasificados en otra parte, en otro lugar especificado</v>
          </cell>
        </row>
        <row r="10939">
          <cell r="A10939" t="str">
            <v>W24.9</v>
          </cell>
          <cell r="B10939" t="str">
            <v>Contacto traumático con dispositivos de elevación y transmisión, no clasificados en otra parte, en lugar no especificado</v>
          </cell>
        </row>
        <row r="10940">
          <cell r="A10940" t="str">
            <v>W25</v>
          </cell>
          <cell r="B10940" t="str">
            <v>Contacto traumático con vidrio cortante</v>
          </cell>
        </row>
        <row r="10941">
          <cell r="A10941" t="str">
            <v>W25.0</v>
          </cell>
          <cell r="B10941" t="str">
            <v>Contacto traumático con vidrio cortante, en vivienda</v>
          </cell>
        </row>
        <row r="10942">
          <cell r="A10942" t="str">
            <v>W25.1</v>
          </cell>
          <cell r="B10942" t="str">
            <v>Contacto traumático con vidrio cortante, en institución residencial</v>
          </cell>
        </row>
        <row r="10943">
          <cell r="A10943" t="str">
            <v>W25.2</v>
          </cell>
          <cell r="B10943" t="str">
            <v>Contacto traumático con vidrio cortante, en escuelas, otras instituciones y áreas administrativas públicas</v>
          </cell>
        </row>
        <row r="10944">
          <cell r="A10944" t="str">
            <v>W25.3</v>
          </cell>
          <cell r="B10944" t="str">
            <v>Contacto traumático con vidrio cortante, en áreas de deporte y atletismo</v>
          </cell>
        </row>
        <row r="10945">
          <cell r="A10945" t="str">
            <v>W25.4</v>
          </cell>
          <cell r="B10945" t="str">
            <v>Contacto traumático con vidrio cortante, en calles y carreteras</v>
          </cell>
        </row>
        <row r="10946">
          <cell r="A10946" t="str">
            <v>W25.5</v>
          </cell>
          <cell r="B10946" t="str">
            <v>Contacto traumático con vidrio cortante, en comercio y área de servicios</v>
          </cell>
        </row>
        <row r="10947">
          <cell r="A10947" t="str">
            <v>W25.6</v>
          </cell>
          <cell r="B10947" t="str">
            <v>Contacto traumático con vidrio cortante, en área industrial y de la construcción</v>
          </cell>
        </row>
        <row r="10948">
          <cell r="A10948" t="str">
            <v>W25.7</v>
          </cell>
          <cell r="B10948" t="str">
            <v>Contacto traumático con vidrio cortante, en granja</v>
          </cell>
        </row>
        <row r="10949">
          <cell r="A10949" t="str">
            <v>W25.8</v>
          </cell>
          <cell r="B10949" t="str">
            <v>Contacto traumático con vidrio cortante, en otro lugar especificado</v>
          </cell>
        </row>
        <row r="10950">
          <cell r="A10950" t="str">
            <v>W25.9</v>
          </cell>
          <cell r="B10950" t="str">
            <v>Contacto traumático con vidrio cortante, en lugar no especificado</v>
          </cell>
        </row>
        <row r="10951">
          <cell r="A10951" t="str">
            <v>W26</v>
          </cell>
          <cell r="B10951" t="str">
            <v>Contacto traumático con cuchillo, espada, daga o puñal</v>
          </cell>
        </row>
        <row r="10952">
          <cell r="A10952" t="str">
            <v>W26.0</v>
          </cell>
          <cell r="B10952" t="str">
            <v>Contacto traumático con cuchillo, espada, daga o puñal, en  vivienda</v>
          </cell>
        </row>
        <row r="10953">
          <cell r="A10953" t="str">
            <v>W26.1</v>
          </cell>
          <cell r="B10953" t="str">
            <v>Contacto traumático con cuchillo, espada, daga o puñal, en institución residencial</v>
          </cell>
        </row>
        <row r="10954">
          <cell r="A10954" t="str">
            <v>W26.2</v>
          </cell>
          <cell r="B10954" t="str">
            <v>Contacto traumático con cuchillo, espada, daga o puñal, en escuelas, otras instituciones y áreas administrativas públicas</v>
          </cell>
        </row>
        <row r="10955">
          <cell r="A10955" t="str">
            <v>W26.3</v>
          </cell>
          <cell r="B10955" t="str">
            <v>Contacto traumático con cuchillo, espada, daga o puñal, en áreas de deporte y atletismo</v>
          </cell>
        </row>
        <row r="10956">
          <cell r="A10956" t="str">
            <v>W26.4</v>
          </cell>
          <cell r="B10956" t="str">
            <v>Contacto traumático con cuchillo, espada, daga o puñal, en calles y carreteras</v>
          </cell>
        </row>
        <row r="10957">
          <cell r="A10957" t="str">
            <v>W26.5</v>
          </cell>
          <cell r="B10957" t="str">
            <v>Contacto traumático con cuchillo, espada, daga o puñal, en comercio y área de servicios</v>
          </cell>
        </row>
        <row r="10958">
          <cell r="A10958" t="str">
            <v>W26.6</v>
          </cell>
          <cell r="B10958" t="str">
            <v>Contacto traumático con cuchillo, espada, daga o puñal, en área industrial y de la construcción</v>
          </cell>
        </row>
        <row r="10959">
          <cell r="A10959" t="str">
            <v>W26.7</v>
          </cell>
          <cell r="B10959" t="str">
            <v>Contacto traumático con cuchillo, espada, daga o puñal, en granja</v>
          </cell>
        </row>
        <row r="10960">
          <cell r="A10960" t="str">
            <v>W26.8</v>
          </cell>
          <cell r="B10960" t="str">
            <v>Contacto traumático con cuchillo, espada, daga o puñal, en otro lugar especificado</v>
          </cell>
        </row>
        <row r="10961">
          <cell r="A10961" t="str">
            <v>W26.9</v>
          </cell>
          <cell r="B10961" t="str">
            <v>Contacto traumático con cuchillo, espada, daga o puñal, en lugar no especificado</v>
          </cell>
        </row>
        <row r="10962">
          <cell r="A10962" t="str">
            <v>W27</v>
          </cell>
          <cell r="B10962" t="str">
            <v>Contacto traumático con herramientas manuales sin motor</v>
          </cell>
        </row>
        <row r="10963">
          <cell r="A10963" t="str">
            <v>W27.0</v>
          </cell>
          <cell r="B10963" t="str">
            <v>Contacto traumático con herramientas manuales sin motor, en vivienda</v>
          </cell>
        </row>
        <row r="10964">
          <cell r="A10964" t="str">
            <v>W27.1</v>
          </cell>
          <cell r="B10964" t="str">
            <v>Contacto traumático con herramientas manuales sin motor, en institución residencial</v>
          </cell>
        </row>
        <row r="10965">
          <cell r="A10965" t="str">
            <v>W27.2</v>
          </cell>
          <cell r="B10965" t="str">
            <v>Contacto traumático con herramientas manuales sin motor, en escuelas, otras instituciones y áreas administrativas públicas</v>
          </cell>
        </row>
        <row r="10966">
          <cell r="A10966" t="str">
            <v>W27.3</v>
          </cell>
          <cell r="B10966" t="str">
            <v>Contacto traumático con herramientas manuales sin motor, en áreas de deporte y atletismo</v>
          </cell>
        </row>
        <row r="10967">
          <cell r="A10967" t="str">
            <v>W27.4</v>
          </cell>
          <cell r="B10967" t="str">
            <v>Contacto traumático con herramientas manuales sin motor, en calles y carreteras</v>
          </cell>
        </row>
        <row r="10968">
          <cell r="A10968" t="str">
            <v>W27.5</v>
          </cell>
          <cell r="B10968" t="str">
            <v>Contacto traumático con herramientas manuales sin motor, en comercio y área de servicios</v>
          </cell>
        </row>
        <row r="10969">
          <cell r="A10969" t="str">
            <v>W27.6</v>
          </cell>
          <cell r="B10969" t="str">
            <v>Contacto traumático con herramientas manuales sin motor, en área industrial y de la construcción</v>
          </cell>
        </row>
        <row r="10970">
          <cell r="A10970" t="str">
            <v>W27.7</v>
          </cell>
          <cell r="B10970" t="str">
            <v>Contacto traumático con herramientas manuales sin motor, en granja</v>
          </cell>
        </row>
        <row r="10971">
          <cell r="A10971" t="str">
            <v>W27.8</v>
          </cell>
          <cell r="B10971" t="str">
            <v>Contacto traumático con herramientas manuales sin motor, en otro lugar especificado</v>
          </cell>
        </row>
        <row r="10972">
          <cell r="A10972" t="str">
            <v>W27.9</v>
          </cell>
          <cell r="B10972" t="str">
            <v>Contacto traumático con herramientas manuales sin motor, en lugar no especificado</v>
          </cell>
        </row>
        <row r="10973">
          <cell r="A10973" t="str">
            <v>W28</v>
          </cell>
          <cell r="B10973" t="str">
            <v>Contacto traumático con cortadora de césped, con motor</v>
          </cell>
        </row>
        <row r="10974">
          <cell r="A10974" t="str">
            <v>W28.0</v>
          </cell>
          <cell r="B10974" t="str">
            <v>Contacto traumático con cortadora de césped, con motor, en vivienda</v>
          </cell>
        </row>
        <row r="10975">
          <cell r="A10975" t="str">
            <v>W28.1</v>
          </cell>
          <cell r="B10975" t="str">
            <v>Contacto traumático con cortadora de césped, con motor, en institución residencial</v>
          </cell>
        </row>
        <row r="10976">
          <cell r="A10976" t="str">
            <v>W28.2</v>
          </cell>
          <cell r="B10976" t="str">
            <v>Contacto traumático con cortadora de césped, con motor, en escuelas, otras instituciones y áreas administrativas públicas</v>
          </cell>
        </row>
        <row r="10977">
          <cell r="A10977" t="str">
            <v>W28.3</v>
          </cell>
          <cell r="B10977" t="str">
            <v>Contacto traumático con cortadora de césped, con motor, en áreas de deporte y atletismo</v>
          </cell>
        </row>
        <row r="10978">
          <cell r="A10978" t="str">
            <v>W28.4</v>
          </cell>
          <cell r="B10978" t="str">
            <v>Contacto traumático con cortadora de césped, con motor, en calles y carreteras</v>
          </cell>
        </row>
        <row r="10979">
          <cell r="A10979" t="str">
            <v>W28.5</v>
          </cell>
          <cell r="B10979" t="str">
            <v>Contacto traumático con cortadora de césped, con motor, en comercio y área de servicios</v>
          </cell>
        </row>
        <row r="10980">
          <cell r="A10980" t="str">
            <v>W28.6</v>
          </cell>
          <cell r="B10980" t="str">
            <v>Contacto traumático con cortadora de césped, con motor, en área industrial y de la construcción</v>
          </cell>
        </row>
        <row r="10981">
          <cell r="A10981" t="str">
            <v>W28.7</v>
          </cell>
          <cell r="B10981" t="str">
            <v>Contacto traumático con cortadora de césped, con motor, en granja</v>
          </cell>
        </row>
        <row r="10982">
          <cell r="A10982" t="str">
            <v>W28.8</v>
          </cell>
          <cell r="B10982" t="str">
            <v>Contacto traumático con cortadora de césped, con motor, en otro lugar especificado</v>
          </cell>
        </row>
        <row r="10983">
          <cell r="A10983" t="str">
            <v>W28.9</v>
          </cell>
          <cell r="B10983" t="str">
            <v>Contacto traumático con cortadora de césped, con motor, en lugar no especificado</v>
          </cell>
        </row>
        <row r="10984">
          <cell r="A10984" t="str">
            <v>W29</v>
          </cell>
          <cell r="B10984" t="str">
            <v>Contacto traumático con otras herramientas manuales y artefactos del hogar, con motor</v>
          </cell>
        </row>
        <row r="10985">
          <cell r="A10985" t="str">
            <v>W29.0</v>
          </cell>
          <cell r="B10985" t="str">
            <v>Contacto traumático con otras herramientas manuales y artefactos del hogar, con motor, en vivienda</v>
          </cell>
        </row>
        <row r="10986">
          <cell r="A10986" t="str">
            <v>W29.1</v>
          </cell>
          <cell r="B10986" t="str">
            <v>Contacto traumático con otras herramientas manuales y artefactos del hogar, con motor, en institución residencial</v>
          </cell>
        </row>
        <row r="10987">
          <cell r="A10987" t="str">
            <v>W29.2</v>
          </cell>
          <cell r="B10987" t="str">
            <v>Contacto traumático con otras herramientas manuales y artefactos del hogar, con motor, en escuelas, otras instituciones y áreas administrativas públicas</v>
          </cell>
        </row>
        <row r="10988">
          <cell r="A10988" t="str">
            <v>W29.3</v>
          </cell>
          <cell r="B10988" t="str">
            <v>Contacto traumático con otras herramientas manuales y artefactos del hogar, con motor, en áreas de deporte y atletismo</v>
          </cell>
        </row>
        <row r="10989">
          <cell r="A10989" t="str">
            <v>W29.4</v>
          </cell>
          <cell r="B10989" t="str">
            <v>Contacto traumático con otras herramientas manuales y artefactos del hogar, con motor, en calles y carreteras</v>
          </cell>
        </row>
        <row r="10990">
          <cell r="A10990" t="str">
            <v>W29.5</v>
          </cell>
          <cell r="B10990" t="str">
            <v>Contacto traumático con otras herramientas manuales y artefactos del hogar, con motor, en comercio y área de servicios</v>
          </cell>
        </row>
        <row r="10991">
          <cell r="A10991" t="str">
            <v>W29.6</v>
          </cell>
          <cell r="B10991" t="str">
            <v>Contacto traumático con otras herramientas manuales y artefactos del hogar, con motor, en área industrial y de la construcción</v>
          </cell>
        </row>
        <row r="10992">
          <cell r="A10992" t="str">
            <v>W29.7</v>
          </cell>
          <cell r="B10992" t="str">
            <v>Contacto traumático con otras herramientas manuales y artefactos del hogar, con motor, en granja</v>
          </cell>
        </row>
        <row r="10993">
          <cell r="A10993" t="str">
            <v>W29.8</v>
          </cell>
          <cell r="B10993" t="str">
            <v>Contacto traumático con otras herramientas manuales y artefactos del hogar, con motor, en otro lugar especificado</v>
          </cell>
        </row>
        <row r="10994">
          <cell r="A10994" t="str">
            <v>W29.9</v>
          </cell>
          <cell r="B10994" t="str">
            <v>Contacto traumático con otras herramientas manuales y artefactos del hogar, con motor, en lugar no especificado</v>
          </cell>
        </row>
        <row r="10995">
          <cell r="A10995" t="str">
            <v>W30</v>
          </cell>
          <cell r="B10995" t="str">
            <v>Contacto traumático con maquinaria agrícola</v>
          </cell>
        </row>
        <row r="10996">
          <cell r="A10996" t="str">
            <v>W30.0</v>
          </cell>
          <cell r="B10996" t="str">
            <v>Contacto traumático con maquinaria agrícola, en vivienda</v>
          </cell>
        </row>
        <row r="10997">
          <cell r="A10997" t="str">
            <v>W30.1</v>
          </cell>
          <cell r="B10997" t="str">
            <v>Contacto traumático con maquinaria agrícola, en institución residencial</v>
          </cell>
        </row>
        <row r="10998">
          <cell r="A10998" t="str">
            <v>W30.2</v>
          </cell>
          <cell r="B10998" t="str">
            <v>Contacto traumático con maquinaria agrícola, en escuelas, otras instituciones y áreas administrativas públicas</v>
          </cell>
        </row>
        <row r="10999">
          <cell r="A10999" t="str">
            <v>W30.3</v>
          </cell>
          <cell r="B10999" t="str">
            <v>Contacto traumático con maquinaria agrícola, en áreas de deporte y atletismo</v>
          </cell>
        </row>
        <row r="11000">
          <cell r="A11000" t="str">
            <v>W30.4</v>
          </cell>
          <cell r="B11000" t="str">
            <v>Contacto traumático con maquinaria agrícola, en calles y carreteras</v>
          </cell>
        </row>
        <row r="11001">
          <cell r="A11001" t="str">
            <v>W30.5</v>
          </cell>
          <cell r="B11001" t="str">
            <v>Contacto traumático con maquinaria agrícola, en comercio y área de servicios</v>
          </cell>
        </row>
        <row r="11002">
          <cell r="A11002" t="str">
            <v>W30.6</v>
          </cell>
          <cell r="B11002" t="str">
            <v>Contacto traumático con maquinaria agrícola, en área industrial y de la construcción</v>
          </cell>
        </row>
        <row r="11003">
          <cell r="A11003" t="str">
            <v>W30.7</v>
          </cell>
          <cell r="B11003" t="str">
            <v>Contacto traumático con maquinaria agrícola, en granja</v>
          </cell>
        </row>
        <row r="11004">
          <cell r="A11004" t="str">
            <v>W30.8</v>
          </cell>
          <cell r="B11004" t="str">
            <v>Contacto traumático con maquinaria agrícola, en otro lugar especificado</v>
          </cell>
        </row>
        <row r="11005">
          <cell r="A11005" t="str">
            <v>W30.9</v>
          </cell>
          <cell r="B11005" t="str">
            <v>Contacto traumático con maquinaria agrícola, en lugar no especificado</v>
          </cell>
        </row>
        <row r="11006">
          <cell r="A11006" t="str">
            <v>W31</v>
          </cell>
          <cell r="B11006" t="str">
            <v>Contacto traumático con otras maquinarias, y las no especificadas</v>
          </cell>
        </row>
        <row r="11007">
          <cell r="A11007" t="str">
            <v>W31.0</v>
          </cell>
          <cell r="B11007" t="str">
            <v>Contacto traumático con otras maquinarias, y las no especificadas, en vivienda</v>
          </cell>
        </row>
        <row r="11008">
          <cell r="A11008" t="str">
            <v>W31.1</v>
          </cell>
          <cell r="B11008" t="str">
            <v>Contacto traumático con otras maquinarias, y las no especificadas, en institución residencial</v>
          </cell>
        </row>
        <row r="11009">
          <cell r="A11009" t="str">
            <v>W31.2</v>
          </cell>
          <cell r="B11009" t="str">
            <v>Contacto traumático con otras maquinarias, y las no especificadas, en escuelas, otras instituciones y áreas administrativas públicas</v>
          </cell>
        </row>
        <row r="11010">
          <cell r="A11010" t="str">
            <v>W31.3</v>
          </cell>
          <cell r="B11010" t="str">
            <v>Contacto traumático con otras maquinarias, y las no especificadas, en áreas de deporte y atletismo</v>
          </cell>
        </row>
        <row r="11011">
          <cell r="A11011" t="str">
            <v>W31.4</v>
          </cell>
          <cell r="B11011" t="str">
            <v>Contacto traumático con otras maquinarias, y las no especificadas, en calles y carreteras</v>
          </cell>
        </row>
        <row r="11012">
          <cell r="A11012" t="str">
            <v>W31.5</v>
          </cell>
          <cell r="B11012" t="str">
            <v>Contacto traumático con otras maquinarias, y las no especificadas, en comercio y área de servicios</v>
          </cell>
        </row>
        <row r="11013">
          <cell r="A11013" t="str">
            <v>W31.6</v>
          </cell>
          <cell r="B11013" t="str">
            <v>Contacto traumático con otras maquinarias, y las no especificadas, en área industrial y de la construcción</v>
          </cell>
        </row>
        <row r="11014">
          <cell r="A11014" t="str">
            <v>W31.7</v>
          </cell>
          <cell r="B11014" t="str">
            <v>Contacto traumático con otras maquinarias, y las no especificadas, en granja</v>
          </cell>
        </row>
        <row r="11015">
          <cell r="A11015" t="str">
            <v>W31.8</v>
          </cell>
          <cell r="B11015" t="str">
            <v>Contacto traumático con otras maquinarias, y las no especificadas, en otro lugar especificado</v>
          </cell>
        </row>
        <row r="11016">
          <cell r="A11016" t="str">
            <v>W31.9</v>
          </cell>
          <cell r="B11016" t="str">
            <v>Contacto traumático con otras maquinarias, y las no especificadas, en lugar no especificado</v>
          </cell>
        </row>
        <row r="11017">
          <cell r="A11017" t="str">
            <v>W32</v>
          </cell>
          <cell r="B11017" t="str">
            <v>Disparo de arma corta</v>
          </cell>
        </row>
        <row r="11018">
          <cell r="A11018" t="str">
            <v>W32.0</v>
          </cell>
          <cell r="B11018" t="str">
            <v>Disparo de arma corta, en vivienda</v>
          </cell>
        </row>
        <row r="11019">
          <cell r="A11019" t="str">
            <v>W32.1</v>
          </cell>
          <cell r="B11019" t="str">
            <v>Disparo de arma corta, en institución residencial</v>
          </cell>
        </row>
        <row r="11020">
          <cell r="A11020" t="str">
            <v>W32.2</v>
          </cell>
          <cell r="B11020" t="str">
            <v>Disparo de arma corta, en escuelas, otras instituciones y áreas administrativas públicas</v>
          </cell>
        </row>
        <row r="11021">
          <cell r="A11021" t="str">
            <v>W32.3</v>
          </cell>
          <cell r="B11021" t="str">
            <v>Disparo de arma corta, en áreas de deporte y atletismo</v>
          </cell>
        </row>
        <row r="11022">
          <cell r="A11022" t="str">
            <v>W32.4</v>
          </cell>
          <cell r="B11022" t="str">
            <v>Disparo de arma corta, en calles y carreteras</v>
          </cell>
        </row>
        <row r="11023">
          <cell r="A11023" t="str">
            <v>W32.5</v>
          </cell>
          <cell r="B11023" t="str">
            <v>Disparo de arma corta, en comercio y área de servicios</v>
          </cell>
        </row>
        <row r="11024">
          <cell r="A11024" t="str">
            <v>W32.6</v>
          </cell>
          <cell r="B11024" t="str">
            <v>Disparo de arma corta, en área industrial y de la construcción</v>
          </cell>
        </row>
        <row r="11025">
          <cell r="A11025" t="str">
            <v>W32.7</v>
          </cell>
          <cell r="B11025" t="str">
            <v>Disparo de arma corta, en granja</v>
          </cell>
        </row>
        <row r="11026">
          <cell r="A11026" t="str">
            <v>W32.8</v>
          </cell>
          <cell r="B11026" t="str">
            <v>Disparo de arma corta, en otro lugar especificado</v>
          </cell>
        </row>
        <row r="11027">
          <cell r="A11027" t="str">
            <v>W32.9</v>
          </cell>
          <cell r="B11027" t="str">
            <v>Disparo de arma corta, en lugar no especificado</v>
          </cell>
        </row>
        <row r="11028">
          <cell r="A11028" t="str">
            <v>W33</v>
          </cell>
          <cell r="B11028" t="str">
            <v>Disparo de rifle, escopeta y arma larga</v>
          </cell>
        </row>
        <row r="11029">
          <cell r="A11029" t="str">
            <v>W33.0</v>
          </cell>
          <cell r="B11029" t="str">
            <v>Disparo de rifle, escopeta y arma larga, en vivienda</v>
          </cell>
        </row>
        <row r="11030">
          <cell r="A11030" t="str">
            <v>W33.1</v>
          </cell>
          <cell r="B11030" t="str">
            <v>Disparo de rifle, escopeta y arma larga, en institución residencial</v>
          </cell>
        </row>
        <row r="11031">
          <cell r="A11031" t="str">
            <v>W33.2</v>
          </cell>
          <cell r="B11031" t="str">
            <v>Disparo de rifle, escopeta y arma larga, en escuelas, otras instituciones y áreas administrativas públicas</v>
          </cell>
        </row>
        <row r="11032">
          <cell r="A11032" t="str">
            <v>W33.3</v>
          </cell>
          <cell r="B11032" t="str">
            <v>Disparo de rifle, escopeta y arma larga, en áreas de deporte y atletismo</v>
          </cell>
        </row>
        <row r="11033">
          <cell r="A11033" t="str">
            <v>W33.4</v>
          </cell>
          <cell r="B11033" t="str">
            <v>Disparo de rifle, escopeta y arma larga, en calles y carreteras</v>
          </cell>
        </row>
        <row r="11034">
          <cell r="A11034" t="str">
            <v>W33.5</v>
          </cell>
          <cell r="B11034" t="str">
            <v>Disparo de rifle, escopeta y arma larga, en comercio y área de servicios</v>
          </cell>
        </row>
        <row r="11035">
          <cell r="A11035" t="str">
            <v>W33.6</v>
          </cell>
          <cell r="B11035" t="str">
            <v>Disparo de rifle, escopeta y arma larga, en área industrial y de la construcción</v>
          </cell>
        </row>
        <row r="11036">
          <cell r="A11036" t="str">
            <v>W33.7</v>
          </cell>
          <cell r="B11036" t="str">
            <v>Disparo de rifle, escopeta y arma larga, en granja</v>
          </cell>
        </row>
        <row r="11037">
          <cell r="A11037" t="str">
            <v>W33.8</v>
          </cell>
          <cell r="B11037" t="str">
            <v>Disparo de rifle, escopeta y arma larga, en otro lugar especificado</v>
          </cell>
        </row>
        <row r="11038">
          <cell r="A11038" t="str">
            <v>W33.9</v>
          </cell>
          <cell r="B11038" t="str">
            <v>Disparo de rifle, escopeta y arma larga, en lugar no especificado</v>
          </cell>
        </row>
        <row r="11039">
          <cell r="A11039" t="str">
            <v>W34</v>
          </cell>
          <cell r="B11039" t="str">
            <v>Disparo de otras armas de fuego, y las no especificadas</v>
          </cell>
        </row>
        <row r="11040">
          <cell r="A11040" t="str">
            <v>W34.0</v>
          </cell>
          <cell r="B11040" t="str">
            <v>Disparo de otras armas de fuego, y las no especificadas, en vivienda</v>
          </cell>
        </row>
        <row r="11041">
          <cell r="A11041" t="str">
            <v>W34.1</v>
          </cell>
          <cell r="B11041" t="str">
            <v>Disparo de otras armas de fuego, y las no especificadas, en institución residencial</v>
          </cell>
        </row>
        <row r="11042">
          <cell r="A11042" t="str">
            <v>W34.2</v>
          </cell>
          <cell r="B11042" t="str">
            <v>Disparo de otras armas de fuego, y las no especificadas, en escuelas, otras instituciones y áreas administrativas públicas</v>
          </cell>
        </row>
        <row r="11043">
          <cell r="A11043" t="str">
            <v>W34.3</v>
          </cell>
          <cell r="B11043" t="str">
            <v>Disparo de otras armas de fuego, y las no especificadas, en áreas de deporte y atletismo</v>
          </cell>
        </row>
        <row r="11044">
          <cell r="A11044" t="str">
            <v>W34.4</v>
          </cell>
          <cell r="B11044" t="str">
            <v>Disparo de otras armas de fuego, y las no especificadas, en calles y carreteras</v>
          </cell>
        </row>
        <row r="11045">
          <cell r="A11045" t="str">
            <v>W34.5</v>
          </cell>
          <cell r="B11045" t="str">
            <v>Disparo de otras armas de fuego, y las no especificadas, en comercio y área de servicios</v>
          </cell>
        </row>
        <row r="11046">
          <cell r="A11046" t="str">
            <v>W34.6</v>
          </cell>
          <cell r="B11046" t="str">
            <v>Disparo de otras armas de fuego, y las no especificadas, en área industrial y de la construcción</v>
          </cell>
        </row>
        <row r="11047">
          <cell r="A11047" t="str">
            <v>W34.7</v>
          </cell>
          <cell r="B11047" t="str">
            <v>Disparo de otras armas de fuego, y las no especificadas, en granja</v>
          </cell>
        </row>
        <row r="11048">
          <cell r="A11048" t="str">
            <v>W34.8</v>
          </cell>
          <cell r="B11048" t="str">
            <v>Disparo de otras armas de fuego, y las no especificadas, en otro lugar especificado</v>
          </cell>
        </row>
        <row r="11049">
          <cell r="A11049" t="str">
            <v>W34.9</v>
          </cell>
          <cell r="B11049" t="str">
            <v>Disparo de otras armas de fuego, y las no especificadas, en lugar no especificado</v>
          </cell>
        </row>
        <row r="11050">
          <cell r="A11050" t="str">
            <v>W35</v>
          </cell>
          <cell r="B11050" t="str">
            <v>Explosión y rotura de caldera</v>
          </cell>
        </row>
        <row r="11051">
          <cell r="A11051" t="str">
            <v>W35.0</v>
          </cell>
          <cell r="B11051" t="str">
            <v>Explosión y rotura de caldera, en vivienda</v>
          </cell>
        </row>
        <row r="11052">
          <cell r="A11052" t="str">
            <v>W35.1</v>
          </cell>
          <cell r="B11052" t="str">
            <v>Explosión y rotura de caldera, en institución residencial</v>
          </cell>
        </row>
        <row r="11053">
          <cell r="A11053" t="str">
            <v>W35.2</v>
          </cell>
          <cell r="B11053" t="str">
            <v>Explosión y rotura de caldera, en escuelas, otras instituciones y áreas administrativas públicas</v>
          </cell>
        </row>
        <row r="11054">
          <cell r="A11054" t="str">
            <v>W35.3</v>
          </cell>
          <cell r="B11054" t="str">
            <v>Explosión y rotura de caldera, en áreas de deporte y atletismo</v>
          </cell>
        </row>
        <row r="11055">
          <cell r="A11055" t="str">
            <v>W35.4</v>
          </cell>
          <cell r="B11055" t="str">
            <v>Explosión y rotura de caldera, en calles y carreteras</v>
          </cell>
        </row>
        <row r="11056">
          <cell r="A11056" t="str">
            <v>W35.5</v>
          </cell>
          <cell r="B11056" t="str">
            <v>Explosión y rotura de caldera, en comercio y área de servicios</v>
          </cell>
        </row>
        <row r="11057">
          <cell r="A11057" t="str">
            <v>W35.6</v>
          </cell>
          <cell r="B11057" t="str">
            <v>Explosión y rotura de caldera, en área industrial y de la construcción</v>
          </cell>
        </row>
        <row r="11058">
          <cell r="A11058" t="str">
            <v>W35.7</v>
          </cell>
          <cell r="B11058" t="str">
            <v>Explosión y rotura de caldera, en granja</v>
          </cell>
        </row>
        <row r="11059">
          <cell r="A11059" t="str">
            <v>W35.8</v>
          </cell>
          <cell r="B11059" t="str">
            <v>Explosión y rotura de caldera, en otro lugar especificado</v>
          </cell>
        </row>
        <row r="11060">
          <cell r="A11060" t="str">
            <v>W35.9</v>
          </cell>
          <cell r="B11060" t="str">
            <v>Explosión y rotura de caldera, en lugar no especificado</v>
          </cell>
        </row>
        <row r="11061">
          <cell r="A11061" t="str">
            <v>W36</v>
          </cell>
          <cell r="B11061" t="str">
            <v>Explosión y rotura de cilindro con gas</v>
          </cell>
        </row>
        <row r="11062">
          <cell r="A11062" t="str">
            <v>W36.0</v>
          </cell>
          <cell r="B11062" t="str">
            <v>Explosión y rotura de cilindro con gas, en vivienda</v>
          </cell>
        </row>
        <row r="11063">
          <cell r="A11063" t="str">
            <v>W36.1</v>
          </cell>
          <cell r="B11063" t="str">
            <v>Explosión y rotura de cilindro con gas, en institución residencial</v>
          </cell>
        </row>
        <row r="11064">
          <cell r="A11064" t="str">
            <v>W36.2</v>
          </cell>
          <cell r="B11064" t="str">
            <v>Explosión y rotura de cilindro con gas, en escuelas, otras instituciones y áreas administrativas públicas</v>
          </cell>
        </row>
        <row r="11065">
          <cell r="A11065" t="str">
            <v>W36.3</v>
          </cell>
          <cell r="B11065" t="str">
            <v>Explosión y rotura de cilindro con gas, en áreas de deporte y atletismo</v>
          </cell>
        </row>
        <row r="11066">
          <cell r="A11066" t="str">
            <v>W36.4</v>
          </cell>
          <cell r="B11066" t="str">
            <v>Explosión y rotura de cilindro con gas, en calles y carreteras</v>
          </cell>
        </row>
        <row r="11067">
          <cell r="A11067" t="str">
            <v>W36.5</v>
          </cell>
          <cell r="B11067" t="str">
            <v>Explosión y rotura de cilindro con gas, en comercio y área de servicios</v>
          </cell>
        </row>
        <row r="11068">
          <cell r="A11068" t="str">
            <v>W36.6</v>
          </cell>
          <cell r="B11068" t="str">
            <v>Explosión y rotura de cilindro con gas, en área industrial y de la construcción</v>
          </cell>
        </row>
        <row r="11069">
          <cell r="A11069" t="str">
            <v>W36.7</v>
          </cell>
          <cell r="B11069" t="str">
            <v>Explosión y rotura de cilindro con gas, en granja</v>
          </cell>
        </row>
        <row r="11070">
          <cell r="A11070" t="str">
            <v>W36.8</v>
          </cell>
          <cell r="B11070" t="str">
            <v>Explosión y rotura de cilindro con gas, en otro lugar especificado</v>
          </cell>
        </row>
        <row r="11071">
          <cell r="A11071" t="str">
            <v>W36.9</v>
          </cell>
          <cell r="B11071" t="str">
            <v>Explosión y rotura de cilindro con gas, en lugar no especificado</v>
          </cell>
        </row>
        <row r="11072">
          <cell r="A11072" t="str">
            <v>W37</v>
          </cell>
          <cell r="B11072" t="str">
            <v>Explosión y rotura de neumático, tubo o manguera de goma presurizada</v>
          </cell>
        </row>
        <row r="11073">
          <cell r="A11073" t="str">
            <v>W37.0</v>
          </cell>
          <cell r="B11073" t="str">
            <v>Explosión y rotura de neumático, tubo o manguera de goma presurizada, en vivienda</v>
          </cell>
        </row>
        <row r="11074">
          <cell r="A11074" t="str">
            <v>W37.1</v>
          </cell>
          <cell r="B11074" t="str">
            <v>Explosión y rotura de neumático, tubo o manguera de goma presurizada, en institución residencial</v>
          </cell>
        </row>
        <row r="11075">
          <cell r="A11075" t="str">
            <v>W37.2</v>
          </cell>
          <cell r="B11075" t="str">
            <v>Explosión y rotura de neumático, tubo o manguera de goma presurizada, en escuelas, otras instituciones y áreas administrativas públicas</v>
          </cell>
        </row>
        <row r="11076">
          <cell r="A11076" t="str">
            <v>W37.3</v>
          </cell>
          <cell r="B11076" t="str">
            <v>Explosión y rotura de neumático, tubo o manguera de goma presurizada, en áreas de deporte y atletismo</v>
          </cell>
        </row>
        <row r="11077">
          <cell r="A11077" t="str">
            <v>W37.4</v>
          </cell>
          <cell r="B11077" t="str">
            <v>Explosión y rotura de neumático, tubo o manguera de goma presurizada, en calles y carreteras</v>
          </cell>
        </row>
        <row r="11078">
          <cell r="A11078" t="str">
            <v>W37.5</v>
          </cell>
          <cell r="B11078" t="str">
            <v>Explosión y rotura de neumático, tubo o manguera de goma presurizada, en comercio y área de servicios</v>
          </cell>
        </row>
        <row r="11079">
          <cell r="A11079" t="str">
            <v>W37.6</v>
          </cell>
          <cell r="B11079" t="str">
            <v>Explosión y rotura de neumático, tubo o manguera de goma presurizada, en área industrial y de la construcción</v>
          </cell>
        </row>
        <row r="11080">
          <cell r="A11080" t="str">
            <v>W37.7</v>
          </cell>
          <cell r="B11080" t="str">
            <v>Explosión y rotura de neumático, tubo o manguera de goma presurizada, en granja</v>
          </cell>
        </row>
        <row r="11081">
          <cell r="A11081" t="str">
            <v>W37.8</v>
          </cell>
          <cell r="B11081" t="str">
            <v>Explosión y rotura de neumático, tubo o manguera de goma presurizada, en otro lugar especificado</v>
          </cell>
        </row>
        <row r="11082">
          <cell r="A11082" t="str">
            <v>W37.9</v>
          </cell>
          <cell r="B11082" t="str">
            <v>Explosión y rotura de neumático, tubo o manguera de goma presurizada, en lugar no especificado</v>
          </cell>
        </row>
        <row r="11083">
          <cell r="A11083" t="str">
            <v>W38</v>
          </cell>
          <cell r="B11083" t="str">
            <v>Explosión y rotura de otros dispositivos presurizados especificados</v>
          </cell>
        </row>
        <row r="11084">
          <cell r="A11084" t="str">
            <v>W38.0</v>
          </cell>
          <cell r="B11084" t="str">
            <v>Explosión y rotura de otros dispositivos presurizados especificados, en vivienda</v>
          </cell>
        </row>
        <row r="11085">
          <cell r="A11085" t="str">
            <v>W38.1</v>
          </cell>
          <cell r="B11085" t="str">
            <v>Explosión y rotura de otros dispositivos presurizados especificados, en institución residencial</v>
          </cell>
        </row>
        <row r="11086">
          <cell r="A11086" t="str">
            <v>W38.2</v>
          </cell>
          <cell r="B11086" t="str">
            <v>Explosión y rotura de otros dispositivos presurizados especificados, en escuelas, otras instituciones y áreas administrativas públicas</v>
          </cell>
        </row>
        <row r="11087">
          <cell r="A11087" t="str">
            <v>W38.3</v>
          </cell>
          <cell r="B11087" t="str">
            <v>Explosión y rotura de otros dispositivos presurizados especificados, en áreas de deporte y atletismo</v>
          </cell>
        </row>
        <row r="11088">
          <cell r="A11088" t="str">
            <v>W38.4</v>
          </cell>
          <cell r="B11088" t="str">
            <v>Explosión y rotura de otros dispositivos presurizados especificados, en calles y carreteras</v>
          </cell>
        </row>
        <row r="11089">
          <cell r="A11089" t="str">
            <v>W38.5</v>
          </cell>
          <cell r="B11089" t="str">
            <v>Explosión y rotura de otros dispositivos presurizados especificados, en comercio y área de servicios</v>
          </cell>
        </row>
        <row r="11090">
          <cell r="A11090" t="str">
            <v>W38.6</v>
          </cell>
          <cell r="B11090" t="str">
            <v>Explosión y rotura de otros dispositivos presurizados especificados, en área industrial y de la construcción</v>
          </cell>
        </row>
        <row r="11091">
          <cell r="A11091" t="str">
            <v>W38.7</v>
          </cell>
          <cell r="B11091" t="str">
            <v>Explosión y rotura de otros dispositivos presurizados especificados, en granja</v>
          </cell>
        </row>
        <row r="11092">
          <cell r="A11092" t="str">
            <v>W38.8</v>
          </cell>
          <cell r="B11092" t="str">
            <v>Explosión y rotura de otros dispositivos presurizados especificados, en otro lugar especificado</v>
          </cell>
        </row>
        <row r="11093">
          <cell r="A11093" t="str">
            <v>W38.9</v>
          </cell>
          <cell r="B11093" t="str">
            <v>Explosión y rotura de otros dispositivos presurizados especificados, en lugar no especificado</v>
          </cell>
        </row>
        <row r="11094">
          <cell r="A11094" t="str">
            <v>W39</v>
          </cell>
          <cell r="B11094" t="str">
            <v>Explosión de fuegos artificiales</v>
          </cell>
        </row>
        <row r="11095">
          <cell r="A11095" t="str">
            <v>W39.0</v>
          </cell>
          <cell r="B11095" t="str">
            <v>Explosión de fuegos artificiales, en vivienda</v>
          </cell>
        </row>
        <row r="11096">
          <cell r="A11096" t="str">
            <v>W39.1</v>
          </cell>
          <cell r="B11096" t="str">
            <v>Explosión de fuegos artificiales, en institución residencial</v>
          </cell>
        </row>
        <row r="11097">
          <cell r="A11097" t="str">
            <v>W39.2</v>
          </cell>
          <cell r="B11097" t="str">
            <v>Explosión de fuegos artificiales, en escuelas, otras instituciones y áreas administrativas públicas</v>
          </cell>
        </row>
        <row r="11098">
          <cell r="A11098" t="str">
            <v>W39.3</v>
          </cell>
          <cell r="B11098" t="str">
            <v>Explosión de fuegos artificiales, en áreas de deporte y atletismo</v>
          </cell>
        </row>
        <row r="11099">
          <cell r="A11099" t="str">
            <v>W39.4</v>
          </cell>
          <cell r="B11099" t="str">
            <v>Explosión de fuegos artificiales, en calles y carreteras</v>
          </cell>
        </row>
        <row r="11100">
          <cell r="A11100" t="str">
            <v>W39.5</v>
          </cell>
          <cell r="B11100" t="str">
            <v>Explosión de fuegos artificiales, en comercio y área de servicios</v>
          </cell>
        </row>
        <row r="11101">
          <cell r="A11101" t="str">
            <v>W39.6</v>
          </cell>
          <cell r="B11101" t="str">
            <v>Explosión de fuegos artificiales, en área industrial y de la construcción</v>
          </cell>
        </row>
        <row r="11102">
          <cell r="A11102" t="str">
            <v>W39.7</v>
          </cell>
          <cell r="B11102" t="str">
            <v>Explosión de fuegos artificiales, en granja</v>
          </cell>
        </row>
        <row r="11103">
          <cell r="A11103" t="str">
            <v>W39.8</v>
          </cell>
          <cell r="B11103" t="str">
            <v>Explosión de fuegos artificiales, en otro lugar especificado</v>
          </cell>
        </row>
        <row r="11104">
          <cell r="A11104" t="str">
            <v>W39.9</v>
          </cell>
          <cell r="B11104" t="str">
            <v>Explosión de fuegos artificiales, en lugar no especificado</v>
          </cell>
        </row>
        <row r="11105">
          <cell r="A11105" t="str">
            <v>W40</v>
          </cell>
          <cell r="B11105" t="str">
            <v>Explosión de fuegos artificiales, en Explosión de otros materiales</v>
          </cell>
        </row>
        <row r="11106">
          <cell r="A11106" t="str">
            <v>W40.0</v>
          </cell>
          <cell r="B11106" t="str">
            <v>Explosión de fuegos artificiales, en Explosión de otros materiales, en vivienda</v>
          </cell>
        </row>
        <row r="11107">
          <cell r="A11107" t="str">
            <v>W40.1</v>
          </cell>
          <cell r="B11107" t="str">
            <v>Explosión de fuegos artificiales, en Explosión de otros materiales, en institución residencial</v>
          </cell>
        </row>
        <row r="11108">
          <cell r="A11108" t="str">
            <v>W40.2</v>
          </cell>
          <cell r="B11108" t="str">
            <v>Explosión de fuegos artificiales, en Explosión de otros materiales, en escuelas, otras instituciones y áreas administrativas públicas</v>
          </cell>
        </row>
        <row r="11109">
          <cell r="A11109" t="str">
            <v>W40.3</v>
          </cell>
          <cell r="B11109" t="str">
            <v>Explosión de fuegos artificiales, en Explosión de otros materiales, en áreas de deporte y atletismo</v>
          </cell>
        </row>
        <row r="11110">
          <cell r="A11110" t="str">
            <v>W40.4</v>
          </cell>
          <cell r="B11110" t="str">
            <v>Explosión de fuegos artificiales, en Explosión de otros materiales, en calles y carreteras</v>
          </cell>
        </row>
        <row r="11111">
          <cell r="A11111" t="str">
            <v>W40.5</v>
          </cell>
          <cell r="B11111" t="str">
            <v>Explosión de fuegos artificiales, en Explosión de otros materiales, en comercio y área de servicios</v>
          </cell>
        </row>
        <row r="11112">
          <cell r="A11112" t="str">
            <v>W40.6</v>
          </cell>
          <cell r="B11112" t="str">
            <v>Explosión de fuegos artificiales, en Explosión de otros materiales, en área industrial y de la construcción</v>
          </cell>
        </row>
        <row r="11113">
          <cell r="A11113" t="str">
            <v>W40.7</v>
          </cell>
          <cell r="B11113" t="str">
            <v>Explosión de fuegos artificiales, en Explosión de otros materiales, en granja</v>
          </cell>
        </row>
        <row r="11114">
          <cell r="A11114" t="str">
            <v>W40.8</v>
          </cell>
          <cell r="B11114" t="str">
            <v>Explosión de fuegos artificiales, en Explosión de otros materiales, en otro lugar especificado</v>
          </cell>
        </row>
        <row r="11115">
          <cell r="A11115" t="str">
            <v>W40.9</v>
          </cell>
          <cell r="B11115" t="str">
            <v>Explosión de fuegos artificiales, en Explosión de otros materiales, en lugar no especificado</v>
          </cell>
        </row>
        <row r="11116">
          <cell r="A11116" t="str">
            <v>W41</v>
          </cell>
          <cell r="B11116" t="str">
            <v>Exposición a chorro de alta presión</v>
          </cell>
        </row>
        <row r="11117">
          <cell r="A11117" t="str">
            <v>W41.0</v>
          </cell>
          <cell r="B11117" t="str">
            <v>Exposición a chorro de alta presión, en vivienda</v>
          </cell>
        </row>
        <row r="11118">
          <cell r="A11118" t="str">
            <v>W41.1</v>
          </cell>
          <cell r="B11118" t="str">
            <v>Exposición a chorro de alta presión, en institución residencial</v>
          </cell>
        </row>
        <row r="11119">
          <cell r="A11119" t="str">
            <v>W41.2</v>
          </cell>
          <cell r="B11119" t="str">
            <v>Exposición a chorro de alta presión, en escuelas, otras instituciones y áreas administrativas públicas</v>
          </cell>
        </row>
        <row r="11120">
          <cell r="A11120" t="str">
            <v>W41.3</v>
          </cell>
          <cell r="B11120" t="str">
            <v>Exposición a chorro de alta presión, en áreas de deporte y atletismo</v>
          </cell>
        </row>
        <row r="11121">
          <cell r="A11121" t="str">
            <v>W41.4</v>
          </cell>
          <cell r="B11121" t="str">
            <v>Exposición a chorro de alta presión, en calles y carreteras</v>
          </cell>
        </row>
        <row r="11122">
          <cell r="A11122" t="str">
            <v>W41.5</v>
          </cell>
          <cell r="B11122" t="str">
            <v>Exposición a chorro de alta presión, en comercio y área de servicios</v>
          </cell>
        </row>
        <row r="11123">
          <cell r="A11123" t="str">
            <v>W41.6</v>
          </cell>
          <cell r="B11123" t="str">
            <v>Exposición a chorro de alta presión, en área industrial y de la construcción</v>
          </cell>
        </row>
        <row r="11124">
          <cell r="A11124" t="str">
            <v>W41.7</v>
          </cell>
          <cell r="B11124" t="str">
            <v>Exposición a chorro de alta presión, en granja</v>
          </cell>
        </row>
        <row r="11125">
          <cell r="A11125" t="str">
            <v>W41.8</v>
          </cell>
          <cell r="B11125" t="str">
            <v>Exposición a chorro de alta presión, en otro lugar especificado</v>
          </cell>
        </row>
        <row r="11126">
          <cell r="A11126" t="str">
            <v>W41.9</v>
          </cell>
          <cell r="B11126" t="str">
            <v>Exposición a chorro de alta presión, en lugar no especificado</v>
          </cell>
        </row>
        <row r="11127">
          <cell r="A11127" t="str">
            <v>W42</v>
          </cell>
          <cell r="B11127" t="str">
            <v>Exposición al ruido</v>
          </cell>
        </row>
        <row r="11128">
          <cell r="A11128" t="str">
            <v>W42.0</v>
          </cell>
          <cell r="B11128" t="str">
            <v>Exposición al ruido, en vivienda</v>
          </cell>
        </row>
        <row r="11129">
          <cell r="A11129" t="str">
            <v>W42.1</v>
          </cell>
          <cell r="B11129" t="str">
            <v>Exposición al ruido, en institución residencial</v>
          </cell>
        </row>
        <row r="11130">
          <cell r="A11130" t="str">
            <v>W42.2</v>
          </cell>
          <cell r="B11130" t="str">
            <v>Exposición al ruido, en escuelas, otras instituciones y áreas administrativas públicas</v>
          </cell>
        </row>
        <row r="11131">
          <cell r="A11131" t="str">
            <v>W42.3</v>
          </cell>
          <cell r="B11131" t="str">
            <v>Exposición al ruido, en áreas de deporte y atletismo</v>
          </cell>
        </row>
        <row r="11132">
          <cell r="A11132" t="str">
            <v>W42.4</v>
          </cell>
          <cell r="B11132" t="str">
            <v>Exposición al ruido, en calles y carreteras</v>
          </cell>
        </row>
        <row r="11133">
          <cell r="A11133" t="str">
            <v>W42.5</v>
          </cell>
          <cell r="B11133" t="str">
            <v>Exposición al ruido, en comercio y área de servicios</v>
          </cell>
        </row>
        <row r="11134">
          <cell r="A11134" t="str">
            <v>W42.6</v>
          </cell>
          <cell r="B11134" t="str">
            <v>Exposición al ruido, en área industrial y de la construcción</v>
          </cell>
        </row>
        <row r="11135">
          <cell r="A11135" t="str">
            <v>W42.7</v>
          </cell>
          <cell r="B11135" t="str">
            <v>Exposición al ruido, en granja</v>
          </cell>
        </row>
        <row r="11136">
          <cell r="A11136" t="str">
            <v>W42.8</v>
          </cell>
          <cell r="B11136" t="str">
            <v>Exposición al ruido, en otro lugar especificado</v>
          </cell>
        </row>
        <row r="11137">
          <cell r="A11137" t="str">
            <v>W42.9</v>
          </cell>
          <cell r="B11137" t="str">
            <v>Exposición al ruido, en lugar no especificado</v>
          </cell>
        </row>
        <row r="11138">
          <cell r="A11138" t="str">
            <v>W43</v>
          </cell>
          <cell r="B11138" t="str">
            <v>Exposición a vibraciones</v>
          </cell>
        </row>
        <row r="11139">
          <cell r="A11139" t="str">
            <v>W43.0</v>
          </cell>
          <cell r="B11139" t="str">
            <v>Exposición a vibraciones, en vivienda</v>
          </cell>
        </row>
        <row r="11140">
          <cell r="A11140" t="str">
            <v>W43.1</v>
          </cell>
          <cell r="B11140" t="str">
            <v>Exposición a vibraciones, en institución residencial</v>
          </cell>
        </row>
        <row r="11141">
          <cell r="A11141" t="str">
            <v>W43.2</v>
          </cell>
          <cell r="B11141" t="str">
            <v>Exposición a vibraciones, en escuelas, otras instituciones y áreas administrativas públicas</v>
          </cell>
        </row>
        <row r="11142">
          <cell r="A11142" t="str">
            <v>W43.3</v>
          </cell>
          <cell r="B11142" t="str">
            <v>Exposición a vibraciones, en áreas de deporte y atletismo</v>
          </cell>
        </row>
        <row r="11143">
          <cell r="A11143" t="str">
            <v>W43.4</v>
          </cell>
          <cell r="B11143" t="str">
            <v>Exposición a vibraciones, en calles y carreteras</v>
          </cell>
        </row>
        <row r="11144">
          <cell r="A11144" t="str">
            <v>W43.5</v>
          </cell>
          <cell r="B11144" t="str">
            <v>Exposición a vibraciones, en comercio y área de servicios</v>
          </cell>
        </row>
        <row r="11145">
          <cell r="A11145" t="str">
            <v>W43.6</v>
          </cell>
          <cell r="B11145" t="str">
            <v>Exposición a vibraciones, en área industrial y de la construcción</v>
          </cell>
        </row>
        <row r="11146">
          <cell r="A11146" t="str">
            <v>W43.7</v>
          </cell>
          <cell r="B11146" t="str">
            <v>Exposición a vibraciones, en granja</v>
          </cell>
        </row>
        <row r="11147">
          <cell r="A11147" t="str">
            <v>W43.8</v>
          </cell>
          <cell r="B11147" t="str">
            <v>Exposición a vibraciones, en otro lugar especificado</v>
          </cell>
        </row>
        <row r="11148">
          <cell r="A11148" t="str">
            <v>W43.9</v>
          </cell>
          <cell r="B11148" t="str">
            <v>Exposición a vibraciones, en lugar no especificado</v>
          </cell>
        </row>
        <row r="11149">
          <cell r="A11149" t="str">
            <v>W44</v>
          </cell>
          <cell r="B11149" t="str">
            <v>Cuerpo extraño que penetra por el ojo u orificio natural</v>
          </cell>
        </row>
        <row r="11150">
          <cell r="A11150" t="str">
            <v>W44.0</v>
          </cell>
          <cell r="B11150" t="str">
            <v>Cuerpo extraño que penetra por el ojo u orificio natural, en vivienda</v>
          </cell>
        </row>
        <row r="11151">
          <cell r="A11151" t="str">
            <v>W44.1</v>
          </cell>
          <cell r="B11151" t="str">
            <v>Cuerpo extraño que penetra por el ojo u orificio natural, en institución residencial</v>
          </cell>
        </row>
        <row r="11152">
          <cell r="A11152" t="str">
            <v>W44.2</v>
          </cell>
          <cell r="B11152" t="str">
            <v>Cuerpo extraño que penetra por el ojo u orificio natural, en escuelas, otras instituciones y áreas administrativas públicas</v>
          </cell>
        </row>
        <row r="11153">
          <cell r="A11153" t="str">
            <v>W44.3</v>
          </cell>
          <cell r="B11153" t="str">
            <v>Cuerpo extraño que penetra por el ojo u orificio natural, en áreas de deporte y atletismo</v>
          </cell>
        </row>
        <row r="11154">
          <cell r="A11154" t="str">
            <v>W44.4</v>
          </cell>
          <cell r="B11154" t="str">
            <v>Cuerpo extraño que penetra por el ojo u orificio natural, en calles y carreteras</v>
          </cell>
        </row>
        <row r="11155">
          <cell r="A11155" t="str">
            <v>W44.5</v>
          </cell>
          <cell r="B11155" t="str">
            <v>Cuerpo extraño que penetra por el ojo u orificio natural, en comercio y área de servicios</v>
          </cell>
        </row>
        <row r="11156">
          <cell r="A11156" t="str">
            <v>W44.6</v>
          </cell>
          <cell r="B11156" t="str">
            <v>Cuerpo extraño que penetra por el ojo u orificio natural, en área industrial y de la construcción</v>
          </cell>
        </row>
        <row r="11157">
          <cell r="A11157" t="str">
            <v>W44.7</v>
          </cell>
          <cell r="B11157" t="str">
            <v>Cuerpo extraño que penetra por el ojo u orificio natural, en granja</v>
          </cell>
        </row>
        <row r="11158">
          <cell r="A11158" t="str">
            <v>W44.8</v>
          </cell>
          <cell r="B11158" t="str">
            <v>Cuerpo extraño que penetra por el ojo u orificio natural, en otro lugar especificado</v>
          </cell>
        </row>
        <row r="11159">
          <cell r="A11159" t="str">
            <v>W44.9</v>
          </cell>
          <cell r="B11159" t="str">
            <v>Cuerpo extraño que penetra por el ojo u orificio natural, en lugar no especificado</v>
          </cell>
        </row>
        <row r="11160">
          <cell r="A11160" t="str">
            <v>W45</v>
          </cell>
          <cell r="B11160" t="str">
            <v>Cuerpo extraño que penetra a través de la piel</v>
          </cell>
        </row>
        <row r="11161">
          <cell r="A11161" t="str">
            <v>W45.0</v>
          </cell>
          <cell r="B11161" t="str">
            <v>Cuerpo extraño que penetra a través de la piel, en vivienda</v>
          </cell>
        </row>
        <row r="11162">
          <cell r="A11162" t="str">
            <v>W45.1</v>
          </cell>
          <cell r="B11162" t="str">
            <v>Cuerpo extraño que penetra a través de la piel, en institución residencial</v>
          </cell>
        </row>
        <row r="11163">
          <cell r="A11163" t="str">
            <v>W45.2</v>
          </cell>
          <cell r="B11163" t="str">
            <v>Cuerpo extraño que penetra a través de la piel, en escuelas, otras instituciones y áreas administrativas públicas</v>
          </cell>
        </row>
        <row r="11164">
          <cell r="A11164" t="str">
            <v>W45.3</v>
          </cell>
          <cell r="B11164" t="str">
            <v>Cuerpo extraño que penetra a través de la piel, en áreas de deporte y atletismo</v>
          </cell>
        </row>
        <row r="11165">
          <cell r="A11165" t="str">
            <v>W45.4</v>
          </cell>
          <cell r="B11165" t="str">
            <v>Cuerpo extraño que penetra a través de la piel, en calles y carreteras</v>
          </cell>
        </row>
        <row r="11166">
          <cell r="A11166" t="str">
            <v>W45.5</v>
          </cell>
          <cell r="B11166" t="str">
            <v>Cuerpo extraño que penetra a través de la piel, en comercio y área de servicios</v>
          </cell>
        </row>
        <row r="11167">
          <cell r="A11167" t="str">
            <v>W45.6</v>
          </cell>
          <cell r="B11167" t="str">
            <v>Cuerpo extraño que penetra a través de la piel, en área industrial y de la construcción</v>
          </cell>
        </row>
        <row r="11168">
          <cell r="A11168" t="str">
            <v>W45.7</v>
          </cell>
          <cell r="B11168" t="str">
            <v>Cuerpo extraño que penetra a través de la piel, en granja</v>
          </cell>
        </row>
        <row r="11169">
          <cell r="A11169" t="str">
            <v>W45.8</v>
          </cell>
          <cell r="B11169" t="str">
            <v>Cuerpo extraño que penetra a través de la piel, en otro lugar especificado</v>
          </cell>
        </row>
        <row r="11170">
          <cell r="A11170" t="str">
            <v>W45.9</v>
          </cell>
          <cell r="B11170" t="str">
            <v>Cuerpo extraño que penetra a través de la piel, en lugar no especificado</v>
          </cell>
        </row>
        <row r="11171">
          <cell r="A11171" t="str">
            <v>W49</v>
          </cell>
          <cell r="B11171" t="str">
            <v>Exposición a otras fuerzas mecánicas inanimadas, y las no especificadas</v>
          </cell>
        </row>
        <row r="11172">
          <cell r="A11172" t="str">
            <v>W49.0</v>
          </cell>
          <cell r="B11172" t="str">
            <v>Exposición a otras fuerzas mecánicas inanimadas, y las no especificadas, en vivienda</v>
          </cell>
        </row>
        <row r="11173">
          <cell r="A11173" t="str">
            <v>W49.1</v>
          </cell>
          <cell r="B11173" t="str">
            <v>Exposición a otras fuerzas mecánicas inanimadas, y las no especificadas, en institución residencial</v>
          </cell>
        </row>
        <row r="11174">
          <cell r="A11174" t="str">
            <v>W49.2</v>
          </cell>
          <cell r="B11174" t="str">
            <v>Exposición a otras fuerzas mecánicas inanimadas, y las no especificadas, en escuelas, otras instituciones y áreas administrativas públicas</v>
          </cell>
        </row>
        <row r="11175">
          <cell r="A11175" t="str">
            <v>W49.3</v>
          </cell>
          <cell r="B11175" t="str">
            <v>Exposición a otras fuerzas mecánicas inanimadas, y las no especificadas, en áreas de deporte y atletismo</v>
          </cell>
        </row>
        <row r="11176">
          <cell r="A11176" t="str">
            <v>W49.4</v>
          </cell>
          <cell r="B11176" t="str">
            <v>Exposición a otras fuerzas mecánicas inanimadas, y las no especificadas, en calles y carreteras</v>
          </cell>
        </row>
        <row r="11177">
          <cell r="A11177" t="str">
            <v>W49.5</v>
          </cell>
          <cell r="B11177" t="str">
            <v>Exposición a otras fuerzas mecánicas inanimadas, y las no especificadas, en comercio y área de servicios</v>
          </cell>
        </row>
        <row r="11178">
          <cell r="A11178" t="str">
            <v>W49.6</v>
          </cell>
          <cell r="B11178" t="str">
            <v>Exposición a otras fuerzas mecánicas inanimadas, y las no especificadas, en área industrial y de la construcción</v>
          </cell>
        </row>
        <row r="11179">
          <cell r="A11179" t="str">
            <v>W49.7</v>
          </cell>
          <cell r="B11179" t="str">
            <v>Exposición a otras fuerzas mecánicas inanimadas, y las no especificadas, en granja</v>
          </cell>
        </row>
        <row r="11180">
          <cell r="A11180" t="str">
            <v>W49.8</v>
          </cell>
          <cell r="B11180" t="str">
            <v>Exposición a otras fuerzas mecánicas inanimadas, y las no especificadas, en otro lugar especificado</v>
          </cell>
        </row>
        <row r="11181">
          <cell r="A11181" t="str">
            <v>W49.9</v>
          </cell>
          <cell r="B11181" t="str">
            <v>Exposición a otras fuerzas mecánicas inanimadas, y las no especificadas, en lugar no especificado</v>
          </cell>
        </row>
        <row r="11182">
          <cell r="A11182" t="str">
            <v>W50</v>
          </cell>
          <cell r="B11182" t="str">
            <v>Aporreo, golpe, mordedura, patada, rasguño o torcedura infligidos por otra persona</v>
          </cell>
        </row>
        <row r="11183">
          <cell r="A11183" t="str">
            <v>W50.0</v>
          </cell>
          <cell r="B11183" t="str">
            <v>Aporreo, golpe, mordedura, patada, rasguño o torcedura infligidos por otra persona, en vivienda</v>
          </cell>
        </row>
        <row r="11184">
          <cell r="A11184" t="str">
            <v>W50.1</v>
          </cell>
          <cell r="B11184" t="str">
            <v>Aporreo, golpe, mordedura, patada, rasguño o torcedura infligidos por otra persona, en institución residencial</v>
          </cell>
        </row>
        <row r="11185">
          <cell r="A11185" t="str">
            <v>W50.2</v>
          </cell>
          <cell r="B11185" t="str">
            <v>Aporreo, golpe, mordedura, patada, rasguño o torcedura infligidos por otra persona, en escuelas, otras instituciones y áreas administrativas públicas</v>
          </cell>
        </row>
        <row r="11186">
          <cell r="A11186" t="str">
            <v>W50.3</v>
          </cell>
          <cell r="B11186" t="str">
            <v>Aporreo, golpe, mordedura, patada, rasguño o torcedura infligidos por otra persona, en áreas de deporte y atletismo</v>
          </cell>
        </row>
        <row r="11187">
          <cell r="A11187" t="str">
            <v>W50.4</v>
          </cell>
          <cell r="B11187" t="str">
            <v>Aporreo, golpe, mordedura, patada, rasguño o torcedura infligidos por otra persona, en calles y carreteras</v>
          </cell>
        </row>
        <row r="11188">
          <cell r="A11188" t="str">
            <v>W50.5</v>
          </cell>
          <cell r="B11188" t="str">
            <v>Aporreo, golpe, mordedura, patada, rasguño o torcedura infligidos por otra persona, en comercio y área de servicios</v>
          </cell>
        </row>
        <row r="11189">
          <cell r="A11189" t="str">
            <v>W50.6</v>
          </cell>
          <cell r="B11189" t="str">
            <v>Aporreo, golpe, mordedura, patada, rasguño o torcedura infligidos por otra persona, en área industrial y de la construcción</v>
          </cell>
        </row>
        <row r="11190">
          <cell r="A11190" t="str">
            <v>W50.7</v>
          </cell>
          <cell r="B11190" t="str">
            <v>Aporreo, golpe, mordedura, patada, rasguño o torcedura infligidos por otra persona, en granja</v>
          </cell>
        </row>
        <row r="11191">
          <cell r="A11191" t="str">
            <v>W50.8</v>
          </cell>
          <cell r="B11191" t="str">
            <v>Aporreo, golpe, mordedura, patada, rasguño o torcedura infligidos por otra persona, en otro lugar especificado</v>
          </cell>
        </row>
        <row r="11192">
          <cell r="A11192" t="str">
            <v>W50.9</v>
          </cell>
          <cell r="B11192" t="str">
            <v>Aporreo, golpe, mordedura, patada, rasguño o torcedura infligidos por otra persona, en lugar no especificado</v>
          </cell>
        </row>
        <row r="11193">
          <cell r="A11193" t="str">
            <v>W51</v>
          </cell>
          <cell r="B11193" t="str">
            <v>Choque o empellón contra otra persona</v>
          </cell>
        </row>
        <row r="11194">
          <cell r="A11194" t="str">
            <v>W51.0</v>
          </cell>
          <cell r="B11194" t="str">
            <v>Choque o empellón contra otra persona, en vivienda</v>
          </cell>
        </row>
        <row r="11195">
          <cell r="A11195" t="str">
            <v>W51.1</v>
          </cell>
          <cell r="B11195" t="str">
            <v>Choque o empellón contra otra persona, en institución residencial</v>
          </cell>
        </row>
        <row r="11196">
          <cell r="A11196" t="str">
            <v>W51.2</v>
          </cell>
          <cell r="B11196" t="str">
            <v>Choque o empellón contra otra persona, en escuelas, otras instituciones y áreas administrativas públicas</v>
          </cell>
        </row>
        <row r="11197">
          <cell r="A11197" t="str">
            <v>W51.3</v>
          </cell>
          <cell r="B11197" t="str">
            <v>Choque o empellón contra otra persona, en áreas de deporte y atletismo</v>
          </cell>
        </row>
        <row r="11198">
          <cell r="A11198" t="str">
            <v>W51.4</v>
          </cell>
          <cell r="B11198" t="str">
            <v>Choque o empellón contra otra persona, en calles y carreteras</v>
          </cell>
        </row>
        <row r="11199">
          <cell r="A11199" t="str">
            <v>W51.5</v>
          </cell>
          <cell r="B11199" t="str">
            <v>Choque o empellón contra otra persona, en comercio y área de servicios</v>
          </cell>
        </row>
        <row r="11200">
          <cell r="A11200" t="str">
            <v>W51.6</v>
          </cell>
          <cell r="B11200" t="str">
            <v>Choque o empellón contra otra persona, en área industrial y de la construcción</v>
          </cell>
        </row>
        <row r="11201">
          <cell r="A11201" t="str">
            <v>W51.7</v>
          </cell>
          <cell r="B11201" t="str">
            <v>Choque o empellón contra otra persona, en granja</v>
          </cell>
        </row>
        <row r="11202">
          <cell r="A11202" t="str">
            <v>W51.8</v>
          </cell>
          <cell r="B11202" t="str">
            <v>Choque o empellón contra otra persona, en otro lugar especificado</v>
          </cell>
        </row>
        <row r="11203">
          <cell r="A11203" t="str">
            <v>W51.9</v>
          </cell>
          <cell r="B11203" t="str">
            <v>Choque o empellón contra otra persona, en lugar no especificado</v>
          </cell>
        </row>
        <row r="11204">
          <cell r="A11204" t="str">
            <v>W52</v>
          </cell>
          <cell r="B11204" t="str">
            <v>Persona aplastada, empujada o pisoteada por una multitud o estampida humana</v>
          </cell>
        </row>
        <row r="11205">
          <cell r="A11205" t="str">
            <v>W52.0</v>
          </cell>
          <cell r="B11205" t="str">
            <v>Persona aplastada, empujada o pisoteada por una multitud o estampida humana, en vivienda</v>
          </cell>
        </row>
        <row r="11206">
          <cell r="A11206" t="str">
            <v>W52.1</v>
          </cell>
          <cell r="B11206" t="str">
            <v>Persona aplastada, empujada o pisoteada por una multitud o estampida humana, en institución residencial</v>
          </cell>
        </row>
        <row r="11207">
          <cell r="A11207" t="str">
            <v>W52.2</v>
          </cell>
          <cell r="B11207" t="str">
            <v>Persona aplastada, empujada o pisoteada por una multitud o estampida humana, en escuelas, otras instituciones y áreas administrativas públicas</v>
          </cell>
        </row>
        <row r="11208">
          <cell r="A11208" t="str">
            <v>W52.3</v>
          </cell>
          <cell r="B11208" t="str">
            <v>Persona aplastada, empujada o pisoteada por una multitud o estampida humana, en áreas de deporte y atletismo</v>
          </cell>
        </row>
        <row r="11209">
          <cell r="A11209" t="str">
            <v>W52.4</v>
          </cell>
          <cell r="B11209" t="str">
            <v>Persona aplastada, empujada o pisoteada por una multitud o estampida humana, en calles y carreteras</v>
          </cell>
        </row>
        <row r="11210">
          <cell r="A11210" t="str">
            <v>W52.5</v>
          </cell>
          <cell r="B11210" t="str">
            <v>Persona aplastada, empujada o pisoteada por una multitud o estampida humana, en comercio y área de servicios</v>
          </cell>
        </row>
        <row r="11211">
          <cell r="A11211" t="str">
            <v>W52.6</v>
          </cell>
          <cell r="B11211" t="str">
            <v>Persona aplastada, empujada o pisoteada por una multitud o estampida humana, en área industrial y de la construcción</v>
          </cell>
        </row>
        <row r="11212">
          <cell r="A11212" t="str">
            <v>W52.7</v>
          </cell>
          <cell r="B11212" t="str">
            <v>Persona aplastada, empujada o pisoteada por una multitud o estampida humana, en granja</v>
          </cell>
        </row>
        <row r="11213">
          <cell r="A11213" t="str">
            <v>W52.8</v>
          </cell>
          <cell r="B11213" t="str">
            <v>Persona aplastada, empujada o pisoteada por una multitud o estampida humana, en otro lugar especificado</v>
          </cell>
        </row>
        <row r="11214">
          <cell r="A11214" t="str">
            <v>W52.9</v>
          </cell>
          <cell r="B11214" t="str">
            <v>Persona aplastada, empujada o pisoteada por una multitud o estampida humana, en lugar no especificado</v>
          </cell>
        </row>
        <row r="11215">
          <cell r="A11215" t="str">
            <v>W53</v>
          </cell>
          <cell r="B11215" t="str">
            <v>Mordedura de rata</v>
          </cell>
        </row>
        <row r="11216">
          <cell r="A11216" t="str">
            <v>W53.0</v>
          </cell>
          <cell r="B11216" t="str">
            <v>Mordedura de rata, en vivienda</v>
          </cell>
        </row>
        <row r="11217">
          <cell r="A11217" t="str">
            <v>W53.1</v>
          </cell>
          <cell r="B11217" t="str">
            <v>Mordedura de rata, en institución residencial</v>
          </cell>
        </row>
        <row r="11218">
          <cell r="A11218" t="str">
            <v>W53.2</v>
          </cell>
          <cell r="B11218" t="str">
            <v>Mordedura de rata, en escuelas, otras instituciones y áreas administrativas públicas</v>
          </cell>
        </row>
        <row r="11219">
          <cell r="A11219" t="str">
            <v>W53.3</v>
          </cell>
          <cell r="B11219" t="str">
            <v>Mordedura de rata, en áreas de deporte y atletismo</v>
          </cell>
        </row>
        <row r="11220">
          <cell r="A11220" t="str">
            <v>W53.4</v>
          </cell>
          <cell r="B11220" t="str">
            <v>Mordedura de rata, en calles y carreteras</v>
          </cell>
        </row>
        <row r="11221">
          <cell r="A11221" t="str">
            <v>W53.5</v>
          </cell>
          <cell r="B11221" t="str">
            <v>Mordedura de rata, en comercio y área de servicios</v>
          </cell>
        </row>
        <row r="11222">
          <cell r="A11222" t="str">
            <v>W53.6</v>
          </cell>
          <cell r="B11222" t="str">
            <v>Mordedura de rata, en área industrial y de la construcción</v>
          </cell>
        </row>
        <row r="11223">
          <cell r="A11223" t="str">
            <v>W53.7</v>
          </cell>
          <cell r="B11223" t="str">
            <v>Mordedura de rata, en granja</v>
          </cell>
        </row>
        <row r="11224">
          <cell r="A11224" t="str">
            <v>W53.8</v>
          </cell>
          <cell r="B11224" t="str">
            <v>Mordedura de rata, en otro lugar especificado</v>
          </cell>
        </row>
        <row r="11225">
          <cell r="A11225" t="str">
            <v>W53.9</v>
          </cell>
          <cell r="B11225" t="str">
            <v>Mordedura de rata, en lugar no especificado</v>
          </cell>
        </row>
        <row r="11226">
          <cell r="A11226" t="str">
            <v>W54</v>
          </cell>
          <cell r="B11226" t="str">
            <v>Mordedura o ataque de perro</v>
          </cell>
        </row>
        <row r="11227">
          <cell r="A11227" t="str">
            <v>W54.0</v>
          </cell>
          <cell r="B11227" t="str">
            <v>Mordedura o ataque de perro, en vivienda</v>
          </cell>
        </row>
        <row r="11228">
          <cell r="A11228" t="str">
            <v>W54.1</v>
          </cell>
          <cell r="B11228" t="str">
            <v>Mordedura o ataque de perro, en institución residencial</v>
          </cell>
        </row>
        <row r="11229">
          <cell r="A11229" t="str">
            <v>W54.2</v>
          </cell>
          <cell r="B11229" t="str">
            <v>Mordedura o ataque de perro, en escuelas, otras instituciones y áreas administrativas públicas</v>
          </cell>
        </row>
        <row r="11230">
          <cell r="A11230" t="str">
            <v>W54.3</v>
          </cell>
          <cell r="B11230" t="str">
            <v>Mordedura o ataque de perro, en áreas de deporte y atletismo</v>
          </cell>
        </row>
        <row r="11231">
          <cell r="A11231" t="str">
            <v>W54.4</v>
          </cell>
          <cell r="B11231" t="str">
            <v>Mordedura o ataque de perro, en calles y carreteras</v>
          </cell>
        </row>
        <row r="11232">
          <cell r="A11232" t="str">
            <v>W54.5</v>
          </cell>
          <cell r="B11232" t="str">
            <v>Mordedura o ataque de perro, en comercio y área de servicios</v>
          </cell>
        </row>
        <row r="11233">
          <cell r="A11233" t="str">
            <v>W54.6</v>
          </cell>
          <cell r="B11233" t="str">
            <v>Mordedura o ataque de perro, en área industrial y de la construcción</v>
          </cell>
        </row>
        <row r="11234">
          <cell r="A11234" t="str">
            <v>W54.7</v>
          </cell>
          <cell r="B11234" t="str">
            <v>Mordedura o ataque de perro, en granja</v>
          </cell>
        </row>
        <row r="11235">
          <cell r="A11235" t="str">
            <v>W54.8</v>
          </cell>
          <cell r="B11235" t="str">
            <v>Mordedura o ataque de perro, en otro lugar especificado</v>
          </cell>
        </row>
        <row r="11236">
          <cell r="A11236" t="str">
            <v>W54.9</v>
          </cell>
          <cell r="B11236" t="str">
            <v>Mordedura o ataque de perro, en lugar no especificado</v>
          </cell>
        </row>
        <row r="11237">
          <cell r="A11237" t="str">
            <v>W55</v>
          </cell>
          <cell r="B11237" t="str">
            <v>Mordedura o ataque de otros mamíferos</v>
          </cell>
        </row>
        <row r="11238">
          <cell r="A11238" t="str">
            <v>W55.0</v>
          </cell>
          <cell r="B11238" t="str">
            <v>Mordedura o ataque de otros mamíferos, en vivienda</v>
          </cell>
        </row>
        <row r="11239">
          <cell r="A11239" t="str">
            <v>W55.1</v>
          </cell>
          <cell r="B11239" t="str">
            <v>Mordedura o ataque de otros mamíferos, en institución residencial</v>
          </cell>
        </row>
        <row r="11240">
          <cell r="A11240" t="str">
            <v>W55.2</v>
          </cell>
          <cell r="B11240" t="str">
            <v>Mordedura o ataque de otros mamíferos, en escuelas, otras instituciones y áreas administrativas públicas</v>
          </cell>
        </row>
        <row r="11241">
          <cell r="A11241" t="str">
            <v>W55.3</v>
          </cell>
          <cell r="B11241" t="str">
            <v>Mordedura o ataque de otros mamíferos, en áreas de deporte y atletismo</v>
          </cell>
        </row>
        <row r="11242">
          <cell r="A11242" t="str">
            <v>W55.4</v>
          </cell>
          <cell r="B11242" t="str">
            <v>Mordedura o ataque de otros mamíferos, en calles y carreteras</v>
          </cell>
        </row>
        <row r="11243">
          <cell r="A11243" t="str">
            <v>W55.5</v>
          </cell>
          <cell r="B11243" t="str">
            <v>Mordedura o ataque de otros mamíferos, en comercio y área de servicios</v>
          </cell>
        </row>
        <row r="11244">
          <cell r="A11244" t="str">
            <v>W55.6</v>
          </cell>
          <cell r="B11244" t="str">
            <v>Mordedura o ataque de otros mamíferos, en área industrial y de la construcción</v>
          </cell>
        </row>
        <row r="11245">
          <cell r="A11245" t="str">
            <v>W55.7</v>
          </cell>
          <cell r="B11245" t="str">
            <v>Mordedura o ataque de otros mamíferos, en granja</v>
          </cell>
        </row>
        <row r="11246">
          <cell r="A11246" t="str">
            <v>W55.8</v>
          </cell>
          <cell r="B11246" t="str">
            <v>Mordedura o ataque de otros mamíferos, en otro lugar especificado</v>
          </cell>
        </row>
        <row r="11247">
          <cell r="A11247" t="str">
            <v>W55.9</v>
          </cell>
          <cell r="B11247" t="str">
            <v>Mordedura o ataque de otros mamíferos, en lugar no especificado</v>
          </cell>
        </row>
        <row r="11248">
          <cell r="A11248" t="str">
            <v>W56</v>
          </cell>
          <cell r="B11248" t="str">
            <v>Contacto traumático con animales marinos</v>
          </cell>
        </row>
        <row r="11249">
          <cell r="A11249" t="str">
            <v>W56.0</v>
          </cell>
          <cell r="B11249" t="str">
            <v>Contacto traumático con animales marinos, en vivienda</v>
          </cell>
        </row>
        <row r="11250">
          <cell r="A11250" t="str">
            <v>W56.1</v>
          </cell>
          <cell r="B11250" t="str">
            <v>Contacto traumático con animales marinos, en institución residencial</v>
          </cell>
        </row>
        <row r="11251">
          <cell r="A11251" t="str">
            <v>W56.2</v>
          </cell>
          <cell r="B11251" t="str">
            <v>Contacto traumático con animales marinos, en escuelas, otras instituciones y áreas administrativas públicas</v>
          </cell>
        </row>
        <row r="11252">
          <cell r="A11252" t="str">
            <v>W56.3</v>
          </cell>
          <cell r="B11252" t="str">
            <v>Contacto traumático con animales marinos, en áreas de deporte y atletismo</v>
          </cell>
        </row>
        <row r="11253">
          <cell r="A11253" t="str">
            <v>W56.4</v>
          </cell>
          <cell r="B11253" t="str">
            <v>Contacto traumático con animales marinos, en calles y carreteras</v>
          </cell>
        </row>
        <row r="11254">
          <cell r="A11254" t="str">
            <v>W56.5</v>
          </cell>
          <cell r="B11254" t="str">
            <v>Contacto traumático con animales marinos, en comercio y área de servicios</v>
          </cell>
        </row>
        <row r="11255">
          <cell r="A11255" t="str">
            <v>W56.6</v>
          </cell>
          <cell r="B11255" t="str">
            <v>Contacto traumático con animales marinos, en área industrial y de la construcción</v>
          </cell>
        </row>
        <row r="11256">
          <cell r="A11256" t="str">
            <v>W56.7</v>
          </cell>
          <cell r="B11256" t="str">
            <v>Contacto traumático con animales marinos, en granja</v>
          </cell>
        </row>
        <row r="11257">
          <cell r="A11257" t="str">
            <v>W56.8</v>
          </cell>
          <cell r="B11257" t="str">
            <v>Contacto traumático con animales marinos, en otro lugar especificado</v>
          </cell>
        </row>
        <row r="11258">
          <cell r="A11258" t="str">
            <v>W56.9</v>
          </cell>
          <cell r="B11258" t="str">
            <v>Contacto traumático con animales marinos, en lugar no especificado</v>
          </cell>
        </row>
        <row r="11259">
          <cell r="A11259" t="str">
            <v>W57</v>
          </cell>
          <cell r="B11259" t="str">
            <v>Mordedura o picadura de insectos y otros artrópodos no venenosos</v>
          </cell>
        </row>
        <row r="11260">
          <cell r="A11260" t="str">
            <v>W57.0</v>
          </cell>
          <cell r="B11260" t="str">
            <v>Mordedura o picadura de insectos y otros artrópodos no venenosos, en vivienda</v>
          </cell>
        </row>
        <row r="11261">
          <cell r="A11261" t="str">
            <v>W57.1</v>
          </cell>
          <cell r="B11261" t="str">
            <v>Mordedura o picadura de insectos y otros artrópodos no venenosos, en institución residencial</v>
          </cell>
        </row>
        <row r="11262">
          <cell r="A11262" t="str">
            <v>W57.2</v>
          </cell>
          <cell r="B11262" t="str">
            <v>Mordedura o picadura de insectos y otros artrópodos no venenosos, en escuelas, otras instituciones y áreas administrativas públicas</v>
          </cell>
        </row>
        <row r="11263">
          <cell r="A11263" t="str">
            <v>W57.3</v>
          </cell>
          <cell r="B11263" t="str">
            <v>Mordedura o picadura de insectos y otros artrópodos no venenosos, en áreas de deporte y atletismo</v>
          </cell>
        </row>
        <row r="11264">
          <cell r="A11264" t="str">
            <v>W57.4</v>
          </cell>
          <cell r="B11264" t="str">
            <v>Mordedura o picadura de insectos y otros artrópodos no venenosos, en calles y carreteras</v>
          </cell>
        </row>
        <row r="11265">
          <cell r="A11265" t="str">
            <v>W57.5</v>
          </cell>
          <cell r="B11265" t="str">
            <v>Mordedura o picadura de insectos y otros artrópodos no venenosos, en comercio y área de servicios</v>
          </cell>
        </row>
        <row r="11266">
          <cell r="A11266" t="str">
            <v>W57.6</v>
          </cell>
          <cell r="B11266" t="str">
            <v>Mordedura o picadura de insectos y otros artrópodos no venenosos, en área industrial y de la construcción</v>
          </cell>
        </row>
        <row r="11267">
          <cell r="A11267" t="str">
            <v>W57.7</v>
          </cell>
          <cell r="B11267" t="str">
            <v>Mordedura o picadura de insectos y otros artrópodos no venenosos, en granja</v>
          </cell>
        </row>
        <row r="11268">
          <cell r="A11268" t="str">
            <v>W57.8</v>
          </cell>
          <cell r="B11268" t="str">
            <v>Mordedura o picadura de insectos y otros artrópodos no venenosos, en otro lugar especificado</v>
          </cell>
        </row>
        <row r="11269">
          <cell r="A11269" t="str">
            <v>W57.9</v>
          </cell>
          <cell r="B11269" t="str">
            <v>Mordedura o picadura de insectos y otros artrópodos no venenosos, en lugar no especificado</v>
          </cell>
        </row>
        <row r="11270">
          <cell r="A11270" t="str">
            <v>W58</v>
          </cell>
          <cell r="B11270" t="str">
            <v>Mordedura o ataque de cocodrilo o caimán</v>
          </cell>
        </row>
        <row r="11271">
          <cell r="A11271" t="str">
            <v>W58.0</v>
          </cell>
          <cell r="B11271" t="str">
            <v>Mordedura o ataque de cocodrilo o caimán, en vivienda</v>
          </cell>
        </row>
        <row r="11272">
          <cell r="A11272" t="str">
            <v>W58.1</v>
          </cell>
          <cell r="B11272" t="str">
            <v>Mordedura o ataque de cocodrilo o caimán, en institución residencial</v>
          </cell>
        </row>
        <row r="11273">
          <cell r="A11273" t="str">
            <v>W58.2</v>
          </cell>
          <cell r="B11273" t="str">
            <v>Mordedura o ataque de cocodrilo o caimán, en escuelas, otras instituciones y áreas administrativas públicas</v>
          </cell>
        </row>
        <row r="11274">
          <cell r="A11274" t="str">
            <v>W58.3</v>
          </cell>
          <cell r="B11274" t="str">
            <v>Mordedura o ataque de cocodrilo o caimán, en áreas de deporte y atletismo</v>
          </cell>
        </row>
        <row r="11275">
          <cell r="A11275" t="str">
            <v>W58.4</v>
          </cell>
          <cell r="B11275" t="str">
            <v>Mordedura o ataque de cocodrilo o caimán, en calles y carreteras</v>
          </cell>
        </row>
        <row r="11276">
          <cell r="A11276" t="str">
            <v>W58.5</v>
          </cell>
          <cell r="B11276" t="str">
            <v>Mordedura o ataque de cocodrilo o caimán, en comercio y área de servicios</v>
          </cell>
        </row>
        <row r="11277">
          <cell r="A11277" t="str">
            <v>W58.6</v>
          </cell>
          <cell r="B11277" t="str">
            <v>Mordedura o ataque de cocodrilo o caimán, en área industrial y de la construcción</v>
          </cell>
        </row>
        <row r="11278">
          <cell r="A11278" t="str">
            <v>W58.7</v>
          </cell>
          <cell r="B11278" t="str">
            <v>Mordedura o ataque de cocodrilo o caimán, en granja</v>
          </cell>
        </row>
        <row r="11279">
          <cell r="A11279" t="str">
            <v>W58.8</v>
          </cell>
          <cell r="B11279" t="str">
            <v>Mordedura o ataque de cocodrilo o caimán, en otro lugar especificado</v>
          </cell>
        </row>
        <row r="11280">
          <cell r="A11280" t="str">
            <v>W58.9</v>
          </cell>
          <cell r="B11280" t="str">
            <v>Mordedura o ataque de cocodrilo o caimán, en lugar no especificado</v>
          </cell>
        </row>
        <row r="11281">
          <cell r="A11281" t="str">
            <v>W59</v>
          </cell>
          <cell r="B11281" t="str">
            <v>Mordedura o aplastamiento por otros reptiles</v>
          </cell>
        </row>
        <row r="11282">
          <cell r="A11282" t="str">
            <v>W59.0</v>
          </cell>
          <cell r="B11282" t="str">
            <v>Mordedura o aplastamiento por otros reptiles, en vivienda</v>
          </cell>
        </row>
        <row r="11283">
          <cell r="A11283" t="str">
            <v>W59.1</v>
          </cell>
          <cell r="B11283" t="str">
            <v>Mordedura o aplastamiento por otros reptiles, en institución residencial</v>
          </cell>
        </row>
        <row r="11284">
          <cell r="A11284" t="str">
            <v>W59.2</v>
          </cell>
          <cell r="B11284" t="str">
            <v>Mordedura o aplastamiento por otros reptiles, en escuelas, otras instituciones y áreas administrativas públicas</v>
          </cell>
        </row>
        <row r="11285">
          <cell r="A11285" t="str">
            <v>W59.3</v>
          </cell>
          <cell r="B11285" t="str">
            <v>Mordedura o aplastamiento por otros reptiles, en áreas de deporte y atletismo</v>
          </cell>
        </row>
        <row r="11286">
          <cell r="A11286" t="str">
            <v>W59.4</v>
          </cell>
          <cell r="B11286" t="str">
            <v>Mordedura o aplastamiento por otros reptiles, en calles y carreteras</v>
          </cell>
        </row>
        <row r="11287">
          <cell r="A11287" t="str">
            <v>W59.5</v>
          </cell>
          <cell r="B11287" t="str">
            <v>Mordedura o aplastamiento por otros reptiles, en comercio y área de servicios</v>
          </cell>
        </row>
        <row r="11288">
          <cell r="A11288" t="str">
            <v>W59.6</v>
          </cell>
          <cell r="B11288" t="str">
            <v>Mordedura o aplastamiento por otros reptiles, en área industrial y de la construcción</v>
          </cell>
        </row>
        <row r="11289">
          <cell r="A11289" t="str">
            <v>W59.7</v>
          </cell>
          <cell r="B11289" t="str">
            <v>Mordedura o aplastamiento por otros reptiles, en granja</v>
          </cell>
        </row>
        <row r="11290">
          <cell r="A11290" t="str">
            <v>W59.8</v>
          </cell>
          <cell r="B11290" t="str">
            <v>Mordedura o aplastamiento por otros reptiles, en otro lugar especificado</v>
          </cell>
        </row>
        <row r="11291">
          <cell r="A11291" t="str">
            <v>W59.9</v>
          </cell>
          <cell r="B11291" t="str">
            <v>Mordedura o aplastamiento por otros reptiles, en lugar no especificado</v>
          </cell>
        </row>
        <row r="11292">
          <cell r="A11292" t="str">
            <v>W60</v>
          </cell>
          <cell r="B11292" t="str">
            <v>Contacto traumático con aguijones, espinas u hojas cortantes de plantas</v>
          </cell>
        </row>
        <row r="11293">
          <cell r="A11293" t="str">
            <v>W60.0</v>
          </cell>
          <cell r="B11293" t="str">
            <v>Contacto traumático con aguijones, espinas u hojas cortantes de plantas, en vivienda</v>
          </cell>
        </row>
        <row r="11294">
          <cell r="A11294" t="str">
            <v>W60.1</v>
          </cell>
          <cell r="B11294" t="str">
            <v>Contacto traumático con aguijones, espinas u hojas cortantes de plantas, en institución residencial</v>
          </cell>
        </row>
        <row r="11295">
          <cell r="A11295" t="str">
            <v>W60.2</v>
          </cell>
          <cell r="B11295" t="str">
            <v>Contacto traumático con aguijones, espinas u hojas cortantes de plantas, en escuelas, otras instituciones y áreas administrativas públicas</v>
          </cell>
        </row>
        <row r="11296">
          <cell r="A11296" t="str">
            <v>W60.3</v>
          </cell>
          <cell r="B11296" t="str">
            <v>Contacto traumático con aguijones, espinas u hojas cortantes de plantas, en áreas de deporte y atletismo</v>
          </cell>
        </row>
        <row r="11297">
          <cell r="A11297" t="str">
            <v>W60.4</v>
          </cell>
          <cell r="B11297" t="str">
            <v>Contacto traumático con aguijones, espinas u hojas cortantes de plantas, en calles y carreteras</v>
          </cell>
        </row>
        <row r="11298">
          <cell r="A11298" t="str">
            <v>W60.5</v>
          </cell>
          <cell r="B11298" t="str">
            <v>Contacto traumático con aguijones, espinas u hojas cortantes de plantas, en comercio y área de servicios</v>
          </cell>
        </row>
        <row r="11299">
          <cell r="A11299" t="str">
            <v>W60.6</v>
          </cell>
          <cell r="B11299" t="str">
            <v>Contacto traumático con aguijones, espinas u hojas cortantes de plantas, en área industrial y de la construcción</v>
          </cell>
        </row>
        <row r="11300">
          <cell r="A11300" t="str">
            <v>W60.7</v>
          </cell>
          <cell r="B11300" t="str">
            <v>Contacto traumático con aguijones, espinas u hojas cortantes de plantas, en granja</v>
          </cell>
        </row>
        <row r="11301">
          <cell r="A11301" t="str">
            <v>W60.8</v>
          </cell>
          <cell r="B11301" t="str">
            <v>Contacto traumático con aguijones, espinas u hojas cortantes de plantas, en otro lugar especificado</v>
          </cell>
        </row>
        <row r="11302">
          <cell r="A11302" t="str">
            <v>W60.9</v>
          </cell>
          <cell r="B11302" t="str">
            <v>Contacto traumático con aguijones, espinas u hojas cortantes de plantas, en lugar no especificado</v>
          </cell>
        </row>
        <row r="11303">
          <cell r="A11303" t="str">
            <v>W64</v>
          </cell>
          <cell r="B11303" t="str">
            <v>Exposición a otras fuerzas mecánicas animadas, y las no especificadas</v>
          </cell>
        </row>
        <row r="11304">
          <cell r="A11304" t="str">
            <v>W64.0</v>
          </cell>
          <cell r="B11304" t="str">
            <v>Exposición a otras fuerzas mecánicas animadas, y las no especificadas, en vivienda</v>
          </cell>
        </row>
        <row r="11305">
          <cell r="A11305" t="str">
            <v>W64.1</v>
          </cell>
          <cell r="B11305" t="str">
            <v>Exposición a otras fuerzas mecánicas animadas, y las no especificadas, en institución residencial</v>
          </cell>
        </row>
        <row r="11306">
          <cell r="A11306" t="str">
            <v>W64.2</v>
          </cell>
          <cell r="B11306" t="str">
            <v>Exposición a otras fuerzas mecánicas animadas, y las no especificadas, en escuelas, otras instituciones y áreas administrativas públicas</v>
          </cell>
        </row>
        <row r="11307">
          <cell r="A11307" t="str">
            <v>W64.3</v>
          </cell>
          <cell r="B11307" t="str">
            <v>Exposición a otras fuerzas mecánicas animadas, y las no especificadas, en áreas de deporte y atletismo</v>
          </cell>
        </row>
        <row r="11308">
          <cell r="A11308" t="str">
            <v>W64.4</v>
          </cell>
          <cell r="B11308" t="str">
            <v>Exposición a otras fuerzas mecánicas animadas, y las no especificadas, en calles y carreteras</v>
          </cell>
        </row>
        <row r="11309">
          <cell r="A11309" t="str">
            <v>W64.5</v>
          </cell>
          <cell r="B11309" t="str">
            <v>Exposición a otras fuerzas mecánicas animadas, y las no especificadas, en comercio y área de servicios</v>
          </cell>
        </row>
        <row r="11310">
          <cell r="A11310" t="str">
            <v>W64.6</v>
          </cell>
          <cell r="B11310" t="str">
            <v>Exposición a otras fuerzas mecánicas animadas, y las no especificadas, en área industrial y de la construcción</v>
          </cell>
        </row>
        <row r="11311">
          <cell r="A11311" t="str">
            <v>W64.7</v>
          </cell>
          <cell r="B11311" t="str">
            <v>Exposición a otras fuerzas mecánicas animadas, y las no especificadas, en granja</v>
          </cell>
        </row>
        <row r="11312">
          <cell r="A11312" t="str">
            <v>W64.8</v>
          </cell>
          <cell r="B11312" t="str">
            <v>Exposición a otras fuerzas mecánicas animadas, y las no especificadas, en otro lugar especificado</v>
          </cell>
        </row>
        <row r="11313">
          <cell r="A11313" t="str">
            <v>W64.9</v>
          </cell>
          <cell r="B11313" t="str">
            <v>Exposición a otras fuerzas mecánicas animadas, y las no especificadas, en lugar no especificado</v>
          </cell>
        </row>
        <row r="11314">
          <cell r="A11314" t="str">
            <v>W65</v>
          </cell>
          <cell r="B11314" t="str">
            <v>Ahogamiento y sumersión mientras se está en la bañera</v>
          </cell>
        </row>
        <row r="11315">
          <cell r="A11315" t="str">
            <v>W65.0</v>
          </cell>
          <cell r="B11315" t="str">
            <v>Ahogamiento y sumersión mientras se está en la bañera, en vivienda</v>
          </cell>
        </row>
        <row r="11316">
          <cell r="A11316" t="str">
            <v>W65.1</v>
          </cell>
          <cell r="B11316" t="str">
            <v>Ahogamiento y sumersión mientras se está en la bañera, en institución residencial</v>
          </cell>
        </row>
        <row r="11317">
          <cell r="A11317" t="str">
            <v>W65.2</v>
          </cell>
          <cell r="B11317" t="str">
            <v>Ahogamiento y sumersión mientras se está en la bañera, en escuelas, otras instituciones y áreas administrativas públicas</v>
          </cell>
        </row>
        <row r="11318">
          <cell r="A11318" t="str">
            <v>W65.3</v>
          </cell>
          <cell r="B11318" t="str">
            <v>Ahogamiento y sumersión mientras se está en la bañera, en áreas de deporte y atletismo</v>
          </cell>
        </row>
        <row r="11319">
          <cell r="A11319" t="str">
            <v>W65.4</v>
          </cell>
          <cell r="B11319" t="str">
            <v>Ahogamiento y sumersión mientras se está en la bañera, en calles y carreteras</v>
          </cell>
        </row>
        <row r="11320">
          <cell r="A11320" t="str">
            <v>W65.5</v>
          </cell>
          <cell r="B11320" t="str">
            <v>Ahogamiento y sumersión mientras se está en la bañera, en comercio y área de servicios</v>
          </cell>
        </row>
        <row r="11321">
          <cell r="A11321" t="str">
            <v>W65.6</v>
          </cell>
          <cell r="B11321" t="str">
            <v>Ahogamiento y sumersión mientras se está en la bañera, en área industrial y de la construcción</v>
          </cell>
        </row>
        <row r="11322">
          <cell r="A11322" t="str">
            <v>W65.7</v>
          </cell>
          <cell r="B11322" t="str">
            <v>Ahogamiento y sumersión mientras se está en la bañera, en granja</v>
          </cell>
        </row>
        <row r="11323">
          <cell r="A11323" t="str">
            <v>W65.8</v>
          </cell>
          <cell r="B11323" t="str">
            <v>Ahogamiento y sumersión mientras se está en la bañera, en otro lugar especificado</v>
          </cell>
        </row>
        <row r="11324">
          <cell r="A11324" t="str">
            <v>W65.9</v>
          </cell>
          <cell r="B11324" t="str">
            <v>Ahogamiento y sumersión mientras se está en la bañera, en lugar no especificado</v>
          </cell>
        </row>
        <row r="11325">
          <cell r="A11325" t="str">
            <v>W66</v>
          </cell>
          <cell r="B11325" t="str">
            <v>Ahogamiento y sumersión consecutivos a caída en la bañera</v>
          </cell>
        </row>
        <row r="11326">
          <cell r="A11326" t="str">
            <v>W66.0</v>
          </cell>
          <cell r="B11326" t="str">
            <v>Ahogamiento y sumersión consecutivos a caída en la bañera, en vivienda</v>
          </cell>
        </row>
        <row r="11327">
          <cell r="A11327" t="str">
            <v>W66.1</v>
          </cell>
          <cell r="B11327" t="str">
            <v>Ahogamiento y sumersión consecutivos a caída en la bañera, en institución residencial</v>
          </cell>
        </row>
        <row r="11328">
          <cell r="A11328" t="str">
            <v>W66.2</v>
          </cell>
          <cell r="B11328" t="str">
            <v>Ahogamiento y sumersión consecutivos a caída en la bañera, en escuelas, otras instituciones y áreas administrativas públicas</v>
          </cell>
        </row>
        <row r="11329">
          <cell r="A11329" t="str">
            <v>W66.3</v>
          </cell>
          <cell r="B11329" t="str">
            <v>Ahogamiento y sumersión consecutivos a caída en la bañera, en áreas de deporte y atletismo</v>
          </cell>
        </row>
        <row r="11330">
          <cell r="A11330" t="str">
            <v>W66.4</v>
          </cell>
          <cell r="B11330" t="str">
            <v>Ahogamiento y sumersión consecutivos a caída en la bañera, en calles y carreteras</v>
          </cell>
        </row>
        <row r="11331">
          <cell r="A11331" t="str">
            <v>W66.5</v>
          </cell>
          <cell r="B11331" t="str">
            <v>Ahogamiento y sumersión consecutivos a caída en la bañera, en comercio y área de servicios</v>
          </cell>
        </row>
        <row r="11332">
          <cell r="A11332" t="str">
            <v>W66.6</v>
          </cell>
          <cell r="B11332" t="str">
            <v>Ahogamiento y sumersión consecutivos a caída en la bañera, en área industrial y de la construcción</v>
          </cell>
        </row>
        <row r="11333">
          <cell r="A11333" t="str">
            <v>W66.7</v>
          </cell>
          <cell r="B11333" t="str">
            <v>Ahogamiento y sumersión consecutivos a caída en la bañera, en granja</v>
          </cell>
        </row>
        <row r="11334">
          <cell r="A11334" t="str">
            <v>W66.8</v>
          </cell>
          <cell r="B11334" t="str">
            <v>Ahogamiento y sumersión consecutivos a caída en la bañera, en otro lugar especificado</v>
          </cell>
        </row>
        <row r="11335">
          <cell r="A11335" t="str">
            <v>W66.9</v>
          </cell>
          <cell r="B11335" t="str">
            <v>Ahogamiento y sumersión consecutivos a caída en la bañera, en lugar no especificado</v>
          </cell>
        </row>
        <row r="11336">
          <cell r="A11336" t="str">
            <v>W67</v>
          </cell>
          <cell r="B11336" t="str">
            <v>Ahogamiento y sumersión mientras se está en una piscina, en</v>
          </cell>
        </row>
        <row r="11337">
          <cell r="A11337" t="str">
            <v>W67.0</v>
          </cell>
          <cell r="B11337" t="str">
            <v>Ahogamiento y sumersión mientras se está en una piscina,  vivienda</v>
          </cell>
        </row>
        <row r="11338">
          <cell r="A11338" t="str">
            <v>W67.1</v>
          </cell>
          <cell r="B11338" t="str">
            <v>Ahogamiento y sumersión mientras se está en una piscina, en institución residencial</v>
          </cell>
        </row>
        <row r="11339">
          <cell r="A11339" t="str">
            <v>W67.2</v>
          </cell>
          <cell r="B11339" t="str">
            <v>Ahogamiento y sumersión mientras se está en una piscina, en escuelas, otras instituciones y áreas administrativas públicas</v>
          </cell>
        </row>
        <row r="11340">
          <cell r="A11340" t="str">
            <v>W67.3</v>
          </cell>
          <cell r="B11340" t="str">
            <v>Ahogamiento y sumersión mientras se está en una piscina, en áreas de deporte y atletismo</v>
          </cell>
        </row>
        <row r="11341">
          <cell r="A11341" t="str">
            <v>W67.4</v>
          </cell>
          <cell r="B11341" t="str">
            <v>Ahogamiento y sumersión mientras se está en una piscina, en calles y carreteras</v>
          </cell>
        </row>
        <row r="11342">
          <cell r="A11342" t="str">
            <v>W67.5</v>
          </cell>
          <cell r="B11342" t="str">
            <v>Ahogamiento y sumersión mientras se está en una piscina, en comercio y área de servicios</v>
          </cell>
        </row>
        <row r="11343">
          <cell r="A11343" t="str">
            <v>W67.6</v>
          </cell>
          <cell r="B11343" t="str">
            <v>Ahogamiento y sumersión mientras se está en una piscina, en área industrial y de la construcción</v>
          </cell>
        </row>
        <row r="11344">
          <cell r="A11344" t="str">
            <v>W67.7</v>
          </cell>
          <cell r="B11344" t="str">
            <v>Ahogamiento y sumersión mientras se está en una piscina, en granja</v>
          </cell>
        </row>
        <row r="11345">
          <cell r="A11345" t="str">
            <v>W67.8</v>
          </cell>
          <cell r="B11345" t="str">
            <v>Ahogamiento y sumersión mientras se está en una piscina, en otro lugar especificado</v>
          </cell>
        </row>
        <row r="11346">
          <cell r="A11346" t="str">
            <v>W67.9</v>
          </cell>
          <cell r="B11346" t="str">
            <v>Ahogamiento y sumersión mientras se está en una piscina, en lugar no especificado</v>
          </cell>
        </row>
        <row r="11347">
          <cell r="A11347" t="str">
            <v>W68</v>
          </cell>
          <cell r="B11347" t="str">
            <v>Ahogamiento y sumersión consecutivos a caída en una piscina</v>
          </cell>
        </row>
        <row r="11348">
          <cell r="A11348" t="str">
            <v>W68.0</v>
          </cell>
          <cell r="B11348" t="str">
            <v>Ahogamiento y sumersión consecutivos a caída en una piscina, en vivienda</v>
          </cell>
        </row>
        <row r="11349">
          <cell r="A11349" t="str">
            <v>W68.1</v>
          </cell>
          <cell r="B11349" t="str">
            <v>Ahogamiento y sumersión consecutivos a caída en una piscina, en institución residencial</v>
          </cell>
        </row>
        <row r="11350">
          <cell r="A11350" t="str">
            <v>W68.2</v>
          </cell>
          <cell r="B11350" t="str">
            <v>Ahogamiento y sumersión consecutivos a caída en una piscina, en escuelas, otras instituciones y áreas administrativas públicas</v>
          </cell>
        </row>
        <row r="11351">
          <cell r="A11351" t="str">
            <v>W68.3</v>
          </cell>
          <cell r="B11351" t="str">
            <v>Ahogamiento y sumersión consecutivos a caída en una piscina, en áreas de deporte y atletismo</v>
          </cell>
        </row>
        <row r="11352">
          <cell r="A11352" t="str">
            <v>W68.4</v>
          </cell>
          <cell r="B11352" t="str">
            <v>Ahogamiento y sumersión consecutivos a caída en una piscina, en calles y carreteras</v>
          </cell>
        </row>
        <row r="11353">
          <cell r="A11353" t="str">
            <v>W68.5</v>
          </cell>
          <cell r="B11353" t="str">
            <v>Ahogamiento y sumersión consecutivos a caída en una piscina, en comercio y área de servicios</v>
          </cell>
        </row>
        <row r="11354">
          <cell r="A11354" t="str">
            <v>W68.6</v>
          </cell>
          <cell r="B11354" t="str">
            <v>Ahogamiento y sumersión consecutivos a caída en una piscina, en área industrial y de la construcción</v>
          </cell>
        </row>
        <row r="11355">
          <cell r="A11355" t="str">
            <v>W68.7</v>
          </cell>
          <cell r="B11355" t="str">
            <v>Ahogamiento y sumersión consecutivos a caída en una piscina, en granja</v>
          </cell>
        </row>
        <row r="11356">
          <cell r="A11356" t="str">
            <v>W68.8</v>
          </cell>
          <cell r="B11356" t="str">
            <v>Ahogamiento y sumersión consecutivos a caída en una piscina, en otro lugar especificado</v>
          </cell>
        </row>
        <row r="11357">
          <cell r="A11357" t="str">
            <v>W68.9</v>
          </cell>
          <cell r="B11357" t="str">
            <v>Ahogamiento y sumersión consecutivos a caída en una piscina, en lugar no especificado</v>
          </cell>
        </row>
        <row r="11358">
          <cell r="A11358" t="str">
            <v>W69</v>
          </cell>
          <cell r="B11358" t="str">
            <v>Ahogamiento y sumersión mientras se está en aguas naturales</v>
          </cell>
        </row>
        <row r="11359">
          <cell r="A11359" t="str">
            <v>W69.0</v>
          </cell>
          <cell r="B11359" t="str">
            <v>Ahogamiento y sumersión mientras se está en aguas naturales, en vivienda</v>
          </cell>
        </row>
        <row r="11360">
          <cell r="A11360" t="str">
            <v>W69.1</v>
          </cell>
          <cell r="B11360" t="str">
            <v>Ahogamiento y sumersión mientras se está en aguas naturales, en institución residencial</v>
          </cell>
        </row>
        <row r="11361">
          <cell r="A11361" t="str">
            <v>W69.2</v>
          </cell>
          <cell r="B11361" t="str">
            <v>Ahogamiento y sumersión mientras se está en aguas naturales, en escuelas, otras instituciones y áreas administrativas públicas</v>
          </cell>
        </row>
        <row r="11362">
          <cell r="A11362" t="str">
            <v>W69.3</v>
          </cell>
          <cell r="B11362" t="str">
            <v>Ahogamiento y sumersión mientras se está en aguas naturales, en áreas de deporte y atletismo</v>
          </cell>
        </row>
        <row r="11363">
          <cell r="A11363" t="str">
            <v>W69.4</v>
          </cell>
          <cell r="B11363" t="str">
            <v>Ahogamiento y sumersión mientras se está en aguas naturales, en calles y carreteras</v>
          </cell>
        </row>
        <row r="11364">
          <cell r="A11364" t="str">
            <v>W69.5</v>
          </cell>
          <cell r="B11364" t="str">
            <v>Ahogamiento y sumersión mientras se está en aguas naturales, en comercio y área de servicios</v>
          </cell>
        </row>
        <row r="11365">
          <cell r="A11365" t="str">
            <v>W69.6</v>
          </cell>
          <cell r="B11365" t="str">
            <v>Ahogamiento y sumersión mientras se está en aguas naturales, en área industrial y de la construcción</v>
          </cell>
        </row>
        <row r="11366">
          <cell r="A11366" t="str">
            <v>W69.7</v>
          </cell>
          <cell r="B11366" t="str">
            <v>Ahogamiento y sumersión mientras se está en aguas naturales, en granja</v>
          </cell>
        </row>
        <row r="11367">
          <cell r="A11367" t="str">
            <v>W69.8</v>
          </cell>
          <cell r="B11367" t="str">
            <v>Ahogamiento y sumersión mientras se está en aguas naturales, en otro lugar especificado</v>
          </cell>
        </row>
        <row r="11368">
          <cell r="A11368" t="str">
            <v>W69.9</v>
          </cell>
          <cell r="B11368" t="str">
            <v>Ahogamiento y sumersión mientras se está en aguas naturales, en lugar no especificado</v>
          </cell>
        </row>
        <row r="11369">
          <cell r="A11369" t="str">
            <v>W70</v>
          </cell>
          <cell r="B11369" t="str">
            <v>Ahogamiento y sumersión posterior a caída en aguas naturales</v>
          </cell>
        </row>
        <row r="11370">
          <cell r="A11370" t="str">
            <v>W70.0</v>
          </cell>
          <cell r="B11370" t="str">
            <v>Ahogamiento y sumersión posterior a caída en aguas naturales, en vivienda</v>
          </cell>
        </row>
        <row r="11371">
          <cell r="A11371" t="str">
            <v>W70.1</v>
          </cell>
          <cell r="B11371" t="str">
            <v>Ahogamiento y sumersión posterior a caída en aguas naturales, en institución residencial</v>
          </cell>
        </row>
        <row r="11372">
          <cell r="A11372" t="str">
            <v>W70.2</v>
          </cell>
          <cell r="B11372" t="str">
            <v>Ahogamiento y sumersión posterior a caída en aguas naturales, en escuelas, otras instituciones y áreas administrativas públicas</v>
          </cell>
        </row>
        <row r="11373">
          <cell r="A11373" t="str">
            <v>W70.3</v>
          </cell>
          <cell r="B11373" t="str">
            <v>Ahogamiento y sumersión posterior a caída en aguas naturales, en áreas de deporte y atletismo</v>
          </cell>
        </row>
        <row r="11374">
          <cell r="A11374" t="str">
            <v>W70.4</v>
          </cell>
          <cell r="B11374" t="str">
            <v>Ahogamiento y sumersión posterior a caída en aguas naturales, en calles y carreteras</v>
          </cell>
        </row>
        <row r="11375">
          <cell r="A11375" t="str">
            <v>W70.5</v>
          </cell>
          <cell r="B11375" t="str">
            <v>Ahogamiento y sumersión posterior a caída en aguas naturales, en comercio y área de servicios</v>
          </cell>
        </row>
        <row r="11376">
          <cell r="A11376" t="str">
            <v>W70.6</v>
          </cell>
          <cell r="B11376" t="str">
            <v>Ahogamiento y sumersión posterior a caída en aguas naturales, en área industrial y de la construcción</v>
          </cell>
        </row>
        <row r="11377">
          <cell r="A11377" t="str">
            <v>W70.7</v>
          </cell>
          <cell r="B11377" t="str">
            <v>Ahogamiento y sumersión posterior a caída en aguas naturales, en granja</v>
          </cell>
        </row>
        <row r="11378">
          <cell r="A11378" t="str">
            <v>W70.8</v>
          </cell>
          <cell r="B11378" t="str">
            <v>Ahogamiento y sumersión posterior a caída en aguas naturales, en otro lugar especificado</v>
          </cell>
        </row>
        <row r="11379">
          <cell r="A11379" t="str">
            <v>W70.9</v>
          </cell>
          <cell r="B11379" t="str">
            <v>Ahogamiento y sumersión posterior a caída en aguas naturales, en lugar no especificado</v>
          </cell>
        </row>
        <row r="11380">
          <cell r="A11380" t="str">
            <v>W73</v>
          </cell>
          <cell r="B11380" t="str">
            <v>Otros ahogamientos y sumersiones especificados</v>
          </cell>
        </row>
        <row r="11381">
          <cell r="A11381" t="str">
            <v>W73.0</v>
          </cell>
          <cell r="B11381" t="str">
            <v>Otros ahogamientos y sumersiones especificados, en vivienda</v>
          </cell>
        </row>
        <row r="11382">
          <cell r="A11382" t="str">
            <v>W73.1</v>
          </cell>
          <cell r="B11382" t="str">
            <v>Otros ahogamientos y sumersiones especificados, en institución residencial</v>
          </cell>
        </row>
        <row r="11383">
          <cell r="A11383" t="str">
            <v>W73.2</v>
          </cell>
          <cell r="B11383" t="str">
            <v>Otros ahogamientos y sumersiones especificados, en escuelas, otras instituciones y áreas administrativas públicas</v>
          </cell>
        </row>
        <row r="11384">
          <cell r="A11384" t="str">
            <v>W73.3</v>
          </cell>
          <cell r="B11384" t="str">
            <v>Otros ahogamientos y sumersiones especificados, en áreas de deporte y atletismo</v>
          </cell>
        </row>
        <row r="11385">
          <cell r="A11385" t="str">
            <v>W73.4</v>
          </cell>
          <cell r="B11385" t="str">
            <v>Otros ahogamientos y sumersiones especificados, en calles y carreteras</v>
          </cell>
        </row>
        <row r="11386">
          <cell r="A11386" t="str">
            <v>W73.5</v>
          </cell>
          <cell r="B11386" t="str">
            <v>Otros ahogamientos y sumersiones especificados, en comercio y área de servicios</v>
          </cell>
        </row>
        <row r="11387">
          <cell r="A11387" t="str">
            <v>W73.6</v>
          </cell>
          <cell r="B11387" t="str">
            <v>Otros ahogamientos y sumersiones especificados, en área industrial y de la construcción</v>
          </cell>
        </row>
        <row r="11388">
          <cell r="A11388" t="str">
            <v>W73.7</v>
          </cell>
          <cell r="B11388" t="str">
            <v>Otros ahogamientos y sumersiones especificados, en granja</v>
          </cell>
        </row>
        <row r="11389">
          <cell r="A11389" t="str">
            <v>W73.8</v>
          </cell>
          <cell r="B11389" t="str">
            <v>Otros ahogamientos y sumersiones especificados, en otro lugar especificado</v>
          </cell>
        </row>
        <row r="11390">
          <cell r="A11390" t="str">
            <v>W73.9</v>
          </cell>
          <cell r="B11390" t="str">
            <v>Otros ahogamientos y sumersiones especificados, en lugar no especificado</v>
          </cell>
        </row>
        <row r="11391">
          <cell r="A11391" t="str">
            <v>W74</v>
          </cell>
          <cell r="B11391" t="str">
            <v>Ahogamiento y sumersión no especificados</v>
          </cell>
        </row>
        <row r="11392">
          <cell r="A11392" t="str">
            <v>W74.0</v>
          </cell>
          <cell r="B11392" t="str">
            <v>Ahogamiento y sumersión no especificados, en vivienda</v>
          </cell>
        </row>
        <row r="11393">
          <cell r="A11393" t="str">
            <v>W74.1</v>
          </cell>
          <cell r="B11393" t="str">
            <v>Ahogamiento y sumersión no especificados, en institución residencial</v>
          </cell>
        </row>
        <row r="11394">
          <cell r="A11394" t="str">
            <v>W74.2</v>
          </cell>
          <cell r="B11394" t="str">
            <v>Ahogamiento y sumersión no especificados, en escuelas, otras instituciones y áreas administrativas públicas</v>
          </cell>
        </row>
        <row r="11395">
          <cell r="A11395" t="str">
            <v>W74.3</v>
          </cell>
          <cell r="B11395" t="str">
            <v>Ahogamiento y sumersión no especificados, en áreas de deporte y atletismo</v>
          </cell>
        </row>
        <row r="11396">
          <cell r="A11396" t="str">
            <v>W74.4</v>
          </cell>
          <cell r="B11396" t="str">
            <v>Ahogamiento y sumersión no especificados, en calles y carreteras</v>
          </cell>
        </row>
        <row r="11397">
          <cell r="A11397" t="str">
            <v>W74.5</v>
          </cell>
          <cell r="B11397" t="str">
            <v>Ahogamiento y sumersión no especificados, en comercio y área de servicios</v>
          </cell>
        </row>
        <row r="11398">
          <cell r="A11398" t="str">
            <v>W74.6</v>
          </cell>
          <cell r="B11398" t="str">
            <v>Ahogamiento y sumersión no especificados, en área industrial y de la construcción</v>
          </cell>
        </row>
        <row r="11399">
          <cell r="A11399" t="str">
            <v>W74.7</v>
          </cell>
          <cell r="B11399" t="str">
            <v>Ahogamiento y sumersión no especificados, en granja</v>
          </cell>
        </row>
        <row r="11400">
          <cell r="A11400" t="str">
            <v>W74.8</v>
          </cell>
          <cell r="B11400" t="str">
            <v>Ahogamiento y sumersión no especificados, en otro lugar especificado</v>
          </cell>
        </row>
        <row r="11401">
          <cell r="A11401" t="str">
            <v>W74.9</v>
          </cell>
          <cell r="B11401" t="str">
            <v>Ahogamiento y sumersión no especificados, en lugar no especificado</v>
          </cell>
        </row>
        <row r="11402">
          <cell r="A11402" t="str">
            <v>W75</v>
          </cell>
          <cell r="B11402" t="str">
            <v>Sofocación y estrangulamiento accidental en la cama</v>
          </cell>
        </row>
        <row r="11403">
          <cell r="A11403" t="str">
            <v>W75.0</v>
          </cell>
          <cell r="B11403" t="str">
            <v>Sofocación y estrangulamiento accidental en la cama, en vivienda</v>
          </cell>
        </row>
        <row r="11404">
          <cell r="A11404" t="str">
            <v>W75.1</v>
          </cell>
          <cell r="B11404" t="str">
            <v>Sofocación y estrangulamiento accidental en la cama, en institución residencial</v>
          </cell>
        </row>
        <row r="11405">
          <cell r="A11405" t="str">
            <v>W75.2</v>
          </cell>
          <cell r="B11405" t="str">
            <v>Sofocación y estrangulamiento accidental en la cama, en escuelas, otras instituciones y áreas administrativas públicas</v>
          </cell>
        </row>
        <row r="11406">
          <cell r="A11406" t="str">
            <v>W75.3</v>
          </cell>
          <cell r="B11406" t="str">
            <v>Sofocación y estrangulamiento accidental en la cama, en áreas de deporte y atletismo</v>
          </cell>
        </row>
        <row r="11407">
          <cell r="A11407" t="str">
            <v>W75.4</v>
          </cell>
          <cell r="B11407" t="str">
            <v>Sofocación y estrangulamiento accidental en la cama, en calles y carreteras</v>
          </cell>
        </row>
        <row r="11408">
          <cell r="A11408" t="str">
            <v>W75.5</v>
          </cell>
          <cell r="B11408" t="str">
            <v>Sofocación y estrangulamiento accidental en la cama, en comercio y área de servicios</v>
          </cell>
        </row>
        <row r="11409">
          <cell r="A11409" t="str">
            <v>W75.6</v>
          </cell>
          <cell r="B11409" t="str">
            <v>Sofocación y estrangulamiento accidental en la cama, en área industrial y de la construcción</v>
          </cell>
        </row>
        <row r="11410">
          <cell r="A11410" t="str">
            <v>W75.7</v>
          </cell>
          <cell r="B11410" t="str">
            <v>Sofocación y estrangulamiento accidental en la cama, en granja</v>
          </cell>
        </row>
        <row r="11411">
          <cell r="A11411" t="str">
            <v>W75.8</v>
          </cell>
          <cell r="B11411" t="str">
            <v>Sofocación y estrangulamiento accidental en la cama, en otro lugar especificado</v>
          </cell>
        </row>
        <row r="11412">
          <cell r="A11412" t="str">
            <v>W75.9</v>
          </cell>
          <cell r="B11412" t="str">
            <v>Sofocación y estrangulamiento accidental en la cama, en lugar no especificado</v>
          </cell>
        </row>
        <row r="11413">
          <cell r="A11413" t="str">
            <v>W76</v>
          </cell>
          <cell r="B11413" t="str">
            <v>Otros estrangulamientos y ahorcamientos accidentales</v>
          </cell>
        </row>
        <row r="11414">
          <cell r="A11414" t="str">
            <v>W76.0</v>
          </cell>
          <cell r="B11414" t="str">
            <v>Otros estrangulamientos y ahorcamientos accidentales, en vivienda</v>
          </cell>
        </row>
        <row r="11415">
          <cell r="A11415" t="str">
            <v>W76.1</v>
          </cell>
          <cell r="B11415" t="str">
            <v>Otros estrangulamientos y ahorcamientos accidentales, en institución residencial</v>
          </cell>
        </row>
        <row r="11416">
          <cell r="A11416" t="str">
            <v>W76.2</v>
          </cell>
          <cell r="B11416" t="str">
            <v>Otros estrangulamientos y ahorcamientos accidentales, en escuelas, otras instituciones y áreas administrativas públicas</v>
          </cell>
        </row>
        <row r="11417">
          <cell r="A11417" t="str">
            <v>W76.3</v>
          </cell>
          <cell r="B11417" t="str">
            <v>Otros estrangulamientos y ahorcamientos accidentales, en áreas de deporte y atletismo</v>
          </cell>
        </row>
        <row r="11418">
          <cell r="A11418" t="str">
            <v>W76.4</v>
          </cell>
          <cell r="B11418" t="str">
            <v>Otros estrangulamientos y ahorcamientos accidentales, en calles y carreteras</v>
          </cell>
        </row>
        <row r="11419">
          <cell r="A11419" t="str">
            <v>W76.5</v>
          </cell>
          <cell r="B11419" t="str">
            <v>Otros estrangulamientos y ahorcamientos accidentales, en comercio y área de servicios</v>
          </cell>
        </row>
        <row r="11420">
          <cell r="A11420" t="str">
            <v>W76.6</v>
          </cell>
          <cell r="B11420" t="str">
            <v>Otros estrangulamientos y ahorcamientos accidentales, en área industrial y de la construcción</v>
          </cell>
        </row>
        <row r="11421">
          <cell r="A11421" t="str">
            <v>W76.7</v>
          </cell>
          <cell r="B11421" t="str">
            <v>Otros estrangulamientos y ahorcamientos accidentales, en granja</v>
          </cell>
        </row>
        <row r="11422">
          <cell r="A11422" t="str">
            <v>W76.8</v>
          </cell>
          <cell r="B11422" t="str">
            <v>Otros estrangulamientos y ahorcamientos accidentales, en otro lugar especificado</v>
          </cell>
        </row>
        <row r="11423">
          <cell r="A11423" t="str">
            <v>W76.9</v>
          </cell>
          <cell r="B11423" t="str">
            <v>Otros estrangulamientos y ahorcamientos accidentales, en lugar no especificado</v>
          </cell>
        </row>
        <row r="11424">
          <cell r="A11424" t="str">
            <v>W77</v>
          </cell>
          <cell r="B11424" t="str">
            <v>Obstrucción de la respiración debida a hundimiento, caída de tierra u otras sustancias</v>
          </cell>
        </row>
        <row r="11425">
          <cell r="A11425" t="str">
            <v>W77.0</v>
          </cell>
          <cell r="B11425" t="str">
            <v>Obstrucción de la respiración debida a hundimiento, caída de tierra u otras sustancias, en vivienda</v>
          </cell>
        </row>
        <row r="11426">
          <cell r="A11426" t="str">
            <v>W77.1</v>
          </cell>
          <cell r="B11426" t="str">
            <v>Obstrucción de la respiración debida a hundimiento, caída de tierra u otras sustancias, en institución residencial</v>
          </cell>
        </row>
        <row r="11427">
          <cell r="A11427" t="str">
            <v>W77.2</v>
          </cell>
          <cell r="B11427" t="str">
            <v>Obstrucción de la respiración debida a hundimiento, caída de tierra u otras sustancias, en escuelas, otras instituciones y áreas administrativas públicas</v>
          </cell>
        </row>
        <row r="11428">
          <cell r="A11428" t="str">
            <v>W77.3</v>
          </cell>
          <cell r="B11428" t="str">
            <v>Obstrucción de la respiración debida a hundimiento, caída de tierra u otras sustancias, en áreas de deporte y atletismo</v>
          </cell>
        </row>
        <row r="11429">
          <cell r="A11429" t="str">
            <v>W77.4</v>
          </cell>
          <cell r="B11429" t="str">
            <v>Obstrucción de la respiración debida a hundimiento, caída de tierra u otras sustancias, en calles y carreteras</v>
          </cell>
        </row>
        <row r="11430">
          <cell r="A11430" t="str">
            <v>W77.5</v>
          </cell>
          <cell r="B11430" t="str">
            <v>Obstrucción de la respiración debida a hundimiento, caída de tierra u otras sustancias, en comercio y área de servicios</v>
          </cell>
        </row>
        <row r="11431">
          <cell r="A11431" t="str">
            <v>W77.6</v>
          </cell>
          <cell r="B11431" t="str">
            <v>Obstrucción de la respiración debida a hundimiento, caída de tierra u otras sustancias, en área industrial y de la construcción</v>
          </cell>
        </row>
        <row r="11432">
          <cell r="A11432" t="str">
            <v>W77.7</v>
          </cell>
          <cell r="B11432" t="str">
            <v>Obstrucción de la respiración debida a hundimiento, caída de tierra u otras sustancias, en granja</v>
          </cell>
        </row>
        <row r="11433">
          <cell r="A11433" t="str">
            <v>W77.8</v>
          </cell>
          <cell r="B11433" t="str">
            <v>Obstrucción de la respiración debida a hundimiento, caída de tierra u otras sustancias, en otro lugar especificado</v>
          </cell>
        </row>
        <row r="11434">
          <cell r="A11434" t="str">
            <v>W77.9</v>
          </cell>
          <cell r="B11434" t="str">
            <v>Obstrucción de la respiración debida a hundimiento, caída de tierra u otras sustancias, en lugar no especificado</v>
          </cell>
        </row>
        <row r="11435">
          <cell r="A11435" t="str">
            <v>W78</v>
          </cell>
          <cell r="B11435" t="str">
            <v>Inhalación de contenidos gástricos</v>
          </cell>
        </row>
        <row r="11436">
          <cell r="A11436" t="str">
            <v>W78.0</v>
          </cell>
          <cell r="B11436" t="str">
            <v>Inhalación de contenidos gástricos, en vivienda</v>
          </cell>
        </row>
        <row r="11437">
          <cell r="A11437" t="str">
            <v>W78.1</v>
          </cell>
          <cell r="B11437" t="str">
            <v>Inhalación de contenidos gástricos, en institución residencial</v>
          </cell>
        </row>
        <row r="11438">
          <cell r="A11438" t="str">
            <v>W78.2</v>
          </cell>
          <cell r="B11438" t="str">
            <v>Inhalación de contenidos gástricos, en escuelas, otras instituciones y áreas administrativas públicas</v>
          </cell>
        </row>
        <row r="11439">
          <cell r="A11439" t="str">
            <v>W78.3</v>
          </cell>
          <cell r="B11439" t="str">
            <v>Inhalación de contenidos gástricos, en áreas de deporte y atletismo</v>
          </cell>
        </row>
        <row r="11440">
          <cell r="A11440" t="str">
            <v>W78.4</v>
          </cell>
          <cell r="B11440" t="str">
            <v>Inhalación de contenidos gástricos, en calles y carreteras</v>
          </cell>
        </row>
        <row r="11441">
          <cell r="A11441" t="str">
            <v>W78.5</v>
          </cell>
          <cell r="B11441" t="str">
            <v>Inhalación de contenidos gástricos, en comercio y área de servicios</v>
          </cell>
        </row>
        <row r="11442">
          <cell r="A11442" t="str">
            <v>W78.6</v>
          </cell>
          <cell r="B11442" t="str">
            <v>Inhalación de contenidos gástricos, en área industrial y de la construcción</v>
          </cell>
        </row>
        <row r="11443">
          <cell r="A11443" t="str">
            <v>W78.7</v>
          </cell>
          <cell r="B11443" t="str">
            <v>Inhalación de contenidos gástricos, en granja</v>
          </cell>
        </row>
        <row r="11444">
          <cell r="A11444" t="str">
            <v>W78.8</v>
          </cell>
          <cell r="B11444" t="str">
            <v>Inhalación de contenidos gástricos, en otro lugar especificado</v>
          </cell>
        </row>
        <row r="11445">
          <cell r="A11445" t="str">
            <v>W78.9</v>
          </cell>
          <cell r="B11445" t="str">
            <v>Inhalación de contenidos gástricos, en lugar no especificado</v>
          </cell>
        </row>
        <row r="11446">
          <cell r="A11446" t="str">
            <v>W79</v>
          </cell>
          <cell r="B11446" t="str">
            <v>Inhalación e ingestión de alimento que causa obstrucción de las vías respiratorias</v>
          </cell>
        </row>
        <row r="11447">
          <cell r="A11447" t="str">
            <v>W79.0</v>
          </cell>
          <cell r="B11447" t="str">
            <v>Inhalación e ingestión de alimento que causa obstrucción de las vías respiratorias, en vivienda</v>
          </cell>
        </row>
        <row r="11448">
          <cell r="A11448" t="str">
            <v>W79.1</v>
          </cell>
          <cell r="B11448" t="str">
            <v>Inhalación e ingestión de alimento que causa obstrucción de las vías respiratorias, en institución residencial</v>
          </cell>
        </row>
        <row r="11449">
          <cell r="A11449" t="str">
            <v>W79.2</v>
          </cell>
          <cell r="B11449" t="str">
            <v>Inhalación e ingestión de alimento que causa obstrucción de las vías respiratorias, en escuelas, otras instituciones y áreas administrativas públicas</v>
          </cell>
        </row>
        <row r="11450">
          <cell r="A11450" t="str">
            <v>W79.3</v>
          </cell>
          <cell r="B11450" t="str">
            <v>Inhalación e ingestión de alimento que causa obstrucción de las vías respiratorias, en áreas de deporte y atletismo</v>
          </cell>
        </row>
        <row r="11451">
          <cell r="A11451" t="str">
            <v>W79.4</v>
          </cell>
          <cell r="B11451" t="str">
            <v>Inhalación e ingestión de alimento que causa obstrucción de las vías respiratorias, en calles y carreteras</v>
          </cell>
        </row>
        <row r="11452">
          <cell r="A11452" t="str">
            <v>W79.5</v>
          </cell>
          <cell r="B11452" t="str">
            <v>Inhalación e ingestión de alimento que causa obstrucción de las vías respiratorias, en comercio y área de servicios</v>
          </cell>
        </row>
        <row r="11453">
          <cell r="A11453" t="str">
            <v>W79.6</v>
          </cell>
          <cell r="B11453" t="str">
            <v>Inhalación e ingestión de alimento que causa obstrucción de las vías respiratorias, en área industrial y de la construcción</v>
          </cell>
        </row>
        <row r="11454">
          <cell r="A11454" t="str">
            <v>W79.7</v>
          </cell>
          <cell r="B11454" t="str">
            <v>Inhalación e ingestión de alimento que causa obstrucción de las vías respiratorias, en granja</v>
          </cell>
        </row>
        <row r="11455">
          <cell r="A11455" t="str">
            <v>W79.8</v>
          </cell>
          <cell r="B11455" t="str">
            <v>Inhalación e ingestión de alimento que causa obstrucción de las vías respiratorias, en otro lugar especificado</v>
          </cell>
        </row>
        <row r="11456">
          <cell r="A11456" t="str">
            <v>W79.9</v>
          </cell>
          <cell r="B11456" t="str">
            <v>Inhalación e ingestión de alimento que causa obstrucción de las vías respiratorias, en lugar no especificado</v>
          </cell>
        </row>
        <row r="11457">
          <cell r="A11457" t="str">
            <v>W80</v>
          </cell>
          <cell r="B11457" t="str">
            <v>Inhalación e ingestión de otros objetos que causan obstrucción de las  vías respiratorias</v>
          </cell>
        </row>
        <row r="11458">
          <cell r="A11458" t="str">
            <v>W80.0</v>
          </cell>
          <cell r="B11458" t="str">
            <v>Inhalación e ingestión de otros objetos que causan obstrucción de las vías respiratorias, en vivienda</v>
          </cell>
        </row>
        <row r="11459">
          <cell r="A11459" t="str">
            <v>W80.1</v>
          </cell>
          <cell r="B11459" t="str">
            <v>Inhalación e ingestión de otros objetos que causan obstrucción de las vías respiratorias, en institución residencial</v>
          </cell>
        </row>
        <row r="11460">
          <cell r="A11460" t="str">
            <v>W80.2</v>
          </cell>
          <cell r="B11460" t="str">
            <v>Inhalación e ingestión de otros objetos que causan obstrucción de las vías respiratorias, en escuelas, otras instituciones y áreas administrativas públicas</v>
          </cell>
        </row>
        <row r="11461">
          <cell r="A11461" t="str">
            <v>W80.3</v>
          </cell>
          <cell r="B11461" t="str">
            <v>Inhalación e ingestión de otros objetos que causan obstrucción de las vías respiratorias, en áreas de deporte y atletismo</v>
          </cell>
        </row>
        <row r="11462">
          <cell r="A11462" t="str">
            <v>W80.4</v>
          </cell>
          <cell r="B11462" t="str">
            <v>Inhalación e ingestión de otros objetos que causan obstrucción de las vías respiratorias, en calles y carreteras</v>
          </cell>
        </row>
        <row r="11463">
          <cell r="A11463" t="str">
            <v>W80.5</v>
          </cell>
          <cell r="B11463" t="str">
            <v>Inhalación e ingestión de otros objetos que causan obstrucción de las vías respiratorias, en comercio y área de servicios</v>
          </cell>
        </row>
        <row r="11464">
          <cell r="A11464" t="str">
            <v>W80.6</v>
          </cell>
          <cell r="B11464" t="str">
            <v>Inhalación e ingestión de otros objetos que causan obstrucción de las vías respiratorias, en área industrial y de la construcción</v>
          </cell>
        </row>
        <row r="11465">
          <cell r="A11465" t="str">
            <v>W80.7</v>
          </cell>
          <cell r="B11465" t="str">
            <v>Inhalación e ingestión de otros objetos que causan obstrucción de las vías respiratorias, en granja</v>
          </cell>
        </row>
        <row r="11466">
          <cell r="A11466" t="str">
            <v>W80.8</v>
          </cell>
          <cell r="B11466" t="str">
            <v>Inhalación e ingestión de otros objetos que causan obstrucción de las vías respiratorias, en otro lugar especificado</v>
          </cell>
        </row>
        <row r="11467">
          <cell r="A11467" t="str">
            <v>W80.9</v>
          </cell>
          <cell r="B11467" t="str">
            <v>Inhalación e ingestión de otros objetos que causan obstrucción de las vías respiratorias, en lugar no especificado</v>
          </cell>
        </row>
        <row r="11468">
          <cell r="A11468" t="str">
            <v>W81</v>
          </cell>
          <cell r="B11468" t="str">
            <v>Confinado o atrapado en un ambiente con bajo contenido de oxígeno</v>
          </cell>
        </row>
        <row r="11469">
          <cell r="A11469" t="str">
            <v>W81.0</v>
          </cell>
          <cell r="B11469" t="str">
            <v>Confinado o atrapado en un ambiente con bajo contenido de oxígeno, en vivienda</v>
          </cell>
        </row>
        <row r="11470">
          <cell r="A11470" t="str">
            <v>W81.1</v>
          </cell>
          <cell r="B11470" t="str">
            <v>Confinado o atrapado en un ambiente con bajo contenido de oxígeno, en institución residencial</v>
          </cell>
        </row>
        <row r="11471">
          <cell r="A11471" t="str">
            <v>W81.2</v>
          </cell>
          <cell r="B11471" t="str">
            <v>Confinado o atrapado en un ambiente con bajo contenido de oxígeno, en escuelas, otras instituciones y áreas administrativas públicas</v>
          </cell>
        </row>
        <row r="11472">
          <cell r="A11472" t="str">
            <v>W81.3</v>
          </cell>
          <cell r="B11472" t="str">
            <v>Confinado o atrapado en un ambiente con bajo contenido de oxígeno, en áreas de deporte y atletismo</v>
          </cell>
        </row>
        <row r="11473">
          <cell r="A11473" t="str">
            <v>W81.4</v>
          </cell>
          <cell r="B11473" t="str">
            <v>Confinado o atrapado en un ambiente con bajo contenido de oxígeno, en calles y carreteras</v>
          </cell>
        </row>
        <row r="11474">
          <cell r="A11474" t="str">
            <v>W81.5</v>
          </cell>
          <cell r="B11474" t="str">
            <v>Confinado o atrapado en un ambiente con bajo contenido de oxígeno, en comercio y área de servicios</v>
          </cell>
        </row>
        <row r="11475">
          <cell r="A11475" t="str">
            <v>W81.6</v>
          </cell>
          <cell r="B11475" t="str">
            <v>Confinado o atrapado en un ambiente con bajo contenido de oxígeno, en área industrial y de la construcción</v>
          </cell>
        </row>
        <row r="11476">
          <cell r="A11476" t="str">
            <v>W81.7</v>
          </cell>
          <cell r="B11476" t="str">
            <v>Confinado o atrapado en un ambiente con bajo contenido de oxígeno, en granja</v>
          </cell>
        </row>
        <row r="11477">
          <cell r="A11477" t="str">
            <v>W81.8</v>
          </cell>
          <cell r="B11477" t="str">
            <v>Confinado o atrapado en un ambiente con bajo contenido de oxígeno, en otro lugar especificado</v>
          </cell>
        </row>
        <row r="11478">
          <cell r="A11478" t="str">
            <v>W81.9</v>
          </cell>
          <cell r="B11478" t="str">
            <v>Confinado o atrapado en un ambiente con bajo contenido de oxígeno, en lugar no especificado</v>
          </cell>
        </row>
        <row r="11479">
          <cell r="A11479" t="str">
            <v>W83</v>
          </cell>
          <cell r="B11479" t="str">
            <v>Otras obstrucciones especificadas de la respiración</v>
          </cell>
        </row>
        <row r="11480">
          <cell r="A11480" t="str">
            <v>W83.0</v>
          </cell>
          <cell r="B11480" t="str">
            <v>Otras obstrucciones especificadas de la respiración, en vivienda</v>
          </cell>
        </row>
        <row r="11481">
          <cell r="A11481" t="str">
            <v>W83.1</v>
          </cell>
          <cell r="B11481" t="str">
            <v>Otras obstrucciones especificadas de la respiración, en institución residencial</v>
          </cell>
        </row>
        <row r="11482">
          <cell r="A11482" t="str">
            <v>W83.2</v>
          </cell>
          <cell r="B11482" t="str">
            <v>Otras obstrucciones especificadas de la respiración, en escuelas, otras instituciones y áreas administrativas públicas</v>
          </cell>
        </row>
        <row r="11483">
          <cell r="A11483" t="str">
            <v>W83.3</v>
          </cell>
          <cell r="B11483" t="str">
            <v>Otras obstrucciones especificadas de la respiración, en áreas de deporte y atletismo</v>
          </cell>
        </row>
        <row r="11484">
          <cell r="A11484" t="str">
            <v>W83.4</v>
          </cell>
          <cell r="B11484" t="str">
            <v>Otras obstrucciones especificadas de la respiración, en calles y carreteras</v>
          </cell>
        </row>
        <row r="11485">
          <cell r="A11485" t="str">
            <v>W83.5</v>
          </cell>
          <cell r="B11485" t="str">
            <v>Otras obstrucciones especificadas de la respiración, en comercio y área de servicios</v>
          </cell>
        </row>
        <row r="11486">
          <cell r="A11486" t="str">
            <v>W83.6</v>
          </cell>
          <cell r="B11486" t="str">
            <v>Otras obstrucciones especificadas de la respiración, en área industrial y de la construcción</v>
          </cell>
        </row>
        <row r="11487">
          <cell r="A11487" t="str">
            <v>W83.7</v>
          </cell>
          <cell r="B11487" t="str">
            <v>Otras obstrucciones especificadas de la respiración, en granja</v>
          </cell>
        </row>
        <row r="11488">
          <cell r="A11488" t="str">
            <v>W83.8</v>
          </cell>
          <cell r="B11488" t="str">
            <v>Otras obstrucciones especificadas de la respiración, en otro lugar especificado</v>
          </cell>
        </row>
        <row r="11489">
          <cell r="A11489" t="str">
            <v>W83.9</v>
          </cell>
          <cell r="B11489" t="str">
            <v>Otras obstrucciones especificadas de la respiración, en lugar no especificado</v>
          </cell>
        </row>
        <row r="11490">
          <cell r="A11490" t="str">
            <v>W84</v>
          </cell>
          <cell r="B11490" t="str">
            <v>Obstrucción no especificada de la respiración</v>
          </cell>
        </row>
        <row r="11491">
          <cell r="A11491" t="str">
            <v>W84.0</v>
          </cell>
          <cell r="B11491" t="str">
            <v>Obstrucción no especificada de la respiración, en vivienda</v>
          </cell>
        </row>
        <row r="11492">
          <cell r="A11492" t="str">
            <v>W84.1</v>
          </cell>
          <cell r="B11492" t="str">
            <v>Obstrucción no especificada de la respiración, en institución residencial</v>
          </cell>
        </row>
        <row r="11493">
          <cell r="A11493" t="str">
            <v>W84.2</v>
          </cell>
          <cell r="B11493" t="str">
            <v>Obstrucción no especificada de la respiración, en escuelas, otras instituciones y áreas administrativas públicas</v>
          </cell>
        </row>
        <row r="11494">
          <cell r="A11494" t="str">
            <v>W84.3</v>
          </cell>
          <cell r="B11494" t="str">
            <v>Obstrucción no especificada de la respiración, en áreas de deporte y atletismo</v>
          </cell>
        </row>
        <row r="11495">
          <cell r="A11495" t="str">
            <v>W84.4</v>
          </cell>
          <cell r="B11495" t="str">
            <v>Obstrucción no especificada de la respiración, en calles y carreteras</v>
          </cell>
        </row>
        <row r="11496">
          <cell r="A11496" t="str">
            <v>W84.5</v>
          </cell>
          <cell r="B11496" t="str">
            <v>Obstrucción no especificada de la respiración, en comercio y área de servicios</v>
          </cell>
        </row>
        <row r="11497">
          <cell r="A11497" t="str">
            <v>W84.6</v>
          </cell>
          <cell r="B11497" t="str">
            <v>Obstrucción no especificada de la respiración, en área industrial y de la construcción</v>
          </cell>
        </row>
        <row r="11498">
          <cell r="A11498" t="str">
            <v>W84.7</v>
          </cell>
          <cell r="B11498" t="str">
            <v>Obstrucción no especificada de la respiración, en granja</v>
          </cell>
        </row>
        <row r="11499">
          <cell r="A11499" t="str">
            <v>W84.8</v>
          </cell>
          <cell r="B11499" t="str">
            <v>Obstrucción no especificada de la respiración, en otro lugar especificado</v>
          </cell>
        </row>
        <row r="11500">
          <cell r="A11500" t="str">
            <v>W84.9</v>
          </cell>
          <cell r="B11500" t="str">
            <v>Obstrucción no especificada de la respiración, en lugar no especificado</v>
          </cell>
        </row>
        <row r="11501">
          <cell r="A11501" t="str">
            <v>W85</v>
          </cell>
          <cell r="B11501" t="str">
            <v>Exposición a líneas de transmisión eléctrica</v>
          </cell>
        </row>
        <row r="11502">
          <cell r="A11502" t="str">
            <v>W85.0</v>
          </cell>
          <cell r="B11502" t="str">
            <v>Exposición a líneas de transmisión eléctrica, en vivienda</v>
          </cell>
        </row>
        <row r="11503">
          <cell r="A11503" t="str">
            <v>W85.1</v>
          </cell>
          <cell r="B11503" t="str">
            <v>Exposición a líneas de transmisión eléctrica, en institución residencial</v>
          </cell>
        </row>
        <row r="11504">
          <cell r="A11504" t="str">
            <v>W85.2</v>
          </cell>
          <cell r="B11504" t="str">
            <v>Exposición a líneas de transmisión eléctrica, en escuelas, otras instituciones y áreas administrativas públicas</v>
          </cell>
        </row>
        <row r="11505">
          <cell r="A11505" t="str">
            <v>W85.3</v>
          </cell>
          <cell r="B11505" t="str">
            <v>Exposición a líneas de transmisión eléctrica, en áreas de deporte y atletismo</v>
          </cell>
        </row>
        <row r="11506">
          <cell r="A11506" t="str">
            <v>W85.4</v>
          </cell>
          <cell r="B11506" t="str">
            <v>Exposición a líneas de transmisión eléctrica, en calles y carreteras</v>
          </cell>
        </row>
        <row r="11507">
          <cell r="A11507" t="str">
            <v>W85.5</v>
          </cell>
          <cell r="B11507" t="str">
            <v>Exposición a líneas de transmisión eléctrica, en comercio y área de servicios</v>
          </cell>
        </row>
        <row r="11508">
          <cell r="A11508" t="str">
            <v>W85.6</v>
          </cell>
          <cell r="B11508" t="str">
            <v>Exposición a líneas de transmisión eléctrica, en área industrial y de la construcción</v>
          </cell>
        </row>
        <row r="11509">
          <cell r="A11509" t="str">
            <v>W85.7</v>
          </cell>
          <cell r="B11509" t="str">
            <v>Exposición a líneas de transmisión eléctrica, en granja</v>
          </cell>
        </row>
        <row r="11510">
          <cell r="A11510" t="str">
            <v>W85.8</v>
          </cell>
          <cell r="B11510" t="str">
            <v>Exposición a líneas de transmisión eléctrica, en otro lugar especificado</v>
          </cell>
        </row>
        <row r="11511">
          <cell r="A11511" t="str">
            <v>W85.9</v>
          </cell>
          <cell r="B11511" t="str">
            <v>Exposición a líneas de transmisión eléctrica, en lugar no especificado</v>
          </cell>
        </row>
        <row r="11512">
          <cell r="A11512" t="str">
            <v>W86</v>
          </cell>
          <cell r="B11512" t="str">
            <v>Exposición a otras corrientes eléctricas especificadas</v>
          </cell>
        </row>
        <row r="11513">
          <cell r="A11513" t="str">
            <v>W86.0</v>
          </cell>
          <cell r="B11513" t="str">
            <v>Exposición a otras corrientes eléctricas especificadas, en vivienda</v>
          </cell>
        </row>
        <row r="11514">
          <cell r="A11514" t="str">
            <v>W86.1</v>
          </cell>
          <cell r="B11514" t="str">
            <v>Exposición a otras corrientes eléctricas especificadas, en institución residencial</v>
          </cell>
        </row>
        <row r="11515">
          <cell r="A11515" t="str">
            <v>W86.2</v>
          </cell>
          <cell r="B11515" t="str">
            <v>Exposición a otras corrientes eléctricas especificadas, en escuelas, otras instituciones y áreas administrativas públicas</v>
          </cell>
        </row>
        <row r="11516">
          <cell r="A11516" t="str">
            <v>W86.3</v>
          </cell>
          <cell r="B11516" t="str">
            <v>Exposición a otras corrientes eléctricas especificadas, en áreas de deporte y atletismo</v>
          </cell>
        </row>
        <row r="11517">
          <cell r="A11517" t="str">
            <v>W86.4</v>
          </cell>
          <cell r="B11517" t="str">
            <v>Exposición a otras corrientes eléctricas especificadas, en calles y carreteras</v>
          </cell>
        </row>
        <row r="11518">
          <cell r="A11518" t="str">
            <v>W86.5</v>
          </cell>
          <cell r="B11518" t="str">
            <v>Exposición a otras corrientes eléctricas especificadas, en comercio y área de servicios</v>
          </cell>
        </row>
        <row r="11519">
          <cell r="A11519" t="str">
            <v>W86.6</v>
          </cell>
          <cell r="B11519" t="str">
            <v>Exposición a otras corrientes eléctricas especificadas, en área industrial y  de la construcción</v>
          </cell>
        </row>
        <row r="11520">
          <cell r="A11520" t="str">
            <v>W86.7</v>
          </cell>
          <cell r="B11520" t="str">
            <v>Exposición a otras corrientes eléctricas especificadas, en granja</v>
          </cell>
        </row>
        <row r="11521">
          <cell r="A11521" t="str">
            <v>W86.8</v>
          </cell>
          <cell r="B11521" t="str">
            <v>Exposición a otras corrientes eléctricas especificadas, en otro lugar especificado</v>
          </cell>
        </row>
        <row r="11522">
          <cell r="A11522" t="str">
            <v>W86.9</v>
          </cell>
          <cell r="B11522" t="str">
            <v>Exposición a otras corrientes eléctricas especificadas, en lugar no especificado</v>
          </cell>
        </row>
        <row r="11523">
          <cell r="A11523" t="str">
            <v>W87</v>
          </cell>
          <cell r="B11523" t="str">
            <v>Exposición a corriente eléctrica no especificada</v>
          </cell>
        </row>
        <row r="11524">
          <cell r="A11524" t="str">
            <v>W87.0</v>
          </cell>
          <cell r="B11524" t="str">
            <v>Exposición a corriente eléctrica no especificada, en vivienda</v>
          </cell>
        </row>
        <row r="11525">
          <cell r="A11525" t="str">
            <v>W87.1</v>
          </cell>
          <cell r="B11525" t="str">
            <v>Exposición a corriente eléctrica no especificada, en institución residencial</v>
          </cell>
        </row>
        <row r="11526">
          <cell r="A11526" t="str">
            <v>W87.2</v>
          </cell>
          <cell r="B11526" t="str">
            <v>Exposición a corriente eléctrica no especificada, en escuelas, otras instituciones y áreas administrativas públicas</v>
          </cell>
        </row>
        <row r="11527">
          <cell r="A11527" t="str">
            <v>W87.3</v>
          </cell>
          <cell r="B11527" t="str">
            <v>Exposición a corriente eléctrica no especificada, en áreas de deporte y atletismo</v>
          </cell>
        </row>
        <row r="11528">
          <cell r="A11528" t="str">
            <v>W87.4</v>
          </cell>
          <cell r="B11528" t="str">
            <v>Exposición a corriente eléctrica no especificada, en calles y carreteras</v>
          </cell>
        </row>
        <row r="11529">
          <cell r="A11529" t="str">
            <v>W87.5</v>
          </cell>
          <cell r="B11529" t="str">
            <v>Exposición a corriente eléctrica no especificada, en comercio y área de servicios</v>
          </cell>
        </row>
        <row r="11530">
          <cell r="A11530" t="str">
            <v>W87.6</v>
          </cell>
          <cell r="B11530" t="str">
            <v>Exposición a corriente eléctrica no especificada, en área industrial y de la construcción</v>
          </cell>
        </row>
        <row r="11531">
          <cell r="A11531" t="str">
            <v>W87.7</v>
          </cell>
          <cell r="B11531" t="str">
            <v>Exposición a corriente eléctrica no especificada, en granja</v>
          </cell>
        </row>
        <row r="11532">
          <cell r="A11532" t="str">
            <v>W87.8</v>
          </cell>
          <cell r="B11532" t="str">
            <v>Exposición a corriente eléctrica no especificada, en otro lugar especificado</v>
          </cell>
        </row>
        <row r="11533">
          <cell r="A11533" t="str">
            <v>W87.9</v>
          </cell>
          <cell r="B11533" t="str">
            <v>Exposición a corriente eléctrica no especificada, en lugar no especificado</v>
          </cell>
        </row>
        <row r="11534">
          <cell r="A11534" t="str">
            <v>W88</v>
          </cell>
          <cell r="B11534" t="str">
            <v>Exposición a radiación ionizante, en</v>
          </cell>
        </row>
        <row r="11535">
          <cell r="A11535" t="str">
            <v>W88.0</v>
          </cell>
          <cell r="B11535" t="str">
            <v>Exposición a radiación ionizante, en vivienda</v>
          </cell>
        </row>
        <row r="11536">
          <cell r="A11536" t="str">
            <v>W88.1</v>
          </cell>
          <cell r="B11536" t="str">
            <v>Exposición a radiación ionizante, en institución residencial</v>
          </cell>
        </row>
        <row r="11537">
          <cell r="A11537" t="str">
            <v>W88.2</v>
          </cell>
          <cell r="B11537" t="str">
            <v>Exposición a radiación ionizante, en escuelas, otras instituciones y áreas administrativas públicas</v>
          </cell>
        </row>
        <row r="11538">
          <cell r="A11538" t="str">
            <v>W88.3</v>
          </cell>
          <cell r="B11538" t="str">
            <v>Exposición a radiación ionizante, en áreas de deporte y atletismo</v>
          </cell>
        </row>
        <row r="11539">
          <cell r="A11539" t="str">
            <v>W88.4</v>
          </cell>
          <cell r="B11539" t="str">
            <v>Exposición a radiación ionizante, en calles y carreteras</v>
          </cell>
        </row>
        <row r="11540">
          <cell r="A11540" t="str">
            <v>W88.5</v>
          </cell>
          <cell r="B11540" t="str">
            <v>Exposición a radiación ionizante, en comercio y área de servicios</v>
          </cell>
        </row>
        <row r="11541">
          <cell r="A11541" t="str">
            <v>W88.6</v>
          </cell>
          <cell r="B11541" t="str">
            <v>Exposición a radiación ionizante, en área industrial y de la construcción</v>
          </cell>
        </row>
        <row r="11542">
          <cell r="A11542" t="str">
            <v>W88.7</v>
          </cell>
          <cell r="B11542" t="str">
            <v>Exposición a radiación ionizante, en granja</v>
          </cell>
        </row>
        <row r="11543">
          <cell r="A11543" t="str">
            <v>W88.8</v>
          </cell>
          <cell r="B11543" t="str">
            <v>Exposición a radiación ionizante, en otro lugar especificado</v>
          </cell>
        </row>
        <row r="11544">
          <cell r="A11544" t="str">
            <v>W88.9</v>
          </cell>
          <cell r="B11544" t="str">
            <v>Exposición a radiación ionizante, en lugar no especificado</v>
          </cell>
        </row>
        <row r="11545">
          <cell r="A11545" t="str">
            <v>W89</v>
          </cell>
          <cell r="B11545" t="str">
            <v>Exposición a fuente de luz visible y ultravioleta, de origen artificial</v>
          </cell>
        </row>
        <row r="11546">
          <cell r="A11546" t="str">
            <v>W89.0</v>
          </cell>
          <cell r="B11546" t="str">
            <v>Exposición a fuente de luz visible y ultravioleta, de origen artificial, en vivienda</v>
          </cell>
        </row>
        <row r="11547">
          <cell r="A11547" t="str">
            <v>W89.1</v>
          </cell>
          <cell r="B11547" t="str">
            <v>Exposición a fuente de luz visible y ultravioleta, de origen artificial, en institución residencial</v>
          </cell>
        </row>
        <row r="11548">
          <cell r="A11548" t="str">
            <v>W89.2</v>
          </cell>
          <cell r="B11548" t="str">
            <v>Exposición a fuente de luz visible y ultravioleta, de origen artificial, en escuelas, otras instituciones y áreas administrativas públicas</v>
          </cell>
        </row>
        <row r="11549">
          <cell r="A11549" t="str">
            <v>W89.3</v>
          </cell>
          <cell r="B11549" t="str">
            <v>Exposición a fuente de luz visible y ultravioleta, de origen artificial, en áreas de deporte y atletismo</v>
          </cell>
        </row>
        <row r="11550">
          <cell r="A11550" t="str">
            <v>W89.4</v>
          </cell>
          <cell r="B11550" t="str">
            <v>Exposición a fuente de luz visible y ultravioleta, de origen artificial, en calles y carreteras</v>
          </cell>
        </row>
        <row r="11551">
          <cell r="A11551" t="str">
            <v>W89.5</v>
          </cell>
          <cell r="B11551" t="str">
            <v>Exposición a fuente de luz visible y ultravioleta, de origen artificial, en comercio y área de servicios</v>
          </cell>
        </row>
        <row r="11552">
          <cell r="A11552" t="str">
            <v>W89.6</v>
          </cell>
          <cell r="B11552" t="str">
            <v>Exposición a fuente de luz visible y ultravioleta, de origen artificial, en área industrial y de la construcción</v>
          </cell>
        </row>
        <row r="11553">
          <cell r="A11553" t="str">
            <v>W89.7</v>
          </cell>
          <cell r="B11553" t="str">
            <v>Exposición a fuente de luz visible y ultravioleta, de origen artificial, en granja</v>
          </cell>
        </row>
        <row r="11554">
          <cell r="A11554" t="str">
            <v>W89.8</v>
          </cell>
          <cell r="B11554" t="str">
            <v>Exposición a fuente de luz visible y ultravioleta, de origen artificial, en otro lugar especificado</v>
          </cell>
        </row>
        <row r="11555">
          <cell r="A11555" t="str">
            <v>W89.9</v>
          </cell>
          <cell r="B11555" t="str">
            <v>Exposición a fuente de luz visible y ultravioleta, de origen artificial, en lugar no especificado</v>
          </cell>
        </row>
        <row r="11556">
          <cell r="A11556" t="str">
            <v>W90</v>
          </cell>
          <cell r="B11556" t="str">
            <v>Exposición a otros tipos de radiación no ionizante</v>
          </cell>
        </row>
        <row r="11557">
          <cell r="A11557" t="str">
            <v>W90.0</v>
          </cell>
          <cell r="B11557" t="str">
            <v>Exposición a otros tipos de radiación no ionizante, en vivienda</v>
          </cell>
        </row>
        <row r="11558">
          <cell r="A11558" t="str">
            <v>W90.1</v>
          </cell>
          <cell r="B11558" t="str">
            <v>Exposición a otros tipos de radiación no ionizante, en institución residencial</v>
          </cell>
        </row>
        <row r="11559">
          <cell r="A11559" t="str">
            <v>W90.2</v>
          </cell>
          <cell r="B11559" t="str">
            <v>Exposición a otros tipos de radiación no ionizante, en escuelas, otras instituciones y áreas administrativas públicas</v>
          </cell>
        </row>
        <row r="11560">
          <cell r="A11560" t="str">
            <v>W90.3</v>
          </cell>
          <cell r="B11560" t="str">
            <v>Exposición a otros tipos de radiación no ionizante, en áreas de deporte y atletismo</v>
          </cell>
        </row>
        <row r="11561">
          <cell r="A11561" t="str">
            <v>W90.4</v>
          </cell>
          <cell r="B11561" t="str">
            <v>Exposición a otros tipos de radiación no ionizante, en calles y carreteras</v>
          </cell>
        </row>
        <row r="11562">
          <cell r="A11562" t="str">
            <v>W90.5</v>
          </cell>
          <cell r="B11562" t="str">
            <v>Exposición a otros tipos de radiación no ionizante, en comercio y área de servicios</v>
          </cell>
        </row>
        <row r="11563">
          <cell r="A11563" t="str">
            <v>W90.6</v>
          </cell>
          <cell r="B11563" t="str">
            <v>Exposición a otros tipos de radiación no ionizante, en área industrial y de la construcción</v>
          </cell>
        </row>
        <row r="11564">
          <cell r="A11564" t="str">
            <v>W90.7</v>
          </cell>
          <cell r="B11564" t="str">
            <v>Exposición a otros tipos de radiación no ionizante, en granja</v>
          </cell>
        </row>
        <row r="11565">
          <cell r="A11565" t="str">
            <v>W90.8</v>
          </cell>
          <cell r="B11565" t="str">
            <v>Exposición a otros tipos de radiación no ionizante, en otro lugar especificado</v>
          </cell>
        </row>
        <row r="11566">
          <cell r="A11566" t="str">
            <v>W90.9</v>
          </cell>
          <cell r="B11566" t="str">
            <v>Exposición a otros tipos de radiación no ionizante, en lugar no especificado</v>
          </cell>
        </row>
        <row r="11567">
          <cell r="A11567" t="str">
            <v>W91</v>
          </cell>
          <cell r="B11567" t="str">
            <v>Exposición a radiación de tipo no especificado</v>
          </cell>
        </row>
        <row r="11568">
          <cell r="A11568" t="str">
            <v>W91.0</v>
          </cell>
          <cell r="B11568" t="str">
            <v>Exposición a radiación de tipo no especificado, en vivienda</v>
          </cell>
        </row>
        <row r="11569">
          <cell r="A11569" t="str">
            <v>W91.1</v>
          </cell>
          <cell r="B11569" t="str">
            <v>Exposición a radiación de tipo no especificado, en institución residencial</v>
          </cell>
        </row>
        <row r="11570">
          <cell r="A11570" t="str">
            <v>W91.2</v>
          </cell>
          <cell r="B11570" t="str">
            <v>Exposición a radiación de tipo no especificado, en escuelas, otras instituciones y áreas administrativas públicas</v>
          </cell>
        </row>
        <row r="11571">
          <cell r="A11571" t="str">
            <v>W91.3</v>
          </cell>
          <cell r="B11571" t="str">
            <v>Exposición a radiación de tipo no especificado, en áreas de deporte y atletismo</v>
          </cell>
        </row>
        <row r="11572">
          <cell r="A11572" t="str">
            <v>W91.4</v>
          </cell>
          <cell r="B11572" t="str">
            <v>Exposición a radiación de tipo no especificado, en calles y carreteras</v>
          </cell>
        </row>
        <row r="11573">
          <cell r="A11573" t="str">
            <v>W91.5</v>
          </cell>
          <cell r="B11573" t="str">
            <v>Exposición a radiación de tipo no especificado, en comercio y área de servicios</v>
          </cell>
        </row>
        <row r="11574">
          <cell r="A11574" t="str">
            <v>W91.6</v>
          </cell>
          <cell r="B11574" t="str">
            <v>Exposición a radiación de tipo no especificado, en área industrial y de la construcción</v>
          </cell>
        </row>
        <row r="11575">
          <cell r="A11575" t="str">
            <v>W91.7</v>
          </cell>
          <cell r="B11575" t="str">
            <v>Exposición a radiación de tipo no especificado, en granja</v>
          </cell>
        </row>
        <row r="11576">
          <cell r="A11576" t="str">
            <v>W91.8</v>
          </cell>
          <cell r="B11576" t="str">
            <v>Exposición a radiación de tipo no especificado, en otro lugar especificado</v>
          </cell>
        </row>
        <row r="11577">
          <cell r="A11577" t="str">
            <v>W91.9</v>
          </cell>
          <cell r="B11577" t="str">
            <v>Exposición a radiación de tipo no especificado, en lugar no especificado</v>
          </cell>
        </row>
        <row r="11578">
          <cell r="A11578" t="str">
            <v>W92</v>
          </cell>
          <cell r="B11578" t="str">
            <v>Exposición a calor excesivo de origen artificial</v>
          </cell>
        </row>
        <row r="11579">
          <cell r="A11579" t="str">
            <v>W92.0</v>
          </cell>
          <cell r="B11579" t="str">
            <v>Exposición a calor excesivo de origen artificial, en vivienda</v>
          </cell>
        </row>
        <row r="11580">
          <cell r="A11580" t="str">
            <v>W92.1</v>
          </cell>
          <cell r="B11580" t="str">
            <v>Exposición a calor excesivo de origen artificial, en institución residencial</v>
          </cell>
        </row>
        <row r="11581">
          <cell r="A11581" t="str">
            <v>W92.2</v>
          </cell>
          <cell r="B11581" t="str">
            <v>Exposición a calor excesivo de origen artificial, en escuelas, otras instituciones y áreas administrativas públicas</v>
          </cell>
        </row>
        <row r="11582">
          <cell r="A11582" t="str">
            <v>W92.3</v>
          </cell>
          <cell r="B11582" t="str">
            <v>Exposición a calor excesivo de origen artificial, en áreas de deporte y atletismo</v>
          </cell>
        </row>
        <row r="11583">
          <cell r="A11583" t="str">
            <v>W92.4</v>
          </cell>
          <cell r="B11583" t="str">
            <v>Exposición a calor excesivo de origen artificial, en calles y carreteras</v>
          </cell>
        </row>
        <row r="11584">
          <cell r="A11584" t="str">
            <v>W92.5</v>
          </cell>
          <cell r="B11584" t="str">
            <v>Exposición a calor excesivo de origen artificial, en comercio y área de servicios</v>
          </cell>
        </row>
        <row r="11585">
          <cell r="A11585" t="str">
            <v>W92.6</v>
          </cell>
          <cell r="B11585" t="str">
            <v>Exposición a calor excesivo de origen artificial, en área industrial y de la construcción</v>
          </cell>
        </row>
        <row r="11586">
          <cell r="A11586" t="str">
            <v>W92.7</v>
          </cell>
          <cell r="B11586" t="str">
            <v>Exposición a calor excesivo de origen artificial, en granja</v>
          </cell>
        </row>
        <row r="11587">
          <cell r="A11587" t="str">
            <v>W92.8</v>
          </cell>
          <cell r="B11587" t="str">
            <v>Exposición a calor excesivo de origen artificial, en otro lugar especificado</v>
          </cell>
        </row>
        <row r="11588">
          <cell r="A11588" t="str">
            <v>W92.9</v>
          </cell>
          <cell r="B11588" t="str">
            <v>Exposición a calor excesivo de origen artificial, en lugar no especificado</v>
          </cell>
        </row>
        <row r="11589">
          <cell r="A11589" t="str">
            <v>W93</v>
          </cell>
          <cell r="B11589" t="str">
            <v>Exposición a frío excesivo de origen artificial</v>
          </cell>
        </row>
        <row r="11590">
          <cell r="A11590" t="str">
            <v>W93.0</v>
          </cell>
          <cell r="B11590" t="str">
            <v>Exposición a frío excesivo de origen artificial, en vivienda</v>
          </cell>
        </row>
        <row r="11591">
          <cell r="A11591" t="str">
            <v>W93.1</v>
          </cell>
          <cell r="B11591" t="str">
            <v>Exposición a frío excesivo de origen artificial, en institución residencial</v>
          </cell>
        </row>
        <row r="11592">
          <cell r="A11592" t="str">
            <v>W93.2</v>
          </cell>
          <cell r="B11592" t="str">
            <v>Exposición a frío excesivo de origen artificial, en escuelas, otras instituciones y áreas administrativas públicas</v>
          </cell>
        </row>
        <row r="11593">
          <cell r="A11593" t="str">
            <v>W93.3</v>
          </cell>
          <cell r="B11593" t="str">
            <v>Exposición a frío excesivo de origen artificial, en áreas de deporte y atletismo</v>
          </cell>
        </row>
        <row r="11594">
          <cell r="A11594" t="str">
            <v>W93.4</v>
          </cell>
          <cell r="B11594" t="str">
            <v>Exposición a frío excesivo de origen artificial, en calles y carreteras</v>
          </cell>
        </row>
        <row r="11595">
          <cell r="A11595" t="str">
            <v>W93.5</v>
          </cell>
          <cell r="B11595" t="str">
            <v>Exposición a frío excesivo de origen artificial, en comercio y área de servicios</v>
          </cell>
        </row>
        <row r="11596">
          <cell r="A11596" t="str">
            <v>W93.6</v>
          </cell>
          <cell r="B11596" t="str">
            <v>Exposición a frío excesivo de origen artificial, en área industrial y de la construcción</v>
          </cell>
        </row>
        <row r="11597">
          <cell r="A11597" t="str">
            <v>W93.7</v>
          </cell>
          <cell r="B11597" t="str">
            <v>Exposición a frío excesivo de origen artificial, en granja</v>
          </cell>
        </row>
        <row r="11598">
          <cell r="A11598" t="str">
            <v>W93.8</v>
          </cell>
          <cell r="B11598" t="str">
            <v>Exposición a frío excesivo de origen artificial, en otro lugar especificado</v>
          </cell>
        </row>
        <row r="11599">
          <cell r="A11599" t="str">
            <v>W93.9</v>
          </cell>
          <cell r="B11599" t="str">
            <v>Exposición a frío excesivo de origen artificial, en lugar no especificado</v>
          </cell>
        </row>
        <row r="11600">
          <cell r="A11600" t="str">
            <v>W94</v>
          </cell>
          <cell r="B11600" t="str">
            <v>Exposición a presión de aire alta y baja y a cambios en la presión del aire</v>
          </cell>
        </row>
        <row r="11601">
          <cell r="A11601" t="str">
            <v>W94.0</v>
          </cell>
          <cell r="B11601" t="str">
            <v>Exposición a presión de aire alta y baja y a cambios en la presión del aire, en vivienda</v>
          </cell>
        </row>
        <row r="11602">
          <cell r="A11602" t="str">
            <v>W94.1</v>
          </cell>
          <cell r="B11602" t="str">
            <v>Exposición a presión de aire alta y baja y a cambios en la presión del aire, en institución residencial</v>
          </cell>
        </row>
        <row r="11603">
          <cell r="A11603" t="str">
            <v>W94.2</v>
          </cell>
          <cell r="B11603" t="str">
            <v>Exposición a presión de aire alta y baja y a cambios en la presión del aire, en escuelas, otras instituciones y áreas administrativas públicas</v>
          </cell>
        </row>
        <row r="11604">
          <cell r="A11604" t="str">
            <v>W94.3</v>
          </cell>
          <cell r="B11604" t="str">
            <v>Exposición a presión de aire alta y baja y a cambios en la presión del aire, en áreas de deporte y atletismo</v>
          </cell>
        </row>
        <row r="11605">
          <cell r="A11605" t="str">
            <v>W94.4</v>
          </cell>
          <cell r="B11605" t="str">
            <v>Exposición a presión de aire alta y baja y a cambios en la presión del aire, en calles y carreteras</v>
          </cell>
        </row>
        <row r="11606">
          <cell r="A11606" t="str">
            <v>W94.5</v>
          </cell>
          <cell r="B11606" t="str">
            <v>Exposición a presión de aire alta y baja y a cambios en la presión del aire, en comercio y área de servicios</v>
          </cell>
        </row>
        <row r="11607">
          <cell r="A11607" t="str">
            <v>W94.6</v>
          </cell>
          <cell r="B11607" t="str">
            <v>Exposición a presión de aire alta y baja y a cambios en la presión del aire, en área industrial y de la construcción</v>
          </cell>
        </row>
        <row r="11608">
          <cell r="A11608" t="str">
            <v>W94.7</v>
          </cell>
          <cell r="B11608" t="str">
            <v>Exposición a presión de aire alta y baja y a cambios en la presión del aire, en granja</v>
          </cell>
        </row>
        <row r="11609">
          <cell r="A11609" t="str">
            <v>W94.8</v>
          </cell>
          <cell r="B11609" t="str">
            <v>Exposición a presión de aire alta y baja y a cambios en la presión del aire, en otro lugar especificado</v>
          </cell>
        </row>
        <row r="11610">
          <cell r="A11610" t="str">
            <v>W94.9</v>
          </cell>
          <cell r="B11610" t="str">
            <v>Exposición a presión de aire alta y baja y a cambios en la presión del aire, en lugar no especificado</v>
          </cell>
        </row>
        <row r="11611">
          <cell r="A11611" t="str">
            <v>W99</v>
          </cell>
          <cell r="B11611" t="str">
            <v>Exposición a otros factores ambientales y a los no especificados, de origen  artificial</v>
          </cell>
        </row>
        <row r="11612">
          <cell r="A11612" t="str">
            <v>W99.0</v>
          </cell>
          <cell r="B11612" t="str">
            <v>Exposición a otros factores ambientales y a los no especificados, de origen artificial, en vivienda</v>
          </cell>
        </row>
        <row r="11613">
          <cell r="A11613" t="str">
            <v>W99.1</v>
          </cell>
          <cell r="B11613" t="str">
            <v>Exposición a otros factores ambientales y a los no especificados, de origen artificial, en institución residencial</v>
          </cell>
        </row>
        <row r="11614">
          <cell r="A11614" t="str">
            <v>W99.2</v>
          </cell>
          <cell r="B11614" t="str">
            <v>Exposición a otros factores ambientales y a los no especificados, de origen artificial, en escuelas, otras instituciones y áreas administrativas públicas</v>
          </cell>
        </row>
        <row r="11615">
          <cell r="A11615" t="str">
            <v>W99.3</v>
          </cell>
          <cell r="B11615" t="str">
            <v>Exposición a otros factores ambientales y a los no especificados, de origen artificial, en áreas de deporte y atletismo</v>
          </cell>
        </row>
        <row r="11616">
          <cell r="A11616" t="str">
            <v>W99.4</v>
          </cell>
          <cell r="B11616" t="str">
            <v>Exposición a otros factores ambientales y a los no especificados, de origen artificial, en calles y carreteras</v>
          </cell>
        </row>
        <row r="11617">
          <cell r="A11617" t="str">
            <v>W99.5</v>
          </cell>
          <cell r="B11617" t="str">
            <v>Exposición a otros factores ambientales y a los no especificados, de origen artificial, en comercio y área de servicios</v>
          </cell>
        </row>
        <row r="11618">
          <cell r="A11618" t="str">
            <v>W99.6</v>
          </cell>
          <cell r="B11618" t="str">
            <v>Exposición a otros factores ambientales y a los no especificados, de origen artificial, en área industrial y de la construcción</v>
          </cell>
        </row>
        <row r="11619">
          <cell r="A11619" t="str">
            <v>W99.7</v>
          </cell>
          <cell r="B11619" t="str">
            <v>Exposición a otros factores ambientales y a los no especificados, de origen artificial, en granja</v>
          </cell>
        </row>
        <row r="11620">
          <cell r="A11620" t="str">
            <v>W99.8</v>
          </cell>
          <cell r="B11620" t="str">
            <v>Exposición a otros factores ambientales y a los no especificados, de origen artificial, en otro lugar especificado</v>
          </cell>
        </row>
        <row r="11621">
          <cell r="A11621" t="str">
            <v>W99.9</v>
          </cell>
          <cell r="B11621" t="str">
            <v>Exposición a otros factores ambientales y a los no especificados, de origen artificial, en lugar no especificado</v>
          </cell>
        </row>
        <row r="11622">
          <cell r="A11622" t="str">
            <v>X</v>
          </cell>
          <cell r="B11622" t="str">
            <v>Ahogamientos, Mordeduras, Agentes Externos</v>
          </cell>
        </row>
        <row r="11623">
          <cell r="A11623" t="str">
            <v>X00</v>
          </cell>
          <cell r="B11623" t="str">
            <v>Exposición a fuego no controlado en edificio u otra construcción</v>
          </cell>
        </row>
        <row r="11624">
          <cell r="A11624" t="str">
            <v>X00.0</v>
          </cell>
          <cell r="B11624" t="str">
            <v>Exposición a fuego no controlado en edificio u otra construcción, en vivienda</v>
          </cell>
        </row>
        <row r="11625">
          <cell r="A11625" t="str">
            <v>X00.1</v>
          </cell>
          <cell r="B11625" t="str">
            <v>Exposición a fuego no controlado en edificio u otra construcción, en institución residencial</v>
          </cell>
        </row>
        <row r="11626">
          <cell r="A11626" t="str">
            <v>X00.2</v>
          </cell>
          <cell r="B11626" t="str">
            <v>Exposición a fuego no controlado en edificio u otra construcción, en escuelas, otras instituciones y áreas administrativas públicas</v>
          </cell>
        </row>
        <row r="11627">
          <cell r="A11627" t="str">
            <v>X00.3</v>
          </cell>
          <cell r="B11627" t="str">
            <v>Exposición a fuego no controlado en edificio u otra construcción, en áreas de deporte y atletismo</v>
          </cell>
        </row>
        <row r="11628">
          <cell r="A11628" t="str">
            <v>X00.4</v>
          </cell>
          <cell r="B11628" t="str">
            <v>Exposición a fuego no controlado en edificio u otra construcción, en calles y carreteras</v>
          </cell>
        </row>
        <row r="11629">
          <cell r="A11629" t="str">
            <v>X00.5</v>
          </cell>
          <cell r="B11629" t="str">
            <v>Exposición a fuego no controlado en edificio u otra construcción, en comercio y área de servicios</v>
          </cell>
        </row>
        <row r="11630">
          <cell r="A11630" t="str">
            <v>X00.6</v>
          </cell>
          <cell r="B11630" t="str">
            <v>Exposición a fuego no controlado en edificio u otra construcción, en área industrial y de la construcción</v>
          </cell>
        </row>
        <row r="11631">
          <cell r="A11631" t="str">
            <v>X00.7</v>
          </cell>
          <cell r="B11631" t="str">
            <v>Exposición a fuego no controlado en edificio u otra construcción, en granja</v>
          </cell>
        </row>
        <row r="11632">
          <cell r="A11632" t="str">
            <v>X00.8</v>
          </cell>
          <cell r="B11632" t="str">
            <v>Exposición a fuego no controlado en edificio u otra construcción, en otro lugar especificado</v>
          </cell>
        </row>
        <row r="11633">
          <cell r="A11633" t="str">
            <v>X00.9</v>
          </cell>
          <cell r="B11633" t="str">
            <v>Exposición a fuego no controlado en edificio u otra construcción, en lugar no especificado</v>
          </cell>
        </row>
        <row r="11634">
          <cell r="A11634" t="str">
            <v>X01</v>
          </cell>
          <cell r="B11634" t="str">
            <v>Exposición a fuego no controlado en lugar que no es edificio u otra construcción</v>
          </cell>
        </row>
        <row r="11635">
          <cell r="A11635" t="str">
            <v>X01.0</v>
          </cell>
          <cell r="B11635" t="str">
            <v>Exposición a fuego no controlado en lugar que no es edificio u otra construcción, en vivienda</v>
          </cell>
        </row>
        <row r="11636">
          <cell r="A11636" t="str">
            <v>X01.1</v>
          </cell>
          <cell r="B11636" t="str">
            <v>Exposición a fuego no controlado en lugar que no es edificio u otra construcción, en institución residencial</v>
          </cell>
        </row>
        <row r="11637">
          <cell r="A11637" t="str">
            <v>X01.2</v>
          </cell>
          <cell r="B11637" t="str">
            <v>Exposición a fuego no controlado en lugar que no es edificio u otra construcción, en escuelas, otras instituciones y áreas administrativas públicas</v>
          </cell>
        </row>
        <row r="11638">
          <cell r="A11638" t="str">
            <v>X01.3</v>
          </cell>
          <cell r="B11638" t="str">
            <v>Exposición a fuego no controlado en lugar que no es edificio u otra construcción, en áreas de deporte y atletismo</v>
          </cell>
        </row>
        <row r="11639">
          <cell r="A11639" t="str">
            <v>X01.4</v>
          </cell>
          <cell r="B11639" t="str">
            <v>Exposición a fuego no controlado en lugar que no es edificio u otra construcción, en calles y carreteras</v>
          </cell>
        </row>
        <row r="11640">
          <cell r="A11640" t="str">
            <v>X01.5</v>
          </cell>
          <cell r="B11640" t="str">
            <v>Exposición a fuego no controlado en lugar que no es edificio u otra construcción, en comercio y área de servicios</v>
          </cell>
        </row>
        <row r="11641">
          <cell r="A11641" t="str">
            <v>X01.6</v>
          </cell>
          <cell r="B11641" t="str">
            <v>Exposición a fuego no controlado en lugar que no es edificio u otra construcción, en área industrial y de la construcción</v>
          </cell>
        </row>
        <row r="11642">
          <cell r="A11642" t="str">
            <v>X01.7</v>
          </cell>
          <cell r="B11642" t="str">
            <v>Exposición a fuego no controlado en lugar que no es edificio u otra construcción, en granja</v>
          </cell>
        </row>
        <row r="11643">
          <cell r="A11643" t="str">
            <v>X01.8</v>
          </cell>
          <cell r="B11643" t="str">
            <v>Exposición a fuego no controlado en lugar que no es edificio u otra construcción, en otro lugar especificado</v>
          </cell>
        </row>
        <row r="11644">
          <cell r="A11644" t="str">
            <v>X01.9</v>
          </cell>
          <cell r="B11644" t="str">
            <v>Exposición a fuego no controlado en lugar que no es edificio u otra construcción, en lugar no especificado</v>
          </cell>
        </row>
        <row r="11645">
          <cell r="A11645" t="str">
            <v>X02</v>
          </cell>
          <cell r="B11645" t="str">
            <v>Exposición a fuego controlado en edificio u otra construcción</v>
          </cell>
        </row>
        <row r="11646">
          <cell r="A11646" t="str">
            <v>X02.0</v>
          </cell>
          <cell r="B11646" t="str">
            <v>Exposición a fuego controlado en edificio u otra construcción, en vivienda</v>
          </cell>
        </row>
        <row r="11647">
          <cell r="A11647" t="str">
            <v>X02.1</v>
          </cell>
          <cell r="B11647" t="str">
            <v>Exposición a fuego controlado en edificio u otra construcción, en institución residencial</v>
          </cell>
        </row>
        <row r="11648">
          <cell r="A11648" t="str">
            <v>X02.2</v>
          </cell>
          <cell r="B11648" t="str">
            <v>Exposición a fuego controlado en edificio u otra construcción, en escuelas, otras instituciones y áreas administrativas públicas</v>
          </cell>
        </row>
        <row r="11649">
          <cell r="A11649" t="str">
            <v>X02.3</v>
          </cell>
          <cell r="B11649" t="str">
            <v>Exposición a fuego controlado en edificio u otra construcción, en áreas de deporte y atletismo</v>
          </cell>
        </row>
        <row r="11650">
          <cell r="A11650" t="str">
            <v>X02.4</v>
          </cell>
          <cell r="B11650" t="str">
            <v>Exposición a fuego controlado en edificio u otra construcción, en calles y carreteras</v>
          </cell>
        </row>
        <row r="11651">
          <cell r="A11651" t="str">
            <v>X02.5</v>
          </cell>
          <cell r="B11651" t="str">
            <v>Exposición a fuego controlado en edificio u otra construcción, en comercio y área de servicios</v>
          </cell>
        </row>
        <row r="11652">
          <cell r="A11652" t="str">
            <v>X02.6</v>
          </cell>
          <cell r="B11652" t="str">
            <v>Exposición a fuego controlado en edificio u otra construcción, en área industrial y de la construcción</v>
          </cell>
        </row>
        <row r="11653">
          <cell r="A11653" t="str">
            <v>X02.7</v>
          </cell>
          <cell r="B11653" t="str">
            <v>Exposición a fuego controlado en edificio u otra construcción, en granja</v>
          </cell>
        </row>
        <row r="11654">
          <cell r="A11654" t="str">
            <v>X02.8</v>
          </cell>
          <cell r="B11654" t="str">
            <v>Exposición a fuego controlado en edificio u otra construcción, en otro lugar especificado</v>
          </cell>
        </row>
        <row r="11655">
          <cell r="A11655" t="str">
            <v>X02.9</v>
          </cell>
          <cell r="B11655" t="str">
            <v>Exposición a fuego controlado en edificio u otra construcción, en lugar no especificado</v>
          </cell>
        </row>
        <row r="11656">
          <cell r="A11656" t="str">
            <v>X03</v>
          </cell>
          <cell r="B11656" t="str">
            <v>Exposición a fuego controlado en lugar que no es edificio u otra construcción</v>
          </cell>
        </row>
        <row r="11657">
          <cell r="A11657" t="str">
            <v>X03.0</v>
          </cell>
          <cell r="B11657" t="str">
            <v>Exposición a fuego controlado en lugar que no es edificio u otra construcción, en vivienda</v>
          </cell>
        </row>
        <row r="11658">
          <cell r="A11658" t="str">
            <v>X03.1</v>
          </cell>
          <cell r="B11658" t="str">
            <v>Exposición a fuego controlado en lugar que no es edificio u otra construcción, en institución residencial</v>
          </cell>
        </row>
        <row r="11659">
          <cell r="A11659" t="str">
            <v>X03.2</v>
          </cell>
          <cell r="B11659" t="str">
            <v>Exposición a fuego controlado en lugar que no es edificio u otra construcción, en escuelas, otras instituciones y áreas administrativas públicas</v>
          </cell>
        </row>
        <row r="11660">
          <cell r="A11660" t="str">
            <v>X03.3</v>
          </cell>
          <cell r="B11660" t="str">
            <v>Exposición a fuego controlado en lugar que no es edificio u otra construcción, en áreas de deporte y atletismo</v>
          </cell>
        </row>
        <row r="11661">
          <cell r="A11661" t="str">
            <v>X03.4</v>
          </cell>
          <cell r="B11661" t="str">
            <v>Exposición a fuego controlado en lugar que no es edificio u otra construcción, en calles y carreteras</v>
          </cell>
        </row>
        <row r="11662">
          <cell r="A11662" t="str">
            <v>X03.5</v>
          </cell>
          <cell r="B11662" t="str">
            <v>Exposición a fuego controlado en lugar que no es edificio u otra construcción, en comercio y área de servicios</v>
          </cell>
        </row>
        <row r="11663">
          <cell r="A11663" t="str">
            <v>X03.6</v>
          </cell>
          <cell r="B11663" t="str">
            <v>Exposición a fuego controlado en lugar que no es edificio u otra construcción, en área industrial y de la construcción</v>
          </cell>
        </row>
        <row r="11664">
          <cell r="A11664" t="str">
            <v>X03.7</v>
          </cell>
          <cell r="B11664" t="str">
            <v>Exposición a fuego controlado en lugar que no es edificio u otra construcción, en granja</v>
          </cell>
        </row>
        <row r="11665">
          <cell r="A11665" t="str">
            <v>X03.8</v>
          </cell>
          <cell r="B11665" t="str">
            <v>Exposición a fuego controlado en lugar que no es edificio u otra construcción, en otro lugar especificado</v>
          </cell>
        </row>
        <row r="11666">
          <cell r="A11666" t="str">
            <v>X03.9</v>
          </cell>
          <cell r="B11666" t="str">
            <v>Exposición a fuego controlado en lugar que no es edificio u otra construcción, en lugar no especificado</v>
          </cell>
        </row>
        <row r="11667">
          <cell r="A11667" t="str">
            <v>X04</v>
          </cell>
          <cell r="B11667" t="str">
            <v>Exposición a ignición de material altamente inflamable</v>
          </cell>
        </row>
        <row r="11668">
          <cell r="A11668" t="str">
            <v>X04.0</v>
          </cell>
          <cell r="B11668" t="str">
            <v>Exposición a ignición de material altamente inflamable, en vivienda</v>
          </cell>
        </row>
        <row r="11669">
          <cell r="A11669" t="str">
            <v>X04.1</v>
          </cell>
          <cell r="B11669" t="str">
            <v>Exposición a ignición de material altamente inflamable, en institución residencial</v>
          </cell>
        </row>
        <row r="11670">
          <cell r="A11670" t="str">
            <v>X04.2</v>
          </cell>
          <cell r="B11670" t="str">
            <v>Exposición a ignición de material altamente inflamable, en escuelas, otras instituciones y áreas administrativas públicas</v>
          </cell>
        </row>
        <row r="11671">
          <cell r="A11671" t="str">
            <v>X04.3</v>
          </cell>
          <cell r="B11671" t="str">
            <v>Exposición a ignición de material altamente inflamable, en áreas de deporte y atletismo</v>
          </cell>
        </row>
        <row r="11672">
          <cell r="A11672" t="str">
            <v>X04.4</v>
          </cell>
          <cell r="B11672" t="str">
            <v>Exposición a ignición de material altamente inflamable, en calles y carreteras</v>
          </cell>
        </row>
        <row r="11673">
          <cell r="A11673" t="str">
            <v>X04.5</v>
          </cell>
          <cell r="B11673" t="str">
            <v>Exposición a ignición de material altamente inflamable, en comercio y área de servicios</v>
          </cell>
        </row>
        <row r="11674">
          <cell r="A11674" t="str">
            <v>X04.6</v>
          </cell>
          <cell r="B11674" t="str">
            <v>Exposición a ignición de material altamente inflamable, en área industrial y de la construcción</v>
          </cell>
        </row>
        <row r="11675">
          <cell r="A11675" t="str">
            <v>X04.7</v>
          </cell>
          <cell r="B11675" t="str">
            <v>Exposición a ignición de material altamente inflamable, en granja</v>
          </cell>
        </row>
        <row r="11676">
          <cell r="A11676" t="str">
            <v>X04.8</v>
          </cell>
          <cell r="B11676" t="str">
            <v>Exposición a ignición de material altamente inflamable, en otro lugar especificado</v>
          </cell>
        </row>
        <row r="11677">
          <cell r="A11677" t="str">
            <v>X04.9</v>
          </cell>
          <cell r="B11677" t="str">
            <v>Exposición a ignición de material altamente inflamable, en lugar no especificado</v>
          </cell>
        </row>
        <row r="11678">
          <cell r="A11678" t="str">
            <v>X05</v>
          </cell>
          <cell r="B11678" t="str">
            <v>Exposición a ignición o fusión de ropas de dormir</v>
          </cell>
        </row>
        <row r="11679">
          <cell r="A11679" t="str">
            <v>X05.0</v>
          </cell>
          <cell r="B11679" t="str">
            <v>Exposición a ignición o fusión de ropas de dormir, en vivienda</v>
          </cell>
        </row>
        <row r="11680">
          <cell r="A11680" t="str">
            <v>X05.1</v>
          </cell>
          <cell r="B11680" t="str">
            <v>Exposición a ignición o fusión de ropas de dormir, en institución residencial</v>
          </cell>
        </row>
        <row r="11681">
          <cell r="A11681" t="str">
            <v>X05.2</v>
          </cell>
          <cell r="B11681" t="str">
            <v>Exposición a ignición o fusión de ropas de dormir, en escuelas, otras instituciones y áreas administrativas públicas</v>
          </cell>
        </row>
        <row r="11682">
          <cell r="A11682" t="str">
            <v>X05.3</v>
          </cell>
          <cell r="B11682" t="str">
            <v>Exposición a ignición o fusión de ropas de dormir, en áreas de deporte y atletismo</v>
          </cell>
        </row>
        <row r="11683">
          <cell r="A11683" t="str">
            <v>X05.4</v>
          </cell>
          <cell r="B11683" t="str">
            <v>Exposición a ignición o fusión de ropas de dormir, en calles y carreteras</v>
          </cell>
        </row>
        <row r="11684">
          <cell r="A11684" t="str">
            <v>X05.5</v>
          </cell>
          <cell r="B11684" t="str">
            <v>Exposición a ignición o fusión de ropas de dormir, en comercio y área de servicios</v>
          </cell>
        </row>
        <row r="11685">
          <cell r="A11685" t="str">
            <v>X05.6</v>
          </cell>
          <cell r="B11685" t="str">
            <v>Exposición a ignición o fusión de ropas de dormir, en área industrial y de la construcción</v>
          </cell>
        </row>
        <row r="11686">
          <cell r="A11686" t="str">
            <v>X05.7</v>
          </cell>
          <cell r="B11686" t="str">
            <v>Exposición a ignición o fusión de ropas de dormir, en granja</v>
          </cell>
        </row>
        <row r="11687">
          <cell r="A11687" t="str">
            <v>X05.8</v>
          </cell>
          <cell r="B11687" t="str">
            <v>Exposición a ignición o fusión de ropas de dormir, en otro lugar especificado</v>
          </cell>
        </row>
        <row r="11688">
          <cell r="A11688" t="str">
            <v>X05.9</v>
          </cell>
          <cell r="B11688" t="str">
            <v>Exposición a ignición o fusión de ropas de dormir, en lugar no especificado</v>
          </cell>
        </row>
        <row r="11689">
          <cell r="A11689" t="str">
            <v>X06</v>
          </cell>
          <cell r="B11689" t="str">
            <v>Exposición a ignición o fusión de otras ropas y accesorios</v>
          </cell>
        </row>
        <row r="11690">
          <cell r="A11690" t="str">
            <v>X06.0</v>
          </cell>
          <cell r="B11690" t="str">
            <v>Exposición a ignición o fusión de otras ropas y accesorios, en vivienda</v>
          </cell>
        </row>
        <row r="11691">
          <cell r="A11691" t="str">
            <v>X06.1</v>
          </cell>
          <cell r="B11691" t="str">
            <v>Exposición a ignición o fusión de otras ropas y accesorios, en institución residencial</v>
          </cell>
        </row>
        <row r="11692">
          <cell r="A11692" t="str">
            <v>X06.2</v>
          </cell>
          <cell r="B11692" t="str">
            <v>Exposición a ignición o fusión de otras ropas y accesorios, en escuelas, otras instituciones y áreas administrativas públicas</v>
          </cell>
        </row>
        <row r="11693">
          <cell r="A11693" t="str">
            <v>X06.3</v>
          </cell>
          <cell r="B11693" t="str">
            <v>Exposición a ignición o fusión de otras ropas y accesorios, en áreas de deporte y atletismo</v>
          </cell>
        </row>
        <row r="11694">
          <cell r="A11694" t="str">
            <v>X06.4</v>
          </cell>
          <cell r="B11694" t="str">
            <v>Exposición a ignición o fusión de otras ropas y accesorios, en calles y carreteras</v>
          </cell>
        </row>
        <row r="11695">
          <cell r="A11695" t="str">
            <v>X06.5</v>
          </cell>
          <cell r="B11695" t="str">
            <v>Exposición a ignición o fusión de otras ropas y accesorios, en comercio y área de servicios</v>
          </cell>
        </row>
        <row r="11696">
          <cell r="A11696" t="str">
            <v>X06.6</v>
          </cell>
          <cell r="B11696" t="str">
            <v>Exposición a ignición o fusión de otras ropas y accesorios, en área industrial y de la construcción</v>
          </cell>
        </row>
        <row r="11697">
          <cell r="A11697" t="str">
            <v>X06.7</v>
          </cell>
          <cell r="B11697" t="str">
            <v>Exposición a ignición o fusión de otras ropas y accesorios, en granja</v>
          </cell>
        </row>
        <row r="11698">
          <cell r="A11698" t="str">
            <v>X06.8</v>
          </cell>
          <cell r="B11698" t="str">
            <v>Exposición a ignición o fusión de otras ropas y accesorios, en otro lugar especificado</v>
          </cell>
        </row>
        <row r="11699">
          <cell r="A11699" t="str">
            <v>X06.9</v>
          </cell>
          <cell r="B11699" t="str">
            <v>Exposición a ignición o fusión de otras ropas y accesorios, en lugar no especificado</v>
          </cell>
        </row>
        <row r="11700">
          <cell r="A11700" t="str">
            <v>X08</v>
          </cell>
          <cell r="B11700" t="str">
            <v>Exposición a otros humos, fuegos o llamas especificados</v>
          </cell>
        </row>
        <row r="11701">
          <cell r="A11701" t="str">
            <v>X08.0</v>
          </cell>
          <cell r="B11701" t="str">
            <v>Exposición a otros humos, fuegos o llamas especificados, en vivienda</v>
          </cell>
        </row>
        <row r="11702">
          <cell r="A11702" t="str">
            <v>X08.1</v>
          </cell>
          <cell r="B11702" t="str">
            <v>Exposición a otros humos, fuegos o llamas especificados, en institución residencial</v>
          </cell>
        </row>
        <row r="11703">
          <cell r="A11703" t="str">
            <v>X08.2</v>
          </cell>
          <cell r="B11703" t="str">
            <v>Exposición a otros humos, fuegos o llamas especificados, en escuelas, otras instituciones y áreas administrativas públicas</v>
          </cell>
        </row>
        <row r="11704">
          <cell r="A11704" t="str">
            <v>X08.3</v>
          </cell>
          <cell r="B11704" t="str">
            <v>Exposición a otros humos, fuegos o llamas especificados, en áreas de deporte y atletismo</v>
          </cell>
        </row>
        <row r="11705">
          <cell r="A11705" t="str">
            <v>X08.4</v>
          </cell>
          <cell r="B11705" t="str">
            <v>Exposición a otros humos, fuegos o llamas especificados, en calles y carreteras</v>
          </cell>
        </row>
        <row r="11706">
          <cell r="A11706" t="str">
            <v>X08.5</v>
          </cell>
          <cell r="B11706" t="str">
            <v>Exposición a otros humos, fuegos o llamas especificados, en comercio y área de servicios</v>
          </cell>
        </row>
        <row r="11707">
          <cell r="A11707" t="str">
            <v>X08.6</v>
          </cell>
          <cell r="B11707" t="str">
            <v>Exposición a otros humos, fuegos o llamas especificados, en área industrial y de la construcción</v>
          </cell>
        </row>
        <row r="11708">
          <cell r="A11708" t="str">
            <v>X08.7</v>
          </cell>
          <cell r="B11708" t="str">
            <v>Exposición a otros humos, fuegos o llamas especificados, en granja</v>
          </cell>
        </row>
        <row r="11709">
          <cell r="A11709" t="str">
            <v>X08.8</v>
          </cell>
          <cell r="B11709" t="str">
            <v>Exposición a otros humos, fuegos o llamas especificados, en otro lugar especificado</v>
          </cell>
        </row>
        <row r="11710">
          <cell r="A11710" t="str">
            <v>X08.9</v>
          </cell>
          <cell r="B11710" t="str">
            <v>Exposición a otros humos, fuegos o llamas especificados, en lugar no especificado</v>
          </cell>
        </row>
        <row r="11711">
          <cell r="A11711" t="str">
            <v>X09</v>
          </cell>
          <cell r="B11711" t="str">
            <v>Exposición a humos, fuegos o llamas no especificados</v>
          </cell>
        </row>
        <row r="11712">
          <cell r="A11712" t="str">
            <v>X09.0</v>
          </cell>
          <cell r="B11712" t="str">
            <v>Exposición a humos, fuegos o llamas no especificados, en vivienda</v>
          </cell>
        </row>
        <row r="11713">
          <cell r="A11713" t="str">
            <v>X09.1</v>
          </cell>
          <cell r="B11713" t="str">
            <v>Exposición a humos, fuegos o llamas no especificados, en institución residencial</v>
          </cell>
        </row>
        <row r="11714">
          <cell r="A11714" t="str">
            <v>X09.2</v>
          </cell>
          <cell r="B11714" t="str">
            <v>Exposición a humos, fuegos o llamas no especificados, en escuelas, otras instituciones y áreas administrativas públicas</v>
          </cell>
        </row>
        <row r="11715">
          <cell r="A11715" t="str">
            <v>X09.3</v>
          </cell>
          <cell r="B11715" t="str">
            <v>Exposición a humos, fuegos o llamas no especificados, en áreas de deporte y atletismo</v>
          </cell>
        </row>
        <row r="11716">
          <cell r="A11716" t="str">
            <v>X09.4</v>
          </cell>
          <cell r="B11716" t="str">
            <v>Exposición a humos, fuegos o llamas no especificados, en calles y carreteras</v>
          </cell>
        </row>
        <row r="11717">
          <cell r="A11717" t="str">
            <v>X09.5</v>
          </cell>
          <cell r="B11717" t="str">
            <v>Exposición a humos, fuegos o llamas no especificados, en comercio y área de servicios</v>
          </cell>
        </row>
        <row r="11718">
          <cell r="A11718" t="str">
            <v>X09.6</v>
          </cell>
          <cell r="B11718" t="str">
            <v>Exposición a humos, fuegos o llamas no especificados, en área industrial y de la construcción</v>
          </cell>
        </row>
        <row r="11719">
          <cell r="A11719" t="str">
            <v>X09.7</v>
          </cell>
          <cell r="B11719" t="str">
            <v>Exposición a humos, fuegos o llamas no especificados, en granja</v>
          </cell>
        </row>
        <row r="11720">
          <cell r="A11720" t="str">
            <v>X09.8</v>
          </cell>
          <cell r="B11720" t="str">
            <v>Exposición a humos, fuegos o llamas no especificados, en otro lugar especificado</v>
          </cell>
        </row>
        <row r="11721">
          <cell r="A11721" t="str">
            <v>X09.9</v>
          </cell>
          <cell r="B11721" t="str">
            <v>Exposición a humos, fuegos o llamas no especificados, en lugar no especificado</v>
          </cell>
        </row>
        <row r="11722">
          <cell r="A11722" t="str">
            <v>X10</v>
          </cell>
          <cell r="B11722" t="str">
            <v>Contacto con bebidas, alimentos, grasas y aceites para cocinar, calientes</v>
          </cell>
        </row>
        <row r="11723">
          <cell r="A11723" t="str">
            <v>X10.0</v>
          </cell>
          <cell r="B11723" t="str">
            <v>Contacto con bebidas, alimentos, grasas y aceites para cocinar, calientes, en vivienda</v>
          </cell>
        </row>
        <row r="11724">
          <cell r="A11724" t="str">
            <v>X10.1</v>
          </cell>
          <cell r="B11724" t="str">
            <v>Contacto con bebidas, alimentos, grasas y aceites para cocinar, calientes, en institución residencial</v>
          </cell>
        </row>
        <row r="11725">
          <cell r="A11725" t="str">
            <v>X10.2</v>
          </cell>
          <cell r="B11725" t="str">
            <v>Contacto con bebidas, alimentos, grasas y aceites para cocinar, calientes, en escuelas, otras instituciones y áreas administrativas públicas</v>
          </cell>
        </row>
        <row r="11726">
          <cell r="A11726" t="str">
            <v>X10.3</v>
          </cell>
          <cell r="B11726" t="str">
            <v>Contacto con bebidas, alimentos, grasas y aceites para cocinar, calientes, en áreas de deporte y atletismo</v>
          </cell>
        </row>
        <row r="11727">
          <cell r="A11727" t="str">
            <v>X10.4</v>
          </cell>
          <cell r="B11727" t="str">
            <v>Contacto con bebidas, alimentos, grasas y aceites para cocinar, calientes, en calles y carreteras</v>
          </cell>
        </row>
        <row r="11728">
          <cell r="A11728" t="str">
            <v>X10.5</v>
          </cell>
          <cell r="B11728" t="str">
            <v>Contacto con bebidas, alimentos, grasas y aceites para cocinar, calientes, en comercio y área de servicios</v>
          </cell>
        </row>
        <row r="11729">
          <cell r="A11729" t="str">
            <v>X10.6</v>
          </cell>
          <cell r="B11729" t="str">
            <v>Contacto con bebidas, alimentos, grasas y aceites para cocinar, calientes, en área industrial y de la construcción</v>
          </cell>
        </row>
        <row r="11730">
          <cell r="A11730" t="str">
            <v>X10.7</v>
          </cell>
          <cell r="B11730" t="str">
            <v>Contacto con bebidas, alimentos, grasas y aceites para cocinar, calientes, en granja</v>
          </cell>
        </row>
        <row r="11731">
          <cell r="A11731" t="str">
            <v>X10.8</v>
          </cell>
          <cell r="B11731" t="str">
            <v>Contacto con bebidas, alimentos, grasas y aceites para cocinar, calientes, en otro lugar especificado</v>
          </cell>
        </row>
        <row r="11732">
          <cell r="A11732" t="str">
            <v>X10.9</v>
          </cell>
          <cell r="B11732" t="str">
            <v>Contacto con bebidas, alimentos, grasas y aceites para cocinar, calientes, en lugar no especificado</v>
          </cell>
        </row>
        <row r="11733">
          <cell r="A11733" t="str">
            <v>X11</v>
          </cell>
          <cell r="B11733" t="str">
            <v>Contacto con agua caliente corriente</v>
          </cell>
        </row>
        <row r="11734">
          <cell r="A11734" t="str">
            <v>X11.0</v>
          </cell>
          <cell r="B11734" t="str">
            <v>Contacto con agua caliente corriente, en vivienda</v>
          </cell>
        </row>
        <row r="11735">
          <cell r="A11735" t="str">
            <v>X11.1</v>
          </cell>
          <cell r="B11735" t="str">
            <v>Contacto con agua caliente corriente, en institución residencial</v>
          </cell>
        </row>
        <row r="11736">
          <cell r="A11736" t="str">
            <v>X11.2</v>
          </cell>
          <cell r="B11736" t="str">
            <v>Contacto con agua caliente corriente, en escuelas, otras instituciones y áreas administrativas públicas</v>
          </cell>
        </row>
        <row r="11737">
          <cell r="A11737" t="str">
            <v>X11.3</v>
          </cell>
          <cell r="B11737" t="str">
            <v>Contacto con agua caliente corriente, en áreas de deporte y atletismo</v>
          </cell>
        </row>
        <row r="11738">
          <cell r="A11738" t="str">
            <v>X11.4</v>
          </cell>
          <cell r="B11738" t="str">
            <v>Contacto con agua caliente corriente, en calles y carreteras</v>
          </cell>
        </row>
        <row r="11739">
          <cell r="A11739" t="str">
            <v>X11.5</v>
          </cell>
          <cell r="B11739" t="str">
            <v>Contacto con agua caliente corriente, en comercio y área de servicios</v>
          </cell>
        </row>
        <row r="11740">
          <cell r="A11740" t="str">
            <v>X11.6</v>
          </cell>
          <cell r="B11740" t="str">
            <v>Contacto con agua caliente corriente, en área industrial y de la construcción</v>
          </cell>
        </row>
        <row r="11741">
          <cell r="A11741" t="str">
            <v>X11.7</v>
          </cell>
          <cell r="B11741" t="str">
            <v>Contacto con agua caliente corriente, en granja</v>
          </cell>
        </row>
        <row r="11742">
          <cell r="A11742" t="str">
            <v>X11.8</v>
          </cell>
          <cell r="B11742" t="str">
            <v>Contacto con agua caliente corriente, en otro lugar especificado</v>
          </cell>
        </row>
        <row r="11743">
          <cell r="A11743" t="str">
            <v>X11.9</v>
          </cell>
          <cell r="B11743" t="str">
            <v>Contacto con agua caliente corriente, en lugar no especificado</v>
          </cell>
        </row>
        <row r="11744">
          <cell r="A11744" t="str">
            <v>X12</v>
          </cell>
          <cell r="B11744" t="str">
            <v>Contacto con otros líquidos calientes</v>
          </cell>
        </row>
        <row r="11745">
          <cell r="A11745" t="str">
            <v>X12.0</v>
          </cell>
          <cell r="B11745" t="str">
            <v>Contacto con otros líquidos calientes, en vivienda</v>
          </cell>
        </row>
        <row r="11746">
          <cell r="A11746" t="str">
            <v>X12.1</v>
          </cell>
          <cell r="B11746" t="str">
            <v>Contacto con otros líquidos calientes, en institución residencial</v>
          </cell>
        </row>
        <row r="11747">
          <cell r="A11747" t="str">
            <v>X12.2</v>
          </cell>
          <cell r="B11747" t="str">
            <v>Contacto con otros líquidos calientes, en escuelas, otras instituciones y áreas administrativas públicas</v>
          </cell>
        </row>
        <row r="11748">
          <cell r="A11748" t="str">
            <v>X12.3</v>
          </cell>
          <cell r="B11748" t="str">
            <v>Contacto con otros líquidos calientes, en áreas de deporte y atletismo</v>
          </cell>
        </row>
        <row r="11749">
          <cell r="A11749" t="str">
            <v>X12.4</v>
          </cell>
          <cell r="B11749" t="str">
            <v>Contacto con otros líquidos calientes, en calles y carreteras</v>
          </cell>
        </row>
        <row r="11750">
          <cell r="A11750" t="str">
            <v>X12.5</v>
          </cell>
          <cell r="B11750" t="str">
            <v>Contacto con otros líquidos calientes, en comercio y área de servicios</v>
          </cell>
        </row>
        <row r="11751">
          <cell r="A11751" t="str">
            <v>X12.6</v>
          </cell>
          <cell r="B11751" t="str">
            <v>Contacto con otros líquidos calientes, en área industrial y de la construcción</v>
          </cell>
        </row>
        <row r="11752">
          <cell r="A11752" t="str">
            <v>X12.7</v>
          </cell>
          <cell r="B11752" t="str">
            <v>Contacto con otros líquidos calientes, en granja</v>
          </cell>
        </row>
        <row r="11753">
          <cell r="A11753" t="str">
            <v>X12.8</v>
          </cell>
          <cell r="B11753" t="str">
            <v>Contacto con otros líquidos calientes, en otro lugar especificado</v>
          </cell>
        </row>
        <row r="11754">
          <cell r="A11754" t="str">
            <v>X12.9</v>
          </cell>
          <cell r="B11754" t="str">
            <v>Contacto con otros líquidos calientes, en lugar no especificado</v>
          </cell>
        </row>
        <row r="11755">
          <cell r="A11755" t="str">
            <v>X13</v>
          </cell>
          <cell r="B11755" t="str">
            <v>Contacto con vapor de agua y otros vapores calientes</v>
          </cell>
        </row>
        <row r="11756">
          <cell r="A11756" t="str">
            <v>X13.0</v>
          </cell>
          <cell r="B11756" t="str">
            <v>Contacto con vapor de agua y otros vapores calientes, en vivienda</v>
          </cell>
        </row>
        <row r="11757">
          <cell r="A11757" t="str">
            <v>X13.1</v>
          </cell>
          <cell r="B11757" t="str">
            <v>Contacto con vapor de agua y otros vapores calientes, en institución residencial</v>
          </cell>
        </row>
        <row r="11758">
          <cell r="A11758" t="str">
            <v>X13.2</v>
          </cell>
          <cell r="B11758" t="str">
            <v>Contacto con vapor de agua y otros vapores calientes, en escuelas, otras instituciones y áreas administrativas públicas</v>
          </cell>
        </row>
        <row r="11759">
          <cell r="A11759" t="str">
            <v>X13.3</v>
          </cell>
          <cell r="B11759" t="str">
            <v>Contacto con vapor de agua y otros vapores calientes, en áreas de deporte y atletismo</v>
          </cell>
        </row>
        <row r="11760">
          <cell r="A11760" t="str">
            <v>X13.4</v>
          </cell>
          <cell r="B11760" t="str">
            <v>Contacto con vapor de agua y otros vapores calientes, en calles y carreteras</v>
          </cell>
        </row>
        <row r="11761">
          <cell r="A11761" t="str">
            <v>X13.5</v>
          </cell>
          <cell r="B11761" t="str">
            <v>Contacto con vapor de agua y otros vapores calientes, en comercio y área de servicios</v>
          </cell>
        </row>
        <row r="11762">
          <cell r="A11762" t="str">
            <v>X13.6</v>
          </cell>
          <cell r="B11762" t="str">
            <v>Contacto con vapor de agua y otros vapores calientes, en área industrial y de la construcción</v>
          </cell>
        </row>
        <row r="11763">
          <cell r="A11763" t="str">
            <v>X13.7</v>
          </cell>
          <cell r="B11763" t="str">
            <v>Contacto con vapor de agua y otros vapores calientes, en granja</v>
          </cell>
        </row>
        <row r="11764">
          <cell r="A11764" t="str">
            <v>X13.8</v>
          </cell>
          <cell r="B11764" t="str">
            <v>Contacto con vapor de agua y otros vapores calientes, en otro lugar especificado</v>
          </cell>
        </row>
        <row r="11765">
          <cell r="A11765" t="str">
            <v>X13.9</v>
          </cell>
          <cell r="B11765" t="str">
            <v>Contacto con vapor de agua y otros vapores calientes, en lugar no especificado</v>
          </cell>
        </row>
        <row r="11766">
          <cell r="A11766" t="str">
            <v>X14</v>
          </cell>
          <cell r="B11766" t="str">
            <v>Contacto con aire y gases calientes</v>
          </cell>
        </row>
        <row r="11767">
          <cell r="A11767" t="str">
            <v>X14.0</v>
          </cell>
          <cell r="B11767" t="str">
            <v>Contacto con aire y gases calientes, en vivienda</v>
          </cell>
        </row>
        <row r="11768">
          <cell r="A11768" t="str">
            <v>X14.1</v>
          </cell>
          <cell r="B11768" t="str">
            <v>Contacto con aire y gases calientes, en institución residencial</v>
          </cell>
        </row>
        <row r="11769">
          <cell r="A11769" t="str">
            <v>X14.2</v>
          </cell>
          <cell r="B11769" t="str">
            <v>Contacto con aire y gases calientes, en escuelas, otras instituciones y áreas administrativas públicas</v>
          </cell>
        </row>
        <row r="11770">
          <cell r="A11770" t="str">
            <v>X14.3</v>
          </cell>
          <cell r="B11770" t="str">
            <v>Contacto con aire y gases calientes, en áreas de deporte y atletismo</v>
          </cell>
        </row>
        <row r="11771">
          <cell r="A11771" t="str">
            <v>X14.4</v>
          </cell>
          <cell r="B11771" t="str">
            <v>Contacto con aire y gases calientes, en calles y carreteras</v>
          </cell>
        </row>
        <row r="11772">
          <cell r="A11772" t="str">
            <v>X14.5</v>
          </cell>
          <cell r="B11772" t="str">
            <v>Contacto con aire y gases calientes, en comercio y área de servicios</v>
          </cell>
        </row>
        <row r="11773">
          <cell r="A11773" t="str">
            <v>X14.6</v>
          </cell>
          <cell r="B11773" t="str">
            <v>Contacto con aire y gases calientes, en área industrial y de la construcción</v>
          </cell>
        </row>
        <row r="11774">
          <cell r="A11774" t="str">
            <v>X14.7</v>
          </cell>
          <cell r="B11774" t="str">
            <v>Contacto con aire y gases calientes, en granja</v>
          </cell>
        </row>
        <row r="11775">
          <cell r="A11775" t="str">
            <v>X14.8</v>
          </cell>
          <cell r="B11775" t="str">
            <v>Contacto con aire y gases calientes, en otro lugar especificado</v>
          </cell>
        </row>
        <row r="11776">
          <cell r="A11776" t="str">
            <v>X14.9</v>
          </cell>
          <cell r="B11776" t="str">
            <v>Contacto con aire y gases calientes, en lugar no especificado</v>
          </cell>
        </row>
        <row r="11777">
          <cell r="A11777" t="str">
            <v>X15</v>
          </cell>
          <cell r="B11777" t="str">
            <v>Contacto con utensilios domésticos calientes</v>
          </cell>
        </row>
        <row r="11778">
          <cell r="A11778" t="str">
            <v>X15.0</v>
          </cell>
          <cell r="B11778" t="str">
            <v>Contacto con utensilios domésticos calientes, en vivienda</v>
          </cell>
        </row>
        <row r="11779">
          <cell r="A11779" t="str">
            <v>X15.1</v>
          </cell>
          <cell r="B11779" t="str">
            <v>Contacto con utensilios domésticos calientes, en institución residencial</v>
          </cell>
        </row>
        <row r="11780">
          <cell r="A11780" t="str">
            <v>X15.2</v>
          </cell>
          <cell r="B11780" t="str">
            <v>Contacto con utensilios domésticos calientes, en escuelas, otras instituciones y áreas administrativas públicas</v>
          </cell>
        </row>
        <row r="11781">
          <cell r="A11781" t="str">
            <v>X15.3</v>
          </cell>
          <cell r="B11781" t="str">
            <v>Contacto con utensilios domésticos calientes, en áreas de deporte y atletismo</v>
          </cell>
        </row>
        <row r="11782">
          <cell r="A11782" t="str">
            <v>X15.4</v>
          </cell>
          <cell r="B11782" t="str">
            <v>Contacto con utensilios domésticos calientes, en calles y carreteras</v>
          </cell>
        </row>
        <row r="11783">
          <cell r="A11783" t="str">
            <v>X15.5</v>
          </cell>
          <cell r="B11783" t="str">
            <v>Contacto con utensilios domésticos calientes, en comercio y área de servicios</v>
          </cell>
        </row>
        <row r="11784">
          <cell r="A11784" t="str">
            <v>X15.6</v>
          </cell>
          <cell r="B11784" t="str">
            <v>Contacto con utensilios domésticos calientes, en área industrial y de la construcción</v>
          </cell>
        </row>
        <row r="11785">
          <cell r="A11785" t="str">
            <v>X15.7</v>
          </cell>
          <cell r="B11785" t="str">
            <v>Contacto con utensilios domésticos calientes, en granja</v>
          </cell>
        </row>
        <row r="11786">
          <cell r="A11786" t="str">
            <v>X15.8</v>
          </cell>
          <cell r="B11786" t="str">
            <v>Contacto con utensilios domésticos calientes, en otro lugar especificado</v>
          </cell>
        </row>
        <row r="11787">
          <cell r="A11787" t="str">
            <v>X15.9</v>
          </cell>
          <cell r="B11787" t="str">
            <v>Contacto con utensilios domésticos calientes, en lugar no especificado</v>
          </cell>
        </row>
        <row r="11788">
          <cell r="A11788" t="str">
            <v>X16</v>
          </cell>
          <cell r="B11788" t="str">
            <v>Contacto con radiadores, cañerías y artefactos para calefacción, calientes</v>
          </cell>
        </row>
        <row r="11789">
          <cell r="A11789" t="str">
            <v>X16.0</v>
          </cell>
          <cell r="B11789" t="str">
            <v>Contacto con radiadores, cañerías y artefactos para calefacción, calientes, en vivienda</v>
          </cell>
        </row>
        <row r="11790">
          <cell r="A11790" t="str">
            <v>X16.1</v>
          </cell>
          <cell r="B11790" t="str">
            <v>Contacto con radiadores, cañerías y artefactos para calefacción, calientes, en institución residencial</v>
          </cell>
        </row>
        <row r="11791">
          <cell r="A11791" t="str">
            <v>X16.2</v>
          </cell>
          <cell r="B11791" t="str">
            <v>Contacto con radiadores, cañerías y artefactos para calefacción, calientes, en escuelas, otras instituciones y áreas administrativas públicas</v>
          </cell>
        </row>
        <row r="11792">
          <cell r="A11792" t="str">
            <v>X16.3</v>
          </cell>
          <cell r="B11792" t="str">
            <v>Contacto con radiadores, cañerías y artefactos para calefacción, calientes, en áreas de deporte y atletismo</v>
          </cell>
        </row>
        <row r="11793">
          <cell r="A11793" t="str">
            <v>X16.4</v>
          </cell>
          <cell r="B11793" t="str">
            <v>Contacto con radiadores, cañerías y artefactos para calefacción, calientes, en calles y carreteras</v>
          </cell>
        </row>
        <row r="11794">
          <cell r="A11794" t="str">
            <v>X16.5</v>
          </cell>
          <cell r="B11794" t="str">
            <v>Contacto con radiadores, cañerías y artefactos para calefacción, calientes, en comercio y área de servicios</v>
          </cell>
        </row>
        <row r="11795">
          <cell r="A11795" t="str">
            <v>X16.6</v>
          </cell>
          <cell r="B11795" t="str">
            <v>Contacto con radiadores, cañerías y artefactos para calefacción, calientes, en área industrial y de la construcción</v>
          </cell>
        </row>
        <row r="11796">
          <cell r="A11796" t="str">
            <v>X16.7</v>
          </cell>
          <cell r="B11796" t="str">
            <v>Contacto con radiadores, cañerías y artefactos para calefacción, calientes, en granja</v>
          </cell>
        </row>
        <row r="11797">
          <cell r="A11797" t="str">
            <v>X16.8</v>
          </cell>
          <cell r="B11797" t="str">
            <v>Contacto con radiadores, cañerías y artefactos para calefacción, calientes, en otro lugar especificado</v>
          </cell>
        </row>
        <row r="11798">
          <cell r="A11798" t="str">
            <v>X16.9</v>
          </cell>
          <cell r="B11798" t="str">
            <v>Contacto con radiadores, cañerías y artefactos para calefacción, calientes, en lugar no especificado</v>
          </cell>
        </row>
        <row r="11799">
          <cell r="A11799" t="str">
            <v>X17</v>
          </cell>
          <cell r="B11799" t="str">
            <v>Contacto con máquinas, motores y herramientas calientes</v>
          </cell>
        </row>
        <row r="11800">
          <cell r="A11800" t="str">
            <v>X17.0</v>
          </cell>
          <cell r="B11800" t="str">
            <v>Contacto con máquinas, motores y herramientas calientes, en vivienda</v>
          </cell>
        </row>
        <row r="11801">
          <cell r="A11801" t="str">
            <v>X17.1</v>
          </cell>
          <cell r="B11801" t="str">
            <v>Contacto con máquinas, motores y herramientas calientes, en institución residencial</v>
          </cell>
        </row>
        <row r="11802">
          <cell r="A11802" t="str">
            <v>X17.2</v>
          </cell>
          <cell r="B11802" t="str">
            <v>Contacto con máquinas, motores y herramientas calientes, en escuelas, otras instituciones y áreas administrativas públicas</v>
          </cell>
        </row>
        <row r="11803">
          <cell r="A11803" t="str">
            <v>X17.3</v>
          </cell>
          <cell r="B11803" t="str">
            <v>Contacto con máquinas, motores y herramientas calientes, en áreas de deporte y atletismo</v>
          </cell>
        </row>
        <row r="11804">
          <cell r="A11804" t="str">
            <v>X17.4</v>
          </cell>
          <cell r="B11804" t="str">
            <v>Contacto con máquinas, motores y herramientas calientes, en calles y carreteras</v>
          </cell>
        </row>
        <row r="11805">
          <cell r="A11805" t="str">
            <v>X17.5</v>
          </cell>
          <cell r="B11805" t="str">
            <v>Contacto con máquinas, motores y herramientas calientes, en comercio y área de servicios</v>
          </cell>
        </row>
        <row r="11806">
          <cell r="A11806" t="str">
            <v>X17.6</v>
          </cell>
          <cell r="B11806" t="str">
            <v>Contacto con máquinas, motores y herramientas calientes, en área industrial y de la construcción</v>
          </cell>
        </row>
        <row r="11807">
          <cell r="A11807" t="str">
            <v>X17.7</v>
          </cell>
          <cell r="B11807" t="str">
            <v>Contacto con máquinas, motores y herramientas calientes, en granja</v>
          </cell>
        </row>
        <row r="11808">
          <cell r="A11808" t="str">
            <v>X17.8</v>
          </cell>
          <cell r="B11808" t="str">
            <v>Contacto con máquinas, motores y herramientas calientes, en otro lugar especificado</v>
          </cell>
        </row>
        <row r="11809">
          <cell r="A11809" t="str">
            <v>X17.9</v>
          </cell>
          <cell r="B11809" t="str">
            <v>Contacto con máquinas, motores y herramientas calientes, en lugar no especificado</v>
          </cell>
        </row>
        <row r="11810">
          <cell r="A11810" t="str">
            <v>X18</v>
          </cell>
          <cell r="B11810" t="str">
            <v>Contacto con otros metales calientes</v>
          </cell>
        </row>
        <row r="11811">
          <cell r="A11811" t="str">
            <v>X18.0</v>
          </cell>
          <cell r="B11811" t="str">
            <v>Contacto con otros metales calientes, en vivienda</v>
          </cell>
        </row>
        <row r="11812">
          <cell r="A11812" t="str">
            <v>X18.1</v>
          </cell>
          <cell r="B11812" t="str">
            <v>Contacto con otros metales calientes, en institución residencial</v>
          </cell>
        </row>
        <row r="11813">
          <cell r="A11813" t="str">
            <v>X18.2</v>
          </cell>
          <cell r="B11813" t="str">
            <v>Contacto con otros metales calientes, en escuelas, otras instituciones y áreas administrativas públicas</v>
          </cell>
        </row>
        <row r="11814">
          <cell r="A11814" t="str">
            <v>X18.3</v>
          </cell>
          <cell r="B11814" t="str">
            <v>Contacto con otros metales calientes, en áreas de deporte y atletismo</v>
          </cell>
        </row>
        <row r="11815">
          <cell r="A11815" t="str">
            <v>X18.4</v>
          </cell>
          <cell r="B11815" t="str">
            <v>Contacto con otros metales calientes, en calles y carreteras</v>
          </cell>
        </row>
        <row r="11816">
          <cell r="A11816" t="str">
            <v>X18.5</v>
          </cell>
          <cell r="B11816" t="str">
            <v>Contacto con otros metales calientes, en comercio y área de servicios</v>
          </cell>
        </row>
        <row r="11817">
          <cell r="A11817" t="str">
            <v>X18.6</v>
          </cell>
          <cell r="B11817" t="str">
            <v>Contacto con otros metales calientes, en área industrial y de la construcción</v>
          </cell>
        </row>
        <row r="11818">
          <cell r="A11818" t="str">
            <v>X18.7</v>
          </cell>
          <cell r="B11818" t="str">
            <v>Contacto con otros metales calientes, en granja</v>
          </cell>
        </row>
        <row r="11819">
          <cell r="A11819" t="str">
            <v>X18.8</v>
          </cell>
          <cell r="B11819" t="str">
            <v>Contacto con otros metales calientes, en otro lugar especificado</v>
          </cell>
        </row>
        <row r="11820">
          <cell r="A11820" t="str">
            <v>X18.9</v>
          </cell>
          <cell r="B11820" t="str">
            <v>Contacto con otros metales calientes, en lugar no especificado</v>
          </cell>
        </row>
        <row r="11821">
          <cell r="A11821" t="str">
            <v>X19</v>
          </cell>
          <cell r="B11821" t="str">
            <v>Contacto con otras sustancias calientes, y las no especificadas</v>
          </cell>
        </row>
        <row r="11822">
          <cell r="A11822" t="str">
            <v>X19.0</v>
          </cell>
          <cell r="B11822" t="str">
            <v>Contacto con otras sustancias calientes, y las no especificadas, en vivienda</v>
          </cell>
        </row>
        <row r="11823">
          <cell r="A11823" t="str">
            <v>X19.1</v>
          </cell>
          <cell r="B11823" t="str">
            <v>Contacto con otras sustancias calientes, y las no especificadas, en institución residencial</v>
          </cell>
        </row>
        <row r="11824">
          <cell r="A11824" t="str">
            <v>X19.2</v>
          </cell>
          <cell r="B11824" t="str">
            <v>Contacto con otras sustancias calientes, y las no especificadas, en escuelas, otras instituciones y áreas administrativas públicas</v>
          </cell>
        </row>
        <row r="11825">
          <cell r="A11825" t="str">
            <v>X19.3</v>
          </cell>
          <cell r="B11825" t="str">
            <v>Contacto con otras sustancias calientes, y las no especificadas, en áreas de deporte y atletismo</v>
          </cell>
        </row>
        <row r="11826">
          <cell r="A11826" t="str">
            <v>X19.4</v>
          </cell>
          <cell r="B11826" t="str">
            <v>Contacto con otras sustancias calientes, y las no especificadas, en calles y carreteras</v>
          </cell>
        </row>
        <row r="11827">
          <cell r="A11827" t="str">
            <v>X19.5</v>
          </cell>
          <cell r="B11827" t="str">
            <v>Contacto con otras sustancias calientes, y las no especificadas, en comercio y área de servicios</v>
          </cell>
        </row>
        <row r="11828">
          <cell r="A11828" t="str">
            <v>X19.6</v>
          </cell>
          <cell r="B11828" t="str">
            <v>Contacto con otras sustancias calientes, y las no especificadas, en área industrial y de la construcción</v>
          </cell>
        </row>
        <row r="11829">
          <cell r="A11829" t="str">
            <v>X19.7</v>
          </cell>
          <cell r="B11829" t="str">
            <v>Contacto con otras sustancias calientes, y las no especificadas, en granja</v>
          </cell>
        </row>
        <row r="11830">
          <cell r="A11830" t="str">
            <v>X19.8</v>
          </cell>
          <cell r="B11830" t="str">
            <v>Contacto con otras sustancias calientes, y las no especificadas, en otro lugar especificado</v>
          </cell>
        </row>
        <row r="11831">
          <cell r="A11831" t="str">
            <v>X19.9</v>
          </cell>
          <cell r="B11831" t="str">
            <v>Contacto con otras sustancias calientes, y las no especificadas, en lugar no especificado</v>
          </cell>
        </row>
        <row r="11832">
          <cell r="A11832" t="str">
            <v>X20</v>
          </cell>
          <cell r="B11832" t="str">
            <v>Contacto traumático con serpientes y lagartos venenosos</v>
          </cell>
        </row>
        <row r="11833">
          <cell r="A11833" t="str">
            <v>X20.0</v>
          </cell>
          <cell r="B11833" t="str">
            <v>Contacto traumático con serpientes y lagartos venenosos, en vivienda</v>
          </cell>
        </row>
        <row r="11834">
          <cell r="A11834" t="str">
            <v>X20.1</v>
          </cell>
          <cell r="B11834" t="str">
            <v>Contacto traumático con serpientes y lagartos venenosos, en institución residencial</v>
          </cell>
        </row>
        <row r="11835">
          <cell r="A11835" t="str">
            <v>X20.2</v>
          </cell>
          <cell r="B11835" t="str">
            <v>Contacto traumático con serpientes y lagartos venenosos, en escuelas, otras instituciones y áreas administrativas públicas</v>
          </cell>
        </row>
        <row r="11836">
          <cell r="A11836" t="str">
            <v>X20.3</v>
          </cell>
          <cell r="B11836" t="str">
            <v>Contacto traumático con serpientes y lagartos venenosos, en áreas de deporte y atletismo</v>
          </cell>
        </row>
        <row r="11837">
          <cell r="A11837" t="str">
            <v>X20.4</v>
          </cell>
          <cell r="B11837" t="str">
            <v>Contacto traumático con serpientes y lagartos venenosos, en calles y carreteras</v>
          </cell>
        </row>
        <row r="11838">
          <cell r="A11838" t="str">
            <v>X20.5</v>
          </cell>
          <cell r="B11838" t="str">
            <v>Contacto traumático con serpientes y lagartos venenosos, en comercio y área de servicios</v>
          </cell>
        </row>
        <row r="11839">
          <cell r="A11839" t="str">
            <v>X20.6</v>
          </cell>
          <cell r="B11839" t="str">
            <v>Contacto traumático con serpientes y lagartos venenosos, en área industrial y de la construcción</v>
          </cell>
        </row>
        <row r="11840">
          <cell r="A11840" t="str">
            <v>X20.7</v>
          </cell>
          <cell r="B11840" t="str">
            <v>Contacto traumático con serpientes y lagartos venenosos, en granja</v>
          </cell>
        </row>
        <row r="11841">
          <cell r="A11841" t="str">
            <v>X20.8</v>
          </cell>
          <cell r="B11841" t="str">
            <v>Contacto traumático con serpientes y lagartos venenosos, en otro lugar especificado</v>
          </cell>
        </row>
        <row r="11842">
          <cell r="A11842" t="str">
            <v>X20.9</v>
          </cell>
          <cell r="B11842" t="str">
            <v>Contacto traumático con serpientes y lagartos venenosos, en lugar no especificado</v>
          </cell>
        </row>
        <row r="11843">
          <cell r="A11843" t="str">
            <v>X21</v>
          </cell>
          <cell r="B11843" t="str">
            <v>Contacto traumático con arañas venenosas</v>
          </cell>
        </row>
        <row r="11844">
          <cell r="A11844" t="str">
            <v>X21.0</v>
          </cell>
          <cell r="B11844" t="str">
            <v>Contacto traumático con arañas venenosas, en vivienda</v>
          </cell>
        </row>
        <row r="11845">
          <cell r="A11845" t="str">
            <v>X21.1</v>
          </cell>
          <cell r="B11845" t="str">
            <v>Contacto traumático con arañas venenosas, en institución residencial</v>
          </cell>
        </row>
        <row r="11846">
          <cell r="A11846" t="str">
            <v>X21.2</v>
          </cell>
          <cell r="B11846" t="str">
            <v>Contacto traumático con arañas venenosas, en escuelas, otras instituciones y áreas administrativas públicas</v>
          </cell>
        </row>
        <row r="11847">
          <cell r="A11847" t="str">
            <v>X21.3</v>
          </cell>
          <cell r="B11847" t="str">
            <v>Contacto traumático con arañas venenosas, en áreas de deporte y atletismo</v>
          </cell>
        </row>
        <row r="11848">
          <cell r="A11848" t="str">
            <v>X21.4</v>
          </cell>
          <cell r="B11848" t="str">
            <v>Contacto traumático con arañas venenosas, en calles y carreteras</v>
          </cell>
        </row>
        <row r="11849">
          <cell r="A11849" t="str">
            <v>X21.5</v>
          </cell>
          <cell r="B11849" t="str">
            <v>Contacto traumático con arañas venenosas, en comercio y área de servicios</v>
          </cell>
        </row>
        <row r="11850">
          <cell r="A11850" t="str">
            <v>X21.6</v>
          </cell>
          <cell r="B11850" t="str">
            <v>Contacto traumático con arañas venenosas, en área industrial y de la construcción</v>
          </cell>
        </row>
        <row r="11851">
          <cell r="A11851" t="str">
            <v>X21.7</v>
          </cell>
          <cell r="B11851" t="str">
            <v>Contacto traumático con arañas venenosas, en granja</v>
          </cell>
        </row>
        <row r="11852">
          <cell r="A11852" t="str">
            <v>X21.8</v>
          </cell>
          <cell r="B11852" t="str">
            <v>Contacto traumático con arañas venenosas, en otro lugar especificado</v>
          </cell>
        </row>
        <row r="11853">
          <cell r="A11853" t="str">
            <v>X21.9</v>
          </cell>
          <cell r="B11853" t="str">
            <v>Contacto traumático con arañas venenosas, en lugar no especificado</v>
          </cell>
        </row>
        <row r="11854">
          <cell r="A11854" t="str">
            <v>X22</v>
          </cell>
          <cell r="B11854" t="str">
            <v>Contacto traumático con escorpión</v>
          </cell>
        </row>
        <row r="11855">
          <cell r="A11855" t="str">
            <v>X22.0</v>
          </cell>
          <cell r="B11855" t="str">
            <v>Contacto traumático con escorpión, en vivienda</v>
          </cell>
        </row>
        <row r="11856">
          <cell r="A11856" t="str">
            <v>X22.1</v>
          </cell>
          <cell r="B11856" t="str">
            <v>Contacto traumático con escorpión, en institución residencial</v>
          </cell>
        </row>
        <row r="11857">
          <cell r="A11857" t="str">
            <v>X22.2</v>
          </cell>
          <cell r="B11857" t="str">
            <v>Contacto traumático con escorpión, en escuelas, otras instituciones y áreas administrativas públicas</v>
          </cell>
        </row>
        <row r="11858">
          <cell r="A11858" t="str">
            <v>X22.3</v>
          </cell>
          <cell r="B11858" t="str">
            <v>Contacto traumático con escorpión, en áreas de deporte y atletismo</v>
          </cell>
        </row>
        <row r="11859">
          <cell r="A11859" t="str">
            <v>X22.4</v>
          </cell>
          <cell r="B11859" t="str">
            <v>Contacto traumático con escorpión, en calles y carreteras</v>
          </cell>
        </row>
        <row r="11860">
          <cell r="A11860" t="str">
            <v>X22.5</v>
          </cell>
          <cell r="B11860" t="str">
            <v>Contacto traumático con escorpión, en comercio y área de servicios</v>
          </cell>
        </row>
        <row r="11861">
          <cell r="A11861" t="str">
            <v>X22.6</v>
          </cell>
          <cell r="B11861" t="str">
            <v>Contacto traumático con escorpión, en área industrial y de la construcción</v>
          </cell>
        </row>
        <row r="11862">
          <cell r="A11862" t="str">
            <v>X22.7</v>
          </cell>
          <cell r="B11862" t="str">
            <v>Contacto traumático con escorpión, en granja</v>
          </cell>
        </row>
        <row r="11863">
          <cell r="A11863" t="str">
            <v>X22.8</v>
          </cell>
          <cell r="B11863" t="str">
            <v>Contacto traumático con escorpión, en otro lugar especificado</v>
          </cell>
        </row>
        <row r="11864">
          <cell r="A11864" t="str">
            <v>X22.9</v>
          </cell>
          <cell r="B11864" t="str">
            <v>Contacto traumático con escorpión, en lugar no especificado</v>
          </cell>
        </row>
        <row r="11865">
          <cell r="A11865" t="str">
            <v>X23</v>
          </cell>
          <cell r="B11865" t="str">
            <v>Contacto traumático con avispones, avispas y abejas</v>
          </cell>
        </row>
        <row r="11866">
          <cell r="A11866" t="str">
            <v>X23.0</v>
          </cell>
          <cell r="B11866" t="str">
            <v>Contacto traumático con avispones, avispas y abejas, en vivienda</v>
          </cell>
        </row>
        <row r="11867">
          <cell r="A11867" t="str">
            <v>X23.1</v>
          </cell>
          <cell r="B11867" t="str">
            <v>Contacto traumático con avispones, avispas y abejas, en institución residencial</v>
          </cell>
        </row>
        <row r="11868">
          <cell r="A11868" t="str">
            <v>X23.2</v>
          </cell>
          <cell r="B11868" t="str">
            <v>Contacto traumático con avispones, avispas y abejas, en escuelas, otras instituciones y áreas administrativas públicas</v>
          </cell>
        </row>
        <row r="11869">
          <cell r="A11869" t="str">
            <v>X23.3</v>
          </cell>
          <cell r="B11869" t="str">
            <v>Contacto traumático con avispones, avispas y abejas, en áreas de deporte y atletismo</v>
          </cell>
        </row>
        <row r="11870">
          <cell r="A11870" t="str">
            <v>X23.4</v>
          </cell>
          <cell r="B11870" t="str">
            <v>Contacto traumático con avispones, avispas y abejas, en calles y carreteras</v>
          </cell>
        </row>
        <row r="11871">
          <cell r="A11871" t="str">
            <v>X23.5</v>
          </cell>
          <cell r="B11871" t="str">
            <v>Contacto traumático con avispones, avispas y abejas, en comercio y área de servicios</v>
          </cell>
        </row>
        <row r="11872">
          <cell r="A11872" t="str">
            <v>X23.6</v>
          </cell>
          <cell r="B11872" t="str">
            <v>Contacto traumático con avispones, avispas y abejas, en área industrial y de la construcción</v>
          </cell>
        </row>
        <row r="11873">
          <cell r="A11873" t="str">
            <v>X23.7</v>
          </cell>
          <cell r="B11873" t="str">
            <v>Contacto traumático con avispones, avispas y abejas, en granja</v>
          </cell>
        </row>
        <row r="11874">
          <cell r="A11874" t="str">
            <v>X23.8</v>
          </cell>
          <cell r="B11874" t="str">
            <v>Contacto traumático con avispones, avispas y abejas, en otro lugar especificado</v>
          </cell>
        </row>
        <row r="11875">
          <cell r="A11875" t="str">
            <v>X23.9</v>
          </cell>
          <cell r="B11875" t="str">
            <v>Contacto traumático con avispones, avispas y abejas, en lugar no especificado</v>
          </cell>
        </row>
        <row r="11876">
          <cell r="A11876" t="str">
            <v>X24</v>
          </cell>
          <cell r="B11876" t="str">
            <v>Contacto traumático con centípodos y miriápodos venenosos (tropicales)</v>
          </cell>
        </row>
        <row r="11877">
          <cell r="A11877" t="str">
            <v>X24.0</v>
          </cell>
          <cell r="B11877" t="str">
            <v>Contacto traumático con centípodos y miriápodos venenosos (tropicales), en vivienda</v>
          </cell>
        </row>
        <row r="11878">
          <cell r="A11878" t="str">
            <v>X24.1</v>
          </cell>
          <cell r="B11878" t="str">
            <v>Contacto traumático con centípodos y miriápodos venenosos (tropicales), en institución residencial</v>
          </cell>
        </row>
        <row r="11879">
          <cell r="A11879" t="str">
            <v>X24.2</v>
          </cell>
          <cell r="B11879" t="str">
            <v>Contacto traumático con centípodos y miriápodos venenosos (tropicales), en escuelas, otras instituciones y áreas administrativas públicas</v>
          </cell>
        </row>
        <row r="11880">
          <cell r="A11880" t="str">
            <v>X24.3</v>
          </cell>
          <cell r="B11880" t="str">
            <v>Contacto traumático con centípodos y miriápodos venenosos (tropicales), en áreas de deporte y atletismo</v>
          </cell>
        </row>
        <row r="11881">
          <cell r="A11881" t="str">
            <v>X24.4</v>
          </cell>
          <cell r="B11881" t="str">
            <v>Contacto traumático con centípodos y miriápodos venenosos (tropicales), en calles y carreteras</v>
          </cell>
        </row>
        <row r="11882">
          <cell r="A11882" t="str">
            <v>X24.5</v>
          </cell>
          <cell r="B11882" t="str">
            <v>Contacto traumático con centípodos y miriápodos venenosos (tropicales), en comercio y área de servicios</v>
          </cell>
        </row>
        <row r="11883">
          <cell r="A11883" t="str">
            <v>X24.6</v>
          </cell>
          <cell r="B11883" t="str">
            <v>Contacto traumático con centípodos y miriápodos venenosos (tropicales), en área industrial y de la construcción</v>
          </cell>
        </row>
        <row r="11884">
          <cell r="A11884" t="str">
            <v>X24.7</v>
          </cell>
          <cell r="B11884" t="str">
            <v>Contacto traumático con centípodos y miriápodos venenosos (tropicales), en granja</v>
          </cell>
        </row>
        <row r="11885">
          <cell r="A11885" t="str">
            <v>X24.8</v>
          </cell>
          <cell r="B11885" t="str">
            <v>Contacto traumático con centípodos y miriápodos venenosos (tropicales), en otro lugar especificado</v>
          </cell>
        </row>
        <row r="11886">
          <cell r="A11886" t="str">
            <v>X24.9</v>
          </cell>
          <cell r="B11886" t="str">
            <v>Contacto traumático con centípodos y miriápodos venenosos (tropicales), en lugar no especificado</v>
          </cell>
        </row>
        <row r="11887">
          <cell r="A11887" t="str">
            <v>X25</v>
          </cell>
          <cell r="B11887" t="str">
            <v>Contacto traumático con otros artrópodos venenosos especificados</v>
          </cell>
        </row>
        <row r="11888">
          <cell r="A11888" t="str">
            <v>X25.0</v>
          </cell>
          <cell r="B11888" t="str">
            <v>Contacto traumático con otros artrópodos venenosos especificados, en vivienda</v>
          </cell>
        </row>
        <row r="11889">
          <cell r="A11889" t="str">
            <v>X25.1</v>
          </cell>
          <cell r="B11889" t="str">
            <v>Contacto traumático con otros artrópodos venenosos especificados, en institución residencial</v>
          </cell>
        </row>
        <row r="11890">
          <cell r="A11890" t="str">
            <v>X25.2</v>
          </cell>
          <cell r="B11890" t="str">
            <v>Contacto traumático con otros artrópodos venenosos especificados, en escuelas, otras instituciones y áreas administrativas públicas</v>
          </cell>
        </row>
        <row r="11891">
          <cell r="A11891" t="str">
            <v>X25.3</v>
          </cell>
          <cell r="B11891" t="str">
            <v>Contacto traumático con otros artrópodos venenosos especificados, en áreas de deporte y atletismo</v>
          </cell>
        </row>
        <row r="11892">
          <cell r="A11892" t="str">
            <v>X25.4</v>
          </cell>
          <cell r="B11892" t="str">
            <v>Contacto traumático con otros artrópodos venenosos especificados, en calles y carreteras</v>
          </cell>
        </row>
        <row r="11893">
          <cell r="A11893" t="str">
            <v>X25.5</v>
          </cell>
          <cell r="B11893" t="str">
            <v>Contacto traumático con otros artrópodos venenosos especificados, en comercio y área de servicios</v>
          </cell>
        </row>
        <row r="11894">
          <cell r="A11894" t="str">
            <v>X25.6</v>
          </cell>
          <cell r="B11894" t="str">
            <v>Contacto traumático con otros artrópodos venenosos especificados, en área industrial y de la construcción</v>
          </cell>
        </row>
        <row r="11895">
          <cell r="A11895" t="str">
            <v>X25.7</v>
          </cell>
          <cell r="B11895" t="str">
            <v>Contacto traumático con otros artrópodos venenosos especificados, en granja</v>
          </cell>
        </row>
        <row r="11896">
          <cell r="A11896" t="str">
            <v>X25.8</v>
          </cell>
          <cell r="B11896" t="str">
            <v>Contacto traumático con otros artrópodos venenosos especificados, en otro lugar especificado</v>
          </cell>
        </row>
        <row r="11897">
          <cell r="A11897" t="str">
            <v>X25.9</v>
          </cell>
          <cell r="B11897" t="str">
            <v>Contacto traumático con otros artrópodos venenosos especificados, en lugar no especificado</v>
          </cell>
        </row>
        <row r="11898">
          <cell r="A11898" t="str">
            <v>X26</v>
          </cell>
          <cell r="B11898" t="str">
            <v>Contacto traumático con animales y plantas marinas venenosos</v>
          </cell>
        </row>
        <row r="11899">
          <cell r="A11899" t="str">
            <v>X26.0</v>
          </cell>
          <cell r="B11899" t="str">
            <v>Contacto traumático con animales y plantas marinas venenosos, en vivienda</v>
          </cell>
        </row>
        <row r="11900">
          <cell r="A11900" t="str">
            <v>X26.1</v>
          </cell>
          <cell r="B11900" t="str">
            <v>Contacto traumático con animales y plantas marinas venenosos, en institución residencial</v>
          </cell>
        </row>
        <row r="11901">
          <cell r="A11901" t="str">
            <v>X26.2</v>
          </cell>
          <cell r="B11901" t="str">
            <v>Contacto traumático con animales y plantas marinas venenosos, en escuelas, otras instituciones y áreas administrativas públicas</v>
          </cell>
        </row>
        <row r="11902">
          <cell r="A11902" t="str">
            <v>X26.3</v>
          </cell>
          <cell r="B11902" t="str">
            <v>Contacto traumático con animales y plantas marinas venenosos, en áreas de deporte y atletismo</v>
          </cell>
        </row>
        <row r="11903">
          <cell r="A11903" t="str">
            <v>X26.4</v>
          </cell>
          <cell r="B11903" t="str">
            <v>Contacto traumático con animales y plantas marinas venenosos, en calles y carreteras</v>
          </cell>
        </row>
        <row r="11904">
          <cell r="A11904" t="str">
            <v>X26.5</v>
          </cell>
          <cell r="B11904" t="str">
            <v>Contacto traumático con animales y plantas marinas venenosos, en comercio y área de servicios</v>
          </cell>
        </row>
        <row r="11905">
          <cell r="A11905" t="str">
            <v>X26.6</v>
          </cell>
          <cell r="B11905" t="str">
            <v>Contacto traumático con animales y plantas marinas venenosos, en área industrial y de la construcción</v>
          </cell>
        </row>
        <row r="11906">
          <cell r="A11906" t="str">
            <v>X26.7</v>
          </cell>
          <cell r="B11906" t="str">
            <v>Contacto traumático con animales y plantas marinas venenosos, en granja</v>
          </cell>
        </row>
        <row r="11907">
          <cell r="A11907" t="str">
            <v>X26.8</v>
          </cell>
          <cell r="B11907" t="str">
            <v>Contacto traumático con animales y plantas marinas venenosos, en otro lugar especificado</v>
          </cell>
        </row>
        <row r="11908">
          <cell r="A11908" t="str">
            <v>X26.9</v>
          </cell>
          <cell r="B11908" t="str">
            <v>Contacto traumático con animales y plantas marinas venenosos, en lugar no especificado</v>
          </cell>
        </row>
        <row r="11909">
          <cell r="A11909" t="str">
            <v>X27</v>
          </cell>
          <cell r="B11909" t="str">
            <v>Contacto traumático con otros animales venenosos especificados</v>
          </cell>
        </row>
        <row r="11910">
          <cell r="A11910" t="str">
            <v>X27.0</v>
          </cell>
          <cell r="B11910" t="str">
            <v>Contacto traumático con otros animales venenosos especificados, en vivienda</v>
          </cell>
        </row>
        <row r="11911">
          <cell r="A11911" t="str">
            <v>X27.1</v>
          </cell>
          <cell r="B11911" t="str">
            <v>Contacto traumático con otros animales venenosos especificados, en institución residencial</v>
          </cell>
        </row>
        <row r="11912">
          <cell r="A11912" t="str">
            <v>X27.2</v>
          </cell>
          <cell r="B11912" t="str">
            <v>Contacto traumático con otros animales venenosos especificados, en escuelas, otras instituciones y áreas administrativas públicas</v>
          </cell>
        </row>
        <row r="11913">
          <cell r="A11913" t="str">
            <v>X27.3</v>
          </cell>
          <cell r="B11913" t="str">
            <v>Contacto traumático con otros animales venenosos especificados, en áreas de deporte y atletismo</v>
          </cell>
        </row>
        <row r="11914">
          <cell r="A11914" t="str">
            <v>X27.4</v>
          </cell>
          <cell r="B11914" t="str">
            <v>Contacto traumático con otros animales venenosos especificados, en calles y carreteras</v>
          </cell>
        </row>
        <row r="11915">
          <cell r="A11915" t="str">
            <v>X27.5</v>
          </cell>
          <cell r="B11915" t="str">
            <v>Contacto traumático con otros animales venenosos especificados, en comercio y área de servicios</v>
          </cell>
        </row>
        <row r="11916">
          <cell r="A11916" t="str">
            <v>X27.6</v>
          </cell>
          <cell r="B11916" t="str">
            <v>Contacto traumático con otros animales venenosos especificados, en área industrial y de la construcción</v>
          </cell>
        </row>
        <row r="11917">
          <cell r="A11917" t="str">
            <v>X27.7</v>
          </cell>
          <cell r="B11917" t="str">
            <v>Contacto traumático con otros animales venenosos especificados, en granja</v>
          </cell>
        </row>
        <row r="11918">
          <cell r="A11918" t="str">
            <v>X27.8</v>
          </cell>
          <cell r="B11918" t="str">
            <v>Contacto traumático con otros animales venenosos especificados, en otro lugar especificado</v>
          </cell>
        </row>
        <row r="11919">
          <cell r="A11919" t="str">
            <v>X27.9</v>
          </cell>
          <cell r="B11919" t="str">
            <v>Contacto traumático con otros animales venenosos especificados, en lugar no especificado</v>
          </cell>
        </row>
        <row r="11920">
          <cell r="A11920" t="str">
            <v>X28</v>
          </cell>
          <cell r="B11920" t="str">
            <v>Contacto traumático con otras plantas venenosas especificadas</v>
          </cell>
        </row>
        <row r="11921">
          <cell r="A11921" t="str">
            <v>X28.0</v>
          </cell>
          <cell r="B11921" t="str">
            <v>Contacto traumático con otras plantas venenosas especificadas, en vivienda</v>
          </cell>
        </row>
        <row r="11922">
          <cell r="A11922" t="str">
            <v>X28.1</v>
          </cell>
          <cell r="B11922" t="str">
            <v>Contacto traumático con otras plantas venenosas especificadas, en institución residencial</v>
          </cell>
        </row>
        <row r="11923">
          <cell r="A11923" t="str">
            <v>X28.2</v>
          </cell>
          <cell r="B11923" t="str">
            <v>Contacto traumático con otras plantas venenosas especificadas, en escuelas, otras instituciones y áreas administrativas públicas</v>
          </cell>
        </row>
        <row r="11924">
          <cell r="A11924" t="str">
            <v>X28.3</v>
          </cell>
          <cell r="B11924" t="str">
            <v>Contacto traumático con otras plantas venenosas especificadas, en áreas de deporte y atletismo</v>
          </cell>
        </row>
        <row r="11925">
          <cell r="A11925" t="str">
            <v>X28.4</v>
          </cell>
          <cell r="B11925" t="str">
            <v>Contacto traumático con otras plantas venenosas especificadas, en calles y carreteras</v>
          </cell>
        </row>
        <row r="11926">
          <cell r="A11926" t="str">
            <v>X28.5</v>
          </cell>
          <cell r="B11926" t="str">
            <v>Contacto traumático con otras plantas venenosas especificadas, en comercio y área de servicios</v>
          </cell>
        </row>
        <row r="11927">
          <cell r="A11927" t="str">
            <v>X28.6</v>
          </cell>
          <cell r="B11927" t="str">
            <v>Contacto traumático con otras plantas venenosas especificadas, en área industrial y de la construcción</v>
          </cell>
        </row>
        <row r="11928">
          <cell r="A11928" t="str">
            <v>X28.7</v>
          </cell>
          <cell r="B11928" t="str">
            <v>Contacto traumático con otras plantas venenosas especificadas, en granja</v>
          </cell>
        </row>
        <row r="11929">
          <cell r="A11929" t="str">
            <v>X28.8</v>
          </cell>
          <cell r="B11929" t="str">
            <v>Contacto traumático con otras plantas venenosas especificadas, en otro lugar especificado</v>
          </cell>
        </row>
        <row r="11930">
          <cell r="A11930" t="str">
            <v>X28.9</v>
          </cell>
          <cell r="B11930" t="str">
            <v>Contacto traumático con otras plantas venenosas especificadas, en lugar no especificado</v>
          </cell>
        </row>
        <row r="11931">
          <cell r="A11931" t="str">
            <v>X29</v>
          </cell>
          <cell r="B11931" t="str">
            <v>Contacto traumático con animales y plantas venenosos no especificados</v>
          </cell>
        </row>
        <row r="11932">
          <cell r="A11932" t="str">
            <v>X29.0</v>
          </cell>
          <cell r="B11932" t="str">
            <v>Contacto traumático con animales y plantas venenosos no especificados, en vivienda</v>
          </cell>
        </row>
        <row r="11933">
          <cell r="A11933" t="str">
            <v>X29.1</v>
          </cell>
          <cell r="B11933" t="str">
            <v>Contacto traumático con animales y plantas venenosos no especificados, en institución residencial</v>
          </cell>
        </row>
        <row r="11934">
          <cell r="A11934" t="str">
            <v>X29.2</v>
          </cell>
          <cell r="B11934" t="str">
            <v>Contacto traumático con animales y plantas venenosos no especificados, en escuelas, otras instituciones y áreas administrativas públicas</v>
          </cell>
        </row>
        <row r="11935">
          <cell r="A11935" t="str">
            <v>X29.3</v>
          </cell>
          <cell r="B11935" t="str">
            <v>Contacto traumático con animales y plantas venenosos no especificados, en áreas de deporte y atletismo</v>
          </cell>
        </row>
        <row r="11936">
          <cell r="A11936" t="str">
            <v>X29.4</v>
          </cell>
          <cell r="B11936" t="str">
            <v>Contacto traumático con animales y plantas venenosos no especificados, en calles y carreteras</v>
          </cell>
        </row>
        <row r="11937">
          <cell r="A11937" t="str">
            <v>X29.5</v>
          </cell>
          <cell r="B11937" t="str">
            <v>Contacto traumático con animales y plantas venenosos no especificados, en comercio y área de servicios</v>
          </cell>
        </row>
        <row r="11938">
          <cell r="A11938" t="str">
            <v>X29.6</v>
          </cell>
          <cell r="B11938" t="str">
            <v>Contacto traumático con animales y plantas venenosos no especificados, en área industrial y de la construcción</v>
          </cell>
        </row>
        <row r="11939">
          <cell r="A11939" t="str">
            <v>X29.7</v>
          </cell>
          <cell r="B11939" t="str">
            <v>Contacto traumático con animales y plantas venenosos no especificados, en granja</v>
          </cell>
        </row>
        <row r="11940">
          <cell r="A11940" t="str">
            <v>X29.8</v>
          </cell>
          <cell r="B11940" t="str">
            <v>Contacto traumático con animales y plantas venenosos no especificados, en otro lugar especificado</v>
          </cell>
        </row>
        <row r="11941">
          <cell r="A11941" t="str">
            <v>X29.9</v>
          </cell>
          <cell r="B11941" t="str">
            <v>Contacto traumático con animales y plantas venenosos no especificados, en lugar no especificado</v>
          </cell>
        </row>
        <row r="11942">
          <cell r="A11942" t="str">
            <v>X30</v>
          </cell>
          <cell r="B11942" t="str">
            <v>Exposición al calor natural excesivo</v>
          </cell>
        </row>
        <row r="11943">
          <cell r="A11943" t="str">
            <v>X30.0</v>
          </cell>
          <cell r="B11943" t="str">
            <v>Exposición al calor natural excesivo, en vivienda</v>
          </cell>
        </row>
        <row r="11944">
          <cell r="A11944" t="str">
            <v>X30.1</v>
          </cell>
          <cell r="B11944" t="str">
            <v>Exposición al calor natural excesivo, en institución residencial</v>
          </cell>
        </row>
        <row r="11945">
          <cell r="A11945" t="str">
            <v>X30.2</v>
          </cell>
          <cell r="B11945" t="str">
            <v>Exposición al calor natural excesivo, en escuelas, otras instituciones y áreas administrativas públicas</v>
          </cell>
        </row>
        <row r="11946">
          <cell r="A11946" t="str">
            <v>X30.3</v>
          </cell>
          <cell r="B11946" t="str">
            <v>Exposición al calor natural excesivo, en áreas de deporte y atletismo</v>
          </cell>
        </row>
        <row r="11947">
          <cell r="A11947" t="str">
            <v>X30.4</v>
          </cell>
          <cell r="B11947" t="str">
            <v>Exposición al calor natural excesivo, en calles y carreteras</v>
          </cell>
        </row>
        <row r="11948">
          <cell r="A11948" t="str">
            <v>X30.5</v>
          </cell>
          <cell r="B11948" t="str">
            <v>Exposición al calor natural excesivo, en comercio y área de servicios</v>
          </cell>
        </row>
        <row r="11949">
          <cell r="A11949" t="str">
            <v>X30.6</v>
          </cell>
          <cell r="B11949" t="str">
            <v>Exposición al calor natural excesivo, en área industrial y de la construcción</v>
          </cell>
        </row>
        <row r="11950">
          <cell r="A11950" t="str">
            <v>X30.7</v>
          </cell>
          <cell r="B11950" t="str">
            <v>Exposición al calor natural excesivo, en granja</v>
          </cell>
        </row>
        <row r="11951">
          <cell r="A11951" t="str">
            <v>X30.8</v>
          </cell>
          <cell r="B11951" t="str">
            <v>Exposición al calor natural excesivo, en otro lugar especificado</v>
          </cell>
        </row>
        <row r="11952">
          <cell r="A11952" t="str">
            <v>X30.9</v>
          </cell>
          <cell r="B11952" t="str">
            <v>Exposición al calor natural excesivo, en lugar no especificado</v>
          </cell>
        </row>
        <row r="11953">
          <cell r="A11953" t="str">
            <v>X31</v>
          </cell>
          <cell r="B11953" t="str">
            <v>Exposición al frío natural excesivo</v>
          </cell>
        </row>
        <row r="11954">
          <cell r="A11954" t="str">
            <v>X31.0</v>
          </cell>
          <cell r="B11954" t="str">
            <v>Exposición al frío natural excesivo, en vivienda</v>
          </cell>
        </row>
        <row r="11955">
          <cell r="A11955" t="str">
            <v>X31.1</v>
          </cell>
          <cell r="B11955" t="str">
            <v>Exposición al frío natural excesivo, en institución residencial</v>
          </cell>
        </row>
        <row r="11956">
          <cell r="A11956" t="str">
            <v>X31.2</v>
          </cell>
          <cell r="B11956" t="str">
            <v>Exposición al frío natural excesivo, en escuelas, otras instituciones y áreas administrativas públicas</v>
          </cell>
        </row>
        <row r="11957">
          <cell r="A11957" t="str">
            <v>X31.3</v>
          </cell>
          <cell r="B11957" t="str">
            <v>Exposición al frío natural excesivo, en áreas de deporte y atletismo</v>
          </cell>
        </row>
        <row r="11958">
          <cell r="A11958" t="str">
            <v>X31.4</v>
          </cell>
          <cell r="B11958" t="str">
            <v>Exposición al frío natural excesivo, en calles y carreteras</v>
          </cell>
        </row>
        <row r="11959">
          <cell r="A11959" t="str">
            <v>X31.5</v>
          </cell>
          <cell r="B11959" t="str">
            <v>Exposición al frío natural excesivo, en comercio y área de servicios</v>
          </cell>
        </row>
        <row r="11960">
          <cell r="A11960" t="str">
            <v>X31.6</v>
          </cell>
          <cell r="B11960" t="str">
            <v>Exposición al frío natural excesivo, en área industrial y de la construcción</v>
          </cell>
        </row>
        <row r="11961">
          <cell r="A11961" t="str">
            <v>X31.7</v>
          </cell>
          <cell r="B11961" t="str">
            <v>Exposición al frío natural excesivo, en granja</v>
          </cell>
        </row>
        <row r="11962">
          <cell r="A11962" t="str">
            <v>X31.8</v>
          </cell>
          <cell r="B11962" t="str">
            <v>Exposición al frío natural excesivo, en otro lugar especificado</v>
          </cell>
        </row>
        <row r="11963">
          <cell r="A11963" t="str">
            <v>X31.9</v>
          </cell>
          <cell r="B11963" t="str">
            <v>Exposición al frío natural excesivo, en lugar no especificado</v>
          </cell>
        </row>
        <row r="11964">
          <cell r="A11964" t="str">
            <v>X32</v>
          </cell>
          <cell r="B11964" t="str">
            <v>Exposición a rayos solares</v>
          </cell>
        </row>
        <row r="11965">
          <cell r="A11965" t="str">
            <v>X32.0</v>
          </cell>
          <cell r="B11965" t="str">
            <v>Exposición a rayos solares, en vivienda</v>
          </cell>
        </row>
        <row r="11966">
          <cell r="A11966" t="str">
            <v>X32.1</v>
          </cell>
          <cell r="B11966" t="str">
            <v>Exposición a rayos solares, en institución residencial</v>
          </cell>
        </row>
        <row r="11967">
          <cell r="A11967" t="str">
            <v>X32.2</v>
          </cell>
          <cell r="B11967" t="str">
            <v>Exposición a rayos solares, en escuelas, otras instituciones y áreas administrativas públicas</v>
          </cell>
        </row>
        <row r="11968">
          <cell r="A11968" t="str">
            <v>X32.3</v>
          </cell>
          <cell r="B11968" t="str">
            <v>Exposición a rayos solares, en áreas de deporte y atletismo</v>
          </cell>
        </row>
        <row r="11969">
          <cell r="A11969" t="str">
            <v>X32.4</v>
          </cell>
          <cell r="B11969" t="str">
            <v>Exposición a rayos solares, en calles y carreteras</v>
          </cell>
        </row>
        <row r="11970">
          <cell r="A11970" t="str">
            <v>X32.5</v>
          </cell>
          <cell r="B11970" t="str">
            <v>Exposición a rayos solares, en comercio y área de servicios</v>
          </cell>
        </row>
        <row r="11971">
          <cell r="A11971" t="str">
            <v>X32.6</v>
          </cell>
          <cell r="B11971" t="str">
            <v>Exposición a rayos solares, en área industrial y de la construcción</v>
          </cell>
        </row>
        <row r="11972">
          <cell r="A11972" t="str">
            <v>X32.7</v>
          </cell>
          <cell r="B11972" t="str">
            <v>Exposición a rayos solares, en granja</v>
          </cell>
        </row>
        <row r="11973">
          <cell r="A11973" t="str">
            <v>X32.8</v>
          </cell>
          <cell r="B11973" t="str">
            <v>Exposición a rayos solares, en otro lugar especificado</v>
          </cell>
        </row>
        <row r="11974">
          <cell r="A11974" t="str">
            <v>X32.9</v>
          </cell>
          <cell r="B11974" t="str">
            <v>Exposición a rayos solares, en lugar no especificado</v>
          </cell>
        </row>
        <row r="11975">
          <cell r="A11975" t="str">
            <v>X33</v>
          </cell>
          <cell r="B11975" t="str">
            <v>Víctima de rayo</v>
          </cell>
        </row>
        <row r="11976">
          <cell r="A11976" t="str">
            <v>X33.0</v>
          </cell>
          <cell r="B11976" t="str">
            <v>Víctima de rayo, en vivienda</v>
          </cell>
        </row>
        <row r="11977">
          <cell r="A11977" t="str">
            <v>X33.1</v>
          </cell>
          <cell r="B11977" t="str">
            <v>Víctima de rayo, en institución residencial</v>
          </cell>
        </row>
        <row r="11978">
          <cell r="A11978" t="str">
            <v>X33.2</v>
          </cell>
          <cell r="B11978" t="str">
            <v>Víctima de rayo, en escuelas, otras instituciones y áreas administrativas públicas</v>
          </cell>
        </row>
        <row r="11979">
          <cell r="A11979" t="str">
            <v>X33.3</v>
          </cell>
          <cell r="B11979" t="str">
            <v>Víctima de rayo, en áreas de deporte y atletismo</v>
          </cell>
        </row>
        <row r="11980">
          <cell r="A11980" t="str">
            <v>X33.4</v>
          </cell>
          <cell r="B11980" t="str">
            <v>Víctima de rayo, en calles y carreteras</v>
          </cell>
        </row>
        <row r="11981">
          <cell r="A11981" t="str">
            <v>X33.5</v>
          </cell>
          <cell r="B11981" t="str">
            <v>Víctima de rayo, en comercio y área de servicios</v>
          </cell>
        </row>
        <row r="11982">
          <cell r="A11982" t="str">
            <v>X33.6</v>
          </cell>
          <cell r="B11982" t="str">
            <v>Víctima de rayo, en área industrial y de la construcción</v>
          </cell>
        </row>
        <row r="11983">
          <cell r="A11983" t="str">
            <v>X33.7</v>
          </cell>
          <cell r="B11983" t="str">
            <v>Víctima de rayo, en granja</v>
          </cell>
        </row>
        <row r="11984">
          <cell r="A11984" t="str">
            <v>X33.8</v>
          </cell>
          <cell r="B11984" t="str">
            <v>Víctima de rayo, en otro lugar especificado</v>
          </cell>
        </row>
        <row r="11985">
          <cell r="A11985" t="str">
            <v>X33.9</v>
          </cell>
          <cell r="B11985" t="str">
            <v>Víctima de rayo, en lugar no especificado</v>
          </cell>
        </row>
        <row r="11986">
          <cell r="A11986" t="str">
            <v>X34</v>
          </cell>
          <cell r="B11986" t="str">
            <v>Víctima de terremoto</v>
          </cell>
        </row>
        <row r="11987">
          <cell r="A11987" t="str">
            <v>X34.0</v>
          </cell>
          <cell r="B11987" t="str">
            <v>Víctima de terremoto, en vivienda</v>
          </cell>
        </row>
        <row r="11988">
          <cell r="A11988" t="str">
            <v>X34.1</v>
          </cell>
          <cell r="B11988" t="str">
            <v>Víctima de terremoto, en institución residencial</v>
          </cell>
        </row>
        <row r="11989">
          <cell r="A11989" t="str">
            <v>X34.2</v>
          </cell>
          <cell r="B11989" t="str">
            <v>Víctima de terremoto, en escuelas, otras instituciones y áreas administrativas públicas</v>
          </cell>
        </row>
        <row r="11990">
          <cell r="A11990" t="str">
            <v>X34.3</v>
          </cell>
          <cell r="B11990" t="str">
            <v>Víctima de terremoto, en áreas de deporte y atletismo</v>
          </cell>
        </row>
        <row r="11991">
          <cell r="A11991" t="str">
            <v>X34.4</v>
          </cell>
          <cell r="B11991" t="str">
            <v>Víctima de terremoto, en calles y carreteras</v>
          </cell>
        </row>
        <row r="11992">
          <cell r="A11992" t="str">
            <v>X34.5</v>
          </cell>
          <cell r="B11992" t="str">
            <v>Víctima de terremoto, en comercio y área de servicios</v>
          </cell>
        </row>
        <row r="11993">
          <cell r="A11993" t="str">
            <v>X34.6</v>
          </cell>
          <cell r="B11993" t="str">
            <v>Víctima de terremoto, en área industrial y de la construcción</v>
          </cell>
        </row>
        <row r="11994">
          <cell r="A11994" t="str">
            <v>X34.7</v>
          </cell>
          <cell r="B11994" t="str">
            <v>Víctima de terremoto, en granja</v>
          </cell>
        </row>
        <row r="11995">
          <cell r="A11995" t="str">
            <v>X34.8</v>
          </cell>
          <cell r="B11995" t="str">
            <v>Víctima de terremoto, en otro lugar especificado</v>
          </cell>
        </row>
        <row r="11996">
          <cell r="A11996" t="str">
            <v>X34.9</v>
          </cell>
          <cell r="B11996" t="str">
            <v>Víctima de terremoto, en lugar no especificado</v>
          </cell>
        </row>
        <row r="11997">
          <cell r="A11997" t="str">
            <v>X35</v>
          </cell>
          <cell r="B11997" t="str">
            <v>Víctima de erupción volcánica</v>
          </cell>
        </row>
        <row r="11998">
          <cell r="A11998" t="str">
            <v>X35.0</v>
          </cell>
          <cell r="B11998" t="str">
            <v>Víctima de erupción volcánica, en vivienda</v>
          </cell>
        </row>
        <row r="11999">
          <cell r="A11999" t="str">
            <v>X35.1</v>
          </cell>
          <cell r="B11999" t="str">
            <v>Víctima de erupción volcánica, en institución residencial</v>
          </cell>
        </row>
        <row r="12000">
          <cell r="A12000" t="str">
            <v>X35.2</v>
          </cell>
          <cell r="B12000" t="str">
            <v>Víctima de erupción volcánica, en escuelas, otras instituciones y áreas administrativas públicas</v>
          </cell>
        </row>
        <row r="12001">
          <cell r="A12001" t="str">
            <v>X35.3</v>
          </cell>
          <cell r="B12001" t="str">
            <v>Víctima de erupción volcánica, en áreas de deporte y atletismo</v>
          </cell>
        </row>
        <row r="12002">
          <cell r="A12002" t="str">
            <v>X35.4</v>
          </cell>
          <cell r="B12002" t="str">
            <v>Víctima de erupción volcánica, en calles y carreteras</v>
          </cell>
        </row>
        <row r="12003">
          <cell r="A12003" t="str">
            <v>X35.5</v>
          </cell>
          <cell r="B12003" t="str">
            <v>Víctima de erupción volcánica, en comercio y área de servicios</v>
          </cell>
        </row>
        <row r="12004">
          <cell r="A12004" t="str">
            <v>X35.6</v>
          </cell>
          <cell r="B12004" t="str">
            <v>Víctima de erupción volcánica, en área industrial y de la construcción</v>
          </cell>
        </row>
        <row r="12005">
          <cell r="A12005" t="str">
            <v>X35.7</v>
          </cell>
          <cell r="B12005" t="str">
            <v>Víctima de erupción volcánica, en granja</v>
          </cell>
        </row>
        <row r="12006">
          <cell r="A12006" t="str">
            <v>X35.8</v>
          </cell>
          <cell r="B12006" t="str">
            <v>Víctima de erupción volcánica, en otro lugar especificado</v>
          </cell>
        </row>
        <row r="12007">
          <cell r="A12007" t="str">
            <v>X35.9</v>
          </cell>
          <cell r="B12007" t="str">
            <v>Víctima de erupción volcánica, en lugar no especificado</v>
          </cell>
        </row>
        <row r="12008">
          <cell r="A12008" t="str">
            <v>X36</v>
          </cell>
          <cell r="B12008" t="str">
            <v>Víctima de avalancha, derrumbe y otros movimientos de tierra</v>
          </cell>
        </row>
        <row r="12009">
          <cell r="A12009" t="str">
            <v>X36.0</v>
          </cell>
          <cell r="B12009" t="str">
            <v>Víctima de avalancha, derrumbe y otros movimientos de tierra, en vivienda</v>
          </cell>
        </row>
        <row r="12010">
          <cell r="A12010" t="str">
            <v>X36.1</v>
          </cell>
          <cell r="B12010" t="str">
            <v>Víctima de avalancha, derrumbe y otros movimientos de tierra, en institución residencial</v>
          </cell>
        </row>
        <row r="12011">
          <cell r="A12011" t="str">
            <v>X36.2</v>
          </cell>
          <cell r="B12011" t="str">
            <v>Víctima de avalancha, derrumbe y otros movimientos de tierra, en escuelas, otras instituciones y áreas administrativas públicas</v>
          </cell>
        </row>
        <row r="12012">
          <cell r="A12012" t="str">
            <v>X36.3</v>
          </cell>
          <cell r="B12012" t="str">
            <v>Víctima de avalancha, derrumbe y otros movimientos de tierra, en áreas de deporte y atletismo</v>
          </cell>
        </row>
        <row r="12013">
          <cell r="A12013" t="str">
            <v>X36.4</v>
          </cell>
          <cell r="B12013" t="str">
            <v>Víctima de avalancha, derrumbe y otros movimientos de tierra, en calles y carreteras</v>
          </cell>
        </row>
        <row r="12014">
          <cell r="A12014" t="str">
            <v>X36.5</v>
          </cell>
          <cell r="B12014" t="str">
            <v>Víctima de avalancha, derrumbe y otros movimientos de tierra, en comercio y área de servicios</v>
          </cell>
        </row>
        <row r="12015">
          <cell r="A12015" t="str">
            <v>X36.6</v>
          </cell>
          <cell r="B12015" t="str">
            <v>Víctima de avalancha, derrumbe y otros movimientos de tierra, en área industrial y de la construcción</v>
          </cell>
        </row>
        <row r="12016">
          <cell r="A12016" t="str">
            <v>X36.7</v>
          </cell>
          <cell r="B12016" t="str">
            <v>Víctima de avalancha, derrumbe y otros movimientos de tierra, en granja</v>
          </cell>
        </row>
        <row r="12017">
          <cell r="A12017" t="str">
            <v>X36.8</v>
          </cell>
          <cell r="B12017" t="str">
            <v>Víctima de avalancha, derrumbe y otros movimientos de tierra, en otro lugar especificado</v>
          </cell>
        </row>
        <row r="12018">
          <cell r="A12018" t="str">
            <v>X36.9</v>
          </cell>
          <cell r="B12018" t="str">
            <v>Víctima de avalancha, derrumbe y otros movimientos de tierra, en lugar no especificado</v>
          </cell>
        </row>
        <row r="12019">
          <cell r="A12019" t="str">
            <v>X37</v>
          </cell>
          <cell r="B12019" t="str">
            <v>Víctima de tormenta cataclísmica</v>
          </cell>
        </row>
        <row r="12020">
          <cell r="A12020" t="str">
            <v>X37.0</v>
          </cell>
          <cell r="B12020" t="str">
            <v>Víctima de tormenta cataclísmica, en vivienda</v>
          </cell>
        </row>
        <row r="12021">
          <cell r="A12021" t="str">
            <v>X37.1</v>
          </cell>
          <cell r="B12021" t="str">
            <v>Víctima de tormenta cataclísmica, en institución residencial</v>
          </cell>
        </row>
        <row r="12022">
          <cell r="A12022" t="str">
            <v>X37.2</v>
          </cell>
          <cell r="B12022" t="str">
            <v>Víctima de tormenta cataclísmica, en escuelas, otras instituciones y áreas administrativas públicas</v>
          </cell>
        </row>
        <row r="12023">
          <cell r="A12023" t="str">
            <v>X37.3</v>
          </cell>
          <cell r="B12023" t="str">
            <v>Víctima de tormenta cataclísmica, en áreas de deporte y atletismo</v>
          </cell>
        </row>
        <row r="12024">
          <cell r="A12024" t="str">
            <v>X37.4</v>
          </cell>
          <cell r="B12024" t="str">
            <v>Víctima de tormenta cataclísmica, en calles y carreteras</v>
          </cell>
        </row>
        <row r="12025">
          <cell r="A12025" t="str">
            <v>X37.5</v>
          </cell>
          <cell r="B12025" t="str">
            <v>Víctima de tormenta cataclísmica, en comercio y área de servicios</v>
          </cell>
        </row>
        <row r="12026">
          <cell r="A12026" t="str">
            <v>X37.6</v>
          </cell>
          <cell r="B12026" t="str">
            <v>Víctima de tormenta cataclísmica, en área industrial y de la construcción</v>
          </cell>
        </row>
        <row r="12027">
          <cell r="A12027" t="str">
            <v>X37.7</v>
          </cell>
          <cell r="B12027" t="str">
            <v>Víctima de tormenta cataclísmica, en granja</v>
          </cell>
        </row>
        <row r="12028">
          <cell r="A12028" t="str">
            <v>X37.8</v>
          </cell>
          <cell r="B12028" t="str">
            <v>Víctima de tormenta cataclísmica, en otro lugar especificado</v>
          </cell>
        </row>
        <row r="12029">
          <cell r="A12029" t="str">
            <v>X37.9</v>
          </cell>
          <cell r="B12029" t="str">
            <v>Víctima de tormenta cataclísmica, en lugar no especificado</v>
          </cell>
        </row>
        <row r="12030">
          <cell r="A12030" t="str">
            <v>X38</v>
          </cell>
          <cell r="B12030" t="str">
            <v>Víctima de inundación</v>
          </cell>
        </row>
        <row r="12031">
          <cell r="A12031" t="str">
            <v>X38.0</v>
          </cell>
          <cell r="B12031" t="str">
            <v>Víctima de inundación, en vivienda</v>
          </cell>
        </row>
        <row r="12032">
          <cell r="A12032" t="str">
            <v>X38.1</v>
          </cell>
          <cell r="B12032" t="str">
            <v>Víctima de inundación, en institución residencial</v>
          </cell>
        </row>
        <row r="12033">
          <cell r="A12033" t="str">
            <v>X38.2</v>
          </cell>
          <cell r="B12033" t="str">
            <v>Víctima de inundación, en escuelas, otras instituciones y áreas administrativas públicas</v>
          </cell>
        </row>
        <row r="12034">
          <cell r="A12034" t="str">
            <v>X38.3</v>
          </cell>
          <cell r="B12034" t="str">
            <v>Víctima de inundación, en áreas de deporte y atletismo</v>
          </cell>
        </row>
        <row r="12035">
          <cell r="A12035" t="str">
            <v>X38.4</v>
          </cell>
          <cell r="B12035" t="str">
            <v>Víctima de inundación, en calles y carreteras</v>
          </cell>
        </row>
        <row r="12036">
          <cell r="A12036" t="str">
            <v>X38.5</v>
          </cell>
          <cell r="B12036" t="str">
            <v>Víctima de inundación, en comercio y área de servicios</v>
          </cell>
        </row>
        <row r="12037">
          <cell r="A12037" t="str">
            <v>X38.6</v>
          </cell>
          <cell r="B12037" t="str">
            <v>Víctima de inundación, en área industrial y de la construcción</v>
          </cell>
        </row>
        <row r="12038">
          <cell r="A12038" t="str">
            <v>X38.7</v>
          </cell>
          <cell r="B12038" t="str">
            <v>Víctima de inundación, en granja</v>
          </cell>
        </row>
        <row r="12039">
          <cell r="A12039" t="str">
            <v>X38.8</v>
          </cell>
          <cell r="B12039" t="str">
            <v>Víctima de inundación, en otro lugar especificado</v>
          </cell>
        </row>
        <row r="12040">
          <cell r="A12040" t="str">
            <v>X38.9</v>
          </cell>
          <cell r="B12040" t="str">
            <v>Víctima de inundación, en lugar no especificado</v>
          </cell>
        </row>
        <row r="12041">
          <cell r="A12041" t="str">
            <v>X39</v>
          </cell>
          <cell r="B12041" t="str">
            <v>Exposición a otras fuerzas de la naturaleza, y las no especificadas</v>
          </cell>
        </row>
        <row r="12042">
          <cell r="A12042" t="str">
            <v>X39.0</v>
          </cell>
          <cell r="B12042" t="str">
            <v>Exposición a otras fuerzas de la naturaleza, y las no especificadas, en vivienda</v>
          </cell>
        </row>
        <row r="12043">
          <cell r="A12043" t="str">
            <v>X39.1</v>
          </cell>
          <cell r="B12043" t="str">
            <v>Exposición a otras fuerzas de la naturaleza, y las no especificadas, en institución residencial</v>
          </cell>
        </row>
        <row r="12044">
          <cell r="A12044" t="str">
            <v>X39.2</v>
          </cell>
          <cell r="B12044" t="str">
            <v>Exposición a otras fuerzas de la naturaleza, y las no especificadas, en escuelas, otras instituciones y áreas administrativas públicas</v>
          </cell>
        </row>
        <row r="12045">
          <cell r="A12045" t="str">
            <v>X39.3</v>
          </cell>
          <cell r="B12045" t="str">
            <v>Exposición a otras fuerzas de la naturaleza, y las no especificadas, en áreas de deporte y atletismo</v>
          </cell>
        </row>
        <row r="12046">
          <cell r="A12046" t="str">
            <v>X39.4</v>
          </cell>
          <cell r="B12046" t="str">
            <v>Exposición a otras fuerzas de la naturaleza, y las no especificadas, en calles y carreteras</v>
          </cell>
        </row>
        <row r="12047">
          <cell r="A12047" t="str">
            <v>X39.5</v>
          </cell>
          <cell r="B12047" t="str">
            <v>Exposición a otras fuerzas de la naturaleza, y las no especificadas, en comercio y área de servicios</v>
          </cell>
        </row>
        <row r="12048">
          <cell r="A12048" t="str">
            <v>X39.6</v>
          </cell>
          <cell r="B12048" t="str">
            <v>Exposición a otras fuerzas de la naturaleza, y las no especificadas, en área industrial y de la construcción</v>
          </cell>
        </row>
        <row r="12049">
          <cell r="A12049" t="str">
            <v>X39.7</v>
          </cell>
          <cell r="B12049" t="str">
            <v>Exposición a otras fuerzas de la naturaleza, y las no especificadas, en granja</v>
          </cell>
        </row>
        <row r="12050">
          <cell r="A12050" t="str">
            <v>X39.8</v>
          </cell>
          <cell r="B12050" t="str">
            <v>Exposición a otras fuerzas de la naturaleza, y las no especificadas, en otro lugar especificado</v>
          </cell>
        </row>
        <row r="12051">
          <cell r="A12051" t="str">
            <v>X39.9</v>
          </cell>
          <cell r="B12051" t="str">
            <v>Exposición a otras fuerzas de la naturaleza, y las no especificadas, en lugar no especificado</v>
          </cell>
        </row>
        <row r="12052">
          <cell r="A12052" t="str">
            <v>X40</v>
          </cell>
          <cell r="B12052" t="str">
            <v>Envenenamiento accidental por, y exposición a analgésicos no narcóticos, antipiréticos y antirreumáticos</v>
          </cell>
        </row>
        <row r="12053">
          <cell r="A12053" t="str">
            <v>X40.0</v>
          </cell>
          <cell r="B12053" t="str">
            <v>Envenenamiento accidental por, y exposición a analgésicos no narcóticos, antipiréticos y antirreumáticos, en vivienda</v>
          </cell>
        </row>
        <row r="12054">
          <cell r="A12054" t="str">
            <v>X40.1</v>
          </cell>
          <cell r="B12054" t="str">
            <v>Envenenamiento accidental por, y exposición a analgésicos no narcóticos, antipiréticos y antirreumáticos, en institución residencial</v>
          </cell>
        </row>
        <row r="12055">
          <cell r="A12055" t="str">
            <v>X40.2</v>
          </cell>
          <cell r="B12055" t="str">
            <v>Envenenamiento accidental por, y exposición a analgésicos no narcóticos, antipiréticos y antirreumáticos, en escuelas, otras instituciones y áreas administrativas públicas</v>
          </cell>
        </row>
        <row r="12056">
          <cell r="A12056" t="str">
            <v>X40.3</v>
          </cell>
          <cell r="B12056" t="str">
            <v>Envenenamiento accidental por, y exposición a analgésicos no narcóticos, antipiréticos y antirreumáticos, en áreas de deporte y atletismo</v>
          </cell>
        </row>
        <row r="12057">
          <cell r="A12057" t="str">
            <v>X40.4</v>
          </cell>
          <cell r="B12057" t="str">
            <v>Envenenamiento accidental por, y exposición a analgésicos no narcóticos, antipiréticos y antirreumáticos, en calles y carreteras</v>
          </cell>
        </row>
        <row r="12058">
          <cell r="A12058" t="str">
            <v>X40.5</v>
          </cell>
          <cell r="B12058" t="str">
            <v>Envenenamiento accidental por, y exposición a analgésicos no narcóticos, antipiréticos y antirreumáticos, en comercio y área de servicios</v>
          </cell>
        </row>
        <row r="12059">
          <cell r="A12059" t="str">
            <v>X40.6</v>
          </cell>
          <cell r="B12059" t="str">
            <v>Envenenamiento accidental por, y exposición a analgésicos no narcóticos, antipiréticos y antirreumáticos, en área industrial y de la construcción</v>
          </cell>
        </row>
        <row r="12060">
          <cell r="A12060" t="str">
            <v>X40.7</v>
          </cell>
          <cell r="B12060" t="str">
            <v>Envenenamiento accidental por, y exposición a analgésicos no narcóticos, antipiréticos y antirreumáticos, en granja</v>
          </cell>
        </row>
        <row r="12061">
          <cell r="A12061" t="str">
            <v>X40.8</v>
          </cell>
          <cell r="B12061" t="str">
            <v>Envenenamiento accidental por, y exposición a analgésicos no narcóticos, antipiréticos y antirreumáticos, en otro lugar especificado</v>
          </cell>
        </row>
        <row r="12062">
          <cell r="A12062" t="str">
            <v>X40.9</v>
          </cell>
          <cell r="B12062" t="str">
            <v>Envenenamiento accidental por, y exposición a analgésicos no narcóticos, antipiréticos y antirreumáticos, en lugar no especificado</v>
          </cell>
        </row>
        <row r="12063">
          <cell r="A12063" t="str">
            <v>X41</v>
          </cell>
          <cell r="B12063" t="str">
            <v>Envenenamiento accidental por, y exposición a drogas antiepilépticas, sedantes, hipnóticas, antiparkinsonianas y psicotrópicas, no clasificadas en otra parte</v>
          </cell>
        </row>
        <row r="12064">
          <cell r="A12064" t="str">
            <v>X41.0</v>
          </cell>
          <cell r="B12064" t="str">
            <v>Envenenamiento accidental por, y exposición a drogas antiepilépticas, sedantes, hipnóticas, antiparkinsonianas y psicotrópicas, no clasificadas en otra parte, envivienda</v>
          </cell>
        </row>
        <row r="12065">
          <cell r="A12065" t="str">
            <v>X41.1</v>
          </cell>
          <cell r="B12065" t="str">
            <v>Envenenamiento accidental por, y exposición a drogas antiepilépticas, sedantes, hipnóticas, antiparkinsonianas y psicotrópicas, no clasificadas en otra parte, eninstitución residencial</v>
          </cell>
        </row>
        <row r="12066">
          <cell r="A12066" t="str">
            <v>X41.2</v>
          </cell>
          <cell r="B12066" t="str">
            <v>Envenenamiento accidental por, y exposición a drogas antiepilépticas, sedantes, hipnóticas, antiparkinsonianas y psicotrópicas, no clasificadas en otra parte, enescuelas, otras instituciones y áreas a</v>
          </cell>
        </row>
        <row r="12067">
          <cell r="A12067" t="str">
            <v>X41.3</v>
          </cell>
          <cell r="B12067" t="str">
            <v>Envenenamiento accidental por, y exposición a drogas antiepilépticas, sedantes, hipnóticas, antiparkinsonianas y psicotrópicas, no clasificadas en otra parte, en áreas de deporte y atletismo</v>
          </cell>
        </row>
        <row r="12068">
          <cell r="A12068" t="str">
            <v>X41.4</v>
          </cell>
          <cell r="B12068" t="str">
            <v>Envenenamiento accidental por, y exposición a drogas antiepilépticas, sedantes, hipnóticas, antiparkinsonianas y psicotrópicas, no clasificadas en otra parte, encalles y carreteras</v>
          </cell>
        </row>
        <row r="12069">
          <cell r="A12069" t="str">
            <v>X41.5</v>
          </cell>
          <cell r="B12069" t="str">
            <v>Envenenamiento accidental por, y exposición a drogas antiepilépticas, sedantes, hipnóticas, antiparkinsonianas y psicotrópicas, no clasificadas en otra parte, en comercio y área de servicios</v>
          </cell>
        </row>
        <row r="12070">
          <cell r="A12070" t="str">
            <v>X41.6</v>
          </cell>
          <cell r="B12070" t="str">
            <v>Envenenamiento accidental por, y exposición a drogas antiepilépticas, sedantes, hipnóticas, antiparkinsonianas y psicotrópicas, no clasificadas en otra parte, en área industrial y de la construcción</v>
          </cell>
        </row>
        <row r="12071">
          <cell r="A12071" t="str">
            <v>X41.7</v>
          </cell>
          <cell r="B12071" t="str">
            <v>Envenenamiento accidental por, y exposición a drogas antiepilépticas, sedantes, hipnóticas, antiparkinsonianas y psicotrópicas, no clasificadas en otra parte, en granja</v>
          </cell>
        </row>
        <row r="12072">
          <cell r="A12072" t="str">
            <v>X41.8</v>
          </cell>
          <cell r="B12072" t="str">
            <v>Envenenamiento accidental por, y exposición a drogas antiepilépticas, sedantes, hipnóticas, antiparkinsonianas y psicotrópicas, no clasificadas en otra parte, en otro lugar especificado</v>
          </cell>
        </row>
        <row r="12073">
          <cell r="A12073" t="str">
            <v>X41.9</v>
          </cell>
          <cell r="B12073" t="str">
            <v>Envenenamiento accidental por, y exposición a drogas antiepilépticas, sedantes, hipnóticas, antiparkinsonianas y psicotrópicas, no clasificadas en otra parte, en lugar no especificado</v>
          </cell>
        </row>
        <row r="12074">
          <cell r="A12074" t="str">
            <v>X42</v>
          </cell>
          <cell r="B12074" t="str">
            <v>Envenenamiento accidental por, y exposición a narcóticos y psicodislépticos [alucinógenos], no clasificados en otra parte</v>
          </cell>
        </row>
        <row r="12075">
          <cell r="A12075" t="str">
            <v>X42.0</v>
          </cell>
          <cell r="B12075" t="str">
            <v>Envenenamiento accidental por, y exposición a narcóticos y psicodislépticos [alucinógenos], no clasificados en otra parte, en vivienda</v>
          </cell>
        </row>
        <row r="12076">
          <cell r="A12076" t="str">
            <v>X42.1</v>
          </cell>
          <cell r="B12076" t="str">
            <v>Envenenamiento accidental por, y exposición a narcóticos y psicodislépticos [alucinógenos], no clasificados en otra parte, en institución residencial</v>
          </cell>
        </row>
        <row r="12077">
          <cell r="A12077" t="str">
            <v>X42.2</v>
          </cell>
          <cell r="B12077" t="str">
            <v>Envenenamiento accidental por, y exposición a narcóticos y psicodislépticos [alucinógenos], no clasificados en otra parte, en escuelas, otras instituciones y áreas administrativas públicas</v>
          </cell>
        </row>
        <row r="12078">
          <cell r="A12078" t="str">
            <v>X42.3</v>
          </cell>
          <cell r="B12078" t="str">
            <v>Envenenamiento accidental por, y exposición a narcóticos y psicodislépticos [alucinógenos], no clasificados en otra parte, en áreas de deporte y atletismo</v>
          </cell>
        </row>
        <row r="12079">
          <cell r="A12079" t="str">
            <v>X42.4</v>
          </cell>
          <cell r="B12079" t="str">
            <v>Envenenamiento accidental por, y exposición a narcóticos y psicodislépticos [alucinógenos], no clasificados en otra parte, en calles y carreteras</v>
          </cell>
        </row>
        <row r="12080">
          <cell r="A12080" t="str">
            <v>X42.5</v>
          </cell>
          <cell r="B12080" t="str">
            <v>Envenenamiento accidental por, y exposición a narcóticos y psicodislépticos [alucinógenos], no clasificados en otra parte, en comercio y área de servicios</v>
          </cell>
        </row>
        <row r="12081">
          <cell r="A12081" t="str">
            <v>X42.6</v>
          </cell>
          <cell r="B12081" t="str">
            <v>Envenenamiento accidental por, y exposición a narcóticos y psicodislépticos [alucinógenos], no clasificados en otra parte, en área industrial y de la construcción</v>
          </cell>
        </row>
        <row r="12082">
          <cell r="A12082" t="str">
            <v>X42.7</v>
          </cell>
          <cell r="B12082" t="str">
            <v>Envenenamiento accidental por, y exposición a narcóticos y psicodislépticos [alucinógenos], no clasificados en otra parte, en granja</v>
          </cell>
        </row>
        <row r="12083">
          <cell r="A12083" t="str">
            <v>X42.8</v>
          </cell>
          <cell r="B12083" t="str">
            <v>Envenenamiento accidental por, y exposición a narcóticos y psicodislépticos [alucinógenos], no clasificados en otra parte, en otro lugar especificado</v>
          </cell>
        </row>
        <row r="12084">
          <cell r="A12084" t="str">
            <v>X42.9</v>
          </cell>
          <cell r="B12084" t="str">
            <v>Envenenamiento accidental por, y exposición a narcóticos y psicodislépticos [alucinógenos], no clasificados en otra parte, en lugar no especificado</v>
          </cell>
        </row>
        <row r="12085">
          <cell r="A12085" t="str">
            <v>X43</v>
          </cell>
          <cell r="B12085" t="str">
            <v>Envenenamiento accidental por, y exposición a otras drogas que actúan sobre el sistema nervioso autónomo</v>
          </cell>
        </row>
        <row r="12086">
          <cell r="A12086" t="str">
            <v>X43.0</v>
          </cell>
          <cell r="B12086" t="str">
            <v>Envenenamiento accidental por, y exposición a otras drogas que actúan sobre el sistema nervioso autónomo, en vivienda</v>
          </cell>
        </row>
        <row r="12087">
          <cell r="A12087" t="str">
            <v>X43.1</v>
          </cell>
          <cell r="B12087" t="str">
            <v>Envenenamiento accidental por, y exposición a otras drogas que actúan sobre el sistema nervioso autónomo, en institución residencial</v>
          </cell>
        </row>
        <row r="12088">
          <cell r="A12088" t="str">
            <v>X43.2</v>
          </cell>
          <cell r="B12088" t="str">
            <v>Envenenamiento accidental por, y exposición a otras drogas que actúan sobre el sistema nervioso autónomo, en escuelas, otras instituciones y áreas administrativas públicas</v>
          </cell>
        </row>
        <row r="12089">
          <cell r="A12089" t="str">
            <v>X43.3</v>
          </cell>
          <cell r="B12089" t="str">
            <v>Envenenamiento accidental por, y exposición a otras drogas que actúan sobre el sistema nervioso autónomo, en áreas de deporte y atletismo</v>
          </cell>
        </row>
        <row r="12090">
          <cell r="A12090" t="str">
            <v>X43.4</v>
          </cell>
          <cell r="B12090" t="str">
            <v>Envenenamiento accidental por, y exposición a otras drogas que actúan sobre el sistema nervioso autónomo, en calles y carreteras</v>
          </cell>
        </row>
        <row r="12091">
          <cell r="A12091" t="str">
            <v>X43.5</v>
          </cell>
          <cell r="B12091" t="str">
            <v>Envenenamiento accidental por, y exposición a otras drogas que actúan sobre el sistema nervioso autónomo, en comercio y área de servicios</v>
          </cell>
        </row>
        <row r="12092">
          <cell r="A12092" t="str">
            <v>X43.6</v>
          </cell>
          <cell r="B12092" t="str">
            <v>Envenenamiento accidental por, y exposición a otras drogas que actúan sobre el sistema nervioso autónomo, en área industrial y de la construcción</v>
          </cell>
        </row>
        <row r="12093">
          <cell r="A12093" t="str">
            <v>X43.7</v>
          </cell>
          <cell r="B12093" t="str">
            <v>Envenenamiento accidental por, y exposición a otras drogas que actúan sobre el sistema nervioso autónomo, en granja</v>
          </cell>
        </row>
        <row r="12094">
          <cell r="A12094" t="str">
            <v>X43.8</v>
          </cell>
          <cell r="B12094" t="str">
            <v>Envenenamiento accidental por, y exposición a otras drogas que actúan sobre el sistema nervioso autónomo, en otro lugar especificado</v>
          </cell>
        </row>
        <row r="12095">
          <cell r="A12095" t="str">
            <v>X43.9</v>
          </cell>
          <cell r="B12095" t="str">
            <v>Envenenamiento accidental por, y exposición a otras drogas que actúan sobre el sistema nervioso autónomo, en lugar no especificado</v>
          </cell>
        </row>
        <row r="12096">
          <cell r="A12096" t="str">
            <v>X44</v>
          </cell>
          <cell r="B12096" t="str">
            <v>Envenenamiento accidental por, y exposición a otras drogas, medicamentos y sustancias biológicas, y los no especificados</v>
          </cell>
        </row>
        <row r="12097">
          <cell r="A12097" t="str">
            <v>X44.0</v>
          </cell>
          <cell r="B12097" t="str">
            <v>Envenenamiento accidental por, y exposición a otras drogas, medicamentos y sustancias biológicas, y los no especificados, en vivienda</v>
          </cell>
        </row>
        <row r="12098">
          <cell r="A12098" t="str">
            <v>X44.1</v>
          </cell>
          <cell r="B12098" t="str">
            <v>Envenenamiento accidental por, y exposición a otras drogas, medicamentos y sustancias biológicas, y los no especificados, en institución residencial</v>
          </cell>
        </row>
        <row r="12099">
          <cell r="A12099" t="str">
            <v>X44.2</v>
          </cell>
          <cell r="B12099" t="str">
            <v>Envenenamiento accidental por, y exposición a otras drogas, medicamentos y sustancias biológicas, y los no especificados, en escuelas, otras instituciones y áreas administrativas públicas</v>
          </cell>
        </row>
        <row r="12100">
          <cell r="A12100" t="str">
            <v>X44.3</v>
          </cell>
          <cell r="B12100" t="str">
            <v>Envenenamiento accidental por, y exposición a otras drogas, medicamentos y sustancias biológicas, y los no especificados, en áreas de deporte y atletismo</v>
          </cell>
        </row>
        <row r="12101">
          <cell r="A12101" t="str">
            <v>X44.4</v>
          </cell>
          <cell r="B12101" t="str">
            <v>Envenenamiento accidental por, y exposición a otras drogas, medicamentos y sustancias biológicas, y los no especificados, en calles y carreteras</v>
          </cell>
        </row>
        <row r="12102">
          <cell r="A12102" t="str">
            <v>X44.5</v>
          </cell>
          <cell r="B12102" t="str">
            <v>Envenenamiento accidental por, y exposición a otras drogas, medicamentos y sustancias biológicas, y los no especificados, en comercio y área de servicios</v>
          </cell>
        </row>
        <row r="12103">
          <cell r="A12103" t="str">
            <v>X44.6</v>
          </cell>
          <cell r="B12103" t="str">
            <v>Envenenamiento accidental por, y exposición a otras drogas, medicamentos y sustancias biológicas, y los no especificados, en área industrial y de la construcción</v>
          </cell>
        </row>
        <row r="12104">
          <cell r="A12104" t="str">
            <v>X44.7</v>
          </cell>
          <cell r="B12104" t="str">
            <v>Envenenamiento accidental por, y exposición a otras drogas, medicamentos y sustancias biológicas, y los no especificados, en granja</v>
          </cell>
        </row>
        <row r="12105">
          <cell r="A12105" t="str">
            <v>X44.8</v>
          </cell>
          <cell r="B12105" t="str">
            <v>Envenenamiento accidental por, y exposición a otras drogas, medicamentos y sustancias biológicas, y los no especificados, en otro lugar especificado</v>
          </cell>
        </row>
        <row r="12106">
          <cell r="A12106" t="str">
            <v>X44.9</v>
          </cell>
          <cell r="B12106" t="str">
            <v>Envenenamiento accidental por, y exposición a otras drogas, medicamentos y sustancias biológicas, y los no especificados, en lugar no especificado</v>
          </cell>
        </row>
        <row r="12107">
          <cell r="A12107" t="str">
            <v>X45</v>
          </cell>
          <cell r="B12107" t="str">
            <v>Envenenamiento accidental por, y exposición al alcohol</v>
          </cell>
        </row>
        <row r="12108">
          <cell r="A12108" t="str">
            <v>X45.0</v>
          </cell>
          <cell r="B12108" t="str">
            <v>Envenenamiento accidental por, y exposición al alcohol, en vivienda</v>
          </cell>
        </row>
        <row r="12109">
          <cell r="A12109" t="str">
            <v>X45.1</v>
          </cell>
          <cell r="B12109" t="str">
            <v>Envenenamiento accidental por, y exposición al alcohol, en institución residencial</v>
          </cell>
        </row>
        <row r="12110">
          <cell r="A12110" t="str">
            <v>X45.2</v>
          </cell>
          <cell r="B12110" t="str">
            <v>Envenenamiento accidental por, y exposición al alcohol, en escuelas, otras instituciones y áreas administrativas públicas</v>
          </cell>
        </row>
        <row r="12111">
          <cell r="A12111" t="str">
            <v>X45.3</v>
          </cell>
          <cell r="B12111" t="str">
            <v>Envenenamiento accidental por, y exposición al alcohol, en áreas de deporte y atletismo</v>
          </cell>
        </row>
        <row r="12112">
          <cell r="A12112" t="str">
            <v>X45.4</v>
          </cell>
          <cell r="B12112" t="str">
            <v>Envenenamiento accidental por, y exposición al alcohol, en calles y carreteras</v>
          </cell>
        </row>
        <row r="12113">
          <cell r="A12113" t="str">
            <v>X45.5</v>
          </cell>
          <cell r="B12113" t="str">
            <v>Envenenamiento accidental por, y exposición al alcohol, en comercio y área de servicios</v>
          </cell>
        </row>
        <row r="12114">
          <cell r="A12114" t="str">
            <v>X45.6</v>
          </cell>
          <cell r="B12114" t="str">
            <v>Envenenamiento accidental por, y exposición al alcohol, en área industrial y de la construcción</v>
          </cell>
        </row>
        <row r="12115">
          <cell r="A12115" t="str">
            <v>X45.7</v>
          </cell>
          <cell r="B12115" t="str">
            <v>Envenenamiento accidental por, y exposición al alcohol, en granja</v>
          </cell>
        </row>
        <row r="12116">
          <cell r="A12116" t="str">
            <v>X45.8</v>
          </cell>
          <cell r="B12116" t="str">
            <v>Envenenamiento accidental por, y exposición al alcohol, en otro lugar especificado</v>
          </cell>
        </row>
        <row r="12117">
          <cell r="A12117" t="str">
            <v>X45.9</v>
          </cell>
          <cell r="B12117" t="str">
            <v>Envenenamiento accidental por, y exposición al alcohol, en lugar no especificado</v>
          </cell>
        </row>
        <row r="12118">
          <cell r="A12118" t="str">
            <v>X46</v>
          </cell>
          <cell r="B12118" t="str">
            <v>Envenenamiento accidental por, y exposición a disolventes orgánicos e hidrocarburos halogenados y sus vapores</v>
          </cell>
        </row>
        <row r="12119">
          <cell r="A12119" t="str">
            <v>X46.0</v>
          </cell>
          <cell r="B12119" t="str">
            <v>Envenenamiento accidental por, y exposición a disolventes orgánicos e hidrocarburos halogenados y sus vapores, en vivienda</v>
          </cell>
        </row>
        <row r="12120">
          <cell r="A12120" t="str">
            <v>X46.1</v>
          </cell>
          <cell r="B12120" t="str">
            <v>Envenenamiento accidental por, y exposición a disolventes orgánicos e hidrocarburos halogenados y sus vapores, en institución residencial</v>
          </cell>
        </row>
        <row r="12121">
          <cell r="A12121" t="str">
            <v>X46.2</v>
          </cell>
          <cell r="B12121" t="str">
            <v>Envenenamiento accidental por, y exposición a disolventes orgánicos e hidrocarburos halogenados y sus vapores, en escuelas, otras instituciones y áreas administrativas públicas</v>
          </cell>
        </row>
        <row r="12122">
          <cell r="A12122" t="str">
            <v>X46.3</v>
          </cell>
          <cell r="B12122" t="str">
            <v>Envenenamiento accidental por, y exposición a disolventes orgánicos e hidrocarburos halogenados y sus vapores, en áreas de deporte y atletismo</v>
          </cell>
        </row>
        <row r="12123">
          <cell r="A12123" t="str">
            <v>X46.4</v>
          </cell>
          <cell r="B12123" t="str">
            <v>Envenenamiento accidental por, y exposición a disolventes orgánicos e hidrocarburos halogenados y sus vapores, en calles y carreteras</v>
          </cell>
        </row>
        <row r="12124">
          <cell r="A12124" t="str">
            <v>X46.5</v>
          </cell>
          <cell r="B12124" t="str">
            <v>Envenenamiento accidental por, y exposición a disolventes orgánicos e hidrocarburos halogenados y sus vapores, en comercio y área de servicios</v>
          </cell>
        </row>
        <row r="12125">
          <cell r="A12125" t="str">
            <v>X46.6</v>
          </cell>
          <cell r="B12125" t="str">
            <v>Envenenamiento accidental por, y exposición a disolventes orgánicos e hidrocarburos halogenados y sus vapores, en área industrial y de la construcción</v>
          </cell>
        </row>
        <row r="12126">
          <cell r="A12126" t="str">
            <v>X46.7</v>
          </cell>
          <cell r="B12126" t="str">
            <v>Envenenamiento accidental por, y exposición a disolventes orgánicos e hidrocarburos halogenados y sus vapores, en granja</v>
          </cell>
        </row>
        <row r="12127">
          <cell r="A12127" t="str">
            <v>X46.8</v>
          </cell>
          <cell r="B12127" t="str">
            <v>Envenenamiento accidental por, y exposición a disolventes orgánicos e hidrocarburos halogenados y sus vapores, en otro lugar especificado</v>
          </cell>
        </row>
        <row r="12128">
          <cell r="A12128" t="str">
            <v>X46.9</v>
          </cell>
          <cell r="B12128" t="str">
            <v>Envenenamiento accidental por, y exposición a disolventes orgánicos e hidrocarburos halogenados y sus vapores, en lugar no especificado</v>
          </cell>
        </row>
        <row r="12129">
          <cell r="A12129" t="str">
            <v>X47</v>
          </cell>
          <cell r="B12129" t="str">
            <v>Envenenamiento accidental por, y exposición a otros gases y vapores</v>
          </cell>
        </row>
        <row r="12130">
          <cell r="A12130" t="str">
            <v>X47.0</v>
          </cell>
          <cell r="B12130" t="str">
            <v>Envenenamiento accidental por, y exposición a otros gases y vapores, en vivienda</v>
          </cell>
        </row>
        <row r="12131">
          <cell r="A12131" t="str">
            <v>X47.1</v>
          </cell>
          <cell r="B12131" t="str">
            <v>Envenenamiento accidental por, y exposición a otros gases y vapores, en institución residencial</v>
          </cell>
        </row>
        <row r="12132">
          <cell r="A12132" t="str">
            <v>X47.2</v>
          </cell>
          <cell r="B12132" t="str">
            <v>Envenenamiento accidental por, y exposición a otros gases y vapores, en escuelas, otras instituciones y áreas administrativas públicas</v>
          </cell>
        </row>
        <row r="12133">
          <cell r="A12133" t="str">
            <v>X47.3</v>
          </cell>
          <cell r="B12133" t="str">
            <v>Envenenamiento accidental por, y exposición a otros gases y vapores, en áreas de deporte y atletismo</v>
          </cell>
        </row>
        <row r="12134">
          <cell r="A12134" t="str">
            <v>X47.4</v>
          </cell>
          <cell r="B12134" t="str">
            <v>Envenenamiento accidental por, y exposición a otros gases y vapores, en calles y carreteras</v>
          </cell>
        </row>
        <row r="12135">
          <cell r="A12135" t="str">
            <v>X47.5</v>
          </cell>
          <cell r="B12135" t="str">
            <v>Envenenamiento accidental por, y exposición a otros gases y vapores, en comercio y área de servicios</v>
          </cell>
        </row>
        <row r="12136">
          <cell r="A12136" t="str">
            <v>X47.6</v>
          </cell>
          <cell r="B12136" t="str">
            <v>Envenenamiento accidental por, y exposición a otros gases y vapores, en área industrial y de la construcción</v>
          </cell>
        </row>
        <row r="12137">
          <cell r="A12137" t="str">
            <v>X47.7</v>
          </cell>
          <cell r="B12137" t="str">
            <v>Envenenamiento accidental por, y exposición a otros gases y vapores, en granja</v>
          </cell>
        </row>
        <row r="12138">
          <cell r="A12138" t="str">
            <v>X47.8</v>
          </cell>
          <cell r="B12138" t="str">
            <v>Envenenamiento accidental por, y exposición a otros gases y vapores, en otro lugar especificado</v>
          </cell>
        </row>
        <row r="12139">
          <cell r="A12139" t="str">
            <v>X47.9</v>
          </cell>
          <cell r="B12139" t="str">
            <v>Envenenamiento accidental por, y exposición a otros gases y vapores, en lugar no especificado</v>
          </cell>
        </row>
        <row r="12140">
          <cell r="A12140" t="str">
            <v>X48</v>
          </cell>
          <cell r="B12140" t="str">
            <v>Envenenamiento accidental por, y exposición a plaguicidas</v>
          </cell>
        </row>
        <row r="12141">
          <cell r="A12141" t="str">
            <v>X48.0</v>
          </cell>
          <cell r="B12141" t="str">
            <v>Envenenamiento accidental por, y exposición a plaguicidas, en vivienda</v>
          </cell>
        </row>
        <row r="12142">
          <cell r="A12142" t="str">
            <v>X48.1</v>
          </cell>
          <cell r="B12142" t="str">
            <v>Envenenamiento accidental por, y exposición a plaguicidas, en institución residencial</v>
          </cell>
        </row>
        <row r="12143">
          <cell r="A12143" t="str">
            <v>X48.2</v>
          </cell>
          <cell r="B12143" t="str">
            <v>Envenenamiento accidental por, y exposición a plaguicidas, en escuelas, otras instituciones y áreas administrativas públicas</v>
          </cell>
        </row>
        <row r="12144">
          <cell r="A12144" t="str">
            <v>X48.3</v>
          </cell>
          <cell r="B12144" t="str">
            <v>Envenenamiento accidental por, y exposición a plaguicidas, en áreas de deporte y atletismo</v>
          </cell>
        </row>
        <row r="12145">
          <cell r="A12145" t="str">
            <v>X48.4</v>
          </cell>
          <cell r="B12145" t="str">
            <v>Envenenamiento accidental por, y exposición a plaguicidas, en calles y carreteras</v>
          </cell>
        </row>
        <row r="12146">
          <cell r="A12146" t="str">
            <v>X48.5</v>
          </cell>
          <cell r="B12146" t="str">
            <v>Envenenamiento accidental por, y exposición a plaguicidas, en comercio y área de servicios</v>
          </cell>
        </row>
        <row r="12147">
          <cell r="A12147" t="str">
            <v>X48.6</v>
          </cell>
          <cell r="B12147" t="str">
            <v>Envenenamiento accidental por, y exposición a plaguicidas, en área industrial y de la construcción</v>
          </cell>
        </row>
        <row r="12148">
          <cell r="A12148" t="str">
            <v>X48.7</v>
          </cell>
          <cell r="B12148" t="str">
            <v>Envenenamiento accidental por, y exposición a plaguicidas, en granja</v>
          </cell>
        </row>
        <row r="12149">
          <cell r="A12149" t="str">
            <v>X48.8</v>
          </cell>
          <cell r="B12149" t="str">
            <v>Envenenamiento accidental por, y exposición a plaguicidas, en otro lugar especificado</v>
          </cell>
        </row>
        <row r="12150">
          <cell r="A12150" t="str">
            <v>X48.9</v>
          </cell>
          <cell r="B12150" t="str">
            <v>Envenenamiento accidental por, y exposición a plaguicidas, en lugar no especificado</v>
          </cell>
        </row>
        <row r="12151">
          <cell r="A12151" t="str">
            <v>X49</v>
          </cell>
          <cell r="B12151" t="str">
            <v>Envenenamiento accidental por, y exposición a otros productos químicos y sustancias nocivas, y los no especificados</v>
          </cell>
        </row>
        <row r="12152">
          <cell r="A12152" t="str">
            <v>X49.0</v>
          </cell>
          <cell r="B12152" t="str">
            <v>Envenenamiento accidental por, y exposición a otros productos químicos y sustancias nocivas, y los no especificados, en vivienda</v>
          </cell>
        </row>
        <row r="12153">
          <cell r="A12153" t="str">
            <v>X49.1</v>
          </cell>
          <cell r="B12153" t="str">
            <v>Envenenamiento accidental por, y exposición a otros productos químicos y sustancias nocivas, y los no especificados, en institución residencial</v>
          </cell>
        </row>
        <row r="12154">
          <cell r="A12154" t="str">
            <v>X49.2</v>
          </cell>
          <cell r="B12154" t="str">
            <v>Envenenamiento accidental por, y exposición a otros productos químicos y sustancias nocivas, y los no especificados, en escuelas, otras instituciones y áreas administrativas públicas</v>
          </cell>
        </row>
        <row r="12155">
          <cell r="A12155" t="str">
            <v>X49.3</v>
          </cell>
          <cell r="B12155" t="str">
            <v>Envenenamiento accidental por, y exposición a otros productos químicos y sustancias nocivas, y los no especificados, en áreas de deporte y atletismo</v>
          </cell>
        </row>
        <row r="12156">
          <cell r="A12156" t="str">
            <v>X49.4</v>
          </cell>
          <cell r="B12156" t="str">
            <v>Envenenamiento accidental por, y exposición a otros productos químicos y sustancias nocivas, y los no especificados, en calles y carreteras</v>
          </cell>
        </row>
        <row r="12157">
          <cell r="A12157" t="str">
            <v>X49.5</v>
          </cell>
          <cell r="B12157" t="str">
            <v>Envenenamiento accidental por, y exposición a otros productos químicos y sustancias nocivas, y los no especificados, en comercio y área de servicios</v>
          </cell>
        </row>
        <row r="12158">
          <cell r="A12158" t="str">
            <v>X49.6</v>
          </cell>
          <cell r="B12158" t="str">
            <v>Envenenamiento accidental por, y exposición a otros productos químicos y sustancias nocivas, y los no especificados, en área industrial y de la construcción</v>
          </cell>
        </row>
        <row r="12159">
          <cell r="A12159" t="str">
            <v>X49.7</v>
          </cell>
          <cell r="B12159" t="str">
            <v>Envenenamiento accidental por, y exposición a otros productos químicos y sustancias nocivas, y los no especificados, en granja</v>
          </cell>
        </row>
        <row r="12160">
          <cell r="A12160" t="str">
            <v>X49.8</v>
          </cell>
          <cell r="B12160" t="str">
            <v>Envenenamiento accidental por, y exposición a otros productos químicos y sustancias nocivas, y los no especificados, en otro lugar especificado</v>
          </cell>
        </row>
        <row r="12161">
          <cell r="A12161" t="str">
            <v>X49.9</v>
          </cell>
          <cell r="B12161" t="str">
            <v>Envenenamiento accidental por, y exposición a otros productos químicos y sustancias nocivas, y los no especificados, en lugar no especificado</v>
          </cell>
        </row>
        <row r="12162">
          <cell r="A12162" t="str">
            <v>X50</v>
          </cell>
          <cell r="B12162" t="str">
            <v>Exceso de esfuerzo y movimientos extenuantes y repetitivos</v>
          </cell>
        </row>
        <row r="12163">
          <cell r="A12163" t="str">
            <v>X50.0</v>
          </cell>
          <cell r="B12163" t="str">
            <v>Exceso de esfuerzo y movimientos extenuantes y repetitivos, en vivienda</v>
          </cell>
        </row>
        <row r="12164">
          <cell r="A12164" t="str">
            <v>X50.1</v>
          </cell>
          <cell r="B12164" t="str">
            <v>Exceso de esfuerzo y movimientos extenuantes y repetitivos, en institución residencial</v>
          </cell>
        </row>
        <row r="12165">
          <cell r="A12165" t="str">
            <v>X50.2</v>
          </cell>
          <cell r="B12165" t="str">
            <v>Exceso de esfuerzo y movimientos extenuantes y repetitivos, en escuelas, otras instituciones y áreas administrativas públicas</v>
          </cell>
        </row>
        <row r="12166">
          <cell r="A12166" t="str">
            <v>X50.3</v>
          </cell>
          <cell r="B12166" t="str">
            <v>Exceso de esfuerzo y movimientos extenuantes y repetitivos, en áreas de deporte y atletismo</v>
          </cell>
        </row>
        <row r="12167">
          <cell r="A12167" t="str">
            <v>X50.4</v>
          </cell>
          <cell r="B12167" t="str">
            <v>Exceso de esfuerzo y movimientos extenuantes y repetitivos, en calles y carreteras</v>
          </cell>
        </row>
        <row r="12168">
          <cell r="A12168" t="str">
            <v>X50.5</v>
          </cell>
          <cell r="B12168" t="str">
            <v>Exceso de esfuerzo y movimientos extenuantes y repetitivos, en comercio y área de servicios</v>
          </cell>
        </row>
        <row r="12169">
          <cell r="A12169" t="str">
            <v>X50.6</v>
          </cell>
          <cell r="B12169" t="str">
            <v>Exceso de esfuerzo y movimientos extenuantes y repetitivos, en área industrial y de la construcción</v>
          </cell>
        </row>
        <row r="12170">
          <cell r="A12170" t="str">
            <v>X50.7</v>
          </cell>
          <cell r="B12170" t="str">
            <v>Exceso de esfuerzo y movimientos extenuantes y repetitivos, en granja</v>
          </cell>
        </row>
        <row r="12171">
          <cell r="A12171" t="str">
            <v>X50.8</v>
          </cell>
          <cell r="B12171" t="str">
            <v>Exceso de esfuerzo y movimientos extenuantes y repetitivos, en otro lugar especificado</v>
          </cell>
        </row>
        <row r="12172">
          <cell r="A12172" t="str">
            <v>X50.9</v>
          </cell>
          <cell r="B12172" t="str">
            <v>Exceso de esfuerzo y movimientos extenuantes y repetitivos, en lugar no especificado</v>
          </cell>
        </row>
        <row r="12173">
          <cell r="A12173" t="str">
            <v>X51</v>
          </cell>
          <cell r="B12173" t="str">
            <v>Viajes y desplazamientos</v>
          </cell>
        </row>
        <row r="12174">
          <cell r="A12174" t="str">
            <v>X51.0</v>
          </cell>
          <cell r="B12174" t="str">
            <v>Viajes y desplazamientos, en vivienda</v>
          </cell>
        </row>
        <row r="12175">
          <cell r="A12175" t="str">
            <v>X51.1</v>
          </cell>
          <cell r="B12175" t="str">
            <v>Viajes y desplazamientos, en institución residencial</v>
          </cell>
        </row>
        <row r="12176">
          <cell r="A12176" t="str">
            <v>X51.2</v>
          </cell>
          <cell r="B12176" t="str">
            <v>Viajes y desplazamientos, en escuelas, otras instituciones y áreas administrativas públicas</v>
          </cell>
        </row>
        <row r="12177">
          <cell r="A12177" t="str">
            <v>X51.3</v>
          </cell>
          <cell r="B12177" t="str">
            <v>Viajes y desplazamientos, en áreas de deporte y atletismo</v>
          </cell>
        </row>
        <row r="12178">
          <cell r="A12178" t="str">
            <v>X51.4</v>
          </cell>
          <cell r="B12178" t="str">
            <v>Viajes y desplazamientos, en calles y carreteras</v>
          </cell>
        </row>
        <row r="12179">
          <cell r="A12179" t="str">
            <v>X51.5</v>
          </cell>
          <cell r="B12179" t="str">
            <v>Viajes y desplazamientos, en comercio y área de servicios</v>
          </cell>
        </row>
        <row r="12180">
          <cell r="A12180" t="str">
            <v>X51.6</v>
          </cell>
          <cell r="B12180" t="str">
            <v>Viajes y desplazamientos, en área industrial y de la construcción</v>
          </cell>
        </row>
        <row r="12181">
          <cell r="A12181" t="str">
            <v>X51.7</v>
          </cell>
          <cell r="B12181" t="str">
            <v>Viajes y desplazamientos, en granja</v>
          </cell>
        </row>
        <row r="12182">
          <cell r="A12182" t="str">
            <v>X51.8</v>
          </cell>
          <cell r="B12182" t="str">
            <v>Viajes y desplazamientos, en otro lugar especificado</v>
          </cell>
        </row>
        <row r="12183">
          <cell r="A12183" t="str">
            <v>X51.9</v>
          </cell>
          <cell r="B12183" t="str">
            <v>Viajes y desplazamientos, en lugar no especificado</v>
          </cell>
        </row>
        <row r="12184">
          <cell r="A12184" t="str">
            <v>X52</v>
          </cell>
          <cell r="B12184" t="str">
            <v>Permanencia prolongada en ambiente sin gravedad</v>
          </cell>
        </row>
        <row r="12185">
          <cell r="A12185" t="str">
            <v>X52.0</v>
          </cell>
          <cell r="B12185" t="str">
            <v>Permanencia prolongada en ambiente sin gravedad, en vivienda</v>
          </cell>
        </row>
        <row r="12186">
          <cell r="A12186" t="str">
            <v>X52.1</v>
          </cell>
          <cell r="B12186" t="str">
            <v>Permanencia prolongada en ambiente sin gravedad, en institución residencial</v>
          </cell>
        </row>
        <row r="12187">
          <cell r="A12187" t="str">
            <v>X52.2</v>
          </cell>
          <cell r="B12187" t="str">
            <v>Permanencia prolongada en ambiente sin gravedad, en escuelas, otras instituciones y áreas administrativas públicas</v>
          </cell>
        </row>
        <row r="12188">
          <cell r="A12188" t="str">
            <v>X52.3</v>
          </cell>
          <cell r="B12188" t="str">
            <v>Permanencia prolongada en ambiente sin gravedad, en áreas de deporte y atletismo</v>
          </cell>
        </row>
        <row r="12189">
          <cell r="A12189" t="str">
            <v>X52.4</v>
          </cell>
          <cell r="B12189" t="str">
            <v>Permanencia prolongada en ambiente sin gravedad, en calles y carreteras</v>
          </cell>
        </row>
        <row r="12190">
          <cell r="A12190" t="str">
            <v>X52.5</v>
          </cell>
          <cell r="B12190" t="str">
            <v>Permanencia prolongada en ambiente sin gravedad, en comercio y área de servicios</v>
          </cell>
        </row>
        <row r="12191">
          <cell r="A12191" t="str">
            <v>X52.6</v>
          </cell>
          <cell r="B12191" t="str">
            <v>Permanencia prolongada en ambiente sin gravedad, en área industrial y de la construcción</v>
          </cell>
        </row>
        <row r="12192">
          <cell r="A12192" t="str">
            <v>X52.7</v>
          </cell>
          <cell r="B12192" t="str">
            <v>Permanencia prolongada en ambiente sin gravedad, en granja</v>
          </cell>
        </row>
        <row r="12193">
          <cell r="A12193" t="str">
            <v>X52.8</v>
          </cell>
          <cell r="B12193" t="str">
            <v>Permanencia prolongada en ambiente sin gravedad, en otro lugar especificado</v>
          </cell>
        </row>
        <row r="12194">
          <cell r="A12194" t="str">
            <v>X52.9</v>
          </cell>
          <cell r="B12194" t="str">
            <v>Permanencia prolongada en ambiente sin gravedad, en lugar no especificado</v>
          </cell>
        </row>
        <row r="12195">
          <cell r="A12195" t="str">
            <v>X53</v>
          </cell>
          <cell r="B12195" t="str">
            <v>Privación de alimentos</v>
          </cell>
        </row>
        <row r="12196">
          <cell r="A12196" t="str">
            <v>X53.0</v>
          </cell>
          <cell r="B12196" t="str">
            <v>Privación de alimentos, en vivienda</v>
          </cell>
        </row>
        <row r="12197">
          <cell r="A12197" t="str">
            <v>X53.1</v>
          </cell>
          <cell r="B12197" t="str">
            <v>Privación de alimentos, en institución residencial</v>
          </cell>
        </row>
        <row r="12198">
          <cell r="A12198" t="str">
            <v>X53.2</v>
          </cell>
          <cell r="B12198" t="str">
            <v>Privación de alimentos, en escuelas, otras instituciones y áreas administrativas públicas</v>
          </cell>
        </row>
        <row r="12199">
          <cell r="A12199" t="str">
            <v>X53.3</v>
          </cell>
          <cell r="B12199" t="str">
            <v>Privación de alimentos, en áreas de deporte y atletismo</v>
          </cell>
        </row>
        <row r="12200">
          <cell r="A12200" t="str">
            <v>X53.4</v>
          </cell>
          <cell r="B12200" t="str">
            <v>Privación de alimentos, en calles y carreteras</v>
          </cell>
        </row>
        <row r="12201">
          <cell r="A12201" t="str">
            <v>X53.5</v>
          </cell>
          <cell r="B12201" t="str">
            <v>Privación de alimentos, en comercio y área de servicios</v>
          </cell>
        </row>
        <row r="12202">
          <cell r="A12202" t="str">
            <v>X53.6</v>
          </cell>
          <cell r="B12202" t="str">
            <v>Privación de alimentos, en área industrial y de la construcción</v>
          </cell>
        </row>
        <row r="12203">
          <cell r="A12203" t="str">
            <v>X53.7</v>
          </cell>
          <cell r="B12203" t="str">
            <v>Privación de alimentos, en granja</v>
          </cell>
        </row>
        <row r="12204">
          <cell r="A12204" t="str">
            <v>X53.8</v>
          </cell>
          <cell r="B12204" t="str">
            <v>Privación de alimentos, en lugar no especificado, en otro lugar especificado</v>
          </cell>
        </row>
        <row r="12205">
          <cell r="A12205" t="str">
            <v>X53.9</v>
          </cell>
          <cell r="B12205" t="str">
            <v>Privación de alimentos, en lugar no especificado</v>
          </cell>
        </row>
        <row r="12206">
          <cell r="A12206" t="str">
            <v>X54</v>
          </cell>
          <cell r="B12206" t="str">
            <v>Privación de agua</v>
          </cell>
        </row>
        <row r="12207">
          <cell r="A12207" t="str">
            <v>X54.0</v>
          </cell>
          <cell r="B12207" t="str">
            <v>Privación de agua, en vivienda</v>
          </cell>
        </row>
        <row r="12208">
          <cell r="A12208" t="str">
            <v>X54.1</v>
          </cell>
          <cell r="B12208" t="str">
            <v>Privación de agua, en institución residencial</v>
          </cell>
        </row>
        <row r="12209">
          <cell r="A12209" t="str">
            <v>X54.2</v>
          </cell>
          <cell r="B12209" t="str">
            <v>Privación de agua, en escuelas, otras instituciones y áreas administrativas públicas</v>
          </cell>
        </row>
        <row r="12210">
          <cell r="A12210" t="str">
            <v>X54.3</v>
          </cell>
          <cell r="B12210" t="str">
            <v>Privación de agua, en áreas de deporte y atletismo</v>
          </cell>
        </row>
        <row r="12211">
          <cell r="A12211" t="str">
            <v>X54.4</v>
          </cell>
          <cell r="B12211" t="str">
            <v>Privación de agua, en calles y carreteras</v>
          </cell>
        </row>
        <row r="12212">
          <cell r="A12212" t="str">
            <v>X54.5</v>
          </cell>
          <cell r="B12212" t="str">
            <v>Privación de agua, en comercio y área de servicios</v>
          </cell>
        </row>
        <row r="12213">
          <cell r="A12213" t="str">
            <v>X54.6</v>
          </cell>
          <cell r="B12213" t="str">
            <v>Privación de agua, en área industrial y de la construcción</v>
          </cell>
        </row>
        <row r="12214">
          <cell r="A12214" t="str">
            <v>X54.7</v>
          </cell>
          <cell r="B12214" t="str">
            <v>Privación de agua, en granja</v>
          </cell>
        </row>
        <row r="12215">
          <cell r="A12215" t="str">
            <v>X54.8</v>
          </cell>
          <cell r="B12215" t="str">
            <v>Privación de agua, en otro lugar especificado</v>
          </cell>
        </row>
        <row r="12216">
          <cell r="A12216" t="str">
            <v>X54.9</v>
          </cell>
          <cell r="B12216" t="str">
            <v>Privación de agua, en lugar no especificado</v>
          </cell>
        </row>
        <row r="12217">
          <cell r="A12217" t="str">
            <v>X57</v>
          </cell>
          <cell r="B12217" t="str">
            <v>Privación no especificada</v>
          </cell>
        </row>
        <row r="12218">
          <cell r="A12218" t="str">
            <v>X57.0</v>
          </cell>
          <cell r="B12218" t="str">
            <v>Privación no especificada, en vivienda</v>
          </cell>
        </row>
        <row r="12219">
          <cell r="A12219" t="str">
            <v>X57.1</v>
          </cell>
          <cell r="B12219" t="str">
            <v>Privación no especificada, en institución residencial</v>
          </cell>
        </row>
        <row r="12220">
          <cell r="A12220" t="str">
            <v>X57.2</v>
          </cell>
          <cell r="B12220" t="str">
            <v>Privación no especificada, en escuelas, otras instituciones y áreas administrativas públicas</v>
          </cell>
        </row>
        <row r="12221">
          <cell r="A12221" t="str">
            <v>X57.3</v>
          </cell>
          <cell r="B12221" t="str">
            <v>Privación no especificada, en áreas de deporte y atletismo</v>
          </cell>
        </row>
        <row r="12222">
          <cell r="A12222" t="str">
            <v>X57.4</v>
          </cell>
          <cell r="B12222" t="str">
            <v>Privación no especificada, en calles y carreteras</v>
          </cell>
        </row>
        <row r="12223">
          <cell r="A12223" t="str">
            <v>X57.5</v>
          </cell>
          <cell r="B12223" t="str">
            <v>Privación no especificada, en comercio y área de servicios</v>
          </cell>
        </row>
        <row r="12224">
          <cell r="A12224" t="str">
            <v>X57.6</v>
          </cell>
          <cell r="B12224" t="str">
            <v>Privación no especificada, en área industrial y de la construcción</v>
          </cell>
        </row>
        <row r="12225">
          <cell r="A12225" t="str">
            <v>X57.7</v>
          </cell>
          <cell r="B12225" t="str">
            <v>Privación no especificada, en granja</v>
          </cell>
        </row>
        <row r="12226">
          <cell r="A12226" t="str">
            <v>X57.8</v>
          </cell>
          <cell r="B12226" t="str">
            <v>Privación no especificada, en otro lugar especificado</v>
          </cell>
        </row>
        <row r="12227">
          <cell r="A12227" t="str">
            <v>X57.9</v>
          </cell>
          <cell r="B12227" t="str">
            <v>Privación no especificada, en lugar no especificado</v>
          </cell>
        </row>
        <row r="12228">
          <cell r="A12228" t="str">
            <v>X58</v>
          </cell>
          <cell r="B12228" t="str">
            <v>Exposición a otros factores especificados</v>
          </cell>
        </row>
        <row r="12229">
          <cell r="A12229" t="str">
            <v>X58.0</v>
          </cell>
          <cell r="B12229" t="str">
            <v>Exposición a otros factores especificados, en vivienda</v>
          </cell>
        </row>
        <row r="12230">
          <cell r="A12230" t="str">
            <v>X58.1</v>
          </cell>
          <cell r="B12230" t="str">
            <v>Exposición a otros factores especificados, en institución residencial</v>
          </cell>
        </row>
        <row r="12231">
          <cell r="A12231" t="str">
            <v>X58.2</v>
          </cell>
          <cell r="B12231" t="str">
            <v>Exposición a otros factores especificados, en escuelas, otras instituciones y áreas administrativas públicas</v>
          </cell>
        </row>
        <row r="12232">
          <cell r="A12232" t="str">
            <v>X58.3</v>
          </cell>
          <cell r="B12232" t="str">
            <v>Exposición a otros factores especificados, en áreas de deporte y atletismo</v>
          </cell>
        </row>
        <row r="12233">
          <cell r="A12233" t="str">
            <v>X58.4</v>
          </cell>
          <cell r="B12233" t="str">
            <v>Exposición a otros factores especificados, en calles y carreteras</v>
          </cell>
        </row>
        <row r="12234">
          <cell r="A12234" t="str">
            <v>X58.5</v>
          </cell>
          <cell r="B12234" t="str">
            <v>Exposición a otros factores especificados, en comercio y área de servicios</v>
          </cell>
        </row>
        <row r="12235">
          <cell r="A12235" t="str">
            <v>X58.6</v>
          </cell>
          <cell r="B12235" t="str">
            <v>Exposición a otros factores especificados, en área industrial y de la construcción</v>
          </cell>
        </row>
        <row r="12236">
          <cell r="A12236" t="str">
            <v>X58.7</v>
          </cell>
          <cell r="B12236" t="str">
            <v>Exposición a otros factores especificados, en granja</v>
          </cell>
        </row>
        <row r="12237">
          <cell r="A12237" t="str">
            <v>X58.8</v>
          </cell>
          <cell r="B12237" t="str">
            <v>Exposición a otros factores especificados, en otro lugar especificado</v>
          </cell>
        </row>
        <row r="12238">
          <cell r="A12238" t="str">
            <v>X58.9</v>
          </cell>
          <cell r="B12238" t="str">
            <v>Exposición a otros factores especificados, en lugar no especificado</v>
          </cell>
        </row>
        <row r="12239">
          <cell r="A12239" t="str">
            <v>X59</v>
          </cell>
          <cell r="B12239" t="str">
            <v>Exposición a factores no especificados</v>
          </cell>
        </row>
        <row r="12240">
          <cell r="A12240" t="str">
            <v>X59.0</v>
          </cell>
          <cell r="B12240" t="str">
            <v>Exposición a factores no especificados, en vivienda</v>
          </cell>
        </row>
        <row r="12241">
          <cell r="A12241" t="str">
            <v>X59.1</v>
          </cell>
          <cell r="B12241" t="str">
            <v>Exposición a factores no especificados, en institución residencial</v>
          </cell>
        </row>
        <row r="12242">
          <cell r="A12242" t="str">
            <v>X59.2</v>
          </cell>
          <cell r="B12242" t="str">
            <v>Exposición a factores no especificados, en escuelas, otras instituciones y áreas administrativas públicas</v>
          </cell>
        </row>
        <row r="12243">
          <cell r="A12243" t="str">
            <v>X59.3</v>
          </cell>
          <cell r="B12243" t="str">
            <v>Exposición a factores no especificados, en áreas de deporte y atletismo</v>
          </cell>
        </row>
        <row r="12244">
          <cell r="A12244" t="str">
            <v>X59.4</v>
          </cell>
          <cell r="B12244" t="str">
            <v>Exposición a factores no especificados, en calles y carreteras</v>
          </cell>
        </row>
        <row r="12245">
          <cell r="A12245" t="str">
            <v>X59.5</v>
          </cell>
          <cell r="B12245" t="str">
            <v>Exposición a factores no especificados, en comercio y área de servicios</v>
          </cell>
        </row>
        <row r="12246">
          <cell r="A12246" t="str">
            <v>X59.6</v>
          </cell>
          <cell r="B12246" t="str">
            <v>Exposición a factores no especificados, en área industrial y de la construcción</v>
          </cell>
        </row>
        <row r="12247">
          <cell r="A12247" t="str">
            <v>X59.7</v>
          </cell>
          <cell r="B12247" t="str">
            <v>Exposición a factores no especificados, en granja</v>
          </cell>
        </row>
        <row r="12248">
          <cell r="A12248" t="str">
            <v>X59.8</v>
          </cell>
          <cell r="B12248" t="str">
            <v>Exposición a factores no especificados, en otro lugar especificado</v>
          </cell>
        </row>
        <row r="12249">
          <cell r="A12249" t="str">
            <v>X59.9</v>
          </cell>
          <cell r="B12249" t="str">
            <v>Exposición a factores no especificados, en lugar no especificado</v>
          </cell>
        </row>
        <row r="12250">
          <cell r="A12250" t="str">
            <v>X60</v>
          </cell>
          <cell r="B12250" t="str">
            <v>Envenenamiento autoinfligido intencionalmente por, y exposición a analgésicos no narcóticos, antipiréticos y antirreumáticos</v>
          </cell>
        </row>
        <row r="12251">
          <cell r="A12251" t="str">
            <v>X60.0</v>
          </cell>
          <cell r="B12251" t="str">
            <v>Envenenamiento autoinfligido intencionalmente por, y exposición a analgésicos no narcóticos, antipiréticos y antirreumáticos, en vivienda</v>
          </cell>
        </row>
        <row r="12252">
          <cell r="A12252" t="str">
            <v>X60.1</v>
          </cell>
          <cell r="B12252" t="str">
            <v>Envenenamiento autoinfligido intencionalmente por, y exposición a analgésicos no narcóticos, antipiréticos y antirreumáticos, en institución residencial</v>
          </cell>
        </row>
        <row r="12253">
          <cell r="A12253" t="str">
            <v>X60.2</v>
          </cell>
          <cell r="B12253" t="str">
            <v>Envenenamiento autoinfligido intencionalmente por, y exposición a analgésicos no narcóticos, antipiréticos y antirreumáticos, en escuelas, otras instituciones y áreas administrativas públicas</v>
          </cell>
        </row>
        <row r="12254">
          <cell r="A12254" t="str">
            <v>X60.3</v>
          </cell>
          <cell r="B12254" t="str">
            <v>Envenenamiento autoinfligido intencionalmente por, y exposición a analgésicos no narcóticos, antipiréticos y antirreumáticos, en áreas de deporte y atletismo</v>
          </cell>
        </row>
        <row r="12255">
          <cell r="A12255" t="str">
            <v>X60.4</v>
          </cell>
          <cell r="B12255" t="str">
            <v>Envenenamiento autoinfligido intencionalmente por, y exposición a analgésicos no narcóticos, antipiréticos y antirreumáticos, en calles y carreteras</v>
          </cell>
        </row>
        <row r="12256">
          <cell r="A12256" t="str">
            <v>X60.5</v>
          </cell>
          <cell r="B12256" t="str">
            <v>Envenenamiento autoinfligido intencionalmente por, y exposición a analgésicos no narcóticos, antipiréticos y antirreumáticos, en comercio y área de servicios</v>
          </cell>
        </row>
        <row r="12257">
          <cell r="A12257" t="str">
            <v>X60.6</v>
          </cell>
          <cell r="B12257" t="str">
            <v>Envenenamiento autoinfligido intencionalmente por, y exposición a analgésicos no narcóticos, antipiréticos y antirreumáticos, en área industrial y de la construcción</v>
          </cell>
        </row>
        <row r="12258">
          <cell r="A12258" t="str">
            <v>X60.7</v>
          </cell>
          <cell r="B12258" t="str">
            <v>Envenenamiento autoinfligido intencionalmente por, y exposición a analgésicos no narcóticos, antipiréticos y antirreumáticos, en granja</v>
          </cell>
        </row>
        <row r="12259">
          <cell r="A12259" t="str">
            <v>X60.8</v>
          </cell>
          <cell r="B12259" t="str">
            <v>Envenenamiento autoinfligido intencionalmente por, y exposición a analgésicos no narcóticos, antipiréticos y antirreumáticos, en otro lugar especificado</v>
          </cell>
        </row>
        <row r="12260">
          <cell r="A12260" t="str">
            <v>X60.9</v>
          </cell>
          <cell r="B12260" t="str">
            <v>Envenenamiento autoinfligido intencionalmente por, y exposición a analgésicos no narcóticos, antipiréticos y antirreumáticos, en lugar no especificado</v>
          </cell>
        </row>
        <row r="12261">
          <cell r="A12261" t="str">
            <v>X61</v>
          </cell>
          <cell r="B12261" t="str">
            <v>Envenenamiento autoinfligido intencionalmente por, y exposición a drogas antiepilépticas, sedantes, hipnóticas, antiparkinsonianas y psicotrópicas, no clasificadas en otra parte</v>
          </cell>
        </row>
        <row r="12262">
          <cell r="A12262" t="str">
            <v>X61.0</v>
          </cell>
          <cell r="B12262" t="str">
            <v>Envenenamiento autoinfligido intencionalmente por, y exposición a drogas antiepilépticas, sedantes, hipnóticas, antiparkinsonianas y psicotrópicas, no clasificadas en otra parte, en vivienda</v>
          </cell>
        </row>
        <row r="12263">
          <cell r="A12263" t="str">
            <v>X61.1</v>
          </cell>
          <cell r="B12263" t="str">
            <v>Envenenamiento autoinfligido intencionalmente por, y exposición a drogas antiepilépticas, sedantes, hipnóticas, antiparkinsonianas y psicotrópicas, no clasificadas en otra parte, en institución reside</v>
          </cell>
        </row>
        <row r="12264">
          <cell r="A12264" t="str">
            <v>X61.2</v>
          </cell>
          <cell r="B12264" t="str">
            <v>Envenenamiento autoinfligido intencionalmente por, y exposición a drogas antiepilépticas, sedantes, hipnóticas, antiparkinsonianas y psicotrópicas, no clasificadas en otra parte, en escuelas, otras in</v>
          </cell>
        </row>
        <row r="12265">
          <cell r="A12265" t="str">
            <v>X61.3</v>
          </cell>
          <cell r="B12265" t="str">
            <v>Envenenamiento autoinfligido intencionalmente por, y exposición a drogas antiepilépticas, sedantes, hipnóticas, antiparkinsonianas y psicotrópicas, no clasificadas en otra parte, en áreas de deporte y</v>
          </cell>
        </row>
        <row r="12266">
          <cell r="A12266" t="str">
            <v>X61.4</v>
          </cell>
          <cell r="B12266" t="str">
            <v>Envenenamiento autoinfligido intencionalmente por, y exposición a drogas antiepilépticas, sedantes, hipnóticas, antiparkinsonianas y psicotrópicas, no clasificadas en otra parte, en calles y carretera</v>
          </cell>
        </row>
        <row r="12267">
          <cell r="A12267" t="str">
            <v>X61.5</v>
          </cell>
          <cell r="B12267" t="str">
            <v>Envenenamiento autoinfligido intencionalmente por, y exposición a drogas antiepilépticas, sedantes, hipnóticas, antiparkinsonianas y psicotrópicas, no clasificadas en otra parte, en comercio y área de</v>
          </cell>
        </row>
        <row r="12268">
          <cell r="A12268" t="str">
            <v>X61.6</v>
          </cell>
          <cell r="B12268" t="str">
            <v>Envenenamiento autoinfligido intencionalmente por, y exposición a drogas antiepilépticas, sedantes, hipnóticas, antiparkinsonianas y psicotrópicas, no clasificadas en otra parte, en área industrial y</v>
          </cell>
        </row>
        <row r="12269">
          <cell r="A12269" t="str">
            <v>X61.7</v>
          </cell>
          <cell r="B12269" t="str">
            <v>Envenenamiento autoinfligido intencionalmente por, y exposición a drogas antiepilépticas, sedantes, hipnóticas, antiparkinsonianas y psicotrópicas, no clasificadas en otra parte, en granja</v>
          </cell>
        </row>
        <row r="12270">
          <cell r="A12270" t="str">
            <v>X61.8</v>
          </cell>
          <cell r="B12270" t="str">
            <v>Envenenamiento autoinfligido intencionalmente por, y exposición a drogas antiepilépticas, sedantes, hipnóticas, antiparkinsonianas y psicotrópicas, no clasificadas en otra parte, en otro lugar especif</v>
          </cell>
        </row>
        <row r="12271">
          <cell r="A12271" t="str">
            <v>X61.9</v>
          </cell>
          <cell r="B12271" t="str">
            <v>Envenenamiento autoinfligido intencionalmente por, y exposición a drogas antiepilépticas, sedantes, hipnóticas, antiparkinsonianas y psicotrópicas, no clasificadas en otra parte, en lugar no especific</v>
          </cell>
        </row>
        <row r="12272">
          <cell r="A12272" t="str">
            <v>X62</v>
          </cell>
          <cell r="B12272" t="str">
            <v>Envenenamiento autoinfligido intencionalmente por, y exposición a narcóticos y psicodislépticos [alucinógenos], no clasificados en otra parte</v>
          </cell>
        </row>
        <row r="12273">
          <cell r="A12273" t="str">
            <v>X62.0</v>
          </cell>
          <cell r="B12273" t="str">
            <v>Envenenamiento autoinfligido intencionalmente por, y exposición a narcóticos y psicodislépticos [alucinógenos], no clasificados en otra parte, en vivienda</v>
          </cell>
        </row>
        <row r="12274">
          <cell r="A12274" t="str">
            <v>X62.1</v>
          </cell>
          <cell r="B12274" t="str">
            <v>Envenenamiento autoinfligido intencionalmente por, y exposición a narcóticos y psicodislépticos [alucinógenos], no clasificados en otra parte, en institución residencial</v>
          </cell>
        </row>
        <row r="12275">
          <cell r="A12275" t="str">
            <v>X62.2</v>
          </cell>
          <cell r="B12275" t="str">
            <v>Envenenamiento autoinfligido intencionalmente por, y exposición a narcóticos y psicodislépticos [alucinógenos], no clasificados en otra parte, en escuelas, otras instituciones y áreas administrativas</v>
          </cell>
        </row>
        <row r="12276">
          <cell r="A12276" t="str">
            <v>X62.3</v>
          </cell>
          <cell r="B12276" t="str">
            <v>Envenenamiento autoinfligido intencionalmente por, y exposición a narcóticos y psicodislépticos [alucinógenos], no clasificados en otra parte, en áreas de deporte y atletismo</v>
          </cell>
        </row>
        <row r="12277">
          <cell r="A12277" t="str">
            <v>X62.4</v>
          </cell>
          <cell r="B12277" t="str">
            <v>Envenenamiento autoinfligido intencionalmente por, y exposición a narcóticos y psicodislépticos [alucinógenos], no clasificados en otra parte, en calles y carreteras</v>
          </cell>
        </row>
        <row r="12278">
          <cell r="A12278" t="str">
            <v>X62.5</v>
          </cell>
          <cell r="B12278" t="str">
            <v>Envenenamiento autoinfligido intencionalmente por, y exposición a narcóticos y psicodislépticos [alucinógenos], no clasificados en otra parte, en comercio y área de servicios</v>
          </cell>
        </row>
        <row r="12279">
          <cell r="A12279" t="str">
            <v>X62.6</v>
          </cell>
          <cell r="B12279" t="str">
            <v>Envenenamiento autoinfligido intencionalmente por, y exposición a narcóticos y psicodislépticos [alucinógenos], no clasificados en otra parte, en área industrial y de la construcción</v>
          </cell>
        </row>
        <row r="12280">
          <cell r="A12280" t="str">
            <v>X62.7</v>
          </cell>
          <cell r="B12280" t="str">
            <v>Envenenamiento autoinfligido intencionalmente por, y exposición a narcóticos y psicodislépticos [alucinógenos], no clasificados en otra parte, en granja</v>
          </cell>
        </row>
        <row r="12281">
          <cell r="A12281" t="str">
            <v>X62.8</v>
          </cell>
          <cell r="B12281" t="str">
            <v>Envenenamiento autoinfligido intencionalmente por, y exposición a narcóticos y psicodislépticos [alucinógenos], no clasificados en otra parte, en otro lugar especificado</v>
          </cell>
        </row>
        <row r="12282">
          <cell r="A12282" t="str">
            <v>X62.9</v>
          </cell>
          <cell r="B12282" t="str">
            <v>Envenenamiento autoinfligido intencionalmente por, y exposición a narcóticos y psicodislépticos [alucinógenos], no clasificados en otra parte, en lugar no especificado</v>
          </cell>
        </row>
        <row r="12283">
          <cell r="A12283" t="str">
            <v>X63</v>
          </cell>
          <cell r="B12283" t="str">
            <v>Envenenamiento autoinfligido intencionalmente por, y exposición a otras drogas que actúan sobre el sistema nervioso autónomo</v>
          </cell>
        </row>
        <row r="12284">
          <cell r="A12284" t="str">
            <v>X63.0</v>
          </cell>
          <cell r="B12284" t="str">
            <v>Envenenamiento autoinfligido intencionalmente por, y exposición a otras drogas que actúan sobre el sistema nervioso autónomo, en vivienda</v>
          </cell>
        </row>
        <row r="12285">
          <cell r="A12285" t="str">
            <v>X63.1</v>
          </cell>
          <cell r="B12285" t="str">
            <v>Envenenamiento autoinfligido intencionalmente por, y exposición a otras drogas que actúan sobre el sistema nervioso autónomo, en institución residencial</v>
          </cell>
        </row>
        <row r="12286">
          <cell r="A12286" t="str">
            <v>X63.2</v>
          </cell>
          <cell r="B12286" t="str">
            <v>Envenenamiento autoinfligido intencionalmente por, y exposición a otras drogas que actúan sobre el sistema nervioso autónomo, en escuelas, otras instituciones y áreas administrativas públicas</v>
          </cell>
        </row>
        <row r="12287">
          <cell r="A12287" t="str">
            <v>X63.3</v>
          </cell>
          <cell r="B12287" t="str">
            <v>Envenenamiento autoinfligido intencionalmente por, y exposición a otras drogas que actúan sobre el sistema nervioso autónomo, en áreas de deporte y atletismo</v>
          </cell>
        </row>
        <row r="12288">
          <cell r="A12288" t="str">
            <v>X63.4</v>
          </cell>
          <cell r="B12288" t="str">
            <v>Envenenamiento autoinfligido intencionalmente por, y exposición a otras drogas que actúan sobre el sistema nervioso autónomo, en calles y carreteras</v>
          </cell>
        </row>
        <row r="12289">
          <cell r="A12289" t="str">
            <v>X63.5</v>
          </cell>
          <cell r="B12289" t="str">
            <v>Envenenamiento autoinfligido intencionalmente por, y exposición a otras drogas que actúan sobre el sistema nervioso autónomo, en comercio y área de servicios</v>
          </cell>
        </row>
        <row r="12290">
          <cell r="A12290" t="str">
            <v>X63.6</v>
          </cell>
          <cell r="B12290" t="str">
            <v>Envenenamiento autoinfligido intencionalmente por, y exposición a otras drogas que actúan sobre el sistema nervioso autónomo, en área industrial y de la construcción</v>
          </cell>
        </row>
        <row r="12291">
          <cell r="A12291" t="str">
            <v>X63.7</v>
          </cell>
          <cell r="B12291" t="str">
            <v>Envenenamiento autoinfligido intencionalmente por, y exposición a otras drogas que actúan sobre el sistema nervioso autónomo, en granja</v>
          </cell>
        </row>
        <row r="12292">
          <cell r="A12292" t="str">
            <v>X63.8</v>
          </cell>
          <cell r="B12292" t="str">
            <v>Envenenamiento autoinfligido intencionalmente por, y exposición a otras drogas que actúan sobre el sistema nervioso autónomo, en otro lugar especificado</v>
          </cell>
        </row>
        <row r="12293">
          <cell r="A12293" t="str">
            <v>X63.9</v>
          </cell>
          <cell r="B12293" t="str">
            <v>Envenenamiento autoinfligido intencionalmente por, y exposición a otras drogas que actúan sobre el sistema nervioso autónomo, en lugar no especificado</v>
          </cell>
        </row>
        <row r="12294">
          <cell r="A12294" t="str">
            <v>X64</v>
          </cell>
          <cell r="B12294" t="str">
            <v>Envenenamiento autoinfligido intencionalmente por, y exposición a otras drogas, medicamentos y sustancias biológicas, y los no especificados</v>
          </cell>
        </row>
        <row r="12295">
          <cell r="A12295" t="str">
            <v>X64.0</v>
          </cell>
          <cell r="B12295" t="str">
            <v>Envenenamiento autoinfligido intencionalmente por, y exposición a otras drogas, medicamentos y sustancias biológicas, y los no especificados, en vivienda</v>
          </cell>
        </row>
        <row r="12296">
          <cell r="A12296" t="str">
            <v>X64.1</v>
          </cell>
          <cell r="B12296" t="str">
            <v>Envenenamiento autoinfligido intencionalmente por, y exposición a otras drogas, medicamentos y sustancias biológicas, y los no especificados, en institución residencial</v>
          </cell>
        </row>
        <row r="12297">
          <cell r="A12297" t="str">
            <v>X64.2</v>
          </cell>
          <cell r="B12297" t="str">
            <v>Envenenamiento autoinfligido intencionalmente por, y exposición a otras drogas, medicamentos y sustancias biológicas, y los no especificados, en escuelas, otras instituciones y áreas administrativas p</v>
          </cell>
        </row>
        <row r="12298">
          <cell r="A12298" t="str">
            <v>X64.3</v>
          </cell>
          <cell r="B12298" t="str">
            <v>Envenenamiento autoinfligido intencionalmente por, y exposición a otras drogas, medicamentos y sustancias biológicas, y los no especificados, en áreas de deporte y atletismo</v>
          </cell>
        </row>
        <row r="12299">
          <cell r="A12299" t="str">
            <v>X64.4</v>
          </cell>
          <cell r="B12299" t="str">
            <v>Envenenamiento autoinfligido intencionalmente por, y exposición a otras drogas, medicamentos y sustancias biológicas, y los no especificados, en calles y carreteras</v>
          </cell>
        </row>
        <row r="12300">
          <cell r="A12300" t="str">
            <v>X64.5</v>
          </cell>
          <cell r="B12300" t="str">
            <v>Envenenamiento autoinfligido intencionalmente por, y exposición a otras drogas, medicamentos y sustancias biológicas, y los no especificados, en comercio y área de servicios</v>
          </cell>
        </row>
        <row r="12301">
          <cell r="A12301" t="str">
            <v>X64.6</v>
          </cell>
          <cell r="B12301" t="str">
            <v>Envenenamiento autoinfligido intencionalmente por, y exposición a otras drogas, medicamentos y sustancias biológicas, y los no especificados, en área industrial y de la construcción</v>
          </cell>
        </row>
        <row r="12302">
          <cell r="A12302" t="str">
            <v>X64.7</v>
          </cell>
          <cell r="B12302" t="str">
            <v>Envenenamiento autoinfligido intencionalmente por, y exposición a otras drogas, medicamentos y sustancias biológicas, y los no especificados, en granja</v>
          </cell>
        </row>
        <row r="12303">
          <cell r="A12303" t="str">
            <v>X64.8</v>
          </cell>
          <cell r="B12303" t="str">
            <v>Envenenamiento autoinfligido intencionalmente por, y exposición a otras drogas, medicamentos y sustancias biológicas, y los no especificados, en otro lugar especificado</v>
          </cell>
        </row>
        <row r="12304">
          <cell r="A12304" t="str">
            <v>X64.9</v>
          </cell>
          <cell r="B12304" t="str">
            <v>Envenenamiento autoinfligido intencionalmente por, y exposición a otras drogas, medicamentos y sustancias biológicas, y los no especificados, en lugar no especificado</v>
          </cell>
        </row>
        <row r="12305">
          <cell r="A12305" t="str">
            <v>X65</v>
          </cell>
          <cell r="B12305" t="str">
            <v>Envenenamiento autoinfligido intencionalmente por, y exposición al alcohol</v>
          </cell>
        </row>
        <row r="12306">
          <cell r="A12306" t="str">
            <v>X65.0</v>
          </cell>
          <cell r="B12306" t="str">
            <v>Envenenamiento autoinfligido intencionalmente por, y exposición al alcohol, en vivienda</v>
          </cell>
        </row>
        <row r="12307">
          <cell r="A12307" t="str">
            <v>X65.1</v>
          </cell>
          <cell r="B12307" t="str">
            <v>Envenenamiento autoinfligido intencionalmente por, y exposición al alcohol, en institución residencial</v>
          </cell>
        </row>
        <row r="12308">
          <cell r="A12308" t="str">
            <v>X65.2</v>
          </cell>
          <cell r="B12308" t="str">
            <v>Envenenamiento autoinfligido intencionalmente por, y exposición al alcohol, en escuelas, otras instituciones y áreas administrativas públicas</v>
          </cell>
        </row>
        <row r="12309">
          <cell r="A12309" t="str">
            <v>X65.3</v>
          </cell>
          <cell r="B12309" t="str">
            <v>Envenenamiento autoinfligido intencionalmente por, y exposición al alcohol, en áreas de deporte y atletismo</v>
          </cell>
        </row>
        <row r="12310">
          <cell r="A12310" t="str">
            <v>X65.4</v>
          </cell>
          <cell r="B12310" t="str">
            <v>Envenenamiento autoinfligido intencionalmente por, y exposición al alcohol, en calles y carreteras</v>
          </cell>
        </row>
        <row r="12311">
          <cell r="A12311" t="str">
            <v>X65.5</v>
          </cell>
          <cell r="B12311" t="str">
            <v>Envenenamiento autoinfligido intencionalmente por, y exposición al alcohol, en comercio y área de servicios</v>
          </cell>
        </row>
        <row r="12312">
          <cell r="A12312" t="str">
            <v>X65.6</v>
          </cell>
          <cell r="B12312" t="str">
            <v>Envenenamiento autoinfligido intencionalmente por, y exposición al alcohol, en área industrial y de la construcción</v>
          </cell>
        </row>
        <row r="12313">
          <cell r="A12313" t="str">
            <v>X65.7</v>
          </cell>
          <cell r="B12313" t="str">
            <v>Envenenamiento autoinfligido intencionalmente por, y exposición al alcohol, en granja</v>
          </cell>
        </row>
        <row r="12314">
          <cell r="A12314" t="str">
            <v>X65.8</v>
          </cell>
          <cell r="B12314" t="str">
            <v>Envenenamiento autoinfligido intencionalmente por, y exposición al alcohol, en otro lugar especificado</v>
          </cell>
        </row>
        <row r="12315">
          <cell r="A12315" t="str">
            <v>X65.9</v>
          </cell>
          <cell r="B12315" t="str">
            <v>Envenenamiento autoinfligido intencionalmente por, y exposición al alcohol, en lugar no especificado</v>
          </cell>
        </row>
        <row r="12316">
          <cell r="A12316">
            <v>0</v>
          </cell>
          <cell r="B12316" t="str">
            <v>Envenenamiento autoinfligido intencionalmente por, y exposición a disolventes orgánicos e hidrocarburos halogenados y sus vapores</v>
          </cell>
        </row>
        <row r="12317">
          <cell r="A12317" t="str">
            <v>X66.0</v>
          </cell>
          <cell r="B12317" t="str">
            <v>Envenenamiento autoinfligido intencionalmente por, y exposición a disolventes orgánicos e hidrocarburos halogenados y sus vapores, en vivienda</v>
          </cell>
        </row>
        <row r="12318">
          <cell r="A12318" t="str">
            <v>X66.1</v>
          </cell>
          <cell r="B12318" t="str">
            <v>Envenenamiento autoinfligido intencionalmente por, y exposición a disolventes orgánicos e hidrocarburos halogenados y sus vapores, en institución residencial</v>
          </cell>
        </row>
        <row r="12319">
          <cell r="A12319" t="str">
            <v>X66.2</v>
          </cell>
          <cell r="B12319" t="str">
            <v>Envenenamiento autoinfligido intencionalmente por, y exposición a disolventes orgánicos e hidrocarburos halogenados y sus vapores, en escuelas, otras instituciones y áreas administrativas públicas</v>
          </cell>
        </row>
        <row r="12320">
          <cell r="A12320" t="str">
            <v>X66.3</v>
          </cell>
          <cell r="B12320" t="str">
            <v>Envenenamiento autoinfligido intencionalmente por, y exposición a disolventes orgánicos e hidrocarburos halogenados y sus vapores, en áreas de deporte y atletismo</v>
          </cell>
        </row>
        <row r="12321">
          <cell r="A12321" t="str">
            <v>X66.4</v>
          </cell>
          <cell r="B12321" t="str">
            <v>Envenenamiento autoinfligido intencionalmente por, y exposición a disolventes orgánicos e hidrocarburos halogenados y sus vapores, en calles y carreteras</v>
          </cell>
        </row>
        <row r="12322">
          <cell r="A12322" t="str">
            <v>X66.5</v>
          </cell>
          <cell r="B12322" t="str">
            <v>Envenenamiento autoinfligido intencionalmente por, y exposición a disolventes orgánicos e hidrocarburos halogenados y sus vapores, en comercio y área de servicios</v>
          </cell>
        </row>
        <row r="12323">
          <cell r="A12323" t="str">
            <v>X66.6</v>
          </cell>
          <cell r="B12323" t="str">
            <v>Envenenamiento autoinfligido intencionalmente por, y exposición a disolventes orgánicos e hidrocarburos halogenados y sus vapores, en área industrial y de la construcción</v>
          </cell>
        </row>
        <row r="12324">
          <cell r="A12324" t="str">
            <v>X66.7</v>
          </cell>
          <cell r="B12324" t="str">
            <v>Envenenamiento autoinfligido intencionalmente por, y exposición a disolventes orgánicos e hidrocarburos halogenados y sus vapores, en granja</v>
          </cell>
        </row>
        <row r="12325">
          <cell r="A12325" t="str">
            <v>X66.8</v>
          </cell>
          <cell r="B12325" t="str">
            <v>Envenenamiento autoinfligido intencionalmente por, y exposición a disolventes orgánicos e hidrocarburos halogenados y sus vapores, en otro lugar especificado</v>
          </cell>
        </row>
        <row r="12326">
          <cell r="A12326" t="str">
            <v>X66.9</v>
          </cell>
          <cell r="B12326" t="str">
            <v>Envenenamiento autoinfligido intencionalmente por, y exposición a disolventes orgánicos e hidrocarburos halogenados y sus vapores, en lugar no especificado</v>
          </cell>
        </row>
        <row r="12327">
          <cell r="A12327" t="str">
            <v>X67</v>
          </cell>
          <cell r="B12327" t="str">
            <v>Envenenamiento autoinfligido intencionalmente por, y exposición a otros gases y vapores</v>
          </cell>
        </row>
        <row r="12328">
          <cell r="A12328" t="str">
            <v>X67.0</v>
          </cell>
          <cell r="B12328" t="str">
            <v>Envenenamiento autoinfligido intencionalmente por, y exposición a otros gases y vapores, en vivienda</v>
          </cell>
        </row>
        <row r="12329">
          <cell r="A12329" t="str">
            <v>X67.1</v>
          </cell>
          <cell r="B12329" t="str">
            <v>Envenenamiento autoinfligido intencionalmente por, y exposición a otros gases y vapores, en institución residencial</v>
          </cell>
        </row>
        <row r="12330">
          <cell r="A12330" t="str">
            <v>X67.2</v>
          </cell>
          <cell r="B12330" t="str">
            <v>Envenenamiento autoinfligido intencionalmente por, y exposición a otros gases y vapores, en escuelas, otras instituciones y áreas administrativas públicas</v>
          </cell>
        </row>
        <row r="12331">
          <cell r="A12331" t="str">
            <v>X67.3</v>
          </cell>
          <cell r="B12331" t="str">
            <v>Envenenamiento autoinfligido intencionalmente por, y exposición a otros gases y vapores, en áreas de deporte y atletismo</v>
          </cell>
        </row>
        <row r="12332">
          <cell r="A12332" t="str">
            <v>X67.4</v>
          </cell>
          <cell r="B12332" t="str">
            <v>Envenenamiento autoinfligido intencionalmente por, y exposición a otros gases y vapores, en calles y carreteras</v>
          </cell>
        </row>
        <row r="12333">
          <cell r="A12333" t="str">
            <v>X67.5</v>
          </cell>
          <cell r="B12333" t="str">
            <v>Envenenamiento autoinfligido intencionalmente por, y exposición a otros gases y vapores, en comercio y área de servicios</v>
          </cell>
        </row>
        <row r="12334">
          <cell r="A12334" t="str">
            <v>X67.6</v>
          </cell>
          <cell r="B12334" t="str">
            <v>Envenenamiento autoinfligido intencionalmente por, y exposición a otros gases y vapores, en área industrial y de la construcción</v>
          </cell>
        </row>
        <row r="12335">
          <cell r="A12335" t="str">
            <v>X67.7</v>
          </cell>
          <cell r="B12335" t="str">
            <v>Envenenamiento autoinfligido intencionalmente por, y exposición a otros gases y vapores, en granja</v>
          </cell>
        </row>
        <row r="12336">
          <cell r="A12336" t="str">
            <v>X67.8</v>
          </cell>
          <cell r="B12336" t="str">
            <v>Envenenamiento autoinfligido intencionalmente por, y exposición a otros gases y vapores, en otro lugar especificado</v>
          </cell>
        </row>
        <row r="12337">
          <cell r="A12337" t="str">
            <v>X67.9</v>
          </cell>
          <cell r="B12337" t="str">
            <v>Envenenamiento autoinfligido intencionalmente por, y exposición a otros gases y vapores, en lugar no especificado</v>
          </cell>
        </row>
        <row r="12338">
          <cell r="A12338" t="str">
            <v>X68</v>
          </cell>
          <cell r="B12338" t="str">
            <v>Envenenamiento autoinfligido intencionalmente por, y exposición a plaguicidas</v>
          </cell>
        </row>
        <row r="12339">
          <cell r="A12339" t="str">
            <v>X68.0</v>
          </cell>
          <cell r="B12339" t="str">
            <v>Envenenamiento autoinfligido intencionalmente por, y exposición a plaguicidas, en vivienda</v>
          </cell>
        </row>
        <row r="12340">
          <cell r="A12340" t="str">
            <v>X68.1</v>
          </cell>
          <cell r="B12340" t="str">
            <v>Envenenamiento autoinfligido intencionalmente por, y exposición a plaguicidas, en institución residencial</v>
          </cell>
        </row>
        <row r="12341">
          <cell r="A12341" t="str">
            <v>X68.2</v>
          </cell>
          <cell r="B12341" t="str">
            <v>Envenenamiento autoinfligido intencionalmente por, y exposición a plaguicidas, en escuelas, otras instituciones y áreas administrativas públicas</v>
          </cell>
        </row>
        <row r="12342">
          <cell r="A12342" t="str">
            <v>X68.3</v>
          </cell>
          <cell r="B12342" t="str">
            <v>Envenenamiento autoinfligido intencionalmente por, y exposición a plaguicidas, en áreas de deporte y atletismo</v>
          </cell>
        </row>
        <row r="12343">
          <cell r="A12343" t="str">
            <v>X68.4</v>
          </cell>
          <cell r="B12343" t="str">
            <v>Envenenamiento autoinfligido intencionalmente por, y exposición a plaguicidas, en calles y carreteras</v>
          </cell>
        </row>
        <row r="12344">
          <cell r="A12344" t="str">
            <v>X68.5</v>
          </cell>
          <cell r="B12344" t="str">
            <v>Envenenamiento autoinfligido intencionalmente por, y exposición a plaguicidas, en comercio y área de servicios</v>
          </cell>
        </row>
        <row r="12345">
          <cell r="A12345" t="str">
            <v>X68.6</v>
          </cell>
          <cell r="B12345" t="str">
            <v>Envenenamiento autoinfligido intencionalmente por, y exposición a plaguicidas, en área industrial y de la construcción</v>
          </cell>
        </row>
        <row r="12346">
          <cell r="A12346" t="str">
            <v>X68.7</v>
          </cell>
          <cell r="B12346" t="str">
            <v>Envenenamiento autoinfligido intencionalmente por, y exposición a plaguicidas, en granja</v>
          </cell>
        </row>
        <row r="12347">
          <cell r="A12347" t="str">
            <v>X68.8</v>
          </cell>
          <cell r="B12347" t="str">
            <v>Envenenamiento autoinfligido intencionalmente por, y exposición a plaguicidas, en otro lugar especificado</v>
          </cell>
        </row>
        <row r="12348">
          <cell r="A12348" t="str">
            <v>X68.9</v>
          </cell>
          <cell r="B12348" t="str">
            <v>Envenenamiento autoinfligido intencionalmente por, y exposición a plaguicidas, en lugar no especificado</v>
          </cell>
        </row>
        <row r="12349">
          <cell r="A12349" t="str">
            <v>X69</v>
          </cell>
          <cell r="B12349" t="str">
            <v>Envenenamiento autoinfligido intencionalmente por, y exposición a otros productos químicos y sustancias nocivas, y los no especificados</v>
          </cell>
        </row>
        <row r="12350">
          <cell r="A12350" t="str">
            <v>X69.0</v>
          </cell>
          <cell r="B12350" t="str">
            <v>Envenenamiento autoinfligido intencionalmente por, y exposición a otros productos químicos y sustancias nocivas, y los no especificados, en vivienda</v>
          </cell>
        </row>
        <row r="12351">
          <cell r="A12351" t="str">
            <v>X69.1</v>
          </cell>
          <cell r="B12351" t="str">
            <v>Envenenamiento autoinfligido intencionalmente por, y exposición a otros productos químicos y sustancias nocivas, y los no especificados, en institución residencial</v>
          </cell>
        </row>
        <row r="12352">
          <cell r="A12352" t="str">
            <v>X69.2</v>
          </cell>
          <cell r="B12352" t="str">
            <v>Envenenamiento autoinfligido intencionalmente por, y exposición a otros productos químicos y sustancias nocivas, y los no especificados, en escuelas, otras instituciones y áreas administrativas públic</v>
          </cell>
        </row>
        <row r="12353">
          <cell r="A12353" t="str">
            <v>X69.3</v>
          </cell>
          <cell r="B12353" t="str">
            <v>Envenenamiento autoinfligido intencionalmente por, y exposición a otros productos químicos y sustancias nocivas, y los no especificados, en áreas de deporte y atletismo</v>
          </cell>
        </row>
        <row r="12354">
          <cell r="A12354" t="str">
            <v>X69.4</v>
          </cell>
          <cell r="B12354" t="str">
            <v>Envenenamiento autoinfligido intencionalmente por, y exposición a otros productos químicos y sustancias nocivas, y los no especificados, en calles y carreteras</v>
          </cell>
        </row>
        <row r="12355">
          <cell r="A12355" t="str">
            <v>X69.5</v>
          </cell>
          <cell r="B12355" t="str">
            <v>Envenenamiento autoinfligido intencionalmente por, y exposición a otros productos químicos y sustancias nocivas, y los no especificados, en comercio y área de servicios</v>
          </cell>
        </row>
        <row r="12356">
          <cell r="A12356" t="str">
            <v>X69.6</v>
          </cell>
          <cell r="B12356" t="str">
            <v>Envenenamiento autoinfligido intencionalmente por, y exposición a otros productos químicos y sustancias nocivas, y los no especificados, en área industrial y de la construcción</v>
          </cell>
        </row>
        <row r="12357">
          <cell r="A12357" t="str">
            <v>X69.7</v>
          </cell>
          <cell r="B12357" t="str">
            <v>Envenenamiento autoinfligido intencionalmente por, y exposición a otros productos químicos y sustancias nocivas, y los no especificados, en granja</v>
          </cell>
        </row>
        <row r="12358">
          <cell r="A12358" t="str">
            <v>X69.8</v>
          </cell>
          <cell r="B12358" t="str">
            <v>Envenenamiento autoinfligido intencionalmente por, y exposición a otros productos químicos y sustancias nocivas, y los no especificados, en otro lugar especificado</v>
          </cell>
        </row>
        <row r="12359">
          <cell r="A12359" t="str">
            <v>X69.9</v>
          </cell>
          <cell r="B12359" t="str">
            <v>Envenenamiento autoinfligido intencionalmente por, y exposición a otros productos químicos y sustancias nocivas, y los no especificados, en lugar no especificado</v>
          </cell>
        </row>
        <row r="12360">
          <cell r="A12360" t="str">
            <v>X70</v>
          </cell>
          <cell r="B12360" t="str">
            <v>Lesión autoinfligida intencionalmente por ahorcamiento, estrangulamiento o sofocación</v>
          </cell>
        </row>
        <row r="12361">
          <cell r="A12361" t="str">
            <v>X70.0</v>
          </cell>
          <cell r="B12361" t="str">
            <v>Lesión autoinfligida intencionalmente por ahorcamiento, estrangulamiento o sofocación, en vivienda</v>
          </cell>
        </row>
        <row r="12362">
          <cell r="A12362" t="str">
            <v>X70.1</v>
          </cell>
          <cell r="B12362" t="str">
            <v>Lesión autoinfligida intencionalmente por ahorcamiento, estrangulamiento o sofocación, en institución residencial</v>
          </cell>
        </row>
        <row r="12363">
          <cell r="A12363" t="str">
            <v>X70.2</v>
          </cell>
          <cell r="B12363" t="str">
            <v>Lesión autoinfligida intencionalmente por ahorcamiento, estrangulamiento o sofocación, en escuelas, otras instituciones y áreas administrativas públicas</v>
          </cell>
        </row>
        <row r="12364">
          <cell r="A12364" t="str">
            <v>X70.3</v>
          </cell>
          <cell r="B12364" t="str">
            <v>Lesión autoinfligida intencionalmente por ahorcamiento, estrangulamiento o sofocación, en áreas de deporte y atletismo</v>
          </cell>
        </row>
        <row r="12365">
          <cell r="A12365" t="str">
            <v>X70.4</v>
          </cell>
          <cell r="B12365" t="str">
            <v>Lesión autoinfligida intencionalmente por ahorcamiento, estrangulamiento o sofocación, en calles y carreteras</v>
          </cell>
        </row>
        <row r="12366">
          <cell r="A12366" t="str">
            <v>X70.5</v>
          </cell>
          <cell r="B12366" t="str">
            <v>Lesión autoinfligida intencionalmente por ahorcamiento, estrangulamiento o sofocación, en comercio y área de servicios</v>
          </cell>
        </row>
        <row r="12367">
          <cell r="A12367" t="str">
            <v>X70.6</v>
          </cell>
          <cell r="B12367" t="str">
            <v>Lesión autoinfligida intencionalmente por ahorcamiento, estrangulamiento o sofocación, en área industrial y de la construcción</v>
          </cell>
        </row>
        <row r="12368">
          <cell r="A12368" t="str">
            <v>X70.7</v>
          </cell>
          <cell r="B12368" t="str">
            <v>Lesión autoinfligida intencionalmente por ahorcamiento, estrangulamiento o sofocación, en granja</v>
          </cell>
        </row>
        <row r="12369">
          <cell r="A12369" t="str">
            <v>X70.8</v>
          </cell>
          <cell r="B12369" t="str">
            <v>Lesión autoinfligida intencionalmente por ahorcamiento, estrangulamiento o sofocación, en otro lugar especificado</v>
          </cell>
        </row>
        <row r="12370">
          <cell r="A12370" t="str">
            <v>X70.9</v>
          </cell>
          <cell r="B12370" t="str">
            <v>Lesión autoinfligida intencionalmente por ahorcamiento, estrangulamiento o sofocación, en lugar no especificado</v>
          </cell>
        </row>
        <row r="12371">
          <cell r="A12371" t="str">
            <v>X71</v>
          </cell>
          <cell r="B12371" t="str">
            <v>Lesión autoinfligida intencionalmente por ahogamiento y sumersión</v>
          </cell>
        </row>
        <row r="12372">
          <cell r="A12372" t="str">
            <v>X71.0</v>
          </cell>
          <cell r="B12372" t="str">
            <v>Lesión autoinfligida intencionalmente por ahogamiento y sumersión, en vivienda</v>
          </cell>
        </row>
        <row r="12373">
          <cell r="A12373" t="str">
            <v>X71.1</v>
          </cell>
          <cell r="B12373" t="str">
            <v>Lesión autoinfligida intencionalmente por ahogamiento y sumersión, en institución residencial</v>
          </cell>
        </row>
        <row r="12374">
          <cell r="A12374" t="str">
            <v>X71.2</v>
          </cell>
          <cell r="B12374" t="str">
            <v>Lesión autoinfligida intencionalmente por ahogamiento y sumersión, en escuelas, otras instituciones y áreas administrativas públicas</v>
          </cell>
        </row>
        <row r="12375">
          <cell r="A12375" t="str">
            <v>X71.3</v>
          </cell>
          <cell r="B12375" t="str">
            <v>Lesión autoinfligida intencionalmente por ahogamiento y sumersión, en áreas de deporte y atletismo</v>
          </cell>
        </row>
        <row r="12376">
          <cell r="A12376" t="str">
            <v>X71.4</v>
          </cell>
          <cell r="B12376" t="str">
            <v>Lesión autoinfligida intencionalmente por ahogamiento y sumersión, en calles y carreteras</v>
          </cell>
        </row>
        <row r="12377">
          <cell r="A12377" t="str">
            <v>X71.5</v>
          </cell>
          <cell r="B12377" t="str">
            <v>Lesión autoinfligida intencionalmente por ahogamiento y sumersión, en comercio y área de servicios</v>
          </cell>
        </row>
        <row r="12378">
          <cell r="A12378" t="str">
            <v>X71.6</v>
          </cell>
          <cell r="B12378" t="str">
            <v>Lesión autoinfligida intencionalmente por ahogamiento y sumersión, en área industrial y de la construcción</v>
          </cell>
        </row>
        <row r="12379">
          <cell r="A12379" t="str">
            <v>X71.7</v>
          </cell>
          <cell r="B12379" t="str">
            <v>Lesión autoinfligida intencionalmente por ahogamiento y sumersión, en granja</v>
          </cell>
        </row>
        <row r="12380">
          <cell r="A12380" t="str">
            <v>X71.8</v>
          </cell>
          <cell r="B12380" t="str">
            <v>Lesión autoinfligida intencionalmente por ahogamiento y sumersión, en otro lugar especificado</v>
          </cell>
        </row>
        <row r="12381">
          <cell r="A12381" t="str">
            <v>X71.9</v>
          </cell>
          <cell r="B12381" t="str">
            <v>Lesión autoinfligida intencionalmente por ahogamiento y sumersión, en lugar no especificado</v>
          </cell>
        </row>
        <row r="12382">
          <cell r="A12382" t="str">
            <v>X72</v>
          </cell>
          <cell r="B12382" t="str">
            <v>Lesión autoinfligida intencionalmente por disparo de arma corta</v>
          </cell>
        </row>
        <row r="12383">
          <cell r="A12383" t="str">
            <v>X72.0</v>
          </cell>
          <cell r="B12383" t="str">
            <v>Lesión autoinfligida intencionalmente por disparo de arma corta, en vivienda</v>
          </cell>
        </row>
        <row r="12384">
          <cell r="A12384" t="str">
            <v>X72.1</v>
          </cell>
          <cell r="B12384" t="str">
            <v>Lesión autoinfligida intencionalmente por disparo de arma corta, en institución residencial</v>
          </cell>
        </row>
        <row r="12385">
          <cell r="A12385" t="str">
            <v>X72.2</v>
          </cell>
          <cell r="B12385" t="str">
            <v>Lesión autoinfligida intencionalmente por disparo de arma corta, en escuelas, otras instituciones y áreas administrativas públicas</v>
          </cell>
        </row>
        <row r="12386">
          <cell r="A12386" t="str">
            <v>X72.3</v>
          </cell>
          <cell r="B12386" t="str">
            <v>Lesión autoinfligida intencionalmente por disparo de arma corta, en áreas de deporte y atletismo</v>
          </cell>
        </row>
        <row r="12387">
          <cell r="A12387" t="str">
            <v>X72.4</v>
          </cell>
          <cell r="B12387" t="str">
            <v>Lesión autoinfligida intencionalmente por disparo de arma corta, en calles y carreteras</v>
          </cell>
        </row>
        <row r="12388">
          <cell r="A12388" t="str">
            <v>X72.5</v>
          </cell>
          <cell r="B12388" t="str">
            <v>Lesión autoinfligida intencionalmente por disparo de arma corta, en comercio y área de servicios</v>
          </cell>
        </row>
        <row r="12389">
          <cell r="A12389" t="str">
            <v>X72.6</v>
          </cell>
          <cell r="B12389" t="str">
            <v>Lesión autoinfligida intencionalmente por disparo de arma corta, en área industrial y de la construcción</v>
          </cell>
        </row>
        <row r="12390">
          <cell r="A12390" t="str">
            <v>X72.7</v>
          </cell>
          <cell r="B12390" t="str">
            <v>Lesión autoinfligida intencionalmente por disparo de arma corta, en granja</v>
          </cell>
        </row>
        <row r="12391">
          <cell r="A12391" t="str">
            <v>X72.8</v>
          </cell>
          <cell r="B12391" t="str">
            <v>Lesión autoinfligida intencionalmente por disparo de arma corta, en otro lugar especificado</v>
          </cell>
        </row>
        <row r="12392">
          <cell r="A12392" t="str">
            <v>X72.9</v>
          </cell>
          <cell r="B12392" t="str">
            <v>Lesión autoinfligida intencionalmente por disparo de arma corta, en lugar no especificado</v>
          </cell>
        </row>
        <row r="12393">
          <cell r="A12393" t="str">
            <v>X73</v>
          </cell>
          <cell r="B12393" t="str">
            <v>Lesión autoinfligida intencionalmente por disparo de rifle, escopeta y arma larga</v>
          </cell>
        </row>
        <row r="12394">
          <cell r="A12394" t="str">
            <v>X73.0</v>
          </cell>
          <cell r="B12394" t="str">
            <v>Lesión autoinfligida intencionalmente por disparo de rifle, escopeta y arma larga, en vivienda</v>
          </cell>
        </row>
        <row r="12395">
          <cell r="A12395" t="str">
            <v>X73.1</v>
          </cell>
          <cell r="B12395" t="str">
            <v>Lesión autoinfligida intencionalmente por disparo de rifle, escopeta y arma larga, en institución residencial</v>
          </cell>
        </row>
        <row r="12396">
          <cell r="A12396" t="str">
            <v>X73.2</v>
          </cell>
          <cell r="B12396" t="str">
            <v>Lesión autoinfligida intencionalmente por disparo de rifle, escopeta y arma larga, en escuelas, otras instituciones y áreas administrativas públicas</v>
          </cell>
        </row>
        <row r="12397">
          <cell r="A12397" t="str">
            <v>X73.3</v>
          </cell>
          <cell r="B12397" t="str">
            <v>Lesión autoinfligida intencionalmente por disparo de rifle, escopeta y arma larga, en áreas de deporte y atletismo</v>
          </cell>
        </row>
        <row r="12398">
          <cell r="A12398" t="str">
            <v>X73.4</v>
          </cell>
          <cell r="B12398" t="str">
            <v>Lesión autoinfligida intencionalmente por disparo de rifle, escopeta y arma larga, en calles y carreteras</v>
          </cell>
        </row>
        <row r="12399">
          <cell r="A12399" t="str">
            <v>X73.5</v>
          </cell>
          <cell r="B12399" t="str">
            <v>Lesión autoinfligida intencionalmente por disparo de rifle, escopeta y arma larga, en comercio y área de servicios</v>
          </cell>
        </row>
        <row r="12400">
          <cell r="A12400" t="str">
            <v>X73.6</v>
          </cell>
          <cell r="B12400" t="str">
            <v>Lesión autoinfligida intencionalmente por disparo de rifle, escopeta y arma larga, en área industrial y de la construcción</v>
          </cell>
        </row>
        <row r="12401">
          <cell r="A12401" t="str">
            <v>X73.7</v>
          </cell>
          <cell r="B12401" t="str">
            <v>Lesión autoinfligida intencionalmente por disparo de rifle, escopeta y arma larga, en granja</v>
          </cell>
        </row>
        <row r="12402">
          <cell r="A12402" t="str">
            <v>X73.8</v>
          </cell>
          <cell r="B12402" t="str">
            <v>Lesión autoinfligida intencionalmente por disparo de rifle, escopeta y arma larga, en otro lugar especificado</v>
          </cell>
        </row>
        <row r="12403">
          <cell r="A12403" t="str">
            <v>X73.9</v>
          </cell>
          <cell r="B12403" t="str">
            <v>Lesión autoinfligida intencionalmente por disparo de rifle, escopeta y arma larga, en lugar no especificado</v>
          </cell>
        </row>
        <row r="12404">
          <cell r="A12404" t="str">
            <v>X74</v>
          </cell>
          <cell r="B12404" t="str">
            <v>Lesión autoinfligida intencionalmente por disparo de otras armas de fuego, y las no especificadas</v>
          </cell>
        </row>
        <row r="12405">
          <cell r="A12405" t="str">
            <v>X74.0</v>
          </cell>
          <cell r="B12405" t="str">
            <v>Lesión autoinfligida intencionalmente por disparo de otras armas de fuego, y las no especificadas, en vivienda</v>
          </cell>
        </row>
        <row r="12406">
          <cell r="A12406" t="str">
            <v>X74.1</v>
          </cell>
          <cell r="B12406" t="str">
            <v>Lesión autoinfligida intencionalmente por disparo de otras armas de fuego, y las no especificadas, en institución residencial</v>
          </cell>
        </row>
        <row r="12407">
          <cell r="A12407" t="str">
            <v>X74.2</v>
          </cell>
          <cell r="B12407" t="str">
            <v>Lesión autoinfligida intencionalmente por disparo de otras armas de fuego, y las no especificadas, en escuelas, otras instituciones y áreas administrativas públicas</v>
          </cell>
        </row>
        <row r="12408">
          <cell r="A12408" t="str">
            <v>X74.3</v>
          </cell>
          <cell r="B12408" t="str">
            <v>Lesión autoinfligida intencionalmente por disparo de otras armas de fuego, y las no especificadas, en áreas de deporte y atletismo</v>
          </cell>
        </row>
        <row r="12409">
          <cell r="A12409" t="str">
            <v>X74.4</v>
          </cell>
          <cell r="B12409" t="str">
            <v>Lesión autoinfligida intencionalmente por disparo de otras armas de fuego, y las no especificadas, en calles y carreteras</v>
          </cell>
        </row>
        <row r="12410">
          <cell r="A12410" t="str">
            <v>X74.5</v>
          </cell>
          <cell r="B12410" t="str">
            <v>Lesión autoinfligida intencionalmente por disparo de otras armas de fuego, y las no especificadas, en comercio y área de servicios</v>
          </cell>
        </row>
        <row r="12411">
          <cell r="A12411" t="str">
            <v>X74.6</v>
          </cell>
          <cell r="B12411" t="str">
            <v>Lesión autoinfligida intencionalmente por disparo de otras armas de fuego, y las no especificadas, en área industrial y de la construcción</v>
          </cell>
        </row>
        <row r="12412">
          <cell r="A12412" t="str">
            <v>X74.7</v>
          </cell>
          <cell r="B12412" t="str">
            <v>Lesión autoinfligida intencionalmente por disparo de otras armas de fuego, y las no especificadas, en granja</v>
          </cell>
        </row>
        <row r="12413">
          <cell r="A12413" t="str">
            <v>X74.8</v>
          </cell>
          <cell r="B12413" t="str">
            <v>Lesión autoinfligida intencionalmente por disparo de otras armas de fuego, y las no especificadas, en otro lugar especificado</v>
          </cell>
        </row>
        <row r="12414">
          <cell r="A12414" t="str">
            <v>X74.9</v>
          </cell>
          <cell r="B12414" t="str">
            <v>Lesión autoinfligida intencionalmente por disparo de otras armas de fuego, y las no especificadas, en lugar no especificado</v>
          </cell>
        </row>
        <row r="12415">
          <cell r="A12415" t="str">
            <v>X75</v>
          </cell>
          <cell r="B12415" t="str">
            <v>Lesión autoinfligida intencionalmente por material explosivo</v>
          </cell>
        </row>
        <row r="12416">
          <cell r="A12416" t="str">
            <v>X75.0</v>
          </cell>
          <cell r="B12416" t="str">
            <v>Lesión autoinfligida intencionalmente por material explosivo, en vivienda</v>
          </cell>
        </row>
        <row r="12417">
          <cell r="A12417" t="str">
            <v>X75.1</v>
          </cell>
          <cell r="B12417" t="str">
            <v>Lesión autoinfligida intencionalmente por material explosivo, en institución residencial</v>
          </cell>
        </row>
        <row r="12418">
          <cell r="A12418" t="str">
            <v>X75.2</v>
          </cell>
          <cell r="B12418" t="str">
            <v>Lesión autoinfligida intencionalmente por material explosivo, en escuelas, otras instituciones y áreas administrativas públicas</v>
          </cell>
        </row>
        <row r="12419">
          <cell r="A12419" t="str">
            <v>X75.3</v>
          </cell>
          <cell r="B12419" t="str">
            <v>Lesión autoinfligida intencionalmente por material explosivo, en áreas de deporte y atletismo</v>
          </cell>
        </row>
        <row r="12420">
          <cell r="A12420" t="str">
            <v>X75.4</v>
          </cell>
          <cell r="B12420" t="str">
            <v>Lesión autoinfligida intencionalmente por material explosivo, en calles y carreteras</v>
          </cell>
        </row>
        <row r="12421">
          <cell r="A12421" t="str">
            <v>X75.5</v>
          </cell>
          <cell r="B12421" t="str">
            <v>Lesión autoinfligida intencionalmente por material explosivo, en comercio y área de servicios</v>
          </cell>
        </row>
        <row r="12422">
          <cell r="A12422" t="str">
            <v>X75.6</v>
          </cell>
          <cell r="B12422" t="str">
            <v>Lesión autoinfligida intencionalmente por material explosivo, en área industrial y de la construcción</v>
          </cell>
        </row>
        <row r="12423">
          <cell r="A12423" t="str">
            <v>X75.7</v>
          </cell>
          <cell r="B12423" t="str">
            <v>Lesión autoinfligida intencionalmente por material explosivo, en granja</v>
          </cell>
        </row>
        <row r="12424">
          <cell r="A12424" t="str">
            <v>X75.8</v>
          </cell>
          <cell r="B12424" t="str">
            <v>Lesión autoinfligida intencionalmente por material explosivo, en otro lugar especificado</v>
          </cell>
        </row>
        <row r="12425">
          <cell r="A12425" t="str">
            <v>X75.9</v>
          </cell>
          <cell r="B12425" t="str">
            <v>Lesión autoinfligida intencionalmente por material explosivo, en lugar no especificado</v>
          </cell>
        </row>
        <row r="12426">
          <cell r="A12426" t="str">
            <v>X76</v>
          </cell>
          <cell r="B12426" t="str">
            <v>Lesión autoinfligida intencionalmente por humo, fuego y llamas</v>
          </cell>
        </row>
        <row r="12427">
          <cell r="A12427" t="str">
            <v>X76.0</v>
          </cell>
          <cell r="B12427" t="str">
            <v>Lesión autoinfligida intencionalmente por humo, fuego y llamas, en vivienda</v>
          </cell>
        </row>
        <row r="12428">
          <cell r="A12428" t="str">
            <v>X76.1</v>
          </cell>
          <cell r="B12428" t="str">
            <v>Lesión autoinfligida intencionalmente por humo, fuego y llamas, en institución residencial</v>
          </cell>
        </row>
        <row r="12429">
          <cell r="A12429" t="str">
            <v>X76.2</v>
          </cell>
          <cell r="B12429" t="str">
            <v>Lesión autoinfligida intencionalmente por humo, fuego y llamas, en escuelas, otras instituciones y áreas administrativas públicas</v>
          </cell>
        </row>
        <row r="12430">
          <cell r="A12430" t="str">
            <v>X76.3</v>
          </cell>
          <cell r="B12430" t="str">
            <v>Lesión autoinfligida intencionalmente por humo, fuego y llamas, en áreas de deporte y atletismo</v>
          </cell>
        </row>
        <row r="12431">
          <cell r="A12431" t="str">
            <v>X76.4</v>
          </cell>
          <cell r="B12431" t="str">
            <v>Lesión autoinfligida intencionalmente por humo, fuego y llamas, en calles y carreteras</v>
          </cell>
        </row>
        <row r="12432">
          <cell r="A12432" t="str">
            <v>X76.5</v>
          </cell>
          <cell r="B12432" t="str">
            <v>Lesión autoinfligida intencionalmente por humo, fuego y llamas, en comercio y área de servicios</v>
          </cell>
        </row>
        <row r="12433">
          <cell r="A12433" t="str">
            <v>X76.6</v>
          </cell>
          <cell r="B12433" t="str">
            <v>Lesión autoinfligida intencionalmente por humo, fuego y llamas, en área industrial y de la construcción</v>
          </cell>
        </row>
        <row r="12434">
          <cell r="A12434" t="str">
            <v>X76.7</v>
          </cell>
          <cell r="B12434" t="str">
            <v>Lesión autoinfligida intencionalmente por humo, fuego y llamas, en granja</v>
          </cell>
        </row>
        <row r="12435">
          <cell r="A12435" t="str">
            <v>X76.8</v>
          </cell>
          <cell r="B12435" t="str">
            <v>Lesión autoinfligida intencionalmente por humo, fuego y llamas, en otro lugar especificado</v>
          </cell>
        </row>
        <row r="12436">
          <cell r="A12436" t="str">
            <v>X76.9</v>
          </cell>
          <cell r="B12436" t="str">
            <v>Lesión autoinfligida intencionalmente por humo, fuego y llamas, en lugar no especificado</v>
          </cell>
        </row>
        <row r="12437">
          <cell r="A12437" t="str">
            <v>X77</v>
          </cell>
          <cell r="B12437" t="str">
            <v>Lesión autoinfligida intencionalmente por vapor de agua, vapores y objetos calientes</v>
          </cell>
        </row>
        <row r="12438">
          <cell r="A12438" t="str">
            <v>X77.0</v>
          </cell>
          <cell r="B12438" t="str">
            <v>Lesión autoinfligida intencionalmente por vapor de agua, vapores y objetos calientes, en vivienda</v>
          </cell>
        </row>
        <row r="12439">
          <cell r="A12439" t="str">
            <v>X77.1</v>
          </cell>
          <cell r="B12439" t="str">
            <v>Lesión autoinfligida intencionalmente por vapor de agua, vapores y objetos calientes, en institución residencial</v>
          </cell>
        </row>
        <row r="12440">
          <cell r="A12440" t="str">
            <v>X77.2</v>
          </cell>
          <cell r="B12440" t="str">
            <v>Lesión autoinfligida intencionalmente por vapor de agua, vapores y objetos calientes, en escuelas, otras instituciones y áreas administrativas públicas</v>
          </cell>
        </row>
        <row r="12441">
          <cell r="A12441" t="str">
            <v>X77.3</v>
          </cell>
          <cell r="B12441" t="str">
            <v>Lesión autoinfligida intencionalmente por vapor de agua, vapores y objetos calientes, en áreas de deporte y atletismo</v>
          </cell>
        </row>
        <row r="12442">
          <cell r="A12442" t="str">
            <v>X77.4</v>
          </cell>
          <cell r="B12442" t="str">
            <v>Lesión autoinfligida intencionalmente por vapor de agua, vapores y objetos calientes, en calles y carreteras</v>
          </cell>
        </row>
        <row r="12443">
          <cell r="A12443" t="str">
            <v>X77.5</v>
          </cell>
          <cell r="B12443" t="str">
            <v>Lesión autoinfligida intencionalmente por vapor de agua, vapores y objetos calientes, en comercio y área de servicios</v>
          </cell>
        </row>
        <row r="12444">
          <cell r="A12444" t="str">
            <v>X77.6</v>
          </cell>
          <cell r="B12444" t="str">
            <v>Lesión autoinfligida intencionalmente por vapor de agua, vapores y objetos calientes, en área industrial y de la construcción</v>
          </cell>
        </row>
        <row r="12445">
          <cell r="A12445" t="str">
            <v>X77.7</v>
          </cell>
          <cell r="B12445" t="str">
            <v>Lesión autoinfligida intencionalmente por vapor de agua, vapores y objetos calientes, en granja</v>
          </cell>
        </row>
        <row r="12446">
          <cell r="A12446" t="str">
            <v>X77.8</v>
          </cell>
          <cell r="B12446" t="str">
            <v>Lesión autoinfligida intencionalmente por vapor de agua, vapores y objetos calientes, en otro lugar especificado</v>
          </cell>
        </row>
        <row r="12447">
          <cell r="A12447" t="str">
            <v>X77.9</v>
          </cell>
          <cell r="B12447" t="str">
            <v>Lesión autoinfligida intencionalmente por vapor de agua, vapores y objetos calientes, en lugar no especificado</v>
          </cell>
        </row>
        <row r="12448">
          <cell r="A12448" t="str">
            <v>X78</v>
          </cell>
          <cell r="B12448" t="str">
            <v>Lesión autoinfligida intencionalmente por objeto cortante</v>
          </cell>
        </row>
        <row r="12449">
          <cell r="A12449" t="str">
            <v>X78.0</v>
          </cell>
          <cell r="B12449" t="str">
            <v>Lesión autoinfligida intencionalmente por objeto cortante, en vivienda</v>
          </cell>
        </row>
        <row r="12450">
          <cell r="A12450" t="str">
            <v>X78.1</v>
          </cell>
          <cell r="B12450" t="str">
            <v>Lesión autoinfligida intencionalmente por objeto cortante, en institución residencial</v>
          </cell>
        </row>
        <row r="12451">
          <cell r="A12451" t="str">
            <v>X78.2</v>
          </cell>
          <cell r="B12451" t="str">
            <v>Lesión autoinfligida intencionalmente por objeto cortante, en escuelas, otras instituciones y áreas administrativas públicas</v>
          </cell>
        </row>
        <row r="12452">
          <cell r="A12452" t="str">
            <v>X78.3</v>
          </cell>
          <cell r="B12452" t="str">
            <v>Lesión autoinfligida intencionalmente por objeto cortante, en áreas de deporte y atletismo</v>
          </cell>
        </row>
        <row r="12453">
          <cell r="A12453" t="str">
            <v>X78.4</v>
          </cell>
          <cell r="B12453" t="str">
            <v>Lesión autoinfligida intencionalmente por objeto cortante, en calles y carreteras</v>
          </cell>
        </row>
        <row r="12454">
          <cell r="A12454" t="str">
            <v>X78.5</v>
          </cell>
          <cell r="B12454" t="str">
            <v>Lesión autoinfligida intencionalmente por objeto cortante, en comercio y área de servicios</v>
          </cell>
        </row>
        <row r="12455">
          <cell r="A12455" t="str">
            <v>X78.6</v>
          </cell>
          <cell r="B12455" t="str">
            <v>Lesión autoinfligida intencionalmente por objeto cortante, en área industrial y de la construcción</v>
          </cell>
        </row>
        <row r="12456">
          <cell r="A12456" t="str">
            <v>X78.7</v>
          </cell>
          <cell r="B12456" t="str">
            <v>Lesión autoinfligida intencionalmente por objeto cortante, en granja</v>
          </cell>
        </row>
        <row r="12457">
          <cell r="A12457" t="str">
            <v>X78.8</v>
          </cell>
          <cell r="B12457" t="str">
            <v>Lesión autoinfligida intencionalmente por objeto cortante, en otro lugar especificado</v>
          </cell>
        </row>
        <row r="12458">
          <cell r="A12458" t="str">
            <v>X78.9</v>
          </cell>
          <cell r="B12458" t="str">
            <v>Lesión autoinfligida intencionalmente por objeto cortante, en lugar no especificado</v>
          </cell>
        </row>
        <row r="12459">
          <cell r="A12459" t="str">
            <v>X79</v>
          </cell>
          <cell r="B12459" t="str">
            <v>Lesión autoinfligida intencionalmente por objeto romo o sin filo</v>
          </cell>
        </row>
        <row r="12460">
          <cell r="A12460" t="str">
            <v>X79.0</v>
          </cell>
          <cell r="B12460" t="str">
            <v>Lesión autoinfligida intencionalmente por objeto romo o sin filo, en vivienda</v>
          </cell>
        </row>
        <row r="12461">
          <cell r="A12461" t="str">
            <v>X79.1</v>
          </cell>
          <cell r="B12461" t="str">
            <v>Lesión autoinfligida intencionalmente por objeto romo o sin filo, en institución residencial</v>
          </cell>
        </row>
        <row r="12462">
          <cell r="A12462" t="str">
            <v>X79.2</v>
          </cell>
          <cell r="B12462" t="str">
            <v>Lesión autoinfligida intencionalmente por objeto romo o sin filo, en escuelas, otras instituciones y áreas administrativas públicas</v>
          </cell>
        </row>
        <row r="12463">
          <cell r="A12463" t="str">
            <v>X79.3</v>
          </cell>
          <cell r="B12463" t="str">
            <v>Lesión autoinfligida intencionalmente por objeto romo o sin filo, en áreas de deporte y atletismo</v>
          </cell>
        </row>
        <row r="12464">
          <cell r="A12464" t="str">
            <v>X79.4</v>
          </cell>
          <cell r="B12464" t="str">
            <v>Lesión autoinfligida intencionalmente por objeto romo o sin filo, en calles y carreteras</v>
          </cell>
        </row>
        <row r="12465">
          <cell r="A12465" t="str">
            <v>X79.5</v>
          </cell>
          <cell r="B12465" t="str">
            <v>Lesión autoinfligida intencionalmente por objeto romo o sin filo, en comercio y área de servicios</v>
          </cell>
        </row>
        <row r="12466">
          <cell r="A12466" t="str">
            <v>X79.6</v>
          </cell>
          <cell r="B12466" t="str">
            <v>Lesión autoinfligida intencionalmente por objeto romo o sin filo, en área industrial y de la construcción</v>
          </cell>
        </row>
        <row r="12467">
          <cell r="A12467" t="str">
            <v>X79.7</v>
          </cell>
          <cell r="B12467" t="str">
            <v>Lesión autoinfligida intencionalmente por objeto romo o sin filo, en granja</v>
          </cell>
        </row>
        <row r="12468">
          <cell r="A12468" t="str">
            <v>X79.8</v>
          </cell>
          <cell r="B12468" t="str">
            <v>Lesión autoinfligida intencionalmente por objeto romo o sin filo, en otro lugar especificado</v>
          </cell>
        </row>
        <row r="12469">
          <cell r="A12469" t="str">
            <v>X79.9</v>
          </cell>
          <cell r="B12469" t="str">
            <v>Lesión autoinfligida intencionalmente por objeto romo o sin filo, en lugar no especificado</v>
          </cell>
        </row>
        <row r="12470">
          <cell r="A12470" t="str">
            <v>X80</v>
          </cell>
          <cell r="B12470" t="str">
            <v>Lesión autoinfligida intencionalmente al saltar desde un lugar elevado</v>
          </cell>
        </row>
        <row r="12471">
          <cell r="A12471" t="str">
            <v>X80.0</v>
          </cell>
          <cell r="B12471" t="str">
            <v>Lesión autoinfligida intencionalmente al saltar desde un lugar elevado, en vivienda</v>
          </cell>
        </row>
        <row r="12472">
          <cell r="A12472" t="str">
            <v>X80.1</v>
          </cell>
          <cell r="B12472" t="str">
            <v>Lesión autoinfligida intencionalmente al saltar desde un lugar elevado, en institución residencial</v>
          </cell>
        </row>
        <row r="12473">
          <cell r="A12473" t="str">
            <v>X80.2</v>
          </cell>
          <cell r="B12473" t="str">
            <v>Lesión autoinfligida intencionalmente al saltar desde un lugar elevado, en escuelas, otras instituciones y áreas administrativas públicas</v>
          </cell>
        </row>
        <row r="12474">
          <cell r="A12474" t="str">
            <v>X80.3</v>
          </cell>
          <cell r="B12474" t="str">
            <v>Lesión autoinfligida intencionalmente al saltar desde un lugar elevado, en áreas de deporte y atletismo</v>
          </cell>
        </row>
        <row r="12475">
          <cell r="A12475" t="str">
            <v>X80.4</v>
          </cell>
          <cell r="B12475" t="str">
            <v>Lesión autoinfligida intencionalmente al saltar desde un lugar elevado, en calles y carreteras</v>
          </cell>
        </row>
        <row r="12476">
          <cell r="A12476" t="str">
            <v>X80.5</v>
          </cell>
          <cell r="B12476" t="str">
            <v>Lesión autoinfligida intencionalmente al saltar desde un lugar elevado, en comercio y área de servicios</v>
          </cell>
        </row>
        <row r="12477">
          <cell r="A12477" t="str">
            <v>X80.6</v>
          </cell>
          <cell r="B12477" t="str">
            <v>Lesión autoinfligida intencionalmente al saltar desde un lugar elevado, en área industrial y de la construcción</v>
          </cell>
        </row>
        <row r="12478">
          <cell r="A12478" t="str">
            <v>X80.7</v>
          </cell>
          <cell r="B12478" t="str">
            <v>Lesión autoinfligida intencionalmente al saltar desde un lugar elevado, en granja</v>
          </cell>
        </row>
        <row r="12479">
          <cell r="A12479" t="str">
            <v>X80.8</v>
          </cell>
          <cell r="B12479" t="str">
            <v>Lesión autoinfligida intencionalmente al saltar desde un lugar elevado, en otro lugar especificado</v>
          </cell>
        </row>
        <row r="12480">
          <cell r="A12480" t="str">
            <v>X80.9</v>
          </cell>
          <cell r="B12480" t="str">
            <v>Lesión autoinfligida intencionalmente al saltar desde un lugar elevado, en lugar no especificado</v>
          </cell>
        </row>
        <row r="12481">
          <cell r="A12481" t="str">
            <v>X81</v>
          </cell>
          <cell r="B12481" t="str">
            <v>Lesión autoinfligida intencionalmente por arrojarse o colocarse delante de objeto en movimiento</v>
          </cell>
        </row>
        <row r="12482">
          <cell r="A12482" t="str">
            <v>X81.0</v>
          </cell>
          <cell r="B12482" t="str">
            <v>Lesión autoinfligida intencionalmente por arrojarse o colocarse delante de objeto en movimiento, en vivienda</v>
          </cell>
        </row>
        <row r="12483">
          <cell r="A12483" t="str">
            <v>X81.1</v>
          </cell>
          <cell r="B12483" t="str">
            <v>Lesión autoinfligida intencionalmente por arrojarse o colocarse delante de objeto en movimiento, en institución residencial</v>
          </cell>
        </row>
        <row r="12484">
          <cell r="A12484" t="str">
            <v>X81.2</v>
          </cell>
          <cell r="B12484" t="str">
            <v>Lesión autoinfligida intencionalmente por arrojarse o colocarse delante de objeto en movimiento, en escuelas, otras instituciones y áreas administrativas públicas</v>
          </cell>
        </row>
        <row r="12485">
          <cell r="A12485" t="str">
            <v>X81.3</v>
          </cell>
          <cell r="B12485" t="str">
            <v>Lesión autoinfligida intencionalmente por arrojarse o colocarse delante de objeto en movimiento, en áreas de deporte y atletismo</v>
          </cell>
        </row>
        <row r="12486">
          <cell r="A12486" t="str">
            <v>X81.4</v>
          </cell>
          <cell r="B12486" t="str">
            <v>Lesión autoinfligida intencionalmente por arrojarse o colocarse delante de objeto en movimiento, en calles y carreteras</v>
          </cell>
        </row>
        <row r="12487">
          <cell r="A12487" t="str">
            <v>X81.5</v>
          </cell>
          <cell r="B12487" t="str">
            <v>Lesión autoinfligida intencionalmente por arrojarse o colocarse delante de objeto en movimiento, en comercio y área de servicios</v>
          </cell>
        </row>
        <row r="12488">
          <cell r="A12488" t="str">
            <v>X81.6</v>
          </cell>
          <cell r="B12488" t="str">
            <v>Lesión autoinfligida intencionalmente por arrojarse o colocarse delante de objeto en movimiento, en área industrial y de la construcción</v>
          </cell>
        </row>
        <row r="12489">
          <cell r="A12489" t="str">
            <v>X81.7</v>
          </cell>
          <cell r="B12489" t="str">
            <v>Lesión autoinfligida intencionalmente por arrojarse o colocarse delante de objeto en movimiento, en granja</v>
          </cell>
        </row>
        <row r="12490">
          <cell r="A12490" t="str">
            <v>X81.8</v>
          </cell>
          <cell r="B12490" t="str">
            <v>Lesión autoinfligida intencionalmente por arrojarse o colocarse delante de objeto en movimiento, en otro lugar especificado</v>
          </cell>
        </row>
        <row r="12491">
          <cell r="A12491" t="str">
            <v>X81.9</v>
          </cell>
          <cell r="B12491" t="str">
            <v>Lesión autoinfligida intencionalmente por arrojarse o colocarse delante de objeto en movimiento, en lugar no especificado</v>
          </cell>
        </row>
        <row r="12492">
          <cell r="A12492" t="str">
            <v>X82</v>
          </cell>
          <cell r="B12492" t="str">
            <v>Lesión autoinfligida intencionalmente por colisión de vehículo de motor</v>
          </cell>
        </row>
        <row r="12493">
          <cell r="A12493" t="str">
            <v>X82.0</v>
          </cell>
          <cell r="B12493" t="str">
            <v>Lesión autoinfligida intencionalmente por colisión de vehículo de motor, en vivienda</v>
          </cell>
        </row>
        <row r="12494">
          <cell r="A12494" t="str">
            <v>X82.1</v>
          </cell>
          <cell r="B12494" t="str">
            <v>Lesión autoinfligida intencionalmente por colisión de vehículo de motor, en institución residencial</v>
          </cell>
        </row>
        <row r="12495">
          <cell r="A12495" t="str">
            <v>X82.2</v>
          </cell>
          <cell r="B12495" t="str">
            <v>Lesión autoinfligida intencionalmente por colisión de vehículo de motor, en escuelas, otras instituciones y áreas administrativas públicas</v>
          </cell>
        </row>
        <row r="12496">
          <cell r="A12496" t="str">
            <v>X82.3</v>
          </cell>
          <cell r="B12496" t="str">
            <v>Lesión autoinfligida intencionalmente por colisión de vehículo de motor, en áreas de deporte y atletismo</v>
          </cell>
        </row>
        <row r="12497">
          <cell r="A12497" t="str">
            <v>X82.4</v>
          </cell>
          <cell r="B12497" t="str">
            <v>Lesión autoinfligida intencionalmente por colisión de vehículo de motor, en calles y carreteras</v>
          </cell>
        </row>
        <row r="12498">
          <cell r="A12498" t="str">
            <v>X82.5</v>
          </cell>
          <cell r="B12498" t="str">
            <v>Lesión autoinfligida intencionalmente por colisión de vehículo de motor, en comercio y área de servicios</v>
          </cell>
        </row>
        <row r="12499">
          <cell r="A12499" t="str">
            <v>X82.6</v>
          </cell>
          <cell r="B12499" t="str">
            <v>Lesión autoinfligida intencionalmente por colisión de vehículo de motor, en área industrial y de la construcción</v>
          </cell>
        </row>
        <row r="12500">
          <cell r="A12500" t="str">
            <v>X82.7</v>
          </cell>
          <cell r="B12500" t="str">
            <v>Lesión autoinfligida intencionalmente por colisión de vehículo de motor, en granja</v>
          </cell>
        </row>
        <row r="12501">
          <cell r="A12501" t="str">
            <v>X82.8</v>
          </cell>
          <cell r="B12501" t="str">
            <v>Lesión autoinfligida intencionalmente por colisión de vehículo de motor, en otro lugar especificado</v>
          </cell>
        </row>
        <row r="12502">
          <cell r="A12502" t="str">
            <v>X82.9</v>
          </cell>
          <cell r="B12502" t="str">
            <v>Lesión autoinfligida intencionalmente por colisión de vehículo de motor, en lugar no especificado</v>
          </cell>
        </row>
        <row r="12503">
          <cell r="A12503" t="str">
            <v>X83</v>
          </cell>
          <cell r="B12503" t="str">
            <v>Lesión autoinfligida intencionalmente por otros medios especificados</v>
          </cell>
        </row>
        <row r="12504">
          <cell r="A12504" t="str">
            <v>X83.0</v>
          </cell>
          <cell r="B12504" t="str">
            <v>Lesión autoinfligida intencionalmente por otros medios especificados, en vivienda</v>
          </cell>
        </row>
        <row r="12505">
          <cell r="A12505" t="str">
            <v>X83.1</v>
          </cell>
          <cell r="B12505" t="str">
            <v>Lesión autoinfligida intencionalmente por otros medios especificados, en institución residencial</v>
          </cell>
        </row>
        <row r="12506">
          <cell r="A12506" t="str">
            <v>X83.2</v>
          </cell>
          <cell r="B12506" t="str">
            <v>Lesión autoinfligida intencionalmente por otros medios especificados, en escuelas, otras instituciones y áreas administrativas públicas</v>
          </cell>
        </row>
        <row r="12507">
          <cell r="A12507" t="str">
            <v>X83.3</v>
          </cell>
          <cell r="B12507" t="str">
            <v>Lesión autoinfligida intencionalmente por otros medios especificados, en áreas de deporte y atletismo</v>
          </cell>
        </row>
        <row r="12508">
          <cell r="A12508" t="str">
            <v>X83.4</v>
          </cell>
          <cell r="B12508" t="str">
            <v>Lesión autoinfligida intencionalmente por otros medios especificados, en calles y carreteras</v>
          </cell>
        </row>
        <row r="12509">
          <cell r="A12509" t="str">
            <v>X83.5</v>
          </cell>
          <cell r="B12509" t="str">
            <v>Lesión autoinfligida intencionalmente por otros medios especificados, en comercio y área de servicios</v>
          </cell>
        </row>
        <row r="12510">
          <cell r="A12510" t="str">
            <v>X83.6</v>
          </cell>
          <cell r="B12510" t="str">
            <v>Lesión autoinfligida intencionalmente por otros medios especificados, en área industrial y de la construcción</v>
          </cell>
        </row>
        <row r="12511">
          <cell r="A12511" t="str">
            <v>X83.7</v>
          </cell>
          <cell r="B12511" t="str">
            <v>Lesión autoinfligida intencionalmente por otros medios especificados, en granja</v>
          </cell>
        </row>
        <row r="12512">
          <cell r="A12512" t="str">
            <v>X83.8</v>
          </cell>
          <cell r="B12512" t="str">
            <v>Lesión autoinfligida intencionalmente por otros medios especificados, en otro lugar especificado</v>
          </cell>
        </row>
        <row r="12513">
          <cell r="A12513" t="str">
            <v>X83.9</v>
          </cell>
          <cell r="B12513" t="str">
            <v>Lesión autoinfligida intencionalmente por otros medios especificados, en lugar no especificado</v>
          </cell>
        </row>
        <row r="12514">
          <cell r="A12514" t="str">
            <v>X84</v>
          </cell>
          <cell r="B12514" t="str">
            <v>Lesión autoinfligida intencionalmente por medios no especificados</v>
          </cell>
        </row>
        <row r="12515">
          <cell r="A12515" t="str">
            <v>X84.0</v>
          </cell>
          <cell r="B12515" t="str">
            <v>Lesión autoinfligida intencionalmente por medios no especificados, en vivienda</v>
          </cell>
        </row>
        <row r="12516">
          <cell r="A12516" t="str">
            <v>X84.1</v>
          </cell>
          <cell r="B12516" t="str">
            <v>Lesión autoinfligida intencionalmente por medios no especificados, en institución residencial</v>
          </cell>
        </row>
        <row r="12517">
          <cell r="A12517" t="str">
            <v>X84.2</v>
          </cell>
          <cell r="B12517" t="str">
            <v>Lesión autoinfligida intencionalmente por medios no especificados, en escuelas, otras instituciones y áreas administrativas públicas</v>
          </cell>
        </row>
        <row r="12518">
          <cell r="A12518" t="str">
            <v>X84.3</v>
          </cell>
          <cell r="B12518" t="str">
            <v>Lesión autoinfligida intencionalmente por medios no especificados, en áreas de deporte y atletismo</v>
          </cell>
        </row>
        <row r="12519">
          <cell r="A12519" t="str">
            <v>X84.4</v>
          </cell>
          <cell r="B12519" t="str">
            <v>Lesión autoinfligida intencionalmente por medios no especificados, en calles y carreteras</v>
          </cell>
        </row>
        <row r="12520">
          <cell r="A12520" t="str">
            <v>X84.5</v>
          </cell>
          <cell r="B12520" t="str">
            <v>Lesión autoinfligida intencionalmente por medios no especificados, en comercio y área de servicios</v>
          </cell>
        </row>
        <row r="12521">
          <cell r="A12521" t="str">
            <v>X84.6</v>
          </cell>
          <cell r="B12521" t="str">
            <v>Lesión autoinfligida intencionalmente por medios no especificados, en área industrial y de la construcción</v>
          </cell>
        </row>
        <row r="12522">
          <cell r="A12522" t="str">
            <v>X84.7</v>
          </cell>
          <cell r="B12522" t="str">
            <v>Lesión autoinfligida intencionalmente por medios no especificados, en granja</v>
          </cell>
        </row>
        <row r="12523">
          <cell r="A12523" t="str">
            <v>X84.8</v>
          </cell>
          <cell r="B12523" t="str">
            <v>Lesión autoinfligida intencionalmente por medios no especificados, en otro lugar especificado</v>
          </cell>
        </row>
        <row r="12524">
          <cell r="A12524" t="str">
            <v>X84.9</v>
          </cell>
          <cell r="B12524" t="str">
            <v>Lesión autoinfligida intencionalmente por medios no especificados, en lugar no especificado</v>
          </cell>
        </row>
        <row r="12525">
          <cell r="A12525" t="str">
            <v>X85</v>
          </cell>
          <cell r="B12525" t="str">
            <v>Agresión con drogas, medicamentos y sustancias biológicas</v>
          </cell>
        </row>
        <row r="12526">
          <cell r="A12526" t="str">
            <v>X85.0</v>
          </cell>
          <cell r="B12526" t="str">
            <v>Agresión con drogas, medicamentos y sustancias biológicas, en vivienda</v>
          </cell>
        </row>
        <row r="12527">
          <cell r="A12527" t="str">
            <v>X85.1</v>
          </cell>
          <cell r="B12527" t="str">
            <v>Agresión con drogas, medicamentos y sustancias biológicas, en institución residencial</v>
          </cell>
        </row>
        <row r="12528">
          <cell r="A12528" t="str">
            <v>X85.2</v>
          </cell>
          <cell r="B12528" t="str">
            <v>Agresión con drogas, medicamentos y sustancias biológicas, en escuelas, otras instituciones y áreas administrativas públicas</v>
          </cell>
        </row>
        <row r="12529">
          <cell r="A12529" t="str">
            <v>X85.3</v>
          </cell>
          <cell r="B12529" t="str">
            <v>Agresión con drogas, medicamentos y sustancias biológicas, en áreas de deporte y atletismo</v>
          </cell>
        </row>
        <row r="12530">
          <cell r="A12530" t="str">
            <v>X85.4</v>
          </cell>
          <cell r="B12530" t="str">
            <v>Agresión con drogas, medicamentos y sustancias biológicas, en calles y carreteras</v>
          </cell>
        </row>
        <row r="12531">
          <cell r="A12531" t="str">
            <v>X85.5</v>
          </cell>
          <cell r="B12531" t="str">
            <v>Agresión con drogas, medicamentos y sustancias biológicas, en comercio y área de servicios</v>
          </cell>
        </row>
        <row r="12532">
          <cell r="A12532" t="str">
            <v>X85.6</v>
          </cell>
          <cell r="B12532" t="str">
            <v>Agresión con drogas, medicamentos y sustancias biológicas, en área industrial y de la construcción</v>
          </cell>
        </row>
        <row r="12533">
          <cell r="A12533" t="str">
            <v>X85.7</v>
          </cell>
          <cell r="B12533" t="str">
            <v>Agresión con drogas, medicamentos y sustancias biológicas, en granja</v>
          </cell>
        </row>
        <row r="12534">
          <cell r="A12534" t="str">
            <v>X85.8</v>
          </cell>
          <cell r="B12534" t="str">
            <v>Agresión con drogas, medicamentos y sustancias biológicas, en otro lugar especificado</v>
          </cell>
        </row>
        <row r="12535">
          <cell r="A12535" t="str">
            <v>X85.9</v>
          </cell>
          <cell r="B12535" t="str">
            <v>Agresión con drogas, medicamentos y sustancias biológicas, en lugar no especificado</v>
          </cell>
        </row>
        <row r="12536">
          <cell r="A12536" t="str">
            <v>X86</v>
          </cell>
          <cell r="B12536" t="str">
            <v>Agresión con sustancia corrosiva</v>
          </cell>
        </row>
        <row r="12537">
          <cell r="A12537" t="str">
            <v>X86.0</v>
          </cell>
          <cell r="B12537" t="str">
            <v>Agresión con sustancia corrosiva, en vivienda</v>
          </cell>
        </row>
        <row r="12538">
          <cell r="A12538" t="str">
            <v>X86.1</v>
          </cell>
          <cell r="B12538" t="str">
            <v>Agresión con sustancia corrosiva, en institución residencial</v>
          </cell>
        </row>
        <row r="12539">
          <cell r="A12539" t="str">
            <v>X86.2</v>
          </cell>
          <cell r="B12539" t="str">
            <v>Agresión con sustancia corrosiva, en escuelas, otras instituciones y áreas administrativas públicas</v>
          </cell>
        </row>
        <row r="12540">
          <cell r="A12540" t="str">
            <v>X86.3</v>
          </cell>
          <cell r="B12540" t="str">
            <v>Agresión con sustancia corrosiva, en áreas de deporte y atletismo</v>
          </cell>
        </row>
        <row r="12541">
          <cell r="A12541" t="str">
            <v>X86.4</v>
          </cell>
          <cell r="B12541" t="str">
            <v>Agresión con sustancia corrosiva, en calles y carreteras</v>
          </cell>
        </row>
        <row r="12542">
          <cell r="A12542" t="str">
            <v>X86.5</v>
          </cell>
          <cell r="B12542" t="str">
            <v>Agresión con sustancia corrosiva, en comercio y área de servicios</v>
          </cell>
        </row>
        <row r="12543">
          <cell r="A12543" t="str">
            <v>X86.6</v>
          </cell>
          <cell r="B12543" t="str">
            <v>Agresión con sustancia corrosiva, en área industrial y de la construcción</v>
          </cell>
        </row>
        <row r="12544">
          <cell r="A12544" t="str">
            <v>X86.7</v>
          </cell>
          <cell r="B12544" t="str">
            <v>Agresión con sustancia corrosiva, en granja</v>
          </cell>
        </row>
        <row r="12545">
          <cell r="A12545" t="str">
            <v>X86.8</v>
          </cell>
          <cell r="B12545" t="str">
            <v>Agresión con sustancia corrosiva, en otro lugar especificado</v>
          </cell>
        </row>
        <row r="12546">
          <cell r="A12546" t="str">
            <v>X86.9</v>
          </cell>
          <cell r="B12546" t="str">
            <v>Agresión con sustancia corrosiva, en lugar no especificado</v>
          </cell>
        </row>
        <row r="12547">
          <cell r="A12547" t="str">
            <v>X87</v>
          </cell>
          <cell r="B12547" t="str">
            <v>Agresión con plaguicidas</v>
          </cell>
        </row>
        <row r="12548">
          <cell r="A12548" t="str">
            <v>X87.0</v>
          </cell>
          <cell r="B12548" t="str">
            <v>Agresión con plaguicidas, en vivienda</v>
          </cell>
        </row>
        <row r="12549">
          <cell r="A12549" t="str">
            <v>X87.1</v>
          </cell>
          <cell r="B12549" t="str">
            <v>Agresión con plaguicidas, en institución residencial</v>
          </cell>
        </row>
        <row r="12550">
          <cell r="A12550" t="str">
            <v>X87.2</v>
          </cell>
          <cell r="B12550" t="str">
            <v>Agresión con plaguicidas, en escuelas, otras instituciones y áreas administrativas públicas</v>
          </cell>
        </row>
        <row r="12551">
          <cell r="A12551" t="str">
            <v>X87.3</v>
          </cell>
          <cell r="B12551" t="str">
            <v>Agresión con plaguicidas, en áreas de deporte y atletismo</v>
          </cell>
        </row>
        <row r="12552">
          <cell r="A12552" t="str">
            <v>X87.4</v>
          </cell>
          <cell r="B12552" t="str">
            <v>Agresión con plaguicidas, en calles y carreteras</v>
          </cell>
        </row>
        <row r="12553">
          <cell r="A12553" t="str">
            <v>X87.5</v>
          </cell>
          <cell r="B12553" t="str">
            <v>Agresión con plaguicidas, en comercio y área de servicios</v>
          </cell>
        </row>
        <row r="12554">
          <cell r="A12554" t="str">
            <v>X87.6</v>
          </cell>
          <cell r="B12554" t="str">
            <v>Agresión con plaguicidas, en área industrial y de la construcción</v>
          </cell>
        </row>
        <row r="12555">
          <cell r="A12555" t="str">
            <v>X87.7</v>
          </cell>
          <cell r="B12555" t="str">
            <v>Agresión con plaguicidas, en granja</v>
          </cell>
        </row>
        <row r="12556">
          <cell r="A12556" t="str">
            <v>X87.8</v>
          </cell>
          <cell r="B12556" t="str">
            <v>Agresión con plaguicidas, en otro lugar especificado</v>
          </cell>
        </row>
        <row r="12557">
          <cell r="A12557" t="str">
            <v>X87.9</v>
          </cell>
          <cell r="B12557" t="str">
            <v>Agresión con plaguicidas, en lugar no especificado</v>
          </cell>
        </row>
        <row r="12558">
          <cell r="A12558" t="str">
            <v>X88</v>
          </cell>
          <cell r="B12558" t="str">
            <v>Agresión con gases y vapores</v>
          </cell>
        </row>
        <row r="12559">
          <cell r="A12559" t="str">
            <v>X88.0</v>
          </cell>
          <cell r="B12559" t="str">
            <v>Agresión con gases y vapores, en vivienda</v>
          </cell>
        </row>
        <row r="12560">
          <cell r="A12560" t="str">
            <v>X88.1</v>
          </cell>
          <cell r="B12560" t="str">
            <v>Agresión con gases y vapores, en institución residencial</v>
          </cell>
        </row>
        <row r="12561">
          <cell r="A12561" t="str">
            <v>X88.2</v>
          </cell>
          <cell r="B12561" t="str">
            <v>Agresión con gases y vapores, en escuelas, otras instituciones y áreas administrativas públicas</v>
          </cell>
        </row>
        <row r="12562">
          <cell r="A12562" t="str">
            <v>X88.3</v>
          </cell>
          <cell r="B12562" t="str">
            <v>Agresión con gases y vapores, en áreas de deporte y atletismo</v>
          </cell>
        </row>
        <row r="12563">
          <cell r="A12563" t="str">
            <v>X88.4</v>
          </cell>
          <cell r="B12563" t="str">
            <v>Agresión con gases y vapores, en calles y carreteras</v>
          </cell>
        </row>
        <row r="12564">
          <cell r="A12564" t="str">
            <v>X88.5</v>
          </cell>
          <cell r="B12564" t="str">
            <v>Agresión con gases y vapores, en comercio y área de servicios</v>
          </cell>
        </row>
        <row r="12565">
          <cell r="A12565" t="str">
            <v>X88.6</v>
          </cell>
          <cell r="B12565" t="str">
            <v>Agresión con gases y vapores, en área industrial y de la construcción</v>
          </cell>
        </row>
        <row r="12566">
          <cell r="A12566" t="str">
            <v>X88.7</v>
          </cell>
          <cell r="B12566" t="str">
            <v>Agresión con gases y vapores, en granja</v>
          </cell>
        </row>
        <row r="12567">
          <cell r="A12567" t="str">
            <v>X88.8</v>
          </cell>
          <cell r="B12567" t="str">
            <v>Agresión con gases y vapores, en otro lugar especificado</v>
          </cell>
        </row>
        <row r="12568">
          <cell r="A12568" t="str">
            <v>X88.9</v>
          </cell>
          <cell r="B12568" t="str">
            <v>Agresión con gases y vapores, en lugar no especificado</v>
          </cell>
        </row>
        <row r="12569">
          <cell r="A12569" t="str">
            <v>X89</v>
          </cell>
          <cell r="B12569" t="str">
            <v>Agresión con otros productos químicos y sustancias nocivas especificadas</v>
          </cell>
        </row>
        <row r="12570">
          <cell r="A12570" t="str">
            <v>X89.0</v>
          </cell>
          <cell r="B12570" t="str">
            <v>Agresión con otros productos químicos y sustancias nocivas especificadas, en vivienda</v>
          </cell>
        </row>
        <row r="12571">
          <cell r="A12571" t="str">
            <v>X89.1</v>
          </cell>
          <cell r="B12571" t="str">
            <v>Agresión con otros productos químicos y sustancias nocivas especificadas, en institución residencial</v>
          </cell>
        </row>
        <row r="12572">
          <cell r="A12572" t="str">
            <v>X89.2</v>
          </cell>
          <cell r="B12572" t="str">
            <v>Agresión con otros productos químicos y sustancias nocivas especificadas, en escuelas, otras instituciones y áreas administrativas públicas</v>
          </cell>
        </row>
        <row r="12573">
          <cell r="A12573" t="str">
            <v>X89.3</v>
          </cell>
          <cell r="B12573" t="str">
            <v>Agresión con otros productos químicos y sustancias nocivas especificadas, en áreas de deporte y atletismo</v>
          </cell>
        </row>
        <row r="12574">
          <cell r="A12574" t="str">
            <v>X89.4</v>
          </cell>
          <cell r="B12574" t="str">
            <v>Agresión con otros productos químicos y sustancias nocivas especificadas, en calles y carreteras</v>
          </cell>
        </row>
        <row r="12575">
          <cell r="A12575" t="str">
            <v>X89.5</v>
          </cell>
          <cell r="B12575" t="str">
            <v>Agresión con otros productos químicos y sustancias nocivas especificadas, en comercio y área de servicios</v>
          </cell>
        </row>
        <row r="12576">
          <cell r="A12576" t="str">
            <v>X89.6</v>
          </cell>
          <cell r="B12576" t="str">
            <v>Agresión con otros productos químicos y sustancias nocivas especificadas, en área industrial y de la construcción</v>
          </cell>
        </row>
        <row r="12577">
          <cell r="A12577" t="str">
            <v>X89.7</v>
          </cell>
          <cell r="B12577" t="str">
            <v>Agresión con otros productos químicos y sustancias nocivas especificadas, en granja</v>
          </cell>
        </row>
        <row r="12578">
          <cell r="A12578" t="str">
            <v>X89.8</v>
          </cell>
          <cell r="B12578" t="str">
            <v>Agresión con otros productos químicos y sustancias nocivas especificadas, en otro lugar especificado</v>
          </cell>
        </row>
        <row r="12579">
          <cell r="A12579" t="str">
            <v>X89.9</v>
          </cell>
          <cell r="B12579" t="str">
            <v>Agresión con otros productos químicos y sustancias nocivas especificadas, en lugar no especificado</v>
          </cell>
        </row>
        <row r="12580">
          <cell r="A12580" t="str">
            <v>X90</v>
          </cell>
          <cell r="B12580" t="str">
            <v>Agresión con productos químicos y sustancias nocivas no especificadas</v>
          </cell>
        </row>
        <row r="12581">
          <cell r="A12581" t="str">
            <v>X90.0</v>
          </cell>
          <cell r="B12581" t="str">
            <v>Agresión con productos químicos y sustancias nocivas no especificadas, en vivienda</v>
          </cell>
        </row>
        <row r="12582">
          <cell r="A12582" t="str">
            <v>X90.1</v>
          </cell>
          <cell r="B12582" t="str">
            <v>Agresión con productos químicos y sustancias nocivas no especificadas, en institución residencial</v>
          </cell>
        </row>
        <row r="12583">
          <cell r="A12583" t="str">
            <v>X90.2</v>
          </cell>
          <cell r="B12583" t="str">
            <v>Agresión con productos químicos y sustancias nocivas no especificadas, en escuelas, otras instituciones y áreas administrativas públicas</v>
          </cell>
        </row>
        <row r="12584">
          <cell r="A12584" t="str">
            <v>X90.3</v>
          </cell>
          <cell r="B12584" t="str">
            <v>Agresión con productos químicos y sustancias nocivas no especificadas, en áreas de deporte y atletismo</v>
          </cell>
        </row>
        <row r="12585">
          <cell r="A12585" t="str">
            <v>X90.4</v>
          </cell>
          <cell r="B12585" t="str">
            <v>Agresión con productos químicos y sustancias nocivas no especificadas, en calles y carreteras</v>
          </cell>
        </row>
        <row r="12586">
          <cell r="A12586" t="str">
            <v>X90.5</v>
          </cell>
          <cell r="B12586" t="str">
            <v>Agresión con productos químicos y sustancias nocivas no especificadas, en comercio y área de servicios</v>
          </cell>
        </row>
        <row r="12587">
          <cell r="A12587" t="str">
            <v>X90.6</v>
          </cell>
          <cell r="B12587" t="str">
            <v>Agresión con productos químicos y sustancias nocivas no especificadas, en área industrial y de la construcción</v>
          </cell>
        </row>
        <row r="12588">
          <cell r="A12588" t="str">
            <v>X90.7</v>
          </cell>
          <cell r="B12588" t="str">
            <v>Agresión con productos químicos y sustancias nocivas no especificadas, en granja</v>
          </cell>
        </row>
        <row r="12589">
          <cell r="A12589" t="str">
            <v>X90.8</v>
          </cell>
          <cell r="B12589" t="str">
            <v>Agresión con productos químicos y sustancias nocivas no especificadas, en otro lugar especificado</v>
          </cell>
        </row>
        <row r="12590">
          <cell r="A12590" t="str">
            <v>X90.9</v>
          </cell>
          <cell r="B12590" t="str">
            <v>Agresión con productos químicos y sustancias nocivas no especificadas, en lugar no especificado</v>
          </cell>
        </row>
        <row r="12591">
          <cell r="A12591" t="str">
            <v>X91</v>
          </cell>
          <cell r="B12591" t="str">
            <v>Agresión por ahorcamiento, estrangulamiento y sofocación</v>
          </cell>
        </row>
        <row r="12592">
          <cell r="A12592" t="str">
            <v>X91.0</v>
          </cell>
          <cell r="B12592" t="str">
            <v>Agresión por ahorcamiento, estrangulamiento y sofocación, en vivienda</v>
          </cell>
        </row>
        <row r="12593">
          <cell r="A12593" t="str">
            <v>X91.1</v>
          </cell>
          <cell r="B12593" t="str">
            <v>Agresión por ahorcamiento, estrangulamiento y sofocación, en institución residencial</v>
          </cell>
        </row>
        <row r="12594">
          <cell r="A12594" t="str">
            <v>X91.2</v>
          </cell>
          <cell r="B12594" t="str">
            <v>Agresión por ahorcamiento, estrangulamiento y sofocación, en escuelas, otras instituciones y áreas administrativas públicas</v>
          </cell>
        </row>
        <row r="12595">
          <cell r="A12595" t="str">
            <v>X91.3</v>
          </cell>
          <cell r="B12595" t="str">
            <v>Agresión por ahorcamiento, estrangulamiento y sofocación, en áreas de deporte y atletismo</v>
          </cell>
        </row>
        <row r="12596">
          <cell r="A12596" t="str">
            <v>X91.4</v>
          </cell>
          <cell r="B12596" t="str">
            <v>Agresión por ahorcamiento, estrangulamiento y sofocación, en calles y carreteras</v>
          </cell>
        </row>
        <row r="12597">
          <cell r="A12597" t="str">
            <v>X91.5</v>
          </cell>
          <cell r="B12597" t="str">
            <v>Agresión por ahorcamiento, estrangulamiento y sofocación, en comercio y área de servicios</v>
          </cell>
        </row>
        <row r="12598">
          <cell r="A12598" t="str">
            <v>X91.6</v>
          </cell>
          <cell r="B12598" t="str">
            <v>Agresión por ahorcamiento, estrangulamiento y sofocación, en área industrial y de la construcción</v>
          </cell>
        </row>
        <row r="12599">
          <cell r="A12599" t="str">
            <v>X91.7</v>
          </cell>
          <cell r="B12599" t="str">
            <v>Agresión por ahorcamiento, estrangulamiento y sofocación, en granja</v>
          </cell>
        </row>
        <row r="12600">
          <cell r="A12600" t="str">
            <v>X91.8</v>
          </cell>
          <cell r="B12600" t="str">
            <v>Agresión por ahorcamiento, estrangulamiento y sofocación, en otro lugar especificado</v>
          </cell>
        </row>
        <row r="12601">
          <cell r="A12601" t="str">
            <v>X91.9</v>
          </cell>
          <cell r="B12601" t="str">
            <v>Agresión por ahorcamiento, estrangulamiento y sofocación, en lugar no especificado</v>
          </cell>
        </row>
        <row r="12602">
          <cell r="A12602" t="str">
            <v>X92</v>
          </cell>
          <cell r="B12602" t="str">
            <v>Agresión por  ahogamiento y sumersión</v>
          </cell>
        </row>
        <row r="12603">
          <cell r="A12603" t="str">
            <v>X92.0</v>
          </cell>
          <cell r="B12603" t="str">
            <v>Agresión por  ahogamiento y sumersión, en vivienda</v>
          </cell>
        </row>
        <row r="12604">
          <cell r="A12604" t="str">
            <v>X92.1</v>
          </cell>
          <cell r="B12604" t="str">
            <v>Agresión por  ahogamiento y sumersión, en institución residencial</v>
          </cell>
        </row>
        <row r="12605">
          <cell r="A12605" t="str">
            <v>X92.2</v>
          </cell>
          <cell r="B12605" t="str">
            <v>Agresión por  ahogamiento y sumersión, en escuelas, otras instituciones y áreas administrativas públicas</v>
          </cell>
        </row>
        <row r="12606">
          <cell r="A12606" t="str">
            <v>X92.3</v>
          </cell>
          <cell r="B12606" t="str">
            <v>Agresión por  ahogamiento y sumersión, en áreas de deporte y atletismo</v>
          </cell>
        </row>
        <row r="12607">
          <cell r="A12607" t="str">
            <v>X92.4</v>
          </cell>
          <cell r="B12607" t="str">
            <v>Agresión por  ahogamiento y sumersión, en calles y carreteras</v>
          </cell>
        </row>
        <row r="12608">
          <cell r="A12608" t="str">
            <v>X92.5</v>
          </cell>
          <cell r="B12608" t="str">
            <v>Agresión por  ahogamiento y sumersión, en comercio y área de servicios</v>
          </cell>
        </row>
        <row r="12609">
          <cell r="A12609" t="str">
            <v>X92.6</v>
          </cell>
          <cell r="B12609" t="str">
            <v>Agresión por  ahogamiento y sumersión, en área industrial y de la construcción</v>
          </cell>
        </row>
        <row r="12610">
          <cell r="A12610" t="str">
            <v>X92.7</v>
          </cell>
          <cell r="B12610" t="str">
            <v>Agresión por  ahogamiento y sumersión, en granja</v>
          </cell>
        </row>
        <row r="12611">
          <cell r="A12611" t="str">
            <v>X92.8</v>
          </cell>
          <cell r="B12611" t="str">
            <v>Agresión por  ahogamiento y sumersión, en otro lugar especificado</v>
          </cell>
        </row>
        <row r="12612">
          <cell r="A12612" t="str">
            <v>X92.9</v>
          </cell>
          <cell r="B12612" t="str">
            <v>Agresión por  ahogamiento y sumersión, en lugar no especificado</v>
          </cell>
        </row>
        <row r="12613">
          <cell r="A12613" t="str">
            <v>X93</v>
          </cell>
          <cell r="B12613" t="str">
            <v>Agresión con disparo de arma corta</v>
          </cell>
        </row>
        <row r="12614">
          <cell r="A12614" t="str">
            <v>X93.0</v>
          </cell>
          <cell r="B12614" t="str">
            <v>Agresión con disparo de arma corta, en vivienda</v>
          </cell>
        </row>
        <row r="12615">
          <cell r="A12615" t="str">
            <v>X93.1</v>
          </cell>
          <cell r="B12615" t="str">
            <v>Agresión con disparo de arma corta, en institución residencial</v>
          </cell>
        </row>
        <row r="12616">
          <cell r="A12616" t="str">
            <v>X93.2</v>
          </cell>
          <cell r="B12616" t="str">
            <v>Agresión con disparo de arma corta, en escuelas, otras instituciones y áreas administrativas públicas</v>
          </cell>
        </row>
        <row r="12617">
          <cell r="A12617" t="str">
            <v>X93.3</v>
          </cell>
          <cell r="B12617" t="str">
            <v>Agresión con disparo de arma corta, en áreas de deporte y atletismo</v>
          </cell>
        </row>
        <row r="12618">
          <cell r="A12618" t="str">
            <v>X93.4</v>
          </cell>
          <cell r="B12618" t="str">
            <v>Agresión con disparo de arma corta, en calles y carreteras</v>
          </cell>
        </row>
        <row r="12619">
          <cell r="A12619" t="str">
            <v>X93.5</v>
          </cell>
          <cell r="B12619" t="str">
            <v>Agresión con disparo de arma corta, en comercio y área de servicios</v>
          </cell>
        </row>
        <row r="12620">
          <cell r="A12620" t="str">
            <v>X93.6</v>
          </cell>
          <cell r="B12620" t="str">
            <v>Agresión con disparo de arma corta, en área industrial y de la construcción</v>
          </cell>
        </row>
        <row r="12621">
          <cell r="A12621" t="str">
            <v>X93.7</v>
          </cell>
          <cell r="B12621" t="str">
            <v>Agresión con disparo de arma corta, en granja</v>
          </cell>
        </row>
        <row r="12622">
          <cell r="A12622" t="str">
            <v>X93.8</v>
          </cell>
          <cell r="B12622" t="str">
            <v>Agresión con disparo de arma corta, en otro lugar especificado</v>
          </cell>
        </row>
        <row r="12623">
          <cell r="A12623" t="str">
            <v>X93.9</v>
          </cell>
          <cell r="B12623" t="str">
            <v>Agresión con disparo de arma corta, en lugar no especificado</v>
          </cell>
        </row>
        <row r="12624">
          <cell r="A12624" t="str">
            <v>X94</v>
          </cell>
          <cell r="B12624" t="str">
            <v>Agresión con disparo de rifle, escopeta y arma larga</v>
          </cell>
        </row>
        <row r="12625">
          <cell r="A12625" t="str">
            <v>X94.0</v>
          </cell>
          <cell r="B12625" t="str">
            <v>Agresión con disparo de rifle, escopeta y arma larga, en vivienda</v>
          </cell>
        </row>
        <row r="12626">
          <cell r="A12626" t="str">
            <v>X94.1</v>
          </cell>
          <cell r="B12626" t="str">
            <v>Agresión con disparo de rifle, escopeta y arma larga, en institución residencial</v>
          </cell>
        </row>
        <row r="12627">
          <cell r="A12627" t="str">
            <v>X94.2</v>
          </cell>
          <cell r="B12627" t="str">
            <v>Agresión con disparo de rifle, escopeta y arma larga, en escuelas, otras instituciones y áreas administrativas públicas</v>
          </cell>
        </row>
        <row r="12628">
          <cell r="A12628" t="str">
            <v>X94.3</v>
          </cell>
          <cell r="B12628" t="str">
            <v>Agresión con disparo de rifle, escopeta y arma larga, en áreas de deporte y atletismo</v>
          </cell>
        </row>
        <row r="12629">
          <cell r="A12629" t="str">
            <v>X94.4</v>
          </cell>
          <cell r="B12629" t="str">
            <v>Agresión con disparo de rifle, escopeta y arma larga, en calles y carreteras</v>
          </cell>
        </row>
        <row r="12630">
          <cell r="A12630" t="str">
            <v>X94.5</v>
          </cell>
          <cell r="B12630" t="str">
            <v>Agresión con disparo de rifle, escopeta y arma larga, en comercio y área de servicios</v>
          </cell>
        </row>
        <row r="12631">
          <cell r="A12631" t="str">
            <v>X94.6</v>
          </cell>
          <cell r="B12631" t="str">
            <v>Agresión con disparo de rifle, escopeta y arma larga, en área industrial y de la construcción</v>
          </cell>
        </row>
        <row r="12632">
          <cell r="A12632" t="str">
            <v>X94.7</v>
          </cell>
          <cell r="B12632" t="str">
            <v>Agresión con disparo de rifle, escopeta y arma larga, en granja</v>
          </cell>
        </row>
        <row r="12633">
          <cell r="A12633" t="str">
            <v>X94.8</v>
          </cell>
          <cell r="B12633" t="str">
            <v>Agresión con disparo de rifle, escopeta y arma larga, en otro lugar especificado</v>
          </cell>
        </row>
        <row r="12634">
          <cell r="A12634" t="str">
            <v>X94.9</v>
          </cell>
          <cell r="B12634" t="str">
            <v>Agresión con disparo de rifle, escopeta y arma larga, en lugar no especificado</v>
          </cell>
        </row>
        <row r="12635">
          <cell r="A12635" t="str">
            <v>X95</v>
          </cell>
          <cell r="B12635" t="str">
            <v>Agresión con disparo de otras armas de fuego, y las no especificadas</v>
          </cell>
        </row>
        <row r="12636">
          <cell r="A12636" t="str">
            <v>X95.0</v>
          </cell>
          <cell r="B12636" t="str">
            <v>Agresión con disparo de otras armas de fuego, y las no especificadas, en vivienda</v>
          </cell>
        </row>
        <row r="12637">
          <cell r="A12637" t="str">
            <v>X95.1</v>
          </cell>
          <cell r="B12637" t="str">
            <v>Agresión con disparo de otras armas de fuego, y las no especificadas, en institución residencial</v>
          </cell>
        </row>
        <row r="12638">
          <cell r="A12638" t="str">
            <v>X95.2</v>
          </cell>
          <cell r="B12638" t="str">
            <v>Agresión con disparo de otras armas de fuego, y las no especificadas, en escuelas, otras instituciones y áreas administrativas públicas</v>
          </cell>
        </row>
        <row r="12639">
          <cell r="A12639" t="str">
            <v>X95.3</v>
          </cell>
          <cell r="B12639" t="str">
            <v>Agresión con disparo de otras armas de fuego, y las no especificadas, en áreas de deporte y atletismo</v>
          </cell>
        </row>
        <row r="12640">
          <cell r="A12640" t="str">
            <v>X95.4</v>
          </cell>
          <cell r="B12640" t="str">
            <v>Agresión con disparo de otras armas de fuego, y las no especificadas, en calles y carreteras</v>
          </cell>
        </row>
        <row r="12641">
          <cell r="A12641" t="str">
            <v>X95.5</v>
          </cell>
          <cell r="B12641" t="str">
            <v>Agresión con disparo de otras armas de fuego, y las no especificadas, en comercio y área de servicios</v>
          </cell>
        </row>
        <row r="12642">
          <cell r="A12642" t="str">
            <v>X95.6</v>
          </cell>
          <cell r="B12642" t="str">
            <v>Agresión con disparo de otras armas de fuego, y las no especificadas, en área industrial y de la construcción</v>
          </cell>
        </row>
        <row r="12643">
          <cell r="A12643" t="str">
            <v>X95.7</v>
          </cell>
          <cell r="B12643" t="str">
            <v>Agresión con disparo de otras armas de fuego, y las no especificadas, en granja</v>
          </cell>
        </row>
        <row r="12644">
          <cell r="A12644" t="str">
            <v>X95.8</v>
          </cell>
          <cell r="B12644" t="str">
            <v>Agresión con disparo de otras armas de fuego, y las no especificadas, en otro lugar especificado</v>
          </cell>
        </row>
        <row r="12645">
          <cell r="A12645" t="str">
            <v>X95.9</v>
          </cell>
          <cell r="B12645" t="str">
            <v>Agresión con disparo de otras armas de fuego, y las no especificadas, en lugar no especificado</v>
          </cell>
        </row>
        <row r="12646">
          <cell r="A12646" t="str">
            <v>X96</v>
          </cell>
          <cell r="B12646" t="str">
            <v>Agresión con material explosivo</v>
          </cell>
        </row>
        <row r="12647">
          <cell r="A12647" t="str">
            <v>X96.0</v>
          </cell>
          <cell r="B12647" t="str">
            <v>Agresión con material explosivo, en vivienda</v>
          </cell>
        </row>
        <row r="12648">
          <cell r="A12648" t="str">
            <v>X96.1</v>
          </cell>
          <cell r="B12648" t="str">
            <v>Agresión con material explosivo, en institución residencial</v>
          </cell>
        </row>
        <row r="12649">
          <cell r="A12649" t="str">
            <v>X96.2</v>
          </cell>
          <cell r="B12649" t="str">
            <v>Agresión con material explosivo, en escuelas, otras instituciones y áreas administrativas públicas</v>
          </cell>
        </row>
        <row r="12650">
          <cell r="A12650" t="str">
            <v>X96.3</v>
          </cell>
          <cell r="B12650" t="str">
            <v>Agresión con material explosivo, en áreas de deporte y atletismo</v>
          </cell>
        </row>
        <row r="12651">
          <cell r="A12651" t="str">
            <v>X96.4</v>
          </cell>
          <cell r="B12651" t="str">
            <v>Agresión con material explosivo, en calles y carreteras</v>
          </cell>
        </row>
        <row r="12652">
          <cell r="A12652" t="str">
            <v>X96.5</v>
          </cell>
          <cell r="B12652" t="str">
            <v>Agresión con material explosivo, en comercio y área de servicios</v>
          </cell>
        </row>
        <row r="12653">
          <cell r="A12653" t="str">
            <v>X96.6</v>
          </cell>
          <cell r="B12653" t="str">
            <v>Agresión con material explosivo, en área industrial y de la construcción</v>
          </cell>
        </row>
        <row r="12654">
          <cell r="A12654" t="str">
            <v>X96.7</v>
          </cell>
          <cell r="B12654" t="str">
            <v>Agresión con material explosivo, en granja</v>
          </cell>
        </row>
        <row r="12655">
          <cell r="A12655" t="str">
            <v>X96.8</v>
          </cell>
          <cell r="B12655" t="str">
            <v>Agresión con material explosivo, en otro lugar especificado</v>
          </cell>
        </row>
        <row r="12656">
          <cell r="A12656" t="str">
            <v>X96.9</v>
          </cell>
          <cell r="B12656" t="str">
            <v>Agresión con material explosivo, en lugar no especificado</v>
          </cell>
        </row>
        <row r="12657">
          <cell r="A12657" t="str">
            <v>X97</v>
          </cell>
          <cell r="B12657" t="str">
            <v>Agresión con humo, fuego y llamas</v>
          </cell>
        </row>
        <row r="12658">
          <cell r="A12658" t="str">
            <v>X97.0</v>
          </cell>
          <cell r="B12658" t="str">
            <v>Agresión con humo, fuego y llamas, en vivienda</v>
          </cell>
        </row>
        <row r="12659">
          <cell r="A12659" t="str">
            <v>X97.1</v>
          </cell>
          <cell r="B12659" t="str">
            <v>Agresión con humo, fuego y llamas, en institución residencial</v>
          </cell>
        </row>
        <row r="12660">
          <cell r="A12660" t="str">
            <v>X97.2</v>
          </cell>
          <cell r="B12660" t="str">
            <v>Agresión con humo, fuego y llamas, en escuelas, otras instituciones y áreas administrativas públicas</v>
          </cell>
        </row>
        <row r="12661">
          <cell r="A12661" t="str">
            <v>X97.3</v>
          </cell>
          <cell r="B12661" t="str">
            <v>Agresión con humo, fuego y llamas, en áreas de deporte y atletismo</v>
          </cell>
        </row>
        <row r="12662">
          <cell r="A12662" t="str">
            <v>X97.4</v>
          </cell>
          <cell r="B12662" t="str">
            <v>Agresión con humo, fuego y llamas, en calles y carreteras</v>
          </cell>
        </row>
        <row r="12663">
          <cell r="A12663" t="str">
            <v>X97.5</v>
          </cell>
          <cell r="B12663" t="str">
            <v>Agresión con humo, fuego y llamas, en comercio y área de servicios</v>
          </cell>
        </row>
        <row r="12664">
          <cell r="A12664" t="str">
            <v>X97.6</v>
          </cell>
          <cell r="B12664" t="str">
            <v>Agresión con humo, fuego y llamas, en área industrial y de la construcción</v>
          </cell>
        </row>
        <row r="12665">
          <cell r="A12665" t="str">
            <v>X97.7</v>
          </cell>
          <cell r="B12665" t="str">
            <v>Agresión con humo, fuego y llamas, en granja</v>
          </cell>
        </row>
        <row r="12666">
          <cell r="A12666" t="str">
            <v>X97.8</v>
          </cell>
          <cell r="B12666" t="str">
            <v>Agresión con humo, fuego y llamas, en otro lugar especificado</v>
          </cell>
        </row>
        <row r="12667">
          <cell r="A12667" t="str">
            <v>X97.9</v>
          </cell>
          <cell r="B12667" t="str">
            <v>Agresión con humo, fuego y llamas, en lugar no especificado</v>
          </cell>
        </row>
        <row r="12668">
          <cell r="A12668" t="str">
            <v>X98</v>
          </cell>
          <cell r="B12668" t="str">
            <v>Agresión con vapor de agua, vapores y objetos calientes</v>
          </cell>
        </row>
        <row r="12669">
          <cell r="A12669" t="str">
            <v>X98.0</v>
          </cell>
          <cell r="B12669" t="str">
            <v>Agresión con vapor de agua, vapores y objetos calientes, en vivienda</v>
          </cell>
        </row>
        <row r="12670">
          <cell r="A12670" t="str">
            <v>X98.1</v>
          </cell>
          <cell r="B12670" t="str">
            <v>Agresión con vapor de agua, vapores y objetos calientes, en institución residencial</v>
          </cell>
        </row>
        <row r="12671">
          <cell r="A12671" t="str">
            <v>X98.2</v>
          </cell>
          <cell r="B12671" t="str">
            <v>Agresión con vapor de agua, vapores y objetos calientes, en escuelas, otras instituciones y áreas administrativas públicas</v>
          </cell>
        </row>
        <row r="12672">
          <cell r="A12672" t="str">
            <v>X98.3</v>
          </cell>
          <cell r="B12672" t="str">
            <v>Agresión con vapor de agua, vapores y objetos calientes, en áreas de deporte y atletismo</v>
          </cell>
        </row>
        <row r="12673">
          <cell r="A12673" t="str">
            <v>X98.4</v>
          </cell>
          <cell r="B12673" t="str">
            <v>Agresión con vapor de agua, vapores y objetos calientes, en calles y carreteras</v>
          </cell>
        </row>
        <row r="12674">
          <cell r="A12674" t="str">
            <v>X98.5</v>
          </cell>
          <cell r="B12674" t="str">
            <v>Agresión con vapor de agua, vapores y objetos calientes, en comercio y área de servicios</v>
          </cell>
        </row>
        <row r="12675">
          <cell r="A12675" t="str">
            <v>X98.6</v>
          </cell>
          <cell r="B12675" t="str">
            <v>Agresión con vapor de agua, vapores y objetos calientes, en área industrial y de la construcción</v>
          </cell>
        </row>
        <row r="12676">
          <cell r="A12676" t="str">
            <v>X98.7</v>
          </cell>
          <cell r="B12676" t="str">
            <v>Agresión con vapor de agua, vapores y objetos calientes, en granja</v>
          </cell>
        </row>
        <row r="12677">
          <cell r="A12677" t="str">
            <v>X98.8</v>
          </cell>
          <cell r="B12677" t="str">
            <v>Agresión con vapor de agua, vapores y objetos calientes, en otro lugar especificado</v>
          </cell>
        </row>
        <row r="12678">
          <cell r="A12678" t="str">
            <v>X98.9</v>
          </cell>
          <cell r="B12678" t="str">
            <v>Agresión con vapor de agua, vapores y objetos calientes, en lugar no especificado</v>
          </cell>
        </row>
        <row r="12679">
          <cell r="A12679" t="str">
            <v>X99</v>
          </cell>
          <cell r="B12679" t="str">
            <v>Agresión con objeto cortante</v>
          </cell>
        </row>
        <row r="12680">
          <cell r="A12680" t="str">
            <v>X99.0</v>
          </cell>
          <cell r="B12680" t="str">
            <v>Agresión con objeto cortante, en vivienda</v>
          </cell>
        </row>
        <row r="12681">
          <cell r="A12681" t="str">
            <v>X99.1</v>
          </cell>
          <cell r="B12681" t="str">
            <v>Agresión con objeto cortante, en institución residencial</v>
          </cell>
        </row>
        <row r="12682">
          <cell r="A12682" t="str">
            <v>X99.2</v>
          </cell>
          <cell r="B12682" t="str">
            <v>Agresión con objeto cortante, en escuelas, otras instituciones y áreas administrativas públicas</v>
          </cell>
        </row>
        <row r="12683">
          <cell r="A12683" t="str">
            <v>X99.3</v>
          </cell>
          <cell r="B12683" t="str">
            <v>Agresión con objeto cortante, en áreas de deporte y atletismo</v>
          </cell>
        </row>
        <row r="12684">
          <cell r="A12684" t="str">
            <v>X99.4</v>
          </cell>
          <cell r="B12684" t="str">
            <v>Agresión con objeto cortante, en calles y carreteras</v>
          </cell>
        </row>
        <row r="12685">
          <cell r="A12685" t="str">
            <v>X99.5</v>
          </cell>
          <cell r="B12685" t="str">
            <v>Agresión con objeto cortante, en comercio y área de servicios</v>
          </cell>
        </row>
        <row r="12686">
          <cell r="A12686" t="str">
            <v>X99.6</v>
          </cell>
          <cell r="B12686" t="str">
            <v>Agresión con objeto cortante, en área industrial y de la construcción</v>
          </cell>
        </row>
        <row r="12687">
          <cell r="A12687" t="str">
            <v>X99.7</v>
          </cell>
          <cell r="B12687" t="str">
            <v>Agresión con objeto cortante, en granja</v>
          </cell>
        </row>
        <row r="12688">
          <cell r="A12688" t="str">
            <v>X99.8</v>
          </cell>
          <cell r="B12688" t="str">
            <v>Agresión con objeto cortante, en otro lugar especificado</v>
          </cell>
        </row>
        <row r="12689">
          <cell r="A12689" t="str">
            <v>X99.9</v>
          </cell>
          <cell r="B12689" t="str">
            <v>Agresión con objeto cortante, en lugar no especificado</v>
          </cell>
        </row>
        <row r="12690">
          <cell r="A12690" t="str">
            <v>Y</v>
          </cell>
          <cell r="B12690" t="str">
            <v>Efectos Adversos Drogas, Dispositivos, Yatrogenias</v>
          </cell>
        </row>
        <row r="12691">
          <cell r="A12691" t="str">
            <v>Y00</v>
          </cell>
          <cell r="B12691" t="str">
            <v>Agresión con objeto romo o sin filo</v>
          </cell>
        </row>
        <row r="12692">
          <cell r="A12692" t="str">
            <v>Y00.0</v>
          </cell>
          <cell r="B12692" t="str">
            <v>Agresión con objeto romo o sin filo, en vivienda</v>
          </cell>
        </row>
        <row r="12693">
          <cell r="A12693" t="str">
            <v>Y00.1</v>
          </cell>
          <cell r="B12693" t="str">
            <v>Agresión con objeto romo o sin filo, en institución residencial</v>
          </cell>
        </row>
        <row r="12694">
          <cell r="A12694" t="str">
            <v>Y00.2</v>
          </cell>
          <cell r="B12694" t="str">
            <v>Agresión con objeto romo o sin filo, en escuelas, otras instituciones y áreas administrativas públicas</v>
          </cell>
        </row>
        <row r="12695">
          <cell r="A12695" t="str">
            <v>Y00.3</v>
          </cell>
          <cell r="B12695" t="str">
            <v>Agresión con objeto romo o sin filo, en áreas de deporte y atletismo</v>
          </cell>
        </row>
        <row r="12696">
          <cell r="A12696" t="str">
            <v>Y00.4</v>
          </cell>
          <cell r="B12696" t="str">
            <v>Agresión con objeto romo o sin filo, en calles y carreteras</v>
          </cell>
        </row>
        <row r="12697">
          <cell r="A12697" t="str">
            <v>Y00.5</v>
          </cell>
          <cell r="B12697" t="str">
            <v>Agresión con objeto romo o sin filo, en comercio y área de servicios</v>
          </cell>
        </row>
        <row r="12698">
          <cell r="A12698" t="str">
            <v>Y00.6</v>
          </cell>
          <cell r="B12698" t="str">
            <v>Agresión con objeto romo o sin filo, en área industrial y de la construcción</v>
          </cell>
        </row>
        <row r="12699">
          <cell r="A12699" t="str">
            <v>Y00.7</v>
          </cell>
          <cell r="B12699" t="str">
            <v>Agresión con objeto romo o sin filo, en granja</v>
          </cell>
        </row>
        <row r="12700">
          <cell r="A12700" t="str">
            <v>Y00.8</v>
          </cell>
          <cell r="B12700" t="str">
            <v>Agresión con objeto romo o sin filo, en otro lugar especificado</v>
          </cell>
        </row>
        <row r="12701">
          <cell r="A12701" t="str">
            <v>Y00.9</v>
          </cell>
          <cell r="B12701" t="str">
            <v>Agresión con objeto romo o sin filo, en lugar no especificado</v>
          </cell>
        </row>
        <row r="12702">
          <cell r="A12702" t="str">
            <v>Y01</v>
          </cell>
          <cell r="B12702" t="str">
            <v>Agresión por empujón desde un lugar elevado</v>
          </cell>
        </row>
        <row r="12703">
          <cell r="A12703" t="str">
            <v>Y01.0</v>
          </cell>
          <cell r="B12703" t="str">
            <v>Agresión por empujón desde un lugar elevado, en vivienda</v>
          </cell>
        </row>
        <row r="12704">
          <cell r="A12704" t="str">
            <v>Y01.1</v>
          </cell>
          <cell r="B12704" t="str">
            <v>Agresión por empujón desde un lugar elevado, en institución residencial</v>
          </cell>
        </row>
        <row r="12705">
          <cell r="A12705" t="str">
            <v>Y01.2</v>
          </cell>
          <cell r="B12705" t="str">
            <v>Agresión por empujón desde un lugar elevado, en escuelas, otras instituciones y áreas administrativas públicas</v>
          </cell>
        </row>
        <row r="12706">
          <cell r="A12706" t="str">
            <v>Y01.3</v>
          </cell>
          <cell r="B12706" t="str">
            <v>Agresión por empujón desde un lugar elevado, en áreas de deporte y atletismo</v>
          </cell>
        </row>
        <row r="12707">
          <cell r="A12707" t="str">
            <v>Y01.4</v>
          </cell>
          <cell r="B12707" t="str">
            <v>Agresión por empujón desde un lugar elevado, en calles y carreteras</v>
          </cell>
        </row>
        <row r="12708">
          <cell r="A12708" t="str">
            <v>Y01.5</v>
          </cell>
          <cell r="B12708" t="str">
            <v>Agresión por empujón desde un lugar elevado, en comercio y área de servicios</v>
          </cell>
        </row>
        <row r="12709">
          <cell r="A12709" t="str">
            <v>Y01.6</v>
          </cell>
          <cell r="B12709" t="str">
            <v>Agresión por empujón desde un lugar elevado, en área industrial y de la construcción</v>
          </cell>
        </row>
        <row r="12710">
          <cell r="A12710" t="str">
            <v>Y01.7</v>
          </cell>
          <cell r="B12710" t="str">
            <v>Agresión por empujón desde un lugar elevado, en granja</v>
          </cell>
        </row>
        <row r="12711">
          <cell r="A12711" t="str">
            <v>Y01.8</v>
          </cell>
          <cell r="B12711" t="str">
            <v>Agresión por empujón desde un lugar elevado, en otro lugar especificado</v>
          </cell>
        </row>
        <row r="12712">
          <cell r="A12712" t="str">
            <v>Y01.9</v>
          </cell>
          <cell r="B12712" t="str">
            <v>Agresión por empujón desde un lugar elevado, en lugar no especificado</v>
          </cell>
        </row>
        <row r="12713">
          <cell r="A12713" t="str">
            <v>Y02</v>
          </cell>
          <cell r="B12713" t="str">
            <v>Agresión por empujar o colocar a la víctima delante de objeto en movimiento</v>
          </cell>
        </row>
        <row r="12714">
          <cell r="A12714" t="str">
            <v>Y02.0</v>
          </cell>
          <cell r="B12714" t="str">
            <v>Agresión por empujar o colocar a la víctima delante de objeto en movimiento, en vivienda</v>
          </cell>
        </row>
        <row r="12715">
          <cell r="A12715" t="str">
            <v>Y02.1</v>
          </cell>
          <cell r="B12715" t="str">
            <v>Agresión por empujar o colocar a la víctima delante de objeto en movimiento, en institución residencial</v>
          </cell>
        </row>
        <row r="12716">
          <cell r="A12716" t="str">
            <v>Y02.2</v>
          </cell>
          <cell r="B12716" t="str">
            <v>Agresión por empujar o colocar a la víctima delante de objeto en movimiento, en escuelas, otras instituciones y áreas administrativas públicas</v>
          </cell>
        </row>
        <row r="12717">
          <cell r="A12717" t="str">
            <v>Y02.3</v>
          </cell>
          <cell r="B12717" t="str">
            <v>Agresión por empujar o colocar a la víctima delante de objeto en movimiento, en áreas de deporte y atletismo</v>
          </cell>
        </row>
        <row r="12718">
          <cell r="A12718" t="str">
            <v>Y02.4</v>
          </cell>
          <cell r="B12718" t="str">
            <v>Agresión por empujar o colocar a la víctima delante de objeto en movimiento, en calles y carreteras</v>
          </cell>
        </row>
        <row r="12719">
          <cell r="A12719" t="str">
            <v>Y02.5</v>
          </cell>
          <cell r="B12719" t="str">
            <v>Agresión por empujar o colocar a la víctima delante de objeto en movimiento, en comercio y área de servicios</v>
          </cell>
        </row>
        <row r="12720">
          <cell r="A12720" t="str">
            <v>Y02.6</v>
          </cell>
          <cell r="B12720" t="str">
            <v>Agresión por empujar o colocar a la víctima delante de objeto en movimiento, en área industrial y de la construcción</v>
          </cell>
        </row>
        <row r="12721">
          <cell r="A12721" t="str">
            <v>Y02.7</v>
          </cell>
          <cell r="B12721" t="str">
            <v>Agresión por empujar o colocar a la víctima delante de objeto en movimiento, en granja</v>
          </cell>
        </row>
        <row r="12722">
          <cell r="A12722" t="str">
            <v>Y02.8</v>
          </cell>
          <cell r="B12722" t="str">
            <v>Agresión por empujar o colocar a la víctima delante de objeto en movimiento, en otro lugar especificado</v>
          </cell>
        </row>
        <row r="12723">
          <cell r="A12723" t="str">
            <v>Y02.9</v>
          </cell>
          <cell r="B12723" t="str">
            <v>Agresión por empujar o colocar a la víctima delante de objeto en movimiento, en lugar no especificado</v>
          </cell>
        </row>
        <row r="12724">
          <cell r="A12724" t="str">
            <v>Y03</v>
          </cell>
          <cell r="B12724" t="str">
            <v>Agresión por colisión de vehículo de motor</v>
          </cell>
        </row>
        <row r="12725">
          <cell r="A12725" t="str">
            <v>Y03.0</v>
          </cell>
          <cell r="B12725" t="str">
            <v>Agresión por colisión de vehículo de motor, en vivienda</v>
          </cell>
        </row>
        <row r="12726">
          <cell r="A12726" t="str">
            <v>Y03.1</v>
          </cell>
          <cell r="B12726" t="str">
            <v>Agresión por colisión de vehículo de motor, en institución residencial</v>
          </cell>
        </row>
        <row r="12727">
          <cell r="A12727" t="str">
            <v>Y03.2</v>
          </cell>
          <cell r="B12727" t="str">
            <v>Agresión por colisión de vehículo de motor, en escuelas, otras instituciones y áreas administrativas públicas</v>
          </cell>
        </row>
        <row r="12728">
          <cell r="A12728" t="str">
            <v>Y03.3</v>
          </cell>
          <cell r="B12728" t="str">
            <v>Agresión por colisión de vehículo de motor, en áreas de deporte y atletismo</v>
          </cell>
        </row>
        <row r="12729">
          <cell r="A12729" t="str">
            <v>Y03.4</v>
          </cell>
          <cell r="B12729" t="str">
            <v>Agresión por colisión de vehículo de motor, en calles y carreteras</v>
          </cell>
        </row>
        <row r="12730">
          <cell r="A12730" t="str">
            <v>Y03.5</v>
          </cell>
          <cell r="B12730" t="str">
            <v>Agresión por colisión de vehículo de motor, en comercio y área de servicios</v>
          </cell>
        </row>
        <row r="12731">
          <cell r="A12731" t="str">
            <v>Y03.6</v>
          </cell>
          <cell r="B12731" t="str">
            <v>Agresión por colisión de vehículo de motor, en área industrial y de la construcción</v>
          </cell>
        </row>
        <row r="12732">
          <cell r="A12732" t="str">
            <v>Y03.7</v>
          </cell>
          <cell r="B12732" t="str">
            <v>Agresión por colisión de vehículo de motor, en granja</v>
          </cell>
        </row>
        <row r="12733">
          <cell r="A12733" t="str">
            <v>Y03.8</v>
          </cell>
          <cell r="B12733" t="str">
            <v>Agresión por colisión de vehículo de motor, en otro lugar especificado</v>
          </cell>
        </row>
        <row r="12734">
          <cell r="A12734" t="str">
            <v>Y03.9</v>
          </cell>
          <cell r="B12734" t="str">
            <v>Agresión por colisión de vehículo de motor, en lugar no especificado</v>
          </cell>
        </row>
        <row r="12735">
          <cell r="A12735" t="str">
            <v>Y04</v>
          </cell>
          <cell r="B12735" t="str">
            <v>Agresión con fuerza corporal</v>
          </cell>
        </row>
        <row r="12736">
          <cell r="A12736" t="str">
            <v>Y04.0</v>
          </cell>
          <cell r="B12736" t="str">
            <v>Agresión con fuerza corporal, en vivienda</v>
          </cell>
        </row>
        <row r="12737">
          <cell r="A12737" t="str">
            <v>Y04.1</v>
          </cell>
          <cell r="B12737" t="str">
            <v>Agresión con fuerza corporal, en institución residencial</v>
          </cell>
        </row>
        <row r="12738">
          <cell r="A12738" t="str">
            <v>Y04.2</v>
          </cell>
          <cell r="B12738" t="str">
            <v>Agresión con fuerza corporal, en escuelas, otras instituciones y áreas administrativas públicas</v>
          </cell>
        </row>
        <row r="12739">
          <cell r="A12739" t="str">
            <v>Y04.3</v>
          </cell>
          <cell r="B12739" t="str">
            <v>Agresión con fuerza corporal, en áreas de deporte y atletismo</v>
          </cell>
        </row>
        <row r="12740">
          <cell r="A12740" t="str">
            <v>Y04.4</v>
          </cell>
          <cell r="B12740" t="str">
            <v>Agresión con fuerza corporal, en calles y carreteras</v>
          </cell>
        </row>
        <row r="12741">
          <cell r="A12741" t="str">
            <v>Y04.5</v>
          </cell>
          <cell r="B12741" t="str">
            <v>Agresión con fuerza corporal, en comercio y área de servicios</v>
          </cell>
        </row>
        <row r="12742">
          <cell r="A12742" t="str">
            <v>Y04.6</v>
          </cell>
          <cell r="B12742" t="str">
            <v>Agresión con fuerza corporal, en área industrial y de la construcción</v>
          </cell>
        </row>
        <row r="12743">
          <cell r="A12743" t="str">
            <v>Y04.7</v>
          </cell>
          <cell r="B12743" t="str">
            <v>Agresión con fuerza corporal, en granja</v>
          </cell>
        </row>
        <row r="12744">
          <cell r="A12744" t="str">
            <v>Y04.8</v>
          </cell>
          <cell r="B12744" t="str">
            <v>Agresión con fuerza corporal, en otro lugar especificado</v>
          </cell>
        </row>
        <row r="12745">
          <cell r="A12745" t="str">
            <v>Y04.9</v>
          </cell>
          <cell r="B12745" t="str">
            <v>Agresión con fuerza corporal, en lugar no especificado</v>
          </cell>
        </row>
        <row r="12746">
          <cell r="A12746" t="str">
            <v>Y05</v>
          </cell>
          <cell r="B12746" t="str">
            <v>Agresión sexual con fuerza corporal</v>
          </cell>
        </row>
        <row r="12747">
          <cell r="A12747" t="str">
            <v>Y05.0</v>
          </cell>
          <cell r="B12747" t="str">
            <v>Agresión sexual con fuerza corporal, en vivienda</v>
          </cell>
        </row>
        <row r="12748">
          <cell r="A12748" t="str">
            <v>Y05.1</v>
          </cell>
          <cell r="B12748" t="str">
            <v>Agresión sexual con fuerza corporal, en institución residencial</v>
          </cell>
        </row>
        <row r="12749">
          <cell r="A12749" t="str">
            <v>Y05.2</v>
          </cell>
          <cell r="B12749" t="str">
            <v>Agresión sexual con fuerza corporal, en escuelas, otras instituciones y áreas administrativas públicas</v>
          </cell>
        </row>
        <row r="12750">
          <cell r="A12750" t="str">
            <v>Y05.3</v>
          </cell>
          <cell r="B12750" t="str">
            <v>Agresión sexual con fuerza corporal, en áreas de deporte y atletismo</v>
          </cell>
        </row>
        <row r="12751">
          <cell r="A12751" t="str">
            <v>Y05.4</v>
          </cell>
          <cell r="B12751" t="str">
            <v>Agresión sexual con fuerza corporal, en calles y carreteras</v>
          </cell>
        </row>
        <row r="12752">
          <cell r="A12752" t="str">
            <v>Y05.5</v>
          </cell>
          <cell r="B12752" t="str">
            <v>Agresión sexual con fuerza corporal, en comercio y área de servicios</v>
          </cell>
        </row>
        <row r="12753">
          <cell r="A12753" t="str">
            <v>Y05.6</v>
          </cell>
          <cell r="B12753" t="str">
            <v>Agresión sexual con fuerza corporal, en área industrial y de la construcción</v>
          </cell>
        </row>
        <row r="12754">
          <cell r="A12754" t="str">
            <v>Y05.7</v>
          </cell>
          <cell r="B12754" t="str">
            <v>Agresión sexual con fuerza corporal, en granja</v>
          </cell>
        </row>
        <row r="12755">
          <cell r="A12755" t="str">
            <v>Y05.8</v>
          </cell>
          <cell r="B12755" t="str">
            <v>Agresión sexual con fuerza corporal, en otro lugar especificado</v>
          </cell>
        </row>
        <row r="12756">
          <cell r="A12756" t="str">
            <v>Y05.9</v>
          </cell>
          <cell r="B12756" t="str">
            <v>Agresión sexual con fuerza corporal, en lugar no especificado</v>
          </cell>
        </row>
        <row r="12757">
          <cell r="A12757" t="str">
            <v>Y06</v>
          </cell>
          <cell r="B12757" t="str">
            <v>Negligencia y abandono</v>
          </cell>
        </row>
        <row r="12758">
          <cell r="A12758" t="str">
            <v>Y06.0</v>
          </cell>
          <cell r="B12758" t="str">
            <v>Por esposo o pareja</v>
          </cell>
        </row>
        <row r="12759">
          <cell r="A12759" t="str">
            <v>Y06.1</v>
          </cell>
          <cell r="B12759" t="str">
            <v>Por padre o madre</v>
          </cell>
        </row>
        <row r="12760">
          <cell r="A12760" t="str">
            <v>Y06.2</v>
          </cell>
          <cell r="B12760" t="str">
            <v>Por conocido o amigo</v>
          </cell>
        </row>
        <row r="12761">
          <cell r="A12761" t="str">
            <v>Y06.8</v>
          </cell>
          <cell r="B12761" t="str">
            <v>Por otra persona especificada</v>
          </cell>
        </row>
        <row r="12762">
          <cell r="A12762" t="str">
            <v>Y06.9</v>
          </cell>
          <cell r="B12762" t="str">
            <v>Por persona no especificada</v>
          </cell>
        </row>
        <row r="12763">
          <cell r="A12763" t="str">
            <v>Y07</v>
          </cell>
          <cell r="B12763" t="str">
            <v>Otros síndromes de maltrato</v>
          </cell>
        </row>
        <row r="12764">
          <cell r="A12764" t="str">
            <v>Y07.0</v>
          </cell>
          <cell r="B12764" t="str">
            <v>Por esposo o pareja</v>
          </cell>
        </row>
        <row r="12765">
          <cell r="A12765" t="str">
            <v>Y07.1</v>
          </cell>
          <cell r="B12765" t="str">
            <v>Por padre o madre</v>
          </cell>
        </row>
        <row r="12766">
          <cell r="A12766" t="str">
            <v>Y07.2</v>
          </cell>
          <cell r="B12766" t="str">
            <v>Por conocido o amigo</v>
          </cell>
        </row>
        <row r="12767">
          <cell r="A12767" t="str">
            <v>Y07.3</v>
          </cell>
          <cell r="B12767" t="str">
            <v>Por autoridades oficiales</v>
          </cell>
        </row>
        <row r="12768">
          <cell r="A12768" t="str">
            <v>Y07.8</v>
          </cell>
          <cell r="B12768" t="str">
            <v>Por otra persona especificada</v>
          </cell>
        </row>
        <row r="12769">
          <cell r="A12769" t="str">
            <v>Y07.9</v>
          </cell>
          <cell r="B12769" t="str">
            <v>Por persona no especificada</v>
          </cell>
        </row>
        <row r="12770">
          <cell r="A12770" t="str">
            <v>Y08</v>
          </cell>
          <cell r="B12770" t="str">
            <v>Agresión por otros medios especificados</v>
          </cell>
        </row>
        <row r="12771">
          <cell r="A12771" t="str">
            <v>Y08.0</v>
          </cell>
          <cell r="B12771" t="str">
            <v>Agresión por otros medios especificados, en vivienda</v>
          </cell>
        </row>
        <row r="12772">
          <cell r="A12772" t="str">
            <v>Y08.1</v>
          </cell>
          <cell r="B12772" t="str">
            <v>Agresión por otros medios especificados, en institución residencial</v>
          </cell>
        </row>
        <row r="12773">
          <cell r="A12773" t="str">
            <v>Y08.2</v>
          </cell>
          <cell r="B12773" t="str">
            <v>Agresión por otros medios especificados, en escuelas, otras instituciones y áreas administrativas públicas</v>
          </cell>
        </row>
        <row r="12774">
          <cell r="A12774" t="str">
            <v>Y08.3</v>
          </cell>
          <cell r="B12774" t="str">
            <v>Agresión por otros medios especificados, en áreas de deporte y atletismo</v>
          </cell>
        </row>
        <row r="12775">
          <cell r="A12775" t="str">
            <v>Y08.4</v>
          </cell>
          <cell r="B12775" t="str">
            <v>Agresión por otros medios especificados, en calles y carreteras</v>
          </cell>
        </row>
        <row r="12776">
          <cell r="A12776" t="str">
            <v>Y08.5</v>
          </cell>
          <cell r="B12776" t="str">
            <v>Agresión por otros medios especificados, en comercio y área de servicios</v>
          </cell>
        </row>
        <row r="12777">
          <cell r="A12777" t="str">
            <v>Y08.6</v>
          </cell>
          <cell r="B12777" t="str">
            <v>Agresión por otros medios especificados, en área industrial y de la construcción</v>
          </cell>
        </row>
        <row r="12778">
          <cell r="A12778" t="str">
            <v>Y08.7</v>
          </cell>
          <cell r="B12778" t="str">
            <v>Agresión por otros medios especificados, en granja</v>
          </cell>
        </row>
        <row r="12779">
          <cell r="A12779" t="str">
            <v>Y08.8</v>
          </cell>
          <cell r="B12779" t="str">
            <v>Agresión por otros medios especificados, en otro lugar especificado</v>
          </cell>
        </row>
        <row r="12780">
          <cell r="A12780" t="str">
            <v>Y08.9</v>
          </cell>
          <cell r="B12780" t="str">
            <v>Agresión por otros medios especificados, en lugar no especificado</v>
          </cell>
        </row>
        <row r="12781">
          <cell r="A12781" t="str">
            <v>Y09</v>
          </cell>
          <cell r="B12781" t="str">
            <v>Agresión por medios no especificados</v>
          </cell>
        </row>
        <row r="12782">
          <cell r="A12782" t="str">
            <v>Y09.0</v>
          </cell>
          <cell r="B12782" t="str">
            <v>Agresión por medios no especificados, en vivienda</v>
          </cell>
        </row>
        <row r="12783">
          <cell r="A12783" t="str">
            <v>Y09.1</v>
          </cell>
          <cell r="B12783" t="str">
            <v>Agresión por medios no especificados, en institución residencial</v>
          </cell>
        </row>
        <row r="12784">
          <cell r="A12784" t="str">
            <v>Y09.2</v>
          </cell>
          <cell r="B12784" t="str">
            <v>Agresión por medios no especificados, en escuelas, otras instituciones y áreas administrativas públicas</v>
          </cell>
        </row>
        <row r="12785">
          <cell r="A12785" t="str">
            <v>Y09.3</v>
          </cell>
          <cell r="B12785" t="str">
            <v>Agresión por medios no especificados, en áreas de deporte y atletismo</v>
          </cell>
        </row>
        <row r="12786">
          <cell r="A12786" t="str">
            <v>Y09.4</v>
          </cell>
          <cell r="B12786" t="str">
            <v>Agresión por medios no especificados, en calles y carreteras</v>
          </cell>
        </row>
        <row r="12787">
          <cell r="A12787" t="str">
            <v>Y09.5</v>
          </cell>
          <cell r="B12787" t="str">
            <v>Agresión por medios no especificados, en comercio y área de servicios</v>
          </cell>
        </row>
        <row r="12788">
          <cell r="A12788" t="str">
            <v>Y09.6</v>
          </cell>
          <cell r="B12788" t="str">
            <v>Agresión por medios no especificados, en área industrial y de la construcción</v>
          </cell>
        </row>
        <row r="12789">
          <cell r="A12789" t="str">
            <v>Y09.7</v>
          </cell>
          <cell r="B12789" t="str">
            <v>Agresión por medios no especificados, en granja</v>
          </cell>
        </row>
        <row r="12790">
          <cell r="A12790" t="str">
            <v>Y09.8</v>
          </cell>
          <cell r="B12790" t="str">
            <v>Agresión por medios no especificados, en otro lugar especificado</v>
          </cell>
        </row>
        <row r="12791">
          <cell r="A12791" t="str">
            <v>Y09.9</v>
          </cell>
          <cell r="B12791" t="str">
            <v>Agresión por medios no especificados, en lugar no especificado</v>
          </cell>
        </row>
        <row r="12792">
          <cell r="A12792" t="str">
            <v>Y10</v>
          </cell>
          <cell r="B12792" t="str">
            <v>Envenenamiento por, y exposición a analgésicos no narcóticos, antipiréticos y antirreumáticos, de intención no determinada</v>
          </cell>
        </row>
        <row r="12793">
          <cell r="A12793" t="str">
            <v>Y10.0</v>
          </cell>
          <cell r="B12793" t="str">
            <v>Envenenamiento por, y exposición a analgésicos no narcóticos, antipiréticos y antirreumáticos, de intención no determinada, en vivienda</v>
          </cell>
        </row>
        <row r="12794">
          <cell r="A12794" t="str">
            <v>Y10.1</v>
          </cell>
          <cell r="B12794" t="str">
            <v>Envenenamiento por, y exposición a analgésicos no narcóticos, antipiréticos y antirreumáticos, de intención no determinada, en institución residencial</v>
          </cell>
        </row>
        <row r="12795">
          <cell r="A12795" t="str">
            <v>Y10.2</v>
          </cell>
          <cell r="B12795" t="str">
            <v>Envenenamiento por, y exposición a analgésicos no narcóticos, antipiréticos y antirreumáticos, de intención no determinada, en escuelas, otras instituciones y áreas administrativas públicas</v>
          </cell>
        </row>
        <row r="12796">
          <cell r="A12796" t="str">
            <v>Y10.3</v>
          </cell>
          <cell r="B12796" t="str">
            <v>Envenenamiento por, y exposición a analgésicos no narcóticos, antipiréticos y antirreumáticos, de intención no determinada, en áreas de deporte y atletismo</v>
          </cell>
        </row>
        <row r="12797">
          <cell r="A12797" t="str">
            <v>Y10.4</v>
          </cell>
          <cell r="B12797" t="str">
            <v>Envenenamiento por, y exposición a analgésicos no narcóticos, antipiréticos y antirreumáticos, de intención no determinada, en calles y carreteras</v>
          </cell>
        </row>
        <row r="12798">
          <cell r="A12798" t="str">
            <v>Y10.5</v>
          </cell>
          <cell r="B12798" t="str">
            <v>Envenenamiento por, y exposición a analgésicos no narcóticos, antipiréticos y antirreumáticos, de intención no determinada, en comercio y área de servicios</v>
          </cell>
        </row>
        <row r="12799">
          <cell r="A12799" t="str">
            <v>Y10.6</v>
          </cell>
          <cell r="B12799" t="str">
            <v>Envenenamiento por, y exposición a analgésicos no narcóticos, antipiréticos y antirreumáticos, de intención no determinada, en área industrial y de la construcción</v>
          </cell>
        </row>
        <row r="12800">
          <cell r="A12800" t="str">
            <v>Y10.7</v>
          </cell>
          <cell r="B12800" t="str">
            <v>Envenenamiento por, y exposición a analgésicos no narcóticos, antipiréticos y antirreumáticos, de intención no determinada, en granja</v>
          </cell>
        </row>
        <row r="12801">
          <cell r="A12801" t="str">
            <v>Y10.8</v>
          </cell>
          <cell r="B12801" t="str">
            <v>Envenenamiento por, y exposición a analgésicos no narcóticos, antipiréticos y antirreumáticos, de intención no determinada, en otro lugar especificado</v>
          </cell>
        </row>
        <row r="12802">
          <cell r="A12802" t="str">
            <v>Y10.9</v>
          </cell>
          <cell r="B12802" t="str">
            <v>Envenenamiento por, y exposición a analgésicos no narcóticos, antipiréticos y antirreumáticos, de intención no determinada, en lugar no especificado</v>
          </cell>
        </row>
        <row r="12803">
          <cell r="A12803" t="str">
            <v>Y11</v>
          </cell>
          <cell r="B12803" t="str">
            <v>Envenenamiento por, y exposición a drogas antiepilépticas, sedantes, hipnóticas, antiparkinsonianas y psicotrópicas, no clasificadas en otra parte, de intención no determinada</v>
          </cell>
        </row>
        <row r="12804">
          <cell r="A12804" t="str">
            <v>Y11.0</v>
          </cell>
          <cell r="B12804" t="str">
            <v>Envenenamiento por, y exposición a drogas antiepilépticas, sedantes, hipnóticas, antiparkinsonianas y psicotrópicas, no clasificadas en otra parte, de intención no determinada, en vivienda</v>
          </cell>
        </row>
        <row r="12805">
          <cell r="A12805" t="str">
            <v>Y11.1</v>
          </cell>
          <cell r="B12805" t="str">
            <v>Envenenamiento por, y exposición a drogas antiepilépticas, sedantes, hipnóticas, antiparkinsonianas y psicotrópicas, no clasificadas en otra parte, de intención no determinada, en institución residenc</v>
          </cell>
        </row>
        <row r="12806">
          <cell r="A12806" t="str">
            <v>Y11.2</v>
          </cell>
          <cell r="B12806" t="str">
            <v>Envenenamiento por, y exposición a drogas antiepilépticas, sedantes, hipnóticas, antiparkinsonianas y psicotrópicas, no clasificadas en otra parte, de intención no determinada, en escuelas, otras inst</v>
          </cell>
        </row>
        <row r="12807">
          <cell r="A12807" t="str">
            <v>Y11.3</v>
          </cell>
          <cell r="B12807" t="str">
            <v>Envenenamiento por, y exposición a drogas antiepilépticas, sedantes, hipnóticas, antiparkinsonianas y psicotrópicas, no clasificadas en otra parte, de intención no determinada, en áreas de deporte y a</v>
          </cell>
        </row>
        <row r="12808">
          <cell r="A12808" t="str">
            <v>Y11.4</v>
          </cell>
          <cell r="B12808" t="str">
            <v>Envenenamiento por, y exposición a drogas antiepilépticas, sedantes, hipnóticas, antiparkinsonianas y psicotrópicas, no clasificadas en otra parte, de intención no determinada, en calles y carreteras</v>
          </cell>
        </row>
        <row r="12809">
          <cell r="A12809" t="str">
            <v>Y11.5</v>
          </cell>
          <cell r="B12809" t="str">
            <v>Envenenamiento por, y exposición a drogas antiepilépticas, sedantes, hipnóticas, antiparkinsonianas y psicotrópicas, no clasificadas en otra parte, de intención no determinada, en comercio y área de s</v>
          </cell>
        </row>
        <row r="12810">
          <cell r="A12810" t="str">
            <v>Y11.6</v>
          </cell>
          <cell r="B12810" t="str">
            <v>Envenenamiento por, y exposición a drogas antiepilépticas, sedantes, hipnóticas, antiparkinsonianas y psicotrópicas, no clasificadas en otra parte, de intención no determinada, en área industrial y de</v>
          </cell>
        </row>
        <row r="12811">
          <cell r="A12811" t="str">
            <v>Y11.7</v>
          </cell>
          <cell r="B12811" t="str">
            <v>Envenenamiento por, y exposición a drogas antiepilépticas, sedantes, hipnóticas, antiparkinsonianas y psicotrópicas, no clasificadas en otra parte, de intención no determinada, en granja</v>
          </cell>
        </row>
        <row r="12812">
          <cell r="A12812" t="str">
            <v>Y11.8</v>
          </cell>
          <cell r="B12812" t="str">
            <v>Envenenamiento por, y exposición a drogas antiepilépticas, sedantes, hipnóticas, antiparkinsonianas y psicotrópicas, no clasificadas en otra parte, de intención no determinada, en otro lugar especific</v>
          </cell>
        </row>
        <row r="12813">
          <cell r="A12813" t="str">
            <v>Y11.9</v>
          </cell>
          <cell r="B12813" t="str">
            <v>Envenenamiento por, y exposición a drogas antiepilépticas, sedantes, hipnóticas, antiparkinsonianas y psicotrópicas, no clasificadas en otra parte, de intención no determinada, en lugar no especificad</v>
          </cell>
        </row>
        <row r="12814">
          <cell r="A12814" t="str">
            <v>Y12</v>
          </cell>
          <cell r="B12814" t="str">
            <v>Envenenamiento por, y exposición a narcóticos y psicodislépticos [alucinógenos], no clasificados en otra parte, de intención no determinada</v>
          </cell>
        </row>
        <row r="12815">
          <cell r="A12815" t="str">
            <v>Y12.0</v>
          </cell>
          <cell r="B12815" t="str">
            <v>Envenenamiento por, y exposición a narcóticos y psicodislépticos [alucinógenos], no clasificados en otra parte, de intención no determinada, en vivienda</v>
          </cell>
        </row>
        <row r="12816">
          <cell r="A12816" t="str">
            <v>Y12.1</v>
          </cell>
          <cell r="B12816" t="str">
            <v>Envenenamiento por, y exposición a narcóticos y psicodislépticos [alucinógenos], no clasificados en otra parte, de intención no determinada, en institución residencial</v>
          </cell>
        </row>
        <row r="12817">
          <cell r="A12817" t="str">
            <v>Y12.2</v>
          </cell>
          <cell r="B12817" t="str">
            <v>Envenenamiento por, y exposición a narcóticos y psicodislépticos [alucinógenos], no clasificados en otra parte, de intención no determinada, en escuelas, otras instituciones y áreas administrativas pú</v>
          </cell>
        </row>
        <row r="12818">
          <cell r="A12818" t="str">
            <v>Y12.3</v>
          </cell>
          <cell r="B12818" t="str">
            <v>Envenenamiento por, y exposición a narcóticos y psicodislépticos [alucinógenos], no clasificados en otra parte, de intención no determinada, en áreas de deporte y atletismo</v>
          </cell>
        </row>
        <row r="12819">
          <cell r="A12819" t="str">
            <v>Y12.4</v>
          </cell>
          <cell r="B12819" t="str">
            <v>Envenenamiento por, y exposición a narcóticos y psicodislépticos [alucinógenos], no clasificados en otra parte, de intención no determinada, en calles y carreteras</v>
          </cell>
        </row>
        <row r="12820">
          <cell r="A12820" t="str">
            <v>Y12.5</v>
          </cell>
          <cell r="B12820" t="str">
            <v>Envenenamiento por, y exposición a narcóticos y psicodislépticos [alucinógenos], no clasificados en otra parte, de intención no determinada, en comercio y área de servicios</v>
          </cell>
        </row>
        <row r="12821">
          <cell r="A12821" t="str">
            <v>Y12.6</v>
          </cell>
          <cell r="B12821" t="str">
            <v>Envenenamiento por, y exposición a narcóticos y psicodislépticos [alucinógenos], no clasificados en otra parte, de intención no determinada, en área industrial y de la construcción</v>
          </cell>
        </row>
        <row r="12822">
          <cell r="A12822" t="str">
            <v>Y12.7</v>
          </cell>
          <cell r="B12822" t="str">
            <v>Envenenamiento por, y exposición a narcóticos y psicodislépticos [alucinógenos], no clasificados en otra parte, de intención no determinada, en granja</v>
          </cell>
        </row>
        <row r="12823">
          <cell r="A12823" t="str">
            <v>Y12.8</v>
          </cell>
          <cell r="B12823" t="str">
            <v>Envenenamiento por, y exposición a narcóticos y psicodislépticos [alucinógenos], no clasificados en otra parte, de intención no determinada, en otro lugar especificado</v>
          </cell>
        </row>
        <row r="12824">
          <cell r="A12824" t="str">
            <v>Y12.9</v>
          </cell>
          <cell r="B12824" t="str">
            <v>Envenenamiento por, y exposición a narcóticos y psicodislépticos [alucinógenos], no clasificados en otra parte, de intención no determinada, en lugar no especificado</v>
          </cell>
        </row>
        <row r="12825">
          <cell r="A12825" t="str">
            <v>Y13</v>
          </cell>
          <cell r="B12825" t="str">
            <v>Envenenamiento por, y exposición a otras drogas que actúan sobre el sistema nervioso autónomo, de intención no determinada</v>
          </cell>
        </row>
        <row r="12826">
          <cell r="A12826" t="str">
            <v>Y13.0</v>
          </cell>
          <cell r="B12826" t="str">
            <v>Envenenamiento por, y exposición a otras drogas que actúan sobre el sistema nervioso autónomo, de intención no determinada, en vivienda</v>
          </cell>
        </row>
        <row r="12827">
          <cell r="A12827" t="str">
            <v>Y13.1</v>
          </cell>
          <cell r="B12827" t="str">
            <v>Envenenamiento por, y exposición a otras drogas que actúan sobre el sistema nervioso autónomo, de intención no determinada, en institución residencial</v>
          </cell>
        </row>
        <row r="12828">
          <cell r="A12828" t="str">
            <v>Y13.2</v>
          </cell>
          <cell r="B12828" t="str">
            <v>Envenenamiento por, y exposición a otras drogas que actúan sobre el sistema nervioso autónomo, de intención no determinada, en escuelas, otras instituciones y áreas administrativas públicas</v>
          </cell>
        </row>
        <row r="12829">
          <cell r="A12829" t="str">
            <v>Y13.3</v>
          </cell>
          <cell r="B12829" t="str">
            <v>Envenenamiento por, y exposición a otras drogas que actúan sobre el sistema nervioso autónomo, de intención no determinada, en áreas de deporte y atletismo</v>
          </cell>
        </row>
        <row r="12830">
          <cell r="A12830" t="str">
            <v>Y13.4</v>
          </cell>
          <cell r="B12830" t="str">
            <v>Envenenamiento por, y exposición a otras drogas que actúan sobre el sistema nervioso autónomo, de intención no determinada, en calles y carreteras</v>
          </cell>
        </row>
        <row r="12831">
          <cell r="A12831" t="str">
            <v>Y13.5</v>
          </cell>
          <cell r="B12831" t="str">
            <v>Envenenamiento por, y exposición a otras drogas que actúan sobre el sistema nervioso autónomo, de intención no determinada, en comercio y área de servicios</v>
          </cell>
        </row>
        <row r="12832">
          <cell r="A12832" t="str">
            <v>Y13.6</v>
          </cell>
          <cell r="B12832" t="str">
            <v>Envenenamiento por, y exposición a otras drogas que actúan sobre el sistema nervioso autónomo, de intención no determinada, en área industrial y de la construcción</v>
          </cell>
        </row>
        <row r="12833">
          <cell r="A12833" t="str">
            <v>Y13.7</v>
          </cell>
          <cell r="B12833" t="str">
            <v>Envenenamiento por, y exposición a otras drogas que actúan sobre el sistema nervioso autónomo, de intención no determinada, en granja</v>
          </cell>
        </row>
        <row r="12834">
          <cell r="A12834" t="str">
            <v>Y13.8</v>
          </cell>
          <cell r="B12834" t="str">
            <v>Envenenamiento por, y exposición a otras drogas que actúan sobre el sistema nervioso autónomo, de intención no determinada, en otro lugar especificado</v>
          </cell>
        </row>
        <row r="12835">
          <cell r="A12835" t="str">
            <v>Y13.9</v>
          </cell>
          <cell r="B12835" t="str">
            <v>Envenenamiento por, y exposición a otras drogas que actúan sobre el sistema nervioso autónomo, de intención no determinada, en lugar no especificado</v>
          </cell>
        </row>
        <row r="12836">
          <cell r="A12836" t="str">
            <v>Y14</v>
          </cell>
          <cell r="B12836" t="str">
            <v>Envenenamiento por, y exposición a otras drogas, medicamentos y sustancias  biológicas, y las no especificadas, de intención no determinada</v>
          </cell>
        </row>
        <row r="12837">
          <cell r="A12837" t="str">
            <v>Y14.0</v>
          </cell>
          <cell r="B12837" t="str">
            <v>Envenenamiento por, y exposición a otras drogas, medicamentos y sustancias  biológicas, y las no especificadas, de intención no determinada, en vivienda</v>
          </cell>
        </row>
        <row r="12838">
          <cell r="A12838" t="str">
            <v>Y14.1</v>
          </cell>
          <cell r="B12838" t="str">
            <v>Envenenamiento por, y exposición a otras drogas, medicamentos y sustancias  biológicas, y las no especificadas, de intención no determinada, en institución residencial</v>
          </cell>
        </row>
        <row r="12839">
          <cell r="A12839" t="str">
            <v>Y14.2</v>
          </cell>
          <cell r="B12839" t="str">
            <v>Envenenamiento por, y exposición a otras drogas, medicamentos y sustancias biológicas, y las no especificadas, de intención no determinada, en escuelas, otras instituciones y áreas administrativas púb</v>
          </cell>
        </row>
        <row r="12840">
          <cell r="A12840" t="str">
            <v>Y14.3</v>
          </cell>
          <cell r="B12840" t="str">
            <v>Envenenamiento por, y exposición a otras drogas, medicamentos y sustancias biológicas, y las no especificadas, de intención no determinada, en áreas de deporte y atletismo</v>
          </cell>
        </row>
        <row r="12841">
          <cell r="A12841" t="str">
            <v>Y14.4</v>
          </cell>
          <cell r="B12841" t="str">
            <v>Envenenamiento por, y exposición a otras drogas, medicamentos y sustancias biológicas, y las no especificadas, de intención no determinada, en calles y carreteras</v>
          </cell>
        </row>
        <row r="12842">
          <cell r="A12842" t="str">
            <v>Y14.5</v>
          </cell>
          <cell r="B12842" t="str">
            <v>Envenenamiento por, y exposición a otras drogas, medicamentos y sustancias biológicas, y las no especificadas, de intención no determinada, en comercio y área de servicios</v>
          </cell>
        </row>
        <row r="12843">
          <cell r="A12843" t="str">
            <v>Y14.6</v>
          </cell>
          <cell r="B12843" t="str">
            <v>Envenenamiento por, y exposición a otras drogas, medicamentos y sustancias biológicas, y las no especificadas, de intención no determinada, en área industrial y de la construcción</v>
          </cell>
        </row>
        <row r="12844">
          <cell r="A12844" t="str">
            <v>Y14.7</v>
          </cell>
          <cell r="B12844" t="str">
            <v>Envenenamiento por, y exposición a otras drogas, medicamentos y sustancias biológicas, y las no especificadas, de intención no determinada, en granja</v>
          </cell>
        </row>
        <row r="12845">
          <cell r="A12845" t="str">
            <v>Y14.8</v>
          </cell>
          <cell r="B12845" t="str">
            <v>Envenenamiento por, y exposición a otras drogas, medicamentos y sustancias biológicas, y las no especificadas, de intención no determinada, en otro lugar especificado</v>
          </cell>
        </row>
        <row r="12846">
          <cell r="A12846" t="str">
            <v>Y14.9</v>
          </cell>
          <cell r="B12846" t="str">
            <v>Envenenamiento por, y exposición a otras drogas, medicamentos y sustancias biológicas, y las no especificadas, de intención no determinada, en lugar no especificado</v>
          </cell>
        </row>
        <row r="12847">
          <cell r="A12847" t="str">
            <v>Y15</v>
          </cell>
          <cell r="B12847" t="str">
            <v>Envenenamiento por, y exposición al alcohol, de intención no determinada</v>
          </cell>
        </row>
        <row r="12848">
          <cell r="A12848" t="str">
            <v>Y15.0</v>
          </cell>
          <cell r="B12848" t="str">
            <v>Envenenamiento por, y exposición al alcohol, de intención no determinada, en vivienda</v>
          </cell>
        </row>
        <row r="12849">
          <cell r="A12849" t="str">
            <v>Y15.1</v>
          </cell>
          <cell r="B12849" t="str">
            <v>Envenenamiento por, y exposición al alcohol, de intención no determinada, en institución residencial</v>
          </cell>
        </row>
        <row r="12850">
          <cell r="A12850" t="str">
            <v>Y15.2</v>
          </cell>
          <cell r="B12850" t="str">
            <v>Envenenamiento por, y exposición al alcohol, de intención no determinada, en escuelas, otras instituciones y áreas administrativas públicas</v>
          </cell>
        </row>
        <row r="12851">
          <cell r="A12851" t="str">
            <v>Y15.3</v>
          </cell>
          <cell r="B12851" t="str">
            <v>Envenenamiento por, y exposición al alcohol, de intención no determinada, en áreas de deporte y atletismo</v>
          </cell>
        </row>
        <row r="12852">
          <cell r="A12852" t="str">
            <v>Y15.4</v>
          </cell>
          <cell r="B12852" t="str">
            <v>Envenenamiento por, y exposición al alcohol, de intención no determinada, en calles y carreteras</v>
          </cell>
        </row>
        <row r="12853">
          <cell r="A12853" t="str">
            <v>Y15.5</v>
          </cell>
          <cell r="B12853" t="str">
            <v>Envenenamiento por, y exposición al alcohol, de intención no determinada, en comercio y área de servicios</v>
          </cell>
        </row>
        <row r="12854">
          <cell r="A12854" t="str">
            <v>Y15.6</v>
          </cell>
          <cell r="B12854" t="str">
            <v>Envenenamiento por, y exposición al alcohol, de intención no determinada, en área industrial y de la construcción</v>
          </cell>
        </row>
        <row r="12855">
          <cell r="A12855" t="str">
            <v>Y15.7</v>
          </cell>
          <cell r="B12855" t="str">
            <v>Envenenamiento por, y exposición al alcohol, de intención no determinada, en granja</v>
          </cell>
        </row>
        <row r="12856">
          <cell r="A12856" t="str">
            <v>Y15.8</v>
          </cell>
          <cell r="B12856" t="str">
            <v>Envenenamiento por, y exposición al alcohol, de intención no determinada, en otro lugar especificado</v>
          </cell>
        </row>
        <row r="12857">
          <cell r="A12857" t="str">
            <v>Y15.9</v>
          </cell>
          <cell r="B12857" t="str">
            <v>Envenenamiento por, y exposición al alcohol, de intención no determinada, en lugar no especificado</v>
          </cell>
        </row>
        <row r="12858">
          <cell r="A12858" t="str">
            <v>Y16</v>
          </cell>
          <cell r="B12858" t="str">
            <v>Envenenamiento por, y exposición a disolventes orgánicos e hidrocarburos halogenados y sus vapores, de intención no determinada</v>
          </cell>
        </row>
        <row r="12859">
          <cell r="A12859" t="str">
            <v>Y16.0</v>
          </cell>
          <cell r="B12859" t="str">
            <v>Envenenamiento por, y exposición a disolventes orgánicos e hidrocarburos halogenados y sus vapores, de intención no determinada, en vivienda</v>
          </cell>
        </row>
        <row r="12860">
          <cell r="A12860" t="str">
            <v>Y16.1</v>
          </cell>
          <cell r="B12860" t="str">
            <v>Envenenamiento por, y exposición a disolventes orgánicos e hidrocarburos halogenados y sus vapores, de intención no determinada, en institución residencial</v>
          </cell>
        </row>
        <row r="12861">
          <cell r="A12861" t="str">
            <v>Y16.2</v>
          </cell>
          <cell r="B12861" t="str">
            <v>Envenenamiento por, y exposición a disolventes orgánicos e hidrocarburos halogenados y sus vapores, de intención no determinada, en escuelas, otras instituciones y áreas administrativas públicas</v>
          </cell>
        </row>
        <row r="12862">
          <cell r="A12862" t="str">
            <v>Y16.3</v>
          </cell>
          <cell r="B12862" t="str">
            <v>Envenenamiento por, y exposición a disolventes orgánicos e hidrocarburos halogenados y sus vapores, de intención no determinada, en áreas de deporte y atletismo</v>
          </cell>
        </row>
        <row r="12863">
          <cell r="A12863" t="str">
            <v>Y16.4</v>
          </cell>
          <cell r="B12863" t="str">
            <v>Envenenamiento por, y exposición a disolventes orgánicos e hidrocarburos halogenados y sus vapores, de intención no determinada, en calles y carreteras</v>
          </cell>
        </row>
        <row r="12864">
          <cell r="A12864" t="str">
            <v>Y16.5</v>
          </cell>
          <cell r="B12864" t="str">
            <v>Envenenamiento por, y exposición a disolventes orgánicos e hidrocarburos halogenados y sus vapores, de intención no determinada, en comercio y área de servicios</v>
          </cell>
        </row>
        <row r="12865">
          <cell r="A12865" t="str">
            <v>Y16.6</v>
          </cell>
          <cell r="B12865" t="str">
            <v>Envenenamiento por, y exposición a disolventes orgánicos e hidrocarburos halogenados y sus vapores, de intención no determinada, en área industrial y de la construcción</v>
          </cell>
        </row>
        <row r="12866">
          <cell r="A12866" t="str">
            <v>Y16.7</v>
          </cell>
          <cell r="B12866" t="str">
            <v>Envenenamiento por, y exposición a disolventes orgánicos e hidrocarburos halogenados y sus vapores, de intención no determinada, en granja</v>
          </cell>
        </row>
        <row r="12867">
          <cell r="A12867" t="str">
            <v>Y16.8</v>
          </cell>
          <cell r="B12867" t="str">
            <v>Envenenamiento por, y exposición a disolventes orgánicos e hidrocarburos halogenados y sus vapores, de intención no determinada, en otro lugar especificado</v>
          </cell>
        </row>
        <row r="12868">
          <cell r="A12868" t="str">
            <v>Y16.9</v>
          </cell>
          <cell r="B12868" t="str">
            <v>Envenenamiento por, y exposición a disolventes orgánicos e hidrocarburos halogenados y sus vapores, de intención no determinada, en lugar no especificado</v>
          </cell>
        </row>
        <row r="12869">
          <cell r="A12869" t="str">
            <v>Y17</v>
          </cell>
          <cell r="B12869" t="str">
            <v>Envenenamiento por, y exposición a otros gases y vapores, de intención no determinada</v>
          </cell>
        </row>
        <row r="12870">
          <cell r="A12870" t="str">
            <v>Y17.0</v>
          </cell>
          <cell r="B12870" t="str">
            <v>Envenenamiento por, y exposición a otros gases y vapores, de intención no determinada, en vivienda</v>
          </cell>
        </row>
        <row r="12871">
          <cell r="A12871" t="str">
            <v>Y17.1</v>
          </cell>
          <cell r="B12871" t="str">
            <v>Envenenamiento por, y exposición a otros gases y vapores, de intención no determinada, en institución residencial</v>
          </cell>
        </row>
        <row r="12872">
          <cell r="A12872" t="str">
            <v>Y17.2</v>
          </cell>
          <cell r="B12872" t="str">
            <v>Envenenamiento por, y exposición a otros gases y vapores, de intención no determinada, en escuelas, otras instituciones y áreas administrativas públicas</v>
          </cell>
        </row>
        <row r="12873">
          <cell r="A12873" t="str">
            <v>Y17.3</v>
          </cell>
          <cell r="B12873" t="str">
            <v>Envenenamiento por, y exposición a otros gases y vapores, de intención no determinada, en áreas de deporte y atletismo</v>
          </cell>
        </row>
        <row r="12874">
          <cell r="A12874" t="str">
            <v>Y17.4</v>
          </cell>
          <cell r="B12874" t="str">
            <v>Envenenamiento por, y exposición a otros gases y vapores, de intención no determinada, en calles y carreteras</v>
          </cell>
        </row>
        <row r="12875">
          <cell r="A12875" t="str">
            <v>Y17.5</v>
          </cell>
          <cell r="B12875" t="str">
            <v>Envenenamiento por, y exposición a otros gases y vapores, de intención no determinada, en comercio y área de servicios</v>
          </cell>
        </row>
        <row r="12876">
          <cell r="A12876" t="str">
            <v>Y17.6</v>
          </cell>
          <cell r="B12876" t="str">
            <v>Envenenamiento por, y exposición a otros gases y vapores, de intención no determinada, en área industrial y de la construcción</v>
          </cell>
        </row>
        <row r="12877">
          <cell r="A12877" t="str">
            <v>Y17.7</v>
          </cell>
          <cell r="B12877" t="str">
            <v>Envenenamiento por, y exposición a otros gases y vapores, de intención no determinada, en granja</v>
          </cell>
        </row>
        <row r="12878">
          <cell r="A12878" t="str">
            <v>Y17.8</v>
          </cell>
          <cell r="B12878" t="str">
            <v>Envenenamiento por, y exposición a otros gases y vapores, de intención no determinada, en otro lugar especificado</v>
          </cell>
        </row>
        <row r="12879">
          <cell r="A12879" t="str">
            <v>Y17.9</v>
          </cell>
          <cell r="B12879" t="str">
            <v>Envenenamiento por, y exposición a otros gases y vapores, de intención no determinada, en lugar no especificado</v>
          </cell>
        </row>
        <row r="12880">
          <cell r="A12880" t="str">
            <v>Y18</v>
          </cell>
          <cell r="B12880" t="str">
            <v>Envenenamiento por, y exposición a plaguicidas, de intención no determinada</v>
          </cell>
        </row>
        <row r="12881">
          <cell r="A12881" t="str">
            <v>Y18.0</v>
          </cell>
          <cell r="B12881" t="str">
            <v>Envenenamiento por, y exposición a plaguicidas, de intención no determinada, en vivienda</v>
          </cell>
        </row>
        <row r="12882">
          <cell r="A12882" t="str">
            <v>Y18.1</v>
          </cell>
          <cell r="B12882" t="str">
            <v>Envenenamiento por, y exposición a plaguicidas, de intención no determinada, en institución residencial</v>
          </cell>
        </row>
        <row r="12883">
          <cell r="A12883" t="str">
            <v>Y18.2</v>
          </cell>
          <cell r="B12883" t="str">
            <v>Envenenamiento por, y exposición a plaguicidas, de intención no determinada, en escuelas, otras instituciones y áreas administrativas públicas</v>
          </cell>
        </row>
        <row r="12884">
          <cell r="A12884" t="str">
            <v>Y18.3</v>
          </cell>
          <cell r="B12884" t="str">
            <v>Envenenamiento por, y exposición a plaguicidas, de intención no determinada, en áreas de deporte y atletismo</v>
          </cell>
        </row>
        <row r="12885">
          <cell r="A12885" t="str">
            <v>Y18.4</v>
          </cell>
          <cell r="B12885" t="str">
            <v>Envenenamiento por, y exposición a plaguicidas, de intención no determinada, en calles y carreteras</v>
          </cell>
        </row>
        <row r="12886">
          <cell r="A12886" t="str">
            <v>Y18.5</v>
          </cell>
          <cell r="B12886" t="str">
            <v>Envenenamiento por, y exposición a plaguicidas, de intención no determinada, en comercio y área de servicios</v>
          </cell>
        </row>
        <row r="12887">
          <cell r="A12887" t="str">
            <v>Y18.6</v>
          </cell>
          <cell r="B12887" t="str">
            <v>Envenenamiento por, y exposición a plaguicidas, de intención no determinada, en área industrial y de la construcción</v>
          </cell>
        </row>
        <row r="12888">
          <cell r="A12888" t="str">
            <v>Y18.7</v>
          </cell>
          <cell r="B12888" t="str">
            <v>Envenenamiento por, y exposición a plaguicidas, de intención no determinada, en granja</v>
          </cell>
        </row>
        <row r="12889">
          <cell r="A12889" t="str">
            <v>Y18.8</v>
          </cell>
          <cell r="B12889" t="str">
            <v>Envenenamiento por, y exposición a plaguicidas, de intención no determinada, en otro lugar especificado</v>
          </cell>
        </row>
        <row r="12890">
          <cell r="A12890" t="str">
            <v>Y18.9</v>
          </cell>
          <cell r="B12890" t="str">
            <v>Envenenamiento por, y exposición a plaguicidas, de intención no determinada, en lugar no especificado</v>
          </cell>
        </row>
        <row r="12891">
          <cell r="A12891" t="str">
            <v>Y19</v>
          </cell>
          <cell r="B12891" t="str">
            <v>Envenenamiento por, y exposición a otros productos químicos y sustancias nocivas, y los no especificados, de intención no determinada</v>
          </cell>
        </row>
        <row r="12892">
          <cell r="A12892" t="str">
            <v>Y19.0</v>
          </cell>
          <cell r="B12892" t="str">
            <v>Envenenamiento por, y exposición a otros productos químicos y sustancias nocivas, y los no especificados, de intención no determinada, en vivienda</v>
          </cell>
        </row>
        <row r="12893">
          <cell r="A12893" t="str">
            <v>Y19.1</v>
          </cell>
          <cell r="B12893" t="str">
            <v>Envenenamiento por, y exposición a otros productos químicos y sustancias nocivas, y los no especificados, de intención no determinada, en institución residencial</v>
          </cell>
        </row>
        <row r="12894">
          <cell r="A12894" t="str">
            <v>Y19.2</v>
          </cell>
          <cell r="B12894" t="str">
            <v>Envenenamiento por, y exposición a otros productos químicos y sustancias nocivas, y los no especificados, de intención no determinada, en escuelas, otras instituciones y áreas administrativas públicas</v>
          </cell>
        </row>
        <row r="12895">
          <cell r="A12895" t="str">
            <v>Y19.3</v>
          </cell>
          <cell r="B12895" t="str">
            <v>Envenenamiento por, y exposición a otros productos químicos y sustancias nocivas, y los no especificados, de intención no determinada, en áreas de deporte y atletismo</v>
          </cell>
        </row>
        <row r="12896">
          <cell r="A12896" t="str">
            <v>Y19.4</v>
          </cell>
          <cell r="B12896" t="str">
            <v>Envenenamiento por, y exposición a otros productos químicos y sustancias nocivas, y los no especificados, de intención no determinada, en calles y carreteras</v>
          </cell>
        </row>
        <row r="12897">
          <cell r="A12897" t="str">
            <v>Y19.5</v>
          </cell>
          <cell r="B12897" t="str">
            <v>Envenenamiento por, y exposición a otros productos químicos y sustancias nocivas, y los no especificados, de intención no determinada, en comercio y área de servicios</v>
          </cell>
        </row>
        <row r="12898">
          <cell r="A12898" t="str">
            <v>Y19.6</v>
          </cell>
          <cell r="B12898" t="str">
            <v>Envenenamiento por, y exposición a otros productos químicos y sustancias nocivas, y los no especificados, de intención no determinada, en área industrial y de la construcción</v>
          </cell>
        </row>
        <row r="12899">
          <cell r="A12899" t="str">
            <v>Y19.7</v>
          </cell>
          <cell r="B12899" t="str">
            <v>Envenenamiento por, y exposición a otros productos químicos y sustancias nocivas, y los no especificados, de intención no determinada, en granja</v>
          </cell>
        </row>
        <row r="12900">
          <cell r="A12900" t="str">
            <v>Y19.8</v>
          </cell>
          <cell r="B12900" t="str">
            <v>Envenenamiento por, y exposición a otros productos químicos y sustancias nocivas, y los no especificados, de intención no determinada, en otro lugar especificado</v>
          </cell>
        </row>
        <row r="12901">
          <cell r="A12901" t="str">
            <v>Y19.9</v>
          </cell>
          <cell r="B12901" t="str">
            <v>Envenenamiento por, y exposición a otros productos químicos y sustancias nocivas, y los no especificados, de intención no determinada, en lugar no especificado</v>
          </cell>
        </row>
        <row r="12902">
          <cell r="A12902" t="str">
            <v>Y20</v>
          </cell>
          <cell r="B12902" t="str">
            <v>Ahorcamiento, estrangulamiento y sofocación, de intención no determinada</v>
          </cell>
        </row>
        <row r="12903">
          <cell r="A12903" t="str">
            <v>Y20.0</v>
          </cell>
          <cell r="B12903" t="str">
            <v>Ahorcamiento, estrangulamiento y sofocación, de intención no determinada, en vivienda</v>
          </cell>
        </row>
        <row r="12904">
          <cell r="A12904" t="str">
            <v>Y20.1</v>
          </cell>
          <cell r="B12904" t="str">
            <v>Ahorcamiento, estrangulamiento y sofocación, de intención no determinada, en institución residencial</v>
          </cell>
        </row>
        <row r="12905">
          <cell r="A12905" t="str">
            <v>Y20.2</v>
          </cell>
          <cell r="B12905" t="str">
            <v>Ahorcamiento, estrangulamiento y sofocación, de intención no determinada, en escuelas, otras instituciones y áreas administrativas públicas</v>
          </cell>
        </row>
        <row r="12906">
          <cell r="A12906" t="str">
            <v>Y20.3</v>
          </cell>
          <cell r="B12906" t="str">
            <v>Ahorcamiento, estrangulamiento y sofocación, de intención no determinada, en áreas de deporte y atletismo</v>
          </cell>
        </row>
        <row r="12907">
          <cell r="A12907" t="str">
            <v>Y20.4</v>
          </cell>
          <cell r="B12907" t="str">
            <v>Ahorcamiento, estrangulamiento y sofocación, de intención no determinada, en calles y carreteras</v>
          </cell>
        </row>
        <row r="12908">
          <cell r="A12908" t="str">
            <v>Y20.5</v>
          </cell>
          <cell r="B12908" t="str">
            <v>Ahorcamiento, estrangulamiento y sofocación, de intención no determinada, en comercio y área de servicios</v>
          </cell>
        </row>
        <row r="12909">
          <cell r="A12909" t="str">
            <v>Y20.6</v>
          </cell>
          <cell r="B12909" t="str">
            <v>Ahorcamiento, estrangulamiento y sofocación, de intención no determinada, en área industrial y de la construcción</v>
          </cell>
        </row>
        <row r="12910">
          <cell r="A12910" t="str">
            <v>Y20.7</v>
          </cell>
          <cell r="B12910" t="str">
            <v>Ahorcamiento, estrangulamiento y sofocación, de intención no determinada, en granja</v>
          </cell>
        </row>
        <row r="12911">
          <cell r="A12911" t="str">
            <v>Y20.8</v>
          </cell>
          <cell r="B12911" t="str">
            <v>Ahorcamiento, estrangulamiento y sofocación, de intención no determinada, en otro lugar especificado</v>
          </cell>
        </row>
        <row r="12912">
          <cell r="A12912" t="str">
            <v>Y20.9</v>
          </cell>
          <cell r="B12912" t="str">
            <v>Ahorcamiento, estrangulamiento y sofocación, de intención no determinada, en lugar no especificado</v>
          </cell>
        </row>
        <row r="12913">
          <cell r="A12913" t="str">
            <v>Y21</v>
          </cell>
          <cell r="B12913" t="str">
            <v>Ahogamiento y sumersión, de intención no determinada</v>
          </cell>
        </row>
        <row r="12914">
          <cell r="A12914" t="str">
            <v>Y21.0</v>
          </cell>
          <cell r="B12914" t="str">
            <v>Ahogamiento y sumersión, de intención no determinada, en vivienda</v>
          </cell>
        </row>
        <row r="12915">
          <cell r="A12915" t="str">
            <v>Y21.1</v>
          </cell>
          <cell r="B12915" t="str">
            <v>Ahogamiento y sumersión, de intención no determinada, en institución residencial</v>
          </cell>
        </row>
        <row r="12916">
          <cell r="A12916" t="str">
            <v>Y21.2</v>
          </cell>
          <cell r="B12916" t="str">
            <v>Ahogamiento y sumersión, de intención no determinada, en escuelas, otras instituciones y áreas administrativas públicas</v>
          </cell>
        </row>
        <row r="12917">
          <cell r="A12917" t="str">
            <v>Y21.3</v>
          </cell>
          <cell r="B12917" t="str">
            <v>Ahogamiento y sumersión, de intención no determinada, en áreas de deporte y atletismo</v>
          </cell>
        </row>
        <row r="12918">
          <cell r="A12918" t="str">
            <v>Y21.4</v>
          </cell>
          <cell r="B12918" t="str">
            <v>Ahogamiento y sumersión, de intención no determinada, en calles y carreteras</v>
          </cell>
        </row>
        <row r="12919">
          <cell r="A12919" t="str">
            <v>Y21.5</v>
          </cell>
          <cell r="B12919" t="str">
            <v>Ahogamiento y sumersión, de intención no determinada, en comercio y área de servicios</v>
          </cell>
        </row>
        <row r="12920">
          <cell r="A12920" t="str">
            <v>Y21.6</v>
          </cell>
          <cell r="B12920" t="str">
            <v>Ahogamiento y sumersión, de intención no determinada, en área industrial y de la construcción</v>
          </cell>
        </row>
        <row r="12921">
          <cell r="A12921" t="str">
            <v>Y21.7</v>
          </cell>
          <cell r="B12921" t="str">
            <v>Ahogamiento y sumersión, de intención no determinada, en granja</v>
          </cell>
        </row>
        <row r="12922">
          <cell r="A12922" t="str">
            <v>Y21.8</v>
          </cell>
          <cell r="B12922" t="str">
            <v>Ahogamiento y sumersión, de intención no determinada, en otro lugar especificado</v>
          </cell>
        </row>
        <row r="12923">
          <cell r="A12923" t="str">
            <v>Y21.9</v>
          </cell>
          <cell r="B12923" t="str">
            <v>Ahogamiento y sumersión, de intención no determinada, en lugar no especificado</v>
          </cell>
        </row>
        <row r="12924">
          <cell r="A12924" t="str">
            <v>Y22</v>
          </cell>
          <cell r="B12924" t="str">
            <v>Disparo de arma corta, de intención no determinada</v>
          </cell>
        </row>
        <row r="12925">
          <cell r="A12925" t="str">
            <v>Y22.0</v>
          </cell>
          <cell r="B12925" t="str">
            <v>Disparo de arma corta, de intención no determinada, en vivienda</v>
          </cell>
        </row>
        <row r="12926">
          <cell r="A12926" t="str">
            <v>Y22.1</v>
          </cell>
          <cell r="B12926" t="str">
            <v>Disparo de arma corta, de intención no determinada, en institución residencial</v>
          </cell>
        </row>
        <row r="12927">
          <cell r="A12927" t="str">
            <v>Y22.2</v>
          </cell>
          <cell r="B12927" t="str">
            <v>Disparo de arma corta, de intención no determinada, en escuelas, otras instituciones y áreas administrativas públicas</v>
          </cell>
        </row>
        <row r="12928">
          <cell r="A12928" t="str">
            <v>Y22.3</v>
          </cell>
          <cell r="B12928" t="str">
            <v>Disparo de arma corta, de intención no determinada, en áreas de deporte y atletismo</v>
          </cell>
        </row>
        <row r="12929">
          <cell r="A12929" t="str">
            <v>Y22.4</v>
          </cell>
          <cell r="B12929" t="str">
            <v>Disparo de arma corta, de intención no determinada, en calles y carreteras</v>
          </cell>
        </row>
        <row r="12930">
          <cell r="A12930" t="str">
            <v>Y22.5</v>
          </cell>
          <cell r="B12930" t="str">
            <v>Disparo de arma corta, de intención no determinada, en comercio y área de servicios</v>
          </cell>
        </row>
        <row r="12931">
          <cell r="A12931" t="str">
            <v>Y22.6</v>
          </cell>
          <cell r="B12931" t="str">
            <v>Disparo de arma corta, de intención no determinada, en área industrial y de la construcción</v>
          </cell>
        </row>
        <row r="12932">
          <cell r="A12932" t="str">
            <v>Y22.7</v>
          </cell>
          <cell r="B12932" t="str">
            <v>Disparo de arma corta, de intención no determinada, en granja</v>
          </cell>
        </row>
        <row r="12933">
          <cell r="A12933" t="str">
            <v>Y22.8</v>
          </cell>
          <cell r="B12933" t="str">
            <v>Disparo de arma corta, de intención no determinada, en otro lugar especificado</v>
          </cell>
        </row>
        <row r="12934">
          <cell r="A12934" t="str">
            <v>Y22.9</v>
          </cell>
          <cell r="B12934" t="str">
            <v>Disparo de arma corta, de intención no determinada, en lugar no especificado</v>
          </cell>
        </row>
        <row r="12935">
          <cell r="A12935" t="str">
            <v>Y23</v>
          </cell>
          <cell r="B12935" t="str">
            <v>Disparo de rifle, escopeta y arma larga, de intención no determinada</v>
          </cell>
        </row>
        <row r="12936">
          <cell r="A12936" t="str">
            <v>Y23.0</v>
          </cell>
          <cell r="B12936" t="str">
            <v>Disparo de rifle, escopeta y arma larga, de intención no determinada, en vivienda</v>
          </cell>
        </row>
        <row r="12937">
          <cell r="A12937" t="str">
            <v>Y23.1</v>
          </cell>
          <cell r="B12937" t="str">
            <v>Disparo de rifle, escopeta y arma larga, de intención no determinada, en institución residencial</v>
          </cell>
        </row>
        <row r="12938">
          <cell r="A12938" t="str">
            <v>Y23.2</v>
          </cell>
          <cell r="B12938" t="str">
            <v>Disparo de rifle, escopeta y arma larga, de intención no determinada, en escuelas, otras instituciones y áreas administrativas públicas</v>
          </cell>
        </row>
        <row r="12939">
          <cell r="A12939" t="str">
            <v>Y23.3</v>
          </cell>
          <cell r="B12939" t="str">
            <v>Disparo de rifle, escopeta y arma larga, de intención no determinada, en áreas de deporte y atletismo</v>
          </cell>
        </row>
        <row r="12940">
          <cell r="A12940" t="str">
            <v>Y23.4</v>
          </cell>
          <cell r="B12940" t="str">
            <v>Disparo de rifle, escopeta y arma larga, de intención no determinada, en calles y carreteras</v>
          </cell>
        </row>
        <row r="12941">
          <cell r="A12941" t="str">
            <v>Y23.5</v>
          </cell>
          <cell r="B12941" t="str">
            <v>Disparo de rifle, escopeta y arma larga, de intención no determinada, en comercio y área de servicios</v>
          </cell>
        </row>
        <row r="12942">
          <cell r="A12942" t="str">
            <v>Y23.6</v>
          </cell>
          <cell r="B12942" t="str">
            <v>Disparo de rifle, escopeta y arma larga, de intención no determinada, en área industrial y de la construcción</v>
          </cell>
        </row>
        <row r="12943">
          <cell r="A12943" t="str">
            <v>Y23.7</v>
          </cell>
          <cell r="B12943" t="str">
            <v>Disparo de rifle, escopeta y arma larga, de intención no determinada, en granja</v>
          </cell>
        </row>
        <row r="12944">
          <cell r="A12944" t="str">
            <v>Y23.8</v>
          </cell>
          <cell r="B12944" t="str">
            <v>Disparo de rifle, escopeta y arma larga, de intención no determinada, en otro lugar especificado</v>
          </cell>
        </row>
        <row r="12945">
          <cell r="A12945" t="str">
            <v>Y23.9</v>
          </cell>
          <cell r="B12945" t="str">
            <v>Disparo de rifle, escopeta y arma larga, de intención no determinada, en lugar no especificado</v>
          </cell>
        </row>
        <row r="12946">
          <cell r="A12946" t="str">
            <v>Y24</v>
          </cell>
          <cell r="B12946" t="str">
            <v>Disparo de otras armas de fuego, y las no especificadas, de intención no determinada</v>
          </cell>
        </row>
        <row r="12947">
          <cell r="A12947" t="str">
            <v>Y24.0</v>
          </cell>
          <cell r="B12947" t="str">
            <v>Disparo de otras armas de fuego, y las no especificadas, de intención no determinada, en vivienda</v>
          </cell>
        </row>
        <row r="12948">
          <cell r="A12948" t="str">
            <v>Y24.1</v>
          </cell>
          <cell r="B12948" t="str">
            <v>Disparo de otras armas de fuego, y las no especificadas, de intención no determinada, en institución residencial</v>
          </cell>
        </row>
        <row r="12949">
          <cell r="A12949" t="str">
            <v>Y24.2</v>
          </cell>
          <cell r="B12949" t="str">
            <v>Disparo de otras armas de fuego, y las no especificadas, de intención no determinada, en escuelas, otras instituciones y áreas administrativas públicas</v>
          </cell>
        </row>
        <row r="12950">
          <cell r="A12950" t="str">
            <v>Y24.3</v>
          </cell>
          <cell r="B12950" t="str">
            <v>Disparo de otras armas de fuego, y las no especificadas, de intención no determinada, en áreas de deporte y atletismo</v>
          </cell>
        </row>
        <row r="12951">
          <cell r="A12951" t="str">
            <v>Y24.4</v>
          </cell>
          <cell r="B12951" t="str">
            <v>Disparo de otras armas de fuego, y las no especificadas, de intención no determinada, en calles y carreteras</v>
          </cell>
        </row>
        <row r="12952">
          <cell r="A12952" t="str">
            <v>Y24.5</v>
          </cell>
          <cell r="B12952" t="str">
            <v>Disparo de otras armas de fuego, y las no especificadas, de intención no determinada, en comercio y área de servicios</v>
          </cell>
        </row>
        <row r="12953">
          <cell r="A12953" t="str">
            <v>Y24.6</v>
          </cell>
          <cell r="B12953" t="str">
            <v>Disparo de otras armas de fuego, y las no especificadas, de intención no determinada, en área industrial y de la construcción</v>
          </cell>
        </row>
        <row r="12954">
          <cell r="A12954" t="str">
            <v>Y24.7</v>
          </cell>
          <cell r="B12954" t="str">
            <v>Disparo de otras armas de fuego, y las no especificadas, de intención no determinada, en granja</v>
          </cell>
        </row>
        <row r="12955">
          <cell r="A12955" t="str">
            <v>Y24.8</v>
          </cell>
          <cell r="B12955" t="str">
            <v>Disparo de otras armas de fuego, y las no especificadas, de intención no determinada, en otro lugar especificado</v>
          </cell>
        </row>
        <row r="12956">
          <cell r="A12956" t="str">
            <v>Y24.9</v>
          </cell>
          <cell r="B12956" t="str">
            <v>Disparo de otras armas de fuego, y las no especificadas, de intención no determinada, en lugar no especificado</v>
          </cell>
        </row>
        <row r="12957">
          <cell r="A12957" t="str">
            <v>Y25</v>
          </cell>
          <cell r="B12957" t="str">
            <v>Contacto traumático con material explosivo, de intención no determinada</v>
          </cell>
        </row>
        <row r="12958">
          <cell r="A12958" t="str">
            <v>Y25.0</v>
          </cell>
          <cell r="B12958" t="str">
            <v>Contacto traumático con material explosivo, de intención no determinada, en vivienda</v>
          </cell>
        </row>
        <row r="12959">
          <cell r="A12959" t="str">
            <v>Y25.1</v>
          </cell>
          <cell r="B12959" t="str">
            <v>Contacto traumático con material explosivo, de intención no determinada, en institución residencial</v>
          </cell>
        </row>
        <row r="12960">
          <cell r="A12960" t="str">
            <v>Y25.2</v>
          </cell>
          <cell r="B12960" t="str">
            <v>Contacto traumático con material explosivo, de intención no determinada, en escuelas, otras instituciones y áreas administrativas públicas</v>
          </cell>
        </row>
        <row r="12961">
          <cell r="A12961" t="str">
            <v>Y25.3</v>
          </cell>
          <cell r="B12961" t="str">
            <v>Contacto traumático con material explosivo, de intención no determinada, en áreas de deporte y atletismo</v>
          </cell>
        </row>
        <row r="12962">
          <cell r="A12962" t="str">
            <v>Y25.4</v>
          </cell>
          <cell r="B12962" t="str">
            <v>Contacto traumático con material explosivo, de intención no determinada, en calles y carreteras</v>
          </cell>
        </row>
        <row r="12963">
          <cell r="A12963" t="str">
            <v>Y25.5</v>
          </cell>
          <cell r="B12963" t="str">
            <v>Contacto traumático con material explosivo, de intención no determinada, en comercio y área de servicios</v>
          </cell>
        </row>
        <row r="12964">
          <cell r="A12964" t="str">
            <v>Y25.6</v>
          </cell>
          <cell r="B12964" t="str">
            <v>Contacto traumático con material explosivo, de intención no determinada, en área industrial y de la construcción</v>
          </cell>
        </row>
        <row r="12965">
          <cell r="A12965" t="str">
            <v>Y25.7</v>
          </cell>
          <cell r="B12965" t="str">
            <v>Contacto traumático con material explosivo, de intención no determinada, en granja</v>
          </cell>
        </row>
        <row r="12966">
          <cell r="A12966" t="str">
            <v>Y25.8</v>
          </cell>
          <cell r="B12966" t="str">
            <v>Contacto traumático con material explosivo, de intención no determinada, en otro lugar especificado</v>
          </cell>
        </row>
        <row r="12967">
          <cell r="A12967" t="str">
            <v>Y25.9</v>
          </cell>
          <cell r="B12967" t="str">
            <v>Contacto traumático con material explosivo, de intención no determinada, en lugar no especificado</v>
          </cell>
        </row>
        <row r="12968">
          <cell r="A12968" t="str">
            <v>Y26</v>
          </cell>
          <cell r="B12968" t="str">
            <v>Exposición al humo, fuego y llamas, de intención no determinada</v>
          </cell>
        </row>
        <row r="12969">
          <cell r="A12969" t="str">
            <v>Y26.0</v>
          </cell>
          <cell r="B12969" t="str">
            <v>Exposición al humo, fuego y llamas, de intención no determinada, en vivienda</v>
          </cell>
        </row>
        <row r="12970">
          <cell r="A12970" t="str">
            <v>Y26.1</v>
          </cell>
          <cell r="B12970" t="str">
            <v>Exposición al humo, fuego y llamas, de intención no determinada, en institución residencial</v>
          </cell>
        </row>
        <row r="12971">
          <cell r="A12971" t="str">
            <v>Y26.2</v>
          </cell>
          <cell r="B12971" t="str">
            <v>Exposición al humo, fuego y llamas, de intención no determinada, en escuelas, otras instituciones y áreas administrativas públicas</v>
          </cell>
        </row>
        <row r="12972">
          <cell r="A12972" t="str">
            <v>Y26.3</v>
          </cell>
          <cell r="B12972" t="str">
            <v>Exposición al humo, fuego y llamas, de intención no determinada, en áreas de deporte y atletismo</v>
          </cell>
        </row>
        <row r="12973">
          <cell r="A12973" t="str">
            <v>Y26.4</v>
          </cell>
          <cell r="B12973" t="str">
            <v>Exposición al humo, fuego y llamas, de intención no determinada, en calles y carreteras</v>
          </cell>
        </row>
        <row r="12974">
          <cell r="A12974" t="str">
            <v>Y26.5</v>
          </cell>
          <cell r="B12974" t="str">
            <v>Exposición al humo, fuego y llamas, de intención no determinada, en comercio y área de servicios</v>
          </cell>
        </row>
        <row r="12975">
          <cell r="A12975" t="str">
            <v>Y26.6</v>
          </cell>
          <cell r="B12975" t="str">
            <v>Exposición al humo, fuego y llamas, de intención no determinada, en área industrial y de la construcción</v>
          </cell>
        </row>
        <row r="12976">
          <cell r="A12976" t="str">
            <v>Y26.7</v>
          </cell>
          <cell r="B12976" t="str">
            <v>Exposición al humo, fuego y llamas, de intención no determinada, en granja</v>
          </cell>
        </row>
        <row r="12977">
          <cell r="A12977" t="str">
            <v>Y26.8</v>
          </cell>
          <cell r="B12977" t="str">
            <v>Exposición al humo, fuego y llamas, de intención no determinada, en otro lugar especificado</v>
          </cell>
        </row>
        <row r="12978">
          <cell r="A12978" t="str">
            <v>Y26.9</v>
          </cell>
          <cell r="B12978" t="str">
            <v>Exposición al humo, fuego y llamas, de intención no determinada, en lugar no especificado</v>
          </cell>
        </row>
        <row r="12979">
          <cell r="A12979" t="str">
            <v>Y27</v>
          </cell>
          <cell r="B12979" t="str">
            <v>Contacto con vapor de agua, vapores y objetos calientes, de intención no determinada</v>
          </cell>
        </row>
        <row r="12980">
          <cell r="A12980" t="str">
            <v>Y27.0</v>
          </cell>
          <cell r="B12980" t="str">
            <v>Contacto con vapor de agua, vapores y objetos calientes, de intención no determinada, en vivienda</v>
          </cell>
        </row>
        <row r="12981">
          <cell r="A12981" t="str">
            <v>Y27.1</v>
          </cell>
          <cell r="B12981" t="str">
            <v>Contacto con vapor de agua, vapores y objetos calientes, de intención no determinada, en institución residencial</v>
          </cell>
        </row>
        <row r="12982">
          <cell r="A12982" t="str">
            <v>Y27.2</v>
          </cell>
          <cell r="B12982" t="str">
            <v>Contacto con vapor de agua, vapores y objetos calientes, de intención no determinada, en escuelas, otras instituciones y áreas administrativas públicas</v>
          </cell>
        </row>
        <row r="12983">
          <cell r="A12983" t="str">
            <v>Y27.3</v>
          </cell>
          <cell r="B12983" t="str">
            <v>Contacto con vapor de agua, vapores y objetos calientes, de intención no determinada, en áreas de deporte y atletismo</v>
          </cell>
        </row>
        <row r="12984">
          <cell r="A12984" t="str">
            <v>Y27.4</v>
          </cell>
          <cell r="B12984" t="str">
            <v>Contacto con vapor de agua, vapores y objetos calientes, de intención no determinada, en calles y carreteras</v>
          </cell>
        </row>
        <row r="12985">
          <cell r="A12985" t="str">
            <v>Y27.5</v>
          </cell>
          <cell r="B12985" t="str">
            <v>Contacto con vapor de agua, vapores y objetos calientes, de intención no determinada, en comercio y área de servicios</v>
          </cell>
        </row>
        <row r="12986">
          <cell r="A12986" t="str">
            <v>Y27.6</v>
          </cell>
          <cell r="B12986" t="str">
            <v>Contacto con vapor de agua, vapores y objetos calientes, de intención no determinada, en área industrial y de la construcción</v>
          </cell>
        </row>
        <row r="12987">
          <cell r="A12987" t="str">
            <v>Y27.7</v>
          </cell>
          <cell r="B12987" t="str">
            <v>Contacto con vapor de agua, vapores y objetos calientes, de intención no determinada, en granja</v>
          </cell>
        </row>
        <row r="12988">
          <cell r="A12988" t="str">
            <v>Y27.8</v>
          </cell>
          <cell r="B12988" t="str">
            <v>Contacto con vapor de agua, vapores y objetos calientes, de intención no determinada, en otro lugar especificado</v>
          </cell>
        </row>
        <row r="12989">
          <cell r="A12989" t="str">
            <v>Y27.9</v>
          </cell>
          <cell r="B12989" t="str">
            <v>Contacto con vapor de agua, vapores y objetos calientes, de intención no determinada, en lugar no especificado</v>
          </cell>
        </row>
        <row r="12990">
          <cell r="A12990" t="str">
            <v>Y28</v>
          </cell>
          <cell r="B12990" t="str">
            <v>Contacto traumático con objeto cortante, de intención no determinada</v>
          </cell>
        </row>
        <row r="12991">
          <cell r="A12991" t="str">
            <v>Y28.0</v>
          </cell>
          <cell r="B12991" t="str">
            <v>Contacto traumático con objeto cortante, de intención no determinada, en vivienda</v>
          </cell>
        </row>
        <row r="12992">
          <cell r="A12992" t="str">
            <v>Y28.1</v>
          </cell>
          <cell r="B12992" t="str">
            <v>Contacto traumático con objeto cortante, de intención no determinada, en institución residencial</v>
          </cell>
        </row>
        <row r="12993">
          <cell r="A12993" t="str">
            <v>Y28.2</v>
          </cell>
          <cell r="B12993" t="str">
            <v>Contacto traumático con objeto cortante, de intención no determinada, en escuelas, otras instituciones y áreas administrativas públicas</v>
          </cell>
        </row>
        <row r="12994">
          <cell r="A12994" t="str">
            <v>Y28.3</v>
          </cell>
          <cell r="B12994" t="str">
            <v>Contacto traumático con objeto cortante, de intención no determinada, en áreas de deporte y atletismo</v>
          </cell>
        </row>
        <row r="12995">
          <cell r="A12995" t="str">
            <v>Y28.4</v>
          </cell>
          <cell r="B12995" t="str">
            <v>Contacto traumático con objeto cortante, de intención no determinada, en calles y carreteras</v>
          </cell>
        </row>
        <row r="12996">
          <cell r="A12996" t="str">
            <v>Y28.5</v>
          </cell>
          <cell r="B12996" t="str">
            <v>Contacto traumático con objeto cortante, de intención no determinada, en comercio y área de servicios</v>
          </cell>
        </row>
        <row r="12997">
          <cell r="A12997" t="str">
            <v>Y28.6</v>
          </cell>
          <cell r="B12997" t="str">
            <v>Contacto traumático con objeto cortante, de intención no determinada, en área industrial y de la construcción</v>
          </cell>
        </row>
        <row r="12998">
          <cell r="A12998" t="str">
            <v>Y28.7</v>
          </cell>
          <cell r="B12998" t="str">
            <v>Contacto traumático con objeto cortante, de intención no determinada, en granja</v>
          </cell>
        </row>
        <row r="12999">
          <cell r="A12999" t="str">
            <v>Y28.8</v>
          </cell>
          <cell r="B12999" t="str">
            <v>Contacto traumático con objeto cortante, de intención no determinada, en otro lugar especificado</v>
          </cell>
        </row>
        <row r="13000">
          <cell r="A13000" t="str">
            <v>Y28.9</v>
          </cell>
          <cell r="B13000" t="str">
            <v>Contacto traumático con objeto cortante, de intención no determinada, en lugar no especificado</v>
          </cell>
        </row>
        <row r="13001">
          <cell r="A13001" t="str">
            <v>Y29</v>
          </cell>
          <cell r="B13001" t="str">
            <v>Contacto traumático con objeto romo o sin filo, de intención no determinada</v>
          </cell>
        </row>
        <row r="13002">
          <cell r="A13002" t="str">
            <v>Y29.0</v>
          </cell>
          <cell r="B13002" t="str">
            <v>Contacto traumático con objeto romo o sin filo, de intención no determinada, en vivienda</v>
          </cell>
        </row>
        <row r="13003">
          <cell r="A13003" t="str">
            <v>Y29.1</v>
          </cell>
          <cell r="B13003" t="str">
            <v>Contacto traumático con objeto romo o sin filo, de intención no determinada, en institución residencial</v>
          </cell>
        </row>
        <row r="13004">
          <cell r="A13004" t="str">
            <v>Y29.2</v>
          </cell>
          <cell r="B13004" t="str">
            <v>Contacto traumático con objeto romo o sin filo, de intención no determinada, en escuelas, otras instituciones y áreas administrativas públicas</v>
          </cell>
        </row>
        <row r="13005">
          <cell r="A13005" t="str">
            <v>Y29.3</v>
          </cell>
          <cell r="B13005" t="str">
            <v>Contacto traumático con objeto romo o sin filo, de intención no determinada, en áreas de deporte y atletismo</v>
          </cell>
        </row>
        <row r="13006">
          <cell r="A13006" t="str">
            <v>Y29.4</v>
          </cell>
          <cell r="B13006" t="str">
            <v>Contacto traumático con objeto romo o sin filo, de intención no determinada, en calles y carreteras</v>
          </cell>
        </row>
        <row r="13007">
          <cell r="A13007" t="str">
            <v>Y29.5</v>
          </cell>
          <cell r="B13007" t="str">
            <v>Contacto traumático con objeto romo o sin filo, de intención no determinada, en comercio y área de servicios</v>
          </cell>
        </row>
        <row r="13008">
          <cell r="A13008" t="str">
            <v>Y29.6</v>
          </cell>
          <cell r="B13008" t="str">
            <v>Contacto traumático con objeto romo o sin filo, de intención no determinada, en área industrial y de la construcción</v>
          </cell>
        </row>
        <row r="13009">
          <cell r="A13009" t="str">
            <v>Y29.7</v>
          </cell>
          <cell r="B13009" t="str">
            <v>Contacto traumático con objeto romo o sin filo, de intención no determinada, en granja</v>
          </cell>
        </row>
        <row r="13010">
          <cell r="A13010" t="str">
            <v>Y29.8</v>
          </cell>
          <cell r="B13010" t="str">
            <v>Contacto traumático con objeto romo o sin filo, de intención no determinada, en otro lugar especificado</v>
          </cell>
        </row>
        <row r="13011">
          <cell r="A13011" t="str">
            <v>Y29.9</v>
          </cell>
          <cell r="B13011" t="str">
            <v>Contacto traumático con objeto romo o sin filo, de intención no determinada, en lugar no especificado</v>
          </cell>
        </row>
        <row r="13012">
          <cell r="A13012" t="str">
            <v>Y30</v>
          </cell>
          <cell r="B13012" t="str">
            <v>Caída, salto o empujón desde lugar elevado, de intención no determinada</v>
          </cell>
        </row>
        <row r="13013">
          <cell r="A13013" t="str">
            <v>Y30.0</v>
          </cell>
          <cell r="B13013" t="str">
            <v>Caída, salto o empujón desde lugar elevado, de intención no determinada, en vivienda</v>
          </cell>
        </row>
        <row r="13014">
          <cell r="A13014" t="str">
            <v>Y30.1</v>
          </cell>
          <cell r="B13014" t="str">
            <v>Caída, salto o empujón desde lugar elevado, de intención no determinada, en institución residencial</v>
          </cell>
        </row>
        <row r="13015">
          <cell r="A13015" t="str">
            <v>Y30.2</v>
          </cell>
          <cell r="B13015" t="str">
            <v>Caída, salto o empujón desde lugar elevado, de intención no determinada, en escuelas, otras instituciones y áreas administrativas públicas</v>
          </cell>
        </row>
        <row r="13016">
          <cell r="A13016" t="str">
            <v>Y30.3</v>
          </cell>
          <cell r="B13016" t="str">
            <v>Caída, salto o empujón desde lugar elevado, de intención no determinada, en áreas de deporte y atletismo</v>
          </cell>
        </row>
        <row r="13017">
          <cell r="A13017" t="str">
            <v>Y30.4</v>
          </cell>
          <cell r="B13017" t="str">
            <v>Caída, salto o empujón desde lugar elevado, de intención no determinada, en calles y carreteras</v>
          </cell>
        </row>
        <row r="13018">
          <cell r="A13018" t="str">
            <v>Y30.5</v>
          </cell>
          <cell r="B13018" t="str">
            <v>Caída, salto o empujón desde lugar elevado, de intención no determinada, en comercio y área de servicios</v>
          </cell>
        </row>
        <row r="13019">
          <cell r="A13019" t="str">
            <v>Y30.6</v>
          </cell>
          <cell r="B13019" t="str">
            <v>Caída, salto o empujón desde lugar elevado, de intención no determinada, en área industrial y de la construcción</v>
          </cell>
        </row>
        <row r="13020">
          <cell r="A13020" t="str">
            <v>Y30.7</v>
          </cell>
          <cell r="B13020" t="str">
            <v>Caída, salto o empujón desde lugar elevado, de intención no determinada, en granja</v>
          </cell>
        </row>
        <row r="13021">
          <cell r="A13021" t="str">
            <v>Y30.8</v>
          </cell>
          <cell r="B13021" t="str">
            <v>Caída, salto o empujón desde lugar elevado, de intención no determinada, en otro lugar especificado</v>
          </cell>
        </row>
        <row r="13022">
          <cell r="A13022" t="str">
            <v>Y30.9</v>
          </cell>
          <cell r="B13022" t="str">
            <v>Caída, salto o empujón desde lugar elevado, de intención no determinada, en lugar no especificado</v>
          </cell>
        </row>
        <row r="13023">
          <cell r="A13023" t="str">
            <v>Y31</v>
          </cell>
          <cell r="B13023" t="str">
            <v>Caída, permanencia o carrera delante o hacia objeto en movimiento, de intención no determinada</v>
          </cell>
        </row>
        <row r="13024">
          <cell r="A13024" t="str">
            <v>Y31.0</v>
          </cell>
          <cell r="B13024" t="str">
            <v>Caída, permanencia o carrera delante o hacia objeto en movimiento, de intención no determinada, en vivienda</v>
          </cell>
        </row>
        <row r="13025">
          <cell r="A13025" t="str">
            <v>Y31.1</v>
          </cell>
          <cell r="B13025" t="str">
            <v>Caída, permanencia o carrera delante o hacia objeto en movimiento, de intención no determinada, en institución residencial</v>
          </cell>
        </row>
        <row r="13026">
          <cell r="A13026" t="str">
            <v>Y31.2</v>
          </cell>
          <cell r="B13026" t="str">
            <v>Caída, permanencia o carrera delante o hacia objeto en movimiento, de intención no determinada, en escuelas, otras instituciones y áreas administrativas públicas</v>
          </cell>
        </row>
        <row r="13027">
          <cell r="A13027" t="str">
            <v>Y31.3</v>
          </cell>
          <cell r="B13027" t="str">
            <v>Caída, permanencia o carrera delante o hacia objeto en movimiento, de intención no determinada, en áreas de deporte y atletismo</v>
          </cell>
        </row>
        <row r="13028">
          <cell r="A13028" t="str">
            <v>Y31.4</v>
          </cell>
          <cell r="B13028" t="str">
            <v>Caída, permanencia o carrera delante o hacia objeto en movimiento, de intención no determinada, en calles y carreteras</v>
          </cell>
        </row>
        <row r="13029">
          <cell r="A13029" t="str">
            <v>Y31.5</v>
          </cell>
          <cell r="B13029" t="str">
            <v>Caída, permanencia o carrera delante o hacia objeto en movimiento, de intención no determinada, en comercio y área de servicios</v>
          </cell>
        </row>
        <row r="13030">
          <cell r="A13030" t="str">
            <v>Y31.6</v>
          </cell>
          <cell r="B13030" t="str">
            <v>Caída, permanencia o carrera delante o hacia objeto en movimiento, de intención no determinada, en área industrial y de la construcción</v>
          </cell>
        </row>
        <row r="13031">
          <cell r="A13031" t="str">
            <v>Y31.7</v>
          </cell>
          <cell r="B13031" t="str">
            <v>Caída, permanencia o carrera delante o hacia objeto en movimiento, de intención no determinada, en granja</v>
          </cell>
        </row>
        <row r="13032">
          <cell r="A13032" t="str">
            <v>Y31.8</v>
          </cell>
          <cell r="B13032" t="str">
            <v>Caída, permanencia o carrera delante o hacia objeto en movimiento, de intención no determinada, en otro lugar especificado</v>
          </cell>
        </row>
        <row r="13033">
          <cell r="A13033" t="str">
            <v>Y31.9</v>
          </cell>
          <cell r="B13033" t="str">
            <v>Caída, permanencia o carrera delante o hacia objeto en movimiento, de intención no determinada, en lugar no especificado</v>
          </cell>
        </row>
        <row r="13034">
          <cell r="A13034" t="str">
            <v>Y32</v>
          </cell>
          <cell r="B13034" t="str">
            <v>Colisión de vehículo de motor, de intención no determinada</v>
          </cell>
        </row>
        <row r="13035">
          <cell r="A13035" t="str">
            <v>Y32.0</v>
          </cell>
          <cell r="B13035" t="str">
            <v>Colisión de vehículo de motor, de intención no determinada, en vivienda</v>
          </cell>
        </row>
        <row r="13036">
          <cell r="A13036" t="str">
            <v>Y32.1</v>
          </cell>
          <cell r="B13036" t="str">
            <v>Colisión de vehículo de motor, de intención no determinada, en institución residencial</v>
          </cell>
        </row>
        <row r="13037">
          <cell r="A13037" t="str">
            <v>Y32.2</v>
          </cell>
          <cell r="B13037" t="str">
            <v>Colisión de vehículo de motor, de intención no determinada, en escuelas, otras instituciones y áreas administrativas públicas</v>
          </cell>
        </row>
        <row r="13038">
          <cell r="A13038" t="str">
            <v>Y32.3</v>
          </cell>
          <cell r="B13038" t="str">
            <v>Colisión de vehículo de motor, de intención no determinada, en áreas de deporte y atletismo</v>
          </cell>
        </row>
        <row r="13039">
          <cell r="A13039" t="str">
            <v>Y32.4</v>
          </cell>
          <cell r="B13039" t="str">
            <v>Colisión de vehículo de motor, de intención no determinada, en calles y carreteras</v>
          </cell>
        </row>
        <row r="13040">
          <cell r="A13040" t="str">
            <v>Y32.5</v>
          </cell>
          <cell r="B13040" t="str">
            <v>Colisión de vehículo de motor, de intención no determinada, en comercio y área de servicios</v>
          </cell>
        </row>
        <row r="13041">
          <cell r="A13041" t="str">
            <v>Y32.6</v>
          </cell>
          <cell r="B13041" t="str">
            <v>Colisión de vehículo de motor, de intención no determinada, en área industrial y de la construcción</v>
          </cell>
        </row>
        <row r="13042">
          <cell r="A13042" t="str">
            <v>Y32.7</v>
          </cell>
          <cell r="B13042" t="str">
            <v>Colisión de vehículo de motor, de intención no determinada, en granja</v>
          </cell>
        </row>
        <row r="13043">
          <cell r="A13043" t="str">
            <v>Y32.8</v>
          </cell>
          <cell r="B13043" t="str">
            <v>Colisión de vehículo de motor, de intención no determinada, en otro lugar especificado</v>
          </cell>
        </row>
        <row r="13044">
          <cell r="A13044" t="str">
            <v>Y32.9</v>
          </cell>
          <cell r="B13044" t="str">
            <v>Colisión de vehículo de motor, de intención no determinada, en lugar no especificado</v>
          </cell>
        </row>
        <row r="13045">
          <cell r="A13045" t="str">
            <v>Y33</v>
          </cell>
          <cell r="B13045" t="str">
            <v>Otros eventos especificados, de intención no determinada</v>
          </cell>
        </row>
        <row r="13046">
          <cell r="A13046" t="str">
            <v>Y33.0</v>
          </cell>
          <cell r="B13046" t="str">
            <v>Otros eventos especificados, de intención no determinada, en vivienda</v>
          </cell>
        </row>
        <row r="13047">
          <cell r="A13047" t="str">
            <v>Y33.1</v>
          </cell>
          <cell r="B13047" t="str">
            <v>Otros eventos especificados, de intención no determinada, en institución residencial</v>
          </cell>
        </row>
        <row r="13048">
          <cell r="A13048" t="str">
            <v>Y33.2</v>
          </cell>
          <cell r="B13048" t="str">
            <v>Otros eventos especificados, de intención no determinada, en escuelas, otras instituciones y áreas administrativas públicas</v>
          </cell>
        </row>
        <row r="13049">
          <cell r="A13049" t="str">
            <v>Y33.3</v>
          </cell>
          <cell r="B13049" t="str">
            <v>Otros eventos especificados, de intención no determinada, en áreas de deporte y atletismo</v>
          </cell>
        </row>
        <row r="13050">
          <cell r="A13050" t="str">
            <v>Y33.4</v>
          </cell>
          <cell r="B13050" t="str">
            <v>Otros eventos especificados, de intención no determinada, en calles y carreteras</v>
          </cell>
        </row>
        <row r="13051">
          <cell r="A13051" t="str">
            <v>Y33.5</v>
          </cell>
          <cell r="B13051" t="str">
            <v>Otros eventos especificados, de intención no determinada, en comercio y área de servicios</v>
          </cell>
        </row>
        <row r="13052">
          <cell r="A13052" t="str">
            <v>Y33.6</v>
          </cell>
          <cell r="B13052" t="str">
            <v>Otros eventos especificados, de intención no determinada, en área industrial y de la construcción</v>
          </cell>
        </row>
        <row r="13053">
          <cell r="A13053" t="str">
            <v>Y33.7</v>
          </cell>
          <cell r="B13053" t="str">
            <v>Otros eventos especificados, de intención no determinada, en granja</v>
          </cell>
        </row>
        <row r="13054">
          <cell r="A13054" t="str">
            <v>Y33.8</v>
          </cell>
          <cell r="B13054" t="str">
            <v>Otros eventos especificados, de intención no determinada, en otro lugar especificado</v>
          </cell>
        </row>
        <row r="13055">
          <cell r="A13055" t="str">
            <v>Y33.9</v>
          </cell>
          <cell r="B13055" t="str">
            <v>Otros eventos especificados, de intención no determinada, en lugar no especificado</v>
          </cell>
        </row>
        <row r="13056">
          <cell r="A13056" t="str">
            <v>Y34</v>
          </cell>
          <cell r="B13056" t="str">
            <v>Evento no especificado, de intención no determinada</v>
          </cell>
        </row>
        <row r="13057">
          <cell r="A13057" t="str">
            <v>Y34.0</v>
          </cell>
          <cell r="B13057" t="str">
            <v>Evento no especificado, de intención no determinada, en vivienda</v>
          </cell>
        </row>
        <row r="13058">
          <cell r="A13058" t="str">
            <v>Y34.1</v>
          </cell>
          <cell r="B13058" t="str">
            <v>Evento no especificado, de intención no determinada, en institución residencial</v>
          </cell>
        </row>
        <row r="13059">
          <cell r="A13059" t="str">
            <v>Y34.2</v>
          </cell>
          <cell r="B13059" t="str">
            <v>Evento no especificado, de intención no determinada, en escuelas, otras instituciones y áreas administrativas públicas</v>
          </cell>
        </row>
        <row r="13060">
          <cell r="A13060" t="str">
            <v>Y34.3</v>
          </cell>
          <cell r="B13060" t="str">
            <v>Evento no especificado, de intención no determinada, en áreas de deporte y atletismo</v>
          </cell>
        </row>
        <row r="13061">
          <cell r="A13061" t="str">
            <v>Y34.4</v>
          </cell>
          <cell r="B13061" t="str">
            <v>Evento no especificado, de intención no determinada, en calles y carreteras</v>
          </cell>
        </row>
        <row r="13062">
          <cell r="A13062" t="str">
            <v>Y34.5</v>
          </cell>
          <cell r="B13062" t="str">
            <v>Evento no especificado, de intención no determinada, en comercio y área de servicios</v>
          </cell>
        </row>
        <row r="13063">
          <cell r="A13063" t="str">
            <v>Y34.6</v>
          </cell>
          <cell r="B13063" t="str">
            <v>Evento no especificado, de intención no determinada, en área industrial y de la construcción</v>
          </cell>
        </row>
        <row r="13064">
          <cell r="A13064" t="str">
            <v>Y34.7</v>
          </cell>
          <cell r="B13064" t="str">
            <v>Evento no especificado, de intención no determinada, en granja</v>
          </cell>
        </row>
        <row r="13065">
          <cell r="A13065" t="str">
            <v>Y34.8</v>
          </cell>
          <cell r="B13065" t="str">
            <v>Evento no especificado, de intención no determinada, en otro lugar especificado</v>
          </cell>
        </row>
        <row r="13066">
          <cell r="A13066" t="str">
            <v>Y34.9</v>
          </cell>
          <cell r="B13066" t="str">
            <v>Evento no especificado, de intención no determinada, en lugar no especificado</v>
          </cell>
        </row>
        <row r="13067">
          <cell r="A13067" t="str">
            <v>Y35</v>
          </cell>
          <cell r="B13067" t="str">
            <v>Intervención legal</v>
          </cell>
        </row>
        <row r="13068">
          <cell r="A13068" t="str">
            <v>Y35.0</v>
          </cell>
          <cell r="B13068" t="str">
            <v>Intervención legal con disparo de arma de fuego</v>
          </cell>
        </row>
        <row r="13069">
          <cell r="A13069" t="str">
            <v>Y35.1</v>
          </cell>
          <cell r="B13069" t="str">
            <v>Intervención legal con explosivos</v>
          </cell>
        </row>
        <row r="13070">
          <cell r="A13070" t="str">
            <v>Y35.2</v>
          </cell>
          <cell r="B13070" t="str">
            <v>Intervención legal con gas</v>
          </cell>
        </row>
        <row r="13071">
          <cell r="A13071" t="str">
            <v>Y35.3</v>
          </cell>
          <cell r="B13071" t="str">
            <v>Intervención legal con objetos romos o sin filo</v>
          </cell>
        </row>
        <row r="13072">
          <cell r="A13072" t="str">
            <v>Y35.4</v>
          </cell>
          <cell r="B13072" t="str">
            <v>Intervención legal con objetos cortantes</v>
          </cell>
        </row>
        <row r="13073">
          <cell r="A13073" t="str">
            <v>Y35.5</v>
          </cell>
          <cell r="B13073" t="str">
            <v>Ejecución legal</v>
          </cell>
        </row>
        <row r="13074">
          <cell r="A13074" t="str">
            <v>Y35.6</v>
          </cell>
          <cell r="B13074" t="str">
            <v>Intervención legal con otros medios especificados</v>
          </cell>
        </row>
        <row r="13075">
          <cell r="A13075" t="str">
            <v>Y35.7</v>
          </cell>
          <cell r="B13075" t="str">
            <v>Intervención legal, medios no especificados</v>
          </cell>
        </row>
        <row r="13076">
          <cell r="A13076" t="str">
            <v>Y36</v>
          </cell>
          <cell r="B13076" t="str">
            <v>Operaciones de guerra</v>
          </cell>
        </row>
        <row r="13077">
          <cell r="A13077" t="str">
            <v>Y36.0</v>
          </cell>
          <cell r="B13077" t="str">
            <v>Operaciones de guerra con explosión de armamento naval</v>
          </cell>
        </row>
        <row r="13078">
          <cell r="A13078" t="str">
            <v>Y36.1</v>
          </cell>
          <cell r="B13078" t="str">
            <v>Operaciones de guerra con destrucción de aeronave</v>
          </cell>
        </row>
        <row r="13079">
          <cell r="A13079" t="str">
            <v>Y36.2</v>
          </cell>
          <cell r="B13079" t="str">
            <v>Operaciones de guerra con otras explosiones y esquirlas</v>
          </cell>
        </row>
        <row r="13080">
          <cell r="A13080" t="str">
            <v>Y36.3</v>
          </cell>
          <cell r="B13080" t="str">
            <v>Operaciones de guerra con fuego y sustancias incendiarias y calientes</v>
          </cell>
        </row>
        <row r="13081">
          <cell r="A13081" t="str">
            <v>Y36.4</v>
          </cell>
          <cell r="B13081" t="str">
            <v>Operaciones de guerra con disparo de arma de fuego y otras formas de guerra convencional</v>
          </cell>
        </row>
        <row r="13082">
          <cell r="A13082" t="str">
            <v>Y36.5</v>
          </cell>
          <cell r="B13082" t="str">
            <v>Operaciones de guerra con armas nucleares</v>
          </cell>
        </row>
        <row r="13083">
          <cell r="A13083" t="str">
            <v>Y36.6</v>
          </cell>
          <cell r="B13083" t="str">
            <v>Operaciones de guerra con armas biológicas</v>
          </cell>
        </row>
        <row r="13084">
          <cell r="A13084" t="str">
            <v>Y36.7</v>
          </cell>
          <cell r="B13084" t="str">
            <v>Operaciones de guerra con armas químicas y otras formas de guerra no convencional</v>
          </cell>
        </row>
        <row r="13085">
          <cell r="A13085" t="str">
            <v>Y36.8</v>
          </cell>
          <cell r="B13085" t="str">
            <v>Operaciones de guerra que ocurren después del cese de hostilidades</v>
          </cell>
        </row>
        <row r="13086">
          <cell r="A13086" t="str">
            <v>Y36.9</v>
          </cell>
          <cell r="B13086" t="str">
            <v>Operación de guerra no especificada</v>
          </cell>
        </row>
        <row r="13087">
          <cell r="A13087" t="str">
            <v>Y40</v>
          </cell>
          <cell r="B13087" t="str">
            <v>Efectos adversos de antibióticos sistémicos</v>
          </cell>
        </row>
        <row r="13088">
          <cell r="A13088" t="str">
            <v>Y40.0</v>
          </cell>
          <cell r="B13088" t="str">
            <v>Efectos adversos de penicilinas</v>
          </cell>
        </row>
        <row r="13089">
          <cell r="A13089" t="str">
            <v>Y40.1</v>
          </cell>
          <cell r="B13089" t="str">
            <v>Efectos adversos de cefalosporinas y otros antibióticos beta-lactámicos</v>
          </cell>
        </row>
        <row r="13090">
          <cell r="A13090" t="str">
            <v>Y40.2</v>
          </cell>
          <cell r="B13090" t="str">
            <v>Efectos adversos del grupo de cloramfenicol</v>
          </cell>
        </row>
        <row r="13091">
          <cell r="A13091" t="str">
            <v>Y40.3</v>
          </cell>
          <cell r="B13091" t="str">
            <v>Efectos adversos de los macrólidos</v>
          </cell>
        </row>
        <row r="13092">
          <cell r="A13092" t="str">
            <v>Y40.4</v>
          </cell>
          <cell r="B13092" t="str">
            <v>Efectos adversos de tetraciclinas</v>
          </cell>
        </row>
        <row r="13093">
          <cell r="A13093" t="str">
            <v>Y40.5</v>
          </cell>
          <cell r="B13093" t="str">
            <v>Efectos adversos de aminoglucósidos</v>
          </cell>
        </row>
        <row r="13094">
          <cell r="A13094" t="str">
            <v>Y40.6</v>
          </cell>
          <cell r="B13094" t="str">
            <v>Efectos adversos de rifamicinas</v>
          </cell>
        </row>
        <row r="13095">
          <cell r="A13095" t="str">
            <v>Y40.7</v>
          </cell>
          <cell r="B13095" t="str">
            <v>Efectos adversos de antibióticos antimicóticos usados sistémicamente</v>
          </cell>
        </row>
        <row r="13096">
          <cell r="A13096" t="str">
            <v>Y40.8</v>
          </cell>
          <cell r="B13096" t="str">
            <v>Efectos adversos de otros antibióticos sistémicos</v>
          </cell>
        </row>
        <row r="13097">
          <cell r="A13097" t="str">
            <v>Y40.9</v>
          </cell>
          <cell r="B13097" t="str">
            <v>Efectos adversos de antibiótico sistémico no especificado</v>
          </cell>
        </row>
        <row r="13098">
          <cell r="A13098" t="str">
            <v>Y41</v>
          </cell>
          <cell r="B13098" t="str">
            <v>Efectos adversos de otros antiinfecciosos y antiparasitarios sistémicos</v>
          </cell>
        </row>
        <row r="13099">
          <cell r="A13099" t="str">
            <v>Y41.0</v>
          </cell>
          <cell r="B13099" t="str">
            <v>Efectos adversos de sulfonamidas</v>
          </cell>
        </row>
        <row r="13100">
          <cell r="A13100" t="str">
            <v>Y41.1</v>
          </cell>
          <cell r="B13100" t="str">
            <v>Efectos adversos de drogas antimicobacterianas</v>
          </cell>
        </row>
        <row r="13101">
          <cell r="A13101" t="str">
            <v>Y41.2</v>
          </cell>
          <cell r="B13101" t="str">
            <v>Efectos adversos de drogas antipalúdicas y agentes que actúan sobre otros protozoarios de la sangre</v>
          </cell>
        </row>
        <row r="13102">
          <cell r="A13102" t="str">
            <v>Y41.3</v>
          </cell>
          <cell r="B13102" t="str">
            <v>Efectos adversos de otras drogas antiprotozoarias</v>
          </cell>
        </row>
        <row r="13103">
          <cell r="A13103" t="str">
            <v>Y41.4</v>
          </cell>
          <cell r="B13103" t="str">
            <v>Efectos adversos de antihelmínticos</v>
          </cell>
        </row>
        <row r="13104">
          <cell r="A13104" t="str">
            <v>Y41.5</v>
          </cell>
          <cell r="B13104" t="str">
            <v>Efectos adversos de drogas antivirales</v>
          </cell>
        </row>
        <row r="13105">
          <cell r="A13105" t="str">
            <v>Y41.8</v>
          </cell>
          <cell r="B13105" t="str">
            <v>Efectos adversos de otros antiinfecciosos y antiparasitarios sistémicos especificados</v>
          </cell>
        </row>
        <row r="13106">
          <cell r="A13106" t="str">
            <v>Y41.9</v>
          </cell>
          <cell r="B13106" t="str">
            <v>Efectos adversos de antiinfecciosos y antiparasitarios sistémicos no especificados</v>
          </cell>
        </row>
        <row r="13107">
          <cell r="A13107" t="str">
            <v>Y42</v>
          </cell>
          <cell r="B13107" t="str">
            <v>Efectos adversos de hormonas y sus sustitutos sintéticos y antagonistas, no clasificados en otra parte</v>
          </cell>
        </row>
        <row r="13108">
          <cell r="A13108" t="str">
            <v>Y42.0</v>
          </cell>
          <cell r="B13108" t="str">
            <v>Efectos adversos de glucocorticoides y análogos sintéticos</v>
          </cell>
        </row>
        <row r="13109">
          <cell r="A13109" t="str">
            <v>Y42.1</v>
          </cell>
          <cell r="B13109" t="str">
            <v>Efectos adversos de hormonas tiroideas y sustitutos</v>
          </cell>
        </row>
        <row r="13110">
          <cell r="A13110" t="str">
            <v>Y42.2</v>
          </cell>
          <cell r="B13110" t="str">
            <v>Efectos adversos de drogas antitiroideas</v>
          </cell>
        </row>
        <row r="13111">
          <cell r="A13111" t="str">
            <v>Y42.3</v>
          </cell>
          <cell r="B13111" t="str">
            <v>Efectos adversos de drogas hipoglucemiantes orales e insulina [antidiabéticas]</v>
          </cell>
        </row>
        <row r="13112">
          <cell r="A13112" t="str">
            <v>Y42.4</v>
          </cell>
          <cell r="B13112" t="str">
            <v>Efectos adversos de anticonceptivos orales</v>
          </cell>
        </row>
        <row r="13113">
          <cell r="A13113" t="str">
            <v>Y42.5</v>
          </cell>
          <cell r="B13113" t="str">
            <v>Efectos adversos de otros estrógenos y progestágenos</v>
          </cell>
        </row>
        <row r="13114">
          <cell r="A13114" t="str">
            <v>Y42.6</v>
          </cell>
          <cell r="B13114" t="str">
            <v>Efectos adversos de antigonadotropinas, antiestrógenos y antiandrógenos, no clasificados en otra parte</v>
          </cell>
        </row>
        <row r="13115">
          <cell r="A13115" t="str">
            <v>Y42.7</v>
          </cell>
          <cell r="B13115" t="str">
            <v>Efectos adversos de andrógenos y congéneres anabólicos</v>
          </cell>
        </row>
        <row r="13116">
          <cell r="A13116" t="str">
            <v>Y42.8</v>
          </cell>
          <cell r="B13116" t="str">
            <v>Efectos adversos de otras hormonas y sus sustitutos sintéticos, y las no especificadas</v>
          </cell>
        </row>
        <row r="13117">
          <cell r="A13117" t="str">
            <v>Y42.9</v>
          </cell>
          <cell r="B13117" t="str">
            <v>Efectos adversos de otras hormonas antagonistas, y las no especificadas</v>
          </cell>
        </row>
        <row r="13118">
          <cell r="A13118" t="str">
            <v>Y43</v>
          </cell>
          <cell r="B13118" t="str">
            <v>Efectos adversos de agentes sistémicos primarios</v>
          </cell>
        </row>
        <row r="13119">
          <cell r="A13119" t="str">
            <v>Y43.0</v>
          </cell>
          <cell r="B13119" t="str">
            <v>Efectos adversos de antialérgicos y antieméticos</v>
          </cell>
        </row>
        <row r="13120">
          <cell r="A13120" t="str">
            <v>Y43.1</v>
          </cell>
          <cell r="B13120" t="str">
            <v>Efectos adversos de antimetabolitos antineoplásicos</v>
          </cell>
        </row>
        <row r="13121">
          <cell r="A13121" t="str">
            <v>Y43.2</v>
          </cell>
          <cell r="B13121" t="str">
            <v>Efectos adversos de productos naturales antineoplásicos</v>
          </cell>
        </row>
        <row r="13122">
          <cell r="A13122" t="str">
            <v>Y43.3</v>
          </cell>
          <cell r="B13122" t="str">
            <v>Efectos adversos de otras drogas antineoplásicas</v>
          </cell>
        </row>
        <row r="13123">
          <cell r="A13123" t="str">
            <v>Y43.4</v>
          </cell>
          <cell r="B13123" t="str">
            <v>Efectos adversos de agentes inmunosupresores</v>
          </cell>
        </row>
        <row r="13124">
          <cell r="A13124" t="str">
            <v>Y43.5</v>
          </cell>
          <cell r="B13124" t="str">
            <v>Efectos adversos de agentes acidificantes y alcalinizantes</v>
          </cell>
        </row>
        <row r="13125">
          <cell r="A13125" t="str">
            <v>Y43.6</v>
          </cell>
          <cell r="B13125" t="str">
            <v>Efectos adversos de enzimas no clasificadas en otra parte</v>
          </cell>
        </row>
        <row r="13126">
          <cell r="A13126" t="str">
            <v>Y43.8</v>
          </cell>
          <cell r="B13126" t="str">
            <v>Efectos adversos de otros agentes sistémicos primarios no clasificados en otra parte</v>
          </cell>
        </row>
        <row r="13127">
          <cell r="A13127" t="str">
            <v>Y43.9</v>
          </cell>
          <cell r="B13127" t="str">
            <v>Efectos adversos de agente sistémico primario no especificado</v>
          </cell>
        </row>
        <row r="13128">
          <cell r="A13128" t="str">
            <v>Y44</v>
          </cell>
          <cell r="B13128" t="str">
            <v>Efectos adversos de agentes que afectan primariamente los constituyentes de la sangre</v>
          </cell>
        </row>
        <row r="13129">
          <cell r="A13129" t="str">
            <v>Y44.0</v>
          </cell>
          <cell r="B13129" t="str">
            <v>Efectos adversos de preparaciones con hierro y otros preparados contra la anemia hipocrómica</v>
          </cell>
        </row>
        <row r="13130">
          <cell r="A13130" t="str">
            <v>Y44.1</v>
          </cell>
          <cell r="B13130" t="str">
            <v>Efectos adversos de vitamina B12, ácido fólico y otros preparados contra la anemia megaloblástica</v>
          </cell>
        </row>
        <row r="13131">
          <cell r="A13131" t="str">
            <v>Y44.2</v>
          </cell>
          <cell r="B13131" t="str">
            <v>Efectos adversos de anticoagulantes</v>
          </cell>
        </row>
        <row r="13132">
          <cell r="A13132" t="str">
            <v>Y44.3</v>
          </cell>
          <cell r="B13132" t="str">
            <v>Efectos adversos de antagonistas de anticoagulantes, vitamina K y otros coagulantes</v>
          </cell>
        </row>
        <row r="13133">
          <cell r="A13133" t="str">
            <v>Y44.4</v>
          </cell>
          <cell r="B13133" t="str">
            <v>Efectos adversos de drogas antitrombóticas [inhibidoras de la agregación plaquetaria]</v>
          </cell>
        </row>
        <row r="13134">
          <cell r="A13134" t="str">
            <v>Y44.5</v>
          </cell>
          <cell r="B13134" t="str">
            <v>Efectos adversos de drogas trombolíticas</v>
          </cell>
        </row>
        <row r="13135">
          <cell r="A13135" t="str">
            <v>Y44.6</v>
          </cell>
          <cell r="B13135" t="str">
            <v>Efectos adversos de sangre natural y productos sanguíneos</v>
          </cell>
        </row>
        <row r="13136">
          <cell r="A13136" t="str">
            <v>Y44.7</v>
          </cell>
          <cell r="B13136" t="str">
            <v>Efectos adversos de los sustitutos del plasma</v>
          </cell>
        </row>
        <row r="13137">
          <cell r="A13137" t="str">
            <v>Y44.9</v>
          </cell>
          <cell r="B13137" t="str">
            <v>Efectos adversos de otros agentes que afectan los constituyentes de la sangre, y los no especificados</v>
          </cell>
        </row>
        <row r="13138">
          <cell r="A13138" t="str">
            <v>Y45</v>
          </cell>
          <cell r="B13138" t="str">
            <v>Efectos adversos de drogas analgésicas, antipiréticas y antiinflamatorias</v>
          </cell>
        </row>
        <row r="13139">
          <cell r="A13139" t="str">
            <v>Y45.0</v>
          </cell>
          <cell r="B13139" t="str">
            <v>Efectos adversos de opiáceos y analgésicos relacionados</v>
          </cell>
        </row>
        <row r="13140">
          <cell r="A13140" t="str">
            <v>Y45.1</v>
          </cell>
          <cell r="B13140" t="str">
            <v>Efectos adversos de salicilatos</v>
          </cell>
        </row>
        <row r="13141">
          <cell r="A13141" t="str">
            <v>Y45.2</v>
          </cell>
          <cell r="B13141" t="str">
            <v>Efectos adversos de derivados del ácido propiónico</v>
          </cell>
        </row>
        <row r="13142">
          <cell r="A13142" t="str">
            <v>Y45.3</v>
          </cell>
          <cell r="B13142" t="str">
            <v>Efectos adversos de otras drogas antiinflamatorias no esteroides [DAINE]</v>
          </cell>
        </row>
        <row r="13143">
          <cell r="A13143" t="str">
            <v>Y45.4</v>
          </cell>
          <cell r="B13143" t="str">
            <v>Efectos adversos de los antirreumáticos</v>
          </cell>
        </row>
        <row r="13144">
          <cell r="A13144" t="str">
            <v>Y45.5</v>
          </cell>
          <cell r="B13144" t="str">
            <v>Efectos adversos de los derivados del 4-aminofenol</v>
          </cell>
        </row>
        <row r="13145">
          <cell r="A13145" t="str">
            <v>Y45.8</v>
          </cell>
          <cell r="B13145" t="str">
            <v>Efectos adversos de otros analgésicos y antipiréticos</v>
          </cell>
        </row>
        <row r="13146">
          <cell r="A13146" t="str">
            <v>Y45.9</v>
          </cell>
          <cell r="B13146" t="str">
            <v>Efectos adversos de drogas analgésicas, antipiréticas y antiinflamatorias no especificadas</v>
          </cell>
        </row>
        <row r="13147">
          <cell r="A13147" t="str">
            <v>Y46</v>
          </cell>
          <cell r="B13147" t="str">
            <v>Efectos adversos de drogas antiepilépticas y antiparkinsonianas</v>
          </cell>
        </row>
        <row r="13148">
          <cell r="A13148" t="str">
            <v>Y46.0</v>
          </cell>
          <cell r="B13148" t="str">
            <v>Efectos adversos de succinamidas</v>
          </cell>
        </row>
        <row r="13149">
          <cell r="A13149" t="str">
            <v>Y46.1</v>
          </cell>
          <cell r="B13149" t="str">
            <v>Efectos adversos de oxazolidinadionas</v>
          </cell>
        </row>
        <row r="13150">
          <cell r="A13150" t="str">
            <v>Y46.2</v>
          </cell>
          <cell r="B13150" t="str">
            <v>Efectos adversos de derivados de la hidantoína</v>
          </cell>
        </row>
        <row r="13151">
          <cell r="A13151" t="str">
            <v>Y46.3</v>
          </cell>
          <cell r="B13151" t="str">
            <v>Efectos adversos de desoxibarbitúricos</v>
          </cell>
        </row>
        <row r="13152">
          <cell r="A13152" t="str">
            <v>Y46.4</v>
          </cell>
          <cell r="B13152" t="str">
            <v>Efectos adversos de iminoestilbenos</v>
          </cell>
        </row>
        <row r="13153">
          <cell r="A13153" t="str">
            <v>Y46.5</v>
          </cell>
          <cell r="B13153" t="str">
            <v>Efectos adversos del ácido valproico</v>
          </cell>
        </row>
        <row r="13154">
          <cell r="A13154" t="str">
            <v>Y46.6</v>
          </cell>
          <cell r="B13154" t="str">
            <v>Efectos adversos de otros antiepilépticos, y los no especificados</v>
          </cell>
        </row>
        <row r="13155">
          <cell r="A13155" t="str">
            <v>Y46.7</v>
          </cell>
          <cell r="B13155" t="str">
            <v>Efectos adversos de drogas antiparkinsonianas</v>
          </cell>
        </row>
        <row r="13156">
          <cell r="A13156" t="str">
            <v>Y46.8</v>
          </cell>
          <cell r="B13156" t="str">
            <v>Efectos adversos de drogas antiespásticas</v>
          </cell>
        </row>
        <row r="13157">
          <cell r="A13157" t="str">
            <v>Y47</v>
          </cell>
          <cell r="B13157" t="str">
            <v>Efectos adversos de drogas sedantes, hipnóticas y ansiolíticas</v>
          </cell>
        </row>
        <row r="13158">
          <cell r="A13158" t="str">
            <v>Y47.0</v>
          </cell>
          <cell r="B13158" t="str">
            <v>Efectos adversos de barbitúricos, no clasificados en otra parte</v>
          </cell>
        </row>
        <row r="13159">
          <cell r="A13159" t="str">
            <v>Y47.1</v>
          </cell>
          <cell r="B13159" t="str">
            <v>Efectos adversos de benzodiazepinas</v>
          </cell>
        </row>
        <row r="13160">
          <cell r="A13160" t="str">
            <v>Y47.2</v>
          </cell>
          <cell r="B13160" t="str">
            <v>Efectos adversos de derivados clorales</v>
          </cell>
        </row>
        <row r="13161">
          <cell r="A13161" t="str">
            <v>Y47.3</v>
          </cell>
          <cell r="B13161" t="str">
            <v>Efectos adversos de paraldehído</v>
          </cell>
        </row>
        <row r="13162">
          <cell r="A13162" t="str">
            <v>Y47.4</v>
          </cell>
          <cell r="B13162" t="str">
            <v>Efectos adversos de compuestos del bromo</v>
          </cell>
        </row>
        <row r="13163">
          <cell r="A13163" t="str">
            <v>Y47.5</v>
          </cell>
          <cell r="B13163" t="str">
            <v>Efectos adversos de mezclas sedantes e hipnóticas, no clasificadas en otra parte</v>
          </cell>
        </row>
        <row r="13164">
          <cell r="A13164" t="str">
            <v>Y47.8</v>
          </cell>
          <cell r="B13164" t="str">
            <v>Efectos adversos de otras drogas sedantes, hipnóticas y ansiolíticas</v>
          </cell>
        </row>
        <row r="13165">
          <cell r="A13165" t="str">
            <v>Y47.9</v>
          </cell>
          <cell r="B13165" t="str">
            <v>Efectos adversos de drogas sedantes, hipnóticas y ansiolíticas no especificadas</v>
          </cell>
        </row>
        <row r="13166">
          <cell r="A13166" t="str">
            <v>Y48</v>
          </cell>
          <cell r="B13166" t="str">
            <v>Efectos adversos de gases anestésicos y terapéuticos</v>
          </cell>
        </row>
        <row r="13167">
          <cell r="A13167" t="str">
            <v>Y48.0</v>
          </cell>
          <cell r="B13167" t="str">
            <v>Efectos adversos de gases anestésicos por inhalación</v>
          </cell>
        </row>
        <row r="13168">
          <cell r="A13168" t="str">
            <v>Y48.1</v>
          </cell>
          <cell r="B13168" t="str">
            <v>Efectos adversos de gases anestésicos parenterales</v>
          </cell>
        </row>
        <row r="13169">
          <cell r="A13169" t="str">
            <v>Y48.2</v>
          </cell>
          <cell r="B13169" t="str">
            <v>Efectos adversos de otros gases anestésicos generales, y los no especificados</v>
          </cell>
        </row>
        <row r="13170">
          <cell r="A13170" t="str">
            <v>Y48.3</v>
          </cell>
          <cell r="B13170" t="str">
            <v>Efectos adversos de gases anestésicos locales</v>
          </cell>
        </row>
        <row r="13171">
          <cell r="A13171" t="str">
            <v>Y48.4</v>
          </cell>
          <cell r="B13171" t="str">
            <v>Efectos adversos de anestésicos no especificados</v>
          </cell>
        </row>
        <row r="13172">
          <cell r="A13172" t="str">
            <v>Y48.5</v>
          </cell>
          <cell r="B13172" t="str">
            <v>Efectos adversos de gases terapéuticos</v>
          </cell>
        </row>
        <row r="13173">
          <cell r="A13173" t="str">
            <v>Y49</v>
          </cell>
          <cell r="B13173" t="str">
            <v>Efectos adversos de drogas psicotrópicas, no clasificadas en otra parte</v>
          </cell>
        </row>
        <row r="13174">
          <cell r="A13174" t="str">
            <v>Y49.0</v>
          </cell>
          <cell r="B13174" t="str">
            <v>Efectos adversos de antidepresivos tricíclicos y tetracíclicos</v>
          </cell>
        </row>
        <row r="13175">
          <cell r="A13175" t="str">
            <v>Y49.1</v>
          </cell>
          <cell r="B13175" t="str">
            <v>Efectos adversos de antidepresivos inhibidores de la monoaminooxidasa</v>
          </cell>
        </row>
        <row r="13176">
          <cell r="A13176" t="str">
            <v>Y49.2</v>
          </cell>
          <cell r="B13176" t="str">
            <v>Efectos adversos de otros antidepresivos, y los no especificados</v>
          </cell>
        </row>
        <row r="13177">
          <cell r="A13177" t="str">
            <v>Y49.3</v>
          </cell>
          <cell r="B13177" t="str">
            <v>Efectos adversos de antipsicóticos y neurolépticos fenotiazínicos</v>
          </cell>
        </row>
        <row r="13178">
          <cell r="A13178" t="str">
            <v>Y49.4</v>
          </cell>
          <cell r="B13178" t="str">
            <v>Efectos adversos de neurolépticos de la butirofenona y tioxantina</v>
          </cell>
        </row>
        <row r="13179">
          <cell r="A13179" t="str">
            <v>Y49.5</v>
          </cell>
          <cell r="B13179" t="str">
            <v>Efectos adversos de otros antipsicóticos y neurolépticos</v>
          </cell>
        </row>
        <row r="13180">
          <cell r="A13180" t="str">
            <v>Y49.6</v>
          </cell>
          <cell r="B13180" t="str">
            <v>Efectos adversos de psicodislépticos [alucinógenos]</v>
          </cell>
        </row>
        <row r="13181">
          <cell r="A13181" t="str">
            <v>Y49.7</v>
          </cell>
          <cell r="B13181" t="str">
            <v>Efectos adversos de psicoestimulantes con abuso potencial</v>
          </cell>
        </row>
        <row r="13182">
          <cell r="A13182" t="str">
            <v>Y49.8</v>
          </cell>
          <cell r="B13182" t="str">
            <v>Efectos adversos de otras drogas psicotrópicas, no clasificadas en otra parte</v>
          </cell>
        </row>
        <row r="13183">
          <cell r="A13183" t="str">
            <v>Y49.9</v>
          </cell>
          <cell r="B13183" t="str">
            <v>Efectos adversos de drogas psicotrópicas no especificadas</v>
          </cell>
        </row>
        <row r="13184">
          <cell r="A13184" t="str">
            <v>Y50</v>
          </cell>
          <cell r="B13184" t="str">
            <v>Efectos adversos de estimulantes del sistema nervioso central, no clasificados en otra parte</v>
          </cell>
        </row>
        <row r="13185">
          <cell r="A13185" t="str">
            <v>Y50.0</v>
          </cell>
          <cell r="B13185" t="str">
            <v>Efectos adversos de analépticos</v>
          </cell>
        </row>
        <row r="13186">
          <cell r="A13186" t="str">
            <v>Y50.1</v>
          </cell>
          <cell r="B13186" t="str">
            <v>Efectos adversos de antagonistas de opiáceos</v>
          </cell>
        </row>
        <row r="13187">
          <cell r="A13187" t="str">
            <v>Y50.2</v>
          </cell>
          <cell r="B13187" t="str">
            <v>Efectos adversos de metilxantinas, no clasificadas en otra parte</v>
          </cell>
        </row>
        <row r="13188">
          <cell r="A13188" t="str">
            <v>Y50.8</v>
          </cell>
          <cell r="B13188" t="str">
            <v>Efectos adversos de otros estimulantes del sistema nervioso central</v>
          </cell>
        </row>
        <row r="13189">
          <cell r="A13189" t="str">
            <v>Y50.9</v>
          </cell>
          <cell r="B13189" t="str">
            <v>Efectos adversos de estimulante no especificado del sistema nervioso central</v>
          </cell>
        </row>
        <row r="13190">
          <cell r="A13190" t="str">
            <v>Y51</v>
          </cell>
          <cell r="B13190" t="str">
            <v>Efectos adversos de drogas que afectan primariamente el sistema nervioso autónomo</v>
          </cell>
        </row>
        <row r="13191">
          <cell r="A13191" t="str">
            <v>Y51.0</v>
          </cell>
          <cell r="B13191" t="str">
            <v>Efectos adversos de agentes anticolinesterasa</v>
          </cell>
        </row>
        <row r="13192">
          <cell r="A13192" t="str">
            <v>Y51.1</v>
          </cell>
          <cell r="B13192" t="str">
            <v>Efectos adversos de otros parasimpaticomiméticos [colinérgicos]</v>
          </cell>
        </row>
        <row r="13193">
          <cell r="A13193" t="str">
            <v>Y51.2</v>
          </cell>
          <cell r="B13193" t="str">
            <v>Efectos adversos de drogas bloqueadoras ganglionares, no clasificadas en otra parte</v>
          </cell>
        </row>
        <row r="13194">
          <cell r="A13194" t="str">
            <v>Y51.3</v>
          </cell>
          <cell r="B13194" t="str">
            <v>Efectos adversos de otros parasimpaticolíticos [anticolinérgicos y antimuscarínicos] y espasmolíticos, no clasificados en otra parte</v>
          </cell>
        </row>
        <row r="13195">
          <cell r="A13195" t="str">
            <v>Y51.4</v>
          </cell>
          <cell r="B13195" t="str">
            <v>Efectos adversos de agonistas [estimulantes] predominantemente alfa-adrenérgicos, no clasificados en otra parte</v>
          </cell>
        </row>
        <row r="13196">
          <cell r="A13196" t="str">
            <v>Y51.5</v>
          </cell>
          <cell r="B13196" t="str">
            <v>Efectos adversos de agonistas [estimulantes] predominantemente beta-adrenérgicos, no clasificados en otra parte</v>
          </cell>
        </row>
        <row r="13197">
          <cell r="A13197" t="str">
            <v>Y51.6</v>
          </cell>
          <cell r="B13197" t="str">
            <v>Efectos adversos de antagonistas [bloqueadores] alfa-adrenérgicos, no clasificados en otra parte</v>
          </cell>
        </row>
        <row r="13198">
          <cell r="A13198" t="str">
            <v>Y51.7</v>
          </cell>
          <cell r="B13198" t="str">
            <v>Efectos adversos de antagonistas [bloqueadores] beta-adrenérgicos, no clasificados en otra parte</v>
          </cell>
        </row>
        <row r="13199">
          <cell r="A13199" t="str">
            <v>Y51.8</v>
          </cell>
          <cell r="B13199" t="str">
            <v>Efectos adversos de agentes bloqueadores neuro-adrenérgicos que actúan centralmente, no clasificados en otra parte</v>
          </cell>
        </row>
        <row r="13200">
          <cell r="A13200" t="str">
            <v>Y51.9</v>
          </cell>
          <cell r="B13200" t="str">
            <v>Efectos adversos de otras drogas que afectan primariamente el sistema nerviosos autónomo, y las no especificadas</v>
          </cell>
        </row>
        <row r="13201">
          <cell r="A13201" t="str">
            <v>Y52</v>
          </cell>
          <cell r="B13201" t="str">
            <v>Efectos adversos de agentes que afectan primariamente el sistema cardiovascular</v>
          </cell>
        </row>
        <row r="13202">
          <cell r="A13202" t="str">
            <v>Y52.0</v>
          </cell>
          <cell r="B13202" t="str">
            <v>Efectos adversos de glucósidos cardiotónicos y drogas de acción similar</v>
          </cell>
        </row>
        <row r="13203">
          <cell r="A13203" t="str">
            <v>Y52.1</v>
          </cell>
          <cell r="B13203" t="str">
            <v>Efectos adversos de bloqueadores del canal del calcio</v>
          </cell>
        </row>
        <row r="13204">
          <cell r="A13204" t="str">
            <v>Y52.2</v>
          </cell>
          <cell r="B13204" t="str">
            <v>Efectos adversos de otras drogas antiarrítmicas, no clasificadas en otra parte</v>
          </cell>
        </row>
        <row r="13205">
          <cell r="A13205" t="str">
            <v>Y52.3</v>
          </cell>
          <cell r="B13205" t="str">
            <v>Efectos adversos de vasodilatadores coronarios, no clasificados en otra parte</v>
          </cell>
        </row>
        <row r="13206">
          <cell r="A13206" t="str">
            <v>Y52.4</v>
          </cell>
          <cell r="B13206" t="str">
            <v>Efectos adversos de inhibidores de la enzima convertidora de angiotensina</v>
          </cell>
        </row>
        <row r="13207">
          <cell r="A13207" t="str">
            <v>Y52.5</v>
          </cell>
          <cell r="B13207" t="str">
            <v>Efectos adversos de otras drogas antihipertensivas, no clasificadas en otra parte</v>
          </cell>
        </row>
        <row r="13208">
          <cell r="A13208" t="str">
            <v>Y52.6</v>
          </cell>
          <cell r="B13208" t="str">
            <v>Efectos adversos de drogas antihiperlipidémicas y antiarterioscleróticas</v>
          </cell>
        </row>
        <row r="13209">
          <cell r="A13209" t="str">
            <v>Y52.7</v>
          </cell>
          <cell r="B13209" t="str">
            <v>Efectos adversos de vasodilatadores periféricos</v>
          </cell>
        </row>
        <row r="13210">
          <cell r="A13210" t="str">
            <v>Y52.8</v>
          </cell>
          <cell r="B13210" t="str">
            <v>Efectos adversos de drogas antivaricosas, inclusive agentes esclerosantes</v>
          </cell>
        </row>
        <row r="13211">
          <cell r="A13211" t="str">
            <v>Y52.9</v>
          </cell>
          <cell r="B13211" t="str">
            <v>Efectos adversos de otros agentes que afectan primariamente el sistema cardiovascular, y los no especificados</v>
          </cell>
        </row>
        <row r="13212">
          <cell r="A13212" t="str">
            <v>Y53</v>
          </cell>
          <cell r="B13212" t="str">
            <v>Efectos adversos de agentes que afectan primariamente el sistema gastrointestinal</v>
          </cell>
        </row>
        <row r="13213">
          <cell r="A13213" t="str">
            <v>Y53.0</v>
          </cell>
          <cell r="B13213" t="str">
            <v>Efectos adversos de bloqueadores de los receptores H2 de histamina</v>
          </cell>
        </row>
        <row r="13214">
          <cell r="A13214" t="str">
            <v>Y53.1</v>
          </cell>
          <cell r="B13214" t="str">
            <v>Efectos adversos de otras drogas antiácidas e inhibidoras de la secreción gástrica</v>
          </cell>
        </row>
        <row r="13215">
          <cell r="A13215" t="str">
            <v>Y53.2</v>
          </cell>
          <cell r="B13215" t="str">
            <v>Efectos adversos de laxantes estimulantes</v>
          </cell>
        </row>
        <row r="13216">
          <cell r="A13216" t="str">
            <v>Y53.3</v>
          </cell>
          <cell r="B13216" t="str">
            <v>Efectos adversos de laxantes salinos y osmóticos</v>
          </cell>
        </row>
        <row r="13217">
          <cell r="A13217" t="str">
            <v>Y53.4</v>
          </cell>
          <cell r="B13217" t="str">
            <v>Efectos adversos de otros laxantes</v>
          </cell>
        </row>
        <row r="13218">
          <cell r="A13218" t="str">
            <v>Y53.5</v>
          </cell>
          <cell r="B13218" t="str">
            <v>Efectos adversos de digestivos</v>
          </cell>
        </row>
        <row r="13219">
          <cell r="A13219" t="str">
            <v>Y53.6</v>
          </cell>
          <cell r="B13219" t="str">
            <v>Efectos adversos de drogas antidiarreicas</v>
          </cell>
        </row>
        <row r="13220">
          <cell r="A13220" t="str">
            <v>Y53.7</v>
          </cell>
          <cell r="B13220" t="str">
            <v>Efectos adversos de eméticos</v>
          </cell>
        </row>
        <row r="13221">
          <cell r="A13221" t="str">
            <v>Y53.8</v>
          </cell>
          <cell r="B13221" t="str">
            <v>Efectos adversos de otros agentes que afectan primariamente el sistema gastrointestinal</v>
          </cell>
        </row>
        <row r="13222">
          <cell r="A13222" t="str">
            <v>Y53.9</v>
          </cell>
          <cell r="B13222" t="str">
            <v>Efectos adversos de agentes que afectan el sistema gastrointestinal, no especificados</v>
          </cell>
        </row>
        <row r="13223">
          <cell r="A13223" t="str">
            <v>Y54</v>
          </cell>
          <cell r="B13223" t="str">
            <v>Efectos adversos de agentes que afectan primariamente el equilibrio hídrico y el metabolismo mineral y del ácido úrico</v>
          </cell>
        </row>
        <row r="13224">
          <cell r="A13224" t="str">
            <v>Y54.0</v>
          </cell>
          <cell r="B13224" t="str">
            <v>Efectos adversos de mineralocorticoides</v>
          </cell>
        </row>
        <row r="13225">
          <cell r="A13225" t="str">
            <v>Y54.1</v>
          </cell>
          <cell r="B13225" t="str">
            <v>Efectos adversos de los bloqueadores de mineralocorticoides [antagonistas de la aldosterona]</v>
          </cell>
        </row>
        <row r="13226">
          <cell r="A13226" t="str">
            <v>Y54.2</v>
          </cell>
          <cell r="B13226" t="str">
            <v>Efectos adversos de los inhibidores de la anhidrasa carbónica</v>
          </cell>
        </row>
        <row r="13227">
          <cell r="A13227" t="str">
            <v>Y54.3</v>
          </cell>
          <cell r="B13227" t="str">
            <v>Efectos adversos de los derivados de la benzotiadiazina</v>
          </cell>
        </row>
        <row r="13228">
          <cell r="A13228" t="str">
            <v>Y54.4</v>
          </cell>
          <cell r="B13228" t="str">
            <v>Efectos adversos de diuréticos de asa [</v>
          </cell>
        </row>
        <row r="13229">
          <cell r="A13229" t="str">
            <v>Y54.5</v>
          </cell>
          <cell r="B13229" t="str">
            <v>Efectos adversos de otros diuréticos</v>
          </cell>
        </row>
        <row r="13230">
          <cell r="A13230" t="str">
            <v>Y54.6</v>
          </cell>
          <cell r="B13230" t="str">
            <v>Efectos adversos de agentes electrolíticos, calóricos y del equilibrio hídrico</v>
          </cell>
        </row>
        <row r="13231">
          <cell r="A13231" t="str">
            <v>Y54.7</v>
          </cell>
          <cell r="B13231" t="str">
            <v>Efectos adversos de agentes que afectan la calcificación</v>
          </cell>
        </row>
        <row r="13232">
          <cell r="A13232" t="str">
            <v>Y54.8</v>
          </cell>
          <cell r="B13232" t="str">
            <v>Efectos adversos de agentes que afectan el metabolismo del ácido úrico</v>
          </cell>
        </row>
        <row r="13233">
          <cell r="A13233" t="str">
            <v>Y54.9</v>
          </cell>
          <cell r="B13233" t="str">
            <v>Efectos adversos de sales minerales, no clasificadas en otra parte</v>
          </cell>
        </row>
        <row r="13234">
          <cell r="A13234" t="str">
            <v>Y55</v>
          </cell>
          <cell r="B13234" t="str">
            <v>Efectos adversos de agentes que actúan primariamente sobre los músculos lisos y estriados y sobre el sistema respiratorio</v>
          </cell>
        </row>
        <row r="13235">
          <cell r="A13235" t="str">
            <v>Y55.0</v>
          </cell>
          <cell r="B13235" t="str">
            <v>Efectos adversos de drogas oxitócicas</v>
          </cell>
        </row>
        <row r="13236">
          <cell r="A13236" t="str">
            <v>Y55.1</v>
          </cell>
          <cell r="B13236" t="str">
            <v>Efectos adversos de relajantes de los músculos estriados [agentes bloqueadores neuromusculares]</v>
          </cell>
        </row>
        <row r="13237">
          <cell r="A13237" t="str">
            <v>Y55.2</v>
          </cell>
          <cell r="B13237" t="str">
            <v>Efectos adversos de otros agentes que actúan primariamente sobre los músculos, y los no especificados</v>
          </cell>
        </row>
        <row r="13238">
          <cell r="A13238" t="str">
            <v>Y55.3</v>
          </cell>
          <cell r="B13238" t="str">
            <v>Efectos adversos de antitusígenos</v>
          </cell>
        </row>
        <row r="13239">
          <cell r="A13239" t="str">
            <v>Y55.4</v>
          </cell>
          <cell r="B13239" t="str">
            <v>Efectos adversos de expectorantes</v>
          </cell>
        </row>
        <row r="13240">
          <cell r="A13240" t="str">
            <v>Y55.5</v>
          </cell>
          <cell r="B13240" t="str">
            <v>Efectos adversos de drogas contra el resfriado común</v>
          </cell>
        </row>
        <row r="13241">
          <cell r="A13241" t="str">
            <v>Y55.6</v>
          </cell>
          <cell r="B13241" t="str">
            <v>Efectos adversos de antiasmáticos, no clasificados en otra parte</v>
          </cell>
        </row>
        <row r="13242">
          <cell r="A13242" t="str">
            <v>Y55.7</v>
          </cell>
          <cell r="B13242" t="str">
            <v>Efectos adversos de otros agentes que actúan primariamente sobre el sistema respiratorio, y los no especificados</v>
          </cell>
        </row>
        <row r="13243">
          <cell r="A13243" t="str">
            <v>Y56</v>
          </cell>
          <cell r="B13243" t="str">
            <v>Efectos adversos de agentes tópicos que afectan primariamente la piel y las membranas mucosas, y drogas oftalmológicas, otorrinolaringológicas y dentales</v>
          </cell>
        </row>
        <row r="13244">
          <cell r="A13244" t="str">
            <v>Y56.0</v>
          </cell>
          <cell r="B13244" t="str">
            <v>Efectos adversos de drogas antimicóticas, antiinfecciosas y antiinflamatorias de uso local, no clasificadas en otra parte</v>
          </cell>
        </row>
        <row r="13245">
          <cell r="A13245" t="str">
            <v>Y56.1</v>
          </cell>
          <cell r="B13245" t="str">
            <v>Efectos adversos de antipruriginosos</v>
          </cell>
        </row>
        <row r="13246">
          <cell r="A13246" t="str">
            <v>Y56.2</v>
          </cell>
          <cell r="B13246" t="str">
            <v>Efectos adversos de astringentes y detergentes locales</v>
          </cell>
        </row>
        <row r="13247">
          <cell r="A13247" t="str">
            <v>Y56.3</v>
          </cell>
          <cell r="B13247" t="str">
            <v>Efectos adversos de emolientes, demulcentes y protectores</v>
          </cell>
        </row>
        <row r="13248">
          <cell r="A13248" t="str">
            <v>Y56.4</v>
          </cell>
          <cell r="B13248" t="str">
            <v>Efectos adversos de drogas y preparados queratolíticos, queratoplásticos y otros para el tratamiento del cabello</v>
          </cell>
        </row>
        <row r="13249">
          <cell r="A13249" t="str">
            <v>Y56.5</v>
          </cell>
          <cell r="B13249" t="str">
            <v>Efectos adversos de drogas y preparados oftalmológicos</v>
          </cell>
        </row>
        <row r="13250">
          <cell r="A13250" t="str">
            <v>Y56.6</v>
          </cell>
          <cell r="B13250" t="str">
            <v>Efectos adversos de drogas y preparados otorrinolaringológicos</v>
          </cell>
        </row>
        <row r="13251">
          <cell r="A13251" t="str">
            <v>Y56.7</v>
          </cell>
          <cell r="B13251" t="str">
            <v>Efectos adversos de drogas dentales, de aplicación tópica</v>
          </cell>
        </row>
        <row r="13252">
          <cell r="A13252" t="str">
            <v>Y56.8</v>
          </cell>
          <cell r="B13252" t="str">
            <v>Efectos adversos de otros agentes tópicos</v>
          </cell>
        </row>
        <row r="13253">
          <cell r="A13253" t="str">
            <v>Y56.9</v>
          </cell>
          <cell r="B13253" t="str">
            <v>Efectos adversos de otros agentes tópicos no especificados</v>
          </cell>
        </row>
        <row r="13254">
          <cell r="A13254" t="str">
            <v>Y57</v>
          </cell>
          <cell r="B13254" t="str">
            <v>Efectos adversos de otras drogas y medicamentos, y los no especificados</v>
          </cell>
        </row>
        <row r="13255">
          <cell r="A13255" t="str">
            <v>Y57.0</v>
          </cell>
          <cell r="B13255" t="str">
            <v>Efectos adversos de depresores del apetito [anoréxicos]</v>
          </cell>
        </row>
        <row r="13256">
          <cell r="A13256" t="str">
            <v>Y57.1</v>
          </cell>
          <cell r="B13256" t="str">
            <v>Efectos adversos de drogas lipotrópicas</v>
          </cell>
        </row>
        <row r="13257">
          <cell r="A13257" t="str">
            <v>Y57.2</v>
          </cell>
          <cell r="B13257" t="str">
            <v>Efectos adversos de antídotos y agentes quelantes, no clasificados en otra parte</v>
          </cell>
        </row>
        <row r="13258">
          <cell r="A13258" t="str">
            <v>Y57.3</v>
          </cell>
          <cell r="B13258" t="str">
            <v>Efectos adversos de disuasivos del alcohol</v>
          </cell>
        </row>
        <row r="13259">
          <cell r="A13259" t="str">
            <v>Y57.4</v>
          </cell>
          <cell r="B13259" t="str">
            <v>Efectos adversos de excipientes farmacéuticos</v>
          </cell>
        </row>
        <row r="13260">
          <cell r="A13260" t="str">
            <v>Y57.5</v>
          </cell>
          <cell r="B13260" t="str">
            <v>Efectos adversos de medios de contraste para rayos X</v>
          </cell>
        </row>
        <row r="13261">
          <cell r="A13261" t="str">
            <v>Y57.6</v>
          </cell>
          <cell r="B13261" t="str">
            <v>Efectos adversos de otros agentes diagnósticos</v>
          </cell>
        </row>
        <row r="13262">
          <cell r="A13262" t="str">
            <v>Y57.7</v>
          </cell>
          <cell r="B13262" t="str">
            <v>Efectos adversos de vitaminas, no clasificadas en otra parte</v>
          </cell>
        </row>
        <row r="13263">
          <cell r="A13263" t="str">
            <v>Y57.8</v>
          </cell>
          <cell r="B13263" t="str">
            <v>Efectos adversos de otras drogas y medicamentos</v>
          </cell>
        </row>
        <row r="13264">
          <cell r="A13264" t="str">
            <v>Y57.9</v>
          </cell>
          <cell r="B13264" t="str">
            <v>Efectos adversos de drogas o medicamentos no especificados</v>
          </cell>
        </row>
        <row r="13265">
          <cell r="A13265" t="str">
            <v>Y58</v>
          </cell>
          <cell r="B13265" t="str">
            <v>Efectos adversos de vacunas bacterianas</v>
          </cell>
        </row>
        <row r="13266">
          <cell r="A13266" t="str">
            <v>Y58.0</v>
          </cell>
          <cell r="B13266" t="str">
            <v>Efectos adversos de la vacuna BCG</v>
          </cell>
        </row>
        <row r="13267">
          <cell r="A13267" t="str">
            <v>Y58.1</v>
          </cell>
          <cell r="B13267" t="str">
            <v>Efectos adversos de la vacuna tifoidea y paratifoidea</v>
          </cell>
        </row>
        <row r="13268">
          <cell r="A13268" t="str">
            <v>Y58.2</v>
          </cell>
          <cell r="B13268" t="str">
            <v>Efectos adversos de la vacuna contra el cólera</v>
          </cell>
        </row>
        <row r="13269">
          <cell r="A13269" t="str">
            <v>Y58.3</v>
          </cell>
          <cell r="B13269" t="str">
            <v>Efectos adversos de la vacuna contra la peste</v>
          </cell>
        </row>
        <row r="13270">
          <cell r="A13270" t="str">
            <v>Y58.4</v>
          </cell>
          <cell r="B13270" t="str">
            <v>Efectos adversos de la vacuna contra el tétanos</v>
          </cell>
        </row>
        <row r="13271">
          <cell r="A13271" t="str">
            <v>Y58.5</v>
          </cell>
          <cell r="B13271" t="str">
            <v>Efectos adversos de la vacuna contra la difteria</v>
          </cell>
        </row>
        <row r="13272">
          <cell r="A13272" t="str">
            <v>Y58.6</v>
          </cell>
          <cell r="B13272" t="str">
            <v>Efectos adversos de la vacuna contra la tos ferina, inclusive combinaciones con un componente pertusis</v>
          </cell>
        </row>
        <row r="13273">
          <cell r="A13273" t="str">
            <v>Y58.8</v>
          </cell>
          <cell r="B13273" t="str">
            <v>Efectos adversos de vacunas bacterianas mixtas, excepto combinaciones con un componente pertusis</v>
          </cell>
        </row>
        <row r="13274">
          <cell r="A13274" t="str">
            <v>Y58.9</v>
          </cell>
          <cell r="B13274" t="str">
            <v>Efectos adversos de otras vacunas bacterianas, y las no especificadas</v>
          </cell>
        </row>
        <row r="13275">
          <cell r="A13275" t="str">
            <v>Y59</v>
          </cell>
          <cell r="B13275" t="str">
            <v>Efectos adversos de otras vacunas y sustancias biológicas, y las no especificadas</v>
          </cell>
        </row>
        <row r="13276">
          <cell r="A13276" t="str">
            <v>Y59.0</v>
          </cell>
          <cell r="B13276" t="str">
            <v>Efectos adversos de vacunas virales</v>
          </cell>
        </row>
        <row r="13277">
          <cell r="A13277" t="str">
            <v>Y59.1</v>
          </cell>
          <cell r="B13277" t="str">
            <v>Efectos adversos de vacunas contra rickettsias</v>
          </cell>
        </row>
        <row r="13278">
          <cell r="A13278" t="str">
            <v>Y59.2</v>
          </cell>
          <cell r="B13278" t="str">
            <v>Efectos adversos de vacunas antiprotozoarias</v>
          </cell>
        </row>
        <row r="13279">
          <cell r="A13279" t="str">
            <v>Y59.3</v>
          </cell>
          <cell r="B13279" t="str">
            <v>Efectos adversos de la inmunoglobulina</v>
          </cell>
        </row>
        <row r="13280">
          <cell r="A13280" t="str">
            <v>Y59.8</v>
          </cell>
          <cell r="B13280" t="str">
            <v>Efectos adversos de otras vacunas y sustancias biológicas especificadas</v>
          </cell>
        </row>
        <row r="13281">
          <cell r="A13281" t="str">
            <v>Y59.9</v>
          </cell>
          <cell r="B13281" t="str">
            <v>Efectos adversos de vacunas o sustancias biológicas no especificadas</v>
          </cell>
        </row>
        <row r="13282">
          <cell r="A13282" t="str">
            <v>Y60</v>
          </cell>
          <cell r="B13282" t="str">
            <v>Corte, punción, perforación o hemorragia no intencional durante la atención médica y quirúrgica</v>
          </cell>
        </row>
        <row r="13283">
          <cell r="A13283" t="str">
            <v>Y60.0</v>
          </cell>
          <cell r="B13283" t="str">
            <v>Incidente durante operación quirúrgica</v>
          </cell>
        </row>
        <row r="13284">
          <cell r="A13284" t="str">
            <v>Y60.1</v>
          </cell>
          <cell r="B13284" t="str">
            <v>Incidente durante infusión o transfusión</v>
          </cell>
        </row>
        <row r="13285">
          <cell r="A13285" t="str">
            <v>Y60.2</v>
          </cell>
          <cell r="B13285" t="str">
            <v>Incidente durante diálisis renal u otra perfusión</v>
          </cell>
        </row>
        <row r="13286">
          <cell r="A13286" t="str">
            <v>Y60.3</v>
          </cell>
          <cell r="B13286" t="str">
            <v>Incidente durante inyección o inmunización</v>
          </cell>
        </row>
        <row r="13287">
          <cell r="A13287" t="str">
            <v>Y60.4</v>
          </cell>
          <cell r="B13287" t="str">
            <v>Incidente durante examen endoscópico</v>
          </cell>
        </row>
        <row r="13288">
          <cell r="A13288" t="str">
            <v>Y60.5</v>
          </cell>
          <cell r="B13288" t="str">
            <v>Incidente durante cateterización cardíaca</v>
          </cell>
        </row>
        <row r="13289">
          <cell r="A13289" t="str">
            <v>Y60.6</v>
          </cell>
          <cell r="B13289" t="str">
            <v>Incidente durante aspiración, punción y otra cateterización</v>
          </cell>
        </row>
        <row r="13290">
          <cell r="A13290" t="str">
            <v>Y60.7</v>
          </cell>
          <cell r="B13290" t="str">
            <v>Incidente durante administración de enema</v>
          </cell>
        </row>
        <row r="13291">
          <cell r="A13291" t="str">
            <v>Y60.8</v>
          </cell>
          <cell r="B13291" t="str">
            <v>Incidente durante otras atenciones médicas y quirúrgicas</v>
          </cell>
        </row>
        <row r="13292">
          <cell r="A13292" t="str">
            <v>Y60.9</v>
          </cell>
          <cell r="B13292" t="str">
            <v>Incidente durante atención médica y quirúrgica no especificada</v>
          </cell>
        </row>
        <row r="13293">
          <cell r="A13293" t="str">
            <v>Y61</v>
          </cell>
          <cell r="B13293" t="str">
            <v>Objeto extraño dejado accidentalmente en el cuerpo durante la atención médica y quirúrgica</v>
          </cell>
        </row>
        <row r="13294">
          <cell r="A13294" t="str">
            <v>Y61.0</v>
          </cell>
          <cell r="B13294" t="str">
            <v>Objeto extraño dejado accidentalmente en el cuerpo durante operación quirúrgica</v>
          </cell>
        </row>
        <row r="13295">
          <cell r="A13295" t="str">
            <v>Y61.1</v>
          </cell>
          <cell r="B13295" t="str">
            <v>Objeto extraño dejado accidentalmente en el cuerpo durante infusión o transfusión</v>
          </cell>
        </row>
        <row r="13296">
          <cell r="A13296" t="str">
            <v>Y61.2</v>
          </cell>
          <cell r="B13296" t="str">
            <v>Objeto extraño dejado accidentalmente en el cuerpo durante diálisis renal u otra perfusión</v>
          </cell>
        </row>
        <row r="13297">
          <cell r="A13297" t="str">
            <v>Y61.3</v>
          </cell>
          <cell r="B13297" t="str">
            <v>Objeto extraño dejado accidentalmente en el cuerpo durante inyección o inmunización</v>
          </cell>
        </row>
        <row r="13298">
          <cell r="A13298" t="str">
            <v>Y61.4</v>
          </cell>
          <cell r="B13298" t="str">
            <v>Objeto extraño dejado accidentalmente en el cuerpo durante examen endoscópico</v>
          </cell>
        </row>
        <row r="13299">
          <cell r="A13299" t="str">
            <v>Y61.5</v>
          </cell>
          <cell r="B13299" t="str">
            <v>Objeto extraño dejado accidentalmente en el cuerpo durante cateterización cardíaca</v>
          </cell>
        </row>
        <row r="13300">
          <cell r="A13300" t="str">
            <v>Y61.6</v>
          </cell>
          <cell r="B13300" t="str">
            <v>Objeto extraño dejado accidentalmente en el cuerpo durante aspiración, punción y otra cateterización</v>
          </cell>
        </row>
        <row r="13301">
          <cell r="A13301" t="str">
            <v>Y61.7</v>
          </cell>
          <cell r="B13301" t="str">
            <v>Objeto extraño dejado accidentalmente en el cuerpo durante remoción de catéter o taponamiento</v>
          </cell>
        </row>
        <row r="13302">
          <cell r="A13302" t="str">
            <v>Y61.8</v>
          </cell>
          <cell r="B13302" t="str">
            <v>Objeto extraño dejado accidentalmente en el cuerpo durante otras atenciones médicas y quirúrgicas</v>
          </cell>
        </row>
        <row r="13303">
          <cell r="A13303" t="str">
            <v>Y61.9</v>
          </cell>
          <cell r="B13303" t="str">
            <v>Objeto extraño dejado accidentalmente en el cuerpo durante atención médica y quirúrgica no especificada</v>
          </cell>
        </row>
        <row r="13304">
          <cell r="A13304" t="str">
            <v>Y62</v>
          </cell>
          <cell r="B13304" t="str">
            <v>Fallas en la esterilización durante la atención médica y quirúrgica</v>
          </cell>
        </row>
        <row r="13305">
          <cell r="A13305" t="str">
            <v>Y62.0</v>
          </cell>
          <cell r="B13305" t="str">
            <v>Fallas en la esterilización durante operación quirúrgica</v>
          </cell>
        </row>
        <row r="13306">
          <cell r="A13306" t="str">
            <v>Y62.1</v>
          </cell>
          <cell r="B13306" t="str">
            <v>Fallas en la esterilización durante infusión o transfusión</v>
          </cell>
        </row>
        <row r="13307">
          <cell r="A13307" t="str">
            <v>Y62.2</v>
          </cell>
          <cell r="B13307" t="str">
            <v>Fallas en la esterilización durante diálisis renal u otra perfusión</v>
          </cell>
        </row>
        <row r="13308">
          <cell r="A13308" t="str">
            <v>Y62.3</v>
          </cell>
          <cell r="B13308" t="str">
            <v>Fallas en la esterilización durante inyección o inmunización</v>
          </cell>
        </row>
        <row r="13309">
          <cell r="A13309" t="str">
            <v>Y62.4</v>
          </cell>
          <cell r="B13309" t="str">
            <v>Fallas en la esterilización durante examen endoscópico</v>
          </cell>
        </row>
        <row r="13310">
          <cell r="A13310" t="str">
            <v>Y62.5</v>
          </cell>
          <cell r="B13310" t="str">
            <v>Fallas en la esterilización durante cateterización cardíaca</v>
          </cell>
        </row>
        <row r="13311">
          <cell r="A13311" t="str">
            <v>Y62.6</v>
          </cell>
          <cell r="B13311" t="str">
            <v>Fallas en la esterilización durante aspiración, punción y otra cateterización</v>
          </cell>
        </row>
        <row r="13312">
          <cell r="A13312" t="str">
            <v>Y62.8</v>
          </cell>
          <cell r="B13312" t="str">
            <v>Fallas en la esterilización durante otras atenciones médicas y quirúrgicas</v>
          </cell>
        </row>
        <row r="13313">
          <cell r="A13313" t="str">
            <v>Y62.9</v>
          </cell>
          <cell r="B13313" t="str">
            <v>Fallas en la esterilización durante atención médica y quirúrgica no especificada</v>
          </cell>
        </row>
        <row r="13314">
          <cell r="A13314" t="str">
            <v>Y63</v>
          </cell>
          <cell r="B13314" t="str">
            <v>Falla en la dosificación durante la atención médica y quirúrgica</v>
          </cell>
        </row>
        <row r="13315">
          <cell r="A13315" t="str">
            <v>Y63.0</v>
          </cell>
          <cell r="B13315" t="str">
            <v>Excesiva cantidad de sangre u otro líquido administrado durante una infusión o transfusión</v>
          </cell>
        </row>
        <row r="13316">
          <cell r="A13316" t="str">
            <v>Y63.1</v>
          </cell>
          <cell r="B13316" t="str">
            <v>Dilución incorrecta de líquido durante una infusión</v>
          </cell>
        </row>
        <row r="13317">
          <cell r="A13317" t="str">
            <v>Y63.2</v>
          </cell>
          <cell r="B13317" t="str">
            <v>Sobredosis de radiación administrada durante terapia</v>
          </cell>
        </row>
        <row r="13318">
          <cell r="A13318" t="str">
            <v>Y63.3</v>
          </cell>
          <cell r="B13318" t="str">
            <v>Exposición inadvertida del paciente a radiación durante la atención médica</v>
          </cell>
        </row>
        <row r="13319">
          <cell r="A13319" t="str">
            <v>Y63.4</v>
          </cell>
          <cell r="B13319" t="str">
            <v>Falla en la dosificación en electrochoque o en choque insulínico</v>
          </cell>
        </row>
        <row r="13320">
          <cell r="A13320" t="str">
            <v>Y63.5</v>
          </cell>
          <cell r="B13320" t="str">
            <v>Falla en el control de la temperatura, en taponamientos y aplicaciones locales</v>
          </cell>
        </row>
        <row r="13321">
          <cell r="A13321" t="str">
            <v>Y63.6</v>
          </cell>
          <cell r="B13321" t="str">
            <v>No administración de drogas, medicamentos o sustancias biológicas necesarias</v>
          </cell>
        </row>
        <row r="13322">
          <cell r="A13322" t="str">
            <v>Y63.8</v>
          </cell>
          <cell r="B13322" t="str">
            <v>Falla en la dosificación durante otras atenciones médicas y quirúrgicas</v>
          </cell>
        </row>
        <row r="13323">
          <cell r="A13323" t="str">
            <v>Y63.9</v>
          </cell>
          <cell r="B13323" t="str">
            <v>Falla en la dosificación durante atención médica y quirúrgica no especificada</v>
          </cell>
        </row>
        <row r="13324">
          <cell r="A13324" t="str">
            <v>Y64</v>
          </cell>
          <cell r="B13324" t="str">
            <v>Medicamentos o sustancias biológicas contaminados</v>
          </cell>
        </row>
        <row r="13325">
          <cell r="A13325" t="str">
            <v>Y64.0</v>
          </cell>
          <cell r="B13325" t="str">
            <v>Medicamento o sustancia biológica contaminado en infusión o transfusión</v>
          </cell>
        </row>
        <row r="13326">
          <cell r="A13326" t="str">
            <v>Y64.1</v>
          </cell>
          <cell r="B13326" t="str">
            <v>Medicamento o sustancia biológica contaminado, inyectado o usado para inmunización</v>
          </cell>
        </row>
        <row r="13327">
          <cell r="A13327" t="str">
            <v>Y64.8</v>
          </cell>
          <cell r="B13327" t="str">
            <v>Medicamento o sustancia biológica contaminado, administrado por otros medios</v>
          </cell>
        </row>
        <row r="13328">
          <cell r="A13328" t="str">
            <v>Y64.9</v>
          </cell>
          <cell r="B13328" t="str">
            <v>Medicamento o sustancia biológica contaminado, administrado por medios no especificados</v>
          </cell>
        </row>
        <row r="13329">
          <cell r="A13329" t="str">
            <v>Y65</v>
          </cell>
          <cell r="B13329" t="str">
            <v>Otros incidentes durante la atención médica y quirúrgica</v>
          </cell>
        </row>
        <row r="13330">
          <cell r="A13330" t="str">
            <v>Y65.0</v>
          </cell>
          <cell r="B13330" t="str">
            <v>Sangre incompatible usada en transfusión</v>
          </cell>
        </row>
        <row r="13331">
          <cell r="A13331" t="str">
            <v>Y65.1</v>
          </cell>
          <cell r="B13331" t="str">
            <v>Líquido erróneo usado en infusión</v>
          </cell>
        </row>
        <row r="13332">
          <cell r="A13332" t="str">
            <v>Y65.2</v>
          </cell>
          <cell r="B13332" t="str">
            <v>Falla en la sutura o ligadura durante operación quirúrgica</v>
          </cell>
        </row>
        <row r="13333">
          <cell r="A13333" t="str">
            <v>Y65.3</v>
          </cell>
          <cell r="B13333" t="str">
            <v>Tubo endotraqueal colocado erróneamente durante procedimiento anestésico</v>
          </cell>
        </row>
        <row r="13334">
          <cell r="A13334" t="str">
            <v>Y65.4</v>
          </cell>
          <cell r="B13334" t="str">
            <v>Falla en la introducción o remoción de otro tubo o instrumento</v>
          </cell>
        </row>
        <row r="13335">
          <cell r="A13335" t="str">
            <v>Y65.5</v>
          </cell>
          <cell r="B13335" t="str">
            <v>Realización de una operación inadecuada</v>
          </cell>
        </row>
        <row r="13336">
          <cell r="A13336" t="str">
            <v>Y65.8</v>
          </cell>
          <cell r="B13336" t="str">
            <v>Otros incidentes especificados durante la atención médica y quirúrgica</v>
          </cell>
        </row>
        <row r="13337">
          <cell r="A13337" t="str">
            <v>Y66.X</v>
          </cell>
          <cell r="B13337" t="str">
            <v>No administración de la atención médica y quirúrgica</v>
          </cell>
        </row>
        <row r="13338">
          <cell r="A13338" t="str">
            <v>Y69.X</v>
          </cell>
          <cell r="B13338" t="str">
            <v>Incidentes no especificados durante la atención médica y quirúrgica</v>
          </cell>
        </row>
        <row r="13339">
          <cell r="A13339" t="str">
            <v>Y70</v>
          </cell>
          <cell r="B13339" t="str">
            <v>Dispositivos de anestesiología asociados con incidentes adversos</v>
          </cell>
        </row>
        <row r="13340">
          <cell r="A13340" t="str">
            <v>Y70.0</v>
          </cell>
          <cell r="B13340" t="str">
            <v>Dispositivos de anestesiología asociados con incidentes adversos, dispositivos de diagnóstico y monitoreo</v>
          </cell>
        </row>
        <row r="13341">
          <cell r="A13341" t="str">
            <v>Y70.1</v>
          </cell>
          <cell r="B13341" t="str">
            <v>Dispositivos de anestesiología asociados con incidentes adversos, dispositivos terapéuticos (no quirúrgicos ) y de rehabilitación</v>
          </cell>
        </row>
        <row r="13342">
          <cell r="A13342" t="str">
            <v>Y70.2</v>
          </cell>
          <cell r="B13342" t="str">
            <v>Dispositivos de anestesiología asociados con incidentes adversos, dispositivos protésicos y otros implantes, materiales y accesorios</v>
          </cell>
        </row>
        <row r="13343">
          <cell r="A13343" t="str">
            <v>Y70.3</v>
          </cell>
          <cell r="B13343" t="str">
            <v>Dispositivos de anestesiología asociados con incidentes adversos, instrumentos quirúrgicos, dispositivos y materiales (inclusive suturas)</v>
          </cell>
        </row>
        <row r="13344">
          <cell r="A13344" t="str">
            <v>Y70.8</v>
          </cell>
          <cell r="B13344" t="str">
            <v>Dispositivos de anestesiología asociados con incidentes adversos, dispositivos diversos, no clasificados en otra parte</v>
          </cell>
        </row>
        <row r="13345">
          <cell r="A13345" t="str">
            <v>Y71</v>
          </cell>
          <cell r="B13345" t="str">
            <v>Dispositivos cardiovasculares asociados con incidentes adversos</v>
          </cell>
        </row>
        <row r="13346">
          <cell r="A13346" t="str">
            <v>Y71.0</v>
          </cell>
          <cell r="B13346" t="str">
            <v>Dispositivos cardiovasculares asociados con incidentes adversos, dispositivos de diagnóstico y monitoreo</v>
          </cell>
        </row>
        <row r="13347">
          <cell r="A13347" t="str">
            <v>Y71.1</v>
          </cell>
          <cell r="B13347" t="str">
            <v>Dispositivos cardiovasculares asociados con incidentes adversos, dispositivos terapéuticos (no quirúrgicos ) y de rehabilitación</v>
          </cell>
        </row>
        <row r="13348">
          <cell r="A13348" t="str">
            <v>Y71.2</v>
          </cell>
          <cell r="B13348" t="str">
            <v>Dispositivos cardiovasculares asociados con incidentes adversos, dispositivos protésicos y otros implantes, materiales y accesorios</v>
          </cell>
        </row>
        <row r="13349">
          <cell r="A13349" t="str">
            <v>Y71.3</v>
          </cell>
          <cell r="B13349" t="str">
            <v>Dispositivos cardiovasculares asociados con incidentes adversos, instrumentos quirúrgicos, dispositivos y materiales (inclusive suturas)</v>
          </cell>
        </row>
        <row r="13350">
          <cell r="A13350" t="str">
            <v>Y71.8</v>
          </cell>
          <cell r="B13350" t="str">
            <v>Dispositivos cardiovasculares asociados con incidentes adversos, dispositivos diversos, no clasificados en otra parte</v>
          </cell>
        </row>
        <row r="13351">
          <cell r="A13351" t="str">
            <v>Y72</v>
          </cell>
          <cell r="B13351" t="str">
            <v>Dispositivos otorrinolaringológicos asociados con incidentes adversos</v>
          </cell>
        </row>
        <row r="13352">
          <cell r="A13352" t="str">
            <v>Y72.0</v>
          </cell>
          <cell r="B13352" t="str">
            <v>Dispositivos otorrinolaringológicos asociados con incidentes adversos, dispositivos de diagnóstico y monitoreo</v>
          </cell>
        </row>
        <row r="13353">
          <cell r="A13353" t="str">
            <v>Y72.1</v>
          </cell>
          <cell r="B13353" t="str">
            <v>Dispositivos otorrinolaringológicos asociados con incidentes adversos, dispositivos terapéuticos (no quirúrgicos ) y de rehabilitación</v>
          </cell>
        </row>
        <row r="13354">
          <cell r="A13354" t="str">
            <v>Y72.2</v>
          </cell>
          <cell r="B13354" t="str">
            <v>Dispositivos otorrinolaringológicos asociados con incidentes adversos, dispositivos protésicos y otros implantes, materiales y accesorios</v>
          </cell>
        </row>
        <row r="13355">
          <cell r="A13355" t="str">
            <v>Y72.3</v>
          </cell>
          <cell r="B13355" t="str">
            <v>Dispositivos otorrinolaringológicos asociados con incidentes adversos, instrumentos quirúrgicos, dispositivos y materiales (inclusive suturas)</v>
          </cell>
        </row>
        <row r="13356">
          <cell r="A13356" t="str">
            <v>Y72.8</v>
          </cell>
          <cell r="B13356" t="str">
            <v>Dispositivos otorrinolaringológicos asociados con incidentes adversos, dispositivos diversos, no clasificados en otra parte</v>
          </cell>
        </row>
        <row r="13357">
          <cell r="A13357" t="str">
            <v>Y73</v>
          </cell>
          <cell r="B13357" t="str">
            <v>Dispositivos de gastroenterología y urología asociados con incidentes adversos</v>
          </cell>
        </row>
        <row r="13358">
          <cell r="A13358" t="str">
            <v>Y73.0</v>
          </cell>
          <cell r="B13358" t="str">
            <v>Dispositivos de gastroenterología y urología asociados con incidentes adversos, dispositivos de diagnóstico y monitoreo</v>
          </cell>
        </row>
        <row r="13359">
          <cell r="A13359" t="str">
            <v>Y73.1</v>
          </cell>
          <cell r="B13359" t="str">
            <v>Dispositivos de gastroenterología y urología asociados con incidentes adversos, dispositivos terapéuticos (no quirúrgicos ) y de rehabilitación</v>
          </cell>
        </row>
        <row r="13360">
          <cell r="A13360" t="str">
            <v>Y73.2</v>
          </cell>
          <cell r="B13360" t="str">
            <v>Dispositivos de gastroenterología y urología asociados con incidentes adversos, dispositivos protésicos y otros implantes, materiales y accesorios</v>
          </cell>
        </row>
        <row r="13361">
          <cell r="A13361" t="str">
            <v>Y73.3</v>
          </cell>
          <cell r="B13361" t="str">
            <v>Dispositivos de gastroenterología y urología asociados con incidentes adversos, instrumentos quirúrgicos, dispositivos y materiales (inclusive suturas)</v>
          </cell>
        </row>
        <row r="13362">
          <cell r="A13362" t="str">
            <v>Y73.8</v>
          </cell>
          <cell r="B13362" t="str">
            <v>Dispositivos de gastroenterología y urología asociados con incidentes adversos, dispositivos diversos, no clasificados en otra parte</v>
          </cell>
        </row>
        <row r="13363">
          <cell r="A13363" t="str">
            <v>Y74</v>
          </cell>
          <cell r="B13363" t="str">
            <v>Dispositivos para uso hospitalario general y personal asociados con incidentes adversos</v>
          </cell>
        </row>
        <row r="13364">
          <cell r="A13364" t="str">
            <v>Y74.0</v>
          </cell>
          <cell r="B13364" t="str">
            <v>Dispositivos para uso hospitalario general y personal asociados con incidentes adversos, dispositivos de diagnóstico y monitoreo</v>
          </cell>
        </row>
        <row r="13365">
          <cell r="A13365" t="str">
            <v>Y74.1</v>
          </cell>
          <cell r="B13365" t="str">
            <v>Dispositivos para uso hospitalario general y personal asociados con incidentes adversos, dispositivos terapéuticos (no quirúrgicos ) y de rehabilitación</v>
          </cell>
        </row>
        <row r="13366">
          <cell r="A13366" t="str">
            <v>Y74.2</v>
          </cell>
          <cell r="B13366" t="str">
            <v>Dispositivos para uso hospitalario general y personal asociados con incidentes adversos, dispositivos protésicos y otros implantes, materiales y accesorios</v>
          </cell>
        </row>
        <row r="13367">
          <cell r="A13367" t="str">
            <v>Y74.3</v>
          </cell>
          <cell r="B13367" t="str">
            <v>Dispositivos para uso hospitalario general y personal asociados con incidentes adversos, instrumentos quirúrgicos, dispositivos y materiales (inclusive suturas)</v>
          </cell>
        </row>
        <row r="13368">
          <cell r="A13368" t="str">
            <v>Y74.8</v>
          </cell>
          <cell r="B13368" t="str">
            <v>Dispositivos para uso hospitalario general y personal asociados con incidentes adversos, dispositivos diversos, no clasificados en otra parte</v>
          </cell>
        </row>
        <row r="13369">
          <cell r="A13369" t="str">
            <v>Y75</v>
          </cell>
          <cell r="B13369" t="str">
            <v>Dispositivos neurológicos asociados con incidentes adversos</v>
          </cell>
        </row>
        <row r="13370">
          <cell r="A13370" t="str">
            <v>Y75.0</v>
          </cell>
          <cell r="B13370" t="str">
            <v>Dispositivos neurológicos asociados con incidentes adversos, dispositivos de diagnóstico y monitoreo</v>
          </cell>
        </row>
        <row r="13371">
          <cell r="A13371" t="str">
            <v>Y75.1</v>
          </cell>
          <cell r="B13371" t="str">
            <v>Dispositivos neurológicos asociados con incidentes adversos, dispositivos terapéuticos (no quirúrgicos ) y de rehabilitación</v>
          </cell>
        </row>
        <row r="13372">
          <cell r="A13372" t="str">
            <v>Y75.2</v>
          </cell>
          <cell r="B13372" t="str">
            <v>Dispositivos neurológicos asociados con incidentes adversos, dispositivos protésicos y otros implantes, materiales y accesorios</v>
          </cell>
        </row>
        <row r="13373">
          <cell r="A13373" t="str">
            <v>Y75.3</v>
          </cell>
          <cell r="B13373" t="str">
            <v>Dispositivos neurológicos asociados con incidentes adversos, instrumentos quirúrgicos, dispositivos y materiales (inclusive suturas)</v>
          </cell>
        </row>
        <row r="13374">
          <cell r="A13374" t="str">
            <v>Y75.8</v>
          </cell>
          <cell r="B13374" t="str">
            <v>Dispositivos neurológicos asociados con incidentes adversos, dispositivos diversos, no clasificados en otra parte</v>
          </cell>
        </row>
        <row r="13375">
          <cell r="A13375" t="str">
            <v>Y76</v>
          </cell>
          <cell r="B13375" t="str">
            <v>Dispositivos ginecológicos y obstétricos asociados con incidentes adversos</v>
          </cell>
        </row>
        <row r="13376">
          <cell r="A13376" t="str">
            <v>Y76.0</v>
          </cell>
          <cell r="B13376" t="str">
            <v>Dispositivos ginecológicos y obstétricos asociados con incidentes adversos, dispositivos de diagnóstico y monitoreo</v>
          </cell>
        </row>
        <row r="13377">
          <cell r="A13377" t="str">
            <v>Y76.1</v>
          </cell>
          <cell r="B13377" t="str">
            <v>Dispositivos ginecológicos y obstétricos asociados con incidentes adversos, dispositivos terapéuticos (no quirúrgicos ) y de rehabilitación</v>
          </cell>
        </row>
        <row r="13378">
          <cell r="A13378" t="str">
            <v>Y76.2</v>
          </cell>
          <cell r="B13378" t="str">
            <v>Dispositivos ginecológicos y obstétricos asociados con incidentes adversos, dispositivos protésicos y otros implantes, materiales y accesorios</v>
          </cell>
        </row>
        <row r="13379">
          <cell r="A13379" t="str">
            <v>Y76.3</v>
          </cell>
          <cell r="B13379" t="str">
            <v>Dispositivos ginecológicos y obstétricos asociados con incidentes adversos, instrumentos quirúrgicos, dispositivos y materiales (inclusive suturas)</v>
          </cell>
        </row>
        <row r="13380">
          <cell r="A13380" t="str">
            <v>Y76.8</v>
          </cell>
          <cell r="B13380" t="str">
            <v>Dispositivos ginecológicos y obstétricos asociados con incidentes adversos, dispositivos diversos, no clasificados en otra parte</v>
          </cell>
        </row>
        <row r="13381">
          <cell r="A13381" t="str">
            <v>Y77</v>
          </cell>
          <cell r="B13381" t="str">
            <v>Dispositivos oftálmicos asociados con incidentes adversos</v>
          </cell>
        </row>
        <row r="13382">
          <cell r="A13382" t="str">
            <v>Y77.0</v>
          </cell>
          <cell r="B13382" t="str">
            <v>Dispositivos oftálmicos asociados con incidentes adversos, dispositivos de diagnóstico y monitoreo</v>
          </cell>
        </row>
        <row r="13383">
          <cell r="A13383" t="str">
            <v>Y77.1</v>
          </cell>
          <cell r="B13383" t="str">
            <v>Dispositivos oftálmicos asociados con incidentes adversos, dispositivos terapéuticos (no quirúrgicos ) y de rehabilitación</v>
          </cell>
        </row>
        <row r="13384">
          <cell r="A13384" t="str">
            <v>Y77.2</v>
          </cell>
          <cell r="B13384" t="str">
            <v>Dispositivos oftálmicos asociados con incidentes adversos, dispositivos protésicos y otros implantes, materiales y accesorios</v>
          </cell>
        </row>
        <row r="13385">
          <cell r="A13385" t="str">
            <v>Y77.3</v>
          </cell>
          <cell r="B13385" t="str">
            <v>Dispositivos oftálmicos asociados con incidentes adversos, instrumentos quirúrgicos, dispositivos y materiales (inclusive suturas)</v>
          </cell>
        </row>
        <row r="13386">
          <cell r="A13386" t="str">
            <v>Y77.8</v>
          </cell>
          <cell r="B13386" t="str">
            <v>Dispositivos oftálmicos asociados con incidentes adversos, dispositivos diversos, no clasificados en otra parte</v>
          </cell>
        </row>
        <row r="13387">
          <cell r="A13387" t="str">
            <v>Y78</v>
          </cell>
          <cell r="B13387" t="str">
            <v>Aparatos radiológicos asociados con incidentes adversos</v>
          </cell>
        </row>
        <row r="13388">
          <cell r="A13388" t="str">
            <v>Y78.0</v>
          </cell>
          <cell r="B13388" t="str">
            <v>Aparatos radiológicos asociados con incidentes adversos, dispositivos de diagnóstico y monitoreo</v>
          </cell>
        </row>
        <row r="13389">
          <cell r="A13389" t="str">
            <v>Y78.1</v>
          </cell>
          <cell r="B13389" t="str">
            <v>Aparatos radiológicos asociados con incidentes adversos, dispositivos terapéuticos (no quirúrgicos ) y de rehabilitación</v>
          </cell>
        </row>
        <row r="13390">
          <cell r="A13390" t="str">
            <v>Y78.2</v>
          </cell>
          <cell r="B13390" t="str">
            <v>Aparatos radiológicos asociados con incidentes adversos, dispositivos protésicos y otros implantes, materiales y accesorios</v>
          </cell>
        </row>
        <row r="13391">
          <cell r="A13391" t="str">
            <v>Y78.3</v>
          </cell>
          <cell r="B13391" t="str">
            <v>Aparatos radiológicos asociados con incidentes adversos, instrumentos quirúrgicos, dispositivos y materiales (inclusive suturas)</v>
          </cell>
        </row>
        <row r="13392">
          <cell r="A13392" t="str">
            <v>Y78.8</v>
          </cell>
          <cell r="B13392" t="str">
            <v>Aparatos radiológicos asociados con incidentes adversos, dispositivos diversos, no clasificados en otra parte</v>
          </cell>
        </row>
        <row r="13393">
          <cell r="A13393" t="str">
            <v>Y79</v>
          </cell>
          <cell r="B13393" t="str">
            <v>Dispositivos ortopédicos asociados con incidentes adversos</v>
          </cell>
        </row>
        <row r="13394">
          <cell r="A13394" t="str">
            <v>Y79.0</v>
          </cell>
          <cell r="B13394" t="str">
            <v>Dispositivos ortopédicos asociados con incidentes adversos, dispositivos de diagnóstico y monitoreo</v>
          </cell>
        </row>
        <row r="13395">
          <cell r="A13395" t="str">
            <v>Y79.1</v>
          </cell>
          <cell r="B13395" t="str">
            <v>Dispositivos ortopédicos asociados con incidentes adversos, dispositivos terapéuticos (no quirúrgicos ) y de rehabilitación</v>
          </cell>
        </row>
        <row r="13396">
          <cell r="A13396" t="str">
            <v>Y79.2</v>
          </cell>
          <cell r="B13396" t="str">
            <v>Dispositivos ortopédicos asociados con incidentes adversos, dispositivos protésicos y otros implantes, materiales y accesorios</v>
          </cell>
        </row>
        <row r="13397">
          <cell r="A13397" t="str">
            <v>Y79.3</v>
          </cell>
          <cell r="B13397" t="str">
            <v>Dispositivos ortopédicos asociados con incidentes adversos, instrumentos quirúrgicos, dispositivos y materiales (inclusive suturas)</v>
          </cell>
        </row>
        <row r="13398">
          <cell r="A13398" t="str">
            <v>Y79.8</v>
          </cell>
          <cell r="B13398" t="str">
            <v>Dispositivos ortopédicos asociados con incidentes adversos, dispositivos diversos, no clasificados en otra parte</v>
          </cell>
        </row>
        <row r="13399">
          <cell r="A13399" t="str">
            <v>Y80</v>
          </cell>
          <cell r="B13399" t="str">
            <v>Aparatos de medicina física asociados con incidentes adversos</v>
          </cell>
        </row>
        <row r="13400">
          <cell r="A13400" t="str">
            <v>Y80.0</v>
          </cell>
          <cell r="B13400" t="str">
            <v>Aparatos de medicina física asociados con incidentes adversos, dispositivos de diagnóstico y monitoreo</v>
          </cell>
        </row>
        <row r="13401">
          <cell r="A13401" t="str">
            <v>Y80.1</v>
          </cell>
          <cell r="B13401" t="str">
            <v>Aparatos de medicina física asociados con incidentes adversos, dispositivos terapéuticos (no quirúrgicos ) y de rehabilitación</v>
          </cell>
        </row>
        <row r="13402">
          <cell r="A13402" t="str">
            <v>Y80.2</v>
          </cell>
          <cell r="B13402" t="str">
            <v>Aparatos de medicina física asociados con incidentes adversos, dispositivos protésicos y otros implantes, materiales y accesorios</v>
          </cell>
        </row>
        <row r="13403">
          <cell r="A13403" t="str">
            <v>Y80.3</v>
          </cell>
          <cell r="B13403" t="str">
            <v>Aparatos de medicina física asociados con incidentes adversos, instrumentos quirúrgicos, dispositivos y materiales (inclusive suturas)</v>
          </cell>
        </row>
        <row r="13404">
          <cell r="A13404" t="str">
            <v>Y80.8</v>
          </cell>
          <cell r="B13404" t="str">
            <v>Aparatos de medicina física asociados con incidentes adversos, dispositivos diversos, no clasificados en otra parte</v>
          </cell>
        </row>
        <row r="13405">
          <cell r="A13405" t="str">
            <v>Y81</v>
          </cell>
          <cell r="B13405" t="str">
            <v>Dispositivos de cirugía general y plástica asociados con incidentes adversos</v>
          </cell>
        </row>
        <row r="13406">
          <cell r="A13406" t="str">
            <v>Y81.0</v>
          </cell>
          <cell r="B13406" t="str">
            <v>Dispositivos de cirugía general y plástica asociados con incidentes adversos, dispositivos de diagnóstico y monitoreo</v>
          </cell>
        </row>
        <row r="13407">
          <cell r="A13407" t="str">
            <v>Y81.1</v>
          </cell>
          <cell r="B13407" t="str">
            <v>Dispositivos de cirugía general y plástica asociados con incidentes adversos, dispositivos terapéuticos (no quirúrgicos ) y de rehabilitación</v>
          </cell>
        </row>
        <row r="13408">
          <cell r="A13408" t="str">
            <v>Y81.2</v>
          </cell>
          <cell r="B13408" t="str">
            <v>Dispositivos de cirugía general y plástica asociados con incidentes adversos, dispositivos protésicos y otros implantes, materiales y accesorios</v>
          </cell>
        </row>
        <row r="13409">
          <cell r="A13409" t="str">
            <v>Y81.3</v>
          </cell>
          <cell r="B13409" t="str">
            <v>Dispositivos de cirugía general y plástica asociados con incidentes adversos, instrumentos quirúrgicos, dispositivos y materiales (inclusive suturas)</v>
          </cell>
        </row>
        <row r="13410">
          <cell r="A13410" t="str">
            <v>Y81.8</v>
          </cell>
          <cell r="B13410" t="str">
            <v>Dispositivos de cirugía general y plástica asociados con incidentes adversos, dispositivos diversos, no clasificados en otra parte</v>
          </cell>
        </row>
        <row r="13411">
          <cell r="A13411" t="str">
            <v>Y82</v>
          </cell>
          <cell r="B13411" t="str">
            <v>Otros dispositivos médicos, y los no especificados, asociados con incidentes  adversos</v>
          </cell>
        </row>
        <row r="13412">
          <cell r="A13412" t="str">
            <v>Y82.0</v>
          </cell>
          <cell r="B13412" t="str">
            <v>Otros dispositivos médicos, y los no especificados, asociados con incidentes  adversos, dispositivos de diagnóstico y monitoreo</v>
          </cell>
        </row>
        <row r="13413">
          <cell r="A13413" t="str">
            <v>Y82.1</v>
          </cell>
          <cell r="B13413" t="str">
            <v>Otros dispositivos médicos, y los no especificados, asociados con incidentes adversos, dispositivos terapéuticos (no quirúrgicos ) y de rehabilitación</v>
          </cell>
        </row>
        <row r="13414">
          <cell r="A13414" t="str">
            <v>Y82.2</v>
          </cell>
          <cell r="B13414" t="str">
            <v>Otros dispositivos médicos, y los no especificados, asociados con incidentes adversos, dispositivos protésicos y otros implantes, materiales y accesorios</v>
          </cell>
        </row>
        <row r="13415">
          <cell r="A13415" t="str">
            <v>Y82.3</v>
          </cell>
          <cell r="B13415" t="str">
            <v>Otros dispositivos médicos, y los no especificados, asociados con incidentes adversos, instrumentos quirúrgicos, dispositivos y materiales (inclusive suturas)</v>
          </cell>
        </row>
        <row r="13416">
          <cell r="A13416" t="str">
            <v>Y82.8</v>
          </cell>
          <cell r="B13416" t="str">
            <v>Otros dispositivos médicos, y los no especificados, asociados con incidentes adversos, dispositivos diversos, no clasificados en otra parte</v>
          </cell>
        </row>
        <row r="13417">
          <cell r="A13417" t="str">
            <v>Y83</v>
          </cell>
          <cell r="B13417" t="str">
            <v>Cirugía y otros procedimientos quirúrgicos como la causa de reacción anormal del paciente o de complicación posterior, sin mención de incidente en el momento de efectuar el procedimiento</v>
          </cell>
        </row>
        <row r="13418">
          <cell r="A13418" t="str">
            <v>Y83.0</v>
          </cell>
          <cell r="B13418" t="str">
            <v>Operación quirúrgica con trasplante de un órgano completo</v>
          </cell>
        </row>
        <row r="13419">
          <cell r="A13419" t="str">
            <v>Y83.1</v>
          </cell>
          <cell r="B13419" t="str">
            <v>Operación quirúrgica con implante de un dispositivo artificial interno</v>
          </cell>
        </row>
        <row r="13420">
          <cell r="A13420" t="str">
            <v>Y83.2</v>
          </cell>
          <cell r="B13420" t="str">
            <v>Operación quirúrgica con anastomosis, derivación o injerto</v>
          </cell>
        </row>
        <row r="13421">
          <cell r="A13421" t="str">
            <v>Y83.3</v>
          </cell>
          <cell r="B13421" t="str">
            <v>Operación quirúrgica con formación de estoma externo</v>
          </cell>
        </row>
        <row r="13422">
          <cell r="A13422" t="str">
            <v>Y83.4</v>
          </cell>
          <cell r="B13422" t="str">
            <v>Otra cirugía reconstructiva</v>
          </cell>
        </row>
        <row r="13423">
          <cell r="A13423" t="str">
            <v>Y83.5</v>
          </cell>
          <cell r="B13423" t="str">
            <v>Amputación de miembro(s)</v>
          </cell>
        </row>
        <row r="13424">
          <cell r="A13424" t="str">
            <v>Y83.6</v>
          </cell>
          <cell r="B13424" t="str">
            <v>Remoción de otro órgano (parcial) (total)</v>
          </cell>
        </row>
        <row r="13425">
          <cell r="A13425" t="str">
            <v>Y83.8</v>
          </cell>
          <cell r="B13425" t="str">
            <v>Otros procedimientos quirúrgicos</v>
          </cell>
        </row>
        <row r="13426">
          <cell r="A13426" t="str">
            <v>Y83.9</v>
          </cell>
          <cell r="B13426" t="str">
            <v>Procedimiento quirúrgico no especificado</v>
          </cell>
        </row>
        <row r="13427">
          <cell r="A13427" t="str">
            <v>Y84</v>
          </cell>
          <cell r="B13427" t="str">
            <v>Otros procedimientos médicos como la causa de reacción anormal del paciente o de complicación posterior, sin mención de incidente en el momento de efectuar el procedimiento</v>
          </cell>
        </row>
        <row r="13428">
          <cell r="A13428" t="str">
            <v>Y84.0</v>
          </cell>
          <cell r="B13428" t="str">
            <v>Cateterización cardíaca</v>
          </cell>
        </row>
        <row r="13429">
          <cell r="A13429" t="str">
            <v>Y84.1</v>
          </cell>
          <cell r="B13429" t="str">
            <v>Diálisis renal</v>
          </cell>
        </row>
        <row r="13430">
          <cell r="A13430" t="str">
            <v>Y84.2</v>
          </cell>
          <cell r="B13430" t="str">
            <v>Procedimiento radiológico y radioterapia</v>
          </cell>
        </row>
        <row r="13431">
          <cell r="A13431" t="str">
            <v>Y84.3</v>
          </cell>
          <cell r="B13431" t="str">
            <v>Terapia por choque</v>
          </cell>
        </row>
        <row r="13432">
          <cell r="A13432" t="str">
            <v>Y84.4</v>
          </cell>
          <cell r="B13432" t="str">
            <v>Aspiración de líquidos</v>
          </cell>
        </row>
        <row r="13433">
          <cell r="A13433" t="str">
            <v>Y84.5</v>
          </cell>
          <cell r="B13433" t="str">
            <v>Inserción de sonda gástrica o duodenal</v>
          </cell>
        </row>
        <row r="13434">
          <cell r="A13434" t="str">
            <v>Y84.6</v>
          </cell>
          <cell r="B13434" t="str">
            <v>Cateterización urinaria</v>
          </cell>
        </row>
        <row r="13435">
          <cell r="A13435" t="str">
            <v>Y84.7</v>
          </cell>
          <cell r="B13435" t="str">
            <v>Muestra de sangre</v>
          </cell>
        </row>
        <row r="13436">
          <cell r="A13436" t="str">
            <v>Y84.8</v>
          </cell>
          <cell r="B13436" t="str">
            <v>Otros procedimientos médicos</v>
          </cell>
        </row>
        <row r="13437">
          <cell r="A13437" t="str">
            <v>Y84.9</v>
          </cell>
          <cell r="B13437" t="str">
            <v>Procedimiento médico no especificado</v>
          </cell>
        </row>
        <row r="13438">
          <cell r="A13438" t="str">
            <v>Y85</v>
          </cell>
          <cell r="B13438" t="str">
            <v>Secuelas de accidentes de transporte</v>
          </cell>
        </row>
        <row r="13439">
          <cell r="A13439" t="str">
            <v>Y85.0</v>
          </cell>
          <cell r="B13439" t="str">
            <v>Secuelas de accidente de vehículo de motor</v>
          </cell>
        </row>
        <row r="13440">
          <cell r="A13440" t="str">
            <v>Y85.9</v>
          </cell>
          <cell r="B13440" t="str">
            <v>Secuelas de otros accidentes de transporte, y los no especificados</v>
          </cell>
        </row>
        <row r="13441">
          <cell r="A13441" t="str">
            <v>Y86.X</v>
          </cell>
          <cell r="B13441" t="str">
            <v>Secuelas de otros accidentes</v>
          </cell>
        </row>
        <row r="13442">
          <cell r="A13442" t="str">
            <v>Y87</v>
          </cell>
          <cell r="B13442" t="str">
            <v>Secuelas de lesiones autoinfligidas intencionalmente, agresiones y eventos de intención no determinada</v>
          </cell>
        </row>
        <row r="13443">
          <cell r="A13443" t="str">
            <v>Y87.0</v>
          </cell>
          <cell r="B13443" t="str">
            <v>Secuelas de lesiones autoinfligidas</v>
          </cell>
        </row>
        <row r="13444">
          <cell r="A13444" t="str">
            <v>Y87.1</v>
          </cell>
          <cell r="B13444" t="str">
            <v>Secuelas de agresiones</v>
          </cell>
        </row>
        <row r="13445">
          <cell r="A13445" t="str">
            <v>Y87.2</v>
          </cell>
          <cell r="B13445" t="str">
            <v>Secuelas de eventos de intención no determinada</v>
          </cell>
        </row>
        <row r="13446">
          <cell r="A13446" t="str">
            <v>Y88</v>
          </cell>
          <cell r="B13446" t="str">
            <v>Secuelas con atención médica y quirúrgica como causa externa</v>
          </cell>
        </row>
        <row r="13447">
          <cell r="A13447" t="str">
            <v>Y88.0</v>
          </cell>
          <cell r="B13447" t="str">
            <v>Secuelas de efectos adversos causados por drogas, medicamentos y sustancias biológicas en su uso terapéutico</v>
          </cell>
        </row>
        <row r="13448">
          <cell r="A13448" t="str">
            <v>Y88.1</v>
          </cell>
          <cell r="B13448" t="str">
            <v>Secuelas de incidentes ocurridos al paciente durante procedimientos médicos y quirúrgicos</v>
          </cell>
        </row>
        <row r="13449">
          <cell r="A13449" t="str">
            <v>Y88.2</v>
          </cell>
          <cell r="B13449" t="str">
            <v>Secuelas de incidentes adversos asociados con dispositivos médicos en uso diagnóstico y terapéutico</v>
          </cell>
        </row>
        <row r="13450">
          <cell r="A13450" t="str">
            <v>Y88.3</v>
          </cell>
          <cell r="B13450" t="str">
            <v>Secuelas de procedimientos médicos y quirúrgicos como la causa de reacción anormal del paciente o de complicación posterior, sin mención de incidente en el momento de efectuar el procedimiento</v>
          </cell>
        </row>
        <row r="13451">
          <cell r="A13451" t="str">
            <v>Y89</v>
          </cell>
          <cell r="B13451" t="str">
            <v>Secuelas de otras causas externas</v>
          </cell>
        </row>
        <row r="13452">
          <cell r="A13452" t="str">
            <v>Y89.0</v>
          </cell>
          <cell r="B13452" t="str">
            <v>Secuelas de intervención legal</v>
          </cell>
        </row>
        <row r="13453">
          <cell r="A13453" t="str">
            <v>Y89.1</v>
          </cell>
          <cell r="B13453" t="str">
            <v>Secuelas de operaciones de guerra</v>
          </cell>
        </row>
        <row r="13454">
          <cell r="A13454" t="str">
            <v>Y89.9</v>
          </cell>
          <cell r="B13454" t="str">
            <v>Secuelas de causa externa no especificada</v>
          </cell>
        </row>
        <row r="13455">
          <cell r="A13455" t="str">
            <v>Y90</v>
          </cell>
          <cell r="B13455" t="str">
            <v>Evidencia de alcoholismo determinada por el nivel de alcohol en la sangre</v>
          </cell>
        </row>
        <row r="13456">
          <cell r="A13456" t="str">
            <v>Y90.0</v>
          </cell>
          <cell r="B13456" t="str">
            <v>Nivel de alcohol en la sangre menor de 20 mg/100 ml</v>
          </cell>
        </row>
        <row r="13457">
          <cell r="A13457" t="str">
            <v>Y90.1</v>
          </cell>
          <cell r="B13457" t="str">
            <v>Nivel de alcohol en la sangre de 20 a 39 mg/100 ml</v>
          </cell>
        </row>
        <row r="13458">
          <cell r="A13458" t="str">
            <v>Y90.2</v>
          </cell>
          <cell r="B13458" t="str">
            <v>Nivel de alcohol en la sangre de 40 a 59 mg/100 ml</v>
          </cell>
        </row>
        <row r="13459">
          <cell r="A13459" t="str">
            <v>Y90.3</v>
          </cell>
          <cell r="B13459" t="str">
            <v>Nivel de alcohol en la sangre de 60 a 79 mg/100 ml</v>
          </cell>
        </row>
        <row r="13460">
          <cell r="A13460" t="str">
            <v>Y90.4</v>
          </cell>
          <cell r="B13460" t="str">
            <v>Nivel de alcohol en la sangre de 80 a 99 mg/100 ml</v>
          </cell>
        </row>
        <row r="13461">
          <cell r="A13461" t="str">
            <v>Y90.5</v>
          </cell>
          <cell r="B13461" t="str">
            <v>Nivel de alcohol en la sangre de 100 a 119 mg/100 ml</v>
          </cell>
        </row>
        <row r="13462">
          <cell r="A13462" t="str">
            <v>Y90.6</v>
          </cell>
          <cell r="B13462" t="str">
            <v>Nivel de alcohol en la sangre de 120 a 199 mg/100 ml</v>
          </cell>
        </row>
        <row r="13463">
          <cell r="A13463" t="str">
            <v>Y90.7</v>
          </cell>
          <cell r="B13463" t="str">
            <v>Nivel de alcohol en la sangre de 200 a 239 mg/100 ml</v>
          </cell>
        </row>
        <row r="13464">
          <cell r="A13464" t="str">
            <v>Y90.8</v>
          </cell>
          <cell r="B13464" t="str">
            <v>Nivel de alcohol en la sangre de 240 mg/100 ml o más</v>
          </cell>
        </row>
        <row r="13465">
          <cell r="A13465" t="str">
            <v>Y90.9</v>
          </cell>
          <cell r="B13465" t="str">
            <v>Presencia de alcohol en la sangre, nivel no especificado</v>
          </cell>
        </row>
        <row r="13466">
          <cell r="A13466" t="str">
            <v>Y91</v>
          </cell>
          <cell r="B13466" t="str">
            <v>Evidencia de alcoholismo determinada por el nivel de intoxicación</v>
          </cell>
        </row>
        <row r="13467">
          <cell r="A13467" t="str">
            <v>Y91.0</v>
          </cell>
          <cell r="B13467" t="str">
            <v>Intoxicación alcohólica leve</v>
          </cell>
        </row>
        <row r="13468">
          <cell r="A13468" t="str">
            <v>Y91.1</v>
          </cell>
          <cell r="B13468" t="str">
            <v>Intoxicación alcohólica moderada</v>
          </cell>
        </row>
        <row r="13469">
          <cell r="A13469" t="str">
            <v>Y91.2</v>
          </cell>
          <cell r="B13469" t="str">
            <v>Intoxicación alcohólica severa</v>
          </cell>
        </row>
        <row r="13470">
          <cell r="A13470" t="str">
            <v>Y91.3</v>
          </cell>
          <cell r="B13470" t="str">
            <v>Intoxicación alcohólica muy severa</v>
          </cell>
        </row>
        <row r="13471">
          <cell r="A13471" t="str">
            <v>Y91.9</v>
          </cell>
          <cell r="B13471" t="str">
            <v>Alcoholismo, nivel de intoxicación no especificado</v>
          </cell>
        </row>
        <row r="13472">
          <cell r="A13472" t="str">
            <v>Y95.X</v>
          </cell>
          <cell r="B13472" t="str">
            <v>Afección nosocomial</v>
          </cell>
        </row>
        <row r="13473">
          <cell r="A13473" t="str">
            <v>Y96.X</v>
          </cell>
          <cell r="B13473" t="str">
            <v>Afección relacionada con el trabajo</v>
          </cell>
        </row>
        <row r="13474">
          <cell r="A13474" t="str">
            <v>Y97.X</v>
          </cell>
          <cell r="B13474" t="str">
            <v>Afección relacionada con la contaminación ambiental</v>
          </cell>
        </row>
        <row r="13475">
          <cell r="A13475" t="str">
            <v>Y98.X</v>
          </cell>
          <cell r="B13475" t="str">
            <v>Afección relacionada con el estilo de vida</v>
          </cell>
        </row>
        <row r="13476">
          <cell r="A13476" t="str">
            <v>Z</v>
          </cell>
          <cell r="B13476" t="str">
            <v>Examenes Generales e Investigaciones en personas sin quejas</v>
          </cell>
        </row>
        <row r="13477">
          <cell r="A13477" t="str">
            <v>Z00</v>
          </cell>
          <cell r="B13477" t="str">
            <v>Examen general e investigación de personas sin quejas o sin diagnóstico informado</v>
          </cell>
        </row>
        <row r="13478">
          <cell r="A13478" t="str">
            <v>Z00.0</v>
          </cell>
          <cell r="B13478" t="str">
            <v>Examen médico general</v>
          </cell>
        </row>
        <row r="13479">
          <cell r="A13479" t="str">
            <v>Z00.1</v>
          </cell>
          <cell r="B13479" t="str">
            <v>Control de salud de rutina del niño</v>
          </cell>
        </row>
        <row r="13480">
          <cell r="A13480" t="str">
            <v>Z00.2</v>
          </cell>
          <cell r="B13480" t="str">
            <v>Examen durante el período de crecimiento rápido en la infancia</v>
          </cell>
        </row>
        <row r="13481">
          <cell r="A13481" t="str">
            <v>Z00.3</v>
          </cell>
          <cell r="B13481" t="str">
            <v>Examen del estado de desarrollo del adolescente</v>
          </cell>
        </row>
        <row r="13482">
          <cell r="A13482" t="str">
            <v>Z00.4</v>
          </cell>
          <cell r="B13482" t="str">
            <v>Examen psiquiátrico general, no clasificado en otra parte</v>
          </cell>
        </row>
        <row r="13483">
          <cell r="A13483" t="str">
            <v>Z00.5</v>
          </cell>
          <cell r="B13483" t="str">
            <v>Examen de donante potencial de órgano o tejido</v>
          </cell>
        </row>
        <row r="13484">
          <cell r="A13484" t="str">
            <v>Z00.6</v>
          </cell>
          <cell r="B13484" t="str">
            <v>Examen para comparación y control normales en programa de investigación clínica</v>
          </cell>
        </row>
        <row r="13485">
          <cell r="A13485" t="str">
            <v>Z00.8</v>
          </cell>
          <cell r="B13485" t="str">
            <v>Otros exámenes generales</v>
          </cell>
        </row>
        <row r="13486">
          <cell r="A13486" t="str">
            <v>Z01</v>
          </cell>
          <cell r="B13486" t="str">
            <v>Otros exámenes especiales e investigaciones en personas sin quejas o sin diagnóstico informado</v>
          </cell>
        </row>
        <row r="13487">
          <cell r="A13487" t="str">
            <v>Z01.0</v>
          </cell>
          <cell r="B13487" t="str">
            <v>Examen de ojos y de la visión</v>
          </cell>
        </row>
        <row r="13488">
          <cell r="A13488" t="str">
            <v>Z01.1</v>
          </cell>
          <cell r="B13488" t="str">
            <v>Examen de oídos y de la audición</v>
          </cell>
        </row>
        <row r="13489">
          <cell r="A13489" t="str">
            <v>Z01.2</v>
          </cell>
          <cell r="B13489" t="str">
            <v>Examen odontológico</v>
          </cell>
        </row>
        <row r="13490">
          <cell r="A13490" t="str">
            <v>Z01.3</v>
          </cell>
          <cell r="B13490" t="str">
            <v>Examen de la presión sanguínea</v>
          </cell>
        </row>
        <row r="13491">
          <cell r="A13491" t="str">
            <v>Z01.4</v>
          </cell>
          <cell r="B13491" t="str">
            <v>Examen ginecológico (general) (de rutina)</v>
          </cell>
        </row>
        <row r="13492">
          <cell r="A13492" t="str">
            <v>Z01.5</v>
          </cell>
          <cell r="B13492" t="str">
            <v>Pruebas de sensibilización y diagnóstico cutáneo</v>
          </cell>
        </row>
        <row r="13493">
          <cell r="A13493" t="str">
            <v>Z01.6</v>
          </cell>
          <cell r="B13493" t="str">
            <v>Examen radiológico, no clasificado en otra parte</v>
          </cell>
        </row>
        <row r="13494">
          <cell r="A13494" t="str">
            <v>Z01.7</v>
          </cell>
          <cell r="B13494" t="str">
            <v>Examen de laboratorio</v>
          </cell>
        </row>
        <row r="13495">
          <cell r="A13495" t="str">
            <v>Z01.8</v>
          </cell>
          <cell r="B13495" t="str">
            <v>Otros exámenes especiales especificados</v>
          </cell>
        </row>
        <row r="13496">
          <cell r="A13496" t="str">
            <v>Z01.9</v>
          </cell>
          <cell r="B13496" t="str">
            <v>Examen especial no especificado</v>
          </cell>
        </row>
        <row r="13497">
          <cell r="A13497" t="str">
            <v>Z02</v>
          </cell>
          <cell r="B13497" t="str">
            <v>Exámenes y contactos para fines administrativos</v>
          </cell>
        </row>
        <row r="13498">
          <cell r="A13498" t="str">
            <v>Z02.0</v>
          </cell>
          <cell r="B13498" t="str">
            <v>Examen para admisión a instituciones educativas</v>
          </cell>
        </row>
        <row r="13499">
          <cell r="A13499" t="str">
            <v>Z02.1</v>
          </cell>
          <cell r="B13499" t="str">
            <v>Examen preempleo</v>
          </cell>
        </row>
        <row r="13500">
          <cell r="A13500" t="str">
            <v>Z02.2</v>
          </cell>
          <cell r="B13500" t="str">
            <v>Examen para admisión a instituciones residenciales</v>
          </cell>
        </row>
        <row r="13501">
          <cell r="A13501" t="str">
            <v>Z02.3</v>
          </cell>
          <cell r="B13501" t="str">
            <v>Examen para reclutamiento en las fuerzas armadas</v>
          </cell>
        </row>
        <row r="13502">
          <cell r="A13502" t="str">
            <v>Z02.4</v>
          </cell>
          <cell r="B13502" t="str">
            <v>Examen para obtención de licencia de conducir</v>
          </cell>
        </row>
        <row r="13503">
          <cell r="A13503" t="str">
            <v>Z02.5</v>
          </cell>
          <cell r="B13503" t="str">
            <v>Examen para participación en competencias deportivas</v>
          </cell>
        </row>
        <row r="13504">
          <cell r="A13504" t="str">
            <v>Z02.6</v>
          </cell>
          <cell r="B13504" t="str">
            <v>Examen para fines de seguros</v>
          </cell>
        </row>
        <row r="13505">
          <cell r="A13505" t="str">
            <v>Z02.7</v>
          </cell>
          <cell r="B13505" t="str">
            <v>Extensión de certificado médico</v>
          </cell>
        </row>
        <row r="13506">
          <cell r="A13506" t="str">
            <v>Z02.8</v>
          </cell>
          <cell r="B13506" t="str">
            <v>Otros exámenes para fines administrativos</v>
          </cell>
        </row>
        <row r="13507">
          <cell r="A13507" t="str">
            <v>Z02.9</v>
          </cell>
          <cell r="B13507" t="str">
            <v>Examen para fines administrativos, no especificado</v>
          </cell>
        </row>
        <row r="13508">
          <cell r="A13508" t="str">
            <v>Z03</v>
          </cell>
          <cell r="B13508" t="str">
            <v>Observación y evaluación médicas por sospecha de enfermedades y afecciones</v>
          </cell>
        </row>
        <row r="13509">
          <cell r="A13509" t="str">
            <v>Z03.0</v>
          </cell>
          <cell r="B13509" t="str">
            <v>Observación por sospecha de tuberculosis</v>
          </cell>
        </row>
        <row r="13510">
          <cell r="A13510" t="str">
            <v>Z03.1</v>
          </cell>
          <cell r="B13510" t="str">
            <v>Observación por sospecha de tumor maligno</v>
          </cell>
        </row>
        <row r="13511">
          <cell r="A13511" t="str">
            <v>Z03.2</v>
          </cell>
          <cell r="B13511" t="str">
            <v>Observación por sospecha de trastorno mental y del comportamiento</v>
          </cell>
        </row>
        <row r="13512">
          <cell r="A13512" t="str">
            <v>Z03.3</v>
          </cell>
          <cell r="B13512" t="str">
            <v>Observación por sospecha de trastorno del sistema nervioso</v>
          </cell>
        </row>
        <row r="13513">
          <cell r="A13513" t="str">
            <v>Z03.4</v>
          </cell>
          <cell r="B13513" t="str">
            <v>Observación por sospecha de infarto de miocardio</v>
          </cell>
        </row>
        <row r="13514">
          <cell r="A13514" t="str">
            <v>Z03.5</v>
          </cell>
          <cell r="B13514" t="str">
            <v>Observación por sospecha de otras enfermedades cardiovasculares</v>
          </cell>
        </row>
        <row r="13515">
          <cell r="A13515" t="str">
            <v>Z03.6</v>
          </cell>
          <cell r="B13515" t="str">
            <v>Observación por sospecha de efectos tóxicos de sustancias ingeridas</v>
          </cell>
        </row>
        <row r="13516">
          <cell r="A13516" t="str">
            <v>Z03.8</v>
          </cell>
          <cell r="B13516" t="str">
            <v>Observación por sospecha de otras enfermedades y afecciones</v>
          </cell>
        </row>
        <row r="13517">
          <cell r="A13517" t="str">
            <v>Z03.9</v>
          </cell>
          <cell r="B13517" t="str">
            <v>Observación por sospecha de enfermedad o afección no especificada</v>
          </cell>
        </row>
        <row r="13518">
          <cell r="A13518" t="str">
            <v>Z04</v>
          </cell>
          <cell r="B13518" t="str">
            <v>Examen y observación por otras razones</v>
          </cell>
        </row>
        <row r="13519">
          <cell r="A13519" t="str">
            <v>Z04.0</v>
          </cell>
          <cell r="B13519" t="str">
            <v>Prueba de alcohol o drogas en la sangre</v>
          </cell>
        </row>
        <row r="13520">
          <cell r="A13520" t="str">
            <v>Z04.1</v>
          </cell>
          <cell r="B13520" t="str">
            <v>Examen y observación consecutivos a accidente de transporte</v>
          </cell>
        </row>
        <row r="13521">
          <cell r="A13521" t="str">
            <v>Z04.2</v>
          </cell>
          <cell r="B13521" t="str">
            <v>Examen y observación consecutivos a accidente de trabajo</v>
          </cell>
        </row>
        <row r="13522">
          <cell r="A13522" t="str">
            <v>Z04.3</v>
          </cell>
          <cell r="B13522" t="str">
            <v>Examen y observación consecutivos a otro accidente</v>
          </cell>
        </row>
        <row r="13523">
          <cell r="A13523" t="str">
            <v>Z04.4</v>
          </cell>
          <cell r="B13523" t="str">
            <v>Examen y observación consecutivos a denuncia de violación y seducción</v>
          </cell>
        </row>
        <row r="13524">
          <cell r="A13524" t="str">
            <v>Z04.5</v>
          </cell>
          <cell r="B13524" t="str">
            <v>Examen y observación consecutivos a otra lesión infligida</v>
          </cell>
        </row>
        <row r="13525">
          <cell r="A13525" t="str">
            <v>Z04.6</v>
          </cell>
          <cell r="B13525" t="str">
            <v>Examen psiquiátrico general, solicitado por una autoridad</v>
          </cell>
        </row>
        <row r="13526">
          <cell r="A13526" t="str">
            <v>Z04.8</v>
          </cell>
          <cell r="B13526" t="str">
            <v>Examen y observación por otras razones especificadas</v>
          </cell>
        </row>
        <row r="13527">
          <cell r="A13527" t="str">
            <v>Z04.9</v>
          </cell>
          <cell r="B13527" t="str">
            <v>Examen y observación por razones no especificadas</v>
          </cell>
        </row>
        <row r="13528">
          <cell r="A13528" t="str">
            <v>Z08</v>
          </cell>
          <cell r="B13528" t="str">
            <v>Examen de seguimiento consecutivo al tratamiento por tumor maligno</v>
          </cell>
        </row>
        <row r="13529">
          <cell r="A13529" t="str">
            <v>Z08.0</v>
          </cell>
          <cell r="B13529" t="str">
            <v>Examen de seguimiento consecutivo a cirugía por tumor maligno</v>
          </cell>
        </row>
        <row r="13530">
          <cell r="A13530" t="str">
            <v>Z08.1</v>
          </cell>
          <cell r="B13530" t="str">
            <v>Examen de seguimiento consecutivo a radioterapia por tumor maligno</v>
          </cell>
        </row>
        <row r="13531">
          <cell r="A13531" t="str">
            <v>Z08.2</v>
          </cell>
          <cell r="B13531" t="str">
            <v>Examen de seguimiento consecutivo a quimioterapia por tumor maligno</v>
          </cell>
        </row>
        <row r="13532">
          <cell r="A13532" t="str">
            <v>Z08.7</v>
          </cell>
          <cell r="B13532" t="str">
            <v>Examen de seguimiento consecutivo a tratamiento combinado por tumor maligno</v>
          </cell>
        </row>
        <row r="13533">
          <cell r="A13533" t="str">
            <v>Z08.8</v>
          </cell>
          <cell r="B13533" t="str">
            <v>Examen de seguimiento consecutivo a otro tratamiento por tumor maligno</v>
          </cell>
        </row>
        <row r="13534">
          <cell r="A13534" t="str">
            <v>Z08.9</v>
          </cell>
          <cell r="B13534" t="str">
            <v>Examen de seguimiento consecutivo a tratamiento no especificado por tumor maligno</v>
          </cell>
        </row>
        <row r="13535">
          <cell r="A13535" t="str">
            <v>Z09</v>
          </cell>
          <cell r="B13535" t="str">
            <v>Examen de seguimiento consecutivo a tratamiento por otras afecciones diferentes a tumores malignos</v>
          </cell>
        </row>
        <row r="13536">
          <cell r="A13536" t="str">
            <v>Z09.0</v>
          </cell>
          <cell r="B13536" t="str">
            <v>Examen de seguimiento consecutivo a cirugía por otras afecciones</v>
          </cell>
        </row>
        <row r="13537">
          <cell r="A13537" t="str">
            <v>Z09.1</v>
          </cell>
          <cell r="B13537" t="str">
            <v>Examen de seguimiento consecutivo a radioterapia por otras afecciones</v>
          </cell>
        </row>
        <row r="13538">
          <cell r="A13538" t="str">
            <v>Z09.2</v>
          </cell>
          <cell r="B13538" t="str">
            <v>Examen de seguimiento consecutivo a quimioterapia por otras afecciones</v>
          </cell>
        </row>
        <row r="13539">
          <cell r="A13539" t="str">
            <v>Z09.3</v>
          </cell>
          <cell r="B13539" t="str">
            <v>Examen de seguimiento consecutivo a psicoterapia</v>
          </cell>
        </row>
        <row r="13540">
          <cell r="A13540" t="str">
            <v>Z09.4</v>
          </cell>
          <cell r="B13540" t="str">
            <v>Examen de seguimiento consecutivo a tratamiento de fractura</v>
          </cell>
        </row>
        <row r="13541">
          <cell r="A13541" t="str">
            <v>Z09.7</v>
          </cell>
          <cell r="B13541" t="str">
            <v>Examen de seguimiento consecutivo a tratamiento combinado por otras afecciones</v>
          </cell>
        </row>
        <row r="13542">
          <cell r="A13542" t="str">
            <v>Z09.8</v>
          </cell>
          <cell r="B13542" t="str">
            <v>Examen de seguimiento consecutivo a otro tratamiento por otras afecciones</v>
          </cell>
        </row>
        <row r="13543">
          <cell r="A13543" t="str">
            <v>Z09.9</v>
          </cell>
          <cell r="B13543" t="str">
            <v>Examen de seguimiento consecutivo a tratamiento no especificado por otras afecciones</v>
          </cell>
        </row>
        <row r="13544">
          <cell r="A13544" t="str">
            <v>Z10</v>
          </cell>
          <cell r="B13544" t="str">
            <v>Control general de salud de rutina de subpoblaciones definidas</v>
          </cell>
        </row>
        <row r="13545">
          <cell r="A13545" t="str">
            <v>Z10.0</v>
          </cell>
          <cell r="B13545" t="str">
            <v>Examen de salud ocupacional</v>
          </cell>
        </row>
        <row r="13546">
          <cell r="A13546" t="str">
            <v>Z10.1</v>
          </cell>
          <cell r="B13546" t="str">
            <v>Control general de salud de rutina de residentes de instituciones</v>
          </cell>
        </row>
        <row r="13547">
          <cell r="A13547" t="str">
            <v>Z10.2</v>
          </cell>
          <cell r="B13547" t="str">
            <v>Control general de salud de rutina a miembros de las fuerzas armadas</v>
          </cell>
        </row>
        <row r="13548">
          <cell r="A13548" t="str">
            <v>Z10.3</v>
          </cell>
          <cell r="B13548" t="str">
            <v>Control general de salud de rutina a integrantes de equipos deportivos</v>
          </cell>
        </row>
        <row r="13549">
          <cell r="A13549" t="str">
            <v>Z10.8</v>
          </cell>
          <cell r="B13549" t="str">
            <v>Otros controles generales de salud de rutina de otras subpoblaciones definidas</v>
          </cell>
        </row>
        <row r="13550">
          <cell r="A13550" t="str">
            <v>Z11</v>
          </cell>
          <cell r="B13550" t="str">
            <v>Examen de pesquisa especial para enfermedades infecciosas y parasitarias</v>
          </cell>
        </row>
        <row r="13551">
          <cell r="A13551" t="str">
            <v>Z11.0</v>
          </cell>
          <cell r="B13551" t="str">
            <v>Examen de pesquisa especial para enfermedades infecciosas intestinales</v>
          </cell>
        </row>
        <row r="13552">
          <cell r="A13552" t="str">
            <v>Z11.1</v>
          </cell>
          <cell r="B13552" t="str">
            <v>Examen de pesquisa especial para tuberculosis respiratoria</v>
          </cell>
        </row>
        <row r="13553">
          <cell r="A13553" t="str">
            <v>Z11.2</v>
          </cell>
          <cell r="B13553" t="str">
            <v>Examen de pesquisa especial para otras enfermedades bacterianas</v>
          </cell>
        </row>
        <row r="13554">
          <cell r="A13554" t="str">
            <v>Z11.3</v>
          </cell>
          <cell r="B13554" t="str">
            <v>Examen de pesquisa especial para infecciones de transmisión predominantemente sexual</v>
          </cell>
        </row>
        <row r="13555">
          <cell r="A13555" t="str">
            <v>Z11.4</v>
          </cell>
          <cell r="B13555" t="str">
            <v>Examen de pesquisa especial para el virus de la inmunodeficiencia humana [VIH]</v>
          </cell>
        </row>
        <row r="13556">
          <cell r="A13556" t="str">
            <v>Z11.5</v>
          </cell>
          <cell r="B13556" t="str">
            <v>Examen de pesquisa especial para otras enfermedades virales</v>
          </cell>
        </row>
        <row r="13557">
          <cell r="A13557" t="str">
            <v>Z11.6</v>
          </cell>
          <cell r="B13557" t="str">
            <v>Examen de pesquisa especial para otras enfermedades debidas a protozoarios y helmintos</v>
          </cell>
        </row>
        <row r="13558">
          <cell r="A13558" t="str">
            <v>Z11.8</v>
          </cell>
          <cell r="B13558" t="str">
            <v>Examen de pesquisa especial para otras enfermedades infecciosas y parasitarias especificadas</v>
          </cell>
        </row>
        <row r="13559">
          <cell r="A13559" t="str">
            <v>Z11.9</v>
          </cell>
          <cell r="B13559" t="str">
            <v>Examen de pesquisa especial para enfermedades infecciosas y parasitarias no especificadas</v>
          </cell>
        </row>
        <row r="13560">
          <cell r="A13560" t="str">
            <v>Z12</v>
          </cell>
          <cell r="B13560" t="str">
            <v>Examen de pesquisa especial para tumores</v>
          </cell>
        </row>
        <row r="13561">
          <cell r="A13561" t="str">
            <v>Z12.0</v>
          </cell>
          <cell r="B13561" t="str">
            <v>Examen de pesquisa especial para tumor de estómago</v>
          </cell>
        </row>
        <row r="13562">
          <cell r="A13562" t="str">
            <v>Z12.1</v>
          </cell>
          <cell r="B13562" t="str">
            <v>Examen de pesquisa especial para tumor del intestino</v>
          </cell>
        </row>
        <row r="13563">
          <cell r="A13563" t="str">
            <v>Z12.2</v>
          </cell>
          <cell r="B13563" t="str">
            <v>Examen de pesquisa especial para tumores de órganos respiratorios</v>
          </cell>
        </row>
        <row r="13564">
          <cell r="A13564" t="str">
            <v>Z12.3</v>
          </cell>
          <cell r="B13564" t="str">
            <v>Examen de pesquisa especial para tumor de la mama</v>
          </cell>
        </row>
        <row r="13565">
          <cell r="A13565" t="str">
            <v>Z12.4</v>
          </cell>
          <cell r="B13565" t="str">
            <v>Examen de pesquisa especial para tumor del cuello uterino</v>
          </cell>
        </row>
        <row r="13566">
          <cell r="A13566" t="str">
            <v>Z12.5</v>
          </cell>
          <cell r="B13566" t="str">
            <v>Examen de pesquisa especial para tumor de la próstata</v>
          </cell>
        </row>
        <row r="13567">
          <cell r="A13567" t="str">
            <v>Z12.6</v>
          </cell>
          <cell r="B13567" t="str">
            <v>Examen de pesquisa especial para tumor de la vejiga</v>
          </cell>
        </row>
        <row r="13568">
          <cell r="A13568" t="str">
            <v>Z12.8</v>
          </cell>
          <cell r="B13568" t="str">
            <v>Examen de pesquisa especial para tumores de otros sitios</v>
          </cell>
        </row>
        <row r="13569">
          <cell r="A13569" t="str">
            <v>Z12.9</v>
          </cell>
          <cell r="B13569" t="str">
            <v>Examen de pesquisa especial para tumor de sitio no especificado</v>
          </cell>
        </row>
        <row r="13570">
          <cell r="A13570" t="str">
            <v>Z13</v>
          </cell>
          <cell r="B13570" t="str">
            <v>Examen de pesquisa especial para otras enfermedades y trastornos</v>
          </cell>
        </row>
        <row r="13571">
          <cell r="A13571" t="str">
            <v>Z13.0</v>
          </cell>
          <cell r="B13571" t="str">
            <v>Examen de pesquisa especial para enfermedades de la sangre y órganos hematopoyéticos y ciertos trastornos del mecanismo de la inmunidad</v>
          </cell>
        </row>
        <row r="13572">
          <cell r="A13572" t="str">
            <v>Z13.1</v>
          </cell>
          <cell r="B13572" t="str">
            <v>Examen de pesquisa especial para diabetes mellitus</v>
          </cell>
        </row>
        <row r="13573">
          <cell r="A13573" t="str">
            <v>Z13.2</v>
          </cell>
          <cell r="B13573" t="str">
            <v>Examen de pesquisa especial para trastornos de la nutrición</v>
          </cell>
        </row>
        <row r="13574">
          <cell r="A13574" t="str">
            <v>Z13.3</v>
          </cell>
          <cell r="B13574" t="str">
            <v>Examen de pesquisa especial para trastornos mentales y del comportamiento</v>
          </cell>
        </row>
        <row r="13575">
          <cell r="A13575" t="str">
            <v>Z13.4</v>
          </cell>
          <cell r="B13575" t="str">
            <v>Examen de pesquisa especial para ciertos trastornos del desarrollo en el niño</v>
          </cell>
        </row>
        <row r="13576">
          <cell r="A13576" t="str">
            <v>Z13.5</v>
          </cell>
          <cell r="B13576" t="str">
            <v>Examen de pesquisa especial para trastornos del ojo y del oído</v>
          </cell>
        </row>
        <row r="13577">
          <cell r="A13577" t="str">
            <v>Z13.6</v>
          </cell>
          <cell r="B13577" t="str">
            <v>Examen de pesquisa especial para trastornos cardiovasculares</v>
          </cell>
        </row>
        <row r="13578">
          <cell r="A13578" t="str">
            <v>Z13.7</v>
          </cell>
          <cell r="B13578" t="str">
            <v>Examen de pesquisa especial para malformaciones congénitas, deformidades y anomalías cromosómicas</v>
          </cell>
        </row>
        <row r="13579">
          <cell r="A13579" t="str">
            <v>Z13.8</v>
          </cell>
          <cell r="B13579" t="str">
            <v>Examen de pesquisa especial para otras enfermedades y trastornos especificados</v>
          </cell>
        </row>
        <row r="13580">
          <cell r="A13580" t="str">
            <v>Z13.9</v>
          </cell>
          <cell r="B13580" t="str">
            <v>Examen de pesquisa especial, no especificado</v>
          </cell>
        </row>
        <row r="13581">
          <cell r="A13581" t="str">
            <v>Z20</v>
          </cell>
          <cell r="B13581" t="str">
            <v>Contacto con y exposición a enfermedades transmisibles</v>
          </cell>
        </row>
        <row r="13582">
          <cell r="A13582" t="str">
            <v>Z20.0</v>
          </cell>
          <cell r="B13582" t="str">
            <v>Contacto con y exposición a enfermedades infecciosas intestinales</v>
          </cell>
        </row>
        <row r="13583">
          <cell r="A13583" t="str">
            <v>Z20.1</v>
          </cell>
          <cell r="B13583" t="str">
            <v>Contacto con y exposición a tuberculosis</v>
          </cell>
        </row>
        <row r="13584">
          <cell r="A13584" t="str">
            <v>Z20.2</v>
          </cell>
          <cell r="B13584" t="str">
            <v>Contacto con y exposición a enfermedades infecciosas con un modo de transmisión predominantemente sexual</v>
          </cell>
        </row>
        <row r="13585">
          <cell r="A13585" t="str">
            <v>Z20.3</v>
          </cell>
          <cell r="B13585" t="str">
            <v>Contacto con y exposición a rabia</v>
          </cell>
        </row>
        <row r="13586">
          <cell r="A13586" t="str">
            <v>Z20.4</v>
          </cell>
          <cell r="B13586" t="str">
            <v>Contacto con y exposición a rubéola</v>
          </cell>
        </row>
        <row r="13587">
          <cell r="A13587" t="str">
            <v>Z20.5</v>
          </cell>
          <cell r="B13587" t="str">
            <v>Contacto con y exposición a hepatitis viral</v>
          </cell>
        </row>
        <row r="13588">
          <cell r="A13588" t="str">
            <v>Z20.6</v>
          </cell>
          <cell r="B13588" t="str">
            <v>Contacto con y exposición al virus de la inmunodeficiencia humana [VIH]</v>
          </cell>
        </row>
        <row r="13589">
          <cell r="A13589" t="str">
            <v>Z20.7</v>
          </cell>
          <cell r="B13589" t="str">
            <v>Contacto con y exposición a pediculosis, acariasis y otras infestaciones</v>
          </cell>
        </row>
        <row r="13590">
          <cell r="A13590" t="str">
            <v>Z20.8</v>
          </cell>
          <cell r="B13590" t="str">
            <v>Contacto con y exposición a otras enfermedades transmisibles</v>
          </cell>
        </row>
        <row r="13591">
          <cell r="A13591" t="str">
            <v>Z20.9</v>
          </cell>
          <cell r="B13591" t="str">
            <v>Contacto con y exposición a enfermedades transmisibles no especificadas</v>
          </cell>
        </row>
        <row r="13592">
          <cell r="A13592" t="str">
            <v>Z21.X</v>
          </cell>
          <cell r="B13592" t="str">
            <v>Estado de infección asintomática por el virus de la inmunodeficiencia humana [VIH]</v>
          </cell>
        </row>
        <row r="13593">
          <cell r="A13593" t="str">
            <v>Z22</v>
          </cell>
          <cell r="B13593" t="str">
            <v>Portador de enfermedad infecciosa</v>
          </cell>
        </row>
        <row r="13594">
          <cell r="A13594" t="str">
            <v>Z22.0</v>
          </cell>
          <cell r="B13594" t="str">
            <v>Portador de fiebre tifoidea</v>
          </cell>
        </row>
        <row r="13595">
          <cell r="A13595" t="str">
            <v>Z22.1</v>
          </cell>
          <cell r="B13595" t="str">
            <v>Portador de otras enfermedades infecciosas intestinales</v>
          </cell>
        </row>
        <row r="13596">
          <cell r="A13596" t="str">
            <v>Z22.2</v>
          </cell>
          <cell r="B13596" t="str">
            <v>Portador de difteria</v>
          </cell>
        </row>
        <row r="13597">
          <cell r="A13597" t="str">
            <v>Z22.3</v>
          </cell>
          <cell r="B13597" t="str">
            <v>Portador de otras enfermedades bacterianas especificadas</v>
          </cell>
        </row>
        <row r="13598">
          <cell r="A13598" t="str">
            <v>Z22.4</v>
          </cell>
          <cell r="B13598" t="str">
            <v>Portador de enfermedades infecciosas con un modo de transmisión predominantemente sexual</v>
          </cell>
        </row>
        <row r="13599">
          <cell r="A13599" t="str">
            <v>Z22.5</v>
          </cell>
          <cell r="B13599" t="str">
            <v>Portador de hepatitis viral</v>
          </cell>
        </row>
        <row r="13600">
          <cell r="A13600" t="str">
            <v>Z22.6</v>
          </cell>
          <cell r="B13600" t="str">
            <v>Portador de enfermedad infecciosa debida al virus humano T-linfotrópico tipo 1 [VHTL-1]</v>
          </cell>
        </row>
        <row r="13601">
          <cell r="A13601" t="str">
            <v>Z22.8</v>
          </cell>
          <cell r="B13601" t="str">
            <v>Portador de otras enfermedades infecciosas</v>
          </cell>
        </row>
        <row r="13602">
          <cell r="A13602" t="str">
            <v>Z22.9</v>
          </cell>
          <cell r="B13602" t="str">
            <v>Portador de enfermedad infecciosa no especificada</v>
          </cell>
        </row>
        <row r="13603">
          <cell r="A13603" t="str">
            <v>Z23</v>
          </cell>
          <cell r="B13603" t="str">
            <v>Necesidad de inmunización contra enfermedad bacteriana única</v>
          </cell>
        </row>
        <row r="13604">
          <cell r="A13604" t="str">
            <v>Z23.0</v>
          </cell>
          <cell r="B13604" t="str">
            <v>Necesidad de inmunización sólo contra el cólera</v>
          </cell>
        </row>
        <row r="13605">
          <cell r="A13605" t="str">
            <v>Z23.1</v>
          </cell>
          <cell r="B13605" t="str">
            <v>Necesidad de inmunización sólo contra la tifoidea-paratifoidea [TAB]</v>
          </cell>
        </row>
        <row r="13606">
          <cell r="A13606" t="str">
            <v>Z23.2</v>
          </cell>
          <cell r="B13606" t="str">
            <v>Necesidad de inmunización contra la tuberculosis [BCG]</v>
          </cell>
        </row>
        <row r="13607">
          <cell r="A13607" t="str">
            <v>Z23.3</v>
          </cell>
          <cell r="B13607" t="str">
            <v>Necesidad de inmunización contra la peste</v>
          </cell>
        </row>
        <row r="13608">
          <cell r="A13608" t="str">
            <v>Z23.4</v>
          </cell>
          <cell r="B13608" t="str">
            <v>Necesidad de inmunización contra la tularemia</v>
          </cell>
        </row>
        <row r="13609">
          <cell r="A13609" t="str">
            <v>Z23.5</v>
          </cell>
          <cell r="B13609" t="str">
            <v>Necesidad de inmunización sólo contra el tétanos</v>
          </cell>
        </row>
        <row r="13610">
          <cell r="A13610" t="str">
            <v>Z23.6</v>
          </cell>
          <cell r="B13610" t="str">
            <v>Necesidad de inmunización sólo contra la difteria</v>
          </cell>
        </row>
        <row r="13611">
          <cell r="A13611" t="str">
            <v>Z23.7</v>
          </cell>
          <cell r="B13611" t="str">
            <v>Necesidad de inmunización sólo contra la tos ferina</v>
          </cell>
        </row>
        <row r="13612">
          <cell r="A13612" t="str">
            <v>Z23.8</v>
          </cell>
          <cell r="B13612" t="str">
            <v>Necesidad de inmunización sólo contra otra enfermedad bacteriana</v>
          </cell>
        </row>
        <row r="13613">
          <cell r="A13613" t="str">
            <v>Z24</v>
          </cell>
          <cell r="B13613" t="str">
            <v>Necesidad de inmunización contra ciertas enfermedades virales</v>
          </cell>
        </row>
        <row r="13614">
          <cell r="A13614" t="str">
            <v>Z24.0</v>
          </cell>
          <cell r="B13614" t="str">
            <v>Necesidad de inmunización contra la poliomielitis</v>
          </cell>
        </row>
        <row r="13615">
          <cell r="A13615" t="str">
            <v>Z24.1</v>
          </cell>
          <cell r="B13615" t="str">
            <v>Necesidad de inmunización contra la encefalitis viral transmitida por artrópodos</v>
          </cell>
        </row>
        <row r="13616">
          <cell r="A13616" t="str">
            <v>Z24.2</v>
          </cell>
          <cell r="B13616" t="str">
            <v>Necesidad de inmunización contra la rabia</v>
          </cell>
        </row>
        <row r="13617">
          <cell r="A13617" t="str">
            <v>Z24.3</v>
          </cell>
          <cell r="B13617" t="str">
            <v>Necesidad de inmunización contra la fiebre amarilla</v>
          </cell>
        </row>
        <row r="13618">
          <cell r="A13618" t="str">
            <v>Z24.4</v>
          </cell>
          <cell r="B13618" t="str">
            <v>Necesidad de inmunización sólo contra el sarampión</v>
          </cell>
        </row>
        <row r="13619">
          <cell r="A13619" t="str">
            <v>Z24.5</v>
          </cell>
          <cell r="B13619" t="str">
            <v>Necesidad de inmunización sólo contra la rubéola</v>
          </cell>
        </row>
        <row r="13620">
          <cell r="A13620" t="str">
            <v>Z24.6</v>
          </cell>
          <cell r="B13620" t="str">
            <v>Necesidad de inmunización contra la hepatitis viral</v>
          </cell>
        </row>
        <row r="13621">
          <cell r="A13621" t="str">
            <v>Z25</v>
          </cell>
          <cell r="B13621" t="str">
            <v>Necesidad de inmunización contra otras enfermedades virales únicas</v>
          </cell>
        </row>
        <row r="13622">
          <cell r="A13622" t="str">
            <v>Z25.0</v>
          </cell>
          <cell r="B13622" t="str">
            <v>Necesidad de inmunización sólo contra la parotiditis</v>
          </cell>
        </row>
        <row r="13623">
          <cell r="A13623" t="str">
            <v>Z25.1</v>
          </cell>
          <cell r="B13623" t="str">
            <v>Necesidad de inmunización contra la influenza [gripe]</v>
          </cell>
        </row>
        <row r="13624">
          <cell r="A13624" t="str">
            <v>Z25.8</v>
          </cell>
          <cell r="B13624" t="str">
            <v>Necesidad de inmunización contra otras enfermedades virales únicas especificadas</v>
          </cell>
        </row>
        <row r="13625">
          <cell r="A13625" t="str">
            <v>Z26.8</v>
          </cell>
          <cell r="B13625" t="str">
            <v>Necesidad de inmunización contra otras enfermedades infecciosas únicas</v>
          </cell>
        </row>
        <row r="13626">
          <cell r="A13626" t="str">
            <v>Z26.0</v>
          </cell>
          <cell r="B13626" t="str">
            <v>Necesidad de inmunización contra la leishmaniasis</v>
          </cell>
        </row>
        <row r="13627">
          <cell r="A13627" t="str">
            <v>Z26.8</v>
          </cell>
          <cell r="B13627" t="str">
            <v>Necesidad de inmunización contra otras enfermedades infecciosas únicas especificadas</v>
          </cell>
        </row>
        <row r="13628">
          <cell r="A13628" t="str">
            <v>Z26.9</v>
          </cell>
          <cell r="B13628" t="str">
            <v>Necesidad de inmunización contra enfermedad infecciosa no especificada</v>
          </cell>
        </row>
        <row r="13629">
          <cell r="A13629" t="str">
            <v>Z27</v>
          </cell>
          <cell r="B13629" t="str">
            <v>Necesidad de inmunización contra combinaciones de enfermedades infecciosas</v>
          </cell>
        </row>
        <row r="13630">
          <cell r="A13630" t="str">
            <v>Z27.0</v>
          </cell>
          <cell r="B13630" t="str">
            <v>Necesidad de inmunización contra el cólera y la tifoidea-paratifoidea [cólera + TAB]</v>
          </cell>
        </row>
        <row r="13631">
          <cell r="A13631" t="str">
            <v>Z27.1</v>
          </cell>
          <cell r="B13631" t="str">
            <v>Necesidad de inmunización contra difteria-pertussis-tétanos combinados [DPT]</v>
          </cell>
        </row>
        <row r="13632">
          <cell r="A13632" t="str">
            <v>Z27.2</v>
          </cell>
          <cell r="B13632" t="str">
            <v>Necesidad de inmunización contra difteria-pertussis-tétanos y tifoidea-paratifoidea [DPT + TAB]</v>
          </cell>
        </row>
        <row r="13633">
          <cell r="A13633" t="str">
            <v>Z27.3</v>
          </cell>
          <cell r="B13633" t="str">
            <v>Necesidad de inmunización contra difteria-pertussis-tétanos y poliomielitis [DPT + polio]</v>
          </cell>
        </row>
        <row r="13634">
          <cell r="A13634" t="str">
            <v>Z27.4</v>
          </cell>
          <cell r="B13634" t="str">
            <v>Necesidad de inmunización contra sarampión-parotiditis-rubéola [SPR] [MMR]</v>
          </cell>
        </row>
        <row r="13635">
          <cell r="A13635" t="str">
            <v>Z27.8</v>
          </cell>
          <cell r="B13635" t="str">
            <v>Necesidad de inmunización contra otras combinaciones de enfermedades infecciosas</v>
          </cell>
        </row>
        <row r="13636">
          <cell r="A13636" t="str">
            <v>Z27.9</v>
          </cell>
          <cell r="B13636" t="str">
            <v>Necesidad de inmunización contra combinaciones no especificadas de enfermedades infecciosas</v>
          </cell>
        </row>
        <row r="13637">
          <cell r="A13637" t="str">
            <v>Z28</v>
          </cell>
          <cell r="B13637" t="str">
            <v>Inmunización no realizada</v>
          </cell>
        </row>
        <row r="13638">
          <cell r="A13638" t="str">
            <v>Z28.0</v>
          </cell>
          <cell r="B13638" t="str">
            <v>Inmunización no realizada por contraindicación</v>
          </cell>
        </row>
        <row r="13639">
          <cell r="A13639" t="str">
            <v>Z28.1</v>
          </cell>
          <cell r="B13639" t="str">
            <v>Inmunización no realizada por decisión del paciente, por motivos de creencia o presión de grupo</v>
          </cell>
        </row>
        <row r="13640">
          <cell r="A13640" t="str">
            <v>Z28.2</v>
          </cell>
          <cell r="B13640" t="str">
            <v>Inmunización no realizada por decisión del paciente, por otras razones y las no especificadas</v>
          </cell>
        </row>
        <row r="13641">
          <cell r="A13641" t="str">
            <v>Z28.8</v>
          </cell>
          <cell r="B13641" t="str">
            <v>Inmunización no realizada por otras razones</v>
          </cell>
        </row>
        <row r="13642">
          <cell r="A13642" t="str">
            <v>Z28.9</v>
          </cell>
          <cell r="B13642" t="str">
            <v>Inmunización no realizada por razón no especificada</v>
          </cell>
        </row>
        <row r="13643">
          <cell r="A13643" t="str">
            <v>Z29</v>
          </cell>
          <cell r="B13643" t="str">
            <v>Necesidad de otras medidas profilácticas</v>
          </cell>
        </row>
        <row r="13644">
          <cell r="A13644" t="str">
            <v>Z29.0</v>
          </cell>
          <cell r="B13644" t="str">
            <v>Aislamiento</v>
          </cell>
        </row>
        <row r="13645">
          <cell r="A13645" t="str">
            <v>Z29.1</v>
          </cell>
          <cell r="B13645" t="str">
            <v>Inmunoterapia profiláctica</v>
          </cell>
        </row>
        <row r="13646">
          <cell r="A13646" t="str">
            <v>Z29.2</v>
          </cell>
          <cell r="B13646" t="str">
            <v>Otra quimioterapia profiláctica</v>
          </cell>
        </row>
        <row r="13647">
          <cell r="A13647" t="str">
            <v>Z29.8</v>
          </cell>
          <cell r="B13647" t="str">
            <v>Otras medidas profiláticas especificadas</v>
          </cell>
        </row>
        <row r="13648">
          <cell r="A13648" t="str">
            <v>Z29.9</v>
          </cell>
          <cell r="B13648" t="str">
            <v>Medida profiláctica no especificada</v>
          </cell>
        </row>
        <row r="13649">
          <cell r="A13649" t="str">
            <v>Z30</v>
          </cell>
          <cell r="B13649" t="str">
            <v>Atención para la anticoncepción</v>
          </cell>
        </row>
        <row r="13650">
          <cell r="A13650" t="str">
            <v>Z30.0</v>
          </cell>
          <cell r="B13650" t="str">
            <v>Consejo y asesoramiento general sobre la anticoncepción</v>
          </cell>
        </row>
        <row r="13651">
          <cell r="A13651" t="str">
            <v>Z30.1</v>
          </cell>
          <cell r="B13651" t="str">
            <v>Inserción de dispositivo anticonceptivo (intrauterino)</v>
          </cell>
        </row>
        <row r="13652">
          <cell r="A13652" t="str">
            <v>Z30.2</v>
          </cell>
          <cell r="B13652" t="str">
            <v>Esterilización</v>
          </cell>
        </row>
        <row r="13653">
          <cell r="A13653" t="str">
            <v>Z30.3</v>
          </cell>
          <cell r="B13653" t="str">
            <v>Extracción menstrual</v>
          </cell>
        </row>
        <row r="13654">
          <cell r="A13654" t="str">
            <v>Z30.4</v>
          </cell>
          <cell r="B13654" t="str">
            <v>Supervisión del uso de drogas anticonceptivas</v>
          </cell>
        </row>
        <row r="13655">
          <cell r="A13655" t="str">
            <v>Z30.5</v>
          </cell>
          <cell r="B13655" t="str">
            <v>Supervisión del uso de dispositivo anticonceptivo (intrauterino)</v>
          </cell>
        </row>
        <row r="13656">
          <cell r="A13656" t="str">
            <v>Z30.8</v>
          </cell>
          <cell r="B13656" t="str">
            <v>Otras atenciones especificadas para la anticoncepción</v>
          </cell>
        </row>
        <row r="13657">
          <cell r="A13657" t="str">
            <v>Z30.9</v>
          </cell>
          <cell r="B13657" t="str">
            <v>Asistencia para la anticoncepción, no especificada</v>
          </cell>
        </row>
        <row r="13658">
          <cell r="A13658" t="str">
            <v>Z31</v>
          </cell>
          <cell r="B13658" t="str">
            <v>Atención para la procreación</v>
          </cell>
        </row>
        <row r="13659">
          <cell r="A13659" t="str">
            <v>Z31.0</v>
          </cell>
          <cell r="B13659" t="str">
            <v>Tuboplastia o vasoplastia posterior a esterilización</v>
          </cell>
        </row>
        <row r="13660">
          <cell r="A13660" t="str">
            <v>Z31.1</v>
          </cell>
          <cell r="B13660" t="str">
            <v>Inseminación artificial</v>
          </cell>
        </row>
        <row r="13661">
          <cell r="A13661" t="str">
            <v>Z31.2</v>
          </cell>
          <cell r="B13661" t="str">
            <v>Fecundación in vitro</v>
          </cell>
        </row>
        <row r="13662">
          <cell r="A13662" t="str">
            <v>Z31.3</v>
          </cell>
          <cell r="B13662" t="str">
            <v>Otros métodos de atención para la fecundación</v>
          </cell>
        </row>
        <row r="13663">
          <cell r="A13663" t="str">
            <v>Z31.4</v>
          </cell>
          <cell r="B13663" t="str">
            <v>Investigación y prueba para la procreación</v>
          </cell>
        </row>
        <row r="13664">
          <cell r="A13664" t="str">
            <v>Z31.5</v>
          </cell>
          <cell r="B13664" t="str">
            <v>Asesoramiento genético</v>
          </cell>
        </row>
        <row r="13665">
          <cell r="A13665" t="str">
            <v>Z31.6</v>
          </cell>
          <cell r="B13665" t="str">
            <v>Consejo y asesoramiento general sobre la procreación</v>
          </cell>
        </row>
        <row r="13666">
          <cell r="A13666" t="str">
            <v>Z31.8</v>
          </cell>
          <cell r="B13666" t="str">
            <v>Otra atención especificada para la procreación</v>
          </cell>
        </row>
        <row r="13667">
          <cell r="A13667" t="str">
            <v>Z31.9</v>
          </cell>
          <cell r="B13667" t="str">
            <v>Atención no especificada relacionada con la procreación</v>
          </cell>
        </row>
        <row r="13668">
          <cell r="A13668" t="str">
            <v>Z32</v>
          </cell>
          <cell r="B13668" t="str">
            <v>Examen y prueba del embarazo</v>
          </cell>
        </row>
        <row r="13669">
          <cell r="A13669" t="str">
            <v>Z32.0</v>
          </cell>
          <cell r="B13669" t="str">
            <v>Embarazo (aún) no confirmado</v>
          </cell>
        </row>
        <row r="13670">
          <cell r="A13670" t="str">
            <v>Z32.1</v>
          </cell>
          <cell r="B13670" t="str">
            <v>Embarazo confirmado</v>
          </cell>
        </row>
        <row r="13671">
          <cell r="A13671" t="str">
            <v>Z33.X</v>
          </cell>
          <cell r="B13671" t="str">
            <v>Estado de embarazo, incidental</v>
          </cell>
        </row>
        <row r="13672">
          <cell r="A13672" t="str">
            <v>Z34</v>
          </cell>
          <cell r="B13672" t="str">
            <v>Supervisión de embarazo normal</v>
          </cell>
        </row>
        <row r="13673">
          <cell r="A13673" t="str">
            <v>Z34.0</v>
          </cell>
          <cell r="B13673" t="str">
            <v>Supervisión de primer embarazo normal</v>
          </cell>
        </row>
        <row r="13674">
          <cell r="A13674" t="str">
            <v>Z34.8</v>
          </cell>
          <cell r="B13674" t="str">
            <v>Supervisión de otros embarazos normales</v>
          </cell>
        </row>
        <row r="13675">
          <cell r="A13675" t="str">
            <v>Z34.9</v>
          </cell>
          <cell r="B13675" t="str">
            <v>Supervisión de embarazo normal no especificado</v>
          </cell>
        </row>
        <row r="13676">
          <cell r="A13676">
            <v>0</v>
          </cell>
          <cell r="B13676">
            <v>0</v>
          </cell>
        </row>
        <row r="13677">
          <cell r="A13677" t="str">
            <v>Z35.0</v>
          </cell>
          <cell r="B13677" t="str">
            <v>Supervisión de embarazo con historia de esterilidad</v>
          </cell>
        </row>
        <row r="13678">
          <cell r="A13678" t="str">
            <v>Z35.1</v>
          </cell>
          <cell r="B13678" t="str">
            <v>Supervisión de embarazo con historia de aborto</v>
          </cell>
        </row>
        <row r="13679">
          <cell r="A13679" t="str">
            <v>Z35.2</v>
          </cell>
          <cell r="B13679" t="str">
            <v>Supervisión de embarazo con otro riesgo en la historia obstétrica o reproductiva</v>
          </cell>
        </row>
        <row r="13680">
          <cell r="A13680" t="str">
            <v>Z35.3</v>
          </cell>
          <cell r="B13680" t="str">
            <v>Supervisión de embarazo con historia de insuficiente atención prenatal</v>
          </cell>
        </row>
        <row r="13681">
          <cell r="A13681" t="str">
            <v>Z35.4</v>
          </cell>
          <cell r="B13681" t="str">
            <v>Supervisión de embarazo con gran multiparidad</v>
          </cell>
        </row>
        <row r="13682">
          <cell r="A13682" t="str">
            <v>Z35.5</v>
          </cell>
          <cell r="B13682" t="str">
            <v>Supervisión de primigesta añosa</v>
          </cell>
        </row>
        <row r="13683">
          <cell r="A13683" t="str">
            <v>Z35.6</v>
          </cell>
          <cell r="B13683" t="str">
            <v>Supervisión de primigesta muy joven</v>
          </cell>
        </row>
        <row r="13684">
          <cell r="A13684" t="str">
            <v>Z35.7</v>
          </cell>
          <cell r="B13684" t="str">
            <v>Supervisión de embarazo de alto riesgo debido a problemas sociales</v>
          </cell>
        </row>
        <row r="13685">
          <cell r="A13685" t="str">
            <v>Z35.8</v>
          </cell>
          <cell r="B13685" t="str">
            <v>Supervisión de otros embarazos de alto riesgo</v>
          </cell>
        </row>
        <row r="13686">
          <cell r="A13686" t="str">
            <v>Z35.9</v>
          </cell>
          <cell r="B13686" t="str">
            <v>Supervisión de embarazo de alto riesgo, sin otra especificación</v>
          </cell>
        </row>
        <row r="13687">
          <cell r="A13687" t="str">
            <v>Z36</v>
          </cell>
          <cell r="B13687" t="str">
            <v>Pesquisas prenatales</v>
          </cell>
        </row>
        <row r="13688">
          <cell r="A13688" t="str">
            <v>Z36.0</v>
          </cell>
          <cell r="B13688" t="str">
            <v>Pesquisa prenatal para anomalías cromosómicas</v>
          </cell>
        </row>
        <row r="13689">
          <cell r="A13689" t="str">
            <v>Z36.1</v>
          </cell>
          <cell r="B13689" t="str">
            <v>Pesquisa prenatal para medir niveles elevados de alfafetoproteínas</v>
          </cell>
        </row>
        <row r="13690">
          <cell r="A13690" t="str">
            <v>Z36.2</v>
          </cell>
          <cell r="B13690" t="str">
            <v>Otras pesquisas prenatales basadas en amniocentesis</v>
          </cell>
        </row>
        <row r="13691">
          <cell r="A13691" t="str">
            <v>Z36.3</v>
          </cell>
          <cell r="B13691" t="str">
            <v>Pesquisa prenatal de malformaciones usando ultrasonido y otros métodos físicos</v>
          </cell>
        </row>
        <row r="13692">
          <cell r="A13692" t="str">
            <v>Z36.4</v>
          </cell>
          <cell r="B13692" t="str">
            <v>Pesquisa prenatal del retardo del crecimiento fetal usando ultrasonido y otros métodos físicos</v>
          </cell>
        </row>
        <row r="13693">
          <cell r="A13693" t="str">
            <v>Z36.5</v>
          </cell>
          <cell r="B13693" t="str">
            <v>Pesquisa prenatal para isoinmunización</v>
          </cell>
        </row>
        <row r="13694">
          <cell r="A13694" t="str">
            <v>Z36.8</v>
          </cell>
          <cell r="B13694" t="str">
            <v>Otras pesquisas prenatales específicas</v>
          </cell>
        </row>
        <row r="13695">
          <cell r="A13695" t="str">
            <v>Z36.9</v>
          </cell>
          <cell r="B13695" t="str">
            <v>Pesquisa prenatal, sin otra especificación</v>
          </cell>
        </row>
        <row r="13696">
          <cell r="A13696" t="str">
            <v>Z37</v>
          </cell>
          <cell r="B13696" t="str">
            <v>Producto del parto</v>
          </cell>
        </row>
        <row r="13697">
          <cell r="A13697" t="str">
            <v>Z37.0</v>
          </cell>
          <cell r="B13697" t="str">
            <v>Nacido vivo, único</v>
          </cell>
        </row>
        <row r="13698">
          <cell r="A13698" t="str">
            <v>Z37.1</v>
          </cell>
          <cell r="B13698" t="str">
            <v>Nacido muerto, único</v>
          </cell>
        </row>
        <row r="13699">
          <cell r="A13699" t="str">
            <v>Z37.2</v>
          </cell>
          <cell r="B13699" t="str">
            <v>Gemelos, ambos nacidos vivos</v>
          </cell>
        </row>
        <row r="13700">
          <cell r="A13700" t="str">
            <v>Z37.3</v>
          </cell>
          <cell r="B13700" t="str">
            <v>Gemelos, un nacido vivo y un nacido muerto</v>
          </cell>
        </row>
        <row r="13701">
          <cell r="A13701" t="str">
            <v>Z37.4</v>
          </cell>
          <cell r="B13701" t="str">
            <v>Gemelos, ambos nacidos muertos</v>
          </cell>
        </row>
        <row r="13702">
          <cell r="A13702" t="str">
            <v>Z37.5</v>
          </cell>
          <cell r="B13702" t="str">
            <v>Otros nacimientos múltiples, todos nacidos vivos</v>
          </cell>
        </row>
        <row r="13703">
          <cell r="A13703" t="str">
            <v>Z37.6</v>
          </cell>
          <cell r="B13703" t="str">
            <v>Otros nacimientos múltiples, algunos nacidos vivos</v>
          </cell>
        </row>
        <row r="13704">
          <cell r="A13704" t="str">
            <v>Z37.7</v>
          </cell>
          <cell r="B13704" t="str">
            <v>Otros nacimientos múltiples, todos nacidos muertos</v>
          </cell>
        </row>
        <row r="13705">
          <cell r="A13705" t="str">
            <v>Z37.9</v>
          </cell>
          <cell r="B13705" t="str">
            <v>Producto del parto no especificado</v>
          </cell>
        </row>
        <row r="13706">
          <cell r="A13706" t="str">
            <v>Z38</v>
          </cell>
          <cell r="B13706" t="str">
            <v>Nacidos vivos según lugar de nacimiento</v>
          </cell>
        </row>
        <row r="13707">
          <cell r="A13707" t="str">
            <v>Z38.0</v>
          </cell>
          <cell r="B13707" t="str">
            <v>Producto único, nacido en hospital</v>
          </cell>
        </row>
        <row r="13708">
          <cell r="A13708" t="str">
            <v>Z38.1</v>
          </cell>
          <cell r="B13708" t="str">
            <v>Producto único, nacido fuera de hospital</v>
          </cell>
        </row>
        <row r="13709">
          <cell r="A13709" t="str">
            <v>Z38.2</v>
          </cell>
          <cell r="B13709" t="str">
            <v>Producto único, lugar de nacimiento no especificado</v>
          </cell>
        </row>
        <row r="13710">
          <cell r="A13710" t="str">
            <v>Z38.3</v>
          </cell>
          <cell r="B13710" t="str">
            <v>Gemelos, nacidos en hospital</v>
          </cell>
        </row>
        <row r="13711">
          <cell r="A13711" t="str">
            <v>Z38.4</v>
          </cell>
          <cell r="B13711" t="str">
            <v>Gemelos, nacidos fuera de hospital</v>
          </cell>
        </row>
        <row r="13712">
          <cell r="A13712" t="str">
            <v>Z38.5</v>
          </cell>
          <cell r="B13712" t="str">
            <v>Gemelos, lugar de nacimiento no especificado</v>
          </cell>
        </row>
        <row r="13713">
          <cell r="A13713" t="str">
            <v>Z38.6</v>
          </cell>
          <cell r="B13713" t="str">
            <v>Otros nacimientos múltiples, en hospital</v>
          </cell>
        </row>
        <row r="13714">
          <cell r="A13714" t="str">
            <v>Z38.7</v>
          </cell>
          <cell r="B13714" t="str">
            <v>Otros nacimientos múltiples, fuera del hospital</v>
          </cell>
        </row>
        <row r="13715">
          <cell r="A13715" t="str">
            <v>Z38.8</v>
          </cell>
          <cell r="B13715" t="str">
            <v>Otros nacimientos múltiples, lugar de nacimiento no especificado</v>
          </cell>
        </row>
        <row r="13716">
          <cell r="A13716" t="str">
            <v>Z39</v>
          </cell>
          <cell r="B13716" t="str">
            <v>Examen y atención del postparto</v>
          </cell>
        </row>
        <row r="13717">
          <cell r="A13717" t="str">
            <v>Z39.0</v>
          </cell>
          <cell r="B13717" t="str">
            <v>Atención y examen inmediatamente después del parto</v>
          </cell>
        </row>
        <row r="13718">
          <cell r="A13718" t="str">
            <v>Z39.1</v>
          </cell>
          <cell r="B13718" t="str">
            <v>Atención y examen de madre en período de lactancia</v>
          </cell>
        </row>
        <row r="13719">
          <cell r="A13719" t="str">
            <v>Z39.2</v>
          </cell>
          <cell r="B13719" t="str">
            <v>Seguimiento postparto, de rutina</v>
          </cell>
        </row>
        <row r="13720">
          <cell r="A13720" t="str">
            <v>Z40</v>
          </cell>
          <cell r="B13720" t="str">
            <v>Cirugía profiláctica</v>
          </cell>
        </row>
        <row r="13721">
          <cell r="A13721" t="str">
            <v>Z40.0</v>
          </cell>
          <cell r="B13721" t="str">
            <v>Cirugía profiláctica por factores de riesgo relacionados con tumores malignos</v>
          </cell>
        </row>
        <row r="13722">
          <cell r="A13722" t="str">
            <v>Z40.8</v>
          </cell>
          <cell r="B13722" t="str">
            <v>Otra cirugía profiláctica</v>
          </cell>
        </row>
        <row r="13723">
          <cell r="A13723" t="str">
            <v>Z40.9</v>
          </cell>
          <cell r="B13723" t="str">
            <v>Cirugía profiláctica no especificada</v>
          </cell>
        </row>
        <row r="13724">
          <cell r="A13724" t="str">
            <v>Z41</v>
          </cell>
          <cell r="B13724" t="str">
            <v>Procedimientos para otros propósitos que no sean los de mejorar el estado de salud</v>
          </cell>
        </row>
        <row r="13725">
          <cell r="A13725" t="str">
            <v>Z41.0</v>
          </cell>
          <cell r="B13725" t="str">
            <v>Trasplante de pelo</v>
          </cell>
        </row>
        <row r="13726">
          <cell r="A13726" t="str">
            <v>Z41.1</v>
          </cell>
          <cell r="B13726" t="str">
            <v>Otras cirugías plásticas por razones estéticas</v>
          </cell>
        </row>
        <row r="13727">
          <cell r="A13727" t="str">
            <v>Z41.2</v>
          </cell>
          <cell r="B13727" t="str">
            <v>Circuncisión ritual o de rutina</v>
          </cell>
        </row>
        <row r="13728">
          <cell r="A13728" t="str">
            <v>Z41.3</v>
          </cell>
          <cell r="B13728" t="str">
            <v>Perforación de la oreja</v>
          </cell>
        </row>
        <row r="13729">
          <cell r="A13729" t="str">
            <v>Z41.8</v>
          </cell>
          <cell r="B13729" t="str">
            <v>Otros procedimientos para otros propósitos que no sean los de mejorar el estado de salud</v>
          </cell>
        </row>
        <row r="13730">
          <cell r="A13730" t="str">
            <v>Z41.9</v>
          </cell>
          <cell r="B13730" t="str">
            <v>Procedimiento no especificado para otros propósitos que no sean los de mejorar el estado de salud</v>
          </cell>
        </row>
        <row r="13731">
          <cell r="A13731" t="str">
            <v>Z42</v>
          </cell>
          <cell r="B13731" t="str">
            <v>Cuidados posteriores a la cirugía plástica</v>
          </cell>
        </row>
        <row r="13732">
          <cell r="A13732" t="str">
            <v>Z42.0</v>
          </cell>
          <cell r="B13732" t="str">
            <v>Cuidados posteriores a la cirugía plástica de la cabeza y del cuello</v>
          </cell>
        </row>
        <row r="13733">
          <cell r="A13733" t="str">
            <v>Z42.1</v>
          </cell>
          <cell r="B13733" t="str">
            <v>Cuidados posteriores a la cirugía plástica de la mama</v>
          </cell>
        </row>
        <row r="13734">
          <cell r="A13734" t="str">
            <v>Z42.2</v>
          </cell>
          <cell r="B13734" t="str">
            <v>Cuidados posteriores a la cirugía plástica de otras partes especificadas del tronco</v>
          </cell>
        </row>
        <row r="13735">
          <cell r="A13735" t="str">
            <v>Z42.3</v>
          </cell>
          <cell r="B13735" t="str">
            <v>Cuidados posteriores a la cirugía plástica de las extremidades superiores</v>
          </cell>
        </row>
        <row r="13736">
          <cell r="A13736" t="str">
            <v>Z42.4</v>
          </cell>
          <cell r="B13736" t="str">
            <v>Cuidados posteriores a la cirugía plástica de las extremidades inferiores</v>
          </cell>
        </row>
        <row r="13737">
          <cell r="A13737" t="str">
            <v>Z42.8</v>
          </cell>
          <cell r="B13737" t="str">
            <v>Cuidados posteriores a la cirugía plástica de otras partes especificadas del cuerpo</v>
          </cell>
        </row>
        <row r="13738">
          <cell r="A13738" t="str">
            <v>Z42.9</v>
          </cell>
          <cell r="B13738" t="str">
            <v>Cuidados posteriores a la cirugía plástica no especificada</v>
          </cell>
        </row>
        <row r="13739">
          <cell r="A13739" t="str">
            <v>Z43</v>
          </cell>
          <cell r="B13739" t="str">
            <v>Atención de orificios artificiales</v>
          </cell>
        </row>
        <row r="13740">
          <cell r="A13740" t="str">
            <v>Z43.0</v>
          </cell>
          <cell r="B13740" t="str">
            <v>Atención de traqueostomía</v>
          </cell>
        </row>
        <row r="13741">
          <cell r="A13741" t="str">
            <v>Z43.1</v>
          </cell>
          <cell r="B13741" t="str">
            <v>Atención de gastrostomía</v>
          </cell>
        </row>
        <row r="13742">
          <cell r="A13742" t="str">
            <v>Z43.2</v>
          </cell>
          <cell r="B13742" t="str">
            <v>Atención de ileostomía</v>
          </cell>
        </row>
        <row r="13743">
          <cell r="A13743" t="str">
            <v>Z43.3</v>
          </cell>
          <cell r="B13743" t="str">
            <v>Atención de colostomía</v>
          </cell>
        </row>
        <row r="13744">
          <cell r="A13744" t="str">
            <v>Z43.4</v>
          </cell>
          <cell r="B13744" t="str">
            <v>Atención de otros orificios artificiales de las vías digestivas</v>
          </cell>
        </row>
        <row r="13745">
          <cell r="A13745" t="str">
            <v>Z43.5</v>
          </cell>
          <cell r="B13745" t="str">
            <v>Atención de cistostomía</v>
          </cell>
        </row>
        <row r="13746">
          <cell r="A13746" t="str">
            <v>Z43.6</v>
          </cell>
          <cell r="B13746" t="str">
            <v>Atención de otros orificios artificiales de las vías urinarias</v>
          </cell>
        </row>
        <row r="13747">
          <cell r="A13747" t="str">
            <v>Z43.7</v>
          </cell>
          <cell r="B13747" t="str">
            <v>Atención de vagina artificial</v>
          </cell>
        </row>
        <row r="13748">
          <cell r="A13748" t="str">
            <v>Z43.8</v>
          </cell>
          <cell r="B13748" t="str">
            <v>Atención de otros orificios artificiales</v>
          </cell>
        </row>
        <row r="13749">
          <cell r="A13749" t="str">
            <v>Z43.9</v>
          </cell>
          <cell r="B13749" t="str">
            <v>Atención de orificio artificial no especificado</v>
          </cell>
        </row>
        <row r="13750">
          <cell r="A13750" t="str">
            <v>Z44</v>
          </cell>
          <cell r="B13750" t="str">
            <v>Prueba y ajuste de dispositivos protésicos externos</v>
          </cell>
        </row>
        <row r="13751">
          <cell r="A13751" t="str">
            <v>Z44.0</v>
          </cell>
          <cell r="B13751" t="str">
            <v>Prueba y ajuste de brazo artificial (completo) (parcial)</v>
          </cell>
        </row>
        <row r="13752">
          <cell r="A13752" t="str">
            <v>Z44.1</v>
          </cell>
          <cell r="B13752" t="str">
            <v>Prueba y ajuste de pierna artificial (completa) (parcial)</v>
          </cell>
        </row>
        <row r="13753">
          <cell r="A13753" t="str">
            <v>Z44.2</v>
          </cell>
          <cell r="B13753" t="str">
            <v>Prueba y ajuste de ojo artificial</v>
          </cell>
        </row>
        <row r="13754">
          <cell r="A13754" t="str">
            <v>Z44.3</v>
          </cell>
          <cell r="B13754" t="str">
            <v>Prueba y ajuste de prótesis mamaria externa</v>
          </cell>
        </row>
        <row r="13755">
          <cell r="A13755" t="str">
            <v>Z44.8</v>
          </cell>
          <cell r="B13755" t="str">
            <v>Prueba y ajuste de otros dispositivos protésicos externos</v>
          </cell>
        </row>
        <row r="13756">
          <cell r="A13756" t="str">
            <v>Z44.9</v>
          </cell>
          <cell r="B13756" t="str">
            <v>Prueba y ajuste de dispositivo protésico externo no especificado</v>
          </cell>
        </row>
        <row r="13757">
          <cell r="A13757" t="str">
            <v>Z45</v>
          </cell>
          <cell r="B13757" t="str">
            <v>Asistencia y ajuste de dispositivos implantados</v>
          </cell>
        </row>
        <row r="13758">
          <cell r="A13758" t="str">
            <v>Z45.0</v>
          </cell>
          <cell r="B13758" t="str">
            <v>Asistencia y ajuste de marcapaso cardíaco</v>
          </cell>
        </row>
        <row r="13759">
          <cell r="A13759" t="str">
            <v>Z45.1</v>
          </cell>
          <cell r="B13759" t="str">
            <v>Asistencia y ajuste de bomba de infusión</v>
          </cell>
        </row>
        <row r="13760">
          <cell r="A13760" t="str">
            <v>Z45.2</v>
          </cell>
          <cell r="B13760" t="str">
            <v>Asistencia y ajuste de dispositivos de acceso vascular</v>
          </cell>
        </row>
        <row r="13761">
          <cell r="A13761" t="str">
            <v>Z45.3</v>
          </cell>
          <cell r="B13761" t="str">
            <v>Asistencia y ajuste de dispositivo auditivo implantado</v>
          </cell>
        </row>
        <row r="13762">
          <cell r="A13762" t="str">
            <v>Z45.8</v>
          </cell>
          <cell r="B13762" t="str">
            <v>Asistencia y ajuste de otros dispositivos implantados</v>
          </cell>
        </row>
        <row r="13763">
          <cell r="A13763" t="str">
            <v>Z45.9</v>
          </cell>
          <cell r="B13763" t="str">
            <v>Asistencia y ajuste de dispositivo implantado no especificado</v>
          </cell>
        </row>
        <row r="13764">
          <cell r="A13764" t="str">
            <v>Z46</v>
          </cell>
          <cell r="B13764" t="str">
            <v>Prueba y ajuste de otros dispositivos</v>
          </cell>
        </row>
        <row r="13765">
          <cell r="A13765" t="str">
            <v>Z46.0</v>
          </cell>
          <cell r="B13765" t="str">
            <v>Prueba y ajuste de anteojos y lentes de contacto</v>
          </cell>
        </row>
        <row r="13766">
          <cell r="A13766" t="str">
            <v>Z46.1</v>
          </cell>
          <cell r="B13766" t="str">
            <v>Prueba y ajuste de audífonos</v>
          </cell>
        </row>
        <row r="13767">
          <cell r="A13767" t="str">
            <v>Z46.2</v>
          </cell>
          <cell r="B13767" t="str">
            <v>Prueba y ajuste de otros dispositivos relacionados con el sistema nervioso y los sentidos especiales</v>
          </cell>
        </row>
        <row r="13768">
          <cell r="A13768" t="str">
            <v>Z46.3</v>
          </cell>
          <cell r="B13768" t="str">
            <v>Prueba y ajuste de prótesis dental</v>
          </cell>
        </row>
        <row r="13769">
          <cell r="A13769" t="str">
            <v>Z46.4</v>
          </cell>
          <cell r="B13769" t="str">
            <v>Prueba y ajuste de dispositivo ortodóncico</v>
          </cell>
        </row>
        <row r="13770">
          <cell r="A13770" t="str">
            <v>Z46.5</v>
          </cell>
          <cell r="B13770" t="str">
            <v>Prueba y ajuste de ileostomía u otro dispositivo intestinal</v>
          </cell>
        </row>
        <row r="13771">
          <cell r="A13771" t="str">
            <v>Z46.6</v>
          </cell>
          <cell r="B13771" t="str">
            <v>Prueba y ajuste de dispositivo urinario</v>
          </cell>
        </row>
        <row r="13772">
          <cell r="A13772" t="str">
            <v>Z46.7</v>
          </cell>
          <cell r="B13772" t="str">
            <v>Prueba y ajuste de dispositivo ortopédico</v>
          </cell>
        </row>
        <row r="13773">
          <cell r="A13773" t="str">
            <v>Z46.8</v>
          </cell>
          <cell r="B13773" t="str">
            <v>Prueba y ajuste de otros dispositivos especificados</v>
          </cell>
        </row>
        <row r="13774">
          <cell r="A13774" t="str">
            <v>Z46.9</v>
          </cell>
          <cell r="B13774" t="str">
            <v>Prueba y ajuste de dispositivo no especificado</v>
          </cell>
        </row>
        <row r="13775">
          <cell r="A13775" t="str">
            <v>Z47</v>
          </cell>
          <cell r="B13775" t="str">
            <v>Otros cuidados posteriores a la ortopedia</v>
          </cell>
        </row>
        <row r="13776">
          <cell r="A13776" t="str">
            <v>Z47.0</v>
          </cell>
          <cell r="B13776" t="str">
            <v>Cuidados posteriores a la extracción de placa u otro dispositivo de fijación interna en fractura</v>
          </cell>
        </row>
        <row r="13777">
          <cell r="A13777" t="str">
            <v>Z47.8</v>
          </cell>
          <cell r="B13777" t="str">
            <v>Otros cuidados especificados posteriores a la ortopedia</v>
          </cell>
        </row>
        <row r="13778">
          <cell r="A13778" t="str">
            <v>Z47.9</v>
          </cell>
          <cell r="B13778" t="str">
            <v>Cuidado posterior a la ortopedia, no especificado</v>
          </cell>
        </row>
        <row r="13779">
          <cell r="A13779" t="str">
            <v>Z48</v>
          </cell>
          <cell r="B13779" t="str">
            <v>Otros cuidados posteriores a la cirugía</v>
          </cell>
        </row>
        <row r="13780">
          <cell r="A13780" t="str">
            <v>Z48.0</v>
          </cell>
          <cell r="B13780" t="str">
            <v>Atención de los apósitos y suturas</v>
          </cell>
        </row>
        <row r="13781">
          <cell r="A13781" t="str">
            <v>Z48.8</v>
          </cell>
          <cell r="B13781" t="str">
            <v>Otros cuidados especificados posteriores a la cirugía</v>
          </cell>
        </row>
        <row r="13782">
          <cell r="A13782" t="str">
            <v>Z48.9</v>
          </cell>
          <cell r="B13782" t="str">
            <v>Cuidado posterior a la cirugía, no especificado</v>
          </cell>
        </row>
        <row r="13783">
          <cell r="A13783" t="str">
            <v>Z49</v>
          </cell>
          <cell r="B13783" t="str">
            <v>Cuidados relativos al procedimiento de diálisis</v>
          </cell>
        </row>
        <row r="13784">
          <cell r="A13784" t="str">
            <v>Z49.0</v>
          </cell>
          <cell r="B13784" t="str">
            <v>Cuidados preparatorios para diálisis</v>
          </cell>
        </row>
        <row r="13785">
          <cell r="A13785" t="str">
            <v>Z49.1</v>
          </cell>
          <cell r="B13785" t="str">
            <v>Diálisis extracorpórea</v>
          </cell>
        </row>
        <row r="13786">
          <cell r="A13786" t="str">
            <v>Z49.2</v>
          </cell>
          <cell r="B13786" t="str">
            <v>Otras diálisis</v>
          </cell>
        </row>
        <row r="13787">
          <cell r="A13787" t="str">
            <v>Z50</v>
          </cell>
          <cell r="B13787" t="str">
            <v>Atención por el uso de procedimientos de rehabilitación</v>
          </cell>
        </row>
        <row r="13788">
          <cell r="A13788" t="str">
            <v>Z50.0</v>
          </cell>
          <cell r="B13788" t="str">
            <v>Rehabilitación cardíaca</v>
          </cell>
        </row>
        <row r="13789">
          <cell r="A13789" t="str">
            <v>Z50.1</v>
          </cell>
          <cell r="B13789" t="str">
            <v>Otras terapias físicas</v>
          </cell>
        </row>
        <row r="13790">
          <cell r="A13790" t="str">
            <v>Z50.2</v>
          </cell>
          <cell r="B13790" t="str">
            <v>Rehabilitación del alcohólico</v>
          </cell>
        </row>
        <row r="13791">
          <cell r="A13791" t="str">
            <v>Z50.3</v>
          </cell>
          <cell r="B13791" t="str">
            <v>Rehabilitación del drogadicto</v>
          </cell>
        </row>
        <row r="13792">
          <cell r="A13792" t="str">
            <v>Z50.4</v>
          </cell>
          <cell r="B13792" t="str">
            <v>Psicoterapia, no clasificada en otra parte</v>
          </cell>
        </row>
        <row r="13793">
          <cell r="A13793" t="str">
            <v>Z50.5</v>
          </cell>
          <cell r="B13793" t="str">
            <v>Terapia del lenguaje</v>
          </cell>
        </row>
        <row r="13794">
          <cell r="A13794" t="str">
            <v>Z50.6</v>
          </cell>
          <cell r="B13794" t="str">
            <v>Adiestramiento ortóptico</v>
          </cell>
        </row>
        <row r="13795">
          <cell r="A13795" t="str">
            <v>Z50.7</v>
          </cell>
          <cell r="B13795" t="str">
            <v>Terapia ocupacional y rehabilitación vocacional, no clasificada en otra parte</v>
          </cell>
        </row>
        <row r="13796">
          <cell r="A13796" t="str">
            <v>Z50.8</v>
          </cell>
          <cell r="B13796" t="str">
            <v>Atención por otros procedimientos de rehabilitación</v>
          </cell>
        </row>
        <row r="13797">
          <cell r="A13797" t="str">
            <v>Z50.9</v>
          </cell>
          <cell r="B13797" t="str">
            <v>Atención por procedimiento de rehabilitación, no especificada</v>
          </cell>
        </row>
        <row r="13798">
          <cell r="A13798" t="str">
            <v>Z51</v>
          </cell>
          <cell r="B13798" t="str">
            <v>Otra atención médica</v>
          </cell>
        </row>
        <row r="13799">
          <cell r="A13799" t="str">
            <v>Z51.0</v>
          </cell>
          <cell r="B13799" t="str">
            <v>Sesión de radioterapia</v>
          </cell>
        </row>
        <row r="13800">
          <cell r="A13800" t="str">
            <v>Z51.1</v>
          </cell>
          <cell r="B13800" t="str">
            <v>Sesión de quimioterapia por tumor</v>
          </cell>
        </row>
        <row r="13801">
          <cell r="A13801" t="str">
            <v>Z51.2</v>
          </cell>
          <cell r="B13801" t="str">
            <v>Otra quimioterapia</v>
          </cell>
        </row>
        <row r="13802">
          <cell r="A13802" t="str">
            <v>Z51.3</v>
          </cell>
          <cell r="B13802" t="str">
            <v>Transfusión de sangre, sin diagnóstico informado</v>
          </cell>
        </row>
        <row r="13803">
          <cell r="A13803" t="str">
            <v>Z51.4</v>
          </cell>
          <cell r="B13803" t="str">
            <v>Atención preparatoria para tratamiento subsecuente, no clasificado en  otra parte</v>
          </cell>
        </row>
        <row r="13804">
          <cell r="A13804" t="str">
            <v>Z51.5</v>
          </cell>
          <cell r="B13804" t="str">
            <v>Atención paliativa</v>
          </cell>
        </row>
        <row r="13805">
          <cell r="A13805" t="str">
            <v>Z51.6</v>
          </cell>
          <cell r="B13805" t="str">
            <v>Desensibilización a alérgenos</v>
          </cell>
        </row>
        <row r="13806">
          <cell r="A13806" t="str">
            <v>Z51.8</v>
          </cell>
          <cell r="B13806" t="str">
            <v>Otras atenciones médicas especificadas</v>
          </cell>
        </row>
        <row r="13807">
          <cell r="A13807" t="str">
            <v>Z51.9</v>
          </cell>
          <cell r="B13807" t="str">
            <v>Atención médica, no especificada</v>
          </cell>
        </row>
        <row r="13808">
          <cell r="A13808" t="str">
            <v>Z52</v>
          </cell>
          <cell r="B13808" t="str">
            <v>Donantes de órganos y tejidos</v>
          </cell>
        </row>
        <row r="13809">
          <cell r="A13809" t="str">
            <v>Z52.0</v>
          </cell>
          <cell r="B13809" t="str">
            <v>Donante de sangre</v>
          </cell>
        </row>
        <row r="13810">
          <cell r="A13810" t="str">
            <v>Z52.1</v>
          </cell>
          <cell r="B13810" t="str">
            <v>Donante de piel</v>
          </cell>
        </row>
        <row r="13811">
          <cell r="A13811" t="str">
            <v>Z52.2</v>
          </cell>
          <cell r="B13811" t="str">
            <v>Donante de hueso</v>
          </cell>
        </row>
        <row r="13812">
          <cell r="A13812" t="str">
            <v>Z52.3</v>
          </cell>
          <cell r="B13812" t="str">
            <v>Donante de médula osea</v>
          </cell>
        </row>
        <row r="13813">
          <cell r="A13813" t="str">
            <v>Z52.4</v>
          </cell>
          <cell r="B13813" t="str">
            <v>Donante de riñón</v>
          </cell>
        </row>
        <row r="13814">
          <cell r="A13814" t="str">
            <v>Z52.5</v>
          </cell>
          <cell r="B13814" t="str">
            <v>Donante de córnea</v>
          </cell>
        </row>
        <row r="13815">
          <cell r="A13815" t="str">
            <v>Z52.8</v>
          </cell>
          <cell r="B13815" t="str">
            <v>Donante de otros órganos o tejidos</v>
          </cell>
        </row>
        <row r="13816">
          <cell r="A13816" t="str">
            <v>Z52.9</v>
          </cell>
          <cell r="B13816" t="str">
            <v>Donante de órgano o tejido no especificado</v>
          </cell>
        </row>
        <row r="13817">
          <cell r="A13817" t="str">
            <v>Z53</v>
          </cell>
          <cell r="B13817" t="str">
            <v>Persona en contacto con los servicios de salud para procedimientos específicos no realizados</v>
          </cell>
        </row>
        <row r="13818">
          <cell r="A13818" t="str">
            <v>Z53.0</v>
          </cell>
          <cell r="B13818" t="str">
            <v>Procedimiento no realizado por contraindicación</v>
          </cell>
        </row>
        <row r="13819">
          <cell r="A13819" t="str">
            <v>Z53.1</v>
          </cell>
          <cell r="B13819" t="str">
            <v>Procedimiento no realizado por decisión del paciente, por razones de creencia o presión de grupo</v>
          </cell>
        </row>
        <row r="13820">
          <cell r="A13820" t="str">
            <v>Z53.2</v>
          </cell>
          <cell r="B13820" t="str">
            <v>Procedimiento no realizado por decisión del paciente, por otras razones y las no especificadas</v>
          </cell>
        </row>
        <row r="13821">
          <cell r="A13821" t="str">
            <v>Z53.8</v>
          </cell>
          <cell r="B13821" t="str">
            <v>Procedimiento no realizado por otras razones</v>
          </cell>
        </row>
        <row r="13822">
          <cell r="A13822" t="str">
            <v>Z53.9</v>
          </cell>
          <cell r="B13822" t="str">
            <v>Procedimiento no realizado por razón no especificada</v>
          </cell>
        </row>
        <row r="13823">
          <cell r="A13823" t="str">
            <v>Z54</v>
          </cell>
          <cell r="B13823" t="str">
            <v>Convalecencia</v>
          </cell>
        </row>
        <row r="13824">
          <cell r="A13824" t="str">
            <v>Z54.0</v>
          </cell>
          <cell r="B13824" t="str">
            <v>Convalecencia consecutiva a cirugía</v>
          </cell>
        </row>
        <row r="13825">
          <cell r="A13825" t="str">
            <v>Z54.1</v>
          </cell>
          <cell r="B13825" t="str">
            <v>Convalecencia consecutiva a radioterapia</v>
          </cell>
        </row>
        <row r="13826">
          <cell r="A13826" t="str">
            <v>Z54.2</v>
          </cell>
          <cell r="B13826" t="str">
            <v>Convalecencia consecutiva a quimioterapia</v>
          </cell>
        </row>
        <row r="13827">
          <cell r="A13827" t="str">
            <v>Z54.3</v>
          </cell>
          <cell r="B13827" t="str">
            <v>Convalecencia consecutiva a psicoterapia</v>
          </cell>
        </row>
        <row r="13828">
          <cell r="A13828" t="str">
            <v>Z54.4</v>
          </cell>
          <cell r="B13828" t="str">
            <v>Convalecencia consecutiva a tratamiento de fractura</v>
          </cell>
        </row>
        <row r="13829">
          <cell r="A13829" t="str">
            <v>Z54.7</v>
          </cell>
          <cell r="B13829" t="str">
            <v>Convalecencia consecutiva a tratamiento combinado</v>
          </cell>
        </row>
        <row r="13830">
          <cell r="A13830" t="str">
            <v>Z54.8</v>
          </cell>
          <cell r="B13830" t="str">
            <v>Convalecencia consecutiva a otros tratamientos</v>
          </cell>
        </row>
        <row r="13831">
          <cell r="A13831" t="str">
            <v>Z54.9</v>
          </cell>
          <cell r="B13831" t="str">
            <v>Convalecencia consecutiva a tratamiento no especificado</v>
          </cell>
        </row>
        <row r="13832">
          <cell r="A13832" t="str">
            <v>Z55</v>
          </cell>
          <cell r="B13832" t="str">
            <v>Problemas relacionados con la educación y la alfabetización</v>
          </cell>
        </row>
        <row r="13833">
          <cell r="A13833" t="str">
            <v>Z55.0</v>
          </cell>
          <cell r="B13833" t="str">
            <v>Problemas relacionados con el analfabetismo o bajo nivel de instrucción</v>
          </cell>
        </row>
        <row r="13834">
          <cell r="A13834" t="str">
            <v>Z55.1</v>
          </cell>
          <cell r="B13834" t="str">
            <v>Problemas relacionados con la educación no disponible o inaccesible</v>
          </cell>
        </row>
        <row r="13835">
          <cell r="A13835" t="str">
            <v>Z55.2</v>
          </cell>
          <cell r="B13835" t="str">
            <v>Problemas relacionados con la falla en los exámenes</v>
          </cell>
        </row>
        <row r="13836">
          <cell r="A13836" t="str">
            <v>Z55.3</v>
          </cell>
          <cell r="B13836" t="str">
            <v>Problemas relacionados con el bajo rendimiento escolar</v>
          </cell>
        </row>
        <row r="13837">
          <cell r="A13837" t="str">
            <v>Z55.4</v>
          </cell>
          <cell r="B13837" t="str">
            <v>Problemas relacionados con la inadaptación educacional y desavenencias con maestros y compañeros</v>
          </cell>
        </row>
        <row r="13838">
          <cell r="A13838" t="str">
            <v>Z55.8</v>
          </cell>
          <cell r="B13838" t="str">
            <v>Otros problemas relacionados con la educación y la alfabetización</v>
          </cell>
        </row>
        <row r="13839">
          <cell r="A13839" t="str">
            <v>Z55.9</v>
          </cell>
          <cell r="B13839" t="str">
            <v>Problema no especificado relacionado con la educación y la alfabetización</v>
          </cell>
        </row>
        <row r="13840">
          <cell r="A13840" t="str">
            <v>Z56</v>
          </cell>
          <cell r="B13840" t="str">
            <v>Problemas relacionados con el empleo y el desempleo</v>
          </cell>
        </row>
        <row r="13841">
          <cell r="A13841" t="str">
            <v>Z56.0</v>
          </cell>
          <cell r="B13841" t="str">
            <v>Problemas relacionados con el desempleo, no especificados</v>
          </cell>
        </row>
        <row r="13842">
          <cell r="A13842" t="str">
            <v>Z56.1</v>
          </cell>
          <cell r="B13842" t="str">
            <v>Problemas relacionados con el cambio de empleo</v>
          </cell>
        </row>
        <row r="13843">
          <cell r="A13843" t="str">
            <v>Z56.2</v>
          </cell>
          <cell r="B13843" t="str">
            <v>Problemas relacionados con amenaza de pérdida del empleo</v>
          </cell>
        </row>
        <row r="13844">
          <cell r="A13844" t="str">
            <v>Z56.3</v>
          </cell>
          <cell r="B13844" t="str">
            <v>Problemas relacionados con horario estresante de trabajo</v>
          </cell>
        </row>
        <row r="13845">
          <cell r="A13845" t="str">
            <v>Z56.4</v>
          </cell>
          <cell r="B13845" t="str">
            <v>Problemas relacionados con desavenencias con el jefe y los compañeros de trabajo</v>
          </cell>
        </row>
        <row r="13846">
          <cell r="A13846" t="str">
            <v>Z56.5</v>
          </cell>
          <cell r="B13846" t="str">
            <v>Problemas relacionados con el trabajo incompatible</v>
          </cell>
        </row>
        <row r="13847">
          <cell r="A13847" t="str">
            <v>Z56.6</v>
          </cell>
          <cell r="B13847" t="str">
            <v>Otros problemas de tensión física o mental relacionadas con el trabajo</v>
          </cell>
        </row>
        <row r="13848">
          <cell r="A13848" t="str">
            <v>Z56.7</v>
          </cell>
          <cell r="B13848" t="str">
            <v>Otros problemas y los no especificados relacionados con el empleo</v>
          </cell>
        </row>
        <row r="13849">
          <cell r="A13849" t="str">
            <v>Z57</v>
          </cell>
          <cell r="B13849" t="str">
            <v>Exposición a factores de riesgo ocupacional</v>
          </cell>
        </row>
        <row r="13850">
          <cell r="A13850" t="str">
            <v>Z57.0</v>
          </cell>
          <cell r="B13850" t="str">
            <v>Exposición ocupacional al ruido</v>
          </cell>
        </row>
        <row r="13851">
          <cell r="A13851" t="str">
            <v>Z57.1</v>
          </cell>
          <cell r="B13851" t="str">
            <v>Exposición ocupacional a la radiación</v>
          </cell>
        </row>
        <row r="13852">
          <cell r="A13852" t="str">
            <v>Z57.2</v>
          </cell>
          <cell r="B13852" t="str">
            <v>Exposición ocupacional al polvo</v>
          </cell>
        </row>
        <row r="13853">
          <cell r="A13853" t="str">
            <v>Z57.3</v>
          </cell>
          <cell r="B13853" t="str">
            <v>Exposición ocupacional a otro contaminante del aire</v>
          </cell>
        </row>
        <row r="13854">
          <cell r="A13854" t="str">
            <v>Z57.4</v>
          </cell>
          <cell r="B13854" t="str">
            <v>Exposición ocupacional a agentes tóxicos en agricultura</v>
          </cell>
        </row>
        <row r="13855">
          <cell r="A13855" t="str">
            <v>Z57.5</v>
          </cell>
          <cell r="B13855" t="str">
            <v>Exposición ocupacional a agentes tóxicos en otras industrias</v>
          </cell>
        </row>
        <row r="13856">
          <cell r="A13856" t="str">
            <v>Z57.6</v>
          </cell>
          <cell r="B13856" t="str">
            <v>Exposición ocupacional a temperatura extrema</v>
          </cell>
        </row>
        <row r="13857">
          <cell r="A13857" t="str">
            <v>Z57.7</v>
          </cell>
          <cell r="B13857" t="str">
            <v>Exposición ocupacional a la vibración</v>
          </cell>
        </row>
        <row r="13858">
          <cell r="A13858" t="str">
            <v>Z57.8</v>
          </cell>
          <cell r="B13858" t="str">
            <v>Exposición ocupacional a otros factores de riesgo</v>
          </cell>
        </row>
        <row r="13859">
          <cell r="A13859" t="str">
            <v>Z57.9</v>
          </cell>
          <cell r="B13859" t="str">
            <v>Exposición ocupacional a factor de riesgo no especificado</v>
          </cell>
        </row>
        <row r="13860">
          <cell r="A13860" t="str">
            <v>Z58</v>
          </cell>
          <cell r="B13860" t="str">
            <v>Problemas relacionados con el ambiente físico</v>
          </cell>
        </row>
        <row r="13861">
          <cell r="A13861" t="str">
            <v>Z58.0</v>
          </cell>
          <cell r="B13861" t="str">
            <v>Exposición al ruido</v>
          </cell>
        </row>
        <row r="13862">
          <cell r="A13862" t="str">
            <v>Z58.1</v>
          </cell>
          <cell r="B13862" t="str">
            <v>Exposición al aire contaminado</v>
          </cell>
        </row>
        <row r="13863">
          <cell r="A13863" t="str">
            <v>Z58.2</v>
          </cell>
          <cell r="B13863" t="str">
            <v>Exposición al agua contaminada</v>
          </cell>
        </row>
        <row r="13864">
          <cell r="A13864" t="str">
            <v>Z58.3</v>
          </cell>
          <cell r="B13864" t="str">
            <v>Exposición al suelo contaminado</v>
          </cell>
        </row>
        <row r="13865">
          <cell r="A13865" t="str">
            <v>Z58.4</v>
          </cell>
          <cell r="B13865" t="str">
            <v>Exposición a la radiación</v>
          </cell>
        </row>
        <row r="13866">
          <cell r="A13866" t="str">
            <v>Z58.5</v>
          </cell>
          <cell r="B13866" t="str">
            <v>Exposición a otras contaminaciones del ambiente físico</v>
          </cell>
        </row>
        <row r="13867">
          <cell r="A13867" t="str">
            <v>Z58.6</v>
          </cell>
          <cell r="B13867" t="str">
            <v>Suministro inadecuado de agua potable</v>
          </cell>
        </row>
        <row r="13868">
          <cell r="A13868" t="str">
            <v>Z58.8</v>
          </cell>
          <cell r="B13868" t="str">
            <v>Otros problemas relacionados con el ambiente físico</v>
          </cell>
        </row>
        <row r="13869">
          <cell r="A13869" t="str">
            <v>Z58.9</v>
          </cell>
          <cell r="B13869" t="str">
            <v>Problema no especificado relacionado con el ambiente físico</v>
          </cell>
        </row>
        <row r="13870">
          <cell r="A13870" t="str">
            <v>Z59</v>
          </cell>
          <cell r="B13870" t="str">
            <v>Problemas relacionados con la vivienda y las circunstancias económicas</v>
          </cell>
        </row>
        <row r="13871">
          <cell r="A13871" t="str">
            <v>Z59.0</v>
          </cell>
          <cell r="B13871" t="str">
            <v>Problemas relacionados con la falta de vivienda</v>
          </cell>
        </row>
        <row r="13872">
          <cell r="A13872" t="str">
            <v>Z59.1</v>
          </cell>
          <cell r="B13872" t="str">
            <v>Problemas relacionados con vivienda inadecuada</v>
          </cell>
        </row>
        <row r="13873">
          <cell r="A13873" t="str">
            <v>Z59.2</v>
          </cell>
          <cell r="B13873" t="str">
            <v>Problemas caseros y con vecinos e inquilinos</v>
          </cell>
        </row>
        <row r="13874">
          <cell r="A13874" t="str">
            <v>Z59.3</v>
          </cell>
          <cell r="B13874" t="str">
            <v>Problemas relacionados con persona que reside en una institución</v>
          </cell>
        </row>
        <row r="13875">
          <cell r="A13875" t="str">
            <v>Z59.4</v>
          </cell>
          <cell r="B13875" t="str">
            <v>Problemas relacionados con la falta de alimentos adecuados</v>
          </cell>
        </row>
        <row r="13876">
          <cell r="A13876" t="str">
            <v>Z59.5</v>
          </cell>
          <cell r="B13876" t="str">
            <v>Problemas relacionados con pobreza extrema</v>
          </cell>
        </row>
        <row r="13877">
          <cell r="A13877" t="str">
            <v>Z59.6</v>
          </cell>
          <cell r="B13877" t="str">
            <v>Problemas relacionados con bajos ingresos</v>
          </cell>
        </row>
        <row r="13878">
          <cell r="A13878" t="str">
            <v>Z59.7</v>
          </cell>
          <cell r="B13878" t="str">
            <v>Problemas relacionados con seguridad social y sostenimiento insuficientes para el bienestar</v>
          </cell>
        </row>
        <row r="13879">
          <cell r="A13879" t="str">
            <v>Z59.8</v>
          </cell>
          <cell r="B13879" t="str">
            <v>Otros problemas relacionados con la vivienda y las circunstancias económicas</v>
          </cell>
        </row>
        <row r="13880">
          <cell r="A13880" t="str">
            <v>Z59.9</v>
          </cell>
          <cell r="B13880" t="str">
            <v>Problemas no especificados relacionados con la vivienda y las circunstancias económicas</v>
          </cell>
        </row>
        <row r="13881">
          <cell r="A13881" t="str">
            <v>Z60</v>
          </cell>
          <cell r="B13881" t="str">
            <v>Problemas relacionados con el ambiente social</v>
          </cell>
        </row>
        <row r="13882">
          <cell r="A13882" t="str">
            <v>Z60.0</v>
          </cell>
          <cell r="B13882" t="str">
            <v>Problemas relacionados con el ajuste a las transiciones del ciclo vital</v>
          </cell>
        </row>
        <row r="13883">
          <cell r="A13883" t="str">
            <v>Z60.1</v>
          </cell>
          <cell r="B13883" t="str">
            <v>Problemas relacionados con situación familiar atípica</v>
          </cell>
        </row>
        <row r="13884">
          <cell r="A13884" t="str">
            <v>Z60.2</v>
          </cell>
          <cell r="B13884" t="str">
            <v>Problemas relacionados con persona que vive sola</v>
          </cell>
        </row>
        <row r="13885">
          <cell r="A13885" t="str">
            <v>Z60.3</v>
          </cell>
          <cell r="B13885" t="str">
            <v>Problemas relacionados con la adaptación cultural</v>
          </cell>
        </row>
        <row r="13886">
          <cell r="A13886" t="str">
            <v>Z60.4</v>
          </cell>
          <cell r="B13886" t="str">
            <v>Problemas relacionados con exclusión y rechazo social</v>
          </cell>
        </row>
        <row r="13887">
          <cell r="A13887" t="str">
            <v>Z60.5</v>
          </cell>
          <cell r="B13887" t="str">
            <v>Problemas relacionados con la discriminación y persecución percibidas</v>
          </cell>
        </row>
        <row r="13888">
          <cell r="A13888" t="str">
            <v>Z60.8</v>
          </cell>
          <cell r="B13888" t="str">
            <v>Otros problemas relacionados con el ambiente social</v>
          </cell>
        </row>
        <row r="13889">
          <cell r="A13889" t="str">
            <v>Z60.9</v>
          </cell>
          <cell r="B13889" t="str">
            <v>Problema no especificado relacionado con el ambiente social</v>
          </cell>
        </row>
        <row r="13890">
          <cell r="A13890" t="str">
            <v>Z61</v>
          </cell>
          <cell r="B13890" t="str">
            <v>Problemas relacionados con hechos negativos en la niñez</v>
          </cell>
        </row>
        <row r="13891">
          <cell r="A13891" t="str">
            <v>Z61.0</v>
          </cell>
          <cell r="B13891" t="str">
            <v>Problemas relacionados con la pérdida de relación afectiva en la infancia</v>
          </cell>
        </row>
        <row r="13892">
          <cell r="A13892" t="str">
            <v>Z61.1</v>
          </cell>
          <cell r="B13892" t="str">
            <v>Problemas relacionados con el alejamiento del hogar en la infancia</v>
          </cell>
        </row>
        <row r="13893">
          <cell r="A13893" t="str">
            <v>Z61.2</v>
          </cell>
          <cell r="B13893" t="str">
            <v>Problemas relacionados con alteración en el patrón de la relación  familiar en la infancia</v>
          </cell>
        </row>
        <row r="13894">
          <cell r="A13894" t="str">
            <v>Z61.3</v>
          </cell>
          <cell r="B13894" t="str">
            <v>Problemas relacionados con eventos que llevaron a la pérdida de la autoestima en la infancia</v>
          </cell>
        </row>
        <row r="13895">
          <cell r="A13895" t="str">
            <v>Z61.4</v>
          </cell>
          <cell r="B13895" t="str">
            <v>Problemas relacionados con el abuso sexual del niño por persona dentro del grupo de apoyo primario</v>
          </cell>
        </row>
        <row r="13896">
          <cell r="A13896" t="str">
            <v>Z61.5</v>
          </cell>
          <cell r="B13896" t="str">
            <v>Problemas relacionados con el abuso sexual del niño por persona ajena al grupo de apoyo primario</v>
          </cell>
        </row>
        <row r="13897">
          <cell r="A13897" t="str">
            <v>Z61.6</v>
          </cell>
          <cell r="B13897" t="str">
            <v>Problemas relacionados con abuso físico del niño</v>
          </cell>
        </row>
        <row r="13898">
          <cell r="A13898" t="str">
            <v>Z61.7</v>
          </cell>
          <cell r="B13898" t="str">
            <v>Problemas relacionados con experiencias personales atemorizantes en la infancia</v>
          </cell>
        </row>
        <row r="13899">
          <cell r="A13899" t="str">
            <v>Z61.8</v>
          </cell>
          <cell r="B13899" t="str">
            <v>Problemas relacionados con otras experiencias negativas en la infancia</v>
          </cell>
        </row>
        <row r="13900">
          <cell r="A13900" t="str">
            <v>Z61.9</v>
          </cell>
          <cell r="B13900" t="str">
            <v>Problemas relacionados con experiencia negativa no especificada en la infancia</v>
          </cell>
        </row>
        <row r="13901">
          <cell r="A13901" t="str">
            <v>Z62</v>
          </cell>
          <cell r="B13901" t="str">
            <v>Otros problemas relacionados con la crianza del niño</v>
          </cell>
        </row>
        <row r="13902">
          <cell r="A13902" t="str">
            <v>Z62.0</v>
          </cell>
          <cell r="B13902" t="str">
            <v>Problemas relacionados con la supervisión o el control inadecuados de los padres</v>
          </cell>
        </row>
        <row r="13903">
          <cell r="A13903" t="str">
            <v>Z62.1</v>
          </cell>
          <cell r="B13903" t="str">
            <v>Problemas relacionados con la sobreprotección de los padres</v>
          </cell>
        </row>
        <row r="13904">
          <cell r="A13904" t="str">
            <v>Z62.2</v>
          </cell>
          <cell r="B13904" t="str">
            <v>Problemas relacionados con la crianza en institución</v>
          </cell>
        </row>
        <row r="13905">
          <cell r="A13905" t="str">
            <v>Z62.3</v>
          </cell>
          <cell r="B13905" t="str">
            <v>Problemas relacionados con hostilidad y reprobación al niño</v>
          </cell>
        </row>
        <row r="13906">
          <cell r="A13906" t="str">
            <v>Z62.4</v>
          </cell>
          <cell r="B13906" t="str">
            <v>Problemas relacionados con el abandono emocional del niño</v>
          </cell>
        </row>
        <row r="13907">
          <cell r="A13907" t="str">
            <v>Z62.5</v>
          </cell>
          <cell r="B13907" t="str">
            <v>Otros problemas relacionados con negligencia en la crianza del niño</v>
          </cell>
        </row>
        <row r="13908">
          <cell r="A13908" t="str">
            <v>Z62.6</v>
          </cell>
          <cell r="B13908" t="str">
            <v>Problemas relacionados con presiones inapropiadas de los padres y otras anormalidades en la calidad de la crianza</v>
          </cell>
        </row>
        <row r="13909">
          <cell r="A13909" t="str">
            <v>Z62.8</v>
          </cell>
          <cell r="B13909" t="str">
            <v>Otros problemas especificados y relacionados con la crianza del niño</v>
          </cell>
        </row>
        <row r="13910">
          <cell r="A13910" t="str">
            <v>Z62.9</v>
          </cell>
          <cell r="B13910" t="str">
            <v>Problema no especificado relacionado con la crianza del niño</v>
          </cell>
        </row>
        <row r="13911">
          <cell r="A13911" t="str">
            <v>Z63</v>
          </cell>
          <cell r="B13911" t="str">
            <v>Otros problemas relacionados con el grupo primario de apoyo, inclusive circunstancias familiares</v>
          </cell>
        </row>
        <row r="13912">
          <cell r="A13912" t="str">
            <v>Z63.0</v>
          </cell>
          <cell r="B13912" t="str">
            <v>Problemas en la relación entre esposos o pareja</v>
          </cell>
        </row>
        <row r="13913">
          <cell r="A13913" t="str">
            <v>Z63.1</v>
          </cell>
          <cell r="B13913" t="str">
            <v>Problemas en la relación con los padres y los familiares políticos</v>
          </cell>
        </row>
        <row r="13914">
          <cell r="A13914" t="str">
            <v>Z63.2</v>
          </cell>
          <cell r="B13914" t="str">
            <v>Problemas relacionados con el apoyo familiar inadecuado</v>
          </cell>
        </row>
        <row r="13915">
          <cell r="A13915" t="str">
            <v>Z63.3</v>
          </cell>
          <cell r="B13915" t="str">
            <v>Problemas relacionados con la ausencia de un miembro de la familia</v>
          </cell>
        </row>
        <row r="13916">
          <cell r="A13916" t="str">
            <v>Z63.4</v>
          </cell>
          <cell r="B13916" t="str">
            <v>Problemas relacionados con la desaparición o muerte de un miembro de la familia</v>
          </cell>
        </row>
        <row r="13917">
          <cell r="A13917" t="str">
            <v>Z63.5</v>
          </cell>
          <cell r="B13917" t="str">
            <v>Problemas relacionados con la ruptura familiar por separación o divorcio</v>
          </cell>
        </row>
        <row r="13918">
          <cell r="A13918" t="str">
            <v>Z63.6</v>
          </cell>
          <cell r="B13918" t="str">
            <v>Problemas relacionados con familiar dependiente, necesitado de cuidado en la casa</v>
          </cell>
        </row>
        <row r="13919">
          <cell r="A13919" t="str">
            <v>Z63.7</v>
          </cell>
          <cell r="B13919" t="str">
            <v>Problemas relacionados con otros hechos estresantes que afectan a la familia y al hogar</v>
          </cell>
        </row>
        <row r="13920">
          <cell r="A13920" t="str">
            <v>Z63.8</v>
          </cell>
          <cell r="B13920" t="str">
            <v>Otros problemas especificados relacionados con el grupo primario de apoyo</v>
          </cell>
        </row>
        <row r="13921">
          <cell r="A13921" t="str">
            <v>Z63.9</v>
          </cell>
          <cell r="B13921" t="str">
            <v>Problema no especificado relacionado con el grupo primario de apoyo</v>
          </cell>
        </row>
        <row r="13922">
          <cell r="A13922" t="str">
            <v>Z64</v>
          </cell>
          <cell r="B13922" t="str">
            <v>Problemas relacionados con ciertas circunstancias psicosociales</v>
          </cell>
        </row>
        <row r="13923">
          <cell r="A13923" t="str">
            <v>Z64.0</v>
          </cell>
          <cell r="B13923" t="str">
            <v>Problemas relacionados con embarazo no deseado</v>
          </cell>
        </row>
        <row r="13924">
          <cell r="A13924" t="str">
            <v>Z64.1</v>
          </cell>
          <cell r="B13924" t="str">
            <v>Problemas relacionados con la multiparidad</v>
          </cell>
        </row>
        <row r="13925">
          <cell r="A13925" t="str">
            <v>Z64.2</v>
          </cell>
          <cell r="B13925" t="str">
            <v>Problemas relacionados con la solicitud o aceptación de intervenciones físicas, nutricionales y químicas, conociendo su riesgo y peligro</v>
          </cell>
        </row>
        <row r="13926">
          <cell r="A13926" t="str">
            <v>Z64.3</v>
          </cell>
          <cell r="B13926" t="str">
            <v>Problemas relacionados con la solicitud o aceptación de intervenciones psicológicas o de la conducta, conociendo su riesgo y peligro</v>
          </cell>
        </row>
        <row r="13927">
          <cell r="A13927" t="str">
            <v>Z64.4</v>
          </cell>
          <cell r="B13927" t="str">
            <v>Problemas relacionados con el desacuerdo con consejeros</v>
          </cell>
        </row>
        <row r="13928">
          <cell r="A13928" t="str">
            <v>Z65</v>
          </cell>
          <cell r="B13928" t="str">
            <v>Problemas relacionados con otras circunstancias psicosociales</v>
          </cell>
        </row>
        <row r="13929">
          <cell r="A13929" t="str">
            <v>Z65.0</v>
          </cell>
          <cell r="B13929" t="str">
            <v>Problemas relacionados con culpabilidad en procedimientos civiles o criminales sin prisión</v>
          </cell>
        </row>
        <row r="13930">
          <cell r="A13930" t="str">
            <v>Z65.1</v>
          </cell>
          <cell r="B13930" t="str">
            <v>Problemas relacionados con prisión y otro encarcelamiento</v>
          </cell>
        </row>
        <row r="13931">
          <cell r="A13931" t="str">
            <v>Z65.2</v>
          </cell>
          <cell r="B13931" t="str">
            <v>Problemas relacionados con la liberación de la prisión</v>
          </cell>
        </row>
        <row r="13932">
          <cell r="A13932" t="str">
            <v>Z65.3</v>
          </cell>
          <cell r="B13932" t="str">
            <v>Problemas relacionados con otras circunstancias legales</v>
          </cell>
        </row>
        <row r="13933">
          <cell r="A13933" t="str">
            <v>Z65.4</v>
          </cell>
          <cell r="B13933" t="str">
            <v>Problemas relacionados con víctima de crimen o terrorismo</v>
          </cell>
        </row>
        <row r="13934">
          <cell r="A13934" t="str">
            <v>Z65.5</v>
          </cell>
          <cell r="B13934" t="str">
            <v>Problemas relacionados con la exposición a desastre, guerra u otras hostilidades</v>
          </cell>
        </row>
        <row r="13935">
          <cell r="A13935" t="str">
            <v>Z65.8</v>
          </cell>
          <cell r="B13935" t="str">
            <v>Otros problemas especificados relacionados con circunstancias psicosociales</v>
          </cell>
        </row>
        <row r="13936">
          <cell r="A13936" t="str">
            <v>Z65.9</v>
          </cell>
          <cell r="B13936" t="str">
            <v>Problemas relacionados con circunstancias psicosociales no especificadas</v>
          </cell>
        </row>
        <row r="13937">
          <cell r="A13937" t="str">
            <v>Z70</v>
          </cell>
          <cell r="B13937" t="str">
            <v>Consulta relacionada con actitud, conducta u orientación sexual</v>
          </cell>
        </row>
        <row r="13938">
          <cell r="A13938" t="str">
            <v>Z70.0</v>
          </cell>
          <cell r="B13938" t="str">
            <v>Consulta relacionada con la actitud sexual</v>
          </cell>
        </row>
        <row r="13939">
          <cell r="A13939" t="str">
            <v>Z70.1</v>
          </cell>
          <cell r="B13939" t="str">
            <v>Consulta relacionada con la orientación y conducta sexual del paciente</v>
          </cell>
        </row>
        <row r="13940">
          <cell r="A13940" t="str">
            <v>Z70.2</v>
          </cell>
          <cell r="B13940" t="str">
            <v>Consulta relacionada con la orientación y conducta sexual de una tercera persona</v>
          </cell>
        </row>
        <row r="13941">
          <cell r="A13941" t="str">
            <v>Z70.3</v>
          </cell>
          <cell r="B13941" t="str">
            <v>Consulta relacionada con preocupaciones combinadas sobre la actitud, la conducta y la orientación sexuales</v>
          </cell>
        </row>
        <row r="13942">
          <cell r="A13942" t="str">
            <v>Z70.8</v>
          </cell>
          <cell r="B13942" t="str">
            <v>Otras consultas sexuales específicas</v>
          </cell>
        </row>
        <row r="13943">
          <cell r="A13943" t="str">
            <v>Z70.9</v>
          </cell>
          <cell r="B13943" t="str">
            <v>Consulta sexual, no especificada</v>
          </cell>
        </row>
        <row r="13944">
          <cell r="A13944" t="str">
            <v>Z71</v>
          </cell>
          <cell r="B13944" t="str">
            <v>Personas en contacto con los servicios de salud por otras consultas y consejos médicos, no clasificados en otra parte</v>
          </cell>
        </row>
        <row r="13945">
          <cell r="A13945" t="str">
            <v>Z71.0</v>
          </cell>
          <cell r="B13945" t="str">
            <v>Persona que consulta en nombre de otra persona</v>
          </cell>
        </row>
        <row r="13946">
          <cell r="A13946" t="str">
            <v>Z71.1</v>
          </cell>
          <cell r="B13946" t="str">
            <v>Persona que teme estar enferma, a quien no se hace diagnóstico</v>
          </cell>
        </row>
        <row r="13947">
          <cell r="A13947" t="str">
            <v>Z71.2</v>
          </cell>
          <cell r="B13947" t="str">
            <v>Persona que consulta para la explicación de hallazgos de investigación</v>
          </cell>
        </row>
        <row r="13948">
          <cell r="A13948" t="str">
            <v>Z71.3</v>
          </cell>
          <cell r="B13948" t="str">
            <v>Consulta para instrucción y vigilancia de la dieta</v>
          </cell>
        </row>
        <row r="13949">
          <cell r="A13949" t="str">
            <v>Z71.4</v>
          </cell>
          <cell r="B13949" t="str">
            <v>Consulta para asesoría y vigilancia por abuso de alcohol</v>
          </cell>
        </row>
        <row r="13950">
          <cell r="A13950" t="str">
            <v>Z71.5</v>
          </cell>
          <cell r="B13950" t="str">
            <v>Consulta para asesoría y vigilancia por abuso de drogas</v>
          </cell>
        </row>
        <row r="13951">
          <cell r="A13951" t="str">
            <v>Z71.6</v>
          </cell>
          <cell r="B13951" t="str">
            <v>Consulta para asesoría por abuso de tabaco</v>
          </cell>
        </row>
        <row r="13952">
          <cell r="A13952" t="str">
            <v>Z71.7</v>
          </cell>
          <cell r="B13952" t="str">
            <v>Consulta para asesoría sobre el virus de la inmunodeficiencia humana [VIH]</v>
          </cell>
        </row>
        <row r="13953">
          <cell r="A13953" t="str">
            <v>Z71.8</v>
          </cell>
          <cell r="B13953" t="str">
            <v>Otras consultas especificadas</v>
          </cell>
        </row>
        <row r="13954">
          <cell r="A13954" t="str">
            <v>Z71.9</v>
          </cell>
          <cell r="B13954" t="str">
            <v>Consulta, no especificada</v>
          </cell>
        </row>
        <row r="13955">
          <cell r="A13955" t="str">
            <v>Z72</v>
          </cell>
          <cell r="B13955" t="str">
            <v>Problemas relacionados con el estilo de vida</v>
          </cell>
        </row>
        <row r="13956">
          <cell r="A13956" t="str">
            <v>Z72.0</v>
          </cell>
          <cell r="B13956" t="str">
            <v>Problemas relacionados con el uso del tabaco</v>
          </cell>
        </row>
        <row r="13957">
          <cell r="A13957" t="str">
            <v>Z72.1</v>
          </cell>
          <cell r="B13957" t="str">
            <v>Problemas relacionados con el uso del alcohol</v>
          </cell>
        </row>
        <row r="13958">
          <cell r="A13958" t="str">
            <v>Z72.2</v>
          </cell>
          <cell r="B13958" t="str">
            <v>Problemas relacionados con el uso de drogas</v>
          </cell>
        </row>
        <row r="13959">
          <cell r="A13959" t="str">
            <v>Z72.3</v>
          </cell>
          <cell r="B13959" t="str">
            <v>Problemas relacionados con la falta de ejercicio físico</v>
          </cell>
        </row>
        <row r="13960">
          <cell r="A13960" t="str">
            <v>Z72.4</v>
          </cell>
          <cell r="B13960" t="str">
            <v>Problemas relacionados con la dieta y hábitos alimentarios inapropiados</v>
          </cell>
        </row>
        <row r="13961">
          <cell r="A13961" t="str">
            <v>Z72.5</v>
          </cell>
          <cell r="B13961" t="str">
            <v>Problemas relacionados con la conducta sexual de alto riesgo</v>
          </cell>
        </row>
        <row r="13962">
          <cell r="A13962" t="str">
            <v>Z72.6</v>
          </cell>
          <cell r="B13962" t="str">
            <v>Problemas relacionados con el juego y las apuestas</v>
          </cell>
        </row>
        <row r="13963">
          <cell r="A13963" t="str">
            <v>Z72.8</v>
          </cell>
          <cell r="B13963" t="str">
            <v>Otros problemas relacionados con el estilo de vida</v>
          </cell>
        </row>
        <row r="13964">
          <cell r="A13964" t="str">
            <v>Z72.9</v>
          </cell>
          <cell r="B13964" t="str">
            <v>Problema no especificado relacionado con el estilo de vida</v>
          </cell>
        </row>
        <row r="13965">
          <cell r="A13965" t="str">
            <v>Z73</v>
          </cell>
          <cell r="B13965" t="str">
            <v>Problemas relacionados con dificultades con el modo de vida</v>
          </cell>
        </row>
        <row r="13966">
          <cell r="A13966" t="str">
            <v>Z73.0</v>
          </cell>
          <cell r="B13966" t="str">
            <v>Problemas relacionados con la enfermedad consuntiva</v>
          </cell>
        </row>
        <row r="13967">
          <cell r="A13967" t="str">
            <v>Z73.1</v>
          </cell>
          <cell r="B13967" t="str">
            <v>Problemas relacionados con la acentuación de rasgos de la personalidad</v>
          </cell>
        </row>
        <row r="13968">
          <cell r="A13968" t="str">
            <v>Z73.2</v>
          </cell>
          <cell r="B13968" t="str">
            <v>Problemas relacionados con la falta de relajación y descanso</v>
          </cell>
        </row>
        <row r="13969">
          <cell r="A13969" t="str">
            <v>Z73.3</v>
          </cell>
          <cell r="B13969" t="str">
            <v>Problemas relacionados con el estrés, no clasificados en otra parte</v>
          </cell>
        </row>
        <row r="13970">
          <cell r="A13970" t="str">
            <v>Z73.4</v>
          </cell>
          <cell r="B13970" t="str">
            <v>Problemas relacionados con habilidades sociales inadecuadas, no clasificados en otra parte</v>
          </cell>
        </row>
        <row r="13971">
          <cell r="A13971" t="str">
            <v>Z73.5</v>
          </cell>
          <cell r="B13971" t="str">
            <v>Problemas relacionados con el conflicto del rol social, no clasificados en otra parte</v>
          </cell>
        </row>
        <row r="13972">
          <cell r="A13972" t="str">
            <v>Z73.6</v>
          </cell>
          <cell r="B13972" t="str">
            <v>Problemas relacionados con la limitación de las actividades debido a discapacidad</v>
          </cell>
        </row>
        <row r="13973">
          <cell r="A13973" t="str">
            <v>Z73.8</v>
          </cell>
          <cell r="B13973" t="str">
            <v>Otros problemas relacionados con dificultades con el modo de vida</v>
          </cell>
        </row>
        <row r="13974">
          <cell r="A13974" t="str">
            <v>Z73.9</v>
          </cell>
          <cell r="B13974" t="str">
            <v>Problemas no especificados relacionados con dificultades con el modo de vida</v>
          </cell>
        </row>
        <row r="13975">
          <cell r="A13975" t="str">
            <v>Z74</v>
          </cell>
          <cell r="B13975" t="str">
            <v>Problemas relacionados con dependencia del prestador de servicios</v>
          </cell>
        </row>
        <row r="13976">
          <cell r="A13976" t="str">
            <v>Z74.0</v>
          </cell>
          <cell r="B13976" t="str">
            <v>Problemas relacionados con movilidad reducida</v>
          </cell>
        </row>
        <row r="13977">
          <cell r="A13977" t="str">
            <v>Z74.1</v>
          </cell>
          <cell r="B13977" t="str">
            <v>Problemas relacionados con la necesidad de ayuda para el cuidado personal</v>
          </cell>
        </row>
        <row r="13978">
          <cell r="A13978" t="str">
            <v>Z74.2</v>
          </cell>
          <cell r="B13978" t="str">
            <v>Problemas relacionados con la necesidad de asistencia domiciliaria y que ningún otro miembro del hogar puede proporcionar</v>
          </cell>
        </row>
        <row r="13979">
          <cell r="A13979" t="str">
            <v>Z74.3</v>
          </cell>
          <cell r="B13979" t="str">
            <v>Problemas relacionados con la necesidad de supervisión continua</v>
          </cell>
        </row>
        <row r="13980">
          <cell r="A13980" t="str">
            <v>Z74.8</v>
          </cell>
          <cell r="B13980" t="str">
            <v>Otros problemas relacionados con dependencia del prestador de servicios</v>
          </cell>
        </row>
        <row r="13981">
          <cell r="A13981" t="str">
            <v>Z74.9</v>
          </cell>
          <cell r="B13981" t="str">
            <v>Problema no especificado relacionado con dependencia del prestador de servicios</v>
          </cell>
        </row>
        <row r="13982">
          <cell r="A13982" t="str">
            <v>Z75</v>
          </cell>
          <cell r="B13982" t="str">
            <v>Problemas relacionados con facilidades de atención médica u otros servicios de salud</v>
          </cell>
        </row>
        <row r="13983">
          <cell r="A13983" t="str">
            <v>Z75.0</v>
          </cell>
          <cell r="B13983" t="str">
            <v>Problemas relacionados con servicio médico no disponible en el domicilio</v>
          </cell>
        </row>
        <row r="13984">
          <cell r="A13984" t="str">
            <v>Z75.1</v>
          </cell>
          <cell r="B13984" t="str">
            <v>Problemas relacionados con persona esperando admisión en una institución apropiada en otro lugar</v>
          </cell>
        </row>
        <row r="13985">
          <cell r="A13985" t="str">
            <v>Z75.2</v>
          </cell>
          <cell r="B13985" t="str">
            <v>Problemas relacionados con persona en otro período de espera para investigación y tratamiento</v>
          </cell>
        </row>
        <row r="13986">
          <cell r="A13986" t="str">
            <v>Z75.3</v>
          </cell>
          <cell r="B13986" t="str">
            <v>Problemas relacionados con atención de salud no disponible o inaccesible</v>
          </cell>
        </row>
        <row r="13987">
          <cell r="A13987" t="str">
            <v>Z75.4</v>
          </cell>
          <cell r="B13987" t="str">
            <v>Problemas relacionados con otros servicios asistenciales no disponibles o inaccesibles</v>
          </cell>
        </row>
        <row r="13988">
          <cell r="A13988" t="str">
            <v>Z75.5</v>
          </cell>
          <cell r="B13988" t="str">
            <v>Problemas relacionados con la atención durante vacaciones de la familia</v>
          </cell>
        </row>
        <row r="13989">
          <cell r="A13989" t="str">
            <v>Z75.8</v>
          </cell>
          <cell r="B13989" t="str">
            <v>Otros problemas relacionados con servicios médicos y de salud</v>
          </cell>
        </row>
        <row r="13990">
          <cell r="A13990" t="str">
            <v>Z75.9</v>
          </cell>
          <cell r="B13990" t="str">
            <v>Problema no especificado relacionado con servicios médicos y de salud</v>
          </cell>
        </row>
        <row r="13991">
          <cell r="A13991" t="str">
            <v>Z76</v>
          </cell>
          <cell r="B13991" t="str">
            <v>Personas en contacto con los servicios de salud por otras circunstancias</v>
          </cell>
        </row>
        <row r="13992">
          <cell r="A13992" t="str">
            <v>Z76.0</v>
          </cell>
          <cell r="B13992" t="str">
            <v>Consulta para repetición de receta</v>
          </cell>
        </row>
        <row r="13993">
          <cell r="A13993" t="str">
            <v>Z76.1</v>
          </cell>
          <cell r="B13993" t="str">
            <v>Consulta para atención y supervisión de la salud del niño abandonado</v>
          </cell>
        </row>
        <row r="13994">
          <cell r="A13994" t="str">
            <v>Z76.2</v>
          </cell>
          <cell r="B13994" t="str">
            <v>Consulta para atención y supervisión de la salud de otros niños o lactantes sanos</v>
          </cell>
        </row>
        <row r="13995">
          <cell r="A13995" t="str">
            <v>Z76.3</v>
          </cell>
          <cell r="B13995" t="str">
            <v>Persona sana que acompaña al enfermo</v>
          </cell>
        </row>
        <row r="13996">
          <cell r="A13996" t="str">
            <v>Z76.4</v>
          </cell>
          <cell r="B13996" t="str">
            <v>Otro huésped en servicios de salud</v>
          </cell>
        </row>
        <row r="13997">
          <cell r="A13997" t="str">
            <v>Z76.5</v>
          </cell>
          <cell r="B13997" t="str">
            <v>Persona que consulta con simulación consciente [simulador]</v>
          </cell>
        </row>
        <row r="13998">
          <cell r="A13998" t="str">
            <v>Z76.8</v>
          </cell>
          <cell r="B13998" t="str">
            <v>Persona en contacto con los servicios de salud en otras circunstancias especificadas</v>
          </cell>
        </row>
        <row r="13999">
          <cell r="A13999" t="str">
            <v>Z76.9</v>
          </cell>
          <cell r="B13999" t="str">
            <v>Personas en contacto con los servicios de salud en circunstancias no especificadas</v>
          </cell>
        </row>
        <row r="14000">
          <cell r="A14000" t="str">
            <v>Z80</v>
          </cell>
          <cell r="B14000" t="str">
            <v>Historia familiar de tumor maligno</v>
          </cell>
        </row>
        <row r="14001">
          <cell r="A14001" t="str">
            <v>Z80.0</v>
          </cell>
          <cell r="B14001" t="str">
            <v>Historia familiar de tumor maligno de órganos digestivos</v>
          </cell>
        </row>
        <row r="14002">
          <cell r="A14002" t="str">
            <v>Z80.1</v>
          </cell>
          <cell r="B14002" t="str">
            <v>Historia familiar de tumor maligno de tráquea, bronquios y pulmón</v>
          </cell>
        </row>
        <row r="14003">
          <cell r="A14003" t="str">
            <v>Z80.2</v>
          </cell>
          <cell r="B14003" t="str">
            <v>Historia familiar de tumor maligno de otros órganos respiratorios e intratorácicos</v>
          </cell>
        </row>
        <row r="14004">
          <cell r="A14004" t="str">
            <v>Z80.3</v>
          </cell>
          <cell r="B14004" t="str">
            <v>Historia familiar de tumor maligno de mama</v>
          </cell>
        </row>
        <row r="14005">
          <cell r="A14005" t="str">
            <v>Z80.4</v>
          </cell>
          <cell r="B14005" t="str">
            <v>Historia familiar de tumor maligno de órganos genitales</v>
          </cell>
        </row>
        <row r="14006">
          <cell r="A14006" t="str">
            <v>Z80.5</v>
          </cell>
          <cell r="B14006" t="str">
            <v>Historia familiar de tumos maligno de vías urinarias</v>
          </cell>
        </row>
        <row r="14007">
          <cell r="A14007" t="str">
            <v>Z80.6</v>
          </cell>
          <cell r="B14007" t="str">
            <v>Historia familiar de leucemia</v>
          </cell>
        </row>
        <row r="14008">
          <cell r="A14008" t="str">
            <v>Z80.7</v>
          </cell>
          <cell r="B14008" t="str">
            <v>Historia familiar de otros tumores malignos del tejido linfoide, hematopoyético y tejidos relacionados</v>
          </cell>
        </row>
        <row r="14009">
          <cell r="A14009" t="str">
            <v>Z80.8</v>
          </cell>
          <cell r="B14009" t="str">
            <v>Historia familiar de tumor maligno de otros órganos o sistemas especificados</v>
          </cell>
        </row>
        <row r="14010">
          <cell r="A14010" t="str">
            <v>Z80.9</v>
          </cell>
          <cell r="B14010" t="str">
            <v>Historia familiar de tumor maligno, de sitio no especificado</v>
          </cell>
        </row>
        <row r="14011">
          <cell r="A14011" t="str">
            <v>Z81</v>
          </cell>
          <cell r="B14011" t="str">
            <v>Historia familiar de trastornos mentales y del comportamiento</v>
          </cell>
        </row>
        <row r="14012">
          <cell r="A14012" t="str">
            <v>Z81.0</v>
          </cell>
          <cell r="B14012" t="str">
            <v>Historia familiar de retardo mental</v>
          </cell>
        </row>
        <row r="14013">
          <cell r="A14013" t="str">
            <v>Z81.1</v>
          </cell>
          <cell r="B14013" t="str">
            <v>Historia familiar de abuso de alcohol</v>
          </cell>
        </row>
        <row r="14014">
          <cell r="A14014" t="str">
            <v>Z81.2</v>
          </cell>
          <cell r="B14014" t="str">
            <v>Historia familiar de abuso del tabaco</v>
          </cell>
        </row>
        <row r="14015">
          <cell r="A14015" t="str">
            <v>Z81.3</v>
          </cell>
          <cell r="B14015" t="str">
            <v>Historia familiar de abuso de otras sustancias psicoactivas</v>
          </cell>
        </row>
        <row r="14016">
          <cell r="A14016" t="str">
            <v>Z81.4</v>
          </cell>
          <cell r="B14016" t="str">
            <v>Historia familiar de abuso de otras sustancias</v>
          </cell>
        </row>
        <row r="14017">
          <cell r="A14017" t="str">
            <v>Z81.8</v>
          </cell>
          <cell r="B14017" t="str">
            <v>Historia familiar de otros trastornos mentales y del comportamiento</v>
          </cell>
        </row>
        <row r="14018">
          <cell r="A14018" t="str">
            <v>Z82</v>
          </cell>
          <cell r="B14018" t="str">
            <v>Historia familiar de ciertas discapacidades y enfermedades crónicas incapacitantes</v>
          </cell>
        </row>
        <row r="14019">
          <cell r="A14019" t="str">
            <v>Z82.0</v>
          </cell>
          <cell r="B14019" t="str">
            <v>Historia familiar de epilepsia y otras enfermedades del sistema nervioso</v>
          </cell>
        </row>
        <row r="14020">
          <cell r="A14020" t="str">
            <v>Z82.1</v>
          </cell>
          <cell r="B14020" t="str">
            <v>Historia familiar de ceguera o pérdida de la visión</v>
          </cell>
        </row>
        <row r="14021">
          <cell r="A14021" t="str">
            <v>Z82.2</v>
          </cell>
          <cell r="B14021" t="str">
            <v>Historia familiar de sordera o pérdida de la audición</v>
          </cell>
        </row>
        <row r="14022">
          <cell r="A14022" t="str">
            <v>Z82.3</v>
          </cell>
          <cell r="B14022" t="str">
            <v>Historia familiar de apoplejía</v>
          </cell>
        </row>
        <row r="14023">
          <cell r="A14023" t="str">
            <v>Z82.4</v>
          </cell>
          <cell r="B14023" t="str">
            <v>Historia familiar de enfermedad isquémica del corazón y otras enfermedades del sistema circulatorio</v>
          </cell>
        </row>
        <row r="14024">
          <cell r="A14024" t="str">
            <v>Z82.5</v>
          </cell>
          <cell r="B14024" t="str">
            <v>Historia familiar de asma y de otras enfermedades crónicas de las vías respiratorias inferiores</v>
          </cell>
        </row>
        <row r="14025">
          <cell r="A14025" t="str">
            <v>Z82.6</v>
          </cell>
          <cell r="B14025" t="str">
            <v>Historia familiar de artritis y otras enfermedades del sistema osteomuscular y tejido conjuntivo</v>
          </cell>
        </row>
        <row r="14026">
          <cell r="A14026" t="str">
            <v>Z82.7</v>
          </cell>
          <cell r="B14026" t="str">
            <v>Historia familiar de malformaciones congénitas, deformidades y otras anomalías cromosómicas</v>
          </cell>
        </row>
        <row r="14027">
          <cell r="A14027" t="str">
            <v>Z82.8</v>
          </cell>
          <cell r="B14027" t="str">
            <v>Historia familiar de otras discapacidades y enfermedades crónicas incapacitantes no clasificadas en otra parte</v>
          </cell>
        </row>
        <row r="14028">
          <cell r="A14028" t="str">
            <v>Z83</v>
          </cell>
          <cell r="B14028" t="str">
            <v>Historia familiar de otros trastornos específicos</v>
          </cell>
        </row>
        <row r="14029">
          <cell r="A14029" t="str">
            <v>Z83.0</v>
          </cell>
          <cell r="B14029" t="str">
            <v>Historia familiar de infección por el virus de la inmunodeficiencia humana [VIH]</v>
          </cell>
        </row>
        <row r="14030">
          <cell r="A14030" t="str">
            <v>Z83.1</v>
          </cell>
          <cell r="B14030" t="str">
            <v>Historia familiar de otras enfermedades infecciosas y parasitarias</v>
          </cell>
        </row>
        <row r="14031">
          <cell r="A14031" t="str">
            <v>Z83.2</v>
          </cell>
          <cell r="B14031" t="str">
            <v>Historia familiar de enfermedades de la sangre y de los órganos hematopoyéticos y de ciertos trastornos del mecanismo inmunológico</v>
          </cell>
        </row>
        <row r="14032">
          <cell r="A14032" t="str">
            <v>Z83.3</v>
          </cell>
          <cell r="B14032" t="str">
            <v>Historia familiar de diabetes mellitus</v>
          </cell>
        </row>
        <row r="14033">
          <cell r="A14033" t="str">
            <v>Z83.4</v>
          </cell>
          <cell r="B14033" t="str">
            <v>Historia familiar de otras enfermedades endocrinas, nutricionales y metabólicas</v>
          </cell>
        </row>
        <row r="14034">
          <cell r="A14034" t="str">
            <v>Z83.5</v>
          </cell>
          <cell r="B14034" t="str">
            <v>Historia familiar de trastornos de los ojos y de los oídos</v>
          </cell>
        </row>
        <row r="14035">
          <cell r="A14035" t="str">
            <v>Z83.6</v>
          </cell>
          <cell r="B14035" t="str">
            <v>Historia familiar de enfermedades del sistema respiratorio</v>
          </cell>
        </row>
        <row r="14036">
          <cell r="A14036" t="str">
            <v>Z83.7</v>
          </cell>
          <cell r="B14036" t="str">
            <v>Historia familiar de enfermedades del sistema digestivo</v>
          </cell>
        </row>
        <row r="14037">
          <cell r="A14037" t="str">
            <v>Z84</v>
          </cell>
          <cell r="B14037" t="str">
            <v>Historia familiar de otras afecciones</v>
          </cell>
        </row>
        <row r="14038">
          <cell r="A14038" t="str">
            <v>Z84.0</v>
          </cell>
          <cell r="B14038" t="str">
            <v>Historia familiar de enfermedades de la piel y del tejido subcutáneo</v>
          </cell>
        </row>
        <row r="14039">
          <cell r="A14039" t="str">
            <v>Z84.1</v>
          </cell>
          <cell r="B14039" t="str">
            <v>Historia familiar de trastornos del riñón y del uréter</v>
          </cell>
        </row>
        <row r="14040">
          <cell r="A14040" t="str">
            <v>Z84.2</v>
          </cell>
          <cell r="B14040" t="str">
            <v>Historia familiar de otras enfermedades del sistema genitourinario</v>
          </cell>
        </row>
        <row r="14041">
          <cell r="A14041" t="str">
            <v>Z84.3</v>
          </cell>
          <cell r="B14041" t="str">
            <v>Historia familiar de consanguinidad</v>
          </cell>
        </row>
        <row r="14042">
          <cell r="A14042" t="str">
            <v>Z84.8</v>
          </cell>
          <cell r="B14042" t="str">
            <v>Historia familiar de otras afecciones especificadas</v>
          </cell>
        </row>
        <row r="14043">
          <cell r="A14043" t="str">
            <v>Z85</v>
          </cell>
          <cell r="B14043" t="str">
            <v>Historia personal de tumor maligno</v>
          </cell>
        </row>
        <row r="14044">
          <cell r="A14044" t="str">
            <v>Z85.0</v>
          </cell>
          <cell r="B14044" t="str">
            <v>Historia personal de tumor maligno de órganos digestivos</v>
          </cell>
        </row>
        <row r="14045">
          <cell r="A14045" t="str">
            <v>Z85.1</v>
          </cell>
          <cell r="B14045" t="str">
            <v>Historia personal de tumor maligno de tráquea, bronquios y pulmón</v>
          </cell>
        </row>
        <row r="14046">
          <cell r="A14046" t="str">
            <v>Z85.2</v>
          </cell>
          <cell r="B14046" t="str">
            <v>Historia personal de tumor maligno de otros órganos respiratorios e intratorácicos</v>
          </cell>
        </row>
        <row r="14047">
          <cell r="A14047" t="str">
            <v>Z85.3</v>
          </cell>
          <cell r="B14047" t="str">
            <v>Historia personal de tumor maligno de mama</v>
          </cell>
        </row>
        <row r="14048">
          <cell r="A14048" t="str">
            <v>Z85.4</v>
          </cell>
          <cell r="B14048" t="str">
            <v>Historia personal de tumor maligno de órganos genitales</v>
          </cell>
        </row>
        <row r="14049">
          <cell r="A14049" t="str">
            <v>Z85.5</v>
          </cell>
          <cell r="B14049" t="str">
            <v>Historia personal de tumor maligno de vías urinarias</v>
          </cell>
        </row>
        <row r="14050">
          <cell r="A14050" t="str">
            <v>Z85.6</v>
          </cell>
          <cell r="B14050" t="str">
            <v>Historia personal de leucemia</v>
          </cell>
        </row>
        <row r="14051">
          <cell r="A14051" t="str">
            <v>Z85.7</v>
          </cell>
          <cell r="B14051" t="str">
            <v>Historia personal de otros tumores malignos del tejido linfoide, hematopoyético y tejidos relacionados</v>
          </cell>
        </row>
        <row r="14052">
          <cell r="A14052" t="str">
            <v>Z85.8</v>
          </cell>
          <cell r="B14052" t="str">
            <v>Historia personal de tumor maligno de otros órganos y sistemas</v>
          </cell>
        </row>
        <row r="14053">
          <cell r="A14053" t="str">
            <v>Z85.9</v>
          </cell>
          <cell r="B14053" t="str">
            <v>Historia personal de tumor maligno, de sitio no especificado</v>
          </cell>
        </row>
        <row r="14054">
          <cell r="A14054" t="str">
            <v>Z86</v>
          </cell>
          <cell r="B14054" t="str">
            <v>Historia personal de algunas otras enfermedades</v>
          </cell>
        </row>
        <row r="14055">
          <cell r="A14055" t="str">
            <v>Z86.0</v>
          </cell>
          <cell r="B14055" t="str">
            <v>Historia personal de otros tumores</v>
          </cell>
        </row>
        <row r="14056">
          <cell r="A14056" t="str">
            <v>Z86.1</v>
          </cell>
          <cell r="B14056" t="str">
            <v>Historia personal de enfermedades infecciosas y parasitarias</v>
          </cell>
        </row>
        <row r="14057">
          <cell r="A14057" t="str">
            <v>Z86.2</v>
          </cell>
          <cell r="B14057" t="str">
            <v>Historia personal de enfermedades de la sangre y de los órganos hematopoyéticos y de ciertos trastornos del mecanismo inmunológico</v>
          </cell>
        </row>
        <row r="14058">
          <cell r="A14058" t="str">
            <v>Z86.3</v>
          </cell>
          <cell r="B14058" t="str">
            <v>Historia personal de enfermedades endocrinas, nutricionales y metabólicas</v>
          </cell>
        </row>
        <row r="14059">
          <cell r="A14059" t="str">
            <v>Z86.4</v>
          </cell>
          <cell r="B14059" t="str">
            <v>Historia personal de abuso de sustancias psicoactivas</v>
          </cell>
        </row>
        <row r="14060">
          <cell r="A14060" t="str">
            <v>Z86.5</v>
          </cell>
          <cell r="B14060" t="str">
            <v>Historia personal de otros trastornos mentales o del comportamiento</v>
          </cell>
        </row>
        <row r="14061">
          <cell r="A14061" t="str">
            <v>Z86.6</v>
          </cell>
          <cell r="B14061" t="str">
            <v>Historia personal de enfermedades del sistema nervioso y de los órganos de los sentidos</v>
          </cell>
        </row>
        <row r="14062">
          <cell r="A14062" t="str">
            <v>Z86.7</v>
          </cell>
          <cell r="B14062" t="str">
            <v>Historia personal de enfermedades del sistema circulatorio</v>
          </cell>
        </row>
        <row r="14063">
          <cell r="A14063" t="str">
            <v>Z87</v>
          </cell>
          <cell r="B14063" t="str">
            <v>Historia personal de otras enfermedades y afecciones</v>
          </cell>
        </row>
        <row r="14064">
          <cell r="A14064" t="str">
            <v>Z87.0</v>
          </cell>
          <cell r="B14064" t="str">
            <v>Historia personal de enfermedades del sistema respiratorio</v>
          </cell>
        </row>
        <row r="14065">
          <cell r="A14065" t="str">
            <v>Z87.1</v>
          </cell>
          <cell r="B14065" t="str">
            <v>Historia personal de enfermedades del sistema digestivo</v>
          </cell>
        </row>
        <row r="14066">
          <cell r="A14066" t="str">
            <v>Z87.2</v>
          </cell>
          <cell r="B14066" t="str">
            <v>Historia personal de enfermedades de la piel y del tejido subcutáneo</v>
          </cell>
        </row>
        <row r="14067">
          <cell r="A14067" t="str">
            <v>Z87.3</v>
          </cell>
          <cell r="B14067" t="str">
            <v>Historia personal de enfermedades del sistema osteomuscular y del tejido conjuntivo</v>
          </cell>
        </row>
        <row r="14068">
          <cell r="A14068" t="str">
            <v>Z87.4</v>
          </cell>
          <cell r="B14068" t="str">
            <v>Historia personal de enfermedades del sistema genitourinario</v>
          </cell>
        </row>
        <row r="14069">
          <cell r="A14069" t="str">
            <v>Z87.5</v>
          </cell>
          <cell r="B14069" t="str">
            <v>Historia personal de complicaciones del embarazo, del parto y del puerperio</v>
          </cell>
        </row>
        <row r="14070">
          <cell r="A14070" t="str">
            <v>Z87.6</v>
          </cell>
          <cell r="B14070" t="str">
            <v>Historia personal de ciertas afecciones originadas en el período perinatal</v>
          </cell>
        </row>
        <row r="14071">
          <cell r="A14071" t="str">
            <v>Z87.7</v>
          </cell>
          <cell r="B14071" t="str">
            <v>Historia personal de malformaciones congénitas, deformidades y anomalías cromosómicas</v>
          </cell>
        </row>
        <row r="14072">
          <cell r="A14072" t="str">
            <v>Z87.8</v>
          </cell>
          <cell r="B14072" t="str">
            <v>Historia personal de otras afecciones especificadas</v>
          </cell>
        </row>
        <row r="14073">
          <cell r="A14073" t="str">
            <v>Z88</v>
          </cell>
          <cell r="B14073" t="str">
            <v>Historia personal de alergia a drogas, medicamentos y sustancias biológicas</v>
          </cell>
        </row>
        <row r="14074">
          <cell r="A14074" t="str">
            <v>Z88.0</v>
          </cell>
          <cell r="B14074" t="str">
            <v>Historia personal de alergia a penicilina</v>
          </cell>
        </row>
        <row r="14075">
          <cell r="A14075" t="str">
            <v>Z88.1</v>
          </cell>
          <cell r="B14075" t="str">
            <v>Historia personal de alergia a otros agentes antibióticos</v>
          </cell>
        </row>
        <row r="14076">
          <cell r="A14076" t="str">
            <v>Z88.2</v>
          </cell>
          <cell r="B14076" t="str">
            <v>Historia personal de alergia a sulfonamidas</v>
          </cell>
        </row>
        <row r="14077">
          <cell r="A14077" t="str">
            <v>Z88.3</v>
          </cell>
          <cell r="B14077" t="str">
            <v>Historia personal de alergia a otros agentes antiinfecciosos</v>
          </cell>
        </row>
        <row r="14078">
          <cell r="A14078" t="str">
            <v>Z88.4</v>
          </cell>
          <cell r="B14078" t="str">
            <v>Historia personal de alergia a agente anestésico</v>
          </cell>
        </row>
        <row r="14079">
          <cell r="A14079" t="str">
            <v>Z88.5</v>
          </cell>
          <cell r="B14079" t="str">
            <v>Historia personal de alergia a agente narcótico</v>
          </cell>
        </row>
        <row r="14080">
          <cell r="A14080" t="str">
            <v>Z88.6</v>
          </cell>
          <cell r="B14080" t="str">
            <v>Historia personal de alergia a agente analgésico</v>
          </cell>
        </row>
        <row r="14081">
          <cell r="A14081" t="str">
            <v>Z88.7</v>
          </cell>
          <cell r="B14081" t="str">
            <v>Historia personal de alergia a suero o vacuna</v>
          </cell>
        </row>
        <row r="14082">
          <cell r="A14082" t="str">
            <v>Z88.8</v>
          </cell>
          <cell r="B14082" t="str">
            <v>Historia personal de alergia a otras drogas, medicamentos y sustancias biológicas</v>
          </cell>
        </row>
        <row r="14083">
          <cell r="A14083" t="str">
            <v>Z88.9</v>
          </cell>
          <cell r="B14083" t="str">
            <v>Historia personal de alergia a drogas, medicamentos y sustancias biológicas no especificadas</v>
          </cell>
        </row>
        <row r="14084">
          <cell r="A14084" t="str">
            <v>Z89</v>
          </cell>
          <cell r="B14084" t="str">
            <v>Ausencia adquirida de miembros</v>
          </cell>
        </row>
        <row r="14085">
          <cell r="A14085" t="str">
            <v>Z89.0</v>
          </cell>
          <cell r="B14085" t="str">
            <v>Ausencia adquirida de dedo(s), [incluido el pulgar], unilateral</v>
          </cell>
        </row>
        <row r="14086">
          <cell r="A14086" t="str">
            <v>Z89.1</v>
          </cell>
          <cell r="B14086" t="str">
            <v>Ausencia adquirida de mano y muñeca</v>
          </cell>
        </row>
        <row r="14087">
          <cell r="A14087" t="str">
            <v>Z89.2</v>
          </cell>
          <cell r="B14087" t="str">
            <v>Ausencia adquirida de miembro superior por arriba de la muñeca</v>
          </cell>
        </row>
        <row r="14088">
          <cell r="A14088" t="str">
            <v>Z89.3</v>
          </cell>
          <cell r="B14088" t="str">
            <v>Ausencia adquirida de ambos miembros superiores [cualquier nivel]</v>
          </cell>
        </row>
        <row r="14089">
          <cell r="A14089" t="str">
            <v>Z89.4</v>
          </cell>
          <cell r="B14089" t="str">
            <v>Ausencia adquirida de pie y tobillo</v>
          </cell>
        </row>
        <row r="14090">
          <cell r="A14090" t="str">
            <v>Z89.5</v>
          </cell>
          <cell r="B14090" t="str">
            <v>Ausencia adquirida de pierna a nivel de o debajo de la rodilla</v>
          </cell>
        </row>
        <row r="14091">
          <cell r="A14091" t="str">
            <v>Z89.6</v>
          </cell>
          <cell r="B14091" t="str">
            <v>Ausencia adquirida de pierna por arriba de la rodilla</v>
          </cell>
        </row>
        <row r="14092">
          <cell r="A14092" t="str">
            <v>Z89.7</v>
          </cell>
          <cell r="B14092" t="str">
            <v>Ausencia adquirida de ambos miembros inferiores [cualquier nivel, excepto dedos del pie solamente]</v>
          </cell>
        </row>
        <row r="14093">
          <cell r="A14093" t="str">
            <v>Z89.8</v>
          </cell>
          <cell r="B14093" t="str">
            <v>Ausencia adquirida de miembros superiores e inferiores [cualquier nivel]</v>
          </cell>
        </row>
        <row r="14094">
          <cell r="A14094" t="str">
            <v>Z89.9</v>
          </cell>
          <cell r="B14094" t="str">
            <v>Ausencia adquirida de miembros no especificados</v>
          </cell>
        </row>
        <row r="14095">
          <cell r="A14095" t="str">
            <v>Z90</v>
          </cell>
          <cell r="B14095" t="str">
            <v>Ausencia adquirida de órganos, no clasificada en otra parte</v>
          </cell>
        </row>
        <row r="14096">
          <cell r="A14096" t="str">
            <v>Z90.0</v>
          </cell>
          <cell r="B14096" t="str">
            <v>Ausencia adquirida de parte de la cabeza y del cuello</v>
          </cell>
        </row>
        <row r="14097">
          <cell r="A14097" t="str">
            <v>Z90.1</v>
          </cell>
          <cell r="B14097" t="str">
            <v>Ausencia adquirida de mama(s)</v>
          </cell>
        </row>
        <row r="14098">
          <cell r="A14098" t="str">
            <v>Z90.2</v>
          </cell>
          <cell r="B14098" t="str">
            <v>Ausencia adquirida (de parte) del pulmón</v>
          </cell>
        </row>
        <row r="14099">
          <cell r="A14099" t="str">
            <v>Z90.3</v>
          </cell>
          <cell r="B14099" t="str">
            <v>Ausencia adquirida de parte del estómago</v>
          </cell>
        </row>
        <row r="14100">
          <cell r="A14100" t="str">
            <v>Z90.4</v>
          </cell>
          <cell r="B14100" t="str">
            <v>Ausencia adquirida de otras partes del tubo digestivo</v>
          </cell>
        </row>
        <row r="14101">
          <cell r="A14101" t="str">
            <v>Z90.5</v>
          </cell>
          <cell r="B14101" t="str">
            <v>Ausencia adquirida de riñón</v>
          </cell>
        </row>
        <row r="14102">
          <cell r="A14102" t="str">
            <v>Z90.6</v>
          </cell>
          <cell r="B14102" t="str">
            <v>Ausencia adquirida de otras partes de las vías urinarias</v>
          </cell>
        </row>
        <row r="14103">
          <cell r="A14103" t="str">
            <v>Z90.7</v>
          </cell>
          <cell r="B14103" t="str">
            <v>Ausencia adquirida de órgano(s) genital(es)</v>
          </cell>
        </row>
        <row r="14104">
          <cell r="A14104" t="str">
            <v>Z90.8</v>
          </cell>
          <cell r="B14104" t="str">
            <v>Ausencia adquirida de otros órganos</v>
          </cell>
        </row>
        <row r="14105">
          <cell r="A14105" t="str">
            <v>Z91</v>
          </cell>
          <cell r="B14105" t="str">
            <v>Historia personal de factores de riesgo, no clasificados en otra parte</v>
          </cell>
        </row>
        <row r="14106">
          <cell r="A14106" t="str">
            <v>Z91.0</v>
          </cell>
          <cell r="B14106" t="str">
            <v>Historia personal de alergia, no debida a drogas ni a sustancias biológicas</v>
          </cell>
        </row>
        <row r="14107">
          <cell r="A14107" t="str">
            <v>Z91.1</v>
          </cell>
          <cell r="B14107" t="str">
            <v>Historia personal de incumplimiento del régimen o tratamiento médico</v>
          </cell>
        </row>
        <row r="14108">
          <cell r="A14108" t="str">
            <v>Z91.2</v>
          </cell>
          <cell r="B14108" t="str">
            <v>Historia personal de higiene personal deficiente</v>
          </cell>
        </row>
        <row r="14109">
          <cell r="A14109" t="str">
            <v>Z91.3</v>
          </cell>
          <cell r="B14109" t="str">
            <v>Historia personal de ciclo sueño-vigilia no saludable</v>
          </cell>
        </row>
        <row r="14110">
          <cell r="A14110" t="str">
            <v>Z91.4</v>
          </cell>
          <cell r="B14110" t="str">
            <v>Historia personal de trauma psicológico, no clasificado en otra parte</v>
          </cell>
        </row>
        <row r="14111">
          <cell r="A14111" t="str">
            <v>Z91.5</v>
          </cell>
          <cell r="B14111" t="str">
            <v>Historia personal de lesión autoinfligida intencionalmente</v>
          </cell>
        </row>
        <row r="14112">
          <cell r="A14112" t="str">
            <v>Z91.6</v>
          </cell>
          <cell r="B14112" t="str">
            <v>Historia personal de otro trauma físico</v>
          </cell>
        </row>
        <row r="14113">
          <cell r="A14113" t="str">
            <v>Z91.8</v>
          </cell>
          <cell r="B14113" t="str">
            <v>Historia personal de otros factores de riesgo, no clasificados en otra parte</v>
          </cell>
        </row>
        <row r="14114">
          <cell r="A14114" t="str">
            <v>Z92</v>
          </cell>
          <cell r="B14114" t="str">
            <v>Historia personal de tratamiento médico</v>
          </cell>
        </row>
        <row r="14115">
          <cell r="A14115" t="str">
            <v>Z92.0</v>
          </cell>
          <cell r="B14115" t="str">
            <v>Historia personal de anticoncepción</v>
          </cell>
        </row>
        <row r="14116">
          <cell r="A14116" t="str">
            <v>Z92.1</v>
          </cell>
          <cell r="B14116" t="str">
            <v>Historia personal de uso (presente) de anticoagulantes por largo tiempo</v>
          </cell>
        </row>
        <row r="14117">
          <cell r="A14117" t="str">
            <v>Z92.2</v>
          </cell>
          <cell r="B14117" t="str">
            <v>Historia personal de uso (presente) de otros medicamentos por largo tiempo</v>
          </cell>
        </row>
        <row r="14118">
          <cell r="A14118" t="str">
            <v>Z92.3</v>
          </cell>
          <cell r="B14118" t="str">
            <v>Historia personal de irradiación</v>
          </cell>
        </row>
        <row r="14119">
          <cell r="A14119" t="str">
            <v>Z92.4</v>
          </cell>
          <cell r="B14119" t="str">
            <v>Historia personal de cirugía mayor, no clasificada en otra parte</v>
          </cell>
        </row>
        <row r="14120">
          <cell r="A14120" t="str">
            <v>Z92.5</v>
          </cell>
          <cell r="B14120" t="str">
            <v>Historia personal de medidas de rehabilitación</v>
          </cell>
        </row>
        <row r="14121">
          <cell r="A14121" t="str">
            <v>Z92.8</v>
          </cell>
          <cell r="B14121" t="str">
            <v>Historia personal de otros tratamientos médicos</v>
          </cell>
        </row>
        <row r="14122">
          <cell r="A14122" t="str">
            <v>Z92.9</v>
          </cell>
          <cell r="B14122" t="str">
            <v>Historia personal de tratamiento médico no especificado</v>
          </cell>
        </row>
        <row r="14123">
          <cell r="A14123" t="str">
            <v>Z93</v>
          </cell>
          <cell r="B14123" t="str">
            <v>Aberturas artificiales</v>
          </cell>
        </row>
        <row r="14124">
          <cell r="A14124" t="str">
            <v>Z93.0</v>
          </cell>
          <cell r="B14124" t="str">
            <v>Traqueostomía</v>
          </cell>
        </row>
        <row r="14125">
          <cell r="A14125" t="str">
            <v>Z93.1</v>
          </cell>
          <cell r="B14125" t="str">
            <v>Gastrostomía</v>
          </cell>
        </row>
        <row r="14126">
          <cell r="A14126" t="str">
            <v>Z93.2</v>
          </cell>
          <cell r="B14126" t="str">
            <v>Ileostomía</v>
          </cell>
        </row>
        <row r="14127">
          <cell r="A14127" t="str">
            <v>Z93.3</v>
          </cell>
          <cell r="B14127" t="str">
            <v>Colostomía</v>
          </cell>
        </row>
        <row r="14128">
          <cell r="A14128" t="str">
            <v>Z93.4</v>
          </cell>
          <cell r="B14128" t="str">
            <v>Otros orificios artificiales del tubo gastrointestinal</v>
          </cell>
        </row>
        <row r="14129">
          <cell r="A14129" t="str">
            <v>Z93.5</v>
          </cell>
          <cell r="B14129" t="str">
            <v>Cistostomía</v>
          </cell>
        </row>
        <row r="14130">
          <cell r="A14130" t="str">
            <v>Z93.6</v>
          </cell>
          <cell r="B14130" t="str">
            <v>Otros orificios artificiales de las vías urinarias</v>
          </cell>
        </row>
        <row r="14131">
          <cell r="A14131" t="str">
            <v>Z93.8</v>
          </cell>
          <cell r="B14131" t="str">
            <v>Otras aberturas artificiales</v>
          </cell>
        </row>
        <row r="14132">
          <cell r="A14132" t="str">
            <v>Z93.9</v>
          </cell>
          <cell r="B14132" t="str">
            <v>Abertura artificial, no especificada</v>
          </cell>
        </row>
        <row r="14133">
          <cell r="A14133" t="str">
            <v>Z94</v>
          </cell>
          <cell r="B14133" t="str">
            <v>Organos y tejidos trasplantados</v>
          </cell>
        </row>
        <row r="14134">
          <cell r="A14134" t="str">
            <v>Z94.0</v>
          </cell>
          <cell r="B14134" t="str">
            <v>Trasplante de riñón</v>
          </cell>
        </row>
        <row r="14135">
          <cell r="A14135" t="str">
            <v>Z94.1</v>
          </cell>
          <cell r="B14135" t="str">
            <v>Trasplante de corazón</v>
          </cell>
        </row>
        <row r="14136">
          <cell r="A14136" t="str">
            <v>Z94.2</v>
          </cell>
          <cell r="B14136" t="str">
            <v>Trasplante de pulmón</v>
          </cell>
        </row>
        <row r="14137">
          <cell r="A14137" t="str">
            <v>Z94.3</v>
          </cell>
          <cell r="B14137" t="str">
            <v>Trasplante de corazón y pulmones</v>
          </cell>
        </row>
        <row r="14138">
          <cell r="A14138" t="str">
            <v>Z94.4</v>
          </cell>
          <cell r="B14138" t="str">
            <v>Trasplante de hígado</v>
          </cell>
        </row>
        <row r="14139">
          <cell r="A14139" t="str">
            <v>Z94.5</v>
          </cell>
          <cell r="B14139" t="str">
            <v>Trasplante de piel</v>
          </cell>
        </row>
        <row r="14140">
          <cell r="A14140" t="str">
            <v>Z94.6</v>
          </cell>
          <cell r="B14140" t="str">
            <v>Trasplante de hueso</v>
          </cell>
        </row>
        <row r="14141">
          <cell r="A14141" t="str">
            <v>Z94.7</v>
          </cell>
          <cell r="B14141" t="str">
            <v>Trasplante de córnea</v>
          </cell>
        </row>
        <row r="14142">
          <cell r="A14142" t="str">
            <v>Z94.8</v>
          </cell>
          <cell r="B14142" t="str">
            <v>Otros órganos y tejidos trasplantados</v>
          </cell>
        </row>
        <row r="14143">
          <cell r="A14143" t="str">
            <v>Z94.9</v>
          </cell>
          <cell r="B14143" t="str">
            <v>Organo o tejido trasplantado no especificado</v>
          </cell>
        </row>
        <row r="14144">
          <cell r="A14144" t="str">
            <v>Z95</v>
          </cell>
          <cell r="B14144" t="str">
            <v>Presencia de implantes e injertos cardiovasculares</v>
          </cell>
        </row>
        <row r="14145">
          <cell r="A14145" t="str">
            <v>Z95.0</v>
          </cell>
          <cell r="B14145" t="str">
            <v>Presencia de marcapaso cardíaco</v>
          </cell>
        </row>
        <row r="14146">
          <cell r="A14146" t="str">
            <v>Z95.1</v>
          </cell>
          <cell r="B14146" t="str">
            <v>Presencia de derivación aortocoronaria</v>
          </cell>
        </row>
        <row r="14147">
          <cell r="A14147" t="str">
            <v>Z95.2</v>
          </cell>
          <cell r="B14147" t="str">
            <v>Presencia de válvula cardíaca protésica</v>
          </cell>
        </row>
        <row r="14148">
          <cell r="A14148" t="str">
            <v>Z95.3</v>
          </cell>
          <cell r="B14148" t="str">
            <v>Presencia de válvula cardíaca xenogénica</v>
          </cell>
        </row>
        <row r="14149">
          <cell r="A14149" t="str">
            <v>Z95.4</v>
          </cell>
          <cell r="B14149" t="str">
            <v>Presencia de otros reemplazos de válvula cardíaca</v>
          </cell>
        </row>
        <row r="14150">
          <cell r="A14150" t="str">
            <v>Z95.5</v>
          </cell>
          <cell r="B14150" t="str">
            <v>Presencia de angioplastia, injertos y prótesis coronarias</v>
          </cell>
        </row>
        <row r="14151">
          <cell r="A14151" t="str">
            <v>Z95.8</v>
          </cell>
          <cell r="B14151" t="str">
            <v>Presencia de otros injertos y prótesis cardiovasculares</v>
          </cell>
        </row>
        <row r="14152">
          <cell r="A14152" t="str">
            <v>Z95.9</v>
          </cell>
          <cell r="B14152" t="str">
            <v>Presencia de injertos e implantes cardiovasculares no especificados</v>
          </cell>
        </row>
        <row r="14153">
          <cell r="A14153" t="str">
            <v>Z96</v>
          </cell>
          <cell r="B14153" t="str">
            <v>Presencia de otros implantes funcionales</v>
          </cell>
        </row>
        <row r="14154">
          <cell r="A14154" t="str">
            <v>Z96.0</v>
          </cell>
          <cell r="B14154" t="str">
            <v>Presencia de implante urogenital</v>
          </cell>
        </row>
        <row r="14155">
          <cell r="A14155" t="str">
            <v>Z96.1</v>
          </cell>
          <cell r="B14155" t="str">
            <v>Presencia de lentes intraoculares</v>
          </cell>
        </row>
        <row r="14156">
          <cell r="A14156" t="str">
            <v>Z96.2</v>
          </cell>
          <cell r="B14156" t="str">
            <v>Presencia de implantes óticos y auditivos</v>
          </cell>
        </row>
        <row r="14157">
          <cell r="A14157" t="str">
            <v>Z96.3</v>
          </cell>
          <cell r="B14157" t="str">
            <v>Presencia de laringe artificial</v>
          </cell>
        </row>
        <row r="14158">
          <cell r="A14158" t="str">
            <v>Z96.4</v>
          </cell>
          <cell r="B14158" t="str">
            <v>Presencia de implantes endocrinos</v>
          </cell>
        </row>
        <row r="14159">
          <cell r="A14159" t="str">
            <v>Z96.5</v>
          </cell>
          <cell r="B14159" t="str">
            <v>Presencia de implantes de raíz de diente y de mandíbula</v>
          </cell>
        </row>
        <row r="14160">
          <cell r="A14160" t="str">
            <v>Z96.6</v>
          </cell>
          <cell r="B14160" t="str">
            <v>Presencia de implante ortopédico articular</v>
          </cell>
        </row>
        <row r="14161">
          <cell r="A14161" t="str">
            <v>Z96.7</v>
          </cell>
          <cell r="B14161" t="str">
            <v>Presencia de otros implantes de tendones y huesos</v>
          </cell>
        </row>
        <row r="14162">
          <cell r="A14162" t="str">
            <v>Z96.8</v>
          </cell>
          <cell r="B14162" t="str">
            <v>Presencia de otros implantes funcionales especificados</v>
          </cell>
        </row>
        <row r="14163">
          <cell r="A14163" t="str">
            <v>Z96.9</v>
          </cell>
          <cell r="B14163" t="str">
            <v>Presencia de implantes funcionales no especificados</v>
          </cell>
        </row>
        <row r="14164">
          <cell r="A14164" t="str">
            <v>Z97</v>
          </cell>
          <cell r="B14164" t="str">
            <v>Presencia de otros dispositivos</v>
          </cell>
        </row>
        <row r="14165">
          <cell r="A14165" t="str">
            <v>Z97.0</v>
          </cell>
          <cell r="B14165" t="str">
            <v>Presencia de ojo artificial</v>
          </cell>
        </row>
        <row r="14166">
          <cell r="A14166" t="str">
            <v>Z97.1</v>
          </cell>
          <cell r="B14166" t="str">
            <v>Presencia de miembro artificial (completo) (parcial)</v>
          </cell>
        </row>
        <row r="14167">
          <cell r="A14167" t="str">
            <v>Z97.2</v>
          </cell>
          <cell r="B14167" t="str">
            <v>Presencia de dispositivo protésico dental (completo) (parcial)</v>
          </cell>
        </row>
        <row r="14168">
          <cell r="A14168" t="str">
            <v>Z97.3</v>
          </cell>
          <cell r="B14168" t="str">
            <v>Presencia de anteojos y lentes de contacto</v>
          </cell>
        </row>
        <row r="14169">
          <cell r="A14169" t="str">
            <v>Z97.4</v>
          </cell>
          <cell r="B14169" t="str">
            <v>Presencia de audífono externo</v>
          </cell>
        </row>
        <row r="14170">
          <cell r="A14170" t="str">
            <v>Z97.5</v>
          </cell>
          <cell r="B14170" t="str">
            <v>Presencia de dispositivo anticonceptivo (intrauterino)</v>
          </cell>
        </row>
        <row r="14171">
          <cell r="A14171" t="str">
            <v>Z97.8</v>
          </cell>
          <cell r="B14171" t="str">
            <v>Presencia de otros dispositivos especificados</v>
          </cell>
        </row>
        <row r="14172">
          <cell r="A14172" t="str">
            <v>Z98</v>
          </cell>
          <cell r="B14172" t="str">
            <v>Otros estados postquirúrgicos</v>
          </cell>
        </row>
        <row r="14173">
          <cell r="A14173" t="str">
            <v>Z98.0</v>
          </cell>
          <cell r="B14173" t="str">
            <v>Estado de derivación intestinal o anastomosis</v>
          </cell>
        </row>
        <row r="14174">
          <cell r="A14174" t="str">
            <v>Z98.1</v>
          </cell>
          <cell r="B14174" t="str">
            <v>Estado de artrodesis</v>
          </cell>
        </row>
        <row r="14175">
          <cell r="A14175" t="str">
            <v>Z98.2</v>
          </cell>
          <cell r="B14175" t="str">
            <v>Presencia de dispositivo para drenaje de líquido cefalorraquídeo</v>
          </cell>
        </row>
        <row r="14176">
          <cell r="A14176" t="str">
            <v>Z98.8</v>
          </cell>
          <cell r="B14176" t="str">
            <v>Otros estados postquirúrgicos especificados</v>
          </cell>
        </row>
        <row r="14177">
          <cell r="A14177" t="str">
            <v>Z99</v>
          </cell>
          <cell r="B14177" t="str">
            <v>Dependencia de máquinas y dispositivos capacitantes, no clasificada en otra parte</v>
          </cell>
        </row>
        <row r="14178">
          <cell r="A14178" t="str">
            <v>Z99.0</v>
          </cell>
          <cell r="B14178" t="str">
            <v>Dependencia de aspirador</v>
          </cell>
        </row>
        <row r="14179">
          <cell r="A14179" t="str">
            <v>Z99.1</v>
          </cell>
          <cell r="B14179" t="str">
            <v>Dependencia de respirador</v>
          </cell>
        </row>
        <row r="14180">
          <cell r="A14180" t="str">
            <v>Z99.2</v>
          </cell>
          <cell r="B14180" t="str">
            <v>Dependencia de diálisis renal</v>
          </cell>
        </row>
        <row r="14181">
          <cell r="A14181" t="str">
            <v>Z99.3</v>
          </cell>
          <cell r="B14181" t="str">
            <v>Dependencia de silla de ruedas</v>
          </cell>
        </row>
        <row r="14182">
          <cell r="A14182" t="str">
            <v>Z99.8</v>
          </cell>
          <cell r="B14182" t="str">
            <v>Dependencia de otras máquinas y dispositivos capacitantes</v>
          </cell>
        </row>
        <row r="14183">
          <cell r="A14183" t="str">
            <v>Z99.9</v>
          </cell>
          <cell r="B14183" t="str">
            <v>Dependencia de máquina y dispositivo capacitante, no especificada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C17_Gra01"/>
      <sheetName val="AJUNPROV"/>
      <sheetName val="INFORM."/>
    </sheetNames>
    <sheetDataSet>
      <sheetData sheetId="0" refreshError="1"/>
      <sheetData sheetId="1">
        <row r="2">
          <cell r="A2" t="str">
            <v>A11</v>
          </cell>
          <cell r="B2" t="str">
            <v>1</v>
          </cell>
          <cell r="C2">
            <v>9</v>
          </cell>
        </row>
        <row r="3">
          <cell r="A3" t="str">
            <v>A12</v>
          </cell>
          <cell r="B3" t="str">
            <v>1</v>
          </cell>
          <cell r="C3">
            <v>130</v>
          </cell>
        </row>
        <row r="4">
          <cell r="A4" t="str">
            <v>A13</v>
          </cell>
          <cell r="B4" t="str">
            <v>1</v>
          </cell>
          <cell r="C4">
            <v>20591</v>
          </cell>
        </row>
        <row r="5">
          <cell r="A5" t="str">
            <v>A21</v>
          </cell>
          <cell r="B5" t="str">
            <v>2</v>
          </cell>
          <cell r="C5">
            <v>97</v>
          </cell>
        </row>
        <row r="6">
          <cell r="A6" t="str">
            <v>A22</v>
          </cell>
          <cell r="B6" t="str">
            <v>2</v>
          </cell>
          <cell r="C6">
            <v>1197</v>
          </cell>
        </row>
        <row r="7">
          <cell r="A7" t="str">
            <v>A23</v>
          </cell>
          <cell r="B7" t="str">
            <v>2</v>
          </cell>
          <cell r="C7">
            <v>2915</v>
          </cell>
        </row>
        <row r="8">
          <cell r="A8" t="str">
            <v>B11</v>
          </cell>
          <cell r="B8" t="str">
            <v>1</v>
          </cell>
          <cell r="C8">
            <v>16</v>
          </cell>
        </row>
        <row r="9">
          <cell r="A9" t="str">
            <v>B12</v>
          </cell>
          <cell r="B9" t="str">
            <v>1</v>
          </cell>
          <cell r="C9">
            <v>440</v>
          </cell>
        </row>
        <row r="10">
          <cell r="A10" t="str">
            <v>B13</v>
          </cell>
          <cell r="B10" t="str">
            <v>1</v>
          </cell>
          <cell r="C10">
            <v>1495</v>
          </cell>
        </row>
      </sheetData>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5_Ges03"/>
      <sheetName val="Hoja1"/>
      <sheetName val="C17_Gra01"/>
      <sheetName val="puni"/>
    </sheetNames>
    <sheetDataSet>
      <sheetData sheetId="0" refreshError="1">
        <row r="2">
          <cell r="A2" t="str">
            <v>AAS</v>
          </cell>
          <cell r="B2" t="str">
            <v>A</v>
          </cell>
          <cell r="C2" t="str">
            <v>S</v>
          </cell>
          <cell r="D2">
            <v>17091</v>
          </cell>
          <cell r="E2">
            <v>16831</v>
          </cell>
        </row>
        <row r="3">
          <cell r="A3" t="str">
            <v>ABS</v>
          </cell>
          <cell r="B3" t="str">
            <v>B</v>
          </cell>
          <cell r="C3" t="str">
            <v>S</v>
          </cell>
          <cell r="D3">
            <v>123453</v>
          </cell>
          <cell r="E3">
            <v>118035</v>
          </cell>
        </row>
        <row r="4">
          <cell r="A4" t="str">
            <v>ACN</v>
          </cell>
          <cell r="B4" t="str">
            <v>C</v>
          </cell>
          <cell r="C4" t="str">
            <v>N</v>
          </cell>
          <cell r="D4">
            <v>251</v>
          </cell>
          <cell r="E4">
            <v>148</v>
          </cell>
        </row>
        <row r="5">
          <cell r="A5" t="str">
            <v>ACS</v>
          </cell>
          <cell r="B5" t="str">
            <v>C</v>
          </cell>
          <cell r="C5" t="str">
            <v>S</v>
          </cell>
          <cell r="D5">
            <v>395</v>
          </cell>
          <cell r="E5">
            <v>379</v>
          </cell>
        </row>
        <row r="6">
          <cell r="A6" t="str">
            <v>AES</v>
          </cell>
          <cell r="B6" t="str">
            <v>E</v>
          </cell>
          <cell r="C6" t="str">
            <v>S</v>
          </cell>
          <cell r="D6">
            <v>563</v>
          </cell>
          <cell r="E6">
            <v>400</v>
          </cell>
        </row>
        <row r="7">
          <cell r="A7" t="str">
            <v>AFS</v>
          </cell>
          <cell r="B7" t="str">
            <v>F</v>
          </cell>
          <cell r="C7" t="str">
            <v>S</v>
          </cell>
          <cell r="D7">
            <v>64039</v>
          </cell>
          <cell r="E7">
            <v>59619</v>
          </cell>
        </row>
        <row r="8">
          <cell r="A8" t="str">
            <v>AGN</v>
          </cell>
          <cell r="B8" t="str">
            <v>G</v>
          </cell>
          <cell r="C8" t="str">
            <v>N</v>
          </cell>
          <cell r="D8">
            <v>912</v>
          </cell>
          <cell r="E8">
            <v>639</v>
          </cell>
        </row>
        <row r="9">
          <cell r="A9" t="str">
            <v>AGS</v>
          </cell>
          <cell r="B9" t="str">
            <v>G</v>
          </cell>
          <cell r="C9" t="str">
            <v>S</v>
          </cell>
          <cell r="D9">
            <v>1799</v>
          </cell>
          <cell r="E9">
            <v>1098</v>
          </cell>
        </row>
        <row r="10">
          <cell r="A10" t="str">
            <v>AKS</v>
          </cell>
          <cell r="B10" t="str">
            <v>K</v>
          </cell>
          <cell r="C10" t="str">
            <v>S</v>
          </cell>
          <cell r="D10">
            <v>722</v>
          </cell>
          <cell r="E10">
            <v>1478</v>
          </cell>
        </row>
        <row r="11">
          <cell r="A11" t="str">
            <v>ALN</v>
          </cell>
          <cell r="B11" t="str">
            <v>L</v>
          </cell>
          <cell r="C11" t="str">
            <v>N</v>
          </cell>
          <cell r="D11">
            <v>26</v>
          </cell>
          <cell r="E11">
            <v>181</v>
          </cell>
        </row>
        <row r="12">
          <cell r="A12" t="str">
            <v>ALS</v>
          </cell>
          <cell r="B12" t="str">
            <v>L</v>
          </cell>
          <cell r="C12" t="str">
            <v>S</v>
          </cell>
          <cell r="D12">
            <v>1153</v>
          </cell>
          <cell r="E12">
            <v>3600</v>
          </cell>
        </row>
        <row r="13">
          <cell r="A13" t="str">
            <v>AMS</v>
          </cell>
          <cell r="B13" t="str">
            <v>M</v>
          </cell>
          <cell r="C13" t="str">
            <v>S</v>
          </cell>
          <cell r="D13">
            <v>336</v>
          </cell>
          <cell r="E13">
            <v>89</v>
          </cell>
        </row>
        <row r="14">
          <cell r="A14" t="str">
            <v>ATS</v>
          </cell>
          <cell r="B14" t="str">
            <v>T</v>
          </cell>
          <cell r="C14" t="str">
            <v>S</v>
          </cell>
          <cell r="D14">
            <v>3053</v>
          </cell>
          <cell r="E14">
            <v>2870</v>
          </cell>
        </row>
        <row r="15">
          <cell r="A15" t="str">
            <v>BAS</v>
          </cell>
          <cell r="B15" t="str">
            <v>A</v>
          </cell>
          <cell r="C15" t="str">
            <v>S</v>
          </cell>
          <cell r="D15">
            <v>3684</v>
          </cell>
          <cell r="E15">
            <v>3606</v>
          </cell>
        </row>
        <row r="16">
          <cell r="A16" t="str">
            <v>BBS</v>
          </cell>
          <cell r="B16" t="str">
            <v>B</v>
          </cell>
          <cell r="C16" t="str">
            <v>S</v>
          </cell>
          <cell r="D16">
            <v>14859</v>
          </cell>
          <cell r="E16">
            <v>13079</v>
          </cell>
        </row>
        <row r="17">
          <cell r="A17" t="str">
            <v>BCN</v>
          </cell>
          <cell r="B17" t="str">
            <v>C</v>
          </cell>
          <cell r="C17" t="str">
            <v>N</v>
          </cell>
          <cell r="D17">
            <v>72</v>
          </cell>
          <cell r="E17">
            <v>84</v>
          </cell>
        </row>
        <row r="18">
          <cell r="A18" t="str">
            <v>BCS</v>
          </cell>
          <cell r="B18" t="str">
            <v>C</v>
          </cell>
          <cell r="C18" t="str">
            <v>S</v>
          </cell>
          <cell r="D18">
            <v>32</v>
          </cell>
          <cell r="E18">
            <v>62</v>
          </cell>
        </row>
        <row r="19">
          <cell r="A19" t="str">
            <v>BES</v>
          </cell>
          <cell r="B19" t="str">
            <v>E</v>
          </cell>
          <cell r="C19" t="str">
            <v>S</v>
          </cell>
          <cell r="D19">
            <v>147</v>
          </cell>
          <cell r="E19">
            <v>129</v>
          </cell>
        </row>
        <row r="20">
          <cell r="A20" t="str">
            <v>BFS</v>
          </cell>
          <cell r="B20" t="str">
            <v>F</v>
          </cell>
          <cell r="C20" t="str">
            <v>S</v>
          </cell>
          <cell r="D20">
            <v>9882</v>
          </cell>
          <cell r="E20">
            <v>7652</v>
          </cell>
        </row>
        <row r="21">
          <cell r="A21" t="str">
            <v>BGN</v>
          </cell>
          <cell r="B21" t="str">
            <v>G</v>
          </cell>
          <cell r="C21" t="str">
            <v>N</v>
          </cell>
          <cell r="D21">
            <v>1227</v>
          </cell>
          <cell r="E21">
            <v>1366</v>
          </cell>
        </row>
        <row r="22">
          <cell r="A22" t="str">
            <v>BGS</v>
          </cell>
          <cell r="B22" t="str">
            <v>G</v>
          </cell>
          <cell r="C22" t="str">
            <v>S</v>
          </cell>
          <cell r="D22">
            <v>56</v>
          </cell>
          <cell r="E22">
            <v>56</v>
          </cell>
        </row>
        <row r="23">
          <cell r="A23" t="str">
            <v>BKS</v>
          </cell>
          <cell r="B23" t="str">
            <v>K</v>
          </cell>
          <cell r="C23" t="str">
            <v>S</v>
          </cell>
          <cell r="D23">
            <v>641</v>
          </cell>
          <cell r="E23">
            <v>1831</v>
          </cell>
        </row>
        <row r="24">
          <cell r="A24" t="str">
            <v>BLN</v>
          </cell>
          <cell r="B24" t="str">
            <v>L</v>
          </cell>
          <cell r="C24" t="str">
            <v>N</v>
          </cell>
          <cell r="D24">
            <v>35</v>
          </cell>
          <cell r="E24">
            <v>106</v>
          </cell>
        </row>
        <row r="25">
          <cell r="A25" t="str">
            <v>BLS</v>
          </cell>
          <cell r="B25" t="str">
            <v>L</v>
          </cell>
          <cell r="C25" t="str">
            <v>S</v>
          </cell>
          <cell r="D25">
            <v>1750</v>
          </cell>
          <cell r="E25">
            <v>2728</v>
          </cell>
        </row>
        <row r="26">
          <cell r="A26" t="str">
            <v>BTS</v>
          </cell>
          <cell r="B26" t="str">
            <v>T</v>
          </cell>
          <cell r="C26" t="str">
            <v>S</v>
          </cell>
          <cell r="D26">
            <v>3162</v>
          </cell>
          <cell r="E26">
            <v>4700</v>
          </cell>
        </row>
      </sheetData>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
      <sheetName val="Poblacion Diresa"/>
      <sheetName val="CDE Minsa"/>
      <sheetName val="Estandares Fuente (2)"/>
      <sheetName val="Standares"/>
      <sheetName val="Est"/>
      <sheetName val="Informacion"/>
      <sheetName val="P11"/>
      <sheetName val="P21"/>
      <sheetName val="P31"/>
      <sheetName val="D CONS"/>
      <sheetName val="PMF (2)"/>
      <sheetName val="PMF"/>
      <sheetName val=" B.RHUS"/>
      <sheetName val="Ratios"/>
      <sheetName val="PMF "/>
      <sheetName val="Demanda Cons"/>
      <sheetName val="Estandar I"/>
      <sheetName val="Estandar II"/>
      <sheetName val="Paso 1 Of.Op.PMF ASIST"/>
      <sheetName val="Paso 2 Demanda"/>
      <sheetName val="Paso 3 Necesidad "/>
      <sheetName val="3.1 Neces. Enfermeria"/>
      <sheetName val="Paso 4 Disponi y Paso 5 Brecha "/>
      <sheetName val="Costo Inversión"/>
      <sheetName val="PMA oxa"/>
      <sheetName val="c. infraest"/>
      <sheetName val="EXP. TEC. oxa"/>
      <sheetName val="SUPERV.oxa"/>
      <sheetName val="Prog.Capac"/>
      <sheetName val="IA"/>
      <sheetName val="Pcon"/>
      <sheetName val="G.G.oxa"/>
      <sheetName val="LB"/>
      <sheetName val="P. Equip.UPSS"/>
      <sheetName val="Cos Equi"/>
      <sheetName val="CT equi"/>
      <sheetName val="Total Costo de Inversión "/>
      <sheetName val="Plan IMPL"/>
      <sheetName val="MF"/>
      <sheetName val="O - M"/>
      <sheetName val="cRHUSsPIP"/>
      <sheetName val="cRHUScPIP"/>
      <sheetName val="BySs PIP"/>
      <sheetName val="BySc PIP"/>
      <sheetName val="D. Mant"/>
      <sheetName val="c.Mant"/>
      <sheetName val="O&amp;M."/>
      <sheetName val="RRHH"/>
      <sheetName val="VACSN"/>
      <sheetName val="Sensib. IE-VACSN"/>
      <sheetName val="Hoja5"/>
      <sheetName val="Optimiz_Equip"/>
      <sheetName val="Optimiz_RR.HH."/>
      <sheetName val="Demanda Cons (2)"/>
      <sheetName val="Optimiz_Infraes"/>
      <sheetName val="Res_Optim"/>
      <sheetName val="Brecha"/>
      <sheetName val="C. equipo"/>
    </sheetNames>
    <sheetDataSet>
      <sheetData sheetId="0">
        <row r="26">
          <cell r="H26">
            <v>1.5443206405577392</v>
          </cell>
        </row>
      </sheetData>
      <sheetData sheetId="1">
        <row r="26">
          <cell r="H26">
            <v>1.5443206405577392</v>
          </cell>
        </row>
      </sheetData>
      <sheetData sheetId="2"/>
      <sheetData sheetId="3"/>
      <sheetData sheetId="4">
        <row r="26">
          <cell r="H26">
            <v>1.5443206405577392</v>
          </cell>
        </row>
      </sheetData>
      <sheetData sheetId="5">
        <row r="26">
          <cell r="H26">
            <v>1.5443206405577392</v>
          </cell>
        </row>
      </sheetData>
      <sheetData sheetId="6">
        <row r="26">
          <cell r="H26">
            <v>1.5443206405577392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ow r="224">
          <cell r="R224">
            <v>77234.991999999955</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SA--&gt;"/>
      <sheetName val="COMPLETO"/>
      <sheetName val="BD"/>
      <sheetName val="Minsa_Morbilidad V2"/>
      <sheetName val="Minsa_Morbilidad General"/>
      <sheetName val="camas"/>
      <sheetName val="hcg"/>
      <sheetName val="hcg2"/>
      <sheetName val="Minsa_Estandares- Fuente "/>
      <sheetName val="Hiss NUEVO"/>
      <sheetName val="Minsa_Producción"/>
      <sheetName val="Poblacion--&gt;"/>
      <sheetName val="Poblac."/>
      <sheetName val="Demanda--&gt;"/>
      <sheetName val="Demanda"/>
      <sheetName val="P1"/>
      <sheetName val="P2"/>
      <sheetName val="P3"/>
      <sheetName val="PM Dic"/>
      <sheetName val="PMF--&gt;"/>
      <sheetName val="CONTINGENCIA"/>
      <sheetName val="Optimizacion--&gt;"/>
      <sheetName val="01 RRHH parte 1"/>
      <sheetName val="01 RRHH  Hoja1"/>
      <sheetName val="01 RRHH  Hoja2"/>
      <sheetName val="01 RRHH resumen"/>
      <sheetName val="02. rrff 1. actual franco"/>
      <sheetName val="02. rrff  2. calidad urteaga"/>
      <sheetName val="02. rrff 3. resumen que utilizo"/>
      <sheetName val="03. Eq  . dr torres"/>
      <sheetName val="03. Eq  . 2. resumen el que uso"/>
      <sheetName val="Optimizacion"/>
      <sheetName val="Brecha"/>
      <sheetName val="Hoja3"/>
      <sheetName val="Hoja5"/>
      <sheetName val="Hoja6"/>
      <sheetName val="Cronograma Fisico y Financ"/>
      <sheetName val="PROYECCION GLOB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
          <cell r="C1">
            <v>1.6324660724724938E-2</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cion"/>
      <sheetName val="Cap01001"/>
      <sheetName val="Cap0101"/>
      <sheetName val="Cap02001"/>
      <sheetName val="Data Cap02001"/>
      <sheetName val="Cap0202"/>
      <sheetName val="Data Cap02002"/>
      <sheetName val="Cap0203"/>
      <sheetName val="Data Cap02003"/>
      <sheetName val="Cap0204"/>
      <sheetName val="Data Cap02004"/>
      <sheetName val="Cap0205"/>
      <sheetName val="Data Cap02005"/>
      <sheetName val="Cap0206"/>
      <sheetName val="Data Cap02006"/>
      <sheetName val="Cap0301"/>
      <sheetName val="Data Cap03001"/>
      <sheetName val="Cap0302"/>
      <sheetName val="Data Cap03002"/>
      <sheetName val="Cap0303"/>
      <sheetName val="Data Cap03003"/>
      <sheetName val="Cap0304"/>
      <sheetName val="Data Cap03004"/>
      <sheetName val="Cap0305"/>
      <sheetName val="Data Cap03005"/>
      <sheetName val="Cap0306"/>
      <sheetName val="Data Cap03006"/>
      <sheetName val="Cap0307"/>
      <sheetName val="Data Cap03007"/>
      <sheetName val="Cap0308"/>
      <sheetName val="Data Cap03008"/>
      <sheetName val="Cap03009"/>
      <sheetName val="Data Cap03009"/>
      <sheetName val="Cap03010"/>
      <sheetName val="Data Cap03010"/>
      <sheetName val="Cap03011"/>
      <sheetName val="Data Cap03011"/>
      <sheetName val="Cap0401"/>
      <sheetName val="Data Cap04001"/>
      <sheetName val="Data Cap04001-002-Totales"/>
      <sheetName val="Cap0402"/>
      <sheetName val="Data Cap04002"/>
      <sheetName val="Cap04003"/>
      <sheetName val="Data Cap04003"/>
      <sheetName val="Cap05001"/>
      <sheetName val="Preliquidado"/>
      <sheetName val="Preliquidado DS"/>
      <sheetName val="Capita"/>
      <sheetName val="Capita DS"/>
      <sheetName val="PSE"/>
      <sheetName val="Serv Complementario"/>
      <sheetName val="RO-RD"/>
      <sheetName val="EsSalu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
          <cell r="D2">
            <v>10321</v>
          </cell>
          <cell r="E2">
            <v>9239</v>
          </cell>
          <cell r="F2">
            <v>5772</v>
          </cell>
          <cell r="G2">
            <v>7602</v>
          </cell>
          <cell r="H2">
            <v>14974</v>
          </cell>
          <cell r="I2">
            <v>6294</v>
          </cell>
        </row>
        <row r="3">
          <cell r="D3">
            <v>6969</v>
          </cell>
          <cell r="E3">
            <v>4557</v>
          </cell>
          <cell r="F3">
            <v>3071</v>
          </cell>
          <cell r="G3">
            <v>4948</v>
          </cell>
          <cell r="H3">
            <v>8144</v>
          </cell>
          <cell r="I3">
            <v>2361</v>
          </cell>
        </row>
        <row r="4">
          <cell r="D4">
            <v>1120</v>
          </cell>
          <cell r="E4">
            <v>375</v>
          </cell>
          <cell r="F4">
            <v>369</v>
          </cell>
          <cell r="G4">
            <v>1174</v>
          </cell>
          <cell r="H4">
            <v>1451</v>
          </cell>
          <cell r="I4">
            <v>774</v>
          </cell>
        </row>
        <row r="5">
          <cell r="D5">
            <v>7616</v>
          </cell>
          <cell r="E5">
            <v>3384</v>
          </cell>
          <cell r="F5">
            <v>2270</v>
          </cell>
          <cell r="G5">
            <v>3724</v>
          </cell>
          <cell r="H5">
            <v>4155</v>
          </cell>
          <cell r="I5">
            <v>515</v>
          </cell>
        </row>
        <row r="6">
          <cell r="D6">
            <v>1180</v>
          </cell>
          <cell r="E6">
            <v>506</v>
          </cell>
          <cell r="F6">
            <v>296</v>
          </cell>
          <cell r="G6">
            <v>903</v>
          </cell>
          <cell r="H6">
            <v>1146</v>
          </cell>
          <cell r="I6">
            <v>489</v>
          </cell>
        </row>
        <row r="7">
          <cell r="D7">
            <v>8696</v>
          </cell>
          <cell r="E7">
            <v>6197</v>
          </cell>
          <cell r="F7">
            <v>3568</v>
          </cell>
          <cell r="G7">
            <v>4989</v>
          </cell>
          <cell r="H7">
            <v>8661</v>
          </cell>
          <cell r="I7">
            <v>2833</v>
          </cell>
        </row>
        <row r="8">
          <cell r="D8">
            <v>35020</v>
          </cell>
          <cell r="E8">
            <v>24060</v>
          </cell>
          <cell r="F8">
            <v>15101</v>
          </cell>
          <cell r="G8">
            <v>22576</v>
          </cell>
          <cell r="H8">
            <v>37580</v>
          </cell>
          <cell r="I8">
            <v>12811</v>
          </cell>
        </row>
        <row r="9">
          <cell r="D9">
            <v>13865</v>
          </cell>
          <cell r="E9">
            <v>9613</v>
          </cell>
          <cell r="F9">
            <v>5514</v>
          </cell>
          <cell r="G9">
            <v>10678</v>
          </cell>
          <cell r="H9">
            <v>18779</v>
          </cell>
          <cell r="I9">
            <v>9568</v>
          </cell>
        </row>
        <row r="10">
          <cell r="D10">
            <v>1932</v>
          </cell>
          <cell r="E10">
            <v>632</v>
          </cell>
          <cell r="F10">
            <v>570</v>
          </cell>
          <cell r="G10">
            <v>2254</v>
          </cell>
          <cell r="H10">
            <v>3189</v>
          </cell>
          <cell r="I10">
            <v>1739</v>
          </cell>
        </row>
        <row r="11">
          <cell r="D11">
            <v>2106</v>
          </cell>
          <cell r="E11">
            <v>727</v>
          </cell>
          <cell r="F11">
            <v>438</v>
          </cell>
          <cell r="G11">
            <v>1774</v>
          </cell>
          <cell r="H11">
            <v>3093</v>
          </cell>
          <cell r="I11">
            <v>1526</v>
          </cell>
        </row>
        <row r="12">
          <cell r="D12">
            <v>1743</v>
          </cell>
          <cell r="E12">
            <v>800</v>
          </cell>
          <cell r="F12">
            <v>503</v>
          </cell>
          <cell r="G12">
            <v>2095</v>
          </cell>
          <cell r="H12">
            <v>3881</v>
          </cell>
          <cell r="I12">
            <v>2042</v>
          </cell>
        </row>
        <row r="13">
          <cell r="D13">
            <v>7826</v>
          </cell>
          <cell r="E13">
            <v>6389</v>
          </cell>
          <cell r="F13">
            <v>4302</v>
          </cell>
          <cell r="G13">
            <v>5673</v>
          </cell>
          <cell r="H13">
            <v>10377</v>
          </cell>
          <cell r="I13">
            <v>4391</v>
          </cell>
        </row>
        <row r="14">
          <cell r="D14">
            <v>5450</v>
          </cell>
          <cell r="E14">
            <v>6898</v>
          </cell>
          <cell r="F14">
            <v>4901</v>
          </cell>
          <cell r="G14">
            <v>4153</v>
          </cell>
          <cell r="H14">
            <v>8935</v>
          </cell>
          <cell r="I14">
            <v>3395</v>
          </cell>
        </row>
        <row r="15">
          <cell r="D15">
            <v>7057</v>
          </cell>
          <cell r="E15">
            <v>7100</v>
          </cell>
          <cell r="F15">
            <v>4704</v>
          </cell>
          <cell r="G15">
            <v>4724</v>
          </cell>
          <cell r="H15">
            <v>9111</v>
          </cell>
          <cell r="I15">
            <v>3757</v>
          </cell>
        </row>
        <row r="16">
          <cell r="D16">
            <v>8236</v>
          </cell>
          <cell r="E16">
            <v>6467</v>
          </cell>
          <cell r="F16">
            <v>3684</v>
          </cell>
          <cell r="G16">
            <v>7563</v>
          </cell>
          <cell r="H16">
            <v>11593</v>
          </cell>
          <cell r="I16">
            <v>3685</v>
          </cell>
        </row>
        <row r="17">
          <cell r="D17">
            <v>10931</v>
          </cell>
          <cell r="E17">
            <v>8340</v>
          </cell>
          <cell r="F17">
            <v>4465</v>
          </cell>
          <cell r="G17">
            <v>8817</v>
          </cell>
          <cell r="H17">
            <v>14282</v>
          </cell>
          <cell r="I17">
            <v>5167</v>
          </cell>
        </row>
        <row r="19">
          <cell r="D19">
            <v>55277</v>
          </cell>
          <cell r="E19">
            <v>45701</v>
          </cell>
          <cell r="F19">
            <v>28129</v>
          </cell>
          <cell r="G19">
            <v>43754</v>
          </cell>
          <cell r="H19">
            <v>76523</v>
          </cell>
          <cell r="I19">
            <v>31978</v>
          </cell>
        </row>
        <row r="20">
          <cell r="D20">
            <v>10183</v>
          </cell>
          <cell r="E20">
            <v>7264</v>
          </cell>
          <cell r="F20">
            <v>4208</v>
          </cell>
          <cell r="G20">
            <v>6534</v>
          </cell>
          <cell r="H20">
            <v>10816</v>
          </cell>
          <cell r="I20">
            <v>5751</v>
          </cell>
        </row>
        <row r="21">
          <cell r="D21">
            <v>805</v>
          </cell>
          <cell r="E21">
            <v>295</v>
          </cell>
          <cell r="F21">
            <v>265</v>
          </cell>
          <cell r="G21">
            <v>1055</v>
          </cell>
          <cell r="H21">
            <v>1537</v>
          </cell>
          <cell r="I21">
            <v>896</v>
          </cell>
        </row>
        <row r="22">
          <cell r="D22">
            <v>739</v>
          </cell>
          <cell r="E22">
            <v>180</v>
          </cell>
          <cell r="F22">
            <v>230</v>
          </cell>
          <cell r="G22">
            <v>754</v>
          </cell>
          <cell r="H22">
            <v>985</v>
          </cell>
          <cell r="I22">
            <v>477</v>
          </cell>
        </row>
        <row r="23">
          <cell r="D23">
            <v>3566</v>
          </cell>
          <cell r="E23">
            <v>2917</v>
          </cell>
          <cell r="F23">
            <v>1855</v>
          </cell>
          <cell r="G23">
            <v>1964</v>
          </cell>
          <cell r="H23">
            <v>4110</v>
          </cell>
          <cell r="I23">
            <v>2935</v>
          </cell>
        </row>
        <row r="24">
          <cell r="D24">
            <v>7246</v>
          </cell>
          <cell r="E24">
            <v>5085</v>
          </cell>
          <cell r="F24">
            <v>2962</v>
          </cell>
          <cell r="G24">
            <v>5933</v>
          </cell>
          <cell r="H24">
            <v>9007</v>
          </cell>
          <cell r="I24">
            <v>4192</v>
          </cell>
        </row>
        <row r="25">
          <cell r="D25">
            <v>1532</v>
          </cell>
          <cell r="E25">
            <v>1585</v>
          </cell>
          <cell r="F25">
            <v>875</v>
          </cell>
          <cell r="G25">
            <v>1184</v>
          </cell>
          <cell r="H25">
            <v>2632</v>
          </cell>
          <cell r="I25">
            <v>1361</v>
          </cell>
        </row>
        <row r="26">
          <cell r="D26">
            <v>3568</v>
          </cell>
          <cell r="E26">
            <v>1865</v>
          </cell>
          <cell r="F26">
            <v>1434</v>
          </cell>
          <cell r="G26">
            <v>1961</v>
          </cell>
          <cell r="H26">
            <v>3149</v>
          </cell>
          <cell r="I26">
            <v>1163</v>
          </cell>
        </row>
        <row r="27">
          <cell r="D27">
            <v>572</v>
          </cell>
          <cell r="E27">
            <v>862</v>
          </cell>
          <cell r="F27">
            <v>580</v>
          </cell>
          <cell r="G27">
            <v>514</v>
          </cell>
          <cell r="H27">
            <v>1438</v>
          </cell>
          <cell r="I27">
            <v>833</v>
          </cell>
        </row>
        <row r="28">
          <cell r="D28">
            <v>1639</v>
          </cell>
          <cell r="E28">
            <v>1261</v>
          </cell>
          <cell r="F28">
            <v>1370</v>
          </cell>
          <cell r="G28">
            <v>1183</v>
          </cell>
          <cell r="H28">
            <v>3092</v>
          </cell>
          <cell r="I28">
            <v>2088</v>
          </cell>
        </row>
        <row r="30">
          <cell r="D30">
            <v>28431</v>
          </cell>
          <cell r="E30">
            <v>21006</v>
          </cell>
          <cell r="F30">
            <v>13473</v>
          </cell>
          <cell r="G30">
            <v>19699</v>
          </cell>
          <cell r="H30">
            <v>34939</v>
          </cell>
          <cell r="I30">
            <v>18800</v>
          </cell>
        </row>
        <row r="31">
          <cell r="D31">
            <v>1806</v>
          </cell>
          <cell r="E31">
            <v>872</v>
          </cell>
          <cell r="F31">
            <v>505</v>
          </cell>
          <cell r="G31">
            <v>1194</v>
          </cell>
          <cell r="H31">
            <v>1754</v>
          </cell>
          <cell r="I31">
            <v>865</v>
          </cell>
        </row>
        <row r="32">
          <cell r="D32">
            <v>1698</v>
          </cell>
          <cell r="E32">
            <v>399</v>
          </cell>
          <cell r="F32">
            <v>322</v>
          </cell>
          <cell r="G32">
            <v>1634</v>
          </cell>
          <cell r="H32">
            <v>2638</v>
          </cell>
          <cell r="I32">
            <v>1802</v>
          </cell>
        </row>
        <row r="33">
          <cell r="D33">
            <v>1922</v>
          </cell>
          <cell r="E33">
            <v>663</v>
          </cell>
          <cell r="F33">
            <v>540</v>
          </cell>
          <cell r="G33">
            <v>2217</v>
          </cell>
          <cell r="H33">
            <v>3880</v>
          </cell>
          <cell r="I33">
            <v>2123</v>
          </cell>
        </row>
        <row r="34">
          <cell r="D34">
            <v>4362</v>
          </cell>
          <cell r="E34">
            <v>2215</v>
          </cell>
          <cell r="F34">
            <v>943</v>
          </cell>
          <cell r="G34">
            <v>2649</v>
          </cell>
          <cell r="H34">
            <v>4035</v>
          </cell>
          <cell r="I34">
            <v>1552</v>
          </cell>
        </row>
        <row r="35">
          <cell r="D35">
            <v>2707</v>
          </cell>
          <cell r="E35">
            <v>3102</v>
          </cell>
          <cell r="F35">
            <v>1534</v>
          </cell>
          <cell r="G35">
            <v>1847</v>
          </cell>
          <cell r="H35">
            <v>4090</v>
          </cell>
          <cell r="I35">
            <v>2619</v>
          </cell>
        </row>
        <row r="36">
          <cell r="D36">
            <v>30780</v>
          </cell>
          <cell r="E36">
            <v>12656</v>
          </cell>
          <cell r="F36">
            <v>6341</v>
          </cell>
          <cell r="G36">
            <v>19906</v>
          </cell>
          <cell r="H36">
            <v>26157</v>
          </cell>
          <cell r="I36">
            <v>11797</v>
          </cell>
        </row>
        <row r="37">
          <cell r="D37">
            <v>21</v>
          </cell>
          <cell r="E37">
            <v>26</v>
          </cell>
          <cell r="F37">
            <v>32</v>
          </cell>
          <cell r="G37">
            <v>107</v>
          </cell>
          <cell r="H37">
            <v>631</v>
          </cell>
          <cell r="I37">
            <v>412</v>
          </cell>
        </row>
        <row r="38">
          <cell r="D38">
            <v>40730</v>
          </cell>
          <cell r="E38">
            <v>19288</v>
          </cell>
          <cell r="F38">
            <v>9695</v>
          </cell>
          <cell r="G38">
            <v>26865</v>
          </cell>
          <cell r="H38">
            <v>38810</v>
          </cell>
          <cell r="I38">
            <v>18808</v>
          </cell>
        </row>
        <row r="39">
          <cell r="D39">
            <v>2014</v>
          </cell>
          <cell r="E39">
            <v>670</v>
          </cell>
          <cell r="F39">
            <v>644</v>
          </cell>
          <cell r="G39">
            <v>2249</v>
          </cell>
          <cell r="H39">
            <v>3462</v>
          </cell>
          <cell r="I39">
            <v>1815</v>
          </cell>
        </row>
        <row r="40">
          <cell r="D40">
            <v>3057</v>
          </cell>
          <cell r="E40">
            <v>2485</v>
          </cell>
          <cell r="F40">
            <v>1534</v>
          </cell>
          <cell r="G40">
            <v>2567</v>
          </cell>
          <cell r="H40">
            <v>5127</v>
          </cell>
          <cell r="I40">
            <v>2892</v>
          </cell>
        </row>
        <row r="41">
          <cell r="D41">
            <v>5023</v>
          </cell>
          <cell r="E41">
            <v>4888</v>
          </cell>
          <cell r="F41">
            <v>4033</v>
          </cell>
          <cell r="G41">
            <v>4058</v>
          </cell>
          <cell r="H41">
            <v>10121</v>
          </cell>
          <cell r="I41">
            <v>6410</v>
          </cell>
        </row>
        <row r="42">
          <cell r="D42">
            <v>2822</v>
          </cell>
          <cell r="E42">
            <v>1976</v>
          </cell>
          <cell r="F42">
            <v>1809</v>
          </cell>
          <cell r="G42">
            <v>2275</v>
          </cell>
          <cell r="H42">
            <v>4139</v>
          </cell>
          <cell r="I42">
            <v>2275</v>
          </cell>
        </row>
        <row r="43">
          <cell r="D43">
            <v>5033</v>
          </cell>
          <cell r="E43">
            <v>3385</v>
          </cell>
          <cell r="F43">
            <v>3113</v>
          </cell>
          <cell r="G43">
            <v>4145</v>
          </cell>
          <cell r="H43">
            <v>6414</v>
          </cell>
          <cell r="I43">
            <v>2522</v>
          </cell>
        </row>
        <row r="44">
          <cell r="D44">
            <v>18372</v>
          </cell>
          <cell r="E44">
            <v>10655</v>
          </cell>
          <cell r="F44">
            <v>8769</v>
          </cell>
          <cell r="G44">
            <v>15624</v>
          </cell>
          <cell r="H44">
            <v>20859</v>
          </cell>
          <cell r="I44">
            <v>7999</v>
          </cell>
        </row>
        <row r="45">
          <cell r="D45">
            <v>2949</v>
          </cell>
          <cell r="E45">
            <v>2949</v>
          </cell>
          <cell r="F45">
            <v>2374</v>
          </cell>
          <cell r="G45">
            <v>2398</v>
          </cell>
          <cell r="H45">
            <v>4524</v>
          </cell>
          <cell r="I45">
            <v>2124</v>
          </cell>
        </row>
        <row r="46">
          <cell r="D46">
            <v>7042</v>
          </cell>
          <cell r="E46">
            <v>4850</v>
          </cell>
          <cell r="F46">
            <v>3137</v>
          </cell>
          <cell r="G46">
            <v>5446</v>
          </cell>
          <cell r="H46">
            <v>7373</v>
          </cell>
          <cell r="I46">
            <v>1601</v>
          </cell>
        </row>
        <row r="47">
          <cell r="D47">
            <v>44649</v>
          </cell>
          <cell r="E47">
            <v>31381</v>
          </cell>
          <cell r="F47">
            <v>24870</v>
          </cell>
          <cell r="G47">
            <v>36869</v>
          </cell>
          <cell r="H47">
            <v>59542</v>
          </cell>
          <cell r="I47">
            <v>26388</v>
          </cell>
        </row>
        <row r="48">
          <cell r="D48">
            <v>44448</v>
          </cell>
          <cell r="E48">
            <v>34498</v>
          </cell>
          <cell r="F48">
            <v>19931</v>
          </cell>
          <cell r="G48">
            <v>30292</v>
          </cell>
          <cell r="H48">
            <v>48265</v>
          </cell>
          <cell r="I48">
            <v>18378</v>
          </cell>
        </row>
        <row r="49">
          <cell r="D49">
            <v>18591</v>
          </cell>
          <cell r="E49">
            <v>18011</v>
          </cell>
          <cell r="F49">
            <v>11826</v>
          </cell>
          <cell r="G49">
            <v>12871</v>
          </cell>
          <cell r="H49">
            <v>29322</v>
          </cell>
          <cell r="I49">
            <v>11170</v>
          </cell>
        </row>
        <row r="50">
          <cell r="D50">
            <v>9488</v>
          </cell>
          <cell r="E50">
            <v>11972</v>
          </cell>
          <cell r="F50">
            <v>8931</v>
          </cell>
          <cell r="G50">
            <v>8815</v>
          </cell>
          <cell r="H50">
            <v>18506</v>
          </cell>
          <cell r="I50">
            <v>6246</v>
          </cell>
        </row>
        <row r="51">
          <cell r="D51">
            <v>12019</v>
          </cell>
          <cell r="E51">
            <v>9371</v>
          </cell>
          <cell r="F51">
            <v>6195</v>
          </cell>
          <cell r="G51">
            <v>7134</v>
          </cell>
          <cell r="H51">
            <v>12124</v>
          </cell>
          <cell r="I51">
            <v>3628</v>
          </cell>
        </row>
        <row r="52">
          <cell r="D52">
            <v>1712</v>
          </cell>
          <cell r="E52">
            <v>555</v>
          </cell>
          <cell r="F52">
            <v>593</v>
          </cell>
          <cell r="G52">
            <v>1961</v>
          </cell>
          <cell r="H52">
            <v>3563</v>
          </cell>
          <cell r="I52">
            <v>2271</v>
          </cell>
        </row>
        <row r="53">
          <cell r="D53">
            <v>2744</v>
          </cell>
          <cell r="E53">
            <v>829</v>
          </cell>
          <cell r="F53">
            <v>668</v>
          </cell>
          <cell r="G53">
            <v>1449</v>
          </cell>
          <cell r="H53">
            <v>2045</v>
          </cell>
          <cell r="I53">
            <v>960</v>
          </cell>
        </row>
        <row r="54">
          <cell r="D54">
            <v>1386</v>
          </cell>
          <cell r="E54">
            <v>438</v>
          </cell>
          <cell r="F54">
            <v>291</v>
          </cell>
          <cell r="G54">
            <v>1228</v>
          </cell>
          <cell r="H54">
            <v>1593</v>
          </cell>
          <cell r="I54">
            <v>619</v>
          </cell>
        </row>
        <row r="55">
          <cell r="D55">
            <v>12378</v>
          </cell>
          <cell r="E55">
            <v>9282</v>
          </cell>
          <cell r="F55">
            <v>5770</v>
          </cell>
          <cell r="G55">
            <v>5422</v>
          </cell>
          <cell r="H55">
            <v>8491</v>
          </cell>
          <cell r="I55">
            <v>2351</v>
          </cell>
        </row>
        <row r="57">
          <cell r="D57">
            <v>100655</v>
          </cell>
          <cell r="E57">
            <v>84388</v>
          </cell>
          <cell r="F57">
            <v>53537</v>
          </cell>
          <cell r="G57">
            <v>66766</v>
          </cell>
          <cell r="H57">
            <v>120218</v>
          </cell>
          <cell r="I57">
            <v>43837</v>
          </cell>
        </row>
        <row r="58">
          <cell r="D58">
            <v>28834</v>
          </cell>
          <cell r="E58">
            <v>15775</v>
          </cell>
          <cell r="F58">
            <v>8698</v>
          </cell>
          <cell r="G58">
            <v>21802</v>
          </cell>
          <cell r="H58">
            <v>33412</v>
          </cell>
          <cell r="I58">
            <v>12825</v>
          </cell>
        </row>
        <row r="59">
          <cell r="D59">
            <v>5239</v>
          </cell>
          <cell r="E59">
            <v>3079</v>
          </cell>
          <cell r="F59">
            <v>1953</v>
          </cell>
          <cell r="G59">
            <v>5631</v>
          </cell>
          <cell r="H59">
            <v>13248</v>
          </cell>
          <cell r="I59">
            <v>8373</v>
          </cell>
        </row>
        <row r="60">
          <cell r="D60">
            <v>2654</v>
          </cell>
          <cell r="E60">
            <v>1466</v>
          </cell>
          <cell r="F60">
            <v>1154</v>
          </cell>
          <cell r="G60">
            <v>3534</v>
          </cell>
          <cell r="H60">
            <v>7410</v>
          </cell>
          <cell r="I60">
            <v>3687</v>
          </cell>
        </row>
        <row r="61">
          <cell r="D61">
            <v>4587</v>
          </cell>
          <cell r="E61">
            <v>1803</v>
          </cell>
          <cell r="F61">
            <v>1108</v>
          </cell>
          <cell r="G61">
            <v>3771</v>
          </cell>
          <cell r="H61">
            <v>5208</v>
          </cell>
          <cell r="I61">
            <v>1971</v>
          </cell>
        </row>
        <row r="63">
          <cell r="D63">
            <v>33241</v>
          </cell>
          <cell r="E63">
            <v>19163</v>
          </cell>
          <cell r="F63">
            <v>11032</v>
          </cell>
          <cell r="G63">
            <v>27929</v>
          </cell>
          <cell r="H63">
            <v>46249</v>
          </cell>
          <cell r="I63">
            <v>19728</v>
          </cell>
        </row>
        <row r="64">
          <cell r="D64">
            <v>9193</v>
          </cell>
          <cell r="E64">
            <v>6342</v>
          </cell>
          <cell r="F64">
            <v>3718</v>
          </cell>
          <cell r="G64">
            <v>5144</v>
          </cell>
          <cell r="H64">
            <v>8574</v>
          </cell>
          <cell r="I64">
            <v>4355</v>
          </cell>
        </row>
        <row r="65">
          <cell r="D65">
            <v>2218</v>
          </cell>
          <cell r="E65">
            <v>673</v>
          </cell>
          <cell r="F65">
            <v>633</v>
          </cell>
          <cell r="G65">
            <v>2069</v>
          </cell>
          <cell r="H65">
            <v>3460</v>
          </cell>
          <cell r="I65">
            <v>1951</v>
          </cell>
        </row>
        <row r="66">
          <cell r="D66">
            <v>1689</v>
          </cell>
          <cell r="E66">
            <v>441</v>
          </cell>
          <cell r="F66">
            <v>466</v>
          </cell>
          <cell r="G66">
            <v>1839</v>
          </cell>
          <cell r="H66">
            <v>2740</v>
          </cell>
          <cell r="I66">
            <v>1659</v>
          </cell>
        </row>
        <row r="67">
          <cell r="D67">
            <v>7274</v>
          </cell>
          <cell r="E67">
            <v>11789</v>
          </cell>
          <cell r="F67">
            <v>4317</v>
          </cell>
          <cell r="G67">
            <v>5481</v>
          </cell>
          <cell r="H67">
            <v>10609</v>
          </cell>
          <cell r="I67">
            <v>4250</v>
          </cell>
        </row>
        <row r="68">
          <cell r="D68">
            <v>22894</v>
          </cell>
          <cell r="E68">
            <v>12680</v>
          </cell>
          <cell r="F68">
            <v>6945</v>
          </cell>
          <cell r="G68">
            <v>13041</v>
          </cell>
          <cell r="H68">
            <v>22012</v>
          </cell>
          <cell r="I68">
            <v>8303</v>
          </cell>
        </row>
        <row r="69">
          <cell r="D69">
            <v>4564</v>
          </cell>
          <cell r="E69">
            <v>2489</v>
          </cell>
          <cell r="F69">
            <v>1554</v>
          </cell>
          <cell r="G69">
            <v>3451</v>
          </cell>
          <cell r="H69">
            <v>4143</v>
          </cell>
          <cell r="I69">
            <v>738</v>
          </cell>
        </row>
        <row r="70">
          <cell r="D70">
            <v>22071</v>
          </cell>
          <cell r="E70">
            <v>9386</v>
          </cell>
          <cell r="F70">
            <v>6076</v>
          </cell>
          <cell r="G70">
            <v>13338</v>
          </cell>
          <cell r="H70">
            <v>20034</v>
          </cell>
          <cell r="I70">
            <v>7628</v>
          </cell>
        </row>
        <row r="71">
          <cell r="D71">
            <v>923</v>
          </cell>
          <cell r="E71">
            <v>337</v>
          </cell>
          <cell r="F71">
            <v>200</v>
          </cell>
          <cell r="G71">
            <v>592</v>
          </cell>
          <cell r="H71">
            <v>646</v>
          </cell>
          <cell r="I71">
            <v>312</v>
          </cell>
        </row>
        <row r="72">
          <cell r="D72">
            <v>1525</v>
          </cell>
          <cell r="E72">
            <v>687</v>
          </cell>
          <cell r="F72">
            <v>397</v>
          </cell>
          <cell r="G72">
            <v>1061</v>
          </cell>
          <cell r="H72">
            <v>1475</v>
          </cell>
          <cell r="I72">
            <v>752</v>
          </cell>
        </row>
        <row r="73">
          <cell r="D73">
            <v>1247</v>
          </cell>
          <cell r="E73">
            <v>361</v>
          </cell>
          <cell r="F73">
            <v>299</v>
          </cell>
          <cell r="G73">
            <v>936</v>
          </cell>
          <cell r="H73">
            <v>1358</v>
          </cell>
          <cell r="I73">
            <v>716</v>
          </cell>
        </row>
        <row r="74">
          <cell r="D74">
            <v>70320</v>
          </cell>
          <cell r="E74">
            <v>44273</v>
          </cell>
          <cell r="F74">
            <v>23748</v>
          </cell>
          <cell r="G74">
            <v>43367</v>
          </cell>
          <cell r="H74">
            <v>70003</v>
          </cell>
          <cell r="I74">
            <v>28006</v>
          </cell>
        </row>
        <row r="75">
          <cell r="D75">
            <v>779</v>
          </cell>
          <cell r="E75">
            <v>357</v>
          </cell>
          <cell r="F75">
            <v>316</v>
          </cell>
          <cell r="G75">
            <v>1221</v>
          </cell>
          <cell r="H75">
            <v>1333</v>
          </cell>
          <cell r="I75">
            <v>628</v>
          </cell>
        </row>
        <row r="76">
          <cell r="D76">
            <v>0</v>
          </cell>
          <cell r="E76">
            <v>0</v>
          </cell>
          <cell r="F76">
            <v>0</v>
          </cell>
          <cell r="G76">
            <v>1</v>
          </cell>
          <cell r="H76">
            <v>0</v>
          </cell>
          <cell r="I76">
            <v>0</v>
          </cell>
        </row>
        <row r="77">
          <cell r="D77">
            <v>2487</v>
          </cell>
          <cell r="E77">
            <v>1447</v>
          </cell>
          <cell r="F77">
            <v>1147</v>
          </cell>
          <cell r="G77">
            <v>1495</v>
          </cell>
          <cell r="H77">
            <v>2962</v>
          </cell>
          <cell r="I77">
            <v>1420</v>
          </cell>
        </row>
        <row r="78">
          <cell r="D78">
            <v>1088</v>
          </cell>
          <cell r="E78">
            <v>1079</v>
          </cell>
          <cell r="F78">
            <v>733</v>
          </cell>
          <cell r="G78">
            <v>754</v>
          </cell>
          <cell r="H78">
            <v>1846</v>
          </cell>
          <cell r="I78">
            <v>1027</v>
          </cell>
        </row>
        <row r="79">
          <cell r="D79">
            <v>1401</v>
          </cell>
          <cell r="E79">
            <v>1222</v>
          </cell>
          <cell r="F79">
            <v>803</v>
          </cell>
          <cell r="G79">
            <v>847</v>
          </cell>
          <cell r="H79">
            <v>2031</v>
          </cell>
          <cell r="I79">
            <v>1495</v>
          </cell>
        </row>
        <row r="80">
          <cell r="D80">
            <v>1026</v>
          </cell>
          <cell r="E80">
            <v>485</v>
          </cell>
          <cell r="F80">
            <v>426</v>
          </cell>
          <cell r="G80">
            <v>1204</v>
          </cell>
          <cell r="H80">
            <v>1522</v>
          </cell>
          <cell r="I80">
            <v>732</v>
          </cell>
        </row>
        <row r="81">
          <cell r="D81">
            <v>6491</v>
          </cell>
          <cell r="E81">
            <v>5008</v>
          </cell>
          <cell r="F81">
            <v>4058</v>
          </cell>
          <cell r="G81">
            <v>4597</v>
          </cell>
          <cell r="H81">
            <v>9488</v>
          </cell>
          <cell r="I81">
            <v>4294</v>
          </cell>
        </row>
        <row r="82">
          <cell r="D82">
            <v>3387</v>
          </cell>
          <cell r="E82">
            <v>2354</v>
          </cell>
          <cell r="F82">
            <v>2266</v>
          </cell>
          <cell r="G82">
            <v>2027</v>
          </cell>
          <cell r="H82">
            <v>3591</v>
          </cell>
          <cell r="I82">
            <v>1612</v>
          </cell>
        </row>
        <row r="83">
          <cell r="D83">
            <v>3617</v>
          </cell>
          <cell r="E83">
            <v>2207</v>
          </cell>
          <cell r="F83">
            <v>2004</v>
          </cell>
          <cell r="G83">
            <v>2192</v>
          </cell>
          <cell r="H83">
            <v>3490</v>
          </cell>
          <cell r="I83">
            <v>1721</v>
          </cell>
        </row>
        <row r="84">
          <cell r="D84">
            <v>7754</v>
          </cell>
          <cell r="E84">
            <v>6893</v>
          </cell>
          <cell r="F84">
            <v>4338</v>
          </cell>
          <cell r="G84">
            <v>5596</v>
          </cell>
          <cell r="H84">
            <v>8124</v>
          </cell>
          <cell r="I84">
            <v>3970</v>
          </cell>
        </row>
        <row r="85">
          <cell r="D85">
            <v>27104</v>
          </cell>
          <cell r="E85">
            <v>20710</v>
          </cell>
          <cell r="F85">
            <v>15734</v>
          </cell>
          <cell r="G85">
            <v>18653</v>
          </cell>
          <cell r="H85">
            <v>32812</v>
          </cell>
          <cell r="I85">
            <v>16193</v>
          </cell>
        </row>
        <row r="86">
          <cell r="D86">
            <v>2300</v>
          </cell>
          <cell r="E86">
            <v>773</v>
          </cell>
          <cell r="F86">
            <v>606</v>
          </cell>
          <cell r="G86">
            <v>1800</v>
          </cell>
          <cell r="H86">
            <v>2224</v>
          </cell>
          <cell r="I86">
            <v>960</v>
          </cell>
        </row>
        <row r="87">
          <cell r="D87">
            <v>1201</v>
          </cell>
          <cell r="E87">
            <v>382</v>
          </cell>
          <cell r="F87">
            <v>442</v>
          </cell>
          <cell r="G87">
            <v>1500</v>
          </cell>
          <cell r="H87">
            <v>2124</v>
          </cell>
          <cell r="I87">
            <v>1231</v>
          </cell>
        </row>
        <row r="88">
          <cell r="D88">
            <v>13671</v>
          </cell>
          <cell r="E88">
            <v>12943</v>
          </cell>
          <cell r="F88">
            <v>9385</v>
          </cell>
          <cell r="G88">
            <v>11619</v>
          </cell>
          <cell r="H88">
            <v>19145</v>
          </cell>
          <cell r="I88">
            <v>4677</v>
          </cell>
        </row>
        <row r="89">
          <cell r="D89">
            <v>26302</v>
          </cell>
          <cell r="E89">
            <v>20378</v>
          </cell>
          <cell r="F89">
            <v>13524</v>
          </cell>
          <cell r="G89">
            <v>20415</v>
          </cell>
          <cell r="H89">
            <v>28663</v>
          </cell>
          <cell r="I89">
            <v>9049</v>
          </cell>
        </row>
        <row r="90">
          <cell r="D90">
            <v>4762</v>
          </cell>
          <cell r="E90">
            <v>4788</v>
          </cell>
          <cell r="F90">
            <v>3461</v>
          </cell>
          <cell r="G90">
            <v>2970</v>
          </cell>
          <cell r="H90">
            <v>6219</v>
          </cell>
          <cell r="I90">
            <v>2383</v>
          </cell>
        </row>
        <row r="91">
          <cell r="D91">
            <v>5695</v>
          </cell>
          <cell r="E91">
            <v>5642</v>
          </cell>
          <cell r="F91">
            <v>4461</v>
          </cell>
          <cell r="G91">
            <v>3700</v>
          </cell>
          <cell r="H91">
            <v>7295</v>
          </cell>
          <cell r="I91">
            <v>3072</v>
          </cell>
        </row>
        <row r="92">
          <cell r="D92">
            <v>52132</v>
          </cell>
          <cell r="E92">
            <v>44447</v>
          </cell>
          <cell r="F92">
            <v>31371</v>
          </cell>
          <cell r="G92">
            <v>40236</v>
          </cell>
          <cell r="H92">
            <v>63348</v>
          </cell>
          <cell r="I92">
            <v>20262</v>
          </cell>
        </row>
        <row r="93">
          <cell r="D93">
            <v>6045</v>
          </cell>
          <cell r="E93">
            <v>2238</v>
          </cell>
          <cell r="F93">
            <v>1181</v>
          </cell>
          <cell r="G93">
            <v>4512</v>
          </cell>
          <cell r="H93">
            <v>5447</v>
          </cell>
          <cell r="I93">
            <v>2324</v>
          </cell>
        </row>
        <row r="94">
          <cell r="D94">
            <v>3719</v>
          </cell>
          <cell r="E94">
            <v>2826</v>
          </cell>
          <cell r="F94">
            <v>961</v>
          </cell>
          <cell r="G94">
            <v>2388</v>
          </cell>
          <cell r="H94">
            <v>3291</v>
          </cell>
          <cell r="I94">
            <v>1269</v>
          </cell>
        </row>
        <row r="95">
          <cell r="D95">
            <v>1707</v>
          </cell>
          <cell r="E95">
            <v>628</v>
          </cell>
          <cell r="F95">
            <v>455</v>
          </cell>
          <cell r="G95">
            <v>2007</v>
          </cell>
          <cell r="H95">
            <v>2974</v>
          </cell>
          <cell r="I95">
            <v>1941</v>
          </cell>
        </row>
        <row r="96">
          <cell r="D96">
            <v>5933</v>
          </cell>
          <cell r="E96">
            <v>4057</v>
          </cell>
          <cell r="F96">
            <v>1371</v>
          </cell>
          <cell r="G96">
            <v>3631</v>
          </cell>
          <cell r="H96">
            <v>4500</v>
          </cell>
          <cell r="I96">
            <v>1937</v>
          </cell>
        </row>
        <row r="97">
          <cell r="D97">
            <v>1352</v>
          </cell>
          <cell r="E97">
            <v>433</v>
          </cell>
          <cell r="F97">
            <v>261</v>
          </cell>
          <cell r="G97">
            <v>976</v>
          </cell>
          <cell r="H97">
            <v>1070</v>
          </cell>
          <cell r="I97">
            <v>633</v>
          </cell>
        </row>
        <row r="98">
          <cell r="D98">
            <v>10169</v>
          </cell>
          <cell r="E98">
            <v>7926</v>
          </cell>
          <cell r="F98">
            <v>2281</v>
          </cell>
          <cell r="G98">
            <v>6564</v>
          </cell>
          <cell r="H98">
            <v>6838</v>
          </cell>
          <cell r="I98">
            <v>2921</v>
          </cell>
        </row>
        <row r="99">
          <cell r="D99">
            <v>787</v>
          </cell>
          <cell r="E99">
            <v>620</v>
          </cell>
          <cell r="F99">
            <v>344</v>
          </cell>
          <cell r="G99">
            <v>795</v>
          </cell>
          <cell r="H99">
            <v>1340</v>
          </cell>
          <cell r="I99">
            <v>492</v>
          </cell>
        </row>
        <row r="100">
          <cell r="D100">
            <v>28028</v>
          </cell>
          <cell r="E100">
            <v>18264</v>
          </cell>
          <cell r="F100">
            <v>6607</v>
          </cell>
          <cell r="G100">
            <v>19527</v>
          </cell>
          <cell r="H100">
            <v>23799</v>
          </cell>
          <cell r="I100">
            <v>10472</v>
          </cell>
        </row>
        <row r="101">
          <cell r="D101">
            <v>1</v>
          </cell>
          <cell r="E101">
            <v>0</v>
          </cell>
          <cell r="F101">
            <v>2</v>
          </cell>
          <cell r="G101">
            <v>22</v>
          </cell>
          <cell r="H101">
            <v>66</v>
          </cell>
          <cell r="I101">
            <v>53</v>
          </cell>
        </row>
        <row r="102">
          <cell r="D102">
            <v>165</v>
          </cell>
          <cell r="E102">
            <v>343</v>
          </cell>
          <cell r="F102">
            <v>442</v>
          </cell>
          <cell r="G102">
            <v>1357</v>
          </cell>
          <cell r="H102">
            <v>3335</v>
          </cell>
          <cell r="I102">
            <v>2424</v>
          </cell>
        </row>
        <row r="103">
          <cell r="D103">
            <v>3097</v>
          </cell>
          <cell r="E103">
            <v>665</v>
          </cell>
          <cell r="F103">
            <v>353</v>
          </cell>
          <cell r="G103">
            <v>2019</v>
          </cell>
          <cell r="H103">
            <v>1558</v>
          </cell>
          <cell r="I103">
            <v>150</v>
          </cell>
        </row>
        <row r="104">
          <cell r="D104">
            <v>4906</v>
          </cell>
          <cell r="E104">
            <v>3522</v>
          </cell>
          <cell r="F104">
            <v>1892</v>
          </cell>
          <cell r="G104">
            <v>3094</v>
          </cell>
          <cell r="H104">
            <v>4842</v>
          </cell>
          <cell r="I104">
            <v>2541</v>
          </cell>
        </row>
        <row r="105">
          <cell r="D105">
            <v>4833</v>
          </cell>
          <cell r="E105">
            <v>2461</v>
          </cell>
          <cell r="F105">
            <v>1402</v>
          </cell>
          <cell r="G105">
            <v>3500</v>
          </cell>
          <cell r="H105">
            <v>5061</v>
          </cell>
          <cell r="I105">
            <v>2548</v>
          </cell>
        </row>
        <row r="106">
          <cell r="D106">
            <v>5155</v>
          </cell>
          <cell r="E106">
            <v>2789</v>
          </cell>
          <cell r="F106">
            <v>1788</v>
          </cell>
          <cell r="G106">
            <v>3684</v>
          </cell>
          <cell r="H106">
            <v>5729</v>
          </cell>
          <cell r="I106">
            <v>2311</v>
          </cell>
        </row>
        <row r="107">
          <cell r="D107">
            <v>10445</v>
          </cell>
          <cell r="E107">
            <v>6888</v>
          </cell>
          <cell r="F107">
            <v>3650</v>
          </cell>
          <cell r="G107">
            <v>6456</v>
          </cell>
          <cell r="H107">
            <v>8475</v>
          </cell>
          <cell r="I107">
            <v>1777</v>
          </cell>
        </row>
        <row r="108">
          <cell r="D108">
            <v>1566</v>
          </cell>
          <cell r="E108">
            <v>1336</v>
          </cell>
          <cell r="F108">
            <v>670</v>
          </cell>
          <cell r="G108">
            <v>952</v>
          </cell>
          <cell r="H108">
            <v>1557</v>
          </cell>
          <cell r="I108">
            <v>776</v>
          </cell>
        </row>
        <row r="109">
          <cell r="D109">
            <v>21788</v>
          </cell>
          <cell r="E109">
            <v>13137</v>
          </cell>
          <cell r="F109">
            <v>6259</v>
          </cell>
          <cell r="G109">
            <v>13312</v>
          </cell>
          <cell r="H109">
            <v>16002</v>
          </cell>
          <cell r="I109">
            <v>5685</v>
          </cell>
        </row>
        <row r="110">
          <cell r="D110">
            <v>4354</v>
          </cell>
          <cell r="E110">
            <v>2126</v>
          </cell>
          <cell r="F110">
            <v>988</v>
          </cell>
          <cell r="G110">
            <v>2294</v>
          </cell>
          <cell r="H110">
            <v>3069</v>
          </cell>
          <cell r="I110">
            <v>798</v>
          </cell>
        </row>
        <row r="111">
          <cell r="D111">
            <v>3898</v>
          </cell>
          <cell r="E111">
            <v>2408</v>
          </cell>
          <cell r="F111">
            <v>1113</v>
          </cell>
          <cell r="G111">
            <v>2178</v>
          </cell>
          <cell r="H111">
            <v>2900</v>
          </cell>
          <cell r="I111">
            <v>654</v>
          </cell>
        </row>
        <row r="112">
          <cell r="D112">
            <v>3388</v>
          </cell>
          <cell r="E112">
            <v>1934</v>
          </cell>
          <cell r="F112">
            <v>974</v>
          </cell>
          <cell r="G112">
            <v>1816</v>
          </cell>
          <cell r="H112">
            <v>2635</v>
          </cell>
          <cell r="I112">
            <v>1904</v>
          </cell>
        </row>
        <row r="113">
          <cell r="D113">
            <v>60796</v>
          </cell>
          <cell r="E113">
            <v>36893</v>
          </cell>
          <cell r="F113">
            <v>18999</v>
          </cell>
          <cell r="G113">
            <v>38083</v>
          </cell>
          <cell r="H113">
            <v>51956</v>
          </cell>
          <cell r="I113">
            <v>20138</v>
          </cell>
        </row>
        <row r="114">
          <cell r="D114">
            <v>6029</v>
          </cell>
          <cell r="E114">
            <v>4918</v>
          </cell>
          <cell r="F114">
            <v>3099</v>
          </cell>
          <cell r="G114">
            <v>3315</v>
          </cell>
          <cell r="H114">
            <v>5628</v>
          </cell>
          <cell r="I114">
            <v>1981</v>
          </cell>
        </row>
        <row r="115">
          <cell r="D115">
            <v>344</v>
          </cell>
          <cell r="E115">
            <v>538</v>
          </cell>
          <cell r="F115">
            <v>373</v>
          </cell>
          <cell r="G115">
            <v>471</v>
          </cell>
          <cell r="H115">
            <v>2269</v>
          </cell>
          <cell r="I115">
            <v>2757</v>
          </cell>
        </row>
        <row r="116">
          <cell r="D116">
            <v>1056</v>
          </cell>
          <cell r="E116">
            <v>398</v>
          </cell>
          <cell r="F116">
            <v>311</v>
          </cell>
          <cell r="G116">
            <v>1125</v>
          </cell>
          <cell r="H116">
            <v>2545</v>
          </cell>
          <cell r="I116">
            <v>1825</v>
          </cell>
        </row>
        <row r="117">
          <cell r="D117">
            <v>1958</v>
          </cell>
          <cell r="E117">
            <v>738</v>
          </cell>
          <cell r="F117">
            <v>557</v>
          </cell>
          <cell r="G117">
            <v>2057</v>
          </cell>
          <cell r="H117">
            <v>3892</v>
          </cell>
          <cell r="I117">
            <v>2805</v>
          </cell>
        </row>
        <row r="118">
          <cell r="D118">
            <v>3057</v>
          </cell>
          <cell r="E118">
            <v>1864</v>
          </cell>
          <cell r="F118">
            <v>1103</v>
          </cell>
          <cell r="G118">
            <v>2186</v>
          </cell>
          <cell r="H118">
            <v>3215</v>
          </cell>
          <cell r="I118">
            <v>1393</v>
          </cell>
        </row>
        <row r="119">
          <cell r="D119">
            <v>3485</v>
          </cell>
          <cell r="E119">
            <v>2223</v>
          </cell>
          <cell r="F119">
            <v>1199</v>
          </cell>
          <cell r="G119">
            <v>2712</v>
          </cell>
          <cell r="H119">
            <v>3784</v>
          </cell>
          <cell r="I119">
            <v>1626</v>
          </cell>
        </row>
        <row r="120">
          <cell r="D120">
            <v>12024</v>
          </cell>
          <cell r="E120">
            <v>9837</v>
          </cell>
          <cell r="F120">
            <v>7774</v>
          </cell>
          <cell r="G120">
            <v>7483</v>
          </cell>
          <cell r="H120">
            <v>10480</v>
          </cell>
          <cell r="I120">
            <v>3512</v>
          </cell>
        </row>
        <row r="121">
          <cell r="D121">
            <v>3774</v>
          </cell>
          <cell r="E121">
            <v>4100</v>
          </cell>
          <cell r="F121">
            <v>2988</v>
          </cell>
          <cell r="G121">
            <v>2331</v>
          </cell>
          <cell r="H121">
            <v>4070</v>
          </cell>
          <cell r="I121">
            <v>1946</v>
          </cell>
        </row>
        <row r="122">
          <cell r="D122">
            <v>5326</v>
          </cell>
          <cell r="E122">
            <v>5403</v>
          </cell>
          <cell r="F122">
            <v>3157</v>
          </cell>
          <cell r="G122">
            <v>3877</v>
          </cell>
          <cell r="H122">
            <v>7093</v>
          </cell>
          <cell r="I122">
            <v>3325</v>
          </cell>
        </row>
        <row r="123">
          <cell r="D123">
            <v>24301</v>
          </cell>
          <cell r="E123">
            <v>12063</v>
          </cell>
          <cell r="F123">
            <v>5584</v>
          </cell>
          <cell r="G123">
            <v>17561</v>
          </cell>
          <cell r="H123">
            <v>23296</v>
          </cell>
          <cell r="I123">
            <v>10750</v>
          </cell>
        </row>
        <row r="124">
          <cell r="D124">
            <v>1</v>
          </cell>
          <cell r="E124">
            <v>4</v>
          </cell>
          <cell r="F124">
            <v>16</v>
          </cell>
          <cell r="G124">
            <v>267</v>
          </cell>
          <cell r="H124">
            <v>2021</v>
          </cell>
          <cell r="I124">
            <v>1457</v>
          </cell>
        </row>
        <row r="125">
          <cell r="D125">
            <v>2240</v>
          </cell>
          <cell r="E125">
            <v>2834</v>
          </cell>
          <cell r="F125">
            <v>2038</v>
          </cell>
          <cell r="G125">
            <v>1567</v>
          </cell>
          <cell r="H125">
            <v>2933</v>
          </cell>
          <cell r="I125">
            <v>1674</v>
          </cell>
        </row>
        <row r="126">
          <cell r="D126">
            <v>2833</v>
          </cell>
          <cell r="E126">
            <v>2338</v>
          </cell>
          <cell r="F126">
            <v>1062</v>
          </cell>
          <cell r="G126">
            <v>1916</v>
          </cell>
          <cell r="H126">
            <v>2463</v>
          </cell>
          <cell r="I126">
            <v>1416</v>
          </cell>
        </row>
        <row r="127">
          <cell r="D127">
            <v>3226</v>
          </cell>
          <cell r="E127">
            <v>1945</v>
          </cell>
          <cell r="F127">
            <v>1013</v>
          </cell>
          <cell r="G127">
            <v>2700</v>
          </cell>
          <cell r="H127">
            <v>3967</v>
          </cell>
          <cell r="I127">
            <v>1642</v>
          </cell>
        </row>
        <row r="128">
          <cell r="D128">
            <v>1577</v>
          </cell>
          <cell r="E128">
            <v>1862</v>
          </cell>
          <cell r="F128">
            <v>1127</v>
          </cell>
          <cell r="G128">
            <v>1474</v>
          </cell>
          <cell r="H128">
            <v>2831</v>
          </cell>
          <cell r="I128">
            <v>1098</v>
          </cell>
        </row>
        <row r="129">
          <cell r="D129">
            <v>68810</v>
          </cell>
          <cell r="E129">
            <v>50015</v>
          </cell>
          <cell r="F129">
            <v>30596</v>
          </cell>
          <cell r="G129">
            <v>48294</v>
          </cell>
          <cell r="H129">
            <v>73904</v>
          </cell>
          <cell r="I129">
            <v>34169</v>
          </cell>
        </row>
        <row r="130">
          <cell r="D130">
            <v>50781</v>
          </cell>
          <cell r="E130">
            <v>26265</v>
          </cell>
          <cell r="F130">
            <v>15955</v>
          </cell>
          <cell r="G130">
            <v>35879</v>
          </cell>
          <cell r="H130">
            <v>47663</v>
          </cell>
          <cell r="I130">
            <v>15083</v>
          </cell>
        </row>
        <row r="131">
          <cell r="D131">
            <v>2275</v>
          </cell>
          <cell r="E131">
            <v>872</v>
          </cell>
          <cell r="F131">
            <v>917</v>
          </cell>
          <cell r="G131">
            <v>3014</v>
          </cell>
          <cell r="H131">
            <v>6041</v>
          </cell>
          <cell r="I131">
            <v>3075</v>
          </cell>
        </row>
        <row r="132">
          <cell r="D132">
            <v>1391</v>
          </cell>
          <cell r="E132">
            <v>359</v>
          </cell>
          <cell r="F132">
            <v>391</v>
          </cell>
          <cell r="G132">
            <v>1487</v>
          </cell>
          <cell r="H132">
            <v>1902</v>
          </cell>
          <cell r="I132">
            <v>946</v>
          </cell>
        </row>
        <row r="133">
          <cell r="D133">
            <v>1673</v>
          </cell>
          <cell r="E133">
            <v>842</v>
          </cell>
          <cell r="F133">
            <v>728</v>
          </cell>
          <cell r="G133">
            <v>2434</v>
          </cell>
          <cell r="H133">
            <v>5203</v>
          </cell>
          <cell r="I133">
            <v>3751</v>
          </cell>
        </row>
        <row r="134">
          <cell r="D134">
            <v>52372</v>
          </cell>
          <cell r="E134">
            <v>27444</v>
          </cell>
          <cell r="F134">
            <v>16991</v>
          </cell>
          <cell r="G134">
            <v>38876</v>
          </cell>
          <cell r="H134">
            <v>54414</v>
          </cell>
          <cell r="I134">
            <v>19329</v>
          </cell>
        </row>
        <row r="135">
          <cell r="D135">
            <v>300</v>
          </cell>
          <cell r="E135">
            <v>345</v>
          </cell>
          <cell r="F135">
            <v>322</v>
          </cell>
          <cell r="G135">
            <v>1498</v>
          </cell>
          <cell r="H135">
            <v>7454</v>
          </cell>
          <cell r="I135">
            <v>4524</v>
          </cell>
        </row>
        <row r="136">
          <cell r="D136">
            <v>2458</v>
          </cell>
          <cell r="E136">
            <v>1003</v>
          </cell>
          <cell r="F136">
            <v>1350</v>
          </cell>
          <cell r="G136">
            <v>6926</v>
          </cell>
          <cell r="H136">
            <v>20290</v>
          </cell>
          <cell r="I136">
            <v>14106</v>
          </cell>
        </row>
        <row r="137">
          <cell r="D137">
            <v>2699</v>
          </cell>
          <cell r="E137">
            <v>1233</v>
          </cell>
          <cell r="F137">
            <v>994</v>
          </cell>
          <cell r="G137">
            <v>3758</v>
          </cell>
          <cell r="H137">
            <v>9290</v>
          </cell>
          <cell r="I137">
            <v>7049</v>
          </cell>
        </row>
        <row r="138">
          <cell r="D138">
            <v>4222</v>
          </cell>
          <cell r="E138">
            <v>2623</v>
          </cell>
          <cell r="F138">
            <v>1983</v>
          </cell>
          <cell r="G138">
            <v>6300</v>
          </cell>
          <cell r="H138">
            <v>15075</v>
          </cell>
          <cell r="I138">
            <v>10920</v>
          </cell>
        </row>
        <row r="139">
          <cell r="D139">
            <v>5292</v>
          </cell>
          <cell r="E139">
            <v>2438</v>
          </cell>
          <cell r="F139">
            <v>1632</v>
          </cell>
          <cell r="G139">
            <v>5089</v>
          </cell>
          <cell r="H139">
            <v>9067</v>
          </cell>
          <cell r="I139">
            <v>5123</v>
          </cell>
        </row>
        <row r="140">
          <cell r="D140">
            <v>94</v>
          </cell>
          <cell r="E140">
            <v>464</v>
          </cell>
          <cell r="F140">
            <v>732</v>
          </cell>
          <cell r="G140">
            <v>2061</v>
          </cell>
          <cell r="H140">
            <v>2819</v>
          </cell>
          <cell r="I140">
            <v>569</v>
          </cell>
        </row>
        <row r="141">
          <cell r="D141">
            <v>283</v>
          </cell>
          <cell r="E141">
            <v>529</v>
          </cell>
          <cell r="F141">
            <v>499</v>
          </cell>
          <cell r="G141">
            <v>1586</v>
          </cell>
          <cell r="H141">
            <v>3927</v>
          </cell>
          <cell r="I141">
            <v>2687</v>
          </cell>
        </row>
        <row r="142">
          <cell r="D142">
            <v>929</v>
          </cell>
          <cell r="E142">
            <v>1202</v>
          </cell>
          <cell r="F142">
            <v>585</v>
          </cell>
          <cell r="G142">
            <v>1147</v>
          </cell>
          <cell r="H142">
            <v>3977</v>
          </cell>
          <cell r="I142">
            <v>6063</v>
          </cell>
        </row>
        <row r="143">
          <cell r="D143">
            <v>713</v>
          </cell>
          <cell r="E143">
            <v>1281</v>
          </cell>
          <cell r="F143">
            <v>382</v>
          </cell>
          <cell r="G143">
            <v>386</v>
          </cell>
          <cell r="H143">
            <v>997</v>
          </cell>
          <cell r="I143">
            <v>790</v>
          </cell>
        </row>
        <row r="144">
          <cell r="D144">
            <v>9013</v>
          </cell>
          <cell r="E144">
            <v>5537</v>
          </cell>
          <cell r="F144">
            <v>2213</v>
          </cell>
          <cell r="G144">
            <v>4</v>
          </cell>
          <cell r="H144">
            <v>0</v>
          </cell>
          <cell r="I144">
            <v>0</v>
          </cell>
        </row>
        <row r="145">
          <cell r="D145">
            <v>8875</v>
          </cell>
          <cell r="E145">
            <v>51</v>
          </cell>
          <cell r="F145">
            <v>573</v>
          </cell>
          <cell r="G145">
            <v>6640</v>
          </cell>
          <cell r="H145">
            <v>5188</v>
          </cell>
          <cell r="I145">
            <v>191</v>
          </cell>
        </row>
        <row r="146">
          <cell r="D146">
            <v>3940</v>
          </cell>
          <cell r="E146">
            <v>1614</v>
          </cell>
          <cell r="F146">
            <v>1240</v>
          </cell>
          <cell r="G146">
            <v>4775</v>
          </cell>
          <cell r="H146">
            <v>9684</v>
          </cell>
          <cell r="I146">
            <v>6237</v>
          </cell>
        </row>
        <row r="147">
          <cell r="D147">
            <v>58</v>
          </cell>
          <cell r="E147">
            <v>546</v>
          </cell>
          <cell r="F147">
            <v>697</v>
          </cell>
          <cell r="G147">
            <v>2525</v>
          </cell>
          <cell r="H147">
            <v>4494</v>
          </cell>
          <cell r="I147">
            <v>795</v>
          </cell>
        </row>
        <row r="148">
          <cell r="D148">
            <v>6171</v>
          </cell>
          <cell r="E148">
            <v>2550</v>
          </cell>
          <cell r="F148">
            <v>2087</v>
          </cell>
          <cell r="G148">
            <v>7010</v>
          </cell>
          <cell r="H148">
            <v>15547</v>
          </cell>
          <cell r="I148">
            <v>10022</v>
          </cell>
        </row>
        <row r="149">
          <cell r="D149">
            <v>1275</v>
          </cell>
          <cell r="E149">
            <v>528</v>
          </cell>
          <cell r="F149">
            <v>365</v>
          </cell>
          <cell r="G149">
            <v>1646</v>
          </cell>
          <cell r="H149">
            <v>3755</v>
          </cell>
          <cell r="I149">
            <v>2939</v>
          </cell>
        </row>
        <row r="150">
          <cell r="D150">
            <v>526</v>
          </cell>
          <cell r="E150">
            <v>282</v>
          </cell>
          <cell r="F150">
            <v>253</v>
          </cell>
          <cell r="G150">
            <v>868</v>
          </cell>
          <cell r="H150">
            <v>1691</v>
          </cell>
          <cell r="I150">
            <v>998</v>
          </cell>
        </row>
        <row r="151">
          <cell r="D151">
            <v>4964</v>
          </cell>
          <cell r="E151">
            <v>1527</v>
          </cell>
          <cell r="F151">
            <v>332</v>
          </cell>
          <cell r="G151">
            <v>5</v>
          </cell>
          <cell r="H151">
            <v>1</v>
          </cell>
          <cell r="I151">
            <v>0</v>
          </cell>
        </row>
        <row r="152">
          <cell r="D152">
            <v>18</v>
          </cell>
          <cell r="E152">
            <v>302</v>
          </cell>
          <cell r="F152">
            <v>370</v>
          </cell>
          <cell r="G152">
            <v>1113</v>
          </cell>
          <cell r="H152">
            <v>2518</v>
          </cell>
          <cell r="I152">
            <v>492</v>
          </cell>
        </row>
        <row r="153">
          <cell r="D153">
            <v>22386</v>
          </cell>
          <cell r="E153">
            <v>2091</v>
          </cell>
          <cell r="F153">
            <v>974</v>
          </cell>
          <cell r="G153">
            <v>2491</v>
          </cell>
          <cell r="H153">
            <v>2674</v>
          </cell>
          <cell r="I153">
            <v>182</v>
          </cell>
        </row>
        <row r="154">
          <cell r="D154">
            <v>2358</v>
          </cell>
          <cell r="E154">
            <v>891</v>
          </cell>
          <cell r="F154">
            <v>701</v>
          </cell>
          <cell r="G154">
            <v>2601</v>
          </cell>
          <cell r="H154">
            <v>4078</v>
          </cell>
          <cell r="I154">
            <v>1992</v>
          </cell>
        </row>
        <row r="155">
          <cell r="D155">
            <v>2246</v>
          </cell>
          <cell r="E155">
            <v>1218</v>
          </cell>
          <cell r="F155">
            <v>737</v>
          </cell>
          <cell r="G155">
            <v>2178</v>
          </cell>
          <cell r="H155">
            <v>3795</v>
          </cell>
          <cell r="I155">
            <v>1950</v>
          </cell>
        </row>
        <row r="156">
          <cell r="D156">
            <v>28220</v>
          </cell>
          <cell r="E156">
            <v>14496</v>
          </cell>
          <cell r="F156">
            <v>6614</v>
          </cell>
          <cell r="G156">
            <v>17910</v>
          </cell>
          <cell r="H156">
            <v>25278</v>
          </cell>
          <cell r="I156">
            <v>8642</v>
          </cell>
        </row>
        <row r="157">
          <cell r="D157">
            <v>18790</v>
          </cell>
          <cell r="E157">
            <v>7208</v>
          </cell>
          <cell r="F157">
            <v>4322</v>
          </cell>
          <cell r="G157">
            <v>14082</v>
          </cell>
          <cell r="H157">
            <v>19593</v>
          </cell>
          <cell r="I157">
            <v>7128</v>
          </cell>
        </row>
        <row r="158">
          <cell r="D158">
            <v>23141</v>
          </cell>
          <cell r="E158">
            <v>11389</v>
          </cell>
          <cell r="F158">
            <v>6002</v>
          </cell>
          <cell r="G158">
            <v>16835</v>
          </cell>
          <cell r="H158">
            <v>22668</v>
          </cell>
          <cell r="I158">
            <v>7922</v>
          </cell>
        </row>
        <row r="159">
          <cell r="D159">
            <v>8678</v>
          </cell>
          <cell r="E159">
            <v>3467</v>
          </cell>
          <cell r="F159">
            <v>1926</v>
          </cell>
          <cell r="G159">
            <v>6598</v>
          </cell>
          <cell r="H159">
            <v>8792</v>
          </cell>
          <cell r="I159">
            <v>3443</v>
          </cell>
        </row>
        <row r="160">
          <cell r="D160">
            <v>16674</v>
          </cell>
          <cell r="E160">
            <v>8698</v>
          </cell>
          <cell r="F160">
            <v>4833</v>
          </cell>
          <cell r="G160">
            <v>13858</v>
          </cell>
          <cell r="H160">
            <v>19050</v>
          </cell>
          <cell r="I160">
            <v>7563</v>
          </cell>
        </row>
        <row r="161">
          <cell r="D161">
            <v>18594</v>
          </cell>
          <cell r="E161">
            <v>7019</v>
          </cell>
          <cell r="F161">
            <v>3931</v>
          </cell>
          <cell r="G161">
            <v>13160</v>
          </cell>
          <cell r="H161">
            <v>17199</v>
          </cell>
          <cell r="I161">
            <v>5639</v>
          </cell>
        </row>
        <row r="162">
          <cell r="D162">
            <v>5413</v>
          </cell>
          <cell r="E162">
            <v>2498</v>
          </cell>
          <cell r="F162">
            <v>1548</v>
          </cell>
          <cell r="G162">
            <v>5141</v>
          </cell>
          <cell r="H162">
            <v>9819</v>
          </cell>
          <cell r="I162">
            <v>4843</v>
          </cell>
        </row>
        <row r="163">
          <cell r="D163">
            <v>3842</v>
          </cell>
          <cell r="E163">
            <v>1799</v>
          </cell>
          <cell r="F163">
            <v>1297</v>
          </cell>
          <cell r="G163">
            <v>4977</v>
          </cell>
          <cell r="H163">
            <v>7244</v>
          </cell>
          <cell r="I163">
            <v>3208</v>
          </cell>
        </row>
        <row r="164">
          <cell r="D164">
            <v>11569</v>
          </cell>
          <cell r="E164">
            <v>5394</v>
          </cell>
          <cell r="F164">
            <v>3420</v>
          </cell>
          <cell r="G164">
            <v>10380</v>
          </cell>
          <cell r="H164">
            <v>15388</v>
          </cell>
          <cell r="I164">
            <v>7648</v>
          </cell>
        </row>
        <row r="165">
          <cell r="D165">
            <v>3657</v>
          </cell>
          <cell r="E165">
            <v>1937</v>
          </cell>
          <cell r="F165">
            <v>834</v>
          </cell>
          <cell r="G165">
            <v>4</v>
          </cell>
          <cell r="H165">
            <v>0</v>
          </cell>
          <cell r="I165">
            <v>1</v>
          </cell>
        </row>
        <row r="166">
          <cell r="D166">
            <v>3897</v>
          </cell>
          <cell r="E166">
            <v>1600</v>
          </cell>
          <cell r="F166">
            <v>1015</v>
          </cell>
          <cell r="G166">
            <v>3370</v>
          </cell>
          <cell r="H166">
            <v>4144</v>
          </cell>
          <cell r="I166">
            <v>1212</v>
          </cell>
        </row>
        <row r="167">
          <cell r="D167">
            <v>12468</v>
          </cell>
          <cell r="E167">
            <v>5432</v>
          </cell>
          <cell r="F167">
            <v>2825</v>
          </cell>
          <cell r="G167">
            <v>8905</v>
          </cell>
          <cell r="H167">
            <v>10868</v>
          </cell>
          <cell r="I167">
            <v>3071</v>
          </cell>
        </row>
        <row r="168">
          <cell r="D168">
            <v>24263</v>
          </cell>
          <cell r="E168">
            <v>7767</v>
          </cell>
          <cell r="F168">
            <v>4835</v>
          </cell>
          <cell r="G168">
            <v>16552</v>
          </cell>
          <cell r="H168">
            <v>20481</v>
          </cell>
          <cell r="I168">
            <v>5775</v>
          </cell>
        </row>
        <row r="170">
          <cell r="D170">
            <v>215738</v>
          </cell>
          <cell r="E170">
            <v>93711</v>
          </cell>
          <cell r="F170">
            <v>54011</v>
          </cell>
          <cell r="G170">
            <v>160589</v>
          </cell>
          <cell r="H170">
            <v>249693</v>
          </cell>
          <cell r="I170">
            <v>111604</v>
          </cell>
        </row>
        <row r="171">
          <cell r="D171">
            <v>868</v>
          </cell>
          <cell r="E171">
            <v>623</v>
          </cell>
          <cell r="F171">
            <v>341</v>
          </cell>
        </row>
        <row r="172">
          <cell r="D172">
            <v>9950</v>
          </cell>
        </row>
        <row r="173">
          <cell r="D173">
            <v>7031</v>
          </cell>
        </row>
        <row r="174">
          <cell r="D174">
            <v>1496</v>
          </cell>
        </row>
        <row r="175">
          <cell r="D175">
            <v>7327</v>
          </cell>
        </row>
        <row r="176">
          <cell r="D176">
            <v>1908</v>
          </cell>
        </row>
        <row r="177">
          <cell r="D177">
            <v>2706</v>
          </cell>
        </row>
        <row r="178">
          <cell r="D178">
            <v>6924</v>
          </cell>
        </row>
        <row r="179">
          <cell r="D179">
            <v>4142</v>
          </cell>
        </row>
        <row r="180">
          <cell r="D180">
            <v>40662</v>
          </cell>
          <cell r="E180">
            <v>20047</v>
          </cell>
          <cell r="F180">
            <v>11693</v>
          </cell>
          <cell r="G180">
            <v>33171</v>
          </cell>
          <cell r="H180">
            <v>46812</v>
          </cell>
          <cell r="I180">
            <v>20052</v>
          </cell>
        </row>
        <row r="181">
          <cell r="D181">
            <v>44728</v>
          </cell>
          <cell r="E181">
            <v>28641</v>
          </cell>
          <cell r="F181">
            <v>14646</v>
          </cell>
          <cell r="G181">
            <v>26267</v>
          </cell>
          <cell r="H181">
            <v>35427</v>
          </cell>
          <cell r="I181">
            <v>10335</v>
          </cell>
        </row>
        <row r="182">
          <cell r="D182">
            <v>11066</v>
          </cell>
          <cell r="E182">
            <v>6853</v>
          </cell>
          <cell r="F182">
            <v>3561</v>
          </cell>
          <cell r="G182">
            <v>5711</v>
          </cell>
          <cell r="H182">
            <v>7357</v>
          </cell>
          <cell r="I182">
            <v>1875</v>
          </cell>
        </row>
        <row r="183">
          <cell r="D183">
            <v>3853</v>
          </cell>
          <cell r="E183">
            <v>1436</v>
          </cell>
          <cell r="F183">
            <v>1117</v>
          </cell>
          <cell r="G183">
            <v>3129</v>
          </cell>
          <cell r="H183">
            <v>3911</v>
          </cell>
          <cell r="I183">
            <v>1529</v>
          </cell>
        </row>
        <row r="184">
          <cell r="D184">
            <v>3305</v>
          </cell>
          <cell r="E184">
            <v>1525</v>
          </cell>
          <cell r="F184">
            <v>1281</v>
          </cell>
          <cell r="G184">
            <v>3144</v>
          </cell>
          <cell r="H184">
            <v>5067</v>
          </cell>
          <cell r="I184">
            <v>2573</v>
          </cell>
        </row>
        <row r="185">
          <cell r="D185">
            <v>6374</v>
          </cell>
          <cell r="E185">
            <v>5402</v>
          </cell>
          <cell r="F185">
            <v>3648</v>
          </cell>
          <cell r="G185">
            <v>4284</v>
          </cell>
          <cell r="H185">
            <v>5991</v>
          </cell>
          <cell r="I185">
            <v>1006</v>
          </cell>
        </row>
        <row r="186">
          <cell r="D186">
            <v>1624</v>
          </cell>
          <cell r="E186">
            <v>566</v>
          </cell>
          <cell r="F186">
            <v>588</v>
          </cell>
          <cell r="G186">
            <v>1530</v>
          </cell>
          <cell r="H186">
            <v>1920</v>
          </cell>
          <cell r="I186">
            <v>708</v>
          </cell>
        </row>
        <row r="187">
          <cell r="D187">
            <v>65443</v>
          </cell>
          <cell r="E187">
            <v>43187</v>
          </cell>
          <cell r="F187">
            <v>23657</v>
          </cell>
          <cell r="G187">
            <v>40336</v>
          </cell>
          <cell r="H187">
            <v>54791</v>
          </cell>
          <cell r="I187">
            <v>15936</v>
          </cell>
        </row>
        <row r="188">
          <cell r="D188">
            <v>8761</v>
          </cell>
          <cell r="E188">
            <v>5966</v>
          </cell>
          <cell r="F188">
            <v>2167</v>
          </cell>
          <cell r="G188">
            <v>6312</v>
          </cell>
          <cell r="H188">
            <v>7309</v>
          </cell>
          <cell r="I188">
            <v>1783</v>
          </cell>
        </row>
        <row r="189">
          <cell r="D189">
            <v>1486</v>
          </cell>
          <cell r="E189">
            <v>498</v>
          </cell>
          <cell r="F189">
            <v>413</v>
          </cell>
          <cell r="G189">
            <v>1873</v>
          </cell>
          <cell r="H189">
            <v>2191</v>
          </cell>
          <cell r="I189">
            <v>763</v>
          </cell>
        </row>
        <row r="191">
          <cell r="D191">
            <v>9414</v>
          </cell>
          <cell r="E191">
            <v>6255</v>
          </cell>
          <cell r="F191">
            <v>2388</v>
          </cell>
          <cell r="G191">
            <v>7284</v>
          </cell>
          <cell r="H191">
            <v>8497</v>
          </cell>
          <cell r="I191">
            <v>2193</v>
          </cell>
        </row>
        <row r="192">
          <cell r="D192">
            <v>3097</v>
          </cell>
          <cell r="E192">
            <v>1909</v>
          </cell>
          <cell r="F192">
            <v>931</v>
          </cell>
          <cell r="G192">
            <v>2635</v>
          </cell>
          <cell r="H192">
            <v>3924</v>
          </cell>
          <cell r="I192">
            <v>2902</v>
          </cell>
        </row>
        <row r="193">
          <cell r="D193">
            <v>2681</v>
          </cell>
          <cell r="E193">
            <v>1401</v>
          </cell>
          <cell r="F193">
            <v>889</v>
          </cell>
          <cell r="G193">
            <v>2211</v>
          </cell>
          <cell r="H193">
            <v>2753</v>
          </cell>
          <cell r="I193">
            <v>1031</v>
          </cell>
        </row>
        <row r="194">
          <cell r="D194">
            <v>632</v>
          </cell>
          <cell r="E194">
            <v>193</v>
          </cell>
          <cell r="F194">
            <v>147</v>
          </cell>
          <cell r="G194">
            <v>1007</v>
          </cell>
          <cell r="H194">
            <v>1583</v>
          </cell>
          <cell r="I194">
            <v>607</v>
          </cell>
        </row>
        <row r="196">
          <cell r="D196">
            <v>5939</v>
          </cell>
          <cell r="E196">
            <v>3420</v>
          </cell>
          <cell r="F196">
            <v>1907</v>
          </cell>
          <cell r="G196">
            <v>5261</v>
          </cell>
          <cell r="H196">
            <v>7360</v>
          </cell>
          <cell r="I196">
            <v>4221</v>
          </cell>
        </row>
        <row r="197">
          <cell r="D197">
            <v>6324</v>
          </cell>
          <cell r="E197">
            <v>4166</v>
          </cell>
          <cell r="F197">
            <v>2517</v>
          </cell>
          <cell r="G197">
            <v>5315</v>
          </cell>
          <cell r="H197">
            <v>7729</v>
          </cell>
          <cell r="I197">
            <v>3948</v>
          </cell>
        </row>
        <row r="198">
          <cell r="D198">
            <v>1108</v>
          </cell>
          <cell r="E198">
            <v>328</v>
          </cell>
          <cell r="F198">
            <v>324</v>
          </cell>
          <cell r="G198">
            <v>1800</v>
          </cell>
          <cell r="H198">
            <v>1787</v>
          </cell>
          <cell r="I198">
            <v>731</v>
          </cell>
        </row>
        <row r="199">
          <cell r="D199">
            <v>7322</v>
          </cell>
          <cell r="E199">
            <v>5639</v>
          </cell>
          <cell r="F199">
            <v>3301</v>
          </cell>
          <cell r="G199">
            <v>5545</v>
          </cell>
          <cell r="H199">
            <v>7753</v>
          </cell>
          <cell r="I199">
            <v>2468</v>
          </cell>
        </row>
        <row r="200">
          <cell r="D200">
            <v>13955</v>
          </cell>
          <cell r="E200">
            <v>9976</v>
          </cell>
          <cell r="F200">
            <v>5978</v>
          </cell>
          <cell r="G200">
            <v>11620</v>
          </cell>
          <cell r="H200">
            <v>16321</v>
          </cell>
          <cell r="I200">
            <v>6771</v>
          </cell>
        </row>
        <row r="201">
          <cell r="D201">
            <v>36800</v>
          </cell>
          <cell r="E201">
            <v>18365</v>
          </cell>
          <cell r="F201">
            <v>9052</v>
          </cell>
          <cell r="G201">
            <v>18265</v>
          </cell>
          <cell r="H201">
            <v>22702</v>
          </cell>
          <cell r="I201">
            <v>6541</v>
          </cell>
        </row>
        <row r="202">
          <cell r="D202">
            <v>32954</v>
          </cell>
          <cell r="E202">
            <v>18775</v>
          </cell>
          <cell r="F202">
            <v>10434</v>
          </cell>
          <cell r="G202">
            <v>19550</v>
          </cell>
          <cell r="H202">
            <v>27965</v>
          </cell>
          <cell r="I202">
            <v>8189</v>
          </cell>
        </row>
        <row r="203">
          <cell r="D203">
            <v>1849</v>
          </cell>
          <cell r="E203">
            <v>511</v>
          </cell>
          <cell r="F203">
            <v>528</v>
          </cell>
          <cell r="G203">
            <v>1828</v>
          </cell>
          <cell r="H203">
            <v>2860</v>
          </cell>
          <cell r="I203">
            <v>1590</v>
          </cell>
        </row>
        <row r="204">
          <cell r="D204">
            <v>13418</v>
          </cell>
          <cell r="E204">
            <v>9261</v>
          </cell>
          <cell r="F204">
            <v>5850</v>
          </cell>
          <cell r="G204">
            <v>5578</v>
          </cell>
          <cell r="H204">
            <v>11591</v>
          </cell>
          <cell r="I204">
            <v>4473</v>
          </cell>
        </row>
        <row r="205">
          <cell r="D205">
            <v>2347</v>
          </cell>
          <cell r="E205">
            <v>828</v>
          </cell>
          <cell r="F205">
            <v>461</v>
          </cell>
          <cell r="G205">
            <v>1594</v>
          </cell>
          <cell r="H205">
            <v>2075</v>
          </cell>
          <cell r="I205">
            <v>945</v>
          </cell>
        </row>
        <row r="206">
          <cell r="D206">
            <v>2952</v>
          </cell>
          <cell r="E206">
            <v>1069</v>
          </cell>
          <cell r="F206">
            <v>628</v>
          </cell>
          <cell r="G206">
            <v>2095</v>
          </cell>
          <cell r="H206">
            <v>2661</v>
          </cell>
          <cell r="I206">
            <v>782</v>
          </cell>
        </row>
        <row r="207">
          <cell r="D207">
            <v>2282</v>
          </cell>
          <cell r="E207">
            <v>884</v>
          </cell>
          <cell r="F207">
            <v>738</v>
          </cell>
          <cell r="G207">
            <v>2291</v>
          </cell>
          <cell r="H207">
            <v>3848</v>
          </cell>
          <cell r="I207">
            <v>2153</v>
          </cell>
        </row>
        <row r="208">
          <cell r="D208">
            <v>89399</v>
          </cell>
          <cell r="E208">
            <v>48949</v>
          </cell>
          <cell r="F208">
            <v>26902</v>
          </cell>
          <cell r="G208">
            <v>47957</v>
          </cell>
          <cell r="H208">
            <v>69568</v>
          </cell>
          <cell r="I208">
            <v>22679</v>
          </cell>
        </row>
        <row r="209">
          <cell r="D209">
            <v>6260</v>
          </cell>
          <cell r="E209">
            <v>4545</v>
          </cell>
          <cell r="F209">
            <v>2510</v>
          </cell>
          <cell r="G209">
            <v>3455</v>
          </cell>
          <cell r="H209">
            <v>6007</v>
          </cell>
          <cell r="I209">
            <v>2711</v>
          </cell>
        </row>
        <row r="210">
          <cell r="D210">
            <v>5534</v>
          </cell>
          <cell r="E210">
            <v>3896</v>
          </cell>
          <cell r="F210">
            <v>3300</v>
          </cell>
          <cell r="G210">
            <v>2922</v>
          </cell>
          <cell r="H210">
            <v>4197</v>
          </cell>
          <cell r="I210">
            <v>2614</v>
          </cell>
        </row>
        <row r="211">
          <cell r="D211">
            <v>13280</v>
          </cell>
          <cell r="E211">
            <v>7036</v>
          </cell>
          <cell r="F211">
            <v>2618</v>
          </cell>
          <cell r="G211">
            <v>6217</v>
          </cell>
          <cell r="H211">
            <v>8071</v>
          </cell>
          <cell r="I211">
            <v>3342</v>
          </cell>
        </row>
        <row r="212">
          <cell r="D212">
            <v>4346</v>
          </cell>
          <cell r="E212">
            <v>3677</v>
          </cell>
          <cell r="F212">
            <v>2063</v>
          </cell>
          <cell r="G212">
            <v>2298</v>
          </cell>
          <cell r="H212">
            <v>4074</v>
          </cell>
          <cell r="I212">
            <v>2900</v>
          </cell>
        </row>
        <row r="213">
          <cell r="D213">
            <v>8505</v>
          </cell>
          <cell r="E213">
            <v>4941</v>
          </cell>
          <cell r="F213">
            <v>3199</v>
          </cell>
          <cell r="G213">
            <v>5044</v>
          </cell>
          <cell r="H213">
            <v>7232</v>
          </cell>
          <cell r="I213">
            <v>4576</v>
          </cell>
        </row>
        <row r="214">
          <cell r="D214">
            <v>3320</v>
          </cell>
          <cell r="E214">
            <v>2836</v>
          </cell>
          <cell r="F214">
            <v>1616</v>
          </cell>
          <cell r="G214">
            <v>1979</v>
          </cell>
          <cell r="H214">
            <v>3182</v>
          </cell>
          <cell r="I214">
            <v>2266</v>
          </cell>
        </row>
        <row r="215">
          <cell r="D215">
            <v>1637</v>
          </cell>
          <cell r="E215">
            <v>1890</v>
          </cell>
          <cell r="F215">
            <v>648</v>
          </cell>
          <cell r="G215">
            <v>593</v>
          </cell>
          <cell r="H215">
            <v>1072</v>
          </cell>
          <cell r="I215">
            <v>1401</v>
          </cell>
        </row>
        <row r="216">
          <cell r="D216">
            <v>3177</v>
          </cell>
          <cell r="E216">
            <v>1630</v>
          </cell>
          <cell r="F216">
            <v>1660</v>
          </cell>
          <cell r="G216">
            <v>1958</v>
          </cell>
          <cell r="H216">
            <v>3308</v>
          </cell>
          <cell r="I216">
            <v>2294</v>
          </cell>
        </row>
        <row r="217">
          <cell r="D217">
            <v>2839</v>
          </cell>
          <cell r="E217">
            <v>2641</v>
          </cell>
          <cell r="F217">
            <v>1374</v>
          </cell>
          <cell r="G217">
            <v>1454</v>
          </cell>
          <cell r="H217">
            <v>2200</v>
          </cell>
          <cell r="I217">
            <v>810</v>
          </cell>
        </row>
        <row r="218">
          <cell r="D218">
            <v>1665</v>
          </cell>
          <cell r="E218">
            <v>1303</v>
          </cell>
          <cell r="F218">
            <v>981</v>
          </cell>
          <cell r="G218">
            <v>1278</v>
          </cell>
          <cell r="H218">
            <v>2020</v>
          </cell>
          <cell r="I218">
            <v>976</v>
          </cell>
        </row>
        <row r="219">
          <cell r="D219">
            <v>991</v>
          </cell>
          <cell r="E219">
            <v>228</v>
          </cell>
          <cell r="F219">
            <v>278</v>
          </cell>
          <cell r="G219">
            <v>1246</v>
          </cell>
          <cell r="H219">
            <v>1273</v>
          </cell>
          <cell r="I219">
            <v>731</v>
          </cell>
        </row>
        <row r="220">
          <cell r="D220">
            <v>1692</v>
          </cell>
          <cell r="E220">
            <v>1529</v>
          </cell>
          <cell r="F220">
            <v>796</v>
          </cell>
          <cell r="G220">
            <v>1108</v>
          </cell>
          <cell r="H220">
            <v>1853</v>
          </cell>
          <cell r="I220">
            <v>879</v>
          </cell>
        </row>
        <row r="221">
          <cell r="D221">
            <v>51954</v>
          </cell>
          <cell r="E221">
            <v>35861</v>
          </cell>
          <cell r="F221">
            <v>20770</v>
          </cell>
          <cell r="G221">
            <v>28267</v>
          </cell>
          <cell r="H221">
            <v>43273</v>
          </cell>
          <cell r="I221">
            <v>24853</v>
          </cell>
        </row>
        <row r="222">
          <cell r="D222">
            <v>20120</v>
          </cell>
          <cell r="E222">
            <v>12840</v>
          </cell>
          <cell r="F222">
            <v>7101</v>
          </cell>
          <cell r="G222">
            <v>13913</v>
          </cell>
          <cell r="H222">
            <v>21898</v>
          </cell>
          <cell r="I222">
            <v>6287</v>
          </cell>
        </row>
        <row r="223">
          <cell r="D223">
            <v>18391</v>
          </cell>
          <cell r="E223">
            <v>9821</v>
          </cell>
          <cell r="F223">
            <v>7393</v>
          </cell>
          <cell r="G223">
            <v>12749</v>
          </cell>
          <cell r="H223">
            <v>17190</v>
          </cell>
          <cell r="I223">
            <v>4394</v>
          </cell>
        </row>
        <row r="224">
          <cell r="D224">
            <v>10861</v>
          </cell>
          <cell r="E224">
            <v>7474</v>
          </cell>
          <cell r="F224">
            <v>4836</v>
          </cell>
          <cell r="G224">
            <v>8409</v>
          </cell>
          <cell r="H224">
            <v>13313</v>
          </cell>
          <cell r="I224">
            <v>3474</v>
          </cell>
        </row>
        <row r="225">
          <cell r="D225">
            <v>4588</v>
          </cell>
          <cell r="E225">
            <v>2850</v>
          </cell>
          <cell r="F225">
            <v>1826</v>
          </cell>
          <cell r="G225">
            <v>3378</v>
          </cell>
          <cell r="H225">
            <v>5204</v>
          </cell>
          <cell r="I225">
            <v>1338</v>
          </cell>
        </row>
        <row r="226">
          <cell r="D226">
            <v>1889</v>
          </cell>
          <cell r="E226">
            <v>599</v>
          </cell>
          <cell r="F226">
            <v>581</v>
          </cell>
          <cell r="G226">
            <v>2150</v>
          </cell>
          <cell r="H226">
            <v>3130</v>
          </cell>
          <cell r="I226">
            <v>1502</v>
          </cell>
        </row>
        <row r="227">
          <cell r="D227">
            <v>54202</v>
          </cell>
          <cell r="E227">
            <v>33270</v>
          </cell>
          <cell r="F227">
            <v>21334</v>
          </cell>
          <cell r="G227">
            <v>39001</v>
          </cell>
          <cell r="H227">
            <v>58678</v>
          </cell>
          <cell r="I227">
            <v>16153</v>
          </cell>
        </row>
        <row r="228">
          <cell r="D228">
            <v>11324</v>
          </cell>
          <cell r="E228">
            <v>4963</v>
          </cell>
          <cell r="F228">
            <v>2474</v>
          </cell>
          <cell r="G228">
            <v>7300</v>
          </cell>
          <cell r="H228">
            <v>10803</v>
          </cell>
          <cell r="I228">
            <v>4682</v>
          </cell>
        </row>
        <row r="229">
          <cell r="D229">
            <v>1676</v>
          </cell>
          <cell r="E229">
            <v>407</v>
          </cell>
          <cell r="F229">
            <v>346</v>
          </cell>
          <cell r="G229">
            <v>1590</v>
          </cell>
          <cell r="H229">
            <v>2441</v>
          </cell>
          <cell r="I229">
            <v>1389</v>
          </cell>
        </row>
        <row r="231">
          <cell r="D231">
            <v>11702</v>
          </cell>
          <cell r="E231">
            <v>5179</v>
          </cell>
          <cell r="F231">
            <v>2633</v>
          </cell>
          <cell r="G231">
            <v>7882</v>
          </cell>
          <cell r="H231">
            <v>11874</v>
          </cell>
          <cell r="I231">
            <v>5310</v>
          </cell>
        </row>
        <row r="232">
          <cell r="D232">
            <v>11240</v>
          </cell>
          <cell r="E232">
            <v>6265</v>
          </cell>
          <cell r="F232">
            <v>3605</v>
          </cell>
          <cell r="G232">
            <v>10251</v>
          </cell>
          <cell r="H232">
            <v>14939</v>
          </cell>
          <cell r="I232">
            <v>4538</v>
          </cell>
        </row>
        <row r="233">
          <cell r="D233">
            <v>1939</v>
          </cell>
          <cell r="E233">
            <v>944</v>
          </cell>
          <cell r="F233">
            <v>699</v>
          </cell>
          <cell r="G233">
            <v>2088</v>
          </cell>
          <cell r="H233">
            <v>3528</v>
          </cell>
          <cell r="I233">
            <v>1799</v>
          </cell>
        </row>
        <row r="234">
          <cell r="D234">
            <v>11641</v>
          </cell>
          <cell r="E234">
            <v>6640</v>
          </cell>
          <cell r="F234">
            <v>3841</v>
          </cell>
          <cell r="G234">
            <v>10864</v>
          </cell>
          <cell r="H234">
            <v>15969</v>
          </cell>
          <cell r="I234">
            <v>5126</v>
          </cell>
        </row>
        <row r="235">
          <cell r="D235">
            <v>21591</v>
          </cell>
          <cell r="E235">
            <v>11011</v>
          </cell>
          <cell r="F235">
            <v>6283</v>
          </cell>
          <cell r="G235">
            <v>14628</v>
          </cell>
          <cell r="H235">
            <v>16916</v>
          </cell>
          <cell r="I235">
            <v>5236</v>
          </cell>
        </row>
        <row r="236">
          <cell r="D236">
            <v>2121</v>
          </cell>
          <cell r="E236">
            <v>548</v>
          </cell>
          <cell r="F236">
            <v>586</v>
          </cell>
          <cell r="G236">
            <v>2017</v>
          </cell>
          <cell r="H236">
            <v>2457</v>
          </cell>
          <cell r="I236">
            <v>1290</v>
          </cell>
        </row>
        <row r="237">
          <cell r="D237">
            <v>2255</v>
          </cell>
          <cell r="E237">
            <v>567</v>
          </cell>
          <cell r="F237">
            <v>606</v>
          </cell>
          <cell r="G237">
            <v>1955</v>
          </cell>
          <cell r="H237">
            <v>2451</v>
          </cell>
          <cell r="I237">
            <v>1225</v>
          </cell>
        </row>
        <row r="238">
          <cell r="D238">
            <v>3613</v>
          </cell>
          <cell r="E238">
            <v>3016</v>
          </cell>
          <cell r="F238">
            <v>1602</v>
          </cell>
          <cell r="G238">
            <v>2569</v>
          </cell>
          <cell r="H238">
            <v>3080</v>
          </cell>
          <cell r="I238">
            <v>736</v>
          </cell>
        </row>
        <row r="239">
          <cell r="D239">
            <v>2800</v>
          </cell>
          <cell r="E239">
            <v>1695</v>
          </cell>
          <cell r="F239">
            <v>984</v>
          </cell>
          <cell r="G239">
            <v>2369</v>
          </cell>
          <cell r="H239">
            <v>2946</v>
          </cell>
          <cell r="I239">
            <v>558</v>
          </cell>
        </row>
        <row r="240">
          <cell r="D240">
            <v>29597</v>
          </cell>
          <cell r="E240">
            <v>16377</v>
          </cell>
          <cell r="F240">
            <v>9392</v>
          </cell>
          <cell r="G240">
            <v>21130</v>
          </cell>
          <cell r="H240">
            <v>25185</v>
          </cell>
          <cell r="I240">
            <v>7768</v>
          </cell>
        </row>
        <row r="241">
          <cell r="D241">
            <v>1261278</v>
          </cell>
          <cell r="E241">
            <v>804430</v>
          </cell>
          <cell r="F241">
            <v>480041</v>
          </cell>
          <cell r="G241">
            <v>891774</v>
          </cell>
          <cell r="H241">
            <v>1374394</v>
          </cell>
          <cell r="I241">
            <v>552704</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SIS"/>
      <sheetName val="8.2 Pob Ddte"/>
      <sheetName val="9 Dda Efect SS Salud P1"/>
      <sheetName val="10 Dda Efect SS Salud P2"/>
      <sheetName val="11 Dda SS Salud P3"/>
      <sheetName val="12 Dda SS Salud Apoy Diag"/>
      <sheetName val="13 Prod Historica"/>
      <sheetName val="15.1 Cond Lab RH 1"/>
      <sheetName val="15.2 Prog RH 2"/>
      <sheetName val="15.3 Consolddo y Ota Opt RH"/>
      <sheetName val="16.1 Areas Actuales"/>
      <sheetName val="16.2 Ota Opt INFRA"/>
      <sheetName val="17 Ota Opt EQUIP"/>
      <sheetName val="18 Ota Opt y 19 Brecha OD"/>
      <sheetName val="14 Dda Consolidda"/>
      <sheetName val="20 Plan de PR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24.1 Remun. RR.HH sin PIP"/>
      <sheetName val="24.2 Remun. RR.HH con PIP"/>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55">
          <cell r="C155">
            <v>1350964.84</v>
          </cell>
          <cell r="D155">
            <v>1350964.84</v>
          </cell>
          <cell r="E155">
            <v>1350964.84</v>
          </cell>
          <cell r="F155">
            <v>1350964.84</v>
          </cell>
          <cell r="G155">
            <v>1350964.84</v>
          </cell>
          <cell r="H155">
            <v>1350964.84</v>
          </cell>
          <cell r="I155">
            <v>1350964.84</v>
          </cell>
          <cell r="J155">
            <v>1350964.84</v>
          </cell>
          <cell r="K155">
            <v>1350964.84</v>
          </cell>
          <cell r="L155">
            <v>1350964.84</v>
          </cell>
          <cell r="M155">
            <v>1350964.84</v>
          </cell>
          <cell r="N155">
            <v>1350964.84</v>
          </cell>
          <cell r="O155">
            <v>1350964.84</v>
          </cell>
          <cell r="P155">
            <v>1350964.84</v>
          </cell>
          <cell r="Q155">
            <v>1350964.84</v>
          </cell>
        </row>
      </sheetData>
      <sheetData sheetId="42"/>
      <sheetData sheetId="4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5.1 Cond Lab RH 1"/>
      <sheetName val="15.2 Prog RH 2"/>
      <sheetName val="15.3 Consolddo y Ota Opt RH"/>
      <sheetName val="16.1 Areas Actuales"/>
      <sheetName val="17 Ota Opt EQUIP"/>
      <sheetName val="16.2 Ota Opt INFRA"/>
      <sheetName val="18 Ota Opt y 19 Brecha 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Exp Tec Capacitacion"/>
      <sheetName val="Hoja1"/>
      <sheetName val="24.1 Remun. RR.HH sin PIP"/>
      <sheetName val="24.2 Remun. RR.HH con PIP"/>
      <sheetName val="25 Costos OyM SP"/>
      <sheetName val="26 Costos OyM CP"/>
      <sheetName val="14 Dda Consolidda"/>
      <sheetName val="26.1 Insumos CP"/>
      <sheetName val="26.2 Bs y Ss"/>
      <sheetName val="26.3 Mantto y Repsc EQUIPO"/>
      <sheetName val="26.3a Costo PROGRAM de EQUIP"/>
      <sheetName val="26.3b Costo EQUI Recup"/>
      <sheetName val="26.4 Mantto INFRA"/>
      <sheetName val="27 Costos INCREM"/>
      <sheetName val="Plan de Implement"/>
      <sheetName val="23. Costos de Inversion"/>
      <sheetName val="ML"/>
      <sheetName val="28 Cronograma"/>
      <sheetName val="20 Plan de PROD"/>
      <sheetName val="29 Beneficios"/>
      <sheetName val="30 Sensibilidad"/>
      <sheetName val="Arb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ow r="77">
          <cell r="O77">
            <v>30019279.074405812</v>
          </cell>
        </row>
      </sheetData>
      <sheetData sheetId="55"/>
      <sheetData sheetId="56"/>
      <sheetData sheetId="57"/>
      <sheetData sheetId="58"/>
      <sheetData sheetId="59"/>
      <sheetData sheetId="6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4 Dda Consolidda"/>
      <sheetName val="15.1 Cond Lab RH 1"/>
      <sheetName val="15.2 Prog RH 2"/>
      <sheetName val="15.3 Consolddo y Ota Opt RH"/>
      <sheetName val="16.1 Areas Actuales"/>
      <sheetName val="16.2 Ota Opt INFRA"/>
      <sheetName val="17 Ota Opt EQUIP"/>
      <sheetName val="18 Ota Opt y 19 Brecha OD"/>
      <sheetName val="20 Plan de PROD"/>
      <sheetName val="21 PMF"/>
      <sheetName val="Programa RR.HH"/>
      <sheetName val="Momento I"/>
      <sheetName val="Paso 1.1"/>
      <sheetName val="Tiempos"/>
      <sheetName val="Paso 1.2"/>
      <sheetName val="Paso 1.2 Final"/>
      <sheetName val="Paso 1.3.1"/>
      <sheetName val="Paso 1.3.2"/>
      <sheetName val="Momento II"/>
      <sheetName val="Paso 2.1 - 2.2"/>
      <sheetName val="Momento III"/>
      <sheetName val="Paso 3.1"/>
      <sheetName val="Exp Tec Capacitacion"/>
      <sheetName val="22 PMA. Resultante"/>
      <sheetName val="23. Costos de Inversion"/>
      <sheetName val="24.1 Remun. RR.HH sin PI"/>
      <sheetName val="24.2 Remun. RR.HH con PI"/>
      <sheetName val="25 Costos OyM SP"/>
      <sheetName val="26 Costos OyM CP"/>
      <sheetName val="26.1 Insumos CP"/>
      <sheetName val="26.2 Bs y Ss"/>
      <sheetName val="26.3 Mantto y Repsc EQUIPO"/>
      <sheetName val="26.3a Costo PROGRAM de EQUIP"/>
      <sheetName val="26.3b Costo EQUI Recup"/>
      <sheetName val="26.4 Mantto INFRA"/>
      <sheetName val="27 Costos INCREM"/>
      <sheetName val="Plan de Implement"/>
      <sheetName val="28 Cronograma"/>
      <sheetName val="Cronograma Valorizado"/>
      <sheetName val="29 Beneficios"/>
      <sheetName val="30 Sensibilidad"/>
      <sheetName val="MML"/>
      <sheetName val="Sostenibilidad"/>
      <sheetName val="Horizonte"/>
      <sheetName val="AP5 Hoja 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ow r="47">
          <cell r="AA47">
            <v>0.33333333333333331</v>
          </cell>
          <cell r="AB47">
            <v>0.33333333333333331</v>
          </cell>
          <cell r="AC47">
            <v>0.33333333333333331</v>
          </cell>
        </row>
      </sheetData>
      <sheetData sheetId="56">
        <row r="49">
          <cell r="F49">
            <v>1</v>
          </cell>
        </row>
      </sheetData>
      <sheetData sheetId="57"/>
      <sheetData sheetId="58">
        <row r="7">
          <cell r="E7" t="str">
            <v>CE Alternativa Única</v>
          </cell>
        </row>
      </sheetData>
      <sheetData sheetId="59"/>
      <sheetData sheetId="60"/>
      <sheetData sheetId="61"/>
      <sheetData sheetId="6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álisis del Ámbito"/>
      <sheetName val="2.- A5 Distancias y Tiempos"/>
      <sheetName val="3.- Población (A14)"/>
      <sheetName val="4.- EE. Estrategico (A15)"/>
      <sheetName val="4.1 EE. Estrategico (A15-1)"/>
      <sheetName val="4.2 EE.Estrategico (A15-2)"/>
      <sheetName val="6. EE. Referente (A16)"/>
      <sheetName val="6.1 EE. Referente (A16-1)"/>
      <sheetName val="5.- MORBILIDAD "/>
      <sheetName val="8.- Poblacion Urbano-Rural"/>
      <sheetName val="9.- Proyeccion Demanda"/>
      <sheetName val="10.- DDA P1"/>
      <sheetName val="11.- DDA P2"/>
      <sheetName val="12.-DDA P3"/>
      <sheetName val="13.- DDA SERV APOYO"/>
      <sheetName val="14.- INDICADORES"/>
      <sheetName val="15.- DDA CONSOLIDADA"/>
      <sheetName val="16.- RR.HH. (A6)"/>
      <sheetName val="16.1.- Distrib. RRHH (A7)"/>
      <sheetName val="16.2.- Oferta RRHH (A7-1)"/>
      <sheetName val="Tiempos"/>
      <sheetName val="16.-Oferta Optimizada Infra (2"/>
      <sheetName val="17 Oferta Optimizada Equip."/>
      <sheetName val="18. BRECHA OFERTA DEMANDA"/>
      <sheetName val="19.- PMF"/>
      <sheetName val="Recursos Humanos"/>
      <sheetName val="Momento I"/>
      <sheetName val="Paso 1.1"/>
      <sheetName val="Paso 1.2"/>
      <sheetName val="Paso 1.2 Final"/>
      <sheetName val="NEC. ENF. HOSP."/>
      <sheetName val="Paso 1.3.1"/>
      <sheetName val="Paso 1.3.2"/>
      <sheetName val="Momento II"/>
      <sheetName val="Paso 2.1 - 2.2"/>
      <sheetName val="Momento III"/>
      <sheetName val="Paso 3.1"/>
      <sheetName val="1.- VAL UNIT."/>
      <sheetName val="2.- PMA"/>
      <sheetName val="3.- ALT 1"/>
      <sheetName val="5.- Expediente Técnico"/>
      <sheetName val="6.- Supervisión"/>
      <sheetName val="7.- Contingencia"/>
      <sheetName val="8.- Mitigación Ambiental"/>
      <sheetName val="9.- Equipamiento"/>
      <sheetName val="10.- Programas y Cap"/>
      <sheetName val="11.- G.G. 1 y 2"/>
      <sheetName val="12.-Costo Total Inversión"/>
      <sheetName val="13.- REMUNERACION SP"/>
      <sheetName val="13.1.-REMUNERACION CP"/>
      <sheetName val="14.-SERV BASICOS SP"/>
      <sheetName val="14.1.-SERV BASICOS CP"/>
      <sheetName val="15.-Costos de Insumos"/>
      <sheetName val="16.-Mant. Infr."/>
      <sheetName val="16.1.-Mant sin PIP"/>
      <sheetName val="16.3.-Mant. Eq."/>
      <sheetName val="17.1.-F. COST. OPER. ALT(1 y 2)"/>
      <sheetName val="18.-Beneficios"/>
      <sheetName val="19.-VAC"/>
      <sheetName val="20.- Sensibilidad"/>
      <sheetName val="21.- INGRESOS"/>
      <sheetName val="22.-SOSTENIBILIDAD"/>
      <sheetName val="23.-Cronograma"/>
      <sheetName val="Plan de Implementació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ow r="4">
          <cell r="D4" t="str">
            <v>CE Alternativa Única</v>
          </cell>
        </row>
        <row r="5">
          <cell r="B5">
            <v>-0.25</v>
          </cell>
          <cell r="G5">
            <v>0.5</v>
          </cell>
        </row>
        <row r="6">
          <cell r="B6">
            <v>-0.2</v>
          </cell>
          <cell r="G6">
            <v>0.4</v>
          </cell>
        </row>
        <row r="7">
          <cell r="B7">
            <v>-0.15</v>
          </cell>
          <cell r="G7">
            <v>0.3</v>
          </cell>
        </row>
        <row r="8">
          <cell r="B8">
            <v>-0.1</v>
          </cell>
          <cell r="G8">
            <v>0.2</v>
          </cell>
        </row>
        <row r="9">
          <cell r="B9">
            <v>-0.05</v>
          </cell>
          <cell r="G9">
            <v>0.1</v>
          </cell>
        </row>
        <row r="10">
          <cell r="B10">
            <v>0</v>
          </cell>
          <cell r="G10">
            <v>0</v>
          </cell>
        </row>
        <row r="11">
          <cell r="B11">
            <v>0.05</v>
          </cell>
          <cell r="G11">
            <v>-0.1</v>
          </cell>
        </row>
        <row r="12">
          <cell r="B12">
            <v>0.1</v>
          </cell>
          <cell r="G12">
            <v>-0.2</v>
          </cell>
        </row>
        <row r="13">
          <cell r="B13">
            <v>0.15</v>
          </cell>
          <cell r="G13">
            <v>-0.3</v>
          </cell>
        </row>
        <row r="14">
          <cell r="B14">
            <v>0.2</v>
          </cell>
          <cell r="G14">
            <v>-0.4</v>
          </cell>
        </row>
        <row r="15">
          <cell r="B15">
            <v>0.25</v>
          </cell>
          <cell r="G15">
            <v>-0.5</v>
          </cell>
        </row>
      </sheetData>
      <sheetData sheetId="60"/>
      <sheetData sheetId="61"/>
      <sheetData sheetId="62"/>
      <sheetData sheetId="6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A-PIM"/>
      <sheetName val="DEVENGADOS "/>
      <sheetName val="Hoja1"/>
    </sheetNames>
    <sheetDataSet>
      <sheetData sheetId="0">
        <row r="36">
          <cell r="C36">
            <v>118518551</v>
          </cell>
          <cell r="E36">
            <v>132549681</v>
          </cell>
          <cell r="G36">
            <v>144215594</v>
          </cell>
          <cell r="I36">
            <v>167923961</v>
          </cell>
          <cell r="K36">
            <v>181381976</v>
          </cell>
        </row>
        <row r="61">
          <cell r="B61" t="str">
            <v>Años</v>
          </cell>
          <cell r="C61">
            <v>2014</v>
          </cell>
          <cell r="D61">
            <v>2015</v>
          </cell>
          <cell r="E61">
            <v>2016</v>
          </cell>
          <cell r="F61">
            <v>2017</v>
          </cell>
          <cell r="G61">
            <v>2018</v>
          </cell>
        </row>
        <row r="78">
          <cell r="C78">
            <v>187985464</v>
          </cell>
          <cell r="E78">
            <v>208030998</v>
          </cell>
          <cell r="G78">
            <v>216063400</v>
          </cell>
          <cell r="I78">
            <v>237003937</v>
          </cell>
          <cell r="K78">
            <v>265066499</v>
          </cell>
        </row>
        <row r="102">
          <cell r="B102" t="str">
            <v>AÑOS</v>
          </cell>
          <cell r="C102">
            <v>2014</v>
          </cell>
          <cell r="D102">
            <v>2015</v>
          </cell>
          <cell r="E102">
            <v>2016</v>
          </cell>
          <cell r="F102">
            <v>2017</v>
          </cell>
          <cell r="G102">
            <v>2018</v>
          </cell>
        </row>
      </sheetData>
      <sheetData sheetId="1">
        <row r="92">
          <cell r="C92">
            <v>2014</v>
          </cell>
        </row>
      </sheetData>
      <sheetData sheetId="2"/>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Y105"/>
  <sheetViews>
    <sheetView showGridLines="0" zoomScale="40" zoomScaleNormal="40" workbookViewId="0">
      <selection activeCell="C51" sqref="C51"/>
    </sheetView>
  </sheetViews>
  <sheetFormatPr baseColWidth="10" defaultColWidth="11.5703125" defaultRowHeight="14.25" x14ac:dyDescent="0.2"/>
  <cols>
    <col min="1" max="2" width="11.5703125" style="5279"/>
    <col min="3" max="4" width="72" style="5279" customWidth="1"/>
    <col min="5" max="5" width="11" style="5279" customWidth="1"/>
    <col min="6" max="6" width="23.42578125" style="5279" customWidth="1"/>
    <col min="7" max="7" width="23.85546875" style="5279" customWidth="1"/>
    <col min="8" max="8" width="11.42578125" style="5279" customWidth="1"/>
    <col min="9" max="9" width="14" style="5279" customWidth="1"/>
    <col min="10" max="11" width="21.5703125" style="5279" customWidth="1"/>
    <col min="12" max="12" width="20.7109375" style="5279" customWidth="1"/>
    <col min="13" max="13" width="47.140625" style="5279" customWidth="1"/>
    <col min="14" max="14" width="24.5703125" style="5279" hidden="1" customWidth="1"/>
    <col min="15" max="15" width="15" style="5279" bestFit="1" customWidth="1"/>
    <col min="16" max="17" width="13.7109375" style="5279" customWidth="1"/>
    <col min="18" max="18" width="37.140625" style="5279" customWidth="1"/>
    <col min="19" max="19" width="23" style="5279" customWidth="1"/>
    <col min="20" max="20" width="24.28515625" style="5279" bestFit="1" customWidth="1"/>
    <col min="21" max="21" width="15.42578125" style="5279" bestFit="1" customWidth="1"/>
    <col min="22" max="22" width="23.5703125" style="5279" bestFit="1" customWidth="1"/>
    <col min="23" max="23" width="22.140625" style="5279" customWidth="1"/>
    <col min="24" max="38" width="13.5703125" style="5279" customWidth="1"/>
    <col min="39" max="16384" width="11.5703125" style="5279"/>
  </cols>
  <sheetData>
    <row r="2" spans="2:16" x14ac:dyDescent="0.2">
      <c r="B2" s="5280">
        <v>1.1000000000000001</v>
      </c>
      <c r="C2" s="5280" t="s">
        <v>6158</v>
      </c>
      <c r="H2" s="5281" t="s">
        <v>3642</v>
      </c>
      <c r="I2" s="5281"/>
      <c r="J2" s="5281"/>
      <c r="K2" s="5281"/>
      <c r="L2" s="5281"/>
      <c r="M2" s="5281"/>
      <c r="N2" s="5281"/>
      <c r="O2" s="5281"/>
      <c r="P2" s="5281"/>
    </row>
    <row r="3" spans="2:16" x14ac:dyDescent="0.2">
      <c r="B3" s="5280"/>
      <c r="C3" s="5280"/>
      <c r="H3" s="5282" t="s">
        <v>6159</v>
      </c>
      <c r="I3" s="5282"/>
      <c r="J3" s="5282"/>
      <c r="K3" s="5282"/>
      <c r="L3" s="5282"/>
      <c r="M3" s="5282"/>
      <c r="N3" s="5282"/>
      <c r="O3" s="5282"/>
      <c r="P3" s="5282"/>
    </row>
    <row r="4" spans="2:16" x14ac:dyDescent="0.2">
      <c r="B4" s="5280"/>
      <c r="C4" s="5280"/>
      <c r="H4" s="5282"/>
      <c r="I4" s="5282"/>
      <c r="J4" s="5282"/>
      <c r="K4" s="5282"/>
      <c r="L4" s="5282"/>
      <c r="M4" s="5282"/>
      <c r="N4" s="5282"/>
      <c r="O4" s="5282"/>
      <c r="P4" s="5282"/>
    </row>
    <row r="5" spans="2:16" x14ac:dyDescent="0.2">
      <c r="B5" s="515"/>
      <c r="C5" s="517"/>
      <c r="D5" s="517"/>
      <c r="E5" s="515"/>
      <c r="F5" s="515"/>
      <c r="G5" s="514"/>
      <c r="H5" s="514"/>
      <c r="I5" s="515"/>
      <c r="J5" s="3986"/>
      <c r="K5" s="5283"/>
      <c r="L5" s="3986"/>
      <c r="M5" s="5284"/>
      <c r="N5" s="3986"/>
      <c r="O5" s="515"/>
      <c r="P5" s="515"/>
    </row>
    <row r="6" spans="2:16" x14ac:dyDescent="0.2">
      <c r="B6" s="515"/>
      <c r="C6" s="517"/>
      <c r="D6" s="518" t="s">
        <v>6160</v>
      </c>
      <c r="E6" s="518"/>
      <c r="F6" s="518"/>
      <c r="G6" s="514"/>
      <c r="H6" s="514"/>
      <c r="I6" s="515"/>
      <c r="J6" s="3986"/>
      <c r="K6" s="5283"/>
      <c r="L6" s="5285"/>
      <c r="M6" s="5284"/>
      <c r="N6" s="5285"/>
      <c r="O6" s="515"/>
      <c r="P6" s="515"/>
    </row>
    <row r="7" spans="2:16" x14ac:dyDescent="0.2">
      <c r="B7" s="515"/>
      <c r="C7" s="517"/>
      <c r="D7" s="515"/>
      <c r="E7" s="515"/>
      <c r="F7" s="515"/>
      <c r="G7" s="514"/>
      <c r="H7" s="514"/>
      <c r="I7" s="515"/>
      <c r="J7" s="3986"/>
      <c r="K7" s="5283"/>
      <c r="L7" s="3986"/>
      <c r="M7" s="5284"/>
      <c r="N7" s="3986"/>
      <c r="O7" s="515"/>
      <c r="P7" s="515"/>
    </row>
    <row r="8" spans="2:16" x14ac:dyDescent="0.2">
      <c r="B8" s="515"/>
      <c r="C8" s="517"/>
      <c r="D8" s="515"/>
      <c r="E8" s="515"/>
      <c r="F8" s="515"/>
      <c r="G8" s="514"/>
      <c r="H8" s="514"/>
      <c r="I8" s="515"/>
      <c r="J8" s="3986"/>
      <c r="K8" s="5283"/>
      <c r="L8" s="3986"/>
      <c r="M8" s="5284"/>
      <c r="N8" s="3986"/>
      <c r="O8" s="515"/>
      <c r="P8" s="515"/>
    </row>
    <row r="9" spans="2:16" x14ac:dyDescent="0.2">
      <c r="B9" s="515"/>
      <c r="C9" s="517"/>
      <c r="D9" s="515"/>
      <c r="E9" s="515"/>
      <c r="F9" s="515"/>
      <c r="G9" s="514"/>
      <c r="H9" s="514"/>
      <c r="I9" s="515"/>
      <c r="J9" s="3986"/>
      <c r="K9" s="5283"/>
      <c r="L9" s="3986"/>
      <c r="M9" s="5284"/>
      <c r="N9" s="3986"/>
      <c r="O9" s="515"/>
      <c r="P9" s="515"/>
    </row>
    <row r="10" spans="2:16" x14ac:dyDescent="0.2">
      <c r="B10" s="515"/>
      <c r="C10" s="517"/>
      <c r="D10" s="515"/>
      <c r="E10" s="515"/>
      <c r="F10" s="515"/>
      <c r="G10" s="514"/>
      <c r="H10" s="514"/>
      <c r="I10" s="515"/>
      <c r="J10" s="3986"/>
      <c r="K10" s="5283"/>
      <c r="L10" s="3986"/>
      <c r="M10" s="5284"/>
      <c r="N10" s="3986"/>
      <c r="O10" s="515"/>
      <c r="P10" s="515"/>
    </row>
    <row r="11" spans="2:16" x14ac:dyDescent="0.2">
      <c r="B11" s="515"/>
      <c r="C11" s="517"/>
      <c r="D11" s="515"/>
      <c r="E11" s="515"/>
      <c r="F11" s="515"/>
      <c r="G11" s="514"/>
      <c r="H11" s="514"/>
      <c r="I11" s="515"/>
      <c r="J11" s="3986"/>
      <c r="K11" s="5283"/>
      <c r="L11" s="862"/>
      <c r="M11" s="5284"/>
      <c r="N11" s="5284"/>
      <c r="O11" s="515"/>
      <c r="P11" s="515"/>
    </row>
    <row r="12" spans="2:16" x14ac:dyDescent="0.2">
      <c r="B12" s="515"/>
      <c r="C12" s="517"/>
      <c r="D12" s="515"/>
      <c r="E12" s="515"/>
      <c r="F12" s="515"/>
      <c r="G12" s="514"/>
      <c r="H12" s="514"/>
      <c r="I12" s="515"/>
      <c r="J12" s="3986"/>
      <c r="K12" s="5283"/>
      <c r="L12" s="5285"/>
      <c r="M12" s="5284"/>
      <c r="N12" s="5285"/>
      <c r="O12" s="515"/>
      <c r="P12" s="515"/>
    </row>
    <row r="13" spans="2:16" x14ac:dyDescent="0.2">
      <c r="B13" s="515"/>
      <c r="C13" s="517"/>
      <c r="D13" s="515"/>
      <c r="E13" s="515"/>
      <c r="F13" s="515"/>
      <c r="G13" s="514"/>
      <c r="H13" s="514"/>
      <c r="I13" s="515"/>
      <c r="J13" s="3986"/>
      <c r="K13" s="5283"/>
      <c r="L13" s="3986"/>
      <c r="M13" s="5284"/>
      <c r="N13" s="3986"/>
      <c r="O13" s="515"/>
      <c r="P13" s="515"/>
    </row>
    <row r="14" spans="2:16" x14ac:dyDescent="0.2">
      <c r="B14" s="515"/>
      <c r="C14" s="517"/>
      <c r="D14" s="515"/>
      <c r="E14" s="515"/>
      <c r="F14" s="515"/>
      <c r="G14" s="514"/>
      <c r="H14" s="514"/>
      <c r="I14" s="515"/>
      <c r="J14" s="3986"/>
      <c r="K14" s="5283"/>
      <c r="L14" s="5285"/>
      <c r="M14" s="5284"/>
      <c r="N14" s="5285"/>
      <c r="O14" s="515"/>
      <c r="P14" s="515"/>
    </row>
    <row r="15" spans="2:16" x14ac:dyDescent="0.2">
      <c r="B15" s="515"/>
      <c r="C15" s="517"/>
      <c r="D15" s="515"/>
      <c r="E15" s="515"/>
      <c r="F15" s="515"/>
      <c r="G15" s="514"/>
      <c r="H15" s="514"/>
      <c r="I15" s="515"/>
      <c r="J15" s="3986"/>
      <c r="K15" s="5283"/>
      <c r="L15" s="3986"/>
      <c r="M15" s="5283"/>
      <c r="N15" s="5284"/>
      <c r="O15" s="515"/>
      <c r="P15" s="515"/>
    </row>
    <row r="16" spans="2:16" x14ac:dyDescent="0.2">
      <c r="B16" s="515"/>
      <c r="C16" s="517"/>
      <c r="D16" s="515"/>
      <c r="E16" s="515"/>
      <c r="F16" s="515"/>
      <c r="G16" s="514"/>
      <c r="H16" s="514"/>
      <c r="I16" s="515"/>
      <c r="J16" s="3986"/>
      <c r="K16" s="5283"/>
      <c r="L16" s="862"/>
      <c r="M16" s="5284"/>
      <c r="N16" s="862"/>
      <c r="O16" s="515"/>
      <c r="P16" s="515"/>
    </row>
    <row r="17" spans="2:16" x14ac:dyDescent="0.2">
      <c r="B17" s="515"/>
      <c r="C17" s="517"/>
      <c r="D17" s="515"/>
      <c r="E17" s="515"/>
      <c r="F17" s="515"/>
      <c r="G17" s="514"/>
      <c r="H17" s="514"/>
      <c r="I17" s="515"/>
      <c r="J17" s="3986"/>
      <c r="K17" s="5283"/>
      <c r="L17" s="5285"/>
      <c r="M17" s="5284"/>
      <c r="N17" s="5285"/>
      <c r="O17" s="515"/>
      <c r="P17" s="515"/>
    </row>
    <row r="18" spans="2:16" x14ac:dyDescent="0.2">
      <c r="B18" s="515"/>
      <c r="C18" s="517"/>
      <c r="D18" s="515"/>
      <c r="E18" s="515"/>
      <c r="F18" s="515"/>
      <c r="G18" s="514"/>
      <c r="H18" s="514"/>
      <c r="I18" s="515"/>
      <c r="J18" s="3986"/>
      <c r="K18" s="5283"/>
      <c r="L18" s="5286"/>
      <c r="M18" s="5284"/>
      <c r="N18" s="5284"/>
      <c r="O18" s="515"/>
      <c r="P18" s="515"/>
    </row>
    <row r="19" spans="2:16" x14ac:dyDescent="0.2">
      <c r="B19" s="515"/>
      <c r="C19" s="517"/>
      <c r="D19" s="515"/>
      <c r="E19" s="515"/>
      <c r="F19" s="515"/>
      <c r="G19" s="514"/>
      <c r="H19" s="514"/>
      <c r="I19" s="515"/>
      <c r="J19" s="3986"/>
      <c r="K19" s="5283"/>
      <c r="L19" s="5286"/>
      <c r="M19" s="5284"/>
      <c r="N19" s="5284"/>
      <c r="O19" s="515"/>
      <c r="P19" s="515"/>
    </row>
    <row r="20" spans="2:16" x14ac:dyDescent="0.2">
      <c r="B20" s="515"/>
      <c r="C20" s="517"/>
      <c r="D20" s="515"/>
      <c r="E20" s="515"/>
      <c r="F20" s="515"/>
      <c r="G20" s="514"/>
      <c r="H20" s="514"/>
      <c r="I20" s="515"/>
      <c r="J20" s="3986"/>
      <c r="K20" s="5283"/>
      <c r="L20" s="5286"/>
      <c r="M20" s="5284"/>
      <c r="N20" s="5284"/>
      <c r="O20" s="515"/>
      <c r="P20" s="515"/>
    </row>
    <row r="21" spans="2:16" x14ac:dyDescent="0.2">
      <c r="B21" s="515"/>
      <c r="C21" s="517"/>
      <c r="D21" s="515"/>
      <c r="E21" s="515"/>
      <c r="F21" s="515"/>
      <c r="G21" s="514"/>
      <c r="H21" s="514"/>
      <c r="I21" s="515"/>
      <c r="J21" s="3986"/>
      <c r="K21" s="5283"/>
      <c r="L21" s="5286"/>
      <c r="M21" s="5284"/>
      <c r="N21" s="5284"/>
      <c r="O21" s="515"/>
      <c r="P21" s="515"/>
    </row>
    <row r="22" spans="2:16" x14ac:dyDescent="0.2">
      <c r="B22" s="515"/>
      <c r="C22" s="517"/>
      <c r="D22" s="515"/>
      <c r="E22" s="515"/>
      <c r="F22" s="515"/>
      <c r="G22" s="514"/>
      <c r="H22" s="514"/>
      <c r="I22" s="515"/>
      <c r="J22" s="3986"/>
      <c r="K22" s="5283"/>
      <c r="L22" s="5286"/>
      <c r="M22" s="5284"/>
      <c r="N22" s="5284"/>
      <c r="O22" s="515"/>
      <c r="P22" s="515"/>
    </row>
    <row r="23" spans="2:16" x14ac:dyDescent="0.2">
      <c r="B23" s="515"/>
      <c r="C23" s="517"/>
      <c r="D23" s="515"/>
      <c r="E23" s="515"/>
      <c r="F23" s="515"/>
      <c r="G23" s="514"/>
      <c r="H23" s="514"/>
      <c r="I23" s="515"/>
      <c r="J23" s="3986"/>
      <c r="K23" s="5282"/>
      <c r="L23" s="4407"/>
      <c r="M23" s="5284"/>
      <c r="N23" s="515"/>
      <c r="O23" s="515"/>
      <c r="P23" s="515"/>
    </row>
    <row r="24" spans="2:16" x14ac:dyDescent="0.2">
      <c r="B24" s="515"/>
      <c r="C24" s="517"/>
      <c r="D24" s="515"/>
      <c r="E24" s="515"/>
      <c r="F24" s="515"/>
      <c r="G24" s="514"/>
      <c r="H24" s="514"/>
      <c r="I24" s="515"/>
      <c r="J24" s="3986"/>
      <c r="K24" s="5282"/>
      <c r="L24" s="4407"/>
      <c r="M24" s="3986"/>
      <c r="N24" s="5284"/>
      <c r="O24" s="515"/>
      <c r="P24" s="515"/>
    </row>
    <row r="25" spans="2:16" x14ac:dyDescent="0.2">
      <c r="B25" s="515"/>
      <c r="C25" s="517"/>
      <c r="D25" s="515"/>
      <c r="E25" s="515"/>
      <c r="F25" s="515"/>
      <c r="G25" s="514"/>
      <c r="H25" s="514"/>
      <c r="I25" s="515"/>
      <c r="J25" s="3986"/>
      <c r="K25" s="5283"/>
      <c r="L25" s="862"/>
      <c r="M25" s="5284"/>
      <c r="N25" s="862"/>
      <c r="O25" s="515"/>
      <c r="P25" s="515"/>
    </row>
    <row r="26" spans="2:16" x14ac:dyDescent="0.2">
      <c r="B26" s="515"/>
      <c r="C26" s="517"/>
      <c r="D26" s="517"/>
      <c r="E26" s="515"/>
      <c r="F26" s="515"/>
      <c r="G26" s="514"/>
      <c r="H26" s="514"/>
      <c r="I26" s="515"/>
      <c r="J26" s="3986"/>
      <c r="K26" s="5283"/>
      <c r="L26" s="5286"/>
      <c r="M26" s="5284"/>
      <c r="N26" s="5286"/>
      <c r="O26" s="515"/>
      <c r="P26" s="515"/>
    </row>
    <row r="27" spans="2:16" x14ac:dyDescent="0.2">
      <c r="B27" s="515"/>
      <c r="C27" s="517"/>
      <c r="D27" s="515"/>
      <c r="E27" s="515"/>
      <c r="F27" s="515"/>
      <c r="G27" s="514"/>
      <c r="H27" s="514"/>
      <c r="I27" s="515"/>
      <c r="J27" s="3986"/>
      <c r="K27" s="5283"/>
      <c r="L27" s="862"/>
      <c r="M27" s="514"/>
      <c r="N27" s="5284"/>
      <c r="O27" s="515"/>
      <c r="P27" s="515"/>
    </row>
    <row r="28" spans="2:16" x14ac:dyDescent="0.2">
      <c r="B28" s="515"/>
      <c r="C28" s="517"/>
      <c r="D28" s="515"/>
      <c r="E28" s="515"/>
      <c r="F28" s="515"/>
      <c r="G28" s="514"/>
      <c r="H28" s="514"/>
      <c r="I28" s="515"/>
      <c r="J28" s="5287"/>
      <c r="K28" s="5283"/>
      <c r="L28" s="5283"/>
      <c r="M28" s="5283"/>
      <c r="N28" s="515"/>
      <c r="O28" s="515"/>
      <c r="P28" s="515"/>
    </row>
    <row r="29" spans="2:16" x14ac:dyDescent="0.2">
      <c r="B29" s="515"/>
      <c r="C29" s="517"/>
      <c r="D29" s="515"/>
      <c r="E29" s="515"/>
      <c r="F29" s="515"/>
      <c r="G29" s="514"/>
      <c r="H29" s="514"/>
      <c r="I29" s="515"/>
      <c r="J29" s="5283"/>
      <c r="K29" s="5283"/>
      <c r="L29" s="5283"/>
      <c r="M29" s="5283"/>
      <c r="N29" s="515"/>
      <c r="O29" s="515"/>
      <c r="P29" s="515"/>
    </row>
    <row r="30" spans="2:16" x14ac:dyDescent="0.2">
      <c r="B30" s="515"/>
      <c r="C30" s="517"/>
      <c r="D30" s="515"/>
      <c r="E30" s="515"/>
      <c r="F30" s="515"/>
      <c r="G30" s="514"/>
      <c r="H30" s="514"/>
      <c r="I30" s="515"/>
      <c r="J30" s="515"/>
      <c r="K30" s="515"/>
      <c r="L30" s="515"/>
      <c r="M30" s="515"/>
      <c r="N30" s="515"/>
      <c r="O30" s="515"/>
      <c r="P30" s="515"/>
    </row>
    <row r="31" spans="2:16" x14ac:dyDescent="0.2">
      <c r="B31" s="515"/>
      <c r="C31" s="517"/>
      <c r="D31" s="515"/>
      <c r="E31" s="515"/>
      <c r="F31" s="515"/>
      <c r="G31" s="514"/>
      <c r="H31" s="514"/>
      <c r="I31" s="515"/>
      <c r="J31" s="515"/>
      <c r="K31" s="515"/>
      <c r="L31" s="515"/>
      <c r="M31" s="515"/>
      <c r="N31" s="515"/>
      <c r="O31" s="515"/>
      <c r="P31" s="515"/>
    </row>
    <row r="32" spans="2:16" x14ac:dyDescent="0.2">
      <c r="B32" s="515"/>
      <c r="C32" s="517"/>
      <c r="D32" s="515"/>
      <c r="E32" s="515"/>
      <c r="F32" s="515"/>
      <c r="G32" s="514"/>
      <c r="H32" s="514"/>
      <c r="I32" s="515"/>
      <c r="J32" s="515"/>
      <c r="K32" s="515"/>
      <c r="L32" s="515"/>
      <c r="M32" s="515"/>
      <c r="N32" s="515"/>
      <c r="O32" s="515"/>
      <c r="P32" s="515"/>
    </row>
    <row r="33" spans="2:16" x14ac:dyDescent="0.2">
      <c r="B33" s="515"/>
      <c r="C33" s="517"/>
      <c r="D33" s="515"/>
      <c r="E33" s="515"/>
      <c r="F33" s="515"/>
      <c r="G33" s="514"/>
      <c r="H33" s="514"/>
      <c r="I33" s="515"/>
      <c r="J33" s="515"/>
      <c r="K33" s="515"/>
      <c r="L33" s="515"/>
      <c r="M33" s="515"/>
      <c r="N33" s="515"/>
      <c r="O33" s="515"/>
      <c r="P33" s="515"/>
    </row>
    <row r="34" spans="2:16" x14ac:dyDescent="0.2">
      <c r="B34" s="515"/>
      <c r="C34" s="517"/>
      <c r="D34" s="515"/>
      <c r="E34" s="515"/>
      <c r="F34" s="515"/>
      <c r="G34" s="514"/>
      <c r="H34" s="514"/>
      <c r="I34" s="515"/>
      <c r="J34" s="515"/>
      <c r="K34" s="515"/>
      <c r="L34" s="515"/>
      <c r="M34" s="515"/>
      <c r="N34" s="515"/>
      <c r="O34" s="515"/>
      <c r="P34" s="515"/>
    </row>
    <row r="35" spans="2:16" x14ac:dyDescent="0.2">
      <c r="B35" s="515"/>
      <c r="C35" s="517"/>
      <c r="D35" s="515"/>
      <c r="E35" s="515"/>
      <c r="F35" s="515"/>
      <c r="G35" s="514"/>
      <c r="H35" s="514"/>
      <c r="I35" s="515"/>
      <c r="J35" s="515"/>
      <c r="K35" s="515"/>
      <c r="L35" s="515"/>
      <c r="M35" s="515"/>
      <c r="N35" s="515"/>
      <c r="O35" s="515"/>
      <c r="P35" s="515"/>
    </row>
    <row r="36" spans="2:16" x14ac:dyDescent="0.2">
      <c r="B36" s="515"/>
      <c r="C36" s="517"/>
      <c r="D36" s="515"/>
      <c r="E36" s="515"/>
      <c r="F36" s="515"/>
      <c r="G36" s="514"/>
      <c r="H36" s="514"/>
      <c r="I36" s="515"/>
      <c r="J36" s="515"/>
      <c r="K36" s="515"/>
      <c r="L36" s="515"/>
      <c r="M36" s="515"/>
      <c r="N36" s="515"/>
      <c r="O36" s="515"/>
      <c r="P36" s="515"/>
    </row>
    <row r="37" spans="2:16" x14ac:dyDescent="0.2">
      <c r="B37" s="515"/>
      <c r="C37" s="517"/>
      <c r="D37" s="515"/>
      <c r="E37" s="515"/>
      <c r="F37" s="515"/>
      <c r="G37" s="514"/>
      <c r="H37" s="514"/>
      <c r="I37" s="515"/>
      <c r="J37" s="515"/>
      <c r="K37" s="515"/>
      <c r="L37" s="515"/>
      <c r="M37" s="515"/>
      <c r="N37" s="515"/>
      <c r="O37" s="515"/>
      <c r="P37" s="515"/>
    </row>
    <row r="38" spans="2:16" x14ac:dyDescent="0.2">
      <c r="B38" s="515"/>
      <c r="C38" s="517"/>
      <c r="D38" s="515"/>
      <c r="E38" s="515"/>
      <c r="F38" s="515"/>
      <c r="G38" s="514"/>
      <c r="H38" s="514"/>
      <c r="I38" s="515"/>
      <c r="J38" s="515"/>
      <c r="K38" s="515"/>
      <c r="L38" s="515"/>
      <c r="M38" s="515"/>
      <c r="N38" s="515"/>
      <c r="O38" s="515"/>
      <c r="P38" s="515"/>
    </row>
    <row r="39" spans="2:16" x14ac:dyDescent="0.2">
      <c r="B39" s="515"/>
      <c r="C39" s="517"/>
      <c r="D39" s="515"/>
      <c r="E39" s="515"/>
      <c r="F39" s="515"/>
      <c r="G39" s="514"/>
      <c r="H39" s="514"/>
      <c r="I39" s="515"/>
      <c r="J39" s="515"/>
      <c r="K39" s="515"/>
      <c r="L39" s="515"/>
      <c r="M39" s="515"/>
      <c r="N39" s="515"/>
      <c r="O39" s="515"/>
      <c r="P39" s="515"/>
    </row>
    <row r="40" spans="2:16" x14ac:dyDescent="0.2">
      <c r="B40" s="515"/>
      <c r="C40" s="517"/>
      <c r="D40" s="517"/>
      <c r="E40" s="515"/>
      <c r="F40" s="515"/>
      <c r="G40" s="514"/>
      <c r="H40" s="514"/>
      <c r="I40" s="515"/>
      <c r="J40" s="515"/>
      <c r="K40" s="515"/>
      <c r="L40" s="515"/>
      <c r="M40" s="515"/>
      <c r="N40" s="515"/>
      <c r="O40" s="515"/>
      <c r="P40" s="515"/>
    </row>
    <row r="41" spans="2:16" x14ac:dyDescent="0.2">
      <c r="B41" s="515"/>
      <c r="C41" s="517"/>
      <c r="D41" s="517"/>
      <c r="E41" s="515"/>
      <c r="F41" s="515"/>
      <c r="G41" s="514"/>
      <c r="H41" s="514"/>
      <c r="I41" s="515"/>
      <c r="J41" s="515"/>
      <c r="K41" s="515"/>
      <c r="L41" s="515"/>
      <c r="M41" s="515"/>
      <c r="N41" s="515"/>
      <c r="O41" s="515"/>
      <c r="P41" s="515"/>
    </row>
    <row r="42" spans="2:16" x14ac:dyDescent="0.2">
      <c r="B42" s="515"/>
      <c r="C42" s="517"/>
      <c r="D42" s="517"/>
      <c r="E42" s="515"/>
      <c r="F42" s="515"/>
      <c r="G42" s="514"/>
      <c r="H42" s="514"/>
      <c r="I42" s="515"/>
      <c r="J42" s="515"/>
      <c r="K42" s="515"/>
      <c r="L42" s="515"/>
      <c r="M42" s="515"/>
      <c r="N42" s="515"/>
      <c r="O42" s="515"/>
      <c r="P42" s="515"/>
    </row>
    <row r="43" spans="2:16" x14ac:dyDescent="0.2">
      <c r="B43" s="515"/>
      <c r="C43" s="517"/>
      <c r="D43" s="517"/>
      <c r="E43" s="515"/>
      <c r="F43" s="515"/>
      <c r="G43" s="514"/>
      <c r="H43" s="514"/>
      <c r="I43" s="515"/>
      <c r="J43" s="515"/>
      <c r="K43" s="515"/>
      <c r="L43" s="515"/>
      <c r="M43" s="515"/>
      <c r="N43" s="515"/>
      <c r="O43" s="515"/>
      <c r="P43" s="515"/>
    </row>
    <row r="44" spans="2:16" x14ac:dyDescent="0.2">
      <c r="B44" s="515"/>
      <c r="C44" s="517"/>
      <c r="D44" s="517"/>
      <c r="E44" s="515"/>
      <c r="F44" s="515"/>
      <c r="G44" s="514"/>
      <c r="H44" s="514"/>
      <c r="I44" s="515"/>
      <c r="J44" s="515"/>
      <c r="K44" s="515"/>
      <c r="L44" s="515"/>
      <c r="M44" s="515"/>
      <c r="N44" s="515"/>
      <c r="O44" s="515"/>
      <c r="P44" s="515"/>
    </row>
    <row r="45" spans="2:16" x14ac:dyDescent="0.2">
      <c r="B45" s="515"/>
      <c r="C45" s="517"/>
      <c r="D45" s="517"/>
      <c r="E45" s="515"/>
      <c r="F45" s="515"/>
      <c r="G45" s="514"/>
      <c r="H45" s="514"/>
      <c r="I45" s="515"/>
      <c r="J45" s="515"/>
      <c r="K45" s="515"/>
      <c r="L45" s="515"/>
      <c r="M45" s="515"/>
      <c r="N45" s="515"/>
      <c r="O45" s="515"/>
      <c r="P45" s="515"/>
    </row>
    <row r="46" spans="2:16" x14ac:dyDescent="0.2">
      <c r="B46" s="515"/>
      <c r="C46" s="517"/>
      <c r="D46" s="517"/>
      <c r="E46" s="515"/>
      <c r="F46" s="515"/>
      <c r="G46" s="514"/>
      <c r="H46" s="514"/>
      <c r="I46" s="515"/>
      <c r="J46" s="515"/>
      <c r="K46" s="515"/>
      <c r="L46" s="515"/>
      <c r="M46" s="515"/>
      <c r="N46" s="515"/>
      <c r="O46" s="515"/>
      <c r="P46" s="515"/>
    </row>
    <row r="47" spans="2:16" x14ac:dyDescent="0.2">
      <c r="B47" s="515"/>
      <c r="C47" s="517"/>
      <c r="D47" s="517"/>
      <c r="E47" s="515"/>
      <c r="F47" s="515"/>
      <c r="G47" s="514"/>
      <c r="H47" s="514"/>
      <c r="I47" s="515"/>
      <c r="J47" s="515"/>
      <c r="K47" s="515"/>
      <c r="L47" s="515"/>
      <c r="M47" s="515"/>
      <c r="N47" s="515"/>
      <c r="O47" s="515"/>
      <c r="P47" s="515"/>
    </row>
    <row r="48" spans="2:16" x14ac:dyDescent="0.2">
      <c r="B48" s="515"/>
      <c r="C48" s="517"/>
      <c r="D48" s="517"/>
      <c r="E48" s="515"/>
      <c r="F48" s="515"/>
      <c r="G48" s="514"/>
      <c r="H48" s="514"/>
      <c r="I48" s="515"/>
      <c r="J48" s="515"/>
      <c r="K48" s="515"/>
      <c r="L48" s="515"/>
      <c r="M48" s="515"/>
      <c r="N48" s="515"/>
      <c r="O48" s="515"/>
      <c r="P48" s="515"/>
    </row>
    <row r="49" spans="2:16" x14ac:dyDescent="0.2">
      <c r="B49" s="515"/>
      <c r="C49" s="517"/>
      <c r="D49" s="517"/>
      <c r="E49" s="515"/>
      <c r="F49" s="515"/>
      <c r="G49" s="514"/>
      <c r="H49" s="514"/>
      <c r="I49" s="515"/>
      <c r="J49" s="515"/>
      <c r="K49" s="515"/>
      <c r="L49" s="515"/>
      <c r="M49" s="515"/>
      <c r="N49" s="515"/>
      <c r="O49" s="515"/>
      <c r="P49" s="515"/>
    </row>
    <row r="50" spans="2:16" x14ac:dyDescent="0.2">
      <c r="B50" s="515"/>
      <c r="C50" s="517"/>
      <c r="D50" s="517"/>
      <c r="E50" s="515"/>
      <c r="F50" s="515"/>
      <c r="G50" s="514"/>
      <c r="H50" s="514"/>
      <c r="I50" s="515"/>
      <c r="J50" s="515"/>
      <c r="K50" s="515"/>
      <c r="L50" s="515"/>
      <c r="M50" s="515"/>
      <c r="N50" s="515"/>
      <c r="O50" s="515"/>
      <c r="P50" s="515"/>
    </row>
    <row r="51" spans="2:16" x14ac:dyDescent="0.2">
      <c r="B51" s="515"/>
      <c r="C51" s="517"/>
      <c r="D51" s="517"/>
      <c r="E51" s="515"/>
      <c r="F51" s="515"/>
      <c r="G51" s="514"/>
      <c r="H51" s="514"/>
      <c r="I51" s="515"/>
      <c r="J51" s="515"/>
      <c r="K51" s="515"/>
      <c r="L51" s="515"/>
      <c r="M51" s="515"/>
      <c r="N51" s="515"/>
      <c r="O51" s="515"/>
      <c r="P51" s="515"/>
    </row>
    <row r="52" spans="2:16" x14ac:dyDescent="0.2">
      <c r="B52" s="515"/>
      <c r="C52" s="517"/>
      <c r="D52" s="517"/>
      <c r="E52" s="515"/>
      <c r="F52" s="515"/>
      <c r="G52" s="514"/>
      <c r="H52" s="514"/>
      <c r="I52" s="515"/>
      <c r="J52" s="515"/>
      <c r="K52" s="515"/>
      <c r="L52" s="515"/>
      <c r="M52" s="515"/>
      <c r="N52" s="515"/>
      <c r="O52" s="515"/>
      <c r="P52" s="515"/>
    </row>
    <row r="53" spans="2:16" x14ac:dyDescent="0.2">
      <c r="B53" s="515"/>
      <c r="C53" s="517"/>
      <c r="D53" s="517"/>
      <c r="E53" s="515"/>
      <c r="F53" s="515"/>
      <c r="G53" s="514"/>
      <c r="H53" s="514"/>
      <c r="I53" s="515"/>
      <c r="J53" s="515"/>
      <c r="K53" s="515"/>
      <c r="L53" s="515"/>
      <c r="M53" s="515"/>
      <c r="N53" s="515"/>
      <c r="O53" s="515"/>
      <c r="P53" s="515"/>
    </row>
    <row r="54" spans="2:16" x14ac:dyDescent="0.2">
      <c r="B54" s="515"/>
      <c r="C54" s="517"/>
      <c r="D54" s="517"/>
      <c r="E54" s="515"/>
      <c r="F54" s="515"/>
      <c r="G54" s="514"/>
      <c r="H54" s="514"/>
      <c r="I54" s="515"/>
      <c r="J54" s="515"/>
      <c r="K54" s="515"/>
      <c r="L54" s="515"/>
      <c r="M54" s="515"/>
      <c r="N54" s="515"/>
      <c r="O54" s="515"/>
      <c r="P54" s="515"/>
    </row>
    <row r="55" spans="2:16" x14ac:dyDescent="0.2">
      <c r="B55" s="515"/>
      <c r="C55" s="517"/>
      <c r="D55" s="517"/>
      <c r="E55" s="515"/>
      <c r="F55" s="515"/>
      <c r="G55" s="514"/>
      <c r="H55" s="514"/>
      <c r="I55" s="515"/>
      <c r="J55" s="515"/>
      <c r="K55" s="515"/>
      <c r="L55" s="515"/>
      <c r="M55" s="515"/>
      <c r="N55" s="515"/>
      <c r="O55" s="515"/>
      <c r="P55" s="515"/>
    </row>
    <row r="56" spans="2:16" x14ac:dyDescent="0.2">
      <c r="B56" s="515"/>
      <c r="C56" s="517"/>
      <c r="D56" s="517"/>
      <c r="E56" s="515"/>
      <c r="F56" s="515"/>
      <c r="G56" s="514"/>
      <c r="H56" s="514"/>
      <c r="I56" s="515"/>
      <c r="J56" s="515"/>
      <c r="K56" s="515"/>
      <c r="L56" s="515"/>
      <c r="M56" s="515"/>
      <c r="N56" s="515"/>
      <c r="O56" s="515"/>
      <c r="P56" s="515"/>
    </row>
    <row r="57" spans="2:16" x14ac:dyDescent="0.2">
      <c r="B57" s="515"/>
      <c r="C57" s="517"/>
      <c r="D57" s="517"/>
      <c r="E57" s="515"/>
      <c r="F57" s="515"/>
      <c r="G57" s="514"/>
      <c r="H57" s="514"/>
      <c r="I57" s="515"/>
      <c r="J57" s="515"/>
      <c r="K57" s="515"/>
      <c r="L57" s="515"/>
      <c r="M57" s="515"/>
      <c r="N57" s="515"/>
      <c r="O57" s="515"/>
      <c r="P57" s="515"/>
    </row>
    <row r="58" spans="2:16" x14ac:dyDescent="0.2">
      <c r="B58" s="515"/>
      <c r="C58" s="517"/>
      <c r="D58" s="517"/>
      <c r="E58" s="515"/>
      <c r="F58" s="515"/>
      <c r="G58" s="514"/>
      <c r="H58" s="514"/>
      <c r="I58" s="515"/>
      <c r="J58" s="515"/>
      <c r="K58" s="515"/>
      <c r="L58" s="515"/>
      <c r="M58" s="515"/>
      <c r="N58" s="515"/>
      <c r="O58" s="515"/>
      <c r="P58" s="515"/>
    </row>
    <row r="59" spans="2:16" x14ac:dyDescent="0.2">
      <c r="B59" s="515"/>
      <c r="C59" s="517"/>
      <c r="D59" s="517"/>
      <c r="E59" s="515"/>
      <c r="F59" s="515"/>
      <c r="G59" s="514"/>
      <c r="H59" s="514"/>
      <c r="I59" s="515"/>
      <c r="J59" s="515"/>
      <c r="K59" s="515"/>
      <c r="L59" s="515"/>
      <c r="M59" s="515"/>
      <c r="N59" s="515"/>
      <c r="O59" s="515"/>
      <c r="P59" s="515"/>
    </row>
    <row r="60" spans="2:16" x14ac:dyDescent="0.2">
      <c r="B60" s="515"/>
      <c r="C60" s="517"/>
      <c r="D60" s="517"/>
      <c r="E60" s="515"/>
      <c r="F60" s="515"/>
      <c r="G60" s="514"/>
      <c r="H60" s="514"/>
      <c r="I60" s="515"/>
      <c r="J60" s="515"/>
      <c r="K60" s="515"/>
      <c r="L60" s="515"/>
      <c r="M60" s="515"/>
      <c r="N60" s="515"/>
      <c r="O60" s="515"/>
      <c r="P60" s="515"/>
    </row>
    <row r="61" spans="2:16" x14ac:dyDescent="0.2">
      <c r="B61" s="515"/>
      <c r="C61" s="517"/>
      <c r="D61" s="517"/>
      <c r="E61" s="515"/>
      <c r="F61" s="515"/>
      <c r="G61" s="514"/>
      <c r="H61" s="514"/>
      <c r="I61" s="515"/>
      <c r="J61" s="515"/>
      <c r="K61" s="515"/>
      <c r="L61" s="515"/>
      <c r="M61" s="515"/>
      <c r="N61" s="515"/>
      <c r="O61" s="515"/>
      <c r="P61" s="515"/>
    </row>
    <row r="62" spans="2:16" x14ac:dyDescent="0.2">
      <c r="B62" s="515"/>
      <c r="C62" s="517"/>
      <c r="D62" s="517"/>
      <c r="E62" s="515"/>
      <c r="F62" s="515"/>
      <c r="G62" s="514"/>
      <c r="H62" s="514"/>
      <c r="I62" s="515"/>
      <c r="J62" s="515"/>
      <c r="K62" s="515"/>
      <c r="L62" s="515"/>
      <c r="M62" s="515"/>
      <c r="N62" s="515"/>
      <c r="O62" s="515"/>
      <c r="P62" s="515"/>
    </row>
    <row r="63" spans="2:16" x14ac:dyDescent="0.2">
      <c r="B63" s="515"/>
      <c r="C63" s="517"/>
      <c r="D63" s="517"/>
      <c r="E63" s="515"/>
      <c r="F63" s="515"/>
      <c r="G63" s="514"/>
      <c r="H63" s="514"/>
      <c r="I63" s="515"/>
      <c r="J63" s="515"/>
      <c r="K63" s="515"/>
      <c r="L63" s="515"/>
      <c r="M63" s="515"/>
      <c r="N63" s="515"/>
      <c r="O63" s="515"/>
      <c r="P63" s="515"/>
    </row>
    <row r="64" spans="2:16" x14ac:dyDescent="0.2">
      <c r="B64" s="515"/>
      <c r="C64" s="517"/>
      <c r="D64" s="517"/>
      <c r="E64" s="515"/>
      <c r="F64" s="515"/>
      <c r="G64" s="514"/>
      <c r="H64" s="514"/>
      <c r="I64" s="515"/>
      <c r="J64" s="515"/>
      <c r="K64" s="515"/>
      <c r="L64" s="515"/>
      <c r="M64" s="515"/>
      <c r="N64" s="515"/>
      <c r="O64" s="515"/>
      <c r="P64" s="515"/>
    </row>
    <row r="65" spans="2:25" x14ac:dyDescent="0.2">
      <c r="B65" s="515"/>
      <c r="C65" s="517"/>
      <c r="D65" s="517"/>
      <c r="E65" s="515"/>
      <c r="F65" s="515"/>
      <c r="G65" s="514"/>
      <c r="H65" s="514"/>
      <c r="I65" s="515"/>
      <c r="J65" s="515"/>
      <c r="K65" s="515"/>
      <c r="L65" s="515"/>
      <c r="M65" s="515"/>
      <c r="N65" s="515"/>
      <c r="O65" s="515"/>
      <c r="P65" s="515"/>
    </row>
    <row r="66" spans="2:25" x14ac:dyDescent="0.2">
      <c r="B66" s="515"/>
      <c r="C66" s="517"/>
      <c r="D66" s="517"/>
      <c r="E66" s="515"/>
      <c r="F66" s="515"/>
      <c r="G66" s="514"/>
      <c r="H66" s="514"/>
      <c r="I66" s="515"/>
      <c r="J66" s="515"/>
      <c r="K66" s="515"/>
      <c r="L66" s="515"/>
      <c r="M66" s="515"/>
      <c r="N66" s="515"/>
      <c r="O66" s="515"/>
      <c r="P66" s="515"/>
    </row>
    <row r="67" spans="2:25" ht="18" customHeight="1" x14ac:dyDescent="0.2">
      <c r="B67" s="515"/>
      <c r="C67" s="515"/>
      <c r="D67" s="515"/>
      <c r="E67" s="515"/>
      <c r="F67" s="515"/>
      <c r="G67" s="514"/>
      <c r="H67" s="514"/>
      <c r="I67" s="515"/>
      <c r="J67" s="515"/>
      <c r="K67" s="515"/>
      <c r="L67" s="515"/>
      <c r="M67" s="515"/>
      <c r="N67" s="515"/>
      <c r="O67" s="515"/>
      <c r="P67" s="515"/>
    </row>
    <row r="68" spans="2:25" ht="13.9" customHeight="1" x14ac:dyDescent="0.2">
      <c r="B68" s="515"/>
      <c r="C68" s="515"/>
      <c r="D68" s="515"/>
      <c r="E68" s="515"/>
      <c r="F68" s="515"/>
      <c r="G68" s="514"/>
      <c r="H68" s="514"/>
      <c r="I68" s="515"/>
      <c r="J68" s="515"/>
      <c r="K68" s="515"/>
      <c r="L68" s="515"/>
      <c r="M68" s="515"/>
      <c r="N68" s="515"/>
      <c r="O68" s="515"/>
      <c r="P68" s="515"/>
    </row>
    <row r="69" spans="2:25" ht="14.45" customHeight="1" x14ac:dyDescent="0.2">
      <c r="B69" s="515"/>
      <c r="C69" s="515"/>
      <c r="D69" s="515"/>
      <c r="E69" s="515"/>
      <c r="F69" s="515"/>
      <c r="G69" s="514"/>
      <c r="H69" s="514"/>
      <c r="I69" s="515"/>
      <c r="J69" s="515"/>
      <c r="K69" s="515"/>
      <c r="L69" s="515"/>
      <c r="M69" s="515"/>
      <c r="N69" s="515"/>
      <c r="O69" s="515"/>
      <c r="P69" s="515"/>
    </row>
    <row r="70" spans="2:25" ht="15" customHeight="1" x14ac:dyDescent="0.2">
      <c r="I70" s="5288" t="s">
        <v>6161</v>
      </c>
      <c r="J70" s="5288"/>
      <c r="K70" s="5288"/>
      <c r="L70" s="5288"/>
      <c r="M70" s="5288"/>
      <c r="N70" s="5288"/>
      <c r="O70" s="5289"/>
      <c r="P70" s="817"/>
      <c r="Q70" s="515"/>
      <c r="R70" s="515"/>
      <c r="S70" s="515"/>
      <c r="T70" s="515"/>
      <c r="U70" s="515"/>
      <c r="V70" s="515"/>
      <c r="W70" s="515"/>
      <c r="X70" s="515"/>
      <c r="Y70" s="515"/>
    </row>
    <row r="71" spans="2:25" ht="14.25" customHeight="1" x14ac:dyDescent="0.2">
      <c r="I71" s="5290" t="s">
        <v>1292</v>
      </c>
      <c r="J71" s="5290" t="s">
        <v>1293</v>
      </c>
      <c r="K71" s="5290" t="s">
        <v>6162</v>
      </c>
      <c r="L71" s="5290" t="s">
        <v>1294</v>
      </c>
      <c r="M71" s="5290"/>
      <c r="N71" s="5290" t="s">
        <v>1295</v>
      </c>
      <c r="O71" s="5290" t="s">
        <v>1296</v>
      </c>
      <c r="P71" s="817"/>
      <c r="Q71" s="515"/>
      <c r="R71" s="4473" t="s">
        <v>1294</v>
      </c>
      <c r="S71" s="4475"/>
      <c r="T71" s="5291" t="s">
        <v>6163</v>
      </c>
      <c r="U71" s="5291" t="s">
        <v>6164</v>
      </c>
      <c r="V71" s="5291" t="s">
        <v>6165</v>
      </c>
      <c r="W71" s="5291" t="s">
        <v>6166</v>
      </c>
      <c r="X71" s="5291" t="s">
        <v>6167</v>
      </c>
      <c r="Y71" s="5291" t="s">
        <v>6168</v>
      </c>
    </row>
    <row r="72" spans="2:25" x14ac:dyDescent="0.2">
      <c r="I72" s="5290"/>
      <c r="J72" s="5290"/>
      <c r="K72" s="5290"/>
      <c r="L72" s="5290"/>
      <c r="M72" s="5290"/>
      <c r="N72" s="5290"/>
      <c r="O72" s="5290"/>
      <c r="P72" s="817"/>
      <c r="Q72" s="515"/>
      <c r="R72" s="4476"/>
      <c r="S72" s="4478"/>
      <c r="T72" s="5292"/>
      <c r="U72" s="5292"/>
      <c r="V72" s="5292"/>
      <c r="W72" s="5292"/>
      <c r="X72" s="5292"/>
      <c r="Y72" s="5292"/>
    </row>
    <row r="73" spans="2:25" ht="14.45" customHeight="1" x14ac:dyDescent="0.2">
      <c r="I73" s="5293" t="s">
        <v>3150</v>
      </c>
      <c r="J73" s="5293" t="s">
        <v>71</v>
      </c>
      <c r="K73" s="2005" t="s">
        <v>1297</v>
      </c>
      <c r="L73" s="5294" t="s">
        <v>6169</v>
      </c>
      <c r="M73" s="5294"/>
      <c r="N73" s="2005" t="s">
        <v>1299</v>
      </c>
      <c r="O73" s="1841" t="s">
        <v>1299</v>
      </c>
      <c r="P73" s="817"/>
      <c r="Q73" s="515"/>
      <c r="R73" s="5294" t="s">
        <v>6169</v>
      </c>
      <c r="S73" s="5294"/>
      <c r="T73" s="1841" t="s">
        <v>1299</v>
      </c>
      <c r="U73" s="1841" t="s">
        <v>1301</v>
      </c>
      <c r="V73" s="1841" t="s">
        <v>1301</v>
      </c>
      <c r="W73" s="1841" t="s">
        <v>1301</v>
      </c>
      <c r="X73" s="1841" t="s">
        <v>1299</v>
      </c>
      <c r="Y73" s="1841" t="s">
        <v>1301</v>
      </c>
    </row>
    <row r="74" spans="2:25" ht="14.45" customHeight="1" x14ac:dyDescent="0.2">
      <c r="I74" s="5293"/>
      <c r="J74" s="5293"/>
      <c r="K74" s="2005" t="s">
        <v>2077</v>
      </c>
      <c r="L74" s="4700" t="s">
        <v>1303</v>
      </c>
      <c r="M74" s="4700"/>
      <c r="N74" s="2005" t="s">
        <v>1301</v>
      </c>
      <c r="O74" s="1841" t="s">
        <v>1299</v>
      </c>
      <c r="P74" s="817"/>
      <c r="Q74" s="515"/>
      <c r="R74" s="4700" t="s">
        <v>1303</v>
      </c>
      <c r="S74" s="4700"/>
      <c r="T74" s="1841" t="s">
        <v>1299</v>
      </c>
      <c r="U74" s="1841" t="s">
        <v>1301</v>
      </c>
      <c r="V74" s="1841" t="s">
        <v>1301</v>
      </c>
      <c r="W74" s="1841" t="s">
        <v>1301</v>
      </c>
      <c r="X74" s="1841" t="s">
        <v>1301</v>
      </c>
      <c r="Y74" s="1841" t="s">
        <v>1301</v>
      </c>
    </row>
    <row r="75" spans="2:25" ht="14.25" customHeight="1" x14ac:dyDescent="0.2">
      <c r="I75" s="5293"/>
      <c r="J75" s="5293"/>
      <c r="K75" s="2005" t="s">
        <v>1304</v>
      </c>
      <c r="L75" s="5294" t="s">
        <v>3260</v>
      </c>
      <c r="M75" s="5294"/>
      <c r="N75" s="2005" t="s">
        <v>1301</v>
      </c>
      <c r="O75" s="1841" t="s">
        <v>1299</v>
      </c>
      <c r="P75" s="817"/>
      <c r="Q75" s="515"/>
      <c r="R75" s="5294" t="s">
        <v>3260</v>
      </c>
      <c r="S75" s="5294"/>
      <c r="T75" s="1841" t="s">
        <v>1299</v>
      </c>
      <c r="U75" s="1841" t="s">
        <v>1301</v>
      </c>
      <c r="V75" s="1841" t="s">
        <v>1301</v>
      </c>
      <c r="W75" s="1841" t="s">
        <v>1301</v>
      </c>
      <c r="X75" s="1841" t="s">
        <v>1301</v>
      </c>
      <c r="Y75" s="1841" t="s">
        <v>1301</v>
      </c>
    </row>
    <row r="76" spans="2:25" ht="14.45" customHeight="1" x14ac:dyDescent="0.2">
      <c r="I76" s="5293"/>
      <c r="J76" s="5293"/>
      <c r="K76" s="5295" t="s">
        <v>1306</v>
      </c>
      <c r="L76" s="5294" t="s">
        <v>2084</v>
      </c>
      <c r="M76" s="1993" t="s">
        <v>43</v>
      </c>
      <c r="N76" s="2005" t="s">
        <v>1299</v>
      </c>
      <c r="O76" s="1841" t="s">
        <v>1299</v>
      </c>
      <c r="P76" s="817"/>
      <c r="Q76" s="515"/>
      <c r="R76" s="5294" t="s">
        <v>2084</v>
      </c>
      <c r="S76" s="1993" t="s">
        <v>43</v>
      </c>
      <c r="T76" s="1841" t="s">
        <v>1299</v>
      </c>
      <c r="U76" s="1841" t="s">
        <v>1299</v>
      </c>
      <c r="V76" s="1841" t="s">
        <v>1299</v>
      </c>
      <c r="W76" s="1841" t="s">
        <v>1299</v>
      </c>
      <c r="X76" s="1841" t="s">
        <v>1299</v>
      </c>
      <c r="Y76" s="1841" t="s">
        <v>1299</v>
      </c>
    </row>
    <row r="77" spans="2:25" x14ac:dyDescent="0.2">
      <c r="I77" s="5293"/>
      <c r="J77" s="5293"/>
      <c r="K77" s="5295"/>
      <c r="L77" s="5294"/>
      <c r="M77" s="1993" t="s">
        <v>414</v>
      </c>
      <c r="N77" s="2005" t="s">
        <v>1299</v>
      </c>
      <c r="O77" s="1841" t="s">
        <v>1299</v>
      </c>
      <c r="P77" s="817"/>
      <c r="Q77" s="515"/>
      <c r="R77" s="5294"/>
      <c r="S77" s="1993" t="s">
        <v>414</v>
      </c>
      <c r="T77" s="1841" t="s">
        <v>1299</v>
      </c>
      <c r="U77" s="1841" t="s">
        <v>1299</v>
      </c>
      <c r="V77" s="1841" t="s">
        <v>1299</v>
      </c>
      <c r="W77" s="1841" t="s">
        <v>1299</v>
      </c>
      <c r="X77" s="1841" t="s">
        <v>1299</v>
      </c>
      <c r="Y77" s="1841" t="s">
        <v>1299</v>
      </c>
    </row>
    <row r="78" spans="2:25" x14ac:dyDescent="0.2">
      <c r="I78" s="5293"/>
      <c r="J78" s="5293"/>
      <c r="K78" s="5295"/>
      <c r="L78" s="5294"/>
      <c r="M78" s="1993" t="s">
        <v>1307</v>
      </c>
      <c r="N78" s="2005" t="s">
        <v>1299</v>
      </c>
      <c r="O78" s="1841" t="s">
        <v>1299</v>
      </c>
      <c r="P78" s="515"/>
      <c r="Q78" s="515"/>
      <c r="R78" s="5294"/>
      <c r="S78" s="1993" t="s">
        <v>1307</v>
      </c>
      <c r="T78" s="1841" t="s">
        <v>1299</v>
      </c>
      <c r="U78" s="1841" t="s">
        <v>1301</v>
      </c>
      <c r="V78" s="1841" t="s">
        <v>1301</v>
      </c>
      <c r="W78" s="1841" t="s">
        <v>1301</v>
      </c>
      <c r="X78" s="1841" t="s">
        <v>1301</v>
      </c>
      <c r="Y78" s="1841" t="s">
        <v>1301</v>
      </c>
    </row>
    <row r="79" spans="2:25" ht="14.45" customHeight="1" x14ac:dyDescent="0.2">
      <c r="I79" s="5293"/>
      <c r="J79" s="5293"/>
      <c r="K79" s="5295" t="s">
        <v>1308</v>
      </c>
      <c r="L79" s="5294" t="s">
        <v>1309</v>
      </c>
      <c r="M79" s="1993" t="s">
        <v>42</v>
      </c>
      <c r="N79" s="2005" t="s">
        <v>1299</v>
      </c>
      <c r="O79" s="1841" t="s">
        <v>1299</v>
      </c>
      <c r="P79" s="515"/>
      <c r="Q79" s="515"/>
      <c r="R79" s="5294" t="s">
        <v>1309</v>
      </c>
      <c r="S79" s="1993" t="s">
        <v>42</v>
      </c>
      <c r="T79" s="1841" t="s">
        <v>1299</v>
      </c>
      <c r="U79" s="1841" t="s">
        <v>1299</v>
      </c>
      <c r="V79" s="1841" t="s">
        <v>1299</v>
      </c>
      <c r="W79" s="1841" t="s">
        <v>1299</v>
      </c>
      <c r="X79" s="1841" t="s">
        <v>1299</v>
      </c>
      <c r="Y79" s="1841" t="s">
        <v>1299</v>
      </c>
    </row>
    <row r="80" spans="2:25" x14ac:dyDescent="0.2">
      <c r="I80" s="5293"/>
      <c r="J80" s="5293"/>
      <c r="K80" s="5295"/>
      <c r="L80" s="5294"/>
      <c r="M80" s="1993" t="s">
        <v>1310</v>
      </c>
      <c r="N80" s="2005" t="s">
        <v>1299</v>
      </c>
      <c r="O80" s="1841" t="s">
        <v>1299</v>
      </c>
      <c r="P80" s="515"/>
      <c r="Q80" s="515"/>
      <c r="R80" s="5294"/>
      <c r="S80" s="1993" t="s">
        <v>1310</v>
      </c>
      <c r="T80" s="1841" t="s">
        <v>1299</v>
      </c>
      <c r="U80" s="1841" t="s">
        <v>1299</v>
      </c>
      <c r="V80" s="1841" t="s">
        <v>1299</v>
      </c>
      <c r="W80" s="1841" t="s">
        <v>1299</v>
      </c>
      <c r="X80" s="1841" t="s">
        <v>1299</v>
      </c>
      <c r="Y80" s="1841" t="s">
        <v>1299</v>
      </c>
    </row>
    <row r="81" spans="9:25" x14ac:dyDescent="0.2">
      <c r="I81" s="5293"/>
      <c r="J81" s="5293"/>
      <c r="K81" s="5295"/>
      <c r="L81" s="5294"/>
      <c r="M81" s="1993" t="s">
        <v>1227</v>
      </c>
      <c r="N81" s="2005" t="s">
        <v>1299</v>
      </c>
      <c r="O81" s="1841" t="s">
        <v>1299</v>
      </c>
      <c r="P81" s="515"/>
      <c r="Q81" s="515"/>
      <c r="R81" s="5294"/>
      <c r="S81" s="1993" t="s">
        <v>1227</v>
      </c>
      <c r="T81" s="1841" t="s">
        <v>1299</v>
      </c>
      <c r="U81" s="1841" t="s">
        <v>1299</v>
      </c>
      <c r="V81" s="1841" t="s">
        <v>1299</v>
      </c>
      <c r="W81" s="1841" t="s">
        <v>1299</v>
      </c>
      <c r="X81" s="1841" t="s">
        <v>1299</v>
      </c>
      <c r="Y81" s="1841" t="s">
        <v>1299</v>
      </c>
    </row>
    <row r="82" spans="9:25" x14ac:dyDescent="0.2">
      <c r="I82" s="5293"/>
      <c r="J82" s="5293"/>
      <c r="K82" s="5295"/>
      <c r="L82" s="5294"/>
      <c r="M82" s="1993" t="s">
        <v>1311</v>
      </c>
      <c r="N82" s="2005" t="s">
        <v>1299</v>
      </c>
      <c r="O82" s="1841" t="s">
        <v>1299</v>
      </c>
      <c r="P82" s="515"/>
      <c r="Q82" s="515"/>
      <c r="R82" s="5294"/>
      <c r="S82" s="1993" t="s">
        <v>1311</v>
      </c>
      <c r="T82" s="1841" t="s">
        <v>1299</v>
      </c>
      <c r="U82" s="1841" t="s">
        <v>1299</v>
      </c>
      <c r="V82" s="1841" t="s">
        <v>1299</v>
      </c>
      <c r="W82" s="1841" t="s">
        <v>1299</v>
      </c>
      <c r="X82" s="1841" t="s">
        <v>1299</v>
      </c>
      <c r="Y82" s="1841" t="s">
        <v>1299</v>
      </c>
    </row>
    <row r="83" spans="9:25" x14ac:dyDescent="0.2">
      <c r="I83" s="5293"/>
      <c r="J83" s="5293"/>
      <c r="K83" s="5295"/>
      <c r="L83" s="5294"/>
      <c r="M83" s="1993" t="s">
        <v>1313</v>
      </c>
      <c r="N83" s="2005" t="s">
        <v>1299</v>
      </c>
      <c r="O83" s="1841" t="s">
        <v>1299</v>
      </c>
      <c r="P83" s="515"/>
      <c r="Q83" s="515"/>
      <c r="R83" s="5294"/>
      <c r="S83" s="1993" t="s">
        <v>1313</v>
      </c>
      <c r="T83" s="1841" t="s">
        <v>1299</v>
      </c>
      <c r="U83" s="1841" t="s">
        <v>1299</v>
      </c>
      <c r="V83" s="1841" t="s">
        <v>1299</v>
      </c>
      <c r="W83" s="1841" t="s">
        <v>1299</v>
      </c>
      <c r="X83" s="1841" t="s">
        <v>1299</v>
      </c>
      <c r="Y83" s="1841" t="s">
        <v>1299</v>
      </c>
    </row>
    <row r="84" spans="9:25" x14ac:dyDescent="0.2">
      <c r="I84" s="5293"/>
      <c r="J84" s="5293"/>
      <c r="K84" s="5295"/>
      <c r="L84" s="5294"/>
      <c r="M84" s="1993" t="s">
        <v>1314</v>
      </c>
      <c r="N84" s="2005" t="s">
        <v>1299</v>
      </c>
      <c r="O84" s="1841" t="s">
        <v>1299</v>
      </c>
      <c r="P84" s="515"/>
      <c r="Q84" s="515"/>
      <c r="R84" s="5294"/>
      <c r="S84" s="1993" t="s">
        <v>1314</v>
      </c>
      <c r="T84" s="1841" t="s">
        <v>1299</v>
      </c>
      <c r="U84" s="1841" t="s">
        <v>1299</v>
      </c>
      <c r="V84" s="1841" t="s">
        <v>1299</v>
      </c>
      <c r="W84" s="1841" t="s">
        <v>1299</v>
      </c>
      <c r="X84" s="1841" t="s">
        <v>1299</v>
      </c>
      <c r="Y84" s="1841" t="s">
        <v>1299</v>
      </c>
    </row>
    <row r="85" spans="9:25" ht="14.45" customHeight="1" x14ac:dyDescent="0.2">
      <c r="I85" s="5293"/>
      <c r="J85" s="5293"/>
      <c r="K85" s="5295" t="s">
        <v>1315</v>
      </c>
      <c r="L85" s="5294" t="s">
        <v>6170</v>
      </c>
      <c r="M85" s="1993" t="s">
        <v>329</v>
      </c>
      <c r="N85" s="2005" t="s">
        <v>1299</v>
      </c>
      <c r="O85" s="1841" t="s">
        <v>1299</v>
      </c>
      <c r="P85" s="515"/>
      <c r="Q85" s="515"/>
      <c r="R85" s="5294" t="s">
        <v>6170</v>
      </c>
      <c r="S85" s="1993" t="s">
        <v>329</v>
      </c>
      <c r="T85" s="1841" t="s">
        <v>1299</v>
      </c>
      <c r="U85" s="1841" t="s">
        <v>1299</v>
      </c>
      <c r="V85" s="1841" t="s">
        <v>1299</v>
      </c>
      <c r="W85" s="1841" t="s">
        <v>1299</v>
      </c>
      <c r="X85" s="1841" t="s">
        <v>1299</v>
      </c>
      <c r="Y85" s="1841" t="s">
        <v>1299</v>
      </c>
    </row>
    <row r="86" spans="9:25" x14ac:dyDescent="0.2">
      <c r="I86" s="5293"/>
      <c r="J86" s="5293"/>
      <c r="K86" s="5295"/>
      <c r="L86" s="5294"/>
      <c r="M86" s="1993" t="s">
        <v>1316</v>
      </c>
      <c r="N86" s="2005" t="s">
        <v>1299</v>
      </c>
      <c r="O86" s="1841" t="s">
        <v>1299</v>
      </c>
      <c r="P86" s="515"/>
      <c r="Q86" s="515"/>
      <c r="R86" s="5294"/>
      <c r="S86" s="1993" t="s">
        <v>1316</v>
      </c>
      <c r="T86" s="1841" t="s">
        <v>1299</v>
      </c>
      <c r="U86" s="1841" t="s">
        <v>1299</v>
      </c>
      <c r="V86" s="1841" t="s">
        <v>1299</v>
      </c>
      <c r="W86" s="1841" t="s">
        <v>1299</v>
      </c>
      <c r="X86" s="1841" t="s">
        <v>1299</v>
      </c>
      <c r="Y86" s="1841" t="s">
        <v>1299</v>
      </c>
    </row>
    <row r="87" spans="9:25" x14ac:dyDescent="0.2">
      <c r="I87" s="5293"/>
      <c r="J87" s="5293"/>
      <c r="K87" s="5295"/>
      <c r="L87" s="5294"/>
      <c r="M87" s="1993" t="s">
        <v>1234</v>
      </c>
      <c r="N87" s="2005" t="s">
        <v>1299</v>
      </c>
      <c r="O87" s="1841" t="s">
        <v>1299</v>
      </c>
      <c r="P87" s="817"/>
      <c r="Q87" s="515"/>
      <c r="R87" s="5294"/>
      <c r="S87" s="1993" t="s">
        <v>1234</v>
      </c>
      <c r="T87" s="1841" t="s">
        <v>1299</v>
      </c>
      <c r="U87" s="1841" t="s">
        <v>1301</v>
      </c>
      <c r="V87" s="1841" t="s">
        <v>1301</v>
      </c>
      <c r="W87" s="1841" t="s">
        <v>1301</v>
      </c>
      <c r="X87" s="1841" t="s">
        <v>1301</v>
      </c>
      <c r="Y87" s="1841" t="s">
        <v>1301</v>
      </c>
    </row>
    <row r="88" spans="9:25" ht="32.450000000000003" customHeight="1" x14ac:dyDescent="0.2">
      <c r="I88" s="5293"/>
      <c r="J88" s="5293"/>
      <c r="K88" s="2005" t="s">
        <v>1317</v>
      </c>
      <c r="L88" s="4700" t="s">
        <v>1318</v>
      </c>
      <c r="M88" s="4700"/>
      <c r="N88" s="2005" t="s">
        <v>1299</v>
      </c>
      <c r="O88" s="1841" t="s">
        <v>1299</v>
      </c>
      <c r="P88" s="817"/>
      <c r="Q88" s="515"/>
      <c r="R88" s="4700" t="s">
        <v>1318</v>
      </c>
      <c r="S88" s="4700"/>
      <c r="T88" s="1841" t="s">
        <v>1299</v>
      </c>
      <c r="U88" s="1841" t="s">
        <v>1301</v>
      </c>
      <c r="V88" s="1841" t="s">
        <v>1301</v>
      </c>
      <c r="W88" s="1841" t="s">
        <v>1301</v>
      </c>
      <c r="X88" s="1841" t="s">
        <v>1301</v>
      </c>
      <c r="Y88" s="1841" t="s">
        <v>1301</v>
      </c>
    </row>
    <row r="89" spans="9:25" ht="14.45" customHeight="1" x14ac:dyDescent="0.2">
      <c r="I89" s="5293"/>
      <c r="J89" s="5293"/>
      <c r="K89" s="2005" t="s">
        <v>1319</v>
      </c>
      <c r="L89" s="4700" t="s">
        <v>1320</v>
      </c>
      <c r="M89" s="4700"/>
      <c r="N89" s="2005" t="s">
        <v>1299</v>
      </c>
      <c r="O89" s="1841" t="s">
        <v>1299</v>
      </c>
      <c r="P89" s="817"/>
      <c r="Q89" s="515"/>
      <c r="R89" s="4700" t="s">
        <v>1320</v>
      </c>
      <c r="S89" s="4700"/>
      <c r="T89" s="1841" t="s">
        <v>1299</v>
      </c>
      <c r="U89" s="1841" t="s">
        <v>1301</v>
      </c>
      <c r="V89" s="1841" t="s">
        <v>1301</v>
      </c>
      <c r="W89" s="1841" t="s">
        <v>1301</v>
      </c>
      <c r="X89" s="1841" t="s">
        <v>1301</v>
      </c>
      <c r="Y89" s="1841" t="s">
        <v>1301</v>
      </c>
    </row>
    <row r="90" spans="9:25" ht="14.45" customHeight="1" x14ac:dyDescent="0.2">
      <c r="I90" s="5293"/>
      <c r="J90" s="5293"/>
      <c r="K90" s="2005" t="s">
        <v>1322</v>
      </c>
      <c r="L90" s="5294" t="s">
        <v>1323</v>
      </c>
      <c r="M90" s="5294"/>
      <c r="N90" s="2005" t="s">
        <v>1299</v>
      </c>
      <c r="O90" s="1841" t="s">
        <v>1299</v>
      </c>
      <c r="P90" s="5296"/>
      <c r="Q90" s="5296"/>
      <c r="R90" s="5294" t="s">
        <v>1323</v>
      </c>
      <c r="S90" s="5294"/>
      <c r="T90" s="1841" t="s">
        <v>1299</v>
      </c>
      <c r="U90" s="1841" t="s">
        <v>1301</v>
      </c>
      <c r="V90" s="1841" t="s">
        <v>1301</v>
      </c>
      <c r="W90" s="1841" t="s">
        <v>1301</v>
      </c>
      <c r="X90" s="1841" t="s">
        <v>1301</v>
      </c>
      <c r="Y90" s="1841" t="s">
        <v>1301</v>
      </c>
    </row>
    <row r="91" spans="9:25" ht="14.45" customHeight="1" x14ac:dyDescent="0.2">
      <c r="I91" s="5293" t="s">
        <v>1324</v>
      </c>
      <c r="J91" s="5293" t="s">
        <v>1325</v>
      </c>
      <c r="K91" s="2005" t="s">
        <v>1326</v>
      </c>
      <c r="L91" s="5294" t="s">
        <v>1327</v>
      </c>
      <c r="M91" s="5294"/>
      <c r="N91" s="5297" t="s">
        <v>1299</v>
      </c>
      <c r="O91" s="5298" t="s">
        <v>1299</v>
      </c>
      <c r="P91" s="817"/>
      <c r="Q91" s="515"/>
      <c r="R91" s="5294" t="s">
        <v>1327</v>
      </c>
      <c r="S91" s="5294"/>
      <c r="T91" s="5298" t="s">
        <v>1299</v>
      </c>
      <c r="U91" s="1841" t="s">
        <v>1299</v>
      </c>
      <c r="V91" s="1841" t="s">
        <v>1301</v>
      </c>
      <c r="W91" s="1841" t="s">
        <v>1301</v>
      </c>
      <c r="X91" s="1841" t="s">
        <v>1301</v>
      </c>
      <c r="Y91" s="1841" t="s">
        <v>1301</v>
      </c>
    </row>
    <row r="92" spans="9:25" ht="14.45" customHeight="1" x14ac:dyDescent="0.2">
      <c r="I92" s="5293"/>
      <c r="J92" s="5293"/>
      <c r="K92" s="2005" t="s">
        <v>1328</v>
      </c>
      <c r="L92" s="5294" t="s">
        <v>1329</v>
      </c>
      <c r="M92" s="5294"/>
      <c r="N92" s="5299"/>
      <c r="O92" s="5298"/>
      <c r="P92" s="817"/>
      <c r="Q92" s="515"/>
      <c r="R92" s="5294" t="s">
        <v>1329</v>
      </c>
      <c r="S92" s="5294"/>
      <c r="T92" s="5298"/>
      <c r="U92" s="1841" t="s">
        <v>1301</v>
      </c>
      <c r="V92" s="1841" t="s">
        <v>1301</v>
      </c>
      <c r="W92" s="1841" t="s">
        <v>1301</v>
      </c>
      <c r="X92" s="1841" t="s">
        <v>1301</v>
      </c>
      <c r="Y92" s="1841" t="s">
        <v>1301</v>
      </c>
    </row>
    <row r="93" spans="9:25" ht="14.45" customHeight="1" x14ac:dyDescent="0.2">
      <c r="I93" s="5293"/>
      <c r="J93" s="5293"/>
      <c r="K93" s="2005" t="s">
        <v>1330</v>
      </c>
      <c r="L93" s="4700" t="s">
        <v>1331</v>
      </c>
      <c r="M93" s="4700"/>
      <c r="N93" s="5299"/>
      <c r="O93" s="5298"/>
      <c r="P93" s="817"/>
      <c r="Q93" s="515"/>
      <c r="R93" s="4700" t="s">
        <v>1331</v>
      </c>
      <c r="S93" s="4700"/>
      <c r="T93" s="5298"/>
      <c r="U93" s="1841" t="s">
        <v>1301</v>
      </c>
      <c r="V93" s="1841" t="s">
        <v>1301</v>
      </c>
      <c r="W93" s="1841" t="s">
        <v>1301</v>
      </c>
      <c r="X93" s="1841" t="s">
        <v>1301</v>
      </c>
      <c r="Y93" s="1841" t="s">
        <v>1301</v>
      </c>
    </row>
    <row r="94" spans="9:25" ht="14.45" customHeight="1" x14ac:dyDescent="0.2">
      <c r="I94" s="5293"/>
      <c r="J94" s="5293"/>
      <c r="K94" s="2005" t="s">
        <v>1332</v>
      </c>
      <c r="L94" s="5294" t="s">
        <v>1333</v>
      </c>
      <c r="M94" s="5294"/>
      <c r="N94" s="5299"/>
      <c r="O94" s="5298"/>
      <c r="P94" s="817"/>
      <c r="Q94" s="515"/>
      <c r="R94" s="5294" t="s">
        <v>1333</v>
      </c>
      <c r="S94" s="5294"/>
      <c r="T94" s="5298"/>
      <c r="U94" s="1841" t="s">
        <v>1299</v>
      </c>
      <c r="V94" s="1841" t="s">
        <v>1299</v>
      </c>
      <c r="W94" s="1841" t="s">
        <v>1299</v>
      </c>
      <c r="X94" s="1841" t="s">
        <v>1299</v>
      </c>
      <c r="Y94" s="1841" t="s">
        <v>1299</v>
      </c>
    </row>
    <row r="95" spans="9:25" ht="29.45" customHeight="1" x14ac:dyDescent="0.2">
      <c r="I95" s="5293"/>
      <c r="J95" s="5293"/>
      <c r="K95" s="2005" t="s">
        <v>1334</v>
      </c>
      <c r="L95" s="5294" t="s">
        <v>2127</v>
      </c>
      <c r="M95" s="5294"/>
      <c r="N95" s="5300"/>
      <c r="O95" s="5298"/>
      <c r="P95" s="817"/>
      <c r="Q95" s="515"/>
      <c r="R95" s="5294" t="s">
        <v>2127</v>
      </c>
      <c r="S95" s="5294"/>
      <c r="T95" s="5298"/>
      <c r="U95" s="1841" t="s">
        <v>1301</v>
      </c>
      <c r="V95" s="1841" t="s">
        <v>1301</v>
      </c>
      <c r="W95" s="1841" t="s">
        <v>1301</v>
      </c>
      <c r="X95" s="1841" t="s">
        <v>1301</v>
      </c>
      <c r="Y95" s="1841" t="s">
        <v>1301</v>
      </c>
    </row>
    <row r="96" spans="9:25" ht="14.45" customHeight="1" x14ac:dyDescent="0.2">
      <c r="I96" s="5293"/>
      <c r="J96" s="5293" t="s">
        <v>1335</v>
      </c>
      <c r="K96" s="2005" t="s">
        <v>1336</v>
      </c>
      <c r="L96" s="5294" t="s">
        <v>1337</v>
      </c>
      <c r="M96" s="5294"/>
      <c r="N96" s="2005" t="s">
        <v>1299</v>
      </c>
      <c r="O96" s="1841" t="s">
        <v>1299</v>
      </c>
      <c r="P96" s="817"/>
      <c r="Q96" s="515"/>
      <c r="R96" s="5294" t="s">
        <v>1337</v>
      </c>
      <c r="S96" s="5294"/>
      <c r="T96" s="1841" t="s">
        <v>1299</v>
      </c>
      <c r="U96" s="1841" t="s">
        <v>1299</v>
      </c>
      <c r="V96" s="1841" t="s">
        <v>1299</v>
      </c>
      <c r="W96" s="1841" t="s">
        <v>1299</v>
      </c>
      <c r="X96" s="1841" t="s">
        <v>1299</v>
      </c>
      <c r="Y96" s="1841" t="s">
        <v>1299</v>
      </c>
    </row>
    <row r="97" spans="9:25" ht="14.45" customHeight="1" x14ac:dyDescent="0.2">
      <c r="I97" s="5293"/>
      <c r="J97" s="5293"/>
      <c r="K97" s="2005" t="s">
        <v>1336</v>
      </c>
      <c r="L97" s="5294" t="s">
        <v>1338</v>
      </c>
      <c r="M97" s="5294"/>
      <c r="N97" s="2005" t="s">
        <v>6171</v>
      </c>
      <c r="O97" s="1841" t="s">
        <v>1299</v>
      </c>
      <c r="P97" s="817"/>
      <c r="Q97" s="515"/>
      <c r="R97" s="5294" t="s">
        <v>1338</v>
      </c>
      <c r="S97" s="5294"/>
      <c r="T97" s="1841" t="s">
        <v>1299</v>
      </c>
      <c r="U97" s="1841" t="s">
        <v>1301</v>
      </c>
      <c r="V97" s="1841" t="s">
        <v>1301</v>
      </c>
      <c r="W97" s="1841" t="s">
        <v>1301</v>
      </c>
      <c r="X97" s="1841" t="s">
        <v>1301</v>
      </c>
      <c r="Y97" s="1841" t="s">
        <v>1301</v>
      </c>
    </row>
    <row r="98" spans="9:25" ht="14.45" customHeight="1" x14ac:dyDescent="0.2">
      <c r="I98" s="5293"/>
      <c r="J98" s="5293"/>
      <c r="K98" s="2005" t="s">
        <v>1339</v>
      </c>
      <c r="L98" s="5294" t="s">
        <v>1340</v>
      </c>
      <c r="M98" s="5294"/>
      <c r="N98" s="2005" t="s">
        <v>1299</v>
      </c>
      <c r="O98" s="1841" t="s">
        <v>1299</v>
      </c>
      <c r="P98" s="817"/>
      <c r="Q98" s="515"/>
      <c r="R98" s="5294" t="s">
        <v>1340</v>
      </c>
      <c r="S98" s="5294"/>
      <c r="T98" s="1841" t="s">
        <v>1299</v>
      </c>
      <c r="U98" s="1841" t="s">
        <v>1301</v>
      </c>
      <c r="V98" s="1841" t="s">
        <v>1301</v>
      </c>
      <c r="W98" s="1841" t="s">
        <v>1301</v>
      </c>
      <c r="X98" s="1841" t="s">
        <v>1301</v>
      </c>
      <c r="Y98" s="1841" t="s">
        <v>1301</v>
      </c>
    </row>
    <row r="99" spans="9:25" x14ac:dyDescent="0.2">
      <c r="I99" s="5293"/>
      <c r="J99" s="5293" t="s">
        <v>6172</v>
      </c>
      <c r="K99" s="2005" t="s">
        <v>6173</v>
      </c>
      <c r="L99" s="4700" t="s">
        <v>1979</v>
      </c>
      <c r="M99" s="4700"/>
      <c r="N99" s="2005" t="s">
        <v>6171</v>
      </c>
      <c r="O99" s="1841" t="s">
        <v>1299</v>
      </c>
      <c r="P99" s="817"/>
      <c r="Q99" s="515"/>
      <c r="R99" s="4700" t="s">
        <v>1979</v>
      </c>
      <c r="S99" s="4700"/>
      <c r="T99" s="1841" t="s">
        <v>1299</v>
      </c>
      <c r="U99" s="1841" t="s">
        <v>1301</v>
      </c>
      <c r="V99" s="1841" t="s">
        <v>1301</v>
      </c>
      <c r="W99" s="1841" t="s">
        <v>1301</v>
      </c>
      <c r="X99" s="1841" t="s">
        <v>1301</v>
      </c>
      <c r="Y99" s="1841" t="s">
        <v>1301</v>
      </c>
    </row>
    <row r="100" spans="9:25" x14ac:dyDescent="0.2">
      <c r="I100" s="5293"/>
      <c r="J100" s="5293"/>
      <c r="K100" s="2005" t="s">
        <v>1341</v>
      </c>
      <c r="L100" s="4700" t="s">
        <v>6174</v>
      </c>
      <c r="M100" s="4700"/>
      <c r="N100" s="2005" t="s">
        <v>6171</v>
      </c>
      <c r="O100" s="1841" t="s">
        <v>1299</v>
      </c>
      <c r="P100" s="817"/>
      <c r="Q100" s="515"/>
      <c r="R100" s="4700" t="s">
        <v>6174</v>
      </c>
      <c r="S100" s="4700"/>
      <c r="T100" s="1841" t="s">
        <v>1299</v>
      </c>
      <c r="U100" s="1841" t="s">
        <v>1301</v>
      </c>
      <c r="V100" s="1841" t="s">
        <v>1301</v>
      </c>
      <c r="W100" s="1841" t="s">
        <v>1301</v>
      </c>
      <c r="X100" s="1841" t="s">
        <v>1301</v>
      </c>
      <c r="Y100" s="1841" t="s">
        <v>1301</v>
      </c>
    </row>
    <row r="101" spans="9:25" x14ac:dyDescent="0.2">
      <c r="I101" s="5293"/>
      <c r="J101" s="5295" t="s">
        <v>1342</v>
      </c>
      <c r="K101" s="5295" t="s">
        <v>1343</v>
      </c>
      <c r="L101" s="5293" t="s">
        <v>1344</v>
      </c>
      <c r="M101" s="1993" t="s">
        <v>6175</v>
      </c>
      <c r="N101" s="2005" t="s">
        <v>1301</v>
      </c>
      <c r="O101" s="1841" t="s">
        <v>1299</v>
      </c>
      <c r="P101" s="817"/>
      <c r="Q101" s="515"/>
      <c r="R101" s="5293" t="s">
        <v>1344</v>
      </c>
      <c r="S101" s="1993" t="s">
        <v>6175</v>
      </c>
      <c r="T101" s="1841" t="s">
        <v>1299</v>
      </c>
      <c r="U101" s="1841" t="s">
        <v>1301</v>
      </c>
      <c r="V101" s="1841" t="s">
        <v>1301</v>
      </c>
      <c r="W101" s="1841" t="s">
        <v>1301</v>
      </c>
      <c r="X101" s="1841" t="s">
        <v>1301</v>
      </c>
      <c r="Y101" s="1841" t="s">
        <v>1301</v>
      </c>
    </row>
    <row r="102" spans="9:25" x14ac:dyDescent="0.2">
      <c r="I102" s="5293"/>
      <c r="J102" s="5295"/>
      <c r="K102" s="5295"/>
      <c r="L102" s="5293"/>
      <c r="M102" s="1993" t="s">
        <v>1345</v>
      </c>
      <c r="N102" s="2005" t="s">
        <v>1299</v>
      </c>
      <c r="O102" s="1841" t="s">
        <v>1299</v>
      </c>
      <c r="P102" s="817"/>
      <c r="Q102" s="515"/>
      <c r="R102" s="5293"/>
      <c r="S102" s="1993" t="s">
        <v>1345</v>
      </c>
      <c r="T102" s="1841" t="s">
        <v>1299</v>
      </c>
      <c r="U102" s="1841" t="s">
        <v>1301</v>
      </c>
      <c r="V102" s="1841" t="s">
        <v>1301</v>
      </c>
      <c r="W102" s="1841" t="s">
        <v>1301</v>
      </c>
      <c r="X102" s="1841" t="s">
        <v>1301</v>
      </c>
      <c r="Y102" s="1841" t="s">
        <v>1301</v>
      </c>
    </row>
    <row r="103" spans="9:25" ht="25.9" customHeight="1" x14ac:dyDescent="0.2">
      <c r="I103" s="5293"/>
      <c r="J103" s="2029" t="s">
        <v>1348</v>
      </c>
      <c r="K103" s="2005" t="s">
        <v>1349</v>
      </c>
      <c r="L103" s="5294" t="s">
        <v>1350</v>
      </c>
      <c r="M103" s="5294"/>
      <c r="N103" s="2005" t="s">
        <v>1299</v>
      </c>
      <c r="O103" s="1841" t="s">
        <v>1299</v>
      </c>
      <c r="P103" s="817"/>
      <c r="Q103" s="515"/>
      <c r="R103" s="5294" t="s">
        <v>1350</v>
      </c>
      <c r="S103" s="5294"/>
      <c r="T103" s="1841" t="s">
        <v>1299</v>
      </c>
      <c r="U103" s="1841" t="s">
        <v>1299</v>
      </c>
      <c r="V103" s="1841" t="s">
        <v>1299</v>
      </c>
      <c r="W103" s="1841" t="s">
        <v>1299</v>
      </c>
      <c r="X103" s="1841" t="s">
        <v>1299</v>
      </c>
      <c r="Y103" s="1841" t="s">
        <v>1299</v>
      </c>
    </row>
    <row r="104" spans="9:25" ht="42" customHeight="1" x14ac:dyDescent="0.2">
      <c r="I104" s="2029" t="s">
        <v>3152</v>
      </c>
      <c r="J104" s="2005" t="s">
        <v>1351</v>
      </c>
      <c r="K104" s="2005" t="s">
        <v>1352</v>
      </c>
      <c r="L104" s="5294" t="s">
        <v>6176</v>
      </c>
      <c r="M104" s="5294"/>
      <c r="N104" s="2005" t="s">
        <v>1299</v>
      </c>
      <c r="O104" s="1841" t="s">
        <v>1299</v>
      </c>
      <c r="P104" s="5296"/>
      <c r="Q104" s="5296"/>
      <c r="R104" s="5294" t="s">
        <v>6176</v>
      </c>
      <c r="S104" s="5294"/>
      <c r="T104" s="1841" t="s">
        <v>1299</v>
      </c>
      <c r="U104" s="1841" t="s">
        <v>1301</v>
      </c>
      <c r="V104" s="1841" t="s">
        <v>1301</v>
      </c>
      <c r="W104" s="1841" t="s">
        <v>1301</v>
      </c>
      <c r="X104" s="1841" t="s">
        <v>1301</v>
      </c>
      <c r="Y104" s="1841" t="s">
        <v>1301</v>
      </c>
    </row>
    <row r="105" spans="9:25" ht="36" customHeight="1" x14ac:dyDescent="0.2">
      <c r="I105" s="2029" t="s">
        <v>6177</v>
      </c>
      <c r="J105" s="2005" t="s">
        <v>6178</v>
      </c>
      <c r="K105" s="2005" t="s">
        <v>1353</v>
      </c>
      <c r="L105" s="5294" t="s">
        <v>6179</v>
      </c>
      <c r="M105" s="5294"/>
      <c r="N105" s="2005" t="s">
        <v>1299</v>
      </c>
      <c r="O105" s="1841" t="s">
        <v>1299</v>
      </c>
      <c r="P105" s="817"/>
      <c r="Q105" s="515"/>
      <c r="R105" s="5294" t="s">
        <v>6179</v>
      </c>
      <c r="S105" s="5294"/>
      <c r="T105" s="1841" t="s">
        <v>1299</v>
      </c>
      <c r="U105" s="1841" t="s">
        <v>1299</v>
      </c>
      <c r="V105" s="1841" t="s">
        <v>1299</v>
      </c>
      <c r="W105" s="1841" t="s">
        <v>1299</v>
      </c>
      <c r="X105" s="1841" t="s">
        <v>1299</v>
      </c>
      <c r="Y105" s="1841" t="s">
        <v>1299</v>
      </c>
    </row>
  </sheetData>
  <mergeCells count="78">
    <mergeCell ref="R103:S103"/>
    <mergeCell ref="L104:M104"/>
    <mergeCell ref="R104:S104"/>
    <mergeCell ref="L105:M105"/>
    <mergeCell ref="R105:S105"/>
    <mergeCell ref="R97:S97"/>
    <mergeCell ref="L98:M98"/>
    <mergeCell ref="R98:S98"/>
    <mergeCell ref="J99:J100"/>
    <mergeCell ref="L99:M99"/>
    <mergeCell ref="R99:S99"/>
    <mergeCell ref="L100:M100"/>
    <mergeCell ref="R100:S100"/>
    <mergeCell ref="J101:J102"/>
    <mergeCell ref="K101:K102"/>
    <mergeCell ref="L101:L102"/>
    <mergeCell ref="R101:R102"/>
    <mergeCell ref="L88:M88"/>
    <mergeCell ref="R88:S88"/>
    <mergeCell ref="L89:M89"/>
    <mergeCell ref="R89:S89"/>
    <mergeCell ref="L90:M90"/>
    <mergeCell ref="R90:S90"/>
    <mergeCell ref="I91:I103"/>
    <mergeCell ref="J91:J95"/>
    <mergeCell ref="L91:M91"/>
    <mergeCell ref="N91:N95"/>
    <mergeCell ref="O91:O95"/>
    <mergeCell ref="R91:S91"/>
    <mergeCell ref="L92:M92"/>
    <mergeCell ref="R92:S92"/>
    <mergeCell ref="L93:M93"/>
    <mergeCell ref="R93:S93"/>
    <mergeCell ref="L94:M94"/>
    <mergeCell ref="R94:S94"/>
    <mergeCell ref="L95:M95"/>
    <mergeCell ref="R95:S95"/>
    <mergeCell ref="J96:J98"/>
    <mergeCell ref="L96:M96"/>
    <mergeCell ref="R96:S96"/>
    <mergeCell ref="L97:M97"/>
    <mergeCell ref="R71:S72"/>
    <mergeCell ref="T71:T72"/>
    <mergeCell ref="U71:U72"/>
    <mergeCell ref="V71:V72"/>
    <mergeCell ref="W71:W72"/>
    <mergeCell ref="X71:X72"/>
    <mergeCell ref="Y71:Y72"/>
    <mergeCell ref="I73:I90"/>
    <mergeCell ref="J73:J90"/>
    <mergeCell ref="L73:M73"/>
    <mergeCell ref="R73:S73"/>
    <mergeCell ref="L74:M74"/>
    <mergeCell ref="R74:S74"/>
    <mergeCell ref="L75:M75"/>
    <mergeCell ref="R75:S75"/>
    <mergeCell ref="K76:K78"/>
    <mergeCell ref="L76:L78"/>
    <mergeCell ref="R76:R78"/>
    <mergeCell ref="K79:K84"/>
    <mergeCell ref="L79:L84"/>
    <mergeCell ref="R79:R84"/>
    <mergeCell ref="K85:K87"/>
    <mergeCell ref="L85:L87"/>
    <mergeCell ref="R85:R87"/>
    <mergeCell ref="H2:P2"/>
    <mergeCell ref="H3:P4"/>
    <mergeCell ref="K23:K24"/>
    <mergeCell ref="L23:L24"/>
    <mergeCell ref="I70:N70"/>
    <mergeCell ref="I71:I72"/>
    <mergeCell ref="J71:J72"/>
    <mergeCell ref="K71:K72"/>
    <mergeCell ref="L71:M72"/>
    <mergeCell ref="N71:N72"/>
    <mergeCell ref="O71:O72"/>
    <mergeCell ref="L103:M103"/>
    <mergeCell ref="T91:T95"/>
  </mergeCells>
  <conditionalFormatting sqref="J26:M27 J12:M17 J5:M10 H2:H3">
    <cfRule type="cellIs" dxfId="8" priority="9" operator="equal">
      <formula>"si"</formula>
    </cfRule>
  </conditionalFormatting>
  <conditionalFormatting sqref="J5:M27 H2:H3">
    <cfRule type="cellIs" dxfId="7" priority="5" operator="equal">
      <formula>"OPC"</formula>
    </cfRule>
    <cfRule type="cellIs" dxfId="6" priority="6" operator="equal">
      <formula>"OPC"</formula>
    </cfRule>
    <cfRule type="cellIs" dxfId="5" priority="7" operator="equal">
      <formula>"SI"</formula>
    </cfRule>
    <cfRule type="cellIs" dxfId="4" priority="8" operator="equal">
      <formula>"si"</formula>
    </cfRule>
  </conditionalFormatting>
  <conditionalFormatting sqref="J5:M27 H2:H3">
    <cfRule type="cellIs" dxfId="3" priority="2" operator="equal">
      <formula>"OPC"</formula>
    </cfRule>
    <cfRule type="cellIs" dxfId="2" priority="3" operator="equal">
      <formula>"SI"</formula>
    </cfRule>
    <cfRule type="cellIs" dxfId="1" priority="4" operator="equal">
      <formula>"si"</formula>
    </cfRule>
  </conditionalFormatting>
  <conditionalFormatting sqref="J5:M27 H2:H3">
    <cfRule type="cellIs" dxfId="0" priority="1" operator="equal">
      <formula>"SI"</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CC99"/>
  </sheetPr>
  <dimension ref="B1:T84"/>
  <sheetViews>
    <sheetView zoomScale="70" zoomScaleNormal="70" workbookViewId="0">
      <selection activeCell="E33" sqref="E33"/>
    </sheetView>
  </sheetViews>
  <sheetFormatPr baseColWidth="10" defaultColWidth="11.42578125" defaultRowHeight="15" x14ac:dyDescent="0.25"/>
  <cols>
    <col min="1" max="1" width="3.28515625" style="5303" customWidth="1"/>
    <col min="2" max="2" width="4.28515625" style="239" customWidth="1"/>
    <col min="3" max="3" width="16.140625" style="5303" customWidth="1"/>
    <col min="4" max="4" width="18.42578125" style="5304" customWidth="1"/>
    <col min="5" max="5" width="11.42578125" style="239"/>
    <col min="6" max="6" width="18.140625" style="5304" customWidth="1"/>
    <col min="7" max="7" width="18.140625" style="239" customWidth="1"/>
    <col min="8" max="9" width="11.42578125" style="5303"/>
    <col min="10" max="10" width="16.28515625" style="5303" customWidth="1"/>
    <col min="11" max="11" width="11.42578125" style="5303"/>
    <col min="12" max="12" width="4.5703125" style="239" customWidth="1"/>
    <col min="13" max="13" width="15.85546875" style="5303" customWidth="1"/>
    <col min="14" max="14" width="16" style="5303" customWidth="1"/>
    <col min="15" max="15" width="11.42578125" style="239"/>
    <col min="16" max="17" width="19.28515625" style="5303" customWidth="1"/>
    <col min="18" max="19" width="11.42578125" style="5303"/>
    <col min="20" max="20" width="16.42578125" style="5303" customWidth="1"/>
    <col min="21" max="16384" width="11.42578125" style="5303"/>
  </cols>
  <sheetData>
    <row r="1" spans="2:15" x14ac:dyDescent="0.25">
      <c r="B1" s="5301">
        <v>2.1</v>
      </c>
      <c r="C1" s="5302" t="s">
        <v>6180</v>
      </c>
      <c r="D1" s="5302"/>
      <c r="E1" s="5302"/>
      <c r="F1" s="5302"/>
      <c r="G1" s="5302"/>
      <c r="H1" s="5302"/>
      <c r="I1" s="5302"/>
      <c r="J1" s="5302"/>
      <c r="K1" s="5302"/>
      <c r="L1" s="5302"/>
    </row>
    <row r="2" spans="2:15" x14ac:dyDescent="0.25">
      <c r="B2" s="5303"/>
      <c r="C2" s="5302"/>
      <c r="D2" s="5302"/>
      <c r="E2" s="5302"/>
      <c r="F2" s="5302"/>
      <c r="G2" s="5302"/>
      <c r="H2" s="5302"/>
      <c r="I2" s="5302"/>
      <c r="J2" s="5302"/>
      <c r="K2" s="5302"/>
      <c r="L2" s="5302"/>
    </row>
    <row r="3" spans="2:15" x14ac:dyDescent="0.25">
      <c r="L3" s="5303"/>
      <c r="O3" s="5303"/>
    </row>
    <row r="4" spans="2:15" x14ac:dyDescent="0.25">
      <c r="B4" s="5305" t="s">
        <v>6181</v>
      </c>
      <c r="C4" s="5305" t="s">
        <v>1359</v>
      </c>
      <c r="D4" s="5305" t="s">
        <v>6182</v>
      </c>
      <c r="E4" s="5305" t="s">
        <v>1360</v>
      </c>
      <c r="F4" s="5306" t="s">
        <v>6183</v>
      </c>
      <c r="G4" s="5306"/>
      <c r="H4" s="5306"/>
      <c r="I4" s="5306"/>
      <c r="J4" s="5306"/>
      <c r="L4" s="5303"/>
      <c r="O4" s="5303"/>
    </row>
    <row r="5" spans="2:15" ht="15" customHeight="1" x14ac:dyDescent="0.25">
      <c r="B5" s="5305"/>
      <c r="C5" s="5305"/>
      <c r="D5" s="5305"/>
      <c r="E5" s="5305"/>
      <c r="F5" s="5307" t="s">
        <v>6184</v>
      </c>
      <c r="G5" s="5307"/>
      <c r="H5" s="5307"/>
      <c r="I5" s="5307"/>
      <c r="J5" s="5307"/>
      <c r="L5" s="5303"/>
      <c r="O5" s="5303"/>
    </row>
    <row r="6" spans="2:15" x14ac:dyDescent="0.25">
      <c r="B6" s="5305"/>
      <c r="C6" s="5305"/>
      <c r="D6" s="5305"/>
      <c r="E6" s="5305"/>
      <c r="F6" s="5308" t="s">
        <v>6185</v>
      </c>
      <c r="G6" s="5308" t="s">
        <v>1360</v>
      </c>
      <c r="H6" s="5309" t="s">
        <v>6186</v>
      </c>
      <c r="I6" s="5309" t="s">
        <v>6187</v>
      </c>
      <c r="J6" s="5309" t="s">
        <v>1361</v>
      </c>
      <c r="L6" s="5303"/>
      <c r="O6" s="5303"/>
    </row>
    <row r="7" spans="2:15" x14ac:dyDescent="0.25">
      <c r="B7" s="5310">
        <v>1</v>
      </c>
      <c r="C7" s="5311" t="s">
        <v>6188</v>
      </c>
      <c r="D7" s="5312" t="s">
        <v>6189</v>
      </c>
      <c r="E7" s="5310" t="s">
        <v>1355</v>
      </c>
      <c r="F7" s="5312" t="s">
        <v>6190</v>
      </c>
      <c r="G7" s="5310" t="s">
        <v>1356</v>
      </c>
      <c r="H7" s="5310">
        <v>40</v>
      </c>
      <c r="I7" s="5310" t="s">
        <v>6191</v>
      </c>
      <c r="J7" s="5310" t="s">
        <v>6192</v>
      </c>
      <c r="L7" s="5303"/>
      <c r="O7" s="5303"/>
    </row>
    <row r="8" spans="2:15" x14ac:dyDescent="0.25">
      <c r="B8" s="5310">
        <v>2</v>
      </c>
      <c r="C8" s="5311" t="s">
        <v>6188</v>
      </c>
      <c r="D8" s="5312" t="s">
        <v>6193</v>
      </c>
      <c r="E8" s="5310" t="s">
        <v>1355</v>
      </c>
      <c r="F8" s="5312" t="s">
        <v>6190</v>
      </c>
      <c r="G8" s="5310" t="s">
        <v>1356</v>
      </c>
      <c r="H8" s="5310">
        <v>105</v>
      </c>
      <c r="I8" s="5310" t="s">
        <v>6194</v>
      </c>
      <c r="J8" s="5310" t="s">
        <v>6195</v>
      </c>
      <c r="L8" s="5303"/>
      <c r="O8" s="5303"/>
    </row>
    <row r="9" spans="2:15" x14ac:dyDescent="0.25">
      <c r="B9" s="5310">
        <v>3</v>
      </c>
      <c r="C9" s="5311" t="s">
        <v>6188</v>
      </c>
      <c r="D9" s="5312" t="s">
        <v>6196</v>
      </c>
      <c r="E9" s="5310" t="s">
        <v>1355</v>
      </c>
      <c r="F9" s="5312" t="s">
        <v>6190</v>
      </c>
      <c r="G9" s="5310" t="s">
        <v>1356</v>
      </c>
      <c r="H9" s="5310">
        <v>90</v>
      </c>
      <c r="I9" s="5310" t="s">
        <v>6197</v>
      </c>
      <c r="J9" s="5310" t="s">
        <v>6195</v>
      </c>
      <c r="L9" s="5303"/>
      <c r="O9" s="5303"/>
    </row>
    <row r="10" spans="2:15" x14ac:dyDescent="0.25">
      <c r="B10" s="5310">
        <v>4</v>
      </c>
      <c r="C10" s="5311" t="s">
        <v>6198</v>
      </c>
      <c r="D10" s="5312" t="s">
        <v>6199</v>
      </c>
      <c r="E10" s="5310" t="s">
        <v>1357</v>
      </c>
      <c r="F10" s="5312" t="s">
        <v>6190</v>
      </c>
      <c r="G10" s="5310" t="s">
        <v>1356</v>
      </c>
      <c r="H10" s="5310">
        <v>35</v>
      </c>
      <c r="I10" s="5310" t="s">
        <v>6200</v>
      </c>
      <c r="J10" s="5310" t="s">
        <v>6192</v>
      </c>
      <c r="L10" s="5303"/>
      <c r="O10" s="5303"/>
    </row>
    <row r="11" spans="2:15" x14ac:dyDescent="0.25">
      <c r="B11" s="5310">
        <v>5</v>
      </c>
      <c r="C11" s="5311" t="s">
        <v>6201</v>
      </c>
      <c r="D11" s="5312" t="s">
        <v>6202</v>
      </c>
      <c r="E11" s="5310" t="s">
        <v>1355</v>
      </c>
      <c r="F11" s="5312" t="s">
        <v>6190</v>
      </c>
      <c r="G11" s="5310" t="s">
        <v>1356</v>
      </c>
      <c r="H11" s="5310">
        <v>15</v>
      </c>
      <c r="I11" s="5310" t="s">
        <v>6200</v>
      </c>
      <c r="J11" s="5310" t="s">
        <v>6203</v>
      </c>
      <c r="L11" s="5303"/>
      <c r="O11" s="5303"/>
    </row>
    <row r="13" spans="2:15" x14ac:dyDescent="0.25">
      <c r="B13" s="5301">
        <v>2.2000000000000002</v>
      </c>
      <c r="C13" s="5302" t="s">
        <v>6204</v>
      </c>
      <c r="D13" s="5302"/>
      <c r="E13" s="5302"/>
      <c r="F13" s="5302"/>
      <c r="G13" s="5302"/>
      <c r="H13" s="5302"/>
      <c r="I13" s="5302"/>
      <c r="J13" s="5302"/>
      <c r="K13" s="5302"/>
      <c r="L13" s="5302"/>
    </row>
    <row r="14" spans="2:15" x14ac:dyDescent="0.25">
      <c r="B14" s="5303"/>
      <c r="C14" s="5302"/>
      <c r="D14" s="5302"/>
      <c r="E14" s="5302"/>
      <c r="F14" s="5302"/>
      <c r="G14" s="5302"/>
      <c r="H14" s="5302"/>
      <c r="I14" s="5302"/>
      <c r="J14" s="5302"/>
      <c r="K14" s="5302"/>
      <c r="L14" s="5302"/>
    </row>
    <row r="16" spans="2:15" x14ac:dyDescent="0.25">
      <c r="B16" s="5305" t="s">
        <v>6181</v>
      </c>
      <c r="C16" s="5305" t="s">
        <v>1359</v>
      </c>
      <c r="D16" s="5305" t="s">
        <v>6182</v>
      </c>
      <c r="E16" s="5305" t="s">
        <v>1360</v>
      </c>
      <c r="F16" s="5306" t="s">
        <v>6183</v>
      </c>
      <c r="G16" s="5306"/>
      <c r="H16" s="5306"/>
      <c r="I16" s="5306"/>
      <c r="J16" s="5306"/>
    </row>
    <row r="17" spans="2:10" x14ac:dyDescent="0.25">
      <c r="B17" s="5305"/>
      <c r="C17" s="5305"/>
      <c r="D17" s="5305"/>
      <c r="E17" s="5305"/>
      <c r="F17" s="5307" t="s">
        <v>6184</v>
      </c>
      <c r="G17" s="5307"/>
      <c r="H17" s="5307"/>
      <c r="I17" s="5307"/>
      <c r="J17" s="5307"/>
    </row>
    <row r="18" spans="2:10" x14ac:dyDescent="0.25">
      <c r="B18" s="5305"/>
      <c r="C18" s="5305"/>
      <c r="D18" s="5305"/>
      <c r="E18" s="5305"/>
      <c r="F18" s="5308" t="s">
        <v>6185</v>
      </c>
      <c r="G18" s="5308" t="s">
        <v>1360</v>
      </c>
      <c r="H18" s="5309" t="s">
        <v>6186</v>
      </c>
      <c r="I18" s="5309" t="s">
        <v>6187</v>
      </c>
      <c r="J18" s="5309" t="s">
        <v>1361</v>
      </c>
    </row>
    <row r="19" spans="2:10" ht="21" x14ac:dyDescent="0.25">
      <c r="B19" s="5310">
        <v>1</v>
      </c>
      <c r="C19" s="5311" t="s">
        <v>6205</v>
      </c>
      <c r="D19" s="5312" t="s">
        <v>6206</v>
      </c>
      <c r="E19" s="5310" t="s">
        <v>1354</v>
      </c>
      <c r="F19" s="5312" t="s">
        <v>6207</v>
      </c>
      <c r="G19" s="5313" t="s">
        <v>3717</v>
      </c>
      <c r="H19" s="5310">
        <v>120</v>
      </c>
      <c r="I19" s="5310" t="s">
        <v>6208</v>
      </c>
      <c r="J19" s="5310" t="s">
        <v>6203</v>
      </c>
    </row>
    <row r="20" spans="2:10" ht="21" x14ac:dyDescent="0.25">
      <c r="B20" s="5310">
        <v>2</v>
      </c>
      <c r="C20" s="5311" t="s">
        <v>6188</v>
      </c>
      <c r="D20" s="5312" t="s">
        <v>6190</v>
      </c>
      <c r="E20" s="5310" t="s">
        <v>1356</v>
      </c>
      <c r="F20" s="5312" t="s">
        <v>6206</v>
      </c>
      <c r="G20" s="5310" t="s">
        <v>1354</v>
      </c>
      <c r="H20" s="5310">
        <v>75</v>
      </c>
      <c r="I20" s="5310" t="s">
        <v>6208</v>
      </c>
      <c r="J20" s="5310" t="s">
        <v>6203</v>
      </c>
    </row>
    <row r="22" spans="2:10" x14ac:dyDescent="0.25">
      <c r="B22" s="5314" t="s">
        <v>6209</v>
      </c>
    </row>
    <row r="23" spans="2:10" x14ac:dyDescent="0.25">
      <c r="B23" s="5305" t="s">
        <v>6181</v>
      </c>
      <c r="C23" s="5305" t="s">
        <v>1359</v>
      </c>
      <c r="D23" s="5305" t="s">
        <v>6182</v>
      </c>
      <c r="E23" s="5305" t="s">
        <v>1360</v>
      </c>
      <c r="F23" s="5306" t="s">
        <v>6183</v>
      </c>
      <c r="G23" s="5306"/>
      <c r="H23" s="5306"/>
      <c r="I23" s="5306"/>
      <c r="J23" s="5306"/>
    </row>
    <row r="24" spans="2:10" x14ac:dyDescent="0.25">
      <c r="B24" s="5305"/>
      <c r="C24" s="5305"/>
      <c r="D24" s="5305"/>
      <c r="E24" s="5305"/>
      <c r="F24" s="5307" t="s">
        <v>6184</v>
      </c>
      <c r="G24" s="5307"/>
      <c r="H24" s="5307"/>
      <c r="I24" s="5307"/>
      <c r="J24" s="5307"/>
    </row>
    <row r="25" spans="2:10" x14ac:dyDescent="0.25">
      <c r="B25" s="5305"/>
      <c r="C25" s="5305"/>
      <c r="D25" s="5305"/>
      <c r="E25" s="5305"/>
      <c r="F25" s="5308" t="s">
        <v>6185</v>
      </c>
      <c r="G25" s="5308" t="s">
        <v>1360</v>
      </c>
      <c r="H25" s="5309" t="s">
        <v>6186</v>
      </c>
      <c r="I25" s="5309" t="s">
        <v>6187</v>
      </c>
      <c r="J25" s="5309" t="s">
        <v>1361</v>
      </c>
    </row>
    <row r="26" spans="2:10" ht="21" x14ac:dyDescent="0.25">
      <c r="B26" s="5310">
        <v>1</v>
      </c>
      <c r="C26" s="5311" t="s">
        <v>6205</v>
      </c>
      <c r="D26" s="5312" t="s">
        <v>6206</v>
      </c>
      <c r="E26" s="5310" t="s">
        <v>1354</v>
      </c>
      <c r="F26" s="5312" t="s">
        <v>6207</v>
      </c>
      <c r="G26" s="5313" t="s">
        <v>3717</v>
      </c>
      <c r="H26" s="5310">
        <v>120</v>
      </c>
      <c r="I26" s="5310" t="s">
        <v>6208</v>
      </c>
      <c r="J26" s="5310" t="s">
        <v>6203</v>
      </c>
    </row>
    <row r="27" spans="2:10" ht="21" x14ac:dyDescent="0.25">
      <c r="B27" s="5310">
        <v>2</v>
      </c>
      <c r="C27" s="5311" t="s">
        <v>6188</v>
      </c>
      <c r="D27" s="5312" t="s">
        <v>6190</v>
      </c>
      <c r="E27" s="5310" t="s">
        <v>1356</v>
      </c>
      <c r="F27" s="5312" t="s">
        <v>6206</v>
      </c>
      <c r="G27" s="5310" t="s">
        <v>1354</v>
      </c>
      <c r="H27" s="5310">
        <v>75</v>
      </c>
      <c r="I27" s="5310" t="s">
        <v>6208</v>
      </c>
      <c r="J27" s="5310" t="s">
        <v>6203</v>
      </c>
    </row>
    <row r="28" spans="2:10" x14ac:dyDescent="0.25">
      <c r="B28" s="5310">
        <v>3</v>
      </c>
      <c r="C28" s="5311" t="s">
        <v>6188</v>
      </c>
      <c r="D28" s="5312" t="s">
        <v>6189</v>
      </c>
      <c r="E28" s="5310" t="s">
        <v>1355</v>
      </c>
      <c r="F28" s="5312" t="s">
        <v>6190</v>
      </c>
      <c r="G28" s="5310" t="s">
        <v>1356</v>
      </c>
      <c r="H28" s="5310">
        <v>40</v>
      </c>
      <c r="I28" s="5310" t="s">
        <v>6191</v>
      </c>
      <c r="J28" s="5310" t="s">
        <v>6192</v>
      </c>
    </row>
    <row r="29" spans="2:10" x14ac:dyDescent="0.25">
      <c r="B29" s="5310">
        <v>4</v>
      </c>
      <c r="C29" s="5311" t="s">
        <v>6188</v>
      </c>
      <c r="D29" s="5312" t="s">
        <v>6193</v>
      </c>
      <c r="E29" s="5310" t="s">
        <v>1355</v>
      </c>
      <c r="F29" s="5312" t="s">
        <v>6190</v>
      </c>
      <c r="G29" s="5310" t="s">
        <v>1356</v>
      </c>
      <c r="H29" s="5310">
        <v>105</v>
      </c>
      <c r="I29" s="5310" t="s">
        <v>6194</v>
      </c>
      <c r="J29" s="5310" t="s">
        <v>6195</v>
      </c>
    </row>
    <row r="30" spans="2:10" x14ac:dyDescent="0.25">
      <c r="B30" s="5310">
        <v>5</v>
      </c>
      <c r="C30" s="5311" t="s">
        <v>6188</v>
      </c>
      <c r="D30" s="5312" t="s">
        <v>6196</v>
      </c>
      <c r="E30" s="5310" t="s">
        <v>1355</v>
      </c>
      <c r="F30" s="5312" t="s">
        <v>6190</v>
      </c>
      <c r="G30" s="5310" t="s">
        <v>1356</v>
      </c>
      <c r="H30" s="5310">
        <v>90</v>
      </c>
      <c r="I30" s="5310" t="s">
        <v>6197</v>
      </c>
      <c r="J30" s="5310" t="s">
        <v>6195</v>
      </c>
    </row>
    <row r="31" spans="2:10" x14ac:dyDescent="0.25">
      <c r="B31" s="5310">
        <v>6</v>
      </c>
      <c r="C31" s="5311" t="s">
        <v>6198</v>
      </c>
      <c r="D31" s="5312" t="s">
        <v>6199</v>
      </c>
      <c r="E31" s="5310" t="s">
        <v>1357</v>
      </c>
      <c r="F31" s="5312" t="s">
        <v>6190</v>
      </c>
      <c r="G31" s="5310" t="s">
        <v>1356</v>
      </c>
      <c r="H31" s="5310">
        <v>35</v>
      </c>
      <c r="I31" s="5310" t="s">
        <v>6200</v>
      </c>
      <c r="J31" s="5310" t="s">
        <v>6192</v>
      </c>
    </row>
    <row r="32" spans="2:10" x14ac:dyDescent="0.25">
      <c r="B32" s="5310">
        <v>7</v>
      </c>
      <c r="C32" s="5311" t="s">
        <v>6201</v>
      </c>
      <c r="D32" s="5312" t="s">
        <v>6202</v>
      </c>
      <c r="E32" s="5310" t="s">
        <v>1355</v>
      </c>
      <c r="F32" s="5312" t="s">
        <v>6190</v>
      </c>
      <c r="G32" s="5310" t="s">
        <v>1356</v>
      </c>
      <c r="H32" s="5310">
        <v>15</v>
      </c>
      <c r="I32" s="5310" t="s">
        <v>6200</v>
      </c>
      <c r="J32" s="5310" t="s">
        <v>6203</v>
      </c>
    </row>
    <row r="37" spans="2:20" x14ac:dyDescent="0.25">
      <c r="B37" s="5315" t="s">
        <v>1362</v>
      </c>
      <c r="C37" s="5316"/>
      <c r="D37" s="5316"/>
      <c r="E37" s="5316"/>
      <c r="F37" s="5316"/>
      <c r="G37" s="5316"/>
      <c r="H37" s="5316"/>
      <c r="I37" s="5316"/>
      <c r="J37" s="5317"/>
      <c r="L37" s="5315" t="s">
        <v>6210</v>
      </c>
      <c r="M37" s="5316"/>
      <c r="N37" s="5316"/>
      <c r="O37" s="5316"/>
      <c r="P37" s="5316"/>
      <c r="Q37" s="5316"/>
      <c r="R37" s="5316"/>
      <c r="S37" s="5316"/>
      <c r="T37" s="5317"/>
    </row>
    <row r="39" spans="2:20" ht="15.75" customHeight="1" x14ac:dyDescent="0.25">
      <c r="B39" s="5305" t="s">
        <v>6181</v>
      </c>
      <c r="C39" s="5305" t="s">
        <v>1359</v>
      </c>
      <c r="D39" s="5305" t="s">
        <v>6182</v>
      </c>
      <c r="E39" s="5305" t="s">
        <v>1360</v>
      </c>
      <c r="F39" s="5305" t="s">
        <v>6183</v>
      </c>
      <c r="G39" s="5305"/>
      <c r="H39" s="5305"/>
      <c r="I39" s="5305"/>
      <c r="J39" s="5305"/>
      <c r="L39" s="5305" t="s">
        <v>6181</v>
      </c>
      <c r="M39" s="5305" t="s">
        <v>1359</v>
      </c>
      <c r="N39" s="5305" t="s">
        <v>6182</v>
      </c>
      <c r="O39" s="5305" t="s">
        <v>1360</v>
      </c>
      <c r="P39" s="5306" t="s">
        <v>6211</v>
      </c>
      <c r="Q39" s="5306"/>
      <c r="R39" s="5306"/>
      <c r="S39" s="5306"/>
      <c r="T39" s="5306"/>
    </row>
    <row r="40" spans="2:20" x14ac:dyDescent="0.25">
      <c r="B40" s="5305"/>
      <c r="C40" s="5305"/>
      <c r="D40" s="5305"/>
      <c r="E40" s="5305"/>
      <c r="F40" s="5307" t="s">
        <v>6184</v>
      </c>
      <c r="G40" s="5307" t="s">
        <v>1360</v>
      </c>
      <c r="H40" s="5306" t="s">
        <v>6184</v>
      </c>
      <c r="I40" s="5306"/>
      <c r="J40" s="5306"/>
      <c r="L40" s="5305"/>
      <c r="M40" s="5305"/>
      <c r="N40" s="5305"/>
      <c r="O40" s="5305"/>
      <c r="P40" s="5307" t="s">
        <v>6184</v>
      </c>
      <c r="Q40" s="5307" t="s">
        <v>1360</v>
      </c>
      <c r="R40" s="5306" t="s">
        <v>6184</v>
      </c>
      <c r="S40" s="5306"/>
      <c r="T40" s="5306"/>
    </row>
    <row r="41" spans="2:20" x14ac:dyDescent="0.25">
      <c r="B41" s="5305"/>
      <c r="C41" s="5305"/>
      <c r="D41" s="5305"/>
      <c r="E41" s="5305"/>
      <c r="F41" s="5307"/>
      <c r="G41" s="5307"/>
      <c r="H41" s="5309" t="s">
        <v>6186</v>
      </c>
      <c r="I41" s="5309" t="s">
        <v>6187</v>
      </c>
      <c r="J41" s="5309" t="s">
        <v>1361</v>
      </c>
      <c r="L41" s="5305"/>
      <c r="M41" s="5305"/>
      <c r="N41" s="5305"/>
      <c r="O41" s="5305"/>
      <c r="P41" s="5307"/>
      <c r="Q41" s="5307"/>
      <c r="R41" s="5309" t="s">
        <v>6186</v>
      </c>
      <c r="S41" s="5309" t="s">
        <v>6187</v>
      </c>
      <c r="T41" s="5309" t="s">
        <v>1361</v>
      </c>
    </row>
    <row r="42" spans="2:20" ht="25.5" customHeight="1" x14ac:dyDescent="0.25">
      <c r="B42" s="5310">
        <v>1</v>
      </c>
      <c r="C42" s="5311" t="s">
        <v>6205</v>
      </c>
      <c r="D42" s="5312" t="s">
        <v>6206</v>
      </c>
      <c r="E42" s="5310" t="s">
        <v>1354</v>
      </c>
      <c r="F42" s="5312" t="s">
        <v>6207</v>
      </c>
      <c r="G42" s="5313" t="s">
        <v>3717</v>
      </c>
      <c r="H42" s="5310">
        <v>120</v>
      </c>
      <c r="I42" s="5310" t="s">
        <v>6208</v>
      </c>
      <c r="J42" s="5310" t="s">
        <v>6203</v>
      </c>
      <c r="L42" s="5310">
        <v>1</v>
      </c>
      <c r="M42" s="5311" t="s">
        <v>6205</v>
      </c>
      <c r="N42" s="5312" t="s">
        <v>6206</v>
      </c>
      <c r="O42" s="5310" t="s">
        <v>1354</v>
      </c>
      <c r="P42" s="5312" t="s">
        <v>6207</v>
      </c>
      <c r="Q42" s="5313" t="s">
        <v>3717</v>
      </c>
      <c r="R42" s="5310">
        <v>120</v>
      </c>
      <c r="S42" s="5310" t="s">
        <v>6212</v>
      </c>
      <c r="T42" s="5310" t="s">
        <v>6213</v>
      </c>
    </row>
    <row r="43" spans="2:20" ht="21" x14ac:dyDescent="0.25">
      <c r="B43" s="5310">
        <v>2</v>
      </c>
      <c r="C43" s="5311" t="s">
        <v>6188</v>
      </c>
      <c r="D43" s="5312" t="s">
        <v>6190</v>
      </c>
      <c r="E43" s="5310" t="s">
        <v>1356</v>
      </c>
      <c r="F43" s="5312" t="s">
        <v>6206</v>
      </c>
      <c r="G43" s="5310" t="s">
        <v>1354</v>
      </c>
      <c r="H43" s="5310">
        <v>75</v>
      </c>
      <c r="I43" s="5310" t="s">
        <v>6208</v>
      </c>
      <c r="J43" s="5310" t="s">
        <v>6203</v>
      </c>
      <c r="L43" s="5310">
        <v>2</v>
      </c>
      <c r="M43" s="5311" t="s">
        <v>6188</v>
      </c>
      <c r="N43" s="5312" t="s">
        <v>6190</v>
      </c>
      <c r="O43" s="5310" t="s">
        <v>1356</v>
      </c>
      <c r="P43" s="5312" t="s">
        <v>6206</v>
      </c>
      <c r="Q43" s="5310" t="s">
        <v>1354</v>
      </c>
      <c r="R43" s="5310">
        <v>75</v>
      </c>
      <c r="S43" s="5310" t="s">
        <v>6208</v>
      </c>
      <c r="T43" s="5310" t="s">
        <v>6203</v>
      </c>
    </row>
    <row r="44" spans="2:20" x14ac:dyDescent="0.25">
      <c r="B44" s="5310">
        <v>3</v>
      </c>
      <c r="C44" s="5311" t="s">
        <v>6188</v>
      </c>
      <c r="D44" s="5312" t="s">
        <v>6189</v>
      </c>
      <c r="E44" s="5310" t="s">
        <v>1355</v>
      </c>
      <c r="F44" s="5312" t="s">
        <v>6190</v>
      </c>
      <c r="G44" s="5310" t="s">
        <v>1356</v>
      </c>
      <c r="H44" s="5310">
        <v>40</v>
      </c>
      <c r="I44" s="5310" t="s">
        <v>6191</v>
      </c>
      <c r="J44" s="5310" t="s">
        <v>6192</v>
      </c>
      <c r="L44" s="5310">
        <v>3</v>
      </c>
      <c r="M44" s="5311" t="s">
        <v>6188</v>
      </c>
      <c r="N44" s="5312" t="s">
        <v>6189</v>
      </c>
      <c r="O44" s="5310" t="s">
        <v>1355</v>
      </c>
      <c r="P44" s="5312" t="s">
        <v>6190</v>
      </c>
      <c r="Q44" s="5310" t="s">
        <v>1356</v>
      </c>
      <c r="R44" s="5310">
        <v>40</v>
      </c>
      <c r="S44" s="5310" t="s">
        <v>6191</v>
      </c>
      <c r="T44" s="5310" t="s">
        <v>6192</v>
      </c>
    </row>
    <row r="45" spans="2:20" x14ac:dyDescent="0.25">
      <c r="B45" s="5310">
        <v>4</v>
      </c>
      <c r="C45" s="5311" t="s">
        <v>6188</v>
      </c>
      <c r="D45" s="5312" t="s">
        <v>6193</v>
      </c>
      <c r="E45" s="5310" t="s">
        <v>1355</v>
      </c>
      <c r="F45" s="5312" t="s">
        <v>6190</v>
      </c>
      <c r="G45" s="5310" t="s">
        <v>1356</v>
      </c>
      <c r="H45" s="5310">
        <v>105</v>
      </c>
      <c r="I45" s="5310" t="s">
        <v>6194</v>
      </c>
      <c r="J45" s="5310" t="s">
        <v>6195</v>
      </c>
      <c r="L45" s="5310">
        <v>4</v>
      </c>
      <c r="M45" s="5311" t="s">
        <v>6188</v>
      </c>
      <c r="N45" s="5312" t="s">
        <v>6193</v>
      </c>
      <c r="O45" s="5310" t="s">
        <v>1355</v>
      </c>
      <c r="P45" s="5312" t="s">
        <v>6190</v>
      </c>
      <c r="Q45" s="5310" t="s">
        <v>1356</v>
      </c>
      <c r="R45" s="5310">
        <v>105</v>
      </c>
      <c r="S45" s="5310" t="s">
        <v>6194</v>
      </c>
      <c r="T45" s="5310" t="s">
        <v>6195</v>
      </c>
    </row>
    <row r="46" spans="2:20" ht="23.25" customHeight="1" x14ac:dyDescent="0.25">
      <c r="B46" s="5310">
        <v>5</v>
      </c>
      <c r="C46" s="5311" t="s">
        <v>6188</v>
      </c>
      <c r="D46" s="5312" t="s">
        <v>6196</v>
      </c>
      <c r="E46" s="5310" t="s">
        <v>1355</v>
      </c>
      <c r="F46" s="5312" t="s">
        <v>6190</v>
      </c>
      <c r="G46" s="5310" t="s">
        <v>1356</v>
      </c>
      <c r="H46" s="5310">
        <v>90</v>
      </c>
      <c r="I46" s="5310" t="s">
        <v>6197</v>
      </c>
      <c r="J46" s="5310" t="s">
        <v>6195</v>
      </c>
      <c r="L46" s="5310">
        <v>5</v>
      </c>
      <c r="M46" s="5311" t="s">
        <v>6188</v>
      </c>
      <c r="N46" s="5312" t="s">
        <v>6196</v>
      </c>
      <c r="O46" s="5310" t="s">
        <v>1355</v>
      </c>
      <c r="P46" s="5312" t="s">
        <v>6190</v>
      </c>
      <c r="Q46" s="5310" t="s">
        <v>1356</v>
      </c>
      <c r="R46" s="5310">
        <v>90</v>
      </c>
      <c r="S46" s="5310" t="s">
        <v>6197</v>
      </c>
      <c r="T46" s="5310" t="s">
        <v>6195</v>
      </c>
    </row>
    <row r="47" spans="2:20" x14ac:dyDescent="0.25">
      <c r="B47" s="5310">
        <v>6</v>
      </c>
      <c r="C47" s="5311" t="s">
        <v>6198</v>
      </c>
      <c r="D47" s="5312" t="s">
        <v>6199</v>
      </c>
      <c r="E47" s="5310" t="s">
        <v>1357</v>
      </c>
      <c r="F47" s="5312" t="s">
        <v>6190</v>
      </c>
      <c r="G47" s="5310" t="s">
        <v>1356</v>
      </c>
      <c r="H47" s="5310">
        <v>35</v>
      </c>
      <c r="I47" s="5310" t="s">
        <v>6200</v>
      </c>
      <c r="J47" s="5310" t="s">
        <v>6192</v>
      </c>
      <c r="L47" s="5310">
        <v>6</v>
      </c>
      <c r="M47" s="5311" t="s">
        <v>6198</v>
      </c>
      <c r="N47" s="5312" t="s">
        <v>6199</v>
      </c>
      <c r="O47" s="5310" t="s">
        <v>1357</v>
      </c>
      <c r="P47" s="5312" t="s">
        <v>6190</v>
      </c>
      <c r="Q47" s="5310" t="s">
        <v>1356</v>
      </c>
      <c r="R47" s="5310">
        <v>35</v>
      </c>
      <c r="S47" s="5310" t="s">
        <v>6200</v>
      </c>
      <c r="T47" s="5310" t="s">
        <v>6192</v>
      </c>
    </row>
    <row r="48" spans="2:20" x14ac:dyDescent="0.25">
      <c r="B48" s="5310">
        <v>7</v>
      </c>
      <c r="C48" s="5311" t="s">
        <v>6201</v>
      </c>
      <c r="D48" s="5312" t="s">
        <v>6202</v>
      </c>
      <c r="E48" s="5310" t="s">
        <v>1355</v>
      </c>
      <c r="F48" s="5312" t="s">
        <v>6190</v>
      </c>
      <c r="G48" s="5310" t="s">
        <v>1356</v>
      </c>
      <c r="H48" s="5310">
        <v>15</v>
      </c>
      <c r="I48" s="5310" t="s">
        <v>6200</v>
      </c>
      <c r="J48" s="5310" t="s">
        <v>6203</v>
      </c>
      <c r="L48" s="5310">
        <v>7</v>
      </c>
      <c r="M48" s="5311" t="s">
        <v>6201</v>
      </c>
      <c r="N48" s="5312" t="s">
        <v>6202</v>
      </c>
      <c r="O48" s="5310" t="s">
        <v>1355</v>
      </c>
      <c r="P48" s="5312" t="s">
        <v>6190</v>
      </c>
      <c r="Q48" s="5310" t="s">
        <v>1356</v>
      </c>
      <c r="R48" s="5310">
        <v>15</v>
      </c>
      <c r="S48" s="5310" t="s">
        <v>6200</v>
      </c>
      <c r="T48" s="5310" t="s">
        <v>6203</v>
      </c>
    </row>
    <row r="49" spans="2:20" x14ac:dyDescent="0.25">
      <c r="B49" s="5303"/>
      <c r="E49" s="5303"/>
      <c r="L49" s="5303"/>
      <c r="O49" s="5303"/>
    </row>
    <row r="50" spans="2:20" x14ac:dyDescent="0.25">
      <c r="B50" s="5303"/>
      <c r="E50" s="5303"/>
      <c r="L50" s="5303"/>
      <c r="O50" s="5303"/>
    </row>
    <row r="51" spans="2:20" x14ac:dyDescent="0.25">
      <c r="B51" s="5305" t="s">
        <v>6181</v>
      </c>
      <c r="C51" s="5305" t="s">
        <v>1359</v>
      </c>
      <c r="D51" s="5305" t="s">
        <v>6182</v>
      </c>
      <c r="E51" s="5305" t="s">
        <v>1360</v>
      </c>
      <c r="F51" s="5305" t="s">
        <v>6214</v>
      </c>
      <c r="G51" s="5305"/>
      <c r="H51" s="5305"/>
      <c r="I51" s="5305"/>
      <c r="J51" s="5305"/>
      <c r="L51" s="5305" t="s">
        <v>6181</v>
      </c>
      <c r="M51" s="5305" t="s">
        <v>1359</v>
      </c>
      <c r="N51" s="5305" t="s">
        <v>6182</v>
      </c>
      <c r="O51" s="5305" t="s">
        <v>1360</v>
      </c>
      <c r="P51" s="5306" t="s">
        <v>6215</v>
      </c>
      <c r="Q51" s="5306"/>
      <c r="R51" s="5306"/>
      <c r="S51" s="5306"/>
      <c r="T51" s="5306"/>
    </row>
    <row r="52" spans="2:20" x14ac:dyDescent="0.25">
      <c r="B52" s="5305"/>
      <c r="C52" s="5305"/>
      <c r="D52" s="5305"/>
      <c r="E52" s="5305"/>
      <c r="F52" s="5307" t="s">
        <v>6184</v>
      </c>
      <c r="G52" s="5307" t="s">
        <v>1360</v>
      </c>
      <c r="H52" s="5306" t="s">
        <v>6184</v>
      </c>
      <c r="I52" s="5306"/>
      <c r="J52" s="5306"/>
      <c r="L52" s="5305"/>
      <c r="M52" s="5305"/>
      <c r="N52" s="5305"/>
      <c r="O52" s="5305"/>
      <c r="P52" s="5307" t="s">
        <v>6184</v>
      </c>
      <c r="Q52" s="5308"/>
      <c r="R52" s="5306" t="s">
        <v>6184</v>
      </c>
      <c r="S52" s="5306"/>
      <c r="T52" s="5306"/>
    </row>
    <row r="53" spans="2:20" x14ac:dyDescent="0.25">
      <c r="B53" s="5305"/>
      <c r="C53" s="5305"/>
      <c r="D53" s="5305"/>
      <c r="E53" s="5305"/>
      <c r="F53" s="5307"/>
      <c r="G53" s="5307"/>
      <c r="H53" s="5309" t="s">
        <v>6186</v>
      </c>
      <c r="I53" s="5309" t="s">
        <v>6187</v>
      </c>
      <c r="J53" s="5309" t="s">
        <v>1361</v>
      </c>
      <c r="L53" s="5305"/>
      <c r="M53" s="5305"/>
      <c r="N53" s="5305"/>
      <c r="O53" s="5305"/>
      <c r="P53" s="5307"/>
      <c r="Q53" s="5308"/>
      <c r="R53" s="5309" t="s">
        <v>6186</v>
      </c>
      <c r="S53" s="5309" t="s">
        <v>6187</v>
      </c>
      <c r="T53" s="5309" t="s">
        <v>1361</v>
      </c>
    </row>
    <row r="54" spans="2:20" ht="31.5" x14ac:dyDescent="0.25">
      <c r="B54" s="5310">
        <v>1</v>
      </c>
      <c r="C54" s="5311" t="s">
        <v>6205</v>
      </c>
      <c r="D54" s="5312" t="s">
        <v>6206</v>
      </c>
      <c r="E54" s="5310" t="s">
        <v>1354</v>
      </c>
      <c r="F54" s="5312" t="s">
        <v>6207</v>
      </c>
      <c r="G54" s="5313" t="s">
        <v>3717</v>
      </c>
      <c r="H54" s="5310">
        <v>120</v>
      </c>
      <c r="I54" s="5310" t="s">
        <v>6208</v>
      </c>
      <c r="J54" s="5310" t="s">
        <v>6203</v>
      </c>
      <c r="L54" s="5310">
        <v>1</v>
      </c>
      <c r="M54" s="5311" t="s">
        <v>6205</v>
      </c>
      <c r="N54" s="5312" t="s">
        <v>6206</v>
      </c>
      <c r="O54" s="5310" t="s">
        <v>1354</v>
      </c>
      <c r="P54" s="5312" t="s">
        <v>6207</v>
      </c>
      <c r="Q54" s="5313" t="s">
        <v>3717</v>
      </c>
      <c r="R54" s="5310">
        <v>120</v>
      </c>
      <c r="S54" s="5310" t="s">
        <v>6212</v>
      </c>
      <c r="T54" s="5310" t="s">
        <v>6213</v>
      </c>
    </row>
    <row r="55" spans="2:20" ht="21" x14ac:dyDescent="0.25">
      <c r="B55" s="5310">
        <v>2</v>
      </c>
      <c r="C55" s="5311" t="s">
        <v>6188</v>
      </c>
      <c r="D55" s="5312" t="s">
        <v>6190</v>
      </c>
      <c r="E55" s="5310" t="s">
        <v>1356</v>
      </c>
      <c r="F55" s="5312" t="s">
        <v>6206</v>
      </c>
      <c r="G55" s="5310" t="s">
        <v>1354</v>
      </c>
      <c r="H55" s="5310">
        <v>75</v>
      </c>
      <c r="I55" s="5310" t="s">
        <v>6208</v>
      </c>
      <c r="J55" s="5310" t="s">
        <v>6203</v>
      </c>
      <c r="L55" s="5310">
        <v>2</v>
      </c>
      <c r="M55" s="5311" t="s">
        <v>6188</v>
      </c>
      <c r="N55" s="5312" t="s">
        <v>6190</v>
      </c>
      <c r="O55" s="5310" t="s">
        <v>1356</v>
      </c>
      <c r="P55" s="5312" t="s">
        <v>6206</v>
      </c>
      <c r="Q55" s="5310" t="s">
        <v>1354</v>
      </c>
      <c r="R55" s="5310">
        <v>75</v>
      </c>
      <c r="S55" s="5310" t="s">
        <v>6208</v>
      </c>
      <c r="T55" s="5310" t="s">
        <v>6203</v>
      </c>
    </row>
    <row r="56" spans="2:20" x14ac:dyDescent="0.25">
      <c r="B56" s="5310">
        <v>3</v>
      </c>
      <c r="C56" s="5311" t="s">
        <v>6188</v>
      </c>
      <c r="D56" s="5312" t="s">
        <v>6189</v>
      </c>
      <c r="E56" s="5310" t="s">
        <v>1355</v>
      </c>
      <c r="F56" s="5312" t="s">
        <v>6190</v>
      </c>
      <c r="G56" s="5310" t="s">
        <v>1356</v>
      </c>
      <c r="H56" s="5310">
        <v>40</v>
      </c>
      <c r="I56" s="5310" t="s">
        <v>6191</v>
      </c>
      <c r="J56" s="5310" t="s">
        <v>6192</v>
      </c>
      <c r="L56" s="5310">
        <v>3</v>
      </c>
      <c r="M56" s="5311" t="s">
        <v>6188</v>
      </c>
      <c r="N56" s="5312" t="s">
        <v>6189</v>
      </c>
      <c r="O56" s="5310" t="s">
        <v>1355</v>
      </c>
      <c r="P56" s="5312" t="s">
        <v>6190</v>
      </c>
      <c r="Q56" s="5310" t="s">
        <v>1356</v>
      </c>
      <c r="R56" s="5310">
        <v>40</v>
      </c>
      <c r="S56" s="5310" t="s">
        <v>6191</v>
      </c>
      <c r="T56" s="5310" t="s">
        <v>6192</v>
      </c>
    </row>
    <row r="57" spans="2:20" x14ac:dyDescent="0.25">
      <c r="B57" s="5310">
        <v>4</v>
      </c>
      <c r="C57" s="5311" t="s">
        <v>6188</v>
      </c>
      <c r="D57" s="5312" t="s">
        <v>6193</v>
      </c>
      <c r="E57" s="5310" t="s">
        <v>1355</v>
      </c>
      <c r="F57" s="5312" t="s">
        <v>6190</v>
      </c>
      <c r="G57" s="5310" t="s">
        <v>1356</v>
      </c>
      <c r="H57" s="5310">
        <v>105</v>
      </c>
      <c r="I57" s="5310" t="s">
        <v>6194</v>
      </c>
      <c r="J57" s="5310" t="s">
        <v>6195</v>
      </c>
      <c r="L57" s="5310">
        <v>4</v>
      </c>
      <c r="M57" s="5311" t="s">
        <v>6188</v>
      </c>
      <c r="N57" s="5312" t="s">
        <v>6193</v>
      </c>
      <c r="O57" s="5310" t="s">
        <v>1355</v>
      </c>
      <c r="P57" s="5312" t="s">
        <v>6190</v>
      </c>
      <c r="Q57" s="5310" t="s">
        <v>1356</v>
      </c>
      <c r="R57" s="5310">
        <v>105</v>
      </c>
      <c r="S57" s="5310" t="s">
        <v>6194</v>
      </c>
      <c r="T57" s="5310" t="s">
        <v>6195</v>
      </c>
    </row>
    <row r="58" spans="2:20" x14ac:dyDescent="0.25">
      <c r="B58" s="5310">
        <v>5</v>
      </c>
      <c r="C58" s="5311" t="s">
        <v>6188</v>
      </c>
      <c r="D58" s="5312" t="s">
        <v>6196</v>
      </c>
      <c r="E58" s="5310" t="s">
        <v>1355</v>
      </c>
      <c r="F58" s="5312" t="s">
        <v>6190</v>
      </c>
      <c r="G58" s="5310" t="s">
        <v>1356</v>
      </c>
      <c r="H58" s="5310">
        <v>90</v>
      </c>
      <c r="I58" s="5310" t="s">
        <v>6197</v>
      </c>
      <c r="J58" s="5310" t="s">
        <v>6195</v>
      </c>
      <c r="L58" s="5310">
        <v>5</v>
      </c>
      <c r="M58" s="5311" t="s">
        <v>6188</v>
      </c>
      <c r="N58" s="5312" t="s">
        <v>6196</v>
      </c>
      <c r="O58" s="5310" t="s">
        <v>1355</v>
      </c>
      <c r="P58" s="5312" t="s">
        <v>6190</v>
      </c>
      <c r="Q58" s="5310" t="s">
        <v>1356</v>
      </c>
      <c r="R58" s="5310">
        <v>90</v>
      </c>
      <c r="S58" s="5310" t="s">
        <v>6197</v>
      </c>
      <c r="T58" s="5310" t="s">
        <v>6195</v>
      </c>
    </row>
    <row r="59" spans="2:20" x14ac:dyDescent="0.25">
      <c r="B59" s="5310">
        <v>6</v>
      </c>
      <c r="C59" s="5311" t="s">
        <v>6198</v>
      </c>
      <c r="D59" s="5312" t="s">
        <v>6199</v>
      </c>
      <c r="E59" s="5310" t="s">
        <v>1357</v>
      </c>
      <c r="F59" s="5312" t="s">
        <v>6190</v>
      </c>
      <c r="G59" s="5310" t="s">
        <v>1356</v>
      </c>
      <c r="H59" s="5310">
        <v>35</v>
      </c>
      <c r="I59" s="5310" t="s">
        <v>6200</v>
      </c>
      <c r="J59" s="5310" t="s">
        <v>6192</v>
      </c>
      <c r="L59" s="5310">
        <v>6</v>
      </c>
      <c r="M59" s="5311" t="s">
        <v>6198</v>
      </c>
      <c r="N59" s="5312" t="s">
        <v>6199</v>
      </c>
      <c r="O59" s="5310" t="s">
        <v>1357</v>
      </c>
      <c r="P59" s="5312" t="s">
        <v>6190</v>
      </c>
      <c r="Q59" s="5310" t="s">
        <v>1356</v>
      </c>
      <c r="R59" s="5310">
        <v>35</v>
      </c>
      <c r="S59" s="5310" t="s">
        <v>6200</v>
      </c>
      <c r="T59" s="5310" t="s">
        <v>6192</v>
      </c>
    </row>
    <row r="60" spans="2:20" x14ac:dyDescent="0.25">
      <c r="B60" s="5310">
        <v>7</v>
      </c>
      <c r="C60" s="5311" t="s">
        <v>6201</v>
      </c>
      <c r="D60" s="5312" t="s">
        <v>6202</v>
      </c>
      <c r="E60" s="5310" t="s">
        <v>1355</v>
      </c>
      <c r="F60" s="5312" t="s">
        <v>6190</v>
      </c>
      <c r="G60" s="5310" t="s">
        <v>1356</v>
      </c>
      <c r="H60" s="5310">
        <v>15</v>
      </c>
      <c r="I60" s="5310" t="s">
        <v>6200</v>
      </c>
      <c r="J60" s="5310" t="s">
        <v>6203</v>
      </c>
      <c r="L60" s="5310">
        <v>7</v>
      </c>
      <c r="M60" s="5311" t="s">
        <v>6201</v>
      </c>
      <c r="N60" s="5312" t="s">
        <v>6202</v>
      </c>
      <c r="O60" s="5310" t="s">
        <v>1355</v>
      </c>
      <c r="P60" s="5312" t="s">
        <v>6190</v>
      </c>
      <c r="Q60" s="5310" t="s">
        <v>1356</v>
      </c>
      <c r="R60" s="5310">
        <v>15</v>
      </c>
      <c r="S60" s="5310" t="s">
        <v>6200</v>
      </c>
      <c r="T60" s="5310" t="s">
        <v>6203</v>
      </c>
    </row>
    <row r="63" spans="2:20" x14ac:dyDescent="0.25">
      <c r="B63" s="5305" t="s">
        <v>6181</v>
      </c>
      <c r="C63" s="5305" t="s">
        <v>1359</v>
      </c>
      <c r="D63" s="5305" t="s">
        <v>6182</v>
      </c>
      <c r="E63" s="5305" t="s">
        <v>1360</v>
      </c>
      <c r="F63" s="5305" t="s">
        <v>6216</v>
      </c>
      <c r="G63" s="5305"/>
      <c r="H63" s="5305"/>
      <c r="I63" s="5305"/>
      <c r="J63" s="5305"/>
      <c r="L63" s="5305" t="s">
        <v>6181</v>
      </c>
      <c r="M63" s="5305" t="s">
        <v>1359</v>
      </c>
      <c r="N63" s="5305" t="s">
        <v>6182</v>
      </c>
      <c r="O63" s="5305" t="s">
        <v>1360</v>
      </c>
      <c r="P63" s="5306" t="s">
        <v>6217</v>
      </c>
      <c r="Q63" s="5306"/>
      <c r="R63" s="5306"/>
      <c r="S63" s="5306"/>
      <c r="T63" s="5306"/>
    </row>
    <row r="64" spans="2:20" x14ac:dyDescent="0.25">
      <c r="B64" s="5305"/>
      <c r="C64" s="5305"/>
      <c r="D64" s="5305"/>
      <c r="E64" s="5305"/>
      <c r="F64" s="5307" t="s">
        <v>6184</v>
      </c>
      <c r="G64" s="5307" t="s">
        <v>1360</v>
      </c>
      <c r="H64" s="5306" t="s">
        <v>6184</v>
      </c>
      <c r="I64" s="5306"/>
      <c r="J64" s="5306"/>
      <c r="L64" s="5305"/>
      <c r="M64" s="5305"/>
      <c r="N64" s="5305"/>
      <c r="O64" s="5305"/>
      <c r="P64" s="5307" t="s">
        <v>6184</v>
      </c>
      <c r="Q64" s="5308"/>
      <c r="R64" s="5306" t="s">
        <v>6184</v>
      </c>
      <c r="S64" s="5306"/>
      <c r="T64" s="5306"/>
    </row>
    <row r="65" spans="2:20" x14ac:dyDescent="0.25">
      <c r="B65" s="5305"/>
      <c r="C65" s="5305"/>
      <c r="D65" s="5305"/>
      <c r="E65" s="5305"/>
      <c r="F65" s="5307"/>
      <c r="G65" s="5307"/>
      <c r="H65" s="5309" t="s">
        <v>6186</v>
      </c>
      <c r="I65" s="5309" t="s">
        <v>6187</v>
      </c>
      <c r="J65" s="5309" t="s">
        <v>1361</v>
      </c>
      <c r="L65" s="5305"/>
      <c r="M65" s="5305"/>
      <c r="N65" s="5305"/>
      <c r="O65" s="5305"/>
      <c r="P65" s="5307"/>
      <c r="Q65" s="5308"/>
      <c r="R65" s="5309" t="s">
        <v>6186</v>
      </c>
      <c r="S65" s="5309" t="s">
        <v>6187</v>
      </c>
      <c r="T65" s="5309" t="s">
        <v>1361</v>
      </c>
    </row>
    <row r="66" spans="2:20" ht="31.5" x14ac:dyDescent="0.25">
      <c r="B66" s="5310">
        <v>1</v>
      </c>
      <c r="C66" s="5311" t="s">
        <v>6205</v>
      </c>
      <c r="D66" s="5312" t="s">
        <v>6206</v>
      </c>
      <c r="E66" s="5310" t="s">
        <v>1354</v>
      </c>
      <c r="F66" s="5318" t="s">
        <v>6207</v>
      </c>
      <c r="G66" s="5319" t="s">
        <v>3717</v>
      </c>
      <c r="H66" s="5310">
        <v>120</v>
      </c>
      <c r="I66" s="5310" t="s">
        <v>6208</v>
      </c>
      <c r="J66" s="5310" t="s">
        <v>6203</v>
      </c>
      <c r="L66" s="5310">
        <v>1</v>
      </c>
      <c r="M66" s="5311" t="s">
        <v>6205</v>
      </c>
      <c r="N66" s="5312" t="s">
        <v>6206</v>
      </c>
      <c r="O66" s="5310" t="s">
        <v>1354</v>
      </c>
      <c r="P66" s="5312" t="s">
        <v>6207</v>
      </c>
      <c r="Q66" s="5313" t="s">
        <v>3717</v>
      </c>
      <c r="R66" s="5310">
        <v>120</v>
      </c>
      <c r="S66" s="5310" t="s">
        <v>6212</v>
      </c>
      <c r="T66" s="5310" t="s">
        <v>6213</v>
      </c>
    </row>
    <row r="67" spans="2:20" ht="21" x14ac:dyDescent="0.25">
      <c r="B67" s="5310">
        <v>2</v>
      </c>
      <c r="C67" s="5311" t="s">
        <v>6188</v>
      </c>
      <c r="D67" s="5312" t="s">
        <v>6190</v>
      </c>
      <c r="E67" s="5310" t="s">
        <v>1356</v>
      </c>
      <c r="F67" s="5318" t="s">
        <v>6206</v>
      </c>
      <c r="G67" s="5320" t="s">
        <v>1354</v>
      </c>
      <c r="H67" s="5310">
        <v>75</v>
      </c>
      <c r="I67" s="5310" t="s">
        <v>6208</v>
      </c>
      <c r="J67" s="5310" t="s">
        <v>6203</v>
      </c>
      <c r="L67" s="5310">
        <v>2</v>
      </c>
      <c r="M67" s="5311" t="s">
        <v>6188</v>
      </c>
      <c r="N67" s="5312" t="s">
        <v>6190</v>
      </c>
      <c r="O67" s="5310" t="s">
        <v>1356</v>
      </c>
      <c r="P67" s="5312" t="s">
        <v>6206</v>
      </c>
      <c r="Q67" s="5310" t="s">
        <v>1354</v>
      </c>
      <c r="R67" s="5310">
        <v>75</v>
      </c>
      <c r="S67" s="5310" t="s">
        <v>6208</v>
      </c>
      <c r="T67" s="5310" t="s">
        <v>6203</v>
      </c>
    </row>
    <row r="68" spans="2:20" x14ac:dyDescent="0.25">
      <c r="B68" s="5310">
        <v>3</v>
      </c>
      <c r="C68" s="5311" t="s">
        <v>6188</v>
      </c>
      <c r="D68" s="5312" t="s">
        <v>6189</v>
      </c>
      <c r="E68" s="5310" t="s">
        <v>1355</v>
      </c>
      <c r="F68" s="5312" t="s">
        <v>6190</v>
      </c>
      <c r="G68" s="5310" t="s">
        <v>1356</v>
      </c>
      <c r="H68" s="5310">
        <v>40</v>
      </c>
      <c r="I68" s="5310" t="s">
        <v>6191</v>
      </c>
      <c r="J68" s="5310" t="s">
        <v>6192</v>
      </c>
      <c r="L68" s="5310">
        <v>3</v>
      </c>
      <c r="M68" s="5311" t="s">
        <v>6188</v>
      </c>
      <c r="N68" s="5312" t="s">
        <v>6189</v>
      </c>
      <c r="O68" s="5310" t="s">
        <v>1355</v>
      </c>
      <c r="P68" s="5312" t="s">
        <v>6190</v>
      </c>
      <c r="Q68" s="5310" t="s">
        <v>1356</v>
      </c>
      <c r="R68" s="5310">
        <v>40</v>
      </c>
      <c r="S68" s="5310" t="s">
        <v>6191</v>
      </c>
      <c r="T68" s="5310" t="s">
        <v>6192</v>
      </c>
    </row>
    <row r="69" spans="2:20" x14ac:dyDescent="0.25">
      <c r="B69" s="5310">
        <v>4</v>
      </c>
      <c r="C69" s="5311" t="s">
        <v>6188</v>
      </c>
      <c r="D69" s="5312" t="s">
        <v>6193</v>
      </c>
      <c r="E69" s="5310" t="s">
        <v>1355</v>
      </c>
      <c r="F69" s="5312" t="s">
        <v>6190</v>
      </c>
      <c r="G69" s="5310" t="s">
        <v>1356</v>
      </c>
      <c r="H69" s="5310">
        <v>105</v>
      </c>
      <c r="I69" s="5310" t="s">
        <v>6194</v>
      </c>
      <c r="J69" s="5310" t="s">
        <v>6195</v>
      </c>
      <c r="L69" s="5310">
        <v>4</v>
      </c>
      <c r="M69" s="5311" t="s">
        <v>6188</v>
      </c>
      <c r="N69" s="5312" t="s">
        <v>6193</v>
      </c>
      <c r="O69" s="5310" t="s">
        <v>1355</v>
      </c>
      <c r="P69" s="5312" t="s">
        <v>6190</v>
      </c>
      <c r="Q69" s="5310" t="s">
        <v>1356</v>
      </c>
      <c r="R69" s="5310">
        <v>105</v>
      </c>
      <c r="S69" s="5310" t="s">
        <v>6194</v>
      </c>
      <c r="T69" s="5310" t="s">
        <v>6195</v>
      </c>
    </row>
    <row r="70" spans="2:20" x14ac:dyDescent="0.25">
      <c r="B70" s="5310">
        <v>5</v>
      </c>
      <c r="C70" s="5311" t="s">
        <v>6188</v>
      </c>
      <c r="D70" s="5312" t="s">
        <v>6196</v>
      </c>
      <c r="E70" s="5310" t="s">
        <v>1355</v>
      </c>
      <c r="F70" s="5312" t="s">
        <v>6190</v>
      </c>
      <c r="G70" s="5310" t="s">
        <v>1356</v>
      </c>
      <c r="H70" s="5310">
        <v>90</v>
      </c>
      <c r="I70" s="5310" t="s">
        <v>6197</v>
      </c>
      <c r="J70" s="5310" t="s">
        <v>6195</v>
      </c>
      <c r="L70" s="5310">
        <v>5</v>
      </c>
      <c r="M70" s="5311" t="s">
        <v>6188</v>
      </c>
      <c r="N70" s="5312" t="s">
        <v>6196</v>
      </c>
      <c r="O70" s="5310" t="s">
        <v>1355</v>
      </c>
      <c r="P70" s="5312" t="s">
        <v>6190</v>
      </c>
      <c r="Q70" s="5310" t="s">
        <v>1356</v>
      </c>
      <c r="R70" s="5310">
        <v>90</v>
      </c>
      <c r="S70" s="5310" t="s">
        <v>6197</v>
      </c>
      <c r="T70" s="5310" t="s">
        <v>6195</v>
      </c>
    </row>
    <row r="71" spans="2:20" x14ac:dyDescent="0.25">
      <c r="B71" s="5310">
        <v>6</v>
      </c>
      <c r="C71" s="5311" t="s">
        <v>6198</v>
      </c>
      <c r="D71" s="5312" t="s">
        <v>6199</v>
      </c>
      <c r="E71" s="5310" t="s">
        <v>1357</v>
      </c>
      <c r="F71" s="5312" t="s">
        <v>6190</v>
      </c>
      <c r="G71" s="5310" t="s">
        <v>1356</v>
      </c>
      <c r="H71" s="5310">
        <v>35</v>
      </c>
      <c r="I71" s="5310" t="s">
        <v>6200</v>
      </c>
      <c r="J71" s="5310" t="s">
        <v>6192</v>
      </c>
      <c r="L71" s="5310">
        <v>6</v>
      </c>
      <c r="M71" s="5311" t="s">
        <v>6198</v>
      </c>
      <c r="N71" s="5312" t="s">
        <v>6199</v>
      </c>
      <c r="O71" s="5310" t="s">
        <v>1357</v>
      </c>
      <c r="P71" s="5312" t="s">
        <v>6190</v>
      </c>
      <c r="Q71" s="5310" t="s">
        <v>1356</v>
      </c>
      <c r="R71" s="5310">
        <v>35</v>
      </c>
      <c r="S71" s="5310" t="s">
        <v>6200</v>
      </c>
      <c r="T71" s="5310" t="s">
        <v>6192</v>
      </c>
    </row>
    <row r="72" spans="2:20" x14ac:dyDescent="0.25">
      <c r="B72" s="5310">
        <v>7</v>
      </c>
      <c r="C72" s="5311" t="s">
        <v>6201</v>
      </c>
      <c r="D72" s="5312" t="s">
        <v>6202</v>
      </c>
      <c r="E72" s="5310" t="s">
        <v>1355</v>
      </c>
      <c r="F72" s="5312" t="s">
        <v>6190</v>
      </c>
      <c r="G72" s="5310" t="s">
        <v>1356</v>
      </c>
      <c r="H72" s="5310">
        <v>15</v>
      </c>
      <c r="I72" s="5310" t="s">
        <v>6200</v>
      </c>
      <c r="J72" s="5310" t="s">
        <v>6203</v>
      </c>
      <c r="L72" s="5310">
        <v>7</v>
      </c>
      <c r="M72" s="5311" t="s">
        <v>6201</v>
      </c>
      <c r="N72" s="5312" t="s">
        <v>6202</v>
      </c>
      <c r="O72" s="5310" t="s">
        <v>1355</v>
      </c>
      <c r="P72" s="5312" t="s">
        <v>6190</v>
      </c>
      <c r="Q72" s="5310" t="s">
        <v>1356</v>
      </c>
      <c r="R72" s="5310">
        <v>15</v>
      </c>
      <c r="S72" s="5310" t="s">
        <v>6200</v>
      </c>
      <c r="T72" s="5310" t="s">
        <v>6203</v>
      </c>
    </row>
    <row r="75" spans="2:20" x14ac:dyDescent="0.25">
      <c r="B75" s="5305" t="s">
        <v>6181</v>
      </c>
      <c r="C75" s="5305" t="s">
        <v>1359</v>
      </c>
      <c r="D75" s="5305" t="s">
        <v>6182</v>
      </c>
      <c r="E75" s="5305" t="s">
        <v>1360</v>
      </c>
      <c r="F75" s="5305" t="s">
        <v>6218</v>
      </c>
      <c r="G75" s="5305"/>
      <c r="H75" s="5305"/>
      <c r="I75" s="5305"/>
      <c r="J75" s="5305"/>
      <c r="L75" s="5305" t="s">
        <v>6181</v>
      </c>
      <c r="M75" s="5305" t="s">
        <v>1359</v>
      </c>
      <c r="N75" s="5305" t="s">
        <v>6182</v>
      </c>
      <c r="O75" s="5305" t="s">
        <v>1360</v>
      </c>
      <c r="P75" s="5306" t="s">
        <v>6219</v>
      </c>
      <c r="Q75" s="5306"/>
      <c r="R75" s="5306"/>
      <c r="S75" s="5306"/>
      <c r="T75" s="5306"/>
    </row>
    <row r="76" spans="2:20" x14ac:dyDescent="0.25">
      <c r="B76" s="5305"/>
      <c r="C76" s="5305"/>
      <c r="D76" s="5305"/>
      <c r="E76" s="5305"/>
      <c r="F76" s="5307" t="s">
        <v>6184</v>
      </c>
      <c r="G76" s="5307" t="s">
        <v>1360</v>
      </c>
      <c r="H76" s="5306" t="s">
        <v>6184</v>
      </c>
      <c r="I76" s="5306"/>
      <c r="J76" s="5306"/>
      <c r="L76" s="5305"/>
      <c r="M76" s="5305"/>
      <c r="N76" s="5305"/>
      <c r="O76" s="5305"/>
      <c r="P76" s="5307" t="s">
        <v>6184</v>
      </c>
      <c r="Q76" s="5308"/>
      <c r="R76" s="5306" t="s">
        <v>6184</v>
      </c>
      <c r="S76" s="5306"/>
      <c r="T76" s="5306"/>
    </row>
    <row r="77" spans="2:20" x14ac:dyDescent="0.25">
      <c r="B77" s="5305"/>
      <c r="C77" s="5305"/>
      <c r="D77" s="5305"/>
      <c r="E77" s="5305"/>
      <c r="F77" s="5307"/>
      <c r="G77" s="5307"/>
      <c r="H77" s="5309" t="s">
        <v>6186</v>
      </c>
      <c r="I77" s="5309" t="s">
        <v>6187</v>
      </c>
      <c r="J77" s="5309" t="s">
        <v>1361</v>
      </c>
      <c r="L77" s="5305"/>
      <c r="M77" s="5305"/>
      <c r="N77" s="5305"/>
      <c r="O77" s="5305"/>
      <c r="P77" s="5307"/>
      <c r="Q77" s="5308"/>
      <c r="R77" s="5309" t="s">
        <v>6186</v>
      </c>
      <c r="S77" s="5309" t="s">
        <v>6187</v>
      </c>
      <c r="T77" s="5309" t="s">
        <v>1361</v>
      </c>
    </row>
    <row r="78" spans="2:20" ht="31.5" x14ac:dyDescent="0.25">
      <c r="B78" s="5310">
        <v>1</v>
      </c>
      <c r="C78" s="5311" t="s">
        <v>6205</v>
      </c>
      <c r="D78" s="5312" t="s">
        <v>6206</v>
      </c>
      <c r="E78" s="5310" t="s">
        <v>1354</v>
      </c>
      <c r="F78" s="5318" t="s">
        <v>6207</v>
      </c>
      <c r="G78" s="5319" t="s">
        <v>3717</v>
      </c>
      <c r="H78" s="5320">
        <v>120</v>
      </c>
      <c r="I78" s="5310" t="s">
        <v>6208</v>
      </c>
      <c r="J78" s="5310" t="s">
        <v>6203</v>
      </c>
      <c r="L78" s="5310">
        <v>1</v>
      </c>
      <c r="M78" s="5311" t="s">
        <v>6205</v>
      </c>
      <c r="N78" s="5312" t="s">
        <v>6206</v>
      </c>
      <c r="O78" s="5310" t="s">
        <v>1354</v>
      </c>
      <c r="P78" s="5312" t="s">
        <v>6207</v>
      </c>
      <c r="Q78" s="5313" t="s">
        <v>3717</v>
      </c>
      <c r="R78" s="5310">
        <v>120</v>
      </c>
      <c r="S78" s="5310" t="s">
        <v>6212</v>
      </c>
      <c r="T78" s="5310" t="s">
        <v>6213</v>
      </c>
    </row>
    <row r="79" spans="2:20" ht="21" x14ac:dyDescent="0.25">
      <c r="B79" s="5310">
        <v>2</v>
      </c>
      <c r="C79" s="5311" t="s">
        <v>6188</v>
      </c>
      <c r="D79" s="5312" t="s">
        <v>6190</v>
      </c>
      <c r="E79" s="5310" t="s">
        <v>1356</v>
      </c>
      <c r="F79" s="5312" t="s">
        <v>6206</v>
      </c>
      <c r="G79" s="5310" t="s">
        <v>1354</v>
      </c>
      <c r="H79" s="5310">
        <v>75</v>
      </c>
      <c r="I79" s="5310" t="s">
        <v>6208</v>
      </c>
      <c r="J79" s="5310" t="s">
        <v>6203</v>
      </c>
      <c r="L79" s="5310">
        <v>2</v>
      </c>
      <c r="M79" s="5311" t="s">
        <v>6188</v>
      </c>
      <c r="N79" s="5312" t="s">
        <v>6190</v>
      </c>
      <c r="O79" s="5310" t="s">
        <v>1356</v>
      </c>
      <c r="P79" s="5312" t="s">
        <v>6207</v>
      </c>
      <c r="Q79" s="5313" t="s">
        <v>3717</v>
      </c>
      <c r="R79" s="5310">
        <v>75</v>
      </c>
      <c r="S79" s="5310" t="s">
        <v>6208</v>
      </c>
      <c r="T79" s="5310" t="s">
        <v>6203</v>
      </c>
    </row>
    <row r="80" spans="2:20" x14ac:dyDescent="0.25">
      <c r="B80" s="5310">
        <v>3</v>
      </c>
      <c r="C80" s="5311" t="s">
        <v>6188</v>
      </c>
      <c r="D80" s="5312" t="s">
        <v>6189</v>
      </c>
      <c r="E80" s="5310" t="s">
        <v>1355</v>
      </c>
      <c r="F80" s="5312" t="s">
        <v>6190</v>
      </c>
      <c r="G80" s="5310" t="s">
        <v>1356</v>
      </c>
      <c r="H80" s="5310">
        <v>40</v>
      </c>
      <c r="I80" s="5310" t="s">
        <v>6191</v>
      </c>
      <c r="J80" s="5310" t="s">
        <v>6192</v>
      </c>
      <c r="L80" s="5310">
        <v>3</v>
      </c>
      <c r="M80" s="5311" t="s">
        <v>6188</v>
      </c>
      <c r="N80" s="5312" t="s">
        <v>6189</v>
      </c>
      <c r="O80" s="5310" t="s">
        <v>1355</v>
      </c>
      <c r="P80" s="5312" t="s">
        <v>6190</v>
      </c>
      <c r="Q80" s="5310" t="s">
        <v>1356</v>
      </c>
      <c r="R80" s="5310">
        <v>40</v>
      </c>
      <c r="S80" s="5310" t="s">
        <v>6191</v>
      </c>
      <c r="T80" s="5310" t="s">
        <v>6192</v>
      </c>
    </row>
    <row r="81" spans="2:20" x14ac:dyDescent="0.25">
      <c r="B81" s="5310">
        <v>4</v>
      </c>
      <c r="C81" s="5311" t="s">
        <v>6188</v>
      </c>
      <c r="D81" s="5312" t="s">
        <v>6193</v>
      </c>
      <c r="E81" s="5310" t="s">
        <v>1355</v>
      </c>
      <c r="F81" s="5312" t="s">
        <v>6190</v>
      </c>
      <c r="G81" s="5310" t="s">
        <v>1356</v>
      </c>
      <c r="H81" s="5310">
        <v>105</v>
      </c>
      <c r="I81" s="5310" t="s">
        <v>6194</v>
      </c>
      <c r="J81" s="5310" t="s">
        <v>6195</v>
      </c>
      <c r="L81" s="5310">
        <v>4</v>
      </c>
      <c r="M81" s="5311" t="s">
        <v>6188</v>
      </c>
      <c r="N81" s="5312" t="s">
        <v>6193</v>
      </c>
      <c r="O81" s="5310" t="s">
        <v>1355</v>
      </c>
      <c r="P81" s="5312" t="s">
        <v>6190</v>
      </c>
      <c r="Q81" s="5310" t="s">
        <v>1356</v>
      </c>
      <c r="R81" s="5310">
        <v>105</v>
      </c>
      <c r="S81" s="5310" t="s">
        <v>6194</v>
      </c>
      <c r="T81" s="5310" t="s">
        <v>6195</v>
      </c>
    </row>
    <row r="82" spans="2:20" x14ac:dyDescent="0.25">
      <c r="B82" s="5310">
        <v>5</v>
      </c>
      <c r="C82" s="5311" t="s">
        <v>6188</v>
      </c>
      <c r="D82" s="5312" t="s">
        <v>6196</v>
      </c>
      <c r="E82" s="5310" t="s">
        <v>1355</v>
      </c>
      <c r="F82" s="5312" t="s">
        <v>6190</v>
      </c>
      <c r="G82" s="5310" t="s">
        <v>1356</v>
      </c>
      <c r="H82" s="5310">
        <v>90</v>
      </c>
      <c r="I82" s="5310" t="s">
        <v>6197</v>
      </c>
      <c r="J82" s="5310" t="s">
        <v>6195</v>
      </c>
      <c r="L82" s="5310">
        <v>5</v>
      </c>
      <c r="M82" s="5311" t="s">
        <v>6188</v>
      </c>
      <c r="N82" s="5312" t="s">
        <v>6196</v>
      </c>
      <c r="O82" s="5310" t="s">
        <v>1355</v>
      </c>
      <c r="P82" s="5312" t="s">
        <v>6190</v>
      </c>
      <c r="Q82" s="5310" t="s">
        <v>1356</v>
      </c>
      <c r="R82" s="5310">
        <v>90</v>
      </c>
      <c r="S82" s="5310" t="s">
        <v>6197</v>
      </c>
      <c r="T82" s="5310" t="s">
        <v>6195</v>
      </c>
    </row>
    <row r="83" spans="2:20" x14ac:dyDescent="0.25">
      <c r="B83" s="5310">
        <v>6</v>
      </c>
      <c r="C83" s="5311" t="s">
        <v>6198</v>
      </c>
      <c r="D83" s="5312" t="s">
        <v>6199</v>
      </c>
      <c r="E83" s="5310" t="s">
        <v>1357</v>
      </c>
      <c r="F83" s="5312" t="s">
        <v>6190</v>
      </c>
      <c r="G83" s="5310" t="s">
        <v>1356</v>
      </c>
      <c r="H83" s="5310">
        <v>35</v>
      </c>
      <c r="I83" s="5310" t="s">
        <v>6200</v>
      </c>
      <c r="J83" s="5310" t="s">
        <v>6192</v>
      </c>
      <c r="L83" s="5310">
        <v>6</v>
      </c>
      <c r="M83" s="5311" t="s">
        <v>6198</v>
      </c>
      <c r="N83" s="5312" t="s">
        <v>6199</v>
      </c>
      <c r="O83" s="5310" t="s">
        <v>1357</v>
      </c>
      <c r="P83" s="5312" t="s">
        <v>6190</v>
      </c>
      <c r="Q83" s="5310" t="s">
        <v>1356</v>
      </c>
      <c r="R83" s="5310">
        <v>35</v>
      </c>
      <c r="S83" s="5310" t="s">
        <v>6200</v>
      </c>
      <c r="T83" s="5310" t="s">
        <v>6192</v>
      </c>
    </row>
    <row r="84" spans="2:20" x14ac:dyDescent="0.25">
      <c r="B84" s="5310">
        <v>7</v>
      </c>
      <c r="C84" s="5311" t="s">
        <v>6201</v>
      </c>
      <c r="D84" s="5312" t="s">
        <v>6202</v>
      </c>
      <c r="E84" s="5310" t="s">
        <v>1355</v>
      </c>
      <c r="F84" s="5312" t="s">
        <v>6190</v>
      </c>
      <c r="G84" s="5310" t="s">
        <v>1356</v>
      </c>
      <c r="H84" s="5310">
        <v>15</v>
      </c>
      <c r="I84" s="5310" t="s">
        <v>6200</v>
      </c>
      <c r="J84" s="5310" t="s">
        <v>6203</v>
      </c>
      <c r="L84" s="5310">
        <v>7</v>
      </c>
      <c r="M84" s="5311" t="s">
        <v>6201</v>
      </c>
      <c r="N84" s="5312" t="s">
        <v>6202</v>
      </c>
      <c r="O84" s="5310" t="s">
        <v>1355</v>
      </c>
      <c r="P84" s="5312" t="s">
        <v>6190</v>
      </c>
      <c r="Q84" s="5310" t="s">
        <v>1356</v>
      </c>
      <c r="R84" s="5310">
        <v>15</v>
      </c>
      <c r="S84" s="5310" t="s">
        <v>6200</v>
      </c>
      <c r="T84" s="5310" t="s">
        <v>6203</v>
      </c>
    </row>
  </sheetData>
  <mergeCells count="83">
    <mergeCell ref="F76:F77"/>
    <mergeCell ref="G76:G77"/>
    <mergeCell ref="H76:J76"/>
    <mergeCell ref="P76:P77"/>
    <mergeCell ref="R76:T76"/>
    <mergeCell ref="L75:L77"/>
    <mergeCell ref="M75:M77"/>
    <mergeCell ref="N75:N77"/>
    <mergeCell ref="O75:O77"/>
    <mergeCell ref="P75:T75"/>
    <mergeCell ref="L63:L65"/>
    <mergeCell ref="M63:M65"/>
    <mergeCell ref="N63:N65"/>
    <mergeCell ref="O63:O65"/>
    <mergeCell ref="P63:T63"/>
    <mergeCell ref="P64:P65"/>
    <mergeCell ref="R64:T64"/>
    <mergeCell ref="B63:B65"/>
    <mergeCell ref="C63:C65"/>
    <mergeCell ref="D63:D65"/>
    <mergeCell ref="E63:E65"/>
    <mergeCell ref="F63:J63"/>
    <mergeCell ref="F64:F65"/>
    <mergeCell ref="G64:G65"/>
    <mergeCell ref="H64:J64"/>
    <mergeCell ref="Q40:Q41"/>
    <mergeCell ref="R40:T40"/>
    <mergeCell ref="F51:J51"/>
    <mergeCell ref="L51:L53"/>
    <mergeCell ref="M51:M53"/>
    <mergeCell ref="N51:N53"/>
    <mergeCell ref="O51:O53"/>
    <mergeCell ref="P51:T51"/>
    <mergeCell ref="F52:F53"/>
    <mergeCell ref="G52:G53"/>
    <mergeCell ref="H52:J52"/>
    <mergeCell ref="P52:P53"/>
    <mergeCell ref="R52:T52"/>
    <mergeCell ref="B37:J37"/>
    <mergeCell ref="L37:T37"/>
    <mergeCell ref="B39:B41"/>
    <mergeCell ref="C39:C41"/>
    <mergeCell ref="D39:D41"/>
    <mergeCell ref="E39:E41"/>
    <mergeCell ref="F39:J39"/>
    <mergeCell ref="L39:L41"/>
    <mergeCell ref="M39:M41"/>
    <mergeCell ref="N39:N41"/>
    <mergeCell ref="O39:O41"/>
    <mergeCell ref="P39:T39"/>
    <mergeCell ref="F40:F41"/>
    <mergeCell ref="G40:G41"/>
    <mergeCell ref="H40:J40"/>
    <mergeCell ref="P40:P41"/>
    <mergeCell ref="B23:B25"/>
    <mergeCell ref="C23:C25"/>
    <mergeCell ref="D23:D25"/>
    <mergeCell ref="E23:E25"/>
    <mergeCell ref="F23:J23"/>
    <mergeCell ref="F24:J24"/>
    <mergeCell ref="C13:L14"/>
    <mergeCell ref="B16:B18"/>
    <mergeCell ref="C16:C18"/>
    <mergeCell ref="D16:D18"/>
    <mergeCell ref="E16:E18"/>
    <mergeCell ref="F16:J16"/>
    <mergeCell ref="F17:J17"/>
    <mergeCell ref="C1:L2"/>
    <mergeCell ref="B4:B6"/>
    <mergeCell ref="C4:C6"/>
    <mergeCell ref="D4:D6"/>
    <mergeCell ref="E4:E6"/>
    <mergeCell ref="F4:J4"/>
    <mergeCell ref="F5:J5"/>
    <mergeCell ref="B75:B77"/>
    <mergeCell ref="C75:C77"/>
    <mergeCell ref="D75:D77"/>
    <mergeCell ref="E75:E77"/>
    <mergeCell ref="F75:J75"/>
    <mergeCell ref="C51:C53"/>
    <mergeCell ref="D51:D53"/>
    <mergeCell ref="B51:B53"/>
    <mergeCell ref="E51:E5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B1:BD91"/>
  <sheetViews>
    <sheetView topLeftCell="A8" zoomScale="70" zoomScaleNormal="70" workbookViewId="0">
      <selection activeCell="S48" sqref="S48"/>
    </sheetView>
  </sheetViews>
  <sheetFormatPr baseColWidth="10" defaultColWidth="11.42578125" defaultRowHeight="13.5" x14ac:dyDescent="0.25"/>
  <cols>
    <col min="1" max="1" width="11.42578125" style="521"/>
    <col min="2" max="2" width="7" style="521" customWidth="1"/>
    <col min="3" max="3" width="21.28515625" style="521" customWidth="1"/>
    <col min="4" max="4" width="16.140625" style="521" bestFit="1" customWidth="1"/>
    <col min="5" max="5" width="15.140625" style="521" bestFit="1" customWidth="1"/>
    <col min="6" max="6" width="13.42578125" style="521" customWidth="1"/>
    <col min="7" max="7" width="20.28515625" style="521" customWidth="1"/>
    <col min="8" max="8" width="25.140625" style="521" customWidth="1"/>
    <col min="9" max="9" width="28.28515625" style="521" customWidth="1"/>
    <col min="10" max="10" width="10.7109375" style="521" customWidth="1"/>
    <col min="11" max="11" width="15" style="521" customWidth="1"/>
    <col min="12" max="12" width="10.140625" style="521" customWidth="1"/>
    <col min="13" max="13" width="11.85546875" style="521" bestFit="1" customWidth="1"/>
    <col min="14" max="53" width="10.7109375" style="521" customWidth="1"/>
    <col min="54" max="54" width="5.5703125" style="521" customWidth="1"/>
    <col min="55" max="55" width="11.42578125" style="521"/>
    <col min="56" max="56" width="20.7109375" style="521" customWidth="1"/>
    <col min="57" max="16384" width="11.42578125" style="521"/>
  </cols>
  <sheetData>
    <row r="1" spans="2:55" x14ac:dyDescent="0.25">
      <c r="G1" s="521" t="s">
        <v>3641</v>
      </c>
    </row>
    <row r="2" spans="2:55" ht="14.25" thickBot="1" x14ac:dyDescent="0.3"/>
    <row r="3" spans="2:55" x14ac:dyDescent="0.25">
      <c r="B3" s="522"/>
      <c r="C3" s="523"/>
      <c r="D3" s="524"/>
      <c r="E3" s="524"/>
      <c r="F3" s="524"/>
      <c r="G3" s="524"/>
      <c r="H3" s="524"/>
      <c r="I3" s="524"/>
      <c r="J3" s="525"/>
      <c r="K3" s="525"/>
      <c r="L3" s="525"/>
      <c r="M3" s="525"/>
      <c r="N3" s="525"/>
      <c r="O3" s="525"/>
      <c r="P3" s="525"/>
      <c r="Q3" s="525"/>
      <c r="R3" s="525"/>
      <c r="S3" s="525"/>
      <c r="T3" s="525"/>
      <c r="U3" s="525"/>
      <c r="V3" s="525"/>
      <c r="W3" s="525"/>
      <c r="X3" s="525"/>
      <c r="Y3" s="525"/>
      <c r="Z3" s="525"/>
      <c r="AA3" s="525"/>
      <c r="AB3" s="525"/>
      <c r="AC3" s="525"/>
      <c r="AD3" s="525"/>
      <c r="AE3" s="525"/>
      <c r="AF3" s="525"/>
      <c r="AG3" s="525"/>
      <c r="AH3" s="525"/>
      <c r="AI3" s="525"/>
      <c r="AJ3" s="525"/>
      <c r="AK3" s="525"/>
      <c r="AL3" s="525"/>
      <c r="AM3" s="525"/>
      <c r="AN3" s="525"/>
      <c r="AO3" s="525"/>
      <c r="AP3" s="525"/>
      <c r="AQ3" s="525"/>
      <c r="AR3" s="525"/>
      <c r="AS3" s="525"/>
      <c r="AT3" s="525"/>
      <c r="AU3" s="525"/>
      <c r="AV3" s="525"/>
      <c r="AW3" s="525"/>
      <c r="AX3" s="525"/>
      <c r="AY3" s="525"/>
      <c r="AZ3" s="525"/>
      <c r="BA3" s="525"/>
      <c r="BB3" s="526"/>
    </row>
    <row r="4" spans="2:55" x14ac:dyDescent="0.25">
      <c r="B4" s="527"/>
      <c r="C4" s="528"/>
      <c r="D4" s="529"/>
      <c r="E4" s="530"/>
      <c r="F4" s="530"/>
      <c r="G4" s="529"/>
      <c r="H4" s="529"/>
      <c r="I4" s="529"/>
      <c r="J4" s="531"/>
      <c r="K4" s="531"/>
      <c r="L4" s="531"/>
      <c r="M4" s="531"/>
      <c r="N4" s="531"/>
      <c r="O4" s="531"/>
      <c r="P4" s="531"/>
      <c r="Q4" s="531"/>
      <c r="R4" s="531"/>
      <c r="S4" s="531"/>
      <c r="T4" s="531"/>
      <c r="U4" s="531"/>
      <c r="V4" s="531"/>
      <c r="W4" s="531"/>
      <c r="X4" s="531"/>
      <c r="Y4" s="531"/>
      <c r="Z4" s="531"/>
      <c r="AA4" s="531"/>
      <c r="AB4" s="531"/>
      <c r="AC4" s="531"/>
      <c r="AD4" s="531"/>
      <c r="AE4" s="531"/>
      <c r="AF4" s="531"/>
      <c r="AG4" s="531"/>
      <c r="AH4" s="531"/>
      <c r="AI4" s="531"/>
      <c r="AJ4" s="531"/>
      <c r="AK4" s="531"/>
      <c r="AL4" s="531"/>
      <c r="AM4" s="531"/>
      <c r="AN4" s="531"/>
      <c r="AO4" s="531"/>
      <c r="AP4" s="531"/>
      <c r="AQ4" s="531"/>
      <c r="AR4" s="531"/>
      <c r="AS4" s="531"/>
      <c r="AT4" s="531"/>
      <c r="AU4" s="531"/>
      <c r="AV4" s="531"/>
      <c r="AW4" s="531"/>
      <c r="AX4" s="531"/>
      <c r="AY4" s="531"/>
      <c r="AZ4" s="531"/>
      <c r="BA4" s="531"/>
      <c r="BB4" s="532"/>
    </row>
    <row r="5" spans="2:55" ht="14.25" thickBot="1" x14ac:dyDescent="0.3">
      <c r="B5" s="527"/>
      <c r="C5" s="528"/>
      <c r="D5" s="529"/>
      <c r="E5" s="530"/>
      <c r="F5" s="530"/>
      <c r="G5" s="529"/>
      <c r="H5" s="529"/>
      <c r="I5" s="529"/>
      <c r="J5" s="531"/>
      <c r="K5" s="531"/>
      <c r="L5" s="531"/>
      <c r="M5" s="531"/>
      <c r="N5" s="531"/>
      <c r="O5" s="531"/>
      <c r="P5" s="531"/>
      <c r="Q5" s="531"/>
      <c r="R5" s="531"/>
      <c r="S5" s="531"/>
      <c r="T5" s="531"/>
      <c r="U5" s="531"/>
      <c r="V5" s="531"/>
      <c r="W5" s="531"/>
      <c r="X5" s="531"/>
      <c r="Y5" s="531"/>
      <c r="Z5" s="531"/>
      <c r="AA5" s="531"/>
      <c r="AB5" s="531"/>
      <c r="AC5" s="531"/>
      <c r="AD5" s="531"/>
      <c r="AE5" s="531"/>
      <c r="AF5" s="531"/>
      <c r="AG5" s="531"/>
      <c r="AH5" s="531"/>
      <c r="AI5" s="531"/>
      <c r="AJ5" s="531"/>
      <c r="AK5" s="531"/>
      <c r="AL5" s="531"/>
      <c r="AM5" s="531"/>
      <c r="AN5" s="531"/>
      <c r="AO5" s="531"/>
      <c r="AP5" s="531"/>
      <c r="AQ5" s="531"/>
      <c r="AR5" s="531"/>
      <c r="AS5" s="531"/>
      <c r="AT5" s="531"/>
      <c r="AU5" s="531"/>
      <c r="AV5" s="531"/>
      <c r="AW5" s="531"/>
      <c r="AX5" s="531"/>
      <c r="AY5" s="531"/>
      <c r="AZ5" s="531"/>
      <c r="BA5" s="531"/>
      <c r="BB5" s="532"/>
    </row>
    <row r="6" spans="2:55" s="535" customFormat="1" ht="16.5" thickBot="1" x14ac:dyDescent="0.3">
      <c r="B6" s="533"/>
      <c r="C6" s="3995" t="s">
        <v>3643</v>
      </c>
      <c r="D6" s="3996"/>
      <c r="E6" s="3996"/>
      <c r="F6" s="3996"/>
      <c r="G6" s="3996"/>
      <c r="H6" s="3996"/>
      <c r="I6" s="3996"/>
      <c r="J6" s="3996"/>
      <c r="K6" s="3996"/>
      <c r="L6" s="3996"/>
      <c r="M6" s="3996"/>
      <c r="N6" s="3996"/>
      <c r="O6" s="3996"/>
      <c r="P6" s="3996"/>
      <c r="Q6" s="3996"/>
      <c r="R6" s="3996"/>
      <c r="S6" s="3996"/>
      <c r="T6" s="3996"/>
      <c r="U6" s="3996"/>
      <c r="V6" s="3996"/>
      <c r="W6" s="3996"/>
      <c r="X6" s="3996"/>
      <c r="Y6" s="3996"/>
      <c r="Z6" s="3996"/>
      <c r="AA6" s="3996"/>
      <c r="AB6" s="3996"/>
      <c r="AC6" s="3996"/>
      <c r="AD6" s="3996"/>
      <c r="AE6" s="3996"/>
      <c r="AF6" s="3996"/>
      <c r="AG6" s="3996"/>
      <c r="AH6" s="3996"/>
      <c r="AI6" s="3996"/>
      <c r="AJ6" s="3996"/>
      <c r="AK6" s="3996"/>
      <c r="AL6" s="3996"/>
      <c r="AM6" s="3996"/>
      <c r="AN6" s="3996"/>
      <c r="AO6" s="3996"/>
      <c r="AP6" s="3996"/>
      <c r="AQ6" s="3996"/>
      <c r="AR6" s="3996"/>
      <c r="AS6" s="3996"/>
      <c r="AT6" s="3996"/>
      <c r="AU6" s="3996"/>
      <c r="AV6" s="3996"/>
      <c r="AW6" s="3996"/>
      <c r="AX6" s="3996"/>
      <c r="AY6" s="3996"/>
      <c r="AZ6" s="3996"/>
      <c r="BA6" s="3997"/>
      <c r="BB6" s="534"/>
    </row>
    <row r="7" spans="2:55" s="535" customFormat="1" ht="14.25" thickBot="1" x14ac:dyDescent="0.3">
      <c r="B7" s="533"/>
      <c r="C7" s="536"/>
      <c r="D7" s="537"/>
      <c r="E7" s="538"/>
      <c r="F7" s="538"/>
      <c r="G7" s="536"/>
      <c r="H7" s="536"/>
      <c r="I7" s="536"/>
      <c r="J7" s="536"/>
      <c r="K7" s="538"/>
      <c r="L7" s="538"/>
      <c r="M7" s="537"/>
      <c r="N7" s="539"/>
      <c r="O7" s="539"/>
      <c r="P7" s="539"/>
      <c r="Q7" s="537"/>
      <c r="R7" s="537"/>
      <c r="S7" s="537"/>
      <c r="T7" s="537"/>
      <c r="U7" s="537"/>
      <c r="V7" s="537"/>
      <c r="W7" s="537"/>
      <c r="X7" s="537"/>
      <c r="Y7" s="537"/>
      <c r="Z7" s="537"/>
      <c r="AA7" s="537"/>
      <c r="AB7" s="537"/>
      <c r="AC7" s="537"/>
      <c r="AD7" s="537"/>
      <c r="AE7" s="537"/>
      <c r="AF7" s="537"/>
      <c r="AG7" s="537"/>
      <c r="AH7" s="537"/>
      <c r="AI7" s="537"/>
      <c r="AJ7" s="537"/>
      <c r="AK7" s="537"/>
      <c r="AL7" s="537"/>
      <c r="AM7" s="537"/>
      <c r="AN7" s="537"/>
      <c r="AO7" s="540"/>
      <c r="AP7" s="537"/>
      <c r="AQ7" s="537"/>
      <c r="AR7" s="537"/>
      <c r="AS7" s="537"/>
      <c r="AT7" s="537"/>
      <c r="AU7" s="537"/>
      <c r="AV7" s="537"/>
      <c r="AW7" s="537"/>
      <c r="AX7" s="537"/>
      <c r="AY7" s="537"/>
      <c r="AZ7" s="537"/>
      <c r="BA7" s="537"/>
      <c r="BB7" s="534"/>
    </row>
    <row r="8" spans="2:55" ht="14.25" thickBot="1" x14ac:dyDescent="0.3">
      <c r="B8" s="527"/>
      <c r="C8" s="3998" t="s">
        <v>1506</v>
      </c>
      <c r="D8" s="4000" t="s">
        <v>1507</v>
      </c>
      <c r="E8" s="4000" t="s">
        <v>1359</v>
      </c>
      <c r="F8" s="4002" t="s">
        <v>3611</v>
      </c>
      <c r="G8" s="4002" t="s">
        <v>3612</v>
      </c>
      <c r="H8" s="4004" t="s">
        <v>1508</v>
      </c>
      <c r="I8" s="4000" t="s">
        <v>1509</v>
      </c>
      <c r="J8" s="4000" t="s">
        <v>1510</v>
      </c>
      <c r="K8" s="4002" t="s">
        <v>1511</v>
      </c>
      <c r="L8" s="4002" t="s">
        <v>1512</v>
      </c>
      <c r="M8" s="4006" t="s">
        <v>0</v>
      </c>
      <c r="N8" s="4008" t="s">
        <v>1513</v>
      </c>
      <c r="O8" s="4008"/>
      <c r="P8" s="4008"/>
      <c r="Q8" s="4008"/>
      <c r="R8" s="4008"/>
      <c r="S8" s="4008"/>
      <c r="T8" s="4008"/>
      <c r="U8" s="4008"/>
      <c r="V8" s="4008"/>
      <c r="W8" s="4008"/>
      <c r="X8" s="4008"/>
      <c r="Y8" s="4008"/>
      <c r="Z8" s="4008"/>
      <c r="AA8" s="4008"/>
      <c r="AB8" s="4008"/>
      <c r="AC8" s="4008"/>
      <c r="AD8" s="4008"/>
      <c r="AE8" s="4008"/>
      <c r="AF8" s="4008"/>
      <c r="AG8" s="4008"/>
      <c r="AH8" s="4008"/>
      <c r="AI8" s="4008"/>
      <c r="AJ8" s="4008"/>
      <c r="AK8" s="4008"/>
      <c r="AL8" s="4008"/>
      <c r="AM8" s="4008"/>
      <c r="AN8" s="4008"/>
      <c r="AO8" s="4008"/>
      <c r="AP8" s="4008"/>
      <c r="AQ8" s="4008"/>
      <c r="AR8" s="4008"/>
      <c r="AS8" s="4008"/>
      <c r="AT8" s="4008"/>
      <c r="AU8" s="4006" t="s">
        <v>1514</v>
      </c>
      <c r="AV8" s="4006" t="s">
        <v>1515</v>
      </c>
      <c r="AW8" s="4009" t="s">
        <v>1516</v>
      </c>
      <c r="AX8" s="4009"/>
      <c r="AY8" s="4009"/>
      <c r="AZ8" s="4009"/>
      <c r="BA8" s="4010"/>
      <c r="BB8" s="532"/>
    </row>
    <row r="9" spans="2:55" ht="42" customHeight="1" thickBot="1" x14ac:dyDescent="0.3">
      <c r="B9" s="527"/>
      <c r="C9" s="3999"/>
      <c r="D9" s="4001"/>
      <c r="E9" s="4001"/>
      <c r="F9" s="4003"/>
      <c r="G9" s="4003"/>
      <c r="H9" s="4005"/>
      <c r="I9" s="4001"/>
      <c r="J9" s="4001"/>
      <c r="K9" s="4003"/>
      <c r="L9" s="4003"/>
      <c r="M9" s="4007"/>
      <c r="N9" s="541">
        <v>0</v>
      </c>
      <c r="O9" s="541">
        <v>1</v>
      </c>
      <c r="P9" s="541" t="s">
        <v>1517</v>
      </c>
      <c r="Q9" s="541" t="s">
        <v>1518</v>
      </c>
      <c r="R9" s="541" t="s">
        <v>1519</v>
      </c>
      <c r="S9" s="541" t="s">
        <v>1520</v>
      </c>
      <c r="T9" s="541" t="s">
        <v>1521</v>
      </c>
      <c r="U9" s="541" t="s">
        <v>1522</v>
      </c>
      <c r="V9" s="541" t="s">
        <v>1523</v>
      </c>
      <c r="W9" s="541" t="s">
        <v>1524</v>
      </c>
      <c r="X9" s="541" t="s">
        <v>1525</v>
      </c>
      <c r="Y9" s="541" t="s">
        <v>1526</v>
      </c>
      <c r="Z9" s="541" t="s">
        <v>1527</v>
      </c>
      <c r="AA9" s="541" t="s">
        <v>1528</v>
      </c>
      <c r="AB9" s="541" t="s">
        <v>1529</v>
      </c>
      <c r="AC9" s="541" t="s">
        <v>1530</v>
      </c>
      <c r="AD9" s="541" t="s">
        <v>1531</v>
      </c>
      <c r="AE9" s="541" t="s">
        <v>1532</v>
      </c>
      <c r="AF9" s="541" t="s">
        <v>1533</v>
      </c>
      <c r="AG9" s="541" t="s">
        <v>1534</v>
      </c>
      <c r="AH9" s="541" t="s">
        <v>1535</v>
      </c>
      <c r="AI9" s="541" t="s">
        <v>1536</v>
      </c>
      <c r="AJ9" s="541" t="s">
        <v>1537</v>
      </c>
      <c r="AK9" s="541" t="s">
        <v>1538</v>
      </c>
      <c r="AL9" s="541" t="s">
        <v>1539</v>
      </c>
      <c r="AM9" s="541" t="s">
        <v>1540</v>
      </c>
      <c r="AN9" s="541" t="s">
        <v>1541</v>
      </c>
      <c r="AO9" s="541" t="s">
        <v>1542</v>
      </c>
      <c r="AP9" s="541" t="s">
        <v>1543</v>
      </c>
      <c r="AQ9" s="541" t="s">
        <v>1544</v>
      </c>
      <c r="AR9" s="541" t="s">
        <v>1545</v>
      </c>
      <c r="AS9" s="541" t="s">
        <v>1546</v>
      </c>
      <c r="AT9" s="541" t="s">
        <v>1547</v>
      </c>
      <c r="AU9" s="4007"/>
      <c r="AV9" s="4007"/>
      <c r="AW9" s="542" t="s">
        <v>1548</v>
      </c>
      <c r="AX9" s="543" t="s">
        <v>1549</v>
      </c>
      <c r="AY9" s="543" t="s">
        <v>1550</v>
      </c>
      <c r="AZ9" s="543" t="s">
        <v>1551</v>
      </c>
      <c r="BA9" s="544" t="s">
        <v>1552</v>
      </c>
      <c r="BB9" s="532"/>
    </row>
    <row r="10" spans="2:55" s="555" customFormat="1" x14ac:dyDescent="0.25">
      <c r="B10" s="545">
        <v>1</v>
      </c>
      <c r="C10" s="546">
        <v>2690</v>
      </c>
      <c r="D10" s="547" t="s">
        <v>5995</v>
      </c>
      <c r="E10" s="547" t="s">
        <v>5997</v>
      </c>
      <c r="F10" s="548" t="s">
        <v>6002</v>
      </c>
      <c r="G10" s="548" t="s">
        <v>5998</v>
      </c>
      <c r="H10" s="549" t="s">
        <v>6157</v>
      </c>
      <c r="I10" s="519"/>
      <c r="J10" s="548" t="s">
        <v>1377</v>
      </c>
      <c r="K10" s="548" t="s">
        <v>1355</v>
      </c>
      <c r="L10" s="550">
        <v>2</v>
      </c>
      <c r="M10" s="551">
        <f>SUM(N10:AT10)</f>
        <v>872.7517599110771</v>
      </c>
      <c r="N10" s="550">
        <v>8</v>
      </c>
      <c r="O10" s="550">
        <v>14.687291589477576</v>
      </c>
      <c r="P10" s="550">
        <v>8.6924786958132572</v>
      </c>
      <c r="Q10" s="550">
        <v>9.8914412745461213</v>
      </c>
      <c r="R10" s="550">
        <v>10.790663208595769</v>
      </c>
      <c r="S10" s="550">
        <v>11.390144497962197</v>
      </c>
      <c r="T10" s="550">
        <v>21.881067061874745</v>
      </c>
      <c r="U10" s="550">
        <v>21.58132641719153</v>
      </c>
      <c r="V10" s="550">
        <v>21.881067061874745</v>
      </c>
      <c r="W10" s="550">
        <v>21.281585772508318</v>
      </c>
      <c r="X10" s="550">
        <v>21.58132641719153</v>
      </c>
      <c r="Y10" s="550">
        <v>21.881067061874745</v>
      </c>
      <c r="Z10" s="550">
        <v>21.281585772508318</v>
      </c>
      <c r="AA10" s="550">
        <v>19.782882549092239</v>
      </c>
      <c r="AB10" s="550">
        <v>17.085216746943296</v>
      </c>
      <c r="AC10" s="550">
        <v>15.586513523527215</v>
      </c>
      <c r="AD10" s="550">
        <v>13.788069655427922</v>
      </c>
      <c r="AE10" s="550">
        <v>12.289366432011844</v>
      </c>
      <c r="AF10" s="550">
        <v>11.390144497962195</v>
      </c>
      <c r="AG10" s="550">
        <v>11.390144497962195</v>
      </c>
      <c r="AH10" s="550">
        <v>54.552797332345243</v>
      </c>
      <c r="AI10" s="550">
        <v>75.234901815487135</v>
      </c>
      <c r="AJ10" s="550">
        <v>98.31493145609474</v>
      </c>
      <c r="AK10" s="550">
        <v>61.446832160059209</v>
      </c>
      <c r="AL10" s="550">
        <v>52.154872174879522</v>
      </c>
      <c r="AM10" s="550">
        <v>56.950722489810964</v>
      </c>
      <c r="AN10" s="550">
        <v>39.565765098184464</v>
      </c>
      <c r="AO10" s="550">
        <v>27.576139310855837</v>
      </c>
      <c r="AP10" s="550">
        <v>28.475361244905482</v>
      </c>
      <c r="AQ10" s="550">
        <v>20.382363838458666</v>
      </c>
      <c r="AR10" s="550">
        <v>17.085216746943296</v>
      </c>
      <c r="AS10" s="550">
        <v>13.188588366061492</v>
      </c>
      <c r="AT10" s="550">
        <v>11.689885142645412</v>
      </c>
      <c r="AU10" s="550">
        <v>28</v>
      </c>
      <c r="AV10" s="550">
        <v>2</v>
      </c>
      <c r="AW10" s="550">
        <v>478</v>
      </c>
      <c r="AX10" s="550">
        <v>45</v>
      </c>
      <c r="AY10" s="550">
        <v>33</v>
      </c>
      <c r="AZ10" s="550">
        <v>202</v>
      </c>
      <c r="BA10" s="552">
        <v>38</v>
      </c>
      <c r="BB10" s="553"/>
      <c r="BC10" s="554"/>
    </row>
    <row r="11" spans="2:55" x14ac:dyDescent="0.25">
      <c r="B11" s="527">
        <v>2</v>
      </c>
      <c r="C11" s="556"/>
      <c r="D11" s="557"/>
      <c r="E11" s="557"/>
      <c r="F11" s="558"/>
      <c r="G11" s="558"/>
      <c r="H11" s="559"/>
      <c r="I11" s="520"/>
      <c r="J11" s="558"/>
      <c r="K11" s="558"/>
      <c r="L11" s="560" t="s">
        <v>6073</v>
      </c>
      <c r="M11" s="561">
        <f>SUM(N11:AT11)</f>
        <v>948.37939977769486</v>
      </c>
      <c r="N11" s="560">
        <v>25.178214153390144</v>
      </c>
      <c r="O11" s="560">
        <v>23.679510929974068</v>
      </c>
      <c r="P11" s="560">
        <v>23.379770285290849</v>
      </c>
      <c r="Q11" s="560">
        <v>22.780288995924415</v>
      </c>
      <c r="R11" s="560">
        <v>22.180807706557982</v>
      </c>
      <c r="S11" s="560">
        <v>21.881067061874766</v>
      </c>
      <c r="T11" s="560">
        <v>21.881067061874766</v>
      </c>
      <c r="U11" s="560">
        <v>21.581326417191548</v>
      </c>
      <c r="V11" s="560">
        <v>21.881067061874763</v>
      </c>
      <c r="W11" s="560">
        <v>21.281585772508329</v>
      </c>
      <c r="X11" s="560">
        <v>21.581326417191544</v>
      </c>
      <c r="Y11" s="560">
        <v>21.881067061874763</v>
      </c>
      <c r="Z11" s="560">
        <v>21.281585772508329</v>
      </c>
      <c r="AA11" s="560">
        <v>19.782882549092246</v>
      </c>
      <c r="AB11" s="560">
        <v>17.085216746943306</v>
      </c>
      <c r="AC11" s="560">
        <v>15.586513523527229</v>
      </c>
      <c r="AD11" s="560">
        <v>13.788069655427934</v>
      </c>
      <c r="AE11" s="560">
        <v>12.289366432011855</v>
      </c>
      <c r="AF11" s="560">
        <v>11.390144497962206</v>
      </c>
      <c r="AG11" s="560">
        <v>11.390144497962206</v>
      </c>
      <c r="AH11" s="560">
        <v>54.5527973323453</v>
      </c>
      <c r="AI11" s="560">
        <v>75.234901815487191</v>
      </c>
      <c r="AJ11" s="560">
        <v>98.31493145609484</v>
      </c>
      <c r="AK11" s="560">
        <v>61.446832160059259</v>
      </c>
      <c r="AL11" s="560">
        <v>52.154872174879571</v>
      </c>
      <c r="AM11" s="560">
        <v>56.950722489811014</v>
      </c>
      <c r="AN11" s="560">
        <v>39.565765098184492</v>
      </c>
      <c r="AO11" s="560">
        <v>27.576139310855861</v>
      </c>
      <c r="AP11" s="560">
        <v>28.475361244905507</v>
      </c>
      <c r="AQ11" s="560">
        <v>20.382363838458676</v>
      </c>
      <c r="AR11" s="560">
        <v>17.085216746943303</v>
      </c>
      <c r="AS11" s="560">
        <v>13.1885883660615</v>
      </c>
      <c r="AT11" s="560">
        <v>11.689885142645421</v>
      </c>
      <c r="AU11" s="560">
        <v>28</v>
      </c>
      <c r="AV11" s="560">
        <v>2</v>
      </c>
      <c r="AW11" s="560">
        <v>478</v>
      </c>
      <c r="AX11" s="560">
        <v>45</v>
      </c>
      <c r="AY11" s="560">
        <v>33</v>
      </c>
      <c r="AZ11" s="560">
        <v>202</v>
      </c>
      <c r="BA11" s="562">
        <v>38</v>
      </c>
      <c r="BB11" s="563"/>
      <c r="BC11" s="564"/>
    </row>
    <row r="12" spans="2:55" x14ac:dyDescent="0.25">
      <c r="B12" s="527">
        <v>3</v>
      </c>
      <c r="C12" s="556"/>
      <c r="D12" s="557"/>
      <c r="E12" s="557"/>
      <c r="F12" s="558"/>
      <c r="G12" s="558"/>
      <c r="H12" s="559"/>
      <c r="I12" s="520"/>
      <c r="J12" s="558"/>
      <c r="K12" s="558"/>
      <c r="L12" s="560"/>
      <c r="M12" s="561"/>
      <c r="N12" s="560"/>
      <c r="O12" s="560"/>
      <c r="P12" s="560"/>
      <c r="Q12" s="560"/>
      <c r="R12" s="560"/>
      <c r="S12" s="560"/>
      <c r="T12" s="560"/>
      <c r="U12" s="560"/>
      <c r="V12" s="560"/>
      <c r="W12" s="560"/>
      <c r="X12" s="560"/>
      <c r="Y12" s="560"/>
      <c r="Z12" s="560"/>
      <c r="AA12" s="560"/>
      <c r="AB12" s="560"/>
      <c r="AC12" s="560"/>
      <c r="AD12" s="560"/>
      <c r="AE12" s="560"/>
      <c r="AF12" s="560"/>
      <c r="AG12" s="560"/>
      <c r="AH12" s="560"/>
      <c r="AI12" s="560"/>
      <c r="AJ12" s="560"/>
      <c r="AK12" s="560"/>
      <c r="AL12" s="560"/>
      <c r="AM12" s="560"/>
      <c r="AN12" s="560"/>
      <c r="AO12" s="560"/>
      <c r="AP12" s="560"/>
      <c r="AQ12" s="560"/>
      <c r="AR12" s="560"/>
      <c r="AS12" s="560"/>
      <c r="AT12" s="560"/>
      <c r="AU12" s="560"/>
      <c r="AV12" s="560"/>
      <c r="AW12" s="560"/>
      <c r="AX12" s="560"/>
      <c r="AY12" s="560"/>
      <c r="AZ12" s="560"/>
      <c r="BA12" s="562"/>
      <c r="BB12" s="563"/>
      <c r="BC12" s="564"/>
    </row>
    <row r="13" spans="2:55" x14ac:dyDescent="0.25">
      <c r="B13" s="527">
        <v>4</v>
      </c>
      <c r="C13" s="556"/>
      <c r="D13" s="557"/>
      <c r="E13" s="557"/>
      <c r="F13" s="558"/>
      <c r="G13" s="558"/>
      <c r="H13" s="559"/>
      <c r="I13" s="520"/>
      <c r="J13" s="558"/>
      <c r="K13" s="558"/>
      <c r="L13" s="560"/>
      <c r="M13" s="561"/>
      <c r="N13" s="560"/>
      <c r="O13" s="560"/>
      <c r="P13" s="560"/>
      <c r="Q13" s="560"/>
      <c r="R13" s="560"/>
      <c r="S13" s="560"/>
      <c r="T13" s="560"/>
      <c r="U13" s="560"/>
      <c r="V13" s="560"/>
      <c r="W13" s="560"/>
      <c r="X13" s="560"/>
      <c r="Y13" s="560"/>
      <c r="Z13" s="560"/>
      <c r="AA13" s="560"/>
      <c r="AB13" s="560"/>
      <c r="AC13" s="560"/>
      <c r="AD13" s="560"/>
      <c r="AE13" s="560"/>
      <c r="AF13" s="560"/>
      <c r="AG13" s="560"/>
      <c r="AH13" s="560"/>
      <c r="AI13" s="560"/>
      <c r="AJ13" s="560"/>
      <c r="AK13" s="560"/>
      <c r="AL13" s="560"/>
      <c r="AM13" s="560"/>
      <c r="AN13" s="560"/>
      <c r="AO13" s="560"/>
      <c r="AP13" s="560"/>
      <c r="AQ13" s="560"/>
      <c r="AR13" s="560"/>
      <c r="AS13" s="560"/>
      <c r="AT13" s="560"/>
      <c r="AU13" s="560"/>
      <c r="AV13" s="560"/>
      <c r="AW13" s="560"/>
      <c r="AX13" s="560"/>
      <c r="AY13" s="560"/>
      <c r="AZ13" s="560"/>
      <c r="BA13" s="562"/>
      <c r="BB13" s="563"/>
      <c r="BC13" s="564"/>
    </row>
    <row r="14" spans="2:55" x14ac:dyDescent="0.25">
      <c r="B14" s="527">
        <v>5</v>
      </c>
      <c r="C14" s="556"/>
      <c r="D14" s="557"/>
      <c r="E14" s="557"/>
      <c r="F14" s="558"/>
      <c r="G14" s="558"/>
      <c r="H14" s="559"/>
      <c r="I14" s="520"/>
      <c r="J14" s="558"/>
      <c r="K14" s="558"/>
      <c r="L14" s="560"/>
      <c r="M14" s="561"/>
      <c r="N14" s="560"/>
      <c r="O14" s="560"/>
      <c r="P14" s="560"/>
      <c r="Q14" s="560"/>
      <c r="R14" s="560"/>
      <c r="S14" s="560"/>
      <c r="T14" s="560"/>
      <c r="U14" s="560"/>
      <c r="V14" s="560"/>
      <c r="W14" s="560"/>
      <c r="X14" s="560"/>
      <c r="Y14" s="560"/>
      <c r="Z14" s="560"/>
      <c r="AA14" s="560"/>
      <c r="AB14" s="560"/>
      <c r="AC14" s="560"/>
      <c r="AD14" s="560"/>
      <c r="AE14" s="560"/>
      <c r="AF14" s="560"/>
      <c r="AG14" s="560"/>
      <c r="AH14" s="560"/>
      <c r="AI14" s="560"/>
      <c r="AJ14" s="560"/>
      <c r="AK14" s="560"/>
      <c r="AL14" s="560"/>
      <c r="AM14" s="560"/>
      <c r="AN14" s="560"/>
      <c r="AO14" s="560"/>
      <c r="AP14" s="560"/>
      <c r="AQ14" s="560"/>
      <c r="AR14" s="560"/>
      <c r="AS14" s="560"/>
      <c r="AT14" s="560"/>
      <c r="AU14" s="560"/>
      <c r="AV14" s="560"/>
      <c r="AW14" s="560"/>
      <c r="AX14" s="560"/>
      <c r="AY14" s="560"/>
      <c r="AZ14" s="560"/>
      <c r="BA14" s="562"/>
      <c r="BB14" s="563"/>
      <c r="BC14" s="564"/>
    </row>
    <row r="15" spans="2:55" x14ac:dyDescent="0.25">
      <c r="B15" s="527">
        <v>6</v>
      </c>
      <c r="C15" s="556"/>
      <c r="D15" s="557"/>
      <c r="E15" s="557"/>
      <c r="F15" s="558"/>
      <c r="G15" s="558"/>
      <c r="H15" s="559"/>
      <c r="I15" s="520"/>
      <c r="J15" s="558"/>
      <c r="K15" s="558"/>
      <c r="L15" s="560"/>
      <c r="M15" s="561"/>
      <c r="N15" s="560"/>
      <c r="O15" s="560"/>
      <c r="P15" s="560"/>
      <c r="Q15" s="560"/>
      <c r="R15" s="560"/>
      <c r="S15" s="560"/>
      <c r="T15" s="560"/>
      <c r="U15" s="560"/>
      <c r="V15" s="560"/>
      <c r="W15" s="560"/>
      <c r="X15" s="560"/>
      <c r="Y15" s="560"/>
      <c r="Z15" s="560"/>
      <c r="AA15" s="560"/>
      <c r="AB15" s="560"/>
      <c r="AC15" s="560"/>
      <c r="AD15" s="560"/>
      <c r="AE15" s="560"/>
      <c r="AF15" s="560"/>
      <c r="AG15" s="560"/>
      <c r="AH15" s="560"/>
      <c r="AI15" s="560"/>
      <c r="AJ15" s="560"/>
      <c r="AK15" s="560"/>
      <c r="AL15" s="560"/>
      <c r="AM15" s="560"/>
      <c r="AN15" s="560"/>
      <c r="AO15" s="560"/>
      <c r="AP15" s="560"/>
      <c r="AQ15" s="560"/>
      <c r="AR15" s="560"/>
      <c r="AS15" s="560"/>
      <c r="AT15" s="560"/>
      <c r="AU15" s="560"/>
      <c r="AV15" s="560"/>
      <c r="AW15" s="560"/>
      <c r="AX15" s="560"/>
      <c r="AY15" s="560"/>
      <c r="AZ15" s="560"/>
      <c r="BA15" s="562"/>
      <c r="BB15" s="563"/>
      <c r="BC15" s="564"/>
    </row>
    <row r="16" spans="2:55" x14ac:dyDescent="0.25">
      <c r="B16" s="527">
        <v>7</v>
      </c>
      <c r="C16" s="556"/>
      <c r="D16" s="557"/>
      <c r="E16" s="557"/>
      <c r="F16" s="558"/>
      <c r="G16" s="558"/>
      <c r="H16" s="559"/>
      <c r="I16" s="520"/>
      <c r="J16" s="558"/>
      <c r="K16" s="558"/>
      <c r="L16" s="560"/>
      <c r="M16" s="561"/>
      <c r="N16" s="560"/>
      <c r="O16" s="560"/>
      <c r="P16" s="560"/>
      <c r="Q16" s="560"/>
      <c r="R16" s="560"/>
      <c r="S16" s="560"/>
      <c r="T16" s="560"/>
      <c r="U16" s="560"/>
      <c r="V16" s="560"/>
      <c r="W16" s="560"/>
      <c r="X16" s="560"/>
      <c r="Y16" s="560"/>
      <c r="Z16" s="560"/>
      <c r="AA16" s="560"/>
      <c r="AB16" s="560"/>
      <c r="AC16" s="560"/>
      <c r="AD16" s="560"/>
      <c r="AE16" s="560"/>
      <c r="AF16" s="560"/>
      <c r="AG16" s="560"/>
      <c r="AH16" s="560"/>
      <c r="AI16" s="560"/>
      <c r="AJ16" s="560"/>
      <c r="AK16" s="560"/>
      <c r="AL16" s="560"/>
      <c r="AM16" s="560"/>
      <c r="AN16" s="560"/>
      <c r="AO16" s="560"/>
      <c r="AP16" s="560"/>
      <c r="AQ16" s="560"/>
      <c r="AR16" s="560"/>
      <c r="AS16" s="560"/>
      <c r="AT16" s="560"/>
      <c r="AU16" s="560"/>
      <c r="AV16" s="560"/>
      <c r="AW16" s="560"/>
      <c r="AX16" s="560"/>
      <c r="AY16" s="560"/>
      <c r="AZ16" s="560"/>
      <c r="BA16" s="562"/>
      <c r="BB16" s="563"/>
      <c r="BC16" s="564"/>
    </row>
    <row r="17" spans="2:56" x14ac:dyDescent="0.25">
      <c r="B17" s="527">
        <v>8</v>
      </c>
      <c r="C17" s="556"/>
      <c r="D17" s="557"/>
      <c r="E17" s="557"/>
      <c r="F17" s="558"/>
      <c r="G17" s="558"/>
      <c r="H17" s="559"/>
      <c r="I17" s="520"/>
      <c r="J17" s="558"/>
      <c r="K17" s="558"/>
      <c r="L17" s="560"/>
      <c r="M17" s="561"/>
      <c r="N17" s="560"/>
      <c r="O17" s="560"/>
      <c r="P17" s="560"/>
      <c r="Q17" s="560"/>
      <c r="R17" s="560"/>
      <c r="S17" s="560"/>
      <c r="T17" s="560"/>
      <c r="U17" s="560"/>
      <c r="V17" s="560"/>
      <c r="W17" s="560"/>
      <c r="X17" s="560"/>
      <c r="Y17" s="560"/>
      <c r="Z17" s="560"/>
      <c r="AA17" s="560"/>
      <c r="AB17" s="560"/>
      <c r="AC17" s="560"/>
      <c r="AD17" s="560"/>
      <c r="AE17" s="560"/>
      <c r="AF17" s="560"/>
      <c r="AG17" s="560"/>
      <c r="AH17" s="560"/>
      <c r="AI17" s="560"/>
      <c r="AJ17" s="560"/>
      <c r="AK17" s="560"/>
      <c r="AL17" s="560"/>
      <c r="AM17" s="560"/>
      <c r="AN17" s="560"/>
      <c r="AO17" s="560"/>
      <c r="AP17" s="560"/>
      <c r="AQ17" s="560"/>
      <c r="AR17" s="560"/>
      <c r="AS17" s="560"/>
      <c r="AT17" s="560"/>
      <c r="AU17" s="560"/>
      <c r="AV17" s="560"/>
      <c r="AW17" s="560"/>
      <c r="AX17" s="560"/>
      <c r="AY17" s="560"/>
      <c r="AZ17" s="560"/>
      <c r="BA17" s="562"/>
      <c r="BB17" s="563"/>
      <c r="BC17" s="564"/>
    </row>
    <row r="18" spans="2:56" x14ac:dyDescent="0.25">
      <c r="B18" s="527">
        <v>9</v>
      </c>
      <c r="C18" s="556"/>
      <c r="D18" s="557"/>
      <c r="E18" s="557"/>
      <c r="F18" s="558"/>
      <c r="G18" s="558"/>
      <c r="H18" s="559"/>
      <c r="I18" s="520"/>
      <c r="J18" s="558"/>
      <c r="K18" s="558"/>
      <c r="L18" s="560"/>
      <c r="M18" s="561"/>
      <c r="N18" s="560"/>
      <c r="O18" s="560"/>
      <c r="P18" s="560"/>
      <c r="Q18" s="560"/>
      <c r="R18" s="560"/>
      <c r="S18" s="560"/>
      <c r="T18" s="560"/>
      <c r="U18" s="560"/>
      <c r="V18" s="560"/>
      <c r="W18" s="560"/>
      <c r="X18" s="560"/>
      <c r="Y18" s="560"/>
      <c r="Z18" s="560"/>
      <c r="AA18" s="560"/>
      <c r="AB18" s="560"/>
      <c r="AC18" s="560"/>
      <c r="AD18" s="560"/>
      <c r="AE18" s="560"/>
      <c r="AF18" s="560"/>
      <c r="AG18" s="560"/>
      <c r="AH18" s="560"/>
      <c r="AI18" s="560"/>
      <c r="AJ18" s="560"/>
      <c r="AK18" s="560"/>
      <c r="AL18" s="560"/>
      <c r="AM18" s="560"/>
      <c r="AN18" s="560"/>
      <c r="AO18" s="560"/>
      <c r="AP18" s="560"/>
      <c r="AQ18" s="560"/>
      <c r="AR18" s="560"/>
      <c r="AS18" s="560"/>
      <c r="AT18" s="560"/>
      <c r="AU18" s="560"/>
      <c r="AV18" s="560"/>
      <c r="AW18" s="560"/>
      <c r="AX18" s="560"/>
      <c r="AY18" s="560"/>
      <c r="AZ18" s="560"/>
      <c r="BA18" s="562"/>
      <c r="BB18" s="563"/>
      <c r="BC18" s="564"/>
    </row>
    <row r="19" spans="2:56" x14ac:dyDescent="0.25">
      <c r="B19" s="527">
        <v>10</v>
      </c>
      <c r="C19" s="556"/>
      <c r="D19" s="557"/>
      <c r="E19" s="557"/>
      <c r="F19" s="558"/>
      <c r="G19" s="558"/>
      <c r="H19" s="559"/>
      <c r="I19" s="520"/>
      <c r="J19" s="558"/>
      <c r="K19" s="558"/>
      <c r="L19" s="560"/>
      <c r="M19" s="561"/>
      <c r="N19" s="560"/>
      <c r="O19" s="560"/>
      <c r="P19" s="560"/>
      <c r="Q19" s="560"/>
      <c r="R19" s="560"/>
      <c r="S19" s="560"/>
      <c r="T19" s="560"/>
      <c r="U19" s="560"/>
      <c r="V19" s="560"/>
      <c r="W19" s="560"/>
      <c r="X19" s="560"/>
      <c r="Y19" s="560"/>
      <c r="Z19" s="560"/>
      <c r="AA19" s="560"/>
      <c r="AB19" s="560"/>
      <c r="AC19" s="560"/>
      <c r="AD19" s="560"/>
      <c r="AE19" s="560"/>
      <c r="AF19" s="560"/>
      <c r="AG19" s="560"/>
      <c r="AH19" s="560"/>
      <c r="AI19" s="560"/>
      <c r="AJ19" s="560"/>
      <c r="AK19" s="560"/>
      <c r="AL19" s="560"/>
      <c r="AM19" s="560"/>
      <c r="AN19" s="560"/>
      <c r="AO19" s="560"/>
      <c r="AP19" s="560"/>
      <c r="AQ19" s="560"/>
      <c r="AR19" s="560"/>
      <c r="AS19" s="560"/>
      <c r="AT19" s="560"/>
      <c r="AU19" s="560"/>
      <c r="AV19" s="560"/>
      <c r="AW19" s="560"/>
      <c r="AX19" s="560"/>
      <c r="AY19" s="560"/>
      <c r="AZ19" s="560"/>
      <c r="BA19" s="562"/>
      <c r="BB19" s="563"/>
      <c r="BC19" s="564"/>
    </row>
    <row r="20" spans="2:56" x14ac:dyDescent="0.25">
      <c r="B20" s="527">
        <v>11</v>
      </c>
      <c r="C20" s="1547"/>
      <c r="D20" s="1548"/>
      <c r="E20" s="1548"/>
      <c r="F20" s="1549"/>
      <c r="G20" s="1549"/>
      <c r="H20" s="1550"/>
      <c r="I20" s="520"/>
      <c r="J20" s="558"/>
      <c r="K20" s="558"/>
      <c r="L20" s="560"/>
      <c r="M20" s="561"/>
      <c r="N20" s="560"/>
      <c r="O20" s="560"/>
      <c r="P20" s="560"/>
      <c r="Q20" s="560"/>
      <c r="R20" s="560"/>
      <c r="S20" s="560"/>
      <c r="T20" s="560"/>
      <c r="U20" s="560"/>
      <c r="V20" s="560"/>
      <c r="W20" s="560"/>
      <c r="X20" s="560"/>
      <c r="Y20" s="560"/>
      <c r="Z20" s="560"/>
      <c r="AA20" s="560"/>
      <c r="AB20" s="560"/>
      <c r="AC20" s="560"/>
      <c r="AD20" s="560"/>
      <c r="AE20" s="560"/>
      <c r="AF20" s="560"/>
      <c r="AG20" s="560"/>
      <c r="AH20" s="560"/>
      <c r="AI20" s="560"/>
      <c r="AJ20" s="560"/>
      <c r="AK20" s="560"/>
      <c r="AL20" s="560"/>
      <c r="AM20" s="560"/>
      <c r="AN20" s="560"/>
      <c r="AO20" s="560"/>
      <c r="AP20" s="560"/>
      <c r="AQ20" s="560"/>
      <c r="AR20" s="560"/>
      <c r="AS20" s="560"/>
      <c r="AT20" s="560"/>
      <c r="AU20" s="560"/>
      <c r="AV20" s="560"/>
      <c r="AW20" s="560"/>
      <c r="AX20" s="560"/>
      <c r="AY20" s="560"/>
      <c r="AZ20" s="560"/>
      <c r="BA20" s="562"/>
      <c r="BB20" s="563"/>
      <c r="BC20" s="564"/>
    </row>
    <row r="21" spans="2:56" x14ac:dyDescent="0.25">
      <c r="B21" s="527">
        <v>12</v>
      </c>
      <c r="C21" s="1547"/>
      <c r="D21" s="1548"/>
      <c r="E21" s="1548"/>
      <c r="F21" s="1549"/>
      <c r="G21" s="1549"/>
      <c r="H21" s="1550"/>
      <c r="I21" s="520"/>
      <c r="J21" s="558"/>
      <c r="K21" s="558"/>
      <c r="L21" s="560"/>
      <c r="M21" s="561"/>
      <c r="N21" s="560"/>
      <c r="O21" s="560"/>
      <c r="P21" s="560"/>
      <c r="Q21" s="560"/>
      <c r="R21" s="560"/>
      <c r="S21" s="560"/>
      <c r="T21" s="560"/>
      <c r="U21" s="560"/>
      <c r="V21" s="560"/>
      <c r="W21" s="560"/>
      <c r="X21" s="560"/>
      <c r="Y21" s="560"/>
      <c r="Z21" s="560"/>
      <c r="AA21" s="560"/>
      <c r="AB21" s="560"/>
      <c r="AC21" s="560"/>
      <c r="AD21" s="560"/>
      <c r="AE21" s="560"/>
      <c r="AF21" s="560"/>
      <c r="AG21" s="560"/>
      <c r="AH21" s="560"/>
      <c r="AI21" s="560"/>
      <c r="AJ21" s="560"/>
      <c r="AK21" s="560"/>
      <c r="AL21" s="560"/>
      <c r="AM21" s="560"/>
      <c r="AN21" s="560"/>
      <c r="AO21" s="560"/>
      <c r="AP21" s="560"/>
      <c r="AQ21" s="560"/>
      <c r="AR21" s="560"/>
      <c r="AS21" s="560"/>
      <c r="AT21" s="560"/>
      <c r="AU21" s="560"/>
      <c r="AV21" s="560"/>
      <c r="AW21" s="560"/>
      <c r="AX21" s="560"/>
      <c r="AY21" s="560"/>
      <c r="AZ21" s="560"/>
      <c r="BA21" s="562"/>
      <c r="BB21" s="563"/>
      <c r="BC21" s="564"/>
    </row>
    <row r="22" spans="2:56" x14ac:dyDescent="0.25">
      <c r="B22" s="527">
        <v>13</v>
      </c>
      <c r="C22" s="1547"/>
      <c r="D22" s="1548"/>
      <c r="E22" s="1548"/>
      <c r="F22" s="1549"/>
      <c r="G22" s="1549"/>
      <c r="H22" s="1550"/>
      <c r="I22" s="520"/>
      <c r="J22" s="558"/>
      <c r="K22" s="558"/>
      <c r="L22" s="560"/>
      <c r="M22" s="561"/>
      <c r="N22" s="560"/>
      <c r="O22" s="560"/>
      <c r="P22" s="560"/>
      <c r="Q22" s="560"/>
      <c r="R22" s="560"/>
      <c r="S22" s="560"/>
      <c r="T22" s="560"/>
      <c r="U22" s="560"/>
      <c r="V22" s="560"/>
      <c r="W22" s="560"/>
      <c r="X22" s="560"/>
      <c r="Y22" s="560"/>
      <c r="Z22" s="560"/>
      <c r="AA22" s="560"/>
      <c r="AB22" s="560"/>
      <c r="AC22" s="560"/>
      <c r="AD22" s="560"/>
      <c r="AE22" s="560"/>
      <c r="AF22" s="560"/>
      <c r="AG22" s="560"/>
      <c r="AH22" s="560"/>
      <c r="AI22" s="560"/>
      <c r="AJ22" s="560"/>
      <c r="AK22" s="560"/>
      <c r="AL22" s="560"/>
      <c r="AM22" s="560"/>
      <c r="AN22" s="560"/>
      <c r="AO22" s="560"/>
      <c r="AP22" s="560"/>
      <c r="AQ22" s="560"/>
      <c r="AR22" s="560"/>
      <c r="AS22" s="560"/>
      <c r="AT22" s="560"/>
      <c r="AU22" s="560"/>
      <c r="AV22" s="560"/>
      <c r="AW22" s="560"/>
      <c r="AX22" s="560"/>
      <c r="AY22" s="560"/>
      <c r="AZ22" s="560"/>
      <c r="BA22" s="562"/>
      <c r="BB22" s="565"/>
    </row>
    <row r="23" spans="2:56" x14ac:dyDescent="0.25">
      <c r="B23" s="527">
        <v>14</v>
      </c>
      <c r="C23" s="1547"/>
      <c r="D23" s="1548"/>
      <c r="E23" s="1548"/>
      <c r="F23" s="1549"/>
      <c r="G23" s="1549"/>
      <c r="H23" s="1550"/>
      <c r="I23" s="520"/>
      <c r="J23" s="558"/>
      <c r="K23" s="558"/>
      <c r="L23" s="560"/>
      <c r="M23" s="561"/>
      <c r="N23" s="560"/>
      <c r="O23" s="560"/>
      <c r="P23" s="560"/>
      <c r="Q23" s="560"/>
      <c r="R23" s="560"/>
      <c r="S23" s="560"/>
      <c r="T23" s="560"/>
      <c r="U23" s="560"/>
      <c r="V23" s="560"/>
      <c r="W23" s="560"/>
      <c r="X23" s="560"/>
      <c r="Y23" s="560"/>
      <c r="Z23" s="560"/>
      <c r="AA23" s="560"/>
      <c r="AB23" s="560"/>
      <c r="AC23" s="560"/>
      <c r="AD23" s="560"/>
      <c r="AE23" s="560"/>
      <c r="AF23" s="560"/>
      <c r="AG23" s="560"/>
      <c r="AH23" s="560"/>
      <c r="AI23" s="560"/>
      <c r="AJ23" s="560"/>
      <c r="AK23" s="560"/>
      <c r="AL23" s="560"/>
      <c r="AM23" s="560"/>
      <c r="AN23" s="560"/>
      <c r="AO23" s="560"/>
      <c r="AP23" s="560"/>
      <c r="AQ23" s="560"/>
      <c r="AR23" s="560"/>
      <c r="AS23" s="560"/>
      <c r="AT23" s="560"/>
      <c r="AU23" s="560"/>
      <c r="AV23" s="560"/>
      <c r="AW23" s="560"/>
      <c r="AX23" s="560"/>
      <c r="AY23" s="560"/>
      <c r="AZ23" s="560"/>
      <c r="BA23" s="562"/>
      <c r="BB23" s="532"/>
    </row>
    <row r="24" spans="2:56" x14ac:dyDescent="0.25">
      <c r="B24" s="527">
        <v>15</v>
      </c>
      <c r="C24" s="1547"/>
      <c r="D24" s="1548"/>
      <c r="E24" s="1548"/>
      <c r="F24" s="1549"/>
      <c r="G24" s="1549"/>
      <c r="H24" s="1550"/>
      <c r="I24" s="520"/>
      <c r="J24" s="558"/>
      <c r="K24" s="558"/>
      <c r="L24" s="560"/>
      <c r="M24" s="561"/>
      <c r="N24" s="560"/>
      <c r="O24" s="560"/>
      <c r="P24" s="560"/>
      <c r="Q24" s="560"/>
      <c r="R24" s="560"/>
      <c r="S24" s="560"/>
      <c r="T24" s="560"/>
      <c r="U24" s="560"/>
      <c r="V24" s="560"/>
      <c r="W24" s="560"/>
      <c r="X24" s="560"/>
      <c r="Y24" s="560"/>
      <c r="Z24" s="560"/>
      <c r="AA24" s="560"/>
      <c r="AB24" s="560"/>
      <c r="AC24" s="560"/>
      <c r="AD24" s="560"/>
      <c r="AE24" s="560"/>
      <c r="AF24" s="560"/>
      <c r="AG24" s="560"/>
      <c r="AH24" s="560"/>
      <c r="AI24" s="560"/>
      <c r="AJ24" s="560"/>
      <c r="AK24" s="560"/>
      <c r="AL24" s="560"/>
      <c r="AM24" s="560"/>
      <c r="AN24" s="560"/>
      <c r="AO24" s="560"/>
      <c r="AP24" s="560"/>
      <c r="AQ24" s="560"/>
      <c r="AR24" s="560"/>
      <c r="AS24" s="560"/>
      <c r="AT24" s="560"/>
      <c r="AU24" s="560"/>
      <c r="AV24" s="560"/>
      <c r="AW24" s="560"/>
      <c r="AX24" s="560"/>
      <c r="AY24" s="560"/>
      <c r="AZ24" s="560"/>
      <c r="BA24" s="562"/>
      <c r="BB24" s="532"/>
    </row>
    <row r="25" spans="2:56" x14ac:dyDescent="0.25">
      <c r="B25" s="527">
        <v>16</v>
      </c>
      <c r="C25" s="1547"/>
      <c r="D25" s="1548"/>
      <c r="E25" s="1548"/>
      <c r="F25" s="1549"/>
      <c r="G25" s="1549"/>
      <c r="H25" s="1550"/>
      <c r="I25" s="520"/>
      <c r="J25" s="558"/>
      <c r="K25" s="558"/>
      <c r="L25" s="560"/>
      <c r="M25" s="561"/>
      <c r="N25" s="560"/>
      <c r="O25" s="560"/>
      <c r="P25" s="560"/>
      <c r="Q25" s="560"/>
      <c r="R25" s="560"/>
      <c r="S25" s="560"/>
      <c r="T25" s="560"/>
      <c r="U25" s="560"/>
      <c r="V25" s="560"/>
      <c r="W25" s="560"/>
      <c r="X25" s="560"/>
      <c r="Y25" s="560"/>
      <c r="Z25" s="560"/>
      <c r="AA25" s="560"/>
      <c r="AB25" s="560"/>
      <c r="AC25" s="560"/>
      <c r="AD25" s="560"/>
      <c r="AE25" s="560"/>
      <c r="AF25" s="560"/>
      <c r="AG25" s="560"/>
      <c r="AH25" s="560"/>
      <c r="AI25" s="560"/>
      <c r="AJ25" s="560"/>
      <c r="AK25" s="560"/>
      <c r="AL25" s="560"/>
      <c r="AM25" s="560"/>
      <c r="AN25" s="560"/>
      <c r="AO25" s="560"/>
      <c r="AP25" s="560"/>
      <c r="AQ25" s="560"/>
      <c r="AR25" s="560"/>
      <c r="AS25" s="560"/>
      <c r="AT25" s="560"/>
      <c r="AU25" s="560"/>
      <c r="AV25" s="560"/>
      <c r="AW25" s="560"/>
      <c r="AX25" s="560"/>
      <c r="AY25" s="560"/>
      <c r="AZ25" s="560"/>
      <c r="BA25" s="562"/>
      <c r="BB25" s="532"/>
    </row>
    <row r="26" spans="2:56" x14ac:dyDescent="0.25">
      <c r="B26" s="527">
        <v>17</v>
      </c>
      <c r="C26" s="1547"/>
      <c r="D26" s="1548"/>
      <c r="E26" s="1548"/>
      <c r="F26" s="1549"/>
      <c r="G26" s="1549"/>
      <c r="H26" s="1550"/>
      <c r="I26" s="520"/>
      <c r="J26" s="558"/>
      <c r="K26" s="558"/>
      <c r="L26" s="560"/>
      <c r="M26" s="561"/>
      <c r="N26" s="560"/>
      <c r="O26" s="560"/>
      <c r="P26" s="560"/>
      <c r="Q26" s="560"/>
      <c r="R26" s="560"/>
      <c r="S26" s="560"/>
      <c r="T26" s="560"/>
      <c r="U26" s="560"/>
      <c r="V26" s="560"/>
      <c r="W26" s="560"/>
      <c r="X26" s="560"/>
      <c r="Y26" s="560"/>
      <c r="Z26" s="560"/>
      <c r="AA26" s="560"/>
      <c r="AB26" s="560"/>
      <c r="AC26" s="560"/>
      <c r="AD26" s="560"/>
      <c r="AE26" s="560"/>
      <c r="AF26" s="560"/>
      <c r="AG26" s="560"/>
      <c r="AH26" s="560"/>
      <c r="AI26" s="560"/>
      <c r="AJ26" s="560"/>
      <c r="AK26" s="560"/>
      <c r="AL26" s="560"/>
      <c r="AM26" s="560"/>
      <c r="AN26" s="560"/>
      <c r="AO26" s="560"/>
      <c r="AP26" s="560"/>
      <c r="AQ26" s="560"/>
      <c r="AR26" s="560"/>
      <c r="AS26" s="560"/>
      <c r="AT26" s="560"/>
      <c r="AU26" s="560"/>
      <c r="AV26" s="560"/>
      <c r="AW26" s="560"/>
      <c r="AX26" s="560"/>
      <c r="AY26" s="560"/>
      <c r="AZ26" s="560"/>
      <c r="BA26" s="562"/>
      <c r="BB26" s="532"/>
      <c r="BC26" s="566"/>
      <c r="BD26" s="567"/>
    </row>
    <row r="27" spans="2:56" ht="14.25" thickBot="1" x14ac:dyDescent="0.3">
      <c r="B27" s="527">
        <v>18</v>
      </c>
      <c r="C27" s="1551"/>
      <c r="D27" s="1552"/>
      <c r="E27" s="1552"/>
      <c r="F27" s="1553"/>
      <c r="G27" s="1553"/>
      <c r="H27" s="1554"/>
      <c r="I27" s="569"/>
      <c r="J27" s="568"/>
      <c r="K27" s="568"/>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570"/>
      <c r="AN27" s="570"/>
      <c r="AO27" s="570"/>
      <c r="AP27" s="570"/>
      <c r="AQ27" s="570"/>
      <c r="AR27" s="570"/>
      <c r="AS27" s="570"/>
      <c r="AT27" s="570"/>
      <c r="AU27" s="570"/>
      <c r="AV27" s="570"/>
      <c r="AW27" s="570"/>
      <c r="AX27" s="570"/>
      <c r="AY27" s="570"/>
      <c r="AZ27" s="570"/>
      <c r="BA27" s="571"/>
      <c r="BB27" s="572"/>
      <c r="BC27" s="573"/>
      <c r="BD27" s="574"/>
    </row>
    <row r="28" spans="2:56" ht="9.75" customHeight="1" x14ac:dyDescent="0.25">
      <c r="B28" s="527"/>
      <c r="C28" s="575"/>
      <c r="D28" s="576"/>
      <c r="E28" s="576"/>
      <c r="F28" s="576"/>
      <c r="G28" s="575"/>
      <c r="H28" s="575"/>
      <c r="I28" s="575"/>
      <c r="J28" s="577"/>
      <c r="K28" s="576"/>
      <c r="L28" s="577"/>
      <c r="M28" s="578"/>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2"/>
      <c r="BC28" s="573"/>
      <c r="BD28" s="573"/>
    </row>
    <row r="29" spans="2:56" ht="9.75" customHeight="1" thickBot="1" x14ac:dyDescent="0.3">
      <c r="B29" s="527"/>
      <c r="C29" s="531"/>
      <c r="D29" s="531"/>
      <c r="E29" s="531"/>
      <c r="F29" s="531"/>
      <c r="G29" s="531"/>
      <c r="H29" s="531"/>
      <c r="I29" s="531"/>
      <c r="J29" s="531"/>
      <c r="K29" s="531"/>
      <c r="L29" s="531"/>
      <c r="M29" s="580"/>
      <c r="N29" s="531"/>
      <c r="O29" s="531"/>
      <c r="P29" s="531"/>
      <c r="Q29" s="531"/>
      <c r="R29" s="531"/>
      <c r="S29" s="531"/>
      <c r="T29" s="531"/>
      <c r="U29" s="531"/>
      <c r="V29" s="531"/>
      <c r="W29" s="531"/>
      <c r="X29" s="531"/>
      <c r="Y29" s="531"/>
      <c r="Z29" s="531"/>
      <c r="AA29" s="531"/>
      <c r="AB29" s="531"/>
      <c r="AC29" s="531"/>
      <c r="AD29" s="531"/>
      <c r="AE29" s="531"/>
      <c r="AF29" s="531"/>
      <c r="AG29" s="531"/>
      <c r="AH29" s="531"/>
      <c r="AI29" s="531"/>
      <c r="AJ29" s="531"/>
      <c r="AK29" s="531"/>
      <c r="AL29" s="531"/>
      <c r="AM29" s="531"/>
      <c r="AN29" s="531"/>
      <c r="AO29" s="531"/>
      <c r="AP29" s="531"/>
      <c r="AQ29" s="531"/>
      <c r="AR29" s="531"/>
      <c r="AS29" s="531"/>
      <c r="AT29" s="531"/>
      <c r="AU29" s="531"/>
      <c r="AV29" s="531"/>
      <c r="AW29" s="531"/>
      <c r="AX29" s="531"/>
      <c r="AY29" s="531"/>
      <c r="AZ29" s="531"/>
      <c r="BA29" s="531"/>
      <c r="BB29" s="532"/>
    </row>
    <row r="30" spans="2:56" ht="14.25" thickBot="1" x14ac:dyDescent="0.3">
      <c r="B30" s="527"/>
      <c r="C30" s="613" t="s">
        <v>1553</v>
      </c>
      <c r="D30" s="531"/>
      <c r="E30" s="531"/>
      <c r="F30" s="531"/>
      <c r="G30" s="531"/>
      <c r="H30" s="531"/>
      <c r="I30" s="531"/>
      <c r="J30" s="531"/>
      <c r="K30" s="531"/>
      <c r="L30" s="531"/>
      <c r="M30" s="531"/>
      <c r="N30" s="531"/>
      <c r="O30" s="531"/>
      <c r="P30" s="531"/>
      <c r="Q30" s="531"/>
      <c r="R30" s="531"/>
      <c r="S30" s="531"/>
      <c r="T30" s="531"/>
      <c r="U30" s="531"/>
      <c r="V30" s="531"/>
      <c r="W30" s="531"/>
      <c r="X30" s="531"/>
      <c r="Y30" s="531"/>
      <c r="Z30" s="531"/>
      <c r="AA30" s="531"/>
      <c r="AB30" s="531"/>
      <c r="AC30" s="531"/>
      <c r="AD30" s="531"/>
      <c r="AE30" s="531"/>
      <c r="AF30" s="531"/>
      <c r="AG30" s="531"/>
      <c r="AH30" s="531"/>
      <c r="AI30" s="531"/>
      <c r="AJ30" s="531"/>
      <c r="AK30" s="531"/>
      <c r="AL30" s="531"/>
      <c r="AM30" s="531"/>
      <c r="AN30" s="531"/>
      <c r="AO30" s="531"/>
      <c r="AP30" s="531"/>
      <c r="AQ30" s="531"/>
      <c r="AR30" s="531"/>
      <c r="AS30" s="531"/>
      <c r="AT30" s="531"/>
      <c r="AU30" s="531"/>
      <c r="AV30" s="531"/>
      <c r="AW30" s="531"/>
      <c r="AX30" s="531"/>
      <c r="AY30" s="531"/>
      <c r="AZ30" s="531"/>
      <c r="BA30" s="531"/>
      <c r="BB30" s="532"/>
    </row>
    <row r="31" spans="2:56" x14ac:dyDescent="0.25">
      <c r="B31" s="527"/>
      <c r="C31" s="581"/>
      <c r="D31" s="582" t="s">
        <v>1377</v>
      </c>
      <c r="E31" s="583">
        <f>M31</f>
        <v>872.7517599110771</v>
      </c>
      <c r="F31" s="583"/>
      <c r="G31" s="584"/>
      <c r="H31" s="584"/>
      <c r="I31" s="584"/>
      <c r="J31" s="584"/>
      <c r="K31" s="584"/>
      <c r="L31" s="583"/>
      <c r="M31" s="585">
        <f>SUM(N31:AT31)</f>
        <v>872.7517599110771</v>
      </c>
      <c r="N31" s="583">
        <f t="shared" ref="N31:BA31" si="0">SUM(N10)</f>
        <v>8</v>
      </c>
      <c r="O31" s="583">
        <f t="shared" si="0"/>
        <v>14.687291589477576</v>
      </c>
      <c r="P31" s="583">
        <f t="shared" si="0"/>
        <v>8.6924786958132572</v>
      </c>
      <c r="Q31" s="583">
        <f t="shared" si="0"/>
        <v>9.8914412745461213</v>
      </c>
      <c r="R31" s="583">
        <f t="shared" si="0"/>
        <v>10.790663208595769</v>
      </c>
      <c r="S31" s="583">
        <f t="shared" si="0"/>
        <v>11.390144497962197</v>
      </c>
      <c r="T31" s="583">
        <f t="shared" si="0"/>
        <v>21.881067061874745</v>
      </c>
      <c r="U31" s="583">
        <f t="shared" si="0"/>
        <v>21.58132641719153</v>
      </c>
      <c r="V31" s="583">
        <f t="shared" si="0"/>
        <v>21.881067061874745</v>
      </c>
      <c r="W31" s="583">
        <f t="shared" si="0"/>
        <v>21.281585772508318</v>
      </c>
      <c r="X31" s="583">
        <f t="shared" si="0"/>
        <v>21.58132641719153</v>
      </c>
      <c r="Y31" s="583">
        <f t="shared" si="0"/>
        <v>21.881067061874745</v>
      </c>
      <c r="Z31" s="583">
        <f t="shared" si="0"/>
        <v>21.281585772508318</v>
      </c>
      <c r="AA31" s="583">
        <f t="shared" si="0"/>
        <v>19.782882549092239</v>
      </c>
      <c r="AB31" s="583">
        <f t="shared" si="0"/>
        <v>17.085216746943296</v>
      </c>
      <c r="AC31" s="583">
        <f t="shared" si="0"/>
        <v>15.586513523527215</v>
      </c>
      <c r="AD31" s="583">
        <f t="shared" si="0"/>
        <v>13.788069655427922</v>
      </c>
      <c r="AE31" s="583">
        <f t="shared" si="0"/>
        <v>12.289366432011844</v>
      </c>
      <c r="AF31" s="583">
        <f t="shared" si="0"/>
        <v>11.390144497962195</v>
      </c>
      <c r="AG31" s="583">
        <f t="shared" si="0"/>
        <v>11.390144497962195</v>
      </c>
      <c r="AH31" s="583">
        <f t="shared" si="0"/>
        <v>54.552797332345243</v>
      </c>
      <c r="AI31" s="583">
        <f t="shared" si="0"/>
        <v>75.234901815487135</v>
      </c>
      <c r="AJ31" s="583">
        <f t="shared" si="0"/>
        <v>98.31493145609474</v>
      </c>
      <c r="AK31" s="583">
        <f t="shared" si="0"/>
        <v>61.446832160059209</v>
      </c>
      <c r="AL31" s="583">
        <f t="shared" si="0"/>
        <v>52.154872174879522</v>
      </c>
      <c r="AM31" s="583">
        <f t="shared" si="0"/>
        <v>56.950722489810964</v>
      </c>
      <c r="AN31" s="583">
        <f t="shared" si="0"/>
        <v>39.565765098184464</v>
      </c>
      <c r="AO31" s="583">
        <f t="shared" si="0"/>
        <v>27.576139310855837</v>
      </c>
      <c r="AP31" s="583">
        <f t="shared" si="0"/>
        <v>28.475361244905482</v>
      </c>
      <c r="AQ31" s="583">
        <f t="shared" si="0"/>
        <v>20.382363838458666</v>
      </c>
      <c r="AR31" s="583">
        <f t="shared" si="0"/>
        <v>17.085216746943296</v>
      </c>
      <c r="AS31" s="583">
        <f t="shared" si="0"/>
        <v>13.188588366061492</v>
      </c>
      <c r="AT31" s="583">
        <f t="shared" si="0"/>
        <v>11.689885142645412</v>
      </c>
      <c r="AU31" s="583">
        <f t="shared" si="0"/>
        <v>28</v>
      </c>
      <c r="AV31" s="583">
        <f t="shared" si="0"/>
        <v>2</v>
      </c>
      <c r="AW31" s="583">
        <f t="shared" si="0"/>
        <v>478</v>
      </c>
      <c r="AX31" s="583">
        <f t="shared" si="0"/>
        <v>45</v>
      </c>
      <c r="AY31" s="583">
        <f t="shared" si="0"/>
        <v>33</v>
      </c>
      <c r="AZ31" s="583">
        <f t="shared" si="0"/>
        <v>202</v>
      </c>
      <c r="BA31" s="586">
        <f t="shared" si="0"/>
        <v>38</v>
      </c>
      <c r="BB31" s="532"/>
    </row>
    <row r="32" spans="2:56" x14ac:dyDescent="0.25">
      <c r="B32" s="527"/>
      <c r="C32" s="587"/>
      <c r="D32" s="588" t="s">
        <v>1378</v>
      </c>
      <c r="E32" s="589">
        <f>M32</f>
        <v>1821.1311596887722</v>
      </c>
      <c r="F32" s="589"/>
      <c r="G32" s="590"/>
      <c r="H32" s="590"/>
      <c r="I32" s="590"/>
      <c r="J32" s="590"/>
      <c r="K32" s="590"/>
      <c r="L32" s="589"/>
      <c r="M32" s="591">
        <f>SUM(N32:AT32)</f>
        <v>1821.1311596887722</v>
      </c>
      <c r="N32" s="589">
        <f>SUM(N10:N27)</f>
        <v>33.178214153390144</v>
      </c>
      <c r="O32" s="589">
        <f t="shared" ref="O32:BA32" si="1">SUM(O10:O27)</f>
        <v>38.366802519451646</v>
      </c>
      <c r="P32" s="589">
        <f t="shared" si="1"/>
        <v>32.07224898110411</v>
      </c>
      <c r="Q32" s="589">
        <f t="shared" si="1"/>
        <v>32.671730270470533</v>
      </c>
      <c r="R32" s="589">
        <f t="shared" si="1"/>
        <v>32.971470915153752</v>
      </c>
      <c r="S32" s="589">
        <f t="shared" si="1"/>
        <v>33.271211559836964</v>
      </c>
      <c r="T32" s="589">
        <f t="shared" si="1"/>
        <v>43.762134123749512</v>
      </c>
      <c r="U32" s="589">
        <f t="shared" si="1"/>
        <v>43.162652834383081</v>
      </c>
      <c r="V32" s="589">
        <f t="shared" si="1"/>
        <v>43.762134123749505</v>
      </c>
      <c r="W32" s="589">
        <f t="shared" si="1"/>
        <v>42.563171545016644</v>
      </c>
      <c r="X32" s="589">
        <f t="shared" si="1"/>
        <v>43.162652834383074</v>
      </c>
      <c r="Y32" s="589">
        <f t="shared" si="1"/>
        <v>43.762134123749505</v>
      </c>
      <c r="Z32" s="589">
        <f t="shared" si="1"/>
        <v>42.563171545016644</v>
      </c>
      <c r="AA32" s="589">
        <f t="shared" si="1"/>
        <v>39.565765098184485</v>
      </c>
      <c r="AB32" s="589">
        <f t="shared" si="1"/>
        <v>34.170433493886605</v>
      </c>
      <c r="AC32" s="589">
        <f t="shared" si="1"/>
        <v>31.173027047054443</v>
      </c>
      <c r="AD32" s="589">
        <f t="shared" si="1"/>
        <v>27.576139310855858</v>
      </c>
      <c r="AE32" s="589">
        <f t="shared" si="1"/>
        <v>24.578732864023699</v>
      </c>
      <c r="AF32" s="589">
        <f t="shared" si="1"/>
        <v>22.780288995924401</v>
      </c>
      <c r="AG32" s="589">
        <f t="shared" si="1"/>
        <v>22.780288995924401</v>
      </c>
      <c r="AH32" s="589">
        <f t="shared" si="1"/>
        <v>109.10559466469054</v>
      </c>
      <c r="AI32" s="589">
        <f t="shared" si="1"/>
        <v>150.46980363097433</v>
      </c>
      <c r="AJ32" s="589">
        <f t="shared" si="1"/>
        <v>196.62986291218959</v>
      </c>
      <c r="AK32" s="589">
        <f t="shared" si="1"/>
        <v>122.89366432011846</v>
      </c>
      <c r="AL32" s="589">
        <f t="shared" si="1"/>
        <v>104.30974434975909</v>
      </c>
      <c r="AM32" s="589">
        <f t="shared" si="1"/>
        <v>113.90144497962197</v>
      </c>
      <c r="AN32" s="589">
        <f t="shared" si="1"/>
        <v>79.131530196368956</v>
      </c>
      <c r="AO32" s="589">
        <f t="shared" si="1"/>
        <v>55.152278621711702</v>
      </c>
      <c r="AP32" s="589">
        <f t="shared" si="1"/>
        <v>56.950722489810985</v>
      </c>
      <c r="AQ32" s="589">
        <f t="shared" si="1"/>
        <v>40.764727676917346</v>
      </c>
      <c r="AR32" s="589">
        <f t="shared" si="1"/>
        <v>34.170433493886598</v>
      </c>
      <c r="AS32" s="589">
        <f t="shared" si="1"/>
        <v>26.37717673212299</v>
      </c>
      <c r="AT32" s="589">
        <f t="shared" si="1"/>
        <v>23.379770285290832</v>
      </c>
      <c r="AU32" s="589">
        <f t="shared" si="1"/>
        <v>56</v>
      </c>
      <c r="AV32" s="589">
        <f t="shared" si="1"/>
        <v>4</v>
      </c>
      <c r="AW32" s="589">
        <f t="shared" si="1"/>
        <v>956</v>
      </c>
      <c r="AX32" s="589">
        <f t="shared" si="1"/>
        <v>90</v>
      </c>
      <c r="AY32" s="589">
        <f t="shared" si="1"/>
        <v>66</v>
      </c>
      <c r="AZ32" s="589">
        <f t="shared" si="1"/>
        <v>404</v>
      </c>
      <c r="BA32" s="592">
        <f t="shared" si="1"/>
        <v>76</v>
      </c>
      <c r="BB32" s="532"/>
    </row>
    <row r="33" spans="2:54" ht="14.25" thickBot="1" x14ac:dyDescent="0.3">
      <c r="B33" s="527"/>
      <c r="C33" s="593"/>
      <c r="D33" s="594" t="s">
        <v>1554</v>
      </c>
      <c r="E33" s="595"/>
      <c r="F33" s="595"/>
      <c r="G33" s="596"/>
      <c r="H33" s="596"/>
      <c r="I33" s="596"/>
      <c r="J33" s="596"/>
      <c r="K33" s="596"/>
      <c r="L33" s="595"/>
      <c r="M33" s="595"/>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5"/>
      <c r="AK33" s="595"/>
      <c r="AL33" s="595"/>
      <c r="AM33" s="595"/>
      <c r="AN33" s="595"/>
      <c r="AO33" s="595"/>
      <c r="AP33" s="595"/>
      <c r="AQ33" s="595"/>
      <c r="AR33" s="595"/>
      <c r="AS33" s="595"/>
      <c r="AT33" s="595"/>
      <c r="AU33" s="595"/>
      <c r="AV33" s="595"/>
      <c r="AW33" s="595"/>
      <c r="AX33" s="595"/>
      <c r="AY33" s="595"/>
      <c r="AZ33" s="595"/>
      <c r="BA33" s="597"/>
      <c r="BB33" s="532"/>
    </row>
    <row r="34" spans="2:54" x14ac:dyDescent="0.25">
      <c r="B34" s="527"/>
      <c r="C34" s="598"/>
      <c r="D34" s="599"/>
      <c r="E34" s="598"/>
      <c r="F34" s="598"/>
      <c r="G34" s="598"/>
      <c r="H34" s="598"/>
      <c r="I34" s="598"/>
      <c r="J34" s="598"/>
      <c r="K34" s="598"/>
      <c r="L34" s="598"/>
      <c r="M34" s="598"/>
      <c r="N34" s="598"/>
      <c r="O34" s="598"/>
      <c r="P34" s="598"/>
      <c r="Q34" s="598"/>
      <c r="R34" s="598"/>
      <c r="S34" s="598"/>
      <c r="T34" s="598"/>
      <c r="U34" s="598"/>
      <c r="V34" s="598"/>
      <c r="W34" s="598"/>
      <c r="X34" s="598"/>
      <c r="Y34" s="598"/>
      <c r="Z34" s="598"/>
      <c r="AA34" s="598"/>
      <c r="AB34" s="598"/>
      <c r="AC34" s="598"/>
      <c r="AD34" s="598"/>
      <c r="AE34" s="598"/>
      <c r="AF34" s="598"/>
      <c r="AG34" s="598"/>
      <c r="AH34" s="598"/>
      <c r="AI34" s="598"/>
      <c r="AJ34" s="598"/>
      <c r="AK34" s="598"/>
      <c r="AL34" s="598"/>
      <c r="AM34" s="598"/>
      <c r="AN34" s="598"/>
      <c r="AO34" s="598"/>
      <c r="AP34" s="598"/>
      <c r="AQ34" s="598"/>
      <c r="AR34" s="598"/>
      <c r="AS34" s="598"/>
      <c r="AT34" s="598"/>
      <c r="AU34" s="598"/>
      <c r="AV34" s="598"/>
      <c r="AW34" s="598"/>
      <c r="AX34" s="598"/>
      <c r="AY34" s="598"/>
      <c r="AZ34" s="598"/>
      <c r="BA34" s="598"/>
      <c r="BB34" s="532"/>
    </row>
    <row r="35" spans="2:54" ht="14.25" thickBot="1" x14ac:dyDescent="0.3">
      <c r="B35" s="527"/>
      <c r="C35" s="598"/>
      <c r="D35" s="599"/>
      <c r="E35" s="598"/>
      <c r="F35" s="598"/>
      <c r="G35" s="598"/>
      <c r="H35" s="598"/>
      <c r="I35" s="598"/>
      <c r="J35" s="598"/>
      <c r="K35" s="598"/>
      <c r="L35" s="598"/>
      <c r="M35" s="598"/>
      <c r="N35" s="598"/>
      <c r="O35" s="598"/>
      <c r="P35" s="598"/>
      <c r="Q35" s="598"/>
      <c r="R35" s="598"/>
      <c r="S35" s="598"/>
      <c r="T35" s="598"/>
      <c r="U35" s="598"/>
      <c r="V35" s="598"/>
      <c r="W35" s="598"/>
      <c r="X35" s="598"/>
      <c r="Y35" s="598"/>
      <c r="Z35" s="598"/>
      <c r="AA35" s="598"/>
      <c r="AB35" s="598"/>
      <c r="AC35" s="598"/>
      <c r="AD35" s="598"/>
      <c r="AE35" s="598"/>
      <c r="AF35" s="598"/>
      <c r="AG35" s="598"/>
      <c r="AH35" s="598"/>
      <c r="AI35" s="598"/>
      <c r="AJ35" s="598"/>
      <c r="AK35" s="598"/>
      <c r="AL35" s="598"/>
      <c r="AM35" s="598"/>
      <c r="AN35" s="598"/>
      <c r="AO35" s="598"/>
      <c r="AP35" s="598"/>
      <c r="AQ35" s="598"/>
      <c r="AR35" s="598"/>
      <c r="AS35" s="598"/>
      <c r="AT35" s="598"/>
      <c r="AU35" s="598"/>
      <c r="AV35" s="598"/>
      <c r="AW35" s="598"/>
      <c r="AX35" s="598"/>
      <c r="AY35" s="598"/>
      <c r="AZ35" s="598"/>
      <c r="BA35" s="598"/>
      <c r="BB35" s="532"/>
    </row>
    <row r="36" spans="2:54" ht="14.25" thickBot="1" x14ac:dyDescent="0.3">
      <c r="B36" s="527"/>
      <c r="C36" s="613" t="s">
        <v>1555</v>
      </c>
      <c r="D36" s="531"/>
      <c r="E36" s="598"/>
      <c r="F36" s="598"/>
      <c r="G36" s="598"/>
      <c r="H36" s="598"/>
      <c r="I36" s="598"/>
      <c r="J36" s="598"/>
      <c r="K36" s="598"/>
      <c r="L36" s="598"/>
      <c r="M36" s="598"/>
      <c r="N36" s="598"/>
      <c r="O36" s="598"/>
      <c r="P36" s="598"/>
      <c r="Q36" s="598"/>
      <c r="R36" s="598"/>
      <c r="S36" s="598"/>
      <c r="T36" s="598"/>
      <c r="U36" s="598"/>
      <c r="V36" s="598"/>
      <c r="W36" s="598"/>
      <c r="X36" s="598"/>
      <c r="Y36" s="598"/>
      <c r="Z36" s="598"/>
      <c r="AA36" s="598"/>
      <c r="AB36" s="598"/>
      <c r="AC36" s="598"/>
      <c r="AD36" s="598"/>
      <c r="AE36" s="598"/>
      <c r="AF36" s="598"/>
      <c r="AG36" s="598"/>
      <c r="AH36" s="598"/>
      <c r="AI36" s="598"/>
      <c r="AJ36" s="598"/>
      <c r="AK36" s="598"/>
      <c r="AL36" s="598"/>
      <c r="AM36" s="598"/>
      <c r="AN36" s="598"/>
      <c r="AO36" s="598"/>
      <c r="AP36" s="598"/>
      <c r="AQ36" s="598"/>
      <c r="AR36" s="598"/>
      <c r="AS36" s="598"/>
      <c r="AT36" s="598"/>
      <c r="AU36" s="598"/>
      <c r="AV36" s="598"/>
      <c r="AW36" s="598"/>
      <c r="AX36" s="598"/>
      <c r="AY36" s="598"/>
      <c r="AZ36" s="598"/>
      <c r="BA36" s="598"/>
      <c r="BB36" s="532"/>
    </row>
    <row r="37" spans="2:54" x14ac:dyDescent="0.25">
      <c r="B37" s="527"/>
      <c r="C37" s="581"/>
      <c r="D37" s="582" t="s">
        <v>1377</v>
      </c>
      <c r="E37" s="600">
        <f>SUM(N37:AT37)</f>
        <v>1.0000000000000002</v>
      </c>
      <c r="F37" s="600"/>
      <c r="G37" s="601"/>
      <c r="H37" s="584"/>
      <c r="I37" s="584"/>
      <c r="J37" s="584"/>
      <c r="K37" s="584"/>
      <c r="L37" s="583"/>
      <c r="M37" s="600"/>
      <c r="N37" s="600">
        <f>N31/$M31</f>
        <v>9.1664094734281651E-3</v>
      </c>
      <c r="O37" s="600">
        <f>O31/$M31</f>
        <v>1.6828716095598634E-2</v>
      </c>
      <c r="P37" s="600">
        <f t="shared" ref="P37:AY38" si="2">P31/$M31</f>
        <v>9.9598523831093914E-3</v>
      </c>
      <c r="Q37" s="600">
        <f t="shared" si="2"/>
        <v>1.133362512560724E-2</v>
      </c>
      <c r="R37" s="600">
        <f t="shared" si="2"/>
        <v>1.2363954682480626E-2</v>
      </c>
      <c r="S37" s="600">
        <f t="shared" si="2"/>
        <v>1.3050841053729546E-2</v>
      </c>
      <c r="T37" s="600">
        <f t="shared" si="2"/>
        <v>2.5071352550585704E-2</v>
      </c>
      <c r="U37" s="600">
        <f t="shared" si="2"/>
        <v>2.4727909364961245E-2</v>
      </c>
      <c r="V37" s="600">
        <f t="shared" si="2"/>
        <v>2.5071352550585704E-2</v>
      </c>
      <c r="W37" s="600">
        <f t="shared" si="2"/>
        <v>2.4384466179336785E-2</v>
      </c>
      <c r="X37" s="600">
        <f t="shared" si="2"/>
        <v>2.4727909364961245E-2</v>
      </c>
      <c r="Y37" s="600">
        <f t="shared" si="2"/>
        <v>2.5071352550585704E-2</v>
      </c>
      <c r="Z37" s="600">
        <f t="shared" si="2"/>
        <v>2.4384466179336785E-2</v>
      </c>
      <c r="AA37" s="600">
        <f t="shared" si="2"/>
        <v>2.2667250251214476E-2</v>
      </c>
      <c r="AB37" s="600">
        <f t="shared" si="2"/>
        <v>1.957626158059432E-2</v>
      </c>
      <c r="AC37" s="600">
        <f t="shared" si="2"/>
        <v>1.7859045652472007E-2</v>
      </c>
      <c r="AD37" s="600">
        <f t="shared" si="2"/>
        <v>1.5798386538725239E-2</v>
      </c>
      <c r="AE37" s="600">
        <f t="shared" si="2"/>
        <v>1.4081170610602932E-2</v>
      </c>
      <c r="AF37" s="600">
        <f t="shared" si="2"/>
        <v>1.3050841053729544E-2</v>
      </c>
      <c r="AG37" s="600">
        <f t="shared" si="2"/>
        <v>1.3050841053729544E-2</v>
      </c>
      <c r="AH37" s="600">
        <f t="shared" si="2"/>
        <v>6.250665978365201E-2</v>
      </c>
      <c r="AI37" s="600">
        <f t="shared" si="2"/>
        <v>8.6204239591739881E-2</v>
      </c>
      <c r="AJ37" s="600">
        <f t="shared" si="2"/>
        <v>0.11264936488482344</v>
      </c>
      <c r="AK37" s="600">
        <f t="shared" si="2"/>
        <v>7.0405853053014639E-2</v>
      </c>
      <c r="AL37" s="600">
        <f t="shared" si="2"/>
        <v>5.9759114298656324E-2</v>
      </c>
      <c r="AM37" s="600">
        <f t="shared" si="2"/>
        <v>6.5254205268647711E-2</v>
      </c>
      <c r="AN37" s="600">
        <f t="shared" si="2"/>
        <v>4.5334500502428939E-2</v>
      </c>
      <c r="AO37" s="600">
        <f t="shared" si="2"/>
        <v>3.1596773077450471E-2</v>
      </c>
      <c r="AP37" s="600">
        <f t="shared" si="2"/>
        <v>3.2627102634323855E-2</v>
      </c>
      <c r="AQ37" s="600">
        <f t="shared" si="2"/>
        <v>2.3354136622463394E-2</v>
      </c>
      <c r="AR37" s="600">
        <f t="shared" si="2"/>
        <v>1.957626158059432E-2</v>
      </c>
      <c r="AS37" s="600">
        <f t="shared" si="2"/>
        <v>1.5111500167476316E-2</v>
      </c>
      <c r="AT37" s="600">
        <f t="shared" si="2"/>
        <v>1.3394284239354006E-2</v>
      </c>
      <c r="AU37" s="600">
        <f t="shared" si="2"/>
        <v>3.2082433156998574E-2</v>
      </c>
      <c r="AV37" s="600">
        <f t="shared" si="2"/>
        <v>2.2916023683570413E-3</v>
      </c>
      <c r="AW37" s="600">
        <f>AW31/$M31</f>
        <v>0.54769296603733286</v>
      </c>
      <c r="AX37" s="600">
        <f t="shared" si="2"/>
        <v>5.1561053288033426E-2</v>
      </c>
      <c r="AY37" s="600">
        <f t="shared" si="2"/>
        <v>3.7811439077891175E-2</v>
      </c>
      <c r="AZ37" s="600">
        <f>AZ31/$M31</f>
        <v>0.23145183920406115</v>
      </c>
      <c r="BA37" s="602">
        <f>BA31/$M31</f>
        <v>4.3540444998783782E-2</v>
      </c>
      <c r="BB37" s="532"/>
    </row>
    <row r="38" spans="2:54" x14ac:dyDescent="0.25">
      <c r="B38" s="527"/>
      <c r="C38" s="587"/>
      <c r="D38" s="588" t="s">
        <v>1378</v>
      </c>
      <c r="E38" s="603">
        <f>SUM(N38:AT38)</f>
        <v>1.0000000000000004</v>
      </c>
      <c r="F38" s="603"/>
      <c r="G38" s="604"/>
      <c r="H38" s="590"/>
      <c r="I38" s="590"/>
      <c r="J38" s="590"/>
      <c r="K38" s="590"/>
      <c r="L38" s="589"/>
      <c r="M38" s="603"/>
      <c r="N38" s="603">
        <f>N32/$M32</f>
        <v>1.8218464923229493E-2</v>
      </c>
      <c r="O38" s="603">
        <f>O32/$M32</f>
        <v>2.1067566888487297E-2</v>
      </c>
      <c r="P38" s="603">
        <f t="shared" si="2"/>
        <v>1.7611169195844847E-2</v>
      </c>
      <c r="Q38" s="603">
        <f t="shared" si="2"/>
        <v>1.7940349928477456E-2</v>
      </c>
      <c r="R38" s="603">
        <f t="shared" si="2"/>
        <v>1.8104940294793766E-2</v>
      </c>
      <c r="S38" s="603">
        <f t="shared" si="2"/>
        <v>1.8269530661110072E-2</v>
      </c>
      <c r="T38" s="603">
        <f t="shared" si="2"/>
        <v>2.4030193482180807E-2</v>
      </c>
      <c r="U38" s="603">
        <f t="shared" si="2"/>
        <v>2.3701012749548195E-2</v>
      </c>
      <c r="V38" s="603">
        <f t="shared" si="2"/>
        <v>2.4030193482180804E-2</v>
      </c>
      <c r="W38" s="603">
        <f t="shared" si="2"/>
        <v>2.3371832016915579E-2</v>
      </c>
      <c r="X38" s="603">
        <f t="shared" si="2"/>
        <v>2.3701012749548191E-2</v>
      </c>
      <c r="Y38" s="603">
        <f t="shared" si="2"/>
        <v>2.4030193482180804E-2</v>
      </c>
      <c r="Z38" s="603">
        <f t="shared" si="2"/>
        <v>2.3371832016915579E-2</v>
      </c>
      <c r="AA38" s="603">
        <f t="shared" si="2"/>
        <v>2.1725928353752508E-2</v>
      </c>
      <c r="AB38" s="603">
        <f t="shared" si="2"/>
        <v>1.8763301760058988E-2</v>
      </c>
      <c r="AC38" s="603">
        <f t="shared" si="2"/>
        <v>1.7117398096895917E-2</v>
      </c>
      <c r="AD38" s="603">
        <f t="shared" si="2"/>
        <v>1.5142313701100236E-2</v>
      </c>
      <c r="AE38" s="603">
        <f t="shared" si="2"/>
        <v>1.3496410037937168E-2</v>
      </c>
      <c r="AF38" s="603">
        <f t="shared" si="2"/>
        <v>1.2508867840039324E-2</v>
      </c>
      <c r="AG38" s="603">
        <f t="shared" si="2"/>
        <v>1.2508867840039324E-2</v>
      </c>
      <c r="AH38" s="603">
        <f t="shared" si="2"/>
        <v>5.9910893339135705E-2</v>
      </c>
      <c r="AI38" s="603">
        <f t="shared" si="2"/>
        <v>8.2624363890786062E-2</v>
      </c>
      <c r="AJ38" s="603">
        <f t="shared" si="2"/>
        <v>0.10797128030349734</v>
      </c>
      <c r="AK38" s="603">
        <f t="shared" si="2"/>
        <v>6.748205018968581E-2</v>
      </c>
      <c r="AL38" s="603">
        <f t="shared" si="2"/>
        <v>5.727744747807479E-2</v>
      </c>
      <c r="AM38" s="603">
        <f t="shared" si="2"/>
        <v>6.25443392001966E-2</v>
      </c>
      <c r="AN38" s="603">
        <f t="shared" si="2"/>
        <v>4.345185670750501E-2</v>
      </c>
      <c r="AO38" s="603">
        <f t="shared" si="2"/>
        <v>3.0284627402200465E-2</v>
      </c>
      <c r="AP38" s="603">
        <f t="shared" si="2"/>
        <v>3.12721696000983E-2</v>
      </c>
      <c r="AQ38" s="603">
        <f t="shared" si="2"/>
        <v>2.2384289819017737E-2</v>
      </c>
      <c r="AR38" s="603">
        <f t="shared" si="2"/>
        <v>1.8763301760058984E-2</v>
      </c>
      <c r="AS38" s="603">
        <f t="shared" si="2"/>
        <v>1.4483952235835007E-2</v>
      </c>
      <c r="AT38" s="603">
        <f t="shared" si="2"/>
        <v>1.2838048572671937E-2</v>
      </c>
      <c r="AU38" s="603">
        <f t="shared" si="2"/>
        <v>3.075011906861793E-2</v>
      </c>
      <c r="AV38" s="603">
        <f t="shared" si="2"/>
        <v>2.196437076329852E-3</v>
      </c>
      <c r="AW38" s="603">
        <f t="shared" si="2"/>
        <v>0.52494846124283467</v>
      </c>
      <c r="AX38" s="603">
        <f t="shared" si="2"/>
        <v>4.9419834217421674E-2</v>
      </c>
      <c r="AY38" s="603">
        <f t="shared" si="2"/>
        <v>3.624121175944256E-2</v>
      </c>
      <c r="AZ38" s="603">
        <f>AZ32/$M32</f>
        <v>0.22184014470931507</v>
      </c>
      <c r="BA38" s="605">
        <f>BA32/$M32</f>
        <v>4.1732304450267189E-2</v>
      </c>
      <c r="BB38" s="532"/>
    </row>
    <row r="39" spans="2:54" ht="14.25" thickBot="1" x14ac:dyDescent="0.3">
      <c r="B39" s="527"/>
      <c r="C39" s="593"/>
      <c r="D39" s="594" t="s">
        <v>1556</v>
      </c>
      <c r="E39" s="606">
        <v>0.99999999999999944</v>
      </c>
      <c r="F39" s="606"/>
      <c r="G39" s="607"/>
      <c r="H39" s="596"/>
      <c r="I39" s="596"/>
      <c r="J39" s="596"/>
      <c r="K39" s="596"/>
      <c r="L39" s="595"/>
      <c r="M39" s="606"/>
      <c r="N39" s="606"/>
      <c r="O39" s="606"/>
      <c r="P39" s="606"/>
      <c r="Q39" s="606"/>
      <c r="R39" s="606"/>
      <c r="S39" s="606"/>
      <c r="T39" s="606"/>
      <c r="U39" s="606"/>
      <c r="V39" s="606"/>
      <c r="W39" s="606"/>
      <c r="X39" s="606"/>
      <c r="Y39" s="606"/>
      <c r="Z39" s="606"/>
      <c r="AA39" s="606"/>
      <c r="AB39" s="606"/>
      <c r="AC39" s="606"/>
      <c r="AD39" s="606"/>
      <c r="AE39" s="606"/>
      <c r="AF39" s="606"/>
      <c r="AG39" s="606"/>
      <c r="AH39" s="606"/>
      <c r="AI39" s="606"/>
      <c r="AJ39" s="606"/>
      <c r="AK39" s="606"/>
      <c r="AL39" s="606"/>
      <c r="AM39" s="606"/>
      <c r="AN39" s="606"/>
      <c r="AO39" s="606"/>
      <c r="AP39" s="606"/>
      <c r="AQ39" s="606"/>
      <c r="AR39" s="606"/>
      <c r="AS39" s="606"/>
      <c r="AT39" s="606"/>
      <c r="AU39" s="606"/>
      <c r="AV39" s="606"/>
      <c r="AW39" s="606"/>
      <c r="AX39" s="606"/>
      <c r="AY39" s="606"/>
      <c r="AZ39" s="606"/>
      <c r="BA39" s="608"/>
      <c r="BB39" s="532"/>
    </row>
    <row r="40" spans="2:54" x14ac:dyDescent="0.25">
      <c r="B40" s="527"/>
      <c r="C40" s="531"/>
      <c r="D40" s="531"/>
      <c r="E40" s="531"/>
      <c r="F40" s="531"/>
      <c r="G40" s="531"/>
      <c r="H40" s="531"/>
      <c r="I40" s="531"/>
      <c r="J40" s="531"/>
      <c r="K40" s="531"/>
      <c r="L40" s="531"/>
      <c r="M40" s="531"/>
      <c r="N40" s="531"/>
      <c r="O40" s="531"/>
      <c r="P40" s="531"/>
      <c r="Q40" s="531"/>
      <c r="R40" s="531"/>
      <c r="S40" s="531"/>
      <c r="T40" s="531"/>
      <c r="U40" s="531"/>
      <c r="V40" s="531"/>
      <c r="W40" s="531"/>
      <c r="X40" s="531"/>
      <c r="Y40" s="531"/>
      <c r="Z40" s="531"/>
      <c r="AA40" s="531"/>
      <c r="AB40" s="531"/>
      <c r="AC40" s="531"/>
      <c r="AD40" s="531"/>
      <c r="AE40" s="531"/>
      <c r="AF40" s="531"/>
      <c r="AG40" s="531"/>
      <c r="AH40" s="531"/>
      <c r="AI40" s="531"/>
      <c r="AJ40" s="531"/>
      <c r="AK40" s="531"/>
      <c r="AL40" s="531"/>
      <c r="AM40" s="531"/>
      <c r="AN40" s="531"/>
      <c r="AO40" s="531"/>
      <c r="AP40" s="531"/>
      <c r="AQ40" s="531"/>
      <c r="AR40" s="531"/>
      <c r="AS40" s="531"/>
      <c r="AT40" s="531"/>
      <c r="AU40" s="531"/>
      <c r="AV40" s="531"/>
      <c r="AW40" s="531"/>
      <c r="AX40" s="531"/>
      <c r="AY40" s="531"/>
      <c r="AZ40" s="531"/>
      <c r="BA40" s="531"/>
      <c r="BB40" s="532"/>
    </row>
    <row r="41" spans="2:54" ht="14.25" thickBot="1" x14ac:dyDescent="0.3">
      <c r="B41" s="609"/>
      <c r="C41" s="610"/>
      <c r="D41" s="610"/>
      <c r="E41" s="610"/>
      <c r="F41" s="610"/>
      <c r="G41" s="610"/>
      <c r="H41" s="610"/>
      <c r="I41" s="610"/>
      <c r="J41" s="610"/>
      <c r="K41" s="610"/>
      <c r="L41" s="610"/>
      <c r="M41" s="610"/>
      <c r="N41" s="610"/>
      <c r="O41" s="610"/>
      <c r="P41" s="610"/>
      <c r="Q41" s="610"/>
      <c r="R41" s="610"/>
      <c r="S41" s="610"/>
      <c r="T41" s="610"/>
      <c r="U41" s="610"/>
      <c r="V41" s="610"/>
      <c r="W41" s="610"/>
      <c r="X41" s="610"/>
      <c r="Y41" s="610"/>
      <c r="Z41" s="610"/>
      <c r="AA41" s="610"/>
      <c r="AB41" s="610"/>
      <c r="AC41" s="610"/>
      <c r="AD41" s="610"/>
      <c r="AE41" s="610"/>
      <c r="AF41" s="610"/>
      <c r="AG41" s="610"/>
      <c r="AH41" s="610"/>
      <c r="AI41" s="610"/>
      <c r="AJ41" s="610"/>
      <c r="AK41" s="610"/>
      <c r="AL41" s="610"/>
      <c r="AM41" s="610"/>
      <c r="AN41" s="610"/>
      <c r="AO41" s="610"/>
      <c r="AP41" s="610"/>
      <c r="AQ41" s="610"/>
      <c r="AR41" s="610"/>
      <c r="AS41" s="610"/>
      <c r="AT41" s="610"/>
      <c r="AU41" s="610"/>
      <c r="AV41" s="610"/>
      <c r="AW41" s="610"/>
      <c r="AX41" s="610"/>
      <c r="AY41" s="610"/>
      <c r="AZ41" s="610"/>
      <c r="BA41" s="610"/>
      <c r="BB41" s="611"/>
    </row>
    <row r="46" spans="2:54" x14ac:dyDescent="0.25">
      <c r="H46" s="521" t="s">
        <v>3644</v>
      </c>
      <c r="I46" s="612">
        <f>SUM(M11,M12,M13,M14,M16,M17,M19,M20,M23,M24,M25,M26,M27)/M32</f>
        <v>0.52076391902479502</v>
      </c>
    </row>
    <row r="48" spans="2:54" ht="14.25" thickBot="1" x14ac:dyDescent="0.3">
      <c r="H48" s="1542" t="s">
        <v>3695</v>
      </c>
      <c r="I48" s="1555" t="s">
        <v>1359</v>
      </c>
      <c r="J48" s="1555" t="s">
        <v>150</v>
      </c>
      <c r="K48" s="1555" t="s">
        <v>3692</v>
      </c>
      <c r="L48" s="1556" t="s">
        <v>3693</v>
      </c>
      <c r="P48" s="1557">
        <f>1-Q48</f>
        <v>0.47505153875716533</v>
      </c>
      <c r="Q48" s="1557">
        <f>AW38</f>
        <v>0.52494846124283467</v>
      </c>
    </row>
    <row r="49" spans="7:18" ht="14.25" thickBot="1" x14ac:dyDescent="0.3">
      <c r="G49" s="521" t="s">
        <v>3694</v>
      </c>
      <c r="H49" s="1546" t="s">
        <v>3713</v>
      </c>
      <c r="I49" s="1541" t="s">
        <v>3659</v>
      </c>
      <c r="J49" s="1544">
        <f>SUM(M10:M19)</f>
        <v>1821.131159688772</v>
      </c>
      <c r="K49" s="1544">
        <f>J49-L49</f>
        <v>865.13115968877196</v>
      </c>
      <c r="L49" s="1544">
        <f>SUM(AW10:AW19)</f>
        <v>956</v>
      </c>
      <c r="N49" s="3990" t="s">
        <v>3715</v>
      </c>
      <c r="O49" s="4011" t="s">
        <v>3716</v>
      </c>
      <c r="P49" s="4011"/>
      <c r="Q49" s="4012"/>
    </row>
    <row r="50" spans="7:18" ht="14.25" thickBot="1" x14ac:dyDescent="0.3">
      <c r="H50" s="1546" t="s">
        <v>3714</v>
      </c>
      <c r="I50" s="1541" t="s">
        <v>3660</v>
      </c>
      <c r="J50" s="1544">
        <f>SUM(M20:M27)</f>
        <v>0</v>
      </c>
      <c r="K50" s="1544">
        <f>J50-L50</f>
        <v>0</v>
      </c>
      <c r="L50" s="1544">
        <f>SUM(AW20:AW27)</f>
        <v>0</v>
      </c>
      <c r="N50" s="3992"/>
      <c r="O50" s="1540" t="s">
        <v>0</v>
      </c>
      <c r="P50" s="1540" t="s">
        <v>1368</v>
      </c>
      <c r="Q50" s="638" t="s">
        <v>1369</v>
      </c>
    </row>
    <row r="51" spans="7:18" ht="14.25" thickBot="1" x14ac:dyDescent="0.3">
      <c r="H51" s="1541"/>
      <c r="I51" s="1543" t="s">
        <v>0</v>
      </c>
      <c r="J51" s="1545">
        <f t="shared" ref="J51:K51" si="3">SUM(J49:J50)</f>
        <v>1821.131159688772</v>
      </c>
      <c r="K51" s="1545">
        <f t="shared" si="3"/>
        <v>865.13115968877196</v>
      </c>
      <c r="L51" s="1545">
        <f>SUM(L49:L50)</f>
        <v>956</v>
      </c>
      <c r="N51" s="1558" t="s">
        <v>3696</v>
      </c>
      <c r="O51" s="1559">
        <f>SUM(N32:R32)</f>
        <v>169.2604668395702</v>
      </c>
      <c r="P51" s="1559">
        <f>O51-Q51</f>
        <v>80.407445222893983</v>
      </c>
      <c r="Q51" s="1559">
        <f>O51*Q$48</f>
        <v>88.853021616676216</v>
      </c>
      <c r="R51" s="566">
        <f>SUM(P51:Q51)</f>
        <v>169.2604668395702</v>
      </c>
    </row>
    <row r="52" spans="7:18" ht="14.25" thickBot="1" x14ac:dyDescent="0.3">
      <c r="I52" s="564"/>
      <c r="J52" s="564"/>
      <c r="K52" s="564"/>
      <c r="N52" s="1558" t="s">
        <v>3697</v>
      </c>
      <c r="O52" s="1559">
        <f>SUM(S32:W32)</f>
        <v>206.5213041867357</v>
      </c>
      <c r="P52" s="1559">
        <f t="shared" ref="P52:P67" si="4">O52-Q52</f>
        <v>98.108263340045411</v>
      </c>
      <c r="Q52" s="1559">
        <f t="shared" ref="Q52:Q67" si="5">O52*Q$48</f>
        <v>108.41304084669029</v>
      </c>
      <c r="R52" s="566">
        <f t="shared" ref="R52:R67" si="6">SUM(P52:Q52)</f>
        <v>206.5213041867357</v>
      </c>
    </row>
    <row r="53" spans="7:18" ht="14.25" thickBot="1" x14ac:dyDescent="0.3">
      <c r="N53" s="1558" t="s">
        <v>3698</v>
      </c>
      <c r="O53" s="1559">
        <f>SUM(X32:AB32)</f>
        <v>203.22415709522033</v>
      </c>
      <c r="P53" s="1559">
        <f t="shared" si="4"/>
        <v>96.541948540712312</v>
      </c>
      <c r="Q53" s="1559">
        <f t="shared" si="5"/>
        <v>106.68220855450802</v>
      </c>
      <c r="R53" s="566">
        <f t="shared" si="6"/>
        <v>203.22415709522033</v>
      </c>
    </row>
    <row r="54" spans="7:18" ht="14.25" thickBot="1" x14ac:dyDescent="0.3">
      <c r="N54" s="1558" t="s">
        <v>3699</v>
      </c>
      <c r="O54" s="1559">
        <f>SUM(AC32:AG32)</f>
        <v>128.88847721378278</v>
      </c>
      <c r="P54" s="1559">
        <f t="shared" si="4"/>
        <v>61.228669428475342</v>
      </c>
      <c r="Q54" s="1559">
        <f t="shared" si="5"/>
        <v>67.659807785307436</v>
      </c>
      <c r="R54" s="566">
        <f t="shared" si="6"/>
        <v>128.88847721378278</v>
      </c>
    </row>
    <row r="55" spans="7:18" ht="14.25" thickBot="1" x14ac:dyDescent="0.3">
      <c r="N55" s="1558" t="s">
        <v>3700</v>
      </c>
      <c r="O55" s="1559">
        <f>AH32</f>
        <v>109.10559466469054</v>
      </c>
      <c r="P55" s="1559">
        <f t="shared" si="4"/>
        <v>51.830780632476809</v>
      </c>
      <c r="Q55" s="1559">
        <f t="shared" si="5"/>
        <v>57.274814032213733</v>
      </c>
      <c r="R55" s="566">
        <f t="shared" si="6"/>
        <v>109.10559466469054</v>
      </c>
    </row>
    <row r="56" spans="7:18" ht="14.25" thickBot="1" x14ac:dyDescent="0.3">
      <c r="N56" s="1558" t="s">
        <v>3701</v>
      </c>
      <c r="O56" s="1559">
        <f>SUM(AI32)</f>
        <v>150.46980363097433</v>
      </c>
      <c r="P56" s="1559">
        <f t="shared" si="4"/>
        <v>71.480911751382862</v>
      </c>
      <c r="Q56" s="1559">
        <f t="shared" si="5"/>
        <v>78.988891879591463</v>
      </c>
      <c r="R56" s="566">
        <f t="shared" si="6"/>
        <v>150.46980363097433</v>
      </c>
    </row>
    <row r="57" spans="7:18" ht="14.25" thickBot="1" x14ac:dyDescent="0.3">
      <c r="N57" s="1558" t="s">
        <v>3702</v>
      </c>
      <c r="O57" s="1559">
        <f>SUM(AJ32)</f>
        <v>196.62986291218959</v>
      </c>
      <c r="P57" s="1559">
        <f t="shared" si="4"/>
        <v>93.409318942046141</v>
      </c>
      <c r="Q57" s="1559">
        <f t="shared" si="5"/>
        <v>103.22054397014345</v>
      </c>
      <c r="R57" s="566">
        <f t="shared" si="6"/>
        <v>196.62986291218959</v>
      </c>
    </row>
    <row r="58" spans="7:18" ht="14.25" thickBot="1" x14ac:dyDescent="0.3">
      <c r="N58" s="1558" t="s">
        <v>3703</v>
      </c>
      <c r="O58" s="1559">
        <f>SUM(AK32)</f>
        <v>122.89366432011846</v>
      </c>
      <c r="P58" s="1559">
        <f t="shared" si="4"/>
        <v>58.380824338778822</v>
      </c>
      <c r="Q58" s="1559">
        <f t="shared" si="5"/>
        <v>64.512839981339638</v>
      </c>
      <c r="R58" s="566">
        <f t="shared" si="6"/>
        <v>122.89366432011846</v>
      </c>
    </row>
    <row r="59" spans="7:18" ht="14.25" thickBot="1" x14ac:dyDescent="0.3">
      <c r="N59" s="1558" t="s">
        <v>3704</v>
      </c>
      <c r="O59" s="1559">
        <f>SUM(AL32)</f>
        <v>104.30974434975909</v>
      </c>
      <c r="P59" s="1559">
        <f t="shared" si="4"/>
        <v>49.552504560719584</v>
      </c>
      <c r="Q59" s="1559">
        <f t="shared" si="5"/>
        <v>54.757239789039502</v>
      </c>
      <c r="R59" s="566">
        <f t="shared" si="6"/>
        <v>104.30974434975909</v>
      </c>
    </row>
    <row r="60" spans="7:18" ht="14.25" thickBot="1" x14ac:dyDescent="0.3">
      <c r="N60" s="1558" t="s">
        <v>3705</v>
      </c>
      <c r="O60" s="1559">
        <f>SUM(AM32)</f>
        <v>113.90144497962197</v>
      </c>
      <c r="P60" s="1559">
        <f t="shared" si="4"/>
        <v>54.109056704234021</v>
      </c>
      <c r="Q60" s="1559">
        <f t="shared" si="5"/>
        <v>59.79238827538795</v>
      </c>
      <c r="R60" s="566">
        <f t="shared" si="6"/>
        <v>113.90144497962197</v>
      </c>
    </row>
    <row r="61" spans="7:18" ht="14.25" thickBot="1" x14ac:dyDescent="0.3">
      <c r="N61" s="1558" t="s">
        <v>3706</v>
      </c>
      <c r="O61" s="1559">
        <f>SUM(AN32)</f>
        <v>79.131530196368956</v>
      </c>
      <c r="P61" s="1559">
        <f t="shared" si="4"/>
        <v>37.591555183994167</v>
      </c>
      <c r="Q61" s="1559">
        <f t="shared" si="5"/>
        <v>41.539975012374789</v>
      </c>
      <c r="R61" s="566">
        <f t="shared" si="6"/>
        <v>79.131530196368956</v>
      </c>
    </row>
    <row r="62" spans="7:18" ht="14.25" thickBot="1" x14ac:dyDescent="0.3">
      <c r="N62" s="1558" t="s">
        <v>3707</v>
      </c>
      <c r="O62" s="1559">
        <f>SUM(AO32)</f>
        <v>55.152278621711702</v>
      </c>
      <c r="P62" s="1559">
        <f t="shared" si="4"/>
        <v>26.200174825208055</v>
      </c>
      <c r="Q62" s="1559">
        <f t="shared" si="5"/>
        <v>28.952103796503646</v>
      </c>
      <c r="R62" s="566">
        <f t="shared" si="6"/>
        <v>55.152278621711702</v>
      </c>
    </row>
    <row r="63" spans="7:18" ht="14.25" thickBot="1" x14ac:dyDescent="0.3">
      <c r="N63" s="1558" t="s">
        <v>3708</v>
      </c>
      <c r="O63" s="1559">
        <f>SUM(AP32)</f>
        <v>56.950722489810985</v>
      </c>
      <c r="P63" s="1559">
        <f t="shared" si="4"/>
        <v>27.054528352117011</v>
      </c>
      <c r="Q63" s="1559">
        <f t="shared" si="5"/>
        <v>29.896194137693975</v>
      </c>
      <c r="R63" s="566">
        <f t="shared" si="6"/>
        <v>56.950722489810985</v>
      </c>
    </row>
    <row r="64" spans="7:18" ht="14.25" thickBot="1" x14ac:dyDescent="0.3">
      <c r="N64" s="1558" t="s">
        <v>3709</v>
      </c>
      <c r="O64" s="1559">
        <f>SUM(AQ32)</f>
        <v>40.764727676917346</v>
      </c>
      <c r="P64" s="1559">
        <f t="shared" si="4"/>
        <v>19.365346609936392</v>
      </c>
      <c r="Q64" s="1559">
        <f t="shared" si="5"/>
        <v>21.399381066980954</v>
      </c>
      <c r="R64" s="566">
        <f t="shared" si="6"/>
        <v>40.764727676917346</v>
      </c>
    </row>
    <row r="65" spans="14:20" ht="14.25" thickBot="1" x14ac:dyDescent="0.3">
      <c r="N65" s="1558" t="s">
        <v>3710</v>
      </c>
      <c r="O65" s="1559">
        <f>SUM(AR32)</f>
        <v>34.170433493886598</v>
      </c>
      <c r="P65" s="1559">
        <f t="shared" si="4"/>
        <v>16.232717011270211</v>
      </c>
      <c r="Q65" s="1559">
        <f t="shared" si="5"/>
        <v>17.937716482616388</v>
      </c>
      <c r="R65" s="566">
        <f t="shared" si="6"/>
        <v>34.170433493886598</v>
      </c>
    </row>
    <row r="66" spans="14:20" ht="14.25" thickBot="1" x14ac:dyDescent="0.3">
      <c r="N66" s="1558" t="s">
        <v>3711</v>
      </c>
      <c r="O66" s="1559">
        <f>SUM(AS32)</f>
        <v>26.37717673212299</v>
      </c>
      <c r="P66" s="1559">
        <f t="shared" si="4"/>
        <v>12.530518394664725</v>
      </c>
      <c r="Q66" s="1559">
        <f t="shared" si="5"/>
        <v>13.846658337458265</v>
      </c>
      <c r="R66" s="566">
        <f t="shared" si="6"/>
        <v>26.37717673212299</v>
      </c>
    </row>
    <row r="67" spans="14:20" ht="14.25" thickBot="1" x14ac:dyDescent="0.3">
      <c r="N67" s="1558" t="s">
        <v>3712</v>
      </c>
      <c r="O67" s="1559">
        <f>SUM(AT32)</f>
        <v>23.379770285290832</v>
      </c>
      <c r="P67" s="1559">
        <f t="shared" si="4"/>
        <v>11.106595849816459</v>
      </c>
      <c r="Q67" s="1559">
        <f t="shared" si="5"/>
        <v>12.273174435474372</v>
      </c>
      <c r="R67" s="566">
        <f t="shared" si="6"/>
        <v>23.379770285290832</v>
      </c>
    </row>
    <row r="68" spans="14:20" x14ac:dyDescent="0.25">
      <c r="O68" s="566">
        <f>SUM(O51:O67)</f>
        <v>1821.1311596887722</v>
      </c>
      <c r="P68" s="566">
        <f t="shared" ref="P68:Q68" si="7">SUM(P51:P67)</f>
        <v>865.1311596887723</v>
      </c>
      <c r="Q68" s="566">
        <f t="shared" si="7"/>
        <v>956</v>
      </c>
    </row>
    <row r="70" spans="14:20" ht="14.25" thickBot="1" x14ac:dyDescent="0.3"/>
    <row r="71" spans="14:20" ht="15.75" customHeight="1" thickBot="1" x14ac:dyDescent="0.3">
      <c r="N71" s="3990" t="s">
        <v>3715</v>
      </c>
      <c r="O71" s="4011" t="s">
        <v>3716</v>
      </c>
      <c r="P71" s="4011"/>
      <c r="Q71" s="4011"/>
      <c r="R71" s="4011"/>
      <c r="S71" s="4011"/>
      <c r="T71" s="4012"/>
    </row>
    <row r="72" spans="14:20" ht="15.75" customHeight="1" thickBot="1" x14ac:dyDescent="0.3">
      <c r="N72" s="3991"/>
      <c r="O72" s="4013" t="s">
        <v>0</v>
      </c>
      <c r="P72" s="4013"/>
      <c r="Q72" s="3460" t="s">
        <v>1368</v>
      </c>
      <c r="R72" s="3460"/>
      <c r="S72" s="3460" t="s">
        <v>1369</v>
      </c>
      <c r="T72" s="3461"/>
    </row>
    <row r="73" spans="14:20" ht="15.75" customHeight="1" thickBot="1" x14ac:dyDescent="0.3">
      <c r="N73" s="3992"/>
      <c r="O73" s="3457" t="s">
        <v>5853</v>
      </c>
      <c r="P73" s="3457" t="s">
        <v>163</v>
      </c>
      <c r="Q73" s="3457" t="s">
        <v>5853</v>
      </c>
      <c r="R73" s="3457" t="s">
        <v>163</v>
      </c>
      <c r="S73" s="3457" t="s">
        <v>5853</v>
      </c>
      <c r="T73" s="638" t="s">
        <v>163</v>
      </c>
    </row>
    <row r="74" spans="14:20" ht="14.25" thickBot="1" x14ac:dyDescent="0.3">
      <c r="N74" s="3458" t="s">
        <v>3696</v>
      </c>
      <c r="O74" s="1559">
        <v>1260.0063589453327</v>
      </c>
      <c r="P74" s="3462">
        <f>O74/$O$91</f>
        <v>0.10120485238116225</v>
      </c>
      <c r="Q74" s="1559">
        <v>610.87542641636617</v>
      </c>
      <c r="R74" s="3462">
        <f>Q74/$Q$91</f>
        <v>0.10120485238116224</v>
      </c>
      <c r="S74" s="1559">
        <v>649.13093252896658</v>
      </c>
      <c r="T74" s="3462">
        <f>S74/$S$91</f>
        <v>0.10120485238116225</v>
      </c>
    </row>
    <row r="75" spans="14:20" ht="14.25" thickBot="1" x14ac:dyDescent="0.3">
      <c r="N75" s="3458" t="s">
        <v>3697</v>
      </c>
      <c r="O75" s="1559">
        <v>1339.0061060327344</v>
      </c>
      <c r="P75" s="3462">
        <f t="shared" ref="P75:P90" si="8">O75/$O$91</f>
        <v>0.10755018364506304</v>
      </c>
      <c r="Q75" s="1559">
        <v>649.17603009680784</v>
      </c>
      <c r="R75" s="3462">
        <f t="shared" ref="R75:R90" si="9">Q75/$Q$91</f>
        <v>0.10755018364506304</v>
      </c>
      <c r="S75" s="1559">
        <v>689.83007593592652</v>
      </c>
      <c r="T75" s="3462">
        <f t="shared" ref="T75:T90" si="10">S75/$S$91</f>
        <v>0.10755018364506305</v>
      </c>
    </row>
    <row r="76" spans="14:20" ht="14.25" thickBot="1" x14ac:dyDescent="0.3">
      <c r="N76" s="3458" t="s">
        <v>3698</v>
      </c>
      <c r="O76" s="1559">
        <v>1403.0064673364461</v>
      </c>
      <c r="P76" s="3462">
        <f t="shared" si="8"/>
        <v>0.11269075065260163</v>
      </c>
      <c r="Q76" s="1559">
        <v>680.20464175788811</v>
      </c>
      <c r="R76" s="3462">
        <f t="shared" si="9"/>
        <v>0.11269075065260163</v>
      </c>
      <c r="S76" s="1559">
        <v>722.80182557855801</v>
      </c>
      <c r="T76" s="3462">
        <f t="shared" si="10"/>
        <v>0.11269075065260163</v>
      </c>
    </row>
    <row r="77" spans="14:20" ht="14.25" thickBot="1" x14ac:dyDescent="0.3">
      <c r="N77" s="3458" t="s">
        <v>3699</v>
      </c>
      <c r="O77" s="1559">
        <v>1003.0043115576306</v>
      </c>
      <c r="P77" s="3462">
        <f t="shared" si="8"/>
        <v>8.0562215077887064E-2</v>
      </c>
      <c r="Q77" s="1559">
        <v>486.2758685067912</v>
      </c>
      <c r="R77" s="3462">
        <f t="shared" si="9"/>
        <v>8.0562215077887064E-2</v>
      </c>
      <c r="S77" s="1559">
        <v>516.72844305083936</v>
      </c>
      <c r="T77" s="3462">
        <f t="shared" si="10"/>
        <v>8.0562215077887064E-2</v>
      </c>
    </row>
    <row r="78" spans="14:20" ht="14.25" thickBot="1" x14ac:dyDescent="0.3">
      <c r="N78" s="3458" t="s">
        <v>3700</v>
      </c>
      <c r="O78" s="1559">
        <v>773.00336012452203</v>
      </c>
      <c r="P78" s="3462">
        <f t="shared" si="8"/>
        <v>6.2088330266068803E-2</v>
      </c>
      <c r="Q78" s="1559">
        <v>374.76696358310897</v>
      </c>
      <c r="R78" s="3462">
        <f t="shared" si="9"/>
        <v>6.2088330266068796E-2</v>
      </c>
      <c r="S78" s="1559">
        <v>398.23639654141306</v>
      </c>
      <c r="T78" s="3462">
        <f t="shared" si="10"/>
        <v>6.2088330266068803E-2</v>
      </c>
    </row>
    <row r="79" spans="14:20" ht="14.25" thickBot="1" x14ac:dyDescent="0.3">
      <c r="N79" s="3458" t="s">
        <v>3701</v>
      </c>
      <c r="O79" s="1559">
        <v>793.00399842774698</v>
      </c>
      <c r="P79" s="3462">
        <f t="shared" si="8"/>
        <v>6.36947996561925E-2</v>
      </c>
      <c r="Q79" s="1559">
        <v>384.46365944923843</v>
      </c>
      <c r="R79" s="3462">
        <f t="shared" si="9"/>
        <v>6.36947996561925E-2</v>
      </c>
      <c r="S79" s="1559">
        <v>408.54033897850854</v>
      </c>
      <c r="T79" s="3462">
        <f t="shared" si="10"/>
        <v>6.3694799656192513E-2</v>
      </c>
    </row>
    <row r="80" spans="14:20" ht="14.25" thickBot="1" x14ac:dyDescent="0.3">
      <c r="N80" s="3458" t="s">
        <v>3702</v>
      </c>
      <c r="O80" s="1559">
        <v>1183.0056363379088</v>
      </c>
      <c r="P80" s="3462">
        <f t="shared" si="8"/>
        <v>9.5020084574712407E-2</v>
      </c>
      <c r="Q80" s="1559">
        <v>573.54398842540968</v>
      </c>
      <c r="R80" s="3462">
        <f t="shared" si="9"/>
        <v>9.5020084574712393E-2</v>
      </c>
      <c r="S80" s="1559">
        <v>609.46164791249907</v>
      </c>
      <c r="T80" s="3462">
        <f t="shared" si="10"/>
        <v>9.5020084574712435E-2</v>
      </c>
    </row>
    <row r="81" spans="14:20" ht="14.25" thickBot="1" x14ac:dyDescent="0.3">
      <c r="N81" s="3458" t="s">
        <v>3703</v>
      </c>
      <c r="O81" s="1559">
        <v>928.00467286134301</v>
      </c>
      <c r="P81" s="3462">
        <f t="shared" si="8"/>
        <v>7.453817614426482E-2</v>
      </c>
      <c r="Q81" s="1559">
        <v>449.91459465733448</v>
      </c>
      <c r="R81" s="3462">
        <f t="shared" si="9"/>
        <v>7.453817614426482E-2</v>
      </c>
      <c r="S81" s="1559">
        <v>478.09007820400853</v>
      </c>
      <c r="T81" s="3462">
        <f t="shared" si="10"/>
        <v>7.4538176144264834E-2</v>
      </c>
    </row>
    <row r="82" spans="14:20" ht="14.25" thickBot="1" x14ac:dyDescent="0.3">
      <c r="N82" s="3458" t="s">
        <v>3704</v>
      </c>
      <c r="O82" s="1559">
        <v>764.00342034180744</v>
      </c>
      <c r="P82" s="3462">
        <f t="shared" si="8"/>
        <v>6.1365446948312072E-2</v>
      </c>
      <c r="Q82" s="1559">
        <v>370.40361889563508</v>
      </c>
      <c r="R82" s="3462">
        <f t="shared" si="9"/>
        <v>6.1365446948312058E-2</v>
      </c>
      <c r="S82" s="1559">
        <v>393.59980144617236</v>
      </c>
      <c r="T82" s="3462">
        <f t="shared" si="10"/>
        <v>6.1365446948312079E-2</v>
      </c>
    </row>
    <row r="83" spans="14:20" ht="14.25" thickBot="1" x14ac:dyDescent="0.3">
      <c r="N83" s="3458" t="s">
        <v>3705</v>
      </c>
      <c r="O83" s="1559">
        <v>771.00352873292115</v>
      </c>
      <c r="P83" s="3462">
        <f t="shared" si="8"/>
        <v>6.1927701996745153E-2</v>
      </c>
      <c r="Q83" s="1559">
        <v>373.79740668727902</v>
      </c>
      <c r="R83" s="3462">
        <f t="shared" si="9"/>
        <v>6.1927701996745146E-2</v>
      </c>
      <c r="S83" s="1559">
        <v>397.20612204564213</v>
      </c>
      <c r="T83" s="3462">
        <f t="shared" si="10"/>
        <v>6.1927701996745153E-2</v>
      </c>
    </row>
    <row r="84" spans="14:20" ht="14.25" thickBot="1" x14ac:dyDescent="0.3">
      <c r="N84" s="3458" t="s">
        <v>3706</v>
      </c>
      <c r="O84" s="1559">
        <v>565.00256525635575</v>
      </c>
      <c r="P84" s="3462">
        <f t="shared" si="8"/>
        <v>4.538151796282193E-2</v>
      </c>
      <c r="Q84" s="1559">
        <v>273.92415960996885</v>
      </c>
      <c r="R84" s="3462">
        <f t="shared" si="9"/>
        <v>4.5381517962821923E-2</v>
      </c>
      <c r="S84" s="1559">
        <v>291.0784056463869</v>
      </c>
      <c r="T84" s="3462">
        <f t="shared" si="10"/>
        <v>4.5381517962821936E-2</v>
      </c>
    </row>
    <row r="85" spans="14:20" ht="14.25" thickBot="1" x14ac:dyDescent="0.3">
      <c r="N85" s="3458" t="s">
        <v>3707</v>
      </c>
      <c r="O85" s="1559">
        <v>444.00205943115878</v>
      </c>
      <c r="P85" s="3462">
        <f t="shared" si="8"/>
        <v>3.5662647702250229E-2</v>
      </c>
      <c r="Q85" s="1559">
        <v>215.26077662955794</v>
      </c>
      <c r="R85" s="3462">
        <f t="shared" si="9"/>
        <v>3.5662647702250229E-2</v>
      </c>
      <c r="S85" s="1559">
        <v>228.74128280160085</v>
      </c>
      <c r="T85" s="3462">
        <f t="shared" si="10"/>
        <v>3.5662647702250236E-2</v>
      </c>
    </row>
    <row r="86" spans="14:20" ht="14.25" thickBot="1" x14ac:dyDescent="0.3">
      <c r="N86" s="3458" t="s">
        <v>3708</v>
      </c>
      <c r="O86" s="1559">
        <v>392.00198717041644</v>
      </c>
      <c r="P86" s="3462">
        <f t="shared" si="8"/>
        <v>3.1485954783523042E-2</v>
      </c>
      <c r="Q86" s="1559">
        <v>190.05013694472993</v>
      </c>
      <c r="R86" s="3462">
        <f t="shared" si="9"/>
        <v>3.1485954783523042E-2</v>
      </c>
      <c r="S86" s="1559">
        <v>201.95185022568651</v>
      </c>
      <c r="T86" s="3462">
        <f t="shared" si="10"/>
        <v>3.1485954783523049E-2</v>
      </c>
    </row>
    <row r="87" spans="14:20" ht="14.25" thickBot="1" x14ac:dyDescent="0.3">
      <c r="N87" s="3458" t="s">
        <v>3709</v>
      </c>
      <c r="O87" s="1559">
        <v>293.00149338867664</v>
      </c>
      <c r="P87" s="3462">
        <f t="shared" si="8"/>
        <v>2.3534145423426113E-2</v>
      </c>
      <c r="Q87" s="1559">
        <v>142.05278484805294</v>
      </c>
      <c r="R87" s="3462">
        <f t="shared" si="9"/>
        <v>2.353414542342611E-2</v>
      </c>
      <c r="S87" s="1559">
        <v>150.9487085406237</v>
      </c>
      <c r="T87" s="3462">
        <f t="shared" si="10"/>
        <v>2.3534145423426116E-2</v>
      </c>
    </row>
    <row r="88" spans="14:20" ht="14.25" thickBot="1" x14ac:dyDescent="0.3">
      <c r="N88" s="3458" t="s">
        <v>3710</v>
      </c>
      <c r="O88" s="1559">
        <v>226.00110799805034</v>
      </c>
      <c r="P88" s="3462">
        <f t="shared" si="8"/>
        <v>1.815261376305018E-2</v>
      </c>
      <c r="Q88" s="1559">
        <v>109.56970354851208</v>
      </c>
      <c r="R88" s="3462">
        <f t="shared" si="9"/>
        <v>1.8152613763050177E-2</v>
      </c>
      <c r="S88" s="1559">
        <v>116.43140444953826</v>
      </c>
      <c r="T88" s="3462">
        <f t="shared" si="10"/>
        <v>1.815261376305018E-2</v>
      </c>
    </row>
    <row r="89" spans="14:20" ht="14.25" thickBot="1" x14ac:dyDescent="0.3">
      <c r="N89" s="3458" t="s">
        <v>3711</v>
      </c>
      <c r="O89" s="1559">
        <v>179.00102369385084</v>
      </c>
      <c r="P89" s="3462">
        <f t="shared" si="8"/>
        <v>1.4377524407239186E-2</v>
      </c>
      <c r="Q89" s="1559">
        <v>86.783154625881835</v>
      </c>
      <c r="R89" s="3462">
        <f t="shared" si="9"/>
        <v>1.4377524407239183E-2</v>
      </c>
      <c r="S89" s="1559">
        <v>92.217869067969005</v>
      </c>
      <c r="T89" s="3462">
        <f t="shared" si="10"/>
        <v>1.4377524407239188E-2</v>
      </c>
    </row>
    <row r="90" spans="14:20" ht="14.25" thickBot="1" x14ac:dyDescent="0.3">
      <c r="N90" s="3458" t="s">
        <v>3712</v>
      </c>
      <c r="O90" s="1559">
        <v>134.00066239013879</v>
      </c>
      <c r="P90" s="3462">
        <f t="shared" si="8"/>
        <v>1.0763054614679402E-2</v>
      </c>
      <c r="Q90" s="1559">
        <v>64.966110048975608</v>
      </c>
      <c r="R90" s="3462">
        <f t="shared" si="9"/>
        <v>1.0763054614679402E-2</v>
      </c>
      <c r="S90" s="1559">
        <v>69.034552341163177</v>
      </c>
      <c r="T90" s="3462">
        <f t="shared" si="10"/>
        <v>1.0763054614679404E-2</v>
      </c>
    </row>
    <row r="91" spans="14:20" x14ac:dyDescent="0.25">
      <c r="O91" s="566">
        <f>SUM(O74:O90)</f>
        <v>12450.058760027043</v>
      </c>
      <c r="P91" s="566">
        <f>SUM(P74:P90)</f>
        <v>0.99999999999999989</v>
      </c>
      <c r="Q91" s="566">
        <f t="shared" ref="Q91" si="11">SUM(Q74:Q90)</f>
        <v>6036.0290247315397</v>
      </c>
      <c r="R91" s="566">
        <f>SUM(R74:R90)</f>
        <v>0.99999999999999978</v>
      </c>
      <c r="S91" s="566">
        <f t="shared" ref="S91" si="12">SUM(S74:S90)</f>
        <v>6414.0297352955031</v>
      </c>
      <c r="T91" s="566">
        <f>SUM(T74:T90)</f>
        <v>1</v>
      </c>
    </row>
  </sheetData>
  <mergeCells count="21">
    <mergeCell ref="N49:N50"/>
    <mergeCell ref="O49:Q49"/>
    <mergeCell ref="N71:N73"/>
    <mergeCell ref="O72:P72"/>
    <mergeCell ref="O71:T71"/>
    <mergeCell ref="C6:BA6"/>
    <mergeCell ref="C8:C9"/>
    <mergeCell ref="D8:D9"/>
    <mergeCell ref="E8:E9"/>
    <mergeCell ref="G8:G9"/>
    <mergeCell ref="H8:H9"/>
    <mergeCell ref="I8:I9"/>
    <mergeCell ref="J8:J9"/>
    <mergeCell ref="K8:K9"/>
    <mergeCell ref="L8:L9"/>
    <mergeCell ref="M8:M9"/>
    <mergeCell ref="N8:AT8"/>
    <mergeCell ref="AU8:AU9"/>
    <mergeCell ref="AV8:AV9"/>
    <mergeCell ref="AW8:BA8"/>
    <mergeCell ref="F8:F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249977111117893"/>
  </sheetPr>
  <dimension ref="C1:AQ477"/>
  <sheetViews>
    <sheetView zoomScale="70" zoomScaleNormal="70" workbookViewId="0">
      <selection activeCell="XFD54" sqref="XFD54"/>
    </sheetView>
  </sheetViews>
  <sheetFormatPr baseColWidth="10" defaultColWidth="11.5703125" defaultRowHeight="16.5" x14ac:dyDescent="0.3"/>
  <cols>
    <col min="1" max="2" width="1.7109375" style="4" customWidth="1"/>
    <col min="3" max="3" width="3.7109375" style="6" customWidth="1"/>
    <col min="4" max="4" width="4.42578125" style="4" customWidth="1"/>
    <col min="5" max="5" width="44.85546875" style="4" customWidth="1"/>
    <col min="6" max="6" width="14.5703125" style="5" customWidth="1"/>
    <col min="7" max="7" width="20.42578125" style="4" customWidth="1"/>
    <col min="8" max="9" width="12.7109375" style="4" customWidth="1"/>
    <col min="10" max="10" width="11.5703125" style="4" customWidth="1"/>
    <col min="11" max="11" width="12.7109375" style="4" customWidth="1"/>
    <col min="12" max="12" width="7.7109375" style="4" customWidth="1"/>
    <col min="13" max="13" width="33.85546875" style="4" customWidth="1"/>
    <col min="14" max="14" width="9.28515625" style="4" customWidth="1"/>
    <col min="15" max="15" width="11.140625" style="4" customWidth="1"/>
    <col min="16" max="16" width="8.5703125" style="4" customWidth="1"/>
    <col min="17" max="24" width="12.7109375" style="4" customWidth="1"/>
    <col min="25" max="28" width="11.5703125" style="4" customWidth="1"/>
    <col min="29" max="37" width="11.5703125" style="4"/>
    <col min="38" max="38" width="64.140625" style="4" bestFit="1" customWidth="1"/>
    <col min="39" max="257" width="11.5703125" style="4"/>
    <col min="258" max="258" width="3.7109375" style="4" customWidth="1"/>
    <col min="259" max="259" width="4.42578125" style="4" customWidth="1"/>
    <col min="260" max="260" width="35.42578125" style="4" customWidth="1"/>
    <col min="261" max="261" width="14.5703125" style="4" customWidth="1"/>
    <col min="262" max="279" width="12.7109375" style="4" customWidth="1"/>
    <col min="280" max="513" width="11.5703125" style="4"/>
    <col min="514" max="514" width="3.7109375" style="4" customWidth="1"/>
    <col min="515" max="515" width="4.42578125" style="4" customWidth="1"/>
    <col min="516" max="516" width="35.42578125" style="4" customWidth="1"/>
    <col min="517" max="517" width="14.5703125" style="4" customWidth="1"/>
    <col min="518" max="535" width="12.7109375" style="4" customWidth="1"/>
    <col min="536" max="769" width="11.5703125" style="4"/>
    <col min="770" max="770" width="3.7109375" style="4" customWidth="1"/>
    <col min="771" max="771" width="4.42578125" style="4" customWidth="1"/>
    <col min="772" max="772" width="35.42578125" style="4" customWidth="1"/>
    <col min="773" max="773" width="14.5703125" style="4" customWidth="1"/>
    <col min="774" max="791" width="12.7109375" style="4" customWidth="1"/>
    <col min="792" max="1025" width="11.5703125" style="4"/>
    <col min="1026" max="1026" width="3.7109375" style="4" customWidth="1"/>
    <col min="1027" max="1027" width="4.42578125" style="4" customWidth="1"/>
    <col min="1028" max="1028" width="35.42578125" style="4" customWidth="1"/>
    <col min="1029" max="1029" width="14.5703125" style="4" customWidth="1"/>
    <col min="1030" max="1047" width="12.7109375" style="4" customWidth="1"/>
    <col min="1048" max="1281" width="11.5703125" style="4"/>
    <col min="1282" max="1282" width="3.7109375" style="4" customWidth="1"/>
    <col min="1283" max="1283" width="4.42578125" style="4" customWidth="1"/>
    <col min="1284" max="1284" width="35.42578125" style="4" customWidth="1"/>
    <col min="1285" max="1285" width="14.5703125" style="4" customWidth="1"/>
    <col min="1286" max="1303" width="12.7109375" style="4" customWidth="1"/>
    <col min="1304" max="1537" width="11.5703125" style="4"/>
    <col min="1538" max="1538" width="3.7109375" style="4" customWidth="1"/>
    <col min="1539" max="1539" width="4.42578125" style="4" customWidth="1"/>
    <col min="1540" max="1540" width="35.42578125" style="4" customWidth="1"/>
    <col min="1541" max="1541" width="14.5703125" style="4" customWidth="1"/>
    <col min="1542" max="1559" width="12.7109375" style="4" customWidth="1"/>
    <col min="1560" max="1793" width="11.5703125" style="4"/>
    <col min="1794" max="1794" width="3.7109375" style="4" customWidth="1"/>
    <col min="1795" max="1795" width="4.42578125" style="4" customWidth="1"/>
    <col min="1796" max="1796" width="35.42578125" style="4" customWidth="1"/>
    <col min="1797" max="1797" width="14.5703125" style="4" customWidth="1"/>
    <col min="1798" max="1815" width="12.7109375" style="4" customWidth="1"/>
    <col min="1816" max="2049" width="11.5703125" style="4"/>
    <col min="2050" max="2050" width="3.7109375" style="4" customWidth="1"/>
    <col min="2051" max="2051" width="4.42578125" style="4" customWidth="1"/>
    <col min="2052" max="2052" width="35.42578125" style="4" customWidth="1"/>
    <col min="2053" max="2053" width="14.5703125" style="4" customWidth="1"/>
    <col min="2054" max="2071" width="12.7109375" style="4" customWidth="1"/>
    <col min="2072" max="2305" width="11.5703125" style="4"/>
    <col min="2306" max="2306" width="3.7109375" style="4" customWidth="1"/>
    <col min="2307" max="2307" width="4.42578125" style="4" customWidth="1"/>
    <col min="2308" max="2308" width="35.42578125" style="4" customWidth="1"/>
    <col min="2309" max="2309" width="14.5703125" style="4" customWidth="1"/>
    <col min="2310" max="2327" width="12.7109375" style="4" customWidth="1"/>
    <col min="2328" max="2561" width="11.5703125" style="4"/>
    <col min="2562" max="2562" width="3.7109375" style="4" customWidth="1"/>
    <col min="2563" max="2563" width="4.42578125" style="4" customWidth="1"/>
    <col min="2564" max="2564" width="35.42578125" style="4" customWidth="1"/>
    <col min="2565" max="2565" width="14.5703125" style="4" customWidth="1"/>
    <col min="2566" max="2583" width="12.7109375" style="4" customWidth="1"/>
    <col min="2584" max="2817" width="11.5703125" style="4"/>
    <col min="2818" max="2818" width="3.7109375" style="4" customWidth="1"/>
    <col min="2819" max="2819" width="4.42578125" style="4" customWidth="1"/>
    <col min="2820" max="2820" width="35.42578125" style="4" customWidth="1"/>
    <col min="2821" max="2821" width="14.5703125" style="4" customWidth="1"/>
    <col min="2822" max="2839" width="12.7109375" style="4" customWidth="1"/>
    <col min="2840" max="3073" width="11.5703125" style="4"/>
    <col min="3074" max="3074" width="3.7109375" style="4" customWidth="1"/>
    <col min="3075" max="3075" width="4.42578125" style="4" customWidth="1"/>
    <col min="3076" max="3076" width="35.42578125" style="4" customWidth="1"/>
    <col min="3077" max="3077" width="14.5703125" style="4" customWidth="1"/>
    <col min="3078" max="3095" width="12.7109375" style="4" customWidth="1"/>
    <col min="3096" max="3329" width="11.5703125" style="4"/>
    <col min="3330" max="3330" width="3.7109375" style="4" customWidth="1"/>
    <col min="3331" max="3331" width="4.42578125" style="4" customWidth="1"/>
    <col min="3332" max="3332" width="35.42578125" style="4" customWidth="1"/>
    <col min="3333" max="3333" width="14.5703125" style="4" customWidth="1"/>
    <col min="3334" max="3351" width="12.7109375" style="4" customWidth="1"/>
    <col min="3352" max="3585" width="11.5703125" style="4"/>
    <col min="3586" max="3586" width="3.7109375" style="4" customWidth="1"/>
    <col min="3587" max="3587" width="4.42578125" style="4" customWidth="1"/>
    <col min="3588" max="3588" width="35.42578125" style="4" customWidth="1"/>
    <col min="3589" max="3589" width="14.5703125" style="4" customWidth="1"/>
    <col min="3590" max="3607" width="12.7109375" style="4" customWidth="1"/>
    <col min="3608" max="3841" width="11.5703125" style="4"/>
    <col min="3842" max="3842" width="3.7109375" style="4" customWidth="1"/>
    <col min="3843" max="3843" width="4.42578125" style="4" customWidth="1"/>
    <col min="3844" max="3844" width="35.42578125" style="4" customWidth="1"/>
    <col min="3845" max="3845" width="14.5703125" style="4" customWidth="1"/>
    <col min="3846" max="3863" width="12.7109375" style="4" customWidth="1"/>
    <col min="3864" max="4097" width="11.5703125" style="4"/>
    <col min="4098" max="4098" width="3.7109375" style="4" customWidth="1"/>
    <col min="4099" max="4099" width="4.42578125" style="4" customWidth="1"/>
    <col min="4100" max="4100" width="35.42578125" style="4" customWidth="1"/>
    <col min="4101" max="4101" width="14.5703125" style="4" customWidth="1"/>
    <col min="4102" max="4119" width="12.7109375" style="4" customWidth="1"/>
    <col min="4120" max="4353" width="11.5703125" style="4"/>
    <col min="4354" max="4354" width="3.7109375" style="4" customWidth="1"/>
    <col min="4355" max="4355" width="4.42578125" style="4" customWidth="1"/>
    <col min="4356" max="4356" width="35.42578125" style="4" customWidth="1"/>
    <col min="4357" max="4357" width="14.5703125" style="4" customWidth="1"/>
    <col min="4358" max="4375" width="12.7109375" style="4" customWidth="1"/>
    <col min="4376" max="4609" width="11.5703125" style="4"/>
    <col min="4610" max="4610" width="3.7109375" style="4" customWidth="1"/>
    <col min="4611" max="4611" width="4.42578125" style="4" customWidth="1"/>
    <col min="4612" max="4612" width="35.42578125" style="4" customWidth="1"/>
    <col min="4613" max="4613" width="14.5703125" style="4" customWidth="1"/>
    <col min="4614" max="4631" width="12.7109375" style="4" customWidth="1"/>
    <col min="4632" max="4865" width="11.5703125" style="4"/>
    <col min="4866" max="4866" width="3.7109375" style="4" customWidth="1"/>
    <col min="4867" max="4867" width="4.42578125" style="4" customWidth="1"/>
    <col min="4868" max="4868" width="35.42578125" style="4" customWidth="1"/>
    <col min="4869" max="4869" width="14.5703125" style="4" customWidth="1"/>
    <col min="4870" max="4887" width="12.7109375" style="4" customWidth="1"/>
    <col min="4888" max="5121" width="11.5703125" style="4"/>
    <col min="5122" max="5122" width="3.7109375" style="4" customWidth="1"/>
    <col min="5123" max="5123" width="4.42578125" style="4" customWidth="1"/>
    <col min="5124" max="5124" width="35.42578125" style="4" customWidth="1"/>
    <col min="5125" max="5125" width="14.5703125" style="4" customWidth="1"/>
    <col min="5126" max="5143" width="12.7109375" style="4" customWidth="1"/>
    <col min="5144" max="5377" width="11.5703125" style="4"/>
    <col min="5378" max="5378" width="3.7109375" style="4" customWidth="1"/>
    <col min="5379" max="5379" width="4.42578125" style="4" customWidth="1"/>
    <col min="5380" max="5380" width="35.42578125" style="4" customWidth="1"/>
    <col min="5381" max="5381" width="14.5703125" style="4" customWidth="1"/>
    <col min="5382" max="5399" width="12.7109375" style="4" customWidth="1"/>
    <col min="5400" max="5633" width="11.5703125" style="4"/>
    <col min="5634" max="5634" width="3.7109375" style="4" customWidth="1"/>
    <col min="5635" max="5635" width="4.42578125" style="4" customWidth="1"/>
    <col min="5636" max="5636" width="35.42578125" style="4" customWidth="1"/>
    <col min="5637" max="5637" width="14.5703125" style="4" customWidth="1"/>
    <col min="5638" max="5655" width="12.7109375" style="4" customWidth="1"/>
    <col min="5656" max="5889" width="11.5703125" style="4"/>
    <col min="5890" max="5890" width="3.7109375" style="4" customWidth="1"/>
    <col min="5891" max="5891" width="4.42578125" style="4" customWidth="1"/>
    <col min="5892" max="5892" width="35.42578125" style="4" customWidth="1"/>
    <col min="5893" max="5893" width="14.5703125" style="4" customWidth="1"/>
    <col min="5894" max="5911" width="12.7109375" style="4" customWidth="1"/>
    <col min="5912" max="6145" width="11.5703125" style="4"/>
    <col min="6146" max="6146" width="3.7109375" style="4" customWidth="1"/>
    <col min="6147" max="6147" width="4.42578125" style="4" customWidth="1"/>
    <col min="6148" max="6148" width="35.42578125" style="4" customWidth="1"/>
    <col min="6149" max="6149" width="14.5703125" style="4" customWidth="1"/>
    <col min="6150" max="6167" width="12.7109375" style="4" customWidth="1"/>
    <col min="6168" max="6401" width="11.5703125" style="4"/>
    <col min="6402" max="6402" width="3.7109375" style="4" customWidth="1"/>
    <col min="6403" max="6403" width="4.42578125" style="4" customWidth="1"/>
    <col min="6404" max="6404" width="35.42578125" style="4" customWidth="1"/>
    <col min="6405" max="6405" width="14.5703125" style="4" customWidth="1"/>
    <col min="6406" max="6423" width="12.7109375" style="4" customWidth="1"/>
    <col min="6424" max="6657" width="11.5703125" style="4"/>
    <col min="6658" max="6658" width="3.7109375" style="4" customWidth="1"/>
    <col min="6659" max="6659" width="4.42578125" style="4" customWidth="1"/>
    <col min="6660" max="6660" width="35.42578125" style="4" customWidth="1"/>
    <col min="6661" max="6661" width="14.5703125" style="4" customWidth="1"/>
    <col min="6662" max="6679" width="12.7109375" style="4" customWidth="1"/>
    <col min="6680" max="6913" width="11.5703125" style="4"/>
    <col min="6914" max="6914" width="3.7109375" style="4" customWidth="1"/>
    <col min="6915" max="6915" width="4.42578125" style="4" customWidth="1"/>
    <col min="6916" max="6916" width="35.42578125" style="4" customWidth="1"/>
    <col min="6917" max="6917" width="14.5703125" style="4" customWidth="1"/>
    <col min="6918" max="6935" width="12.7109375" style="4" customWidth="1"/>
    <col min="6936" max="7169" width="11.5703125" style="4"/>
    <col min="7170" max="7170" width="3.7109375" style="4" customWidth="1"/>
    <col min="7171" max="7171" width="4.42578125" style="4" customWidth="1"/>
    <col min="7172" max="7172" width="35.42578125" style="4" customWidth="1"/>
    <col min="7173" max="7173" width="14.5703125" style="4" customWidth="1"/>
    <col min="7174" max="7191" width="12.7109375" style="4" customWidth="1"/>
    <col min="7192" max="7425" width="11.5703125" style="4"/>
    <col min="7426" max="7426" width="3.7109375" style="4" customWidth="1"/>
    <col min="7427" max="7427" width="4.42578125" style="4" customWidth="1"/>
    <col min="7428" max="7428" width="35.42578125" style="4" customWidth="1"/>
    <col min="7429" max="7429" width="14.5703125" style="4" customWidth="1"/>
    <col min="7430" max="7447" width="12.7109375" style="4" customWidth="1"/>
    <col min="7448" max="7681" width="11.5703125" style="4"/>
    <col min="7682" max="7682" width="3.7109375" style="4" customWidth="1"/>
    <col min="7683" max="7683" width="4.42578125" style="4" customWidth="1"/>
    <col min="7684" max="7684" width="35.42578125" style="4" customWidth="1"/>
    <col min="7685" max="7685" width="14.5703125" style="4" customWidth="1"/>
    <col min="7686" max="7703" width="12.7109375" style="4" customWidth="1"/>
    <col min="7704" max="7937" width="11.5703125" style="4"/>
    <col min="7938" max="7938" width="3.7109375" style="4" customWidth="1"/>
    <col min="7939" max="7939" width="4.42578125" style="4" customWidth="1"/>
    <col min="7940" max="7940" width="35.42578125" style="4" customWidth="1"/>
    <col min="7941" max="7941" width="14.5703125" style="4" customWidth="1"/>
    <col min="7942" max="7959" width="12.7109375" style="4" customWidth="1"/>
    <col min="7960" max="8193" width="11.5703125" style="4"/>
    <col min="8194" max="8194" width="3.7109375" style="4" customWidth="1"/>
    <col min="8195" max="8195" width="4.42578125" style="4" customWidth="1"/>
    <col min="8196" max="8196" width="35.42578125" style="4" customWidth="1"/>
    <col min="8197" max="8197" width="14.5703125" style="4" customWidth="1"/>
    <col min="8198" max="8215" width="12.7109375" style="4" customWidth="1"/>
    <col min="8216" max="8449" width="11.5703125" style="4"/>
    <col min="8450" max="8450" width="3.7109375" style="4" customWidth="1"/>
    <col min="8451" max="8451" width="4.42578125" style="4" customWidth="1"/>
    <col min="8452" max="8452" width="35.42578125" style="4" customWidth="1"/>
    <col min="8453" max="8453" width="14.5703125" style="4" customWidth="1"/>
    <col min="8454" max="8471" width="12.7109375" style="4" customWidth="1"/>
    <col min="8472" max="8705" width="11.5703125" style="4"/>
    <col min="8706" max="8706" width="3.7109375" style="4" customWidth="1"/>
    <col min="8707" max="8707" width="4.42578125" style="4" customWidth="1"/>
    <col min="8708" max="8708" width="35.42578125" style="4" customWidth="1"/>
    <col min="8709" max="8709" width="14.5703125" style="4" customWidth="1"/>
    <col min="8710" max="8727" width="12.7109375" style="4" customWidth="1"/>
    <col min="8728" max="8961" width="11.5703125" style="4"/>
    <col min="8962" max="8962" width="3.7109375" style="4" customWidth="1"/>
    <col min="8963" max="8963" width="4.42578125" style="4" customWidth="1"/>
    <col min="8964" max="8964" width="35.42578125" style="4" customWidth="1"/>
    <col min="8965" max="8965" width="14.5703125" style="4" customWidth="1"/>
    <col min="8966" max="8983" width="12.7109375" style="4" customWidth="1"/>
    <col min="8984" max="9217" width="11.5703125" style="4"/>
    <col min="9218" max="9218" width="3.7109375" style="4" customWidth="1"/>
    <col min="9219" max="9219" width="4.42578125" style="4" customWidth="1"/>
    <col min="9220" max="9220" width="35.42578125" style="4" customWidth="1"/>
    <col min="9221" max="9221" width="14.5703125" style="4" customWidth="1"/>
    <col min="9222" max="9239" width="12.7109375" style="4" customWidth="1"/>
    <col min="9240" max="9473" width="11.5703125" style="4"/>
    <col min="9474" max="9474" width="3.7109375" style="4" customWidth="1"/>
    <col min="9475" max="9475" width="4.42578125" style="4" customWidth="1"/>
    <col min="9476" max="9476" width="35.42578125" style="4" customWidth="1"/>
    <col min="9477" max="9477" width="14.5703125" style="4" customWidth="1"/>
    <col min="9478" max="9495" width="12.7109375" style="4" customWidth="1"/>
    <col min="9496" max="9729" width="11.5703125" style="4"/>
    <col min="9730" max="9730" width="3.7109375" style="4" customWidth="1"/>
    <col min="9731" max="9731" width="4.42578125" style="4" customWidth="1"/>
    <col min="9732" max="9732" width="35.42578125" style="4" customWidth="1"/>
    <col min="9733" max="9733" width="14.5703125" style="4" customWidth="1"/>
    <col min="9734" max="9751" width="12.7109375" style="4" customWidth="1"/>
    <col min="9752" max="9985" width="11.5703125" style="4"/>
    <col min="9986" max="9986" width="3.7109375" style="4" customWidth="1"/>
    <col min="9987" max="9987" width="4.42578125" style="4" customWidth="1"/>
    <col min="9988" max="9988" width="35.42578125" style="4" customWidth="1"/>
    <col min="9989" max="9989" width="14.5703125" style="4" customWidth="1"/>
    <col min="9990" max="10007" width="12.7109375" style="4" customWidth="1"/>
    <col min="10008" max="10241" width="11.5703125" style="4"/>
    <col min="10242" max="10242" width="3.7109375" style="4" customWidth="1"/>
    <col min="10243" max="10243" width="4.42578125" style="4" customWidth="1"/>
    <col min="10244" max="10244" width="35.42578125" style="4" customWidth="1"/>
    <col min="10245" max="10245" width="14.5703125" style="4" customWidth="1"/>
    <col min="10246" max="10263" width="12.7109375" style="4" customWidth="1"/>
    <col min="10264" max="10497" width="11.5703125" style="4"/>
    <col min="10498" max="10498" width="3.7109375" style="4" customWidth="1"/>
    <col min="10499" max="10499" width="4.42578125" style="4" customWidth="1"/>
    <col min="10500" max="10500" width="35.42578125" style="4" customWidth="1"/>
    <col min="10501" max="10501" width="14.5703125" style="4" customWidth="1"/>
    <col min="10502" max="10519" width="12.7109375" style="4" customWidth="1"/>
    <col min="10520" max="10753" width="11.5703125" style="4"/>
    <col min="10754" max="10754" width="3.7109375" style="4" customWidth="1"/>
    <col min="10755" max="10755" width="4.42578125" style="4" customWidth="1"/>
    <col min="10756" max="10756" width="35.42578125" style="4" customWidth="1"/>
    <col min="10757" max="10757" width="14.5703125" style="4" customWidth="1"/>
    <col min="10758" max="10775" width="12.7109375" style="4" customWidth="1"/>
    <col min="10776" max="11009" width="11.5703125" style="4"/>
    <col min="11010" max="11010" width="3.7109375" style="4" customWidth="1"/>
    <col min="11011" max="11011" width="4.42578125" style="4" customWidth="1"/>
    <col min="11012" max="11012" width="35.42578125" style="4" customWidth="1"/>
    <col min="11013" max="11013" width="14.5703125" style="4" customWidth="1"/>
    <col min="11014" max="11031" width="12.7109375" style="4" customWidth="1"/>
    <col min="11032" max="11265" width="11.5703125" style="4"/>
    <col min="11266" max="11266" width="3.7109375" style="4" customWidth="1"/>
    <col min="11267" max="11267" width="4.42578125" style="4" customWidth="1"/>
    <col min="11268" max="11268" width="35.42578125" style="4" customWidth="1"/>
    <col min="11269" max="11269" width="14.5703125" style="4" customWidth="1"/>
    <col min="11270" max="11287" width="12.7109375" style="4" customWidth="1"/>
    <col min="11288" max="11521" width="11.5703125" style="4"/>
    <col min="11522" max="11522" width="3.7109375" style="4" customWidth="1"/>
    <col min="11523" max="11523" width="4.42578125" style="4" customWidth="1"/>
    <col min="11524" max="11524" width="35.42578125" style="4" customWidth="1"/>
    <col min="11525" max="11525" width="14.5703125" style="4" customWidth="1"/>
    <col min="11526" max="11543" width="12.7109375" style="4" customWidth="1"/>
    <col min="11544" max="11777" width="11.5703125" style="4"/>
    <col min="11778" max="11778" width="3.7109375" style="4" customWidth="1"/>
    <col min="11779" max="11779" width="4.42578125" style="4" customWidth="1"/>
    <col min="11780" max="11780" width="35.42578125" style="4" customWidth="1"/>
    <col min="11781" max="11781" width="14.5703125" style="4" customWidth="1"/>
    <col min="11782" max="11799" width="12.7109375" style="4" customWidth="1"/>
    <col min="11800" max="12033" width="11.5703125" style="4"/>
    <col min="12034" max="12034" width="3.7109375" style="4" customWidth="1"/>
    <col min="12035" max="12035" width="4.42578125" style="4" customWidth="1"/>
    <col min="12036" max="12036" width="35.42578125" style="4" customWidth="1"/>
    <col min="12037" max="12037" width="14.5703125" style="4" customWidth="1"/>
    <col min="12038" max="12055" width="12.7109375" style="4" customWidth="1"/>
    <col min="12056" max="12289" width="11.5703125" style="4"/>
    <col min="12290" max="12290" width="3.7109375" style="4" customWidth="1"/>
    <col min="12291" max="12291" width="4.42578125" style="4" customWidth="1"/>
    <col min="12292" max="12292" width="35.42578125" style="4" customWidth="1"/>
    <col min="12293" max="12293" width="14.5703125" style="4" customWidth="1"/>
    <col min="12294" max="12311" width="12.7109375" style="4" customWidth="1"/>
    <col min="12312" max="12545" width="11.5703125" style="4"/>
    <col min="12546" max="12546" width="3.7109375" style="4" customWidth="1"/>
    <col min="12547" max="12547" width="4.42578125" style="4" customWidth="1"/>
    <col min="12548" max="12548" width="35.42578125" style="4" customWidth="1"/>
    <col min="12549" max="12549" width="14.5703125" style="4" customWidth="1"/>
    <col min="12550" max="12567" width="12.7109375" style="4" customWidth="1"/>
    <col min="12568" max="12801" width="11.5703125" style="4"/>
    <col min="12802" max="12802" width="3.7109375" style="4" customWidth="1"/>
    <col min="12803" max="12803" width="4.42578125" style="4" customWidth="1"/>
    <col min="12804" max="12804" width="35.42578125" style="4" customWidth="1"/>
    <col min="12805" max="12805" width="14.5703125" style="4" customWidth="1"/>
    <col min="12806" max="12823" width="12.7109375" style="4" customWidth="1"/>
    <col min="12824" max="13057" width="11.5703125" style="4"/>
    <col min="13058" max="13058" width="3.7109375" style="4" customWidth="1"/>
    <col min="13059" max="13059" width="4.42578125" style="4" customWidth="1"/>
    <col min="13060" max="13060" width="35.42578125" style="4" customWidth="1"/>
    <col min="13061" max="13061" width="14.5703125" style="4" customWidth="1"/>
    <col min="13062" max="13079" width="12.7109375" style="4" customWidth="1"/>
    <col min="13080" max="13313" width="11.5703125" style="4"/>
    <col min="13314" max="13314" width="3.7109375" style="4" customWidth="1"/>
    <col min="13315" max="13315" width="4.42578125" style="4" customWidth="1"/>
    <col min="13316" max="13316" width="35.42578125" style="4" customWidth="1"/>
    <col min="13317" max="13317" width="14.5703125" style="4" customWidth="1"/>
    <col min="13318" max="13335" width="12.7109375" style="4" customWidth="1"/>
    <col min="13336" max="13569" width="11.5703125" style="4"/>
    <col min="13570" max="13570" width="3.7109375" style="4" customWidth="1"/>
    <col min="13571" max="13571" width="4.42578125" style="4" customWidth="1"/>
    <col min="13572" max="13572" width="35.42578125" style="4" customWidth="1"/>
    <col min="13573" max="13573" width="14.5703125" style="4" customWidth="1"/>
    <col min="13574" max="13591" width="12.7109375" style="4" customWidth="1"/>
    <col min="13592" max="13825" width="11.5703125" style="4"/>
    <col min="13826" max="13826" width="3.7109375" style="4" customWidth="1"/>
    <col min="13827" max="13827" width="4.42578125" style="4" customWidth="1"/>
    <col min="13828" max="13828" width="35.42578125" style="4" customWidth="1"/>
    <col min="13829" max="13829" width="14.5703125" style="4" customWidth="1"/>
    <col min="13830" max="13847" width="12.7109375" style="4" customWidth="1"/>
    <col min="13848" max="14081" width="11.5703125" style="4"/>
    <col min="14082" max="14082" width="3.7109375" style="4" customWidth="1"/>
    <col min="14083" max="14083" width="4.42578125" style="4" customWidth="1"/>
    <col min="14084" max="14084" width="35.42578125" style="4" customWidth="1"/>
    <col min="14085" max="14085" width="14.5703125" style="4" customWidth="1"/>
    <col min="14086" max="14103" width="12.7109375" style="4" customWidth="1"/>
    <col min="14104" max="14337" width="11.5703125" style="4"/>
    <col min="14338" max="14338" width="3.7109375" style="4" customWidth="1"/>
    <col min="14339" max="14339" width="4.42578125" style="4" customWidth="1"/>
    <col min="14340" max="14340" width="35.42578125" style="4" customWidth="1"/>
    <col min="14341" max="14341" width="14.5703125" style="4" customWidth="1"/>
    <col min="14342" max="14359" width="12.7109375" style="4" customWidth="1"/>
    <col min="14360" max="14593" width="11.5703125" style="4"/>
    <col min="14594" max="14594" width="3.7109375" style="4" customWidth="1"/>
    <col min="14595" max="14595" width="4.42578125" style="4" customWidth="1"/>
    <col min="14596" max="14596" width="35.42578125" style="4" customWidth="1"/>
    <col min="14597" max="14597" width="14.5703125" style="4" customWidth="1"/>
    <col min="14598" max="14615" width="12.7109375" style="4" customWidth="1"/>
    <col min="14616" max="14849" width="11.5703125" style="4"/>
    <col min="14850" max="14850" width="3.7109375" style="4" customWidth="1"/>
    <col min="14851" max="14851" width="4.42578125" style="4" customWidth="1"/>
    <col min="14852" max="14852" width="35.42578125" style="4" customWidth="1"/>
    <col min="14853" max="14853" width="14.5703125" style="4" customWidth="1"/>
    <col min="14854" max="14871" width="12.7109375" style="4" customWidth="1"/>
    <col min="14872" max="15105" width="11.5703125" style="4"/>
    <col min="15106" max="15106" width="3.7109375" style="4" customWidth="1"/>
    <col min="15107" max="15107" width="4.42578125" style="4" customWidth="1"/>
    <col min="15108" max="15108" width="35.42578125" style="4" customWidth="1"/>
    <col min="15109" max="15109" width="14.5703125" style="4" customWidth="1"/>
    <col min="15110" max="15127" width="12.7109375" style="4" customWidth="1"/>
    <col min="15128" max="15361" width="11.5703125" style="4"/>
    <col min="15362" max="15362" width="3.7109375" style="4" customWidth="1"/>
    <col min="15363" max="15363" width="4.42578125" style="4" customWidth="1"/>
    <col min="15364" max="15364" width="35.42578125" style="4" customWidth="1"/>
    <col min="15365" max="15365" width="14.5703125" style="4" customWidth="1"/>
    <col min="15366" max="15383" width="12.7109375" style="4" customWidth="1"/>
    <col min="15384" max="15617" width="11.5703125" style="4"/>
    <col min="15618" max="15618" width="3.7109375" style="4" customWidth="1"/>
    <col min="15619" max="15619" width="4.42578125" style="4" customWidth="1"/>
    <col min="15620" max="15620" width="35.42578125" style="4" customWidth="1"/>
    <col min="15621" max="15621" width="14.5703125" style="4" customWidth="1"/>
    <col min="15622" max="15639" width="12.7109375" style="4" customWidth="1"/>
    <col min="15640" max="15873" width="11.5703125" style="4"/>
    <col min="15874" max="15874" width="3.7109375" style="4" customWidth="1"/>
    <col min="15875" max="15875" width="4.42578125" style="4" customWidth="1"/>
    <col min="15876" max="15876" width="35.42578125" style="4" customWidth="1"/>
    <col min="15877" max="15877" width="14.5703125" style="4" customWidth="1"/>
    <col min="15878" max="15895" width="12.7109375" style="4" customWidth="1"/>
    <col min="15896" max="16129" width="11.5703125" style="4"/>
    <col min="16130" max="16130" width="3.7109375" style="4" customWidth="1"/>
    <col min="16131" max="16131" width="4.42578125" style="4" customWidth="1"/>
    <col min="16132" max="16132" width="35.42578125" style="4" customWidth="1"/>
    <col min="16133" max="16133" width="14.5703125" style="4" customWidth="1"/>
    <col min="16134" max="16151" width="12.7109375" style="4" customWidth="1"/>
    <col min="16152" max="16384" width="11.5703125" style="4"/>
  </cols>
  <sheetData>
    <row r="1" spans="3:17" x14ac:dyDescent="0.3">
      <c r="C1" s="4"/>
    </row>
    <row r="2" spans="3:17" x14ac:dyDescent="0.3">
      <c r="C2" s="4"/>
    </row>
    <row r="3" spans="3:17" x14ac:dyDescent="0.3">
      <c r="C3" s="254"/>
      <c r="E3" s="6"/>
    </row>
    <row r="4" spans="3:17" x14ac:dyDescent="0.3">
      <c r="C4" s="254"/>
      <c r="E4" s="6"/>
    </row>
    <row r="5" spans="3:17" ht="27.75" customHeight="1" x14ac:dyDescent="0.3">
      <c r="C5" s="255"/>
      <c r="D5" s="4072" t="s">
        <v>3524</v>
      </c>
      <c r="E5" s="4072"/>
      <c r="F5" s="4072"/>
      <c r="G5" s="4072"/>
      <c r="H5" s="4072"/>
      <c r="I5" s="4072"/>
      <c r="J5" s="4072"/>
      <c r="K5" s="4072"/>
      <c r="L5" s="4072"/>
      <c r="M5" s="4072"/>
      <c r="N5" s="4072"/>
      <c r="O5" s="4072"/>
      <c r="P5" s="4072"/>
      <c r="Q5" s="4072"/>
    </row>
    <row r="6" spans="3:17" x14ac:dyDescent="0.3">
      <c r="C6" s="254"/>
      <c r="D6" s="4073" t="s">
        <v>2</v>
      </c>
      <c r="E6" s="4073"/>
      <c r="F6" s="4073"/>
      <c r="G6" s="4073"/>
      <c r="H6" s="4073"/>
      <c r="I6" s="4073"/>
      <c r="J6" s="4073"/>
      <c r="K6" s="4073"/>
      <c r="L6" s="4073"/>
      <c r="M6" s="4073"/>
      <c r="N6" s="4073"/>
      <c r="O6" s="4073"/>
      <c r="P6" s="4073"/>
      <c r="Q6" s="4073"/>
    </row>
    <row r="7" spans="3:17" x14ac:dyDescent="0.3">
      <c r="C7" s="254"/>
      <c r="D7" s="11"/>
      <c r="E7" s="11"/>
      <c r="G7" s="11"/>
      <c r="H7" s="11"/>
      <c r="I7" s="11"/>
      <c r="J7" s="11"/>
      <c r="K7" s="11"/>
      <c r="L7" s="11"/>
      <c r="M7" s="11"/>
      <c r="N7" s="11"/>
      <c r="O7" s="11"/>
      <c r="P7" s="11"/>
      <c r="Q7" s="11"/>
    </row>
    <row r="8" spans="3:17" x14ac:dyDescent="0.3">
      <c r="C8" s="254"/>
      <c r="D8" s="6" t="s">
        <v>191</v>
      </c>
      <c r="F8" s="12" t="s">
        <v>6016</v>
      </c>
    </row>
    <row r="9" spans="3:17" x14ac:dyDescent="0.3">
      <c r="C9" s="254"/>
      <c r="E9" s="6"/>
    </row>
    <row r="10" spans="3:17" x14ac:dyDescent="0.3">
      <c r="C10" s="254"/>
      <c r="D10" s="6" t="s">
        <v>192</v>
      </c>
      <c r="F10" s="12" t="s">
        <v>6005</v>
      </c>
    </row>
    <row r="11" spans="3:17" x14ac:dyDescent="0.3">
      <c r="C11" s="254"/>
      <c r="D11" s="6"/>
      <c r="E11" s="6"/>
    </row>
    <row r="12" spans="3:17" x14ac:dyDescent="0.3">
      <c r="C12" s="254"/>
      <c r="E12" s="6"/>
    </row>
    <row r="13" spans="3:17" x14ac:dyDescent="0.3">
      <c r="C13" s="255">
        <v>1</v>
      </c>
      <c r="D13" s="4" t="s">
        <v>4</v>
      </c>
    </row>
    <row r="14" spans="3:17" x14ac:dyDescent="0.3">
      <c r="C14" s="255"/>
    </row>
    <row r="15" spans="3:17" x14ac:dyDescent="0.3">
      <c r="C15" s="255"/>
      <c r="E15" s="4014" t="s">
        <v>5</v>
      </c>
      <c r="F15" s="4014"/>
      <c r="G15" s="4014"/>
      <c r="H15" s="247">
        <v>2014</v>
      </c>
      <c r="I15" s="247">
        <f>H15+1</f>
        <v>2015</v>
      </c>
      <c r="J15" s="247">
        <f>I15+1</f>
        <v>2016</v>
      </c>
      <c r="K15" s="247">
        <f>J15+1</f>
        <v>2017</v>
      </c>
      <c r="L15" s="247">
        <f>K15+1</f>
        <v>2018</v>
      </c>
    </row>
    <row r="16" spans="3:17" x14ac:dyDescent="0.3">
      <c r="C16" s="255"/>
      <c r="E16" s="4069" t="s">
        <v>6</v>
      </c>
      <c r="F16" s="4069"/>
      <c r="G16" s="4069"/>
      <c r="H16" s="257">
        <f>+G87</f>
        <v>129</v>
      </c>
      <c r="I16" s="257">
        <f>+H87</f>
        <v>250</v>
      </c>
      <c r="J16" s="257">
        <f>+I87</f>
        <v>366</v>
      </c>
      <c r="K16" s="257">
        <f>+J87</f>
        <v>0</v>
      </c>
      <c r="L16" s="257">
        <f>+K87</f>
        <v>166</v>
      </c>
    </row>
    <row r="17" spans="3:20" x14ac:dyDescent="0.3">
      <c r="C17" s="255"/>
      <c r="E17" s="4069" t="s">
        <v>318</v>
      </c>
      <c r="F17" s="4069"/>
      <c r="G17" s="4069"/>
      <c r="H17" s="257">
        <f>+G45</f>
        <v>4</v>
      </c>
      <c r="I17" s="257">
        <f>+H45</f>
        <v>31</v>
      </c>
      <c r="J17" s="257">
        <f>+I45</f>
        <v>32</v>
      </c>
      <c r="K17" s="257">
        <f>+J45</f>
        <v>0</v>
      </c>
      <c r="L17" s="257">
        <f>+K45</f>
        <v>3</v>
      </c>
    </row>
    <row r="18" spans="3:20" x14ac:dyDescent="0.3">
      <c r="C18" s="255"/>
      <c r="E18" s="4" t="s">
        <v>319</v>
      </c>
    </row>
    <row r="19" spans="3:20" x14ac:dyDescent="0.3">
      <c r="C19" s="255"/>
    </row>
    <row r="20" spans="3:20" x14ac:dyDescent="0.3">
      <c r="C20" s="255">
        <v>2</v>
      </c>
      <c r="D20" s="4" t="s">
        <v>3525</v>
      </c>
      <c r="K20" s="4">
        <v>3</v>
      </c>
      <c r="L20" s="4" t="s">
        <v>3526</v>
      </c>
    </row>
    <row r="21" spans="3:20" x14ac:dyDescent="0.3">
      <c r="C21" s="255"/>
    </row>
    <row r="22" spans="3:20" x14ac:dyDescent="0.3">
      <c r="C22" s="255"/>
      <c r="D22" s="247"/>
      <c r="E22" s="247" t="s">
        <v>320</v>
      </c>
      <c r="F22" s="329" t="s">
        <v>321</v>
      </c>
      <c r="G22" s="247" t="s">
        <v>322</v>
      </c>
      <c r="H22" s="247" t="s">
        <v>323</v>
      </c>
      <c r="I22" s="247" t="s">
        <v>163</v>
      </c>
      <c r="L22" s="4074" t="s">
        <v>298</v>
      </c>
      <c r="M22" s="4074" t="s">
        <v>325</v>
      </c>
      <c r="N22" s="4074"/>
      <c r="O22" s="4074"/>
      <c r="P22" s="4074"/>
      <c r="Q22" s="4074"/>
      <c r="R22" s="4074" t="s">
        <v>0</v>
      </c>
    </row>
    <row r="23" spans="3:20" x14ac:dyDescent="0.3">
      <c r="C23" s="255"/>
      <c r="D23" s="32">
        <v>1</v>
      </c>
      <c r="E23" s="32" t="s">
        <v>459</v>
      </c>
      <c r="F23" s="338" t="s">
        <v>595</v>
      </c>
      <c r="G23" s="338" t="s">
        <v>595</v>
      </c>
      <c r="H23" s="33">
        <v>1</v>
      </c>
      <c r="I23" s="258">
        <f t="shared" ref="I23:I31" si="0">H23/$H$38</f>
        <v>1.0101010101010102E-2</v>
      </c>
      <c r="L23" s="4074"/>
      <c r="M23" s="3870" t="s">
        <v>271</v>
      </c>
      <c r="N23" s="3870" t="s">
        <v>272</v>
      </c>
      <c r="O23" s="3870" t="s">
        <v>273</v>
      </c>
      <c r="P23" s="3870" t="s">
        <v>274</v>
      </c>
      <c r="Q23" s="3870" t="s">
        <v>275</v>
      </c>
      <c r="R23" s="4074"/>
    </row>
    <row r="24" spans="3:20" x14ac:dyDescent="0.3">
      <c r="C24" s="255"/>
      <c r="D24" s="32">
        <f>+D23+1</f>
        <v>2</v>
      </c>
      <c r="E24" s="32" t="s">
        <v>459</v>
      </c>
      <c r="F24" s="338" t="s">
        <v>5995</v>
      </c>
      <c r="G24" s="338" t="s">
        <v>5995</v>
      </c>
      <c r="H24" s="33">
        <v>2</v>
      </c>
      <c r="I24" s="258">
        <f t="shared" si="0"/>
        <v>2.0202020202020204E-2</v>
      </c>
      <c r="L24" s="3871" t="s">
        <v>326</v>
      </c>
      <c r="M24" s="3871">
        <v>12</v>
      </c>
      <c r="N24" s="3871">
        <v>0</v>
      </c>
      <c r="O24" s="3871">
        <v>3</v>
      </c>
      <c r="P24" s="3871">
        <v>28</v>
      </c>
      <c r="Q24" s="3871">
        <v>6</v>
      </c>
      <c r="R24" s="3871">
        <f>SUM(M24:Q24)</f>
        <v>49</v>
      </c>
    </row>
    <row r="25" spans="3:20" x14ac:dyDescent="0.3">
      <c r="C25" s="255"/>
      <c r="D25" s="32">
        <f>+D24+1</f>
        <v>3</v>
      </c>
      <c r="E25" s="32" t="s">
        <v>459</v>
      </c>
      <c r="F25" s="338" t="s">
        <v>5995</v>
      </c>
      <c r="G25" s="338" t="s">
        <v>5996</v>
      </c>
      <c r="H25" s="33">
        <v>1</v>
      </c>
      <c r="I25" s="258">
        <f t="shared" si="0"/>
        <v>1.0101010101010102E-2</v>
      </c>
      <c r="L25" s="3871" t="s">
        <v>327</v>
      </c>
      <c r="M25" s="3871">
        <v>10</v>
      </c>
      <c r="N25" s="3871">
        <v>1</v>
      </c>
      <c r="O25" s="3871">
        <v>3</v>
      </c>
      <c r="P25" s="3871">
        <v>34</v>
      </c>
      <c r="Q25" s="3871">
        <v>2</v>
      </c>
      <c r="R25" s="3871">
        <f>SUM(M25:Q25)</f>
        <v>50</v>
      </c>
      <c r="T25" s="138">
        <f>(O25+P25)/R25</f>
        <v>0.74</v>
      </c>
    </row>
    <row r="26" spans="3:20" x14ac:dyDescent="0.3">
      <c r="C26" s="255"/>
      <c r="D26" s="32">
        <f t="shared" ref="D26:D36" si="1">+D25+1</f>
        <v>4</v>
      </c>
      <c r="E26" s="32" t="s">
        <v>459</v>
      </c>
      <c r="F26" s="338" t="s">
        <v>5995</v>
      </c>
      <c r="G26" s="338" t="s">
        <v>5997</v>
      </c>
      <c r="H26" s="33">
        <v>90</v>
      </c>
      <c r="I26" s="258">
        <f t="shared" si="0"/>
        <v>0.90909090909090906</v>
      </c>
      <c r="L26" s="3872" t="s">
        <v>0</v>
      </c>
      <c r="M26" s="3872">
        <f t="shared" ref="M26:R26" si="2">SUM(M24:M25)</f>
        <v>22</v>
      </c>
      <c r="N26" s="3872">
        <f t="shared" si="2"/>
        <v>1</v>
      </c>
      <c r="O26" s="3872">
        <f t="shared" si="2"/>
        <v>6</v>
      </c>
      <c r="P26" s="3872">
        <f t="shared" si="2"/>
        <v>62</v>
      </c>
      <c r="Q26" s="3872">
        <f t="shared" si="2"/>
        <v>8</v>
      </c>
      <c r="R26" s="3872">
        <f t="shared" si="2"/>
        <v>99</v>
      </c>
    </row>
    <row r="27" spans="3:20" ht="18.75" x14ac:dyDescent="0.3">
      <c r="C27" s="255"/>
      <c r="D27" s="32">
        <f t="shared" si="1"/>
        <v>5</v>
      </c>
      <c r="E27" s="32" t="s">
        <v>459</v>
      </c>
      <c r="F27" s="338" t="s">
        <v>6002</v>
      </c>
      <c r="G27" s="338" t="s">
        <v>5998</v>
      </c>
      <c r="H27" s="33">
        <v>2</v>
      </c>
      <c r="I27" s="258">
        <f t="shared" si="0"/>
        <v>2.0202020202020204E-2</v>
      </c>
      <c r="L27" s="3868"/>
      <c r="M27" s="3868"/>
      <c r="N27" s="3868"/>
      <c r="O27" s="3868"/>
      <c r="P27" s="3868"/>
      <c r="Q27" s="3868"/>
      <c r="R27" s="3869"/>
    </row>
    <row r="28" spans="3:20" x14ac:dyDescent="0.3">
      <c r="C28" s="255"/>
      <c r="D28" s="32">
        <f t="shared" si="1"/>
        <v>6</v>
      </c>
      <c r="E28" s="32" t="s">
        <v>459</v>
      </c>
      <c r="F28" s="338" t="s">
        <v>6002</v>
      </c>
      <c r="G28" s="338" t="s">
        <v>5999</v>
      </c>
      <c r="H28" s="33">
        <v>1</v>
      </c>
      <c r="I28" s="258">
        <f t="shared" si="0"/>
        <v>1.0101010101010102E-2</v>
      </c>
      <c r="M28" s="107"/>
      <c r="N28" s="138">
        <f>N26/R26</f>
        <v>1.0101010101010102E-2</v>
      </c>
      <c r="O28" s="107" t="s">
        <v>2218</v>
      </c>
      <c r="Q28" s="107"/>
    </row>
    <row r="29" spans="3:20" x14ac:dyDescent="0.3">
      <c r="C29" s="255"/>
      <c r="D29" s="32">
        <f t="shared" si="1"/>
        <v>7</v>
      </c>
      <c r="E29" s="32" t="s">
        <v>459</v>
      </c>
      <c r="F29" s="338" t="s">
        <v>6003</v>
      </c>
      <c r="G29" s="338" t="s">
        <v>6000</v>
      </c>
      <c r="H29" s="33">
        <v>1</v>
      </c>
      <c r="I29" s="258">
        <f t="shared" si="0"/>
        <v>1.0101010101010102E-2</v>
      </c>
      <c r="M29" s="107"/>
      <c r="N29" s="138">
        <f>N28*0.2</f>
        <v>2.0202020202020206E-3</v>
      </c>
      <c r="O29" s="107" t="s">
        <v>2219</v>
      </c>
      <c r="P29" s="107"/>
      <c r="Q29" s="107"/>
      <c r="R29" s="107"/>
    </row>
    <row r="30" spans="3:20" x14ac:dyDescent="0.3">
      <c r="C30" s="255"/>
      <c r="D30" s="32">
        <f t="shared" si="1"/>
        <v>8</v>
      </c>
      <c r="E30" s="32" t="s">
        <v>459</v>
      </c>
      <c r="F30" s="338" t="s">
        <v>6003</v>
      </c>
      <c r="G30" s="338" t="s">
        <v>6001</v>
      </c>
      <c r="H30" s="33">
        <v>1</v>
      </c>
      <c r="I30" s="258">
        <f t="shared" si="0"/>
        <v>1.0101010101010102E-2</v>
      </c>
    </row>
    <row r="31" spans="3:20" x14ac:dyDescent="0.3">
      <c r="C31" s="255"/>
      <c r="D31" s="32">
        <f>+D30+1</f>
        <v>9</v>
      </c>
      <c r="E31" s="32"/>
      <c r="F31" s="338"/>
      <c r="H31" s="33"/>
      <c r="I31" s="258">
        <f t="shared" si="0"/>
        <v>0</v>
      </c>
    </row>
    <row r="32" spans="3:20" x14ac:dyDescent="0.3">
      <c r="C32" s="255"/>
      <c r="D32" s="32">
        <f t="shared" si="1"/>
        <v>10</v>
      </c>
      <c r="E32" s="32"/>
      <c r="F32" s="338"/>
      <c r="G32" s="32"/>
      <c r="H32" s="33"/>
      <c r="I32" s="258">
        <f t="shared" ref="I32:I37" si="3">H32/$H$38</f>
        <v>0</v>
      </c>
    </row>
    <row r="33" spans="3:31" x14ac:dyDescent="0.3">
      <c r="C33" s="255"/>
      <c r="D33" s="32">
        <f>+D32+1</f>
        <v>11</v>
      </c>
      <c r="E33" s="32"/>
      <c r="F33" s="338"/>
      <c r="G33" s="32"/>
      <c r="H33" s="33"/>
      <c r="I33" s="258">
        <f t="shared" si="3"/>
        <v>0</v>
      </c>
      <c r="N33" s="138"/>
    </row>
    <row r="34" spans="3:31" x14ac:dyDescent="0.3">
      <c r="C34" s="255"/>
      <c r="D34" s="32">
        <f t="shared" si="1"/>
        <v>12</v>
      </c>
      <c r="E34" s="32"/>
      <c r="F34" s="338"/>
      <c r="G34" s="32"/>
      <c r="H34" s="33"/>
      <c r="I34" s="258">
        <f t="shared" si="3"/>
        <v>0</v>
      </c>
    </row>
    <row r="35" spans="3:31" x14ac:dyDescent="0.3">
      <c r="C35" s="255"/>
      <c r="D35" s="32">
        <f>+D34+1</f>
        <v>13</v>
      </c>
      <c r="E35" s="32"/>
      <c r="F35" s="338"/>
      <c r="G35" s="32"/>
      <c r="H35" s="33"/>
      <c r="I35" s="258">
        <f t="shared" si="3"/>
        <v>0</v>
      </c>
    </row>
    <row r="36" spans="3:31" x14ac:dyDescent="0.3">
      <c r="C36" s="255"/>
      <c r="D36" s="32">
        <f t="shared" si="1"/>
        <v>14</v>
      </c>
      <c r="E36" s="32"/>
      <c r="F36" s="338"/>
      <c r="G36" s="32"/>
      <c r="H36" s="33"/>
      <c r="I36" s="258">
        <f t="shared" si="3"/>
        <v>0</v>
      </c>
    </row>
    <row r="37" spans="3:31" x14ac:dyDescent="0.3">
      <c r="C37" s="255"/>
      <c r="D37" s="32"/>
      <c r="E37" s="32" t="s">
        <v>324</v>
      </c>
      <c r="F37" s="338"/>
      <c r="G37" s="33"/>
      <c r="H37" s="33"/>
      <c r="I37" s="258">
        <f t="shared" si="3"/>
        <v>0</v>
      </c>
    </row>
    <row r="38" spans="3:31" x14ac:dyDescent="0.3">
      <c r="C38" s="255"/>
      <c r="D38" s="32"/>
      <c r="E38" s="259" t="s">
        <v>0</v>
      </c>
      <c r="F38" s="339"/>
      <c r="G38" s="259"/>
      <c r="H38" s="260">
        <f>SUM(H23:H37)</f>
        <v>99</v>
      </c>
      <c r="I38" s="258">
        <f>H38/$H$38</f>
        <v>1</v>
      </c>
    </row>
    <row r="39" spans="3:31" x14ac:dyDescent="0.3">
      <c r="C39" s="255"/>
      <c r="T39" s="138"/>
    </row>
    <row r="40" spans="3:31" x14ac:dyDescent="0.3">
      <c r="C40" s="255"/>
    </row>
    <row r="41" spans="3:31" x14ac:dyDescent="0.3">
      <c r="C41" s="255">
        <v>3</v>
      </c>
      <c r="D41" s="4" t="s">
        <v>9</v>
      </c>
    </row>
    <row r="42" spans="3:31" x14ac:dyDescent="0.3">
      <c r="C42" s="255"/>
      <c r="J42" s="107"/>
    </row>
    <row r="43" spans="3:31" ht="13.9" customHeight="1" x14ac:dyDescent="0.3">
      <c r="C43" s="255"/>
      <c r="E43" s="4070" t="s">
        <v>10</v>
      </c>
      <c r="F43" s="4014">
        <v>2013</v>
      </c>
      <c r="G43" s="4014">
        <f>F43+1</f>
        <v>2014</v>
      </c>
      <c r="H43" s="4014">
        <f>G43+1</f>
        <v>2015</v>
      </c>
      <c r="I43" s="4014">
        <f>H43+1</f>
        <v>2016</v>
      </c>
      <c r="J43" s="4014">
        <f>I43+1</f>
        <v>2017</v>
      </c>
      <c r="K43" s="4014">
        <f>J43+1</f>
        <v>2018</v>
      </c>
      <c r="M43" s="4075" t="s">
        <v>11</v>
      </c>
      <c r="N43" s="4076"/>
      <c r="O43" s="4077"/>
      <c r="P43" s="4014">
        <v>2013</v>
      </c>
      <c r="Q43" s="4014">
        <f>P43+1</f>
        <v>2014</v>
      </c>
      <c r="R43" s="4014">
        <f>Q43+1</f>
        <v>2015</v>
      </c>
      <c r="S43" s="4014">
        <f>R43+1</f>
        <v>2016</v>
      </c>
      <c r="T43" s="4014">
        <f>S43+1</f>
        <v>2017</v>
      </c>
      <c r="U43" s="4014">
        <f>T43+1</f>
        <v>2018</v>
      </c>
      <c r="W43" s="4075" t="s">
        <v>333</v>
      </c>
      <c r="X43" s="4076"/>
      <c r="Y43" s="4077"/>
      <c r="Z43" s="4014">
        <v>2013</v>
      </c>
      <c r="AA43" s="4014">
        <f>Z43+1</f>
        <v>2014</v>
      </c>
      <c r="AB43" s="4014">
        <f>AA43+1</f>
        <v>2015</v>
      </c>
      <c r="AC43" s="4014">
        <f>AB43+1</f>
        <v>2016</v>
      </c>
      <c r="AD43" s="4014">
        <f>AC43+1</f>
        <v>2017</v>
      </c>
      <c r="AE43" s="4014">
        <f>AD43+1</f>
        <v>2018</v>
      </c>
    </row>
    <row r="44" spans="3:31" x14ac:dyDescent="0.3">
      <c r="C44" s="255"/>
      <c r="E44" s="4071"/>
      <c r="F44" s="4015"/>
      <c r="G44" s="4015"/>
      <c r="H44" s="4015"/>
      <c r="I44" s="4015"/>
      <c r="J44" s="4015"/>
      <c r="K44" s="4015"/>
      <c r="M44" s="4078"/>
      <c r="N44" s="4079"/>
      <c r="O44" s="4080"/>
      <c r="P44" s="4015"/>
      <c r="Q44" s="4015"/>
      <c r="R44" s="4015"/>
      <c r="S44" s="4015"/>
      <c r="T44" s="4015"/>
      <c r="U44" s="4015"/>
      <c r="W44" s="4078"/>
      <c r="X44" s="4079"/>
      <c r="Y44" s="4080"/>
      <c r="Z44" s="4015"/>
      <c r="AA44" s="4015"/>
      <c r="AB44" s="4015"/>
      <c r="AC44" s="4015"/>
      <c r="AD44" s="4015"/>
      <c r="AE44" s="4015"/>
    </row>
    <row r="45" spans="3:31" x14ac:dyDescent="0.3">
      <c r="C45" s="255"/>
      <c r="E45" s="246" t="s">
        <v>12</v>
      </c>
      <c r="F45" s="261"/>
      <c r="G45" s="262">
        <f>SUM(G46:G64)</f>
        <v>4</v>
      </c>
      <c r="H45" s="262">
        <f>SUM(H46:H64)</f>
        <v>31</v>
      </c>
      <c r="I45" s="262">
        <f>SUM(I46:I64)</f>
        <v>32</v>
      </c>
      <c r="J45" s="262">
        <f>SUM(J46:J64)</f>
        <v>0</v>
      </c>
      <c r="K45" s="1510">
        <v>3</v>
      </c>
      <c r="M45" s="4040" t="s">
        <v>12</v>
      </c>
      <c r="N45" s="4081"/>
      <c r="O45" s="4041"/>
      <c r="P45" s="263"/>
      <c r="Q45" s="262">
        <f>SUM(Q46:Q64)</f>
        <v>11</v>
      </c>
      <c r="R45" s="262">
        <f>SUM(R46:R64)</f>
        <v>205</v>
      </c>
      <c r="S45" s="262">
        <f>SUM(S46:S64)</f>
        <v>35</v>
      </c>
      <c r="T45" s="262">
        <f>SUM(T46:T64)</f>
        <v>0</v>
      </c>
      <c r="U45" s="262">
        <f>SUM(U46:U64)</f>
        <v>13</v>
      </c>
      <c r="W45" s="264" t="s">
        <v>12</v>
      </c>
      <c r="X45" s="265"/>
      <c r="Y45" s="266"/>
      <c r="Z45" s="47"/>
      <c r="AA45" s="262"/>
      <c r="AB45" s="262"/>
      <c r="AC45" s="262"/>
      <c r="AD45" s="262"/>
      <c r="AE45" s="262"/>
    </row>
    <row r="46" spans="3:31" x14ac:dyDescent="0.3">
      <c r="C46" s="255"/>
      <c r="E46" s="32" t="s">
        <v>13</v>
      </c>
      <c r="F46" s="267"/>
      <c r="G46" s="257">
        <v>4</v>
      </c>
      <c r="H46" s="257">
        <v>31</v>
      </c>
      <c r="I46" s="257">
        <v>32</v>
      </c>
      <c r="J46" s="257">
        <v>0</v>
      </c>
      <c r="K46" s="257">
        <v>3</v>
      </c>
      <c r="M46" s="4016" t="s">
        <v>13</v>
      </c>
      <c r="N46" s="4017"/>
      <c r="O46" s="4018"/>
      <c r="P46" s="263"/>
      <c r="Q46" s="257">
        <v>11</v>
      </c>
      <c r="R46" s="257">
        <v>205</v>
      </c>
      <c r="S46" s="257">
        <v>35</v>
      </c>
      <c r="T46" s="257">
        <v>0</v>
      </c>
      <c r="U46" s="257">
        <v>13</v>
      </c>
      <c r="W46" s="269" t="s">
        <v>13</v>
      </c>
      <c r="X46" s="270"/>
      <c r="Y46" s="271"/>
      <c r="Z46" s="47"/>
      <c r="AA46" s="272">
        <f>Q46/G46</f>
        <v>2.75</v>
      </c>
      <c r="AB46" s="272">
        <f>R46/H46</f>
        <v>6.612903225806452</v>
      </c>
      <c r="AC46" s="272">
        <f>S46/I46</f>
        <v>1.09375</v>
      </c>
      <c r="AD46" s="272" t="e">
        <f>T46/J46</f>
        <v>#DIV/0!</v>
      </c>
      <c r="AE46" s="272">
        <f>U46/K46</f>
        <v>4.333333333333333</v>
      </c>
    </row>
    <row r="47" spans="3:31" x14ac:dyDescent="0.3">
      <c r="C47" s="255"/>
      <c r="E47" s="32" t="s">
        <v>14</v>
      </c>
      <c r="F47" s="267"/>
      <c r="G47" s="257">
        <v>0</v>
      </c>
      <c r="H47" s="257">
        <v>0</v>
      </c>
      <c r="I47" s="257">
        <v>0</v>
      </c>
      <c r="J47" s="257">
        <v>0</v>
      </c>
      <c r="K47" s="257" t="s">
        <v>3562</v>
      </c>
      <c r="M47" s="4016" t="s">
        <v>14</v>
      </c>
      <c r="N47" s="4017"/>
      <c r="O47" s="4018"/>
      <c r="P47" s="267"/>
      <c r="Q47" s="257">
        <v>0</v>
      </c>
      <c r="R47" s="257">
        <v>0</v>
      </c>
      <c r="S47" s="257">
        <v>0</v>
      </c>
      <c r="T47" s="257">
        <v>0</v>
      </c>
      <c r="U47" s="257">
        <v>0</v>
      </c>
      <c r="W47" s="269" t="s">
        <v>14</v>
      </c>
      <c r="X47" s="270"/>
      <c r="Y47" s="271"/>
      <c r="Z47" s="267"/>
      <c r="AA47" s="274">
        <v>0</v>
      </c>
      <c r="AB47" s="274">
        <v>0</v>
      </c>
      <c r="AC47" s="274">
        <v>0</v>
      </c>
      <c r="AD47" s="274">
        <v>0</v>
      </c>
      <c r="AE47" s="274">
        <v>0</v>
      </c>
    </row>
    <row r="48" spans="3:31" x14ac:dyDescent="0.3">
      <c r="C48" s="255"/>
      <c r="E48" s="32" t="s">
        <v>15</v>
      </c>
      <c r="F48" s="267"/>
      <c r="G48" s="257">
        <v>0</v>
      </c>
      <c r="H48" s="257">
        <v>0</v>
      </c>
      <c r="I48" s="257">
        <v>0</v>
      </c>
      <c r="J48" s="257">
        <v>0</v>
      </c>
      <c r="K48" s="257" t="s">
        <v>6070</v>
      </c>
      <c r="M48" s="4016" t="s">
        <v>15</v>
      </c>
      <c r="N48" s="4017"/>
      <c r="O48" s="4018"/>
      <c r="P48" s="273"/>
      <c r="Q48" s="257">
        <v>0</v>
      </c>
      <c r="R48" s="257">
        <v>0</v>
      </c>
      <c r="S48" s="257">
        <v>0</v>
      </c>
      <c r="T48" s="257">
        <v>0</v>
      </c>
      <c r="U48" s="257">
        <v>0</v>
      </c>
      <c r="W48" s="269" t="s">
        <v>15</v>
      </c>
      <c r="X48" s="270"/>
      <c r="Y48" s="271"/>
      <c r="Z48" s="273"/>
      <c r="AA48" s="274">
        <v>0</v>
      </c>
      <c r="AB48" s="274">
        <v>0</v>
      </c>
      <c r="AC48" s="274">
        <v>0</v>
      </c>
      <c r="AD48" s="274">
        <v>0</v>
      </c>
      <c r="AE48" s="274">
        <v>0</v>
      </c>
    </row>
    <row r="49" spans="3:31" x14ac:dyDescent="0.3">
      <c r="C49" s="255"/>
      <c r="E49" s="32" t="s">
        <v>16</v>
      </c>
      <c r="F49" s="267"/>
      <c r="G49" s="257">
        <v>0</v>
      </c>
      <c r="H49" s="257">
        <v>0</v>
      </c>
      <c r="I49" s="257">
        <v>0</v>
      </c>
      <c r="J49" s="257">
        <v>0</v>
      </c>
      <c r="K49" s="257" t="s">
        <v>6071</v>
      </c>
      <c r="M49" s="4016" t="s">
        <v>16</v>
      </c>
      <c r="N49" s="4017"/>
      <c r="O49" s="4018"/>
      <c r="P49" s="267"/>
      <c r="Q49" s="257">
        <v>0</v>
      </c>
      <c r="R49" s="257">
        <v>0</v>
      </c>
      <c r="S49" s="257">
        <v>0</v>
      </c>
      <c r="T49" s="257">
        <v>0</v>
      </c>
      <c r="U49" s="257">
        <v>0</v>
      </c>
      <c r="W49" s="269" t="s">
        <v>16</v>
      </c>
      <c r="X49" s="270"/>
      <c r="Y49" s="271"/>
      <c r="Z49" s="267"/>
      <c r="AA49" s="274">
        <v>0</v>
      </c>
      <c r="AB49" s="274">
        <v>0</v>
      </c>
      <c r="AC49" s="274">
        <v>0</v>
      </c>
      <c r="AD49" s="274">
        <v>0</v>
      </c>
      <c r="AE49" s="274">
        <v>0</v>
      </c>
    </row>
    <row r="50" spans="3:31" x14ac:dyDescent="0.3">
      <c r="C50" s="255"/>
      <c r="E50" s="32" t="s">
        <v>17</v>
      </c>
      <c r="F50" s="267"/>
      <c r="G50" s="257">
        <v>0</v>
      </c>
      <c r="H50" s="257">
        <v>0</v>
      </c>
      <c r="I50" s="257">
        <v>0</v>
      </c>
      <c r="J50" s="257">
        <v>0</v>
      </c>
      <c r="K50" s="257">
        <v>0</v>
      </c>
      <c r="M50" s="4016" t="s">
        <v>594</v>
      </c>
      <c r="N50" s="4017"/>
      <c r="O50" s="4018"/>
      <c r="P50" s="267"/>
      <c r="Q50" s="257">
        <v>0</v>
      </c>
      <c r="R50" s="257">
        <v>0</v>
      </c>
      <c r="S50" s="257">
        <v>0</v>
      </c>
      <c r="T50" s="257">
        <v>0</v>
      </c>
      <c r="U50" s="257">
        <v>0</v>
      </c>
      <c r="W50" s="269" t="s">
        <v>594</v>
      </c>
      <c r="X50" s="270"/>
      <c r="Y50" s="271"/>
      <c r="Z50" s="267"/>
      <c r="AA50" s="274">
        <v>0</v>
      </c>
      <c r="AB50" s="274">
        <v>0</v>
      </c>
      <c r="AC50" s="274">
        <v>0</v>
      </c>
      <c r="AD50" s="274">
        <v>0</v>
      </c>
      <c r="AE50" s="274">
        <v>0</v>
      </c>
    </row>
    <row r="51" spans="3:31" x14ac:dyDescent="0.3">
      <c r="C51" s="255"/>
      <c r="E51" s="32" t="s">
        <v>18</v>
      </c>
      <c r="F51" s="267"/>
      <c r="G51" s="257">
        <v>0</v>
      </c>
      <c r="H51" s="257">
        <v>0</v>
      </c>
      <c r="I51" s="257">
        <v>0</v>
      </c>
      <c r="J51" s="257">
        <v>0</v>
      </c>
      <c r="K51" s="257">
        <v>0</v>
      </c>
      <c r="M51" s="4016" t="s">
        <v>18</v>
      </c>
      <c r="N51" s="4017"/>
      <c r="O51" s="4018"/>
      <c r="P51" s="267"/>
      <c r="Q51" s="257">
        <v>0</v>
      </c>
      <c r="R51" s="257">
        <v>0</v>
      </c>
      <c r="S51" s="257">
        <v>0</v>
      </c>
      <c r="T51" s="257">
        <v>0</v>
      </c>
      <c r="U51" s="257">
        <v>0</v>
      </c>
      <c r="W51" s="269" t="s">
        <v>18</v>
      </c>
      <c r="X51" s="270"/>
      <c r="Y51" s="271"/>
      <c r="Z51" s="267"/>
      <c r="AA51" s="274">
        <v>0</v>
      </c>
      <c r="AB51" s="274">
        <v>0</v>
      </c>
      <c r="AC51" s="274">
        <v>0</v>
      </c>
      <c r="AD51" s="274">
        <v>0</v>
      </c>
      <c r="AE51" s="274">
        <v>0</v>
      </c>
    </row>
    <row r="52" spans="3:31" x14ac:dyDescent="0.3">
      <c r="C52" s="255"/>
      <c r="E52" s="32" t="s">
        <v>19</v>
      </c>
      <c r="F52" s="267"/>
      <c r="G52" s="257">
        <v>0</v>
      </c>
      <c r="H52" s="257">
        <v>0</v>
      </c>
      <c r="I52" s="257">
        <v>0</v>
      </c>
      <c r="J52" s="257">
        <v>0</v>
      </c>
      <c r="K52" s="257">
        <v>0</v>
      </c>
      <c r="M52" s="4016" t="s">
        <v>3562</v>
      </c>
      <c r="N52" s="4017"/>
      <c r="O52" s="4018"/>
      <c r="P52" s="267"/>
      <c r="Q52" s="257">
        <v>0</v>
      </c>
      <c r="R52" s="257">
        <v>0</v>
      </c>
      <c r="S52" s="257">
        <v>0</v>
      </c>
      <c r="T52" s="257">
        <v>0</v>
      </c>
      <c r="U52" s="257">
        <v>0</v>
      </c>
      <c r="W52" s="269" t="s">
        <v>19</v>
      </c>
      <c r="X52" s="270"/>
      <c r="Y52" s="271"/>
      <c r="Z52" s="267"/>
      <c r="AA52" s="274">
        <v>0</v>
      </c>
      <c r="AB52" s="274">
        <v>0</v>
      </c>
      <c r="AC52" s="274">
        <v>0</v>
      </c>
      <c r="AD52" s="274">
        <v>0</v>
      </c>
      <c r="AE52" s="274">
        <v>0</v>
      </c>
    </row>
    <row r="53" spans="3:31" x14ac:dyDescent="0.3">
      <c r="C53" s="255"/>
      <c r="E53" s="32" t="s">
        <v>20</v>
      </c>
      <c r="F53" s="267"/>
      <c r="G53" s="257">
        <v>0</v>
      </c>
      <c r="H53" s="257">
        <v>0</v>
      </c>
      <c r="I53" s="257">
        <v>0</v>
      </c>
      <c r="J53" s="257">
        <v>0</v>
      </c>
      <c r="K53" s="257">
        <v>0</v>
      </c>
      <c r="M53" s="4016" t="s">
        <v>20</v>
      </c>
      <c r="N53" s="4017"/>
      <c r="O53" s="4018"/>
      <c r="P53" s="267"/>
      <c r="Q53" s="257">
        <v>0</v>
      </c>
      <c r="R53" s="257">
        <v>0</v>
      </c>
      <c r="S53" s="257">
        <v>0</v>
      </c>
      <c r="T53" s="257">
        <v>0</v>
      </c>
      <c r="U53" s="257">
        <v>0</v>
      </c>
      <c r="W53" s="269" t="s">
        <v>20</v>
      </c>
      <c r="X53" s="270"/>
      <c r="Y53" s="271"/>
      <c r="Z53" s="267"/>
      <c r="AA53" s="274">
        <v>0</v>
      </c>
      <c r="AB53" s="274">
        <v>0</v>
      </c>
      <c r="AC53" s="274">
        <v>0</v>
      </c>
      <c r="AD53" s="274">
        <v>0</v>
      </c>
      <c r="AE53" s="274">
        <v>0</v>
      </c>
    </row>
    <row r="54" spans="3:31" x14ac:dyDescent="0.3">
      <c r="C54" s="255"/>
      <c r="E54" s="32" t="s">
        <v>21</v>
      </c>
      <c r="F54" s="267"/>
      <c r="G54" s="257">
        <v>0</v>
      </c>
      <c r="H54" s="257">
        <v>0</v>
      </c>
      <c r="I54" s="257">
        <v>0</v>
      </c>
      <c r="J54" s="257">
        <v>0</v>
      </c>
      <c r="K54" s="257">
        <v>0</v>
      </c>
      <c r="M54" s="4016" t="s">
        <v>6072</v>
      </c>
      <c r="N54" s="4017"/>
      <c r="O54" s="4018"/>
      <c r="P54" s="267"/>
      <c r="Q54" s="257">
        <v>0</v>
      </c>
      <c r="R54" s="257">
        <v>0</v>
      </c>
      <c r="S54" s="257">
        <v>0</v>
      </c>
      <c r="T54" s="257">
        <v>0</v>
      </c>
      <c r="U54" s="257">
        <v>0</v>
      </c>
      <c r="W54" s="269" t="s">
        <v>21</v>
      </c>
      <c r="X54" s="270"/>
      <c r="Y54" s="271"/>
      <c r="Z54" s="267"/>
      <c r="AA54" s="274">
        <v>0</v>
      </c>
      <c r="AB54" s="274">
        <v>0</v>
      </c>
      <c r="AC54" s="274">
        <v>0</v>
      </c>
      <c r="AD54" s="274">
        <v>0</v>
      </c>
      <c r="AE54" s="274">
        <v>0</v>
      </c>
    </row>
    <row r="55" spans="3:31" x14ac:dyDescent="0.3">
      <c r="C55" s="255"/>
      <c r="E55" s="32" t="s">
        <v>22</v>
      </c>
      <c r="F55" s="267"/>
      <c r="G55" s="257">
        <v>0</v>
      </c>
      <c r="H55" s="257">
        <v>0</v>
      </c>
      <c r="I55" s="257">
        <v>0</v>
      </c>
      <c r="J55" s="257">
        <v>0</v>
      </c>
      <c r="K55" s="257">
        <v>0</v>
      </c>
      <c r="M55" s="4016" t="s">
        <v>22</v>
      </c>
      <c r="N55" s="4017"/>
      <c r="O55" s="4018"/>
      <c r="P55" s="267"/>
      <c r="Q55" s="257">
        <v>0</v>
      </c>
      <c r="R55" s="257">
        <v>0</v>
      </c>
      <c r="S55" s="257">
        <v>0</v>
      </c>
      <c r="T55" s="257">
        <v>0</v>
      </c>
      <c r="U55" s="257">
        <v>0</v>
      </c>
      <c r="W55" s="269" t="s">
        <v>22</v>
      </c>
      <c r="X55" s="270"/>
      <c r="Y55" s="271"/>
      <c r="Z55" s="267"/>
      <c r="AA55" s="274">
        <v>0</v>
      </c>
      <c r="AB55" s="274">
        <v>0</v>
      </c>
      <c r="AC55" s="274">
        <v>0</v>
      </c>
      <c r="AD55" s="274">
        <v>0</v>
      </c>
      <c r="AE55" s="274">
        <v>0</v>
      </c>
    </row>
    <row r="56" spans="3:31" x14ac:dyDescent="0.3">
      <c r="C56" s="255"/>
      <c r="E56" s="32" t="s">
        <v>23</v>
      </c>
      <c r="F56" s="267"/>
      <c r="G56" s="257">
        <v>0</v>
      </c>
      <c r="H56" s="257">
        <v>0</v>
      </c>
      <c r="I56" s="257">
        <v>0</v>
      </c>
      <c r="J56" s="257">
        <v>0</v>
      </c>
      <c r="K56" s="257">
        <v>0</v>
      </c>
      <c r="M56" s="4016" t="s">
        <v>23</v>
      </c>
      <c r="N56" s="4017"/>
      <c r="O56" s="4018"/>
      <c r="P56" s="267"/>
      <c r="Q56" s="257">
        <v>0</v>
      </c>
      <c r="R56" s="257">
        <v>0</v>
      </c>
      <c r="S56" s="257">
        <v>0</v>
      </c>
      <c r="T56" s="257">
        <v>0</v>
      </c>
      <c r="U56" s="257">
        <v>0</v>
      </c>
      <c r="W56" s="269" t="s">
        <v>23</v>
      </c>
      <c r="X56" s="270"/>
      <c r="Y56" s="271"/>
      <c r="Z56" s="267"/>
      <c r="AA56" s="274">
        <v>0</v>
      </c>
      <c r="AB56" s="274">
        <v>0</v>
      </c>
      <c r="AC56" s="274">
        <v>0</v>
      </c>
      <c r="AD56" s="274">
        <v>0</v>
      </c>
      <c r="AE56" s="274">
        <v>0</v>
      </c>
    </row>
    <row r="57" spans="3:31" x14ac:dyDescent="0.3">
      <c r="C57" s="255"/>
      <c r="E57" s="32" t="s">
        <v>24</v>
      </c>
      <c r="F57" s="267"/>
      <c r="G57" s="257">
        <v>0</v>
      </c>
      <c r="H57" s="257">
        <v>0</v>
      </c>
      <c r="I57" s="257">
        <v>0</v>
      </c>
      <c r="J57" s="257">
        <v>0</v>
      </c>
      <c r="K57" s="257">
        <v>0</v>
      </c>
      <c r="M57" s="4016" t="s">
        <v>24</v>
      </c>
      <c r="N57" s="4017"/>
      <c r="O57" s="4018"/>
      <c r="P57" s="267"/>
      <c r="Q57" s="257">
        <v>0</v>
      </c>
      <c r="R57" s="257">
        <v>0</v>
      </c>
      <c r="S57" s="257">
        <v>0</v>
      </c>
      <c r="T57" s="257">
        <v>0</v>
      </c>
      <c r="U57" s="257">
        <v>0</v>
      </c>
      <c r="W57" s="269" t="s">
        <v>24</v>
      </c>
      <c r="X57" s="270"/>
      <c r="Y57" s="271"/>
      <c r="Z57" s="267"/>
      <c r="AA57" s="274">
        <v>0</v>
      </c>
      <c r="AB57" s="274">
        <v>0</v>
      </c>
      <c r="AC57" s="274">
        <v>0</v>
      </c>
      <c r="AD57" s="274">
        <v>0</v>
      </c>
      <c r="AE57" s="274">
        <v>0</v>
      </c>
    </row>
    <row r="58" spans="3:31" x14ac:dyDescent="0.3">
      <c r="C58" s="255"/>
      <c r="E58" s="32" t="s">
        <v>25</v>
      </c>
      <c r="F58" s="267"/>
      <c r="G58" s="257">
        <v>0</v>
      </c>
      <c r="H58" s="257">
        <v>0</v>
      </c>
      <c r="I58" s="257">
        <v>0</v>
      </c>
      <c r="J58" s="257">
        <v>0</v>
      </c>
      <c r="K58" s="257">
        <v>0</v>
      </c>
      <c r="M58" s="4016" t="s">
        <v>25</v>
      </c>
      <c r="N58" s="4017"/>
      <c r="O58" s="4018"/>
      <c r="P58" s="267"/>
      <c r="Q58" s="257">
        <v>0</v>
      </c>
      <c r="R58" s="257">
        <v>0</v>
      </c>
      <c r="S58" s="257">
        <v>0</v>
      </c>
      <c r="T58" s="257">
        <v>0</v>
      </c>
      <c r="U58" s="257">
        <v>0</v>
      </c>
      <c r="W58" s="269" t="s">
        <v>25</v>
      </c>
      <c r="X58" s="270"/>
      <c r="Y58" s="271"/>
      <c r="Z58" s="267"/>
      <c r="AA58" s="274">
        <v>0</v>
      </c>
      <c r="AB58" s="274">
        <v>0</v>
      </c>
      <c r="AC58" s="274">
        <v>0</v>
      </c>
      <c r="AD58" s="274">
        <v>0</v>
      </c>
      <c r="AE58" s="274">
        <v>0</v>
      </c>
    </row>
    <row r="59" spans="3:31" x14ac:dyDescent="0.3">
      <c r="C59" s="255"/>
      <c r="E59" s="32" t="s">
        <v>26</v>
      </c>
      <c r="F59" s="267"/>
      <c r="G59" s="257">
        <v>0</v>
      </c>
      <c r="H59" s="257">
        <v>0</v>
      </c>
      <c r="I59" s="257">
        <v>0</v>
      </c>
      <c r="J59" s="257">
        <v>0</v>
      </c>
      <c r="K59" s="257">
        <v>0</v>
      </c>
      <c r="M59" s="4016" t="s">
        <v>26</v>
      </c>
      <c r="N59" s="4017"/>
      <c r="O59" s="4018"/>
      <c r="P59" s="267"/>
      <c r="Q59" s="257">
        <v>0</v>
      </c>
      <c r="R59" s="257">
        <v>0</v>
      </c>
      <c r="S59" s="257">
        <v>0</v>
      </c>
      <c r="T59" s="257">
        <v>0</v>
      </c>
      <c r="U59" s="257">
        <v>0</v>
      </c>
      <c r="W59" s="269" t="s">
        <v>26</v>
      </c>
      <c r="X59" s="270"/>
      <c r="Y59" s="271"/>
      <c r="Z59" s="267"/>
      <c r="AA59" s="274">
        <v>0</v>
      </c>
      <c r="AB59" s="274">
        <v>0</v>
      </c>
      <c r="AC59" s="274">
        <v>0</v>
      </c>
      <c r="AD59" s="274">
        <v>0</v>
      </c>
      <c r="AE59" s="274">
        <v>0</v>
      </c>
    </row>
    <row r="60" spans="3:31" x14ac:dyDescent="0.3">
      <c r="C60" s="255"/>
      <c r="E60" s="32" t="s">
        <v>27</v>
      </c>
      <c r="F60" s="267"/>
      <c r="G60" s="257">
        <v>0</v>
      </c>
      <c r="H60" s="257">
        <v>0</v>
      </c>
      <c r="I60" s="257">
        <v>0</v>
      </c>
      <c r="J60" s="257">
        <v>0</v>
      </c>
      <c r="K60" s="257">
        <v>0</v>
      </c>
      <c r="M60" s="4016" t="s">
        <v>27</v>
      </c>
      <c r="N60" s="4017"/>
      <c r="O60" s="4018"/>
      <c r="P60" s="267"/>
      <c r="Q60" s="257">
        <v>0</v>
      </c>
      <c r="R60" s="257">
        <v>0</v>
      </c>
      <c r="S60" s="257">
        <v>0</v>
      </c>
      <c r="T60" s="257">
        <v>0</v>
      </c>
      <c r="U60" s="257">
        <v>0</v>
      </c>
      <c r="W60" s="269" t="s">
        <v>27</v>
      </c>
      <c r="X60" s="270"/>
      <c r="Y60" s="271"/>
      <c r="Z60" s="267"/>
      <c r="AA60" s="274">
        <v>0</v>
      </c>
      <c r="AB60" s="274">
        <v>0</v>
      </c>
      <c r="AC60" s="274">
        <v>0</v>
      </c>
      <c r="AD60" s="274">
        <v>0</v>
      </c>
      <c r="AE60" s="274">
        <v>0</v>
      </c>
    </row>
    <row r="61" spans="3:31" x14ac:dyDescent="0.3">
      <c r="C61" s="255"/>
      <c r="E61" s="32" t="s">
        <v>28</v>
      </c>
      <c r="F61" s="275"/>
      <c r="G61" s="257">
        <v>0</v>
      </c>
      <c r="H61" s="257">
        <v>0</v>
      </c>
      <c r="I61" s="257">
        <v>0</v>
      </c>
      <c r="J61" s="257">
        <v>0</v>
      </c>
      <c r="K61" s="257">
        <v>0</v>
      </c>
      <c r="M61" s="4016" t="s">
        <v>28</v>
      </c>
      <c r="N61" s="4017"/>
      <c r="O61" s="4018"/>
      <c r="P61" s="267"/>
      <c r="Q61" s="257">
        <v>0</v>
      </c>
      <c r="R61" s="257">
        <v>0</v>
      </c>
      <c r="S61" s="257">
        <v>0</v>
      </c>
      <c r="T61" s="257">
        <v>0</v>
      </c>
      <c r="U61" s="257">
        <v>0</v>
      </c>
      <c r="W61" s="269" t="s">
        <v>28</v>
      </c>
      <c r="X61" s="270"/>
      <c r="Y61" s="271"/>
      <c r="Z61" s="267"/>
      <c r="AA61" s="274">
        <v>0</v>
      </c>
      <c r="AB61" s="274">
        <v>0</v>
      </c>
      <c r="AC61" s="274">
        <v>0</v>
      </c>
      <c r="AD61" s="274">
        <v>0</v>
      </c>
      <c r="AE61" s="274">
        <v>0</v>
      </c>
    </row>
    <row r="62" spans="3:31" x14ac:dyDescent="0.3">
      <c r="C62" s="255"/>
      <c r="E62" s="32" t="s">
        <v>29</v>
      </c>
      <c r="F62" s="275"/>
      <c r="G62" s="257">
        <v>0</v>
      </c>
      <c r="H62" s="257">
        <v>0</v>
      </c>
      <c r="I62" s="257">
        <v>0</v>
      </c>
      <c r="J62" s="257">
        <v>0</v>
      </c>
      <c r="K62" s="257">
        <v>0</v>
      </c>
      <c r="M62" s="4016" t="s">
        <v>29</v>
      </c>
      <c r="N62" s="4017"/>
      <c r="O62" s="4018"/>
      <c r="P62" s="267"/>
      <c r="Q62" s="257">
        <v>0</v>
      </c>
      <c r="R62" s="257">
        <v>0</v>
      </c>
      <c r="S62" s="257">
        <v>0</v>
      </c>
      <c r="T62" s="257">
        <v>0</v>
      </c>
      <c r="U62" s="257">
        <v>0</v>
      </c>
      <c r="W62" s="269" t="s">
        <v>29</v>
      </c>
      <c r="X62" s="270"/>
      <c r="Y62" s="271"/>
      <c r="Z62" s="267"/>
      <c r="AA62" s="274">
        <v>0</v>
      </c>
      <c r="AB62" s="274">
        <v>0</v>
      </c>
      <c r="AC62" s="274">
        <v>0</v>
      </c>
      <c r="AD62" s="274">
        <v>0</v>
      </c>
      <c r="AE62" s="274">
        <v>0</v>
      </c>
    </row>
    <row r="63" spans="3:31" x14ac:dyDescent="0.3">
      <c r="C63" s="255"/>
      <c r="E63" s="32" t="s">
        <v>30</v>
      </c>
      <c r="F63" s="275"/>
      <c r="G63" s="257">
        <v>0</v>
      </c>
      <c r="H63" s="257">
        <v>0</v>
      </c>
      <c r="I63" s="257">
        <v>0</v>
      </c>
      <c r="J63" s="257">
        <v>0</v>
      </c>
      <c r="K63" s="257">
        <v>0</v>
      </c>
      <c r="M63" s="4016" t="s">
        <v>30</v>
      </c>
      <c r="N63" s="4017"/>
      <c r="O63" s="4018"/>
      <c r="P63" s="267"/>
      <c r="Q63" s="257">
        <v>0</v>
      </c>
      <c r="R63" s="257">
        <v>0</v>
      </c>
      <c r="S63" s="257">
        <v>0</v>
      </c>
      <c r="T63" s="257">
        <v>0</v>
      </c>
      <c r="U63" s="257">
        <v>0</v>
      </c>
      <c r="W63" s="269" t="s">
        <v>30</v>
      </c>
      <c r="X63" s="270"/>
      <c r="Y63" s="271"/>
      <c r="Z63" s="267"/>
      <c r="AA63" s="274">
        <v>0</v>
      </c>
      <c r="AB63" s="274">
        <v>0</v>
      </c>
      <c r="AC63" s="274">
        <v>0</v>
      </c>
      <c r="AD63" s="274">
        <v>0</v>
      </c>
      <c r="AE63" s="274">
        <v>0</v>
      </c>
    </row>
    <row r="64" spans="3:31" x14ac:dyDescent="0.3">
      <c r="C64" s="255"/>
      <c r="E64" s="32" t="s">
        <v>31</v>
      </c>
      <c r="F64" s="275"/>
      <c r="G64" s="257">
        <v>0</v>
      </c>
      <c r="H64" s="257">
        <v>0</v>
      </c>
      <c r="I64" s="257">
        <v>0</v>
      </c>
      <c r="J64" s="257">
        <v>0</v>
      </c>
      <c r="K64" s="257">
        <v>0</v>
      </c>
      <c r="M64" s="4016" t="s">
        <v>31</v>
      </c>
      <c r="N64" s="4017"/>
      <c r="O64" s="4018"/>
      <c r="P64" s="267"/>
      <c r="Q64" s="257">
        <v>0</v>
      </c>
      <c r="R64" s="257">
        <v>0</v>
      </c>
      <c r="S64" s="257">
        <v>0</v>
      </c>
      <c r="T64" s="257">
        <v>0</v>
      </c>
      <c r="U64" s="257">
        <v>0</v>
      </c>
      <c r="W64" s="269" t="s">
        <v>31</v>
      </c>
      <c r="X64" s="270"/>
      <c r="Y64" s="271"/>
      <c r="Z64" s="267"/>
      <c r="AA64" s="274">
        <v>0</v>
      </c>
      <c r="AB64" s="274">
        <v>0</v>
      </c>
      <c r="AC64" s="274">
        <v>0</v>
      </c>
      <c r="AD64" s="274">
        <v>0</v>
      </c>
      <c r="AE64" s="274">
        <v>0</v>
      </c>
    </row>
    <row r="65" spans="3:31" x14ac:dyDescent="0.3">
      <c r="C65" s="255"/>
      <c r="E65" s="243" t="s">
        <v>32</v>
      </c>
      <c r="F65" s="261"/>
      <c r="G65" s="276">
        <f>SUM(G66:G74)</f>
        <v>77</v>
      </c>
      <c r="H65" s="276">
        <f>SUM(H66:H74)</f>
        <v>202</v>
      </c>
      <c r="I65" s="276">
        <f>SUM(I66:I74)</f>
        <v>134</v>
      </c>
      <c r="J65" s="276">
        <f>SUM(J66:J74)</f>
        <v>0</v>
      </c>
      <c r="K65" s="276">
        <f>SUM(K66:K74)</f>
        <v>93</v>
      </c>
      <c r="M65" s="4040" t="s">
        <v>32</v>
      </c>
      <c r="N65" s="4081"/>
      <c r="O65" s="4041"/>
      <c r="P65" s="277"/>
      <c r="Q65" s="276">
        <f>SUM(Q66:Q74)</f>
        <v>464</v>
      </c>
      <c r="R65" s="276">
        <f>SUM(R66:R74)</f>
        <v>925</v>
      </c>
      <c r="S65" s="276">
        <f>SUM(S66:S74)</f>
        <v>1431</v>
      </c>
      <c r="T65" s="276">
        <f>SUM(T66:T74)</f>
        <v>0</v>
      </c>
      <c r="U65" s="276">
        <f>SUM(U66:U74)</f>
        <v>1740</v>
      </c>
      <c r="W65" s="278" t="s">
        <v>32</v>
      </c>
      <c r="X65" s="279"/>
      <c r="Y65" s="280"/>
      <c r="Z65" s="244"/>
      <c r="AA65" s="276"/>
      <c r="AB65" s="276"/>
      <c r="AC65" s="276"/>
      <c r="AD65" s="276"/>
      <c r="AE65" s="262"/>
    </row>
    <row r="66" spans="3:31" x14ac:dyDescent="0.3">
      <c r="C66" s="255"/>
      <c r="E66" s="32" t="s">
        <v>33</v>
      </c>
      <c r="F66" s="275"/>
      <c r="G66" s="257">
        <v>3</v>
      </c>
      <c r="H66" s="257">
        <v>13</v>
      </c>
      <c r="I66" s="257">
        <v>18</v>
      </c>
      <c r="J66" s="257">
        <v>0</v>
      </c>
      <c r="K66" s="257">
        <v>0</v>
      </c>
      <c r="L66" s="281">
        <f>K66/K65</f>
        <v>0</v>
      </c>
      <c r="M66" s="4016" t="s">
        <v>33</v>
      </c>
      <c r="N66" s="4017"/>
      <c r="O66" s="4018"/>
      <c r="P66" s="267"/>
      <c r="Q66" s="257">
        <v>33</v>
      </c>
      <c r="R66" s="257">
        <v>168</v>
      </c>
      <c r="S66" s="257">
        <v>52</v>
      </c>
      <c r="T66" s="257">
        <v>0</v>
      </c>
      <c r="U66" s="257">
        <v>0</v>
      </c>
      <c r="W66" s="269" t="s">
        <v>33</v>
      </c>
      <c r="X66" s="270"/>
      <c r="Y66" s="271"/>
      <c r="Z66" s="267"/>
      <c r="AA66" s="274">
        <v>0</v>
      </c>
      <c r="AB66" s="274">
        <v>0</v>
      </c>
      <c r="AC66" s="274">
        <v>0</v>
      </c>
      <c r="AD66" s="274">
        <v>0</v>
      </c>
      <c r="AE66" s="274">
        <v>0</v>
      </c>
    </row>
    <row r="67" spans="3:31" x14ac:dyDescent="0.3">
      <c r="C67" s="255"/>
      <c r="E67" s="32" t="s">
        <v>34</v>
      </c>
      <c r="F67" s="275"/>
      <c r="G67" s="257">
        <v>1</v>
      </c>
      <c r="H67" s="257">
        <v>15</v>
      </c>
      <c r="I67" s="257">
        <v>1</v>
      </c>
      <c r="J67" s="257">
        <v>0</v>
      </c>
      <c r="K67" s="257">
        <v>2</v>
      </c>
      <c r="M67" s="4016" t="s">
        <v>34</v>
      </c>
      <c r="N67" s="4017"/>
      <c r="O67" s="4018"/>
      <c r="P67" s="267"/>
      <c r="Q67" s="257">
        <v>2</v>
      </c>
      <c r="R67" s="257">
        <v>15</v>
      </c>
      <c r="S67" s="257">
        <v>4</v>
      </c>
      <c r="T67" s="257">
        <v>0</v>
      </c>
      <c r="U67" s="257">
        <v>8</v>
      </c>
      <c r="W67" s="269" t="s">
        <v>34</v>
      </c>
      <c r="X67" s="270"/>
      <c r="Y67" s="271"/>
      <c r="Z67" s="267"/>
      <c r="AA67" s="274">
        <f t="shared" ref="AA67:AE81" si="4">Q67/G67</f>
        <v>2</v>
      </c>
      <c r="AB67" s="274">
        <f t="shared" si="4"/>
        <v>1</v>
      </c>
      <c r="AC67" s="274">
        <f t="shared" si="4"/>
        <v>4</v>
      </c>
      <c r="AD67" s="274" t="e">
        <f t="shared" si="4"/>
        <v>#DIV/0!</v>
      </c>
      <c r="AE67" s="274">
        <f t="shared" si="4"/>
        <v>4</v>
      </c>
    </row>
    <row r="68" spans="3:31" x14ac:dyDescent="0.3">
      <c r="C68" s="255"/>
      <c r="E68" s="32" t="s">
        <v>461</v>
      </c>
      <c r="F68" s="275"/>
      <c r="G68" s="257">
        <v>61</v>
      </c>
      <c r="H68" s="257">
        <v>133</v>
      </c>
      <c r="I68" s="257">
        <v>95</v>
      </c>
      <c r="J68" s="257">
        <v>0</v>
      </c>
      <c r="K68" s="257">
        <v>66</v>
      </c>
      <c r="M68" s="4016" t="s">
        <v>461</v>
      </c>
      <c r="N68" s="4017"/>
      <c r="O68" s="4018"/>
      <c r="P68" s="267"/>
      <c r="Q68" s="257">
        <v>374</v>
      </c>
      <c r="R68" s="257">
        <v>600</v>
      </c>
      <c r="S68" s="257">
        <v>1305</v>
      </c>
      <c r="T68" s="257">
        <v>0</v>
      </c>
      <c r="U68" s="257">
        <v>1500</v>
      </c>
      <c r="W68" s="269" t="s">
        <v>461</v>
      </c>
      <c r="X68" s="270"/>
      <c r="Y68" s="271"/>
      <c r="Z68" s="267"/>
      <c r="AA68" s="274">
        <f t="shared" si="4"/>
        <v>6.1311475409836067</v>
      </c>
      <c r="AB68" s="274">
        <f t="shared" si="4"/>
        <v>4.511278195488722</v>
      </c>
      <c r="AC68" s="274">
        <f t="shared" si="4"/>
        <v>13.736842105263158</v>
      </c>
      <c r="AD68" s="274" t="e">
        <f t="shared" si="4"/>
        <v>#DIV/0!</v>
      </c>
      <c r="AE68" s="274">
        <f t="shared" si="4"/>
        <v>22.727272727272727</v>
      </c>
    </row>
    <row r="69" spans="3:31" x14ac:dyDescent="0.3">
      <c r="C69" s="255"/>
      <c r="E69" s="32" t="s">
        <v>462</v>
      </c>
      <c r="F69" s="275"/>
      <c r="G69" s="257">
        <v>10</v>
      </c>
      <c r="H69" s="257">
        <v>20</v>
      </c>
      <c r="I69" s="257">
        <v>12</v>
      </c>
      <c r="J69" s="257">
        <v>0</v>
      </c>
      <c r="K69" s="257">
        <v>1</v>
      </c>
      <c r="M69" s="4016" t="s">
        <v>462</v>
      </c>
      <c r="N69" s="4017"/>
      <c r="O69" s="4018"/>
      <c r="P69" s="267"/>
      <c r="Q69" s="257">
        <v>52</v>
      </c>
      <c r="R69" s="257">
        <v>63</v>
      </c>
      <c r="S69" s="257">
        <v>50</v>
      </c>
      <c r="T69" s="257">
        <v>0</v>
      </c>
      <c r="U69" s="257">
        <v>7</v>
      </c>
      <c r="W69" s="269" t="s">
        <v>462</v>
      </c>
      <c r="X69" s="270"/>
      <c r="Y69" s="271"/>
      <c r="Z69" s="267"/>
      <c r="AA69" s="274">
        <f t="shared" si="4"/>
        <v>5.2</v>
      </c>
      <c r="AB69" s="274">
        <f t="shared" si="4"/>
        <v>3.15</v>
      </c>
      <c r="AC69" s="274">
        <f t="shared" si="4"/>
        <v>4.166666666666667</v>
      </c>
      <c r="AD69" s="274" t="e">
        <f t="shared" si="4"/>
        <v>#DIV/0!</v>
      </c>
      <c r="AE69" s="274">
        <f t="shared" si="4"/>
        <v>7</v>
      </c>
    </row>
    <row r="70" spans="3:31" x14ac:dyDescent="0.3">
      <c r="C70" s="255"/>
      <c r="E70" s="32" t="s">
        <v>35</v>
      </c>
      <c r="F70" s="275"/>
      <c r="G70" s="257">
        <v>0</v>
      </c>
      <c r="H70" s="257">
        <v>0</v>
      </c>
      <c r="I70" s="257">
        <v>0</v>
      </c>
      <c r="J70" s="257">
        <v>0</v>
      </c>
      <c r="K70" s="257">
        <v>0</v>
      </c>
      <c r="L70" s="281"/>
      <c r="M70" s="4016" t="s">
        <v>35</v>
      </c>
      <c r="N70" s="4017"/>
      <c r="O70" s="4018"/>
      <c r="P70" s="267"/>
      <c r="Q70" s="257">
        <v>0</v>
      </c>
      <c r="R70" s="257">
        <v>0</v>
      </c>
      <c r="S70" s="257">
        <v>0</v>
      </c>
      <c r="T70" s="257">
        <v>0</v>
      </c>
      <c r="U70" s="257">
        <v>0</v>
      </c>
      <c r="V70" s="138"/>
      <c r="W70" s="269" t="s">
        <v>35</v>
      </c>
      <c r="X70" s="270"/>
      <c r="Y70" s="271"/>
      <c r="Z70" s="267"/>
      <c r="AA70" s="274">
        <v>0</v>
      </c>
      <c r="AB70" s="274">
        <v>0</v>
      </c>
      <c r="AC70" s="274">
        <v>0</v>
      </c>
      <c r="AD70" s="274">
        <v>0</v>
      </c>
      <c r="AE70" s="274">
        <v>0</v>
      </c>
    </row>
    <row r="71" spans="3:31" x14ac:dyDescent="0.3">
      <c r="C71" s="255"/>
      <c r="E71" s="32" t="s">
        <v>36</v>
      </c>
      <c r="F71" s="275"/>
      <c r="G71" s="257">
        <v>0</v>
      </c>
      <c r="H71" s="257">
        <v>1</v>
      </c>
      <c r="I71" s="257">
        <v>2</v>
      </c>
      <c r="J71" s="257">
        <v>0</v>
      </c>
      <c r="K71" s="257">
        <v>0</v>
      </c>
      <c r="M71" s="4016" t="s">
        <v>36</v>
      </c>
      <c r="N71" s="4017"/>
      <c r="O71" s="4018"/>
      <c r="P71" s="267"/>
      <c r="Q71" s="257">
        <v>0</v>
      </c>
      <c r="R71" s="257">
        <v>10</v>
      </c>
      <c r="S71" s="257">
        <v>11</v>
      </c>
      <c r="T71" s="257">
        <v>0</v>
      </c>
      <c r="U71" s="257">
        <v>0</v>
      </c>
      <c r="W71" s="269" t="s">
        <v>36</v>
      </c>
      <c r="X71" s="270"/>
      <c r="Y71" s="271"/>
      <c r="Z71" s="267"/>
      <c r="AA71" s="274" t="e">
        <f t="shared" si="4"/>
        <v>#DIV/0!</v>
      </c>
      <c r="AB71" s="274">
        <f t="shared" si="4"/>
        <v>10</v>
      </c>
      <c r="AC71" s="274">
        <f t="shared" si="4"/>
        <v>5.5</v>
      </c>
      <c r="AD71" s="274" t="e">
        <f t="shared" si="4"/>
        <v>#DIV/0!</v>
      </c>
      <c r="AE71" s="274" t="e">
        <f t="shared" si="4"/>
        <v>#DIV/0!</v>
      </c>
    </row>
    <row r="72" spans="3:31" x14ac:dyDescent="0.3">
      <c r="C72" s="255"/>
      <c r="E72" s="32" t="s">
        <v>37</v>
      </c>
      <c r="F72" s="275"/>
      <c r="G72" s="257">
        <v>0</v>
      </c>
      <c r="H72" s="257">
        <v>20</v>
      </c>
      <c r="I72" s="257">
        <v>3</v>
      </c>
      <c r="J72" s="257">
        <v>0</v>
      </c>
      <c r="K72" s="257">
        <v>24</v>
      </c>
      <c r="M72" s="4016" t="s">
        <v>37</v>
      </c>
      <c r="N72" s="4017"/>
      <c r="O72" s="4018"/>
      <c r="P72" s="267"/>
      <c r="Q72" s="257">
        <v>0</v>
      </c>
      <c r="R72" s="257">
        <v>69</v>
      </c>
      <c r="S72" s="257">
        <v>3</v>
      </c>
      <c r="T72" s="257">
        <v>0</v>
      </c>
      <c r="U72" s="257">
        <v>225</v>
      </c>
      <c r="W72" s="269" t="s">
        <v>37</v>
      </c>
      <c r="X72" s="270"/>
      <c r="Y72" s="271"/>
      <c r="Z72" s="267"/>
      <c r="AA72" s="274" t="e">
        <f t="shared" si="4"/>
        <v>#DIV/0!</v>
      </c>
      <c r="AB72" s="274">
        <f t="shared" si="4"/>
        <v>3.45</v>
      </c>
      <c r="AC72" s="274">
        <f t="shared" si="4"/>
        <v>1</v>
      </c>
      <c r="AD72" s="274" t="e">
        <f t="shared" si="4"/>
        <v>#DIV/0!</v>
      </c>
      <c r="AE72" s="274">
        <f t="shared" si="4"/>
        <v>9.375</v>
      </c>
    </row>
    <row r="73" spans="3:31" x14ac:dyDescent="0.3">
      <c r="C73" s="255"/>
      <c r="E73" s="32" t="s">
        <v>38</v>
      </c>
      <c r="F73" s="275"/>
      <c r="G73" s="257">
        <v>2</v>
      </c>
      <c r="H73" s="257">
        <v>0</v>
      </c>
      <c r="I73" s="257">
        <v>3</v>
      </c>
      <c r="J73" s="257">
        <v>0</v>
      </c>
      <c r="K73" s="257">
        <v>0</v>
      </c>
      <c r="M73" s="4016" t="s">
        <v>38</v>
      </c>
      <c r="N73" s="4017"/>
      <c r="O73" s="4018"/>
      <c r="P73" s="267"/>
      <c r="Q73" s="257">
        <v>3</v>
      </c>
      <c r="R73" s="257">
        <v>0</v>
      </c>
      <c r="S73" s="257">
        <v>6</v>
      </c>
      <c r="T73" s="257">
        <v>0</v>
      </c>
      <c r="U73" s="257">
        <v>0</v>
      </c>
      <c r="W73" s="269" t="s">
        <v>38</v>
      </c>
      <c r="X73" s="270"/>
      <c r="Y73" s="271"/>
      <c r="Z73" s="267"/>
      <c r="AA73" s="274">
        <f t="shared" si="4"/>
        <v>1.5</v>
      </c>
      <c r="AB73" s="274" t="e">
        <f t="shared" si="4"/>
        <v>#DIV/0!</v>
      </c>
      <c r="AC73" s="274">
        <f t="shared" si="4"/>
        <v>2</v>
      </c>
      <c r="AD73" s="274" t="e">
        <f t="shared" si="4"/>
        <v>#DIV/0!</v>
      </c>
      <c r="AE73" s="274" t="e">
        <f t="shared" si="4"/>
        <v>#DIV/0!</v>
      </c>
    </row>
    <row r="74" spans="3:31" x14ac:dyDescent="0.3">
      <c r="C74" s="255"/>
      <c r="E74" s="32" t="s">
        <v>39</v>
      </c>
      <c r="F74" s="275"/>
      <c r="G74" s="257">
        <v>0</v>
      </c>
      <c r="H74" s="257">
        <v>0</v>
      </c>
      <c r="I74" s="257">
        <v>0</v>
      </c>
      <c r="J74" s="257">
        <v>0</v>
      </c>
      <c r="K74" s="257">
        <v>0</v>
      </c>
      <c r="M74" s="4016" t="s">
        <v>39</v>
      </c>
      <c r="N74" s="4017"/>
      <c r="O74" s="4018"/>
      <c r="P74" s="267"/>
      <c r="Q74" s="257">
        <v>0</v>
      </c>
      <c r="R74" s="257">
        <v>0</v>
      </c>
      <c r="S74" s="257">
        <v>0</v>
      </c>
      <c r="T74" s="257">
        <v>0</v>
      </c>
      <c r="U74" s="257">
        <v>0</v>
      </c>
      <c r="W74" s="269" t="s">
        <v>39</v>
      </c>
      <c r="X74" s="270"/>
      <c r="Y74" s="271"/>
      <c r="Z74" s="267"/>
      <c r="AA74" s="274" t="e">
        <f t="shared" si="4"/>
        <v>#DIV/0!</v>
      </c>
      <c r="AB74" s="274" t="e">
        <f t="shared" si="4"/>
        <v>#DIV/0!</v>
      </c>
      <c r="AC74" s="274" t="e">
        <f t="shared" si="4"/>
        <v>#DIV/0!</v>
      </c>
      <c r="AD74" s="274" t="e">
        <f t="shared" si="4"/>
        <v>#DIV/0!</v>
      </c>
      <c r="AE74" s="274" t="e">
        <f t="shared" si="4"/>
        <v>#DIV/0!</v>
      </c>
    </row>
    <row r="75" spans="3:31" ht="15.6" customHeight="1" x14ac:dyDescent="0.3">
      <c r="C75" s="255"/>
      <c r="E75" s="243" t="s">
        <v>40</v>
      </c>
      <c r="F75" s="261"/>
      <c r="G75" s="276">
        <f>SUM(G76:G86)</f>
        <v>48</v>
      </c>
      <c r="H75" s="276">
        <f>SUM(H76:H86)</f>
        <v>17</v>
      </c>
      <c r="I75" s="276">
        <f>SUM(I76:I86)</f>
        <v>200</v>
      </c>
      <c r="J75" s="276">
        <f>SUM(J76:J86)</f>
        <v>0</v>
      </c>
      <c r="K75" s="276">
        <f>SUM(K76:K86)</f>
        <v>70</v>
      </c>
      <c r="M75" s="4040" t="s">
        <v>40</v>
      </c>
      <c r="N75" s="4081"/>
      <c r="O75" s="4041"/>
      <c r="P75" s="277"/>
      <c r="Q75" s="276">
        <f>SUM(Q76:Q86)</f>
        <v>697</v>
      </c>
      <c r="R75" s="276">
        <f>SUM(R76:R86)</f>
        <v>45</v>
      </c>
      <c r="S75" s="276">
        <f>SUM(S76:S86)</f>
        <v>414</v>
      </c>
      <c r="T75" s="276">
        <f>SUM(T76:T86)</f>
        <v>0</v>
      </c>
      <c r="U75" s="276">
        <f>SUM(U76:U86)</f>
        <v>390</v>
      </c>
      <c r="W75" s="278" t="s">
        <v>40</v>
      </c>
      <c r="X75" s="279"/>
      <c r="Y75" s="280"/>
      <c r="Z75" s="244"/>
      <c r="AA75" s="274">
        <f t="shared" si="4"/>
        <v>14.520833333333334</v>
      </c>
      <c r="AB75" s="274">
        <f t="shared" si="4"/>
        <v>2.6470588235294117</v>
      </c>
      <c r="AC75" s="274">
        <f t="shared" si="4"/>
        <v>2.0699999999999998</v>
      </c>
      <c r="AD75" s="274" t="e">
        <f t="shared" si="4"/>
        <v>#DIV/0!</v>
      </c>
      <c r="AE75" s="262">
        <f t="shared" si="4"/>
        <v>5.5714285714285712</v>
      </c>
    </row>
    <row r="76" spans="3:31" x14ac:dyDescent="0.3">
      <c r="C76" s="255"/>
      <c r="E76" s="32" t="s">
        <v>41</v>
      </c>
      <c r="F76" s="275"/>
      <c r="G76" s="257">
        <v>0</v>
      </c>
      <c r="H76" s="257">
        <v>0</v>
      </c>
      <c r="I76" s="257">
        <v>17</v>
      </c>
      <c r="J76" s="257">
        <v>0</v>
      </c>
      <c r="K76" s="257">
        <v>9</v>
      </c>
      <c r="M76" s="4016" t="s">
        <v>41</v>
      </c>
      <c r="N76" s="4017"/>
      <c r="O76" s="4018"/>
      <c r="P76" s="267"/>
      <c r="Q76" s="257">
        <v>0</v>
      </c>
      <c r="R76" s="257">
        <v>0</v>
      </c>
      <c r="S76" s="257">
        <v>45</v>
      </c>
      <c r="T76" s="257">
        <v>0</v>
      </c>
      <c r="U76" s="257">
        <v>16</v>
      </c>
      <c r="W76" s="269" t="s">
        <v>41</v>
      </c>
      <c r="X76" s="270"/>
      <c r="Y76" s="271"/>
      <c r="Z76" s="267"/>
      <c r="AA76" s="274" t="e">
        <f t="shared" si="4"/>
        <v>#DIV/0!</v>
      </c>
      <c r="AB76" s="274" t="e">
        <f t="shared" si="4"/>
        <v>#DIV/0!</v>
      </c>
      <c r="AC76" s="274">
        <f t="shared" si="4"/>
        <v>2.6470588235294117</v>
      </c>
      <c r="AD76" s="274" t="e">
        <f t="shared" si="4"/>
        <v>#DIV/0!</v>
      </c>
      <c r="AE76" s="274">
        <f t="shared" si="4"/>
        <v>1.7777777777777777</v>
      </c>
    </row>
    <row r="77" spans="3:31" x14ac:dyDescent="0.3">
      <c r="C77" s="255"/>
      <c r="E77" s="32" t="s">
        <v>42</v>
      </c>
      <c r="F77" s="275"/>
      <c r="G77" s="257">
        <v>0</v>
      </c>
      <c r="H77" s="257">
        <v>0</v>
      </c>
      <c r="I77" s="257">
        <v>2</v>
      </c>
      <c r="J77" s="257">
        <v>0</v>
      </c>
      <c r="K77" s="257">
        <v>4</v>
      </c>
      <c r="M77" s="4016" t="s">
        <v>42</v>
      </c>
      <c r="N77" s="4017"/>
      <c r="O77" s="4018"/>
      <c r="P77" s="267"/>
      <c r="Q77" s="257">
        <v>0</v>
      </c>
      <c r="R77" s="257">
        <v>0</v>
      </c>
      <c r="S77" s="257">
        <v>4</v>
      </c>
      <c r="T77" s="257">
        <v>0</v>
      </c>
      <c r="U77" s="257">
        <v>33</v>
      </c>
      <c r="W77" s="269" t="s">
        <v>42</v>
      </c>
      <c r="X77" s="270"/>
      <c r="Y77" s="271"/>
      <c r="Z77" s="267"/>
      <c r="AA77" s="274" t="e">
        <f t="shared" si="4"/>
        <v>#DIV/0!</v>
      </c>
      <c r="AB77" s="274" t="e">
        <f t="shared" si="4"/>
        <v>#DIV/0!</v>
      </c>
      <c r="AC77" s="274">
        <f t="shared" si="4"/>
        <v>2</v>
      </c>
      <c r="AD77" s="274" t="e">
        <f t="shared" si="4"/>
        <v>#DIV/0!</v>
      </c>
      <c r="AE77" s="274">
        <f t="shared" si="4"/>
        <v>8.25</v>
      </c>
    </row>
    <row r="78" spans="3:31" x14ac:dyDescent="0.3">
      <c r="C78" s="255"/>
      <c r="E78" s="32" t="s">
        <v>43</v>
      </c>
      <c r="F78" s="275"/>
      <c r="G78" s="257">
        <v>0</v>
      </c>
      <c r="H78" s="257">
        <v>5</v>
      </c>
      <c r="I78" s="257">
        <v>13</v>
      </c>
      <c r="J78" s="257">
        <v>0</v>
      </c>
      <c r="K78" s="257">
        <v>17</v>
      </c>
      <c r="M78" s="4016" t="s">
        <v>43</v>
      </c>
      <c r="N78" s="4017"/>
      <c r="O78" s="4018"/>
      <c r="P78" s="267"/>
      <c r="Q78" s="257">
        <v>0</v>
      </c>
      <c r="R78" s="257">
        <v>12</v>
      </c>
      <c r="S78" s="257">
        <v>129</v>
      </c>
      <c r="T78" s="257">
        <v>0</v>
      </c>
      <c r="U78" s="257">
        <v>93</v>
      </c>
      <c r="W78" s="269" t="s">
        <v>43</v>
      </c>
      <c r="X78" s="270"/>
      <c r="Y78" s="271"/>
      <c r="Z78" s="267"/>
      <c r="AA78" s="274" t="e">
        <f t="shared" si="4"/>
        <v>#DIV/0!</v>
      </c>
      <c r="AB78" s="274">
        <f t="shared" si="4"/>
        <v>2.4</v>
      </c>
      <c r="AC78" s="274">
        <f t="shared" si="4"/>
        <v>9.9230769230769234</v>
      </c>
      <c r="AD78" s="274" t="e">
        <f t="shared" si="4"/>
        <v>#DIV/0!</v>
      </c>
      <c r="AE78" s="274">
        <f t="shared" si="4"/>
        <v>5.4705882352941178</v>
      </c>
    </row>
    <row r="79" spans="3:31" x14ac:dyDescent="0.3">
      <c r="C79" s="255"/>
      <c r="E79" s="32" t="s">
        <v>44</v>
      </c>
      <c r="F79" s="275"/>
      <c r="G79" s="257">
        <v>13</v>
      </c>
      <c r="H79" s="257">
        <v>3</v>
      </c>
      <c r="I79" s="257">
        <v>140</v>
      </c>
      <c r="J79" s="257">
        <v>0</v>
      </c>
      <c r="K79" s="257">
        <v>13</v>
      </c>
      <c r="M79" s="4016" t="s">
        <v>44</v>
      </c>
      <c r="N79" s="4017"/>
      <c r="O79" s="4018"/>
      <c r="P79" s="267"/>
      <c r="Q79" s="257">
        <v>0</v>
      </c>
      <c r="R79" s="257">
        <v>23</v>
      </c>
      <c r="S79" s="257">
        <v>172</v>
      </c>
      <c r="T79" s="257">
        <v>0</v>
      </c>
      <c r="U79" s="257">
        <v>83</v>
      </c>
      <c r="W79" s="269" t="s">
        <v>44</v>
      </c>
      <c r="X79" s="270"/>
      <c r="Y79" s="271"/>
      <c r="Z79" s="267"/>
      <c r="AA79" s="274">
        <f t="shared" si="4"/>
        <v>0</v>
      </c>
      <c r="AB79" s="274">
        <f t="shared" si="4"/>
        <v>7.666666666666667</v>
      </c>
      <c r="AC79" s="274">
        <f t="shared" si="4"/>
        <v>1.2285714285714286</v>
      </c>
      <c r="AD79" s="274" t="e">
        <f t="shared" si="4"/>
        <v>#DIV/0!</v>
      </c>
      <c r="AE79" s="274">
        <f t="shared" si="4"/>
        <v>6.384615384615385</v>
      </c>
    </row>
    <row r="80" spans="3:31" x14ac:dyDescent="0.3">
      <c r="C80" s="255"/>
      <c r="E80" s="32" t="s">
        <v>45</v>
      </c>
      <c r="F80" s="275"/>
      <c r="G80" s="257">
        <v>0</v>
      </c>
      <c r="H80" s="257">
        <v>0</v>
      </c>
      <c r="I80" s="257">
        <v>5</v>
      </c>
      <c r="J80" s="257">
        <v>0</v>
      </c>
      <c r="K80" s="257">
        <v>10</v>
      </c>
      <c r="M80" s="4016" t="s">
        <v>45</v>
      </c>
      <c r="N80" s="4017"/>
      <c r="O80" s="4018"/>
      <c r="P80" s="267"/>
      <c r="Q80" s="257">
        <v>0</v>
      </c>
      <c r="R80" s="257">
        <v>0</v>
      </c>
      <c r="S80" s="257">
        <v>27</v>
      </c>
      <c r="T80" s="257">
        <v>0</v>
      </c>
      <c r="U80" s="257">
        <v>13</v>
      </c>
      <c r="W80" s="269" t="s">
        <v>45</v>
      </c>
      <c r="X80" s="270"/>
      <c r="Y80" s="271"/>
      <c r="Z80" s="267"/>
      <c r="AA80" s="274" t="e">
        <f t="shared" si="4"/>
        <v>#DIV/0!</v>
      </c>
      <c r="AB80" s="274" t="e">
        <f t="shared" si="4"/>
        <v>#DIV/0!</v>
      </c>
      <c r="AC80" s="274">
        <f t="shared" si="4"/>
        <v>5.4</v>
      </c>
      <c r="AD80" s="274" t="e">
        <f t="shared" si="4"/>
        <v>#DIV/0!</v>
      </c>
      <c r="AE80" s="274">
        <f t="shared" si="4"/>
        <v>1.3</v>
      </c>
    </row>
    <row r="81" spans="3:31" x14ac:dyDescent="0.3">
      <c r="C81" s="255"/>
      <c r="E81" s="32" t="s">
        <v>46</v>
      </c>
      <c r="F81" s="275"/>
      <c r="G81" s="257">
        <v>0</v>
      </c>
      <c r="H81" s="257">
        <v>0</v>
      </c>
      <c r="I81" s="257">
        <v>9</v>
      </c>
      <c r="J81" s="257">
        <v>0</v>
      </c>
      <c r="K81" s="257">
        <v>4</v>
      </c>
      <c r="M81" s="4016" t="s">
        <v>46</v>
      </c>
      <c r="N81" s="4017"/>
      <c r="O81" s="4018"/>
      <c r="P81" s="267"/>
      <c r="Q81" s="257">
        <v>0</v>
      </c>
      <c r="R81" s="257">
        <v>0</v>
      </c>
      <c r="S81" s="257">
        <v>21</v>
      </c>
      <c r="T81" s="257">
        <v>0</v>
      </c>
      <c r="U81" s="257">
        <v>15</v>
      </c>
      <c r="W81" s="269" t="s">
        <v>46</v>
      </c>
      <c r="X81" s="270"/>
      <c r="Y81" s="271"/>
      <c r="Z81" s="267"/>
      <c r="AA81" s="274" t="e">
        <f t="shared" si="4"/>
        <v>#DIV/0!</v>
      </c>
      <c r="AB81" s="274" t="e">
        <f t="shared" si="4"/>
        <v>#DIV/0!</v>
      </c>
      <c r="AC81" s="274">
        <f t="shared" si="4"/>
        <v>2.3333333333333335</v>
      </c>
      <c r="AD81" s="274" t="e">
        <f t="shared" si="4"/>
        <v>#DIV/0!</v>
      </c>
      <c r="AE81" s="274">
        <f>U81/K81</f>
        <v>3.75</v>
      </c>
    </row>
    <row r="82" spans="3:31" x14ac:dyDescent="0.3">
      <c r="C82" s="255"/>
      <c r="E82" s="32" t="s">
        <v>47</v>
      </c>
      <c r="F82" s="275"/>
      <c r="G82" s="257">
        <v>10</v>
      </c>
      <c r="H82" s="257">
        <v>0</v>
      </c>
      <c r="I82" s="257">
        <v>14</v>
      </c>
      <c r="J82" s="257">
        <v>0</v>
      </c>
      <c r="K82" s="257">
        <v>8</v>
      </c>
      <c r="M82" s="4016" t="s">
        <v>47</v>
      </c>
      <c r="N82" s="4017"/>
      <c r="O82" s="4018"/>
      <c r="P82" s="267"/>
      <c r="Q82" s="257">
        <v>16</v>
      </c>
      <c r="R82" s="257">
        <v>0</v>
      </c>
      <c r="S82" s="257">
        <v>16</v>
      </c>
      <c r="T82" s="257">
        <v>0</v>
      </c>
      <c r="U82" s="257">
        <v>11</v>
      </c>
      <c r="W82" s="269" t="s">
        <v>47</v>
      </c>
      <c r="X82" s="270"/>
      <c r="Y82" s="271"/>
      <c r="Z82" s="267"/>
      <c r="AA82" s="274">
        <f t="shared" ref="AA82:AE86" si="5">Q82/G82</f>
        <v>1.6</v>
      </c>
      <c r="AB82" s="274" t="e">
        <f t="shared" si="5"/>
        <v>#DIV/0!</v>
      </c>
      <c r="AC82" s="274">
        <f t="shared" si="5"/>
        <v>1.1428571428571428</v>
      </c>
      <c r="AD82" s="274" t="e">
        <f t="shared" si="5"/>
        <v>#DIV/0!</v>
      </c>
      <c r="AE82" s="274">
        <f t="shared" si="5"/>
        <v>1.375</v>
      </c>
    </row>
    <row r="83" spans="3:31" x14ac:dyDescent="0.3">
      <c r="C83" s="255"/>
      <c r="E83" s="32" t="s">
        <v>48</v>
      </c>
      <c r="F83" s="275"/>
      <c r="G83" s="257">
        <v>0</v>
      </c>
      <c r="H83" s="257">
        <v>0</v>
      </c>
      <c r="I83" s="257">
        <v>0</v>
      </c>
      <c r="J83" s="257">
        <v>0</v>
      </c>
      <c r="K83" s="257">
        <v>0</v>
      </c>
      <c r="M83" s="4016" t="s">
        <v>48</v>
      </c>
      <c r="N83" s="4017"/>
      <c r="O83" s="4018"/>
      <c r="P83" s="267"/>
      <c r="Q83" s="257">
        <v>0</v>
      </c>
      <c r="R83" s="257">
        <v>0</v>
      </c>
      <c r="S83" s="257">
        <v>0</v>
      </c>
      <c r="T83" s="257">
        <v>0</v>
      </c>
      <c r="U83" s="257">
        <v>0</v>
      </c>
      <c r="W83" s="269" t="s">
        <v>48</v>
      </c>
      <c r="X83" s="270"/>
      <c r="Y83" s="271"/>
      <c r="Z83" s="267"/>
      <c r="AA83" s="274" t="e">
        <f t="shared" si="5"/>
        <v>#DIV/0!</v>
      </c>
      <c r="AB83" s="274" t="e">
        <f t="shared" si="5"/>
        <v>#DIV/0!</v>
      </c>
      <c r="AC83" s="274" t="e">
        <f t="shared" si="5"/>
        <v>#DIV/0!</v>
      </c>
      <c r="AD83" s="274" t="e">
        <f t="shared" si="5"/>
        <v>#DIV/0!</v>
      </c>
      <c r="AE83" s="274" t="e">
        <f t="shared" si="5"/>
        <v>#DIV/0!</v>
      </c>
    </row>
    <row r="84" spans="3:31" x14ac:dyDescent="0.3">
      <c r="C84" s="255"/>
      <c r="E84" s="32" t="s">
        <v>1270</v>
      </c>
      <c r="F84" s="275"/>
      <c r="G84" s="257">
        <v>16</v>
      </c>
      <c r="H84" s="257">
        <v>0</v>
      </c>
      <c r="I84" s="257">
        <v>0</v>
      </c>
      <c r="J84" s="257">
        <v>0</v>
      </c>
      <c r="K84" s="257">
        <v>0</v>
      </c>
      <c r="M84" s="4016" t="s">
        <v>49</v>
      </c>
      <c r="N84" s="4017"/>
      <c r="O84" s="4018"/>
      <c r="P84" s="267"/>
      <c r="Q84" s="257">
        <v>0</v>
      </c>
      <c r="R84" s="257">
        <v>0</v>
      </c>
      <c r="S84" s="257">
        <v>0</v>
      </c>
      <c r="T84" s="257">
        <v>0</v>
      </c>
      <c r="U84" s="257">
        <v>0</v>
      </c>
      <c r="W84" s="269" t="s">
        <v>49</v>
      </c>
      <c r="X84" s="270"/>
      <c r="Y84" s="271"/>
      <c r="Z84" s="267"/>
      <c r="AA84" s="274">
        <f t="shared" si="5"/>
        <v>0</v>
      </c>
      <c r="AB84" s="274" t="e">
        <f t="shared" si="5"/>
        <v>#DIV/0!</v>
      </c>
      <c r="AC84" s="274" t="e">
        <f t="shared" si="5"/>
        <v>#DIV/0!</v>
      </c>
      <c r="AD84" s="274" t="e">
        <f t="shared" si="5"/>
        <v>#DIV/0!</v>
      </c>
      <c r="AE84" s="274" t="e">
        <f t="shared" si="5"/>
        <v>#DIV/0!</v>
      </c>
    </row>
    <row r="85" spans="3:31" x14ac:dyDescent="0.3">
      <c r="C85" s="255"/>
      <c r="E85" s="32" t="s">
        <v>557</v>
      </c>
      <c r="F85" s="275"/>
      <c r="G85" s="257">
        <v>0</v>
      </c>
      <c r="H85" s="257">
        <v>0</v>
      </c>
      <c r="I85" s="257">
        <v>0</v>
      </c>
      <c r="J85" s="257">
        <v>0</v>
      </c>
      <c r="K85" s="257">
        <v>0</v>
      </c>
      <c r="M85" s="32" t="s">
        <v>557</v>
      </c>
      <c r="N85" s="282"/>
      <c r="O85" s="283"/>
      <c r="P85" s="267"/>
      <c r="Q85" s="257">
        <v>0</v>
      </c>
      <c r="R85" s="257">
        <v>0</v>
      </c>
      <c r="S85" s="257">
        <v>0</v>
      </c>
      <c r="T85" s="257">
        <v>0</v>
      </c>
      <c r="U85" s="257">
        <v>0</v>
      </c>
      <c r="W85" s="32" t="s">
        <v>557</v>
      </c>
      <c r="X85" s="270"/>
      <c r="Y85" s="271"/>
      <c r="Z85" s="267"/>
      <c r="AA85" s="274" t="e">
        <f t="shared" si="5"/>
        <v>#DIV/0!</v>
      </c>
      <c r="AB85" s="274" t="e">
        <f t="shared" si="5"/>
        <v>#DIV/0!</v>
      </c>
      <c r="AC85" s="274" t="e">
        <f t="shared" si="5"/>
        <v>#DIV/0!</v>
      </c>
      <c r="AD85" s="274" t="e">
        <f t="shared" si="5"/>
        <v>#DIV/0!</v>
      </c>
      <c r="AE85" s="274" t="e">
        <f t="shared" si="5"/>
        <v>#DIV/0!</v>
      </c>
    </row>
    <row r="86" spans="3:31" x14ac:dyDescent="0.3">
      <c r="C86" s="255"/>
      <c r="E86" s="32" t="s">
        <v>460</v>
      </c>
      <c r="F86" s="275"/>
      <c r="G86" s="257">
        <v>9</v>
      </c>
      <c r="H86" s="257">
        <v>9</v>
      </c>
      <c r="I86" s="257">
        <v>0</v>
      </c>
      <c r="J86" s="257">
        <v>0</v>
      </c>
      <c r="K86" s="257">
        <v>5</v>
      </c>
      <c r="M86" s="4016" t="s">
        <v>460</v>
      </c>
      <c r="N86" s="4017"/>
      <c r="O86" s="4018"/>
      <c r="P86" s="267"/>
      <c r="Q86" s="257">
        <v>681</v>
      </c>
      <c r="R86" s="257">
        <v>10</v>
      </c>
      <c r="S86" s="257">
        <v>0</v>
      </c>
      <c r="T86" s="257">
        <v>0</v>
      </c>
      <c r="U86" s="257">
        <v>126</v>
      </c>
      <c r="W86" s="269" t="s">
        <v>460</v>
      </c>
      <c r="X86" s="270"/>
      <c r="Y86" s="271"/>
      <c r="Z86" s="267"/>
      <c r="AA86" s="274">
        <f t="shared" si="5"/>
        <v>75.666666666666671</v>
      </c>
      <c r="AB86" s="274">
        <f t="shared" si="5"/>
        <v>1.1111111111111112</v>
      </c>
      <c r="AC86" s="274" t="e">
        <f t="shared" si="5"/>
        <v>#DIV/0!</v>
      </c>
      <c r="AD86" s="274" t="e">
        <f t="shared" si="5"/>
        <v>#DIV/0!</v>
      </c>
      <c r="AE86" s="274">
        <f t="shared" si="5"/>
        <v>25.2</v>
      </c>
    </row>
    <row r="87" spans="3:31" x14ac:dyDescent="0.3">
      <c r="C87" s="255"/>
      <c r="E87" s="243" t="s">
        <v>0</v>
      </c>
      <c r="F87" s="331"/>
      <c r="G87" s="243">
        <f>SUM(G45+G65+G75)</f>
        <v>129</v>
      </c>
      <c r="H87" s="276">
        <f>SUM(H45+H65+H75)</f>
        <v>250</v>
      </c>
      <c r="I87" s="276">
        <f>SUM(I45+I65+I75)</f>
        <v>366</v>
      </c>
      <c r="J87" s="276">
        <f>SUM(J45+J65+J75)</f>
        <v>0</v>
      </c>
      <c r="K87" s="276">
        <f>SUM(K45+K65+K75)</f>
        <v>166</v>
      </c>
      <c r="M87" s="243" t="s">
        <v>0</v>
      </c>
      <c r="N87" s="243"/>
      <c r="O87" s="243"/>
      <c r="P87" s="277"/>
      <c r="Q87" s="276">
        <f>SUM(Q45+Q65+Q75)</f>
        <v>1172</v>
      </c>
      <c r="R87" s="276">
        <f>SUM(R45+R65+R75)</f>
        <v>1175</v>
      </c>
      <c r="S87" s="276">
        <f>SUM(S45+S65+S75)</f>
        <v>1880</v>
      </c>
      <c r="T87" s="276">
        <f>SUM(T45+T65+T75)</f>
        <v>0</v>
      </c>
      <c r="U87" s="276">
        <f>SUM(U45+U65+U75)</f>
        <v>2143</v>
      </c>
      <c r="W87" s="27" t="s">
        <v>0</v>
      </c>
      <c r="X87" s="27"/>
      <c r="Y87" s="27"/>
      <c r="Z87" s="244"/>
      <c r="AA87" s="276"/>
      <c r="AB87" s="276"/>
      <c r="AC87" s="276"/>
      <c r="AD87" s="276"/>
      <c r="AE87" s="262"/>
    </row>
    <row r="88" spans="3:31" x14ac:dyDescent="0.3">
      <c r="C88" s="255"/>
      <c r="D88" s="34"/>
      <c r="E88" s="284" t="s">
        <v>50</v>
      </c>
      <c r="F88" s="285"/>
      <c r="G88" s="286"/>
      <c r="M88" s="284" t="s">
        <v>50</v>
      </c>
      <c r="W88" s="284" t="s">
        <v>50</v>
      </c>
      <c r="AC88" s="287"/>
    </row>
    <row r="89" spans="3:31" x14ac:dyDescent="0.3">
      <c r="C89" s="255"/>
      <c r="E89" s="4" t="s">
        <v>51</v>
      </c>
      <c r="AA89" s="287"/>
    </row>
    <row r="90" spans="3:31" x14ac:dyDescent="0.3">
      <c r="C90" s="255"/>
      <c r="E90" s="4" t="s">
        <v>269</v>
      </c>
      <c r="AA90" s="287"/>
    </row>
    <row r="91" spans="3:31" x14ac:dyDescent="0.3">
      <c r="C91" s="255"/>
      <c r="AA91" s="287"/>
    </row>
    <row r="92" spans="3:31" x14ac:dyDescent="0.3">
      <c r="C92" s="255">
        <v>4</v>
      </c>
      <c r="D92" s="4" t="s">
        <v>473</v>
      </c>
      <c r="K92" s="287"/>
      <c r="AA92" s="287"/>
    </row>
    <row r="93" spans="3:31" x14ac:dyDescent="0.3">
      <c r="C93" s="255"/>
      <c r="F93" s="340"/>
      <c r="AA93" s="287"/>
    </row>
    <row r="94" spans="3:31" ht="21" customHeight="1" x14ac:dyDescent="0.3">
      <c r="C94" s="255"/>
      <c r="F94" s="4031">
        <v>2014</v>
      </c>
      <c r="G94" s="4032"/>
      <c r="H94" s="4032"/>
      <c r="I94" s="4032"/>
      <c r="J94" s="4032"/>
      <c r="K94" s="4032"/>
      <c r="L94" s="4033"/>
      <c r="M94" s="4034">
        <v>2015</v>
      </c>
      <c r="N94" s="4035"/>
      <c r="O94" s="4035"/>
      <c r="P94" s="4035"/>
      <c r="Q94" s="4035"/>
      <c r="R94" s="4035"/>
      <c r="S94" s="4035"/>
      <c r="AA94" s="287"/>
    </row>
    <row r="95" spans="3:31" ht="33" x14ac:dyDescent="0.3">
      <c r="C95" s="255"/>
      <c r="F95" s="331" t="s">
        <v>54</v>
      </c>
      <c r="G95" s="246" t="s">
        <v>55</v>
      </c>
      <c r="H95" s="246" t="s">
        <v>56</v>
      </c>
      <c r="I95" s="246" t="s">
        <v>57</v>
      </c>
      <c r="J95" s="246" t="s">
        <v>58</v>
      </c>
      <c r="K95" s="248" t="s">
        <v>59</v>
      </c>
      <c r="L95" s="248" t="s">
        <v>0</v>
      </c>
      <c r="M95" s="246" t="s">
        <v>54</v>
      </c>
      <c r="N95" s="246" t="s">
        <v>55</v>
      </c>
      <c r="O95" s="246" t="s">
        <v>56</v>
      </c>
      <c r="P95" s="246" t="s">
        <v>57</v>
      </c>
      <c r="Q95" s="246" t="s">
        <v>58</v>
      </c>
      <c r="R95" s="248" t="s">
        <v>59</v>
      </c>
      <c r="S95" s="248" t="s">
        <v>0</v>
      </c>
      <c r="AA95" s="287"/>
    </row>
    <row r="96" spans="3:31" x14ac:dyDescent="0.3">
      <c r="C96" s="255"/>
      <c r="D96" s="288"/>
      <c r="E96" s="54" t="s">
        <v>60</v>
      </c>
      <c r="F96" s="250">
        <v>0</v>
      </c>
      <c r="G96" s="250">
        <v>0</v>
      </c>
      <c r="H96" s="250">
        <v>0</v>
      </c>
      <c r="I96" s="250">
        <v>0</v>
      </c>
      <c r="J96" s="250">
        <v>0</v>
      </c>
      <c r="K96" s="250">
        <v>0</v>
      </c>
      <c r="L96" s="250">
        <f>SUM(F96:K96)</f>
        <v>0</v>
      </c>
      <c r="M96" s="250">
        <v>0</v>
      </c>
      <c r="N96" s="250">
        <v>0</v>
      </c>
      <c r="O96" s="250">
        <v>0</v>
      </c>
      <c r="P96" s="250">
        <v>0</v>
      </c>
      <c r="Q96" s="250">
        <v>0</v>
      </c>
      <c r="R96" s="250">
        <v>0</v>
      </c>
      <c r="S96" s="250">
        <f>SUM(M96:R96)</f>
        <v>0</v>
      </c>
      <c r="AA96" s="287"/>
    </row>
    <row r="97" spans="3:27" x14ac:dyDescent="0.3">
      <c r="C97" s="255"/>
      <c r="D97" s="288"/>
      <c r="E97" s="54" t="s">
        <v>597</v>
      </c>
      <c r="F97" s="250">
        <v>0</v>
      </c>
      <c r="G97" s="250">
        <v>0</v>
      </c>
      <c r="H97" s="250">
        <v>0</v>
      </c>
      <c r="I97" s="250">
        <v>0</v>
      </c>
      <c r="J97" s="250">
        <v>0</v>
      </c>
      <c r="K97" s="250">
        <v>0</v>
      </c>
      <c r="L97" s="250">
        <f>SUM(F97:K97)</f>
        <v>0</v>
      </c>
      <c r="M97" s="250">
        <v>0</v>
      </c>
      <c r="N97" s="250">
        <v>0</v>
      </c>
      <c r="O97" s="250">
        <v>0</v>
      </c>
      <c r="P97" s="250">
        <v>0</v>
      </c>
      <c r="Q97" s="250">
        <v>0</v>
      </c>
      <c r="R97" s="250">
        <v>0</v>
      </c>
      <c r="S97" s="250">
        <f>SUM(M97:R97)</f>
        <v>0</v>
      </c>
      <c r="AA97" s="287"/>
    </row>
    <row r="98" spans="3:27" x14ac:dyDescent="0.3">
      <c r="C98" s="255"/>
      <c r="E98" s="54" t="s">
        <v>108</v>
      </c>
      <c r="F98" s="250">
        <v>0</v>
      </c>
      <c r="G98" s="250">
        <v>0</v>
      </c>
      <c r="H98" s="250">
        <v>0</v>
      </c>
      <c r="I98" s="250">
        <v>0</v>
      </c>
      <c r="J98" s="250">
        <v>0</v>
      </c>
      <c r="K98" s="250">
        <v>0</v>
      </c>
      <c r="L98" s="250">
        <f>SUM(F98:K98)</f>
        <v>0</v>
      </c>
      <c r="M98" s="250">
        <v>0</v>
      </c>
      <c r="N98" s="250">
        <v>0</v>
      </c>
      <c r="O98" s="250">
        <v>0</v>
      </c>
      <c r="P98" s="250">
        <v>0</v>
      </c>
      <c r="Q98" s="250">
        <v>0</v>
      </c>
      <c r="R98" s="250">
        <v>0</v>
      </c>
      <c r="S98" s="250">
        <f>SUM(M98:R98)</f>
        <v>0</v>
      </c>
      <c r="AA98" s="287"/>
    </row>
    <row r="99" spans="3:27" x14ac:dyDescent="0.3">
      <c r="C99" s="255"/>
      <c r="E99" s="54"/>
      <c r="AA99" s="287"/>
    </row>
    <row r="100" spans="3:27" x14ac:dyDescent="0.3">
      <c r="C100" s="255"/>
      <c r="E100" s="54"/>
      <c r="AA100" s="287"/>
    </row>
    <row r="101" spans="3:27" x14ac:dyDescent="0.3">
      <c r="C101" s="255"/>
      <c r="E101" s="54"/>
      <c r="AA101" s="287"/>
    </row>
    <row r="102" spans="3:27" x14ac:dyDescent="0.3">
      <c r="C102" s="255"/>
      <c r="E102" s="54"/>
      <c r="F102" s="4028">
        <v>2016</v>
      </c>
      <c r="G102" s="4029"/>
      <c r="H102" s="4029"/>
      <c r="I102" s="4029"/>
      <c r="J102" s="4029"/>
      <c r="K102" s="4029"/>
      <c r="L102" s="4030"/>
      <c r="M102" s="4028">
        <v>2017</v>
      </c>
      <c r="N102" s="4029"/>
      <c r="O102" s="4029"/>
      <c r="P102" s="4029"/>
      <c r="Q102" s="4029"/>
      <c r="R102" s="4029"/>
      <c r="S102" s="4030"/>
      <c r="AA102" s="287"/>
    </row>
    <row r="103" spans="3:27" ht="33" x14ac:dyDescent="0.3">
      <c r="C103" s="255"/>
      <c r="E103" s="54"/>
      <c r="F103" s="331" t="s">
        <v>54</v>
      </c>
      <c r="G103" s="246" t="s">
        <v>55</v>
      </c>
      <c r="H103" s="246" t="s">
        <v>56</v>
      </c>
      <c r="I103" s="246" t="s">
        <v>57</v>
      </c>
      <c r="J103" s="246" t="s">
        <v>58</v>
      </c>
      <c r="K103" s="248" t="s">
        <v>59</v>
      </c>
      <c r="L103" s="248" t="s">
        <v>0</v>
      </c>
      <c r="M103" s="246" t="s">
        <v>54</v>
      </c>
      <c r="N103" s="246" t="s">
        <v>55</v>
      </c>
      <c r="O103" s="246" t="s">
        <v>56</v>
      </c>
      <c r="P103" s="246" t="s">
        <v>57</v>
      </c>
      <c r="Q103" s="246" t="s">
        <v>58</v>
      </c>
      <c r="R103" s="248" t="s">
        <v>59</v>
      </c>
      <c r="S103" s="248" t="s">
        <v>0</v>
      </c>
      <c r="AA103" s="287"/>
    </row>
    <row r="104" spans="3:27" x14ac:dyDescent="0.3">
      <c r="C104" s="255"/>
      <c r="E104" s="54" t="s">
        <v>60</v>
      </c>
      <c r="F104" s="250">
        <v>0</v>
      </c>
      <c r="G104" s="250">
        <v>0</v>
      </c>
      <c r="H104" s="250">
        <v>0</v>
      </c>
      <c r="I104" s="250">
        <v>0</v>
      </c>
      <c r="J104" s="250">
        <v>0</v>
      </c>
      <c r="K104" s="250">
        <v>0</v>
      </c>
      <c r="L104" s="250">
        <f>SUM(F104:K104)</f>
        <v>0</v>
      </c>
      <c r="M104" s="250">
        <v>0</v>
      </c>
      <c r="N104" s="250">
        <v>0</v>
      </c>
      <c r="O104" s="250">
        <v>0</v>
      </c>
      <c r="P104" s="250">
        <v>0</v>
      </c>
      <c r="Q104" s="250">
        <v>0</v>
      </c>
      <c r="R104" s="250">
        <v>0</v>
      </c>
      <c r="S104" s="250">
        <f>SUM(M104:R104)</f>
        <v>0</v>
      </c>
      <c r="AA104" s="287"/>
    </row>
    <row r="105" spans="3:27" x14ac:dyDescent="0.3">
      <c r="C105" s="255"/>
      <c r="E105" s="54" t="s">
        <v>597</v>
      </c>
      <c r="F105" s="250">
        <v>0</v>
      </c>
      <c r="G105" s="250">
        <v>0</v>
      </c>
      <c r="H105" s="250">
        <v>0</v>
      </c>
      <c r="I105" s="250">
        <v>0</v>
      </c>
      <c r="J105" s="250">
        <v>0</v>
      </c>
      <c r="K105" s="250">
        <v>0</v>
      </c>
      <c r="L105" s="250">
        <f>SUM(F105:K105)</f>
        <v>0</v>
      </c>
      <c r="M105" s="250">
        <v>0</v>
      </c>
      <c r="N105" s="250">
        <v>0</v>
      </c>
      <c r="O105" s="250">
        <v>0</v>
      </c>
      <c r="P105" s="250">
        <v>0</v>
      </c>
      <c r="Q105" s="250">
        <v>0</v>
      </c>
      <c r="R105" s="250">
        <v>0</v>
      </c>
      <c r="S105" s="250">
        <f>SUM(M105:R105)</f>
        <v>0</v>
      </c>
      <c r="AA105" s="287"/>
    </row>
    <row r="106" spans="3:27" x14ac:dyDescent="0.3">
      <c r="C106" s="255"/>
      <c r="E106" s="54" t="s">
        <v>108</v>
      </c>
      <c r="F106" s="250">
        <v>0</v>
      </c>
      <c r="G106" s="250">
        <v>0</v>
      </c>
      <c r="H106" s="250">
        <v>0</v>
      </c>
      <c r="I106" s="250">
        <v>0</v>
      </c>
      <c r="J106" s="250">
        <v>0</v>
      </c>
      <c r="K106" s="250">
        <v>0</v>
      </c>
      <c r="L106" s="250">
        <f>SUM(F106:K106)</f>
        <v>0</v>
      </c>
      <c r="M106" s="250">
        <v>0</v>
      </c>
      <c r="N106" s="250">
        <v>0</v>
      </c>
      <c r="O106" s="250">
        <v>0</v>
      </c>
      <c r="P106" s="250">
        <v>0</v>
      </c>
      <c r="Q106" s="250">
        <v>0</v>
      </c>
      <c r="R106" s="250">
        <v>0</v>
      </c>
      <c r="S106" s="250">
        <f>SUM(M106:R106)</f>
        <v>0</v>
      </c>
      <c r="AA106" s="287"/>
    </row>
    <row r="107" spans="3:27" x14ac:dyDescent="0.3">
      <c r="C107" s="255"/>
      <c r="E107" s="54"/>
      <c r="AA107" s="287"/>
    </row>
    <row r="108" spans="3:27" x14ac:dyDescent="0.3">
      <c r="C108" s="255"/>
      <c r="E108" s="54"/>
      <c r="AA108" s="287"/>
    </row>
    <row r="109" spans="3:27" x14ac:dyDescent="0.3">
      <c r="C109" s="255"/>
      <c r="E109" s="54"/>
      <c r="F109" s="4034">
        <v>2018</v>
      </c>
      <c r="G109" s="4035"/>
      <c r="H109" s="4035"/>
      <c r="I109" s="4035"/>
      <c r="J109" s="4035"/>
      <c r="K109" s="4035"/>
      <c r="L109" s="4035"/>
      <c r="AA109" s="287"/>
    </row>
    <row r="110" spans="3:27" ht="33" x14ac:dyDescent="0.3">
      <c r="C110" s="255"/>
      <c r="E110" s="1512">
        <f>F111/(K45+J288)</f>
        <v>0</v>
      </c>
      <c r="F110" s="331" t="s">
        <v>54</v>
      </c>
      <c r="G110" s="246" t="s">
        <v>55</v>
      </c>
      <c r="H110" s="246" t="s">
        <v>56</v>
      </c>
      <c r="I110" s="246" t="s">
        <v>57</v>
      </c>
      <c r="J110" s="246" t="s">
        <v>58</v>
      </c>
      <c r="K110" s="248" t="s">
        <v>59</v>
      </c>
      <c r="L110" s="248" t="s">
        <v>0</v>
      </c>
      <c r="AA110" s="287"/>
    </row>
    <row r="111" spans="3:27" x14ac:dyDescent="0.3">
      <c r="C111" s="255"/>
      <c r="E111" s="54" t="s">
        <v>60</v>
      </c>
      <c r="F111" s="1509">
        <v>0</v>
      </c>
      <c r="G111" s="250">
        <v>0</v>
      </c>
      <c r="H111" s="250">
        <v>0</v>
      </c>
      <c r="I111" s="250">
        <v>0</v>
      </c>
      <c r="J111" s="250">
        <v>0</v>
      </c>
      <c r="K111" s="250">
        <v>0</v>
      </c>
      <c r="L111" s="250">
        <f>SUM(F111:K111)</f>
        <v>0</v>
      </c>
      <c r="AA111" s="287"/>
    </row>
    <row r="112" spans="3:27" x14ac:dyDescent="0.3">
      <c r="C112" s="255"/>
      <c r="E112" s="54" t="s">
        <v>597</v>
      </c>
      <c r="F112" s="250">
        <v>0</v>
      </c>
      <c r="G112" s="250">
        <v>0</v>
      </c>
      <c r="H112" s="250">
        <v>0</v>
      </c>
      <c r="I112" s="250">
        <v>0</v>
      </c>
      <c r="J112" s="250">
        <v>0</v>
      </c>
      <c r="K112" s="250">
        <v>0</v>
      </c>
      <c r="L112" s="250">
        <f>SUM(F112:K112)</f>
        <v>0</v>
      </c>
      <c r="AA112" s="287"/>
    </row>
    <row r="113" spans="3:27" x14ac:dyDescent="0.3">
      <c r="C113" s="255"/>
      <c r="E113" s="54" t="s">
        <v>108</v>
      </c>
      <c r="F113" s="250">
        <v>0</v>
      </c>
      <c r="G113" s="250">
        <v>0</v>
      </c>
      <c r="H113" s="250">
        <v>0</v>
      </c>
      <c r="I113" s="250">
        <v>0</v>
      </c>
      <c r="J113" s="250">
        <v>0</v>
      </c>
      <c r="K113" s="250">
        <v>0</v>
      </c>
      <c r="L113" s="250">
        <f>SUM(F113:K113)</f>
        <v>0</v>
      </c>
      <c r="AA113" s="287"/>
    </row>
    <row r="114" spans="3:27" x14ac:dyDescent="0.3">
      <c r="C114" s="255"/>
      <c r="AA114" s="287"/>
    </row>
    <row r="115" spans="3:27" x14ac:dyDescent="0.3">
      <c r="C115" s="255"/>
      <c r="H115" s="107"/>
      <c r="AA115" s="287"/>
    </row>
    <row r="116" spans="3:27" x14ac:dyDescent="0.3">
      <c r="C116" s="255"/>
      <c r="AA116" s="287"/>
    </row>
    <row r="117" spans="3:27" x14ac:dyDescent="0.3">
      <c r="C117" s="255"/>
      <c r="F117" s="5" t="s">
        <v>65</v>
      </c>
      <c r="M117" s="4" t="s">
        <v>282</v>
      </c>
      <c r="AA117" s="287"/>
    </row>
    <row r="118" spans="3:27" x14ac:dyDescent="0.3">
      <c r="C118" s="255"/>
      <c r="F118" s="329" t="s">
        <v>66</v>
      </c>
      <c r="G118" s="247">
        <v>2014</v>
      </c>
      <c r="H118" s="247">
        <f>G118+1</f>
        <v>2015</v>
      </c>
      <c r="I118" s="247">
        <f>H118+1</f>
        <v>2016</v>
      </c>
      <c r="J118" s="247">
        <f>I118+1</f>
        <v>2017</v>
      </c>
      <c r="K118" s="247">
        <f>J118+1</f>
        <v>2018</v>
      </c>
      <c r="M118" s="247" t="s">
        <v>5</v>
      </c>
      <c r="N118" s="247">
        <v>2014</v>
      </c>
      <c r="O118" s="247">
        <f>N118+1</f>
        <v>2015</v>
      </c>
      <c r="P118" s="247">
        <f>O118+1</f>
        <v>2016</v>
      </c>
      <c r="Q118" s="247">
        <f>P118+1</f>
        <v>2017</v>
      </c>
      <c r="R118" s="247">
        <f>Q118+1</f>
        <v>2018</v>
      </c>
      <c r="AA118" s="287"/>
    </row>
    <row r="119" spans="3:27" x14ac:dyDescent="0.3">
      <c r="C119" s="255"/>
      <c r="F119" s="336" t="s">
        <v>270</v>
      </c>
      <c r="G119" s="244"/>
      <c r="H119" s="244"/>
      <c r="I119" s="244"/>
      <c r="J119" s="244"/>
      <c r="K119" s="244"/>
      <c r="M119" s="245" t="s">
        <v>283</v>
      </c>
      <c r="N119" s="244"/>
      <c r="O119" s="244"/>
      <c r="P119" s="244"/>
      <c r="Q119" s="244"/>
      <c r="R119" s="244"/>
      <c r="AA119" s="287"/>
    </row>
    <row r="120" spans="3:27" x14ac:dyDescent="0.3">
      <c r="C120" s="255"/>
      <c r="F120" s="336" t="s">
        <v>67</v>
      </c>
      <c r="G120" s="244"/>
      <c r="H120" s="244"/>
      <c r="I120" s="244"/>
      <c r="J120" s="244"/>
      <c r="K120" s="244"/>
      <c r="M120" s="245" t="s">
        <v>0</v>
      </c>
      <c r="N120" s="244"/>
      <c r="O120" s="244"/>
      <c r="P120" s="244"/>
      <c r="Q120" s="244"/>
      <c r="R120" s="244"/>
      <c r="AA120" s="287"/>
    </row>
    <row r="121" spans="3:27" x14ac:dyDescent="0.3">
      <c r="C121" s="255"/>
      <c r="F121" s="336" t="s">
        <v>0</v>
      </c>
      <c r="G121" s="244"/>
      <c r="H121" s="244"/>
      <c r="I121" s="244"/>
      <c r="J121" s="244"/>
      <c r="K121" s="244"/>
      <c r="AA121" s="287"/>
    </row>
    <row r="122" spans="3:27" x14ac:dyDescent="0.3">
      <c r="C122" s="255"/>
      <c r="AA122" s="287"/>
    </row>
    <row r="123" spans="3:27" x14ac:dyDescent="0.3">
      <c r="C123" s="255"/>
      <c r="AA123" s="287"/>
    </row>
    <row r="124" spans="3:27" x14ac:dyDescent="0.3">
      <c r="C124" s="255">
        <v>5</v>
      </c>
      <c r="D124" s="4" t="s">
        <v>69</v>
      </c>
      <c r="G124" s="289"/>
      <c r="AA124" s="287"/>
    </row>
    <row r="125" spans="3:27" x14ac:dyDescent="0.3">
      <c r="C125" s="255"/>
      <c r="D125" s="288"/>
      <c r="AA125" s="287"/>
    </row>
    <row r="126" spans="3:27" x14ac:dyDescent="0.3">
      <c r="C126" s="255"/>
      <c r="D126" s="288"/>
      <c r="E126" s="4019" t="s">
        <v>70</v>
      </c>
      <c r="F126" s="4019"/>
      <c r="G126" s="4019">
        <v>2013</v>
      </c>
      <c r="H126" s="4019"/>
      <c r="I126" s="4019">
        <f>G126+1</f>
        <v>2014</v>
      </c>
      <c r="J126" s="4019"/>
      <c r="K126" s="4019">
        <f>I126+1</f>
        <v>2015</v>
      </c>
      <c r="L126" s="4019"/>
      <c r="M126" s="4019">
        <f>K126+1</f>
        <v>2016</v>
      </c>
      <c r="N126" s="4019"/>
      <c r="O126" s="4019">
        <f>M126+1</f>
        <v>2017</v>
      </c>
      <c r="P126" s="4019"/>
      <c r="Q126" s="4019">
        <f>O126+1</f>
        <v>2018</v>
      </c>
      <c r="R126" s="4019"/>
      <c r="AA126" s="287"/>
    </row>
    <row r="127" spans="3:27" ht="15" customHeight="1" x14ac:dyDescent="0.3">
      <c r="C127" s="255"/>
      <c r="D127" s="288"/>
      <c r="E127" s="4019"/>
      <c r="F127" s="4019"/>
      <c r="G127" s="4019" t="s">
        <v>71</v>
      </c>
      <c r="H127" s="4019" t="s">
        <v>61</v>
      </c>
      <c r="I127" s="4019" t="s">
        <v>71</v>
      </c>
      <c r="J127" s="4019" t="s">
        <v>61</v>
      </c>
      <c r="K127" s="4019" t="s">
        <v>71</v>
      </c>
      <c r="L127" s="4019" t="s">
        <v>61</v>
      </c>
      <c r="M127" s="4019" t="s">
        <v>71</v>
      </c>
      <c r="N127" s="4019" t="s">
        <v>61</v>
      </c>
      <c r="O127" s="4019" t="s">
        <v>71</v>
      </c>
      <c r="P127" s="4019" t="s">
        <v>61</v>
      </c>
      <c r="Q127" s="4019" t="s">
        <v>71</v>
      </c>
      <c r="R127" s="4019" t="s">
        <v>61</v>
      </c>
      <c r="AA127" s="287"/>
    </row>
    <row r="128" spans="3:27" x14ac:dyDescent="0.3">
      <c r="C128" s="255"/>
      <c r="D128" s="288"/>
      <c r="E128" s="4019"/>
      <c r="F128" s="4019"/>
      <c r="G128" s="4019"/>
      <c r="H128" s="4019"/>
      <c r="I128" s="4019"/>
      <c r="J128" s="4019"/>
      <c r="K128" s="4019"/>
      <c r="L128" s="4019"/>
      <c r="M128" s="4019"/>
      <c r="N128" s="4019"/>
      <c r="O128" s="4019"/>
      <c r="P128" s="4019"/>
      <c r="Q128" s="4019"/>
      <c r="R128" s="4019"/>
      <c r="AA128" s="287"/>
    </row>
    <row r="129" spans="3:27" x14ac:dyDescent="0.3">
      <c r="C129" s="255"/>
      <c r="D129" s="288"/>
      <c r="E129" s="4014"/>
      <c r="F129" s="4014"/>
      <c r="G129" s="247" t="s">
        <v>62</v>
      </c>
      <c r="H129" s="247" t="s">
        <v>62</v>
      </c>
      <c r="I129" s="247" t="s">
        <v>62</v>
      </c>
      <c r="J129" s="247" t="s">
        <v>62</v>
      </c>
      <c r="K129" s="247" t="s">
        <v>62</v>
      </c>
      <c r="L129" s="247" t="s">
        <v>62</v>
      </c>
      <c r="M129" s="247" t="s">
        <v>62</v>
      </c>
      <c r="N129" s="247" t="s">
        <v>62</v>
      </c>
      <c r="O129" s="247" t="s">
        <v>62</v>
      </c>
      <c r="P129" s="247" t="s">
        <v>62</v>
      </c>
      <c r="Q129" s="247" t="s">
        <v>62</v>
      </c>
      <c r="R129" s="247" t="s">
        <v>62</v>
      </c>
      <c r="AA129" s="287"/>
    </row>
    <row r="130" spans="3:27" ht="15" customHeight="1" x14ac:dyDescent="0.3">
      <c r="C130" s="255"/>
      <c r="D130" s="288"/>
      <c r="E130" s="4088" t="s">
        <v>72</v>
      </c>
      <c r="F130" s="4089"/>
      <c r="G130" s="44"/>
      <c r="H130" s="44"/>
      <c r="I130" s="44"/>
      <c r="J130" s="44"/>
      <c r="K130" s="44"/>
      <c r="L130" s="44"/>
      <c r="M130" s="44"/>
      <c r="N130" s="44"/>
      <c r="O130" s="44"/>
      <c r="P130" s="44"/>
      <c r="Q130" s="44"/>
      <c r="R130" s="44"/>
      <c r="AA130" s="287"/>
    </row>
    <row r="131" spans="3:27" x14ac:dyDescent="0.3">
      <c r="C131" s="255"/>
      <c r="D131" s="288"/>
      <c r="E131" s="4088" t="s">
        <v>73</v>
      </c>
      <c r="F131" s="4089"/>
      <c r="G131" s="44"/>
      <c r="H131" s="44"/>
      <c r="I131" s="44"/>
      <c r="J131" s="44"/>
      <c r="K131" s="44"/>
      <c r="L131" s="44"/>
      <c r="M131" s="44"/>
      <c r="N131" s="44"/>
      <c r="O131" s="44"/>
      <c r="P131" s="44"/>
      <c r="Q131" s="44"/>
      <c r="R131" s="44"/>
      <c r="AA131" s="287"/>
    </row>
    <row r="132" spans="3:27" x14ac:dyDescent="0.3">
      <c r="C132" s="255"/>
      <c r="D132" s="288"/>
      <c r="E132" s="4088" t="s">
        <v>74</v>
      </c>
      <c r="F132" s="4089"/>
      <c r="G132" s="44"/>
      <c r="H132" s="44"/>
      <c r="I132" s="44"/>
      <c r="J132" s="44"/>
      <c r="K132" s="44"/>
      <c r="L132" s="44"/>
      <c r="M132" s="44"/>
      <c r="N132" s="44"/>
      <c r="O132" s="44"/>
      <c r="P132" s="44"/>
      <c r="Q132" s="44"/>
      <c r="R132" s="44"/>
      <c r="AA132" s="287"/>
    </row>
    <row r="133" spans="3:27" x14ac:dyDescent="0.3">
      <c r="C133" s="255"/>
      <c r="D133" s="288"/>
      <c r="E133" s="4088" t="s">
        <v>75</v>
      </c>
      <c r="F133" s="4089"/>
      <c r="G133" s="44"/>
      <c r="H133" s="44"/>
      <c r="I133" s="44"/>
      <c r="J133" s="44"/>
      <c r="K133" s="44"/>
      <c r="L133" s="44"/>
      <c r="M133" s="44"/>
      <c r="N133" s="44"/>
      <c r="O133" s="44"/>
      <c r="P133" s="44"/>
      <c r="Q133" s="44"/>
      <c r="R133" s="44"/>
      <c r="AA133" s="287"/>
    </row>
    <row r="134" spans="3:27" x14ac:dyDescent="0.3">
      <c r="C134" s="255"/>
      <c r="D134" s="288"/>
      <c r="E134" s="4088" t="s">
        <v>84</v>
      </c>
      <c r="F134" s="4089"/>
      <c r="G134" s="44"/>
      <c r="H134" s="44"/>
      <c r="I134" s="44"/>
      <c r="J134" s="44"/>
      <c r="K134" s="44"/>
      <c r="L134" s="44"/>
      <c r="M134" s="44"/>
      <c r="N134" s="44"/>
      <c r="O134" s="44"/>
      <c r="P134" s="44"/>
      <c r="Q134" s="44"/>
      <c r="R134" s="44"/>
      <c r="AA134" s="287"/>
    </row>
    <row r="135" spans="3:27" x14ac:dyDescent="0.3">
      <c r="C135" s="255"/>
      <c r="D135" s="288"/>
      <c r="E135" s="4093" t="s">
        <v>76</v>
      </c>
      <c r="F135" s="335" t="s">
        <v>77</v>
      </c>
      <c r="G135" s="44"/>
      <c r="H135" s="44"/>
      <c r="I135" s="44"/>
      <c r="J135" s="44"/>
      <c r="K135" s="44"/>
      <c r="L135" s="44"/>
      <c r="M135" s="44"/>
      <c r="N135" s="44"/>
      <c r="O135" s="44"/>
      <c r="P135" s="44"/>
      <c r="Q135" s="44"/>
      <c r="R135" s="44"/>
      <c r="AA135" s="287"/>
    </row>
    <row r="136" spans="3:27" x14ac:dyDescent="0.3">
      <c r="C136" s="255"/>
      <c r="D136" s="288"/>
      <c r="E136" s="4094"/>
      <c r="F136" s="335" t="s">
        <v>78</v>
      </c>
      <c r="G136" s="44"/>
      <c r="H136" s="44"/>
      <c r="I136" s="44"/>
      <c r="J136" s="44"/>
      <c r="K136" s="44"/>
      <c r="L136" s="44"/>
      <c r="M136" s="44"/>
      <c r="N136" s="44"/>
      <c r="O136" s="44"/>
      <c r="P136" s="44"/>
      <c r="Q136" s="44"/>
      <c r="R136" s="44"/>
      <c r="AA136" s="287"/>
    </row>
    <row r="137" spans="3:27" x14ac:dyDescent="0.3">
      <c r="C137" s="255"/>
      <c r="D137" s="288"/>
      <c r="E137" s="4040" t="s">
        <v>79</v>
      </c>
      <c r="F137" s="4041"/>
      <c r="G137" s="44"/>
      <c r="H137" s="44"/>
      <c r="I137" s="44"/>
      <c r="J137" s="44"/>
      <c r="K137" s="44"/>
      <c r="L137" s="44"/>
      <c r="M137" s="44"/>
      <c r="N137" s="44"/>
      <c r="O137" s="44"/>
      <c r="P137" s="44"/>
      <c r="Q137" s="44"/>
      <c r="R137" s="44"/>
      <c r="AA137" s="287"/>
    </row>
    <row r="138" spans="3:27" x14ac:dyDescent="0.3">
      <c r="C138" s="255"/>
      <c r="D138" s="288"/>
      <c r="E138" s="4088" t="s">
        <v>80</v>
      </c>
      <c r="F138" s="4089"/>
      <c r="G138" s="44"/>
      <c r="H138" s="44"/>
      <c r="I138" s="44"/>
      <c r="J138" s="44"/>
      <c r="K138" s="44"/>
      <c r="L138" s="44"/>
      <c r="M138" s="44"/>
      <c r="N138" s="44"/>
      <c r="O138" s="44"/>
      <c r="P138" s="44"/>
      <c r="Q138" s="44"/>
      <c r="R138" s="44"/>
      <c r="AA138" s="287"/>
    </row>
    <row r="139" spans="3:27" x14ac:dyDescent="0.3">
      <c r="C139" s="255"/>
      <c r="D139" s="288"/>
      <c r="E139" s="4090" t="s">
        <v>0</v>
      </c>
      <c r="F139" s="4091"/>
      <c r="G139" s="44"/>
      <c r="H139" s="44"/>
      <c r="I139" s="44"/>
      <c r="J139" s="44"/>
      <c r="K139" s="44"/>
      <c r="L139" s="44"/>
      <c r="M139" s="44"/>
      <c r="N139" s="44"/>
      <c r="O139" s="44"/>
      <c r="P139" s="44"/>
      <c r="Q139" s="44"/>
      <c r="R139" s="44"/>
      <c r="AA139" s="287"/>
    </row>
    <row r="140" spans="3:27" x14ac:dyDescent="0.3">
      <c r="C140" s="255"/>
      <c r="D140" s="288"/>
      <c r="AA140" s="287"/>
    </row>
    <row r="141" spans="3:27" x14ac:dyDescent="0.3">
      <c r="C141" s="255"/>
      <c r="D141" s="288"/>
      <c r="AA141" s="287"/>
    </row>
    <row r="142" spans="3:27" x14ac:dyDescent="0.3">
      <c r="C142" s="255"/>
      <c r="AA142" s="287"/>
    </row>
    <row r="143" spans="3:27" x14ac:dyDescent="0.3">
      <c r="C143" s="255">
        <v>6</v>
      </c>
      <c r="D143" s="4" t="s">
        <v>81</v>
      </c>
      <c r="AA143" s="287"/>
    </row>
    <row r="144" spans="3:27" x14ac:dyDescent="0.3">
      <c r="C144" s="255"/>
      <c r="E144" s="35"/>
      <c r="AA144" s="287"/>
    </row>
    <row r="145" spans="3:27" x14ac:dyDescent="0.3">
      <c r="C145" s="255"/>
      <c r="E145" s="4028" t="s">
        <v>82</v>
      </c>
      <c r="F145" s="4030"/>
      <c r="G145" s="247">
        <v>2013</v>
      </c>
      <c r="H145" s="247">
        <f>G145+1</f>
        <v>2014</v>
      </c>
      <c r="I145" s="247">
        <f>H145+1</f>
        <v>2015</v>
      </c>
      <c r="J145" s="247">
        <f>I145+1</f>
        <v>2016</v>
      </c>
      <c r="K145" s="247">
        <f>J145+1</f>
        <v>2017</v>
      </c>
      <c r="L145" s="247">
        <f>K145+1</f>
        <v>2018</v>
      </c>
      <c r="M145" s="247" t="s">
        <v>83</v>
      </c>
      <c r="AA145" s="287"/>
    </row>
    <row r="146" spans="3:27" x14ac:dyDescent="0.3">
      <c r="C146" s="255"/>
      <c r="E146" s="4040" t="s">
        <v>72</v>
      </c>
      <c r="F146" s="4041"/>
      <c r="G146" s="267"/>
      <c r="H146" s="267"/>
      <c r="I146" s="273"/>
      <c r="J146" s="273"/>
      <c r="K146" s="273"/>
      <c r="L146" s="273"/>
      <c r="M146" s="244"/>
    </row>
    <row r="147" spans="3:27" x14ac:dyDescent="0.3">
      <c r="C147" s="255"/>
      <c r="E147" s="4040" t="s">
        <v>73</v>
      </c>
      <c r="F147" s="4041"/>
      <c r="G147" s="267"/>
      <c r="H147" s="267"/>
      <c r="I147" s="273"/>
      <c r="J147" s="273"/>
      <c r="K147" s="273"/>
      <c r="L147" s="273"/>
      <c r="M147" s="244"/>
    </row>
    <row r="148" spans="3:27" x14ac:dyDescent="0.3">
      <c r="C148" s="255"/>
      <c r="E148" s="4040" t="s">
        <v>74</v>
      </c>
      <c r="F148" s="4041"/>
      <c r="G148" s="267"/>
      <c r="H148" s="267"/>
      <c r="I148" s="273"/>
      <c r="J148" s="273"/>
      <c r="K148" s="273"/>
      <c r="L148" s="273"/>
      <c r="M148" s="244"/>
    </row>
    <row r="149" spans="3:27" x14ac:dyDescent="0.3">
      <c r="C149" s="255"/>
      <c r="E149" s="4040" t="s">
        <v>75</v>
      </c>
      <c r="F149" s="4041"/>
      <c r="G149" s="267"/>
      <c r="H149" s="267"/>
      <c r="I149" s="273"/>
      <c r="J149" s="273"/>
      <c r="K149" s="273"/>
      <c r="L149" s="273"/>
      <c r="M149" s="244"/>
    </row>
    <row r="150" spans="3:27" x14ac:dyDescent="0.3">
      <c r="C150" s="255"/>
      <c r="E150" s="4040" t="s">
        <v>84</v>
      </c>
      <c r="F150" s="4041"/>
      <c r="G150" s="267"/>
      <c r="H150" s="267"/>
      <c r="I150" s="273"/>
      <c r="J150" s="273"/>
      <c r="K150" s="273"/>
      <c r="L150" s="273"/>
      <c r="M150" s="244"/>
    </row>
    <row r="151" spans="3:27" x14ac:dyDescent="0.3">
      <c r="C151" s="255"/>
      <c r="E151" s="4082" t="s">
        <v>76</v>
      </c>
      <c r="F151" s="331" t="s">
        <v>77</v>
      </c>
      <c r="G151" s="267"/>
      <c r="H151" s="267"/>
      <c r="I151" s="273"/>
      <c r="J151" s="273"/>
      <c r="K151" s="273"/>
      <c r="L151" s="273"/>
      <c r="M151" s="244"/>
    </row>
    <row r="152" spans="3:27" x14ac:dyDescent="0.3">
      <c r="C152" s="255"/>
      <c r="E152" s="4083"/>
      <c r="F152" s="331" t="s">
        <v>78</v>
      </c>
      <c r="G152" s="267"/>
      <c r="H152" s="267"/>
      <c r="I152" s="273"/>
      <c r="J152" s="273"/>
      <c r="K152" s="273"/>
      <c r="L152" s="273"/>
      <c r="M152" s="244"/>
    </row>
    <row r="153" spans="3:27" x14ac:dyDescent="0.3">
      <c r="C153" s="255"/>
      <c r="E153" s="4040" t="s">
        <v>79</v>
      </c>
      <c r="F153" s="4041"/>
      <c r="G153" s="267"/>
      <c r="H153" s="267"/>
      <c r="I153" s="273"/>
      <c r="J153" s="273"/>
      <c r="K153" s="273"/>
      <c r="L153" s="273"/>
      <c r="M153" s="244"/>
    </row>
    <row r="154" spans="3:27" x14ac:dyDescent="0.3">
      <c r="C154" s="255"/>
      <c r="E154" s="4040" t="s">
        <v>80</v>
      </c>
      <c r="F154" s="4041"/>
      <c r="G154" s="267"/>
      <c r="H154" s="267"/>
      <c r="I154" s="273"/>
      <c r="J154" s="273"/>
      <c r="K154" s="273"/>
      <c r="L154" s="273"/>
      <c r="M154" s="244"/>
    </row>
    <row r="155" spans="3:27" x14ac:dyDescent="0.3">
      <c r="C155" s="255"/>
      <c r="E155" s="4046" t="s">
        <v>0</v>
      </c>
      <c r="F155" s="4047"/>
      <c r="G155" s="267"/>
      <c r="H155" s="267"/>
      <c r="I155" s="267"/>
      <c r="J155" s="267"/>
      <c r="K155" s="267"/>
      <c r="L155" s="267"/>
      <c r="M155" s="244"/>
    </row>
    <row r="156" spans="3:27" x14ac:dyDescent="0.3">
      <c r="C156" s="255"/>
    </row>
    <row r="157" spans="3:27" x14ac:dyDescent="0.3">
      <c r="C157" s="255">
        <v>7</v>
      </c>
      <c r="D157" s="4" t="s">
        <v>85</v>
      </c>
      <c r="I157" s="138"/>
    </row>
    <row r="158" spans="3:27" x14ac:dyDescent="0.3">
      <c r="C158" s="255"/>
    </row>
    <row r="159" spans="3:27" x14ac:dyDescent="0.3">
      <c r="C159" s="255"/>
      <c r="E159" s="4014" t="s">
        <v>86</v>
      </c>
      <c r="F159" s="4019">
        <v>2014</v>
      </c>
      <c r="G159" s="4019"/>
      <c r="H159" s="4019"/>
      <c r="I159" s="4019">
        <f>F159+1</f>
        <v>2015</v>
      </c>
      <c r="J159" s="4019"/>
      <c r="K159" s="4019"/>
      <c r="L159" s="4019">
        <f>I159+1</f>
        <v>2016</v>
      </c>
      <c r="M159" s="4019"/>
      <c r="N159" s="4019"/>
      <c r="O159" s="4019">
        <f>L159+1</f>
        <v>2017</v>
      </c>
      <c r="P159" s="4019"/>
      <c r="Q159" s="4019"/>
      <c r="R159" s="4019">
        <f>O159+1</f>
        <v>2018</v>
      </c>
      <c r="S159" s="4019"/>
      <c r="T159" s="4019"/>
    </row>
    <row r="160" spans="3:27" x14ac:dyDescent="0.3">
      <c r="C160" s="255"/>
      <c r="E160" s="4015"/>
      <c r="F160" s="329" t="s">
        <v>87</v>
      </c>
      <c r="G160" s="247" t="s">
        <v>88</v>
      </c>
      <c r="H160" s="247" t="s">
        <v>89</v>
      </c>
      <c r="I160" s="247" t="s">
        <v>87</v>
      </c>
      <c r="J160" s="247" t="s">
        <v>88</v>
      </c>
      <c r="K160" s="247" t="s">
        <v>89</v>
      </c>
      <c r="L160" s="247" t="s">
        <v>87</v>
      </c>
      <c r="M160" s="247" t="s">
        <v>88</v>
      </c>
      <c r="N160" s="247" t="s">
        <v>89</v>
      </c>
      <c r="O160" s="247" t="s">
        <v>87</v>
      </c>
      <c r="P160" s="247" t="s">
        <v>88</v>
      </c>
      <c r="Q160" s="247" t="s">
        <v>89</v>
      </c>
      <c r="R160" s="247" t="s">
        <v>87</v>
      </c>
      <c r="S160" s="247" t="s">
        <v>88</v>
      </c>
      <c r="T160" s="247" t="s">
        <v>89</v>
      </c>
    </row>
    <row r="161" spans="3:21" x14ac:dyDescent="0.3">
      <c r="C161" s="255"/>
      <c r="E161" s="42" t="s">
        <v>90</v>
      </c>
      <c r="F161" s="341"/>
      <c r="G161" s="56"/>
      <c r="H161" s="56"/>
      <c r="I161" s="56"/>
      <c r="J161" s="56"/>
      <c r="K161" s="56"/>
      <c r="L161" s="56"/>
      <c r="M161" s="56"/>
      <c r="N161" s="56"/>
      <c r="O161" s="56"/>
      <c r="P161" s="56"/>
      <c r="Q161" s="56"/>
      <c r="R161" s="56"/>
      <c r="S161" s="56"/>
      <c r="T161" s="56"/>
      <c r="U161" s="55"/>
    </row>
    <row r="162" spans="3:21" s="318" customFormat="1" x14ac:dyDescent="0.3">
      <c r="C162" s="317"/>
      <c r="E162" s="319" t="s">
        <v>91</v>
      </c>
      <c r="F162" s="298">
        <v>2</v>
      </c>
      <c r="G162" s="252">
        <v>0</v>
      </c>
      <c r="H162" s="252">
        <v>0</v>
      </c>
      <c r="I162" s="252">
        <v>2</v>
      </c>
      <c r="J162" s="252">
        <v>0</v>
      </c>
      <c r="K162" s="252">
        <v>0</v>
      </c>
      <c r="L162" s="252">
        <v>8</v>
      </c>
      <c r="M162" s="252">
        <v>0</v>
      </c>
      <c r="N162" s="252">
        <v>0</v>
      </c>
      <c r="O162" s="252">
        <v>0</v>
      </c>
      <c r="P162" s="252">
        <v>0</v>
      </c>
      <c r="Q162" s="252">
        <v>0</v>
      </c>
      <c r="R162" s="252">
        <v>0</v>
      </c>
      <c r="S162" s="252">
        <v>0</v>
      </c>
      <c r="T162" s="252">
        <v>0</v>
      </c>
      <c r="U162" s="320">
        <f>(R162+S162+T162)/U46</f>
        <v>0</v>
      </c>
    </row>
    <row r="163" spans="3:21" x14ac:dyDescent="0.3">
      <c r="C163" s="255"/>
      <c r="E163" s="42" t="s">
        <v>92</v>
      </c>
      <c r="F163" s="341"/>
      <c r="G163" s="56"/>
      <c r="H163" s="56"/>
      <c r="I163" s="56"/>
      <c r="J163" s="56"/>
      <c r="K163" s="56"/>
      <c r="L163" s="56"/>
      <c r="M163" s="56"/>
      <c r="N163" s="56"/>
      <c r="O163" s="56"/>
      <c r="P163" s="56"/>
      <c r="Q163" s="56"/>
      <c r="R163" s="56"/>
      <c r="S163" s="56"/>
      <c r="T163" s="56"/>
      <c r="U163" s="55"/>
    </row>
    <row r="164" spans="3:21" x14ac:dyDescent="0.3">
      <c r="C164" s="255"/>
      <c r="E164" s="42" t="s">
        <v>93</v>
      </c>
      <c r="F164" s="341"/>
      <c r="G164" s="56"/>
      <c r="H164" s="56"/>
      <c r="I164" s="56"/>
      <c r="J164" s="56"/>
      <c r="K164" s="56"/>
      <c r="L164" s="56"/>
      <c r="M164" s="56"/>
      <c r="N164" s="56"/>
      <c r="O164" s="56"/>
      <c r="P164" s="56"/>
      <c r="Q164" s="56"/>
      <c r="R164" s="56"/>
      <c r="S164" s="56"/>
      <c r="T164" s="56"/>
      <c r="U164" s="55"/>
    </row>
    <row r="165" spans="3:21" x14ac:dyDescent="0.3">
      <c r="C165" s="255"/>
      <c r="E165" s="42" t="s">
        <v>94</v>
      </c>
      <c r="F165" s="298">
        <v>0</v>
      </c>
      <c r="G165" s="252">
        <v>0</v>
      </c>
      <c r="H165" s="252">
        <v>0</v>
      </c>
      <c r="I165" s="252">
        <v>0</v>
      </c>
      <c r="J165" s="252">
        <v>0</v>
      </c>
      <c r="K165" s="252">
        <v>0</v>
      </c>
      <c r="L165" s="252">
        <v>0</v>
      </c>
      <c r="M165" s="252">
        <v>0</v>
      </c>
      <c r="N165" s="252">
        <v>0</v>
      </c>
      <c r="O165" s="252">
        <v>0</v>
      </c>
      <c r="P165" s="252">
        <v>0</v>
      </c>
      <c r="Q165" s="252">
        <v>0</v>
      </c>
      <c r="R165" s="252">
        <v>0</v>
      </c>
      <c r="S165" s="252">
        <v>0</v>
      </c>
      <c r="T165" s="252">
        <v>0</v>
      </c>
      <c r="U165" s="55"/>
    </row>
    <row r="166" spans="3:21" x14ac:dyDescent="0.3">
      <c r="C166" s="255"/>
      <c r="E166" s="42" t="s">
        <v>95</v>
      </c>
      <c r="F166" s="298">
        <v>0</v>
      </c>
      <c r="G166" s="252">
        <v>0</v>
      </c>
      <c r="H166" s="252">
        <v>0</v>
      </c>
      <c r="I166" s="252">
        <v>0</v>
      </c>
      <c r="J166" s="252">
        <v>0</v>
      </c>
      <c r="K166" s="252">
        <v>0</v>
      </c>
      <c r="L166" s="252">
        <v>0</v>
      </c>
      <c r="M166" s="252">
        <v>0</v>
      </c>
      <c r="N166" s="252">
        <v>0</v>
      </c>
      <c r="O166" s="252">
        <v>0</v>
      </c>
      <c r="P166" s="252">
        <v>0</v>
      </c>
      <c r="Q166" s="252">
        <v>0</v>
      </c>
      <c r="R166" s="252">
        <v>0</v>
      </c>
      <c r="S166" s="252">
        <v>0</v>
      </c>
      <c r="T166" s="252">
        <v>0</v>
      </c>
      <c r="U166" s="55"/>
    </row>
    <row r="167" spans="3:21" hidden="1" x14ac:dyDescent="0.3">
      <c r="C167" s="255"/>
      <c r="E167" s="42" t="s">
        <v>96</v>
      </c>
      <c r="F167" s="341"/>
      <c r="G167" s="56"/>
      <c r="H167" s="56"/>
      <c r="I167" s="56"/>
      <c r="J167" s="56"/>
      <c r="K167" s="56"/>
      <c r="L167" s="56"/>
      <c r="M167" s="56"/>
      <c r="N167" s="56"/>
      <c r="O167" s="56"/>
      <c r="P167" s="56"/>
      <c r="Q167" s="56"/>
      <c r="R167" s="56"/>
      <c r="S167" s="56"/>
      <c r="T167" s="56"/>
      <c r="U167" s="55"/>
    </row>
    <row r="168" spans="3:21" hidden="1" x14ac:dyDescent="0.3">
      <c r="C168" s="255"/>
      <c r="E168" s="42" t="s">
        <v>97</v>
      </c>
      <c r="F168" s="341"/>
      <c r="G168" s="56"/>
      <c r="H168" s="56"/>
      <c r="I168" s="56"/>
      <c r="J168" s="56"/>
      <c r="K168" s="56"/>
      <c r="L168" s="56"/>
      <c r="M168" s="56"/>
      <c r="N168" s="56"/>
      <c r="O168" s="56"/>
      <c r="P168" s="56"/>
      <c r="Q168" s="56"/>
      <c r="R168" s="56"/>
      <c r="S168" s="56"/>
      <c r="T168" s="56"/>
      <c r="U168" s="55"/>
    </row>
    <row r="169" spans="3:21" hidden="1" x14ac:dyDescent="0.3">
      <c r="C169" s="255"/>
      <c r="E169" s="42" t="s">
        <v>98</v>
      </c>
      <c r="F169" s="60"/>
      <c r="G169" s="57"/>
      <c r="H169" s="57"/>
      <c r="I169" s="57"/>
      <c r="J169" s="57"/>
      <c r="K169" s="57"/>
      <c r="L169" s="57"/>
      <c r="M169" s="57"/>
      <c r="N169" s="57"/>
      <c r="O169" s="57"/>
      <c r="P169" s="57"/>
      <c r="Q169" s="57"/>
      <c r="R169" s="57"/>
      <c r="S169" s="57"/>
      <c r="T169" s="57"/>
      <c r="U169" s="55"/>
    </row>
    <row r="170" spans="3:21" x14ac:dyDescent="0.3">
      <c r="C170" s="255"/>
    </row>
    <row r="171" spans="3:21" x14ac:dyDescent="0.3">
      <c r="C171" s="255"/>
      <c r="E171" s="55" t="s">
        <v>3573</v>
      </c>
      <c r="F171" s="342"/>
      <c r="G171" s="55"/>
      <c r="H171" s="55"/>
      <c r="I171" s="55"/>
      <c r="J171" s="55"/>
      <c r="K171" s="55"/>
      <c r="L171" s="55"/>
      <c r="M171" s="55"/>
      <c r="N171" s="55"/>
      <c r="O171" s="55"/>
      <c r="P171" s="55"/>
      <c r="Q171" s="55"/>
      <c r="R171" s="55"/>
      <c r="S171" s="55"/>
      <c r="T171" s="55"/>
      <c r="U171" s="55"/>
    </row>
    <row r="172" spans="3:21" x14ac:dyDescent="0.3">
      <c r="C172" s="255"/>
      <c r="E172" s="4" t="s">
        <v>99</v>
      </c>
    </row>
    <row r="173" spans="3:21" x14ac:dyDescent="0.3">
      <c r="C173" s="255"/>
      <c r="E173" s="4" t="s">
        <v>100</v>
      </c>
    </row>
    <row r="174" spans="3:21" x14ac:dyDescent="0.3">
      <c r="C174" s="255"/>
      <c r="E174" s="6"/>
    </row>
    <row r="175" spans="3:21" x14ac:dyDescent="0.3">
      <c r="C175" s="255"/>
      <c r="F175" s="238"/>
    </row>
    <row r="176" spans="3:21" x14ac:dyDescent="0.3">
      <c r="C176" s="255">
        <v>8</v>
      </c>
      <c r="D176" s="4" t="s">
        <v>101</v>
      </c>
      <c r="F176" s="340"/>
    </row>
    <row r="177" spans="3:24" ht="30" customHeight="1" x14ac:dyDescent="0.3">
      <c r="C177" s="255"/>
      <c r="E177" s="290" t="s">
        <v>102</v>
      </c>
      <c r="F177" s="329">
        <v>2013</v>
      </c>
      <c r="G177" s="247">
        <f>F177+1</f>
        <v>2014</v>
      </c>
      <c r="H177" s="247">
        <f>G177+1</f>
        <v>2015</v>
      </c>
      <c r="I177" s="247">
        <f>H177+1</f>
        <v>2016</v>
      </c>
      <c r="J177" s="247">
        <f>I177+1</f>
        <v>2017</v>
      </c>
      <c r="K177" s="247">
        <f>J177+1</f>
        <v>2018</v>
      </c>
      <c r="L177" s="4023" t="s">
        <v>103</v>
      </c>
      <c r="M177" s="4023"/>
      <c r="N177" s="4024"/>
      <c r="O177" s="247">
        <v>2013</v>
      </c>
      <c r="P177" s="247">
        <f>O177+1</f>
        <v>2014</v>
      </c>
      <c r="Q177" s="247">
        <f>P177+1</f>
        <v>2015</v>
      </c>
      <c r="R177" s="247">
        <f>Q177+1</f>
        <v>2016</v>
      </c>
      <c r="S177" s="247">
        <f>R177+1</f>
        <v>2017</v>
      </c>
      <c r="T177" s="247">
        <f>S177+1</f>
        <v>2018</v>
      </c>
    </row>
    <row r="178" spans="3:24" x14ac:dyDescent="0.3">
      <c r="C178" s="255"/>
      <c r="E178" s="7" t="s">
        <v>104</v>
      </c>
      <c r="F178" s="267"/>
      <c r="G178" s="273"/>
      <c r="H178" s="273"/>
      <c r="I178" s="273"/>
      <c r="J178" s="273"/>
      <c r="K178" s="273"/>
      <c r="L178" s="4025" t="s">
        <v>104</v>
      </c>
      <c r="M178" s="4025"/>
      <c r="N178" s="4025"/>
      <c r="O178" s="267"/>
      <c r="P178" s="273"/>
      <c r="Q178" s="273"/>
      <c r="R178" s="273"/>
      <c r="S178" s="273"/>
      <c r="T178" s="273"/>
    </row>
    <row r="179" spans="3:24" x14ac:dyDescent="0.3">
      <c r="C179" s="255"/>
      <c r="E179" s="7" t="s">
        <v>105</v>
      </c>
      <c r="F179" s="267"/>
      <c r="G179" s="273"/>
      <c r="H179" s="273"/>
      <c r="I179" s="273"/>
      <c r="J179" s="273"/>
      <c r="K179" s="273"/>
      <c r="L179" s="4025" t="s">
        <v>105</v>
      </c>
      <c r="M179" s="4025"/>
      <c r="N179" s="4025"/>
      <c r="O179" s="267"/>
      <c r="P179" s="273"/>
      <c r="Q179" s="273"/>
      <c r="R179" s="273"/>
      <c r="S179" s="273"/>
      <c r="T179" s="273"/>
    </row>
    <row r="180" spans="3:24" x14ac:dyDescent="0.3">
      <c r="C180" s="255"/>
      <c r="E180" s="7" t="s">
        <v>106</v>
      </c>
      <c r="F180" s="267"/>
      <c r="G180" s="273"/>
      <c r="H180" s="273"/>
      <c r="I180" s="273"/>
      <c r="J180" s="273"/>
      <c r="K180" s="273"/>
      <c r="L180" s="4025" t="s">
        <v>106</v>
      </c>
      <c r="M180" s="4025"/>
      <c r="N180" s="4025"/>
      <c r="O180" s="267"/>
      <c r="P180" s="273"/>
      <c r="Q180" s="273"/>
      <c r="R180" s="273"/>
      <c r="S180" s="273"/>
      <c r="T180" s="273"/>
    </row>
    <row r="181" spans="3:24" x14ac:dyDescent="0.3">
      <c r="C181" s="255"/>
      <c r="E181" s="7" t="s">
        <v>107</v>
      </c>
      <c r="F181" s="267"/>
      <c r="G181" s="273"/>
      <c r="H181" s="273"/>
      <c r="I181" s="273"/>
      <c r="J181" s="273"/>
      <c r="K181" s="273"/>
      <c r="L181" s="4025" t="s">
        <v>107</v>
      </c>
      <c r="M181" s="4025"/>
      <c r="N181" s="4025"/>
      <c r="O181" s="267"/>
      <c r="P181" s="273"/>
      <c r="Q181" s="273"/>
      <c r="R181" s="273"/>
      <c r="S181" s="273"/>
      <c r="T181" s="273"/>
    </row>
    <row r="182" spans="3:24" x14ac:dyDescent="0.3">
      <c r="C182" s="255"/>
      <c r="E182" s="7" t="s">
        <v>108</v>
      </c>
      <c r="F182" s="267"/>
      <c r="G182" s="273"/>
      <c r="H182" s="273"/>
      <c r="I182" s="273"/>
      <c r="J182" s="273"/>
      <c r="K182" s="273"/>
      <c r="L182" s="4025" t="s">
        <v>109</v>
      </c>
      <c r="M182" s="4025"/>
      <c r="N182" s="4025"/>
      <c r="O182" s="244"/>
      <c r="P182" s="244"/>
      <c r="Q182" s="244"/>
      <c r="R182" s="244"/>
      <c r="S182" s="244"/>
      <c r="T182" s="244"/>
    </row>
    <row r="183" spans="3:24" x14ac:dyDescent="0.3">
      <c r="C183" s="255"/>
      <c r="E183" s="7" t="s">
        <v>110</v>
      </c>
      <c r="F183" s="47"/>
      <c r="G183" s="244"/>
      <c r="H183" s="244"/>
      <c r="I183" s="244"/>
      <c r="J183" s="244"/>
      <c r="K183" s="244"/>
      <c r="P183" s="291"/>
    </row>
    <row r="184" spans="3:24" x14ac:dyDescent="0.3">
      <c r="C184" s="255"/>
      <c r="X184" s="35"/>
    </row>
    <row r="185" spans="3:24" x14ac:dyDescent="0.3">
      <c r="C185" s="255">
        <v>9</v>
      </c>
      <c r="D185" s="55" t="s">
        <v>111</v>
      </c>
      <c r="E185" s="55"/>
      <c r="F185" s="343"/>
      <c r="G185" s="35"/>
      <c r="K185" s="138"/>
      <c r="N185" s="43"/>
      <c r="O185" s="138"/>
      <c r="X185" s="292"/>
    </row>
    <row r="186" spans="3:24" ht="15" customHeight="1" x14ac:dyDescent="0.3">
      <c r="C186" s="255"/>
      <c r="E186" s="4070" t="s">
        <v>112</v>
      </c>
      <c r="F186" s="4085" t="s">
        <v>113</v>
      </c>
      <c r="G186" s="4086"/>
      <c r="H186" s="4086"/>
      <c r="I186" s="4086"/>
      <c r="J186" s="4086"/>
      <c r="K186" s="4087"/>
      <c r="L186" s="4019" t="s">
        <v>112</v>
      </c>
      <c r="M186" s="4019"/>
      <c r="N186" s="4085" t="s">
        <v>114</v>
      </c>
      <c r="O186" s="4086"/>
      <c r="P186" s="4086"/>
      <c r="Q186" s="4086"/>
      <c r="R186" s="4086"/>
      <c r="S186" s="4086"/>
    </row>
    <row r="187" spans="3:24" x14ac:dyDescent="0.3">
      <c r="C187" s="255"/>
      <c r="E187" s="4071"/>
      <c r="F187" s="329">
        <v>2013</v>
      </c>
      <c r="G187" s="247">
        <f>F187+1</f>
        <v>2014</v>
      </c>
      <c r="H187" s="247">
        <f>G187+1</f>
        <v>2015</v>
      </c>
      <c r="I187" s="247">
        <f>H187+1</f>
        <v>2016</v>
      </c>
      <c r="J187" s="247">
        <f>I187+1</f>
        <v>2017</v>
      </c>
      <c r="K187" s="247">
        <f>J187+1</f>
        <v>2018</v>
      </c>
      <c r="L187" s="4014"/>
      <c r="M187" s="4014"/>
      <c r="N187" s="247">
        <v>2013</v>
      </c>
      <c r="O187" s="247">
        <f>N187+1</f>
        <v>2014</v>
      </c>
      <c r="P187" s="247">
        <f>O187+1</f>
        <v>2015</v>
      </c>
      <c r="Q187" s="247">
        <f>P187+1</f>
        <v>2016</v>
      </c>
      <c r="R187" s="247">
        <f>Q187+1</f>
        <v>2017</v>
      </c>
      <c r="S187" s="247">
        <f>R187+1</f>
        <v>2018</v>
      </c>
    </row>
    <row r="188" spans="3:24" x14ac:dyDescent="0.3">
      <c r="C188" s="255"/>
      <c r="E188" s="7" t="s">
        <v>71</v>
      </c>
      <c r="F188" s="256"/>
      <c r="G188" s="251">
        <v>1</v>
      </c>
      <c r="H188" s="251">
        <v>2</v>
      </c>
      <c r="I188" s="251">
        <v>13</v>
      </c>
      <c r="J188" s="251">
        <v>0</v>
      </c>
      <c r="K188" s="251">
        <v>0</v>
      </c>
      <c r="L188" s="4026" t="s">
        <v>71</v>
      </c>
      <c r="M188" s="4026"/>
      <c r="N188" s="256"/>
      <c r="O188" s="251">
        <v>0</v>
      </c>
      <c r="P188" s="251">
        <v>0</v>
      </c>
      <c r="Q188" s="251">
        <v>0</v>
      </c>
      <c r="R188" s="251">
        <v>0</v>
      </c>
      <c r="S188" s="251">
        <v>0</v>
      </c>
    </row>
    <row r="189" spans="3:24" x14ac:dyDescent="0.3">
      <c r="C189" s="255"/>
      <c r="E189" s="7" t="s">
        <v>61</v>
      </c>
      <c r="F189" s="256"/>
      <c r="G189" s="251">
        <v>0</v>
      </c>
      <c r="H189" s="251">
        <v>0</v>
      </c>
      <c r="I189" s="251">
        <v>2</v>
      </c>
      <c r="J189" s="251">
        <v>0</v>
      </c>
      <c r="K189" s="251">
        <v>0</v>
      </c>
      <c r="L189" s="4026" t="s">
        <v>61</v>
      </c>
      <c r="M189" s="4026"/>
      <c r="N189" s="256"/>
      <c r="O189" s="251">
        <v>0</v>
      </c>
      <c r="P189" s="251">
        <v>0</v>
      </c>
      <c r="Q189" s="251">
        <v>0</v>
      </c>
      <c r="R189" s="251">
        <v>0</v>
      </c>
      <c r="S189" s="251">
        <v>0</v>
      </c>
    </row>
    <row r="190" spans="3:24" x14ac:dyDescent="0.3">
      <c r="C190" s="255"/>
      <c r="E190" s="7" t="s">
        <v>115</v>
      </c>
      <c r="F190" s="256"/>
      <c r="G190" s="250">
        <v>0</v>
      </c>
      <c r="H190" s="251">
        <v>0</v>
      </c>
      <c r="I190" s="251">
        <v>0</v>
      </c>
      <c r="J190" s="251">
        <v>0</v>
      </c>
      <c r="K190" s="251">
        <v>0</v>
      </c>
      <c r="L190" s="4026" t="s">
        <v>115</v>
      </c>
      <c r="M190" s="4026"/>
      <c r="N190" s="256"/>
      <c r="O190" s="251">
        <v>0</v>
      </c>
      <c r="P190" s="251">
        <v>0</v>
      </c>
      <c r="Q190" s="251">
        <v>0</v>
      </c>
      <c r="R190" s="251">
        <v>0</v>
      </c>
      <c r="S190" s="251">
        <v>0</v>
      </c>
    </row>
    <row r="191" spans="3:24" x14ac:dyDescent="0.3">
      <c r="C191" s="255"/>
      <c r="E191" s="7" t="s">
        <v>116</v>
      </c>
      <c r="F191" s="256"/>
      <c r="G191" s="251">
        <v>1</v>
      </c>
      <c r="H191" s="251">
        <v>2</v>
      </c>
      <c r="I191" s="251">
        <v>1</v>
      </c>
      <c r="J191" s="251">
        <v>0</v>
      </c>
      <c r="K191" s="251">
        <v>0</v>
      </c>
      <c r="L191" s="4026" t="s">
        <v>116</v>
      </c>
      <c r="M191" s="4026"/>
      <c r="N191" s="256"/>
      <c r="O191" s="251">
        <v>0</v>
      </c>
      <c r="P191" s="251">
        <v>0</v>
      </c>
      <c r="Q191" s="251">
        <v>0</v>
      </c>
      <c r="R191" s="251">
        <v>0</v>
      </c>
      <c r="S191" s="251">
        <v>0</v>
      </c>
    </row>
    <row r="192" spans="3:24" x14ac:dyDescent="0.3">
      <c r="C192" s="255"/>
      <c r="E192" s="246" t="s">
        <v>0</v>
      </c>
      <c r="F192" s="256"/>
      <c r="G192" s="250">
        <f>SUM(G188:G191)</f>
        <v>2</v>
      </c>
      <c r="H192" s="250">
        <f>SUM(H188:H191)</f>
        <v>4</v>
      </c>
      <c r="I192" s="250">
        <f>SUM(I188:I191)</f>
        <v>16</v>
      </c>
      <c r="J192" s="250">
        <f>SUM(J188:J191)</f>
        <v>0</v>
      </c>
      <c r="K192" s="250">
        <f>SUM(K188:K191)</f>
        <v>0</v>
      </c>
      <c r="L192" s="4027" t="s">
        <v>0</v>
      </c>
      <c r="M192" s="4027"/>
      <c r="N192" s="256"/>
      <c r="O192" s="250">
        <f>SUM(O188:O191)</f>
        <v>0</v>
      </c>
      <c r="P192" s="250">
        <f>SUM(P188:P191)</f>
        <v>0</v>
      </c>
      <c r="Q192" s="250">
        <f>SUM(Q188:Q191)</f>
        <v>0</v>
      </c>
      <c r="R192" s="250">
        <f>SUM(R188:R191)</f>
        <v>0</v>
      </c>
      <c r="S192" s="250">
        <f>SUM(S188:S191)</f>
        <v>0</v>
      </c>
    </row>
    <row r="193" spans="3:19" x14ac:dyDescent="0.3">
      <c r="C193" s="255"/>
      <c r="F193" s="293"/>
      <c r="G193" s="293"/>
      <c r="H193" s="293"/>
      <c r="I193" s="293"/>
      <c r="J193" s="293"/>
      <c r="K193" s="107"/>
    </row>
    <row r="194" spans="3:19" x14ac:dyDescent="0.3">
      <c r="C194" s="255"/>
      <c r="F194" s="293"/>
      <c r="G194" s="293"/>
      <c r="H194" s="293"/>
      <c r="I194" s="293"/>
      <c r="J194" s="293"/>
      <c r="K194" s="135">
        <f>K188/K45</f>
        <v>0</v>
      </c>
      <c r="L194" s="134" t="s">
        <v>1681</v>
      </c>
      <c r="N194" s="101"/>
      <c r="O194" s="101"/>
      <c r="P194" s="101"/>
      <c r="Q194" s="101"/>
      <c r="R194" s="101"/>
    </row>
    <row r="195" spans="3:19" x14ac:dyDescent="0.3">
      <c r="C195" s="255"/>
      <c r="F195" s="293"/>
      <c r="G195" s="293"/>
      <c r="H195" s="293"/>
      <c r="I195" s="293"/>
      <c r="J195" s="293"/>
      <c r="K195" s="107"/>
      <c r="N195" s="101"/>
      <c r="O195" s="101"/>
      <c r="P195" s="101"/>
      <c r="Q195" s="101"/>
      <c r="R195" s="101"/>
      <c r="S195" s="101"/>
    </row>
    <row r="196" spans="3:19" x14ac:dyDescent="0.3">
      <c r="C196" s="255">
        <v>10</v>
      </c>
      <c r="D196" s="4" t="s">
        <v>126</v>
      </c>
      <c r="F196" s="293"/>
      <c r="G196" s="293"/>
      <c r="H196" s="293"/>
      <c r="I196" s="293"/>
      <c r="J196" s="293"/>
      <c r="K196" s="107"/>
      <c r="N196" s="101"/>
      <c r="O196" s="101"/>
      <c r="P196" s="101"/>
      <c r="Q196" s="101"/>
      <c r="R196" s="101"/>
      <c r="S196" s="101"/>
    </row>
    <row r="197" spans="3:19" x14ac:dyDescent="0.3">
      <c r="C197" s="255"/>
      <c r="E197" s="247" t="s">
        <v>127</v>
      </c>
      <c r="F197" s="329">
        <v>2014</v>
      </c>
      <c r="G197" s="247">
        <f>F197+1</f>
        <v>2015</v>
      </c>
      <c r="H197" s="247">
        <f>G197+1</f>
        <v>2016</v>
      </c>
      <c r="I197" s="247">
        <f>H197+1</f>
        <v>2017</v>
      </c>
      <c r="J197" s="247">
        <f>I197+1</f>
        <v>2018</v>
      </c>
      <c r="K197" s="107"/>
      <c r="N197" s="101"/>
      <c r="O197" s="101"/>
      <c r="P197" s="101"/>
      <c r="Q197" s="101"/>
      <c r="R197" s="101"/>
      <c r="S197" s="101"/>
    </row>
    <row r="198" spans="3:19" s="224" customFormat="1" x14ac:dyDescent="0.3">
      <c r="C198" s="3915"/>
      <c r="E198" s="3913" t="s">
        <v>463</v>
      </c>
      <c r="F198" s="3914">
        <v>0</v>
      </c>
      <c r="G198" s="3914">
        <v>24</v>
      </c>
      <c r="H198" s="3914">
        <v>11</v>
      </c>
      <c r="I198" s="3914">
        <v>0</v>
      </c>
      <c r="J198" s="3914">
        <v>15</v>
      </c>
    </row>
    <row r="199" spans="3:19" s="224" customFormat="1" x14ac:dyDescent="0.3">
      <c r="C199" s="3915"/>
      <c r="E199" s="3913" t="s">
        <v>3527</v>
      </c>
      <c r="F199" s="3914">
        <v>0</v>
      </c>
      <c r="G199" s="3914">
        <v>23</v>
      </c>
      <c r="H199" s="3914">
        <v>11</v>
      </c>
      <c r="I199" s="3914">
        <v>0</v>
      </c>
      <c r="J199" s="3914">
        <v>15</v>
      </c>
    </row>
    <row r="200" spans="3:19" s="224" customFormat="1" x14ac:dyDescent="0.3">
      <c r="C200" s="3915"/>
      <c r="E200" s="3913" t="s">
        <v>2027</v>
      </c>
      <c r="F200" s="3914">
        <v>0</v>
      </c>
      <c r="G200" s="3914">
        <v>0</v>
      </c>
      <c r="H200" s="3914">
        <v>8</v>
      </c>
      <c r="I200" s="3914">
        <v>0</v>
      </c>
      <c r="J200" s="3914">
        <v>25</v>
      </c>
    </row>
    <row r="201" spans="3:19" x14ac:dyDescent="0.3">
      <c r="C201" s="255"/>
      <c r="E201" s="36" t="s">
        <v>3528</v>
      </c>
      <c r="F201" s="251">
        <v>0</v>
      </c>
      <c r="G201" s="251">
        <v>0</v>
      </c>
      <c r="H201" s="251">
        <v>0</v>
      </c>
      <c r="I201" s="251">
        <v>0</v>
      </c>
      <c r="J201" s="251">
        <v>0</v>
      </c>
    </row>
    <row r="202" spans="3:19" s="224" customFormat="1" ht="43.15" customHeight="1" x14ac:dyDescent="0.3">
      <c r="C202" s="3915"/>
      <c r="E202" s="3913" t="s">
        <v>3529</v>
      </c>
      <c r="F202" s="3914">
        <v>0</v>
      </c>
      <c r="G202" s="3914">
        <v>23</v>
      </c>
      <c r="H202" s="3914">
        <v>11</v>
      </c>
      <c r="I202" s="3914">
        <v>0</v>
      </c>
      <c r="J202" s="3914">
        <v>15</v>
      </c>
    </row>
    <row r="203" spans="3:19" s="224" customFormat="1" x14ac:dyDescent="0.3">
      <c r="C203" s="3915"/>
      <c r="E203" s="3913" t="s">
        <v>467</v>
      </c>
      <c r="F203" s="3914">
        <v>0</v>
      </c>
      <c r="G203" s="3914">
        <v>10</v>
      </c>
      <c r="H203" s="3914">
        <v>4</v>
      </c>
      <c r="I203" s="3914">
        <v>0</v>
      </c>
      <c r="J203" s="3914">
        <v>14</v>
      </c>
    </row>
    <row r="204" spans="3:19" s="224" customFormat="1" x14ac:dyDescent="0.3">
      <c r="C204" s="3915"/>
      <c r="E204" s="3913" t="s">
        <v>465</v>
      </c>
      <c r="F204" s="3914">
        <v>0</v>
      </c>
      <c r="G204" s="3914">
        <v>7</v>
      </c>
      <c r="H204" s="3914">
        <v>5</v>
      </c>
      <c r="I204" s="3914">
        <v>0</v>
      </c>
      <c r="J204" s="3914">
        <v>15</v>
      </c>
    </row>
    <row r="205" spans="3:19" x14ac:dyDescent="0.3">
      <c r="C205" s="255"/>
      <c r="E205" s="3913" t="s">
        <v>2016</v>
      </c>
      <c r="F205" s="3914">
        <v>0</v>
      </c>
      <c r="G205" s="3914">
        <v>60</v>
      </c>
      <c r="H205" s="3914">
        <v>104</v>
      </c>
      <c r="I205" s="3914">
        <v>0</v>
      </c>
      <c r="J205" s="3914">
        <v>322</v>
      </c>
    </row>
    <row r="206" spans="3:19" s="224" customFormat="1" x14ac:dyDescent="0.3">
      <c r="C206" s="3915"/>
      <c r="E206" s="3913" t="s">
        <v>2018</v>
      </c>
      <c r="F206" s="3914">
        <v>0</v>
      </c>
      <c r="G206" s="3914">
        <v>15</v>
      </c>
      <c r="H206" s="3914">
        <v>121</v>
      </c>
      <c r="I206" s="3914">
        <v>0</v>
      </c>
      <c r="J206" s="3914">
        <v>24</v>
      </c>
    </row>
    <row r="207" spans="3:19" s="224" customFormat="1" x14ac:dyDescent="0.3">
      <c r="C207" s="3915"/>
      <c r="E207" s="3913" t="s">
        <v>2035</v>
      </c>
      <c r="F207" s="3914">
        <v>0</v>
      </c>
      <c r="G207" s="3914">
        <v>1</v>
      </c>
      <c r="H207" s="3914">
        <v>1</v>
      </c>
      <c r="I207" s="3914">
        <v>0</v>
      </c>
      <c r="J207" s="3914">
        <v>1</v>
      </c>
    </row>
    <row r="208" spans="3:19" s="224" customFormat="1" x14ac:dyDescent="0.3">
      <c r="C208" s="3915"/>
      <c r="E208" s="3913" t="s">
        <v>2031</v>
      </c>
      <c r="F208" s="3914">
        <v>0</v>
      </c>
      <c r="G208" s="3914">
        <v>16</v>
      </c>
      <c r="H208" s="3914">
        <v>30</v>
      </c>
      <c r="I208" s="3914">
        <v>0</v>
      </c>
      <c r="J208" s="3914">
        <v>66</v>
      </c>
    </row>
    <row r="209" spans="3:10" s="224" customFormat="1" x14ac:dyDescent="0.3">
      <c r="C209" s="3915"/>
      <c r="E209" s="3913" t="s">
        <v>2023</v>
      </c>
      <c r="F209" s="3914">
        <v>0</v>
      </c>
      <c r="G209" s="3914">
        <v>7</v>
      </c>
      <c r="H209" s="3914">
        <v>3</v>
      </c>
      <c r="I209" s="3914">
        <v>0</v>
      </c>
      <c r="J209" s="3914">
        <v>2</v>
      </c>
    </row>
    <row r="210" spans="3:10" s="224" customFormat="1" ht="28.15" customHeight="1" x14ac:dyDescent="0.3">
      <c r="C210" s="3915"/>
      <c r="E210" s="3913" t="s">
        <v>2022</v>
      </c>
      <c r="F210" s="3914">
        <v>0</v>
      </c>
      <c r="G210" s="3914">
        <v>10</v>
      </c>
      <c r="H210" s="3914">
        <v>23</v>
      </c>
      <c r="I210" s="3914">
        <v>0</v>
      </c>
      <c r="J210" s="3914">
        <v>9</v>
      </c>
    </row>
    <row r="211" spans="3:10" s="224" customFormat="1" x14ac:dyDescent="0.3">
      <c r="C211" s="3915"/>
      <c r="E211" s="3913" t="s">
        <v>2019</v>
      </c>
      <c r="F211" s="3914">
        <v>0</v>
      </c>
      <c r="G211" s="3914">
        <v>2</v>
      </c>
      <c r="H211" s="3914">
        <v>4</v>
      </c>
      <c r="I211" s="3914">
        <v>0</v>
      </c>
      <c r="J211" s="3914">
        <v>3</v>
      </c>
    </row>
    <row r="212" spans="3:10" s="224" customFormat="1" x14ac:dyDescent="0.3">
      <c r="C212" s="3915"/>
      <c r="E212" s="3913" t="s">
        <v>2020</v>
      </c>
      <c r="F212" s="3914">
        <v>0</v>
      </c>
      <c r="G212" s="3914">
        <v>2</v>
      </c>
      <c r="H212" s="3914">
        <v>6</v>
      </c>
      <c r="I212" s="3914">
        <v>0</v>
      </c>
      <c r="J212" s="3914">
        <v>4</v>
      </c>
    </row>
    <row r="213" spans="3:10" s="224" customFormat="1" x14ac:dyDescent="0.3">
      <c r="C213" s="3915"/>
      <c r="E213" s="3913" t="s">
        <v>604</v>
      </c>
      <c r="F213" s="3914">
        <v>0</v>
      </c>
      <c r="G213" s="3914">
        <v>0</v>
      </c>
      <c r="H213" s="3914">
        <v>1</v>
      </c>
      <c r="I213" s="3914">
        <v>0</v>
      </c>
      <c r="J213" s="3914">
        <v>1</v>
      </c>
    </row>
    <row r="214" spans="3:10" x14ac:dyDescent="0.3">
      <c r="C214" s="255"/>
      <c r="E214" s="36" t="s">
        <v>3556</v>
      </c>
      <c r="F214" s="251">
        <v>0</v>
      </c>
      <c r="G214" s="251">
        <v>0</v>
      </c>
      <c r="H214" s="251">
        <v>0</v>
      </c>
      <c r="I214" s="251">
        <v>0</v>
      </c>
      <c r="J214" s="251">
        <v>0</v>
      </c>
    </row>
    <row r="215" spans="3:10" x14ac:dyDescent="0.3">
      <c r="C215" s="255"/>
      <c r="E215" s="36" t="s">
        <v>3557</v>
      </c>
      <c r="F215" s="251">
        <v>0</v>
      </c>
      <c r="G215" s="251">
        <v>0</v>
      </c>
      <c r="H215" s="251">
        <v>0</v>
      </c>
      <c r="I215" s="251">
        <v>0</v>
      </c>
      <c r="J215" s="251">
        <v>0</v>
      </c>
    </row>
    <row r="216" spans="3:10" x14ac:dyDescent="0.3">
      <c r="C216" s="255"/>
      <c r="E216" s="36" t="s">
        <v>468</v>
      </c>
      <c r="F216" s="251">
        <v>0</v>
      </c>
      <c r="G216" s="251">
        <v>0</v>
      </c>
      <c r="H216" s="251">
        <v>0</v>
      </c>
      <c r="I216" s="251">
        <v>0</v>
      </c>
      <c r="J216" s="251">
        <v>0</v>
      </c>
    </row>
    <row r="217" spans="3:10" ht="49.5" x14ac:dyDescent="0.3">
      <c r="C217" s="255"/>
      <c r="E217" s="36" t="s">
        <v>603</v>
      </c>
      <c r="F217" s="251">
        <v>0</v>
      </c>
      <c r="G217" s="251">
        <v>0</v>
      </c>
      <c r="H217" s="251">
        <v>0</v>
      </c>
      <c r="I217" s="251">
        <v>0</v>
      </c>
      <c r="J217" s="251">
        <v>0</v>
      </c>
    </row>
    <row r="218" spans="3:10" x14ac:dyDescent="0.3">
      <c r="C218" s="255"/>
      <c r="E218" s="36" t="s">
        <v>2021</v>
      </c>
      <c r="F218" s="251">
        <v>0</v>
      </c>
      <c r="G218" s="251">
        <v>0</v>
      </c>
      <c r="H218" s="251">
        <v>0</v>
      </c>
      <c r="I218" s="251">
        <v>0</v>
      </c>
      <c r="J218" s="251">
        <v>0</v>
      </c>
    </row>
    <row r="219" spans="3:10" s="224" customFormat="1" x14ac:dyDescent="0.3">
      <c r="C219" s="3915"/>
      <c r="E219" s="3913" t="s">
        <v>2034</v>
      </c>
      <c r="F219" s="3914">
        <v>0</v>
      </c>
      <c r="G219" s="3914">
        <v>1</v>
      </c>
      <c r="H219" s="3914">
        <v>4</v>
      </c>
      <c r="I219" s="3914">
        <v>0</v>
      </c>
      <c r="J219" s="3914">
        <v>2</v>
      </c>
    </row>
    <row r="220" spans="3:10" s="224" customFormat="1" x14ac:dyDescent="0.3">
      <c r="C220" s="3915"/>
      <c r="E220" s="3913" t="s">
        <v>2028</v>
      </c>
      <c r="F220" s="3914">
        <v>0</v>
      </c>
      <c r="G220" s="3914">
        <v>6</v>
      </c>
      <c r="H220" s="3914">
        <v>5</v>
      </c>
      <c r="I220" s="3914">
        <v>0</v>
      </c>
      <c r="J220" s="3914">
        <v>3</v>
      </c>
    </row>
    <row r="221" spans="3:10" s="224" customFormat="1" x14ac:dyDescent="0.3">
      <c r="C221" s="3915"/>
      <c r="E221" s="3913" t="s">
        <v>2017</v>
      </c>
      <c r="F221" s="3914">
        <v>0</v>
      </c>
      <c r="G221" s="3914">
        <v>16</v>
      </c>
      <c r="H221" s="3914">
        <v>37</v>
      </c>
      <c r="I221" s="3914">
        <v>0</v>
      </c>
      <c r="J221" s="3914">
        <v>56</v>
      </c>
    </row>
    <row r="222" spans="3:10" x14ac:dyDescent="0.3">
      <c r="C222" s="255"/>
      <c r="E222" s="36" t="s">
        <v>2029</v>
      </c>
      <c r="F222" s="251">
        <v>0</v>
      </c>
      <c r="G222" s="251">
        <v>0</v>
      </c>
      <c r="H222" s="251">
        <v>0</v>
      </c>
      <c r="I222" s="251">
        <v>0</v>
      </c>
      <c r="J222" s="251">
        <v>0</v>
      </c>
    </row>
    <row r="223" spans="3:10" ht="33" x14ac:dyDescent="0.3">
      <c r="C223" s="255"/>
      <c r="E223" s="36" t="s">
        <v>3530</v>
      </c>
      <c r="F223" s="251">
        <v>0</v>
      </c>
      <c r="G223" s="251">
        <v>0</v>
      </c>
      <c r="H223" s="251">
        <v>0</v>
      </c>
      <c r="I223" s="251">
        <v>0</v>
      </c>
      <c r="J223" s="251">
        <v>0</v>
      </c>
    </row>
    <row r="224" spans="3:10" s="224" customFormat="1" x14ac:dyDescent="0.3">
      <c r="C224" s="3915"/>
      <c r="E224" s="3913" t="s">
        <v>2024</v>
      </c>
      <c r="F224" s="3914">
        <v>0</v>
      </c>
      <c r="G224" s="3914">
        <v>1</v>
      </c>
      <c r="H224" s="3914">
        <v>4</v>
      </c>
      <c r="I224" s="3914">
        <v>0</v>
      </c>
      <c r="J224" s="3914">
        <v>2</v>
      </c>
    </row>
    <row r="225" spans="3:10" s="224" customFormat="1" x14ac:dyDescent="0.3">
      <c r="C225" s="3915"/>
      <c r="E225" s="3913" t="s">
        <v>3531</v>
      </c>
      <c r="F225" s="3914">
        <v>0</v>
      </c>
      <c r="G225" s="3914">
        <v>13</v>
      </c>
      <c r="H225" s="3914">
        <v>12</v>
      </c>
      <c r="I225" s="3914">
        <v>0</v>
      </c>
      <c r="J225" s="3914">
        <v>10</v>
      </c>
    </row>
    <row r="226" spans="3:10" s="224" customFormat="1" x14ac:dyDescent="0.3">
      <c r="C226" s="3915"/>
      <c r="E226" s="3913" t="s">
        <v>3532</v>
      </c>
      <c r="F226" s="3914">
        <v>0</v>
      </c>
      <c r="G226" s="3914">
        <v>0</v>
      </c>
      <c r="H226" s="3914">
        <v>0</v>
      </c>
      <c r="I226" s="3914">
        <v>0</v>
      </c>
      <c r="J226" s="3914">
        <v>9</v>
      </c>
    </row>
    <row r="227" spans="3:10" s="224" customFormat="1" x14ac:dyDescent="0.3">
      <c r="C227" s="3915"/>
      <c r="E227" s="3913" t="s">
        <v>2026</v>
      </c>
      <c r="F227" s="3914">
        <v>0</v>
      </c>
      <c r="G227" s="3914">
        <v>0</v>
      </c>
      <c r="H227" s="3914">
        <v>3</v>
      </c>
      <c r="I227" s="3914">
        <v>0</v>
      </c>
      <c r="J227" s="3914">
        <v>0</v>
      </c>
    </row>
    <row r="228" spans="3:10" s="224" customFormat="1" x14ac:dyDescent="0.3">
      <c r="C228" s="3915"/>
      <c r="E228" s="3913" t="s">
        <v>2025</v>
      </c>
      <c r="F228" s="3914">
        <v>0</v>
      </c>
      <c r="G228" s="3914">
        <v>11</v>
      </c>
      <c r="H228" s="3914">
        <v>4</v>
      </c>
      <c r="I228" s="3914">
        <v>0</v>
      </c>
      <c r="J228" s="3914">
        <v>5</v>
      </c>
    </row>
    <row r="229" spans="3:10" s="224" customFormat="1" x14ac:dyDescent="0.3">
      <c r="C229" s="3915"/>
      <c r="E229" s="3913" t="s">
        <v>2030</v>
      </c>
      <c r="F229" s="3914">
        <v>0</v>
      </c>
      <c r="G229" s="3914">
        <v>2</v>
      </c>
      <c r="H229" s="3914">
        <v>0</v>
      </c>
      <c r="I229" s="3914">
        <v>0</v>
      </c>
      <c r="J229" s="3914">
        <v>3</v>
      </c>
    </row>
    <row r="230" spans="3:10" s="224" customFormat="1" x14ac:dyDescent="0.3">
      <c r="C230" s="3915"/>
      <c r="E230" s="3913" t="s">
        <v>2032</v>
      </c>
      <c r="F230" s="3914">
        <v>0</v>
      </c>
      <c r="G230" s="3914">
        <v>0</v>
      </c>
      <c r="H230" s="3914">
        <v>1</v>
      </c>
      <c r="I230" s="3914">
        <v>0</v>
      </c>
      <c r="J230" s="3914">
        <v>0</v>
      </c>
    </row>
    <row r="231" spans="3:10" s="224" customFormat="1" x14ac:dyDescent="0.3">
      <c r="C231" s="3915"/>
      <c r="E231" s="3913" t="s">
        <v>724</v>
      </c>
      <c r="F231" s="3914">
        <v>0</v>
      </c>
      <c r="G231" s="3914">
        <v>1</v>
      </c>
      <c r="H231" s="3914">
        <v>3</v>
      </c>
      <c r="I231" s="3914">
        <v>0</v>
      </c>
      <c r="J231" s="3914">
        <v>0</v>
      </c>
    </row>
    <row r="232" spans="3:10" s="224" customFormat="1" x14ac:dyDescent="0.3">
      <c r="C232" s="3915"/>
      <c r="E232" s="3913" t="s">
        <v>3533</v>
      </c>
      <c r="F232" s="3914">
        <v>0</v>
      </c>
      <c r="G232" s="3914">
        <v>1</v>
      </c>
      <c r="H232" s="3914">
        <v>10</v>
      </c>
      <c r="I232" s="3914">
        <v>0</v>
      </c>
      <c r="J232" s="3914">
        <v>36</v>
      </c>
    </row>
    <row r="233" spans="3:10" s="224" customFormat="1" ht="33" x14ac:dyDescent="0.3">
      <c r="C233" s="3915"/>
      <c r="E233" s="3913" t="s">
        <v>464</v>
      </c>
      <c r="F233" s="3914">
        <v>0</v>
      </c>
      <c r="G233" s="3914">
        <v>1</v>
      </c>
      <c r="H233" s="3914">
        <v>0</v>
      </c>
      <c r="I233" s="3914">
        <v>0</v>
      </c>
      <c r="J233" s="3914">
        <v>0</v>
      </c>
    </row>
    <row r="234" spans="3:10" ht="33" x14ac:dyDescent="0.3">
      <c r="C234" s="255"/>
      <c r="E234" s="36" t="s">
        <v>2037</v>
      </c>
      <c r="F234" s="251">
        <v>0</v>
      </c>
      <c r="G234" s="251">
        <v>0</v>
      </c>
      <c r="H234" s="251">
        <v>0</v>
      </c>
      <c r="I234" s="251">
        <v>0</v>
      </c>
      <c r="J234" s="251">
        <v>0</v>
      </c>
    </row>
    <row r="235" spans="3:10" ht="49.5" x14ac:dyDescent="0.3">
      <c r="C235" s="255"/>
      <c r="E235" s="36" t="s">
        <v>3534</v>
      </c>
      <c r="F235" s="251">
        <v>0</v>
      </c>
      <c r="G235" s="251">
        <v>0</v>
      </c>
      <c r="H235" s="251">
        <v>0</v>
      </c>
      <c r="I235" s="251">
        <v>0</v>
      </c>
      <c r="J235" s="251">
        <v>0</v>
      </c>
    </row>
    <row r="236" spans="3:10" x14ac:dyDescent="0.3">
      <c r="C236" s="255"/>
      <c r="E236" s="36" t="s">
        <v>2036</v>
      </c>
      <c r="F236" s="251">
        <v>0</v>
      </c>
      <c r="G236" s="251">
        <v>0</v>
      </c>
      <c r="H236" s="251">
        <v>0</v>
      </c>
      <c r="I236" s="251">
        <v>0</v>
      </c>
      <c r="J236" s="251">
        <v>0</v>
      </c>
    </row>
    <row r="237" spans="3:10" ht="33" x14ac:dyDescent="0.3">
      <c r="C237" s="255"/>
      <c r="E237" s="36" t="s">
        <v>3535</v>
      </c>
      <c r="F237" s="251">
        <v>0</v>
      </c>
      <c r="G237" s="251">
        <v>0</v>
      </c>
      <c r="H237" s="251">
        <v>0</v>
      </c>
      <c r="I237" s="251">
        <v>0</v>
      </c>
      <c r="J237" s="251">
        <v>0</v>
      </c>
    </row>
    <row r="238" spans="3:10" ht="49.5" x14ac:dyDescent="0.3">
      <c r="C238" s="255"/>
      <c r="E238" s="36" t="s">
        <v>726</v>
      </c>
      <c r="F238" s="251">
        <v>0</v>
      </c>
      <c r="G238" s="251">
        <v>0</v>
      </c>
      <c r="H238" s="251">
        <v>0</v>
      </c>
      <c r="I238" s="251">
        <v>0</v>
      </c>
      <c r="J238" s="251">
        <v>0</v>
      </c>
    </row>
    <row r="239" spans="3:10" x14ac:dyDescent="0.3">
      <c r="C239" s="255"/>
      <c r="E239" s="36" t="s">
        <v>3536</v>
      </c>
      <c r="F239" s="251">
        <v>0</v>
      </c>
      <c r="G239" s="251">
        <v>0</v>
      </c>
      <c r="H239" s="251">
        <v>0</v>
      </c>
      <c r="I239" s="251">
        <v>0</v>
      </c>
      <c r="J239" s="251">
        <v>0</v>
      </c>
    </row>
    <row r="240" spans="3:10" x14ac:dyDescent="0.3">
      <c r="C240" s="255"/>
      <c r="E240" s="36" t="s">
        <v>733</v>
      </c>
      <c r="F240" s="251">
        <v>0</v>
      </c>
      <c r="G240" s="251">
        <v>0</v>
      </c>
      <c r="H240" s="251">
        <v>0</v>
      </c>
      <c r="I240" s="251">
        <v>0</v>
      </c>
      <c r="J240" s="251">
        <v>0</v>
      </c>
    </row>
    <row r="241" spans="3:10" ht="49.5" x14ac:dyDescent="0.3">
      <c r="C241" s="255"/>
      <c r="E241" s="36" t="s">
        <v>729</v>
      </c>
      <c r="F241" s="251">
        <v>0</v>
      </c>
      <c r="G241" s="251">
        <v>0</v>
      </c>
      <c r="H241" s="251">
        <v>0</v>
      </c>
      <c r="I241" s="251">
        <v>0</v>
      </c>
      <c r="J241" s="251">
        <v>0</v>
      </c>
    </row>
    <row r="242" spans="3:10" x14ac:dyDescent="0.3">
      <c r="C242" s="294"/>
      <c r="E242" s="36" t="s">
        <v>732</v>
      </c>
      <c r="F242" s="251">
        <v>0</v>
      </c>
      <c r="G242" s="251">
        <v>0</v>
      </c>
      <c r="H242" s="251">
        <v>0</v>
      </c>
      <c r="I242" s="251">
        <v>0</v>
      </c>
      <c r="J242" s="251">
        <v>0</v>
      </c>
    </row>
    <row r="243" spans="3:10" ht="49.5" x14ac:dyDescent="0.3">
      <c r="C243" s="294"/>
      <c r="E243" s="36" t="s">
        <v>469</v>
      </c>
      <c r="F243" s="251">
        <v>0</v>
      </c>
      <c r="G243" s="251">
        <v>0</v>
      </c>
      <c r="H243" s="251">
        <v>0</v>
      </c>
      <c r="I243" s="251">
        <v>0</v>
      </c>
      <c r="J243" s="251">
        <v>0</v>
      </c>
    </row>
    <row r="244" spans="3:10" ht="33" x14ac:dyDescent="0.3">
      <c r="C244" s="294"/>
      <c r="E244" s="36" t="s">
        <v>730</v>
      </c>
      <c r="F244" s="251">
        <v>0</v>
      </c>
      <c r="G244" s="251">
        <v>0</v>
      </c>
      <c r="H244" s="251">
        <v>0</v>
      </c>
      <c r="I244" s="251">
        <v>0</v>
      </c>
      <c r="J244" s="251">
        <v>0</v>
      </c>
    </row>
    <row r="245" spans="3:10" ht="49.5" x14ac:dyDescent="0.3">
      <c r="C245" s="294"/>
      <c r="E245" s="36" t="s">
        <v>3537</v>
      </c>
      <c r="F245" s="251">
        <v>0</v>
      </c>
      <c r="G245" s="251">
        <v>0</v>
      </c>
      <c r="H245" s="251">
        <v>0</v>
      </c>
      <c r="I245" s="251">
        <v>0</v>
      </c>
      <c r="J245" s="251">
        <v>0</v>
      </c>
    </row>
    <row r="246" spans="3:10" x14ac:dyDescent="0.3">
      <c r="C246" s="294"/>
      <c r="E246" s="36" t="s">
        <v>734</v>
      </c>
      <c r="F246" s="251">
        <v>0</v>
      </c>
      <c r="G246" s="251">
        <v>0</v>
      </c>
      <c r="H246" s="251">
        <v>0</v>
      </c>
      <c r="I246" s="251">
        <v>0</v>
      </c>
      <c r="J246" s="251">
        <v>0</v>
      </c>
    </row>
    <row r="247" spans="3:10" ht="33" x14ac:dyDescent="0.3">
      <c r="C247" s="294"/>
      <c r="E247" s="36" t="s">
        <v>3538</v>
      </c>
      <c r="F247" s="251">
        <v>0</v>
      </c>
      <c r="G247" s="251">
        <v>0</v>
      </c>
      <c r="H247" s="251">
        <v>0</v>
      </c>
      <c r="I247" s="251">
        <v>0</v>
      </c>
      <c r="J247" s="251">
        <v>0</v>
      </c>
    </row>
    <row r="248" spans="3:10" x14ac:dyDescent="0.3">
      <c r="C248" s="294"/>
      <c r="E248" s="36" t="s">
        <v>2039</v>
      </c>
      <c r="F248" s="251">
        <v>0</v>
      </c>
      <c r="G248" s="251">
        <v>0</v>
      </c>
      <c r="H248" s="251">
        <v>0</v>
      </c>
      <c r="I248" s="251">
        <v>0</v>
      </c>
      <c r="J248" s="251">
        <v>0</v>
      </c>
    </row>
    <row r="249" spans="3:10" x14ac:dyDescent="0.3">
      <c r="C249" s="294"/>
      <c r="E249" s="36" t="s">
        <v>3539</v>
      </c>
      <c r="F249" s="251">
        <v>0</v>
      </c>
      <c r="G249" s="251">
        <v>0</v>
      </c>
      <c r="H249" s="251">
        <v>0</v>
      </c>
      <c r="I249" s="251">
        <v>0</v>
      </c>
      <c r="J249" s="251">
        <v>0</v>
      </c>
    </row>
    <row r="250" spans="3:10" x14ac:dyDescent="0.3">
      <c r="C250" s="294"/>
      <c r="E250" s="36" t="s">
        <v>3540</v>
      </c>
      <c r="F250" s="251">
        <v>0</v>
      </c>
      <c r="G250" s="251">
        <v>0</v>
      </c>
      <c r="H250" s="251">
        <v>0</v>
      </c>
      <c r="I250" s="251">
        <v>0</v>
      </c>
      <c r="J250" s="251">
        <v>0</v>
      </c>
    </row>
    <row r="251" spans="3:10" x14ac:dyDescent="0.3">
      <c r="C251" s="294"/>
      <c r="E251" s="36" t="s">
        <v>2040</v>
      </c>
      <c r="F251" s="251">
        <v>0</v>
      </c>
      <c r="G251" s="251">
        <v>0</v>
      </c>
      <c r="H251" s="251">
        <v>0</v>
      </c>
      <c r="I251" s="251">
        <v>0</v>
      </c>
      <c r="J251" s="251">
        <v>0</v>
      </c>
    </row>
    <row r="252" spans="3:10" ht="49.5" x14ac:dyDescent="0.3">
      <c r="C252" s="255"/>
      <c r="E252" s="36" t="s">
        <v>466</v>
      </c>
      <c r="F252" s="251">
        <v>0</v>
      </c>
      <c r="G252" s="251">
        <v>0</v>
      </c>
      <c r="H252" s="251">
        <v>0</v>
      </c>
      <c r="I252" s="251">
        <v>0</v>
      </c>
      <c r="J252" s="251">
        <v>0</v>
      </c>
    </row>
    <row r="253" spans="3:10" s="224" customFormat="1" ht="33" x14ac:dyDescent="0.3">
      <c r="C253" s="3915"/>
      <c r="E253" s="3913" t="s">
        <v>3541</v>
      </c>
      <c r="F253" s="3914">
        <v>0</v>
      </c>
      <c r="G253" s="3914">
        <v>12</v>
      </c>
      <c r="H253" s="3914">
        <v>3</v>
      </c>
      <c r="I253" s="3914">
        <v>0</v>
      </c>
      <c r="J253" s="3914">
        <v>3</v>
      </c>
    </row>
    <row r="254" spans="3:10" x14ac:dyDescent="0.3">
      <c r="C254" s="255"/>
      <c r="E254" s="36" t="s">
        <v>3559</v>
      </c>
      <c r="F254" s="251">
        <v>0</v>
      </c>
      <c r="G254" s="251">
        <v>0</v>
      </c>
      <c r="H254" s="251">
        <v>0</v>
      </c>
      <c r="I254" s="251">
        <v>0</v>
      </c>
      <c r="J254" s="251">
        <v>0</v>
      </c>
    </row>
    <row r="255" spans="3:10" x14ac:dyDescent="0.3">
      <c r="C255" s="255"/>
      <c r="E255" s="36" t="s">
        <v>3542</v>
      </c>
      <c r="F255" s="251">
        <v>0</v>
      </c>
      <c r="G255" s="251">
        <v>0</v>
      </c>
      <c r="H255" s="251">
        <v>0</v>
      </c>
      <c r="I255" s="251">
        <v>0</v>
      </c>
      <c r="J255" s="251">
        <v>0</v>
      </c>
    </row>
    <row r="256" spans="3:10" ht="31.9" customHeight="1" x14ac:dyDescent="0.3">
      <c r="C256" s="255"/>
      <c r="E256" s="36" t="s">
        <v>3543</v>
      </c>
      <c r="F256" s="251">
        <v>0</v>
      </c>
      <c r="G256" s="251">
        <v>0</v>
      </c>
      <c r="H256" s="251">
        <v>0</v>
      </c>
      <c r="I256" s="251">
        <v>0</v>
      </c>
      <c r="J256" s="251">
        <v>0</v>
      </c>
    </row>
    <row r="257" spans="3:10" ht="33" x14ac:dyDescent="0.3">
      <c r="C257" s="255"/>
      <c r="E257" s="36" t="s">
        <v>3544</v>
      </c>
      <c r="F257" s="251">
        <v>0</v>
      </c>
      <c r="G257" s="251">
        <v>0</v>
      </c>
      <c r="H257" s="251">
        <v>0</v>
      </c>
      <c r="I257" s="251">
        <v>0</v>
      </c>
      <c r="J257" s="251">
        <v>0</v>
      </c>
    </row>
    <row r="258" spans="3:10" x14ac:dyDescent="0.3">
      <c r="C258" s="255"/>
      <c r="E258" s="36" t="s">
        <v>644</v>
      </c>
      <c r="F258" s="251">
        <v>0</v>
      </c>
      <c r="G258" s="251">
        <v>0</v>
      </c>
      <c r="H258" s="251">
        <v>0</v>
      </c>
      <c r="I258" s="251">
        <v>0</v>
      </c>
      <c r="J258" s="251">
        <v>0</v>
      </c>
    </row>
    <row r="259" spans="3:10" x14ac:dyDescent="0.3">
      <c r="C259" s="255"/>
      <c r="E259" s="36" t="s">
        <v>2038</v>
      </c>
      <c r="F259" s="251">
        <v>0</v>
      </c>
      <c r="G259" s="251">
        <v>0</v>
      </c>
      <c r="H259" s="251">
        <v>0</v>
      </c>
      <c r="I259" s="251">
        <v>0</v>
      </c>
      <c r="J259" s="251">
        <v>0</v>
      </c>
    </row>
    <row r="260" spans="3:10" s="224" customFormat="1" x14ac:dyDescent="0.3">
      <c r="C260" s="3915"/>
      <c r="E260" s="3913" t="s">
        <v>2033</v>
      </c>
      <c r="F260" s="3914">
        <v>0</v>
      </c>
      <c r="G260" s="3914">
        <v>0</v>
      </c>
      <c r="H260" s="3914">
        <v>15</v>
      </c>
      <c r="I260" s="3914">
        <v>0</v>
      </c>
      <c r="J260" s="3914">
        <v>41</v>
      </c>
    </row>
    <row r="261" spans="3:10" s="224" customFormat="1" x14ac:dyDescent="0.3">
      <c r="C261" s="3915"/>
      <c r="E261" s="3913" t="s">
        <v>3545</v>
      </c>
      <c r="F261" s="3914">
        <v>0</v>
      </c>
      <c r="G261" s="3914">
        <v>0</v>
      </c>
      <c r="H261" s="3914">
        <v>0</v>
      </c>
      <c r="I261" s="3914">
        <v>0</v>
      </c>
      <c r="J261" s="3914">
        <v>1</v>
      </c>
    </row>
    <row r="262" spans="3:10" ht="49.5" x14ac:dyDescent="0.3">
      <c r="C262" s="255"/>
      <c r="E262" s="36" t="s">
        <v>3546</v>
      </c>
      <c r="F262" s="251">
        <v>0</v>
      </c>
      <c r="G262" s="251">
        <v>0</v>
      </c>
      <c r="H262" s="251">
        <v>0</v>
      </c>
      <c r="I262" s="251">
        <v>0</v>
      </c>
      <c r="J262" s="251">
        <v>0</v>
      </c>
    </row>
    <row r="263" spans="3:10" x14ac:dyDescent="0.3">
      <c r="C263" s="255"/>
      <c r="E263" s="36" t="s">
        <v>3547</v>
      </c>
      <c r="F263" s="251">
        <v>0</v>
      </c>
      <c r="G263" s="251">
        <v>0</v>
      </c>
      <c r="H263" s="251">
        <v>0</v>
      </c>
      <c r="I263" s="251">
        <v>0</v>
      </c>
      <c r="J263" s="251">
        <v>0</v>
      </c>
    </row>
    <row r="264" spans="3:10" x14ac:dyDescent="0.3">
      <c r="C264" s="255"/>
      <c r="E264" s="36" t="s">
        <v>3548</v>
      </c>
      <c r="F264" s="251">
        <v>0</v>
      </c>
      <c r="G264" s="251">
        <v>0</v>
      </c>
      <c r="H264" s="251">
        <v>0</v>
      </c>
      <c r="I264" s="251">
        <v>0</v>
      </c>
      <c r="J264" s="251">
        <v>0</v>
      </c>
    </row>
    <row r="265" spans="3:10" ht="49.5" x14ac:dyDescent="0.3">
      <c r="C265" s="255"/>
      <c r="E265" s="36" t="s">
        <v>3549</v>
      </c>
      <c r="F265" s="251">
        <v>0</v>
      </c>
      <c r="G265" s="251">
        <v>0</v>
      </c>
      <c r="H265" s="251">
        <v>0</v>
      </c>
      <c r="I265" s="251">
        <v>0</v>
      </c>
      <c r="J265" s="251">
        <v>0</v>
      </c>
    </row>
    <row r="266" spans="3:10" s="224" customFormat="1" x14ac:dyDescent="0.3">
      <c r="C266" s="3915"/>
      <c r="E266" s="3913" t="s">
        <v>6033</v>
      </c>
      <c r="F266" s="3914">
        <v>0</v>
      </c>
      <c r="G266" s="3914">
        <v>0</v>
      </c>
      <c r="H266" s="3914">
        <v>1</v>
      </c>
      <c r="I266" s="3914">
        <v>0</v>
      </c>
      <c r="J266" s="3914">
        <v>0</v>
      </c>
    </row>
    <row r="267" spans="3:10" x14ac:dyDescent="0.3">
      <c r="C267" s="255"/>
      <c r="E267" s="36" t="s">
        <v>3558</v>
      </c>
      <c r="F267" s="251">
        <v>0</v>
      </c>
      <c r="G267" s="251">
        <v>0</v>
      </c>
      <c r="H267" s="251">
        <v>0</v>
      </c>
      <c r="I267" s="251">
        <v>0</v>
      </c>
      <c r="J267" s="251">
        <v>0</v>
      </c>
    </row>
    <row r="268" spans="3:10" s="224" customFormat="1" ht="49.5" x14ac:dyDescent="0.3">
      <c r="C268" s="3915"/>
      <c r="E268" s="3913" t="s">
        <v>6031</v>
      </c>
      <c r="F268" s="3914">
        <v>0</v>
      </c>
      <c r="G268" s="3914">
        <v>1</v>
      </c>
      <c r="H268" s="3914">
        <v>7</v>
      </c>
      <c r="I268" s="3914">
        <v>0</v>
      </c>
      <c r="J268" s="3914">
        <v>0</v>
      </c>
    </row>
    <row r="269" spans="3:10" s="224" customFormat="1" x14ac:dyDescent="0.3">
      <c r="C269" s="3915"/>
      <c r="E269" s="3913" t="s">
        <v>6028</v>
      </c>
      <c r="F269" s="3914">
        <v>0</v>
      </c>
      <c r="G269" s="3914">
        <v>5</v>
      </c>
      <c r="H269" s="3914">
        <v>7</v>
      </c>
      <c r="I269" s="3914">
        <v>0</v>
      </c>
      <c r="J269" s="3914">
        <v>4</v>
      </c>
    </row>
    <row r="270" spans="3:10" s="224" customFormat="1" x14ac:dyDescent="0.3">
      <c r="C270" s="3915"/>
      <c r="E270" s="3913" t="s">
        <v>6030</v>
      </c>
      <c r="F270" s="3914">
        <v>0</v>
      </c>
      <c r="G270" s="3914">
        <v>2</v>
      </c>
      <c r="H270" s="3914">
        <v>17</v>
      </c>
      <c r="I270" s="3914">
        <v>0</v>
      </c>
      <c r="J270" s="3914">
        <v>0</v>
      </c>
    </row>
    <row r="271" spans="3:10" s="224" customFormat="1" ht="33" x14ac:dyDescent="0.3">
      <c r="C271" s="3915"/>
      <c r="E271" s="3913" t="s">
        <v>6032</v>
      </c>
      <c r="F271" s="3914">
        <v>0</v>
      </c>
      <c r="G271" s="3914">
        <v>1</v>
      </c>
      <c r="H271" s="3914">
        <v>0</v>
      </c>
      <c r="I271" s="3914">
        <v>0</v>
      </c>
      <c r="J271" s="3914">
        <v>1</v>
      </c>
    </row>
    <row r="272" spans="3:10" ht="49.5" x14ac:dyDescent="0.3">
      <c r="C272" s="255"/>
      <c r="E272" s="36" t="s">
        <v>6029</v>
      </c>
      <c r="F272" s="251">
        <v>0</v>
      </c>
      <c r="G272" s="251">
        <v>0</v>
      </c>
      <c r="H272" s="251">
        <v>38</v>
      </c>
      <c r="I272" s="251">
        <v>0</v>
      </c>
      <c r="J272" s="251">
        <v>0</v>
      </c>
    </row>
    <row r="273" spans="3:15" ht="25.9" customHeight="1" x14ac:dyDescent="0.3">
      <c r="C273" s="255"/>
      <c r="E273" s="39" t="s">
        <v>0</v>
      </c>
      <c r="F273" s="61">
        <f>SUM(F198:F272)</f>
        <v>0</v>
      </c>
      <c r="G273" s="61">
        <f>SUM(G198:G272)</f>
        <v>274</v>
      </c>
      <c r="H273" s="61">
        <f>SUM(H198:H272)</f>
        <v>514</v>
      </c>
      <c r="I273" s="61">
        <f>SUM(I198:I272)</f>
        <v>0</v>
      </c>
      <c r="J273" s="61">
        <f>SUM(J198:J272)</f>
        <v>707</v>
      </c>
      <c r="L273" s="4" t="s">
        <v>1951</v>
      </c>
    </row>
    <row r="274" spans="3:15" x14ac:dyDescent="0.3">
      <c r="C274" s="255"/>
      <c r="J274" s="139">
        <f>J273/AE86</f>
        <v>28.055555555555557</v>
      </c>
      <c r="L274" s="4" t="s">
        <v>1952</v>
      </c>
      <c r="O274" s="138">
        <f>J273/U87</f>
        <v>0.32991133924405042</v>
      </c>
    </row>
    <row r="275" spans="3:15" x14ac:dyDescent="0.3">
      <c r="C275" s="255"/>
      <c r="E275" s="4039" t="s">
        <v>3574</v>
      </c>
      <c r="F275" s="4039"/>
      <c r="G275" s="4039"/>
      <c r="H275" s="4039"/>
      <c r="I275" s="291"/>
      <c r="J275" s="4" t="s">
        <v>1903</v>
      </c>
    </row>
    <row r="276" spans="3:15" x14ac:dyDescent="0.3">
      <c r="C276" s="255"/>
      <c r="E276" s="4039"/>
      <c r="F276" s="4039"/>
      <c r="G276" s="4039"/>
      <c r="H276" s="4039"/>
    </row>
    <row r="277" spans="3:15" x14ac:dyDescent="0.3">
      <c r="C277" s="255"/>
      <c r="F277" s="293"/>
      <c r="G277" s="296"/>
      <c r="H277" s="291"/>
    </row>
    <row r="278" spans="3:15" s="1410" customFormat="1" x14ac:dyDescent="0.3">
      <c r="C278" s="1409"/>
      <c r="F278" s="1411"/>
      <c r="G278" s="1412"/>
      <c r="H278" s="1413"/>
      <c r="I278" s="1413"/>
      <c r="J278" s="1413"/>
    </row>
    <row r="279" spans="3:15" x14ac:dyDescent="0.3">
      <c r="C279" s="255">
        <v>11</v>
      </c>
      <c r="D279" s="4" t="s">
        <v>139</v>
      </c>
      <c r="F279" s="293"/>
      <c r="G279" s="296"/>
      <c r="H279" s="291"/>
      <c r="K279" s="138"/>
    </row>
    <row r="280" spans="3:15" x14ac:dyDescent="0.3">
      <c r="C280" s="255"/>
      <c r="E280" s="247" t="s">
        <v>82</v>
      </c>
      <c r="F280" s="329">
        <v>2014</v>
      </c>
      <c r="G280" s="247">
        <f>F280+1</f>
        <v>2015</v>
      </c>
      <c r="H280" s="247">
        <f>G280+1</f>
        <v>2016</v>
      </c>
      <c r="I280" s="247">
        <f>H280+1</f>
        <v>2017</v>
      </c>
      <c r="J280" s="247">
        <f>I280+1</f>
        <v>2018</v>
      </c>
    </row>
    <row r="281" spans="3:15" x14ac:dyDescent="0.3">
      <c r="C281" s="255"/>
      <c r="E281" s="36" t="s">
        <v>54</v>
      </c>
      <c r="F281" s="268">
        <v>0</v>
      </c>
      <c r="G281" s="268">
        <v>0</v>
      </c>
      <c r="H281" s="268">
        <v>0</v>
      </c>
      <c r="I281" s="268">
        <v>0</v>
      </c>
      <c r="J281" s="268">
        <v>0</v>
      </c>
      <c r="L281" s="107"/>
    </row>
    <row r="282" spans="3:15" x14ac:dyDescent="0.3">
      <c r="C282" s="255"/>
      <c r="E282" s="36" t="s">
        <v>140</v>
      </c>
      <c r="F282" s="268">
        <v>0</v>
      </c>
      <c r="G282" s="268">
        <v>0</v>
      </c>
      <c r="H282" s="268">
        <v>0</v>
      </c>
      <c r="I282" s="268">
        <v>0</v>
      </c>
      <c r="J282" s="268">
        <v>0</v>
      </c>
      <c r="L282" s="107"/>
    </row>
    <row r="283" spans="3:15" x14ac:dyDescent="0.3">
      <c r="C283" s="255"/>
      <c r="E283" s="36" t="s">
        <v>141</v>
      </c>
      <c r="F283" s="268">
        <v>0</v>
      </c>
      <c r="G283" s="268">
        <v>0</v>
      </c>
      <c r="H283" s="268">
        <v>0</v>
      </c>
      <c r="I283" s="268">
        <v>0</v>
      </c>
      <c r="J283" s="268">
        <v>0</v>
      </c>
      <c r="L283" s="107"/>
    </row>
    <row r="284" spans="3:15" x14ac:dyDescent="0.3">
      <c r="C284" s="255"/>
      <c r="E284" s="36" t="s">
        <v>76</v>
      </c>
      <c r="F284" s="268">
        <v>0</v>
      </c>
      <c r="G284" s="268">
        <v>0</v>
      </c>
      <c r="H284" s="268">
        <v>0</v>
      </c>
      <c r="I284" s="268">
        <v>0</v>
      </c>
      <c r="J284" s="268">
        <v>0</v>
      </c>
      <c r="L284" s="107"/>
      <c r="N284" s="107"/>
    </row>
    <row r="285" spans="3:15" x14ac:dyDescent="0.3">
      <c r="C285" s="255"/>
      <c r="E285" s="36" t="s">
        <v>58</v>
      </c>
      <c r="F285" s="268">
        <v>0</v>
      </c>
      <c r="G285" s="268">
        <v>0</v>
      </c>
      <c r="H285" s="268">
        <v>0</v>
      </c>
      <c r="I285" s="268">
        <v>0</v>
      </c>
      <c r="J285" s="268">
        <v>0</v>
      </c>
      <c r="L285" s="107"/>
    </row>
    <row r="286" spans="3:15" x14ac:dyDescent="0.3">
      <c r="C286" s="255"/>
      <c r="E286" s="36" t="s">
        <v>73</v>
      </c>
      <c r="F286" s="268">
        <v>0</v>
      </c>
      <c r="G286" s="268">
        <v>0</v>
      </c>
      <c r="H286" s="268">
        <v>0</v>
      </c>
      <c r="I286" s="268">
        <v>0</v>
      </c>
      <c r="J286" s="268">
        <v>0</v>
      </c>
      <c r="L286" s="107"/>
    </row>
    <row r="287" spans="3:15" x14ac:dyDescent="0.3">
      <c r="C287" s="255"/>
      <c r="E287" s="36" t="s">
        <v>142</v>
      </c>
      <c r="F287" s="268">
        <v>0</v>
      </c>
      <c r="G287" s="268">
        <v>0</v>
      </c>
      <c r="H287" s="268">
        <v>0</v>
      </c>
      <c r="I287" s="268">
        <v>0</v>
      </c>
      <c r="J287" s="268">
        <v>0</v>
      </c>
      <c r="L287" s="107"/>
    </row>
    <row r="288" spans="3:15" x14ac:dyDescent="0.3">
      <c r="C288" s="255"/>
      <c r="E288" s="39" t="s">
        <v>0</v>
      </c>
      <c r="F288" s="61">
        <f>SUM(F281+F282+F283+F284+F285+F286+F287)</f>
        <v>0</v>
      </c>
      <c r="G288" s="61">
        <f>SUM(G281+G282+G283+G284+G285+G286+G287)</f>
        <v>0</v>
      </c>
      <c r="H288" s="61">
        <f>SUM(H281+H282+H283+H284+H285+H286+H287)</f>
        <v>0</v>
      </c>
      <c r="I288" s="61">
        <f>SUM(I281+I282+I283+I284+I285+I286+I287)</f>
        <v>0</v>
      </c>
      <c r="J288" s="1511">
        <f>SUM(J281+J282+J283+J284+J285+J286+J287)</f>
        <v>0</v>
      </c>
      <c r="K288" s="107"/>
    </row>
    <row r="289" spans="3:14" x14ac:dyDescent="0.3">
      <c r="C289" s="255"/>
    </row>
    <row r="290" spans="3:14" x14ac:dyDescent="0.3">
      <c r="C290" s="255">
        <v>12</v>
      </c>
      <c r="D290" s="4" t="s">
        <v>143</v>
      </c>
      <c r="F290" s="296"/>
      <c r="G290" s="291"/>
      <c r="J290" s="111"/>
    </row>
    <row r="291" spans="3:14" x14ac:dyDescent="0.3">
      <c r="C291" s="255"/>
      <c r="E291" s="247" t="s">
        <v>144</v>
      </c>
      <c r="F291" s="329">
        <v>2014</v>
      </c>
      <c r="G291" s="247">
        <f>F291+1</f>
        <v>2015</v>
      </c>
      <c r="H291" s="247">
        <f>G291+1</f>
        <v>2016</v>
      </c>
      <c r="I291" s="247">
        <f>H291+1</f>
        <v>2017</v>
      </c>
      <c r="J291" s="247">
        <f>I291+1</f>
        <v>2018</v>
      </c>
    </row>
    <row r="292" spans="3:14" x14ac:dyDescent="0.3">
      <c r="C292" s="255"/>
      <c r="E292" s="253" t="s">
        <v>145</v>
      </c>
      <c r="F292" s="250">
        <v>0</v>
      </c>
      <c r="G292" s="250">
        <v>0</v>
      </c>
      <c r="H292" s="251">
        <v>0</v>
      </c>
      <c r="I292" s="251">
        <v>0</v>
      </c>
      <c r="J292" s="251">
        <v>0</v>
      </c>
      <c r="K292" s="107"/>
    </row>
    <row r="293" spans="3:14" x14ac:dyDescent="0.3">
      <c r="C293" s="255"/>
      <c r="E293" s="253" t="s">
        <v>146</v>
      </c>
      <c r="F293" s="250">
        <v>0</v>
      </c>
      <c r="G293" s="250">
        <v>0</v>
      </c>
      <c r="H293" s="251">
        <v>0</v>
      </c>
      <c r="I293" s="251">
        <v>0</v>
      </c>
      <c r="J293" s="251">
        <v>0</v>
      </c>
      <c r="K293" s="107"/>
    </row>
    <row r="294" spans="3:14" x14ac:dyDescent="0.3">
      <c r="C294" s="255"/>
      <c r="E294" s="253" t="s">
        <v>147</v>
      </c>
      <c r="F294" s="250">
        <v>0</v>
      </c>
      <c r="G294" s="250">
        <v>0</v>
      </c>
      <c r="H294" s="251">
        <v>1</v>
      </c>
      <c r="I294" s="251">
        <v>0</v>
      </c>
      <c r="J294" s="251">
        <v>0</v>
      </c>
      <c r="K294" s="107"/>
    </row>
    <row r="295" spans="3:14" x14ac:dyDescent="0.3">
      <c r="C295" s="255"/>
      <c r="E295" s="37"/>
      <c r="F295" s="296"/>
      <c r="G295" s="291"/>
    </row>
    <row r="296" spans="3:14" x14ac:dyDescent="0.3">
      <c r="C296" s="255"/>
    </row>
    <row r="297" spans="3:14" x14ac:dyDescent="0.3">
      <c r="C297" s="255">
        <v>13</v>
      </c>
      <c r="D297" s="4" t="s">
        <v>148</v>
      </c>
    </row>
    <row r="298" spans="3:14" ht="33" x14ac:dyDescent="0.3">
      <c r="C298" s="255"/>
      <c r="E298" s="247" t="s">
        <v>149</v>
      </c>
      <c r="F298" s="329">
        <v>2014</v>
      </c>
      <c r="G298" s="247">
        <f>F298+1</f>
        <v>2015</v>
      </c>
      <c r="H298" s="247">
        <f>G298+1</f>
        <v>2016</v>
      </c>
      <c r="I298" s="247">
        <f>H298+1</f>
        <v>2017</v>
      </c>
      <c r="J298" s="247">
        <f>I298+1</f>
        <v>2018</v>
      </c>
      <c r="K298" s="247" t="s">
        <v>3675</v>
      </c>
    </row>
    <row r="299" spans="3:14" x14ac:dyDescent="0.3">
      <c r="C299" s="255"/>
      <c r="E299" s="36" t="s">
        <v>54</v>
      </c>
      <c r="F299" s="268">
        <v>0</v>
      </c>
      <c r="G299" s="268">
        <v>0</v>
      </c>
      <c r="H299" s="268">
        <v>0</v>
      </c>
      <c r="I299" s="268">
        <v>0</v>
      </c>
      <c r="J299" s="268">
        <v>0</v>
      </c>
      <c r="K299" s="4020">
        <v>0</v>
      </c>
      <c r="N299" s="107"/>
    </row>
    <row r="300" spans="3:14" x14ac:dyDescent="0.3">
      <c r="C300" s="255"/>
      <c r="E300" s="36" t="s">
        <v>140</v>
      </c>
      <c r="F300" s="268">
        <v>0</v>
      </c>
      <c r="G300" s="268">
        <v>0</v>
      </c>
      <c r="H300" s="268">
        <v>0</v>
      </c>
      <c r="I300" s="268">
        <v>0</v>
      </c>
      <c r="J300" s="268">
        <v>0</v>
      </c>
      <c r="K300" s="4021"/>
      <c r="N300" s="107"/>
    </row>
    <row r="301" spans="3:14" x14ac:dyDescent="0.3">
      <c r="C301" s="255"/>
      <c r="E301" s="36" t="s">
        <v>141</v>
      </c>
      <c r="F301" s="268">
        <v>0</v>
      </c>
      <c r="G301" s="268">
        <v>0</v>
      </c>
      <c r="H301" s="268">
        <v>0</v>
      </c>
      <c r="I301" s="268">
        <v>0</v>
      </c>
      <c r="J301" s="268">
        <v>0</v>
      </c>
      <c r="K301" s="4021"/>
      <c r="N301" s="107"/>
    </row>
    <row r="302" spans="3:14" x14ac:dyDescent="0.3">
      <c r="C302" s="255"/>
      <c r="E302" s="36" t="s">
        <v>76</v>
      </c>
      <c r="F302" s="268">
        <v>0</v>
      </c>
      <c r="G302" s="268">
        <v>0</v>
      </c>
      <c r="H302" s="268">
        <v>0</v>
      </c>
      <c r="I302" s="268">
        <v>0</v>
      </c>
      <c r="J302" s="268">
        <v>0</v>
      </c>
      <c r="K302" s="4022"/>
      <c r="N302" s="107"/>
    </row>
    <row r="303" spans="3:14" x14ac:dyDescent="0.3">
      <c r="C303" s="255"/>
      <c r="E303" s="39" t="s">
        <v>150</v>
      </c>
      <c r="F303" s="268">
        <f>SUM(F299:F302)</f>
        <v>0</v>
      </c>
      <c r="G303" s="268">
        <f>SUM(G299:G302)</f>
        <v>0</v>
      </c>
      <c r="H303" s="268">
        <f>SUM(H299:H302)</f>
        <v>0</v>
      </c>
      <c r="I303" s="268">
        <f>SUM(I299:I302)</f>
        <v>0</v>
      </c>
      <c r="J303" s="251">
        <f>SUM(J299:J302)</f>
        <v>0</v>
      </c>
      <c r="K303" s="268"/>
      <c r="N303" s="107"/>
    </row>
    <row r="304" spans="3:14" x14ac:dyDescent="0.3">
      <c r="C304" s="255"/>
    </row>
    <row r="305" spans="3:11" x14ac:dyDescent="0.3">
      <c r="C305" s="255"/>
    </row>
    <row r="306" spans="3:11" x14ac:dyDescent="0.3">
      <c r="C306" s="255">
        <v>14</v>
      </c>
      <c r="D306" s="4" t="s">
        <v>151</v>
      </c>
      <c r="F306" s="344" t="s">
        <v>338</v>
      </c>
      <c r="G306" s="296"/>
      <c r="H306" s="291"/>
    </row>
    <row r="307" spans="3:11" x14ac:dyDescent="0.3">
      <c r="C307" s="255"/>
      <c r="E307" s="247" t="s">
        <v>152</v>
      </c>
      <c r="F307" s="329">
        <v>2018</v>
      </c>
      <c r="G307" s="296"/>
      <c r="H307" s="297"/>
    </row>
    <row r="308" spans="3:11" x14ac:dyDescent="0.3">
      <c r="C308" s="255"/>
      <c r="E308" s="36" t="s">
        <v>153</v>
      </c>
      <c r="F308" s="298">
        <v>0</v>
      </c>
      <c r="G308" s="296"/>
      <c r="H308" s="291"/>
      <c r="I308" s="107"/>
    </row>
    <row r="309" spans="3:11" x14ac:dyDescent="0.3">
      <c r="C309" s="255"/>
      <c r="E309" s="36" t="s">
        <v>154</v>
      </c>
      <c r="F309" s="298">
        <v>0</v>
      </c>
      <c r="G309" s="296"/>
      <c r="H309" s="291"/>
      <c r="I309" s="107"/>
    </row>
    <row r="310" spans="3:11" x14ac:dyDescent="0.3">
      <c r="C310" s="255"/>
      <c r="E310" s="36" t="s">
        <v>155</v>
      </c>
      <c r="F310" s="298">
        <v>0</v>
      </c>
      <c r="G310" s="140" t="e">
        <f>(F310+F311)/F312</f>
        <v>#DIV/0!</v>
      </c>
      <c r="H310" s="291"/>
      <c r="I310" s="107"/>
    </row>
    <row r="311" spans="3:11" x14ac:dyDescent="0.3">
      <c r="C311" s="255"/>
      <c r="E311" s="36" t="s">
        <v>156</v>
      </c>
      <c r="F311" s="298">
        <v>0</v>
      </c>
      <c r="G311" s="140" t="e">
        <f>(F308+F309)/J303</f>
        <v>#DIV/0!</v>
      </c>
      <c r="H311" s="1489" t="e">
        <f>J303/F312</f>
        <v>#DIV/0!</v>
      </c>
      <c r="I311" s="107"/>
    </row>
    <row r="312" spans="3:11" x14ac:dyDescent="0.3">
      <c r="C312" s="255"/>
      <c r="E312" s="39" t="s">
        <v>0</v>
      </c>
      <c r="F312" s="334">
        <f>SUM(F308+F309+F310+F311)</f>
        <v>0</v>
      </c>
      <c r="G312" s="296"/>
      <c r="H312" s="291"/>
    </row>
    <row r="313" spans="3:11" x14ac:dyDescent="0.3">
      <c r="C313" s="255"/>
      <c r="E313" s="299"/>
      <c r="F313" s="59"/>
      <c r="G313" s="296"/>
      <c r="H313" s="291"/>
    </row>
    <row r="314" spans="3:11" ht="12" customHeight="1" x14ac:dyDescent="0.3">
      <c r="C314" s="255"/>
      <c r="E314" s="37"/>
      <c r="F314" s="293"/>
      <c r="G314" s="296"/>
      <c r="H314" s="291"/>
    </row>
    <row r="315" spans="3:11" x14ac:dyDescent="0.3">
      <c r="C315" s="255">
        <v>15</v>
      </c>
      <c r="D315" s="4" t="s">
        <v>157</v>
      </c>
      <c r="F315" s="340"/>
    </row>
    <row r="316" spans="3:11" x14ac:dyDescent="0.3">
      <c r="C316" s="255"/>
      <c r="E316" s="247" t="s">
        <v>158</v>
      </c>
      <c r="F316" s="329">
        <v>2013</v>
      </c>
      <c r="G316" s="247">
        <f>F316+1</f>
        <v>2014</v>
      </c>
      <c r="H316" s="247">
        <f>G316+1</f>
        <v>2015</v>
      </c>
      <c r="I316" s="247">
        <f>H316+1</f>
        <v>2016</v>
      </c>
      <c r="J316" s="247">
        <f>I316+1</f>
        <v>2017</v>
      </c>
      <c r="K316" s="247">
        <f>J316+1</f>
        <v>2018</v>
      </c>
    </row>
    <row r="317" spans="3:11" x14ac:dyDescent="0.3">
      <c r="C317" s="255"/>
      <c r="E317" s="7" t="s">
        <v>104</v>
      </c>
      <c r="F317" s="47"/>
      <c r="G317" s="44"/>
      <c r="H317" s="44"/>
      <c r="I317" s="44"/>
      <c r="J317" s="44"/>
      <c r="K317" s="44"/>
    </row>
    <row r="318" spans="3:11" x14ac:dyDescent="0.3">
      <c r="C318" s="255"/>
      <c r="E318" s="7" t="s">
        <v>105</v>
      </c>
      <c r="F318" s="47"/>
      <c r="G318" s="244"/>
      <c r="H318" s="244"/>
      <c r="I318" s="244"/>
      <c r="J318" s="244"/>
      <c r="K318" s="244"/>
    </row>
    <row r="319" spans="3:11" x14ac:dyDescent="0.3">
      <c r="C319" s="255"/>
      <c r="E319" s="7" t="s">
        <v>106</v>
      </c>
      <c r="F319" s="47"/>
      <c r="G319" s="244"/>
      <c r="H319" s="244"/>
      <c r="I319" s="244"/>
      <c r="J319" s="244"/>
      <c r="K319" s="244"/>
    </row>
    <row r="320" spans="3:11" x14ac:dyDescent="0.3">
      <c r="C320" s="255"/>
      <c r="E320" s="7" t="s">
        <v>107</v>
      </c>
      <c r="F320" s="47"/>
      <c r="G320" s="244"/>
      <c r="H320" s="244"/>
      <c r="I320" s="244"/>
      <c r="J320" s="244"/>
      <c r="K320" s="244"/>
    </row>
    <row r="321" spans="3:16" ht="12.6" customHeight="1" x14ac:dyDescent="0.3">
      <c r="C321" s="255"/>
      <c r="E321" s="7" t="s">
        <v>109</v>
      </c>
      <c r="F321" s="47"/>
      <c r="G321" s="244"/>
      <c r="H321" s="244"/>
      <c r="I321" s="244"/>
      <c r="J321" s="244"/>
      <c r="K321" s="244"/>
    </row>
    <row r="322" spans="3:16" hidden="1" x14ac:dyDescent="0.3">
      <c r="C322" s="255"/>
    </row>
    <row r="323" spans="3:16" x14ac:dyDescent="0.3">
      <c r="C323" s="255"/>
    </row>
    <row r="324" spans="3:16" x14ac:dyDescent="0.3">
      <c r="C324" s="255">
        <v>16</v>
      </c>
      <c r="D324" s="4" t="s">
        <v>159</v>
      </c>
    </row>
    <row r="325" spans="3:16" x14ac:dyDescent="0.3">
      <c r="C325" s="255"/>
      <c r="E325" s="22" t="s">
        <v>339</v>
      </c>
      <c r="J325" s="38"/>
    </row>
    <row r="326" spans="3:16" x14ac:dyDescent="0.3">
      <c r="C326" s="255"/>
      <c r="D326" s="4084">
        <v>2014</v>
      </c>
      <c r="E326" s="4084"/>
      <c r="F326" s="4084"/>
      <c r="G326" s="4084"/>
      <c r="H326" s="4084"/>
      <c r="J326" s="4084">
        <v>2015</v>
      </c>
      <c r="K326" s="4084"/>
      <c r="L326" s="4084"/>
      <c r="M326" s="4084"/>
      <c r="N326" s="4084"/>
      <c r="O326" s="4084"/>
      <c r="P326" s="4084"/>
    </row>
    <row r="327" spans="3:16" ht="28.5" customHeight="1" x14ac:dyDescent="0.3">
      <c r="C327" s="255"/>
      <c r="D327" s="247"/>
      <c r="E327" s="247" t="s">
        <v>160</v>
      </c>
      <c r="F327" s="329" t="s">
        <v>161</v>
      </c>
      <c r="G327" s="247" t="s">
        <v>162</v>
      </c>
      <c r="H327" s="247" t="s">
        <v>163</v>
      </c>
      <c r="J327" s="247"/>
      <c r="K327" s="4031" t="s">
        <v>160</v>
      </c>
      <c r="L327" s="4032"/>
      <c r="M327" s="4033"/>
      <c r="N327" s="247" t="s">
        <v>161</v>
      </c>
      <c r="O327" s="247" t="s">
        <v>162</v>
      </c>
      <c r="P327" s="247" t="s">
        <v>163</v>
      </c>
    </row>
    <row r="328" spans="3:16" ht="33" customHeight="1" x14ac:dyDescent="0.3">
      <c r="C328" s="255"/>
      <c r="D328" s="60">
        <v>1</v>
      </c>
      <c r="E328" s="316" t="s">
        <v>1134</v>
      </c>
      <c r="F328" s="60" t="s">
        <v>337</v>
      </c>
      <c r="G328" s="60">
        <v>0</v>
      </c>
      <c r="H328" s="300" t="e">
        <f>G328/$G$338</f>
        <v>#DIV/0!</v>
      </c>
      <c r="J328" s="60">
        <v>1</v>
      </c>
      <c r="K328" s="4065" t="s">
        <v>1134</v>
      </c>
      <c r="L328" s="4066"/>
      <c r="M328" s="4067"/>
      <c r="N328" s="327" t="s">
        <v>337</v>
      </c>
      <c r="O328" s="249">
        <v>0</v>
      </c>
      <c r="P328" s="300" t="e">
        <f>O328/$O$338</f>
        <v>#DIV/0!</v>
      </c>
    </row>
    <row r="329" spans="3:16" ht="16.899999999999999" customHeight="1" x14ac:dyDescent="0.3">
      <c r="C329" s="255"/>
      <c r="D329" s="60">
        <v>2</v>
      </c>
      <c r="E329" s="330" t="s">
        <v>1129</v>
      </c>
      <c r="F329" s="60" t="s">
        <v>929</v>
      </c>
      <c r="G329" s="60">
        <v>0</v>
      </c>
      <c r="H329" s="300" t="e">
        <f t="shared" ref="H329:H338" si="6">G329/$G$338</f>
        <v>#DIV/0!</v>
      </c>
      <c r="J329" s="60">
        <v>2</v>
      </c>
      <c r="K329" s="4042" t="s">
        <v>3626</v>
      </c>
      <c r="L329" s="4043"/>
      <c r="M329" s="4044"/>
      <c r="N329" s="60" t="s">
        <v>3627</v>
      </c>
      <c r="O329" s="249">
        <v>0</v>
      </c>
      <c r="P329" s="300" t="e">
        <f t="shared" ref="P329:P337" si="7">O329/$O$338</f>
        <v>#DIV/0!</v>
      </c>
    </row>
    <row r="330" spans="3:16" x14ac:dyDescent="0.3">
      <c r="C330" s="255"/>
      <c r="D330" s="60">
        <v>3</v>
      </c>
      <c r="E330" s="330" t="s">
        <v>3564</v>
      </c>
      <c r="F330" s="60" t="s">
        <v>1140</v>
      </c>
      <c r="G330" s="60">
        <v>0</v>
      </c>
      <c r="H330" s="300" t="e">
        <f t="shared" si="6"/>
        <v>#DIV/0!</v>
      </c>
      <c r="J330" s="60">
        <v>3</v>
      </c>
      <c r="K330" s="4048" t="s">
        <v>3622</v>
      </c>
      <c r="L330" s="4064"/>
      <c r="M330" s="4049"/>
      <c r="N330" s="60" t="s">
        <v>3623</v>
      </c>
      <c r="O330" s="249">
        <v>0</v>
      </c>
      <c r="P330" s="300" t="e">
        <f t="shared" si="7"/>
        <v>#DIV/0!</v>
      </c>
    </row>
    <row r="331" spans="3:16" x14ac:dyDescent="0.3">
      <c r="C331" s="255"/>
      <c r="D331" s="60">
        <v>4</v>
      </c>
      <c r="E331" s="330" t="s">
        <v>3619</v>
      </c>
      <c r="F331" s="60" t="s">
        <v>939</v>
      </c>
      <c r="G331" s="60">
        <v>0</v>
      </c>
      <c r="H331" s="300" t="e">
        <f t="shared" si="6"/>
        <v>#DIV/0!</v>
      </c>
      <c r="J331" s="60">
        <v>4</v>
      </c>
      <c r="K331" s="4048" t="s">
        <v>3620</v>
      </c>
      <c r="L331" s="4064"/>
      <c r="M331" s="4049"/>
      <c r="N331" s="60" t="s">
        <v>3621</v>
      </c>
      <c r="O331" s="249">
        <v>0</v>
      </c>
      <c r="P331" s="300" t="e">
        <f t="shared" si="7"/>
        <v>#DIV/0!</v>
      </c>
    </row>
    <row r="332" spans="3:16" x14ac:dyDescent="0.3">
      <c r="C332" s="255"/>
      <c r="D332" s="60">
        <v>5</v>
      </c>
      <c r="E332" s="330" t="s">
        <v>3620</v>
      </c>
      <c r="F332" s="60" t="s">
        <v>3621</v>
      </c>
      <c r="G332" s="60">
        <v>0</v>
      </c>
      <c r="H332" s="300" t="e">
        <f t="shared" si="6"/>
        <v>#DIV/0!</v>
      </c>
      <c r="J332" s="60">
        <v>5</v>
      </c>
      <c r="K332" s="4048" t="s">
        <v>3616</v>
      </c>
      <c r="L332" s="4064"/>
      <c r="M332" s="4049"/>
      <c r="N332" s="60" t="s">
        <v>3617</v>
      </c>
      <c r="O332" s="249">
        <v>0</v>
      </c>
      <c r="P332" s="300" t="e">
        <f t="shared" si="7"/>
        <v>#DIV/0!</v>
      </c>
    </row>
    <row r="333" spans="3:16" x14ac:dyDescent="0.3">
      <c r="C333" s="255"/>
      <c r="D333" s="60">
        <v>6</v>
      </c>
      <c r="E333" s="330" t="s">
        <v>3616</v>
      </c>
      <c r="F333" s="60" t="s">
        <v>3617</v>
      </c>
      <c r="G333" s="60">
        <v>0</v>
      </c>
      <c r="H333" s="300" t="e">
        <f t="shared" si="6"/>
        <v>#DIV/0!</v>
      </c>
      <c r="J333" s="60">
        <v>6</v>
      </c>
      <c r="K333" s="4048" t="s">
        <v>1150</v>
      </c>
      <c r="L333" s="4064"/>
      <c r="M333" s="4049"/>
      <c r="N333" s="336" t="s">
        <v>1146</v>
      </c>
      <c r="O333" s="249">
        <v>0</v>
      </c>
      <c r="P333" s="300" t="e">
        <f t="shared" si="7"/>
        <v>#DIV/0!</v>
      </c>
    </row>
    <row r="334" spans="3:16" x14ac:dyDescent="0.3">
      <c r="C334" s="255"/>
      <c r="D334" s="60">
        <v>7</v>
      </c>
      <c r="E334" s="330" t="s">
        <v>3622</v>
      </c>
      <c r="F334" s="60" t="s">
        <v>3623</v>
      </c>
      <c r="G334" s="60">
        <v>0</v>
      </c>
      <c r="H334" s="300" t="e">
        <f t="shared" si="6"/>
        <v>#DIV/0!</v>
      </c>
      <c r="J334" s="60">
        <v>7</v>
      </c>
      <c r="K334" s="4048" t="s">
        <v>599</v>
      </c>
      <c r="L334" s="4064"/>
      <c r="M334" s="4049"/>
      <c r="N334" s="336" t="s">
        <v>3628</v>
      </c>
      <c r="O334" s="249">
        <v>0</v>
      </c>
      <c r="P334" s="300" t="e">
        <f t="shared" si="7"/>
        <v>#DIV/0!</v>
      </c>
    </row>
    <row r="335" spans="3:16" ht="16.5" customHeight="1" x14ac:dyDescent="0.3">
      <c r="C335" s="255"/>
      <c r="D335" s="60">
        <v>8</v>
      </c>
      <c r="E335" s="330" t="s">
        <v>3624</v>
      </c>
      <c r="F335" s="60" t="s">
        <v>3625</v>
      </c>
      <c r="G335" s="60">
        <v>0</v>
      </c>
      <c r="H335" s="300" t="e">
        <f t="shared" si="6"/>
        <v>#DIV/0!</v>
      </c>
      <c r="J335" s="60">
        <v>8</v>
      </c>
      <c r="K335" s="4042" t="s">
        <v>3565</v>
      </c>
      <c r="L335" s="4043"/>
      <c r="M335" s="4044"/>
      <c r="N335" s="336" t="s">
        <v>971</v>
      </c>
      <c r="O335" s="249">
        <v>0</v>
      </c>
      <c r="P335" s="300" t="e">
        <f t="shared" si="7"/>
        <v>#DIV/0!</v>
      </c>
    </row>
    <row r="336" spans="3:16" x14ac:dyDescent="0.3">
      <c r="C336" s="255"/>
      <c r="D336" s="60">
        <v>9</v>
      </c>
      <c r="E336" s="330" t="s">
        <v>3626</v>
      </c>
      <c r="F336" s="60" t="s">
        <v>3627</v>
      </c>
      <c r="G336" s="60">
        <v>0</v>
      </c>
      <c r="H336" s="300" t="e">
        <f>G336/$G$338</f>
        <v>#DIV/0!</v>
      </c>
      <c r="J336" s="60">
        <v>9</v>
      </c>
      <c r="K336" s="4048" t="s">
        <v>3624</v>
      </c>
      <c r="L336" s="4064"/>
      <c r="M336" s="4049"/>
      <c r="N336" s="60" t="s">
        <v>3625</v>
      </c>
      <c r="O336" s="249">
        <v>0</v>
      </c>
      <c r="P336" s="300" t="e">
        <f t="shared" si="7"/>
        <v>#DIV/0!</v>
      </c>
    </row>
    <row r="337" spans="3:16" x14ac:dyDescent="0.3">
      <c r="C337" s="255"/>
      <c r="D337" s="60">
        <v>10</v>
      </c>
      <c r="E337" s="330" t="s">
        <v>543</v>
      </c>
      <c r="F337" s="60"/>
      <c r="G337" s="60">
        <v>0</v>
      </c>
      <c r="H337" s="300" t="e">
        <f t="shared" si="6"/>
        <v>#DIV/0!</v>
      </c>
      <c r="J337" s="60">
        <v>10</v>
      </c>
      <c r="K337" s="4048" t="s">
        <v>543</v>
      </c>
      <c r="L337" s="4064"/>
      <c r="M337" s="4049"/>
      <c r="N337" s="50"/>
      <c r="O337" s="249">
        <v>0</v>
      </c>
      <c r="P337" s="300" t="e">
        <f t="shared" si="7"/>
        <v>#DIV/0!</v>
      </c>
    </row>
    <row r="338" spans="3:16" x14ac:dyDescent="0.3">
      <c r="C338" s="255"/>
      <c r="D338" s="4061" t="s">
        <v>0</v>
      </c>
      <c r="E338" s="4063"/>
      <c r="F338" s="333"/>
      <c r="G338" s="71">
        <f>SUM(G328:G337)</f>
        <v>0</v>
      </c>
      <c r="H338" s="72" t="e">
        <f t="shared" si="6"/>
        <v>#DIV/0!</v>
      </c>
      <c r="J338" s="4061" t="s">
        <v>0</v>
      </c>
      <c r="K338" s="4062"/>
      <c r="L338" s="4062"/>
      <c r="M338" s="4063"/>
      <c r="N338" s="301"/>
      <c r="O338" s="71">
        <f>SUM(O328:O337)</f>
        <v>0</v>
      </c>
      <c r="P338" s="300" t="e">
        <f>O338/$O$338</f>
        <v>#DIV/0!</v>
      </c>
    </row>
    <row r="339" spans="3:16" x14ac:dyDescent="0.3">
      <c r="C339" s="255"/>
      <c r="D339" s="59"/>
      <c r="E339" s="59"/>
      <c r="F339" s="59"/>
      <c r="G339" s="293"/>
      <c r="H339" s="293"/>
      <c r="J339" s="59"/>
      <c r="K339" s="59"/>
      <c r="L339" s="59"/>
      <c r="M339" s="59"/>
      <c r="N339" s="302"/>
      <c r="O339" s="59"/>
      <c r="P339" s="303"/>
    </row>
    <row r="340" spans="3:16" x14ac:dyDescent="0.3">
      <c r="C340" s="255"/>
      <c r="D340" s="4084">
        <v>2016</v>
      </c>
      <c r="E340" s="4084"/>
      <c r="F340" s="4084"/>
      <c r="G340" s="4084"/>
      <c r="H340" s="4084"/>
      <c r="J340" s="4084">
        <v>2017</v>
      </c>
      <c r="K340" s="4084"/>
      <c r="L340" s="4084"/>
      <c r="M340" s="4084"/>
      <c r="N340" s="4084"/>
      <c r="O340" s="4084"/>
      <c r="P340" s="4084"/>
    </row>
    <row r="341" spans="3:16" ht="55.15" customHeight="1" x14ac:dyDescent="0.3">
      <c r="C341" s="255"/>
      <c r="D341" s="247"/>
      <c r="E341" s="247" t="s">
        <v>160</v>
      </c>
      <c r="F341" s="329" t="s">
        <v>161</v>
      </c>
      <c r="G341" s="247" t="s">
        <v>162</v>
      </c>
      <c r="H341" s="247" t="s">
        <v>163</v>
      </c>
      <c r="J341" s="247"/>
      <c r="K341" s="4028" t="s">
        <v>160</v>
      </c>
      <c r="L341" s="4029"/>
      <c r="M341" s="4030"/>
      <c r="N341" s="247" t="s">
        <v>161</v>
      </c>
      <c r="O341" s="247" t="s">
        <v>162</v>
      </c>
      <c r="P341" s="247" t="s">
        <v>163</v>
      </c>
    </row>
    <row r="342" spans="3:16" ht="32.25" customHeight="1" x14ac:dyDescent="0.3">
      <c r="C342" s="255"/>
      <c r="D342" s="60">
        <v>1</v>
      </c>
      <c r="E342" s="316" t="s">
        <v>1134</v>
      </c>
      <c r="F342" s="336" t="s">
        <v>337</v>
      </c>
      <c r="G342" s="60">
        <v>0</v>
      </c>
      <c r="H342" s="300" t="e">
        <f>G342/$G$352</f>
        <v>#DIV/0!</v>
      </c>
      <c r="J342" s="60">
        <v>1</v>
      </c>
      <c r="K342" s="4042" t="s">
        <v>1134</v>
      </c>
      <c r="L342" s="4043"/>
      <c r="M342" s="4044"/>
      <c r="N342" s="249" t="s">
        <v>337</v>
      </c>
      <c r="O342" s="249">
        <v>0</v>
      </c>
      <c r="P342" s="300" t="e">
        <f t="shared" ref="P342:P350" si="8">O342/$O$352</f>
        <v>#DIV/0!</v>
      </c>
    </row>
    <row r="343" spans="3:16" x14ac:dyDescent="0.3">
      <c r="C343" s="255"/>
      <c r="D343" s="60">
        <v>2</v>
      </c>
      <c r="E343" s="50" t="s">
        <v>336</v>
      </c>
      <c r="F343" s="336" t="s">
        <v>335</v>
      </c>
      <c r="G343" s="60">
        <v>0</v>
      </c>
      <c r="H343" s="300" t="e">
        <f t="shared" ref="H343:H351" si="9">G343/$G$352</f>
        <v>#DIV/0!</v>
      </c>
      <c r="J343" s="60">
        <v>2</v>
      </c>
      <c r="K343" s="4042" t="s">
        <v>3571</v>
      </c>
      <c r="L343" s="4043"/>
      <c r="M343" s="4044"/>
      <c r="N343" s="305" t="s">
        <v>3572</v>
      </c>
      <c r="O343" s="249">
        <v>0</v>
      </c>
      <c r="P343" s="300" t="e">
        <f t="shared" si="8"/>
        <v>#DIV/0!</v>
      </c>
    </row>
    <row r="344" spans="3:16" x14ac:dyDescent="0.3">
      <c r="C344" s="255"/>
      <c r="D344" s="60">
        <v>3</v>
      </c>
      <c r="E344" s="50" t="s">
        <v>1129</v>
      </c>
      <c r="F344" s="336" t="s">
        <v>929</v>
      </c>
      <c r="G344" s="60">
        <v>0</v>
      </c>
      <c r="H344" s="300" t="e">
        <f t="shared" si="9"/>
        <v>#DIV/0!</v>
      </c>
      <c r="J344" s="60">
        <v>3</v>
      </c>
      <c r="K344" s="4042" t="s">
        <v>1132</v>
      </c>
      <c r="L344" s="4043"/>
      <c r="M344" s="4044"/>
      <c r="N344" s="5" t="s">
        <v>949</v>
      </c>
      <c r="O344" s="249">
        <v>0</v>
      </c>
      <c r="P344" s="300" t="e">
        <f t="shared" si="8"/>
        <v>#DIV/0!</v>
      </c>
    </row>
    <row r="345" spans="3:16" x14ac:dyDescent="0.3">
      <c r="C345" s="255"/>
      <c r="D345" s="60">
        <v>4</v>
      </c>
      <c r="E345" s="50" t="s">
        <v>3564</v>
      </c>
      <c r="F345" s="336" t="s">
        <v>1140</v>
      </c>
      <c r="G345" s="60">
        <v>0</v>
      </c>
      <c r="H345" s="300" t="e">
        <f t="shared" si="9"/>
        <v>#DIV/0!</v>
      </c>
      <c r="J345" s="60">
        <v>4</v>
      </c>
      <c r="K345" s="4042" t="s">
        <v>1139</v>
      </c>
      <c r="L345" s="4043"/>
      <c r="M345" s="4044"/>
      <c r="N345" s="249" t="s">
        <v>1130</v>
      </c>
      <c r="O345" s="249">
        <v>0</v>
      </c>
      <c r="P345" s="300" t="e">
        <f t="shared" si="8"/>
        <v>#DIV/0!</v>
      </c>
    </row>
    <row r="346" spans="3:16" ht="14.45" customHeight="1" x14ac:dyDescent="0.3">
      <c r="C346" s="255"/>
      <c r="D346" s="60">
        <v>5</v>
      </c>
      <c r="E346" s="50" t="s">
        <v>3565</v>
      </c>
      <c r="F346" s="336" t="s">
        <v>971</v>
      </c>
      <c r="G346" s="60">
        <v>0</v>
      </c>
      <c r="H346" s="300" t="e">
        <f t="shared" si="9"/>
        <v>#DIV/0!</v>
      </c>
      <c r="J346" s="60">
        <v>5</v>
      </c>
      <c r="K346" s="4042" t="s">
        <v>336</v>
      </c>
      <c r="L346" s="4043"/>
      <c r="M346" s="4044"/>
      <c r="N346" s="249" t="s">
        <v>335</v>
      </c>
      <c r="O346" s="249">
        <v>0</v>
      </c>
      <c r="P346" s="300" t="e">
        <f t="shared" si="8"/>
        <v>#DIV/0!</v>
      </c>
    </row>
    <row r="347" spans="3:16" ht="14.45" customHeight="1" x14ac:dyDescent="0.3">
      <c r="C347" s="255"/>
      <c r="D347" s="60">
        <v>6</v>
      </c>
      <c r="E347" s="50" t="s">
        <v>1132</v>
      </c>
      <c r="F347" s="5" t="s">
        <v>949</v>
      </c>
      <c r="G347" s="5">
        <v>0</v>
      </c>
      <c r="H347" s="300" t="e">
        <f t="shared" si="9"/>
        <v>#DIV/0!</v>
      </c>
      <c r="J347" s="60">
        <v>6</v>
      </c>
      <c r="K347" s="4042" t="s">
        <v>1150</v>
      </c>
      <c r="L347" s="4043"/>
      <c r="M347" s="4044"/>
      <c r="N347" s="249" t="s">
        <v>1146</v>
      </c>
      <c r="O347" s="249">
        <v>0</v>
      </c>
      <c r="P347" s="300" t="e">
        <f t="shared" si="8"/>
        <v>#DIV/0!</v>
      </c>
    </row>
    <row r="348" spans="3:16" ht="14.45" customHeight="1" x14ac:dyDescent="0.3">
      <c r="C348" s="255"/>
      <c r="D348" s="60">
        <v>7</v>
      </c>
      <c r="E348" s="50" t="s">
        <v>1150</v>
      </c>
      <c r="F348" s="336" t="s">
        <v>1146</v>
      </c>
      <c r="G348" s="60">
        <v>0</v>
      </c>
      <c r="H348" s="300" t="e">
        <f t="shared" si="9"/>
        <v>#DIV/0!</v>
      </c>
      <c r="J348" s="60">
        <v>7</v>
      </c>
      <c r="K348" s="4042" t="s">
        <v>3567</v>
      </c>
      <c r="L348" s="4043"/>
      <c r="M348" s="4044"/>
      <c r="N348" s="249" t="s">
        <v>3568</v>
      </c>
      <c r="O348" s="249">
        <v>0</v>
      </c>
      <c r="P348" s="300" t="e">
        <f t="shared" si="8"/>
        <v>#DIV/0!</v>
      </c>
    </row>
    <row r="349" spans="3:16" x14ac:dyDescent="0.3">
      <c r="C349" s="255"/>
      <c r="D349" s="60">
        <v>8</v>
      </c>
      <c r="E349" s="50" t="s">
        <v>3563</v>
      </c>
      <c r="F349" s="336" t="s">
        <v>3566</v>
      </c>
      <c r="G349" s="60">
        <v>0</v>
      </c>
      <c r="H349" s="300" t="e">
        <f t="shared" si="9"/>
        <v>#DIV/0!</v>
      </c>
      <c r="J349" s="60">
        <v>8</v>
      </c>
      <c r="K349" s="4042" t="s">
        <v>3569</v>
      </c>
      <c r="L349" s="4043"/>
      <c r="M349" s="4044"/>
      <c r="N349" s="249" t="s">
        <v>3570</v>
      </c>
      <c r="O349" s="249">
        <v>0</v>
      </c>
      <c r="P349" s="300" t="e">
        <f t="shared" si="8"/>
        <v>#DIV/0!</v>
      </c>
    </row>
    <row r="350" spans="3:16" x14ac:dyDescent="0.3">
      <c r="C350" s="255"/>
      <c r="D350" s="60">
        <v>9</v>
      </c>
      <c r="E350" s="50" t="s">
        <v>1137</v>
      </c>
      <c r="F350" s="5" t="s">
        <v>1136</v>
      </c>
      <c r="G350" s="5">
        <v>0</v>
      </c>
      <c r="H350" s="300" t="e">
        <f t="shared" si="9"/>
        <v>#DIV/0!</v>
      </c>
      <c r="J350" s="60">
        <v>9</v>
      </c>
      <c r="K350" s="4042" t="s">
        <v>3565</v>
      </c>
      <c r="L350" s="4043"/>
      <c r="M350" s="4044"/>
      <c r="N350" s="249" t="s">
        <v>971</v>
      </c>
      <c r="O350" s="249">
        <v>0</v>
      </c>
      <c r="P350" s="300" t="e">
        <f t="shared" si="8"/>
        <v>#DIV/0!</v>
      </c>
    </row>
    <row r="351" spans="3:16" x14ac:dyDescent="0.3">
      <c r="C351" s="255"/>
      <c r="D351" s="60">
        <v>10</v>
      </c>
      <c r="E351" s="50" t="s">
        <v>543</v>
      </c>
      <c r="F351" s="336"/>
      <c r="G351" s="60">
        <v>0</v>
      </c>
      <c r="H351" s="300" t="e">
        <f t="shared" si="9"/>
        <v>#DIV/0!</v>
      </c>
      <c r="J351" s="60">
        <v>10</v>
      </c>
      <c r="K351" s="4042" t="s">
        <v>543</v>
      </c>
      <c r="L351" s="4043"/>
      <c r="M351" s="4044"/>
      <c r="N351" s="249"/>
      <c r="O351" s="249">
        <v>0</v>
      </c>
      <c r="P351" s="300" t="e">
        <f>O351/$O$352</f>
        <v>#DIV/0!</v>
      </c>
    </row>
    <row r="352" spans="3:16" ht="19.899999999999999" customHeight="1" x14ac:dyDescent="0.3">
      <c r="C352" s="306"/>
      <c r="D352" s="4061" t="s">
        <v>0</v>
      </c>
      <c r="E352" s="4063"/>
      <c r="F352" s="334"/>
      <c r="G352" s="71">
        <f>SUM(G342:G351)</f>
        <v>0</v>
      </c>
      <c r="H352" s="300" t="e">
        <f>G352/$G$352</f>
        <v>#DIV/0!</v>
      </c>
      <c r="J352" s="4061" t="s">
        <v>0</v>
      </c>
      <c r="K352" s="4062"/>
      <c r="L352" s="4062"/>
      <c r="M352" s="4063"/>
      <c r="N352" s="71"/>
      <c r="O352" s="71">
        <f>SUM(O342:O351)</f>
        <v>0</v>
      </c>
      <c r="P352" s="300" t="e">
        <f>O352/$O$352</f>
        <v>#DIV/0!</v>
      </c>
    </row>
    <row r="353" spans="3:16" ht="23.25" customHeight="1" x14ac:dyDescent="0.3">
      <c r="C353" s="306"/>
      <c r="D353" s="59"/>
      <c r="E353" s="59"/>
      <c r="F353" s="59"/>
      <c r="G353" s="59"/>
      <c r="H353" s="303"/>
      <c r="J353" s="59"/>
      <c r="K353" s="59"/>
      <c r="L353" s="59"/>
      <c r="M353" s="59"/>
      <c r="N353" s="302"/>
      <c r="O353" s="59"/>
      <c r="P353" s="303"/>
    </row>
    <row r="354" spans="3:16" x14ac:dyDescent="0.3">
      <c r="C354" s="306"/>
      <c r="D354" s="4084">
        <v>2018</v>
      </c>
      <c r="E354" s="4084"/>
      <c r="F354" s="4084"/>
      <c r="G354" s="4084"/>
      <c r="H354" s="4084"/>
    </row>
    <row r="355" spans="3:16" x14ac:dyDescent="0.3">
      <c r="C355" s="255"/>
      <c r="D355" s="247"/>
      <c r="E355" s="247" t="s">
        <v>160</v>
      </c>
      <c r="F355" s="329" t="s">
        <v>161</v>
      </c>
      <c r="G355" s="247" t="s">
        <v>162</v>
      </c>
      <c r="H355" s="247" t="s">
        <v>163</v>
      </c>
    </row>
    <row r="356" spans="3:16" x14ac:dyDescent="0.3">
      <c r="C356" s="255"/>
      <c r="D356" s="332">
        <v>1</v>
      </c>
      <c r="E356" s="346" t="s">
        <v>598</v>
      </c>
      <c r="F356" s="332" t="s">
        <v>337</v>
      </c>
      <c r="G356" s="332">
        <v>0</v>
      </c>
      <c r="H356" s="300" t="e">
        <f>G356/$G$366</f>
        <v>#DIV/0!</v>
      </c>
    </row>
    <row r="357" spans="3:16" x14ac:dyDescent="0.3">
      <c r="C357" s="255"/>
      <c r="D357" s="332">
        <v>2</v>
      </c>
      <c r="E357" s="346" t="s">
        <v>336</v>
      </c>
      <c r="F357" s="332" t="s">
        <v>335</v>
      </c>
      <c r="G357" s="332">
        <v>0</v>
      </c>
      <c r="H357" s="300" t="e">
        <f t="shared" ref="H357:H366" si="10">G357/$G$366</f>
        <v>#DIV/0!</v>
      </c>
    </row>
    <row r="358" spans="3:16" x14ac:dyDescent="0.3">
      <c r="C358" s="255"/>
      <c r="D358" s="332">
        <v>3</v>
      </c>
      <c r="E358" s="346" t="s">
        <v>1129</v>
      </c>
      <c r="F358" s="332" t="s">
        <v>929</v>
      </c>
      <c r="G358" s="332">
        <v>0</v>
      </c>
      <c r="H358" s="300" t="e">
        <f t="shared" si="10"/>
        <v>#DIV/0!</v>
      </c>
    </row>
    <row r="359" spans="3:16" x14ac:dyDescent="0.3">
      <c r="C359" s="255"/>
      <c r="D359" s="332">
        <v>4</v>
      </c>
      <c r="E359" s="346" t="s">
        <v>1159</v>
      </c>
      <c r="F359" s="332" t="s">
        <v>963</v>
      </c>
      <c r="G359" s="332">
        <v>0</v>
      </c>
      <c r="H359" s="300" t="e">
        <f t="shared" si="10"/>
        <v>#DIV/0!</v>
      </c>
    </row>
    <row r="360" spans="3:16" x14ac:dyDescent="0.3">
      <c r="C360" s="255"/>
      <c r="D360" s="332">
        <v>5</v>
      </c>
      <c r="E360" s="346" t="s">
        <v>3618</v>
      </c>
      <c r="F360" s="332" t="s">
        <v>960</v>
      </c>
      <c r="G360" s="332">
        <v>0</v>
      </c>
      <c r="H360" s="300" t="e">
        <f t="shared" si="10"/>
        <v>#DIV/0!</v>
      </c>
    </row>
    <row r="361" spans="3:16" ht="18.75" customHeight="1" x14ac:dyDescent="0.3">
      <c r="C361" s="255"/>
      <c r="D361" s="332">
        <v>6</v>
      </c>
      <c r="E361" s="346" t="s">
        <v>600</v>
      </c>
      <c r="F361" s="332" t="s">
        <v>3613</v>
      </c>
      <c r="G361" s="332">
        <v>0</v>
      </c>
      <c r="H361" s="300" t="e">
        <f t="shared" si="10"/>
        <v>#DIV/0!</v>
      </c>
    </row>
    <row r="362" spans="3:16" ht="18.75" customHeight="1" x14ac:dyDescent="0.3">
      <c r="C362" s="255"/>
      <c r="D362" s="332">
        <v>7</v>
      </c>
      <c r="E362" s="346" t="s">
        <v>3565</v>
      </c>
      <c r="F362" s="332" t="s">
        <v>971</v>
      </c>
      <c r="G362" s="332">
        <v>0</v>
      </c>
      <c r="H362" s="300" t="e">
        <f t="shared" si="10"/>
        <v>#DIV/0!</v>
      </c>
    </row>
    <row r="363" spans="3:16" ht="20.25" customHeight="1" x14ac:dyDescent="0.3">
      <c r="C363" s="255"/>
      <c r="D363" s="332">
        <v>8</v>
      </c>
      <c r="E363" s="346" t="s">
        <v>3614</v>
      </c>
      <c r="F363" s="332" t="s">
        <v>3615</v>
      </c>
      <c r="G363" s="332">
        <v>0</v>
      </c>
      <c r="H363" s="300" t="e">
        <f t="shared" si="10"/>
        <v>#DIV/0!</v>
      </c>
    </row>
    <row r="364" spans="3:16" ht="18" customHeight="1" x14ac:dyDescent="0.3">
      <c r="C364" s="255"/>
      <c r="D364" s="332">
        <v>9</v>
      </c>
      <c r="E364" s="346" t="s">
        <v>3616</v>
      </c>
      <c r="F364" s="332" t="s">
        <v>3617</v>
      </c>
      <c r="G364" s="332">
        <v>0</v>
      </c>
      <c r="H364" s="300" t="e">
        <f t="shared" si="10"/>
        <v>#DIV/0!</v>
      </c>
    </row>
    <row r="365" spans="3:16" x14ac:dyDescent="0.3">
      <c r="C365" s="255"/>
      <c r="D365" s="60">
        <v>10</v>
      </c>
      <c r="E365" s="346" t="s">
        <v>543</v>
      </c>
      <c r="F365" s="332"/>
      <c r="G365" s="307">
        <v>0</v>
      </c>
      <c r="H365" s="300" t="e">
        <f t="shared" si="10"/>
        <v>#DIV/0!</v>
      </c>
    </row>
    <row r="366" spans="3:16" x14ac:dyDescent="0.3">
      <c r="C366" s="255"/>
      <c r="D366" s="4061" t="s">
        <v>0</v>
      </c>
      <c r="E366" s="4062"/>
      <c r="F366" s="4063"/>
      <c r="G366" s="71">
        <f>SUM(G356:G365)</f>
        <v>0</v>
      </c>
      <c r="H366" s="300" t="e">
        <f t="shared" si="10"/>
        <v>#DIV/0!</v>
      </c>
    </row>
    <row r="367" spans="3:16" x14ac:dyDescent="0.3">
      <c r="C367" s="255"/>
    </row>
    <row r="368" spans="3:16" x14ac:dyDescent="0.3">
      <c r="C368" s="255"/>
    </row>
    <row r="369" spans="3:12" x14ac:dyDescent="0.3">
      <c r="C369" s="255">
        <v>17</v>
      </c>
      <c r="D369" s="4" t="s">
        <v>164</v>
      </c>
      <c r="F369" s="293"/>
      <c r="G369" s="296"/>
      <c r="H369" s="291"/>
    </row>
    <row r="370" spans="3:12" x14ac:dyDescent="0.3">
      <c r="C370" s="255"/>
      <c r="E370" s="247" t="s">
        <v>165</v>
      </c>
      <c r="F370" s="329">
        <v>2014</v>
      </c>
      <c r="G370" s="247">
        <f>F370+1</f>
        <v>2015</v>
      </c>
      <c r="H370" s="247">
        <f>G370+1</f>
        <v>2016</v>
      </c>
      <c r="I370" s="247">
        <f>H370+1</f>
        <v>2017</v>
      </c>
      <c r="J370" s="247">
        <f>I370+1</f>
        <v>2018</v>
      </c>
      <c r="L370" s="1488" t="e">
        <f>'5.1 Prod 2 MORBI ESTRAG'!BC305/'4 Estadis ESTRATEG Prod3'!J371</f>
        <v>#DIV/0!</v>
      </c>
    </row>
    <row r="371" spans="3:12" x14ac:dyDescent="0.3">
      <c r="C371" s="255"/>
      <c r="E371" s="36" t="s">
        <v>334</v>
      </c>
      <c r="F371" s="268">
        <v>0</v>
      </c>
      <c r="G371" s="268">
        <v>0</v>
      </c>
      <c r="H371" s="268">
        <v>0</v>
      </c>
      <c r="I371" s="268">
        <v>0</v>
      </c>
      <c r="J371" s="268">
        <v>0</v>
      </c>
    </row>
    <row r="372" spans="3:12" s="318" customFormat="1" x14ac:dyDescent="0.3">
      <c r="C372" s="317"/>
      <c r="E372" s="1390"/>
      <c r="F372" s="1391"/>
      <c r="G372" s="1392"/>
      <c r="H372" s="1393"/>
      <c r="I372" s="328"/>
      <c r="J372" s="328"/>
    </row>
    <row r="373" spans="3:12" x14ac:dyDescent="0.3">
      <c r="C373" s="255"/>
      <c r="E373" s="247" t="s">
        <v>165</v>
      </c>
      <c r="F373" s="329">
        <v>2014</v>
      </c>
      <c r="G373" s="247">
        <f>F373+1</f>
        <v>2015</v>
      </c>
      <c r="H373" s="247">
        <f>G373+1</f>
        <v>2016</v>
      </c>
      <c r="I373" s="247">
        <f>H373+1</f>
        <v>2017</v>
      </c>
      <c r="J373" s="247">
        <f>I373+1</f>
        <v>2018</v>
      </c>
      <c r="L373" s="133" t="s">
        <v>1908</v>
      </c>
    </row>
    <row r="374" spans="3:12" x14ac:dyDescent="0.3">
      <c r="C374" s="255"/>
      <c r="E374" s="36" t="s">
        <v>166</v>
      </c>
      <c r="F374" s="257">
        <v>0</v>
      </c>
      <c r="G374" s="257">
        <v>0</v>
      </c>
      <c r="H374" s="257">
        <v>0</v>
      </c>
      <c r="I374" s="257">
        <v>0</v>
      </c>
      <c r="J374" s="257">
        <v>0</v>
      </c>
      <c r="K374" s="138"/>
      <c r="L374" s="135" t="e">
        <f>J375/J376</f>
        <v>#DIV/0!</v>
      </c>
    </row>
    <row r="375" spans="3:12" x14ac:dyDescent="0.3">
      <c r="C375" s="255"/>
      <c r="E375" s="36" t="s">
        <v>167</v>
      </c>
      <c r="F375" s="257">
        <v>0</v>
      </c>
      <c r="G375" s="257">
        <v>0</v>
      </c>
      <c r="H375" s="257">
        <v>0</v>
      </c>
      <c r="I375" s="257">
        <v>0</v>
      </c>
      <c r="J375" s="257">
        <v>0</v>
      </c>
      <c r="K375" s="138"/>
      <c r="L375" s="101"/>
    </row>
    <row r="376" spans="3:12" x14ac:dyDescent="0.3">
      <c r="C376" s="255"/>
      <c r="E376" s="39" t="s">
        <v>150</v>
      </c>
      <c r="F376" s="24">
        <f>SUM(F374+F375)</f>
        <v>0</v>
      </c>
      <c r="G376" s="24">
        <f>SUM(G374+G375)</f>
        <v>0</v>
      </c>
      <c r="H376" s="24">
        <f>SUM(H374+H375)</f>
        <v>0</v>
      </c>
      <c r="I376" s="24">
        <f>SUM(I374+I375)</f>
        <v>0</v>
      </c>
      <c r="J376" s="24">
        <f>SUM(J374+J375)</f>
        <v>0</v>
      </c>
    </row>
    <row r="377" spans="3:12" x14ac:dyDescent="0.3">
      <c r="C377" s="255"/>
      <c r="E377" s="299"/>
      <c r="F377" s="296"/>
    </row>
    <row r="378" spans="3:12" x14ac:dyDescent="0.3">
      <c r="C378" s="255">
        <v>18</v>
      </c>
      <c r="D378" s="4" t="s">
        <v>57</v>
      </c>
    </row>
    <row r="379" spans="3:12" x14ac:dyDescent="0.3">
      <c r="C379" s="255"/>
      <c r="E379" s="247" t="s">
        <v>168</v>
      </c>
      <c r="F379" s="329">
        <v>2014</v>
      </c>
      <c r="G379" s="247">
        <f>F379+1</f>
        <v>2015</v>
      </c>
      <c r="H379" s="247">
        <f>G379+1</f>
        <v>2016</v>
      </c>
      <c r="I379" s="247">
        <f>H379+1</f>
        <v>2017</v>
      </c>
      <c r="J379" s="247">
        <f>I379+1</f>
        <v>2018</v>
      </c>
    </row>
    <row r="380" spans="3:12" x14ac:dyDescent="0.3">
      <c r="C380" s="255"/>
      <c r="E380" s="7" t="s">
        <v>77</v>
      </c>
      <c r="F380" s="336">
        <v>0</v>
      </c>
      <c r="G380" s="245">
        <v>0</v>
      </c>
      <c r="H380" s="245">
        <v>0</v>
      </c>
      <c r="I380" s="245">
        <v>0</v>
      </c>
      <c r="J380" s="245">
        <v>0</v>
      </c>
    </row>
    <row r="381" spans="3:12" x14ac:dyDescent="0.3">
      <c r="C381" s="255"/>
      <c r="E381" s="7" t="s">
        <v>169</v>
      </c>
      <c r="F381" s="336">
        <v>1</v>
      </c>
      <c r="G381" s="245">
        <v>10</v>
      </c>
      <c r="H381" s="245">
        <v>25</v>
      </c>
      <c r="I381" s="245">
        <v>0</v>
      </c>
      <c r="J381" s="245">
        <v>9</v>
      </c>
    </row>
    <row r="382" spans="3:12" x14ac:dyDescent="0.3">
      <c r="C382" s="255"/>
      <c r="E382" s="7" t="s">
        <v>170</v>
      </c>
      <c r="F382" s="336">
        <v>0</v>
      </c>
      <c r="G382" s="245">
        <v>0</v>
      </c>
      <c r="H382" s="245">
        <v>0</v>
      </c>
      <c r="I382" s="245">
        <v>0</v>
      </c>
      <c r="J382" s="245">
        <v>0</v>
      </c>
    </row>
    <row r="383" spans="3:12" x14ac:dyDescent="0.3">
      <c r="C383" s="255"/>
      <c r="F383" s="321"/>
      <c r="G383" s="321"/>
      <c r="H383" s="321"/>
      <c r="I383" s="321"/>
      <c r="J383" s="321"/>
    </row>
    <row r="384" spans="3:12" x14ac:dyDescent="0.3">
      <c r="C384" s="255">
        <v>19</v>
      </c>
      <c r="D384" s="4" t="s">
        <v>171</v>
      </c>
    </row>
    <row r="385" spans="3:16" x14ac:dyDescent="0.3">
      <c r="C385" s="255"/>
      <c r="E385" s="22" t="s">
        <v>341</v>
      </c>
      <c r="J385" s="38"/>
    </row>
    <row r="386" spans="3:16" x14ac:dyDescent="0.3">
      <c r="C386" s="255"/>
      <c r="D386" s="4084">
        <v>2014</v>
      </c>
      <c r="E386" s="4084"/>
      <c r="F386" s="4084"/>
      <c r="G386" s="4084"/>
      <c r="H386" s="4084"/>
      <c r="J386" s="4084">
        <v>2015</v>
      </c>
      <c r="K386" s="4084"/>
      <c r="L386" s="4084"/>
      <c r="M386" s="4084"/>
      <c r="N386" s="4084"/>
      <c r="O386" s="4084"/>
      <c r="P386" s="4084"/>
    </row>
    <row r="387" spans="3:16" ht="33" x14ac:dyDescent="0.3">
      <c r="C387" s="255"/>
      <c r="D387" s="247" t="s">
        <v>62</v>
      </c>
      <c r="E387" s="247" t="s">
        <v>172</v>
      </c>
      <c r="F387" s="329" t="s">
        <v>161</v>
      </c>
      <c r="G387" s="247" t="s">
        <v>162</v>
      </c>
      <c r="H387" s="247" t="s">
        <v>163</v>
      </c>
      <c r="J387" s="247" t="s">
        <v>62</v>
      </c>
      <c r="K387" s="4031" t="s">
        <v>172</v>
      </c>
      <c r="L387" s="4032"/>
      <c r="M387" s="4033"/>
      <c r="N387" s="247" t="s">
        <v>161</v>
      </c>
      <c r="O387" s="247" t="s">
        <v>162</v>
      </c>
      <c r="P387" s="247" t="s">
        <v>163</v>
      </c>
    </row>
    <row r="388" spans="3:16" x14ac:dyDescent="0.3">
      <c r="C388" s="255"/>
      <c r="D388" s="60">
        <v>1</v>
      </c>
      <c r="E388" s="48" t="s">
        <v>3576</v>
      </c>
      <c r="F388" s="60" t="s">
        <v>3586</v>
      </c>
      <c r="G388" s="60">
        <v>0</v>
      </c>
      <c r="H388" s="300" t="e">
        <f>G388/$G$398</f>
        <v>#DIV/0!</v>
      </c>
      <c r="J388" s="60">
        <v>1</v>
      </c>
      <c r="K388" s="4068" t="s">
        <v>3576</v>
      </c>
      <c r="L388" s="4068"/>
      <c r="M388" s="4068"/>
      <c r="N388" s="249" t="s">
        <v>3586</v>
      </c>
      <c r="O388" s="60">
        <v>0</v>
      </c>
      <c r="P388" s="300" t="e">
        <f t="shared" ref="P388:P398" si="11">O388/$O$398</f>
        <v>#DIV/0!</v>
      </c>
    </row>
    <row r="389" spans="3:16" x14ac:dyDescent="0.3">
      <c r="C389" s="255"/>
      <c r="D389" s="60">
        <f>D388+1</f>
        <v>2</v>
      </c>
      <c r="E389" s="48" t="s">
        <v>3577</v>
      </c>
      <c r="F389" s="60" t="s">
        <v>3587</v>
      </c>
      <c r="G389" s="60">
        <v>0</v>
      </c>
      <c r="H389" s="300" t="e">
        <f>G389/$G$398</f>
        <v>#DIV/0!</v>
      </c>
      <c r="J389" s="60">
        <v>2</v>
      </c>
      <c r="K389" s="4068" t="s">
        <v>3591</v>
      </c>
      <c r="L389" s="4068"/>
      <c r="M389" s="4068"/>
      <c r="N389" s="249" t="s">
        <v>3595</v>
      </c>
      <c r="O389" s="60">
        <v>0</v>
      </c>
      <c r="P389" s="300" t="e">
        <f t="shared" si="11"/>
        <v>#DIV/0!</v>
      </c>
    </row>
    <row r="390" spans="3:16" ht="16.5" customHeight="1" x14ac:dyDescent="0.3">
      <c r="C390" s="255"/>
      <c r="D390" s="60">
        <f t="shared" ref="D390:D395" si="12">D389+1</f>
        <v>3</v>
      </c>
      <c r="E390" s="48" t="s">
        <v>677</v>
      </c>
      <c r="F390" s="336" t="s">
        <v>340</v>
      </c>
      <c r="G390" s="60">
        <v>0</v>
      </c>
      <c r="H390" s="300" t="e">
        <f t="shared" ref="H390:H397" si="13">G390/$G$398</f>
        <v>#DIV/0!</v>
      </c>
      <c r="J390" s="60">
        <v>3</v>
      </c>
      <c r="K390" s="4048" t="s">
        <v>677</v>
      </c>
      <c r="L390" s="4064"/>
      <c r="M390" s="4049"/>
      <c r="N390" s="336" t="s">
        <v>340</v>
      </c>
      <c r="O390" s="60">
        <v>0</v>
      </c>
      <c r="P390" s="300" t="e">
        <f t="shared" si="11"/>
        <v>#DIV/0!</v>
      </c>
    </row>
    <row r="391" spans="3:16" x14ac:dyDescent="0.3">
      <c r="C391" s="255"/>
      <c r="D391" s="60">
        <f t="shared" si="12"/>
        <v>4</v>
      </c>
      <c r="E391" s="48" t="s">
        <v>3579</v>
      </c>
      <c r="F391" s="60" t="s">
        <v>3589</v>
      </c>
      <c r="G391" s="60">
        <v>0</v>
      </c>
      <c r="H391" s="300" t="e">
        <f t="shared" si="13"/>
        <v>#DIV/0!</v>
      </c>
      <c r="J391" s="60">
        <v>4</v>
      </c>
      <c r="K391" s="4068" t="s">
        <v>3577</v>
      </c>
      <c r="L391" s="4068"/>
      <c r="M391" s="4068"/>
      <c r="N391" s="249" t="s">
        <v>3587</v>
      </c>
      <c r="O391" s="60">
        <v>0</v>
      </c>
      <c r="P391" s="300" t="e">
        <f t="shared" si="11"/>
        <v>#DIV/0!</v>
      </c>
    </row>
    <row r="392" spans="3:16" x14ac:dyDescent="0.3">
      <c r="C392" s="255"/>
      <c r="D392" s="60">
        <f t="shared" si="12"/>
        <v>5</v>
      </c>
      <c r="E392" s="48" t="s">
        <v>3580</v>
      </c>
      <c r="F392" s="60" t="s">
        <v>3590</v>
      </c>
      <c r="G392" s="60">
        <v>0</v>
      </c>
      <c r="H392" s="300" t="e">
        <f t="shared" si="13"/>
        <v>#DIV/0!</v>
      </c>
      <c r="J392" s="60">
        <v>5</v>
      </c>
      <c r="K392" s="4068" t="s">
        <v>3592</v>
      </c>
      <c r="L392" s="4068"/>
      <c r="M392" s="4068"/>
      <c r="N392" s="249" t="s">
        <v>3596</v>
      </c>
      <c r="O392" s="60">
        <v>0</v>
      </c>
      <c r="P392" s="300" t="e">
        <f t="shared" si="11"/>
        <v>#DIV/0!</v>
      </c>
    </row>
    <row r="393" spans="3:16" x14ac:dyDescent="0.3">
      <c r="C393" s="255"/>
      <c r="D393" s="60">
        <f t="shared" si="12"/>
        <v>6</v>
      </c>
      <c r="E393" s="48" t="s">
        <v>3581</v>
      </c>
      <c r="F393" s="60" t="s">
        <v>808</v>
      </c>
      <c r="G393" s="60">
        <v>0</v>
      </c>
      <c r="H393" s="300" t="e">
        <f t="shared" si="13"/>
        <v>#DIV/0!</v>
      </c>
      <c r="J393" s="60">
        <v>6</v>
      </c>
      <c r="K393" s="304" t="s">
        <v>3582</v>
      </c>
      <c r="N393" s="305" t="s">
        <v>685</v>
      </c>
      <c r="O393" s="60">
        <v>0</v>
      </c>
      <c r="P393" s="300" t="e">
        <f t="shared" si="11"/>
        <v>#DIV/0!</v>
      </c>
    </row>
    <row r="394" spans="3:16" x14ac:dyDescent="0.3">
      <c r="C394" s="255"/>
      <c r="D394" s="60">
        <f t="shared" si="12"/>
        <v>7</v>
      </c>
      <c r="E394" s="48" t="s">
        <v>3582</v>
      </c>
      <c r="F394" s="60" t="s">
        <v>685</v>
      </c>
      <c r="G394" s="60">
        <v>0</v>
      </c>
      <c r="H394" s="300" t="e">
        <f t="shared" si="13"/>
        <v>#DIV/0!</v>
      </c>
      <c r="J394" s="60">
        <v>7</v>
      </c>
      <c r="K394" s="4068" t="s">
        <v>3593</v>
      </c>
      <c r="L394" s="4068"/>
      <c r="M394" s="4068"/>
      <c r="N394" s="249" t="s">
        <v>3597</v>
      </c>
      <c r="O394" s="60">
        <v>0</v>
      </c>
      <c r="P394" s="300" t="e">
        <f t="shared" si="11"/>
        <v>#DIV/0!</v>
      </c>
    </row>
    <row r="395" spans="3:16" x14ac:dyDescent="0.3">
      <c r="C395" s="255"/>
      <c r="D395" s="60">
        <f t="shared" si="12"/>
        <v>8</v>
      </c>
      <c r="E395" s="48" t="s">
        <v>601</v>
      </c>
      <c r="F395" s="60" t="s">
        <v>3584</v>
      </c>
      <c r="G395" s="60">
        <v>0</v>
      </c>
      <c r="H395" s="300" t="e">
        <f t="shared" si="13"/>
        <v>#DIV/0!</v>
      </c>
      <c r="J395" s="60">
        <v>8</v>
      </c>
      <c r="K395" s="4068" t="s">
        <v>3594</v>
      </c>
      <c r="L395" s="4068"/>
      <c r="M395" s="4068"/>
      <c r="N395" s="249" t="s">
        <v>3598</v>
      </c>
      <c r="O395" s="60">
        <v>0</v>
      </c>
      <c r="P395" s="300" t="e">
        <f t="shared" si="11"/>
        <v>#DIV/0!</v>
      </c>
    </row>
    <row r="396" spans="3:16" x14ac:dyDescent="0.3">
      <c r="C396" s="294"/>
      <c r="D396" s="60">
        <v>9</v>
      </c>
      <c r="E396" s="48" t="s">
        <v>3583</v>
      </c>
      <c r="F396" s="60" t="s">
        <v>3585</v>
      </c>
      <c r="G396" s="60">
        <v>0</v>
      </c>
      <c r="H396" s="300" t="e">
        <f t="shared" si="13"/>
        <v>#DIV/0!</v>
      </c>
      <c r="J396" s="60">
        <v>9</v>
      </c>
      <c r="K396" s="304" t="s">
        <v>601</v>
      </c>
      <c r="L396" s="241"/>
      <c r="M396" s="241"/>
      <c r="N396" s="305" t="s">
        <v>3584</v>
      </c>
      <c r="O396" s="60">
        <v>0</v>
      </c>
      <c r="P396" s="300" t="e">
        <f t="shared" si="11"/>
        <v>#DIV/0!</v>
      </c>
    </row>
    <row r="397" spans="3:16" x14ac:dyDescent="0.3">
      <c r="C397" s="255"/>
      <c r="D397" s="60">
        <v>10</v>
      </c>
      <c r="E397" s="48" t="s">
        <v>543</v>
      </c>
      <c r="F397" s="60"/>
      <c r="G397" s="60">
        <v>0</v>
      </c>
      <c r="H397" s="300" t="e">
        <f t="shared" si="13"/>
        <v>#DIV/0!</v>
      </c>
      <c r="J397" s="60">
        <v>10</v>
      </c>
      <c r="K397" s="4068" t="s">
        <v>543</v>
      </c>
      <c r="L397" s="4068"/>
      <c r="M397" s="4068"/>
      <c r="N397" s="249"/>
      <c r="O397" s="60">
        <v>0</v>
      </c>
      <c r="P397" s="300" t="e">
        <f t="shared" si="11"/>
        <v>#DIV/0!</v>
      </c>
    </row>
    <row r="398" spans="3:16" x14ac:dyDescent="0.3">
      <c r="C398" s="255"/>
      <c r="D398" s="4061" t="s">
        <v>0</v>
      </c>
      <c r="E398" s="4062"/>
      <c r="F398" s="4063"/>
      <c r="G398" s="60">
        <f>SUM(G388:G397)</f>
        <v>0</v>
      </c>
      <c r="H398" s="300" t="e">
        <f>G398/$G$398</f>
        <v>#DIV/0!</v>
      </c>
      <c r="J398" s="4061" t="s">
        <v>0</v>
      </c>
      <c r="K398" s="4062"/>
      <c r="L398" s="4062"/>
      <c r="M398" s="4063"/>
      <c r="N398" s="301"/>
      <c r="O398" s="60">
        <f>SUM(O388:O397)</f>
        <v>0</v>
      </c>
      <c r="P398" s="300" t="e">
        <f t="shared" si="11"/>
        <v>#DIV/0!</v>
      </c>
    </row>
    <row r="399" spans="3:16" x14ac:dyDescent="0.3">
      <c r="C399" s="255"/>
      <c r="E399" s="299"/>
      <c r="F399" s="59"/>
    </row>
    <row r="400" spans="3:16" x14ac:dyDescent="0.3">
      <c r="C400" s="255"/>
      <c r="D400" s="4084">
        <v>2016</v>
      </c>
      <c r="E400" s="4084"/>
      <c r="F400" s="4084"/>
      <c r="G400" s="4084"/>
      <c r="H400" s="4084"/>
      <c r="J400" s="4084">
        <v>2017</v>
      </c>
      <c r="K400" s="4084"/>
      <c r="L400" s="4084"/>
      <c r="M400" s="4084"/>
      <c r="N400" s="4084"/>
      <c r="O400" s="4084"/>
      <c r="P400" s="4084"/>
    </row>
    <row r="401" spans="3:16" ht="33" x14ac:dyDescent="0.3">
      <c r="C401" s="255"/>
      <c r="D401" s="247" t="s">
        <v>62</v>
      </c>
      <c r="E401" s="247" t="s">
        <v>172</v>
      </c>
      <c r="F401" s="329" t="s">
        <v>161</v>
      </c>
      <c r="G401" s="247" t="s">
        <v>162</v>
      </c>
      <c r="H401" s="247" t="s">
        <v>163</v>
      </c>
      <c r="J401" s="247" t="s">
        <v>62</v>
      </c>
      <c r="K401" s="4031" t="s">
        <v>172</v>
      </c>
      <c r="L401" s="4032"/>
      <c r="M401" s="4033"/>
      <c r="N401" s="247" t="s">
        <v>161</v>
      </c>
      <c r="O401" s="247" t="s">
        <v>162</v>
      </c>
      <c r="P401" s="247" t="s">
        <v>163</v>
      </c>
    </row>
    <row r="402" spans="3:16" x14ac:dyDescent="0.3">
      <c r="C402" s="255"/>
      <c r="D402" s="60">
        <v>1</v>
      </c>
      <c r="E402" s="48" t="s">
        <v>3576</v>
      </c>
      <c r="F402" s="60" t="s">
        <v>3586</v>
      </c>
      <c r="G402" s="60">
        <v>0</v>
      </c>
      <c r="H402" s="300" t="e">
        <f t="shared" ref="H402:H412" si="14">G402/$G$412</f>
        <v>#DIV/0!</v>
      </c>
      <c r="J402" s="60">
        <v>1</v>
      </c>
      <c r="K402" s="4045" t="s">
        <v>3576</v>
      </c>
      <c r="L402" s="4045"/>
      <c r="M402" s="4045"/>
      <c r="N402" s="249" t="s">
        <v>3586</v>
      </c>
      <c r="O402" s="60">
        <v>0</v>
      </c>
      <c r="P402" s="300" t="e">
        <f t="shared" ref="P402:P412" si="15">O402/$O$412</f>
        <v>#DIV/0!</v>
      </c>
    </row>
    <row r="403" spans="3:16" x14ac:dyDescent="0.3">
      <c r="C403" s="255"/>
      <c r="D403" s="60">
        <v>2</v>
      </c>
      <c r="E403" s="48" t="s">
        <v>677</v>
      </c>
      <c r="F403" s="336" t="s">
        <v>340</v>
      </c>
      <c r="G403" s="60">
        <v>0</v>
      </c>
      <c r="H403" s="300" t="e">
        <f t="shared" si="14"/>
        <v>#DIV/0!</v>
      </c>
      <c r="J403" s="60">
        <v>2</v>
      </c>
      <c r="K403" s="4045" t="s">
        <v>3578</v>
      </c>
      <c r="L403" s="4045"/>
      <c r="M403" s="4045"/>
      <c r="N403" s="249" t="s">
        <v>3588</v>
      </c>
      <c r="O403" s="60">
        <v>0</v>
      </c>
      <c r="P403" s="300" t="e">
        <f t="shared" si="15"/>
        <v>#DIV/0!</v>
      </c>
    </row>
    <row r="404" spans="3:16" x14ac:dyDescent="0.3">
      <c r="C404" s="255"/>
      <c r="D404" s="60">
        <v>3</v>
      </c>
      <c r="E404" s="48" t="s">
        <v>3582</v>
      </c>
      <c r="F404" s="60" t="s">
        <v>685</v>
      </c>
      <c r="G404" s="60">
        <v>0</v>
      </c>
      <c r="H404" s="300" t="e">
        <f t="shared" si="14"/>
        <v>#DIV/0!</v>
      </c>
      <c r="J404" s="60">
        <v>3</v>
      </c>
      <c r="K404" s="4048" t="s">
        <v>677</v>
      </c>
      <c r="L404" s="4064"/>
      <c r="M404" s="4049"/>
      <c r="N404" s="249" t="s">
        <v>340</v>
      </c>
      <c r="O404" s="60">
        <v>0</v>
      </c>
      <c r="P404" s="300" t="e">
        <f t="shared" si="15"/>
        <v>#DIV/0!</v>
      </c>
    </row>
    <row r="405" spans="3:16" ht="16.5" customHeight="1" x14ac:dyDescent="0.3">
      <c r="C405" s="255"/>
      <c r="D405" s="60">
        <v>4</v>
      </c>
      <c r="E405" s="48" t="s">
        <v>601</v>
      </c>
      <c r="F405" s="60" t="s">
        <v>3584</v>
      </c>
      <c r="G405" s="60">
        <v>0</v>
      </c>
      <c r="H405" s="300" t="e">
        <f t="shared" si="14"/>
        <v>#DIV/0!</v>
      </c>
      <c r="J405" s="60">
        <v>4</v>
      </c>
      <c r="K405" s="4045" t="s">
        <v>3591</v>
      </c>
      <c r="L405" s="4045"/>
      <c r="M405" s="4045"/>
      <c r="N405" s="336" t="s">
        <v>3595</v>
      </c>
      <c r="O405" s="60">
        <v>0</v>
      </c>
      <c r="P405" s="300" t="e">
        <f t="shared" si="15"/>
        <v>#DIV/0!</v>
      </c>
    </row>
    <row r="406" spans="3:16" ht="16.5" customHeight="1" x14ac:dyDescent="0.3">
      <c r="C406" s="255"/>
      <c r="D406" s="60">
        <v>5</v>
      </c>
      <c r="E406" s="48" t="s">
        <v>3591</v>
      </c>
      <c r="F406" s="60" t="s">
        <v>3595</v>
      </c>
      <c r="G406" s="60">
        <v>0</v>
      </c>
      <c r="H406" s="300" t="e">
        <f t="shared" si="14"/>
        <v>#DIV/0!</v>
      </c>
      <c r="J406" s="60">
        <v>5</v>
      </c>
      <c r="K406" s="4042" t="s">
        <v>3577</v>
      </c>
      <c r="L406" s="4043"/>
      <c r="M406" s="4044"/>
      <c r="N406" s="336" t="s">
        <v>3587</v>
      </c>
      <c r="O406" s="60">
        <v>0</v>
      </c>
      <c r="P406" s="300" t="e">
        <f t="shared" si="15"/>
        <v>#DIV/0!</v>
      </c>
    </row>
    <row r="407" spans="3:16" ht="16.5" customHeight="1" x14ac:dyDescent="0.3">
      <c r="C407" s="255"/>
      <c r="D407" s="60">
        <v>6</v>
      </c>
      <c r="E407" s="48" t="s">
        <v>3599</v>
      </c>
      <c r="F407" s="60" t="s">
        <v>3602</v>
      </c>
      <c r="G407" s="60">
        <v>0</v>
      </c>
      <c r="H407" s="300" t="e">
        <f t="shared" si="14"/>
        <v>#DIV/0!</v>
      </c>
      <c r="J407" s="60">
        <v>6</v>
      </c>
      <c r="K407" s="4042" t="s">
        <v>3608</v>
      </c>
      <c r="L407" s="4043"/>
      <c r="M407" s="4044"/>
      <c r="N407" s="336" t="s">
        <v>3609</v>
      </c>
      <c r="O407" s="60">
        <v>0</v>
      </c>
      <c r="P407" s="300" t="e">
        <f t="shared" si="15"/>
        <v>#DIV/0!</v>
      </c>
    </row>
    <row r="408" spans="3:16" x14ac:dyDescent="0.3">
      <c r="C408" s="255"/>
      <c r="D408" s="60">
        <v>7</v>
      </c>
      <c r="E408" s="48" t="s">
        <v>3600</v>
      </c>
      <c r="F408" s="60" t="s">
        <v>3603</v>
      </c>
      <c r="G408" s="60">
        <v>0</v>
      </c>
      <c r="H408" s="300" t="e">
        <f t="shared" si="14"/>
        <v>#DIV/0!</v>
      </c>
      <c r="J408" s="60">
        <v>7</v>
      </c>
      <c r="K408" s="4045" t="s">
        <v>3606</v>
      </c>
      <c r="L408" s="4045"/>
      <c r="M408" s="4045"/>
      <c r="N408" s="249" t="s">
        <v>3607</v>
      </c>
      <c r="O408" s="60">
        <v>0</v>
      </c>
      <c r="P408" s="300" t="e">
        <f t="shared" si="15"/>
        <v>#DIV/0!</v>
      </c>
    </row>
    <row r="409" spans="3:16" x14ac:dyDescent="0.3">
      <c r="C409" s="255"/>
      <c r="D409" s="60">
        <v>8</v>
      </c>
      <c r="E409" s="48" t="s">
        <v>3592</v>
      </c>
      <c r="F409" s="60" t="s">
        <v>3596</v>
      </c>
      <c r="G409" s="60">
        <v>0</v>
      </c>
      <c r="H409" s="300" t="e">
        <f t="shared" si="14"/>
        <v>#DIV/0!</v>
      </c>
      <c r="J409" s="60">
        <v>8</v>
      </c>
      <c r="K409" s="4045" t="s">
        <v>3604</v>
      </c>
      <c r="L409" s="4045"/>
      <c r="M409" s="4045"/>
      <c r="N409" s="249" t="s">
        <v>3605</v>
      </c>
      <c r="O409" s="60">
        <v>0</v>
      </c>
      <c r="P409" s="300" t="e">
        <f t="shared" si="15"/>
        <v>#DIV/0!</v>
      </c>
    </row>
    <row r="410" spans="3:16" x14ac:dyDescent="0.3">
      <c r="C410" s="294"/>
      <c r="D410" s="60">
        <v>9</v>
      </c>
      <c r="E410" s="48" t="s">
        <v>3601</v>
      </c>
      <c r="F410" s="60" t="s">
        <v>3589</v>
      </c>
      <c r="G410" s="60">
        <v>0</v>
      </c>
      <c r="H410" s="300" t="e">
        <f t="shared" si="14"/>
        <v>#DIV/0!</v>
      </c>
      <c r="J410" s="60">
        <v>9</v>
      </c>
      <c r="K410" s="4045" t="s">
        <v>3579</v>
      </c>
      <c r="L410" s="4045"/>
      <c r="M410" s="4045"/>
      <c r="N410" s="249" t="s">
        <v>3589</v>
      </c>
      <c r="O410" s="60">
        <v>0</v>
      </c>
      <c r="P410" s="300" t="e">
        <f t="shared" si="15"/>
        <v>#DIV/0!</v>
      </c>
    </row>
    <row r="411" spans="3:16" ht="16.5" customHeight="1" x14ac:dyDescent="0.3">
      <c r="C411" s="255"/>
      <c r="D411" s="60">
        <v>10</v>
      </c>
      <c r="E411" s="48" t="s">
        <v>543</v>
      </c>
      <c r="F411" s="60"/>
      <c r="G411" s="60">
        <v>0</v>
      </c>
      <c r="H411" s="300" t="e">
        <f t="shared" si="14"/>
        <v>#DIV/0!</v>
      </c>
      <c r="J411" s="60">
        <v>10</v>
      </c>
      <c r="K411" s="347" t="s">
        <v>3582</v>
      </c>
      <c r="L411" s="337"/>
      <c r="M411" s="337"/>
      <c r="N411" s="305" t="s">
        <v>685</v>
      </c>
      <c r="O411" s="60">
        <v>0</v>
      </c>
      <c r="P411" s="300" t="e">
        <f t="shared" si="15"/>
        <v>#DIV/0!</v>
      </c>
    </row>
    <row r="412" spans="3:16" x14ac:dyDescent="0.3">
      <c r="C412" s="255"/>
      <c r="D412" s="4092" t="s">
        <v>0</v>
      </c>
      <c r="E412" s="4092"/>
      <c r="F412" s="4092"/>
      <c r="G412" s="60">
        <f>SUM(G402:G411)</f>
        <v>0</v>
      </c>
      <c r="H412" s="300" t="e">
        <f t="shared" si="14"/>
        <v>#DIV/0!</v>
      </c>
      <c r="J412" s="4061" t="s">
        <v>0</v>
      </c>
      <c r="K412" s="4062"/>
      <c r="L412" s="4062"/>
      <c r="M412" s="4063"/>
      <c r="N412" s="50"/>
      <c r="O412" s="60">
        <f>SUM(O402:O411)</f>
        <v>0</v>
      </c>
      <c r="P412" s="300" t="e">
        <f t="shared" si="15"/>
        <v>#DIV/0!</v>
      </c>
    </row>
    <row r="413" spans="3:16" x14ac:dyDescent="0.3">
      <c r="C413" s="255"/>
    </row>
    <row r="414" spans="3:16" x14ac:dyDescent="0.3">
      <c r="C414" s="255"/>
      <c r="D414" s="4084">
        <v>2018</v>
      </c>
      <c r="E414" s="4084"/>
      <c r="F414" s="4084"/>
      <c r="G414" s="4084"/>
      <c r="H414" s="4084"/>
    </row>
    <row r="415" spans="3:16" x14ac:dyDescent="0.3">
      <c r="C415" s="255"/>
      <c r="D415" s="247" t="s">
        <v>62</v>
      </c>
      <c r="E415" s="247" t="s">
        <v>172</v>
      </c>
      <c r="F415" s="329" t="s">
        <v>161</v>
      </c>
      <c r="G415" s="247" t="s">
        <v>162</v>
      </c>
      <c r="H415" s="247" t="s">
        <v>163</v>
      </c>
      <c r="M415" s="4" t="e">
        <f>'4 Estadis ESTRATEG Prod3'!F111/('4 Estadis ESTRATEG Prod3'!J288)</f>
        <v>#DIV/0!</v>
      </c>
    </row>
    <row r="416" spans="3:16" x14ac:dyDescent="0.3">
      <c r="C416" s="255"/>
      <c r="D416" s="60">
        <v>1</v>
      </c>
      <c r="E416" s="48" t="s">
        <v>3610</v>
      </c>
      <c r="F416" s="60" t="s">
        <v>3586</v>
      </c>
      <c r="G416" s="60">
        <v>0</v>
      </c>
      <c r="H416" s="300" t="e">
        <f t="shared" ref="H416:H426" si="16">G416/$G$426</f>
        <v>#DIV/0!</v>
      </c>
    </row>
    <row r="417" spans="3:16" x14ac:dyDescent="0.3">
      <c r="C417" s="255"/>
      <c r="D417" s="60">
        <v>2</v>
      </c>
      <c r="E417" s="48" t="s">
        <v>3599</v>
      </c>
      <c r="F417" s="60" t="s">
        <v>3602</v>
      </c>
      <c r="G417" s="60">
        <v>0</v>
      </c>
      <c r="H417" s="300" t="e">
        <f t="shared" si="16"/>
        <v>#DIV/0!</v>
      </c>
    </row>
    <row r="418" spans="3:16" x14ac:dyDescent="0.3">
      <c r="C418" s="255"/>
      <c r="D418" s="60">
        <v>3</v>
      </c>
      <c r="E418" s="48" t="s">
        <v>677</v>
      </c>
      <c r="F418" s="336" t="s">
        <v>340</v>
      </c>
      <c r="G418" s="60">
        <v>0</v>
      </c>
      <c r="H418" s="300" t="e">
        <f t="shared" si="16"/>
        <v>#DIV/0!</v>
      </c>
    </row>
    <row r="419" spans="3:16" x14ac:dyDescent="0.3">
      <c r="C419" s="255"/>
      <c r="D419" s="60">
        <v>4</v>
      </c>
      <c r="E419" s="48" t="s">
        <v>3577</v>
      </c>
      <c r="F419" s="60" t="s">
        <v>3587</v>
      </c>
      <c r="G419" s="60">
        <v>0</v>
      </c>
      <c r="H419" s="300" t="e">
        <f t="shared" si="16"/>
        <v>#DIV/0!</v>
      </c>
    </row>
    <row r="420" spans="3:16" x14ac:dyDescent="0.3">
      <c r="C420" s="255"/>
      <c r="D420" s="60">
        <v>5</v>
      </c>
      <c r="E420" s="48" t="s">
        <v>3592</v>
      </c>
      <c r="F420" s="60" t="s">
        <v>3596</v>
      </c>
      <c r="G420" s="60">
        <v>0</v>
      </c>
      <c r="H420" s="300" t="e">
        <f t="shared" si="16"/>
        <v>#DIV/0!</v>
      </c>
    </row>
    <row r="421" spans="3:16" x14ac:dyDescent="0.3">
      <c r="C421" s="294"/>
      <c r="D421" s="60">
        <v>6</v>
      </c>
      <c r="E421" s="304" t="s">
        <v>3582</v>
      </c>
      <c r="F421" s="305" t="s">
        <v>685</v>
      </c>
      <c r="G421" s="60">
        <v>0</v>
      </c>
      <c r="H421" s="300" t="e">
        <f t="shared" si="16"/>
        <v>#DIV/0!</v>
      </c>
    </row>
    <row r="422" spans="3:16" x14ac:dyDescent="0.3">
      <c r="C422" s="294"/>
      <c r="D422" s="60">
        <v>7</v>
      </c>
      <c r="E422" s="304" t="s">
        <v>3629</v>
      </c>
      <c r="F422" s="305" t="s">
        <v>3630</v>
      </c>
      <c r="G422" s="60">
        <v>0</v>
      </c>
      <c r="H422" s="300" t="e">
        <f t="shared" si="16"/>
        <v>#DIV/0!</v>
      </c>
    </row>
    <row r="423" spans="3:16" x14ac:dyDescent="0.3">
      <c r="C423" s="294"/>
      <c r="D423" s="60">
        <v>8</v>
      </c>
      <c r="E423" s="304" t="s">
        <v>3631</v>
      </c>
      <c r="F423" s="305" t="s">
        <v>702</v>
      </c>
      <c r="G423" s="60">
        <v>0</v>
      </c>
      <c r="H423" s="300" t="e">
        <f t="shared" si="16"/>
        <v>#DIV/0!</v>
      </c>
    </row>
    <row r="424" spans="3:16" x14ac:dyDescent="0.3">
      <c r="C424" s="255"/>
      <c r="D424" s="60">
        <v>9</v>
      </c>
      <c r="E424" s="48" t="s">
        <v>3578</v>
      </c>
      <c r="F424" s="60" t="s">
        <v>3588</v>
      </c>
      <c r="G424" s="60">
        <v>0</v>
      </c>
      <c r="H424" s="300" t="e">
        <f t="shared" si="16"/>
        <v>#DIV/0!</v>
      </c>
      <c r="J424" s="133" t="s">
        <v>1907</v>
      </c>
    </row>
    <row r="425" spans="3:16" x14ac:dyDescent="0.3">
      <c r="C425" s="255"/>
      <c r="D425" s="60">
        <v>10</v>
      </c>
      <c r="E425" s="48" t="s">
        <v>543</v>
      </c>
      <c r="F425" s="60"/>
      <c r="G425" s="60">
        <v>0</v>
      </c>
      <c r="H425" s="300" t="e">
        <f t="shared" si="16"/>
        <v>#DIV/0!</v>
      </c>
      <c r="J425" s="135" t="e">
        <f>G426/G371</f>
        <v>#DIV/0!</v>
      </c>
    </row>
    <row r="426" spans="3:16" x14ac:dyDescent="0.3">
      <c r="C426" s="255"/>
      <c r="D426" s="4092" t="s">
        <v>0</v>
      </c>
      <c r="E426" s="4092"/>
      <c r="F426" s="4092"/>
      <c r="G426" s="60">
        <f>SUM(G416:G425)</f>
        <v>0</v>
      </c>
      <c r="H426" s="300" t="e">
        <f t="shared" si="16"/>
        <v>#DIV/0!</v>
      </c>
    </row>
    <row r="427" spans="3:16" x14ac:dyDescent="0.3">
      <c r="C427" s="255"/>
    </row>
    <row r="428" spans="3:16" x14ac:dyDescent="0.3">
      <c r="C428" s="255">
        <v>20</v>
      </c>
      <c r="D428" s="4" t="s">
        <v>177</v>
      </c>
      <c r="F428" s="293"/>
      <c r="G428" s="296"/>
      <c r="H428" s="291"/>
    </row>
    <row r="429" spans="3:16" x14ac:dyDescent="0.3">
      <c r="C429" s="255"/>
      <c r="E429" s="4034" t="s">
        <v>3521</v>
      </c>
      <c r="F429" s="4035"/>
      <c r="G429" s="4019">
        <v>2014</v>
      </c>
      <c r="H429" s="4019"/>
      <c r="I429" s="4019">
        <f>G429+1</f>
        <v>2015</v>
      </c>
      <c r="J429" s="4019"/>
      <c r="K429" s="4019">
        <f>I429+1</f>
        <v>2016</v>
      </c>
      <c r="L429" s="4019"/>
      <c r="M429" s="4019">
        <f>K429+1</f>
        <v>2017</v>
      </c>
      <c r="N429" s="4019"/>
      <c r="O429" s="4019">
        <f>M429+1</f>
        <v>2018</v>
      </c>
      <c r="P429" s="4019"/>
    </row>
    <row r="430" spans="3:16" ht="14.25" customHeight="1" x14ac:dyDescent="0.3">
      <c r="C430" s="255"/>
      <c r="E430" s="4034"/>
      <c r="F430" s="4035"/>
      <c r="G430" s="247" t="s">
        <v>10</v>
      </c>
      <c r="H430" s="247" t="s">
        <v>11</v>
      </c>
      <c r="I430" s="247" t="s">
        <v>10</v>
      </c>
      <c r="J430" s="247" t="s">
        <v>11</v>
      </c>
      <c r="K430" s="247" t="s">
        <v>10</v>
      </c>
      <c r="L430" s="247" t="s">
        <v>11</v>
      </c>
      <c r="M430" s="247" t="s">
        <v>10</v>
      </c>
      <c r="N430" s="247" t="s">
        <v>11</v>
      </c>
      <c r="O430" s="247" t="s">
        <v>10</v>
      </c>
      <c r="P430" s="247" t="s">
        <v>11</v>
      </c>
    </row>
    <row r="431" spans="3:16" ht="18.75" customHeight="1" x14ac:dyDescent="0.3">
      <c r="C431" s="255"/>
      <c r="E431" s="4042" t="s">
        <v>179</v>
      </c>
      <c r="F431" s="4044"/>
      <c r="G431" s="45"/>
      <c r="H431" s="45"/>
      <c r="I431" s="45"/>
      <c r="J431" s="45"/>
      <c r="K431" s="45"/>
      <c r="L431" s="45"/>
      <c r="M431" s="45"/>
      <c r="N431" s="45"/>
      <c r="O431" s="45"/>
      <c r="P431" s="45"/>
    </row>
    <row r="432" spans="3:16" ht="18.75" customHeight="1" x14ac:dyDescent="0.3">
      <c r="C432" s="255"/>
      <c r="E432" s="4042" t="s">
        <v>180</v>
      </c>
      <c r="F432" s="4044"/>
      <c r="G432" s="45"/>
      <c r="H432" s="45"/>
      <c r="I432" s="45"/>
      <c r="J432" s="45"/>
      <c r="K432" s="45"/>
      <c r="L432" s="45"/>
      <c r="M432" s="45"/>
      <c r="N432" s="45"/>
      <c r="O432" s="45"/>
      <c r="P432" s="45"/>
    </row>
    <row r="433" spans="3:43" x14ac:dyDescent="0.3">
      <c r="C433" s="255"/>
      <c r="E433" s="4048" t="s">
        <v>181</v>
      </c>
      <c r="F433" s="4049"/>
      <c r="G433" s="45"/>
      <c r="H433" s="45"/>
      <c r="I433" s="45"/>
      <c r="J433" s="45"/>
      <c r="K433" s="45"/>
      <c r="L433" s="45"/>
      <c r="M433" s="45"/>
      <c r="N433" s="45"/>
      <c r="O433" s="45"/>
      <c r="P433" s="45"/>
    </row>
    <row r="434" spans="3:43" x14ac:dyDescent="0.3">
      <c r="C434" s="255"/>
      <c r="E434" s="4046" t="s">
        <v>0</v>
      </c>
      <c r="F434" s="4047"/>
      <c r="G434" s="45"/>
      <c r="H434" s="45"/>
      <c r="I434" s="45"/>
      <c r="J434" s="45"/>
      <c r="K434" s="45"/>
      <c r="L434" s="45"/>
      <c r="M434" s="45"/>
      <c r="N434" s="45"/>
      <c r="O434" s="45"/>
      <c r="P434" s="45"/>
    </row>
    <row r="435" spans="3:43" x14ac:dyDescent="0.3">
      <c r="C435" s="255"/>
      <c r="E435" s="238"/>
      <c r="F435" s="238"/>
      <c r="G435" s="238"/>
      <c r="H435" s="238"/>
      <c r="I435" s="238"/>
      <c r="J435" s="238"/>
      <c r="K435" s="238"/>
      <c r="L435" s="238"/>
      <c r="M435" s="238"/>
      <c r="N435" s="238"/>
      <c r="O435" s="238"/>
      <c r="P435" s="238"/>
      <c r="Q435" s="238"/>
    </row>
    <row r="436" spans="3:43" s="73" customFormat="1" x14ac:dyDescent="0.3">
      <c r="C436" s="308"/>
      <c r="E436" s="309"/>
      <c r="F436" s="309"/>
      <c r="G436" s="309"/>
      <c r="H436" s="309"/>
      <c r="I436" s="309"/>
      <c r="J436" s="309"/>
      <c r="K436" s="309"/>
      <c r="L436" s="309"/>
      <c r="M436" s="309"/>
      <c r="N436" s="309"/>
      <c r="O436" s="309"/>
      <c r="P436" s="309"/>
      <c r="Q436" s="309"/>
    </row>
    <row r="437" spans="3:43" x14ac:dyDescent="0.3">
      <c r="C437" s="255"/>
      <c r="D437" s="4" t="s">
        <v>531</v>
      </c>
      <c r="E437" s="238"/>
      <c r="F437" s="238"/>
      <c r="G437" s="238"/>
      <c r="H437" s="238"/>
      <c r="I437" s="238"/>
      <c r="J437" s="238"/>
      <c r="K437" s="238"/>
      <c r="L437" s="238"/>
      <c r="M437" s="238"/>
      <c r="N437" s="238"/>
      <c r="O437" s="238"/>
      <c r="P437" s="238"/>
    </row>
    <row r="438" spans="3:43" ht="17.25" customHeight="1" x14ac:dyDescent="0.3">
      <c r="C438" s="255"/>
      <c r="E438" s="4036" t="s">
        <v>526</v>
      </c>
      <c r="F438" s="4037" t="s">
        <v>527</v>
      </c>
      <c r="G438" s="4038"/>
      <c r="H438" s="4038"/>
      <c r="I438" s="4038"/>
      <c r="J438" s="4038"/>
      <c r="K438" s="238"/>
      <c r="L438" s="4037" t="s">
        <v>528</v>
      </c>
      <c r="M438" s="4038"/>
      <c r="N438" s="4038"/>
      <c r="O438" s="4038"/>
      <c r="P438" s="4038"/>
      <c r="R438" s="4037" t="s">
        <v>176</v>
      </c>
      <c r="S438" s="4038"/>
      <c r="T438" s="4038"/>
      <c r="U438" s="4038"/>
      <c r="V438" s="4038"/>
      <c r="AE438" s="4031" t="s">
        <v>121</v>
      </c>
      <c r="AF438" s="4033"/>
      <c r="AG438" s="4037">
        <v>2018</v>
      </c>
      <c r="AH438" s="4038"/>
      <c r="AI438" s="4038"/>
      <c r="AJ438" s="4056"/>
      <c r="AL438" s="40" t="s">
        <v>297</v>
      </c>
      <c r="AM438" s="40">
        <v>2014</v>
      </c>
      <c r="AN438" s="40">
        <f>AM438+1</f>
        <v>2015</v>
      </c>
      <c r="AO438" s="40">
        <f>AN438+1</f>
        <v>2016</v>
      </c>
      <c r="AP438" s="40">
        <f>AO438+1</f>
        <v>2017</v>
      </c>
      <c r="AQ438" s="40">
        <f>AP438+1</f>
        <v>2018</v>
      </c>
    </row>
    <row r="439" spans="3:43" x14ac:dyDescent="0.3">
      <c r="C439" s="255"/>
      <c r="E439" s="4015"/>
      <c r="F439" s="329">
        <v>2014</v>
      </c>
      <c r="G439" s="247">
        <f>F439+1</f>
        <v>2015</v>
      </c>
      <c r="H439" s="247">
        <f>G439+1</f>
        <v>2016</v>
      </c>
      <c r="I439" s="247">
        <f>H439+1</f>
        <v>2017</v>
      </c>
      <c r="J439" s="247">
        <f>I439+1</f>
        <v>2018</v>
      </c>
      <c r="K439" s="238"/>
      <c r="L439" s="247">
        <v>2014</v>
      </c>
      <c r="M439" s="247">
        <f>L439+1</f>
        <v>2015</v>
      </c>
      <c r="N439" s="247">
        <f>M439+1</f>
        <v>2016</v>
      </c>
      <c r="O439" s="247">
        <f>N439+1</f>
        <v>2017</v>
      </c>
      <c r="P439" s="247">
        <f>O439+1</f>
        <v>2018</v>
      </c>
      <c r="R439" s="247">
        <v>2014</v>
      </c>
      <c r="S439" s="247">
        <f>R439+1</f>
        <v>2015</v>
      </c>
      <c r="T439" s="247">
        <f>S439+1</f>
        <v>2016</v>
      </c>
      <c r="U439" s="247">
        <f>T439+1</f>
        <v>2017</v>
      </c>
      <c r="V439" s="247">
        <f>U439+1</f>
        <v>2018</v>
      </c>
      <c r="AE439" s="4034"/>
      <c r="AF439" s="4053"/>
      <c r="AG439" s="4037" t="s">
        <v>540</v>
      </c>
      <c r="AH439" s="4038"/>
      <c r="AI439" s="4038"/>
      <c r="AJ439" s="4056"/>
      <c r="AL439" s="31" t="s">
        <v>3182</v>
      </c>
      <c r="AM439" s="310"/>
      <c r="AN439" s="311"/>
      <c r="AO439" s="311"/>
      <c r="AP439" s="311"/>
      <c r="AQ439" s="108">
        <f>+P440</f>
        <v>0</v>
      </c>
    </row>
    <row r="440" spans="3:43" x14ac:dyDescent="0.3">
      <c r="C440" s="255"/>
      <c r="E440" s="60" t="s">
        <v>3575</v>
      </c>
      <c r="F440" s="60">
        <v>0</v>
      </c>
      <c r="G440" s="60">
        <v>1</v>
      </c>
      <c r="H440" s="60">
        <v>13</v>
      </c>
      <c r="I440" s="60">
        <v>0</v>
      </c>
      <c r="J440" s="298">
        <v>9</v>
      </c>
      <c r="K440" s="238"/>
      <c r="L440" s="60">
        <v>0</v>
      </c>
      <c r="M440" s="60">
        <v>0</v>
      </c>
      <c r="N440" s="60">
        <v>0</v>
      </c>
      <c r="O440" s="60">
        <v>0</v>
      </c>
      <c r="P440" s="60">
        <v>0</v>
      </c>
      <c r="R440" s="60">
        <v>1</v>
      </c>
      <c r="S440" s="60">
        <v>16</v>
      </c>
      <c r="T440" s="60">
        <v>30</v>
      </c>
      <c r="U440" s="60">
        <v>0</v>
      </c>
      <c r="V440" s="60">
        <v>66</v>
      </c>
      <c r="AE440" s="4054"/>
      <c r="AF440" s="4055"/>
      <c r="AG440" s="4057" t="s">
        <v>123</v>
      </c>
      <c r="AH440" s="4058"/>
      <c r="AI440" s="4057" t="s">
        <v>124</v>
      </c>
      <c r="AJ440" s="4058"/>
      <c r="AL440" s="31" t="s">
        <v>3183</v>
      </c>
      <c r="AM440" s="41"/>
      <c r="AN440" s="311"/>
      <c r="AO440" s="311"/>
      <c r="AP440" s="311"/>
      <c r="AQ440" s="108">
        <f>'3 Pob x Edad y EESS P1 P2'!$E$31</f>
        <v>872.7517599110771</v>
      </c>
    </row>
    <row r="441" spans="3:43" x14ac:dyDescent="0.3">
      <c r="C441" s="255"/>
      <c r="E441" s="238"/>
      <c r="G441" s="5"/>
      <c r="H441" s="5">
        <v>9</v>
      </c>
      <c r="I441" s="5"/>
      <c r="J441" s="328"/>
      <c r="K441" s="238"/>
      <c r="L441" s="238"/>
      <c r="M441" s="238"/>
      <c r="N441" s="238"/>
      <c r="O441" s="238"/>
      <c r="P441" s="238"/>
      <c r="Q441" s="238"/>
      <c r="S441" s="4">
        <v>15</v>
      </c>
      <c r="T441" s="4">
        <v>29</v>
      </c>
      <c r="AE441" s="48" t="s">
        <v>3522</v>
      </c>
      <c r="AF441" s="48"/>
      <c r="AG441" s="4059">
        <f>+AQ441</f>
        <v>0</v>
      </c>
      <c r="AH441" s="4060"/>
      <c r="AI441" s="4059">
        <f>+AQ446</f>
        <v>0</v>
      </c>
      <c r="AJ441" s="4060"/>
      <c r="AL441" s="31" t="s">
        <v>541</v>
      </c>
      <c r="AM441" s="312"/>
      <c r="AN441" s="312"/>
      <c r="AO441" s="312"/>
      <c r="AP441" s="312"/>
      <c r="AQ441" s="116">
        <f>(AQ439/AQ440)*100000</f>
        <v>0</v>
      </c>
    </row>
    <row r="442" spans="3:43" x14ac:dyDescent="0.3">
      <c r="C442" s="255"/>
      <c r="D442" s="4" t="s">
        <v>532</v>
      </c>
      <c r="E442" s="238"/>
      <c r="G442" s="5"/>
      <c r="H442" s="5"/>
      <c r="I442" s="5"/>
      <c r="J442" s="5"/>
      <c r="K442" s="238"/>
      <c r="L442" s="238"/>
      <c r="M442" s="238"/>
      <c r="N442" s="238"/>
      <c r="O442" s="238"/>
      <c r="P442" s="238"/>
      <c r="Q442" s="238"/>
      <c r="R442" s="321"/>
      <c r="S442" s="321"/>
      <c r="T442" s="321"/>
      <c r="U442" s="321"/>
      <c r="V442" s="321"/>
    </row>
    <row r="443" spans="3:43" ht="17.25" customHeight="1" x14ac:dyDescent="0.3">
      <c r="C443" s="255"/>
      <c r="E443" s="4036" t="s">
        <v>526</v>
      </c>
      <c r="F443" s="4037" t="s">
        <v>529</v>
      </c>
      <c r="G443" s="4038"/>
      <c r="H443" s="4038"/>
      <c r="I443" s="4038"/>
      <c r="J443" s="4038"/>
      <c r="K443" s="238"/>
      <c r="L443" s="4037" t="s">
        <v>530</v>
      </c>
      <c r="M443" s="4038"/>
      <c r="N443" s="4038"/>
      <c r="O443" s="4038"/>
      <c r="P443" s="4038"/>
      <c r="Q443" s="238"/>
      <c r="AE443" s="4031" t="s">
        <v>121</v>
      </c>
      <c r="AF443" s="4033"/>
      <c r="AG443" s="4037">
        <v>2018</v>
      </c>
      <c r="AH443" s="4038"/>
      <c r="AI443" s="4038"/>
      <c r="AJ443" s="4056"/>
      <c r="AL443" s="40" t="s">
        <v>297</v>
      </c>
      <c r="AM443" s="40">
        <v>2014</v>
      </c>
      <c r="AN443" s="40">
        <f>AM443+1</f>
        <v>2015</v>
      </c>
      <c r="AO443" s="40">
        <f>AN443+1</f>
        <v>2016</v>
      </c>
      <c r="AP443" s="40">
        <f>AO443+1</f>
        <v>2017</v>
      </c>
      <c r="AQ443" s="40">
        <f>AP443+1</f>
        <v>2018</v>
      </c>
    </row>
    <row r="444" spans="3:43" ht="16.5" customHeight="1" x14ac:dyDescent="0.3">
      <c r="C444" s="255"/>
      <c r="E444" s="4015"/>
      <c r="F444" s="329">
        <v>2014</v>
      </c>
      <c r="G444" s="247">
        <f>F444+1</f>
        <v>2015</v>
      </c>
      <c r="H444" s="247">
        <f>G444+1</f>
        <v>2016</v>
      </c>
      <c r="I444" s="247">
        <f>H444+1</f>
        <v>2017</v>
      </c>
      <c r="J444" s="247">
        <f>I444+1</f>
        <v>2018</v>
      </c>
      <c r="K444" s="238"/>
      <c r="L444" s="247">
        <v>2014</v>
      </c>
      <c r="M444" s="247">
        <f>L444+1</f>
        <v>2015</v>
      </c>
      <c r="N444" s="247">
        <f>M444+1</f>
        <v>2016</v>
      </c>
      <c r="O444" s="247">
        <f>N444+1</f>
        <v>2017</v>
      </c>
      <c r="P444" s="247">
        <f>O444+1</f>
        <v>2018</v>
      </c>
      <c r="Q444" s="238"/>
      <c r="AE444" s="4034"/>
      <c r="AF444" s="4053"/>
      <c r="AG444" s="4037" t="s">
        <v>122</v>
      </c>
      <c r="AH444" s="4038"/>
      <c r="AI444" s="4038"/>
      <c r="AJ444" s="4056"/>
      <c r="AL444" s="31" t="s">
        <v>3186</v>
      </c>
      <c r="AM444" s="310"/>
      <c r="AN444" s="311"/>
      <c r="AO444" s="311"/>
      <c r="AP444" s="311"/>
      <c r="AQ444" s="108">
        <v>0</v>
      </c>
    </row>
    <row r="445" spans="3:43" ht="16.5" customHeight="1" x14ac:dyDescent="0.3">
      <c r="C445" s="255"/>
      <c r="E445" s="60" t="s">
        <v>3575</v>
      </c>
      <c r="F445" s="60">
        <v>0</v>
      </c>
      <c r="G445" s="60">
        <v>0</v>
      </c>
      <c r="H445" s="60">
        <v>0</v>
      </c>
      <c r="I445" s="60">
        <v>0</v>
      </c>
      <c r="J445" s="60">
        <v>0</v>
      </c>
      <c r="K445" s="238"/>
      <c r="L445" s="60">
        <v>0</v>
      </c>
      <c r="M445" s="60">
        <v>0</v>
      </c>
      <c r="N445" s="60">
        <v>0</v>
      </c>
      <c r="O445" s="60">
        <v>0</v>
      </c>
      <c r="P445" s="60">
        <v>0</v>
      </c>
      <c r="Q445" s="238"/>
      <c r="AE445" s="4054"/>
      <c r="AF445" s="4055"/>
      <c r="AG445" s="4057" t="s">
        <v>123</v>
      </c>
      <c r="AH445" s="4058"/>
      <c r="AI445" s="4057" t="s">
        <v>124</v>
      </c>
      <c r="AJ445" s="4058"/>
      <c r="AL445" s="31" t="s">
        <v>3183</v>
      </c>
      <c r="AM445" s="41"/>
      <c r="AN445" s="311"/>
      <c r="AO445" s="311"/>
      <c r="AP445" s="311"/>
      <c r="AQ445" s="108">
        <f>$AQ$440</f>
        <v>872.7517599110771</v>
      </c>
    </row>
    <row r="446" spans="3:43" x14ac:dyDescent="0.3">
      <c r="C446" s="255"/>
      <c r="E446" s="238"/>
      <c r="F446" s="238"/>
      <c r="G446" s="238"/>
      <c r="H446" s="238"/>
      <c r="I446" s="238"/>
      <c r="J446" s="238"/>
      <c r="K446" s="238"/>
      <c r="L446" s="238"/>
      <c r="M446" s="238"/>
      <c r="N446" s="238"/>
      <c r="O446" s="238"/>
      <c r="P446" s="238"/>
      <c r="Q446" s="238"/>
      <c r="AE446" s="48" t="s">
        <v>3522</v>
      </c>
      <c r="AF446" s="48"/>
      <c r="AG446" s="4059">
        <f>+AQ451</f>
        <v>0</v>
      </c>
      <c r="AH446" s="4060"/>
      <c r="AI446" s="4059">
        <f>+AQ456</f>
        <v>0</v>
      </c>
      <c r="AJ446" s="4060"/>
      <c r="AL446" s="31" t="s">
        <v>542</v>
      </c>
      <c r="AM446" s="312"/>
      <c r="AN446" s="312"/>
      <c r="AO446" s="312"/>
      <c r="AP446" s="312"/>
      <c r="AQ446" s="116">
        <f>(AQ444/AQ445)*100000</f>
        <v>0</v>
      </c>
    </row>
    <row r="447" spans="3:43" x14ac:dyDescent="0.3">
      <c r="C447" s="255"/>
      <c r="D447" s="4" t="s">
        <v>525</v>
      </c>
      <c r="F447" s="238"/>
      <c r="G447" s="238"/>
      <c r="H447" s="238"/>
      <c r="I447" s="238"/>
      <c r="J447" s="238"/>
      <c r="K447" s="238"/>
      <c r="L447" s="238"/>
      <c r="M447" s="238"/>
      <c r="N447" s="238"/>
      <c r="O447" s="238"/>
      <c r="P447" s="238"/>
      <c r="Q447" s="238"/>
    </row>
    <row r="448" spans="3:43" x14ac:dyDescent="0.3">
      <c r="E448" s="247" t="s">
        <v>165</v>
      </c>
      <c r="F448" s="329">
        <v>2014</v>
      </c>
      <c r="G448" s="247">
        <f>F448+1</f>
        <v>2015</v>
      </c>
      <c r="H448" s="247">
        <f>G448+1</f>
        <v>2016</v>
      </c>
      <c r="I448" s="247">
        <f>H448+1</f>
        <v>2017</v>
      </c>
      <c r="J448" s="247">
        <f>I448+1</f>
        <v>2018</v>
      </c>
      <c r="N448" s="4" t="s">
        <v>1902</v>
      </c>
      <c r="O448" s="4" t="s">
        <v>1903</v>
      </c>
      <c r="P448" s="4" t="s">
        <v>1904</v>
      </c>
      <c r="AL448" s="40" t="s">
        <v>297</v>
      </c>
      <c r="AM448" s="40">
        <v>2014</v>
      </c>
      <c r="AN448" s="40">
        <f>AM448+1</f>
        <v>2015</v>
      </c>
      <c r="AO448" s="40">
        <f>AN448+1</f>
        <v>2016</v>
      </c>
      <c r="AP448" s="40">
        <f>AO448+1</f>
        <v>2017</v>
      </c>
      <c r="AQ448" s="40">
        <f>AP448+1</f>
        <v>2018</v>
      </c>
    </row>
    <row r="449" spans="3:43" x14ac:dyDescent="0.3">
      <c r="D449" s="4">
        <v>1</v>
      </c>
      <c r="E449" s="36" t="s">
        <v>463</v>
      </c>
      <c r="F449" s="60">
        <v>26</v>
      </c>
      <c r="G449" s="268">
        <v>24</v>
      </c>
      <c r="H449" s="268">
        <v>11</v>
      </c>
      <c r="I449" s="268">
        <v>0</v>
      </c>
      <c r="J449" s="268">
        <v>15</v>
      </c>
      <c r="N449" s="107"/>
      <c r="O449" s="101"/>
      <c r="P449" s="138"/>
      <c r="AL449" s="31" t="s">
        <v>3184</v>
      </c>
      <c r="AM449" s="310"/>
      <c r="AN449" s="311"/>
      <c r="AO449" s="311"/>
      <c r="AP449" s="311"/>
      <c r="AQ449" s="108">
        <f>+J445</f>
        <v>0</v>
      </c>
    </row>
    <row r="450" spans="3:43" x14ac:dyDescent="0.3">
      <c r="D450" s="4">
        <f>D449+1</f>
        <v>2</v>
      </c>
      <c r="E450" s="36" t="s">
        <v>3527</v>
      </c>
      <c r="F450" s="60">
        <v>25</v>
      </c>
      <c r="G450" s="60">
        <v>23</v>
      </c>
      <c r="H450" s="60">
        <v>11</v>
      </c>
      <c r="I450" s="60">
        <v>0</v>
      </c>
      <c r="J450" s="60">
        <v>15</v>
      </c>
      <c r="N450" s="107">
        <f>J449+J450+J451+J452+J453+J454+J455+J456+J457+J458</f>
        <v>116</v>
      </c>
      <c r="O450" s="101">
        <f>N450/AE67</f>
        <v>29</v>
      </c>
      <c r="P450" s="135">
        <f>1-N453</f>
        <v>0.34482758620689657</v>
      </c>
      <c r="AL450" s="31" t="s">
        <v>3183</v>
      </c>
      <c r="AM450" s="41"/>
      <c r="AN450" s="311"/>
      <c r="AO450" s="311"/>
      <c r="AP450" s="311"/>
      <c r="AQ450" s="108">
        <f>$AQ$440</f>
        <v>872.7517599110771</v>
      </c>
    </row>
    <row r="451" spans="3:43" x14ac:dyDescent="0.3">
      <c r="D451" s="4">
        <f t="shared" ref="D451:D458" si="17">D450+1</f>
        <v>3</v>
      </c>
      <c r="E451" s="36" t="s">
        <v>467</v>
      </c>
      <c r="F451" s="60">
        <v>18</v>
      </c>
      <c r="G451" s="60">
        <v>10</v>
      </c>
      <c r="H451" s="60">
        <v>4</v>
      </c>
      <c r="I451" s="60">
        <v>0</v>
      </c>
      <c r="J451" s="60">
        <v>14</v>
      </c>
      <c r="AL451" s="31" t="s">
        <v>475</v>
      </c>
      <c r="AM451" s="312"/>
      <c r="AN451" s="312"/>
      <c r="AO451" s="312"/>
      <c r="AP451" s="312"/>
      <c r="AQ451" s="116">
        <f>(AQ449/AQ450)*100000</f>
        <v>0</v>
      </c>
    </row>
    <row r="452" spans="3:43" x14ac:dyDescent="0.3">
      <c r="D452" s="4">
        <f t="shared" si="17"/>
        <v>4</v>
      </c>
      <c r="E452" s="36" t="s">
        <v>465</v>
      </c>
      <c r="F452" s="60">
        <v>21</v>
      </c>
      <c r="G452" s="60">
        <v>7</v>
      </c>
      <c r="H452" s="60">
        <v>5</v>
      </c>
      <c r="I452" s="60">
        <v>0</v>
      </c>
      <c r="J452" s="60">
        <v>15</v>
      </c>
    </row>
    <row r="453" spans="3:43" ht="33" x14ac:dyDescent="0.3">
      <c r="D453" s="4">
        <f t="shared" si="17"/>
        <v>5</v>
      </c>
      <c r="E453" s="36" t="s">
        <v>3541</v>
      </c>
      <c r="F453" s="60">
        <v>0</v>
      </c>
      <c r="G453" s="60">
        <v>12</v>
      </c>
      <c r="H453" s="60">
        <v>3</v>
      </c>
      <c r="I453" s="60">
        <v>0</v>
      </c>
      <c r="J453" s="60">
        <v>3</v>
      </c>
      <c r="M453" s="4" t="s">
        <v>1984</v>
      </c>
      <c r="N453" s="138">
        <f>(J450+J451+J452+J454+J455+J457)/J459</f>
        <v>0.65517241379310343</v>
      </c>
      <c r="AL453" s="40" t="s">
        <v>297</v>
      </c>
      <c r="AM453" s="40">
        <v>2014</v>
      </c>
      <c r="AN453" s="40">
        <f>AM453+1</f>
        <v>2015</v>
      </c>
      <c r="AO453" s="40">
        <f>AN453+1</f>
        <v>2016</v>
      </c>
      <c r="AP453" s="40">
        <f>AO453+1</f>
        <v>2017</v>
      </c>
      <c r="AQ453" s="40">
        <f>AP453+1</f>
        <v>2018</v>
      </c>
    </row>
    <row r="454" spans="3:43" ht="16.899999999999999" customHeight="1" x14ac:dyDescent="0.3">
      <c r="D454" s="4">
        <f t="shared" si="17"/>
        <v>6</v>
      </c>
      <c r="E454" s="36" t="s">
        <v>6017</v>
      </c>
      <c r="F454" s="60">
        <v>1</v>
      </c>
      <c r="G454" s="60">
        <v>0</v>
      </c>
      <c r="H454" s="60">
        <v>0</v>
      </c>
      <c r="I454" s="60">
        <v>0</v>
      </c>
      <c r="J454" s="60">
        <v>1</v>
      </c>
      <c r="M454" s="4" t="s">
        <v>1985</v>
      </c>
      <c r="N454" s="111">
        <f>1-N453</f>
        <v>0.34482758620689657</v>
      </c>
      <c r="AL454" s="31" t="s">
        <v>3185</v>
      </c>
      <c r="AM454" s="310"/>
      <c r="AN454" s="310"/>
      <c r="AO454" s="310"/>
      <c r="AP454" s="310"/>
      <c r="AQ454" s="313">
        <f>+J445</f>
        <v>0</v>
      </c>
    </row>
    <row r="455" spans="3:43" ht="42" customHeight="1" x14ac:dyDescent="0.3">
      <c r="D455" s="4">
        <f t="shared" si="17"/>
        <v>7</v>
      </c>
      <c r="E455" s="36" t="s">
        <v>3529</v>
      </c>
      <c r="F455" s="60">
        <v>25</v>
      </c>
      <c r="G455" s="60">
        <v>23</v>
      </c>
      <c r="H455" s="60">
        <v>11</v>
      </c>
      <c r="I455" s="60">
        <v>0</v>
      </c>
      <c r="J455" s="60">
        <v>15</v>
      </c>
      <c r="AL455" s="31" t="s">
        <v>3183</v>
      </c>
      <c r="AM455" s="41"/>
      <c r="AN455" s="311"/>
      <c r="AO455" s="311"/>
      <c r="AP455" s="311"/>
      <c r="AQ455" s="108">
        <f>$AQ$440</f>
        <v>872.7517599110771</v>
      </c>
    </row>
    <row r="456" spans="3:43" x14ac:dyDescent="0.3">
      <c r="D456" s="4">
        <f t="shared" si="17"/>
        <v>8</v>
      </c>
      <c r="E456" s="36" t="s">
        <v>6018</v>
      </c>
      <c r="F456" s="60">
        <v>1</v>
      </c>
      <c r="G456" s="60">
        <v>0</v>
      </c>
      <c r="H456" s="60">
        <v>0</v>
      </c>
      <c r="I456" s="60">
        <v>0</v>
      </c>
      <c r="J456" s="60">
        <v>0</v>
      </c>
      <c r="AL456" s="31" t="s">
        <v>476</v>
      </c>
      <c r="AM456" s="312"/>
      <c r="AN456" s="312"/>
      <c r="AO456" s="312"/>
      <c r="AP456" s="312"/>
      <c r="AQ456" s="116">
        <f>(AQ454/AQ455)*100000</f>
        <v>0</v>
      </c>
    </row>
    <row r="457" spans="3:43" x14ac:dyDescent="0.3">
      <c r="D457" s="4">
        <f t="shared" si="17"/>
        <v>9</v>
      </c>
      <c r="E457" s="36" t="s">
        <v>6019</v>
      </c>
      <c r="F457" s="60">
        <v>1</v>
      </c>
      <c r="G457" s="60">
        <v>10</v>
      </c>
      <c r="H457" s="60">
        <v>0</v>
      </c>
      <c r="I457" s="60">
        <v>0</v>
      </c>
      <c r="J457" s="60">
        <v>16</v>
      </c>
    </row>
    <row r="458" spans="3:43" x14ac:dyDescent="0.3">
      <c r="D458" s="4">
        <f t="shared" si="17"/>
        <v>10</v>
      </c>
      <c r="E458" s="36" t="s">
        <v>602</v>
      </c>
      <c r="F458" s="60">
        <v>6</v>
      </c>
      <c r="G458" s="60">
        <v>7</v>
      </c>
      <c r="H458" s="60">
        <v>4</v>
      </c>
      <c r="I458" s="60">
        <v>0</v>
      </c>
      <c r="J458" s="60">
        <v>22</v>
      </c>
    </row>
    <row r="459" spans="3:43" x14ac:dyDescent="0.3">
      <c r="E459" s="295" t="s">
        <v>0</v>
      </c>
      <c r="F459" s="61">
        <f>SUM(F449+F450+F451+F452+F453+F454+F455+F456+F457+F458)</f>
        <v>124</v>
      </c>
      <c r="G459" s="61">
        <f>SUM(G449:G458)</f>
        <v>116</v>
      </c>
      <c r="H459" s="61">
        <f>SUM(H449:H458)</f>
        <v>49</v>
      </c>
      <c r="I459" s="61">
        <f>SUM(I449:I458)</f>
        <v>0</v>
      </c>
      <c r="J459" s="61">
        <f>SUM(J449:J458)</f>
        <v>116</v>
      </c>
    </row>
    <row r="462" spans="3:43" s="315" customFormat="1" x14ac:dyDescent="0.3">
      <c r="C462" s="314"/>
      <c r="D462" s="4050" t="s">
        <v>307</v>
      </c>
      <c r="E462" s="4051"/>
      <c r="F462" s="4051"/>
      <c r="G462" s="4051"/>
      <c r="H462" s="4051"/>
      <c r="I462" s="4051"/>
      <c r="J462" s="4052"/>
    </row>
    <row r="464" spans="3:43" x14ac:dyDescent="0.3">
      <c r="D464" s="242" t="s">
        <v>62</v>
      </c>
      <c r="E464" s="242" t="s">
        <v>298</v>
      </c>
      <c r="F464" s="40">
        <v>2014</v>
      </c>
      <c r="G464" s="40">
        <f>F464+1</f>
        <v>2015</v>
      </c>
      <c r="H464" s="40">
        <f>G464+1</f>
        <v>2016</v>
      </c>
      <c r="I464" s="40">
        <f>H464+1</f>
        <v>2017</v>
      </c>
      <c r="J464" s="40">
        <f>I464+1</f>
        <v>2018</v>
      </c>
    </row>
    <row r="465" spans="3:18" ht="33" x14ac:dyDescent="0.3">
      <c r="D465" s="7">
        <v>1</v>
      </c>
      <c r="E465" s="58" t="s">
        <v>308</v>
      </c>
      <c r="F465" s="336">
        <v>0</v>
      </c>
      <c r="G465" s="336">
        <v>2</v>
      </c>
      <c r="H465" s="336">
        <v>2</v>
      </c>
      <c r="I465" s="336">
        <v>0</v>
      </c>
      <c r="J465" s="336">
        <v>1</v>
      </c>
    </row>
    <row r="466" spans="3:18" x14ac:dyDescent="0.3">
      <c r="D466" s="7">
        <v>2</v>
      </c>
      <c r="E466" s="236" t="s">
        <v>539</v>
      </c>
      <c r="F466" s="234">
        <v>4</v>
      </c>
      <c r="G466" s="234">
        <v>2</v>
      </c>
      <c r="H466" s="234">
        <v>1</v>
      </c>
      <c r="I466" s="234">
        <v>3</v>
      </c>
      <c r="J466" s="234">
        <v>3</v>
      </c>
    </row>
    <row r="467" spans="3:18" x14ac:dyDescent="0.3">
      <c r="D467" s="8">
        <v>3</v>
      </c>
      <c r="E467" s="8" t="s">
        <v>538</v>
      </c>
      <c r="F467" s="345">
        <f>F465/F466</f>
        <v>0</v>
      </c>
      <c r="G467" s="345">
        <f>G465/G466</f>
        <v>1</v>
      </c>
      <c r="H467" s="345">
        <f>H465/H466</f>
        <v>2</v>
      </c>
      <c r="I467" s="345">
        <f>I465/I466</f>
        <v>0</v>
      </c>
      <c r="J467" s="345">
        <f>J465/J466</f>
        <v>0.33333333333333331</v>
      </c>
    </row>
    <row r="468" spans="3:18" x14ac:dyDescent="0.3">
      <c r="G468" s="5"/>
      <c r="H468" s="5"/>
      <c r="I468" s="5"/>
      <c r="J468" s="5"/>
    </row>
    <row r="469" spans="3:18" x14ac:dyDescent="0.3">
      <c r="D469" s="242" t="s">
        <v>62</v>
      </c>
      <c r="E469" s="242" t="s">
        <v>298</v>
      </c>
      <c r="F469" s="40">
        <v>2014</v>
      </c>
      <c r="G469" s="40">
        <f>F469+1</f>
        <v>2015</v>
      </c>
      <c r="H469" s="40">
        <f>G469+1</f>
        <v>2016</v>
      </c>
      <c r="I469" s="40">
        <f>H469+1</f>
        <v>2017</v>
      </c>
      <c r="J469" s="40">
        <f>I469+1</f>
        <v>2018</v>
      </c>
    </row>
    <row r="470" spans="3:18" ht="33" x14ac:dyDescent="0.3">
      <c r="D470" s="7">
        <v>1</v>
      </c>
      <c r="E470" s="58" t="s">
        <v>537</v>
      </c>
      <c r="F470" s="336">
        <v>2</v>
      </c>
      <c r="G470" s="336">
        <v>0</v>
      </c>
      <c r="H470" s="336">
        <v>3</v>
      </c>
      <c r="I470" s="336">
        <v>0</v>
      </c>
      <c r="J470" s="336">
        <v>0</v>
      </c>
    </row>
    <row r="471" spans="3:18" x14ac:dyDescent="0.3">
      <c r="D471" s="7">
        <v>2</v>
      </c>
      <c r="E471" s="236" t="s">
        <v>536</v>
      </c>
      <c r="F471" s="234">
        <v>3</v>
      </c>
      <c r="G471" s="234">
        <v>2</v>
      </c>
      <c r="H471" s="234">
        <v>1</v>
      </c>
      <c r="I471" s="234">
        <v>0</v>
      </c>
      <c r="J471" s="234">
        <v>3</v>
      </c>
      <c r="L471" s="323"/>
      <c r="M471" s="324"/>
      <c r="N471" s="325"/>
      <c r="O471" s="321"/>
      <c r="P471" s="321"/>
      <c r="Q471" s="321"/>
      <c r="R471" s="326"/>
    </row>
    <row r="472" spans="3:18" x14ac:dyDescent="0.3">
      <c r="D472" s="8">
        <v>3</v>
      </c>
      <c r="E472" s="8" t="s">
        <v>535</v>
      </c>
      <c r="F472" s="345">
        <f>F470/F471</f>
        <v>0.66666666666666663</v>
      </c>
      <c r="G472" s="345">
        <f>G470/G471</f>
        <v>0</v>
      </c>
      <c r="H472" s="345">
        <f>H470/H471</f>
        <v>3</v>
      </c>
      <c r="I472" s="345" t="e">
        <f>I470/I471</f>
        <v>#DIV/0!</v>
      </c>
      <c r="J472" s="345">
        <f>J470/J471</f>
        <v>0</v>
      </c>
    </row>
    <row r="473" spans="3:18" x14ac:dyDescent="0.3">
      <c r="G473" s="5"/>
      <c r="H473" s="5"/>
      <c r="I473" s="5"/>
      <c r="J473" s="5"/>
    </row>
    <row r="474" spans="3:18" x14ac:dyDescent="0.3">
      <c r="D474" s="242" t="s">
        <v>62</v>
      </c>
      <c r="E474" s="242" t="s">
        <v>298</v>
      </c>
      <c r="F474" s="40">
        <v>2014</v>
      </c>
      <c r="G474" s="40">
        <f>F474+1</f>
        <v>2015</v>
      </c>
      <c r="H474" s="40">
        <f>G474+1</f>
        <v>2016</v>
      </c>
      <c r="I474" s="40">
        <f>H474+1</f>
        <v>2017</v>
      </c>
      <c r="J474" s="40">
        <f>I474+1</f>
        <v>2018</v>
      </c>
    </row>
    <row r="475" spans="3:18" s="318" customFormat="1" x14ac:dyDescent="0.3">
      <c r="C475" s="322"/>
      <c r="D475" s="236">
        <v>1</v>
      </c>
      <c r="E475" s="236" t="s">
        <v>533</v>
      </c>
      <c r="F475" s="234">
        <v>0</v>
      </c>
      <c r="G475" s="234">
        <v>1</v>
      </c>
      <c r="H475" s="234">
        <v>2</v>
      </c>
      <c r="I475" s="234">
        <v>0</v>
      </c>
      <c r="J475" s="234">
        <v>0</v>
      </c>
    </row>
    <row r="476" spans="3:18" x14ac:dyDescent="0.3">
      <c r="D476" s="7">
        <v>2</v>
      </c>
      <c r="E476" s="236" t="s">
        <v>534</v>
      </c>
      <c r="F476" s="234">
        <v>3</v>
      </c>
      <c r="G476" s="234">
        <v>2</v>
      </c>
      <c r="H476" s="234">
        <v>1</v>
      </c>
      <c r="I476" s="234">
        <v>0</v>
      </c>
      <c r="J476" s="234">
        <v>3</v>
      </c>
    </row>
    <row r="477" spans="3:18" x14ac:dyDescent="0.3">
      <c r="D477" s="8">
        <v>3</v>
      </c>
      <c r="E477" s="8" t="s">
        <v>472</v>
      </c>
      <c r="F477" s="345">
        <f>F475/F476</f>
        <v>0</v>
      </c>
      <c r="G477" s="345">
        <f t="shared" ref="G477:J477" si="18">G475/G476</f>
        <v>0.5</v>
      </c>
      <c r="H477" s="345">
        <f t="shared" si="18"/>
        <v>2</v>
      </c>
      <c r="I477" s="345" t="e">
        <f t="shared" si="18"/>
        <v>#DIV/0!</v>
      </c>
      <c r="J477" s="345">
        <f t="shared" si="18"/>
        <v>0</v>
      </c>
    </row>
  </sheetData>
  <autoFilter ref="E197:E276" xr:uid="{00000000-0009-0000-0000-000003000000}"/>
  <mergeCells count="229">
    <mergeCell ref="AE43:AE44"/>
    <mergeCell ref="E155:F155"/>
    <mergeCell ref="E154:F154"/>
    <mergeCell ref="K429:L429"/>
    <mergeCell ref="M429:N429"/>
    <mergeCell ref="O429:P429"/>
    <mergeCell ref="E429:F430"/>
    <mergeCell ref="G429:H429"/>
    <mergeCell ref="I429:J429"/>
    <mergeCell ref="D426:F426"/>
    <mergeCell ref="D412:F412"/>
    <mergeCell ref="D400:H400"/>
    <mergeCell ref="J400:P400"/>
    <mergeCell ref="K401:M401"/>
    <mergeCell ref="K402:M402"/>
    <mergeCell ref="K403:M403"/>
    <mergeCell ref="K405:M405"/>
    <mergeCell ref="D326:H326"/>
    <mergeCell ref="J326:P326"/>
    <mergeCell ref="K327:M327"/>
    <mergeCell ref="L188:M188"/>
    <mergeCell ref="Z43:Z44"/>
    <mergeCell ref="E135:E136"/>
    <mergeCell ref="E137:F137"/>
    <mergeCell ref="E138:F138"/>
    <mergeCell ref="E139:F139"/>
    <mergeCell ref="E145:F145"/>
    <mergeCell ref="E146:F146"/>
    <mergeCell ref="E134:F134"/>
    <mergeCell ref="O126:P126"/>
    <mergeCell ref="G127:G128"/>
    <mergeCell ref="E131:F131"/>
    <mergeCell ref="E132:F132"/>
    <mergeCell ref="E133:F133"/>
    <mergeCell ref="H127:H128"/>
    <mergeCell ref="I127:I128"/>
    <mergeCell ref="J127:J128"/>
    <mergeCell ref="E130:F130"/>
    <mergeCell ref="E126:F129"/>
    <mergeCell ref="G126:H126"/>
    <mergeCell ref="I126:J126"/>
    <mergeCell ref="E186:E187"/>
    <mergeCell ref="L186:M187"/>
    <mergeCell ref="L190:M190"/>
    <mergeCell ref="F186:K186"/>
    <mergeCell ref="N186:S186"/>
    <mergeCell ref="R159:T159"/>
    <mergeCell ref="L180:N180"/>
    <mergeCell ref="F159:H159"/>
    <mergeCell ref="I159:K159"/>
    <mergeCell ref="L159:N159"/>
    <mergeCell ref="L189:M189"/>
    <mergeCell ref="AA43:AA44"/>
    <mergeCell ref="AB43:AB44"/>
    <mergeCell ref="AC43:AC44"/>
    <mergeCell ref="AD43:AD44"/>
    <mergeCell ref="K127:K128"/>
    <mergeCell ref="L127:L128"/>
    <mergeCell ref="M127:M128"/>
    <mergeCell ref="N127:N128"/>
    <mergeCell ref="O127:O128"/>
    <mergeCell ref="M102:S102"/>
    <mergeCell ref="W43:Y44"/>
    <mergeCell ref="M46:O46"/>
    <mergeCell ref="M47:O47"/>
    <mergeCell ref="M48:O48"/>
    <mergeCell ref="M49:O49"/>
    <mergeCell ref="K126:L126"/>
    <mergeCell ref="M126:N126"/>
    <mergeCell ref="F109:L109"/>
    <mergeCell ref="M73:O73"/>
    <mergeCell ref="M86:O86"/>
    <mergeCell ref="M75:O75"/>
    <mergeCell ref="M74:O74"/>
    <mergeCell ref="M76:O76"/>
    <mergeCell ref="M77:O77"/>
    <mergeCell ref="E148:F148"/>
    <mergeCell ref="E149:F149"/>
    <mergeCell ref="E150:F150"/>
    <mergeCell ref="E151:E152"/>
    <mergeCell ref="E153:F153"/>
    <mergeCell ref="D414:H414"/>
    <mergeCell ref="E159:E160"/>
    <mergeCell ref="D340:H340"/>
    <mergeCell ref="J340:P340"/>
    <mergeCell ref="D354:H354"/>
    <mergeCell ref="D398:F398"/>
    <mergeCell ref="D386:H386"/>
    <mergeCell ref="J386:P386"/>
    <mergeCell ref="K387:M387"/>
    <mergeCell ref="K388:M388"/>
    <mergeCell ref="K390:M390"/>
    <mergeCell ref="K394:M394"/>
    <mergeCell ref="K395:M395"/>
    <mergeCell ref="K397:M397"/>
    <mergeCell ref="K389:M389"/>
    <mergeCell ref="D352:E352"/>
    <mergeCell ref="J352:M352"/>
    <mergeCell ref="D366:F366"/>
    <mergeCell ref="J338:M338"/>
    <mergeCell ref="R22:R23"/>
    <mergeCell ref="M43:O44"/>
    <mergeCell ref="I43:I44"/>
    <mergeCell ref="J43:J44"/>
    <mergeCell ref="K43:K44"/>
    <mergeCell ref="M45:O45"/>
    <mergeCell ref="M69:O69"/>
    <mergeCell ref="M70:O70"/>
    <mergeCell ref="M71:O71"/>
    <mergeCell ref="M67:O67"/>
    <mergeCell ref="M68:O68"/>
    <mergeCell ref="M65:O65"/>
    <mergeCell ref="M54:O54"/>
    <mergeCell ref="M55:O55"/>
    <mergeCell ref="M56:O56"/>
    <mergeCell ref="M57:O57"/>
    <mergeCell ref="M58:O58"/>
    <mergeCell ref="M59:O59"/>
    <mergeCell ref="M60:O60"/>
    <mergeCell ref="M61:O61"/>
    <mergeCell ref="M62:O62"/>
    <mergeCell ref="M63:O63"/>
    <mergeCell ref="M64:O64"/>
    <mergeCell ref="M66:O66"/>
    <mergeCell ref="E15:G15"/>
    <mergeCell ref="E16:G16"/>
    <mergeCell ref="E43:E44"/>
    <mergeCell ref="F43:F44"/>
    <mergeCell ref="G43:G44"/>
    <mergeCell ref="H43:H44"/>
    <mergeCell ref="D5:Q5"/>
    <mergeCell ref="D6:Q6"/>
    <mergeCell ref="E17:G17"/>
    <mergeCell ref="M22:Q22"/>
    <mergeCell ref="L22:L23"/>
    <mergeCell ref="P43:P44"/>
    <mergeCell ref="Q43:Q44"/>
    <mergeCell ref="K342:M342"/>
    <mergeCell ref="K346:M346"/>
    <mergeCell ref="K347:M347"/>
    <mergeCell ref="K348:M348"/>
    <mergeCell ref="K349:M349"/>
    <mergeCell ref="K404:M404"/>
    <mergeCell ref="D338:E338"/>
    <mergeCell ref="K337:M337"/>
    <mergeCell ref="K328:M328"/>
    <mergeCell ref="K329:M329"/>
    <mergeCell ref="K330:M330"/>
    <mergeCell ref="K331:M331"/>
    <mergeCell ref="K332:M332"/>
    <mergeCell ref="K333:M333"/>
    <mergeCell ref="K334:M334"/>
    <mergeCell ref="K335:M335"/>
    <mergeCell ref="K336:M336"/>
    <mergeCell ref="K350:M350"/>
    <mergeCell ref="K343:M343"/>
    <mergeCell ref="K344:M344"/>
    <mergeCell ref="K345:M345"/>
    <mergeCell ref="K391:M391"/>
    <mergeCell ref="K392:M392"/>
    <mergeCell ref="AG440:AH440"/>
    <mergeCell ref="AI440:AJ440"/>
    <mergeCell ref="AG441:AH441"/>
    <mergeCell ref="AI441:AJ441"/>
    <mergeCell ref="AE438:AF440"/>
    <mergeCell ref="AG438:AJ438"/>
    <mergeCell ref="AG439:AJ439"/>
    <mergeCell ref="J398:M398"/>
    <mergeCell ref="J412:M412"/>
    <mergeCell ref="K410:M410"/>
    <mergeCell ref="D462:J462"/>
    <mergeCell ref="E443:E444"/>
    <mergeCell ref="AE443:AF445"/>
    <mergeCell ref="AG443:AJ443"/>
    <mergeCell ref="AG444:AJ444"/>
    <mergeCell ref="AG445:AH445"/>
    <mergeCell ref="AI445:AJ445"/>
    <mergeCell ref="AG446:AH446"/>
    <mergeCell ref="AI446:AJ446"/>
    <mergeCell ref="F443:J443"/>
    <mergeCell ref="L443:P443"/>
    <mergeCell ref="M79:O79"/>
    <mergeCell ref="M80:O80"/>
    <mergeCell ref="M81:O81"/>
    <mergeCell ref="M82:O82"/>
    <mergeCell ref="M83:O83"/>
    <mergeCell ref="M84:O84"/>
    <mergeCell ref="F94:L94"/>
    <mergeCell ref="M94:S94"/>
    <mergeCell ref="E438:E439"/>
    <mergeCell ref="R438:V438"/>
    <mergeCell ref="E275:H276"/>
    <mergeCell ref="E147:F147"/>
    <mergeCell ref="K406:M406"/>
    <mergeCell ref="K407:M407"/>
    <mergeCell ref="K408:M408"/>
    <mergeCell ref="K409:M409"/>
    <mergeCell ref="F438:J438"/>
    <mergeCell ref="L438:P438"/>
    <mergeCell ref="E434:F434"/>
    <mergeCell ref="E433:F433"/>
    <mergeCell ref="E432:F432"/>
    <mergeCell ref="E431:F431"/>
    <mergeCell ref="K351:M351"/>
    <mergeCell ref="K341:M341"/>
    <mergeCell ref="T43:T44"/>
    <mergeCell ref="U43:U44"/>
    <mergeCell ref="M72:O72"/>
    <mergeCell ref="R127:R128"/>
    <mergeCell ref="P127:P128"/>
    <mergeCell ref="K299:K302"/>
    <mergeCell ref="O159:Q159"/>
    <mergeCell ref="L177:N177"/>
    <mergeCell ref="L178:N178"/>
    <mergeCell ref="L179:N179"/>
    <mergeCell ref="L191:M191"/>
    <mergeCell ref="L192:M192"/>
    <mergeCell ref="L181:N181"/>
    <mergeCell ref="L182:N182"/>
    <mergeCell ref="F102:L102"/>
    <mergeCell ref="Q126:R126"/>
    <mergeCell ref="Q127:Q128"/>
    <mergeCell ref="M50:O50"/>
    <mergeCell ref="M51:O51"/>
    <mergeCell ref="M52:O52"/>
    <mergeCell ref="M53:O53"/>
    <mergeCell ref="R43:R44"/>
    <mergeCell ref="S43:S44"/>
    <mergeCell ref="M78:O78"/>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249977111117893"/>
  </sheetPr>
  <dimension ref="B1:BM102"/>
  <sheetViews>
    <sheetView tabSelected="1" zoomScale="70" zoomScaleNormal="70" workbookViewId="0">
      <selection activeCell="M102" sqref="M102"/>
    </sheetView>
  </sheetViews>
  <sheetFormatPr baseColWidth="10" defaultRowHeight="12.75" x14ac:dyDescent="0.2"/>
  <cols>
    <col min="1" max="1" width="2.28515625" style="3886" customWidth="1"/>
    <col min="2" max="2" width="6.42578125" style="3883" customWidth="1"/>
    <col min="3" max="3" width="37.5703125" style="3883" customWidth="1"/>
    <col min="4" max="4" width="10.28515625" style="3883" customWidth="1"/>
    <col min="5" max="5" width="9.5703125" style="3883" customWidth="1"/>
    <col min="6" max="6" width="9.7109375" style="3883" customWidth="1"/>
    <col min="7" max="7" width="9" style="3883" customWidth="1"/>
    <col min="8" max="8" width="9.28515625" style="3883" customWidth="1"/>
    <col min="9" max="9" width="9.140625" style="3883" customWidth="1"/>
    <col min="10" max="10" width="5.28515625" style="3883" customWidth="1"/>
    <col min="11" max="11" width="7" style="3883" customWidth="1"/>
    <col min="12" max="12" width="40.28515625" style="3883" customWidth="1"/>
    <col min="13" max="13" width="9.140625" style="3883" customWidth="1"/>
    <col min="14" max="18" width="10.7109375" style="3883" customWidth="1"/>
    <col min="19" max="19" width="9.7109375" style="3886" customWidth="1"/>
    <col min="20" max="20" width="10.140625" style="3886" customWidth="1"/>
    <col min="21" max="21" width="10.85546875" style="3886" customWidth="1"/>
    <col min="22" max="22" width="9.85546875" style="3886" customWidth="1"/>
    <col min="23" max="25" width="6.140625" style="3886" customWidth="1"/>
    <col min="26" max="26" width="50.42578125" style="3886" customWidth="1"/>
    <col min="27" max="27" width="11.5703125" style="3886" customWidth="1"/>
    <col min="28" max="28" width="6.7109375" style="3886" customWidth="1"/>
    <col min="29" max="29" width="9.7109375" style="3886" customWidth="1"/>
    <col min="30" max="31" width="10" style="3886" customWidth="1"/>
    <col min="32" max="32" width="13.7109375" style="3886" customWidth="1"/>
    <col min="33" max="33" width="9.85546875" style="3886" customWidth="1"/>
    <col min="34" max="36" width="6.140625" style="3886" customWidth="1"/>
    <col min="37" max="37" width="49" style="3886" customWidth="1"/>
    <col min="38" max="38" width="10.85546875" style="3886" customWidth="1"/>
    <col min="39" max="43" width="6.7109375" style="3886" customWidth="1"/>
    <col min="44" max="44" width="10" style="3886" customWidth="1"/>
    <col min="45" max="46" width="6.140625" style="3886" customWidth="1"/>
    <col min="47" max="47" width="5.28515625" style="3886" customWidth="1"/>
    <col min="48" max="48" width="65.28515625" style="3886" customWidth="1"/>
    <col min="49" max="49" width="13.28515625" style="3886" customWidth="1"/>
    <col min="50" max="54" width="6.7109375" style="3886" customWidth="1"/>
    <col min="55" max="56" width="11.5703125" style="3886"/>
    <col min="57" max="57" width="5.28515625" style="3886" customWidth="1"/>
    <col min="58" max="58" width="65.28515625" style="3886" customWidth="1"/>
    <col min="59" max="59" width="13.28515625" style="3886" customWidth="1"/>
    <col min="60" max="64" width="6.7109375" style="3886" customWidth="1"/>
    <col min="65" max="268" width="11.5703125" style="3886"/>
    <col min="269" max="270" width="6.140625" style="3886" customWidth="1"/>
    <col min="271" max="271" width="50.42578125" style="3886" customWidth="1"/>
    <col min="272" max="272" width="11.5703125" style="3886" customWidth="1"/>
    <col min="273" max="277" width="6.7109375" style="3886" customWidth="1"/>
    <col min="278" max="278" width="9.85546875" style="3886" customWidth="1"/>
    <col min="279" max="281" width="6.140625" style="3886" customWidth="1"/>
    <col min="282" max="282" width="50.42578125" style="3886" customWidth="1"/>
    <col min="283" max="283" width="11.5703125" style="3886" customWidth="1"/>
    <col min="284" max="288" width="6.7109375" style="3886" customWidth="1"/>
    <col min="289" max="289" width="9.85546875" style="3886" customWidth="1"/>
    <col min="290" max="292" width="6.140625" style="3886" customWidth="1"/>
    <col min="293" max="293" width="49" style="3886" customWidth="1"/>
    <col min="294" max="294" width="10.85546875" style="3886" customWidth="1"/>
    <col min="295" max="299" width="6.7109375" style="3886" customWidth="1"/>
    <col min="300" max="300" width="10" style="3886" customWidth="1"/>
    <col min="301" max="302" width="6.140625" style="3886" customWidth="1"/>
    <col min="303" max="303" width="5.28515625" style="3886" customWidth="1"/>
    <col min="304" max="304" width="65.28515625" style="3886" customWidth="1"/>
    <col min="305" max="305" width="13.28515625" style="3886" customWidth="1"/>
    <col min="306" max="310" width="6.7109375" style="3886" customWidth="1"/>
    <col min="311" max="312" width="11.5703125" style="3886"/>
    <col min="313" max="313" width="5.28515625" style="3886" customWidth="1"/>
    <col min="314" max="314" width="65.28515625" style="3886" customWidth="1"/>
    <col min="315" max="315" width="13.28515625" style="3886" customWidth="1"/>
    <col min="316" max="320" width="6.7109375" style="3886" customWidth="1"/>
    <col min="321" max="524" width="11.5703125" style="3886"/>
    <col min="525" max="526" width="6.140625" style="3886" customWidth="1"/>
    <col min="527" max="527" width="50.42578125" style="3886" customWidth="1"/>
    <col min="528" max="528" width="11.5703125" style="3886" customWidth="1"/>
    <col min="529" max="533" width="6.7109375" style="3886" customWidth="1"/>
    <col min="534" max="534" width="9.85546875" style="3886" customWidth="1"/>
    <col min="535" max="537" width="6.140625" style="3886" customWidth="1"/>
    <col min="538" max="538" width="50.42578125" style="3886" customWidth="1"/>
    <col min="539" max="539" width="11.5703125" style="3886" customWidth="1"/>
    <col min="540" max="544" width="6.7109375" style="3886" customWidth="1"/>
    <col min="545" max="545" width="9.85546875" style="3886" customWidth="1"/>
    <col min="546" max="548" width="6.140625" style="3886" customWidth="1"/>
    <col min="549" max="549" width="49" style="3886" customWidth="1"/>
    <col min="550" max="550" width="10.85546875" style="3886" customWidth="1"/>
    <col min="551" max="555" width="6.7109375" style="3886" customWidth="1"/>
    <col min="556" max="556" width="10" style="3886" customWidth="1"/>
    <col min="557" max="558" width="6.140625" style="3886" customWidth="1"/>
    <col min="559" max="559" width="5.28515625" style="3886" customWidth="1"/>
    <col min="560" max="560" width="65.28515625" style="3886" customWidth="1"/>
    <col min="561" max="561" width="13.28515625" style="3886" customWidth="1"/>
    <col min="562" max="566" width="6.7109375" style="3886" customWidth="1"/>
    <col min="567" max="568" width="11.5703125" style="3886"/>
    <col min="569" max="569" width="5.28515625" style="3886" customWidth="1"/>
    <col min="570" max="570" width="65.28515625" style="3886" customWidth="1"/>
    <col min="571" max="571" width="13.28515625" style="3886" customWidth="1"/>
    <col min="572" max="576" width="6.7109375" style="3886" customWidth="1"/>
    <col min="577" max="780" width="11.5703125" style="3886"/>
    <col min="781" max="782" width="6.140625" style="3886" customWidth="1"/>
    <col min="783" max="783" width="50.42578125" style="3886" customWidth="1"/>
    <col min="784" max="784" width="11.5703125" style="3886" customWidth="1"/>
    <col min="785" max="789" width="6.7109375" style="3886" customWidth="1"/>
    <col min="790" max="790" width="9.85546875" style="3886" customWidth="1"/>
    <col min="791" max="793" width="6.140625" style="3886" customWidth="1"/>
    <col min="794" max="794" width="50.42578125" style="3886" customWidth="1"/>
    <col min="795" max="795" width="11.5703125" style="3886" customWidth="1"/>
    <col min="796" max="800" width="6.7109375" style="3886" customWidth="1"/>
    <col min="801" max="801" width="9.85546875" style="3886" customWidth="1"/>
    <col min="802" max="804" width="6.140625" style="3886" customWidth="1"/>
    <col min="805" max="805" width="49" style="3886" customWidth="1"/>
    <col min="806" max="806" width="10.85546875" style="3886" customWidth="1"/>
    <col min="807" max="811" width="6.7109375" style="3886" customWidth="1"/>
    <col min="812" max="812" width="10" style="3886" customWidth="1"/>
    <col min="813" max="814" width="6.140625" style="3886" customWidth="1"/>
    <col min="815" max="815" width="5.28515625" style="3886" customWidth="1"/>
    <col min="816" max="816" width="65.28515625" style="3886" customWidth="1"/>
    <col min="817" max="817" width="13.28515625" style="3886" customWidth="1"/>
    <col min="818" max="822" width="6.7109375" style="3886" customWidth="1"/>
    <col min="823" max="824" width="11.5703125" style="3886"/>
    <col min="825" max="825" width="5.28515625" style="3886" customWidth="1"/>
    <col min="826" max="826" width="65.28515625" style="3886" customWidth="1"/>
    <col min="827" max="827" width="13.28515625" style="3886" customWidth="1"/>
    <col min="828" max="832" width="6.7109375" style="3886" customWidth="1"/>
    <col min="833" max="1036" width="11.5703125" style="3886"/>
    <col min="1037" max="1038" width="6.140625" style="3886" customWidth="1"/>
    <col min="1039" max="1039" width="50.42578125" style="3886" customWidth="1"/>
    <col min="1040" max="1040" width="11.5703125" style="3886" customWidth="1"/>
    <col min="1041" max="1045" width="6.7109375" style="3886" customWidth="1"/>
    <col min="1046" max="1046" width="9.85546875" style="3886" customWidth="1"/>
    <col min="1047" max="1049" width="6.140625" style="3886" customWidth="1"/>
    <col min="1050" max="1050" width="50.42578125" style="3886" customWidth="1"/>
    <col min="1051" max="1051" width="11.5703125" style="3886" customWidth="1"/>
    <col min="1052" max="1056" width="6.7109375" style="3886" customWidth="1"/>
    <col min="1057" max="1057" width="9.85546875" style="3886" customWidth="1"/>
    <col min="1058" max="1060" width="6.140625" style="3886" customWidth="1"/>
    <col min="1061" max="1061" width="49" style="3886" customWidth="1"/>
    <col min="1062" max="1062" width="10.85546875" style="3886" customWidth="1"/>
    <col min="1063" max="1067" width="6.7109375" style="3886" customWidth="1"/>
    <col min="1068" max="1068" width="10" style="3886" customWidth="1"/>
    <col min="1069" max="1070" width="6.140625" style="3886" customWidth="1"/>
    <col min="1071" max="1071" width="5.28515625" style="3886" customWidth="1"/>
    <col min="1072" max="1072" width="65.28515625" style="3886" customWidth="1"/>
    <col min="1073" max="1073" width="13.28515625" style="3886" customWidth="1"/>
    <col min="1074" max="1078" width="6.7109375" style="3886" customWidth="1"/>
    <col min="1079" max="1080" width="11.5703125" style="3886"/>
    <col min="1081" max="1081" width="5.28515625" style="3886" customWidth="1"/>
    <col min="1082" max="1082" width="65.28515625" style="3886" customWidth="1"/>
    <col min="1083" max="1083" width="13.28515625" style="3886" customWidth="1"/>
    <col min="1084" max="1088" width="6.7109375" style="3886" customWidth="1"/>
    <col min="1089" max="1292" width="11.5703125" style="3886"/>
    <col min="1293" max="1294" width="6.140625" style="3886" customWidth="1"/>
    <col min="1295" max="1295" width="50.42578125" style="3886" customWidth="1"/>
    <col min="1296" max="1296" width="11.5703125" style="3886" customWidth="1"/>
    <col min="1297" max="1301" width="6.7109375" style="3886" customWidth="1"/>
    <col min="1302" max="1302" width="9.85546875" style="3886" customWidth="1"/>
    <col min="1303" max="1305" width="6.140625" style="3886" customWidth="1"/>
    <col min="1306" max="1306" width="50.42578125" style="3886" customWidth="1"/>
    <col min="1307" max="1307" width="11.5703125" style="3886" customWidth="1"/>
    <col min="1308" max="1312" width="6.7109375" style="3886" customWidth="1"/>
    <col min="1313" max="1313" width="9.85546875" style="3886" customWidth="1"/>
    <col min="1314" max="1316" width="6.140625" style="3886" customWidth="1"/>
    <col min="1317" max="1317" width="49" style="3886" customWidth="1"/>
    <col min="1318" max="1318" width="10.85546875" style="3886" customWidth="1"/>
    <col min="1319" max="1323" width="6.7109375" style="3886" customWidth="1"/>
    <col min="1324" max="1324" width="10" style="3886" customWidth="1"/>
    <col min="1325" max="1326" width="6.140625" style="3886" customWidth="1"/>
    <col min="1327" max="1327" width="5.28515625" style="3886" customWidth="1"/>
    <col min="1328" max="1328" width="65.28515625" style="3886" customWidth="1"/>
    <col min="1329" max="1329" width="13.28515625" style="3886" customWidth="1"/>
    <col min="1330" max="1334" width="6.7109375" style="3886" customWidth="1"/>
    <col min="1335" max="1336" width="11.5703125" style="3886"/>
    <col min="1337" max="1337" width="5.28515625" style="3886" customWidth="1"/>
    <col min="1338" max="1338" width="65.28515625" style="3886" customWidth="1"/>
    <col min="1339" max="1339" width="13.28515625" style="3886" customWidth="1"/>
    <col min="1340" max="1344" width="6.7109375" style="3886" customWidth="1"/>
    <col min="1345" max="1548" width="11.5703125" style="3886"/>
    <col min="1549" max="1550" width="6.140625" style="3886" customWidth="1"/>
    <col min="1551" max="1551" width="50.42578125" style="3886" customWidth="1"/>
    <col min="1552" max="1552" width="11.5703125" style="3886" customWidth="1"/>
    <col min="1553" max="1557" width="6.7109375" style="3886" customWidth="1"/>
    <col min="1558" max="1558" width="9.85546875" style="3886" customWidth="1"/>
    <col min="1559" max="1561" width="6.140625" style="3886" customWidth="1"/>
    <col min="1562" max="1562" width="50.42578125" style="3886" customWidth="1"/>
    <col min="1563" max="1563" width="11.5703125" style="3886" customWidth="1"/>
    <col min="1564" max="1568" width="6.7109375" style="3886" customWidth="1"/>
    <col min="1569" max="1569" width="9.85546875" style="3886" customWidth="1"/>
    <col min="1570" max="1572" width="6.140625" style="3886" customWidth="1"/>
    <col min="1573" max="1573" width="49" style="3886" customWidth="1"/>
    <col min="1574" max="1574" width="10.85546875" style="3886" customWidth="1"/>
    <col min="1575" max="1579" width="6.7109375" style="3886" customWidth="1"/>
    <col min="1580" max="1580" width="10" style="3886" customWidth="1"/>
    <col min="1581" max="1582" width="6.140625" style="3886" customWidth="1"/>
    <col min="1583" max="1583" width="5.28515625" style="3886" customWidth="1"/>
    <col min="1584" max="1584" width="65.28515625" style="3886" customWidth="1"/>
    <col min="1585" max="1585" width="13.28515625" style="3886" customWidth="1"/>
    <col min="1586" max="1590" width="6.7109375" style="3886" customWidth="1"/>
    <col min="1591" max="1592" width="11.5703125" style="3886"/>
    <col min="1593" max="1593" width="5.28515625" style="3886" customWidth="1"/>
    <col min="1594" max="1594" width="65.28515625" style="3886" customWidth="1"/>
    <col min="1595" max="1595" width="13.28515625" style="3886" customWidth="1"/>
    <col min="1596" max="1600" width="6.7109375" style="3886" customWidth="1"/>
    <col min="1601" max="1804" width="11.5703125" style="3886"/>
    <col min="1805" max="1806" width="6.140625" style="3886" customWidth="1"/>
    <col min="1807" max="1807" width="50.42578125" style="3886" customWidth="1"/>
    <col min="1808" max="1808" width="11.5703125" style="3886" customWidth="1"/>
    <col min="1809" max="1813" width="6.7109375" style="3886" customWidth="1"/>
    <col min="1814" max="1814" width="9.85546875" style="3886" customWidth="1"/>
    <col min="1815" max="1817" width="6.140625" style="3886" customWidth="1"/>
    <col min="1818" max="1818" width="50.42578125" style="3886" customWidth="1"/>
    <col min="1819" max="1819" width="11.5703125" style="3886" customWidth="1"/>
    <col min="1820" max="1824" width="6.7109375" style="3886" customWidth="1"/>
    <col min="1825" max="1825" width="9.85546875" style="3886" customWidth="1"/>
    <col min="1826" max="1828" width="6.140625" style="3886" customWidth="1"/>
    <col min="1829" max="1829" width="49" style="3886" customWidth="1"/>
    <col min="1830" max="1830" width="10.85546875" style="3886" customWidth="1"/>
    <col min="1831" max="1835" width="6.7109375" style="3886" customWidth="1"/>
    <col min="1836" max="1836" width="10" style="3886" customWidth="1"/>
    <col min="1837" max="1838" width="6.140625" style="3886" customWidth="1"/>
    <col min="1839" max="1839" width="5.28515625" style="3886" customWidth="1"/>
    <col min="1840" max="1840" width="65.28515625" style="3886" customWidth="1"/>
    <col min="1841" max="1841" width="13.28515625" style="3886" customWidth="1"/>
    <col min="1842" max="1846" width="6.7109375" style="3886" customWidth="1"/>
    <col min="1847" max="1848" width="11.5703125" style="3886"/>
    <col min="1849" max="1849" width="5.28515625" style="3886" customWidth="1"/>
    <col min="1850" max="1850" width="65.28515625" style="3886" customWidth="1"/>
    <col min="1851" max="1851" width="13.28515625" style="3886" customWidth="1"/>
    <col min="1852" max="1856" width="6.7109375" style="3886" customWidth="1"/>
    <col min="1857" max="2060" width="11.5703125" style="3886"/>
    <col min="2061" max="2062" width="6.140625" style="3886" customWidth="1"/>
    <col min="2063" max="2063" width="50.42578125" style="3886" customWidth="1"/>
    <col min="2064" max="2064" width="11.5703125" style="3886" customWidth="1"/>
    <col min="2065" max="2069" width="6.7109375" style="3886" customWidth="1"/>
    <col min="2070" max="2070" width="9.85546875" style="3886" customWidth="1"/>
    <col min="2071" max="2073" width="6.140625" style="3886" customWidth="1"/>
    <col min="2074" max="2074" width="50.42578125" style="3886" customWidth="1"/>
    <col min="2075" max="2075" width="11.5703125" style="3886" customWidth="1"/>
    <col min="2076" max="2080" width="6.7109375" style="3886" customWidth="1"/>
    <col min="2081" max="2081" width="9.85546875" style="3886" customWidth="1"/>
    <col min="2082" max="2084" width="6.140625" style="3886" customWidth="1"/>
    <col min="2085" max="2085" width="49" style="3886" customWidth="1"/>
    <col min="2086" max="2086" width="10.85546875" style="3886" customWidth="1"/>
    <col min="2087" max="2091" width="6.7109375" style="3886" customWidth="1"/>
    <col min="2092" max="2092" width="10" style="3886" customWidth="1"/>
    <col min="2093" max="2094" width="6.140625" style="3886" customWidth="1"/>
    <col min="2095" max="2095" width="5.28515625" style="3886" customWidth="1"/>
    <col min="2096" max="2096" width="65.28515625" style="3886" customWidth="1"/>
    <col min="2097" max="2097" width="13.28515625" style="3886" customWidth="1"/>
    <col min="2098" max="2102" width="6.7109375" style="3886" customWidth="1"/>
    <col min="2103" max="2104" width="11.5703125" style="3886"/>
    <col min="2105" max="2105" width="5.28515625" style="3886" customWidth="1"/>
    <col min="2106" max="2106" width="65.28515625" style="3886" customWidth="1"/>
    <col min="2107" max="2107" width="13.28515625" style="3886" customWidth="1"/>
    <col min="2108" max="2112" width="6.7109375" style="3886" customWidth="1"/>
    <col min="2113" max="2316" width="11.5703125" style="3886"/>
    <col min="2317" max="2318" width="6.140625" style="3886" customWidth="1"/>
    <col min="2319" max="2319" width="50.42578125" style="3886" customWidth="1"/>
    <col min="2320" max="2320" width="11.5703125" style="3886" customWidth="1"/>
    <col min="2321" max="2325" width="6.7109375" style="3886" customWidth="1"/>
    <col min="2326" max="2326" width="9.85546875" style="3886" customWidth="1"/>
    <col min="2327" max="2329" width="6.140625" style="3886" customWidth="1"/>
    <col min="2330" max="2330" width="50.42578125" style="3886" customWidth="1"/>
    <col min="2331" max="2331" width="11.5703125" style="3886" customWidth="1"/>
    <col min="2332" max="2336" width="6.7109375" style="3886" customWidth="1"/>
    <col min="2337" max="2337" width="9.85546875" style="3886" customWidth="1"/>
    <col min="2338" max="2340" width="6.140625" style="3886" customWidth="1"/>
    <col min="2341" max="2341" width="49" style="3886" customWidth="1"/>
    <col min="2342" max="2342" width="10.85546875" style="3886" customWidth="1"/>
    <col min="2343" max="2347" width="6.7109375" style="3886" customWidth="1"/>
    <col min="2348" max="2348" width="10" style="3886" customWidth="1"/>
    <col min="2349" max="2350" width="6.140625" style="3886" customWidth="1"/>
    <col min="2351" max="2351" width="5.28515625" style="3886" customWidth="1"/>
    <col min="2352" max="2352" width="65.28515625" style="3886" customWidth="1"/>
    <col min="2353" max="2353" width="13.28515625" style="3886" customWidth="1"/>
    <col min="2354" max="2358" width="6.7109375" style="3886" customWidth="1"/>
    <col min="2359" max="2360" width="11.5703125" style="3886"/>
    <col min="2361" max="2361" width="5.28515625" style="3886" customWidth="1"/>
    <col min="2362" max="2362" width="65.28515625" style="3886" customWidth="1"/>
    <col min="2363" max="2363" width="13.28515625" style="3886" customWidth="1"/>
    <col min="2364" max="2368" width="6.7109375" style="3886" customWidth="1"/>
    <col min="2369" max="2572" width="11.5703125" style="3886"/>
    <col min="2573" max="2574" width="6.140625" style="3886" customWidth="1"/>
    <col min="2575" max="2575" width="50.42578125" style="3886" customWidth="1"/>
    <col min="2576" max="2576" width="11.5703125" style="3886" customWidth="1"/>
    <col min="2577" max="2581" width="6.7109375" style="3886" customWidth="1"/>
    <col min="2582" max="2582" width="9.85546875" style="3886" customWidth="1"/>
    <col min="2583" max="2585" width="6.140625" style="3886" customWidth="1"/>
    <col min="2586" max="2586" width="50.42578125" style="3886" customWidth="1"/>
    <col min="2587" max="2587" width="11.5703125" style="3886" customWidth="1"/>
    <col min="2588" max="2592" width="6.7109375" style="3886" customWidth="1"/>
    <col min="2593" max="2593" width="9.85546875" style="3886" customWidth="1"/>
    <col min="2594" max="2596" width="6.140625" style="3886" customWidth="1"/>
    <col min="2597" max="2597" width="49" style="3886" customWidth="1"/>
    <col min="2598" max="2598" width="10.85546875" style="3886" customWidth="1"/>
    <col min="2599" max="2603" width="6.7109375" style="3886" customWidth="1"/>
    <col min="2604" max="2604" width="10" style="3886" customWidth="1"/>
    <col min="2605" max="2606" width="6.140625" style="3886" customWidth="1"/>
    <col min="2607" max="2607" width="5.28515625" style="3886" customWidth="1"/>
    <col min="2608" max="2608" width="65.28515625" style="3886" customWidth="1"/>
    <col min="2609" max="2609" width="13.28515625" style="3886" customWidth="1"/>
    <col min="2610" max="2614" width="6.7109375" style="3886" customWidth="1"/>
    <col min="2615" max="2616" width="11.5703125" style="3886"/>
    <col min="2617" max="2617" width="5.28515625" style="3886" customWidth="1"/>
    <col min="2618" max="2618" width="65.28515625" style="3886" customWidth="1"/>
    <col min="2619" max="2619" width="13.28515625" style="3886" customWidth="1"/>
    <col min="2620" max="2624" width="6.7109375" style="3886" customWidth="1"/>
    <col min="2625" max="2828" width="11.5703125" style="3886"/>
    <col min="2829" max="2830" width="6.140625" style="3886" customWidth="1"/>
    <col min="2831" max="2831" width="50.42578125" style="3886" customWidth="1"/>
    <col min="2832" max="2832" width="11.5703125" style="3886" customWidth="1"/>
    <col min="2833" max="2837" width="6.7109375" style="3886" customWidth="1"/>
    <col min="2838" max="2838" width="9.85546875" style="3886" customWidth="1"/>
    <col min="2839" max="2841" width="6.140625" style="3886" customWidth="1"/>
    <col min="2842" max="2842" width="50.42578125" style="3886" customWidth="1"/>
    <col min="2843" max="2843" width="11.5703125" style="3886" customWidth="1"/>
    <col min="2844" max="2848" width="6.7109375" style="3886" customWidth="1"/>
    <col min="2849" max="2849" width="9.85546875" style="3886" customWidth="1"/>
    <col min="2850" max="2852" width="6.140625" style="3886" customWidth="1"/>
    <col min="2853" max="2853" width="49" style="3886" customWidth="1"/>
    <col min="2854" max="2854" width="10.85546875" style="3886" customWidth="1"/>
    <col min="2855" max="2859" width="6.7109375" style="3886" customWidth="1"/>
    <col min="2860" max="2860" width="10" style="3886" customWidth="1"/>
    <col min="2861" max="2862" width="6.140625" style="3886" customWidth="1"/>
    <col min="2863" max="2863" width="5.28515625" style="3886" customWidth="1"/>
    <col min="2864" max="2864" width="65.28515625" style="3886" customWidth="1"/>
    <col min="2865" max="2865" width="13.28515625" style="3886" customWidth="1"/>
    <col min="2866" max="2870" width="6.7109375" style="3886" customWidth="1"/>
    <col min="2871" max="2872" width="11.5703125" style="3886"/>
    <col min="2873" max="2873" width="5.28515625" style="3886" customWidth="1"/>
    <col min="2874" max="2874" width="65.28515625" style="3886" customWidth="1"/>
    <col min="2875" max="2875" width="13.28515625" style="3886" customWidth="1"/>
    <col min="2876" max="2880" width="6.7109375" style="3886" customWidth="1"/>
    <col min="2881" max="3084" width="11.5703125" style="3886"/>
    <col min="3085" max="3086" width="6.140625" style="3886" customWidth="1"/>
    <col min="3087" max="3087" width="50.42578125" style="3886" customWidth="1"/>
    <col min="3088" max="3088" width="11.5703125" style="3886" customWidth="1"/>
    <col min="3089" max="3093" width="6.7109375" style="3886" customWidth="1"/>
    <col min="3094" max="3094" width="9.85546875" style="3886" customWidth="1"/>
    <col min="3095" max="3097" width="6.140625" style="3886" customWidth="1"/>
    <col min="3098" max="3098" width="50.42578125" style="3886" customWidth="1"/>
    <col min="3099" max="3099" width="11.5703125" style="3886" customWidth="1"/>
    <col min="3100" max="3104" width="6.7109375" style="3886" customWidth="1"/>
    <col min="3105" max="3105" width="9.85546875" style="3886" customWidth="1"/>
    <col min="3106" max="3108" width="6.140625" style="3886" customWidth="1"/>
    <col min="3109" max="3109" width="49" style="3886" customWidth="1"/>
    <col min="3110" max="3110" width="10.85546875" style="3886" customWidth="1"/>
    <col min="3111" max="3115" width="6.7109375" style="3886" customWidth="1"/>
    <col min="3116" max="3116" width="10" style="3886" customWidth="1"/>
    <col min="3117" max="3118" width="6.140625" style="3886" customWidth="1"/>
    <col min="3119" max="3119" width="5.28515625" style="3886" customWidth="1"/>
    <col min="3120" max="3120" width="65.28515625" style="3886" customWidth="1"/>
    <col min="3121" max="3121" width="13.28515625" style="3886" customWidth="1"/>
    <col min="3122" max="3126" width="6.7109375" style="3886" customWidth="1"/>
    <col min="3127" max="3128" width="11.5703125" style="3886"/>
    <col min="3129" max="3129" width="5.28515625" style="3886" customWidth="1"/>
    <col min="3130" max="3130" width="65.28515625" style="3886" customWidth="1"/>
    <col min="3131" max="3131" width="13.28515625" style="3886" customWidth="1"/>
    <col min="3132" max="3136" width="6.7109375" style="3886" customWidth="1"/>
    <col min="3137" max="3340" width="11.5703125" style="3886"/>
    <col min="3341" max="3342" width="6.140625" style="3886" customWidth="1"/>
    <col min="3343" max="3343" width="50.42578125" style="3886" customWidth="1"/>
    <col min="3344" max="3344" width="11.5703125" style="3886" customWidth="1"/>
    <col min="3345" max="3349" width="6.7109375" style="3886" customWidth="1"/>
    <col min="3350" max="3350" width="9.85546875" style="3886" customWidth="1"/>
    <col min="3351" max="3353" width="6.140625" style="3886" customWidth="1"/>
    <col min="3354" max="3354" width="50.42578125" style="3886" customWidth="1"/>
    <col min="3355" max="3355" width="11.5703125" style="3886" customWidth="1"/>
    <col min="3356" max="3360" width="6.7109375" style="3886" customWidth="1"/>
    <col min="3361" max="3361" width="9.85546875" style="3886" customWidth="1"/>
    <col min="3362" max="3364" width="6.140625" style="3886" customWidth="1"/>
    <col min="3365" max="3365" width="49" style="3886" customWidth="1"/>
    <col min="3366" max="3366" width="10.85546875" style="3886" customWidth="1"/>
    <col min="3367" max="3371" width="6.7109375" style="3886" customWidth="1"/>
    <col min="3372" max="3372" width="10" style="3886" customWidth="1"/>
    <col min="3373" max="3374" width="6.140625" style="3886" customWidth="1"/>
    <col min="3375" max="3375" width="5.28515625" style="3886" customWidth="1"/>
    <col min="3376" max="3376" width="65.28515625" style="3886" customWidth="1"/>
    <col min="3377" max="3377" width="13.28515625" style="3886" customWidth="1"/>
    <col min="3378" max="3382" width="6.7109375" style="3886" customWidth="1"/>
    <col min="3383" max="3384" width="11.5703125" style="3886"/>
    <col min="3385" max="3385" width="5.28515625" style="3886" customWidth="1"/>
    <col min="3386" max="3386" width="65.28515625" style="3886" customWidth="1"/>
    <col min="3387" max="3387" width="13.28515625" style="3886" customWidth="1"/>
    <col min="3388" max="3392" width="6.7109375" style="3886" customWidth="1"/>
    <col min="3393" max="3596" width="11.5703125" style="3886"/>
    <col min="3597" max="3598" width="6.140625" style="3886" customWidth="1"/>
    <col min="3599" max="3599" width="50.42578125" style="3886" customWidth="1"/>
    <col min="3600" max="3600" width="11.5703125" style="3886" customWidth="1"/>
    <col min="3601" max="3605" width="6.7109375" style="3886" customWidth="1"/>
    <col min="3606" max="3606" width="9.85546875" style="3886" customWidth="1"/>
    <col min="3607" max="3609" width="6.140625" style="3886" customWidth="1"/>
    <col min="3610" max="3610" width="50.42578125" style="3886" customWidth="1"/>
    <col min="3611" max="3611" width="11.5703125" style="3886" customWidth="1"/>
    <col min="3612" max="3616" width="6.7109375" style="3886" customWidth="1"/>
    <col min="3617" max="3617" width="9.85546875" style="3886" customWidth="1"/>
    <col min="3618" max="3620" width="6.140625" style="3886" customWidth="1"/>
    <col min="3621" max="3621" width="49" style="3886" customWidth="1"/>
    <col min="3622" max="3622" width="10.85546875" style="3886" customWidth="1"/>
    <col min="3623" max="3627" width="6.7109375" style="3886" customWidth="1"/>
    <col min="3628" max="3628" width="10" style="3886" customWidth="1"/>
    <col min="3629" max="3630" width="6.140625" style="3886" customWidth="1"/>
    <col min="3631" max="3631" width="5.28515625" style="3886" customWidth="1"/>
    <col min="3632" max="3632" width="65.28515625" style="3886" customWidth="1"/>
    <col min="3633" max="3633" width="13.28515625" style="3886" customWidth="1"/>
    <col min="3634" max="3638" width="6.7109375" style="3886" customWidth="1"/>
    <col min="3639" max="3640" width="11.5703125" style="3886"/>
    <col min="3641" max="3641" width="5.28515625" style="3886" customWidth="1"/>
    <col min="3642" max="3642" width="65.28515625" style="3886" customWidth="1"/>
    <col min="3643" max="3643" width="13.28515625" style="3886" customWidth="1"/>
    <col min="3644" max="3648" width="6.7109375" style="3886" customWidth="1"/>
    <col min="3649" max="3852" width="11.5703125" style="3886"/>
    <col min="3853" max="3854" width="6.140625" style="3886" customWidth="1"/>
    <col min="3855" max="3855" width="50.42578125" style="3886" customWidth="1"/>
    <col min="3856" max="3856" width="11.5703125" style="3886" customWidth="1"/>
    <col min="3857" max="3861" width="6.7109375" style="3886" customWidth="1"/>
    <col min="3862" max="3862" width="9.85546875" style="3886" customWidth="1"/>
    <col min="3863" max="3865" width="6.140625" style="3886" customWidth="1"/>
    <col min="3866" max="3866" width="50.42578125" style="3886" customWidth="1"/>
    <col min="3867" max="3867" width="11.5703125" style="3886" customWidth="1"/>
    <col min="3868" max="3872" width="6.7109375" style="3886" customWidth="1"/>
    <col min="3873" max="3873" width="9.85546875" style="3886" customWidth="1"/>
    <col min="3874" max="3876" width="6.140625" style="3886" customWidth="1"/>
    <col min="3877" max="3877" width="49" style="3886" customWidth="1"/>
    <col min="3878" max="3878" width="10.85546875" style="3886" customWidth="1"/>
    <col min="3879" max="3883" width="6.7109375" style="3886" customWidth="1"/>
    <col min="3884" max="3884" width="10" style="3886" customWidth="1"/>
    <col min="3885" max="3886" width="6.140625" style="3886" customWidth="1"/>
    <col min="3887" max="3887" width="5.28515625" style="3886" customWidth="1"/>
    <col min="3888" max="3888" width="65.28515625" style="3886" customWidth="1"/>
    <col min="3889" max="3889" width="13.28515625" style="3886" customWidth="1"/>
    <col min="3890" max="3894" width="6.7109375" style="3886" customWidth="1"/>
    <col min="3895" max="3896" width="11.5703125" style="3886"/>
    <col min="3897" max="3897" width="5.28515625" style="3886" customWidth="1"/>
    <col min="3898" max="3898" width="65.28515625" style="3886" customWidth="1"/>
    <col min="3899" max="3899" width="13.28515625" style="3886" customWidth="1"/>
    <col min="3900" max="3904" width="6.7109375" style="3886" customWidth="1"/>
    <col min="3905" max="4108" width="11.5703125" style="3886"/>
    <col min="4109" max="4110" width="6.140625" style="3886" customWidth="1"/>
    <col min="4111" max="4111" width="50.42578125" style="3886" customWidth="1"/>
    <col min="4112" max="4112" width="11.5703125" style="3886" customWidth="1"/>
    <col min="4113" max="4117" width="6.7109375" style="3886" customWidth="1"/>
    <col min="4118" max="4118" width="9.85546875" style="3886" customWidth="1"/>
    <col min="4119" max="4121" width="6.140625" style="3886" customWidth="1"/>
    <col min="4122" max="4122" width="50.42578125" style="3886" customWidth="1"/>
    <col min="4123" max="4123" width="11.5703125" style="3886" customWidth="1"/>
    <col min="4124" max="4128" width="6.7109375" style="3886" customWidth="1"/>
    <col min="4129" max="4129" width="9.85546875" style="3886" customWidth="1"/>
    <col min="4130" max="4132" width="6.140625" style="3886" customWidth="1"/>
    <col min="4133" max="4133" width="49" style="3886" customWidth="1"/>
    <col min="4134" max="4134" width="10.85546875" style="3886" customWidth="1"/>
    <col min="4135" max="4139" width="6.7109375" style="3886" customWidth="1"/>
    <col min="4140" max="4140" width="10" style="3886" customWidth="1"/>
    <col min="4141" max="4142" width="6.140625" style="3886" customWidth="1"/>
    <col min="4143" max="4143" width="5.28515625" style="3886" customWidth="1"/>
    <col min="4144" max="4144" width="65.28515625" style="3886" customWidth="1"/>
    <col min="4145" max="4145" width="13.28515625" style="3886" customWidth="1"/>
    <col min="4146" max="4150" width="6.7109375" style="3886" customWidth="1"/>
    <col min="4151" max="4152" width="11.5703125" style="3886"/>
    <col min="4153" max="4153" width="5.28515625" style="3886" customWidth="1"/>
    <col min="4154" max="4154" width="65.28515625" style="3886" customWidth="1"/>
    <col min="4155" max="4155" width="13.28515625" style="3886" customWidth="1"/>
    <col min="4156" max="4160" width="6.7109375" style="3886" customWidth="1"/>
    <col min="4161" max="4364" width="11.5703125" style="3886"/>
    <col min="4365" max="4366" width="6.140625" style="3886" customWidth="1"/>
    <col min="4367" max="4367" width="50.42578125" style="3886" customWidth="1"/>
    <col min="4368" max="4368" width="11.5703125" style="3886" customWidth="1"/>
    <col min="4369" max="4373" width="6.7109375" style="3886" customWidth="1"/>
    <col min="4374" max="4374" width="9.85546875" style="3886" customWidth="1"/>
    <col min="4375" max="4377" width="6.140625" style="3886" customWidth="1"/>
    <col min="4378" max="4378" width="50.42578125" style="3886" customWidth="1"/>
    <col min="4379" max="4379" width="11.5703125" style="3886" customWidth="1"/>
    <col min="4380" max="4384" width="6.7109375" style="3886" customWidth="1"/>
    <col min="4385" max="4385" width="9.85546875" style="3886" customWidth="1"/>
    <col min="4386" max="4388" width="6.140625" style="3886" customWidth="1"/>
    <col min="4389" max="4389" width="49" style="3886" customWidth="1"/>
    <col min="4390" max="4390" width="10.85546875" style="3886" customWidth="1"/>
    <col min="4391" max="4395" width="6.7109375" style="3886" customWidth="1"/>
    <col min="4396" max="4396" width="10" style="3886" customWidth="1"/>
    <col min="4397" max="4398" width="6.140625" style="3886" customWidth="1"/>
    <col min="4399" max="4399" width="5.28515625" style="3886" customWidth="1"/>
    <col min="4400" max="4400" width="65.28515625" style="3886" customWidth="1"/>
    <col min="4401" max="4401" width="13.28515625" style="3886" customWidth="1"/>
    <col min="4402" max="4406" width="6.7109375" style="3886" customWidth="1"/>
    <col min="4407" max="4408" width="11.5703125" style="3886"/>
    <col min="4409" max="4409" width="5.28515625" style="3886" customWidth="1"/>
    <col min="4410" max="4410" width="65.28515625" style="3886" customWidth="1"/>
    <col min="4411" max="4411" width="13.28515625" style="3886" customWidth="1"/>
    <col min="4412" max="4416" width="6.7109375" style="3886" customWidth="1"/>
    <col min="4417" max="4620" width="11.5703125" style="3886"/>
    <col min="4621" max="4622" width="6.140625" style="3886" customWidth="1"/>
    <col min="4623" max="4623" width="50.42578125" style="3886" customWidth="1"/>
    <col min="4624" max="4624" width="11.5703125" style="3886" customWidth="1"/>
    <col min="4625" max="4629" width="6.7109375" style="3886" customWidth="1"/>
    <col min="4630" max="4630" width="9.85546875" style="3886" customWidth="1"/>
    <col min="4631" max="4633" width="6.140625" style="3886" customWidth="1"/>
    <col min="4634" max="4634" width="50.42578125" style="3886" customWidth="1"/>
    <col min="4635" max="4635" width="11.5703125" style="3886" customWidth="1"/>
    <col min="4636" max="4640" width="6.7109375" style="3886" customWidth="1"/>
    <col min="4641" max="4641" width="9.85546875" style="3886" customWidth="1"/>
    <col min="4642" max="4644" width="6.140625" style="3886" customWidth="1"/>
    <col min="4645" max="4645" width="49" style="3886" customWidth="1"/>
    <col min="4646" max="4646" width="10.85546875" style="3886" customWidth="1"/>
    <col min="4647" max="4651" width="6.7109375" style="3886" customWidth="1"/>
    <col min="4652" max="4652" width="10" style="3886" customWidth="1"/>
    <col min="4653" max="4654" width="6.140625" style="3886" customWidth="1"/>
    <col min="4655" max="4655" width="5.28515625" style="3886" customWidth="1"/>
    <col min="4656" max="4656" width="65.28515625" style="3886" customWidth="1"/>
    <col min="4657" max="4657" width="13.28515625" style="3886" customWidth="1"/>
    <col min="4658" max="4662" width="6.7109375" style="3886" customWidth="1"/>
    <col min="4663" max="4664" width="11.5703125" style="3886"/>
    <col min="4665" max="4665" width="5.28515625" style="3886" customWidth="1"/>
    <col min="4666" max="4666" width="65.28515625" style="3886" customWidth="1"/>
    <col min="4667" max="4667" width="13.28515625" style="3886" customWidth="1"/>
    <col min="4668" max="4672" width="6.7109375" style="3886" customWidth="1"/>
    <col min="4673" max="4876" width="11.5703125" style="3886"/>
    <col min="4877" max="4878" width="6.140625" style="3886" customWidth="1"/>
    <col min="4879" max="4879" width="50.42578125" style="3886" customWidth="1"/>
    <col min="4880" max="4880" width="11.5703125" style="3886" customWidth="1"/>
    <col min="4881" max="4885" width="6.7109375" style="3886" customWidth="1"/>
    <col min="4886" max="4886" width="9.85546875" style="3886" customWidth="1"/>
    <col min="4887" max="4889" width="6.140625" style="3886" customWidth="1"/>
    <col min="4890" max="4890" width="50.42578125" style="3886" customWidth="1"/>
    <col min="4891" max="4891" width="11.5703125" style="3886" customWidth="1"/>
    <col min="4892" max="4896" width="6.7109375" style="3886" customWidth="1"/>
    <col min="4897" max="4897" width="9.85546875" style="3886" customWidth="1"/>
    <col min="4898" max="4900" width="6.140625" style="3886" customWidth="1"/>
    <col min="4901" max="4901" width="49" style="3886" customWidth="1"/>
    <col min="4902" max="4902" width="10.85546875" style="3886" customWidth="1"/>
    <col min="4903" max="4907" width="6.7109375" style="3886" customWidth="1"/>
    <col min="4908" max="4908" width="10" style="3886" customWidth="1"/>
    <col min="4909" max="4910" width="6.140625" style="3886" customWidth="1"/>
    <col min="4911" max="4911" width="5.28515625" style="3886" customWidth="1"/>
    <col min="4912" max="4912" width="65.28515625" style="3886" customWidth="1"/>
    <col min="4913" max="4913" width="13.28515625" style="3886" customWidth="1"/>
    <col min="4914" max="4918" width="6.7109375" style="3886" customWidth="1"/>
    <col min="4919" max="4920" width="11.5703125" style="3886"/>
    <col min="4921" max="4921" width="5.28515625" style="3886" customWidth="1"/>
    <col min="4922" max="4922" width="65.28515625" style="3886" customWidth="1"/>
    <col min="4923" max="4923" width="13.28515625" style="3886" customWidth="1"/>
    <col min="4924" max="4928" width="6.7109375" style="3886" customWidth="1"/>
    <col min="4929" max="5132" width="11.5703125" style="3886"/>
    <col min="5133" max="5134" width="6.140625" style="3886" customWidth="1"/>
    <col min="5135" max="5135" width="50.42578125" style="3886" customWidth="1"/>
    <col min="5136" max="5136" width="11.5703125" style="3886" customWidth="1"/>
    <col min="5137" max="5141" width="6.7109375" style="3886" customWidth="1"/>
    <col min="5142" max="5142" width="9.85546875" style="3886" customWidth="1"/>
    <col min="5143" max="5145" width="6.140625" style="3886" customWidth="1"/>
    <col min="5146" max="5146" width="50.42578125" style="3886" customWidth="1"/>
    <col min="5147" max="5147" width="11.5703125" style="3886" customWidth="1"/>
    <col min="5148" max="5152" width="6.7109375" style="3886" customWidth="1"/>
    <col min="5153" max="5153" width="9.85546875" style="3886" customWidth="1"/>
    <col min="5154" max="5156" width="6.140625" style="3886" customWidth="1"/>
    <col min="5157" max="5157" width="49" style="3886" customWidth="1"/>
    <col min="5158" max="5158" width="10.85546875" style="3886" customWidth="1"/>
    <col min="5159" max="5163" width="6.7109375" style="3886" customWidth="1"/>
    <col min="5164" max="5164" width="10" style="3886" customWidth="1"/>
    <col min="5165" max="5166" width="6.140625" style="3886" customWidth="1"/>
    <col min="5167" max="5167" width="5.28515625" style="3886" customWidth="1"/>
    <col min="5168" max="5168" width="65.28515625" style="3886" customWidth="1"/>
    <col min="5169" max="5169" width="13.28515625" style="3886" customWidth="1"/>
    <col min="5170" max="5174" width="6.7109375" style="3886" customWidth="1"/>
    <col min="5175" max="5176" width="11.5703125" style="3886"/>
    <col min="5177" max="5177" width="5.28515625" style="3886" customWidth="1"/>
    <col min="5178" max="5178" width="65.28515625" style="3886" customWidth="1"/>
    <col min="5179" max="5179" width="13.28515625" style="3886" customWidth="1"/>
    <col min="5180" max="5184" width="6.7109375" style="3886" customWidth="1"/>
    <col min="5185" max="5388" width="11.5703125" style="3886"/>
    <col min="5389" max="5390" width="6.140625" style="3886" customWidth="1"/>
    <col min="5391" max="5391" width="50.42578125" style="3886" customWidth="1"/>
    <col min="5392" max="5392" width="11.5703125" style="3886" customWidth="1"/>
    <col min="5393" max="5397" width="6.7109375" style="3886" customWidth="1"/>
    <col min="5398" max="5398" width="9.85546875" style="3886" customWidth="1"/>
    <col min="5399" max="5401" width="6.140625" style="3886" customWidth="1"/>
    <col min="5402" max="5402" width="50.42578125" style="3886" customWidth="1"/>
    <col min="5403" max="5403" width="11.5703125" style="3886" customWidth="1"/>
    <col min="5404" max="5408" width="6.7109375" style="3886" customWidth="1"/>
    <col min="5409" max="5409" width="9.85546875" style="3886" customWidth="1"/>
    <col min="5410" max="5412" width="6.140625" style="3886" customWidth="1"/>
    <col min="5413" max="5413" width="49" style="3886" customWidth="1"/>
    <col min="5414" max="5414" width="10.85546875" style="3886" customWidth="1"/>
    <col min="5415" max="5419" width="6.7109375" style="3886" customWidth="1"/>
    <col min="5420" max="5420" width="10" style="3886" customWidth="1"/>
    <col min="5421" max="5422" width="6.140625" style="3886" customWidth="1"/>
    <col min="5423" max="5423" width="5.28515625" style="3886" customWidth="1"/>
    <col min="5424" max="5424" width="65.28515625" style="3886" customWidth="1"/>
    <col min="5425" max="5425" width="13.28515625" style="3886" customWidth="1"/>
    <col min="5426" max="5430" width="6.7109375" style="3886" customWidth="1"/>
    <col min="5431" max="5432" width="11.5703125" style="3886"/>
    <col min="5433" max="5433" width="5.28515625" style="3886" customWidth="1"/>
    <col min="5434" max="5434" width="65.28515625" style="3886" customWidth="1"/>
    <col min="5435" max="5435" width="13.28515625" style="3886" customWidth="1"/>
    <col min="5436" max="5440" width="6.7109375" style="3886" customWidth="1"/>
    <col min="5441" max="5644" width="11.5703125" style="3886"/>
    <col min="5645" max="5646" width="6.140625" style="3886" customWidth="1"/>
    <col min="5647" max="5647" width="50.42578125" style="3886" customWidth="1"/>
    <col min="5648" max="5648" width="11.5703125" style="3886" customWidth="1"/>
    <col min="5649" max="5653" width="6.7109375" style="3886" customWidth="1"/>
    <col min="5654" max="5654" width="9.85546875" style="3886" customWidth="1"/>
    <col min="5655" max="5657" width="6.140625" style="3886" customWidth="1"/>
    <col min="5658" max="5658" width="50.42578125" style="3886" customWidth="1"/>
    <col min="5659" max="5659" width="11.5703125" style="3886" customWidth="1"/>
    <col min="5660" max="5664" width="6.7109375" style="3886" customWidth="1"/>
    <col min="5665" max="5665" width="9.85546875" style="3886" customWidth="1"/>
    <col min="5666" max="5668" width="6.140625" style="3886" customWidth="1"/>
    <col min="5669" max="5669" width="49" style="3886" customWidth="1"/>
    <col min="5670" max="5670" width="10.85546875" style="3886" customWidth="1"/>
    <col min="5671" max="5675" width="6.7109375" style="3886" customWidth="1"/>
    <col min="5676" max="5676" width="10" style="3886" customWidth="1"/>
    <col min="5677" max="5678" width="6.140625" style="3886" customWidth="1"/>
    <col min="5679" max="5679" width="5.28515625" style="3886" customWidth="1"/>
    <col min="5680" max="5680" width="65.28515625" style="3886" customWidth="1"/>
    <col min="5681" max="5681" width="13.28515625" style="3886" customWidth="1"/>
    <col min="5682" max="5686" width="6.7109375" style="3886" customWidth="1"/>
    <col min="5687" max="5688" width="11.5703125" style="3886"/>
    <col min="5689" max="5689" width="5.28515625" style="3886" customWidth="1"/>
    <col min="5690" max="5690" width="65.28515625" style="3886" customWidth="1"/>
    <col min="5691" max="5691" width="13.28515625" style="3886" customWidth="1"/>
    <col min="5692" max="5696" width="6.7109375" style="3886" customWidth="1"/>
    <col min="5697" max="5900" width="11.5703125" style="3886"/>
    <col min="5901" max="5902" width="6.140625" style="3886" customWidth="1"/>
    <col min="5903" max="5903" width="50.42578125" style="3886" customWidth="1"/>
    <col min="5904" max="5904" width="11.5703125" style="3886" customWidth="1"/>
    <col min="5905" max="5909" width="6.7109375" style="3886" customWidth="1"/>
    <col min="5910" max="5910" width="9.85546875" style="3886" customWidth="1"/>
    <col min="5911" max="5913" width="6.140625" style="3886" customWidth="1"/>
    <col min="5914" max="5914" width="50.42578125" style="3886" customWidth="1"/>
    <col min="5915" max="5915" width="11.5703125" style="3886" customWidth="1"/>
    <col min="5916" max="5920" width="6.7109375" style="3886" customWidth="1"/>
    <col min="5921" max="5921" width="9.85546875" style="3886" customWidth="1"/>
    <col min="5922" max="5924" width="6.140625" style="3886" customWidth="1"/>
    <col min="5925" max="5925" width="49" style="3886" customWidth="1"/>
    <col min="5926" max="5926" width="10.85546875" style="3886" customWidth="1"/>
    <col min="5927" max="5931" width="6.7109375" style="3886" customWidth="1"/>
    <col min="5932" max="5932" width="10" style="3886" customWidth="1"/>
    <col min="5933" max="5934" width="6.140625" style="3886" customWidth="1"/>
    <col min="5935" max="5935" width="5.28515625" style="3886" customWidth="1"/>
    <col min="5936" max="5936" width="65.28515625" style="3886" customWidth="1"/>
    <col min="5937" max="5937" width="13.28515625" style="3886" customWidth="1"/>
    <col min="5938" max="5942" width="6.7109375" style="3886" customWidth="1"/>
    <col min="5943" max="5944" width="11.5703125" style="3886"/>
    <col min="5945" max="5945" width="5.28515625" style="3886" customWidth="1"/>
    <col min="5946" max="5946" width="65.28515625" style="3886" customWidth="1"/>
    <col min="5947" max="5947" width="13.28515625" style="3886" customWidth="1"/>
    <col min="5948" max="5952" width="6.7109375" style="3886" customWidth="1"/>
    <col min="5953" max="6156" width="11.5703125" style="3886"/>
    <col min="6157" max="6158" width="6.140625" style="3886" customWidth="1"/>
    <col min="6159" max="6159" width="50.42578125" style="3886" customWidth="1"/>
    <col min="6160" max="6160" width="11.5703125" style="3886" customWidth="1"/>
    <col min="6161" max="6165" width="6.7109375" style="3886" customWidth="1"/>
    <col min="6166" max="6166" width="9.85546875" style="3886" customWidth="1"/>
    <col min="6167" max="6169" width="6.140625" style="3886" customWidth="1"/>
    <col min="6170" max="6170" width="50.42578125" style="3886" customWidth="1"/>
    <col min="6171" max="6171" width="11.5703125" style="3886" customWidth="1"/>
    <col min="6172" max="6176" width="6.7109375" style="3886" customWidth="1"/>
    <col min="6177" max="6177" width="9.85546875" style="3886" customWidth="1"/>
    <col min="6178" max="6180" width="6.140625" style="3886" customWidth="1"/>
    <col min="6181" max="6181" width="49" style="3886" customWidth="1"/>
    <col min="6182" max="6182" width="10.85546875" style="3886" customWidth="1"/>
    <col min="6183" max="6187" width="6.7109375" style="3886" customWidth="1"/>
    <col min="6188" max="6188" width="10" style="3886" customWidth="1"/>
    <col min="6189" max="6190" width="6.140625" style="3886" customWidth="1"/>
    <col min="6191" max="6191" width="5.28515625" style="3886" customWidth="1"/>
    <col min="6192" max="6192" width="65.28515625" style="3886" customWidth="1"/>
    <col min="6193" max="6193" width="13.28515625" style="3886" customWidth="1"/>
    <col min="6194" max="6198" width="6.7109375" style="3886" customWidth="1"/>
    <col min="6199" max="6200" width="11.5703125" style="3886"/>
    <col min="6201" max="6201" width="5.28515625" style="3886" customWidth="1"/>
    <col min="6202" max="6202" width="65.28515625" style="3886" customWidth="1"/>
    <col min="6203" max="6203" width="13.28515625" style="3886" customWidth="1"/>
    <col min="6204" max="6208" width="6.7109375" style="3886" customWidth="1"/>
    <col min="6209" max="6412" width="11.5703125" style="3886"/>
    <col min="6413" max="6414" width="6.140625" style="3886" customWidth="1"/>
    <col min="6415" max="6415" width="50.42578125" style="3886" customWidth="1"/>
    <col min="6416" max="6416" width="11.5703125" style="3886" customWidth="1"/>
    <col min="6417" max="6421" width="6.7109375" style="3886" customWidth="1"/>
    <col min="6422" max="6422" width="9.85546875" style="3886" customWidth="1"/>
    <col min="6423" max="6425" width="6.140625" style="3886" customWidth="1"/>
    <col min="6426" max="6426" width="50.42578125" style="3886" customWidth="1"/>
    <col min="6427" max="6427" width="11.5703125" style="3886" customWidth="1"/>
    <col min="6428" max="6432" width="6.7109375" style="3886" customWidth="1"/>
    <col min="6433" max="6433" width="9.85546875" style="3886" customWidth="1"/>
    <col min="6434" max="6436" width="6.140625" style="3886" customWidth="1"/>
    <col min="6437" max="6437" width="49" style="3886" customWidth="1"/>
    <col min="6438" max="6438" width="10.85546875" style="3886" customWidth="1"/>
    <col min="6439" max="6443" width="6.7109375" style="3886" customWidth="1"/>
    <col min="6444" max="6444" width="10" style="3886" customWidth="1"/>
    <col min="6445" max="6446" width="6.140625" style="3886" customWidth="1"/>
    <col min="6447" max="6447" width="5.28515625" style="3886" customWidth="1"/>
    <col min="6448" max="6448" width="65.28515625" style="3886" customWidth="1"/>
    <col min="6449" max="6449" width="13.28515625" style="3886" customWidth="1"/>
    <col min="6450" max="6454" width="6.7109375" style="3886" customWidth="1"/>
    <col min="6455" max="6456" width="11.5703125" style="3886"/>
    <col min="6457" max="6457" width="5.28515625" style="3886" customWidth="1"/>
    <col min="6458" max="6458" width="65.28515625" style="3886" customWidth="1"/>
    <col min="6459" max="6459" width="13.28515625" style="3886" customWidth="1"/>
    <col min="6460" max="6464" width="6.7109375" style="3886" customWidth="1"/>
    <col min="6465" max="6668" width="11.5703125" style="3886"/>
    <col min="6669" max="6670" width="6.140625" style="3886" customWidth="1"/>
    <col min="6671" max="6671" width="50.42578125" style="3886" customWidth="1"/>
    <col min="6672" max="6672" width="11.5703125" style="3886" customWidth="1"/>
    <col min="6673" max="6677" width="6.7109375" style="3886" customWidth="1"/>
    <col min="6678" max="6678" width="9.85546875" style="3886" customWidth="1"/>
    <col min="6679" max="6681" width="6.140625" style="3886" customWidth="1"/>
    <col min="6682" max="6682" width="50.42578125" style="3886" customWidth="1"/>
    <col min="6683" max="6683" width="11.5703125" style="3886" customWidth="1"/>
    <col min="6684" max="6688" width="6.7109375" style="3886" customWidth="1"/>
    <col min="6689" max="6689" width="9.85546875" style="3886" customWidth="1"/>
    <col min="6690" max="6692" width="6.140625" style="3886" customWidth="1"/>
    <col min="6693" max="6693" width="49" style="3886" customWidth="1"/>
    <col min="6694" max="6694" width="10.85546875" style="3886" customWidth="1"/>
    <col min="6695" max="6699" width="6.7109375" style="3886" customWidth="1"/>
    <col min="6700" max="6700" width="10" style="3886" customWidth="1"/>
    <col min="6701" max="6702" width="6.140625" style="3886" customWidth="1"/>
    <col min="6703" max="6703" width="5.28515625" style="3886" customWidth="1"/>
    <col min="6704" max="6704" width="65.28515625" style="3886" customWidth="1"/>
    <col min="6705" max="6705" width="13.28515625" style="3886" customWidth="1"/>
    <col min="6706" max="6710" width="6.7109375" style="3886" customWidth="1"/>
    <col min="6711" max="6712" width="11.5703125" style="3886"/>
    <col min="6713" max="6713" width="5.28515625" style="3886" customWidth="1"/>
    <col min="6714" max="6714" width="65.28515625" style="3886" customWidth="1"/>
    <col min="6715" max="6715" width="13.28515625" style="3886" customWidth="1"/>
    <col min="6716" max="6720" width="6.7109375" style="3886" customWidth="1"/>
    <col min="6721" max="6924" width="11.5703125" style="3886"/>
    <col min="6925" max="6926" width="6.140625" style="3886" customWidth="1"/>
    <col min="6927" max="6927" width="50.42578125" style="3886" customWidth="1"/>
    <col min="6928" max="6928" width="11.5703125" style="3886" customWidth="1"/>
    <col min="6929" max="6933" width="6.7109375" style="3886" customWidth="1"/>
    <col min="6934" max="6934" width="9.85546875" style="3886" customWidth="1"/>
    <col min="6935" max="6937" width="6.140625" style="3886" customWidth="1"/>
    <col min="6938" max="6938" width="50.42578125" style="3886" customWidth="1"/>
    <col min="6939" max="6939" width="11.5703125" style="3886" customWidth="1"/>
    <col min="6940" max="6944" width="6.7109375" style="3886" customWidth="1"/>
    <col min="6945" max="6945" width="9.85546875" style="3886" customWidth="1"/>
    <col min="6946" max="6948" width="6.140625" style="3886" customWidth="1"/>
    <col min="6949" max="6949" width="49" style="3886" customWidth="1"/>
    <col min="6950" max="6950" width="10.85546875" style="3886" customWidth="1"/>
    <col min="6951" max="6955" width="6.7109375" style="3886" customWidth="1"/>
    <col min="6956" max="6956" width="10" style="3886" customWidth="1"/>
    <col min="6957" max="6958" width="6.140625" style="3886" customWidth="1"/>
    <col min="6959" max="6959" width="5.28515625" style="3886" customWidth="1"/>
    <col min="6960" max="6960" width="65.28515625" style="3886" customWidth="1"/>
    <col min="6961" max="6961" width="13.28515625" style="3886" customWidth="1"/>
    <col min="6962" max="6966" width="6.7109375" style="3886" customWidth="1"/>
    <col min="6967" max="6968" width="11.5703125" style="3886"/>
    <col min="6969" max="6969" width="5.28515625" style="3886" customWidth="1"/>
    <col min="6970" max="6970" width="65.28515625" style="3886" customWidth="1"/>
    <col min="6971" max="6971" width="13.28515625" style="3886" customWidth="1"/>
    <col min="6972" max="6976" width="6.7109375" style="3886" customWidth="1"/>
    <col min="6977" max="7180" width="11.5703125" style="3886"/>
    <col min="7181" max="7182" width="6.140625" style="3886" customWidth="1"/>
    <col min="7183" max="7183" width="50.42578125" style="3886" customWidth="1"/>
    <col min="7184" max="7184" width="11.5703125" style="3886" customWidth="1"/>
    <col min="7185" max="7189" width="6.7109375" style="3886" customWidth="1"/>
    <col min="7190" max="7190" width="9.85546875" style="3886" customWidth="1"/>
    <col min="7191" max="7193" width="6.140625" style="3886" customWidth="1"/>
    <col min="7194" max="7194" width="50.42578125" style="3886" customWidth="1"/>
    <col min="7195" max="7195" width="11.5703125" style="3886" customWidth="1"/>
    <col min="7196" max="7200" width="6.7109375" style="3886" customWidth="1"/>
    <col min="7201" max="7201" width="9.85546875" style="3886" customWidth="1"/>
    <col min="7202" max="7204" width="6.140625" style="3886" customWidth="1"/>
    <col min="7205" max="7205" width="49" style="3886" customWidth="1"/>
    <col min="7206" max="7206" width="10.85546875" style="3886" customWidth="1"/>
    <col min="7207" max="7211" width="6.7109375" style="3886" customWidth="1"/>
    <col min="7212" max="7212" width="10" style="3886" customWidth="1"/>
    <col min="7213" max="7214" width="6.140625" style="3886" customWidth="1"/>
    <col min="7215" max="7215" width="5.28515625" style="3886" customWidth="1"/>
    <col min="7216" max="7216" width="65.28515625" style="3886" customWidth="1"/>
    <col min="7217" max="7217" width="13.28515625" style="3886" customWidth="1"/>
    <col min="7218" max="7222" width="6.7109375" style="3886" customWidth="1"/>
    <col min="7223" max="7224" width="11.5703125" style="3886"/>
    <col min="7225" max="7225" width="5.28515625" style="3886" customWidth="1"/>
    <col min="7226" max="7226" width="65.28515625" style="3886" customWidth="1"/>
    <col min="7227" max="7227" width="13.28515625" style="3886" customWidth="1"/>
    <col min="7228" max="7232" width="6.7109375" style="3886" customWidth="1"/>
    <col min="7233" max="7436" width="11.5703125" style="3886"/>
    <col min="7437" max="7438" width="6.140625" style="3886" customWidth="1"/>
    <col min="7439" max="7439" width="50.42578125" style="3886" customWidth="1"/>
    <col min="7440" max="7440" width="11.5703125" style="3886" customWidth="1"/>
    <col min="7441" max="7445" width="6.7109375" style="3886" customWidth="1"/>
    <col min="7446" max="7446" width="9.85546875" style="3886" customWidth="1"/>
    <col min="7447" max="7449" width="6.140625" style="3886" customWidth="1"/>
    <col min="7450" max="7450" width="50.42578125" style="3886" customWidth="1"/>
    <col min="7451" max="7451" width="11.5703125" style="3886" customWidth="1"/>
    <col min="7452" max="7456" width="6.7109375" style="3886" customWidth="1"/>
    <col min="7457" max="7457" width="9.85546875" style="3886" customWidth="1"/>
    <col min="7458" max="7460" width="6.140625" style="3886" customWidth="1"/>
    <col min="7461" max="7461" width="49" style="3886" customWidth="1"/>
    <col min="7462" max="7462" width="10.85546875" style="3886" customWidth="1"/>
    <col min="7463" max="7467" width="6.7109375" style="3886" customWidth="1"/>
    <col min="7468" max="7468" width="10" style="3886" customWidth="1"/>
    <col min="7469" max="7470" width="6.140625" style="3886" customWidth="1"/>
    <col min="7471" max="7471" width="5.28515625" style="3886" customWidth="1"/>
    <col min="7472" max="7472" width="65.28515625" style="3886" customWidth="1"/>
    <col min="7473" max="7473" width="13.28515625" style="3886" customWidth="1"/>
    <col min="7474" max="7478" width="6.7109375" style="3886" customWidth="1"/>
    <col min="7479" max="7480" width="11.5703125" style="3886"/>
    <col min="7481" max="7481" width="5.28515625" style="3886" customWidth="1"/>
    <col min="7482" max="7482" width="65.28515625" style="3886" customWidth="1"/>
    <col min="7483" max="7483" width="13.28515625" style="3886" customWidth="1"/>
    <col min="7484" max="7488" width="6.7109375" style="3886" customWidth="1"/>
    <col min="7489" max="7692" width="11.5703125" style="3886"/>
    <col min="7693" max="7694" width="6.140625" style="3886" customWidth="1"/>
    <col min="7695" max="7695" width="50.42578125" style="3886" customWidth="1"/>
    <col min="7696" max="7696" width="11.5703125" style="3886" customWidth="1"/>
    <col min="7697" max="7701" width="6.7109375" style="3886" customWidth="1"/>
    <col min="7702" max="7702" width="9.85546875" style="3886" customWidth="1"/>
    <col min="7703" max="7705" width="6.140625" style="3886" customWidth="1"/>
    <col min="7706" max="7706" width="50.42578125" style="3886" customWidth="1"/>
    <col min="7707" max="7707" width="11.5703125" style="3886" customWidth="1"/>
    <col min="7708" max="7712" width="6.7109375" style="3886" customWidth="1"/>
    <col min="7713" max="7713" width="9.85546875" style="3886" customWidth="1"/>
    <col min="7714" max="7716" width="6.140625" style="3886" customWidth="1"/>
    <col min="7717" max="7717" width="49" style="3886" customWidth="1"/>
    <col min="7718" max="7718" width="10.85546875" style="3886" customWidth="1"/>
    <col min="7719" max="7723" width="6.7109375" style="3886" customWidth="1"/>
    <col min="7724" max="7724" width="10" style="3886" customWidth="1"/>
    <col min="7725" max="7726" width="6.140625" style="3886" customWidth="1"/>
    <col min="7727" max="7727" width="5.28515625" style="3886" customWidth="1"/>
    <col min="7728" max="7728" width="65.28515625" style="3886" customWidth="1"/>
    <col min="7729" max="7729" width="13.28515625" style="3886" customWidth="1"/>
    <col min="7730" max="7734" width="6.7109375" style="3886" customWidth="1"/>
    <col min="7735" max="7736" width="11.5703125" style="3886"/>
    <col min="7737" max="7737" width="5.28515625" style="3886" customWidth="1"/>
    <col min="7738" max="7738" width="65.28515625" style="3886" customWidth="1"/>
    <col min="7739" max="7739" width="13.28515625" style="3886" customWidth="1"/>
    <col min="7740" max="7744" width="6.7109375" style="3886" customWidth="1"/>
    <col min="7745" max="7948" width="11.5703125" style="3886"/>
    <col min="7949" max="7950" width="6.140625" style="3886" customWidth="1"/>
    <col min="7951" max="7951" width="50.42578125" style="3886" customWidth="1"/>
    <col min="7952" max="7952" width="11.5703125" style="3886" customWidth="1"/>
    <col min="7953" max="7957" width="6.7109375" style="3886" customWidth="1"/>
    <col min="7958" max="7958" width="9.85546875" style="3886" customWidth="1"/>
    <col min="7959" max="7961" width="6.140625" style="3886" customWidth="1"/>
    <col min="7962" max="7962" width="50.42578125" style="3886" customWidth="1"/>
    <col min="7963" max="7963" width="11.5703125" style="3886" customWidth="1"/>
    <col min="7964" max="7968" width="6.7109375" style="3886" customWidth="1"/>
    <col min="7969" max="7969" width="9.85546875" style="3886" customWidth="1"/>
    <col min="7970" max="7972" width="6.140625" style="3886" customWidth="1"/>
    <col min="7973" max="7973" width="49" style="3886" customWidth="1"/>
    <col min="7974" max="7974" width="10.85546875" style="3886" customWidth="1"/>
    <col min="7975" max="7979" width="6.7109375" style="3886" customWidth="1"/>
    <col min="7980" max="7980" width="10" style="3886" customWidth="1"/>
    <col min="7981" max="7982" width="6.140625" style="3886" customWidth="1"/>
    <col min="7983" max="7983" width="5.28515625" style="3886" customWidth="1"/>
    <col min="7984" max="7984" width="65.28515625" style="3886" customWidth="1"/>
    <col min="7985" max="7985" width="13.28515625" style="3886" customWidth="1"/>
    <col min="7986" max="7990" width="6.7109375" style="3886" customWidth="1"/>
    <col min="7991" max="7992" width="11.5703125" style="3886"/>
    <col min="7993" max="7993" width="5.28515625" style="3886" customWidth="1"/>
    <col min="7994" max="7994" width="65.28515625" style="3886" customWidth="1"/>
    <col min="7995" max="7995" width="13.28515625" style="3886" customWidth="1"/>
    <col min="7996" max="8000" width="6.7109375" style="3886" customWidth="1"/>
    <col min="8001" max="8204" width="11.5703125" style="3886"/>
    <col min="8205" max="8206" width="6.140625" style="3886" customWidth="1"/>
    <col min="8207" max="8207" width="50.42578125" style="3886" customWidth="1"/>
    <col min="8208" max="8208" width="11.5703125" style="3886" customWidth="1"/>
    <col min="8209" max="8213" width="6.7109375" style="3886" customWidth="1"/>
    <col min="8214" max="8214" width="9.85546875" style="3886" customWidth="1"/>
    <col min="8215" max="8217" width="6.140625" style="3886" customWidth="1"/>
    <col min="8218" max="8218" width="50.42578125" style="3886" customWidth="1"/>
    <col min="8219" max="8219" width="11.5703125" style="3886" customWidth="1"/>
    <col min="8220" max="8224" width="6.7109375" style="3886" customWidth="1"/>
    <col min="8225" max="8225" width="9.85546875" style="3886" customWidth="1"/>
    <col min="8226" max="8228" width="6.140625" style="3886" customWidth="1"/>
    <col min="8229" max="8229" width="49" style="3886" customWidth="1"/>
    <col min="8230" max="8230" width="10.85546875" style="3886" customWidth="1"/>
    <col min="8231" max="8235" width="6.7109375" style="3886" customWidth="1"/>
    <col min="8236" max="8236" width="10" style="3886" customWidth="1"/>
    <col min="8237" max="8238" width="6.140625" style="3886" customWidth="1"/>
    <col min="8239" max="8239" width="5.28515625" style="3886" customWidth="1"/>
    <col min="8240" max="8240" width="65.28515625" style="3886" customWidth="1"/>
    <col min="8241" max="8241" width="13.28515625" style="3886" customWidth="1"/>
    <col min="8242" max="8246" width="6.7109375" style="3886" customWidth="1"/>
    <col min="8247" max="8248" width="11.5703125" style="3886"/>
    <col min="8249" max="8249" width="5.28515625" style="3886" customWidth="1"/>
    <col min="8250" max="8250" width="65.28515625" style="3886" customWidth="1"/>
    <col min="8251" max="8251" width="13.28515625" style="3886" customWidth="1"/>
    <col min="8252" max="8256" width="6.7109375" style="3886" customWidth="1"/>
    <col min="8257" max="8460" width="11.5703125" style="3886"/>
    <col min="8461" max="8462" width="6.140625" style="3886" customWidth="1"/>
    <col min="8463" max="8463" width="50.42578125" style="3886" customWidth="1"/>
    <col min="8464" max="8464" width="11.5703125" style="3886" customWidth="1"/>
    <col min="8465" max="8469" width="6.7109375" style="3886" customWidth="1"/>
    <col min="8470" max="8470" width="9.85546875" style="3886" customWidth="1"/>
    <col min="8471" max="8473" width="6.140625" style="3886" customWidth="1"/>
    <col min="8474" max="8474" width="50.42578125" style="3886" customWidth="1"/>
    <col min="8475" max="8475" width="11.5703125" style="3886" customWidth="1"/>
    <col min="8476" max="8480" width="6.7109375" style="3886" customWidth="1"/>
    <col min="8481" max="8481" width="9.85546875" style="3886" customWidth="1"/>
    <col min="8482" max="8484" width="6.140625" style="3886" customWidth="1"/>
    <col min="8485" max="8485" width="49" style="3886" customWidth="1"/>
    <col min="8486" max="8486" width="10.85546875" style="3886" customWidth="1"/>
    <col min="8487" max="8491" width="6.7109375" style="3886" customWidth="1"/>
    <col min="8492" max="8492" width="10" style="3886" customWidth="1"/>
    <col min="8493" max="8494" width="6.140625" style="3886" customWidth="1"/>
    <col min="8495" max="8495" width="5.28515625" style="3886" customWidth="1"/>
    <col min="8496" max="8496" width="65.28515625" style="3886" customWidth="1"/>
    <col min="8497" max="8497" width="13.28515625" style="3886" customWidth="1"/>
    <col min="8498" max="8502" width="6.7109375" style="3886" customWidth="1"/>
    <col min="8503" max="8504" width="11.5703125" style="3886"/>
    <col min="8505" max="8505" width="5.28515625" style="3886" customWidth="1"/>
    <col min="8506" max="8506" width="65.28515625" style="3886" customWidth="1"/>
    <col min="8507" max="8507" width="13.28515625" style="3886" customWidth="1"/>
    <col min="8508" max="8512" width="6.7109375" style="3886" customWidth="1"/>
    <col min="8513" max="8716" width="11.5703125" style="3886"/>
    <col min="8717" max="8718" width="6.140625" style="3886" customWidth="1"/>
    <col min="8719" max="8719" width="50.42578125" style="3886" customWidth="1"/>
    <col min="8720" max="8720" width="11.5703125" style="3886" customWidth="1"/>
    <col min="8721" max="8725" width="6.7109375" style="3886" customWidth="1"/>
    <col min="8726" max="8726" width="9.85546875" style="3886" customWidth="1"/>
    <col min="8727" max="8729" width="6.140625" style="3886" customWidth="1"/>
    <col min="8730" max="8730" width="50.42578125" style="3886" customWidth="1"/>
    <col min="8731" max="8731" width="11.5703125" style="3886" customWidth="1"/>
    <col min="8732" max="8736" width="6.7109375" style="3886" customWidth="1"/>
    <col min="8737" max="8737" width="9.85546875" style="3886" customWidth="1"/>
    <col min="8738" max="8740" width="6.140625" style="3886" customWidth="1"/>
    <col min="8741" max="8741" width="49" style="3886" customWidth="1"/>
    <col min="8742" max="8742" width="10.85546875" style="3886" customWidth="1"/>
    <col min="8743" max="8747" width="6.7109375" style="3886" customWidth="1"/>
    <col min="8748" max="8748" width="10" style="3886" customWidth="1"/>
    <col min="8749" max="8750" width="6.140625" style="3886" customWidth="1"/>
    <col min="8751" max="8751" width="5.28515625" style="3886" customWidth="1"/>
    <col min="8752" max="8752" width="65.28515625" style="3886" customWidth="1"/>
    <col min="8753" max="8753" width="13.28515625" style="3886" customWidth="1"/>
    <col min="8754" max="8758" width="6.7109375" style="3886" customWidth="1"/>
    <col min="8759" max="8760" width="11.5703125" style="3886"/>
    <col min="8761" max="8761" width="5.28515625" style="3886" customWidth="1"/>
    <col min="8762" max="8762" width="65.28515625" style="3886" customWidth="1"/>
    <col min="8763" max="8763" width="13.28515625" style="3886" customWidth="1"/>
    <col min="8764" max="8768" width="6.7109375" style="3886" customWidth="1"/>
    <col min="8769" max="8972" width="11.5703125" style="3886"/>
    <col min="8973" max="8974" width="6.140625" style="3886" customWidth="1"/>
    <col min="8975" max="8975" width="50.42578125" style="3886" customWidth="1"/>
    <col min="8976" max="8976" width="11.5703125" style="3886" customWidth="1"/>
    <col min="8977" max="8981" width="6.7109375" style="3886" customWidth="1"/>
    <col min="8982" max="8982" width="9.85546875" style="3886" customWidth="1"/>
    <col min="8983" max="8985" width="6.140625" style="3886" customWidth="1"/>
    <col min="8986" max="8986" width="50.42578125" style="3886" customWidth="1"/>
    <col min="8987" max="8987" width="11.5703125" style="3886" customWidth="1"/>
    <col min="8988" max="8992" width="6.7109375" style="3886" customWidth="1"/>
    <col min="8993" max="8993" width="9.85546875" style="3886" customWidth="1"/>
    <col min="8994" max="8996" width="6.140625" style="3886" customWidth="1"/>
    <col min="8997" max="8997" width="49" style="3886" customWidth="1"/>
    <col min="8998" max="8998" width="10.85546875" style="3886" customWidth="1"/>
    <col min="8999" max="9003" width="6.7109375" style="3886" customWidth="1"/>
    <col min="9004" max="9004" width="10" style="3886" customWidth="1"/>
    <col min="9005" max="9006" width="6.140625" style="3886" customWidth="1"/>
    <col min="9007" max="9007" width="5.28515625" style="3886" customWidth="1"/>
    <col min="9008" max="9008" width="65.28515625" style="3886" customWidth="1"/>
    <col min="9009" max="9009" width="13.28515625" style="3886" customWidth="1"/>
    <col min="9010" max="9014" width="6.7109375" style="3886" customWidth="1"/>
    <col min="9015" max="9016" width="11.5703125" style="3886"/>
    <col min="9017" max="9017" width="5.28515625" style="3886" customWidth="1"/>
    <col min="9018" max="9018" width="65.28515625" style="3886" customWidth="1"/>
    <col min="9019" max="9019" width="13.28515625" style="3886" customWidth="1"/>
    <col min="9020" max="9024" width="6.7109375" style="3886" customWidth="1"/>
    <col min="9025" max="9228" width="11.5703125" style="3886"/>
    <col min="9229" max="9230" width="6.140625" style="3886" customWidth="1"/>
    <col min="9231" max="9231" width="50.42578125" style="3886" customWidth="1"/>
    <col min="9232" max="9232" width="11.5703125" style="3886" customWidth="1"/>
    <col min="9233" max="9237" width="6.7109375" style="3886" customWidth="1"/>
    <col min="9238" max="9238" width="9.85546875" style="3886" customWidth="1"/>
    <col min="9239" max="9241" width="6.140625" style="3886" customWidth="1"/>
    <col min="9242" max="9242" width="50.42578125" style="3886" customWidth="1"/>
    <col min="9243" max="9243" width="11.5703125" style="3886" customWidth="1"/>
    <col min="9244" max="9248" width="6.7109375" style="3886" customWidth="1"/>
    <col min="9249" max="9249" width="9.85546875" style="3886" customWidth="1"/>
    <col min="9250" max="9252" width="6.140625" style="3886" customWidth="1"/>
    <col min="9253" max="9253" width="49" style="3886" customWidth="1"/>
    <col min="9254" max="9254" width="10.85546875" style="3886" customWidth="1"/>
    <col min="9255" max="9259" width="6.7109375" style="3886" customWidth="1"/>
    <col min="9260" max="9260" width="10" style="3886" customWidth="1"/>
    <col min="9261" max="9262" width="6.140625" style="3886" customWidth="1"/>
    <col min="9263" max="9263" width="5.28515625" style="3886" customWidth="1"/>
    <col min="9264" max="9264" width="65.28515625" style="3886" customWidth="1"/>
    <col min="9265" max="9265" width="13.28515625" style="3886" customWidth="1"/>
    <col min="9266" max="9270" width="6.7109375" style="3886" customWidth="1"/>
    <col min="9271" max="9272" width="11.5703125" style="3886"/>
    <col min="9273" max="9273" width="5.28515625" style="3886" customWidth="1"/>
    <col min="9274" max="9274" width="65.28515625" style="3886" customWidth="1"/>
    <col min="9275" max="9275" width="13.28515625" style="3886" customWidth="1"/>
    <col min="9276" max="9280" width="6.7109375" style="3886" customWidth="1"/>
    <col min="9281" max="9484" width="11.5703125" style="3886"/>
    <col min="9485" max="9486" width="6.140625" style="3886" customWidth="1"/>
    <col min="9487" max="9487" width="50.42578125" style="3886" customWidth="1"/>
    <col min="9488" max="9488" width="11.5703125" style="3886" customWidth="1"/>
    <col min="9489" max="9493" width="6.7109375" style="3886" customWidth="1"/>
    <col min="9494" max="9494" width="9.85546875" style="3886" customWidth="1"/>
    <col min="9495" max="9497" width="6.140625" style="3886" customWidth="1"/>
    <col min="9498" max="9498" width="50.42578125" style="3886" customWidth="1"/>
    <col min="9499" max="9499" width="11.5703125" style="3886" customWidth="1"/>
    <col min="9500" max="9504" width="6.7109375" style="3886" customWidth="1"/>
    <col min="9505" max="9505" width="9.85546875" style="3886" customWidth="1"/>
    <col min="9506" max="9508" width="6.140625" style="3886" customWidth="1"/>
    <col min="9509" max="9509" width="49" style="3886" customWidth="1"/>
    <col min="9510" max="9510" width="10.85546875" style="3886" customWidth="1"/>
    <col min="9511" max="9515" width="6.7109375" style="3886" customWidth="1"/>
    <col min="9516" max="9516" width="10" style="3886" customWidth="1"/>
    <col min="9517" max="9518" width="6.140625" style="3886" customWidth="1"/>
    <col min="9519" max="9519" width="5.28515625" style="3886" customWidth="1"/>
    <col min="9520" max="9520" width="65.28515625" style="3886" customWidth="1"/>
    <col min="9521" max="9521" width="13.28515625" style="3886" customWidth="1"/>
    <col min="9522" max="9526" width="6.7109375" style="3886" customWidth="1"/>
    <col min="9527" max="9528" width="11.5703125" style="3886"/>
    <col min="9529" max="9529" width="5.28515625" style="3886" customWidth="1"/>
    <col min="9530" max="9530" width="65.28515625" style="3886" customWidth="1"/>
    <col min="9531" max="9531" width="13.28515625" style="3886" customWidth="1"/>
    <col min="9532" max="9536" width="6.7109375" style="3886" customWidth="1"/>
    <col min="9537" max="9740" width="11.5703125" style="3886"/>
    <col min="9741" max="9742" width="6.140625" style="3886" customWidth="1"/>
    <col min="9743" max="9743" width="50.42578125" style="3886" customWidth="1"/>
    <col min="9744" max="9744" width="11.5703125" style="3886" customWidth="1"/>
    <col min="9745" max="9749" width="6.7109375" style="3886" customWidth="1"/>
    <col min="9750" max="9750" width="9.85546875" style="3886" customWidth="1"/>
    <col min="9751" max="9753" width="6.140625" style="3886" customWidth="1"/>
    <col min="9754" max="9754" width="50.42578125" style="3886" customWidth="1"/>
    <col min="9755" max="9755" width="11.5703125" style="3886" customWidth="1"/>
    <col min="9756" max="9760" width="6.7109375" style="3886" customWidth="1"/>
    <col min="9761" max="9761" width="9.85546875" style="3886" customWidth="1"/>
    <col min="9762" max="9764" width="6.140625" style="3886" customWidth="1"/>
    <col min="9765" max="9765" width="49" style="3886" customWidth="1"/>
    <col min="9766" max="9766" width="10.85546875" style="3886" customWidth="1"/>
    <col min="9767" max="9771" width="6.7109375" style="3886" customWidth="1"/>
    <col min="9772" max="9772" width="10" style="3886" customWidth="1"/>
    <col min="9773" max="9774" width="6.140625" style="3886" customWidth="1"/>
    <col min="9775" max="9775" width="5.28515625" style="3886" customWidth="1"/>
    <col min="9776" max="9776" width="65.28515625" style="3886" customWidth="1"/>
    <col min="9777" max="9777" width="13.28515625" style="3886" customWidth="1"/>
    <col min="9778" max="9782" width="6.7109375" style="3886" customWidth="1"/>
    <col min="9783" max="9784" width="11.5703125" style="3886"/>
    <col min="9785" max="9785" width="5.28515625" style="3886" customWidth="1"/>
    <col min="9786" max="9786" width="65.28515625" style="3886" customWidth="1"/>
    <col min="9787" max="9787" width="13.28515625" style="3886" customWidth="1"/>
    <col min="9788" max="9792" width="6.7109375" style="3886" customWidth="1"/>
    <col min="9793" max="9996" width="11.5703125" style="3886"/>
    <col min="9997" max="9998" width="6.140625" style="3886" customWidth="1"/>
    <col min="9999" max="9999" width="50.42578125" style="3886" customWidth="1"/>
    <col min="10000" max="10000" width="11.5703125" style="3886" customWidth="1"/>
    <col min="10001" max="10005" width="6.7109375" style="3886" customWidth="1"/>
    <col min="10006" max="10006" width="9.85546875" style="3886" customWidth="1"/>
    <col min="10007" max="10009" width="6.140625" style="3886" customWidth="1"/>
    <col min="10010" max="10010" width="50.42578125" style="3886" customWidth="1"/>
    <col min="10011" max="10011" width="11.5703125" style="3886" customWidth="1"/>
    <col min="10012" max="10016" width="6.7109375" style="3886" customWidth="1"/>
    <col min="10017" max="10017" width="9.85546875" style="3886" customWidth="1"/>
    <col min="10018" max="10020" width="6.140625" style="3886" customWidth="1"/>
    <col min="10021" max="10021" width="49" style="3886" customWidth="1"/>
    <col min="10022" max="10022" width="10.85546875" style="3886" customWidth="1"/>
    <col min="10023" max="10027" width="6.7109375" style="3886" customWidth="1"/>
    <col min="10028" max="10028" width="10" style="3886" customWidth="1"/>
    <col min="10029" max="10030" width="6.140625" style="3886" customWidth="1"/>
    <col min="10031" max="10031" width="5.28515625" style="3886" customWidth="1"/>
    <col min="10032" max="10032" width="65.28515625" style="3886" customWidth="1"/>
    <col min="10033" max="10033" width="13.28515625" style="3886" customWidth="1"/>
    <col min="10034" max="10038" width="6.7109375" style="3886" customWidth="1"/>
    <col min="10039" max="10040" width="11.5703125" style="3886"/>
    <col min="10041" max="10041" width="5.28515625" style="3886" customWidth="1"/>
    <col min="10042" max="10042" width="65.28515625" style="3886" customWidth="1"/>
    <col min="10043" max="10043" width="13.28515625" style="3886" customWidth="1"/>
    <col min="10044" max="10048" width="6.7109375" style="3886" customWidth="1"/>
    <col min="10049" max="10252" width="11.5703125" style="3886"/>
    <col min="10253" max="10254" width="6.140625" style="3886" customWidth="1"/>
    <col min="10255" max="10255" width="50.42578125" style="3886" customWidth="1"/>
    <col min="10256" max="10256" width="11.5703125" style="3886" customWidth="1"/>
    <col min="10257" max="10261" width="6.7109375" style="3886" customWidth="1"/>
    <col min="10262" max="10262" width="9.85546875" style="3886" customWidth="1"/>
    <col min="10263" max="10265" width="6.140625" style="3886" customWidth="1"/>
    <col min="10266" max="10266" width="50.42578125" style="3886" customWidth="1"/>
    <col min="10267" max="10267" width="11.5703125" style="3886" customWidth="1"/>
    <col min="10268" max="10272" width="6.7109375" style="3886" customWidth="1"/>
    <col min="10273" max="10273" width="9.85546875" style="3886" customWidth="1"/>
    <col min="10274" max="10276" width="6.140625" style="3886" customWidth="1"/>
    <col min="10277" max="10277" width="49" style="3886" customWidth="1"/>
    <col min="10278" max="10278" width="10.85546875" style="3886" customWidth="1"/>
    <col min="10279" max="10283" width="6.7109375" style="3886" customWidth="1"/>
    <col min="10284" max="10284" width="10" style="3886" customWidth="1"/>
    <col min="10285" max="10286" width="6.140625" style="3886" customWidth="1"/>
    <col min="10287" max="10287" width="5.28515625" style="3886" customWidth="1"/>
    <col min="10288" max="10288" width="65.28515625" style="3886" customWidth="1"/>
    <col min="10289" max="10289" width="13.28515625" style="3886" customWidth="1"/>
    <col min="10290" max="10294" width="6.7109375" style="3886" customWidth="1"/>
    <col min="10295" max="10296" width="11.5703125" style="3886"/>
    <col min="10297" max="10297" width="5.28515625" style="3886" customWidth="1"/>
    <col min="10298" max="10298" width="65.28515625" style="3886" customWidth="1"/>
    <col min="10299" max="10299" width="13.28515625" style="3886" customWidth="1"/>
    <col min="10300" max="10304" width="6.7109375" style="3886" customWidth="1"/>
    <col min="10305" max="10508" width="11.5703125" style="3886"/>
    <col min="10509" max="10510" width="6.140625" style="3886" customWidth="1"/>
    <col min="10511" max="10511" width="50.42578125" style="3886" customWidth="1"/>
    <col min="10512" max="10512" width="11.5703125" style="3886" customWidth="1"/>
    <col min="10513" max="10517" width="6.7109375" style="3886" customWidth="1"/>
    <col min="10518" max="10518" width="9.85546875" style="3886" customWidth="1"/>
    <col min="10519" max="10521" width="6.140625" style="3886" customWidth="1"/>
    <col min="10522" max="10522" width="50.42578125" style="3886" customWidth="1"/>
    <col min="10523" max="10523" width="11.5703125" style="3886" customWidth="1"/>
    <col min="10524" max="10528" width="6.7109375" style="3886" customWidth="1"/>
    <col min="10529" max="10529" width="9.85546875" style="3886" customWidth="1"/>
    <col min="10530" max="10532" width="6.140625" style="3886" customWidth="1"/>
    <col min="10533" max="10533" width="49" style="3886" customWidth="1"/>
    <col min="10534" max="10534" width="10.85546875" style="3886" customWidth="1"/>
    <col min="10535" max="10539" width="6.7109375" style="3886" customWidth="1"/>
    <col min="10540" max="10540" width="10" style="3886" customWidth="1"/>
    <col min="10541" max="10542" width="6.140625" style="3886" customWidth="1"/>
    <col min="10543" max="10543" width="5.28515625" style="3886" customWidth="1"/>
    <col min="10544" max="10544" width="65.28515625" style="3886" customWidth="1"/>
    <col min="10545" max="10545" width="13.28515625" style="3886" customWidth="1"/>
    <col min="10546" max="10550" width="6.7109375" style="3886" customWidth="1"/>
    <col min="10551" max="10552" width="11.5703125" style="3886"/>
    <col min="10553" max="10553" width="5.28515625" style="3886" customWidth="1"/>
    <col min="10554" max="10554" width="65.28515625" style="3886" customWidth="1"/>
    <col min="10555" max="10555" width="13.28515625" style="3886" customWidth="1"/>
    <col min="10556" max="10560" width="6.7109375" style="3886" customWidth="1"/>
    <col min="10561" max="10764" width="11.5703125" style="3886"/>
    <col min="10765" max="10766" width="6.140625" style="3886" customWidth="1"/>
    <col min="10767" max="10767" width="50.42578125" style="3886" customWidth="1"/>
    <col min="10768" max="10768" width="11.5703125" style="3886" customWidth="1"/>
    <col min="10769" max="10773" width="6.7109375" style="3886" customWidth="1"/>
    <col min="10774" max="10774" width="9.85546875" style="3886" customWidth="1"/>
    <col min="10775" max="10777" width="6.140625" style="3886" customWidth="1"/>
    <col min="10778" max="10778" width="50.42578125" style="3886" customWidth="1"/>
    <col min="10779" max="10779" width="11.5703125" style="3886" customWidth="1"/>
    <col min="10780" max="10784" width="6.7109375" style="3886" customWidth="1"/>
    <col min="10785" max="10785" width="9.85546875" style="3886" customWidth="1"/>
    <col min="10786" max="10788" width="6.140625" style="3886" customWidth="1"/>
    <col min="10789" max="10789" width="49" style="3886" customWidth="1"/>
    <col min="10790" max="10790" width="10.85546875" style="3886" customWidth="1"/>
    <col min="10791" max="10795" width="6.7109375" style="3886" customWidth="1"/>
    <col min="10796" max="10796" width="10" style="3886" customWidth="1"/>
    <col min="10797" max="10798" width="6.140625" style="3886" customWidth="1"/>
    <col min="10799" max="10799" width="5.28515625" style="3886" customWidth="1"/>
    <col min="10800" max="10800" width="65.28515625" style="3886" customWidth="1"/>
    <col min="10801" max="10801" width="13.28515625" style="3886" customWidth="1"/>
    <col min="10802" max="10806" width="6.7109375" style="3886" customWidth="1"/>
    <col min="10807" max="10808" width="11.5703125" style="3886"/>
    <col min="10809" max="10809" width="5.28515625" style="3886" customWidth="1"/>
    <col min="10810" max="10810" width="65.28515625" style="3886" customWidth="1"/>
    <col min="10811" max="10811" width="13.28515625" style="3886" customWidth="1"/>
    <col min="10812" max="10816" width="6.7109375" style="3886" customWidth="1"/>
    <col min="10817" max="11020" width="11.5703125" style="3886"/>
    <col min="11021" max="11022" width="6.140625" style="3886" customWidth="1"/>
    <col min="11023" max="11023" width="50.42578125" style="3886" customWidth="1"/>
    <col min="11024" max="11024" width="11.5703125" style="3886" customWidth="1"/>
    <col min="11025" max="11029" width="6.7109375" style="3886" customWidth="1"/>
    <col min="11030" max="11030" width="9.85546875" style="3886" customWidth="1"/>
    <col min="11031" max="11033" width="6.140625" style="3886" customWidth="1"/>
    <col min="11034" max="11034" width="50.42578125" style="3886" customWidth="1"/>
    <col min="11035" max="11035" width="11.5703125" style="3886" customWidth="1"/>
    <col min="11036" max="11040" width="6.7109375" style="3886" customWidth="1"/>
    <col min="11041" max="11041" width="9.85546875" style="3886" customWidth="1"/>
    <col min="11042" max="11044" width="6.140625" style="3886" customWidth="1"/>
    <col min="11045" max="11045" width="49" style="3886" customWidth="1"/>
    <col min="11046" max="11046" width="10.85546875" style="3886" customWidth="1"/>
    <col min="11047" max="11051" width="6.7109375" style="3886" customWidth="1"/>
    <col min="11052" max="11052" width="10" style="3886" customWidth="1"/>
    <col min="11053" max="11054" width="6.140625" style="3886" customWidth="1"/>
    <col min="11055" max="11055" width="5.28515625" style="3886" customWidth="1"/>
    <col min="11056" max="11056" width="65.28515625" style="3886" customWidth="1"/>
    <col min="11057" max="11057" width="13.28515625" style="3886" customWidth="1"/>
    <col min="11058" max="11062" width="6.7109375" style="3886" customWidth="1"/>
    <col min="11063" max="11064" width="11.5703125" style="3886"/>
    <col min="11065" max="11065" width="5.28515625" style="3886" customWidth="1"/>
    <col min="11066" max="11066" width="65.28515625" style="3886" customWidth="1"/>
    <col min="11067" max="11067" width="13.28515625" style="3886" customWidth="1"/>
    <col min="11068" max="11072" width="6.7109375" style="3886" customWidth="1"/>
    <col min="11073" max="11276" width="11.5703125" style="3886"/>
    <col min="11277" max="11278" width="6.140625" style="3886" customWidth="1"/>
    <col min="11279" max="11279" width="50.42578125" style="3886" customWidth="1"/>
    <col min="11280" max="11280" width="11.5703125" style="3886" customWidth="1"/>
    <col min="11281" max="11285" width="6.7109375" style="3886" customWidth="1"/>
    <col min="11286" max="11286" width="9.85546875" style="3886" customWidth="1"/>
    <col min="11287" max="11289" width="6.140625" style="3886" customWidth="1"/>
    <col min="11290" max="11290" width="50.42578125" style="3886" customWidth="1"/>
    <col min="11291" max="11291" width="11.5703125" style="3886" customWidth="1"/>
    <col min="11292" max="11296" width="6.7109375" style="3886" customWidth="1"/>
    <col min="11297" max="11297" width="9.85546875" style="3886" customWidth="1"/>
    <col min="11298" max="11300" width="6.140625" style="3886" customWidth="1"/>
    <col min="11301" max="11301" width="49" style="3886" customWidth="1"/>
    <col min="11302" max="11302" width="10.85546875" style="3886" customWidth="1"/>
    <col min="11303" max="11307" width="6.7109375" style="3886" customWidth="1"/>
    <col min="11308" max="11308" width="10" style="3886" customWidth="1"/>
    <col min="11309" max="11310" width="6.140625" style="3886" customWidth="1"/>
    <col min="11311" max="11311" width="5.28515625" style="3886" customWidth="1"/>
    <col min="11312" max="11312" width="65.28515625" style="3886" customWidth="1"/>
    <col min="11313" max="11313" width="13.28515625" style="3886" customWidth="1"/>
    <col min="11314" max="11318" width="6.7109375" style="3886" customWidth="1"/>
    <col min="11319" max="11320" width="11.5703125" style="3886"/>
    <col min="11321" max="11321" width="5.28515625" style="3886" customWidth="1"/>
    <col min="11322" max="11322" width="65.28515625" style="3886" customWidth="1"/>
    <col min="11323" max="11323" width="13.28515625" style="3886" customWidth="1"/>
    <col min="11324" max="11328" width="6.7109375" style="3886" customWidth="1"/>
    <col min="11329" max="11532" width="11.5703125" style="3886"/>
    <col min="11533" max="11534" width="6.140625" style="3886" customWidth="1"/>
    <col min="11535" max="11535" width="50.42578125" style="3886" customWidth="1"/>
    <col min="11536" max="11536" width="11.5703125" style="3886" customWidth="1"/>
    <col min="11537" max="11541" width="6.7109375" style="3886" customWidth="1"/>
    <col min="11542" max="11542" width="9.85546875" style="3886" customWidth="1"/>
    <col min="11543" max="11545" width="6.140625" style="3886" customWidth="1"/>
    <col min="11546" max="11546" width="50.42578125" style="3886" customWidth="1"/>
    <col min="11547" max="11547" width="11.5703125" style="3886" customWidth="1"/>
    <col min="11548" max="11552" width="6.7109375" style="3886" customWidth="1"/>
    <col min="11553" max="11553" width="9.85546875" style="3886" customWidth="1"/>
    <col min="11554" max="11556" width="6.140625" style="3886" customWidth="1"/>
    <col min="11557" max="11557" width="49" style="3886" customWidth="1"/>
    <col min="11558" max="11558" width="10.85546875" style="3886" customWidth="1"/>
    <col min="11559" max="11563" width="6.7109375" style="3886" customWidth="1"/>
    <col min="11564" max="11564" width="10" style="3886" customWidth="1"/>
    <col min="11565" max="11566" width="6.140625" style="3886" customWidth="1"/>
    <col min="11567" max="11567" width="5.28515625" style="3886" customWidth="1"/>
    <col min="11568" max="11568" width="65.28515625" style="3886" customWidth="1"/>
    <col min="11569" max="11569" width="13.28515625" style="3886" customWidth="1"/>
    <col min="11570" max="11574" width="6.7109375" style="3886" customWidth="1"/>
    <col min="11575" max="11576" width="11.5703125" style="3886"/>
    <col min="11577" max="11577" width="5.28515625" style="3886" customWidth="1"/>
    <col min="11578" max="11578" width="65.28515625" style="3886" customWidth="1"/>
    <col min="11579" max="11579" width="13.28515625" style="3886" customWidth="1"/>
    <col min="11580" max="11584" width="6.7109375" style="3886" customWidth="1"/>
    <col min="11585" max="11788" width="11.5703125" style="3886"/>
    <col min="11789" max="11790" width="6.140625" style="3886" customWidth="1"/>
    <col min="11791" max="11791" width="50.42578125" style="3886" customWidth="1"/>
    <col min="11792" max="11792" width="11.5703125" style="3886" customWidth="1"/>
    <col min="11793" max="11797" width="6.7109375" style="3886" customWidth="1"/>
    <col min="11798" max="11798" width="9.85546875" style="3886" customWidth="1"/>
    <col min="11799" max="11801" width="6.140625" style="3886" customWidth="1"/>
    <col min="11802" max="11802" width="50.42578125" style="3886" customWidth="1"/>
    <col min="11803" max="11803" width="11.5703125" style="3886" customWidth="1"/>
    <col min="11804" max="11808" width="6.7109375" style="3886" customWidth="1"/>
    <col min="11809" max="11809" width="9.85546875" style="3886" customWidth="1"/>
    <col min="11810" max="11812" width="6.140625" style="3886" customWidth="1"/>
    <col min="11813" max="11813" width="49" style="3886" customWidth="1"/>
    <col min="11814" max="11814" width="10.85546875" style="3886" customWidth="1"/>
    <col min="11815" max="11819" width="6.7109375" style="3886" customWidth="1"/>
    <col min="11820" max="11820" width="10" style="3886" customWidth="1"/>
    <col min="11821" max="11822" width="6.140625" style="3886" customWidth="1"/>
    <col min="11823" max="11823" width="5.28515625" style="3886" customWidth="1"/>
    <col min="11824" max="11824" width="65.28515625" style="3886" customWidth="1"/>
    <col min="11825" max="11825" width="13.28515625" style="3886" customWidth="1"/>
    <col min="11826" max="11830" width="6.7109375" style="3886" customWidth="1"/>
    <col min="11831" max="11832" width="11.5703125" style="3886"/>
    <col min="11833" max="11833" width="5.28515625" style="3886" customWidth="1"/>
    <col min="11834" max="11834" width="65.28515625" style="3886" customWidth="1"/>
    <col min="11835" max="11835" width="13.28515625" style="3886" customWidth="1"/>
    <col min="11836" max="11840" width="6.7109375" style="3886" customWidth="1"/>
    <col min="11841" max="12044" width="11.5703125" style="3886"/>
    <col min="12045" max="12046" width="6.140625" style="3886" customWidth="1"/>
    <col min="12047" max="12047" width="50.42578125" style="3886" customWidth="1"/>
    <col min="12048" max="12048" width="11.5703125" style="3886" customWidth="1"/>
    <col min="12049" max="12053" width="6.7109375" style="3886" customWidth="1"/>
    <col min="12054" max="12054" width="9.85546875" style="3886" customWidth="1"/>
    <col min="12055" max="12057" width="6.140625" style="3886" customWidth="1"/>
    <col min="12058" max="12058" width="50.42578125" style="3886" customWidth="1"/>
    <col min="12059" max="12059" width="11.5703125" style="3886" customWidth="1"/>
    <col min="12060" max="12064" width="6.7109375" style="3886" customWidth="1"/>
    <col min="12065" max="12065" width="9.85546875" style="3886" customWidth="1"/>
    <col min="12066" max="12068" width="6.140625" style="3886" customWidth="1"/>
    <col min="12069" max="12069" width="49" style="3886" customWidth="1"/>
    <col min="12070" max="12070" width="10.85546875" style="3886" customWidth="1"/>
    <col min="12071" max="12075" width="6.7109375" style="3886" customWidth="1"/>
    <col min="12076" max="12076" width="10" style="3886" customWidth="1"/>
    <col min="12077" max="12078" width="6.140625" style="3886" customWidth="1"/>
    <col min="12079" max="12079" width="5.28515625" style="3886" customWidth="1"/>
    <col min="12080" max="12080" width="65.28515625" style="3886" customWidth="1"/>
    <col min="12081" max="12081" width="13.28515625" style="3886" customWidth="1"/>
    <col min="12082" max="12086" width="6.7109375" style="3886" customWidth="1"/>
    <col min="12087" max="12088" width="11.5703125" style="3886"/>
    <col min="12089" max="12089" width="5.28515625" style="3886" customWidth="1"/>
    <col min="12090" max="12090" width="65.28515625" style="3886" customWidth="1"/>
    <col min="12091" max="12091" width="13.28515625" style="3886" customWidth="1"/>
    <col min="12092" max="12096" width="6.7109375" style="3886" customWidth="1"/>
    <col min="12097" max="12300" width="11.5703125" style="3886"/>
    <col min="12301" max="12302" width="6.140625" style="3886" customWidth="1"/>
    <col min="12303" max="12303" width="50.42578125" style="3886" customWidth="1"/>
    <col min="12304" max="12304" width="11.5703125" style="3886" customWidth="1"/>
    <col min="12305" max="12309" width="6.7109375" style="3886" customWidth="1"/>
    <col min="12310" max="12310" width="9.85546875" style="3886" customWidth="1"/>
    <col min="12311" max="12313" width="6.140625" style="3886" customWidth="1"/>
    <col min="12314" max="12314" width="50.42578125" style="3886" customWidth="1"/>
    <col min="12315" max="12315" width="11.5703125" style="3886" customWidth="1"/>
    <col min="12316" max="12320" width="6.7109375" style="3886" customWidth="1"/>
    <col min="12321" max="12321" width="9.85546875" style="3886" customWidth="1"/>
    <col min="12322" max="12324" width="6.140625" style="3886" customWidth="1"/>
    <col min="12325" max="12325" width="49" style="3886" customWidth="1"/>
    <col min="12326" max="12326" width="10.85546875" style="3886" customWidth="1"/>
    <col min="12327" max="12331" width="6.7109375" style="3886" customWidth="1"/>
    <col min="12332" max="12332" width="10" style="3886" customWidth="1"/>
    <col min="12333" max="12334" width="6.140625" style="3886" customWidth="1"/>
    <col min="12335" max="12335" width="5.28515625" style="3886" customWidth="1"/>
    <col min="12336" max="12336" width="65.28515625" style="3886" customWidth="1"/>
    <col min="12337" max="12337" width="13.28515625" style="3886" customWidth="1"/>
    <col min="12338" max="12342" width="6.7109375" style="3886" customWidth="1"/>
    <col min="12343" max="12344" width="11.5703125" style="3886"/>
    <col min="12345" max="12345" width="5.28515625" style="3886" customWidth="1"/>
    <col min="12346" max="12346" width="65.28515625" style="3886" customWidth="1"/>
    <col min="12347" max="12347" width="13.28515625" style="3886" customWidth="1"/>
    <col min="12348" max="12352" width="6.7109375" style="3886" customWidth="1"/>
    <col min="12353" max="12556" width="11.5703125" style="3886"/>
    <col min="12557" max="12558" width="6.140625" style="3886" customWidth="1"/>
    <col min="12559" max="12559" width="50.42578125" style="3886" customWidth="1"/>
    <col min="12560" max="12560" width="11.5703125" style="3886" customWidth="1"/>
    <col min="12561" max="12565" width="6.7109375" style="3886" customWidth="1"/>
    <col min="12566" max="12566" width="9.85546875" style="3886" customWidth="1"/>
    <col min="12567" max="12569" width="6.140625" style="3886" customWidth="1"/>
    <col min="12570" max="12570" width="50.42578125" style="3886" customWidth="1"/>
    <col min="12571" max="12571" width="11.5703125" style="3886" customWidth="1"/>
    <col min="12572" max="12576" width="6.7109375" style="3886" customWidth="1"/>
    <col min="12577" max="12577" width="9.85546875" style="3886" customWidth="1"/>
    <col min="12578" max="12580" width="6.140625" style="3886" customWidth="1"/>
    <col min="12581" max="12581" width="49" style="3886" customWidth="1"/>
    <col min="12582" max="12582" width="10.85546875" style="3886" customWidth="1"/>
    <col min="12583" max="12587" width="6.7109375" style="3886" customWidth="1"/>
    <col min="12588" max="12588" width="10" style="3886" customWidth="1"/>
    <col min="12589" max="12590" width="6.140625" style="3886" customWidth="1"/>
    <col min="12591" max="12591" width="5.28515625" style="3886" customWidth="1"/>
    <col min="12592" max="12592" width="65.28515625" style="3886" customWidth="1"/>
    <col min="12593" max="12593" width="13.28515625" style="3886" customWidth="1"/>
    <col min="12594" max="12598" width="6.7109375" style="3886" customWidth="1"/>
    <col min="12599" max="12600" width="11.5703125" style="3886"/>
    <col min="12601" max="12601" width="5.28515625" style="3886" customWidth="1"/>
    <col min="12602" max="12602" width="65.28515625" style="3886" customWidth="1"/>
    <col min="12603" max="12603" width="13.28515625" style="3886" customWidth="1"/>
    <col min="12604" max="12608" width="6.7109375" style="3886" customWidth="1"/>
    <col min="12609" max="12812" width="11.5703125" style="3886"/>
    <col min="12813" max="12814" width="6.140625" style="3886" customWidth="1"/>
    <col min="12815" max="12815" width="50.42578125" style="3886" customWidth="1"/>
    <col min="12816" max="12816" width="11.5703125" style="3886" customWidth="1"/>
    <col min="12817" max="12821" width="6.7109375" style="3886" customWidth="1"/>
    <col min="12822" max="12822" width="9.85546875" style="3886" customWidth="1"/>
    <col min="12823" max="12825" width="6.140625" style="3886" customWidth="1"/>
    <col min="12826" max="12826" width="50.42578125" style="3886" customWidth="1"/>
    <col min="12827" max="12827" width="11.5703125" style="3886" customWidth="1"/>
    <col min="12828" max="12832" width="6.7109375" style="3886" customWidth="1"/>
    <col min="12833" max="12833" width="9.85546875" style="3886" customWidth="1"/>
    <col min="12834" max="12836" width="6.140625" style="3886" customWidth="1"/>
    <col min="12837" max="12837" width="49" style="3886" customWidth="1"/>
    <col min="12838" max="12838" width="10.85546875" style="3886" customWidth="1"/>
    <col min="12839" max="12843" width="6.7109375" style="3886" customWidth="1"/>
    <col min="12844" max="12844" width="10" style="3886" customWidth="1"/>
    <col min="12845" max="12846" width="6.140625" style="3886" customWidth="1"/>
    <col min="12847" max="12847" width="5.28515625" style="3886" customWidth="1"/>
    <col min="12848" max="12848" width="65.28515625" style="3886" customWidth="1"/>
    <col min="12849" max="12849" width="13.28515625" style="3886" customWidth="1"/>
    <col min="12850" max="12854" width="6.7109375" style="3886" customWidth="1"/>
    <col min="12855" max="12856" width="11.5703125" style="3886"/>
    <col min="12857" max="12857" width="5.28515625" style="3886" customWidth="1"/>
    <col min="12858" max="12858" width="65.28515625" style="3886" customWidth="1"/>
    <col min="12859" max="12859" width="13.28515625" style="3886" customWidth="1"/>
    <col min="12860" max="12864" width="6.7109375" style="3886" customWidth="1"/>
    <col min="12865" max="13068" width="11.5703125" style="3886"/>
    <col min="13069" max="13070" width="6.140625" style="3886" customWidth="1"/>
    <col min="13071" max="13071" width="50.42578125" style="3886" customWidth="1"/>
    <col min="13072" max="13072" width="11.5703125" style="3886" customWidth="1"/>
    <col min="13073" max="13077" width="6.7109375" style="3886" customWidth="1"/>
    <col min="13078" max="13078" width="9.85546875" style="3886" customWidth="1"/>
    <col min="13079" max="13081" width="6.140625" style="3886" customWidth="1"/>
    <col min="13082" max="13082" width="50.42578125" style="3886" customWidth="1"/>
    <col min="13083" max="13083" width="11.5703125" style="3886" customWidth="1"/>
    <col min="13084" max="13088" width="6.7109375" style="3886" customWidth="1"/>
    <col min="13089" max="13089" width="9.85546875" style="3886" customWidth="1"/>
    <col min="13090" max="13092" width="6.140625" style="3886" customWidth="1"/>
    <col min="13093" max="13093" width="49" style="3886" customWidth="1"/>
    <col min="13094" max="13094" width="10.85546875" style="3886" customWidth="1"/>
    <col min="13095" max="13099" width="6.7109375" style="3886" customWidth="1"/>
    <col min="13100" max="13100" width="10" style="3886" customWidth="1"/>
    <col min="13101" max="13102" width="6.140625" style="3886" customWidth="1"/>
    <col min="13103" max="13103" width="5.28515625" style="3886" customWidth="1"/>
    <col min="13104" max="13104" width="65.28515625" style="3886" customWidth="1"/>
    <col min="13105" max="13105" width="13.28515625" style="3886" customWidth="1"/>
    <col min="13106" max="13110" width="6.7109375" style="3886" customWidth="1"/>
    <col min="13111" max="13112" width="11.5703125" style="3886"/>
    <col min="13113" max="13113" width="5.28515625" style="3886" customWidth="1"/>
    <col min="13114" max="13114" width="65.28515625" style="3886" customWidth="1"/>
    <col min="13115" max="13115" width="13.28515625" style="3886" customWidth="1"/>
    <col min="13116" max="13120" width="6.7109375" style="3886" customWidth="1"/>
    <col min="13121" max="13324" width="11.5703125" style="3886"/>
    <col min="13325" max="13326" width="6.140625" style="3886" customWidth="1"/>
    <col min="13327" max="13327" width="50.42578125" style="3886" customWidth="1"/>
    <col min="13328" max="13328" width="11.5703125" style="3886" customWidth="1"/>
    <col min="13329" max="13333" width="6.7109375" style="3886" customWidth="1"/>
    <col min="13334" max="13334" width="9.85546875" style="3886" customWidth="1"/>
    <col min="13335" max="13337" width="6.140625" style="3886" customWidth="1"/>
    <col min="13338" max="13338" width="50.42578125" style="3886" customWidth="1"/>
    <col min="13339" max="13339" width="11.5703125" style="3886" customWidth="1"/>
    <col min="13340" max="13344" width="6.7109375" style="3886" customWidth="1"/>
    <col min="13345" max="13345" width="9.85546875" style="3886" customWidth="1"/>
    <col min="13346" max="13348" width="6.140625" style="3886" customWidth="1"/>
    <col min="13349" max="13349" width="49" style="3886" customWidth="1"/>
    <col min="13350" max="13350" width="10.85546875" style="3886" customWidth="1"/>
    <col min="13351" max="13355" width="6.7109375" style="3886" customWidth="1"/>
    <col min="13356" max="13356" width="10" style="3886" customWidth="1"/>
    <col min="13357" max="13358" width="6.140625" style="3886" customWidth="1"/>
    <col min="13359" max="13359" width="5.28515625" style="3886" customWidth="1"/>
    <col min="13360" max="13360" width="65.28515625" style="3886" customWidth="1"/>
    <col min="13361" max="13361" width="13.28515625" style="3886" customWidth="1"/>
    <col min="13362" max="13366" width="6.7109375" style="3886" customWidth="1"/>
    <col min="13367" max="13368" width="11.5703125" style="3886"/>
    <col min="13369" max="13369" width="5.28515625" style="3886" customWidth="1"/>
    <col min="13370" max="13370" width="65.28515625" style="3886" customWidth="1"/>
    <col min="13371" max="13371" width="13.28515625" style="3886" customWidth="1"/>
    <col min="13372" max="13376" width="6.7109375" style="3886" customWidth="1"/>
    <col min="13377" max="13580" width="11.5703125" style="3886"/>
    <col min="13581" max="13582" width="6.140625" style="3886" customWidth="1"/>
    <col min="13583" max="13583" width="50.42578125" style="3886" customWidth="1"/>
    <col min="13584" max="13584" width="11.5703125" style="3886" customWidth="1"/>
    <col min="13585" max="13589" width="6.7109375" style="3886" customWidth="1"/>
    <col min="13590" max="13590" width="9.85546875" style="3886" customWidth="1"/>
    <col min="13591" max="13593" width="6.140625" style="3886" customWidth="1"/>
    <col min="13594" max="13594" width="50.42578125" style="3886" customWidth="1"/>
    <col min="13595" max="13595" width="11.5703125" style="3886" customWidth="1"/>
    <col min="13596" max="13600" width="6.7109375" style="3886" customWidth="1"/>
    <col min="13601" max="13601" width="9.85546875" style="3886" customWidth="1"/>
    <col min="13602" max="13604" width="6.140625" style="3886" customWidth="1"/>
    <col min="13605" max="13605" width="49" style="3886" customWidth="1"/>
    <col min="13606" max="13606" width="10.85546875" style="3886" customWidth="1"/>
    <col min="13607" max="13611" width="6.7109375" style="3886" customWidth="1"/>
    <col min="13612" max="13612" width="10" style="3886" customWidth="1"/>
    <col min="13613" max="13614" width="6.140625" style="3886" customWidth="1"/>
    <col min="13615" max="13615" width="5.28515625" style="3886" customWidth="1"/>
    <col min="13616" max="13616" width="65.28515625" style="3886" customWidth="1"/>
    <col min="13617" max="13617" width="13.28515625" style="3886" customWidth="1"/>
    <col min="13618" max="13622" width="6.7109375" style="3886" customWidth="1"/>
    <col min="13623" max="13624" width="11.5703125" style="3886"/>
    <col min="13625" max="13625" width="5.28515625" style="3886" customWidth="1"/>
    <col min="13626" max="13626" width="65.28515625" style="3886" customWidth="1"/>
    <col min="13627" max="13627" width="13.28515625" style="3886" customWidth="1"/>
    <col min="13628" max="13632" width="6.7109375" style="3886" customWidth="1"/>
    <col min="13633" max="13836" width="11.5703125" style="3886"/>
    <col min="13837" max="13838" width="6.140625" style="3886" customWidth="1"/>
    <col min="13839" max="13839" width="50.42578125" style="3886" customWidth="1"/>
    <col min="13840" max="13840" width="11.5703125" style="3886" customWidth="1"/>
    <col min="13841" max="13845" width="6.7109375" style="3886" customWidth="1"/>
    <col min="13846" max="13846" width="9.85546875" style="3886" customWidth="1"/>
    <col min="13847" max="13849" width="6.140625" style="3886" customWidth="1"/>
    <col min="13850" max="13850" width="50.42578125" style="3886" customWidth="1"/>
    <col min="13851" max="13851" width="11.5703125" style="3886" customWidth="1"/>
    <col min="13852" max="13856" width="6.7109375" style="3886" customWidth="1"/>
    <col min="13857" max="13857" width="9.85546875" style="3886" customWidth="1"/>
    <col min="13858" max="13860" width="6.140625" style="3886" customWidth="1"/>
    <col min="13861" max="13861" width="49" style="3886" customWidth="1"/>
    <col min="13862" max="13862" width="10.85546875" style="3886" customWidth="1"/>
    <col min="13863" max="13867" width="6.7109375" style="3886" customWidth="1"/>
    <col min="13868" max="13868" width="10" style="3886" customWidth="1"/>
    <col min="13869" max="13870" width="6.140625" style="3886" customWidth="1"/>
    <col min="13871" max="13871" width="5.28515625" style="3886" customWidth="1"/>
    <col min="13872" max="13872" width="65.28515625" style="3886" customWidth="1"/>
    <col min="13873" max="13873" width="13.28515625" style="3886" customWidth="1"/>
    <col min="13874" max="13878" width="6.7109375" style="3886" customWidth="1"/>
    <col min="13879" max="13880" width="11.5703125" style="3886"/>
    <col min="13881" max="13881" width="5.28515625" style="3886" customWidth="1"/>
    <col min="13882" max="13882" width="65.28515625" style="3886" customWidth="1"/>
    <col min="13883" max="13883" width="13.28515625" style="3886" customWidth="1"/>
    <col min="13884" max="13888" width="6.7109375" style="3886" customWidth="1"/>
    <col min="13889" max="14092" width="11.5703125" style="3886"/>
    <col min="14093" max="14094" width="6.140625" style="3886" customWidth="1"/>
    <col min="14095" max="14095" width="50.42578125" style="3886" customWidth="1"/>
    <col min="14096" max="14096" width="11.5703125" style="3886" customWidth="1"/>
    <col min="14097" max="14101" width="6.7109375" style="3886" customWidth="1"/>
    <col min="14102" max="14102" width="9.85546875" style="3886" customWidth="1"/>
    <col min="14103" max="14105" width="6.140625" style="3886" customWidth="1"/>
    <col min="14106" max="14106" width="50.42578125" style="3886" customWidth="1"/>
    <col min="14107" max="14107" width="11.5703125" style="3886" customWidth="1"/>
    <col min="14108" max="14112" width="6.7109375" style="3886" customWidth="1"/>
    <col min="14113" max="14113" width="9.85546875" style="3886" customWidth="1"/>
    <col min="14114" max="14116" width="6.140625" style="3886" customWidth="1"/>
    <col min="14117" max="14117" width="49" style="3886" customWidth="1"/>
    <col min="14118" max="14118" width="10.85546875" style="3886" customWidth="1"/>
    <col min="14119" max="14123" width="6.7109375" style="3886" customWidth="1"/>
    <col min="14124" max="14124" width="10" style="3886" customWidth="1"/>
    <col min="14125" max="14126" width="6.140625" style="3886" customWidth="1"/>
    <col min="14127" max="14127" width="5.28515625" style="3886" customWidth="1"/>
    <col min="14128" max="14128" width="65.28515625" style="3886" customWidth="1"/>
    <col min="14129" max="14129" width="13.28515625" style="3886" customWidth="1"/>
    <col min="14130" max="14134" width="6.7109375" style="3886" customWidth="1"/>
    <col min="14135" max="14136" width="11.5703125" style="3886"/>
    <col min="14137" max="14137" width="5.28515625" style="3886" customWidth="1"/>
    <col min="14138" max="14138" width="65.28515625" style="3886" customWidth="1"/>
    <col min="14139" max="14139" width="13.28515625" style="3886" customWidth="1"/>
    <col min="14140" max="14144" width="6.7109375" style="3886" customWidth="1"/>
    <col min="14145" max="14348" width="11.5703125" style="3886"/>
    <col min="14349" max="14350" width="6.140625" style="3886" customWidth="1"/>
    <col min="14351" max="14351" width="50.42578125" style="3886" customWidth="1"/>
    <col min="14352" max="14352" width="11.5703125" style="3886" customWidth="1"/>
    <col min="14353" max="14357" width="6.7109375" style="3886" customWidth="1"/>
    <col min="14358" max="14358" width="9.85546875" style="3886" customWidth="1"/>
    <col min="14359" max="14361" width="6.140625" style="3886" customWidth="1"/>
    <col min="14362" max="14362" width="50.42578125" style="3886" customWidth="1"/>
    <col min="14363" max="14363" width="11.5703125" style="3886" customWidth="1"/>
    <col min="14364" max="14368" width="6.7109375" style="3886" customWidth="1"/>
    <col min="14369" max="14369" width="9.85546875" style="3886" customWidth="1"/>
    <col min="14370" max="14372" width="6.140625" style="3886" customWidth="1"/>
    <col min="14373" max="14373" width="49" style="3886" customWidth="1"/>
    <col min="14374" max="14374" width="10.85546875" style="3886" customWidth="1"/>
    <col min="14375" max="14379" width="6.7109375" style="3886" customWidth="1"/>
    <col min="14380" max="14380" width="10" style="3886" customWidth="1"/>
    <col min="14381" max="14382" width="6.140625" style="3886" customWidth="1"/>
    <col min="14383" max="14383" width="5.28515625" style="3886" customWidth="1"/>
    <col min="14384" max="14384" width="65.28515625" style="3886" customWidth="1"/>
    <col min="14385" max="14385" width="13.28515625" style="3886" customWidth="1"/>
    <col min="14386" max="14390" width="6.7109375" style="3886" customWidth="1"/>
    <col min="14391" max="14392" width="11.5703125" style="3886"/>
    <col min="14393" max="14393" width="5.28515625" style="3886" customWidth="1"/>
    <col min="14394" max="14394" width="65.28515625" style="3886" customWidth="1"/>
    <col min="14395" max="14395" width="13.28515625" style="3886" customWidth="1"/>
    <col min="14396" max="14400" width="6.7109375" style="3886" customWidth="1"/>
    <col min="14401" max="14604" width="11.5703125" style="3886"/>
    <col min="14605" max="14606" width="6.140625" style="3886" customWidth="1"/>
    <col min="14607" max="14607" width="50.42578125" style="3886" customWidth="1"/>
    <col min="14608" max="14608" width="11.5703125" style="3886" customWidth="1"/>
    <col min="14609" max="14613" width="6.7109375" style="3886" customWidth="1"/>
    <col min="14614" max="14614" width="9.85546875" style="3886" customWidth="1"/>
    <col min="14615" max="14617" width="6.140625" style="3886" customWidth="1"/>
    <col min="14618" max="14618" width="50.42578125" style="3886" customWidth="1"/>
    <col min="14619" max="14619" width="11.5703125" style="3886" customWidth="1"/>
    <col min="14620" max="14624" width="6.7109375" style="3886" customWidth="1"/>
    <col min="14625" max="14625" width="9.85546875" style="3886" customWidth="1"/>
    <col min="14626" max="14628" width="6.140625" style="3886" customWidth="1"/>
    <col min="14629" max="14629" width="49" style="3886" customWidth="1"/>
    <col min="14630" max="14630" width="10.85546875" style="3886" customWidth="1"/>
    <col min="14631" max="14635" width="6.7109375" style="3886" customWidth="1"/>
    <col min="14636" max="14636" width="10" style="3886" customWidth="1"/>
    <col min="14637" max="14638" width="6.140625" style="3886" customWidth="1"/>
    <col min="14639" max="14639" width="5.28515625" style="3886" customWidth="1"/>
    <col min="14640" max="14640" width="65.28515625" style="3886" customWidth="1"/>
    <col min="14641" max="14641" width="13.28515625" style="3886" customWidth="1"/>
    <col min="14642" max="14646" width="6.7109375" style="3886" customWidth="1"/>
    <col min="14647" max="14648" width="11.5703125" style="3886"/>
    <col min="14649" max="14649" width="5.28515625" style="3886" customWidth="1"/>
    <col min="14650" max="14650" width="65.28515625" style="3886" customWidth="1"/>
    <col min="14651" max="14651" width="13.28515625" style="3886" customWidth="1"/>
    <col min="14652" max="14656" width="6.7109375" style="3886" customWidth="1"/>
    <col min="14657" max="14860" width="11.5703125" style="3886"/>
    <col min="14861" max="14862" width="6.140625" style="3886" customWidth="1"/>
    <col min="14863" max="14863" width="50.42578125" style="3886" customWidth="1"/>
    <col min="14864" max="14864" width="11.5703125" style="3886" customWidth="1"/>
    <col min="14865" max="14869" width="6.7109375" style="3886" customWidth="1"/>
    <col min="14870" max="14870" width="9.85546875" style="3886" customWidth="1"/>
    <col min="14871" max="14873" width="6.140625" style="3886" customWidth="1"/>
    <col min="14874" max="14874" width="50.42578125" style="3886" customWidth="1"/>
    <col min="14875" max="14875" width="11.5703125" style="3886" customWidth="1"/>
    <col min="14876" max="14880" width="6.7109375" style="3886" customWidth="1"/>
    <col min="14881" max="14881" width="9.85546875" style="3886" customWidth="1"/>
    <col min="14882" max="14884" width="6.140625" style="3886" customWidth="1"/>
    <col min="14885" max="14885" width="49" style="3886" customWidth="1"/>
    <col min="14886" max="14886" width="10.85546875" style="3886" customWidth="1"/>
    <col min="14887" max="14891" width="6.7109375" style="3886" customWidth="1"/>
    <col min="14892" max="14892" width="10" style="3886" customWidth="1"/>
    <col min="14893" max="14894" width="6.140625" style="3886" customWidth="1"/>
    <col min="14895" max="14895" width="5.28515625" style="3886" customWidth="1"/>
    <col min="14896" max="14896" width="65.28515625" style="3886" customWidth="1"/>
    <col min="14897" max="14897" width="13.28515625" style="3886" customWidth="1"/>
    <col min="14898" max="14902" width="6.7109375" style="3886" customWidth="1"/>
    <col min="14903" max="14904" width="11.5703125" style="3886"/>
    <col min="14905" max="14905" width="5.28515625" style="3886" customWidth="1"/>
    <col min="14906" max="14906" width="65.28515625" style="3886" customWidth="1"/>
    <col min="14907" max="14907" width="13.28515625" style="3886" customWidth="1"/>
    <col min="14908" max="14912" width="6.7109375" style="3886" customWidth="1"/>
    <col min="14913" max="15116" width="11.5703125" style="3886"/>
    <col min="15117" max="15118" width="6.140625" style="3886" customWidth="1"/>
    <col min="15119" max="15119" width="50.42578125" style="3886" customWidth="1"/>
    <col min="15120" max="15120" width="11.5703125" style="3886" customWidth="1"/>
    <col min="15121" max="15125" width="6.7109375" style="3886" customWidth="1"/>
    <col min="15126" max="15126" width="9.85546875" style="3886" customWidth="1"/>
    <col min="15127" max="15129" width="6.140625" style="3886" customWidth="1"/>
    <col min="15130" max="15130" width="50.42578125" style="3886" customWidth="1"/>
    <col min="15131" max="15131" width="11.5703125" style="3886" customWidth="1"/>
    <col min="15132" max="15136" width="6.7109375" style="3886" customWidth="1"/>
    <col min="15137" max="15137" width="9.85546875" style="3886" customWidth="1"/>
    <col min="15138" max="15140" width="6.140625" style="3886" customWidth="1"/>
    <col min="15141" max="15141" width="49" style="3886" customWidth="1"/>
    <col min="15142" max="15142" width="10.85546875" style="3886" customWidth="1"/>
    <col min="15143" max="15147" width="6.7109375" style="3886" customWidth="1"/>
    <col min="15148" max="15148" width="10" style="3886" customWidth="1"/>
    <col min="15149" max="15150" width="6.140625" style="3886" customWidth="1"/>
    <col min="15151" max="15151" width="5.28515625" style="3886" customWidth="1"/>
    <col min="15152" max="15152" width="65.28515625" style="3886" customWidth="1"/>
    <col min="15153" max="15153" width="13.28515625" style="3886" customWidth="1"/>
    <col min="15154" max="15158" width="6.7109375" style="3886" customWidth="1"/>
    <col min="15159" max="15160" width="11.5703125" style="3886"/>
    <col min="15161" max="15161" width="5.28515625" style="3886" customWidth="1"/>
    <col min="15162" max="15162" width="65.28515625" style="3886" customWidth="1"/>
    <col min="15163" max="15163" width="13.28515625" style="3886" customWidth="1"/>
    <col min="15164" max="15168" width="6.7109375" style="3886" customWidth="1"/>
    <col min="15169" max="15372" width="11.5703125" style="3886"/>
    <col min="15373" max="15374" width="6.140625" style="3886" customWidth="1"/>
    <col min="15375" max="15375" width="50.42578125" style="3886" customWidth="1"/>
    <col min="15376" max="15376" width="11.5703125" style="3886" customWidth="1"/>
    <col min="15377" max="15381" width="6.7109375" style="3886" customWidth="1"/>
    <col min="15382" max="15382" width="9.85546875" style="3886" customWidth="1"/>
    <col min="15383" max="15385" width="6.140625" style="3886" customWidth="1"/>
    <col min="15386" max="15386" width="50.42578125" style="3886" customWidth="1"/>
    <col min="15387" max="15387" width="11.5703125" style="3886" customWidth="1"/>
    <col min="15388" max="15392" width="6.7109375" style="3886" customWidth="1"/>
    <col min="15393" max="15393" width="9.85546875" style="3886" customWidth="1"/>
    <col min="15394" max="15396" width="6.140625" style="3886" customWidth="1"/>
    <col min="15397" max="15397" width="49" style="3886" customWidth="1"/>
    <col min="15398" max="15398" width="10.85546875" style="3886" customWidth="1"/>
    <col min="15399" max="15403" width="6.7109375" style="3886" customWidth="1"/>
    <col min="15404" max="15404" width="10" style="3886" customWidth="1"/>
    <col min="15405" max="15406" width="6.140625" style="3886" customWidth="1"/>
    <col min="15407" max="15407" width="5.28515625" style="3886" customWidth="1"/>
    <col min="15408" max="15408" width="65.28515625" style="3886" customWidth="1"/>
    <col min="15409" max="15409" width="13.28515625" style="3886" customWidth="1"/>
    <col min="15410" max="15414" width="6.7109375" style="3886" customWidth="1"/>
    <col min="15415" max="15416" width="11.5703125" style="3886"/>
    <col min="15417" max="15417" width="5.28515625" style="3886" customWidth="1"/>
    <col min="15418" max="15418" width="65.28515625" style="3886" customWidth="1"/>
    <col min="15419" max="15419" width="13.28515625" style="3886" customWidth="1"/>
    <col min="15420" max="15424" width="6.7109375" style="3886" customWidth="1"/>
    <col min="15425" max="15628" width="11.5703125" style="3886"/>
    <col min="15629" max="15630" width="6.140625" style="3886" customWidth="1"/>
    <col min="15631" max="15631" width="50.42578125" style="3886" customWidth="1"/>
    <col min="15632" max="15632" width="11.5703125" style="3886" customWidth="1"/>
    <col min="15633" max="15637" width="6.7109375" style="3886" customWidth="1"/>
    <col min="15638" max="15638" width="9.85546875" style="3886" customWidth="1"/>
    <col min="15639" max="15641" width="6.140625" style="3886" customWidth="1"/>
    <col min="15642" max="15642" width="50.42578125" style="3886" customWidth="1"/>
    <col min="15643" max="15643" width="11.5703125" style="3886" customWidth="1"/>
    <col min="15644" max="15648" width="6.7109375" style="3886" customWidth="1"/>
    <col min="15649" max="15649" width="9.85546875" style="3886" customWidth="1"/>
    <col min="15650" max="15652" width="6.140625" style="3886" customWidth="1"/>
    <col min="15653" max="15653" width="49" style="3886" customWidth="1"/>
    <col min="15654" max="15654" width="10.85546875" style="3886" customWidth="1"/>
    <col min="15655" max="15659" width="6.7109375" style="3886" customWidth="1"/>
    <col min="15660" max="15660" width="10" style="3886" customWidth="1"/>
    <col min="15661" max="15662" width="6.140625" style="3886" customWidth="1"/>
    <col min="15663" max="15663" width="5.28515625" style="3886" customWidth="1"/>
    <col min="15664" max="15664" width="65.28515625" style="3886" customWidth="1"/>
    <col min="15665" max="15665" width="13.28515625" style="3886" customWidth="1"/>
    <col min="15666" max="15670" width="6.7109375" style="3886" customWidth="1"/>
    <col min="15671" max="15672" width="11.5703125" style="3886"/>
    <col min="15673" max="15673" width="5.28515625" style="3886" customWidth="1"/>
    <col min="15674" max="15674" width="65.28515625" style="3886" customWidth="1"/>
    <col min="15675" max="15675" width="13.28515625" style="3886" customWidth="1"/>
    <col min="15676" max="15680" width="6.7109375" style="3886" customWidth="1"/>
    <col min="15681" max="15884" width="11.5703125" style="3886"/>
    <col min="15885" max="15886" width="6.140625" style="3886" customWidth="1"/>
    <col min="15887" max="15887" width="50.42578125" style="3886" customWidth="1"/>
    <col min="15888" max="15888" width="11.5703125" style="3886" customWidth="1"/>
    <col min="15889" max="15893" width="6.7109375" style="3886" customWidth="1"/>
    <col min="15894" max="15894" width="9.85546875" style="3886" customWidth="1"/>
    <col min="15895" max="15897" width="6.140625" style="3886" customWidth="1"/>
    <col min="15898" max="15898" width="50.42578125" style="3886" customWidth="1"/>
    <col min="15899" max="15899" width="11.5703125" style="3886" customWidth="1"/>
    <col min="15900" max="15904" width="6.7109375" style="3886" customWidth="1"/>
    <col min="15905" max="15905" width="9.85546875" style="3886" customWidth="1"/>
    <col min="15906" max="15908" width="6.140625" style="3886" customWidth="1"/>
    <col min="15909" max="15909" width="49" style="3886" customWidth="1"/>
    <col min="15910" max="15910" width="10.85546875" style="3886" customWidth="1"/>
    <col min="15911" max="15915" width="6.7109375" style="3886" customWidth="1"/>
    <col min="15916" max="15916" width="10" style="3886" customWidth="1"/>
    <col min="15917" max="15918" width="6.140625" style="3886" customWidth="1"/>
    <col min="15919" max="15919" width="5.28515625" style="3886" customWidth="1"/>
    <col min="15920" max="15920" width="65.28515625" style="3886" customWidth="1"/>
    <col min="15921" max="15921" width="13.28515625" style="3886" customWidth="1"/>
    <col min="15922" max="15926" width="6.7109375" style="3886" customWidth="1"/>
    <col min="15927" max="15928" width="11.5703125" style="3886"/>
    <col min="15929" max="15929" width="5.28515625" style="3886" customWidth="1"/>
    <col min="15930" max="15930" width="65.28515625" style="3886" customWidth="1"/>
    <col min="15931" max="15931" width="13.28515625" style="3886" customWidth="1"/>
    <col min="15932" max="15936" width="6.7109375" style="3886" customWidth="1"/>
    <col min="15937" max="16140" width="11.5703125" style="3886"/>
    <col min="16141" max="16142" width="6.140625" style="3886" customWidth="1"/>
    <col min="16143" max="16143" width="50.42578125" style="3886" customWidth="1"/>
    <col min="16144" max="16144" width="11.5703125" style="3886" customWidth="1"/>
    <col min="16145" max="16149" width="6.7109375" style="3886" customWidth="1"/>
    <col min="16150" max="16150" width="9.85546875" style="3886" customWidth="1"/>
    <col min="16151" max="16153" width="6.140625" style="3886" customWidth="1"/>
    <col min="16154" max="16154" width="50.42578125" style="3886" customWidth="1"/>
    <col min="16155" max="16155" width="11.5703125" style="3886" customWidth="1"/>
    <col min="16156" max="16160" width="6.7109375" style="3886" customWidth="1"/>
    <col min="16161" max="16161" width="9.85546875" style="3886" customWidth="1"/>
    <col min="16162" max="16164" width="6.140625" style="3886" customWidth="1"/>
    <col min="16165" max="16165" width="49" style="3886" customWidth="1"/>
    <col min="16166" max="16166" width="10.85546875" style="3886" customWidth="1"/>
    <col min="16167" max="16171" width="6.7109375" style="3886" customWidth="1"/>
    <col min="16172" max="16172" width="10" style="3886" customWidth="1"/>
    <col min="16173" max="16174" width="6.140625" style="3886" customWidth="1"/>
    <col min="16175" max="16175" width="5.28515625" style="3886" customWidth="1"/>
    <col min="16176" max="16176" width="65.28515625" style="3886" customWidth="1"/>
    <col min="16177" max="16177" width="13.28515625" style="3886" customWidth="1"/>
    <col min="16178" max="16182" width="6.7109375" style="3886" customWidth="1"/>
    <col min="16183" max="16184" width="11.5703125" style="3886"/>
    <col min="16185" max="16185" width="5.28515625" style="3886" customWidth="1"/>
    <col min="16186" max="16186" width="65.28515625" style="3886" customWidth="1"/>
    <col min="16187" max="16187" width="13.28515625" style="3886" customWidth="1"/>
    <col min="16188" max="16192" width="6.7109375" style="3886" customWidth="1"/>
    <col min="16193" max="16384" width="11.5703125" style="3886"/>
  </cols>
  <sheetData>
    <row r="1" spans="2:65" x14ac:dyDescent="0.2">
      <c r="M1" s="3884"/>
      <c r="N1" s="3884"/>
      <c r="O1" s="3884"/>
      <c r="P1" s="3884"/>
      <c r="Q1" s="3884"/>
      <c r="R1" s="3884"/>
      <c r="S1" s="3885"/>
      <c r="T1" s="3885"/>
      <c r="U1" s="3885"/>
      <c r="V1" s="3885"/>
      <c r="W1" s="3885"/>
      <c r="X1" s="3885"/>
      <c r="Y1" s="3885"/>
      <c r="Z1" s="3885"/>
      <c r="AA1" s="3885"/>
      <c r="AB1" s="3885"/>
      <c r="AC1" s="3885"/>
      <c r="AD1" s="3885"/>
      <c r="AE1" s="3885"/>
      <c r="AF1" s="3885"/>
      <c r="AG1" s="3885"/>
      <c r="AH1" s="3885"/>
      <c r="AI1" s="3885"/>
      <c r="AJ1" s="3885"/>
      <c r="AK1" s="3885"/>
      <c r="AL1" s="3885"/>
      <c r="AM1" s="3885"/>
      <c r="AN1" s="3885"/>
      <c r="AO1" s="3885"/>
      <c r="AP1" s="3885"/>
      <c r="AQ1" s="3885"/>
      <c r="AR1" s="3885"/>
      <c r="AS1" s="3885"/>
      <c r="AT1" s="3885"/>
      <c r="AU1" s="3884"/>
      <c r="AV1" s="3885"/>
      <c r="AW1" s="3885"/>
      <c r="AX1" s="3885"/>
      <c r="AY1" s="3885"/>
      <c r="AZ1" s="3885"/>
      <c r="BA1" s="3885"/>
      <c r="BB1" s="3885"/>
      <c r="BC1" s="3885"/>
      <c r="BD1" s="3885"/>
      <c r="BE1" s="3884"/>
      <c r="BF1" s="3885"/>
      <c r="BG1" s="3885"/>
      <c r="BH1" s="3885"/>
      <c r="BI1" s="3885"/>
      <c r="BJ1" s="3885"/>
      <c r="BK1" s="3885"/>
      <c r="BL1" s="3885"/>
      <c r="BM1" s="3885"/>
    </row>
    <row r="2" spans="2:65" x14ac:dyDescent="0.2">
      <c r="M2" s="3884"/>
      <c r="N2" s="3884"/>
      <c r="O2" s="3884"/>
      <c r="P2" s="3884"/>
      <c r="Q2" s="3884"/>
      <c r="R2" s="3884"/>
      <c r="S2" s="3885"/>
      <c r="T2" s="3885"/>
      <c r="U2" s="3885"/>
      <c r="V2" s="3885"/>
      <c r="W2" s="3885"/>
      <c r="X2" s="3885"/>
      <c r="Y2" s="4101" t="s">
        <v>1</v>
      </c>
      <c r="Z2" s="4101"/>
      <c r="AA2" s="4101"/>
      <c r="AB2" s="4101"/>
      <c r="AC2" s="4101"/>
      <c r="AD2" s="4101"/>
      <c r="AE2" s="4101"/>
      <c r="AF2" s="4101"/>
      <c r="AG2" s="4101"/>
      <c r="AH2" s="4101"/>
      <c r="AI2" s="4101"/>
      <c r="AJ2" s="4101"/>
      <c r="AK2" s="4101"/>
      <c r="AL2" s="4101"/>
      <c r="AM2" s="3885"/>
      <c r="AN2" s="3885"/>
      <c r="AO2" s="3885"/>
      <c r="AP2" s="3885"/>
      <c r="AQ2" s="3885"/>
      <c r="AR2" s="3885"/>
      <c r="AS2" s="3885"/>
      <c r="AT2" s="3885"/>
      <c r="AU2" s="3884"/>
      <c r="AV2" s="3885"/>
      <c r="AW2" s="3885"/>
      <c r="AX2" s="3885"/>
      <c r="AY2" s="3885"/>
      <c r="AZ2" s="3885"/>
      <c r="BA2" s="3885"/>
      <c r="BB2" s="3885"/>
      <c r="BC2" s="3885"/>
      <c r="BD2" s="3885"/>
      <c r="BE2" s="3884"/>
      <c r="BF2" s="3885"/>
      <c r="BG2" s="3885"/>
      <c r="BH2" s="3885"/>
      <c r="BI2" s="3885"/>
      <c r="BJ2" s="3885"/>
      <c r="BK2" s="3885"/>
      <c r="BL2" s="3885"/>
      <c r="BM2" s="3885"/>
    </row>
    <row r="3" spans="2:65" x14ac:dyDescent="0.2">
      <c r="E3" s="3887"/>
      <c r="M3" s="3884"/>
      <c r="N3" s="3884"/>
      <c r="O3" s="3884"/>
      <c r="P3" s="3884"/>
      <c r="Q3" s="3884"/>
      <c r="R3" s="3884"/>
      <c r="S3" s="3885"/>
      <c r="T3" s="3885"/>
      <c r="U3" s="3885"/>
      <c r="V3" s="3885"/>
      <c r="W3" s="3885"/>
      <c r="X3" s="3885"/>
      <c r="Y3" s="3885"/>
      <c r="Z3" s="3885"/>
      <c r="AA3" s="3885"/>
      <c r="AB3" s="3885"/>
      <c r="AC3" s="3885"/>
      <c r="AD3" s="3885"/>
      <c r="AE3" s="3885"/>
      <c r="AF3" s="3885"/>
      <c r="AG3" s="3885"/>
      <c r="AH3" s="3885"/>
      <c r="AI3" s="3885"/>
      <c r="AJ3" s="3885"/>
      <c r="AK3" s="3885"/>
      <c r="AL3" s="3885"/>
      <c r="AM3" s="3885"/>
      <c r="AN3" s="3885"/>
      <c r="AO3" s="3885"/>
      <c r="AP3" s="3885"/>
      <c r="AQ3" s="3885"/>
      <c r="AR3" s="3885"/>
      <c r="AS3" s="3885"/>
      <c r="AT3" s="3885"/>
      <c r="AU3" s="3884"/>
      <c r="AV3" s="3885"/>
      <c r="AW3" s="3885"/>
      <c r="AX3" s="3885"/>
      <c r="AY3" s="3885"/>
      <c r="AZ3" s="3885"/>
      <c r="BA3" s="3885"/>
      <c r="BB3" s="3885"/>
      <c r="BC3" s="3885"/>
      <c r="BD3" s="3885"/>
      <c r="BE3" s="3884"/>
      <c r="BF3" s="3885"/>
      <c r="BG3" s="3885"/>
      <c r="BH3" s="3885"/>
      <c r="BI3" s="3885"/>
      <c r="BJ3" s="3885"/>
      <c r="BK3" s="3885"/>
      <c r="BL3" s="3885"/>
      <c r="BM3" s="3885"/>
    </row>
    <row r="4" spans="2:65" x14ac:dyDescent="0.2">
      <c r="E4" s="3887"/>
      <c r="M4" s="3884"/>
      <c r="N4" s="3884"/>
      <c r="O4" s="3884"/>
      <c r="P4" s="3884"/>
      <c r="Q4" s="3884"/>
      <c r="R4" s="3884"/>
      <c r="S4" s="3885"/>
      <c r="T4" s="3885"/>
      <c r="U4" s="3885"/>
      <c r="V4" s="3885"/>
      <c r="W4" s="3885"/>
      <c r="X4" s="3885"/>
      <c r="Y4" s="3885"/>
      <c r="Z4" s="3885"/>
      <c r="AA4" s="3885"/>
      <c r="AB4" s="3885"/>
      <c r="AC4" s="3885"/>
      <c r="AD4" s="3885"/>
      <c r="AE4" s="3885"/>
      <c r="AF4" s="3885"/>
      <c r="AG4" s="3885"/>
      <c r="AH4" s="3885"/>
      <c r="AI4" s="3885"/>
      <c r="AJ4" s="3885"/>
      <c r="AK4" s="3885"/>
      <c r="AL4" s="3885"/>
      <c r="AM4" s="3885"/>
      <c r="AN4" s="3885"/>
      <c r="AO4" s="3885"/>
      <c r="AP4" s="3885"/>
      <c r="AQ4" s="3885"/>
      <c r="AR4" s="3885"/>
      <c r="AS4" s="3885"/>
      <c r="AT4" s="3885"/>
      <c r="AU4" s="3884"/>
      <c r="AV4" s="3885"/>
      <c r="AW4" s="3885"/>
      <c r="AX4" s="3885"/>
      <c r="AY4" s="3885"/>
      <c r="AZ4" s="3885"/>
      <c r="BA4" s="3885"/>
      <c r="BB4" s="3885"/>
      <c r="BC4" s="3885"/>
      <c r="BD4" s="3885"/>
      <c r="BE4" s="3884"/>
      <c r="BF4" s="3885"/>
      <c r="BG4" s="3885"/>
      <c r="BH4" s="3885"/>
      <c r="BI4" s="3885"/>
      <c r="BJ4" s="3885"/>
      <c r="BK4" s="3885"/>
      <c r="BL4" s="3885"/>
      <c r="BM4" s="3885"/>
    </row>
    <row r="5" spans="2:65" x14ac:dyDescent="0.2">
      <c r="M5" s="3884"/>
      <c r="N5" s="3884"/>
      <c r="O5" s="3884"/>
      <c r="P5" s="3884"/>
      <c r="Q5" s="3884"/>
      <c r="R5" s="3884"/>
      <c r="S5" s="3885"/>
      <c r="T5" s="3885"/>
      <c r="U5" s="3885"/>
      <c r="V5" s="3885"/>
      <c r="W5" s="3885"/>
      <c r="X5" s="3885"/>
      <c r="Y5" s="3885"/>
      <c r="Z5" s="3885"/>
      <c r="AA5" s="3885"/>
      <c r="AB5" s="3885"/>
      <c r="AC5" s="3885"/>
      <c r="AD5" s="3885"/>
      <c r="AE5" s="3885"/>
      <c r="AF5" s="3885"/>
      <c r="AG5" s="3885"/>
      <c r="AH5" s="3885"/>
      <c r="AI5" s="3885"/>
      <c r="AJ5" s="3885"/>
      <c r="AK5" s="3885"/>
      <c r="AL5" s="3885"/>
      <c r="AM5" s="3885"/>
      <c r="AN5" s="3885"/>
      <c r="AO5" s="3885"/>
      <c r="AP5" s="3885"/>
      <c r="AQ5" s="3885"/>
      <c r="AR5" s="3885"/>
      <c r="AS5" s="3885"/>
      <c r="AT5" s="3885"/>
      <c r="AU5" s="3884"/>
      <c r="AV5" s="3885"/>
      <c r="AW5" s="3885"/>
      <c r="AX5" s="3885"/>
      <c r="AY5" s="3885"/>
      <c r="AZ5" s="3885"/>
      <c r="BA5" s="3885"/>
      <c r="BB5" s="3885"/>
      <c r="BC5" s="3885"/>
      <c r="BD5" s="3885"/>
      <c r="BE5" s="3884"/>
      <c r="BF5" s="3885"/>
      <c r="BG5" s="3885"/>
      <c r="BH5" s="3885"/>
      <c r="BI5" s="3885"/>
      <c r="BJ5" s="3885"/>
      <c r="BK5" s="3885"/>
      <c r="BL5" s="3885"/>
      <c r="BM5" s="3885"/>
    </row>
    <row r="6" spans="2:65" x14ac:dyDescent="0.2">
      <c r="C6" s="3888" t="s">
        <v>191</v>
      </c>
      <c r="D6" s="3888" t="s">
        <v>6004</v>
      </c>
      <c r="M6" s="3884"/>
      <c r="N6" s="3884"/>
      <c r="O6" s="3884"/>
      <c r="P6" s="3884"/>
      <c r="Q6" s="3884"/>
      <c r="R6" s="3884"/>
      <c r="S6" s="3885"/>
      <c r="T6" s="3885"/>
      <c r="U6" s="3885"/>
      <c r="V6" s="3885"/>
      <c r="W6" s="3885"/>
      <c r="X6" s="3885"/>
      <c r="Y6" s="3885"/>
      <c r="Z6" s="3885"/>
      <c r="AA6" s="3885"/>
      <c r="AB6" s="3885"/>
      <c r="AC6" s="3885"/>
      <c r="AD6" s="3885"/>
      <c r="AE6" s="3885"/>
      <c r="AF6" s="3885"/>
      <c r="AG6" s="3885"/>
      <c r="AH6" s="3885"/>
      <c r="AI6" s="3885"/>
      <c r="AJ6" s="3885"/>
      <c r="AK6" s="3885"/>
      <c r="AL6" s="3885"/>
      <c r="AM6" s="3885"/>
      <c r="AN6" s="3885"/>
      <c r="AO6" s="3885"/>
      <c r="AP6" s="3885"/>
      <c r="AQ6" s="3885"/>
      <c r="AR6" s="3885"/>
      <c r="AS6" s="3885"/>
      <c r="AT6" s="3885"/>
      <c r="AU6" s="3884"/>
      <c r="AV6" s="3885"/>
      <c r="AW6" s="3885"/>
      <c r="AX6" s="3885"/>
      <c r="AY6" s="3885"/>
      <c r="AZ6" s="3885"/>
      <c r="BA6" s="3885"/>
      <c r="BB6" s="3885"/>
      <c r="BC6" s="3885"/>
      <c r="BD6" s="3885"/>
      <c r="BE6" s="3884"/>
      <c r="BF6" s="3885"/>
      <c r="BG6" s="3885"/>
      <c r="BH6" s="3885"/>
      <c r="BI6" s="3885"/>
      <c r="BJ6" s="3885"/>
      <c r="BK6" s="3885"/>
      <c r="BL6" s="3885"/>
      <c r="BM6" s="3885"/>
    </row>
    <row r="7" spans="2:65" x14ac:dyDescent="0.2">
      <c r="D7" s="3887"/>
      <c r="M7" s="3884"/>
      <c r="N7" s="3884"/>
      <c r="O7" s="3884"/>
      <c r="P7" s="3884"/>
      <c r="Q7" s="3884"/>
      <c r="R7" s="3884"/>
      <c r="S7" s="3885"/>
      <c r="T7" s="3885"/>
      <c r="U7" s="3885"/>
      <c r="V7" s="3885"/>
      <c r="W7" s="3885"/>
      <c r="X7" s="3885"/>
      <c r="Y7" s="3885"/>
      <c r="Z7" s="3885"/>
      <c r="AA7" s="3885"/>
      <c r="AB7" s="3885"/>
      <c r="AC7" s="3885"/>
      <c r="AD7" s="3885"/>
      <c r="AE7" s="3885"/>
      <c r="AF7" s="3885"/>
      <c r="AG7" s="3885"/>
      <c r="AH7" s="3885"/>
      <c r="AI7" s="3885"/>
      <c r="AJ7" s="3885"/>
      <c r="AK7" s="3885"/>
      <c r="AL7" s="3885"/>
      <c r="AM7" s="3885"/>
      <c r="AN7" s="3885"/>
      <c r="AO7" s="3885"/>
      <c r="AP7" s="3885"/>
      <c r="AQ7" s="3885"/>
      <c r="AR7" s="3885"/>
      <c r="AS7" s="3885"/>
      <c r="AT7" s="3885"/>
      <c r="AU7" s="3884"/>
      <c r="AV7" s="3885"/>
      <c r="AW7" s="3885"/>
      <c r="AX7" s="3885"/>
      <c r="AY7" s="3885"/>
      <c r="AZ7" s="3885"/>
      <c r="BA7" s="3885"/>
      <c r="BB7" s="3885"/>
      <c r="BC7" s="3885"/>
      <c r="BD7" s="3885"/>
      <c r="BE7" s="3884"/>
      <c r="BF7" s="3885"/>
      <c r="BG7" s="3885"/>
      <c r="BH7" s="3885"/>
      <c r="BI7" s="3885"/>
      <c r="BJ7" s="3885"/>
      <c r="BK7" s="3885"/>
      <c r="BL7" s="3885"/>
      <c r="BM7" s="3885"/>
    </row>
    <row r="8" spans="2:65" x14ac:dyDescent="0.2">
      <c r="C8" s="3888" t="s">
        <v>192</v>
      </c>
      <c r="D8" s="3888" t="s">
        <v>6005</v>
      </c>
      <c r="M8" s="3884"/>
      <c r="N8" s="3884"/>
      <c r="O8" s="3884"/>
      <c r="P8" s="3884"/>
      <c r="Q8" s="3884"/>
      <c r="R8" s="3884"/>
      <c r="S8" s="3885"/>
      <c r="T8" s="3885"/>
      <c r="U8" s="3885"/>
      <c r="V8" s="3885"/>
      <c r="W8" s="3885"/>
      <c r="X8" s="3885"/>
      <c r="Y8" s="3885"/>
      <c r="Z8" s="3885"/>
      <c r="AA8" s="3885"/>
      <c r="AB8" s="3885"/>
      <c r="AC8" s="3885"/>
      <c r="AD8" s="3885"/>
      <c r="AE8" s="3885"/>
      <c r="AF8" s="3885"/>
      <c r="AG8" s="3885"/>
      <c r="AH8" s="3885"/>
      <c r="AI8" s="3885"/>
      <c r="AJ8" s="3885"/>
      <c r="AK8" s="3885"/>
      <c r="AL8" s="3885"/>
      <c r="AM8" s="3885"/>
      <c r="AN8" s="3885"/>
      <c r="AO8" s="3885"/>
      <c r="AP8" s="3885"/>
      <c r="AQ8" s="3885"/>
      <c r="AR8" s="3885"/>
      <c r="AS8" s="3885"/>
      <c r="AT8" s="3885"/>
      <c r="AU8" s="3884"/>
      <c r="AV8" s="3885"/>
      <c r="AW8" s="3885"/>
      <c r="AX8" s="3885"/>
      <c r="AY8" s="3885"/>
      <c r="AZ8" s="3885"/>
      <c r="BA8" s="3885"/>
      <c r="BB8" s="3885"/>
      <c r="BC8" s="3885"/>
      <c r="BD8" s="3885"/>
      <c r="BE8" s="3884"/>
      <c r="BF8" s="3885"/>
      <c r="BG8" s="3885"/>
      <c r="BH8" s="3885"/>
      <c r="BI8" s="3885"/>
      <c r="BJ8" s="3885"/>
      <c r="BK8" s="3885"/>
      <c r="BL8" s="3885"/>
      <c r="BM8" s="3885"/>
    </row>
    <row r="10" spans="2:65" ht="18.75" customHeight="1" x14ac:dyDescent="0.2">
      <c r="B10" s="4098" t="s">
        <v>6006</v>
      </c>
      <c r="C10" s="4099"/>
      <c r="D10" s="4099"/>
      <c r="E10" s="4099"/>
      <c r="F10" s="4099"/>
      <c r="G10" s="4099"/>
      <c r="H10" s="4099"/>
      <c r="I10" s="4100"/>
      <c r="K10" s="4098" t="s">
        <v>6011</v>
      </c>
      <c r="L10" s="4099"/>
      <c r="M10" s="4099"/>
      <c r="N10" s="4099"/>
      <c r="O10" s="4099"/>
      <c r="P10" s="4099"/>
      <c r="Q10" s="4099"/>
      <c r="R10" s="4100"/>
    </row>
    <row r="12" spans="2:65" s="3889" customFormat="1" ht="15.75" customHeight="1" x14ac:dyDescent="0.2">
      <c r="B12" s="4102" t="s">
        <v>549</v>
      </c>
      <c r="C12" s="4102" t="s">
        <v>550</v>
      </c>
      <c r="D12" s="3873" t="s">
        <v>0</v>
      </c>
      <c r="E12" s="3873" t="s">
        <v>544</v>
      </c>
      <c r="F12" s="3873" t="s">
        <v>545</v>
      </c>
      <c r="G12" s="3873" t="s">
        <v>546</v>
      </c>
      <c r="H12" s="3873" t="s">
        <v>547</v>
      </c>
      <c r="I12" s="3873" t="s">
        <v>548</v>
      </c>
      <c r="J12" s="240"/>
      <c r="K12" s="4102" t="s">
        <v>549</v>
      </c>
      <c r="L12" s="4102" t="s">
        <v>550</v>
      </c>
      <c r="M12" s="3873" t="s">
        <v>0</v>
      </c>
      <c r="N12" s="3873" t="s">
        <v>544</v>
      </c>
      <c r="O12" s="3873" t="s">
        <v>545</v>
      </c>
      <c r="P12" s="3873" t="s">
        <v>546</v>
      </c>
      <c r="Q12" s="3873" t="s">
        <v>547</v>
      </c>
      <c r="R12" s="3873" t="s">
        <v>548</v>
      </c>
    </row>
    <row r="13" spans="2:65" s="3889" customFormat="1" x14ac:dyDescent="0.2">
      <c r="B13" s="4102"/>
      <c r="C13" s="4102"/>
      <c r="D13" s="3874" t="s">
        <v>551</v>
      </c>
      <c r="E13" s="3874" t="s">
        <v>551</v>
      </c>
      <c r="F13" s="3874" t="s">
        <v>551</v>
      </c>
      <c r="G13" s="3874" t="s">
        <v>551</v>
      </c>
      <c r="H13" s="3874" t="s">
        <v>551</v>
      </c>
      <c r="I13" s="3874" t="s">
        <v>551</v>
      </c>
      <c r="J13" s="240"/>
      <c r="K13" s="4102"/>
      <c r="L13" s="4102"/>
      <c r="M13" s="3874" t="s">
        <v>556</v>
      </c>
      <c r="N13" s="3874" t="s">
        <v>556</v>
      </c>
      <c r="O13" s="3874" t="s">
        <v>556</v>
      </c>
      <c r="P13" s="3874" t="s">
        <v>556</v>
      </c>
      <c r="Q13" s="3874" t="s">
        <v>556</v>
      </c>
      <c r="R13" s="3874" t="s">
        <v>556</v>
      </c>
    </row>
    <row r="14" spans="2:65" s="3889" customFormat="1" x14ac:dyDescent="0.2">
      <c r="B14" s="3890"/>
      <c r="C14" s="3890"/>
      <c r="D14" s="3891"/>
      <c r="E14" s="3891"/>
      <c r="F14" s="3891"/>
      <c r="G14" s="3891"/>
      <c r="H14" s="3891"/>
      <c r="I14" s="3891"/>
      <c r="J14" s="240"/>
      <c r="K14" s="3890"/>
      <c r="L14" s="3890"/>
      <c r="M14" s="3891"/>
      <c r="N14" s="3891"/>
      <c r="O14" s="3891"/>
      <c r="P14" s="3891"/>
      <c r="Q14" s="3891"/>
      <c r="R14" s="3891"/>
    </row>
    <row r="15" spans="2:65" s="3889" customFormat="1" x14ac:dyDescent="0.2">
      <c r="B15" s="3892"/>
      <c r="C15" s="3892" t="s">
        <v>610</v>
      </c>
      <c r="D15" s="3893">
        <v>152</v>
      </c>
      <c r="E15" s="3893">
        <v>40</v>
      </c>
      <c r="F15" s="3893">
        <v>9</v>
      </c>
      <c r="G15" s="3893">
        <v>16</v>
      </c>
      <c r="H15" s="3893">
        <v>75</v>
      </c>
      <c r="I15" s="3893">
        <v>12</v>
      </c>
      <c r="J15" s="240"/>
      <c r="K15" s="3890"/>
      <c r="L15" s="3892" t="s">
        <v>610</v>
      </c>
      <c r="M15" s="3893">
        <v>2079</v>
      </c>
      <c r="N15" s="3893">
        <v>626</v>
      </c>
      <c r="O15" s="3893">
        <v>161</v>
      </c>
      <c r="P15" s="3893">
        <v>186</v>
      </c>
      <c r="Q15" s="3893">
        <v>933</v>
      </c>
      <c r="R15" s="3893">
        <v>173</v>
      </c>
    </row>
    <row r="16" spans="2:65" ht="18.75" customHeight="1" x14ac:dyDescent="0.2">
      <c r="B16" s="3890">
        <v>301203</v>
      </c>
      <c r="C16" s="3890" t="s">
        <v>470</v>
      </c>
      <c r="D16" s="3891">
        <v>86</v>
      </c>
      <c r="E16" s="3891">
        <v>13</v>
      </c>
      <c r="F16" s="3891">
        <v>2</v>
      </c>
      <c r="G16" s="3891">
        <v>9</v>
      </c>
      <c r="H16" s="3891">
        <v>54</v>
      </c>
      <c r="I16" s="3891">
        <v>8</v>
      </c>
      <c r="K16" s="3890">
        <v>301203</v>
      </c>
      <c r="L16" s="3890" t="s">
        <v>470</v>
      </c>
      <c r="M16" s="3891">
        <v>1634</v>
      </c>
      <c r="N16" s="3891">
        <v>474</v>
      </c>
      <c r="O16" s="3891">
        <v>115</v>
      </c>
      <c r="P16" s="3891">
        <v>153</v>
      </c>
      <c r="Q16" s="3891">
        <v>745</v>
      </c>
      <c r="R16" s="3891">
        <v>147</v>
      </c>
    </row>
    <row r="17" spans="2:18" x14ac:dyDescent="0.2">
      <c r="B17" s="3890">
        <v>301612</v>
      </c>
      <c r="C17" s="3890" t="s">
        <v>471</v>
      </c>
      <c r="D17" s="3891">
        <v>24</v>
      </c>
      <c r="E17" s="3891">
        <v>7</v>
      </c>
      <c r="F17" s="3891">
        <v>1</v>
      </c>
      <c r="G17" s="3891">
        <v>3</v>
      </c>
      <c r="H17" s="3891">
        <v>11</v>
      </c>
      <c r="I17" s="3891">
        <v>2</v>
      </c>
      <c r="K17" s="3890">
        <v>301612</v>
      </c>
      <c r="L17" s="3890" t="s">
        <v>471</v>
      </c>
      <c r="M17" s="3891">
        <v>225</v>
      </c>
      <c r="N17" s="3891">
        <v>25</v>
      </c>
      <c r="O17" s="3891">
        <v>25</v>
      </c>
      <c r="P17" s="3891">
        <v>22</v>
      </c>
      <c r="Q17" s="3891">
        <v>132</v>
      </c>
      <c r="R17" s="3891">
        <v>21</v>
      </c>
    </row>
    <row r="18" spans="2:18" s="3889" customFormat="1" x14ac:dyDescent="0.2">
      <c r="B18" s="3890">
        <v>302101</v>
      </c>
      <c r="C18" s="3890" t="s">
        <v>552</v>
      </c>
      <c r="D18" s="3891">
        <v>13</v>
      </c>
      <c r="E18" s="3891">
        <v>3</v>
      </c>
      <c r="F18" s="3891">
        <v>4</v>
      </c>
      <c r="G18" s="3891">
        <v>3</v>
      </c>
      <c r="H18" s="3891">
        <v>1</v>
      </c>
      <c r="I18" s="3891">
        <v>2</v>
      </c>
      <c r="J18" s="240"/>
      <c r="K18" s="3890">
        <v>302101</v>
      </c>
      <c r="L18" s="3890" t="s">
        <v>552</v>
      </c>
      <c r="M18" s="3891">
        <v>82</v>
      </c>
      <c r="N18" s="3891">
        <v>34</v>
      </c>
      <c r="O18" s="3891">
        <v>13</v>
      </c>
      <c r="P18" s="3891">
        <v>9</v>
      </c>
      <c r="Q18" s="3891">
        <v>24</v>
      </c>
      <c r="R18" s="3891">
        <v>2</v>
      </c>
    </row>
    <row r="19" spans="2:18" s="3889" customFormat="1" x14ac:dyDescent="0.2">
      <c r="B19" s="3890">
        <v>302302</v>
      </c>
      <c r="C19" s="3890" t="s">
        <v>553</v>
      </c>
      <c r="D19" s="3891">
        <v>16</v>
      </c>
      <c r="E19" s="3891">
        <v>7</v>
      </c>
      <c r="F19" s="3891">
        <v>0</v>
      </c>
      <c r="G19" s="3891">
        <v>1</v>
      </c>
      <c r="H19" s="3891">
        <v>8</v>
      </c>
      <c r="I19" s="3891">
        <v>0</v>
      </c>
      <c r="J19" s="240"/>
      <c r="K19" s="3890">
        <v>302302</v>
      </c>
      <c r="L19" s="3890" t="s">
        <v>553</v>
      </c>
      <c r="M19" s="3891">
        <v>34</v>
      </c>
      <c r="N19" s="3891">
        <v>17</v>
      </c>
      <c r="O19" s="3891">
        <v>0</v>
      </c>
      <c r="P19" s="3891">
        <v>2</v>
      </c>
      <c r="Q19" s="3891">
        <v>14</v>
      </c>
      <c r="R19" s="3891">
        <v>1</v>
      </c>
    </row>
    <row r="20" spans="2:18" s="3889" customFormat="1" x14ac:dyDescent="0.2">
      <c r="B20" s="3890">
        <v>302303</v>
      </c>
      <c r="C20" s="3890" t="s">
        <v>13</v>
      </c>
      <c r="D20" s="3891">
        <v>0</v>
      </c>
      <c r="E20" s="3891">
        <v>0</v>
      </c>
      <c r="F20" s="3891">
        <v>0</v>
      </c>
      <c r="G20" s="3891">
        <v>0</v>
      </c>
      <c r="H20" s="3891">
        <v>0</v>
      </c>
      <c r="I20" s="3891">
        <v>0</v>
      </c>
      <c r="J20" s="240"/>
      <c r="K20" s="3890">
        <v>302303</v>
      </c>
      <c r="L20" s="3890" t="s">
        <v>13</v>
      </c>
      <c r="M20" s="3891">
        <v>13</v>
      </c>
      <c r="N20" s="3891">
        <v>0</v>
      </c>
      <c r="O20" s="3891">
        <v>0</v>
      </c>
      <c r="P20" s="3891">
        <v>0</v>
      </c>
      <c r="Q20" s="3891">
        <v>11</v>
      </c>
      <c r="R20" s="3891">
        <v>2</v>
      </c>
    </row>
    <row r="21" spans="2:18" x14ac:dyDescent="0.2">
      <c r="B21" s="3890">
        <v>303203</v>
      </c>
      <c r="C21" s="3890" t="s">
        <v>462</v>
      </c>
      <c r="D21" s="3891">
        <v>1</v>
      </c>
      <c r="E21" s="3891">
        <v>0</v>
      </c>
      <c r="F21" s="3891">
        <v>0</v>
      </c>
      <c r="G21" s="3891">
        <v>0</v>
      </c>
      <c r="H21" s="3891">
        <v>1</v>
      </c>
      <c r="I21" s="3891">
        <v>0</v>
      </c>
      <c r="K21" s="3890">
        <v>303203</v>
      </c>
      <c r="L21" s="3890" t="s">
        <v>462</v>
      </c>
      <c r="M21" s="3891">
        <v>7</v>
      </c>
      <c r="N21" s="3891">
        <v>0</v>
      </c>
      <c r="O21" s="3891">
        <v>0</v>
      </c>
      <c r="P21" s="3891">
        <v>0</v>
      </c>
      <c r="Q21" s="3891">
        <v>7</v>
      </c>
      <c r="R21" s="3891">
        <v>0</v>
      </c>
    </row>
    <row r="22" spans="2:18" ht="18.75" customHeight="1" x14ac:dyDescent="0.2">
      <c r="B22" s="3890">
        <v>303304</v>
      </c>
      <c r="C22" s="3890" t="s">
        <v>554</v>
      </c>
      <c r="D22" s="3891">
        <v>2</v>
      </c>
      <c r="E22" s="3891">
        <v>0</v>
      </c>
      <c r="F22" s="3891">
        <v>2</v>
      </c>
      <c r="G22" s="3891">
        <v>0</v>
      </c>
      <c r="H22" s="3891">
        <v>0</v>
      </c>
      <c r="I22" s="3891">
        <v>0</v>
      </c>
      <c r="K22" s="3890">
        <v>303304</v>
      </c>
      <c r="L22" s="3890" t="s">
        <v>554</v>
      </c>
      <c r="M22" s="3891">
        <v>8</v>
      </c>
      <c r="N22" s="3891">
        <v>0</v>
      </c>
      <c r="O22" s="3891">
        <v>8</v>
      </c>
      <c r="P22" s="3891">
        <v>0</v>
      </c>
      <c r="Q22" s="3891">
        <v>0</v>
      </c>
      <c r="R22" s="3891">
        <v>0</v>
      </c>
    </row>
    <row r="23" spans="2:18" s="3895" customFormat="1" ht="24.6" customHeight="1" x14ac:dyDescent="0.2">
      <c r="B23" s="3890">
        <v>303713</v>
      </c>
      <c r="C23" s="3890" t="s">
        <v>555</v>
      </c>
      <c r="D23" s="3891">
        <v>10</v>
      </c>
      <c r="E23" s="3891">
        <v>10</v>
      </c>
      <c r="F23" s="3891">
        <v>0</v>
      </c>
      <c r="G23" s="3891">
        <v>0</v>
      </c>
      <c r="H23" s="3891">
        <v>0</v>
      </c>
      <c r="I23" s="3891">
        <v>0</v>
      </c>
      <c r="J23" s="3894"/>
      <c r="K23" s="3890">
        <v>303713</v>
      </c>
      <c r="L23" s="3890" t="s">
        <v>555</v>
      </c>
      <c r="M23" s="3891">
        <v>76</v>
      </c>
      <c r="N23" s="3891">
        <v>76</v>
      </c>
      <c r="O23" s="3891">
        <v>0</v>
      </c>
      <c r="P23" s="3891">
        <v>0</v>
      </c>
      <c r="Q23" s="3891">
        <v>0</v>
      </c>
      <c r="R23" s="3891">
        <v>0</v>
      </c>
    </row>
    <row r="24" spans="2:18" s="3889" customFormat="1" x14ac:dyDescent="0.2">
      <c r="B24" s="240"/>
      <c r="C24" s="240"/>
      <c r="D24" s="3896"/>
      <c r="E24" s="3896"/>
      <c r="F24" s="3896"/>
      <c r="G24" s="3896"/>
      <c r="H24" s="3896"/>
      <c r="I24" s="3896"/>
      <c r="J24" s="240"/>
      <c r="K24" s="240"/>
      <c r="L24" s="240"/>
      <c r="M24" s="3896"/>
      <c r="N24" s="3896"/>
      <c r="O24" s="3896"/>
      <c r="P24" s="3896"/>
      <c r="Q24" s="3896"/>
      <c r="R24" s="3896"/>
    </row>
    <row r="25" spans="2:18" s="3898" customFormat="1" x14ac:dyDescent="0.2">
      <c r="B25" s="240"/>
      <c r="C25" s="240"/>
      <c r="D25" s="240"/>
      <c r="E25" s="240"/>
      <c r="F25" s="240"/>
      <c r="G25" s="240"/>
      <c r="H25" s="240"/>
      <c r="I25" s="240"/>
      <c r="J25" s="3897"/>
      <c r="K25" s="240"/>
      <c r="L25" s="240"/>
      <c r="M25" s="240"/>
      <c r="N25" s="240"/>
      <c r="O25" s="240"/>
      <c r="P25" s="240"/>
      <c r="Q25" s="240"/>
      <c r="R25" s="240"/>
    </row>
    <row r="26" spans="2:18" x14ac:dyDescent="0.2">
      <c r="B26" s="4098" t="s">
        <v>6010</v>
      </c>
      <c r="C26" s="4099"/>
      <c r="D26" s="4099"/>
      <c r="E26" s="4099"/>
      <c r="F26" s="4099"/>
      <c r="G26" s="4099"/>
      <c r="H26" s="4099"/>
      <c r="I26" s="4100"/>
      <c r="K26" s="4098" t="s">
        <v>6015</v>
      </c>
      <c r="L26" s="4099"/>
      <c r="M26" s="4099"/>
      <c r="N26" s="4099"/>
      <c r="O26" s="4099"/>
      <c r="P26" s="4099"/>
      <c r="Q26" s="4099"/>
      <c r="R26" s="4100"/>
    </row>
    <row r="27" spans="2:18" ht="18.75" customHeight="1" x14ac:dyDescent="0.2"/>
    <row r="28" spans="2:18" x14ac:dyDescent="0.2">
      <c r="B28" s="4102" t="s">
        <v>549</v>
      </c>
      <c r="C28" s="4102" t="s">
        <v>550</v>
      </c>
      <c r="D28" s="3916" t="s">
        <v>0</v>
      </c>
      <c r="E28" s="3916" t="s">
        <v>544</v>
      </c>
      <c r="F28" s="3916" t="s">
        <v>545</v>
      </c>
      <c r="G28" s="3916" t="s">
        <v>546</v>
      </c>
      <c r="H28" s="3916" t="s">
        <v>547</v>
      </c>
      <c r="I28" s="3916" t="s">
        <v>548</v>
      </c>
      <c r="K28" s="4102" t="s">
        <v>549</v>
      </c>
      <c r="L28" s="4102" t="s">
        <v>550</v>
      </c>
      <c r="M28" s="3916" t="s">
        <v>0</v>
      </c>
      <c r="N28" s="3916" t="s">
        <v>544</v>
      </c>
      <c r="O28" s="3916" t="s">
        <v>545</v>
      </c>
      <c r="P28" s="3916" t="s">
        <v>546</v>
      </c>
      <c r="Q28" s="3916" t="s">
        <v>547</v>
      </c>
      <c r="R28" s="3916" t="s">
        <v>548</v>
      </c>
    </row>
    <row r="29" spans="2:18" x14ac:dyDescent="0.2">
      <c r="B29" s="4102"/>
      <c r="C29" s="4102"/>
      <c r="D29" s="3874" t="s">
        <v>551</v>
      </c>
      <c r="E29" s="3874" t="s">
        <v>551</v>
      </c>
      <c r="F29" s="3874" t="s">
        <v>551</v>
      </c>
      <c r="G29" s="3874" t="s">
        <v>551</v>
      </c>
      <c r="H29" s="3874" t="s">
        <v>551</v>
      </c>
      <c r="I29" s="3874" t="s">
        <v>551</v>
      </c>
      <c r="K29" s="4102"/>
      <c r="L29" s="4102"/>
      <c r="M29" s="3874" t="s">
        <v>556</v>
      </c>
      <c r="N29" s="3874" t="s">
        <v>556</v>
      </c>
      <c r="O29" s="3874" t="s">
        <v>556</v>
      </c>
      <c r="P29" s="3874" t="s">
        <v>556</v>
      </c>
      <c r="Q29" s="3874" t="s">
        <v>556</v>
      </c>
      <c r="R29" s="3874" t="s">
        <v>556</v>
      </c>
    </row>
    <row r="30" spans="2:18" x14ac:dyDescent="0.2">
      <c r="B30" s="3918"/>
      <c r="C30" s="3918"/>
      <c r="D30" s="3918"/>
      <c r="E30" s="3918"/>
      <c r="F30" s="3918"/>
      <c r="G30" s="3918"/>
      <c r="H30" s="3918"/>
      <c r="I30" s="3918"/>
      <c r="K30" s="3919"/>
      <c r="L30" s="3919"/>
      <c r="M30" s="3920"/>
      <c r="N30" s="3920"/>
      <c r="O30" s="3920"/>
      <c r="P30" s="3920"/>
      <c r="Q30" s="3920"/>
      <c r="R30" s="3920"/>
    </row>
    <row r="31" spans="2:18" x14ac:dyDescent="0.2">
      <c r="B31" s="3919"/>
      <c r="C31" s="3919" t="s">
        <v>610</v>
      </c>
      <c r="D31" s="3920">
        <v>131</v>
      </c>
      <c r="E31" s="3920">
        <v>38</v>
      </c>
      <c r="F31" s="3920">
        <v>12</v>
      </c>
      <c r="G31" s="3920">
        <v>18</v>
      </c>
      <c r="H31" s="3920">
        <v>45</v>
      </c>
      <c r="I31" s="3920">
        <v>18</v>
      </c>
      <c r="K31" s="3919"/>
      <c r="L31" s="3919" t="s">
        <v>610</v>
      </c>
      <c r="M31" s="3920">
        <v>2111</v>
      </c>
      <c r="N31" s="3920">
        <v>526</v>
      </c>
      <c r="O31" s="3920">
        <v>173</v>
      </c>
      <c r="P31" s="3920">
        <v>207</v>
      </c>
      <c r="Q31" s="3920">
        <v>1018</v>
      </c>
      <c r="R31" s="3920">
        <v>187</v>
      </c>
    </row>
    <row r="32" spans="2:18" x14ac:dyDescent="0.2">
      <c r="B32" s="3919">
        <v>301203</v>
      </c>
      <c r="C32" s="3919" t="s">
        <v>470</v>
      </c>
      <c r="D32" s="3920">
        <v>53</v>
      </c>
      <c r="E32" s="3920">
        <v>15</v>
      </c>
      <c r="F32" s="3920">
        <v>3</v>
      </c>
      <c r="G32" s="3920">
        <v>5</v>
      </c>
      <c r="H32" s="3920">
        <v>20</v>
      </c>
      <c r="I32" s="3920">
        <v>10</v>
      </c>
      <c r="K32" s="3919">
        <v>301203</v>
      </c>
      <c r="L32" s="3919" t="s">
        <v>470</v>
      </c>
      <c r="M32" s="3920">
        <v>1547</v>
      </c>
      <c r="N32" s="3920">
        <v>298</v>
      </c>
      <c r="O32" s="3920">
        <v>137</v>
      </c>
      <c r="P32" s="3920">
        <v>153</v>
      </c>
      <c r="Q32" s="3920">
        <v>818</v>
      </c>
      <c r="R32" s="3920">
        <v>141</v>
      </c>
    </row>
    <row r="33" spans="2:18" x14ac:dyDescent="0.2">
      <c r="B33" s="3919">
        <v>301204</v>
      </c>
      <c r="C33" s="3919" t="s">
        <v>44</v>
      </c>
      <c r="D33" s="3920">
        <v>0</v>
      </c>
      <c r="E33" s="3920">
        <v>0</v>
      </c>
      <c r="F33" s="3920">
        <v>0</v>
      </c>
      <c r="G33" s="3920">
        <v>0</v>
      </c>
      <c r="H33" s="3920">
        <v>0</v>
      </c>
      <c r="I33" s="3920">
        <v>0</v>
      </c>
      <c r="K33" s="3919">
        <v>301204</v>
      </c>
      <c r="L33" s="3919" t="s">
        <v>44</v>
      </c>
      <c r="M33" s="3920">
        <v>96</v>
      </c>
      <c r="N33" s="3920">
        <v>15</v>
      </c>
      <c r="O33" s="3920">
        <v>10</v>
      </c>
      <c r="P33" s="3920">
        <v>9</v>
      </c>
      <c r="Q33" s="3920">
        <v>46</v>
      </c>
      <c r="R33" s="3920">
        <v>16</v>
      </c>
    </row>
    <row r="34" spans="2:18" x14ac:dyDescent="0.2">
      <c r="B34" s="3919">
        <v>301612</v>
      </c>
      <c r="C34" s="3919" t="s">
        <v>471</v>
      </c>
      <c r="D34" s="3920">
        <v>60</v>
      </c>
      <c r="E34" s="3920">
        <v>14</v>
      </c>
      <c r="F34" s="3920">
        <v>5</v>
      </c>
      <c r="G34" s="3920">
        <v>13</v>
      </c>
      <c r="H34" s="3920">
        <v>22</v>
      </c>
      <c r="I34" s="3920">
        <v>6</v>
      </c>
      <c r="K34" s="3919">
        <v>301612</v>
      </c>
      <c r="L34" s="3919" t="s">
        <v>471</v>
      </c>
      <c r="M34" s="3920">
        <v>197</v>
      </c>
      <c r="N34" s="3920">
        <v>29</v>
      </c>
      <c r="O34" s="3920">
        <v>15</v>
      </c>
      <c r="P34" s="3920">
        <v>30</v>
      </c>
      <c r="Q34" s="3920">
        <v>96</v>
      </c>
      <c r="R34" s="3920">
        <v>27</v>
      </c>
    </row>
    <row r="35" spans="2:18" x14ac:dyDescent="0.2">
      <c r="B35" s="3919">
        <v>301613</v>
      </c>
      <c r="C35" s="3919" t="s">
        <v>6021</v>
      </c>
      <c r="D35" s="3920">
        <v>1</v>
      </c>
      <c r="E35" s="3920">
        <v>0</v>
      </c>
      <c r="F35" s="3920">
        <v>0</v>
      </c>
      <c r="G35" s="3920">
        <v>0</v>
      </c>
      <c r="H35" s="3920">
        <v>1</v>
      </c>
      <c r="I35" s="3920">
        <v>0</v>
      </c>
      <c r="K35" s="3919">
        <v>301613</v>
      </c>
      <c r="L35" s="3919" t="s">
        <v>6021</v>
      </c>
      <c r="M35" s="3920">
        <v>3</v>
      </c>
      <c r="N35" s="3920">
        <v>0</v>
      </c>
      <c r="O35" s="3920">
        <v>0</v>
      </c>
      <c r="P35" s="3920">
        <v>0</v>
      </c>
      <c r="Q35" s="3920">
        <v>3</v>
      </c>
      <c r="R35" s="3920">
        <v>0</v>
      </c>
    </row>
    <row r="36" spans="2:18" x14ac:dyDescent="0.2">
      <c r="B36" s="3919">
        <v>302101</v>
      </c>
      <c r="C36" s="3919" t="s">
        <v>552</v>
      </c>
      <c r="D36" s="3920">
        <v>0</v>
      </c>
      <c r="E36" s="3920">
        <v>0</v>
      </c>
      <c r="F36" s="3920">
        <v>0</v>
      </c>
      <c r="G36" s="3920">
        <v>0</v>
      </c>
      <c r="H36" s="3920">
        <v>0</v>
      </c>
      <c r="I36" s="3920">
        <v>0</v>
      </c>
      <c r="K36" s="3919">
        <v>302101</v>
      </c>
      <c r="L36" s="3919" t="s">
        <v>552</v>
      </c>
      <c r="M36" s="3920">
        <v>55</v>
      </c>
      <c r="N36" s="3920">
        <v>25</v>
      </c>
      <c r="O36" s="3920">
        <v>6</v>
      </c>
      <c r="P36" s="3920">
        <v>7</v>
      </c>
      <c r="Q36" s="3920">
        <v>17</v>
      </c>
      <c r="R36" s="3920">
        <v>0</v>
      </c>
    </row>
    <row r="37" spans="2:18" x14ac:dyDescent="0.2">
      <c r="B37" s="3919">
        <v>302303</v>
      </c>
      <c r="C37" s="3919" t="s">
        <v>13</v>
      </c>
      <c r="D37" s="3920">
        <v>1</v>
      </c>
      <c r="E37" s="3920">
        <v>0</v>
      </c>
      <c r="F37" s="3920">
        <v>0</v>
      </c>
      <c r="G37" s="3920">
        <v>0</v>
      </c>
      <c r="H37" s="3920">
        <v>1</v>
      </c>
      <c r="I37" s="3920">
        <v>0</v>
      </c>
      <c r="K37" s="3919">
        <v>302303</v>
      </c>
      <c r="L37" s="3919" t="s">
        <v>13</v>
      </c>
      <c r="M37" s="3920">
        <v>1</v>
      </c>
      <c r="N37" s="3920">
        <v>0</v>
      </c>
      <c r="O37" s="3920">
        <v>0</v>
      </c>
      <c r="P37" s="3920">
        <v>0</v>
      </c>
      <c r="Q37" s="3920">
        <v>1</v>
      </c>
      <c r="R37" s="3920">
        <v>0</v>
      </c>
    </row>
    <row r="38" spans="2:18" x14ac:dyDescent="0.2">
      <c r="B38" s="3919">
        <v>303203</v>
      </c>
      <c r="C38" s="3919" t="s">
        <v>462</v>
      </c>
      <c r="D38" s="3920">
        <v>0</v>
      </c>
      <c r="E38" s="3920">
        <v>0</v>
      </c>
      <c r="F38" s="3920">
        <v>0</v>
      </c>
      <c r="G38" s="3920">
        <v>0</v>
      </c>
      <c r="H38" s="3920">
        <v>0</v>
      </c>
      <c r="I38" s="3920">
        <v>0</v>
      </c>
      <c r="K38" s="3919">
        <v>303203</v>
      </c>
      <c r="L38" s="3919" t="s">
        <v>462</v>
      </c>
      <c r="M38" s="3920">
        <v>41</v>
      </c>
      <c r="N38" s="3920">
        <v>0</v>
      </c>
      <c r="O38" s="3920">
        <v>0</v>
      </c>
      <c r="P38" s="3920">
        <v>8</v>
      </c>
      <c r="Q38" s="3920">
        <v>33</v>
      </c>
      <c r="R38" s="3920">
        <v>0</v>
      </c>
    </row>
    <row r="39" spans="2:18" x14ac:dyDescent="0.2">
      <c r="B39" s="3919">
        <v>303304</v>
      </c>
      <c r="C39" s="3919" t="s">
        <v>554</v>
      </c>
      <c r="D39" s="3920">
        <v>4</v>
      </c>
      <c r="E39" s="3920">
        <v>0</v>
      </c>
      <c r="F39" s="3920">
        <v>4</v>
      </c>
      <c r="G39" s="3920">
        <v>0</v>
      </c>
      <c r="H39" s="3920">
        <v>0</v>
      </c>
      <c r="I39" s="3920">
        <v>0</v>
      </c>
      <c r="K39" s="3919">
        <v>303304</v>
      </c>
      <c r="L39" s="3919" t="s">
        <v>554</v>
      </c>
      <c r="M39" s="3920">
        <v>8</v>
      </c>
      <c r="N39" s="3920">
        <v>0</v>
      </c>
      <c r="O39" s="3920">
        <v>5</v>
      </c>
      <c r="P39" s="3920">
        <v>0</v>
      </c>
      <c r="Q39" s="3920">
        <v>3</v>
      </c>
      <c r="R39" s="3920">
        <v>0</v>
      </c>
    </row>
    <row r="40" spans="2:18" x14ac:dyDescent="0.2">
      <c r="B40" s="3919">
        <v>303713</v>
      </c>
      <c r="C40" s="3919" t="s">
        <v>555</v>
      </c>
      <c r="D40" s="3920">
        <v>12</v>
      </c>
      <c r="E40" s="3920">
        <v>9</v>
      </c>
      <c r="F40" s="3920">
        <v>0</v>
      </c>
      <c r="G40" s="3920">
        <v>0</v>
      </c>
      <c r="H40" s="3920">
        <v>1</v>
      </c>
      <c r="I40" s="3920">
        <v>2</v>
      </c>
      <c r="K40" s="3919">
        <v>303713</v>
      </c>
      <c r="L40" s="3919" t="s">
        <v>555</v>
      </c>
      <c r="M40" s="3920">
        <v>163</v>
      </c>
      <c r="N40" s="3920">
        <v>159</v>
      </c>
      <c r="O40" s="3920">
        <v>0</v>
      </c>
      <c r="P40" s="3920">
        <v>0</v>
      </c>
      <c r="Q40" s="3920">
        <v>1</v>
      </c>
      <c r="R40" s="3920">
        <v>3</v>
      </c>
    </row>
    <row r="41" spans="2:18" x14ac:dyDescent="0.2">
      <c r="B41" s="3919"/>
      <c r="C41" s="3919"/>
      <c r="D41" s="3920"/>
      <c r="E41" s="3920"/>
      <c r="F41" s="3920"/>
      <c r="G41" s="3920"/>
      <c r="H41" s="3920"/>
      <c r="I41" s="3920"/>
      <c r="K41" s="3919"/>
      <c r="L41" s="3919"/>
      <c r="M41" s="3920"/>
      <c r="N41" s="3920"/>
      <c r="O41" s="3920"/>
      <c r="P41" s="3920"/>
      <c r="Q41" s="3920"/>
      <c r="R41" s="3920"/>
    </row>
    <row r="42" spans="2:18" x14ac:dyDescent="0.2">
      <c r="B42" s="240"/>
      <c r="C42" s="240"/>
      <c r="D42" s="240"/>
      <c r="E42" s="240"/>
      <c r="F42" s="240"/>
      <c r="G42" s="240"/>
      <c r="H42" s="240"/>
      <c r="I42" s="240"/>
      <c r="K42" s="240"/>
      <c r="L42" s="240"/>
      <c r="M42" s="240"/>
      <c r="N42" s="240"/>
      <c r="O42" s="240"/>
      <c r="P42" s="240"/>
      <c r="Q42" s="240"/>
      <c r="R42" s="240"/>
    </row>
    <row r="44" spans="2:18" x14ac:dyDescent="0.2">
      <c r="B44" s="4098" t="s">
        <v>6009</v>
      </c>
      <c r="C44" s="4099"/>
      <c r="D44" s="4099"/>
      <c r="E44" s="4099"/>
      <c r="F44" s="4099"/>
      <c r="G44" s="4099"/>
      <c r="H44" s="4099"/>
      <c r="I44" s="4100"/>
      <c r="K44" s="4098" t="s">
        <v>6014</v>
      </c>
      <c r="L44" s="4099"/>
      <c r="M44" s="4099"/>
      <c r="N44" s="4099"/>
      <c r="O44" s="4099"/>
      <c r="P44" s="4099"/>
      <c r="Q44" s="4099"/>
      <c r="R44" s="3899"/>
    </row>
    <row r="45" spans="2:18" ht="18" customHeight="1" thickBot="1" x14ac:dyDescent="0.25">
      <c r="B45" s="3894"/>
      <c r="C45" s="3894"/>
      <c r="D45" s="3894"/>
      <c r="E45" s="3894"/>
      <c r="F45" s="3894"/>
      <c r="G45" s="3894"/>
      <c r="H45" s="3894"/>
      <c r="I45" s="3894"/>
      <c r="K45" s="3894"/>
      <c r="L45" s="3894"/>
      <c r="M45" s="3894"/>
      <c r="N45" s="3894"/>
      <c r="O45" s="3894"/>
      <c r="P45" s="3894"/>
      <c r="Q45" s="3894"/>
      <c r="R45" s="3894"/>
    </row>
    <row r="46" spans="2:18" x14ac:dyDescent="0.2">
      <c r="B46" s="4103" t="s">
        <v>549</v>
      </c>
      <c r="C46" s="4105" t="s">
        <v>550</v>
      </c>
      <c r="D46" s="3875" t="s">
        <v>0</v>
      </c>
      <c r="E46" s="3875" t="s">
        <v>544</v>
      </c>
      <c r="F46" s="3875" t="s">
        <v>545</v>
      </c>
      <c r="G46" s="3875" t="s">
        <v>546</v>
      </c>
      <c r="H46" s="3875" t="s">
        <v>547</v>
      </c>
      <c r="I46" s="3876" t="s">
        <v>548</v>
      </c>
      <c r="K46" s="4103" t="s">
        <v>549</v>
      </c>
      <c r="L46" s="4105" t="s">
        <v>550</v>
      </c>
      <c r="M46" s="3875" t="s">
        <v>0</v>
      </c>
      <c r="N46" s="3875" t="s">
        <v>544</v>
      </c>
      <c r="O46" s="3875" t="s">
        <v>545</v>
      </c>
      <c r="P46" s="3875" t="s">
        <v>546</v>
      </c>
      <c r="Q46" s="3875" t="s">
        <v>547</v>
      </c>
      <c r="R46" s="3876" t="s">
        <v>548</v>
      </c>
    </row>
    <row r="47" spans="2:18" ht="13.5" thickBot="1" x14ac:dyDescent="0.25">
      <c r="B47" s="4104"/>
      <c r="C47" s="4106"/>
      <c r="D47" s="3877" t="s">
        <v>551</v>
      </c>
      <c r="E47" s="3877" t="s">
        <v>551</v>
      </c>
      <c r="F47" s="3877" t="s">
        <v>551</v>
      </c>
      <c r="G47" s="3877" t="s">
        <v>551</v>
      </c>
      <c r="H47" s="3877" t="s">
        <v>551</v>
      </c>
      <c r="I47" s="3878" t="s">
        <v>551</v>
      </c>
      <c r="K47" s="4104"/>
      <c r="L47" s="4106"/>
      <c r="M47" s="3877" t="s">
        <v>556</v>
      </c>
      <c r="N47" s="3877" t="s">
        <v>556</v>
      </c>
      <c r="O47" s="3877" t="s">
        <v>556</v>
      </c>
      <c r="P47" s="3877" t="s">
        <v>556</v>
      </c>
      <c r="Q47" s="3877" t="s">
        <v>556</v>
      </c>
      <c r="R47" s="3878" t="s">
        <v>556</v>
      </c>
    </row>
    <row r="48" spans="2:18" x14ac:dyDescent="0.2">
      <c r="B48" s="3900"/>
      <c r="C48" s="3901"/>
      <c r="D48" s="3902"/>
      <c r="E48" s="3902"/>
      <c r="F48" s="3902"/>
      <c r="G48" s="3902"/>
      <c r="H48" s="3902"/>
      <c r="I48" s="3902"/>
      <c r="K48" s="3900"/>
      <c r="L48" s="3901"/>
      <c r="M48" s="3902"/>
      <c r="N48" s="3902"/>
      <c r="O48" s="3902"/>
      <c r="P48" s="3902"/>
      <c r="Q48" s="3902"/>
      <c r="R48" s="3903"/>
    </row>
    <row r="49" spans="2:18" x14ac:dyDescent="0.2">
      <c r="B49" s="3904"/>
      <c r="C49" s="3905" t="s">
        <v>610</v>
      </c>
      <c r="D49" s="3906">
        <v>215</v>
      </c>
      <c r="E49" s="3906">
        <v>59</v>
      </c>
      <c r="F49" s="3906">
        <v>12</v>
      </c>
      <c r="G49" s="3906">
        <v>18</v>
      </c>
      <c r="H49" s="3906">
        <v>101</v>
      </c>
      <c r="I49" s="3906">
        <v>25</v>
      </c>
      <c r="K49" s="3904"/>
      <c r="L49" s="3905" t="s">
        <v>610</v>
      </c>
      <c r="M49" s="3906">
        <v>1821</v>
      </c>
      <c r="N49" s="3906">
        <v>510</v>
      </c>
      <c r="O49" s="3906">
        <v>94</v>
      </c>
      <c r="P49" s="3906">
        <v>250</v>
      </c>
      <c r="Q49" s="3906">
        <v>833</v>
      </c>
      <c r="R49" s="3907">
        <v>134</v>
      </c>
    </row>
    <row r="50" spans="2:18" x14ac:dyDescent="0.2">
      <c r="B50" s="3904">
        <v>301201</v>
      </c>
      <c r="C50" s="3905" t="s">
        <v>6024</v>
      </c>
      <c r="D50" s="3906">
        <v>3</v>
      </c>
      <c r="E50" s="3906">
        <v>0</v>
      </c>
      <c r="F50" s="3906">
        <v>0</v>
      </c>
      <c r="G50" s="3906">
        <v>1</v>
      </c>
      <c r="H50" s="3906">
        <v>2</v>
      </c>
      <c r="I50" s="3906">
        <v>0</v>
      </c>
      <c r="K50" s="3904">
        <v>301201</v>
      </c>
      <c r="L50" s="3905" t="s">
        <v>6024</v>
      </c>
      <c r="M50" s="3906">
        <v>9</v>
      </c>
      <c r="N50" s="3906">
        <v>0</v>
      </c>
      <c r="O50" s="3906">
        <v>0</v>
      </c>
      <c r="P50" s="3906">
        <v>1</v>
      </c>
      <c r="Q50" s="3906">
        <v>8</v>
      </c>
      <c r="R50" s="3907">
        <v>0</v>
      </c>
    </row>
    <row r="51" spans="2:18" x14ac:dyDescent="0.2">
      <c r="B51" s="3904">
        <v>301203</v>
      </c>
      <c r="C51" s="3905" t="s">
        <v>470</v>
      </c>
      <c r="D51" s="3906">
        <v>103</v>
      </c>
      <c r="E51" s="3906">
        <v>31</v>
      </c>
      <c r="F51" s="3906">
        <v>10</v>
      </c>
      <c r="G51" s="3906">
        <v>9</v>
      </c>
      <c r="H51" s="3906">
        <v>46</v>
      </c>
      <c r="I51" s="3906">
        <v>7</v>
      </c>
      <c r="K51" s="3904">
        <v>301203</v>
      </c>
      <c r="L51" s="3905" t="s">
        <v>470</v>
      </c>
      <c r="M51" s="3906">
        <v>1309</v>
      </c>
      <c r="N51" s="3906">
        <v>289</v>
      </c>
      <c r="O51" s="3906">
        <v>74</v>
      </c>
      <c r="P51" s="3906">
        <v>199</v>
      </c>
      <c r="Q51" s="3906">
        <v>656</v>
      </c>
      <c r="R51" s="3907">
        <v>91</v>
      </c>
    </row>
    <row r="52" spans="2:18" x14ac:dyDescent="0.2">
      <c r="B52" s="3904">
        <v>301204</v>
      </c>
      <c r="C52" s="3905" t="s">
        <v>44</v>
      </c>
      <c r="D52" s="3906">
        <v>1</v>
      </c>
      <c r="E52" s="3906">
        <v>0</v>
      </c>
      <c r="F52" s="3906">
        <v>0</v>
      </c>
      <c r="G52" s="3906">
        <v>1</v>
      </c>
      <c r="H52" s="3906">
        <v>0</v>
      </c>
      <c r="I52" s="3906">
        <v>0</v>
      </c>
      <c r="K52" s="3904">
        <v>301204</v>
      </c>
      <c r="L52" s="3905" t="s">
        <v>44</v>
      </c>
      <c r="M52" s="3906">
        <v>140</v>
      </c>
      <c r="N52" s="3906">
        <v>48</v>
      </c>
      <c r="O52" s="3906">
        <v>16</v>
      </c>
      <c r="P52" s="3906">
        <v>12</v>
      </c>
      <c r="Q52" s="3906">
        <v>50</v>
      </c>
      <c r="R52" s="3907">
        <v>14</v>
      </c>
    </row>
    <row r="53" spans="2:18" x14ac:dyDescent="0.2">
      <c r="B53" s="3904">
        <v>301501</v>
      </c>
      <c r="C53" s="3905" t="s">
        <v>6025</v>
      </c>
      <c r="D53" s="3906">
        <v>8</v>
      </c>
      <c r="E53" s="3906">
        <v>0</v>
      </c>
      <c r="F53" s="3906">
        <v>0</v>
      </c>
      <c r="G53" s="3906">
        <v>0</v>
      </c>
      <c r="H53" s="3906">
        <v>0</v>
      </c>
      <c r="I53" s="3906">
        <v>8</v>
      </c>
      <c r="K53" s="3904">
        <v>301501</v>
      </c>
      <c r="L53" s="3905" t="s">
        <v>6025</v>
      </c>
      <c r="M53" s="3906">
        <v>8</v>
      </c>
      <c r="N53" s="3906">
        <v>0</v>
      </c>
      <c r="O53" s="3906">
        <v>0</v>
      </c>
      <c r="P53" s="3906">
        <v>0</v>
      </c>
      <c r="Q53" s="3906">
        <v>0</v>
      </c>
      <c r="R53" s="3907">
        <v>8</v>
      </c>
    </row>
    <row r="54" spans="2:18" x14ac:dyDescent="0.2">
      <c r="B54" s="3904">
        <v>301610</v>
      </c>
      <c r="C54" s="3905" t="s">
        <v>6026</v>
      </c>
      <c r="D54" s="3906">
        <v>13</v>
      </c>
      <c r="E54" s="3906">
        <v>2</v>
      </c>
      <c r="F54" s="3906">
        <v>0</v>
      </c>
      <c r="G54" s="3906">
        <v>1</v>
      </c>
      <c r="H54" s="3906">
        <v>10</v>
      </c>
      <c r="I54" s="3906">
        <v>0</v>
      </c>
      <c r="K54" s="3904">
        <v>301610</v>
      </c>
      <c r="L54" s="3905" t="s">
        <v>6026</v>
      </c>
      <c r="M54" s="3906">
        <v>13</v>
      </c>
      <c r="N54" s="3906">
        <v>2</v>
      </c>
      <c r="O54" s="3906">
        <v>0</v>
      </c>
      <c r="P54" s="3906">
        <v>1</v>
      </c>
      <c r="Q54" s="3906">
        <v>10</v>
      </c>
      <c r="R54" s="3907">
        <v>0</v>
      </c>
    </row>
    <row r="55" spans="2:18" x14ac:dyDescent="0.2">
      <c r="B55" s="3904">
        <v>301612</v>
      </c>
      <c r="C55" s="3905" t="s">
        <v>471</v>
      </c>
      <c r="D55" s="3906">
        <v>2</v>
      </c>
      <c r="E55" s="3906">
        <v>0</v>
      </c>
      <c r="F55" s="3906">
        <v>0</v>
      </c>
      <c r="G55" s="3906">
        <v>0</v>
      </c>
      <c r="H55" s="3906">
        <v>2</v>
      </c>
      <c r="I55" s="3906">
        <v>0</v>
      </c>
      <c r="K55" s="3904">
        <v>301612</v>
      </c>
      <c r="L55" s="3905" t="s">
        <v>471</v>
      </c>
      <c r="M55" s="3906">
        <v>2</v>
      </c>
      <c r="N55" s="3906">
        <v>0</v>
      </c>
      <c r="O55" s="3906">
        <v>0</v>
      </c>
      <c r="P55" s="3906">
        <v>0</v>
      </c>
      <c r="Q55" s="3906">
        <v>2</v>
      </c>
      <c r="R55" s="3907">
        <v>0</v>
      </c>
    </row>
    <row r="56" spans="2:18" x14ac:dyDescent="0.2">
      <c r="B56" s="3904">
        <v>301613</v>
      </c>
      <c r="C56" s="3905" t="s">
        <v>6021</v>
      </c>
      <c r="D56" s="3906">
        <v>2</v>
      </c>
      <c r="E56" s="3906">
        <v>0</v>
      </c>
      <c r="F56" s="3906">
        <v>0</v>
      </c>
      <c r="G56" s="3906">
        <v>2</v>
      </c>
      <c r="H56" s="3906">
        <v>0</v>
      </c>
      <c r="I56" s="3906">
        <v>0</v>
      </c>
      <c r="K56" s="3904">
        <v>301613</v>
      </c>
      <c r="L56" s="3905" t="s">
        <v>6021</v>
      </c>
      <c r="M56" s="3906">
        <v>11</v>
      </c>
      <c r="N56" s="3906">
        <v>0</v>
      </c>
      <c r="O56" s="3906">
        <v>0</v>
      </c>
      <c r="P56" s="3906">
        <v>11</v>
      </c>
      <c r="Q56" s="3906">
        <v>0</v>
      </c>
      <c r="R56" s="3907">
        <v>0</v>
      </c>
    </row>
    <row r="57" spans="2:18" x14ac:dyDescent="0.2">
      <c r="B57" s="3904">
        <v>302302</v>
      </c>
      <c r="C57" s="3905" t="s">
        <v>553</v>
      </c>
      <c r="D57" s="3906">
        <v>23</v>
      </c>
      <c r="E57" s="3906">
        <v>3</v>
      </c>
      <c r="F57" s="3906">
        <v>0</v>
      </c>
      <c r="G57" s="3906">
        <v>3</v>
      </c>
      <c r="H57" s="3906">
        <v>11</v>
      </c>
      <c r="I57" s="3906">
        <v>6</v>
      </c>
      <c r="K57" s="3904">
        <v>302302</v>
      </c>
      <c r="L57" s="3905" t="s">
        <v>553</v>
      </c>
      <c r="M57" s="3906">
        <v>47</v>
      </c>
      <c r="N57" s="3906">
        <v>3</v>
      </c>
      <c r="O57" s="3906">
        <v>0</v>
      </c>
      <c r="P57" s="3906">
        <v>8</v>
      </c>
      <c r="Q57" s="3906">
        <v>28</v>
      </c>
      <c r="R57" s="3907">
        <v>8</v>
      </c>
    </row>
    <row r="58" spans="2:18" x14ac:dyDescent="0.2">
      <c r="B58" s="3904">
        <v>302303</v>
      </c>
      <c r="C58" s="3905" t="s">
        <v>13</v>
      </c>
      <c r="D58" s="3906">
        <v>17</v>
      </c>
      <c r="E58" s="3906">
        <v>7</v>
      </c>
      <c r="F58" s="3906">
        <v>0</v>
      </c>
      <c r="G58" s="3906">
        <v>1</v>
      </c>
      <c r="H58" s="3906">
        <v>8</v>
      </c>
      <c r="I58" s="3906">
        <v>1</v>
      </c>
      <c r="K58" s="3904">
        <v>302303</v>
      </c>
      <c r="L58" s="3905" t="s">
        <v>13</v>
      </c>
      <c r="M58" s="3906">
        <v>18</v>
      </c>
      <c r="N58" s="3906">
        <v>7</v>
      </c>
      <c r="O58" s="3906">
        <v>0</v>
      </c>
      <c r="P58" s="3906">
        <v>1</v>
      </c>
      <c r="Q58" s="3906">
        <v>9</v>
      </c>
      <c r="R58" s="3907">
        <v>1</v>
      </c>
    </row>
    <row r="59" spans="2:18" x14ac:dyDescent="0.2">
      <c r="B59" s="3904">
        <v>302305</v>
      </c>
      <c r="C59" s="3905" t="s">
        <v>6022</v>
      </c>
      <c r="D59" s="3906">
        <v>0</v>
      </c>
      <c r="E59" s="3906">
        <v>0</v>
      </c>
      <c r="F59" s="3906">
        <v>0</v>
      </c>
      <c r="G59" s="3906">
        <v>0</v>
      </c>
      <c r="H59" s="3906">
        <v>0</v>
      </c>
      <c r="I59" s="3906">
        <v>0</v>
      </c>
      <c r="K59" s="3904">
        <v>302305</v>
      </c>
      <c r="L59" s="3905" t="s">
        <v>6022</v>
      </c>
      <c r="M59" s="3906">
        <v>27</v>
      </c>
      <c r="N59" s="3906">
        <v>27</v>
      </c>
      <c r="O59" s="3906">
        <v>0</v>
      </c>
      <c r="P59" s="3906">
        <v>0</v>
      </c>
      <c r="Q59" s="3906">
        <v>0</v>
      </c>
      <c r="R59" s="3907">
        <v>0</v>
      </c>
    </row>
    <row r="60" spans="2:18" x14ac:dyDescent="0.2">
      <c r="B60" s="3904">
        <v>302802</v>
      </c>
      <c r="C60" s="3905" t="s">
        <v>6027</v>
      </c>
      <c r="D60" s="3906">
        <v>2</v>
      </c>
      <c r="E60" s="3906">
        <v>0</v>
      </c>
      <c r="F60" s="3906">
        <v>0</v>
      </c>
      <c r="G60" s="3906">
        <v>0</v>
      </c>
      <c r="H60" s="3906">
        <v>2</v>
      </c>
      <c r="I60" s="3906">
        <v>0</v>
      </c>
      <c r="K60" s="3904">
        <v>302802</v>
      </c>
      <c r="L60" s="3905" t="s">
        <v>6027</v>
      </c>
      <c r="M60" s="3906">
        <v>4</v>
      </c>
      <c r="N60" s="3906">
        <v>0</v>
      </c>
      <c r="O60" s="3906">
        <v>0</v>
      </c>
      <c r="P60" s="3906">
        <v>0</v>
      </c>
      <c r="Q60" s="3906">
        <v>4</v>
      </c>
      <c r="R60" s="3907">
        <v>0</v>
      </c>
    </row>
    <row r="61" spans="2:18" x14ac:dyDescent="0.2">
      <c r="B61" s="3904">
        <v>303202</v>
      </c>
      <c r="C61" s="3905" t="s">
        <v>6023</v>
      </c>
      <c r="D61" s="3906">
        <v>1</v>
      </c>
      <c r="E61" s="3906">
        <v>0</v>
      </c>
      <c r="F61" s="3906">
        <v>0</v>
      </c>
      <c r="G61" s="3906">
        <v>0</v>
      </c>
      <c r="H61" s="3906">
        <v>1</v>
      </c>
      <c r="I61" s="3906">
        <v>0</v>
      </c>
      <c r="K61" s="3904">
        <v>303202</v>
      </c>
      <c r="L61" s="3905" t="s">
        <v>6023</v>
      </c>
      <c r="M61" s="3906">
        <v>1</v>
      </c>
      <c r="N61" s="3906">
        <v>0</v>
      </c>
      <c r="O61" s="3906">
        <v>0</v>
      </c>
      <c r="P61" s="3906">
        <v>0</v>
      </c>
      <c r="Q61" s="3906">
        <v>1</v>
      </c>
      <c r="R61" s="3907">
        <v>0</v>
      </c>
    </row>
    <row r="62" spans="2:18" x14ac:dyDescent="0.2">
      <c r="B62" s="3904">
        <v>303203</v>
      </c>
      <c r="C62" s="3905" t="s">
        <v>462</v>
      </c>
      <c r="D62" s="3906">
        <v>12</v>
      </c>
      <c r="E62" s="3906">
        <v>0</v>
      </c>
      <c r="F62" s="3906">
        <v>0</v>
      </c>
      <c r="G62" s="3906">
        <v>0</v>
      </c>
      <c r="H62" s="3906">
        <v>12</v>
      </c>
      <c r="I62" s="3906">
        <v>0</v>
      </c>
      <c r="K62" s="3904">
        <v>303203</v>
      </c>
      <c r="L62" s="3905" t="s">
        <v>462</v>
      </c>
      <c r="M62" s="3906">
        <v>50</v>
      </c>
      <c r="N62" s="3906">
        <v>0</v>
      </c>
      <c r="O62" s="3906">
        <v>0</v>
      </c>
      <c r="P62" s="3906">
        <v>12</v>
      </c>
      <c r="Q62" s="3906">
        <v>38</v>
      </c>
      <c r="R62" s="3907">
        <v>0</v>
      </c>
    </row>
    <row r="63" spans="2:18" x14ac:dyDescent="0.2">
      <c r="B63" s="3904">
        <v>303304</v>
      </c>
      <c r="C63" s="3905" t="s">
        <v>554</v>
      </c>
      <c r="D63" s="3906">
        <v>0</v>
      </c>
      <c r="E63" s="3906">
        <v>0</v>
      </c>
      <c r="F63" s="3906">
        <v>0</v>
      </c>
      <c r="G63" s="3906">
        <v>0</v>
      </c>
      <c r="H63" s="3906">
        <v>0</v>
      </c>
      <c r="I63" s="3906">
        <v>0</v>
      </c>
      <c r="K63" s="3904">
        <v>303304</v>
      </c>
      <c r="L63" s="3905" t="s">
        <v>554</v>
      </c>
      <c r="M63" s="3906">
        <v>4</v>
      </c>
      <c r="N63" s="3906">
        <v>0</v>
      </c>
      <c r="O63" s="3906">
        <v>0</v>
      </c>
      <c r="P63" s="3906">
        <v>4</v>
      </c>
      <c r="Q63" s="3906">
        <v>0</v>
      </c>
      <c r="R63" s="3907">
        <v>0</v>
      </c>
    </row>
    <row r="64" spans="2:18" x14ac:dyDescent="0.2">
      <c r="B64" s="3904">
        <v>303713</v>
      </c>
      <c r="C64" s="3905" t="s">
        <v>555</v>
      </c>
      <c r="D64" s="3906">
        <v>10</v>
      </c>
      <c r="E64" s="3906">
        <v>9</v>
      </c>
      <c r="F64" s="3906">
        <v>1</v>
      </c>
      <c r="G64" s="3906">
        <v>0</v>
      </c>
      <c r="H64" s="3906">
        <v>0</v>
      </c>
      <c r="I64" s="3906">
        <v>0</v>
      </c>
      <c r="K64" s="3904">
        <v>303713</v>
      </c>
      <c r="L64" s="3905" t="s">
        <v>555</v>
      </c>
      <c r="M64" s="3906">
        <v>126</v>
      </c>
      <c r="N64" s="3906">
        <v>125</v>
      </c>
      <c r="O64" s="3906">
        <v>1</v>
      </c>
      <c r="P64" s="3906">
        <v>0</v>
      </c>
      <c r="Q64" s="3906">
        <v>0</v>
      </c>
      <c r="R64" s="3907">
        <v>0</v>
      </c>
    </row>
    <row r="65" spans="2:18" x14ac:dyDescent="0.2">
      <c r="B65" s="3904">
        <v>303802</v>
      </c>
      <c r="C65" s="3905" t="s">
        <v>33</v>
      </c>
      <c r="D65" s="3906">
        <v>18</v>
      </c>
      <c r="E65" s="3906">
        <v>7</v>
      </c>
      <c r="F65" s="3906">
        <v>1</v>
      </c>
      <c r="G65" s="3906">
        <v>0</v>
      </c>
      <c r="H65" s="3906">
        <v>7</v>
      </c>
      <c r="I65" s="3906">
        <v>3</v>
      </c>
      <c r="K65" s="3904">
        <v>303802</v>
      </c>
      <c r="L65" s="3905" t="s">
        <v>33</v>
      </c>
      <c r="M65" s="3906">
        <v>52</v>
      </c>
      <c r="N65" s="3906">
        <v>9</v>
      </c>
      <c r="O65" s="3906">
        <v>3</v>
      </c>
      <c r="P65" s="3906">
        <v>1</v>
      </c>
      <c r="Q65" s="3906">
        <v>27</v>
      </c>
      <c r="R65" s="3907">
        <v>12</v>
      </c>
    </row>
    <row r="66" spans="2:18" ht="13.5" thickBot="1" x14ac:dyDescent="0.25">
      <c r="B66" s="3908"/>
      <c r="C66" s="3909"/>
      <c r="D66" s="3910"/>
      <c r="E66" s="3910"/>
      <c r="F66" s="3910"/>
      <c r="G66" s="3910"/>
      <c r="H66" s="3910"/>
      <c r="I66" s="3910"/>
      <c r="K66" s="3908"/>
      <c r="L66" s="3909"/>
      <c r="M66" s="3910"/>
      <c r="N66" s="3910"/>
      <c r="O66" s="3910"/>
      <c r="P66" s="3910"/>
      <c r="Q66" s="3910"/>
      <c r="R66" s="3911"/>
    </row>
    <row r="67" spans="2:18" ht="16.149999999999999" customHeight="1" x14ac:dyDescent="0.2">
      <c r="B67" s="3897"/>
      <c r="C67" s="3897"/>
      <c r="D67" s="3912"/>
      <c r="E67" s="3912"/>
      <c r="F67" s="3912"/>
      <c r="G67" s="3912"/>
      <c r="H67" s="3912"/>
      <c r="I67" s="3912"/>
      <c r="K67" s="3912"/>
      <c r="L67" s="3912"/>
      <c r="M67" s="3912"/>
      <c r="N67" s="3912"/>
      <c r="O67" s="3912"/>
      <c r="P67" s="3912"/>
      <c r="Q67" s="3912"/>
      <c r="R67" s="3912"/>
    </row>
    <row r="69" spans="2:18" x14ac:dyDescent="0.2">
      <c r="B69" s="4098" t="s">
        <v>6008</v>
      </c>
      <c r="C69" s="4099"/>
      <c r="D69" s="4099"/>
      <c r="E69" s="4099"/>
      <c r="F69" s="4099"/>
      <c r="G69" s="4099"/>
      <c r="H69" s="4099"/>
      <c r="I69" s="4100"/>
      <c r="K69" s="4098" t="s">
        <v>6013</v>
      </c>
      <c r="L69" s="4099"/>
      <c r="M69" s="4099"/>
      <c r="N69" s="4099"/>
      <c r="O69" s="4099"/>
      <c r="P69" s="4099"/>
      <c r="Q69" s="4099"/>
      <c r="R69" s="4100"/>
    </row>
    <row r="71" spans="2:18" x14ac:dyDescent="0.2">
      <c r="B71" s="4097" t="s">
        <v>549</v>
      </c>
      <c r="C71" s="4097" t="s">
        <v>550</v>
      </c>
      <c r="D71" s="3879" t="s">
        <v>0</v>
      </c>
      <c r="E71" s="3879" t="s">
        <v>544</v>
      </c>
      <c r="F71" s="3879" t="s">
        <v>545</v>
      </c>
      <c r="G71" s="3879" t="s">
        <v>546</v>
      </c>
      <c r="H71" s="3879" t="s">
        <v>547</v>
      </c>
      <c r="I71" s="3879" t="s">
        <v>548</v>
      </c>
      <c r="K71" s="4107" t="s">
        <v>549</v>
      </c>
      <c r="L71" s="4107" t="s">
        <v>550</v>
      </c>
      <c r="M71" s="3879" t="s">
        <v>0</v>
      </c>
      <c r="N71" s="3879" t="s">
        <v>544</v>
      </c>
      <c r="O71" s="3879" t="s">
        <v>545</v>
      </c>
      <c r="P71" s="3879" t="s">
        <v>546</v>
      </c>
      <c r="Q71" s="3879" t="s">
        <v>547</v>
      </c>
      <c r="R71" s="3879" t="s">
        <v>548</v>
      </c>
    </row>
    <row r="72" spans="2:18" ht="13.5" thickBot="1" x14ac:dyDescent="0.25">
      <c r="B72" s="4097"/>
      <c r="C72" s="4097"/>
      <c r="D72" s="3880" t="s">
        <v>551</v>
      </c>
      <c r="E72" s="3880" t="s">
        <v>551</v>
      </c>
      <c r="F72" s="3880" t="s">
        <v>551</v>
      </c>
      <c r="G72" s="3880" t="s">
        <v>551</v>
      </c>
      <c r="H72" s="3880" t="s">
        <v>551</v>
      </c>
      <c r="I72" s="3880" t="s">
        <v>551</v>
      </c>
      <c r="K72" s="4108"/>
      <c r="L72" s="4108"/>
      <c r="M72" s="3880" t="s">
        <v>556</v>
      </c>
      <c r="N72" s="3880" t="s">
        <v>556</v>
      </c>
      <c r="O72" s="3880" t="s">
        <v>556</v>
      </c>
      <c r="P72" s="3880" t="s">
        <v>556</v>
      </c>
      <c r="Q72" s="3880" t="s">
        <v>556</v>
      </c>
      <c r="R72" s="3880" t="s">
        <v>556</v>
      </c>
    </row>
    <row r="73" spans="2:18" x14ac:dyDescent="0.2">
      <c r="B73" s="3900"/>
      <c r="C73" s="3901"/>
      <c r="D73" s="3902"/>
      <c r="E73" s="3902"/>
      <c r="F73" s="3902"/>
      <c r="G73" s="3902"/>
      <c r="H73" s="3902"/>
      <c r="I73" s="3902"/>
      <c r="K73" s="3900"/>
      <c r="L73" s="3901"/>
      <c r="M73" s="3902"/>
      <c r="N73" s="3902"/>
      <c r="O73" s="3902"/>
      <c r="P73" s="3902"/>
      <c r="Q73" s="3902"/>
      <c r="R73" s="3903"/>
    </row>
    <row r="74" spans="2:18" x14ac:dyDescent="0.2">
      <c r="B74" s="3904"/>
      <c r="C74" s="3905" t="s">
        <v>610</v>
      </c>
      <c r="D74" s="3906">
        <v>250</v>
      </c>
      <c r="E74" s="3906">
        <v>121</v>
      </c>
      <c r="F74" s="3906">
        <v>9</v>
      </c>
      <c r="G74" s="3906">
        <v>20</v>
      </c>
      <c r="H74" s="3906">
        <v>82</v>
      </c>
      <c r="I74" s="3906">
        <v>18</v>
      </c>
      <c r="K74" s="3904"/>
      <c r="L74" s="3905" t="s">
        <v>610</v>
      </c>
      <c r="M74" s="3906">
        <v>1175</v>
      </c>
      <c r="N74" s="3906">
        <v>437</v>
      </c>
      <c r="O74" s="3906">
        <v>22</v>
      </c>
      <c r="P74" s="3906">
        <v>133</v>
      </c>
      <c r="Q74" s="3906">
        <v>486</v>
      </c>
      <c r="R74" s="3907">
        <v>97</v>
      </c>
    </row>
    <row r="75" spans="2:18" x14ac:dyDescent="0.2">
      <c r="B75" s="3904">
        <v>301202</v>
      </c>
      <c r="C75" s="3905" t="s">
        <v>6020</v>
      </c>
      <c r="D75" s="3906">
        <v>5</v>
      </c>
      <c r="E75" s="3906">
        <v>5</v>
      </c>
      <c r="F75" s="3906">
        <v>0</v>
      </c>
      <c r="G75" s="3906">
        <v>0</v>
      </c>
      <c r="H75" s="3906">
        <v>0</v>
      </c>
      <c r="I75" s="3906">
        <v>0</v>
      </c>
      <c r="K75" s="3904">
        <v>301202</v>
      </c>
      <c r="L75" s="3905" t="s">
        <v>6020</v>
      </c>
      <c r="M75" s="3906">
        <v>5</v>
      </c>
      <c r="N75" s="3906">
        <v>5</v>
      </c>
      <c r="O75" s="3906">
        <v>0</v>
      </c>
      <c r="P75" s="3906">
        <v>0</v>
      </c>
      <c r="Q75" s="3906">
        <v>0</v>
      </c>
      <c r="R75" s="3907">
        <v>0</v>
      </c>
    </row>
    <row r="76" spans="2:18" x14ac:dyDescent="0.2">
      <c r="B76" s="3904">
        <v>301203</v>
      </c>
      <c r="C76" s="3905" t="s">
        <v>470</v>
      </c>
      <c r="D76" s="3906">
        <v>136</v>
      </c>
      <c r="E76" s="3906">
        <v>61</v>
      </c>
      <c r="F76" s="3906">
        <v>7</v>
      </c>
      <c r="G76" s="3906">
        <v>8</v>
      </c>
      <c r="H76" s="3906">
        <v>45</v>
      </c>
      <c r="I76" s="3906">
        <v>15</v>
      </c>
      <c r="K76" s="3904">
        <v>301203</v>
      </c>
      <c r="L76" s="3905" t="s">
        <v>470</v>
      </c>
      <c r="M76" s="3906">
        <v>600</v>
      </c>
      <c r="N76" s="3906">
        <v>286</v>
      </c>
      <c r="O76" s="3906">
        <v>15</v>
      </c>
      <c r="P76" s="3906">
        <v>52</v>
      </c>
      <c r="Q76" s="3906">
        <v>202</v>
      </c>
      <c r="R76" s="3907">
        <v>45</v>
      </c>
    </row>
    <row r="77" spans="2:18" x14ac:dyDescent="0.2">
      <c r="B77" s="3904">
        <v>301204</v>
      </c>
      <c r="C77" s="3905" t="s">
        <v>44</v>
      </c>
      <c r="D77" s="3906">
        <v>0</v>
      </c>
      <c r="E77" s="3906">
        <v>0</v>
      </c>
      <c r="F77" s="3906">
        <v>0</v>
      </c>
      <c r="G77" s="3906">
        <v>0</v>
      </c>
      <c r="H77" s="3906">
        <v>0</v>
      </c>
      <c r="I77" s="3906">
        <v>0</v>
      </c>
      <c r="K77" s="3904">
        <v>301204</v>
      </c>
      <c r="L77" s="3905" t="s">
        <v>44</v>
      </c>
      <c r="M77" s="3906">
        <v>23</v>
      </c>
      <c r="N77" s="3906">
        <v>8</v>
      </c>
      <c r="O77" s="3906">
        <v>0</v>
      </c>
      <c r="P77" s="3906">
        <v>3</v>
      </c>
      <c r="Q77" s="3906">
        <v>6</v>
      </c>
      <c r="R77" s="3907">
        <v>6</v>
      </c>
    </row>
    <row r="78" spans="2:18" x14ac:dyDescent="0.2">
      <c r="B78" s="3904">
        <v>301612</v>
      </c>
      <c r="C78" s="3905" t="s">
        <v>471</v>
      </c>
      <c r="D78" s="3906">
        <v>3</v>
      </c>
      <c r="E78" s="3906">
        <v>2</v>
      </c>
      <c r="F78" s="3906">
        <v>0</v>
      </c>
      <c r="G78" s="3906">
        <v>0</v>
      </c>
      <c r="H78" s="3906">
        <v>1</v>
      </c>
      <c r="I78" s="3906">
        <v>0</v>
      </c>
      <c r="K78" s="3904">
        <v>301612</v>
      </c>
      <c r="L78" s="3905" t="s">
        <v>471</v>
      </c>
      <c r="M78" s="3906">
        <v>24</v>
      </c>
      <c r="N78" s="3906">
        <v>2</v>
      </c>
      <c r="O78" s="3906">
        <v>0</v>
      </c>
      <c r="P78" s="3906">
        <v>6</v>
      </c>
      <c r="Q78" s="3906">
        <v>16</v>
      </c>
      <c r="R78" s="3907">
        <v>0</v>
      </c>
    </row>
    <row r="79" spans="2:18" x14ac:dyDescent="0.2">
      <c r="B79" s="3904">
        <v>301613</v>
      </c>
      <c r="C79" s="3905" t="s">
        <v>6021</v>
      </c>
      <c r="D79" s="3906">
        <v>1</v>
      </c>
      <c r="E79" s="3906">
        <v>0</v>
      </c>
      <c r="F79" s="3906">
        <v>0</v>
      </c>
      <c r="G79" s="3906">
        <v>1</v>
      </c>
      <c r="H79" s="3906">
        <v>0</v>
      </c>
      <c r="I79" s="3906">
        <v>0</v>
      </c>
      <c r="K79" s="3904">
        <v>301613</v>
      </c>
      <c r="L79" s="3905" t="s">
        <v>6021</v>
      </c>
      <c r="M79" s="3906">
        <v>10</v>
      </c>
      <c r="N79" s="3906">
        <v>2</v>
      </c>
      <c r="O79" s="3906">
        <v>4</v>
      </c>
      <c r="P79" s="3906">
        <v>4</v>
      </c>
      <c r="Q79" s="3906">
        <v>0</v>
      </c>
      <c r="R79" s="3907">
        <v>0</v>
      </c>
    </row>
    <row r="80" spans="2:18" x14ac:dyDescent="0.2">
      <c r="B80" s="3904">
        <v>302302</v>
      </c>
      <c r="C80" s="3905" t="s">
        <v>553</v>
      </c>
      <c r="D80" s="3906">
        <v>9</v>
      </c>
      <c r="E80" s="3906">
        <v>5</v>
      </c>
      <c r="F80" s="3906">
        <v>0</v>
      </c>
      <c r="G80" s="3906">
        <v>1</v>
      </c>
      <c r="H80" s="3906">
        <v>3</v>
      </c>
      <c r="I80" s="3906">
        <v>0</v>
      </c>
      <c r="K80" s="3904">
        <v>302302</v>
      </c>
      <c r="L80" s="3905" t="s">
        <v>553</v>
      </c>
      <c r="M80" s="3906">
        <v>10</v>
      </c>
      <c r="N80" s="3906">
        <v>5</v>
      </c>
      <c r="O80" s="3906">
        <v>0</v>
      </c>
      <c r="P80" s="3906">
        <v>2</v>
      </c>
      <c r="Q80" s="3906">
        <v>3</v>
      </c>
      <c r="R80" s="3907">
        <v>0</v>
      </c>
    </row>
    <row r="81" spans="2:18" x14ac:dyDescent="0.2">
      <c r="B81" s="3904">
        <v>302303</v>
      </c>
      <c r="C81" s="3905" t="s">
        <v>13</v>
      </c>
      <c r="D81" s="3906">
        <v>31</v>
      </c>
      <c r="E81" s="3906">
        <v>6</v>
      </c>
      <c r="F81" s="3906">
        <v>1</v>
      </c>
      <c r="G81" s="3906">
        <v>5</v>
      </c>
      <c r="H81" s="3906">
        <v>18</v>
      </c>
      <c r="I81" s="3906">
        <v>1</v>
      </c>
      <c r="K81" s="3904">
        <v>302303</v>
      </c>
      <c r="L81" s="3905" t="s">
        <v>13</v>
      </c>
      <c r="M81" s="3906">
        <v>205</v>
      </c>
      <c r="N81" s="3906">
        <v>67</v>
      </c>
      <c r="O81" s="3906">
        <v>2</v>
      </c>
      <c r="P81" s="3906">
        <v>19</v>
      </c>
      <c r="Q81" s="3906">
        <v>98</v>
      </c>
      <c r="R81" s="3907">
        <v>19</v>
      </c>
    </row>
    <row r="82" spans="2:18" x14ac:dyDescent="0.2">
      <c r="B82" s="3904">
        <v>302305</v>
      </c>
      <c r="C82" s="3905" t="s">
        <v>6022</v>
      </c>
      <c r="D82" s="3906">
        <v>0</v>
      </c>
      <c r="E82" s="3906">
        <v>0</v>
      </c>
      <c r="F82" s="3906">
        <v>0</v>
      </c>
      <c r="G82" s="3906">
        <v>0</v>
      </c>
      <c r="H82" s="3906">
        <v>0</v>
      </c>
      <c r="I82" s="3906">
        <v>0</v>
      </c>
      <c r="K82" s="3904">
        <v>302305</v>
      </c>
      <c r="L82" s="3905" t="s">
        <v>6022</v>
      </c>
      <c r="M82" s="3906">
        <v>7</v>
      </c>
      <c r="N82" s="3906">
        <v>7</v>
      </c>
      <c r="O82" s="3906">
        <v>0</v>
      </c>
      <c r="P82" s="3906">
        <v>0</v>
      </c>
      <c r="Q82" s="3906">
        <v>0</v>
      </c>
      <c r="R82" s="3907">
        <v>0</v>
      </c>
    </row>
    <row r="83" spans="2:18" x14ac:dyDescent="0.2">
      <c r="B83" s="3904">
        <v>303202</v>
      </c>
      <c r="C83" s="3905" t="s">
        <v>6023</v>
      </c>
      <c r="D83" s="3906">
        <v>17</v>
      </c>
      <c r="E83" s="3906">
        <v>17</v>
      </c>
      <c r="F83" s="3906">
        <v>0</v>
      </c>
      <c r="G83" s="3906">
        <v>0</v>
      </c>
      <c r="H83" s="3906">
        <v>0</v>
      </c>
      <c r="I83" s="3906">
        <v>0</v>
      </c>
      <c r="K83" s="3904">
        <v>303202</v>
      </c>
      <c r="L83" s="3905" t="s">
        <v>6023</v>
      </c>
      <c r="M83" s="3906">
        <v>45</v>
      </c>
      <c r="N83" s="3906">
        <v>17</v>
      </c>
      <c r="O83" s="3906">
        <v>0</v>
      </c>
      <c r="P83" s="3906">
        <v>5</v>
      </c>
      <c r="Q83" s="3906">
        <v>23</v>
      </c>
      <c r="R83" s="3907">
        <v>0</v>
      </c>
    </row>
    <row r="84" spans="2:18" x14ac:dyDescent="0.2">
      <c r="B84" s="3904">
        <v>303203</v>
      </c>
      <c r="C84" s="3905" t="s">
        <v>462</v>
      </c>
      <c r="D84" s="3906">
        <v>20</v>
      </c>
      <c r="E84" s="3906">
        <v>15</v>
      </c>
      <c r="F84" s="3906">
        <v>0</v>
      </c>
      <c r="G84" s="3906">
        <v>2</v>
      </c>
      <c r="H84" s="3906">
        <v>3</v>
      </c>
      <c r="I84" s="3906">
        <v>0</v>
      </c>
      <c r="K84" s="3904">
        <v>303203</v>
      </c>
      <c r="L84" s="3905" t="s">
        <v>462</v>
      </c>
      <c r="M84" s="3906">
        <v>63</v>
      </c>
      <c r="N84" s="3906">
        <v>18</v>
      </c>
      <c r="O84" s="3906">
        <v>0</v>
      </c>
      <c r="P84" s="3906">
        <v>15</v>
      </c>
      <c r="Q84" s="3906">
        <v>29</v>
      </c>
      <c r="R84" s="3907">
        <v>1</v>
      </c>
    </row>
    <row r="85" spans="2:18" x14ac:dyDescent="0.2">
      <c r="B85" s="3904">
        <v>303304</v>
      </c>
      <c r="C85" s="3905" t="s">
        <v>554</v>
      </c>
      <c r="D85" s="3906">
        <v>15</v>
      </c>
      <c r="E85" s="3906">
        <v>6</v>
      </c>
      <c r="F85" s="3906">
        <v>0</v>
      </c>
      <c r="G85" s="3906">
        <v>2</v>
      </c>
      <c r="H85" s="3906">
        <v>7</v>
      </c>
      <c r="I85" s="3906">
        <v>0</v>
      </c>
      <c r="K85" s="3904">
        <v>303304</v>
      </c>
      <c r="L85" s="3905" t="s">
        <v>554</v>
      </c>
      <c r="M85" s="3906">
        <v>15</v>
      </c>
      <c r="N85" s="3906">
        <v>6</v>
      </c>
      <c r="O85" s="3906">
        <v>0</v>
      </c>
      <c r="P85" s="3906">
        <v>2</v>
      </c>
      <c r="Q85" s="3906">
        <v>7</v>
      </c>
      <c r="R85" s="3907">
        <v>0</v>
      </c>
    </row>
    <row r="86" spans="2:18" x14ac:dyDescent="0.2">
      <c r="B86" s="3904">
        <v>303802</v>
      </c>
      <c r="C86" s="3905" t="s">
        <v>33</v>
      </c>
      <c r="D86" s="3906">
        <v>13</v>
      </c>
      <c r="E86" s="3906">
        <v>4</v>
      </c>
      <c r="F86" s="3906">
        <v>1</v>
      </c>
      <c r="G86" s="3906">
        <v>1</v>
      </c>
      <c r="H86" s="3906">
        <v>5</v>
      </c>
      <c r="I86" s="3906">
        <v>2</v>
      </c>
      <c r="K86" s="3904">
        <v>303802</v>
      </c>
      <c r="L86" s="3905" t="s">
        <v>33</v>
      </c>
      <c r="M86" s="3906">
        <v>168</v>
      </c>
      <c r="N86" s="3906">
        <v>14</v>
      </c>
      <c r="O86" s="3906">
        <v>1</v>
      </c>
      <c r="P86" s="3906">
        <v>25</v>
      </c>
      <c r="Q86" s="3906">
        <v>102</v>
      </c>
      <c r="R86" s="3907">
        <v>26</v>
      </c>
    </row>
    <row r="87" spans="2:18" ht="13.5" thickBot="1" x14ac:dyDescent="0.25">
      <c r="B87" s="3908"/>
      <c r="C87" s="3909"/>
      <c r="D87" s="3910"/>
      <c r="E87" s="3910"/>
      <c r="F87" s="3910"/>
      <c r="G87" s="3910"/>
      <c r="H87" s="3910"/>
      <c r="I87" s="3910"/>
      <c r="K87" s="3908"/>
      <c r="L87" s="3909"/>
      <c r="M87" s="3910"/>
      <c r="N87" s="3910"/>
      <c r="O87" s="3910"/>
      <c r="P87" s="3910"/>
      <c r="Q87" s="3910"/>
      <c r="R87" s="3911"/>
    </row>
    <row r="90" spans="2:18" ht="18" customHeight="1" x14ac:dyDescent="0.2">
      <c r="B90" s="4098" t="s">
        <v>6007</v>
      </c>
      <c r="C90" s="4099"/>
      <c r="D90" s="4099"/>
      <c r="E90" s="4099"/>
      <c r="F90" s="4099"/>
      <c r="G90" s="4099"/>
      <c r="H90" s="4099"/>
      <c r="I90" s="4100"/>
      <c r="K90" s="4098" t="s">
        <v>6012</v>
      </c>
      <c r="L90" s="4099"/>
      <c r="M90" s="4099"/>
      <c r="N90" s="4099"/>
      <c r="O90" s="4099"/>
      <c r="P90" s="4099"/>
      <c r="Q90" s="4099"/>
      <c r="R90" s="4100"/>
    </row>
    <row r="92" spans="2:18" ht="14.45" customHeight="1" x14ac:dyDescent="0.2">
      <c r="B92" s="4095" t="s">
        <v>549</v>
      </c>
      <c r="C92" s="4095" t="s">
        <v>550</v>
      </c>
      <c r="D92" s="3881" t="s">
        <v>0</v>
      </c>
      <c r="E92" s="3881" t="s">
        <v>544</v>
      </c>
      <c r="F92" s="3881" t="s">
        <v>545</v>
      </c>
      <c r="G92" s="3881" t="s">
        <v>546</v>
      </c>
      <c r="H92" s="3881" t="s">
        <v>547</v>
      </c>
      <c r="I92" s="3881" t="s">
        <v>548</v>
      </c>
      <c r="K92" s="4097" t="s">
        <v>549</v>
      </c>
      <c r="L92" s="4097" t="s">
        <v>550</v>
      </c>
      <c r="M92" s="3879" t="s">
        <v>0</v>
      </c>
      <c r="N92" s="3879" t="s">
        <v>544</v>
      </c>
      <c r="O92" s="3879" t="s">
        <v>545</v>
      </c>
      <c r="P92" s="3879" t="s">
        <v>546</v>
      </c>
      <c r="Q92" s="3879" t="s">
        <v>547</v>
      </c>
      <c r="R92" s="3879" t="s">
        <v>548</v>
      </c>
    </row>
    <row r="93" spans="2:18" ht="39" thickBot="1" x14ac:dyDescent="0.25">
      <c r="B93" s="4096"/>
      <c r="C93" s="4096"/>
      <c r="D93" s="3882" t="s">
        <v>551</v>
      </c>
      <c r="E93" s="3882" t="s">
        <v>551</v>
      </c>
      <c r="F93" s="3882" t="s">
        <v>551</v>
      </c>
      <c r="G93" s="3882" t="s">
        <v>551</v>
      </c>
      <c r="H93" s="3882" t="s">
        <v>551</v>
      </c>
      <c r="I93" s="3882" t="s">
        <v>551</v>
      </c>
      <c r="K93" s="4097"/>
      <c r="L93" s="4097"/>
      <c r="M93" s="3880" t="s">
        <v>556</v>
      </c>
      <c r="N93" s="3880" t="s">
        <v>556</v>
      </c>
      <c r="O93" s="3880" t="s">
        <v>556</v>
      </c>
      <c r="P93" s="3880" t="s">
        <v>556</v>
      </c>
      <c r="Q93" s="3880" t="s">
        <v>556</v>
      </c>
      <c r="R93" s="3880" t="s">
        <v>556</v>
      </c>
    </row>
    <row r="94" spans="2:18" x14ac:dyDescent="0.2">
      <c r="B94" s="3900"/>
      <c r="C94" s="3901"/>
      <c r="D94" s="3902"/>
      <c r="E94" s="3902"/>
      <c r="F94" s="3902"/>
      <c r="G94" s="3902"/>
      <c r="H94" s="3902"/>
      <c r="I94" s="3902"/>
      <c r="K94" s="3900"/>
      <c r="L94" s="3901"/>
      <c r="M94" s="3902"/>
      <c r="N94" s="3902"/>
      <c r="O94" s="3902"/>
      <c r="P94" s="3902"/>
      <c r="Q94" s="3902"/>
      <c r="R94" s="3903"/>
    </row>
    <row r="95" spans="2:18" x14ac:dyDescent="0.2">
      <c r="B95" s="3904"/>
      <c r="C95" s="3905" t="s">
        <v>610</v>
      </c>
      <c r="D95" s="3906">
        <v>98</v>
      </c>
      <c r="E95" s="3906">
        <v>38</v>
      </c>
      <c r="F95" s="3906">
        <v>2</v>
      </c>
      <c r="G95" s="3906">
        <v>15</v>
      </c>
      <c r="H95" s="3906">
        <v>35</v>
      </c>
      <c r="I95" s="3906">
        <v>8</v>
      </c>
      <c r="K95" s="3904"/>
      <c r="L95" s="3905" t="s">
        <v>610</v>
      </c>
      <c r="M95" s="3906">
        <v>1169</v>
      </c>
      <c r="N95" s="3906">
        <v>489</v>
      </c>
      <c r="O95" s="3906">
        <v>25</v>
      </c>
      <c r="P95" s="3906">
        <v>172</v>
      </c>
      <c r="Q95" s="3906">
        <v>419</v>
      </c>
      <c r="R95" s="3907">
        <v>64</v>
      </c>
    </row>
    <row r="96" spans="2:18" x14ac:dyDescent="0.2">
      <c r="B96" s="3904">
        <v>301203</v>
      </c>
      <c r="C96" s="3905" t="s">
        <v>470</v>
      </c>
      <c r="D96" s="3906">
        <v>67</v>
      </c>
      <c r="E96" s="3906">
        <v>25</v>
      </c>
      <c r="F96" s="3906">
        <v>2</v>
      </c>
      <c r="G96" s="3906">
        <v>9</v>
      </c>
      <c r="H96" s="3906">
        <v>23</v>
      </c>
      <c r="I96" s="3906">
        <v>8</v>
      </c>
      <c r="K96" s="3904">
        <v>301203</v>
      </c>
      <c r="L96" s="3905" t="s">
        <v>470</v>
      </c>
      <c r="M96" s="3906">
        <v>1045</v>
      </c>
      <c r="N96" s="3906">
        <v>468</v>
      </c>
      <c r="O96" s="3906">
        <v>25</v>
      </c>
      <c r="P96" s="3906">
        <v>133</v>
      </c>
      <c r="Q96" s="3906">
        <v>355</v>
      </c>
      <c r="R96" s="3907">
        <v>64</v>
      </c>
    </row>
    <row r="97" spans="2:18" x14ac:dyDescent="0.2">
      <c r="B97" s="3904">
        <v>302302</v>
      </c>
      <c r="C97" s="3905" t="s">
        <v>553</v>
      </c>
      <c r="D97" s="3906">
        <v>23</v>
      </c>
      <c r="E97" s="3906">
        <v>11</v>
      </c>
      <c r="F97" s="3906">
        <v>0</v>
      </c>
      <c r="G97" s="3906">
        <v>5</v>
      </c>
      <c r="H97" s="3906">
        <v>7</v>
      </c>
      <c r="I97" s="3906">
        <v>0</v>
      </c>
      <c r="K97" s="3904">
        <v>302302</v>
      </c>
      <c r="L97" s="3905" t="s">
        <v>553</v>
      </c>
      <c r="M97" s="3906">
        <v>26</v>
      </c>
      <c r="N97" s="3906">
        <v>13</v>
      </c>
      <c r="O97" s="3906">
        <v>0</v>
      </c>
      <c r="P97" s="3906">
        <v>5</v>
      </c>
      <c r="Q97" s="3906">
        <v>8</v>
      </c>
      <c r="R97" s="3907">
        <v>0</v>
      </c>
    </row>
    <row r="98" spans="2:18" x14ac:dyDescent="0.2">
      <c r="B98" s="3904">
        <v>302303</v>
      </c>
      <c r="C98" s="3905" t="s">
        <v>13</v>
      </c>
      <c r="D98" s="3906">
        <v>4</v>
      </c>
      <c r="E98" s="3906">
        <v>2</v>
      </c>
      <c r="F98" s="3906">
        <v>0</v>
      </c>
      <c r="G98" s="3906">
        <v>0</v>
      </c>
      <c r="H98" s="3906">
        <v>2</v>
      </c>
      <c r="I98" s="3906">
        <v>0</v>
      </c>
      <c r="K98" s="3904">
        <v>302303</v>
      </c>
      <c r="L98" s="3905" t="s">
        <v>13</v>
      </c>
      <c r="M98" s="3906">
        <v>11</v>
      </c>
      <c r="N98" s="3906">
        <v>4</v>
      </c>
      <c r="O98" s="3906">
        <v>0</v>
      </c>
      <c r="P98" s="3906">
        <v>2</v>
      </c>
      <c r="Q98" s="3906">
        <v>5</v>
      </c>
      <c r="R98" s="3907">
        <v>0</v>
      </c>
    </row>
    <row r="99" spans="2:18" x14ac:dyDescent="0.2">
      <c r="B99" s="3904">
        <v>303203</v>
      </c>
      <c r="C99" s="3905" t="s">
        <v>462</v>
      </c>
      <c r="D99" s="3906">
        <v>0</v>
      </c>
      <c r="E99" s="3906">
        <v>0</v>
      </c>
      <c r="F99" s="3906">
        <v>0</v>
      </c>
      <c r="G99" s="3906">
        <v>0</v>
      </c>
      <c r="H99" s="3906">
        <v>0</v>
      </c>
      <c r="I99" s="3906">
        <v>0</v>
      </c>
      <c r="K99" s="3904">
        <v>303203</v>
      </c>
      <c r="L99" s="3905" t="s">
        <v>462</v>
      </c>
      <c r="M99" s="3906">
        <v>52</v>
      </c>
      <c r="N99" s="3906">
        <v>0</v>
      </c>
      <c r="O99" s="3906">
        <v>0</v>
      </c>
      <c r="P99" s="3906">
        <v>23</v>
      </c>
      <c r="Q99" s="3906">
        <v>29</v>
      </c>
      <c r="R99" s="3907">
        <v>0</v>
      </c>
    </row>
    <row r="100" spans="2:18" x14ac:dyDescent="0.2">
      <c r="B100" s="3904">
        <v>303304</v>
      </c>
      <c r="C100" s="3905" t="s">
        <v>554</v>
      </c>
      <c r="D100" s="3906">
        <v>1</v>
      </c>
      <c r="E100" s="3906">
        <v>0</v>
      </c>
      <c r="F100" s="3906">
        <v>0</v>
      </c>
      <c r="G100" s="3906">
        <v>1</v>
      </c>
      <c r="H100" s="3906">
        <v>0</v>
      </c>
      <c r="I100" s="3906">
        <v>0</v>
      </c>
      <c r="K100" s="3904">
        <v>303304</v>
      </c>
      <c r="L100" s="3905" t="s">
        <v>554</v>
      </c>
      <c r="M100" s="3906">
        <v>2</v>
      </c>
      <c r="N100" s="3906">
        <v>0</v>
      </c>
      <c r="O100" s="3906">
        <v>0</v>
      </c>
      <c r="P100" s="3906">
        <v>2</v>
      </c>
      <c r="Q100" s="3906">
        <v>0</v>
      </c>
      <c r="R100" s="3907">
        <v>0</v>
      </c>
    </row>
    <row r="101" spans="2:18" x14ac:dyDescent="0.2">
      <c r="B101" s="3904">
        <v>303802</v>
      </c>
      <c r="C101" s="3905" t="s">
        <v>33</v>
      </c>
      <c r="D101" s="3906">
        <v>3</v>
      </c>
      <c r="E101" s="3906">
        <v>0</v>
      </c>
      <c r="F101" s="3906">
        <v>0</v>
      </c>
      <c r="G101" s="3906">
        <v>0</v>
      </c>
      <c r="H101" s="3906">
        <v>3</v>
      </c>
      <c r="I101" s="3906">
        <v>0</v>
      </c>
      <c r="K101" s="3904">
        <v>303802</v>
      </c>
      <c r="L101" s="3905" t="s">
        <v>33</v>
      </c>
      <c r="M101" s="3906">
        <v>33</v>
      </c>
      <c r="N101" s="3906">
        <v>4</v>
      </c>
      <c r="O101" s="3906">
        <v>0</v>
      </c>
      <c r="P101" s="3906">
        <v>7</v>
      </c>
      <c r="Q101" s="3906">
        <v>22</v>
      </c>
      <c r="R101" s="3907">
        <v>0</v>
      </c>
    </row>
    <row r="102" spans="2:18" ht="13.5" thickBot="1" x14ac:dyDescent="0.25">
      <c r="B102" s="3908"/>
      <c r="C102" s="3909"/>
      <c r="D102" s="3910"/>
      <c r="E102" s="3910"/>
      <c r="F102" s="3910"/>
      <c r="G102" s="3910"/>
      <c r="H102" s="3910"/>
      <c r="I102" s="3910"/>
      <c r="K102" s="3908"/>
      <c r="L102" s="3909"/>
      <c r="M102" s="3910"/>
      <c r="N102" s="3910"/>
      <c r="O102" s="3910"/>
      <c r="P102" s="3910"/>
      <c r="Q102" s="3910"/>
      <c r="R102" s="3911"/>
    </row>
  </sheetData>
  <mergeCells count="31">
    <mergeCell ref="L28:L29"/>
    <mergeCell ref="B46:B47"/>
    <mergeCell ref="C46:C47"/>
    <mergeCell ref="B71:B72"/>
    <mergeCell ref="C71:C72"/>
    <mergeCell ref="K71:K72"/>
    <mergeCell ref="L71:L72"/>
    <mergeCell ref="K46:K47"/>
    <mergeCell ref="L46:L47"/>
    <mergeCell ref="Y2:AL2"/>
    <mergeCell ref="B69:I69"/>
    <mergeCell ref="K44:Q44"/>
    <mergeCell ref="K10:R10"/>
    <mergeCell ref="B10:I10"/>
    <mergeCell ref="B26:I26"/>
    <mergeCell ref="K26:R26"/>
    <mergeCell ref="B44:I44"/>
    <mergeCell ref="K69:R69"/>
    <mergeCell ref="B12:B13"/>
    <mergeCell ref="C12:C13"/>
    <mergeCell ref="K12:K13"/>
    <mergeCell ref="L12:L13"/>
    <mergeCell ref="B28:B29"/>
    <mergeCell ref="C28:C29"/>
    <mergeCell ref="K28:K29"/>
    <mergeCell ref="B92:B93"/>
    <mergeCell ref="C92:C93"/>
    <mergeCell ref="K92:K93"/>
    <mergeCell ref="L92:L93"/>
    <mergeCell ref="B90:I90"/>
    <mergeCell ref="K90:R90"/>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249977111117893"/>
  </sheetPr>
  <dimension ref="A3:BM350"/>
  <sheetViews>
    <sheetView topLeftCell="A2" zoomScale="70" zoomScaleNormal="70" workbookViewId="0">
      <selection activeCell="G52" sqref="G51:G52"/>
    </sheetView>
  </sheetViews>
  <sheetFormatPr baseColWidth="10" defaultRowHeight="16.5" x14ac:dyDescent="0.3"/>
  <cols>
    <col min="1" max="1" width="11.42578125" style="4"/>
    <col min="2" max="2" width="6.42578125" style="4" customWidth="1"/>
    <col min="3" max="3" width="78.140625" style="4" customWidth="1"/>
    <col min="4" max="9" width="11.42578125" style="4"/>
    <col min="10" max="10" width="11.42578125" style="238"/>
    <col min="11" max="12" width="11.42578125" style="4"/>
    <col min="13" max="13" width="6.140625" style="1" customWidth="1"/>
    <col min="14" max="14" width="60.5703125" style="1" bestFit="1" customWidth="1"/>
    <col min="15" max="15" width="19" style="1" bestFit="1" customWidth="1"/>
    <col min="16" max="16" width="9.5703125" style="1" customWidth="1"/>
    <col min="17" max="17" width="7.28515625" style="1" bestFit="1" customWidth="1"/>
    <col min="18" max="18" width="8.140625" style="1" bestFit="1" customWidth="1"/>
    <col min="19" max="19" width="7.28515625" style="1" bestFit="1" customWidth="1"/>
    <col min="20" max="20" width="9.7109375" style="1" bestFit="1" customWidth="1"/>
    <col min="21" max="21" width="10.85546875" style="1423" customWidth="1"/>
    <col min="22" max="22" width="9.85546875" style="1" customWidth="1"/>
    <col min="23" max="24" width="6.140625" style="1" customWidth="1"/>
    <col min="25" max="25" width="82" style="1" customWidth="1"/>
    <col min="26" max="26" width="13.85546875" style="1" customWidth="1"/>
    <col min="27" max="27" width="11.5703125" style="1" customWidth="1"/>
    <col min="28" max="28" width="6.7109375" style="1" customWidth="1"/>
    <col min="29" max="29" width="9.7109375" style="1" customWidth="1"/>
    <col min="30" max="31" width="10" style="1" customWidth="1"/>
    <col min="32" max="32" width="13.7109375" style="3" customWidth="1"/>
    <col min="33" max="33" width="9.85546875" style="1" customWidth="1"/>
    <col min="34" max="35" width="6.140625" style="1" customWidth="1"/>
    <col min="36" max="36" width="74.7109375" style="1" bestFit="1" customWidth="1"/>
    <col min="37" max="37" width="15.140625" style="1" bestFit="1" customWidth="1"/>
    <col min="38" max="38" width="10.85546875" style="1" customWidth="1"/>
    <col min="39" max="39" width="9.5703125" style="1" customWidth="1"/>
    <col min="40" max="40" width="12.7109375" style="1" customWidth="1"/>
    <col min="41" max="41" width="11" style="1" customWidth="1"/>
    <col min="42" max="42" width="13.28515625" style="1" customWidth="1"/>
    <col min="43" max="43" width="10.42578125" style="3" customWidth="1"/>
    <col min="44" max="44" width="11.5703125" style="1" customWidth="1"/>
    <col min="45" max="45" width="6.140625" style="1" customWidth="1"/>
    <col min="46" max="46" width="60.140625" style="1" customWidth="1"/>
    <col min="47" max="47" width="15.140625" style="5" bestFit="1" customWidth="1"/>
    <col min="48" max="48" width="15" style="4" customWidth="1"/>
    <col min="49" max="49" width="13.28515625" style="4" customWidth="1"/>
    <col min="50" max="52" width="6.7109375" style="4" customWidth="1"/>
    <col min="53" max="53" width="13" style="238" customWidth="1"/>
    <col min="54" max="54" width="6.7109375" style="4" customWidth="1"/>
    <col min="55" max="55" width="11.42578125" style="4"/>
    <col min="56" max="56" width="11.42578125" style="1"/>
    <col min="57" max="57" width="5.28515625" style="5" customWidth="1"/>
    <col min="58" max="58" width="65.28515625" style="4" customWidth="1"/>
    <col min="59" max="59" width="13.28515625" style="4" customWidth="1"/>
    <col min="60" max="64" width="6.7109375" style="4" customWidth="1"/>
    <col min="65" max="268" width="11.42578125" style="4"/>
    <col min="269" max="270" width="6.140625" style="4" customWidth="1"/>
    <col min="271" max="271" width="50.42578125" style="4" customWidth="1"/>
    <col min="272" max="272" width="11.5703125" style="4" customWidth="1"/>
    <col min="273" max="277" width="6.7109375" style="4" customWidth="1"/>
    <col min="278" max="278" width="9.85546875" style="4" customWidth="1"/>
    <col min="279" max="281" width="6.140625" style="4" customWidth="1"/>
    <col min="282" max="282" width="50.42578125" style="4" customWidth="1"/>
    <col min="283" max="283" width="11.5703125" style="4" customWidth="1"/>
    <col min="284" max="288" width="6.7109375" style="4" customWidth="1"/>
    <col min="289" max="289" width="9.85546875" style="4" customWidth="1"/>
    <col min="290" max="292" width="6.140625" style="4" customWidth="1"/>
    <col min="293" max="293" width="49" style="4" customWidth="1"/>
    <col min="294" max="294" width="10.85546875" style="4" customWidth="1"/>
    <col min="295" max="299" width="6.7109375" style="4" customWidth="1"/>
    <col min="300" max="300" width="10" style="4" customWidth="1"/>
    <col min="301" max="302" width="6.140625" style="4" customWidth="1"/>
    <col min="303" max="303" width="5.28515625" style="4" customWidth="1"/>
    <col min="304" max="304" width="65.28515625" style="4" customWidth="1"/>
    <col min="305" max="305" width="13.28515625" style="4" customWidth="1"/>
    <col min="306" max="310" width="6.7109375" style="4" customWidth="1"/>
    <col min="311" max="312" width="11.42578125" style="4"/>
    <col min="313" max="313" width="5.28515625" style="4" customWidth="1"/>
    <col min="314" max="314" width="65.28515625" style="4" customWidth="1"/>
    <col min="315" max="315" width="13.28515625" style="4" customWidth="1"/>
    <col min="316" max="320" width="6.7109375" style="4" customWidth="1"/>
    <col min="321" max="524" width="11.42578125" style="4"/>
    <col min="525" max="526" width="6.140625" style="4" customWidth="1"/>
    <col min="527" max="527" width="50.42578125" style="4" customWidth="1"/>
    <col min="528" max="528" width="11.5703125" style="4" customWidth="1"/>
    <col min="529" max="533" width="6.7109375" style="4" customWidth="1"/>
    <col min="534" max="534" width="9.85546875" style="4" customWidth="1"/>
    <col min="535" max="537" width="6.140625" style="4" customWidth="1"/>
    <col min="538" max="538" width="50.42578125" style="4" customWidth="1"/>
    <col min="539" max="539" width="11.5703125" style="4" customWidth="1"/>
    <col min="540" max="544" width="6.7109375" style="4" customWidth="1"/>
    <col min="545" max="545" width="9.85546875" style="4" customWidth="1"/>
    <col min="546" max="548" width="6.140625" style="4" customWidth="1"/>
    <col min="549" max="549" width="49" style="4" customWidth="1"/>
    <col min="550" max="550" width="10.85546875" style="4" customWidth="1"/>
    <col min="551" max="555" width="6.7109375" style="4" customWidth="1"/>
    <col min="556" max="556" width="10" style="4" customWidth="1"/>
    <col min="557" max="558" width="6.140625" style="4" customWidth="1"/>
    <col min="559" max="559" width="5.28515625" style="4" customWidth="1"/>
    <col min="560" max="560" width="65.28515625" style="4" customWidth="1"/>
    <col min="561" max="561" width="13.28515625" style="4" customWidth="1"/>
    <col min="562" max="566" width="6.7109375" style="4" customWidth="1"/>
    <col min="567" max="568" width="11.42578125" style="4"/>
    <col min="569" max="569" width="5.28515625" style="4" customWidth="1"/>
    <col min="570" max="570" width="65.28515625" style="4" customWidth="1"/>
    <col min="571" max="571" width="13.28515625" style="4" customWidth="1"/>
    <col min="572" max="576" width="6.7109375" style="4" customWidth="1"/>
    <col min="577" max="780" width="11.42578125" style="4"/>
    <col min="781" max="782" width="6.140625" style="4" customWidth="1"/>
    <col min="783" max="783" width="50.42578125" style="4" customWidth="1"/>
    <col min="784" max="784" width="11.5703125" style="4" customWidth="1"/>
    <col min="785" max="789" width="6.7109375" style="4" customWidth="1"/>
    <col min="790" max="790" width="9.85546875" style="4" customWidth="1"/>
    <col min="791" max="793" width="6.140625" style="4" customWidth="1"/>
    <col min="794" max="794" width="50.42578125" style="4" customWidth="1"/>
    <col min="795" max="795" width="11.5703125" style="4" customWidth="1"/>
    <col min="796" max="800" width="6.7109375" style="4" customWidth="1"/>
    <col min="801" max="801" width="9.85546875" style="4" customWidth="1"/>
    <col min="802" max="804" width="6.140625" style="4" customWidth="1"/>
    <col min="805" max="805" width="49" style="4" customWidth="1"/>
    <col min="806" max="806" width="10.85546875" style="4" customWidth="1"/>
    <col min="807" max="811" width="6.7109375" style="4" customWidth="1"/>
    <col min="812" max="812" width="10" style="4" customWidth="1"/>
    <col min="813" max="814" width="6.140625" style="4" customWidth="1"/>
    <col min="815" max="815" width="5.28515625" style="4" customWidth="1"/>
    <col min="816" max="816" width="65.28515625" style="4" customWidth="1"/>
    <col min="817" max="817" width="13.28515625" style="4" customWidth="1"/>
    <col min="818" max="822" width="6.7109375" style="4" customWidth="1"/>
    <col min="823" max="824" width="11.42578125" style="4"/>
    <col min="825" max="825" width="5.28515625" style="4" customWidth="1"/>
    <col min="826" max="826" width="65.28515625" style="4" customWidth="1"/>
    <col min="827" max="827" width="13.28515625" style="4" customWidth="1"/>
    <col min="828" max="832" width="6.7109375" style="4" customWidth="1"/>
    <col min="833" max="1036" width="11.42578125" style="4"/>
    <col min="1037" max="1038" width="6.140625" style="4" customWidth="1"/>
    <col min="1039" max="1039" width="50.42578125" style="4" customWidth="1"/>
    <col min="1040" max="1040" width="11.5703125" style="4" customWidth="1"/>
    <col min="1041" max="1045" width="6.7109375" style="4" customWidth="1"/>
    <col min="1046" max="1046" width="9.85546875" style="4" customWidth="1"/>
    <col min="1047" max="1049" width="6.140625" style="4" customWidth="1"/>
    <col min="1050" max="1050" width="50.42578125" style="4" customWidth="1"/>
    <col min="1051" max="1051" width="11.5703125" style="4" customWidth="1"/>
    <col min="1052" max="1056" width="6.7109375" style="4" customWidth="1"/>
    <col min="1057" max="1057" width="9.85546875" style="4" customWidth="1"/>
    <col min="1058" max="1060" width="6.140625" style="4" customWidth="1"/>
    <col min="1061" max="1061" width="49" style="4" customWidth="1"/>
    <col min="1062" max="1062" width="10.85546875" style="4" customWidth="1"/>
    <col min="1063" max="1067" width="6.7109375" style="4" customWidth="1"/>
    <col min="1068" max="1068" width="10" style="4" customWidth="1"/>
    <col min="1069" max="1070" width="6.140625" style="4" customWidth="1"/>
    <col min="1071" max="1071" width="5.28515625" style="4" customWidth="1"/>
    <col min="1072" max="1072" width="65.28515625" style="4" customWidth="1"/>
    <col min="1073" max="1073" width="13.28515625" style="4" customWidth="1"/>
    <col min="1074" max="1078" width="6.7109375" style="4" customWidth="1"/>
    <col min="1079" max="1080" width="11.42578125" style="4"/>
    <col min="1081" max="1081" width="5.28515625" style="4" customWidth="1"/>
    <col min="1082" max="1082" width="65.28515625" style="4" customWidth="1"/>
    <col min="1083" max="1083" width="13.28515625" style="4" customWidth="1"/>
    <col min="1084" max="1088" width="6.7109375" style="4" customWidth="1"/>
    <col min="1089" max="1292" width="11.42578125" style="4"/>
    <col min="1293" max="1294" width="6.140625" style="4" customWidth="1"/>
    <col min="1295" max="1295" width="50.42578125" style="4" customWidth="1"/>
    <col min="1296" max="1296" width="11.5703125" style="4" customWidth="1"/>
    <col min="1297" max="1301" width="6.7109375" style="4" customWidth="1"/>
    <col min="1302" max="1302" width="9.85546875" style="4" customWidth="1"/>
    <col min="1303" max="1305" width="6.140625" style="4" customWidth="1"/>
    <col min="1306" max="1306" width="50.42578125" style="4" customWidth="1"/>
    <col min="1307" max="1307" width="11.5703125" style="4" customWidth="1"/>
    <col min="1308" max="1312" width="6.7109375" style="4" customWidth="1"/>
    <col min="1313" max="1313" width="9.85546875" style="4" customWidth="1"/>
    <col min="1314" max="1316" width="6.140625" style="4" customWidth="1"/>
    <col min="1317" max="1317" width="49" style="4" customWidth="1"/>
    <col min="1318" max="1318" width="10.85546875" style="4" customWidth="1"/>
    <col min="1319" max="1323" width="6.7109375" style="4" customWidth="1"/>
    <col min="1324" max="1324" width="10" style="4" customWidth="1"/>
    <col min="1325" max="1326" width="6.140625" style="4" customWidth="1"/>
    <col min="1327" max="1327" width="5.28515625" style="4" customWidth="1"/>
    <col min="1328" max="1328" width="65.28515625" style="4" customWidth="1"/>
    <col min="1329" max="1329" width="13.28515625" style="4" customWidth="1"/>
    <col min="1330" max="1334" width="6.7109375" style="4" customWidth="1"/>
    <col min="1335" max="1336" width="11.42578125" style="4"/>
    <col min="1337" max="1337" width="5.28515625" style="4" customWidth="1"/>
    <col min="1338" max="1338" width="65.28515625" style="4" customWidth="1"/>
    <col min="1339" max="1339" width="13.28515625" style="4" customWidth="1"/>
    <col min="1340" max="1344" width="6.7109375" style="4" customWidth="1"/>
    <col min="1345" max="1548" width="11.42578125" style="4"/>
    <col min="1549" max="1550" width="6.140625" style="4" customWidth="1"/>
    <col min="1551" max="1551" width="50.42578125" style="4" customWidth="1"/>
    <col min="1552" max="1552" width="11.5703125" style="4" customWidth="1"/>
    <col min="1553" max="1557" width="6.7109375" style="4" customWidth="1"/>
    <col min="1558" max="1558" width="9.85546875" style="4" customWidth="1"/>
    <col min="1559" max="1561" width="6.140625" style="4" customWidth="1"/>
    <col min="1562" max="1562" width="50.42578125" style="4" customWidth="1"/>
    <col min="1563" max="1563" width="11.5703125" style="4" customWidth="1"/>
    <col min="1564" max="1568" width="6.7109375" style="4" customWidth="1"/>
    <col min="1569" max="1569" width="9.85546875" style="4" customWidth="1"/>
    <col min="1570" max="1572" width="6.140625" style="4" customWidth="1"/>
    <col min="1573" max="1573" width="49" style="4" customWidth="1"/>
    <col min="1574" max="1574" width="10.85546875" style="4" customWidth="1"/>
    <col min="1575" max="1579" width="6.7109375" style="4" customWidth="1"/>
    <col min="1580" max="1580" width="10" style="4" customWidth="1"/>
    <col min="1581" max="1582" width="6.140625" style="4" customWidth="1"/>
    <col min="1583" max="1583" width="5.28515625" style="4" customWidth="1"/>
    <col min="1584" max="1584" width="65.28515625" style="4" customWidth="1"/>
    <col min="1585" max="1585" width="13.28515625" style="4" customWidth="1"/>
    <col min="1586" max="1590" width="6.7109375" style="4" customWidth="1"/>
    <col min="1591" max="1592" width="11.42578125" style="4"/>
    <col min="1593" max="1593" width="5.28515625" style="4" customWidth="1"/>
    <col min="1594" max="1594" width="65.28515625" style="4" customWidth="1"/>
    <col min="1595" max="1595" width="13.28515625" style="4" customWidth="1"/>
    <col min="1596" max="1600" width="6.7109375" style="4" customWidth="1"/>
    <col min="1601" max="1804" width="11.42578125" style="4"/>
    <col min="1805" max="1806" width="6.140625" style="4" customWidth="1"/>
    <col min="1807" max="1807" width="50.42578125" style="4" customWidth="1"/>
    <col min="1808" max="1808" width="11.5703125" style="4" customWidth="1"/>
    <col min="1809" max="1813" width="6.7109375" style="4" customWidth="1"/>
    <col min="1814" max="1814" width="9.85546875" style="4" customWidth="1"/>
    <col min="1815" max="1817" width="6.140625" style="4" customWidth="1"/>
    <col min="1818" max="1818" width="50.42578125" style="4" customWidth="1"/>
    <col min="1819" max="1819" width="11.5703125" style="4" customWidth="1"/>
    <col min="1820" max="1824" width="6.7109375" style="4" customWidth="1"/>
    <col min="1825" max="1825" width="9.85546875" style="4" customWidth="1"/>
    <col min="1826" max="1828" width="6.140625" style="4" customWidth="1"/>
    <col min="1829" max="1829" width="49" style="4" customWidth="1"/>
    <col min="1830" max="1830" width="10.85546875" style="4" customWidth="1"/>
    <col min="1831" max="1835" width="6.7109375" style="4" customWidth="1"/>
    <col min="1836" max="1836" width="10" style="4" customWidth="1"/>
    <col min="1837" max="1838" width="6.140625" style="4" customWidth="1"/>
    <col min="1839" max="1839" width="5.28515625" style="4" customWidth="1"/>
    <col min="1840" max="1840" width="65.28515625" style="4" customWidth="1"/>
    <col min="1841" max="1841" width="13.28515625" style="4" customWidth="1"/>
    <col min="1842" max="1846" width="6.7109375" style="4" customWidth="1"/>
    <col min="1847" max="1848" width="11.42578125" style="4"/>
    <col min="1849" max="1849" width="5.28515625" style="4" customWidth="1"/>
    <col min="1850" max="1850" width="65.28515625" style="4" customWidth="1"/>
    <col min="1851" max="1851" width="13.28515625" style="4" customWidth="1"/>
    <col min="1852" max="1856" width="6.7109375" style="4" customWidth="1"/>
    <col min="1857" max="2060" width="11.42578125" style="4"/>
    <col min="2061" max="2062" width="6.140625" style="4" customWidth="1"/>
    <col min="2063" max="2063" width="50.42578125" style="4" customWidth="1"/>
    <col min="2064" max="2064" width="11.5703125" style="4" customWidth="1"/>
    <col min="2065" max="2069" width="6.7109375" style="4" customWidth="1"/>
    <col min="2070" max="2070" width="9.85546875" style="4" customWidth="1"/>
    <col min="2071" max="2073" width="6.140625" style="4" customWidth="1"/>
    <col min="2074" max="2074" width="50.42578125" style="4" customWidth="1"/>
    <col min="2075" max="2075" width="11.5703125" style="4" customWidth="1"/>
    <col min="2076" max="2080" width="6.7109375" style="4" customWidth="1"/>
    <col min="2081" max="2081" width="9.85546875" style="4" customWidth="1"/>
    <col min="2082" max="2084" width="6.140625" style="4" customWidth="1"/>
    <col min="2085" max="2085" width="49" style="4" customWidth="1"/>
    <col min="2086" max="2086" width="10.85546875" style="4" customWidth="1"/>
    <col min="2087" max="2091" width="6.7109375" style="4" customWidth="1"/>
    <col min="2092" max="2092" width="10" style="4" customWidth="1"/>
    <col min="2093" max="2094" width="6.140625" style="4" customWidth="1"/>
    <col min="2095" max="2095" width="5.28515625" style="4" customWidth="1"/>
    <col min="2096" max="2096" width="65.28515625" style="4" customWidth="1"/>
    <col min="2097" max="2097" width="13.28515625" style="4" customWidth="1"/>
    <col min="2098" max="2102" width="6.7109375" style="4" customWidth="1"/>
    <col min="2103" max="2104" width="11.42578125" style="4"/>
    <col min="2105" max="2105" width="5.28515625" style="4" customWidth="1"/>
    <col min="2106" max="2106" width="65.28515625" style="4" customWidth="1"/>
    <col min="2107" max="2107" width="13.28515625" style="4" customWidth="1"/>
    <col min="2108" max="2112" width="6.7109375" style="4" customWidth="1"/>
    <col min="2113" max="2316" width="11.42578125" style="4"/>
    <col min="2317" max="2318" width="6.140625" style="4" customWidth="1"/>
    <col min="2319" max="2319" width="50.42578125" style="4" customWidth="1"/>
    <col min="2320" max="2320" width="11.5703125" style="4" customWidth="1"/>
    <col min="2321" max="2325" width="6.7109375" style="4" customWidth="1"/>
    <col min="2326" max="2326" width="9.85546875" style="4" customWidth="1"/>
    <col min="2327" max="2329" width="6.140625" style="4" customWidth="1"/>
    <col min="2330" max="2330" width="50.42578125" style="4" customWidth="1"/>
    <col min="2331" max="2331" width="11.5703125" style="4" customWidth="1"/>
    <col min="2332" max="2336" width="6.7109375" style="4" customWidth="1"/>
    <col min="2337" max="2337" width="9.85546875" style="4" customWidth="1"/>
    <col min="2338" max="2340" width="6.140625" style="4" customWidth="1"/>
    <col min="2341" max="2341" width="49" style="4" customWidth="1"/>
    <col min="2342" max="2342" width="10.85546875" style="4" customWidth="1"/>
    <col min="2343" max="2347" width="6.7109375" style="4" customWidth="1"/>
    <col min="2348" max="2348" width="10" style="4" customWidth="1"/>
    <col min="2349" max="2350" width="6.140625" style="4" customWidth="1"/>
    <col min="2351" max="2351" width="5.28515625" style="4" customWidth="1"/>
    <col min="2352" max="2352" width="65.28515625" style="4" customWidth="1"/>
    <col min="2353" max="2353" width="13.28515625" style="4" customWidth="1"/>
    <col min="2354" max="2358" width="6.7109375" style="4" customWidth="1"/>
    <col min="2359" max="2360" width="11.42578125" style="4"/>
    <col min="2361" max="2361" width="5.28515625" style="4" customWidth="1"/>
    <col min="2362" max="2362" width="65.28515625" style="4" customWidth="1"/>
    <col min="2363" max="2363" width="13.28515625" style="4" customWidth="1"/>
    <col min="2364" max="2368" width="6.7109375" style="4" customWidth="1"/>
    <col min="2369" max="2572" width="11.42578125" style="4"/>
    <col min="2573" max="2574" width="6.140625" style="4" customWidth="1"/>
    <col min="2575" max="2575" width="50.42578125" style="4" customWidth="1"/>
    <col min="2576" max="2576" width="11.5703125" style="4" customWidth="1"/>
    <col min="2577" max="2581" width="6.7109375" style="4" customWidth="1"/>
    <col min="2582" max="2582" width="9.85546875" style="4" customWidth="1"/>
    <col min="2583" max="2585" width="6.140625" style="4" customWidth="1"/>
    <col min="2586" max="2586" width="50.42578125" style="4" customWidth="1"/>
    <col min="2587" max="2587" width="11.5703125" style="4" customWidth="1"/>
    <col min="2588" max="2592" width="6.7109375" style="4" customWidth="1"/>
    <col min="2593" max="2593" width="9.85546875" style="4" customWidth="1"/>
    <col min="2594" max="2596" width="6.140625" style="4" customWidth="1"/>
    <col min="2597" max="2597" width="49" style="4" customWidth="1"/>
    <col min="2598" max="2598" width="10.85546875" style="4" customWidth="1"/>
    <col min="2599" max="2603" width="6.7109375" style="4" customWidth="1"/>
    <col min="2604" max="2604" width="10" style="4" customWidth="1"/>
    <col min="2605" max="2606" width="6.140625" style="4" customWidth="1"/>
    <col min="2607" max="2607" width="5.28515625" style="4" customWidth="1"/>
    <col min="2608" max="2608" width="65.28515625" style="4" customWidth="1"/>
    <col min="2609" max="2609" width="13.28515625" style="4" customWidth="1"/>
    <col min="2610" max="2614" width="6.7109375" style="4" customWidth="1"/>
    <col min="2615" max="2616" width="11.42578125" style="4"/>
    <col min="2617" max="2617" width="5.28515625" style="4" customWidth="1"/>
    <col min="2618" max="2618" width="65.28515625" style="4" customWidth="1"/>
    <col min="2619" max="2619" width="13.28515625" style="4" customWidth="1"/>
    <col min="2620" max="2624" width="6.7109375" style="4" customWidth="1"/>
    <col min="2625" max="2828" width="11.42578125" style="4"/>
    <col min="2829" max="2830" width="6.140625" style="4" customWidth="1"/>
    <col min="2831" max="2831" width="50.42578125" style="4" customWidth="1"/>
    <col min="2832" max="2832" width="11.5703125" style="4" customWidth="1"/>
    <col min="2833" max="2837" width="6.7109375" style="4" customWidth="1"/>
    <col min="2838" max="2838" width="9.85546875" style="4" customWidth="1"/>
    <col min="2839" max="2841" width="6.140625" style="4" customWidth="1"/>
    <col min="2842" max="2842" width="50.42578125" style="4" customWidth="1"/>
    <col min="2843" max="2843" width="11.5703125" style="4" customWidth="1"/>
    <col min="2844" max="2848" width="6.7109375" style="4" customWidth="1"/>
    <col min="2849" max="2849" width="9.85546875" style="4" customWidth="1"/>
    <col min="2850" max="2852" width="6.140625" style="4" customWidth="1"/>
    <col min="2853" max="2853" width="49" style="4" customWidth="1"/>
    <col min="2854" max="2854" width="10.85546875" style="4" customWidth="1"/>
    <col min="2855" max="2859" width="6.7109375" style="4" customWidth="1"/>
    <col min="2860" max="2860" width="10" style="4" customWidth="1"/>
    <col min="2861" max="2862" width="6.140625" style="4" customWidth="1"/>
    <col min="2863" max="2863" width="5.28515625" style="4" customWidth="1"/>
    <col min="2864" max="2864" width="65.28515625" style="4" customWidth="1"/>
    <col min="2865" max="2865" width="13.28515625" style="4" customWidth="1"/>
    <col min="2866" max="2870" width="6.7109375" style="4" customWidth="1"/>
    <col min="2871" max="2872" width="11.42578125" style="4"/>
    <col min="2873" max="2873" width="5.28515625" style="4" customWidth="1"/>
    <col min="2874" max="2874" width="65.28515625" style="4" customWidth="1"/>
    <col min="2875" max="2875" width="13.28515625" style="4" customWidth="1"/>
    <col min="2876" max="2880" width="6.7109375" style="4" customWidth="1"/>
    <col min="2881" max="3084" width="11.42578125" style="4"/>
    <col min="3085" max="3086" width="6.140625" style="4" customWidth="1"/>
    <col min="3087" max="3087" width="50.42578125" style="4" customWidth="1"/>
    <col min="3088" max="3088" width="11.5703125" style="4" customWidth="1"/>
    <col min="3089" max="3093" width="6.7109375" style="4" customWidth="1"/>
    <col min="3094" max="3094" width="9.85546875" style="4" customWidth="1"/>
    <col min="3095" max="3097" width="6.140625" style="4" customWidth="1"/>
    <col min="3098" max="3098" width="50.42578125" style="4" customWidth="1"/>
    <col min="3099" max="3099" width="11.5703125" style="4" customWidth="1"/>
    <col min="3100" max="3104" width="6.7109375" style="4" customWidth="1"/>
    <col min="3105" max="3105" width="9.85546875" style="4" customWidth="1"/>
    <col min="3106" max="3108" width="6.140625" style="4" customWidth="1"/>
    <col min="3109" max="3109" width="49" style="4" customWidth="1"/>
    <col min="3110" max="3110" width="10.85546875" style="4" customWidth="1"/>
    <col min="3111" max="3115" width="6.7109375" style="4" customWidth="1"/>
    <col min="3116" max="3116" width="10" style="4" customWidth="1"/>
    <col min="3117" max="3118" width="6.140625" style="4" customWidth="1"/>
    <col min="3119" max="3119" width="5.28515625" style="4" customWidth="1"/>
    <col min="3120" max="3120" width="65.28515625" style="4" customWidth="1"/>
    <col min="3121" max="3121" width="13.28515625" style="4" customWidth="1"/>
    <col min="3122" max="3126" width="6.7109375" style="4" customWidth="1"/>
    <col min="3127" max="3128" width="11.42578125" style="4"/>
    <col min="3129" max="3129" width="5.28515625" style="4" customWidth="1"/>
    <col min="3130" max="3130" width="65.28515625" style="4" customWidth="1"/>
    <col min="3131" max="3131" width="13.28515625" style="4" customWidth="1"/>
    <col min="3132" max="3136" width="6.7109375" style="4" customWidth="1"/>
    <col min="3137" max="3340" width="11.42578125" style="4"/>
    <col min="3341" max="3342" width="6.140625" style="4" customWidth="1"/>
    <col min="3343" max="3343" width="50.42578125" style="4" customWidth="1"/>
    <col min="3344" max="3344" width="11.5703125" style="4" customWidth="1"/>
    <col min="3345" max="3349" width="6.7109375" style="4" customWidth="1"/>
    <col min="3350" max="3350" width="9.85546875" style="4" customWidth="1"/>
    <col min="3351" max="3353" width="6.140625" style="4" customWidth="1"/>
    <col min="3354" max="3354" width="50.42578125" style="4" customWidth="1"/>
    <col min="3355" max="3355" width="11.5703125" style="4" customWidth="1"/>
    <col min="3356" max="3360" width="6.7109375" style="4" customWidth="1"/>
    <col min="3361" max="3361" width="9.85546875" style="4" customWidth="1"/>
    <col min="3362" max="3364" width="6.140625" style="4" customWidth="1"/>
    <col min="3365" max="3365" width="49" style="4" customWidth="1"/>
    <col min="3366" max="3366" width="10.85546875" style="4" customWidth="1"/>
    <col min="3367" max="3371" width="6.7109375" style="4" customWidth="1"/>
    <col min="3372" max="3372" width="10" style="4" customWidth="1"/>
    <col min="3373" max="3374" width="6.140625" style="4" customWidth="1"/>
    <col min="3375" max="3375" width="5.28515625" style="4" customWidth="1"/>
    <col min="3376" max="3376" width="65.28515625" style="4" customWidth="1"/>
    <col min="3377" max="3377" width="13.28515625" style="4" customWidth="1"/>
    <col min="3378" max="3382" width="6.7109375" style="4" customWidth="1"/>
    <col min="3383" max="3384" width="11.42578125" style="4"/>
    <col min="3385" max="3385" width="5.28515625" style="4" customWidth="1"/>
    <col min="3386" max="3386" width="65.28515625" style="4" customWidth="1"/>
    <col min="3387" max="3387" width="13.28515625" style="4" customWidth="1"/>
    <col min="3388" max="3392" width="6.7109375" style="4" customWidth="1"/>
    <col min="3393" max="3596" width="11.42578125" style="4"/>
    <col min="3597" max="3598" width="6.140625" style="4" customWidth="1"/>
    <col min="3599" max="3599" width="50.42578125" style="4" customWidth="1"/>
    <col min="3600" max="3600" width="11.5703125" style="4" customWidth="1"/>
    <col min="3601" max="3605" width="6.7109375" style="4" customWidth="1"/>
    <col min="3606" max="3606" width="9.85546875" style="4" customWidth="1"/>
    <col min="3607" max="3609" width="6.140625" style="4" customWidth="1"/>
    <col min="3610" max="3610" width="50.42578125" style="4" customWidth="1"/>
    <col min="3611" max="3611" width="11.5703125" style="4" customWidth="1"/>
    <col min="3612" max="3616" width="6.7109375" style="4" customWidth="1"/>
    <col min="3617" max="3617" width="9.85546875" style="4" customWidth="1"/>
    <col min="3618" max="3620" width="6.140625" style="4" customWidth="1"/>
    <col min="3621" max="3621" width="49" style="4" customWidth="1"/>
    <col min="3622" max="3622" width="10.85546875" style="4" customWidth="1"/>
    <col min="3623" max="3627" width="6.7109375" style="4" customWidth="1"/>
    <col min="3628" max="3628" width="10" style="4" customWidth="1"/>
    <col min="3629" max="3630" width="6.140625" style="4" customWidth="1"/>
    <col min="3631" max="3631" width="5.28515625" style="4" customWidth="1"/>
    <col min="3632" max="3632" width="65.28515625" style="4" customWidth="1"/>
    <col min="3633" max="3633" width="13.28515625" style="4" customWidth="1"/>
    <col min="3634" max="3638" width="6.7109375" style="4" customWidth="1"/>
    <col min="3639" max="3640" width="11.42578125" style="4"/>
    <col min="3641" max="3641" width="5.28515625" style="4" customWidth="1"/>
    <col min="3642" max="3642" width="65.28515625" style="4" customWidth="1"/>
    <col min="3643" max="3643" width="13.28515625" style="4" customWidth="1"/>
    <col min="3644" max="3648" width="6.7109375" style="4" customWidth="1"/>
    <col min="3649" max="3852" width="11.42578125" style="4"/>
    <col min="3853" max="3854" width="6.140625" style="4" customWidth="1"/>
    <col min="3855" max="3855" width="50.42578125" style="4" customWidth="1"/>
    <col min="3856" max="3856" width="11.5703125" style="4" customWidth="1"/>
    <col min="3857" max="3861" width="6.7109375" style="4" customWidth="1"/>
    <col min="3862" max="3862" width="9.85546875" style="4" customWidth="1"/>
    <col min="3863" max="3865" width="6.140625" style="4" customWidth="1"/>
    <col min="3866" max="3866" width="50.42578125" style="4" customWidth="1"/>
    <col min="3867" max="3867" width="11.5703125" style="4" customWidth="1"/>
    <col min="3868" max="3872" width="6.7109375" style="4" customWidth="1"/>
    <col min="3873" max="3873" width="9.85546875" style="4" customWidth="1"/>
    <col min="3874" max="3876" width="6.140625" style="4" customWidth="1"/>
    <col min="3877" max="3877" width="49" style="4" customWidth="1"/>
    <col min="3878" max="3878" width="10.85546875" style="4" customWidth="1"/>
    <col min="3879" max="3883" width="6.7109375" style="4" customWidth="1"/>
    <col min="3884" max="3884" width="10" style="4" customWidth="1"/>
    <col min="3885" max="3886" width="6.140625" style="4" customWidth="1"/>
    <col min="3887" max="3887" width="5.28515625" style="4" customWidth="1"/>
    <col min="3888" max="3888" width="65.28515625" style="4" customWidth="1"/>
    <col min="3889" max="3889" width="13.28515625" style="4" customWidth="1"/>
    <col min="3890" max="3894" width="6.7109375" style="4" customWidth="1"/>
    <col min="3895" max="3896" width="11.42578125" style="4"/>
    <col min="3897" max="3897" width="5.28515625" style="4" customWidth="1"/>
    <col min="3898" max="3898" width="65.28515625" style="4" customWidth="1"/>
    <col min="3899" max="3899" width="13.28515625" style="4" customWidth="1"/>
    <col min="3900" max="3904" width="6.7109375" style="4" customWidth="1"/>
    <col min="3905" max="4108" width="11.42578125" style="4"/>
    <col min="4109" max="4110" width="6.140625" style="4" customWidth="1"/>
    <col min="4111" max="4111" width="50.42578125" style="4" customWidth="1"/>
    <col min="4112" max="4112" width="11.5703125" style="4" customWidth="1"/>
    <col min="4113" max="4117" width="6.7109375" style="4" customWidth="1"/>
    <col min="4118" max="4118" width="9.85546875" style="4" customWidth="1"/>
    <col min="4119" max="4121" width="6.140625" style="4" customWidth="1"/>
    <col min="4122" max="4122" width="50.42578125" style="4" customWidth="1"/>
    <col min="4123" max="4123" width="11.5703125" style="4" customWidth="1"/>
    <col min="4124" max="4128" width="6.7109375" style="4" customWidth="1"/>
    <col min="4129" max="4129" width="9.85546875" style="4" customWidth="1"/>
    <col min="4130" max="4132" width="6.140625" style="4" customWidth="1"/>
    <col min="4133" max="4133" width="49" style="4" customWidth="1"/>
    <col min="4134" max="4134" width="10.85546875" style="4" customWidth="1"/>
    <col min="4135" max="4139" width="6.7109375" style="4" customWidth="1"/>
    <col min="4140" max="4140" width="10" style="4" customWidth="1"/>
    <col min="4141" max="4142" width="6.140625" style="4" customWidth="1"/>
    <col min="4143" max="4143" width="5.28515625" style="4" customWidth="1"/>
    <col min="4144" max="4144" width="65.28515625" style="4" customWidth="1"/>
    <col min="4145" max="4145" width="13.28515625" style="4" customWidth="1"/>
    <col min="4146" max="4150" width="6.7109375" style="4" customWidth="1"/>
    <col min="4151" max="4152" width="11.42578125" style="4"/>
    <col min="4153" max="4153" width="5.28515625" style="4" customWidth="1"/>
    <col min="4154" max="4154" width="65.28515625" style="4" customWidth="1"/>
    <col min="4155" max="4155" width="13.28515625" style="4" customWidth="1"/>
    <col min="4156" max="4160" width="6.7109375" style="4" customWidth="1"/>
    <col min="4161" max="4364" width="11.42578125" style="4"/>
    <col min="4365" max="4366" width="6.140625" style="4" customWidth="1"/>
    <col min="4367" max="4367" width="50.42578125" style="4" customWidth="1"/>
    <col min="4368" max="4368" width="11.5703125" style="4" customWidth="1"/>
    <col min="4369" max="4373" width="6.7109375" style="4" customWidth="1"/>
    <col min="4374" max="4374" width="9.85546875" style="4" customWidth="1"/>
    <col min="4375" max="4377" width="6.140625" style="4" customWidth="1"/>
    <col min="4378" max="4378" width="50.42578125" style="4" customWidth="1"/>
    <col min="4379" max="4379" width="11.5703125" style="4" customWidth="1"/>
    <col min="4380" max="4384" width="6.7109375" style="4" customWidth="1"/>
    <col min="4385" max="4385" width="9.85546875" style="4" customWidth="1"/>
    <col min="4386" max="4388" width="6.140625" style="4" customWidth="1"/>
    <col min="4389" max="4389" width="49" style="4" customWidth="1"/>
    <col min="4390" max="4390" width="10.85546875" style="4" customWidth="1"/>
    <col min="4391" max="4395" width="6.7109375" style="4" customWidth="1"/>
    <col min="4396" max="4396" width="10" style="4" customWidth="1"/>
    <col min="4397" max="4398" width="6.140625" style="4" customWidth="1"/>
    <col min="4399" max="4399" width="5.28515625" style="4" customWidth="1"/>
    <col min="4400" max="4400" width="65.28515625" style="4" customWidth="1"/>
    <col min="4401" max="4401" width="13.28515625" style="4" customWidth="1"/>
    <col min="4402" max="4406" width="6.7109375" style="4" customWidth="1"/>
    <col min="4407" max="4408" width="11.42578125" style="4"/>
    <col min="4409" max="4409" width="5.28515625" style="4" customWidth="1"/>
    <col min="4410" max="4410" width="65.28515625" style="4" customWidth="1"/>
    <col min="4411" max="4411" width="13.28515625" style="4" customWidth="1"/>
    <col min="4412" max="4416" width="6.7109375" style="4" customWidth="1"/>
    <col min="4417" max="4620" width="11.42578125" style="4"/>
    <col min="4621" max="4622" width="6.140625" style="4" customWidth="1"/>
    <col min="4623" max="4623" width="50.42578125" style="4" customWidth="1"/>
    <col min="4624" max="4624" width="11.5703125" style="4" customWidth="1"/>
    <col min="4625" max="4629" width="6.7109375" style="4" customWidth="1"/>
    <col min="4630" max="4630" width="9.85546875" style="4" customWidth="1"/>
    <col min="4631" max="4633" width="6.140625" style="4" customWidth="1"/>
    <col min="4634" max="4634" width="50.42578125" style="4" customWidth="1"/>
    <col min="4635" max="4635" width="11.5703125" style="4" customWidth="1"/>
    <col min="4636" max="4640" width="6.7109375" style="4" customWidth="1"/>
    <col min="4641" max="4641" width="9.85546875" style="4" customWidth="1"/>
    <col min="4642" max="4644" width="6.140625" style="4" customWidth="1"/>
    <col min="4645" max="4645" width="49" style="4" customWidth="1"/>
    <col min="4646" max="4646" width="10.85546875" style="4" customWidth="1"/>
    <col min="4647" max="4651" width="6.7109375" style="4" customWidth="1"/>
    <col min="4652" max="4652" width="10" style="4" customWidth="1"/>
    <col min="4653" max="4654" width="6.140625" style="4" customWidth="1"/>
    <col min="4655" max="4655" width="5.28515625" style="4" customWidth="1"/>
    <col min="4656" max="4656" width="65.28515625" style="4" customWidth="1"/>
    <col min="4657" max="4657" width="13.28515625" style="4" customWidth="1"/>
    <col min="4658" max="4662" width="6.7109375" style="4" customWidth="1"/>
    <col min="4663" max="4664" width="11.42578125" style="4"/>
    <col min="4665" max="4665" width="5.28515625" style="4" customWidth="1"/>
    <col min="4666" max="4666" width="65.28515625" style="4" customWidth="1"/>
    <col min="4667" max="4667" width="13.28515625" style="4" customWidth="1"/>
    <col min="4668" max="4672" width="6.7109375" style="4" customWidth="1"/>
    <col min="4673" max="4876" width="11.42578125" style="4"/>
    <col min="4877" max="4878" width="6.140625" style="4" customWidth="1"/>
    <col min="4879" max="4879" width="50.42578125" style="4" customWidth="1"/>
    <col min="4880" max="4880" width="11.5703125" style="4" customWidth="1"/>
    <col min="4881" max="4885" width="6.7109375" style="4" customWidth="1"/>
    <col min="4886" max="4886" width="9.85546875" style="4" customWidth="1"/>
    <col min="4887" max="4889" width="6.140625" style="4" customWidth="1"/>
    <col min="4890" max="4890" width="50.42578125" style="4" customWidth="1"/>
    <col min="4891" max="4891" width="11.5703125" style="4" customWidth="1"/>
    <col min="4892" max="4896" width="6.7109375" style="4" customWidth="1"/>
    <col min="4897" max="4897" width="9.85546875" style="4" customWidth="1"/>
    <col min="4898" max="4900" width="6.140625" style="4" customWidth="1"/>
    <col min="4901" max="4901" width="49" style="4" customWidth="1"/>
    <col min="4902" max="4902" width="10.85546875" style="4" customWidth="1"/>
    <col min="4903" max="4907" width="6.7109375" style="4" customWidth="1"/>
    <col min="4908" max="4908" width="10" style="4" customWidth="1"/>
    <col min="4909" max="4910" width="6.140625" style="4" customWidth="1"/>
    <col min="4911" max="4911" width="5.28515625" style="4" customWidth="1"/>
    <col min="4912" max="4912" width="65.28515625" style="4" customWidth="1"/>
    <col min="4913" max="4913" width="13.28515625" style="4" customWidth="1"/>
    <col min="4914" max="4918" width="6.7109375" style="4" customWidth="1"/>
    <col min="4919" max="4920" width="11.42578125" style="4"/>
    <col min="4921" max="4921" width="5.28515625" style="4" customWidth="1"/>
    <col min="4922" max="4922" width="65.28515625" style="4" customWidth="1"/>
    <col min="4923" max="4923" width="13.28515625" style="4" customWidth="1"/>
    <col min="4924" max="4928" width="6.7109375" style="4" customWidth="1"/>
    <col min="4929" max="5132" width="11.42578125" style="4"/>
    <col min="5133" max="5134" width="6.140625" style="4" customWidth="1"/>
    <col min="5135" max="5135" width="50.42578125" style="4" customWidth="1"/>
    <col min="5136" max="5136" width="11.5703125" style="4" customWidth="1"/>
    <col min="5137" max="5141" width="6.7109375" style="4" customWidth="1"/>
    <col min="5142" max="5142" width="9.85546875" style="4" customWidth="1"/>
    <col min="5143" max="5145" width="6.140625" style="4" customWidth="1"/>
    <col min="5146" max="5146" width="50.42578125" style="4" customWidth="1"/>
    <col min="5147" max="5147" width="11.5703125" style="4" customWidth="1"/>
    <col min="5148" max="5152" width="6.7109375" style="4" customWidth="1"/>
    <col min="5153" max="5153" width="9.85546875" style="4" customWidth="1"/>
    <col min="5154" max="5156" width="6.140625" style="4" customWidth="1"/>
    <col min="5157" max="5157" width="49" style="4" customWidth="1"/>
    <col min="5158" max="5158" width="10.85546875" style="4" customWidth="1"/>
    <col min="5159" max="5163" width="6.7109375" style="4" customWidth="1"/>
    <col min="5164" max="5164" width="10" style="4" customWidth="1"/>
    <col min="5165" max="5166" width="6.140625" style="4" customWidth="1"/>
    <col min="5167" max="5167" width="5.28515625" style="4" customWidth="1"/>
    <col min="5168" max="5168" width="65.28515625" style="4" customWidth="1"/>
    <col min="5169" max="5169" width="13.28515625" style="4" customWidth="1"/>
    <col min="5170" max="5174" width="6.7109375" style="4" customWidth="1"/>
    <col min="5175" max="5176" width="11.42578125" style="4"/>
    <col min="5177" max="5177" width="5.28515625" style="4" customWidth="1"/>
    <col min="5178" max="5178" width="65.28515625" style="4" customWidth="1"/>
    <col min="5179" max="5179" width="13.28515625" style="4" customWidth="1"/>
    <col min="5180" max="5184" width="6.7109375" style="4" customWidth="1"/>
    <col min="5185" max="5388" width="11.42578125" style="4"/>
    <col min="5389" max="5390" width="6.140625" style="4" customWidth="1"/>
    <col min="5391" max="5391" width="50.42578125" style="4" customWidth="1"/>
    <col min="5392" max="5392" width="11.5703125" style="4" customWidth="1"/>
    <col min="5393" max="5397" width="6.7109375" style="4" customWidth="1"/>
    <col min="5398" max="5398" width="9.85546875" style="4" customWidth="1"/>
    <col min="5399" max="5401" width="6.140625" style="4" customWidth="1"/>
    <col min="5402" max="5402" width="50.42578125" style="4" customWidth="1"/>
    <col min="5403" max="5403" width="11.5703125" style="4" customWidth="1"/>
    <col min="5404" max="5408" width="6.7109375" style="4" customWidth="1"/>
    <col min="5409" max="5409" width="9.85546875" style="4" customWidth="1"/>
    <col min="5410" max="5412" width="6.140625" style="4" customWidth="1"/>
    <col min="5413" max="5413" width="49" style="4" customWidth="1"/>
    <col min="5414" max="5414" width="10.85546875" style="4" customWidth="1"/>
    <col min="5415" max="5419" width="6.7109375" style="4" customWidth="1"/>
    <col min="5420" max="5420" width="10" style="4" customWidth="1"/>
    <col min="5421" max="5422" width="6.140625" style="4" customWidth="1"/>
    <col min="5423" max="5423" width="5.28515625" style="4" customWidth="1"/>
    <col min="5424" max="5424" width="65.28515625" style="4" customWidth="1"/>
    <col min="5425" max="5425" width="13.28515625" style="4" customWidth="1"/>
    <col min="5426" max="5430" width="6.7109375" style="4" customWidth="1"/>
    <col min="5431" max="5432" width="11.42578125" style="4"/>
    <col min="5433" max="5433" width="5.28515625" style="4" customWidth="1"/>
    <col min="5434" max="5434" width="65.28515625" style="4" customWidth="1"/>
    <col min="5435" max="5435" width="13.28515625" style="4" customWidth="1"/>
    <col min="5436" max="5440" width="6.7109375" style="4" customWidth="1"/>
    <col min="5441" max="5644" width="11.42578125" style="4"/>
    <col min="5645" max="5646" width="6.140625" style="4" customWidth="1"/>
    <col min="5647" max="5647" width="50.42578125" style="4" customWidth="1"/>
    <col min="5648" max="5648" width="11.5703125" style="4" customWidth="1"/>
    <col min="5649" max="5653" width="6.7109375" style="4" customWidth="1"/>
    <col min="5654" max="5654" width="9.85546875" style="4" customWidth="1"/>
    <col min="5655" max="5657" width="6.140625" style="4" customWidth="1"/>
    <col min="5658" max="5658" width="50.42578125" style="4" customWidth="1"/>
    <col min="5659" max="5659" width="11.5703125" style="4" customWidth="1"/>
    <col min="5660" max="5664" width="6.7109375" style="4" customWidth="1"/>
    <col min="5665" max="5665" width="9.85546875" style="4" customWidth="1"/>
    <col min="5666" max="5668" width="6.140625" style="4" customWidth="1"/>
    <col min="5669" max="5669" width="49" style="4" customWidth="1"/>
    <col min="5670" max="5670" width="10.85546875" style="4" customWidth="1"/>
    <col min="5671" max="5675" width="6.7109375" style="4" customWidth="1"/>
    <col min="5676" max="5676" width="10" style="4" customWidth="1"/>
    <col min="5677" max="5678" width="6.140625" style="4" customWidth="1"/>
    <col min="5679" max="5679" width="5.28515625" style="4" customWidth="1"/>
    <col min="5680" max="5680" width="65.28515625" style="4" customWidth="1"/>
    <col min="5681" max="5681" width="13.28515625" style="4" customWidth="1"/>
    <col min="5682" max="5686" width="6.7109375" style="4" customWidth="1"/>
    <col min="5687" max="5688" width="11.42578125" style="4"/>
    <col min="5689" max="5689" width="5.28515625" style="4" customWidth="1"/>
    <col min="5690" max="5690" width="65.28515625" style="4" customWidth="1"/>
    <col min="5691" max="5691" width="13.28515625" style="4" customWidth="1"/>
    <col min="5692" max="5696" width="6.7109375" style="4" customWidth="1"/>
    <col min="5697" max="5900" width="11.42578125" style="4"/>
    <col min="5901" max="5902" width="6.140625" style="4" customWidth="1"/>
    <col min="5903" max="5903" width="50.42578125" style="4" customWidth="1"/>
    <col min="5904" max="5904" width="11.5703125" style="4" customWidth="1"/>
    <col min="5905" max="5909" width="6.7109375" style="4" customWidth="1"/>
    <col min="5910" max="5910" width="9.85546875" style="4" customWidth="1"/>
    <col min="5911" max="5913" width="6.140625" style="4" customWidth="1"/>
    <col min="5914" max="5914" width="50.42578125" style="4" customWidth="1"/>
    <col min="5915" max="5915" width="11.5703125" style="4" customWidth="1"/>
    <col min="5916" max="5920" width="6.7109375" style="4" customWidth="1"/>
    <col min="5921" max="5921" width="9.85546875" style="4" customWidth="1"/>
    <col min="5922" max="5924" width="6.140625" style="4" customWidth="1"/>
    <col min="5925" max="5925" width="49" style="4" customWidth="1"/>
    <col min="5926" max="5926" width="10.85546875" style="4" customWidth="1"/>
    <col min="5927" max="5931" width="6.7109375" style="4" customWidth="1"/>
    <col min="5932" max="5932" width="10" style="4" customWidth="1"/>
    <col min="5933" max="5934" width="6.140625" style="4" customWidth="1"/>
    <col min="5935" max="5935" width="5.28515625" style="4" customWidth="1"/>
    <col min="5936" max="5936" width="65.28515625" style="4" customWidth="1"/>
    <col min="5937" max="5937" width="13.28515625" style="4" customWidth="1"/>
    <col min="5938" max="5942" width="6.7109375" style="4" customWidth="1"/>
    <col min="5943" max="5944" width="11.42578125" style="4"/>
    <col min="5945" max="5945" width="5.28515625" style="4" customWidth="1"/>
    <col min="5946" max="5946" width="65.28515625" style="4" customWidth="1"/>
    <col min="5947" max="5947" width="13.28515625" style="4" customWidth="1"/>
    <col min="5948" max="5952" width="6.7109375" style="4" customWidth="1"/>
    <col min="5953" max="6156" width="11.42578125" style="4"/>
    <col min="6157" max="6158" width="6.140625" style="4" customWidth="1"/>
    <col min="6159" max="6159" width="50.42578125" style="4" customWidth="1"/>
    <col min="6160" max="6160" width="11.5703125" style="4" customWidth="1"/>
    <col min="6161" max="6165" width="6.7109375" style="4" customWidth="1"/>
    <col min="6166" max="6166" width="9.85546875" style="4" customWidth="1"/>
    <col min="6167" max="6169" width="6.140625" style="4" customWidth="1"/>
    <col min="6170" max="6170" width="50.42578125" style="4" customWidth="1"/>
    <col min="6171" max="6171" width="11.5703125" style="4" customWidth="1"/>
    <col min="6172" max="6176" width="6.7109375" style="4" customWidth="1"/>
    <col min="6177" max="6177" width="9.85546875" style="4" customWidth="1"/>
    <col min="6178" max="6180" width="6.140625" style="4" customWidth="1"/>
    <col min="6181" max="6181" width="49" style="4" customWidth="1"/>
    <col min="6182" max="6182" width="10.85546875" style="4" customWidth="1"/>
    <col min="6183" max="6187" width="6.7109375" style="4" customWidth="1"/>
    <col min="6188" max="6188" width="10" style="4" customWidth="1"/>
    <col min="6189" max="6190" width="6.140625" style="4" customWidth="1"/>
    <col min="6191" max="6191" width="5.28515625" style="4" customWidth="1"/>
    <col min="6192" max="6192" width="65.28515625" style="4" customWidth="1"/>
    <col min="6193" max="6193" width="13.28515625" style="4" customWidth="1"/>
    <col min="6194" max="6198" width="6.7109375" style="4" customWidth="1"/>
    <col min="6199" max="6200" width="11.42578125" style="4"/>
    <col min="6201" max="6201" width="5.28515625" style="4" customWidth="1"/>
    <col min="6202" max="6202" width="65.28515625" style="4" customWidth="1"/>
    <col min="6203" max="6203" width="13.28515625" style="4" customWidth="1"/>
    <col min="6204" max="6208" width="6.7109375" style="4" customWidth="1"/>
    <col min="6209" max="6412" width="11.42578125" style="4"/>
    <col min="6413" max="6414" width="6.140625" style="4" customWidth="1"/>
    <col min="6415" max="6415" width="50.42578125" style="4" customWidth="1"/>
    <col min="6416" max="6416" width="11.5703125" style="4" customWidth="1"/>
    <col min="6417" max="6421" width="6.7109375" style="4" customWidth="1"/>
    <col min="6422" max="6422" width="9.85546875" style="4" customWidth="1"/>
    <col min="6423" max="6425" width="6.140625" style="4" customWidth="1"/>
    <col min="6426" max="6426" width="50.42578125" style="4" customWidth="1"/>
    <col min="6427" max="6427" width="11.5703125" style="4" customWidth="1"/>
    <col min="6428" max="6432" width="6.7109375" style="4" customWidth="1"/>
    <col min="6433" max="6433" width="9.85546875" style="4" customWidth="1"/>
    <col min="6434" max="6436" width="6.140625" style="4" customWidth="1"/>
    <col min="6437" max="6437" width="49" style="4" customWidth="1"/>
    <col min="6438" max="6438" width="10.85546875" style="4" customWidth="1"/>
    <col min="6439" max="6443" width="6.7109375" style="4" customWidth="1"/>
    <col min="6444" max="6444" width="10" style="4" customWidth="1"/>
    <col min="6445" max="6446" width="6.140625" style="4" customWidth="1"/>
    <col min="6447" max="6447" width="5.28515625" style="4" customWidth="1"/>
    <col min="6448" max="6448" width="65.28515625" style="4" customWidth="1"/>
    <col min="6449" max="6449" width="13.28515625" style="4" customWidth="1"/>
    <col min="6450" max="6454" width="6.7109375" style="4" customWidth="1"/>
    <col min="6455" max="6456" width="11.42578125" style="4"/>
    <col min="6457" max="6457" width="5.28515625" style="4" customWidth="1"/>
    <col min="6458" max="6458" width="65.28515625" style="4" customWidth="1"/>
    <col min="6459" max="6459" width="13.28515625" style="4" customWidth="1"/>
    <col min="6460" max="6464" width="6.7109375" style="4" customWidth="1"/>
    <col min="6465" max="6668" width="11.42578125" style="4"/>
    <col min="6669" max="6670" width="6.140625" style="4" customWidth="1"/>
    <col min="6671" max="6671" width="50.42578125" style="4" customWidth="1"/>
    <col min="6672" max="6672" width="11.5703125" style="4" customWidth="1"/>
    <col min="6673" max="6677" width="6.7109375" style="4" customWidth="1"/>
    <col min="6678" max="6678" width="9.85546875" style="4" customWidth="1"/>
    <col min="6679" max="6681" width="6.140625" style="4" customWidth="1"/>
    <col min="6682" max="6682" width="50.42578125" style="4" customWidth="1"/>
    <col min="6683" max="6683" width="11.5703125" style="4" customWidth="1"/>
    <col min="6684" max="6688" width="6.7109375" style="4" customWidth="1"/>
    <col min="6689" max="6689" width="9.85546875" style="4" customWidth="1"/>
    <col min="6690" max="6692" width="6.140625" style="4" customWidth="1"/>
    <col min="6693" max="6693" width="49" style="4" customWidth="1"/>
    <col min="6694" max="6694" width="10.85546875" style="4" customWidth="1"/>
    <col min="6695" max="6699" width="6.7109375" style="4" customWidth="1"/>
    <col min="6700" max="6700" width="10" style="4" customWidth="1"/>
    <col min="6701" max="6702" width="6.140625" style="4" customWidth="1"/>
    <col min="6703" max="6703" width="5.28515625" style="4" customWidth="1"/>
    <col min="6704" max="6704" width="65.28515625" style="4" customWidth="1"/>
    <col min="6705" max="6705" width="13.28515625" style="4" customWidth="1"/>
    <col min="6706" max="6710" width="6.7109375" style="4" customWidth="1"/>
    <col min="6711" max="6712" width="11.42578125" style="4"/>
    <col min="6713" max="6713" width="5.28515625" style="4" customWidth="1"/>
    <col min="6714" max="6714" width="65.28515625" style="4" customWidth="1"/>
    <col min="6715" max="6715" width="13.28515625" style="4" customWidth="1"/>
    <col min="6716" max="6720" width="6.7109375" style="4" customWidth="1"/>
    <col min="6721" max="6924" width="11.42578125" style="4"/>
    <col min="6925" max="6926" width="6.140625" style="4" customWidth="1"/>
    <col min="6927" max="6927" width="50.42578125" style="4" customWidth="1"/>
    <col min="6928" max="6928" width="11.5703125" style="4" customWidth="1"/>
    <col min="6929" max="6933" width="6.7109375" style="4" customWidth="1"/>
    <col min="6934" max="6934" width="9.85546875" style="4" customWidth="1"/>
    <col min="6935" max="6937" width="6.140625" style="4" customWidth="1"/>
    <col min="6938" max="6938" width="50.42578125" style="4" customWidth="1"/>
    <col min="6939" max="6939" width="11.5703125" style="4" customWidth="1"/>
    <col min="6940" max="6944" width="6.7109375" style="4" customWidth="1"/>
    <col min="6945" max="6945" width="9.85546875" style="4" customWidth="1"/>
    <col min="6946" max="6948" width="6.140625" style="4" customWidth="1"/>
    <col min="6949" max="6949" width="49" style="4" customWidth="1"/>
    <col min="6950" max="6950" width="10.85546875" style="4" customWidth="1"/>
    <col min="6951" max="6955" width="6.7109375" style="4" customWidth="1"/>
    <col min="6956" max="6956" width="10" style="4" customWidth="1"/>
    <col min="6957" max="6958" width="6.140625" style="4" customWidth="1"/>
    <col min="6959" max="6959" width="5.28515625" style="4" customWidth="1"/>
    <col min="6960" max="6960" width="65.28515625" style="4" customWidth="1"/>
    <col min="6961" max="6961" width="13.28515625" style="4" customWidth="1"/>
    <col min="6962" max="6966" width="6.7109375" style="4" customWidth="1"/>
    <col min="6967" max="6968" width="11.42578125" style="4"/>
    <col min="6969" max="6969" width="5.28515625" style="4" customWidth="1"/>
    <col min="6970" max="6970" width="65.28515625" style="4" customWidth="1"/>
    <col min="6971" max="6971" width="13.28515625" style="4" customWidth="1"/>
    <col min="6972" max="6976" width="6.7109375" style="4" customWidth="1"/>
    <col min="6977" max="7180" width="11.42578125" style="4"/>
    <col min="7181" max="7182" width="6.140625" style="4" customWidth="1"/>
    <col min="7183" max="7183" width="50.42578125" style="4" customWidth="1"/>
    <col min="7184" max="7184" width="11.5703125" style="4" customWidth="1"/>
    <col min="7185" max="7189" width="6.7109375" style="4" customWidth="1"/>
    <col min="7190" max="7190" width="9.85546875" style="4" customWidth="1"/>
    <col min="7191" max="7193" width="6.140625" style="4" customWidth="1"/>
    <col min="7194" max="7194" width="50.42578125" style="4" customWidth="1"/>
    <col min="7195" max="7195" width="11.5703125" style="4" customWidth="1"/>
    <col min="7196" max="7200" width="6.7109375" style="4" customWidth="1"/>
    <col min="7201" max="7201" width="9.85546875" style="4" customWidth="1"/>
    <col min="7202" max="7204" width="6.140625" style="4" customWidth="1"/>
    <col min="7205" max="7205" width="49" style="4" customWidth="1"/>
    <col min="7206" max="7206" width="10.85546875" style="4" customWidth="1"/>
    <col min="7207" max="7211" width="6.7109375" style="4" customWidth="1"/>
    <col min="7212" max="7212" width="10" style="4" customWidth="1"/>
    <col min="7213" max="7214" width="6.140625" style="4" customWidth="1"/>
    <col min="7215" max="7215" width="5.28515625" style="4" customWidth="1"/>
    <col min="7216" max="7216" width="65.28515625" style="4" customWidth="1"/>
    <col min="7217" max="7217" width="13.28515625" style="4" customWidth="1"/>
    <col min="7218" max="7222" width="6.7109375" style="4" customWidth="1"/>
    <col min="7223" max="7224" width="11.42578125" style="4"/>
    <col min="7225" max="7225" width="5.28515625" style="4" customWidth="1"/>
    <col min="7226" max="7226" width="65.28515625" style="4" customWidth="1"/>
    <col min="7227" max="7227" width="13.28515625" style="4" customWidth="1"/>
    <col min="7228" max="7232" width="6.7109375" style="4" customWidth="1"/>
    <col min="7233" max="7436" width="11.42578125" style="4"/>
    <col min="7437" max="7438" width="6.140625" style="4" customWidth="1"/>
    <col min="7439" max="7439" width="50.42578125" style="4" customWidth="1"/>
    <col min="7440" max="7440" width="11.5703125" style="4" customWidth="1"/>
    <col min="7441" max="7445" width="6.7109375" style="4" customWidth="1"/>
    <col min="7446" max="7446" width="9.85546875" style="4" customWidth="1"/>
    <col min="7447" max="7449" width="6.140625" style="4" customWidth="1"/>
    <col min="7450" max="7450" width="50.42578125" style="4" customWidth="1"/>
    <col min="7451" max="7451" width="11.5703125" style="4" customWidth="1"/>
    <col min="7452" max="7456" width="6.7109375" style="4" customWidth="1"/>
    <col min="7457" max="7457" width="9.85546875" style="4" customWidth="1"/>
    <col min="7458" max="7460" width="6.140625" style="4" customWidth="1"/>
    <col min="7461" max="7461" width="49" style="4" customWidth="1"/>
    <col min="7462" max="7462" width="10.85546875" style="4" customWidth="1"/>
    <col min="7463" max="7467" width="6.7109375" style="4" customWidth="1"/>
    <col min="7468" max="7468" width="10" style="4" customWidth="1"/>
    <col min="7469" max="7470" width="6.140625" style="4" customWidth="1"/>
    <col min="7471" max="7471" width="5.28515625" style="4" customWidth="1"/>
    <col min="7472" max="7472" width="65.28515625" style="4" customWidth="1"/>
    <col min="7473" max="7473" width="13.28515625" style="4" customWidth="1"/>
    <col min="7474" max="7478" width="6.7109375" style="4" customWidth="1"/>
    <col min="7479" max="7480" width="11.42578125" style="4"/>
    <col min="7481" max="7481" width="5.28515625" style="4" customWidth="1"/>
    <col min="7482" max="7482" width="65.28515625" style="4" customWidth="1"/>
    <col min="7483" max="7483" width="13.28515625" style="4" customWidth="1"/>
    <col min="7484" max="7488" width="6.7109375" style="4" customWidth="1"/>
    <col min="7489" max="7692" width="11.42578125" style="4"/>
    <col min="7693" max="7694" width="6.140625" style="4" customWidth="1"/>
    <col min="7695" max="7695" width="50.42578125" style="4" customWidth="1"/>
    <col min="7696" max="7696" width="11.5703125" style="4" customWidth="1"/>
    <col min="7697" max="7701" width="6.7109375" style="4" customWidth="1"/>
    <col min="7702" max="7702" width="9.85546875" style="4" customWidth="1"/>
    <col min="7703" max="7705" width="6.140625" style="4" customWidth="1"/>
    <col min="7706" max="7706" width="50.42578125" style="4" customWidth="1"/>
    <col min="7707" max="7707" width="11.5703125" style="4" customWidth="1"/>
    <col min="7708" max="7712" width="6.7109375" style="4" customWidth="1"/>
    <col min="7713" max="7713" width="9.85546875" style="4" customWidth="1"/>
    <col min="7714" max="7716" width="6.140625" style="4" customWidth="1"/>
    <col min="7717" max="7717" width="49" style="4" customWidth="1"/>
    <col min="7718" max="7718" width="10.85546875" style="4" customWidth="1"/>
    <col min="7719" max="7723" width="6.7109375" style="4" customWidth="1"/>
    <col min="7724" max="7724" width="10" style="4" customWidth="1"/>
    <col min="7725" max="7726" width="6.140625" style="4" customWidth="1"/>
    <col min="7727" max="7727" width="5.28515625" style="4" customWidth="1"/>
    <col min="7728" max="7728" width="65.28515625" style="4" customWidth="1"/>
    <col min="7729" max="7729" width="13.28515625" style="4" customWidth="1"/>
    <col min="7730" max="7734" width="6.7109375" style="4" customWidth="1"/>
    <col min="7735" max="7736" width="11.42578125" style="4"/>
    <col min="7737" max="7737" width="5.28515625" style="4" customWidth="1"/>
    <col min="7738" max="7738" width="65.28515625" style="4" customWidth="1"/>
    <col min="7739" max="7739" width="13.28515625" style="4" customWidth="1"/>
    <col min="7740" max="7744" width="6.7109375" style="4" customWidth="1"/>
    <col min="7745" max="7948" width="11.42578125" style="4"/>
    <col min="7949" max="7950" width="6.140625" style="4" customWidth="1"/>
    <col min="7951" max="7951" width="50.42578125" style="4" customWidth="1"/>
    <col min="7952" max="7952" width="11.5703125" style="4" customWidth="1"/>
    <col min="7953" max="7957" width="6.7109375" style="4" customWidth="1"/>
    <col min="7958" max="7958" width="9.85546875" style="4" customWidth="1"/>
    <col min="7959" max="7961" width="6.140625" style="4" customWidth="1"/>
    <col min="7962" max="7962" width="50.42578125" style="4" customWidth="1"/>
    <col min="7963" max="7963" width="11.5703125" style="4" customWidth="1"/>
    <col min="7964" max="7968" width="6.7109375" style="4" customWidth="1"/>
    <col min="7969" max="7969" width="9.85546875" style="4" customWidth="1"/>
    <col min="7970" max="7972" width="6.140625" style="4" customWidth="1"/>
    <col min="7973" max="7973" width="49" style="4" customWidth="1"/>
    <col min="7974" max="7974" width="10.85546875" style="4" customWidth="1"/>
    <col min="7975" max="7979" width="6.7109375" style="4" customWidth="1"/>
    <col min="7980" max="7980" width="10" style="4" customWidth="1"/>
    <col min="7981" max="7982" width="6.140625" style="4" customWidth="1"/>
    <col min="7983" max="7983" width="5.28515625" style="4" customWidth="1"/>
    <col min="7984" max="7984" width="65.28515625" style="4" customWidth="1"/>
    <col min="7985" max="7985" width="13.28515625" style="4" customWidth="1"/>
    <col min="7986" max="7990" width="6.7109375" style="4" customWidth="1"/>
    <col min="7991" max="7992" width="11.42578125" style="4"/>
    <col min="7993" max="7993" width="5.28515625" style="4" customWidth="1"/>
    <col min="7994" max="7994" width="65.28515625" style="4" customWidth="1"/>
    <col min="7995" max="7995" width="13.28515625" style="4" customWidth="1"/>
    <col min="7996" max="8000" width="6.7109375" style="4" customWidth="1"/>
    <col min="8001" max="8204" width="11.42578125" style="4"/>
    <col min="8205" max="8206" width="6.140625" style="4" customWidth="1"/>
    <col min="8207" max="8207" width="50.42578125" style="4" customWidth="1"/>
    <col min="8208" max="8208" width="11.5703125" style="4" customWidth="1"/>
    <col min="8209" max="8213" width="6.7109375" style="4" customWidth="1"/>
    <col min="8214" max="8214" width="9.85546875" style="4" customWidth="1"/>
    <col min="8215" max="8217" width="6.140625" style="4" customWidth="1"/>
    <col min="8218" max="8218" width="50.42578125" style="4" customWidth="1"/>
    <col min="8219" max="8219" width="11.5703125" style="4" customWidth="1"/>
    <col min="8220" max="8224" width="6.7109375" style="4" customWidth="1"/>
    <col min="8225" max="8225" width="9.85546875" style="4" customWidth="1"/>
    <col min="8226" max="8228" width="6.140625" style="4" customWidth="1"/>
    <col min="8229" max="8229" width="49" style="4" customWidth="1"/>
    <col min="8230" max="8230" width="10.85546875" style="4" customWidth="1"/>
    <col min="8231" max="8235" width="6.7109375" style="4" customWidth="1"/>
    <col min="8236" max="8236" width="10" style="4" customWidth="1"/>
    <col min="8237" max="8238" width="6.140625" style="4" customWidth="1"/>
    <col min="8239" max="8239" width="5.28515625" style="4" customWidth="1"/>
    <col min="8240" max="8240" width="65.28515625" style="4" customWidth="1"/>
    <col min="8241" max="8241" width="13.28515625" style="4" customWidth="1"/>
    <col min="8242" max="8246" width="6.7109375" style="4" customWidth="1"/>
    <col min="8247" max="8248" width="11.42578125" style="4"/>
    <col min="8249" max="8249" width="5.28515625" style="4" customWidth="1"/>
    <col min="8250" max="8250" width="65.28515625" style="4" customWidth="1"/>
    <col min="8251" max="8251" width="13.28515625" style="4" customWidth="1"/>
    <col min="8252" max="8256" width="6.7109375" style="4" customWidth="1"/>
    <col min="8257" max="8460" width="11.42578125" style="4"/>
    <col min="8461" max="8462" width="6.140625" style="4" customWidth="1"/>
    <col min="8463" max="8463" width="50.42578125" style="4" customWidth="1"/>
    <col min="8464" max="8464" width="11.5703125" style="4" customWidth="1"/>
    <col min="8465" max="8469" width="6.7109375" style="4" customWidth="1"/>
    <col min="8470" max="8470" width="9.85546875" style="4" customWidth="1"/>
    <col min="8471" max="8473" width="6.140625" style="4" customWidth="1"/>
    <col min="8474" max="8474" width="50.42578125" style="4" customWidth="1"/>
    <col min="8475" max="8475" width="11.5703125" style="4" customWidth="1"/>
    <col min="8476" max="8480" width="6.7109375" style="4" customWidth="1"/>
    <col min="8481" max="8481" width="9.85546875" style="4" customWidth="1"/>
    <col min="8482" max="8484" width="6.140625" style="4" customWidth="1"/>
    <col min="8485" max="8485" width="49" style="4" customWidth="1"/>
    <col min="8486" max="8486" width="10.85546875" style="4" customWidth="1"/>
    <col min="8487" max="8491" width="6.7109375" style="4" customWidth="1"/>
    <col min="8492" max="8492" width="10" style="4" customWidth="1"/>
    <col min="8493" max="8494" width="6.140625" style="4" customWidth="1"/>
    <col min="8495" max="8495" width="5.28515625" style="4" customWidth="1"/>
    <col min="8496" max="8496" width="65.28515625" style="4" customWidth="1"/>
    <col min="8497" max="8497" width="13.28515625" style="4" customWidth="1"/>
    <col min="8498" max="8502" width="6.7109375" style="4" customWidth="1"/>
    <col min="8503" max="8504" width="11.42578125" style="4"/>
    <col min="8505" max="8505" width="5.28515625" style="4" customWidth="1"/>
    <col min="8506" max="8506" width="65.28515625" style="4" customWidth="1"/>
    <col min="8507" max="8507" width="13.28515625" style="4" customWidth="1"/>
    <col min="8508" max="8512" width="6.7109375" style="4" customWidth="1"/>
    <col min="8513" max="8716" width="11.42578125" style="4"/>
    <col min="8717" max="8718" width="6.140625" style="4" customWidth="1"/>
    <col min="8719" max="8719" width="50.42578125" style="4" customWidth="1"/>
    <col min="8720" max="8720" width="11.5703125" style="4" customWidth="1"/>
    <col min="8721" max="8725" width="6.7109375" style="4" customWidth="1"/>
    <col min="8726" max="8726" width="9.85546875" style="4" customWidth="1"/>
    <col min="8727" max="8729" width="6.140625" style="4" customWidth="1"/>
    <col min="8730" max="8730" width="50.42578125" style="4" customWidth="1"/>
    <col min="8731" max="8731" width="11.5703125" style="4" customWidth="1"/>
    <col min="8732" max="8736" width="6.7109375" style="4" customWidth="1"/>
    <col min="8737" max="8737" width="9.85546875" style="4" customWidth="1"/>
    <col min="8738" max="8740" width="6.140625" style="4" customWidth="1"/>
    <col min="8741" max="8741" width="49" style="4" customWidth="1"/>
    <col min="8742" max="8742" width="10.85546875" style="4" customWidth="1"/>
    <col min="8743" max="8747" width="6.7109375" style="4" customWidth="1"/>
    <col min="8748" max="8748" width="10" style="4" customWidth="1"/>
    <col min="8749" max="8750" width="6.140625" style="4" customWidth="1"/>
    <col min="8751" max="8751" width="5.28515625" style="4" customWidth="1"/>
    <col min="8752" max="8752" width="65.28515625" style="4" customWidth="1"/>
    <col min="8753" max="8753" width="13.28515625" style="4" customWidth="1"/>
    <col min="8754" max="8758" width="6.7109375" style="4" customWidth="1"/>
    <col min="8759" max="8760" width="11.42578125" style="4"/>
    <col min="8761" max="8761" width="5.28515625" style="4" customWidth="1"/>
    <col min="8762" max="8762" width="65.28515625" style="4" customWidth="1"/>
    <col min="8763" max="8763" width="13.28515625" style="4" customWidth="1"/>
    <col min="8764" max="8768" width="6.7109375" style="4" customWidth="1"/>
    <col min="8769" max="8972" width="11.42578125" style="4"/>
    <col min="8973" max="8974" width="6.140625" style="4" customWidth="1"/>
    <col min="8975" max="8975" width="50.42578125" style="4" customWidth="1"/>
    <col min="8976" max="8976" width="11.5703125" style="4" customWidth="1"/>
    <col min="8977" max="8981" width="6.7109375" style="4" customWidth="1"/>
    <col min="8982" max="8982" width="9.85546875" style="4" customWidth="1"/>
    <col min="8983" max="8985" width="6.140625" style="4" customWidth="1"/>
    <col min="8986" max="8986" width="50.42578125" style="4" customWidth="1"/>
    <col min="8987" max="8987" width="11.5703125" style="4" customWidth="1"/>
    <col min="8988" max="8992" width="6.7109375" style="4" customWidth="1"/>
    <col min="8993" max="8993" width="9.85546875" style="4" customWidth="1"/>
    <col min="8994" max="8996" width="6.140625" style="4" customWidth="1"/>
    <col min="8997" max="8997" width="49" style="4" customWidth="1"/>
    <col min="8998" max="8998" width="10.85546875" style="4" customWidth="1"/>
    <col min="8999" max="9003" width="6.7109375" style="4" customWidth="1"/>
    <col min="9004" max="9004" width="10" style="4" customWidth="1"/>
    <col min="9005" max="9006" width="6.140625" style="4" customWidth="1"/>
    <col min="9007" max="9007" width="5.28515625" style="4" customWidth="1"/>
    <col min="9008" max="9008" width="65.28515625" style="4" customWidth="1"/>
    <col min="9009" max="9009" width="13.28515625" style="4" customWidth="1"/>
    <col min="9010" max="9014" width="6.7109375" style="4" customWidth="1"/>
    <col min="9015" max="9016" width="11.42578125" style="4"/>
    <col min="9017" max="9017" width="5.28515625" style="4" customWidth="1"/>
    <col min="9018" max="9018" width="65.28515625" style="4" customWidth="1"/>
    <col min="9019" max="9019" width="13.28515625" style="4" customWidth="1"/>
    <col min="9020" max="9024" width="6.7109375" style="4" customWidth="1"/>
    <col min="9025" max="9228" width="11.42578125" style="4"/>
    <col min="9229" max="9230" width="6.140625" style="4" customWidth="1"/>
    <col min="9231" max="9231" width="50.42578125" style="4" customWidth="1"/>
    <col min="9232" max="9232" width="11.5703125" style="4" customWidth="1"/>
    <col min="9233" max="9237" width="6.7109375" style="4" customWidth="1"/>
    <col min="9238" max="9238" width="9.85546875" style="4" customWidth="1"/>
    <col min="9239" max="9241" width="6.140625" style="4" customWidth="1"/>
    <col min="9242" max="9242" width="50.42578125" style="4" customWidth="1"/>
    <col min="9243" max="9243" width="11.5703125" style="4" customWidth="1"/>
    <col min="9244" max="9248" width="6.7109375" style="4" customWidth="1"/>
    <col min="9249" max="9249" width="9.85546875" style="4" customWidth="1"/>
    <col min="9250" max="9252" width="6.140625" style="4" customWidth="1"/>
    <col min="9253" max="9253" width="49" style="4" customWidth="1"/>
    <col min="9254" max="9254" width="10.85546875" style="4" customWidth="1"/>
    <col min="9255" max="9259" width="6.7109375" style="4" customWidth="1"/>
    <col min="9260" max="9260" width="10" style="4" customWidth="1"/>
    <col min="9261" max="9262" width="6.140625" style="4" customWidth="1"/>
    <col min="9263" max="9263" width="5.28515625" style="4" customWidth="1"/>
    <col min="9264" max="9264" width="65.28515625" style="4" customWidth="1"/>
    <col min="9265" max="9265" width="13.28515625" style="4" customWidth="1"/>
    <col min="9266" max="9270" width="6.7109375" style="4" customWidth="1"/>
    <col min="9271" max="9272" width="11.42578125" style="4"/>
    <col min="9273" max="9273" width="5.28515625" style="4" customWidth="1"/>
    <col min="9274" max="9274" width="65.28515625" style="4" customWidth="1"/>
    <col min="9275" max="9275" width="13.28515625" style="4" customWidth="1"/>
    <col min="9276" max="9280" width="6.7109375" style="4" customWidth="1"/>
    <col min="9281" max="9484" width="11.42578125" style="4"/>
    <col min="9485" max="9486" width="6.140625" style="4" customWidth="1"/>
    <col min="9487" max="9487" width="50.42578125" style="4" customWidth="1"/>
    <col min="9488" max="9488" width="11.5703125" style="4" customWidth="1"/>
    <col min="9489" max="9493" width="6.7109375" style="4" customWidth="1"/>
    <col min="9494" max="9494" width="9.85546875" style="4" customWidth="1"/>
    <col min="9495" max="9497" width="6.140625" style="4" customWidth="1"/>
    <col min="9498" max="9498" width="50.42578125" style="4" customWidth="1"/>
    <col min="9499" max="9499" width="11.5703125" style="4" customWidth="1"/>
    <col min="9500" max="9504" width="6.7109375" style="4" customWidth="1"/>
    <col min="9505" max="9505" width="9.85546875" style="4" customWidth="1"/>
    <col min="9506" max="9508" width="6.140625" style="4" customWidth="1"/>
    <col min="9509" max="9509" width="49" style="4" customWidth="1"/>
    <col min="9510" max="9510" width="10.85546875" style="4" customWidth="1"/>
    <col min="9511" max="9515" width="6.7109375" style="4" customWidth="1"/>
    <col min="9516" max="9516" width="10" style="4" customWidth="1"/>
    <col min="9517" max="9518" width="6.140625" style="4" customWidth="1"/>
    <col min="9519" max="9519" width="5.28515625" style="4" customWidth="1"/>
    <col min="9520" max="9520" width="65.28515625" style="4" customWidth="1"/>
    <col min="9521" max="9521" width="13.28515625" style="4" customWidth="1"/>
    <col min="9522" max="9526" width="6.7109375" style="4" customWidth="1"/>
    <col min="9527" max="9528" width="11.42578125" style="4"/>
    <col min="9529" max="9529" width="5.28515625" style="4" customWidth="1"/>
    <col min="9530" max="9530" width="65.28515625" style="4" customWidth="1"/>
    <col min="9531" max="9531" width="13.28515625" style="4" customWidth="1"/>
    <col min="9532" max="9536" width="6.7109375" style="4" customWidth="1"/>
    <col min="9537" max="9740" width="11.42578125" style="4"/>
    <col min="9741" max="9742" width="6.140625" style="4" customWidth="1"/>
    <col min="9743" max="9743" width="50.42578125" style="4" customWidth="1"/>
    <col min="9744" max="9744" width="11.5703125" style="4" customWidth="1"/>
    <col min="9745" max="9749" width="6.7109375" style="4" customWidth="1"/>
    <col min="9750" max="9750" width="9.85546875" style="4" customWidth="1"/>
    <col min="9751" max="9753" width="6.140625" style="4" customWidth="1"/>
    <col min="9754" max="9754" width="50.42578125" style="4" customWidth="1"/>
    <col min="9755" max="9755" width="11.5703125" style="4" customWidth="1"/>
    <col min="9756" max="9760" width="6.7109375" style="4" customWidth="1"/>
    <col min="9761" max="9761" width="9.85546875" style="4" customWidth="1"/>
    <col min="9762" max="9764" width="6.140625" style="4" customWidth="1"/>
    <col min="9765" max="9765" width="49" style="4" customWidth="1"/>
    <col min="9766" max="9766" width="10.85546875" style="4" customWidth="1"/>
    <col min="9767" max="9771" width="6.7109375" style="4" customWidth="1"/>
    <col min="9772" max="9772" width="10" style="4" customWidth="1"/>
    <col min="9773" max="9774" width="6.140625" style="4" customWidth="1"/>
    <col min="9775" max="9775" width="5.28515625" style="4" customWidth="1"/>
    <col min="9776" max="9776" width="65.28515625" style="4" customWidth="1"/>
    <col min="9777" max="9777" width="13.28515625" style="4" customWidth="1"/>
    <col min="9778" max="9782" width="6.7109375" style="4" customWidth="1"/>
    <col min="9783" max="9784" width="11.42578125" style="4"/>
    <col min="9785" max="9785" width="5.28515625" style="4" customWidth="1"/>
    <col min="9786" max="9786" width="65.28515625" style="4" customWidth="1"/>
    <col min="9787" max="9787" width="13.28515625" style="4" customWidth="1"/>
    <col min="9788" max="9792" width="6.7109375" style="4" customWidth="1"/>
    <col min="9793" max="9996" width="11.42578125" style="4"/>
    <col min="9997" max="9998" width="6.140625" style="4" customWidth="1"/>
    <col min="9999" max="9999" width="50.42578125" style="4" customWidth="1"/>
    <col min="10000" max="10000" width="11.5703125" style="4" customWidth="1"/>
    <col min="10001" max="10005" width="6.7109375" style="4" customWidth="1"/>
    <col min="10006" max="10006" width="9.85546875" style="4" customWidth="1"/>
    <col min="10007" max="10009" width="6.140625" style="4" customWidth="1"/>
    <col min="10010" max="10010" width="50.42578125" style="4" customWidth="1"/>
    <col min="10011" max="10011" width="11.5703125" style="4" customWidth="1"/>
    <col min="10012" max="10016" width="6.7109375" style="4" customWidth="1"/>
    <col min="10017" max="10017" width="9.85546875" style="4" customWidth="1"/>
    <col min="10018" max="10020" width="6.140625" style="4" customWidth="1"/>
    <col min="10021" max="10021" width="49" style="4" customWidth="1"/>
    <col min="10022" max="10022" width="10.85546875" style="4" customWidth="1"/>
    <col min="10023" max="10027" width="6.7109375" style="4" customWidth="1"/>
    <col min="10028" max="10028" width="10" style="4" customWidth="1"/>
    <col min="10029" max="10030" width="6.140625" style="4" customWidth="1"/>
    <col min="10031" max="10031" width="5.28515625" style="4" customWidth="1"/>
    <col min="10032" max="10032" width="65.28515625" style="4" customWidth="1"/>
    <col min="10033" max="10033" width="13.28515625" style="4" customWidth="1"/>
    <col min="10034" max="10038" width="6.7109375" style="4" customWidth="1"/>
    <col min="10039" max="10040" width="11.42578125" style="4"/>
    <col min="10041" max="10041" width="5.28515625" style="4" customWidth="1"/>
    <col min="10042" max="10042" width="65.28515625" style="4" customWidth="1"/>
    <col min="10043" max="10043" width="13.28515625" style="4" customWidth="1"/>
    <col min="10044" max="10048" width="6.7109375" style="4" customWidth="1"/>
    <col min="10049" max="10252" width="11.42578125" style="4"/>
    <col min="10253" max="10254" width="6.140625" style="4" customWidth="1"/>
    <col min="10255" max="10255" width="50.42578125" style="4" customWidth="1"/>
    <col min="10256" max="10256" width="11.5703125" style="4" customWidth="1"/>
    <col min="10257" max="10261" width="6.7109375" style="4" customWidth="1"/>
    <col min="10262" max="10262" width="9.85546875" style="4" customWidth="1"/>
    <col min="10263" max="10265" width="6.140625" style="4" customWidth="1"/>
    <col min="10266" max="10266" width="50.42578125" style="4" customWidth="1"/>
    <col min="10267" max="10267" width="11.5703125" style="4" customWidth="1"/>
    <col min="10268" max="10272" width="6.7109375" style="4" customWidth="1"/>
    <col min="10273" max="10273" width="9.85546875" style="4" customWidth="1"/>
    <col min="10274" max="10276" width="6.140625" style="4" customWidth="1"/>
    <col min="10277" max="10277" width="49" style="4" customWidth="1"/>
    <col min="10278" max="10278" width="10.85546875" style="4" customWidth="1"/>
    <col min="10279" max="10283" width="6.7109375" style="4" customWidth="1"/>
    <col min="10284" max="10284" width="10" style="4" customWidth="1"/>
    <col min="10285" max="10286" width="6.140625" style="4" customWidth="1"/>
    <col min="10287" max="10287" width="5.28515625" style="4" customWidth="1"/>
    <col min="10288" max="10288" width="65.28515625" style="4" customWidth="1"/>
    <col min="10289" max="10289" width="13.28515625" style="4" customWidth="1"/>
    <col min="10290" max="10294" width="6.7109375" style="4" customWidth="1"/>
    <col min="10295" max="10296" width="11.42578125" style="4"/>
    <col min="10297" max="10297" width="5.28515625" style="4" customWidth="1"/>
    <col min="10298" max="10298" width="65.28515625" style="4" customWidth="1"/>
    <col min="10299" max="10299" width="13.28515625" style="4" customWidth="1"/>
    <col min="10300" max="10304" width="6.7109375" style="4" customWidth="1"/>
    <col min="10305" max="10508" width="11.42578125" style="4"/>
    <col min="10509" max="10510" width="6.140625" style="4" customWidth="1"/>
    <col min="10511" max="10511" width="50.42578125" style="4" customWidth="1"/>
    <col min="10512" max="10512" width="11.5703125" style="4" customWidth="1"/>
    <col min="10513" max="10517" width="6.7109375" style="4" customWidth="1"/>
    <col min="10518" max="10518" width="9.85546875" style="4" customWidth="1"/>
    <col min="10519" max="10521" width="6.140625" style="4" customWidth="1"/>
    <col min="10522" max="10522" width="50.42578125" style="4" customWidth="1"/>
    <col min="10523" max="10523" width="11.5703125" style="4" customWidth="1"/>
    <col min="10524" max="10528" width="6.7109375" style="4" customWidth="1"/>
    <col min="10529" max="10529" width="9.85546875" style="4" customWidth="1"/>
    <col min="10530" max="10532" width="6.140625" style="4" customWidth="1"/>
    <col min="10533" max="10533" width="49" style="4" customWidth="1"/>
    <col min="10534" max="10534" width="10.85546875" style="4" customWidth="1"/>
    <col min="10535" max="10539" width="6.7109375" style="4" customWidth="1"/>
    <col min="10540" max="10540" width="10" style="4" customWidth="1"/>
    <col min="10541" max="10542" width="6.140625" style="4" customWidth="1"/>
    <col min="10543" max="10543" width="5.28515625" style="4" customWidth="1"/>
    <col min="10544" max="10544" width="65.28515625" style="4" customWidth="1"/>
    <col min="10545" max="10545" width="13.28515625" style="4" customWidth="1"/>
    <col min="10546" max="10550" width="6.7109375" style="4" customWidth="1"/>
    <col min="10551" max="10552" width="11.42578125" style="4"/>
    <col min="10553" max="10553" width="5.28515625" style="4" customWidth="1"/>
    <col min="10554" max="10554" width="65.28515625" style="4" customWidth="1"/>
    <col min="10555" max="10555" width="13.28515625" style="4" customWidth="1"/>
    <col min="10556" max="10560" width="6.7109375" style="4" customWidth="1"/>
    <col min="10561" max="10764" width="11.42578125" style="4"/>
    <col min="10765" max="10766" width="6.140625" style="4" customWidth="1"/>
    <col min="10767" max="10767" width="50.42578125" style="4" customWidth="1"/>
    <col min="10768" max="10768" width="11.5703125" style="4" customWidth="1"/>
    <col min="10769" max="10773" width="6.7109375" style="4" customWidth="1"/>
    <col min="10774" max="10774" width="9.85546875" style="4" customWidth="1"/>
    <col min="10775" max="10777" width="6.140625" style="4" customWidth="1"/>
    <col min="10778" max="10778" width="50.42578125" style="4" customWidth="1"/>
    <col min="10779" max="10779" width="11.5703125" style="4" customWidth="1"/>
    <col min="10780" max="10784" width="6.7109375" style="4" customWidth="1"/>
    <col min="10785" max="10785" width="9.85546875" style="4" customWidth="1"/>
    <col min="10786" max="10788" width="6.140625" style="4" customWidth="1"/>
    <col min="10789" max="10789" width="49" style="4" customWidth="1"/>
    <col min="10790" max="10790" width="10.85546875" style="4" customWidth="1"/>
    <col min="10791" max="10795" width="6.7109375" style="4" customWidth="1"/>
    <col min="10796" max="10796" width="10" style="4" customWidth="1"/>
    <col min="10797" max="10798" width="6.140625" style="4" customWidth="1"/>
    <col min="10799" max="10799" width="5.28515625" style="4" customWidth="1"/>
    <col min="10800" max="10800" width="65.28515625" style="4" customWidth="1"/>
    <col min="10801" max="10801" width="13.28515625" style="4" customWidth="1"/>
    <col min="10802" max="10806" width="6.7109375" style="4" customWidth="1"/>
    <col min="10807" max="10808" width="11.42578125" style="4"/>
    <col min="10809" max="10809" width="5.28515625" style="4" customWidth="1"/>
    <col min="10810" max="10810" width="65.28515625" style="4" customWidth="1"/>
    <col min="10811" max="10811" width="13.28515625" style="4" customWidth="1"/>
    <col min="10812" max="10816" width="6.7109375" style="4" customWidth="1"/>
    <col min="10817" max="11020" width="11.42578125" style="4"/>
    <col min="11021" max="11022" width="6.140625" style="4" customWidth="1"/>
    <col min="11023" max="11023" width="50.42578125" style="4" customWidth="1"/>
    <col min="11024" max="11024" width="11.5703125" style="4" customWidth="1"/>
    <col min="11025" max="11029" width="6.7109375" style="4" customWidth="1"/>
    <col min="11030" max="11030" width="9.85546875" style="4" customWidth="1"/>
    <col min="11031" max="11033" width="6.140625" style="4" customWidth="1"/>
    <col min="11034" max="11034" width="50.42578125" style="4" customWidth="1"/>
    <col min="11035" max="11035" width="11.5703125" style="4" customWidth="1"/>
    <col min="11036" max="11040" width="6.7109375" style="4" customWidth="1"/>
    <col min="11041" max="11041" width="9.85546875" style="4" customWidth="1"/>
    <col min="11042" max="11044" width="6.140625" style="4" customWidth="1"/>
    <col min="11045" max="11045" width="49" style="4" customWidth="1"/>
    <col min="11046" max="11046" width="10.85546875" style="4" customWidth="1"/>
    <col min="11047" max="11051" width="6.7109375" style="4" customWidth="1"/>
    <col min="11052" max="11052" width="10" style="4" customWidth="1"/>
    <col min="11053" max="11054" width="6.140625" style="4" customWidth="1"/>
    <col min="11055" max="11055" width="5.28515625" style="4" customWidth="1"/>
    <col min="11056" max="11056" width="65.28515625" style="4" customWidth="1"/>
    <col min="11057" max="11057" width="13.28515625" style="4" customWidth="1"/>
    <col min="11058" max="11062" width="6.7109375" style="4" customWidth="1"/>
    <col min="11063" max="11064" width="11.42578125" style="4"/>
    <col min="11065" max="11065" width="5.28515625" style="4" customWidth="1"/>
    <col min="11066" max="11066" width="65.28515625" style="4" customWidth="1"/>
    <col min="11067" max="11067" width="13.28515625" style="4" customWidth="1"/>
    <col min="11068" max="11072" width="6.7109375" style="4" customWidth="1"/>
    <col min="11073" max="11276" width="11.42578125" style="4"/>
    <col min="11277" max="11278" width="6.140625" style="4" customWidth="1"/>
    <col min="11279" max="11279" width="50.42578125" style="4" customWidth="1"/>
    <col min="11280" max="11280" width="11.5703125" style="4" customWidth="1"/>
    <col min="11281" max="11285" width="6.7109375" style="4" customWidth="1"/>
    <col min="11286" max="11286" width="9.85546875" style="4" customWidth="1"/>
    <col min="11287" max="11289" width="6.140625" style="4" customWidth="1"/>
    <col min="11290" max="11290" width="50.42578125" style="4" customWidth="1"/>
    <col min="11291" max="11291" width="11.5703125" style="4" customWidth="1"/>
    <col min="11292" max="11296" width="6.7109375" style="4" customWidth="1"/>
    <col min="11297" max="11297" width="9.85546875" style="4" customWidth="1"/>
    <col min="11298" max="11300" width="6.140625" style="4" customWidth="1"/>
    <col min="11301" max="11301" width="49" style="4" customWidth="1"/>
    <col min="11302" max="11302" width="10.85546875" style="4" customWidth="1"/>
    <col min="11303" max="11307" width="6.7109375" style="4" customWidth="1"/>
    <col min="11308" max="11308" width="10" style="4" customWidth="1"/>
    <col min="11309" max="11310" width="6.140625" style="4" customWidth="1"/>
    <col min="11311" max="11311" width="5.28515625" style="4" customWidth="1"/>
    <col min="11312" max="11312" width="65.28515625" style="4" customWidth="1"/>
    <col min="11313" max="11313" width="13.28515625" style="4" customWidth="1"/>
    <col min="11314" max="11318" width="6.7109375" style="4" customWidth="1"/>
    <col min="11319" max="11320" width="11.42578125" style="4"/>
    <col min="11321" max="11321" width="5.28515625" style="4" customWidth="1"/>
    <col min="11322" max="11322" width="65.28515625" style="4" customWidth="1"/>
    <col min="11323" max="11323" width="13.28515625" style="4" customWidth="1"/>
    <col min="11324" max="11328" width="6.7109375" style="4" customWidth="1"/>
    <col min="11329" max="11532" width="11.42578125" style="4"/>
    <col min="11533" max="11534" width="6.140625" style="4" customWidth="1"/>
    <col min="11535" max="11535" width="50.42578125" style="4" customWidth="1"/>
    <col min="11536" max="11536" width="11.5703125" style="4" customWidth="1"/>
    <col min="11537" max="11541" width="6.7109375" style="4" customWidth="1"/>
    <col min="11542" max="11542" width="9.85546875" style="4" customWidth="1"/>
    <col min="11543" max="11545" width="6.140625" style="4" customWidth="1"/>
    <col min="11546" max="11546" width="50.42578125" style="4" customWidth="1"/>
    <col min="11547" max="11547" width="11.5703125" style="4" customWidth="1"/>
    <col min="11548" max="11552" width="6.7109375" style="4" customWidth="1"/>
    <col min="11553" max="11553" width="9.85546875" style="4" customWidth="1"/>
    <col min="11554" max="11556" width="6.140625" style="4" customWidth="1"/>
    <col min="11557" max="11557" width="49" style="4" customWidth="1"/>
    <col min="11558" max="11558" width="10.85546875" style="4" customWidth="1"/>
    <col min="11559" max="11563" width="6.7109375" style="4" customWidth="1"/>
    <col min="11564" max="11564" width="10" style="4" customWidth="1"/>
    <col min="11565" max="11566" width="6.140625" style="4" customWidth="1"/>
    <col min="11567" max="11567" width="5.28515625" style="4" customWidth="1"/>
    <col min="11568" max="11568" width="65.28515625" style="4" customWidth="1"/>
    <col min="11569" max="11569" width="13.28515625" style="4" customWidth="1"/>
    <col min="11570" max="11574" width="6.7109375" style="4" customWidth="1"/>
    <col min="11575" max="11576" width="11.42578125" style="4"/>
    <col min="11577" max="11577" width="5.28515625" style="4" customWidth="1"/>
    <col min="11578" max="11578" width="65.28515625" style="4" customWidth="1"/>
    <col min="11579" max="11579" width="13.28515625" style="4" customWidth="1"/>
    <col min="11580" max="11584" width="6.7109375" style="4" customWidth="1"/>
    <col min="11585" max="11788" width="11.42578125" style="4"/>
    <col min="11789" max="11790" width="6.140625" style="4" customWidth="1"/>
    <col min="11791" max="11791" width="50.42578125" style="4" customWidth="1"/>
    <col min="11792" max="11792" width="11.5703125" style="4" customWidth="1"/>
    <col min="11793" max="11797" width="6.7109375" style="4" customWidth="1"/>
    <col min="11798" max="11798" width="9.85546875" style="4" customWidth="1"/>
    <col min="11799" max="11801" width="6.140625" style="4" customWidth="1"/>
    <col min="11802" max="11802" width="50.42578125" style="4" customWidth="1"/>
    <col min="11803" max="11803" width="11.5703125" style="4" customWidth="1"/>
    <col min="11804" max="11808" width="6.7109375" style="4" customWidth="1"/>
    <col min="11809" max="11809" width="9.85546875" style="4" customWidth="1"/>
    <col min="11810" max="11812" width="6.140625" style="4" customWidth="1"/>
    <col min="11813" max="11813" width="49" style="4" customWidth="1"/>
    <col min="11814" max="11814" width="10.85546875" style="4" customWidth="1"/>
    <col min="11815" max="11819" width="6.7109375" style="4" customWidth="1"/>
    <col min="11820" max="11820" width="10" style="4" customWidth="1"/>
    <col min="11821" max="11822" width="6.140625" style="4" customWidth="1"/>
    <col min="11823" max="11823" width="5.28515625" style="4" customWidth="1"/>
    <col min="11824" max="11824" width="65.28515625" style="4" customWidth="1"/>
    <col min="11825" max="11825" width="13.28515625" style="4" customWidth="1"/>
    <col min="11826" max="11830" width="6.7109375" style="4" customWidth="1"/>
    <col min="11831" max="11832" width="11.42578125" style="4"/>
    <col min="11833" max="11833" width="5.28515625" style="4" customWidth="1"/>
    <col min="11834" max="11834" width="65.28515625" style="4" customWidth="1"/>
    <col min="11835" max="11835" width="13.28515625" style="4" customWidth="1"/>
    <col min="11836" max="11840" width="6.7109375" style="4" customWidth="1"/>
    <col min="11841" max="12044" width="11.42578125" style="4"/>
    <col min="12045" max="12046" width="6.140625" style="4" customWidth="1"/>
    <col min="12047" max="12047" width="50.42578125" style="4" customWidth="1"/>
    <col min="12048" max="12048" width="11.5703125" style="4" customWidth="1"/>
    <col min="12049" max="12053" width="6.7109375" style="4" customWidth="1"/>
    <col min="12054" max="12054" width="9.85546875" style="4" customWidth="1"/>
    <col min="12055" max="12057" width="6.140625" style="4" customWidth="1"/>
    <col min="12058" max="12058" width="50.42578125" style="4" customWidth="1"/>
    <col min="12059" max="12059" width="11.5703125" style="4" customWidth="1"/>
    <col min="12060" max="12064" width="6.7109375" style="4" customWidth="1"/>
    <col min="12065" max="12065" width="9.85546875" style="4" customWidth="1"/>
    <col min="12066" max="12068" width="6.140625" style="4" customWidth="1"/>
    <col min="12069" max="12069" width="49" style="4" customWidth="1"/>
    <col min="12070" max="12070" width="10.85546875" style="4" customWidth="1"/>
    <col min="12071" max="12075" width="6.7109375" style="4" customWidth="1"/>
    <col min="12076" max="12076" width="10" style="4" customWidth="1"/>
    <col min="12077" max="12078" width="6.140625" style="4" customWidth="1"/>
    <col min="12079" max="12079" width="5.28515625" style="4" customWidth="1"/>
    <col min="12080" max="12080" width="65.28515625" style="4" customWidth="1"/>
    <col min="12081" max="12081" width="13.28515625" style="4" customWidth="1"/>
    <col min="12082" max="12086" width="6.7109375" style="4" customWidth="1"/>
    <col min="12087" max="12088" width="11.42578125" style="4"/>
    <col min="12089" max="12089" width="5.28515625" style="4" customWidth="1"/>
    <col min="12090" max="12090" width="65.28515625" style="4" customWidth="1"/>
    <col min="12091" max="12091" width="13.28515625" style="4" customWidth="1"/>
    <col min="12092" max="12096" width="6.7109375" style="4" customWidth="1"/>
    <col min="12097" max="12300" width="11.42578125" style="4"/>
    <col min="12301" max="12302" width="6.140625" style="4" customWidth="1"/>
    <col min="12303" max="12303" width="50.42578125" style="4" customWidth="1"/>
    <col min="12304" max="12304" width="11.5703125" style="4" customWidth="1"/>
    <col min="12305" max="12309" width="6.7109375" style="4" customWidth="1"/>
    <col min="12310" max="12310" width="9.85546875" style="4" customWidth="1"/>
    <col min="12311" max="12313" width="6.140625" style="4" customWidth="1"/>
    <col min="12314" max="12314" width="50.42578125" style="4" customWidth="1"/>
    <col min="12315" max="12315" width="11.5703125" style="4" customWidth="1"/>
    <col min="12316" max="12320" width="6.7109375" style="4" customWidth="1"/>
    <col min="12321" max="12321" width="9.85546875" style="4" customWidth="1"/>
    <col min="12322" max="12324" width="6.140625" style="4" customWidth="1"/>
    <col min="12325" max="12325" width="49" style="4" customWidth="1"/>
    <col min="12326" max="12326" width="10.85546875" style="4" customWidth="1"/>
    <col min="12327" max="12331" width="6.7109375" style="4" customWidth="1"/>
    <col min="12332" max="12332" width="10" style="4" customWidth="1"/>
    <col min="12333" max="12334" width="6.140625" style="4" customWidth="1"/>
    <col min="12335" max="12335" width="5.28515625" style="4" customWidth="1"/>
    <col min="12336" max="12336" width="65.28515625" style="4" customWidth="1"/>
    <col min="12337" max="12337" width="13.28515625" style="4" customWidth="1"/>
    <col min="12338" max="12342" width="6.7109375" style="4" customWidth="1"/>
    <col min="12343" max="12344" width="11.42578125" style="4"/>
    <col min="12345" max="12345" width="5.28515625" style="4" customWidth="1"/>
    <col min="12346" max="12346" width="65.28515625" style="4" customWidth="1"/>
    <col min="12347" max="12347" width="13.28515625" style="4" customWidth="1"/>
    <col min="12348" max="12352" width="6.7109375" style="4" customWidth="1"/>
    <col min="12353" max="12556" width="11.42578125" style="4"/>
    <col min="12557" max="12558" width="6.140625" style="4" customWidth="1"/>
    <col min="12559" max="12559" width="50.42578125" style="4" customWidth="1"/>
    <col min="12560" max="12560" width="11.5703125" style="4" customWidth="1"/>
    <col min="12561" max="12565" width="6.7109375" style="4" customWidth="1"/>
    <col min="12566" max="12566" width="9.85546875" style="4" customWidth="1"/>
    <col min="12567" max="12569" width="6.140625" style="4" customWidth="1"/>
    <col min="12570" max="12570" width="50.42578125" style="4" customWidth="1"/>
    <col min="12571" max="12571" width="11.5703125" style="4" customWidth="1"/>
    <col min="12572" max="12576" width="6.7109375" style="4" customWidth="1"/>
    <col min="12577" max="12577" width="9.85546875" style="4" customWidth="1"/>
    <col min="12578" max="12580" width="6.140625" style="4" customWidth="1"/>
    <col min="12581" max="12581" width="49" style="4" customWidth="1"/>
    <col min="12582" max="12582" width="10.85546875" style="4" customWidth="1"/>
    <col min="12583" max="12587" width="6.7109375" style="4" customWidth="1"/>
    <col min="12588" max="12588" width="10" style="4" customWidth="1"/>
    <col min="12589" max="12590" width="6.140625" style="4" customWidth="1"/>
    <col min="12591" max="12591" width="5.28515625" style="4" customWidth="1"/>
    <col min="12592" max="12592" width="65.28515625" style="4" customWidth="1"/>
    <col min="12593" max="12593" width="13.28515625" style="4" customWidth="1"/>
    <col min="12594" max="12598" width="6.7109375" style="4" customWidth="1"/>
    <col min="12599" max="12600" width="11.42578125" style="4"/>
    <col min="12601" max="12601" width="5.28515625" style="4" customWidth="1"/>
    <col min="12602" max="12602" width="65.28515625" style="4" customWidth="1"/>
    <col min="12603" max="12603" width="13.28515625" style="4" customWidth="1"/>
    <col min="12604" max="12608" width="6.7109375" style="4" customWidth="1"/>
    <col min="12609" max="12812" width="11.42578125" style="4"/>
    <col min="12813" max="12814" width="6.140625" style="4" customWidth="1"/>
    <col min="12815" max="12815" width="50.42578125" style="4" customWidth="1"/>
    <col min="12816" max="12816" width="11.5703125" style="4" customWidth="1"/>
    <col min="12817" max="12821" width="6.7109375" style="4" customWidth="1"/>
    <col min="12822" max="12822" width="9.85546875" style="4" customWidth="1"/>
    <col min="12823" max="12825" width="6.140625" style="4" customWidth="1"/>
    <col min="12826" max="12826" width="50.42578125" style="4" customWidth="1"/>
    <col min="12827" max="12827" width="11.5703125" style="4" customWidth="1"/>
    <col min="12828" max="12832" width="6.7109375" style="4" customWidth="1"/>
    <col min="12833" max="12833" width="9.85546875" style="4" customWidth="1"/>
    <col min="12834" max="12836" width="6.140625" style="4" customWidth="1"/>
    <col min="12837" max="12837" width="49" style="4" customWidth="1"/>
    <col min="12838" max="12838" width="10.85546875" style="4" customWidth="1"/>
    <col min="12839" max="12843" width="6.7109375" style="4" customWidth="1"/>
    <col min="12844" max="12844" width="10" style="4" customWidth="1"/>
    <col min="12845" max="12846" width="6.140625" style="4" customWidth="1"/>
    <col min="12847" max="12847" width="5.28515625" style="4" customWidth="1"/>
    <col min="12848" max="12848" width="65.28515625" style="4" customWidth="1"/>
    <col min="12849" max="12849" width="13.28515625" style="4" customWidth="1"/>
    <col min="12850" max="12854" width="6.7109375" style="4" customWidth="1"/>
    <col min="12855" max="12856" width="11.42578125" style="4"/>
    <col min="12857" max="12857" width="5.28515625" style="4" customWidth="1"/>
    <col min="12858" max="12858" width="65.28515625" style="4" customWidth="1"/>
    <col min="12859" max="12859" width="13.28515625" style="4" customWidth="1"/>
    <col min="12860" max="12864" width="6.7109375" style="4" customWidth="1"/>
    <col min="12865" max="13068" width="11.42578125" style="4"/>
    <col min="13069" max="13070" width="6.140625" style="4" customWidth="1"/>
    <col min="13071" max="13071" width="50.42578125" style="4" customWidth="1"/>
    <col min="13072" max="13072" width="11.5703125" style="4" customWidth="1"/>
    <col min="13073" max="13077" width="6.7109375" style="4" customWidth="1"/>
    <col min="13078" max="13078" width="9.85546875" style="4" customWidth="1"/>
    <col min="13079" max="13081" width="6.140625" style="4" customWidth="1"/>
    <col min="13082" max="13082" width="50.42578125" style="4" customWidth="1"/>
    <col min="13083" max="13083" width="11.5703125" style="4" customWidth="1"/>
    <col min="13084" max="13088" width="6.7109375" style="4" customWidth="1"/>
    <col min="13089" max="13089" width="9.85546875" style="4" customWidth="1"/>
    <col min="13090" max="13092" width="6.140625" style="4" customWidth="1"/>
    <col min="13093" max="13093" width="49" style="4" customWidth="1"/>
    <col min="13094" max="13094" width="10.85546875" style="4" customWidth="1"/>
    <col min="13095" max="13099" width="6.7109375" style="4" customWidth="1"/>
    <col min="13100" max="13100" width="10" style="4" customWidth="1"/>
    <col min="13101" max="13102" width="6.140625" style="4" customWidth="1"/>
    <col min="13103" max="13103" width="5.28515625" style="4" customWidth="1"/>
    <col min="13104" max="13104" width="65.28515625" style="4" customWidth="1"/>
    <col min="13105" max="13105" width="13.28515625" style="4" customWidth="1"/>
    <col min="13106" max="13110" width="6.7109375" style="4" customWidth="1"/>
    <col min="13111" max="13112" width="11.42578125" style="4"/>
    <col min="13113" max="13113" width="5.28515625" style="4" customWidth="1"/>
    <col min="13114" max="13114" width="65.28515625" style="4" customWidth="1"/>
    <col min="13115" max="13115" width="13.28515625" style="4" customWidth="1"/>
    <col min="13116" max="13120" width="6.7109375" style="4" customWidth="1"/>
    <col min="13121" max="13324" width="11.42578125" style="4"/>
    <col min="13325" max="13326" width="6.140625" style="4" customWidth="1"/>
    <col min="13327" max="13327" width="50.42578125" style="4" customWidth="1"/>
    <col min="13328" max="13328" width="11.5703125" style="4" customWidth="1"/>
    <col min="13329" max="13333" width="6.7109375" style="4" customWidth="1"/>
    <col min="13334" max="13334" width="9.85546875" style="4" customWidth="1"/>
    <col min="13335" max="13337" width="6.140625" style="4" customWidth="1"/>
    <col min="13338" max="13338" width="50.42578125" style="4" customWidth="1"/>
    <col min="13339" max="13339" width="11.5703125" style="4" customWidth="1"/>
    <col min="13340" max="13344" width="6.7109375" style="4" customWidth="1"/>
    <col min="13345" max="13345" width="9.85546875" style="4" customWidth="1"/>
    <col min="13346" max="13348" width="6.140625" style="4" customWidth="1"/>
    <col min="13349" max="13349" width="49" style="4" customWidth="1"/>
    <col min="13350" max="13350" width="10.85546875" style="4" customWidth="1"/>
    <col min="13351" max="13355" width="6.7109375" style="4" customWidth="1"/>
    <col min="13356" max="13356" width="10" style="4" customWidth="1"/>
    <col min="13357" max="13358" width="6.140625" style="4" customWidth="1"/>
    <col min="13359" max="13359" width="5.28515625" style="4" customWidth="1"/>
    <col min="13360" max="13360" width="65.28515625" style="4" customWidth="1"/>
    <col min="13361" max="13361" width="13.28515625" style="4" customWidth="1"/>
    <col min="13362" max="13366" width="6.7109375" style="4" customWidth="1"/>
    <col min="13367" max="13368" width="11.42578125" style="4"/>
    <col min="13369" max="13369" width="5.28515625" style="4" customWidth="1"/>
    <col min="13370" max="13370" width="65.28515625" style="4" customWidth="1"/>
    <col min="13371" max="13371" width="13.28515625" style="4" customWidth="1"/>
    <col min="13372" max="13376" width="6.7109375" style="4" customWidth="1"/>
    <col min="13377" max="13580" width="11.42578125" style="4"/>
    <col min="13581" max="13582" width="6.140625" style="4" customWidth="1"/>
    <col min="13583" max="13583" width="50.42578125" style="4" customWidth="1"/>
    <col min="13584" max="13584" width="11.5703125" style="4" customWidth="1"/>
    <col min="13585" max="13589" width="6.7109375" style="4" customWidth="1"/>
    <col min="13590" max="13590" width="9.85546875" style="4" customWidth="1"/>
    <col min="13591" max="13593" width="6.140625" style="4" customWidth="1"/>
    <col min="13594" max="13594" width="50.42578125" style="4" customWidth="1"/>
    <col min="13595" max="13595" width="11.5703125" style="4" customWidth="1"/>
    <col min="13596" max="13600" width="6.7109375" style="4" customWidth="1"/>
    <col min="13601" max="13601" width="9.85546875" style="4" customWidth="1"/>
    <col min="13602" max="13604" width="6.140625" style="4" customWidth="1"/>
    <col min="13605" max="13605" width="49" style="4" customWidth="1"/>
    <col min="13606" max="13606" width="10.85546875" style="4" customWidth="1"/>
    <col min="13607" max="13611" width="6.7109375" style="4" customWidth="1"/>
    <col min="13612" max="13612" width="10" style="4" customWidth="1"/>
    <col min="13613" max="13614" width="6.140625" style="4" customWidth="1"/>
    <col min="13615" max="13615" width="5.28515625" style="4" customWidth="1"/>
    <col min="13616" max="13616" width="65.28515625" style="4" customWidth="1"/>
    <col min="13617" max="13617" width="13.28515625" style="4" customWidth="1"/>
    <col min="13618" max="13622" width="6.7109375" style="4" customWidth="1"/>
    <col min="13623" max="13624" width="11.42578125" style="4"/>
    <col min="13625" max="13625" width="5.28515625" style="4" customWidth="1"/>
    <col min="13626" max="13626" width="65.28515625" style="4" customWidth="1"/>
    <col min="13627" max="13627" width="13.28515625" style="4" customWidth="1"/>
    <col min="13628" max="13632" width="6.7109375" style="4" customWidth="1"/>
    <col min="13633" max="13836" width="11.42578125" style="4"/>
    <col min="13837" max="13838" width="6.140625" style="4" customWidth="1"/>
    <col min="13839" max="13839" width="50.42578125" style="4" customWidth="1"/>
    <col min="13840" max="13840" width="11.5703125" style="4" customWidth="1"/>
    <col min="13841" max="13845" width="6.7109375" style="4" customWidth="1"/>
    <col min="13846" max="13846" width="9.85546875" style="4" customWidth="1"/>
    <col min="13847" max="13849" width="6.140625" style="4" customWidth="1"/>
    <col min="13850" max="13850" width="50.42578125" style="4" customWidth="1"/>
    <col min="13851" max="13851" width="11.5703125" style="4" customWidth="1"/>
    <col min="13852" max="13856" width="6.7109375" style="4" customWidth="1"/>
    <col min="13857" max="13857" width="9.85546875" style="4" customWidth="1"/>
    <col min="13858" max="13860" width="6.140625" style="4" customWidth="1"/>
    <col min="13861" max="13861" width="49" style="4" customWidth="1"/>
    <col min="13862" max="13862" width="10.85546875" style="4" customWidth="1"/>
    <col min="13863" max="13867" width="6.7109375" style="4" customWidth="1"/>
    <col min="13868" max="13868" width="10" style="4" customWidth="1"/>
    <col min="13869" max="13870" width="6.140625" style="4" customWidth="1"/>
    <col min="13871" max="13871" width="5.28515625" style="4" customWidth="1"/>
    <col min="13872" max="13872" width="65.28515625" style="4" customWidth="1"/>
    <col min="13873" max="13873" width="13.28515625" style="4" customWidth="1"/>
    <col min="13874" max="13878" width="6.7109375" style="4" customWidth="1"/>
    <col min="13879" max="13880" width="11.42578125" style="4"/>
    <col min="13881" max="13881" width="5.28515625" style="4" customWidth="1"/>
    <col min="13882" max="13882" width="65.28515625" style="4" customWidth="1"/>
    <col min="13883" max="13883" width="13.28515625" style="4" customWidth="1"/>
    <col min="13884" max="13888" width="6.7109375" style="4" customWidth="1"/>
    <col min="13889" max="14092" width="11.42578125" style="4"/>
    <col min="14093" max="14094" width="6.140625" style="4" customWidth="1"/>
    <col min="14095" max="14095" width="50.42578125" style="4" customWidth="1"/>
    <col min="14096" max="14096" width="11.5703125" style="4" customWidth="1"/>
    <col min="14097" max="14101" width="6.7109375" style="4" customWidth="1"/>
    <col min="14102" max="14102" width="9.85546875" style="4" customWidth="1"/>
    <col min="14103" max="14105" width="6.140625" style="4" customWidth="1"/>
    <col min="14106" max="14106" width="50.42578125" style="4" customWidth="1"/>
    <col min="14107" max="14107" width="11.5703125" style="4" customWidth="1"/>
    <col min="14108" max="14112" width="6.7109375" style="4" customWidth="1"/>
    <col min="14113" max="14113" width="9.85546875" style="4" customWidth="1"/>
    <col min="14114" max="14116" width="6.140625" style="4" customWidth="1"/>
    <col min="14117" max="14117" width="49" style="4" customWidth="1"/>
    <col min="14118" max="14118" width="10.85546875" style="4" customWidth="1"/>
    <col min="14119" max="14123" width="6.7109375" style="4" customWidth="1"/>
    <col min="14124" max="14124" width="10" style="4" customWidth="1"/>
    <col min="14125" max="14126" width="6.140625" style="4" customWidth="1"/>
    <col min="14127" max="14127" width="5.28515625" style="4" customWidth="1"/>
    <col min="14128" max="14128" width="65.28515625" style="4" customWidth="1"/>
    <col min="14129" max="14129" width="13.28515625" style="4" customWidth="1"/>
    <col min="14130" max="14134" width="6.7109375" style="4" customWidth="1"/>
    <col min="14135" max="14136" width="11.42578125" style="4"/>
    <col min="14137" max="14137" width="5.28515625" style="4" customWidth="1"/>
    <col min="14138" max="14138" width="65.28515625" style="4" customWidth="1"/>
    <col min="14139" max="14139" width="13.28515625" style="4" customWidth="1"/>
    <col min="14140" max="14144" width="6.7109375" style="4" customWidth="1"/>
    <col min="14145" max="14348" width="11.42578125" style="4"/>
    <col min="14349" max="14350" width="6.140625" style="4" customWidth="1"/>
    <col min="14351" max="14351" width="50.42578125" style="4" customWidth="1"/>
    <col min="14352" max="14352" width="11.5703125" style="4" customWidth="1"/>
    <col min="14353" max="14357" width="6.7109375" style="4" customWidth="1"/>
    <col min="14358" max="14358" width="9.85546875" style="4" customWidth="1"/>
    <col min="14359" max="14361" width="6.140625" style="4" customWidth="1"/>
    <col min="14362" max="14362" width="50.42578125" style="4" customWidth="1"/>
    <col min="14363" max="14363" width="11.5703125" style="4" customWidth="1"/>
    <col min="14364" max="14368" width="6.7109375" style="4" customWidth="1"/>
    <col min="14369" max="14369" width="9.85546875" style="4" customWidth="1"/>
    <col min="14370" max="14372" width="6.140625" style="4" customWidth="1"/>
    <col min="14373" max="14373" width="49" style="4" customWidth="1"/>
    <col min="14374" max="14374" width="10.85546875" style="4" customWidth="1"/>
    <col min="14375" max="14379" width="6.7109375" style="4" customWidth="1"/>
    <col min="14380" max="14380" width="10" style="4" customWidth="1"/>
    <col min="14381" max="14382" width="6.140625" style="4" customWidth="1"/>
    <col min="14383" max="14383" width="5.28515625" style="4" customWidth="1"/>
    <col min="14384" max="14384" width="65.28515625" style="4" customWidth="1"/>
    <col min="14385" max="14385" width="13.28515625" style="4" customWidth="1"/>
    <col min="14386" max="14390" width="6.7109375" style="4" customWidth="1"/>
    <col min="14391" max="14392" width="11.42578125" style="4"/>
    <col min="14393" max="14393" width="5.28515625" style="4" customWidth="1"/>
    <col min="14394" max="14394" width="65.28515625" style="4" customWidth="1"/>
    <col min="14395" max="14395" width="13.28515625" style="4" customWidth="1"/>
    <col min="14396" max="14400" width="6.7109375" style="4" customWidth="1"/>
    <col min="14401" max="14604" width="11.42578125" style="4"/>
    <col min="14605" max="14606" width="6.140625" style="4" customWidth="1"/>
    <col min="14607" max="14607" width="50.42578125" style="4" customWidth="1"/>
    <col min="14608" max="14608" width="11.5703125" style="4" customWidth="1"/>
    <col min="14609" max="14613" width="6.7109375" style="4" customWidth="1"/>
    <col min="14614" max="14614" width="9.85546875" style="4" customWidth="1"/>
    <col min="14615" max="14617" width="6.140625" style="4" customWidth="1"/>
    <col min="14618" max="14618" width="50.42578125" style="4" customWidth="1"/>
    <col min="14619" max="14619" width="11.5703125" style="4" customWidth="1"/>
    <col min="14620" max="14624" width="6.7109375" style="4" customWidth="1"/>
    <col min="14625" max="14625" width="9.85546875" style="4" customWidth="1"/>
    <col min="14626" max="14628" width="6.140625" style="4" customWidth="1"/>
    <col min="14629" max="14629" width="49" style="4" customWidth="1"/>
    <col min="14630" max="14630" width="10.85546875" style="4" customWidth="1"/>
    <col min="14631" max="14635" width="6.7109375" style="4" customWidth="1"/>
    <col min="14636" max="14636" width="10" style="4" customWidth="1"/>
    <col min="14637" max="14638" width="6.140625" style="4" customWidth="1"/>
    <col min="14639" max="14639" width="5.28515625" style="4" customWidth="1"/>
    <col min="14640" max="14640" width="65.28515625" style="4" customWidth="1"/>
    <col min="14641" max="14641" width="13.28515625" style="4" customWidth="1"/>
    <col min="14642" max="14646" width="6.7109375" style="4" customWidth="1"/>
    <col min="14647" max="14648" width="11.42578125" style="4"/>
    <col min="14649" max="14649" width="5.28515625" style="4" customWidth="1"/>
    <col min="14650" max="14650" width="65.28515625" style="4" customWidth="1"/>
    <col min="14651" max="14651" width="13.28515625" style="4" customWidth="1"/>
    <col min="14652" max="14656" width="6.7109375" style="4" customWidth="1"/>
    <col min="14657" max="14860" width="11.42578125" style="4"/>
    <col min="14861" max="14862" width="6.140625" style="4" customWidth="1"/>
    <col min="14863" max="14863" width="50.42578125" style="4" customWidth="1"/>
    <col min="14864" max="14864" width="11.5703125" style="4" customWidth="1"/>
    <col min="14865" max="14869" width="6.7109375" style="4" customWidth="1"/>
    <col min="14870" max="14870" width="9.85546875" style="4" customWidth="1"/>
    <col min="14871" max="14873" width="6.140625" style="4" customWidth="1"/>
    <col min="14874" max="14874" width="50.42578125" style="4" customWidth="1"/>
    <col min="14875" max="14875" width="11.5703125" style="4" customWidth="1"/>
    <col min="14876" max="14880" width="6.7109375" style="4" customWidth="1"/>
    <col min="14881" max="14881" width="9.85546875" style="4" customWidth="1"/>
    <col min="14882" max="14884" width="6.140625" style="4" customWidth="1"/>
    <col min="14885" max="14885" width="49" style="4" customWidth="1"/>
    <col min="14886" max="14886" width="10.85546875" style="4" customWidth="1"/>
    <col min="14887" max="14891" width="6.7109375" style="4" customWidth="1"/>
    <col min="14892" max="14892" width="10" style="4" customWidth="1"/>
    <col min="14893" max="14894" width="6.140625" style="4" customWidth="1"/>
    <col min="14895" max="14895" width="5.28515625" style="4" customWidth="1"/>
    <col min="14896" max="14896" width="65.28515625" style="4" customWidth="1"/>
    <col min="14897" max="14897" width="13.28515625" style="4" customWidth="1"/>
    <col min="14898" max="14902" width="6.7109375" style="4" customWidth="1"/>
    <col min="14903" max="14904" width="11.42578125" style="4"/>
    <col min="14905" max="14905" width="5.28515625" style="4" customWidth="1"/>
    <col min="14906" max="14906" width="65.28515625" style="4" customWidth="1"/>
    <col min="14907" max="14907" width="13.28515625" style="4" customWidth="1"/>
    <col min="14908" max="14912" width="6.7109375" style="4" customWidth="1"/>
    <col min="14913" max="15116" width="11.42578125" style="4"/>
    <col min="15117" max="15118" width="6.140625" style="4" customWidth="1"/>
    <col min="15119" max="15119" width="50.42578125" style="4" customWidth="1"/>
    <col min="15120" max="15120" width="11.5703125" style="4" customWidth="1"/>
    <col min="15121" max="15125" width="6.7109375" style="4" customWidth="1"/>
    <col min="15126" max="15126" width="9.85546875" style="4" customWidth="1"/>
    <col min="15127" max="15129" width="6.140625" style="4" customWidth="1"/>
    <col min="15130" max="15130" width="50.42578125" style="4" customWidth="1"/>
    <col min="15131" max="15131" width="11.5703125" style="4" customWidth="1"/>
    <col min="15132" max="15136" width="6.7109375" style="4" customWidth="1"/>
    <col min="15137" max="15137" width="9.85546875" style="4" customWidth="1"/>
    <col min="15138" max="15140" width="6.140625" style="4" customWidth="1"/>
    <col min="15141" max="15141" width="49" style="4" customWidth="1"/>
    <col min="15142" max="15142" width="10.85546875" style="4" customWidth="1"/>
    <col min="15143" max="15147" width="6.7109375" style="4" customWidth="1"/>
    <col min="15148" max="15148" width="10" style="4" customWidth="1"/>
    <col min="15149" max="15150" width="6.140625" style="4" customWidth="1"/>
    <col min="15151" max="15151" width="5.28515625" style="4" customWidth="1"/>
    <col min="15152" max="15152" width="65.28515625" style="4" customWidth="1"/>
    <col min="15153" max="15153" width="13.28515625" style="4" customWidth="1"/>
    <col min="15154" max="15158" width="6.7109375" style="4" customWidth="1"/>
    <col min="15159" max="15160" width="11.42578125" style="4"/>
    <col min="15161" max="15161" width="5.28515625" style="4" customWidth="1"/>
    <col min="15162" max="15162" width="65.28515625" style="4" customWidth="1"/>
    <col min="15163" max="15163" width="13.28515625" style="4" customWidth="1"/>
    <col min="15164" max="15168" width="6.7109375" style="4" customWidth="1"/>
    <col min="15169" max="15372" width="11.42578125" style="4"/>
    <col min="15373" max="15374" width="6.140625" style="4" customWidth="1"/>
    <col min="15375" max="15375" width="50.42578125" style="4" customWidth="1"/>
    <col min="15376" max="15376" width="11.5703125" style="4" customWidth="1"/>
    <col min="15377" max="15381" width="6.7109375" style="4" customWidth="1"/>
    <col min="15382" max="15382" width="9.85546875" style="4" customWidth="1"/>
    <col min="15383" max="15385" width="6.140625" style="4" customWidth="1"/>
    <col min="15386" max="15386" width="50.42578125" style="4" customWidth="1"/>
    <col min="15387" max="15387" width="11.5703125" style="4" customWidth="1"/>
    <col min="15388" max="15392" width="6.7109375" style="4" customWidth="1"/>
    <col min="15393" max="15393" width="9.85546875" style="4" customWidth="1"/>
    <col min="15394" max="15396" width="6.140625" style="4" customWidth="1"/>
    <col min="15397" max="15397" width="49" style="4" customWidth="1"/>
    <col min="15398" max="15398" width="10.85546875" style="4" customWidth="1"/>
    <col min="15399" max="15403" width="6.7109375" style="4" customWidth="1"/>
    <col min="15404" max="15404" width="10" style="4" customWidth="1"/>
    <col min="15405" max="15406" width="6.140625" style="4" customWidth="1"/>
    <col min="15407" max="15407" width="5.28515625" style="4" customWidth="1"/>
    <col min="15408" max="15408" width="65.28515625" style="4" customWidth="1"/>
    <col min="15409" max="15409" width="13.28515625" style="4" customWidth="1"/>
    <col min="15410" max="15414" width="6.7109375" style="4" customWidth="1"/>
    <col min="15415" max="15416" width="11.42578125" style="4"/>
    <col min="15417" max="15417" width="5.28515625" style="4" customWidth="1"/>
    <col min="15418" max="15418" width="65.28515625" style="4" customWidth="1"/>
    <col min="15419" max="15419" width="13.28515625" style="4" customWidth="1"/>
    <col min="15420" max="15424" width="6.7109375" style="4" customWidth="1"/>
    <col min="15425" max="15628" width="11.42578125" style="4"/>
    <col min="15629" max="15630" width="6.140625" style="4" customWidth="1"/>
    <col min="15631" max="15631" width="50.42578125" style="4" customWidth="1"/>
    <col min="15632" max="15632" width="11.5703125" style="4" customWidth="1"/>
    <col min="15633" max="15637" width="6.7109375" style="4" customWidth="1"/>
    <col min="15638" max="15638" width="9.85546875" style="4" customWidth="1"/>
    <col min="15639" max="15641" width="6.140625" style="4" customWidth="1"/>
    <col min="15642" max="15642" width="50.42578125" style="4" customWidth="1"/>
    <col min="15643" max="15643" width="11.5703125" style="4" customWidth="1"/>
    <col min="15644" max="15648" width="6.7109375" style="4" customWidth="1"/>
    <col min="15649" max="15649" width="9.85546875" style="4" customWidth="1"/>
    <col min="15650" max="15652" width="6.140625" style="4" customWidth="1"/>
    <col min="15653" max="15653" width="49" style="4" customWidth="1"/>
    <col min="15654" max="15654" width="10.85546875" style="4" customWidth="1"/>
    <col min="15655" max="15659" width="6.7109375" style="4" customWidth="1"/>
    <col min="15660" max="15660" width="10" style="4" customWidth="1"/>
    <col min="15661" max="15662" width="6.140625" style="4" customWidth="1"/>
    <col min="15663" max="15663" width="5.28515625" style="4" customWidth="1"/>
    <col min="15664" max="15664" width="65.28515625" style="4" customWidth="1"/>
    <col min="15665" max="15665" width="13.28515625" style="4" customWidth="1"/>
    <col min="15666" max="15670" width="6.7109375" style="4" customWidth="1"/>
    <col min="15671" max="15672" width="11.42578125" style="4"/>
    <col min="15673" max="15673" width="5.28515625" style="4" customWidth="1"/>
    <col min="15674" max="15674" width="65.28515625" style="4" customWidth="1"/>
    <col min="15675" max="15675" width="13.28515625" style="4" customWidth="1"/>
    <col min="15676" max="15680" width="6.7109375" style="4" customWidth="1"/>
    <col min="15681" max="15884" width="11.42578125" style="4"/>
    <col min="15885" max="15886" width="6.140625" style="4" customWidth="1"/>
    <col min="15887" max="15887" width="50.42578125" style="4" customWidth="1"/>
    <col min="15888" max="15888" width="11.5703125" style="4" customWidth="1"/>
    <col min="15889" max="15893" width="6.7109375" style="4" customWidth="1"/>
    <col min="15894" max="15894" width="9.85546875" style="4" customWidth="1"/>
    <col min="15895" max="15897" width="6.140625" style="4" customWidth="1"/>
    <col min="15898" max="15898" width="50.42578125" style="4" customWidth="1"/>
    <col min="15899" max="15899" width="11.5703125" style="4" customWidth="1"/>
    <col min="15900" max="15904" width="6.7109375" style="4" customWidth="1"/>
    <col min="15905" max="15905" width="9.85546875" style="4" customWidth="1"/>
    <col min="15906" max="15908" width="6.140625" style="4" customWidth="1"/>
    <col min="15909" max="15909" width="49" style="4" customWidth="1"/>
    <col min="15910" max="15910" width="10.85546875" style="4" customWidth="1"/>
    <col min="15911" max="15915" width="6.7109375" style="4" customWidth="1"/>
    <col min="15916" max="15916" width="10" style="4" customWidth="1"/>
    <col min="15917" max="15918" width="6.140625" style="4" customWidth="1"/>
    <col min="15919" max="15919" width="5.28515625" style="4" customWidth="1"/>
    <col min="15920" max="15920" width="65.28515625" style="4" customWidth="1"/>
    <col min="15921" max="15921" width="13.28515625" style="4" customWidth="1"/>
    <col min="15922" max="15926" width="6.7109375" style="4" customWidth="1"/>
    <col min="15927" max="15928" width="11.42578125" style="4"/>
    <col min="15929" max="15929" width="5.28515625" style="4" customWidth="1"/>
    <col min="15930" max="15930" width="65.28515625" style="4" customWidth="1"/>
    <col min="15931" max="15931" width="13.28515625" style="4" customWidth="1"/>
    <col min="15932" max="15936" width="6.7109375" style="4" customWidth="1"/>
    <col min="15937" max="16140" width="11.42578125" style="4"/>
    <col min="16141" max="16142" width="6.140625" style="4" customWidth="1"/>
    <col min="16143" max="16143" width="50.42578125" style="4" customWidth="1"/>
    <col min="16144" max="16144" width="11.5703125" style="4" customWidth="1"/>
    <col min="16145" max="16149" width="6.7109375" style="4" customWidth="1"/>
    <col min="16150" max="16150" width="9.85546875" style="4" customWidth="1"/>
    <col min="16151" max="16153" width="6.140625" style="4" customWidth="1"/>
    <col min="16154" max="16154" width="50.42578125" style="4" customWidth="1"/>
    <col min="16155" max="16155" width="11.5703125" style="4" customWidth="1"/>
    <col min="16156" max="16160" width="6.7109375" style="4" customWidth="1"/>
    <col min="16161" max="16161" width="9.85546875" style="4" customWidth="1"/>
    <col min="16162" max="16164" width="6.140625" style="4" customWidth="1"/>
    <col min="16165" max="16165" width="49" style="4" customWidth="1"/>
    <col min="16166" max="16166" width="10.85546875" style="4" customWidth="1"/>
    <col min="16167" max="16171" width="6.7109375" style="4" customWidth="1"/>
    <col min="16172" max="16172" width="10" style="4" customWidth="1"/>
    <col min="16173" max="16174" width="6.140625" style="4" customWidth="1"/>
    <col min="16175" max="16175" width="5.28515625" style="4" customWidth="1"/>
    <col min="16176" max="16176" width="65.28515625" style="4" customWidth="1"/>
    <col min="16177" max="16177" width="13.28515625" style="4" customWidth="1"/>
    <col min="16178" max="16182" width="6.7109375" style="4" customWidth="1"/>
    <col min="16183" max="16184" width="11.42578125" style="4"/>
    <col min="16185" max="16185" width="5.28515625" style="4" customWidth="1"/>
    <col min="16186" max="16186" width="65.28515625" style="4" customWidth="1"/>
    <col min="16187" max="16187" width="13.28515625" style="4" customWidth="1"/>
    <col min="16188" max="16192" width="6.7109375" style="4" customWidth="1"/>
    <col min="16193" max="16384" width="11.42578125" style="4"/>
  </cols>
  <sheetData>
    <row r="3" spans="2:10" x14ac:dyDescent="0.3">
      <c r="E3" s="9"/>
    </row>
    <row r="4" spans="2:10" x14ac:dyDescent="0.3">
      <c r="E4" s="9"/>
    </row>
    <row r="5" spans="2:10" x14ac:dyDescent="0.3">
      <c r="D5" s="11"/>
      <c r="E5" s="5"/>
      <c r="F5" s="11"/>
      <c r="G5" s="11"/>
      <c r="H5" s="11"/>
      <c r="I5" s="11"/>
    </row>
    <row r="6" spans="2:10" x14ac:dyDescent="0.3">
      <c r="C6" s="6" t="s">
        <v>191</v>
      </c>
      <c r="D6" s="6" t="s">
        <v>6016</v>
      </c>
    </row>
    <row r="7" spans="2:10" x14ac:dyDescent="0.3">
      <c r="D7" s="6"/>
    </row>
    <row r="8" spans="2:10" x14ac:dyDescent="0.3">
      <c r="C8" s="6" t="s">
        <v>192</v>
      </c>
      <c r="D8" s="6" t="s">
        <v>3523</v>
      </c>
    </row>
    <row r="10" spans="2:10" x14ac:dyDescent="0.3">
      <c r="B10" s="4046" t="s">
        <v>431</v>
      </c>
      <c r="C10" s="4123"/>
      <c r="D10" s="4123"/>
      <c r="E10" s="4123"/>
      <c r="F10" s="4123"/>
      <c r="G10" s="4123"/>
      <c r="H10" s="4123"/>
      <c r="I10" s="4123"/>
      <c r="J10" s="4047"/>
    </row>
    <row r="11" spans="2:10" x14ac:dyDescent="0.3">
      <c r="B11" s="6">
        <v>2014</v>
      </c>
    </row>
    <row r="12" spans="2:10" ht="15" customHeight="1" x14ac:dyDescent="0.3">
      <c r="B12" s="4111" t="s">
        <v>62</v>
      </c>
      <c r="C12" s="4111" t="s">
        <v>184</v>
      </c>
      <c r="D12" s="4111" t="s">
        <v>185</v>
      </c>
      <c r="E12" s="4113" t="s">
        <v>186</v>
      </c>
      <c r="F12" s="4114"/>
      <c r="G12" s="4114"/>
      <c r="H12" s="4114"/>
      <c r="I12" s="4115"/>
      <c r="J12" s="4111" t="s">
        <v>0</v>
      </c>
    </row>
    <row r="13" spans="2:10" x14ac:dyDescent="0.3">
      <c r="B13" s="4112"/>
      <c r="C13" s="4112"/>
      <c r="D13" s="4112"/>
      <c r="E13" s="20" t="s">
        <v>271</v>
      </c>
      <c r="F13" s="20" t="s">
        <v>272</v>
      </c>
      <c r="G13" s="20" t="s">
        <v>273</v>
      </c>
      <c r="H13" s="20" t="s">
        <v>274</v>
      </c>
      <c r="I13" s="20" t="s">
        <v>275</v>
      </c>
      <c r="J13" s="4112"/>
    </row>
    <row r="14" spans="2:10" x14ac:dyDescent="0.3">
      <c r="B14" s="10">
        <v>1</v>
      </c>
      <c r="C14" s="7"/>
      <c r="D14" s="234"/>
      <c r="E14" s="235"/>
      <c r="F14" s="235"/>
      <c r="G14" s="235"/>
      <c r="H14" s="235"/>
      <c r="I14" s="235"/>
      <c r="J14" s="262">
        <f>SUM(E14:I14)</f>
        <v>0</v>
      </c>
    </row>
    <row r="15" spans="2:10" ht="15" customHeight="1" x14ac:dyDescent="0.3">
      <c r="B15" s="10">
        <f t="shared" ref="B15:B24" si="0">+B14+1</f>
        <v>2</v>
      </c>
      <c r="C15" s="7"/>
      <c r="D15" s="234"/>
      <c r="E15" s="235"/>
      <c r="F15" s="235"/>
      <c r="G15" s="235"/>
      <c r="H15" s="235"/>
      <c r="I15" s="235"/>
      <c r="J15" s="262">
        <f t="shared" ref="J15:J26" si="1">SUM(E15:I15)</f>
        <v>0</v>
      </c>
    </row>
    <row r="16" spans="2:10" ht="24" customHeight="1" x14ac:dyDescent="0.3">
      <c r="B16" s="10">
        <f t="shared" si="0"/>
        <v>3</v>
      </c>
      <c r="C16" s="7"/>
      <c r="D16" s="234"/>
      <c r="E16" s="235"/>
      <c r="F16" s="235"/>
      <c r="G16" s="235"/>
      <c r="H16" s="235"/>
      <c r="I16" s="235"/>
      <c r="J16" s="262">
        <f t="shared" si="1"/>
        <v>0</v>
      </c>
    </row>
    <row r="17" spans="2:10" x14ac:dyDescent="0.3">
      <c r="B17" s="10">
        <f t="shared" si="0"/>
        <v>4</v>
      </c>
      <c r="C17" s="7"/>
      <c r="D17" s="234"/>
      <c r="E17" s="235"/>
      <c r="F17" s="235"/>
      <c r="G17" s="235"/>
      <c r="H17" s="235"/>
      <c r="I17" s="235"/>
      <c r="J17" s="262">
        <f t="shared" si="1"/>
        <v>0</v>
      </c>
    </row>
    <row r="18" spans="2:10" x14ac:dyDescent="0.3">
      <c r="B18" s="10">
        <f t="shared" si="0"/>
        <v>5</v>
      </c>
      <c r="C18" s="7"/>
      <c r="D18" s="234"/>
      <c r="E18" s="235"/>
      <c r="F18" s="235"/>
      <c r="G18" s="235"/>
      <c r="H18" s="235"/>
      <c r="I18" s="235"/>
      <c r="J18" s="262">
        <f t="shared" si="1"/>
        <v>0</v>
      </c>
    </row>
    <row r="19" spans="2:10" x14ac:dyDescent="0.3">
      <c r="B19" s="10">
        <f t="shared" si="0"/>
        <v>6</v>
      </c>
      <c r="C19" s="7"/>
      <c r="D19" s="234"/>
      <c r="E19" s="235"/>
      <c r="F19" s="235"/>
      <c r="G19" s="235"/>
      <c r="H19" s="235"/>
      <c r="I19" s="235"/>
      <c r="J19" s="262">
        <f t="shared" si="1"/>
        <v>0</v>
      </c>
    </row>
    <row r="20" spans="2:10" x14ac:dyDescent="0.3">
      <c r="B20" s="10">
        <f t="shared" si="0"/>
        <v>7</v>
      </c>
      <c r="C20" s="7"/>
      <c r="D20" s="234"/>
      <c r="E20" s="235"/>
      <c r="F20" s="235"/>
      <c r="G20" s="235"/>
      <c r="H20" s="235"/>
      <c r="I20" s="235"/>
      <c r="J20" s="262">
        <f t="shared" si="1"/>
        <v>0</v>
      </c>
    </row>
    <row r="21" spans="2:10" x14ac:dyDescent="0.3">
      <c r="B21" s="10">
        <f t="shared" si="0"/>
        <v>8</v>
      </c>
      <c r="C21" s="7"/>
      <c r="D21" s="234"/>
      <c r="E21" s="235"/>
      <c r="F21" s="235"/>
      <c r="G21" s="235"/>
      <c r="H21" s="235"/>
      <c r="I21" s="235"/>
      <c r="J21" s="262">
        <f t="shared" si="1"/>
        <v>0</v>
      </c>
    </row>
    <row r="22" spans="2:10" x14ac:dyDescent="0.3">
      <c r="B22" s="10">
        <f t="shared" si="0"/>
        <v>9</v>
      </c>
      <c r="C22" s="7"/>
      <c r="D22" s="234"/>
      <c r="E22" s="235"/>
      <c r="F22" s="235"/>
      <c r="G22" s="235"/>
      <c r="H22" s="235"/>
      <c r="I22" s="235"/>
      <c r="J22" s="262">
        <f t="shared" si="1"/>
        <v>0</v>
      </c>
    </row>
    <row r="23" spans="2:10" x14ac:dyDescent="0.3">
      <c r="B23" s="10">
        <f t="shared" si="0"/>
        <v>10</v>
      </c>
      <c r="C23" s="7"/>
      <c r="D23" s="234"/>
      <c r="E23" s="235"/>
      <c r="F23" s="235"/>
      <c r="G23" s="235"/>
      <c r="H23" s="235"/>
      <c r="I23" s="235"/>
      <c r="J23" s="262">
        <f t="shared" si="1"/>
        <v>0</v>
      </c>
    </row>
    <row r="24" spans="2:10" x14ac:dyDescent="0.3">
      <c r="B24" s="233">
        <f t="shared" si="0"/>
        <v>11</v>
      </c>
      <c r="C24" s="7"/>
      <c r="D24" s="234"/>
      <c r="E24" s="235"/>
      <c r="F24" s="235"/>
      <c r="G24" s="235"/>
      <c r="H24" s="235"/>
      <c r="I24" s="235"/>
      <c r="J24" s="262">
        <f t="shared" si="1"/>
        <v>0</v>
      </c>
    </row>
    <row r="25" spans="2:10" x14ac:dyDescent="0.3">
      <c r="B25" s="10"/>
      <c r="C25" s="7" t="s">
        <v>187</v>
      </c>
      <c r="D25" s="236"/>
      <c r="E25" s="235"/>
      <c r="F25" s="235"/>
      <c r="G25" s="235"/>
      <c r="H25" s="235"/>
      <c r="I25" s="235"/>
      <c r="J25" s="262">
        <f t="shared" si="1"/>
        <v>0</v>
      </c>
    </row>
    <row r="26" spans="2:10" x14ac:dyDescent="0.3">
      <c r="B26" s="4122" t="s">
        <v>0</v>
      </c>
      <c r="C26" s="4122"/>
      <c r="D26" s="49"/>
      <c r="E26" s="27">
        <f>SUM(E14:E25)</f>
        <v>0</v>
      </c>
      <c r="F26" s="27">
        <f>SUM(F14:F25)</f>
        <v>0</v>
      </c>
      <c r="G26" s="27">
        <f>SUM(G14:G25)</f>
        <v>0</v>
      </c>
      <c r="H26" s="27">
        <f>SUM(H14:H25)</f>
        <v>0</v>
      </c>
      <c r="I26" s="27">
        <f>SUM(I14:I25)</f>
        <v>0</v>
      </c>
      <c r="J26" s="262">
        <f t="shared" si="1"/>
        <v>0</v>
      </c>
    </row>
    <row r="27" spans="2:10" x14ac:dyDescent="0.3">
      <c r="B27" s="11" t="s">
        <v>51</v>
      </c>
      <c r="C27" s="11" t="s">
        <v>314</v>
      </c>
      <c r="D27" s="11"/>
    </row>
    <row r="28" spans="2:10" x14ac:dyDescent="0.3">
      <c r="B28" s="11"/>
      <c r="C28" s="11" t="s">
        <v>315</v>
      </c>
      <c r="D28" s="11"/>
    </row>
    <row r="29" spans="2:10" x14ac:dyDescent="0.3">
      <c r="B29" s="11"/>
      <c r="C29" s="11"/>
      <c r="D29" s="11"/>
    </row>
    <row r="32" spans="2:10" x14ac:dyDescent="0.3">
      <c r="B32" s="6">
        <f>B11+1</f>
        <v>2015</v>
      </c>
    </row>
    <row r="33" spans="2:10" ht="15" customHeight="1" x14ac:dyDescent="0.3">
      <c r="B33" s="4111" t="s">
        <v>62</v>
      </c>
      <c r="C33" s="4111" t="s">
        <v>184</v>
      </c>
      <c r="D33" s="4111" t="s">
        <v>185</v>
      </c>
      <c r="E33" s="4113" t="s">
        <v>186</v>
      </c>
      <c r="F33" s="4114"/>
      <c r="G33" s="4114"/>
      <c r="H33" s="4114"/>
      <c r="I33" s="4115"/>
      <c r="J33" s="4111" t="s">
        <v>0</v>
      </c>
    </row>
    <row r="34" spans="2:10" x14ac:dyDescent="0.3">
      <c r="B34" s="4112"/>
      <c r="C34" s="4112"/>
      <c r="D34" s="4112"/>
      <c r="E34" s="20" t="s">
        <v>271</v>
      </c>
      <c r="F34" s="20" t="s">
        <v>272</v>
      </c>
      <c r="G34" s="20" t="s">
        <v>273</v>
      </c>
      <c r="H34" s="20" t="s">
        <v>274</v>
      </c>
      <c r="I34" s="20" t="s">
        <v>275</v>
      </c>
      <c r="J34" s="4112"/>
    </row>
    <row r="35" spans="2:10" x14ac:dyDescent="0.3">
      <c r="B35" s="10">
        <v>1</v>
      </c>
      <c r="C35" s="7" t="s">
        <v>6034</v>
      </c>
      <c r="D35" s="7" t="s">
        <v>6044</v>
      </c>
      <c r="E35" s="7">
        <v>86</v>
      </c>
      <c r="F35" s="7">
        <v>3</v>
      </c>
      <c r="G35" s="7">
        <v>14</v>
      </c>
      <c r="H35" s="7">
        <v>49</v>
      </c>
      <c r="I35" s="7">
        <v>13</v>
      </c>
      <c r="J35" s="262">
        <f>SUM(E35+F35+G35+H35+I35)</f>
        <v>165</v>
      </c>
    </row>
    <row r="36" spans="2:10" x14ac:dyDescent="0.3">
      <c r="B36" s="10">
        <f t="shared" ref="B36:B44" si="2">+B35+1</f>
        <v>2</v>
      </c>
      <c r="C36" s="7" t="s">
        <v>6035</v>
      </c>
      <c r="D36" s="7" t="s">
        <v>6045</v>
      </c>
      <c r="E36" s="7">
        <v>28</v>
      </c>
      <c r="F36" s="7">
        <v>6</v>
      </c>
      <c r="G36" s="7">
        <v>14</v>
      </c>
      <c r="H36" s="7">
        <v>30</v>
      </c>
      <c r="I36" s="7">
        <v>2</v>
      </c>
      <c r="J36" s="262">
        <f t="shared" ref="J36:J45" si="3">SUM(E36+F36+G36+H36+I36)</f>
        <v>80</v>
      </c>
    </row>
    <row r="37" spans="2:10" x14ac:dyDescent="0.3">
      <c r="B37" s="10">
        <f t="shared" si="2"/>
        <v>3</v>
      </c>
      <c r="C37" s="7" t="s">
        <v>6036</v>
      </c>
      <c r="D37" s="7" t="s">
        <v>6046</v>
      </c>
      <c r="E37" s="7">
        <v>4</v>
      </c>
      <c r="F37" s="7">
        <v>0</v>
      </c>
      <c r="G37" s="7">
        <v>4</v>
      </c>
      <c r="H37" s="7">
        <v>19</v>
      </c>
      <c r="I37" s="7">
        <v>2</v>
      </c>
      <c r="J37" s="262">
        <f t="shared" si="3"/>
        <v>29</v>
      </c>
    </row>
    <row r="38" spans="2:10" x14ac:dyDescent="0.3">
      <c r="B38" s="10">
        <f t="shared" si="2"/>
        <v>4</v>
      </c>
      <c r="C38" s="7" t="s">
        <v>6037</v>
      </c>
      <c r="D38" s="7" t="s">
        <v>6047</v>
      </c>
      <c r="E38" s="7">
        <v>1</v>
      </c>
      <c r="F38" s="7">
        <v>1</v>
      </c>
      <c r="G38" s="7">
        <v>3</v>
      </c>
      <c r="H38" s="7">
        <v>21</v>
      </c>
      <c r="I38" s="7">
        <v>2</v>
      </c>
      <c r="J38" s="262">
        <f t="shared" si="3"/>
        <v>28</v>
      </c>
    </row>
    <row r="39" spans="2:10" ht="14.45" customHeight="1" x14ac:dyDescent="0.3">
      <c r="B39" s="10">
        <f t="shared" si="2"/>
        <v>5</v>
      </c>
      <c r="C39" s="7" t="s">
        <v>6038</v>
      </c>
      <c r="D39" s="7" t="s">
        <v>6048</v>
      </c>
      <c r="E39" s="7">
        <v>2</v>
      </c>
      <c r="F39" s="7">
        <v>1</v>
      </c>
      <c r="G39" s="7">
        <v>0</v>
      </c>
      <c r="H39" s="7">
        <v>15</v>
      </c>
      <c r="I39" s="7">
        <v>10</v>
      </c>
      <c r="J39" s="262">
        <f t="shared" si="3"/>
        <v>28</v>
      </c>
    </row>
    <row r="40" spans="2:10" x14ac:dyDescent="0.3">
      <c r="B40" s="10">
        <f t="shared" si="2"/>
        <v>6</v>
      </c>
      <c r="C40" s="7" t="s">
        <v>6039</v>
      </c>
      <c r="D40" s="7" t="s">
        <v>6049</v>
      </c>
      <c r="E40" s="7">
        <v>24</v>
      </c>
      <c r="F40" s="7">
        <v>1</v>
      </c>
      <c r="G40" s="7">
        <v>0</v>
      </c>
      <c r="H40" s="7">
        <v>0</v>
      </c>
      <c r="I40" s="7">
        <v>0</v>
      </c>
      <c r="J40" s="262">
        <f t="shared" si="3"/>
        <v>25</v>
      </c>
    </row>
    <row r="41" spans="2:10" x14ac:dyDescent="0.3">
      <c r="B41" s="10">
        <f t="shared" si="2"/>
        <v>7</v>
      </c>
      <c r="C41" s="7" t="s">
        <v>6040</v>
      </c>
      <c r="D41" s="7" t="s">
        <v>6050</v>
      </c>
      <c r="E41" s="7">
        <v>11</v>
      </c>
      <c r="F41" s="7">
        <v>0</v>
      </c>
      <c r="G41" s="7">
        <v>1</v>
      </c>
      <c r="H41" s="7">
        <v>4</v>
      </c>
      <c r="I41" s="7">
        <v>4</v>
      </c>
      <c r="J41" s="262">
        <f t="shared" si="3"/>
        <v>20</v>
      </c>
    </row>
    <row r="42" spans="2:10" x14ac:dyDescent="0.3">
      <c r="B42" s="10">
        <f t="shared" si="2"/>
        <v>8</v>
      </c>
      <c r="C42" s="7" t="s">
        <v>6041</v>
      </c>
      <c r="D42" s="7" t="s">
        <v>6051</v>
      </c>
      <c r="E42" s="7">
        <v>5</v>
      </c>
      <c r="F42" s="7">
        <v>0</v>
      </c>
      <c r="G42" s="7">
        <v>0</v>
      </c>
      <c r="H42" s="7">
        <v>8</v>
      </c>
      <c r="I42" s="7">
        <v>5</v>
      </c>
      <c r="J42" s="262">
        <f t="shared" si="3"/>
        <v>18</v>
      </c>
    </row>
    <row r="43" spans="2:10" ht="15" customHeight="1" x14ac:dyDescent="0.3">
      <c r="B43" s="10">
        <f t="shared" si="2"/>
        <v>9</v>
      </c>
      <c r="C43" s="7" t="s">
        <v>6042</v>
      </c>
      <c r="D43" s="7" t="s">
        <v>6052</v>
      </c>
      <c r="E43" s="7">
        <v>9</v>
      </c>
      <c r="F43" s="7">
        <v>1</v>
      </c>
      <c r="G43" s="7">
        <v>0</v>
      </c>
      <c r="H43" s="7">
        <v>0</v>
      </c>
      <c r="I43" s="7">
        <v>1</v>
      </c>
      <c r="J43" s="262">
        <f t="shared" si="3"/>
        <v>11</v>
      </c>
    </row>
    <row r="44" spans="2:10" x14ac:dyDescent="0.3">
      <c r="B44" s="10">
        <f t="shared" si="2"/>
        <v>10</v>
      </c>
      <c r="C44" s="7" t="s">
        <v>6043</v>
      </c>
      <c r="D44" s="7" t="s">
        <v>6053</v>
      </c>
      <c r="E44" s="7">
        <v>1</v>
      </c>
      <c r="F44" s="7">
        <v>0</v>
      </c>
      <c r="G44" s="7">
        <v>2</v>
      </c>
      <c r="H44" s="7">
        <v>7</v>
      </c>
      <c r="I44" s="7">
        <v>0</v>
      </c>
      <c r="J44" s="262">
        <f t="shared" si="3"/>
        <v>10</v>
      </c>
    </row>
    <row r="45" spans="2:10" x14ac:dyDescent="0.3">
      <c r="B45" s="10"/>
      <c r="C45" s="7" t="s">
        <v>187</v>
      </c>
      <c r="D45" s="7"/>
      <c r="E45" s="7">
        <v>21</v>
      </c>
      <c r="F45" s="7">
        <v>1</v>
      </c>
      <c r="G45" s="7">
        <v>3</v>
      </c>
      <c r="H45" s="7">
        <v>23</v>
      </c>
      <c r="I45" s="7">
        <v>10</v>
      </c>
      <c r="J45" s="262">
        <f t="shared" si="3"/>
        <v>58</v>
      </c>
    </row>
    <row r="46" spans="2:10" x14ac:dyDescent="0.3">
      <c r="B46" s="4122" t="s">
        <v>0</v>
      </c>
      <c r="C46" s="4122"/>
      <c r="D46" s="30"/>
      <c r="E46" s="27">
        <f t="shared" ref="E46:J46" si="4">SUM(E35:E45)</f>
        <v>192</v>
      </c>
      <c r="F46" s="27">
        <f t="shared" si="4"/>
        <v>14</v>
      </c>
      <c r="G46" s="27">
        <f t="shared" si="4"/>
        <v>41</v>
      </c>
      <c r="H46" s="27">
        <f t="shared" si="4"/>
        <v>176</v>
      </c>
      <c r="I46" s="27">
        <f t="shared" si="4"/>
        <v>49</v>
      </c>
      <c r="J46" s="262">
        <f t="shared" si="4"/>
        <v>472</v>
      </c>
    </row>
    <row r="49" spans="2:10" x14ac:dyDescent="0.3">
      <c r="B49" s="6">
        <f>B32+1</f>
        <v>2016</v>
      </c>
    </row>
    <row r="50" spans="2:10" ht="15" customHeight="1" x14ac:dyDescent="0.3">
      <c r="B50" s="4111" t="s">
        <v>62</v>
      </c>
      <c r="C50" s="4111" t="s">
        <v>184</v>
      </c>
      <c r="D50" s="4111" t="s">
        <v>185</v>
      </c>
      <c r="E50" s="4113" t="s">
        <v>186</v>
      </c>
      <c r="F50" s="4114"/>
      <c r="G50" s="4114"/>
      <c r="H50" s="4114"/>
      <c r="I50" s="4115"/>
      <c r="J50" s="4111" t="s">
        <v>0</v>
      </c>
    </row>
    <row r="51" spans="2:10" x14ac:dyDescent="0.3">
      <c r="B51" s="4112"/>
      <c r="C51" s="4112"/>
      <c r="D51" s="4112"/>
      <c r="E51" s="20" t="s">
        <v>271</v>
      </c>
      <c r="F51" s="20" t="s">
        <v>272</v>
      </c>
      <c r="G51" s="20" t="s">
        <v>273</v>
      </c>
      <c r="H51" s="20" t="s">
        <v>274</v>
      </c>
      <c r="I51" s="20" t="s">
        <v>275</v>
      </c>
      <c r="J51" s="4112"/>
    </row>
    <row r="52" spans="2:10" x14ac:dyDescent="0.3">
      <c r="B52" s="10">
        <v>1</v>
      </c>
      <c r="C52" s="7" t="s">
        <v>6054</v>
      </c>
      <c r="D52" s="7" t="s">
        <v>6060</v>
      </c>
      <c r="E52" s="7">
        <v>59</v>
      </c>
      <c r="F52" s="7">
        <v>3</v>
      </c>
      <c r="G52" s="7">
        <v>18</v>
      </c>
      <c r="H52" s="7">
        <v>68</v>
      </c>
      <c r="I52" s="7">
        <v>9</v>
      </c>
      <c r="J52" s="262">
        <f>SUM(E52+F52+G52+H52+I52)</f>
        <v>157</v>
      </c>
    </row>
    <row r="53" spans="2:10" x14ac:dyDescent="0.3">
      <c r="B53" s="10">
        <f t="shared" ref="B53:B61" si="5">+B52+1</f>
        <v>2</v>
      </c>
      <c r="C53" s="7" t="s">
        <v>6055</v>
      </c>
      <c r="D53" s="7" t="s">
        <v>6061</v>
      </c>
      <c r="E53" s="7">
        <v>5</v>
      </c>
      <c r="F53" s="7">
        <v>1</v>
      </c>
      <c r="G53" s="7">
        <v>9</v>
      </c>
      <c r="H53" s="7">
        <v>39</v>
      </c>
      <c r="I53" s="7">
        <v>3</v>
      </c>
      <c r="J53" s="262">
        <f t="shared" ref="J53:J62" si="6">SUM(E53+F53+G53+H53+I53)</f>
        <v>57</v>
      </c>
    </row>
    <row r="54" spans="2:10" x14ac:dyDescent="0.3">
      <c r="B54" s="10">
        <f t="shared" si="5"/>
        <v>3</v>
      </c>
      <c r="C54" s="7" t="s">
        <v>6056</v>
      </c>
      <c r="D54" s="7" t="s">
        <v>6062</v>
      </c>
      <c r="E54" s="7">
        <v>50</v>
      </c>
      <c r="F54" s="7">
        <v>1</v>
      </c>
      <c r="G54" s="7">
        <v>1</v>
      </c>
      <c r="H54" s="7">
        <v>1</v>
      </c>
      <c r="I54" s="7">
        <v>2</v>
      </c>
      <c r="J54" s="262">
        <f t="shared" si="6"/>
        <v>55</v>
      </c>
    </row>
    <row r="55" spans="2:10" x14ac:dyDescent="0.3">
      <c r="B55" s="10">
        <f t="shared" si="5"/>
        <v>4</v>
      </c>
      <c r="C55" s="7" t="s">
        <v>6057</v>
      </c>
      <c r="D55" s="7" t="s">
        <v>6063</v>
      </c>
      <c r="E55" s="7">
        <v>13</v>
      </c>
      <c r="F55" s="7">
        <v>1</v>
      </c>
      <c r="G55" s="7">
        <v>7</v>
      </c>
      <c r="H55" s="7">
        <v>23</v>
      </c>
      <c r="I55" s="7">
        <v>2</v>
      </c>
      <c r="J55" s="262">
        <f t="shared" si="6"/>
        <v>46</v>
      </c>
    </row>
    <row r="56" spans="2:10" x14ac:dyDescent="0.3">
      <c r="B56" s="10">
        <f t="shared" si="5"/>
        <v>5</v>
      </c>
      <c r="C56" s="7" t="s">
        <v>6041</v>
      </c>
      <c r="D56" s="7" t="s">
        <v>6051</v>
      </c>
      <c r="E56" s="7">
        <v>0</v>
      </c>
      <c r="F56" s="7">
        <v>0</v>
      </c>
      <c r="G56" s="7">
        <v>0</v>
      </c>
      <c r="H56" s="7">
        <v>11</v>
      </c>
      <c r="I56" s="7">
        <v>25</v>
      </c>
      <c r="J56" s="262">
        <f t="shared" si="6"/>
        <v>36</v>
      </c>
    </row>
    <row r="57" spans="2:10" x14ac:dyDescent="0.3">
      <c r="B57" s="10">
        <f t="shared" si="5"/>
        <v>6</v>
      </c>
      <c r="C57" s="7" t="s">
        <v>6038</v>
      </c>
      <c r="D57" s="7" t="s">
        <v>6048</v>
      </c>
      <c r="E57" s="7">
        <v>1</v>
      </c>
      <c r="F57" s="7">
        <v>0</v>
      </c>
      <c r="G57" s="7">
        <v>1</v>
      </c>
      <c r="H57" s="7">
        <v>18</v>
      </c>
      <c r="I57" s="7">
        <v>16</v>
      </c>
      <c r="J57" s="262">
        <f t="shared" si="6"/>
        <v>36</v>
      </c>
    </row>
    <row r="58" spans="2:10" x14ac:dyDescent="0.3">
      <c r="B58" s="10">
        <f t="shared" si="5"/>
        <v>7</v>
      </c>
      <c r="C58" s="7" t="s">
        <v>6058</v>
      </c>
      <c r="D58" s="7" t="s">
        <v>6064</v>
      </c>
      <c r="E58" s="7">
        <v>0</v>
      </c>
      <c r="F58" s="7">
        <v>0</v>
      </c>
      <c r="G58" s="7">
        <v>9</v>
      </c>
      <c r="H58" s="7">
        <v>20</v>
      </c>
      <c r="I58" s="7">
        <v>6</v>
      </c>
      <c r="J58" s="262">
        <f t="shared" si="6"/>
        <v>35</v>
      </c>
    </row>
    <row r="59" spans="2:10" x14ac:dyDescent="0.3">
      <c r="B59" s="10">
        <f t="shared" si="5"/>
        <v>8</v>
      </c>
      <c r="C59" s="7" t="s">
        <v>6040</v>
      </c>
      <c r="D59" s="7" t="s">
        <v>6050</v>
      </c>
      <c r="E59" s="7">
        <v>15</v>
      </c>
      <c r="F59" s="7">
        <v>0</v>
      </c>
      <c r="G59" s="7">
        <v>3</v>
      </c>
      <c r="H59" s="7">
        <v>9</v>
      </c>
      <c r="I59" s="7">
        <v>5</v>
      </c>
      <c r="J59" s="262">
        <f t="shared" si="6"/>
        <v>32</v>
      </c>
    </row>
    <row r="60" spans="2:10" x14ac:dyDescent="0.3">
      <c r="B60" s="10">
        <f t="shared" si="5"/>
        <v>9</v>
      </c>
      <c r="C60" s="7" t="s">
        <v>6037</v>
      </c>
      <c r="D60" s="7" t="s">
        <v>6047</v>
      </c>
      <c r="E60" s="7">
        <v>2</v>
      </c>
      <c r="F60" s="7">
        <v>0</v>
      </c>
      <c r="G60" s="7">
        <v>2</v>
      </c>
      <c r="H60" s="7">
        <v>24</v>
      </c>
      <c r="I60" s="7">
        <v>3</v>
      </c>
      <c r="J60" s="262">
        <f t="shared" si="6"/>
        <v>31</v>
      </c>
    </row>
    <row r="61" spans="2:10" x14ac:dyDescent="0.3">
      <c r="B61" s="10">
        <f t="shared" si="5"/>
        <v>10</v>
      </c>
      <c r="C61" s="7" t="s">
        <v>6059</v>
      </c>
      <c r="D61" s="7" t="s">
        <v>6065</v>
      </c>
      <c r="E61" s="7">
        <v>25</v>
      </c>
      <c r="F61" s="7">
        <v>0</v>
      </c>
      <c r="G61" s="7">
        <v>1</v>
      </c>
      <c r="H61" s="7">
        <v>1</v>
      </c>
      <c r="I61" s="7">
        <v>0</v>
      </c>
      <c r="J61" s="262">
        <f t="shared" si="6"/>
        <v>27</v>
      </c>
    </row>
    <row r="62" spans="2:10" ht="19.5" customHeight="1" x14ac:dyDescent="0.3">
      <c r="B62" s="10"/>
      <c r="C62" s="7" t="s">
        <v>187</v>
      </c>
      <c r="D62" s="7"/>
      <c r="E62" s="7">
        <v>22</v>
      </c>
      <c r="F62" s="7">
        <v>0</v>
      </c>
      <c r="G62" s="7">
        <v>26</v>
      </c>
      <c r="H62" s="7">
        <v>78</v>
      </c>
      <c r="I62" s="7">
        <v>41</v>
      </c>
      <c r="J62" s="262">
        <f t="shared" si="6"/>
        <v>167</v>
      </c>
    </row>
    <row r="63" spans="2:10" x14ac:dyDescent="0.3">
      <c r="B63" s="4124" t="s">
        <v>0</v>
      </c>
      <c r="C63" s="4124"/>
      <c r="D63" s="15"/>
      <c r="E63" s="27">
        <f t="shared" ref="E63:J63" si="7">SUM(E52:E62)</f>
        <v>192</v>
      </c>
      <c r="F63" s="27">
        <f t="shared" si="7"/>
        <v>6</v>
      </c>
      <c r="G63" s="27">
        <f t="shared" si="7"/>
        <v>77</v>
      </c>
      <c r="H63" s="27">
        <f t="shared" si="7"/>
        <v>292</v>
      </c>
      <c r="I63" s="27">
        <f t="shared" si="7"/>
        <v>112</v>
      </c>
      <c r="J63" s="262">
        <f t="shared" si="7"/>
        <v>679</v>
      </c>
    </row>
    <row r="66" spans="2:10" x14ac:dyDescent="0.3">
      <c r="B66" s="6">
        <f>B49+1</f>
        <v>2017</v>
      </c>
    </row>
    <row r="67" spans="2:10" ht="15" customHeight="1" x14ac:dyDescent="0.3">
      <c r="B67" s="4111" t="s">
        <v>62</v>
      </c>
      <c r="C67" s="4111" t="s">
        <v>184</v>
      </c>
      <c r="D67" s="4111" t="s">
        <v>185</v>
      </c>
      <c r="E67" s="4113" t="s">
        <v>186</v>
      </c>
      <c r="F67" s="4114"/>
      <c r="G67" s="4114"/>
      <c r="H67" s="4114"/>
      <c r="I67" s="4115"/>
      <c r="J67" s="4111" t="s">
        <v>0</v>
      </c>
    </row>
    <row r="68" spans="2:10" x14ac:dyDescent="0.3">
      <c r="B68" s="4112"/>
      <c r="C68" s="4112"/>
      <c r="D68" s="4112"/>
      <c r="E68" s="20" t="s">
        <v>271</v>
      </c>
      <c r="F68" s="20" t="s">
        <v>272</v>
      </c>
      <c r="G68" s="20" t="s">
        <v>273</v>
      </c>
      <c r="H68" s="20" t="s">
        <v>274</v>
      </c>
      <c r="I68" s="20" t="s">
        <v>275</v>
      </c>
      <c r="J68" s="4112"/>
    </row>
    <row r="69" spans="2:10" ht="15" customHeight="1" x14ac:dyDescent="0.3">
      <c r="B69" s="10">
        <v>1</v>
      </c>
      <c r="C69" s="7"/>
      <c r="D69" s="233"/>
      <c r="E69" s="7"/>
      <c r="F69" s="7"/>
      <c r="G69" s="7"/>
      <c r="H69" s="7"/>
      <c r="I69" s="7"/>
      <c r="J69" s="262">
        <f>SUM(E69+F69+G69+H69+I69)</f>
        <v>0</v>
      </c>
    </row>
    <row r="70" spans="2:10" x14ac:dyDescent="0.3">
      <c r="B70" s="10">
        <f t="shared" ref="B70:B78" si="8">+B69+1</f>
        <v>2</v>
      </c>
      <c r="C70" s="7"/>
      <c r="D70" s="233"/>
      <c r="E70" s="7"/>
      <c r="F70" s="7"/>
      <c r="G70" s="7"/>
      <c r="H70" s="7"/>
      <c r="I70" s="7"/>
      <c r="J70" s="262">
        <f t="shared" ref="J70:J79" si="9">SUM(E70+F70+G70+H70+I70)</f>
        <v>0</v>
      </c>
    </row>
    <row r="71" spans="2:10" x14ac:dyDescent="0.3">
      <c r="B71" s="10">
        <f t="shared" si="8"/>
        <v>3</v>
      </c>
      <c r="C71" s="7"/>
      <c r="D71" s="233"/>
      <c r="E71" s="7"/>
      <c r="F71" s="7"/>
      <c r="G71" s="7"/>
      <c r="H71" s="7"/>
      <c r="I71" s="7"/>
      <c r="J71" s="262">
        <f t="shared" si="9"/>
        <v>0</v>
      </c>
    </row>
    <row r="72" spans="2:10" x14ac:dyDescent="0.3">
      <c r="B72" s="10">
        <f t="shared" si="8"/>
        <v>4</v>
      </c>
      <c r="C72" s="7"/>
      <c r="D72" s="233"/>
      <c r="E72" s="7"/>
      <c r="F72" s="7"/>
      <c r="G72" s="7"/>
      <c r="H72" s="7"/>
      <c r="I72" s="7"/>
      <c r="J72" s="262">
        <f t="shared" si="9"/>
        <v>0</v>
      </c>
    </row>
    <row r="73" spans="2:10" x14ac:dyDescent="0.3">
      <c r="B73" s="10">
        <f t="shared" si="8"/>
        <v>5</v>
      </c>
      <c r="C73" s="7"/>
      <c r="D73" s="233"/>
      <c r="E73" s="7"/>
      <c r="F73" s="7"/>
      <c r="G73" s="7"/>
      <c r="H73" s="7"/>
      <c r="I73" s="7"/>
      <c r="J73" s="262">
        <f t="shared" si="9"/>
        <v>0</v>
      </c>
    </row>
    <row r="74" spans="2:10" x14ac:dyDescent="0.3">
      <c r="B74" s="10">
        <f t="shared" si="8"/>
        <v>6</v>
      </c>
      <c r="C74" s="7"/>
      <c r="D74" s="233"/>
      <c r="E74" s="7"/>
      <c r="F74" s="7"/>
      <c r="G74" s="7"/>
      <c r="H74" s="7"/>
      <c r="I74" s="7"/>
      <c r="J74" s="262">
        <f t="shared" si="9"/>
        <v>0</v>
      </c>
    </row>
    <row r="75" spans="2:10" x14ac:dyDescent="0.3">
      <c r="B75" s="10">
        <f t="shared" si="8"/>
        <v>7</v>
      </c>
      <c r="C75" s="7"/>
      <c r="D75" s="233"/>
      <c r="E75" s="7"/>
      <c r="F75" s="7"/>
      <c r="G75" s="7"/>
      <c r="H75" s="7"/>
      <c r="I75" s="7"/>
      <c r="J75" s="262">
        <f t="shared" si="9"/>
        <v>0</v>
      </c>
    </row>
    <row r="76" spans="2:10" x14ac:dyDescent="0.3">
      <c r="B76" s="10">
        <f t="shared" si="8"/>
        <v>8</v>
      </c>
      <c r="C76" s="7"/>
      <c r="D76" s="233"/>
      <c r="E76" s="7"/>
      <c r="F76" s="7"/>
      <c r="G76" s="7"/>
      <c r="H76" s="7"/>
      <c r="I76" s="7"/>
      <c r="J76" s="262">
        <f t="shared" si="9"/>
        <v>0</v>
      </c>
    </row>
    <row r="77" spans="2:10" x14ac:dyDescent="0.3">
      <c r="B77" s="10">
        <f t="shared" si="8"/>
        <v>9</v>
      </c>
      <c r="C77" s="7"/>
      <c r="D77" s="233"/>
      <c r="E77" s="7"/>
      <c r="F77" s="7"/>
      <c r="G77" s="7"/>
      <c r="H77" s="7"/>
      <c r="I77" s="7"/>
      <c r="J77" s="262">
        <f t="shared" si="9"/>
        <v>0</v>
      </c>
    </row>
    <row r="78" spans="2:10" x14ac:dyDescent="0.3">
      <c r="B78" s="10">
        <f t="shared" si="8"/>
        <v>10</v>
      </c>
      <c r="C78" s="7"/>
      <c r="D78" s="233"/>
      <c r="E78" s="7"/>
      <c r="F78" s="7"/>
      <c r="G78" s="7"/>
      <c r="H78" s="7"/>
      <c r="I78" s="7"/>
      <c r="J78" s="262">
        <f t="shared" si="9"/>
        <v>0</v>
      </c>
    </row>
    <row r="79" spans="2:10" x14ac:dyDescent="0.3">
      <c r="B79" s="10"/>
      <c r="C79" s="7" t="s">
        <v>187</v>
      </c>
      <c r="D79" s="7"/>
      <c r="E79" s="23"/>
      <c r="F79" s="23"/>
      <c r="G79" s="23"/>
      <c r="H79" s="23"/>
      <c r="I79" s="23"/>
      <c r="J79" s="262">
        <f t="shared" si="9"/>
        <v>0</v>
      </c>
    </row>
    <row r="80" spans="2:10" x14ac:dyDescent="0.3">
      <c r="B80" s="4122" t="s">
        <v>0</v>
      </c>
      <c r="C80" s="4122"/>
      <c r="D80" s="15"/>
      <c r="E80" s="27">
        <f t="shared" ref="E80:J80" si="10">SUM(E69:E79)</f>
        <v>0</v>
      </c>
      <c r="F80" s="27">
        <f t="shared" si="10"/>
        <v>0</v>
      </c>
      <c r="G80" s="27">
        <f t="shared" si="10"/>
        <v>0</v>
      </c>
      <c r="H80" s="27">
        <f t="shared" si="10"/>
        <v>0</v>
      </c>
      <c r="I80" s="27">
        <f t="shared" si="10"/>
        <v>0</v>
      </c>
      <c r="J80" s="262">
        <f t="shared" si="10"/>
        <v>0</v>
      </c>
    </row>
    <row r="83" spans="2:57" x14ac:dyDescent="0.3">
      <c r="B83" s="6">
        <f>B66+1</f>
        <v>2018</v>
      </c>
    </row>
    <row r="84" spans="2:57" ht="15" customHeight="1" x14ac:dyDescent="0.3">
      <c r="B84" s="4111" t="s">
        <v>62</v>
      </c>
      <c r="C84" s="4111" t="s">
        <v>184</v>
      </c>
      <c r="D84" s="4111" t="s">
        <v>185</v>
      </c>
      <c r="E84" s="4113" t="s">
        <v>186</v>
      </c>
      <c r="F84" s="4114"/>
      <c r="G84" s="4114"/>
      <c r="H84" s="4114"/>
      <c r="I84" s="4115"/>
      <c r="J84" s="4111" t="s">
        <v>0</v>
      </c>
    </row>
    <row r="85" spans="2:57" x14ac:dyDescent="0.3">
      <c r="B85" s="4112"/>
      <c r="C85" s="4112"/>
      <c r="D85" s="4112"/>
      <c r="E85" s="20" t="s">
        <v>271</v>
      </c>
      <c r="F85" s="20" t="s">
        <v>272</v>
      </c>
      <c r="G85" s="20" t="s">
        <v>273</v>
      </c>
      <c r="H85" s="20" t="s">
        <v>274</v>
      </c>
      <c r="I85" s="20" t="s">
        <v>275</v>
      </c>
      <c r="J85" s="4112"/>
    </row>
    <row r="86" spans="2:57" ht="18" customHeight="1" x14ac:dyDescent="0.3">
      <c r="B86" s="10">
        <v>1</v>
      </c>
      <c r="C86" s="7" t="s">
        <v>6054</v>
      </c>
      <c r="D86" s="3863" t="s">
        <v>6060</v>
      </c>
      <c r="E86" s="7">
        <v>66</v>
      </c>
      <c r="F86" s="7">
        <v>3</v>
      </c>
      <c r="G86" s="7">
        <v>14</v>
      </c>
      <c r="H86" s="7">
        <v>81</v>
      </c>
      <c r="I86" s="7">
        <v>6</v>
      </c>
      <c r="J86" s="262">
        <f>SUM(E86+F86+G86+H86+I86)</f>
        <v>170</v>
      </c>
    </row>
    <row r="87" spans="2:57" x14ac:dyDescent="0.3">
      <c r="B87" s="10">
        <f t="shared" ref="B87:B95" si="11">+B86+1</f>
        <v>2</v>
      </c>
      <c r="C87" s="7" t="s">
        <v>6055</v>
      </c>
      <c r="D87" s="3863" t="s">
        <v>6061</v>
      </c>
      <c r="E87" s="7">
        <v>30</v>
      </c>
      <c r="F87" s="7">
        <v>13</v>
      </c>
      <c r="G87" s="7">
        <v>12</v>
      </c>
      <c r="H87" s="7">
        <v>57</v>
      </c>
      <c r="I87" s="7">
        <v>4</v>
      </c>
      <c r="J87" s="262">
        <f t="shared" ref="J87:J96" si="12">SUM(E87+F87+G87+H87+I87)</f>
        <v>116</v>
      </c>
    </row>
    <row r="88" spans="2:57" x14ac:dyDescent="0.3">
      <c r="B88" s="10">
        <f t="shared" si="11"/>
        <v>3</v>
      </c>
      <c r="C88" s="7" t="s">
        <v>6038</v>
      </c>
      <c r="D88" s="3863" t="s">
        <v>6048</v>
      </c>
      <c r="E88" s="7">
        <v>0</v>
      </c>
      <c r="F88" s="7">
        <v>0</v>
      </c>
      <c r="G88" s="7">
        <v>4</v>
      </c>
      <c r="H88" s="7">
        <v>43</v>
      </c>
      <c r="I88" s="7">
        <v>12</v>
      </c>
      <c r="J88" s="262">
        <f t="shared" si="12"/>
        <v>59</v>
      </c>
    </row>
    <row r="89" spans="2:57" x14ac:dyDescent="0.3">
      <c r="B89" s="10">
        <f t="shared" si="11"/>
        <v>4</v>
      </c>
      <c r="C89" s="7" t="s">
        <v>6037</v>
      </c>
      <c r="D89" s="3863" t="s">
        <v>6047</v>
      </c>
      <c r="E89" s="7">
        <v>2</v>
      </c>
      <c r="F89" s="7">
        <v>1</v>
      </c>
      <c r="G89" s="7">
        <v>9</v>
      </c>
      <c r="H89" s="7">
        <v>39</v>
      </c>
      <c r="I89" s="7">
        <v>6</v>
      </c>
      <c r="J89" s="262">
        <f t="shared" si="12"/>
        <v>57</v>
      </c>
    </row>
    <row r="90" spans="2:57" x14ac:dyDescent="0.3">
      <c r="B90" s="10">
        <f t="shared" si="11"/>
        <v>5</v>
      </c>
      <c r="C90" s="7" t="s">
        <v>6058</v>
      </c>
      <c r="D90" s="3863" t="s">
        <v>6064</v>
      </c>
      <c r="E90" s="7">
        <v>0</v>
      </c>
      <c r="F90" s="7">
        <v>2</v>
      </c>
      <c r="G90" s="7">
        <v>5</v>
      </c>
      <c r="H90" s="7">
        <v>29</v>
      </c>
      <c r="I90" s="7">
        <v>7</v>
      </c>
      <c r="J90" s="262">
        <f t="shared" si="12"/>
        <v>43</v>
      </c>
    </row>
    <row r="91" spans="2:57" s="318" customFormat="1" x14ac:dyDescent="0.3">
      <c r="B91" s="234">
        <f t="shared" si="11"/>
        <v>6</v>
      </c>
      <c r="C91" s="236" t="s">
        <v>6040</v>
      </c>
      <c r="D91" s="234" t="s">
        <v>6050</v>
      </c>
      <c r="E91" s="7">
        <v>10</v>
      </c>
      <c r="F91" s="7">
        <v>3</v>
      </c>
      <c r="G91" s="7">
        <v>2</v>
      </c>
      <c r="H91" s="7">
        <v>21</v>
      </c>
      <c r="I91" s="7">
        <v>4</v>
      </c>
      <c r="J91" s="1503">
        <f t="shared" si="12"/>
        <v>40</v>
      </c>
      <c r="U91" s="3917"/>
      <c r="AF91" s="322"/>
      <c r="AQ91" s="322"/>
      <c r="AU91" s="328"/>
      <c r="BA91" s="3917"/>
      <c r="BE91" s="328"/>
    </row>
    <row r="92" spans="2:57" s="318" customFormat="1" x14ac:dyDescent="0.3">
      <c r="B92" s="234">
        <f t="shared" si="11"/>
        <v>7</v>
      </c>
      <c r="C92" s="236" t="s">
        <v>6066</v>
      </c>
      <c r="D92" s="234" t="s">
        <v>6068</v>
      </c>
      <c r="E92" s="7">
        <v>10</v>
      </c>
      <c r="F92" s="7">
        <v>3</v>
      </c>
      <c r="G92" s="7">
        <v>4</v>
      </c>
      <c r="H92" s="7">
        <v>7</v>
      </c>
      <c r="I92" s="7">
        <v>2</v>
      </c>
      <c r="J92" s="1503">
        <f t="shared" si="12"/>
        <v>26</v>
      </c>
      <c r="U92" s="3917"/>
      <c r="AF92" s="322"/>
      <c r="AQ92" s="322"/>
      <c r="AU92" s="328"/>
      <c r="BA92" s="3917"/>
      <c r="BE92" s="328"/>
    </row>
    <row r="93" spans="2:57" s="318" customFormat="1" x14ac:dyDescent="0.3">
      <c r="B93" s="234">
        <f t="shared" si="11"/>
        <v>8</v>
      </c>
      <c r="C93" s="236" t="s">
        <v>6041</v>
      </c>
      <c r="D93" s="234" t="s">
        <v>6051</v>
      </c>
      <c r="E93" s="7">
        <v>0</v>
      </c>
      <c r="F93" s="7">
        <v>0</v>
      </c>
      <c r="G93" s="7">
        <v>0</v>
      </c>
      <c r="H93" s="7">
        <v>12</v>
      </c>
      <c r="I93" s="7">
        <v>14</v>
      </c>
      <c r="J93" s="1503">
        <f t="shared" si="12"/>
        <v>26</v>
      </c>
      <c r="U93" s="3917"/>
      <c r="AF93" s="322"/>
      <c r="AQ93" s="322"/>
      <c r="AU93" s="328"/>
      <c r="BA93" s="3917"/>
      <c r="BE93" s="328"/>
    </row>
    <row r="94" spans="2:57" s="318" customFormat="1" x14ac:dyDescent="0.3">
      <c r="B94" s="234">
        <f t="shared" si="11"/>
        <v>9</v>
      </c>
      <c r="C94" s="236" t="s">
        <v>6067</v>
      </c>
      <c r="D94" s="234" t="s">
        <v>6069</v>
      </c>
      <c r="E94" s="7">
        <v>4</v>
      </c>
      <c r="F94" s="7">
        <v>0</v>
      </c>
      <c r="G94" s="7">
        <v>5</v>
      </c>
      <c r="H94" s="7">
        <v>15</v>
      </c>
      <c r="I94" s="7">
        <v>0</v>
      </c>
      <c r="J94" s="1503">
        <f t="shared" si="12"/>
        <v>24</v>
      </c>
      <c r="U94" s="3917"/>
      <c r="AF94" s="322"/>
      <c r="AQ94" s="322"/>
      <c r="AU94" s="328"/>
      <c r="BA94" s="3917"/>
      <c r="BE94" s="328"/>
    </row>
    <row r="95" spans="2:57" s="318" customFormat="1" x14ac:dyDescent="0.3">
      <c r="B95" s="234">
        <f t="shared" si="11"/>
        <v>10</v>
      </c>
      <c r="C95" s="236" t="s">
        <v>6042</v>
      </c>
      <c r="D95" s="234" t="s">
        <v>6052</v>
      </c>
      <c r="E95" s="7">
        <v>0</v>
      </c>
      <c r="F95" s="7">
        <v>0</v>
      </c>
      <c r="G95" s="7">
        <v>0</v>
      </c>
      <c r="H95" s="7">
        <v>4</v>
      </c>
      <c r="I95" s="7">
        <v>19</v>
      </c>
      <c r="J95" s="1503">
        <f t="shared" si="12"/>
        <v>23</v>
      </c>
      <c r="U95" s="3917"/>
      <c r="AF95" s="322"/>
      <c r="AQ95" s="322"/>
      <c r="AU95" s="328"/>
      <c r="BA95" s="3917"/>
      <c r="BE95" s="328"/>
    </row>
    <row r="96" spans="2:57" s="318" customFormat="1" x14ac:dyDescent="0.3">
      <c r="B96" s="234"/>
      <c r="C96" s="236" t="s">
        <v>187</v>
      </c>
      <c r="D96" s="236"/>
      <c r="E96" s="7">
        <v>22</v>
      </c>
      <c r="F96" s="7">
        <v>5</v>
      </c>
      <c r="G96" s="7">
        <v>10</v>
      </c>
      <c r="H96" s="7">
        <v>89</v>
      </c>
      <c r="I96" s="7">
        <v>29</v>
      </c>
      <c r="J96" s="1503">
        <f t="shared" si="12"/>
        <v>155</v>
      </c>
      <c r="U96" s="3917"/>
      <c r="AF96" s="322"/>
      <c r="AQ96" s="322"/>
      <c r="AU96" s="328"/>
      <c r="BA96" s="3917"/>
      <c r="BE96" s="328"/>
    </row>
    <row r="97" spans="1:63" x14ac:dyDescent="0.3">
      <c r="B97" s="4122" t="s">
        <v>0</v>
      </c>
      <c r="C97" s="4122"/>
      <c r="D97" s="15"/>
      <c r="E97" s="27">
        <f t="shared" ref="E97:J97" si="13">SUM(E86:E96)</f>
        <v>144</v>
      </c>
      <c r="F97" s="27">
        <f t="shared" si="13"/>
        <v>30</v>
      </c>
      <c r="G97" s="27">
        <f t="shared" si="13"/>
        <v>65</v>
      </c>
      <c r="H97" s="27">
        <f t="shared" si="13"/>
        <v>397</v>
      </c>
      <c r="I97" s="27">
        <f t="shared" si="13"/>
        <v>103</v>
      </c>
      <c r="J97" s="262">
        <f t="shared" si="13"/>
        <v>739</v>
      </c>
      <c r="K97" s="107"/>
    </row>
    <row r="101" spans="1:63" s="73" customFormat="1" x14ac:dyDescent="0.3">
      <c r="J101" s="309"/>
      <c r="U101" s="309"/>
      <c r="AF101" s="1426"/>
      <c r="AI101" s="74"/>
      <c r="AQ101" s="1426"/>
      <c r="AS101" s="74"/>
      <c r="AU101" s="74"/>
      <c r="BA101" s="309"/>
      <c r="BE101" s="74"/>
    </row>
    <row r="102" spans="1:63" x14ac:dyDescent="0.3">
      <c r="A102" s="1"/>
      <c r="B102" s="1"/>
      <c r="C102" s="1"/>
      <c r="D102" s="1"/>
      <c r="E102" s="1"/>
      <c r="F102" s="1"/>
      <c r="G102" s="1"/>
      <c r="H102" s="1"/>
      <c r="I102" s="1"/>
      <c r="J102" s="1423"/>
      <c r="K102" s="1"/>
      <c r="M102" s="4126" t="s">
        <v>1</v>
      </c>
      <c r="N102" s="4126"/>
      <c r="O102" s="4126"/>
      <c r="P102" s="4126"/>
      <c r="Q102" s="4126"/>
      <c r="R102" s="4126"/>
      <c r="S102" s="4126"/>
      <c r="T102" s="4126"/>
      <c r="U102" s="4126"/>
      <c r="V102" s="4126"/>
      <c r="W102" s="4126"/>
      <c r="X102" s="4126"/>
      <c r="Y102" s="4126"/>
      <c r="Z102" s="4126"/>
      <c r="AI102" s="14"/>
      <c r="AS102" s="14"/>
      <c r="AU102" s="1433"/>
      <c r="AV102" s="1"/>
      <c r="AW102" s="1"/>
      <c r="AX102" s="1"/>
      <c r="AY102" s="1"/>
      <c r="AZ102" s="1"/>
      <c r="BA102" s="1434"/>
    </row>
    <row r="103" spans="1:63" x14ac:dyDescent="0.3">
      <c r="A103" s="1"/>
      <c r="B103" s="4027" t="s">
        <v>182</v>
      </c>
      <c r="C103" s="4027"/>
      <c r="D103" s="4027"/>
      <c r="E103" s="4027"/>
      <c r="F103" s="4027"/>
      <c r="G103" s="4027"/>
      <c r="H103" s="4027"/>
      <c r="I103" s="4027"/>
      <c r="J103" s="4027"/>
      <c r="K103" s="1"/>
      <c r="M103" s="4072" t="s">
        <v>182</v>
      </c>
      <c r="N103" s="4072"/>
      <c r="O103" s="4072"/>
      <c r="P103" s="4072"/>
      <c r="Q103" s="4072"/>
      <c r="R103" s="4072"/>
      <c r="S103" s="4072"/>
      <c r="T103" s="4072"/>
      <c r="U103" s="4072"/>
      <c r="X103" s="4072" t="s">
        <v>182</v>
      </c>
      <c r="Y103" s="4072"/>
      <c r="Z103" s="4072"/>
      <c r="AA103" s="4072"/>
      <c r="AB103" s="4072"/>
      <c r="AC103" s="4072"/>
      <c r="AD103" s="4072"/>
      <c r="AE103" s="4072"/>
      <c r="AF103" s="4072"/>
      <c r="AI103" s="4072" t="s">
        <v>182</v>
      </c>
      <c r="AJ103" s="4072"/>
      <c r="AK103" s="4072"/>
      <c r="AL103" s="4072"/>
      <c r="AM103" s="4072"/>
      <c r="AN103" s="4072"/>
      <c r="AO103" s="4072"/>
      <c r="AP103" s="4072"/>
      <c r="AQ103" s="4072"/>
      <c r="AS103" s="4072" t="s">
        <v>182</v>
      </c>
      <c r="AT103" s="4072"/>
      <c r="AU103" s="4072"/>
      <c r="AV103" s="4072"/>
      <c r="AW103" s="4072"/>
      <c r="AX103" s="4072"/>
      <c r="AY103" s="4072"/>
      <c r="AZ103" s="4072"/>
      <c r="BA103" s="4072"/>
    </row>
    <row r="104" spans="1:63" x14ac:dyDescent="0.3">
      <c r="A104" s="1"/>
      <c r="B104" s="4110" t="s">
        <v>183</v>
      </c>
      <c r="C104" s="4110"/>
      <c r="D104" s="4110"/>
      <c r="E104" s="4110"/>
      <c r="F104" s="4110"/>
      <c r="G104" s="4110"/>
      <c r="H104" s="4110"/>
      <c r="I104" s="4110"/>
      <c r="J104" s="4110"/>
      <c r="K104" s="1"/>
      <c r="M104" s="4110" t="s">
        <v>183</v>
      </c>
      <c r="N104" s="4110"/>
      <c r="O104" s="4110"/>
      <c r="P104" s="4110"/>
      <c r="Q104" s="4110"/>
      <c r="R104" s="4110"/>
      <c r="S104" s="4110"/>
      <c r="T104" s="4110"/>
      <c r="U104" s="4110"/>
      <c r="X104" s="4110" t="s">
        <v>183</v>
      </c>
      <c r="Y104" s="4110"/>
      <c r="Z104" s="4110"/>
      <c r="AA104" s="4110"/>
      <c r="AB104" s="4110"/>
      <c r="AC104" s="4110"/>
      <c r="AD104" s="4110"/>
      <c r="AE104" s="4110"/>
      <c r="AF104" s="4110"/>
      <c r="AI104" s="4110" t="s">
        <v>183</v>
      </c>
      <c r="AJ104" s="4110"/>
      <c r="AK104" s="4110"/>
      <c r="AL104" s="4110"/>
      <c r="AM104" s="4110"/>
      <c r="AN104" s="4110"/>
      <c r="AO104" s="4110"/>
      <c r="AP104" s="4110"/>
      <c r="AQ104" s="4110"/>
      <c r="AS104" s="4110" t="s">
        <v>183</v>
      </c>
      <c r="AT104" s="4110"/>
      <c r="AU104" s="4110"/>
      <c r="AV104" s="4110"/>
      <c r="AW104" s="4110"/>
      <c r="AX104" s="4110"/>
      <c r="AY104" s="4110"/>
      <c r="AZ104" s="4110"/>
      <c r="BA104" s="4110"/>
    </row>
    <row r="105" spans="1:63" x14ac:dyDescent="0.3">
      <c r="A105" s="1"/>
      <c r="B105" s="14"/>
      <c r="C105" s="2"/>
      <c r="D105" s="2"/>
      <c r="E105" s="2"/>
      <c r="F105" s="2"/>
      <c r="G105" s="2"/>
      <c r="H105" s="2"/>
      <c r="I105" s="1"/>
      <c r="J105" s="1423"/>
      <c r="K105" s="1"/>
      <c r="M105" s="14"/>
      <c r="N105" s="2"/>
      <c r="O105" s="2"/>
      <c r="P105" s="2"/>
      <c r="Q105" s="2"/>
      <c r="R105" s="2"/>
      <c r="S105" s="2"/>
      <c r="X105" s="14"/>
      <c r="Y105" s="2"/>
      <c r="Z105" s="2"/>
      <c r="AA105" s="2"/>
      <c r="AB105" s="2"/>
      <c r="AC105" s="2"/>
      <c r="AD105" s="2"/>
      <c r="AI105" s="14"/>
      <c r="AJ105" s="2"/>
      <c r="AK105" s="2"/>
      <c r="AL105" s="2"/>
      <c r="AM105" s="2"/>
      <c r="AN105" s="2"/>
      <c r="AO105" s="2"/>
      <c r="AS105" s="14"/>
      <c r="AT105" s="2"/>
      <c r="AU105" s="1429"/>
      <c r="AV105" s="2"/>
      <c r="AW105" s="2"/>
      <c r="AX105" s="2"/>
      <c r="AY105" s="2"/>
      <c r="AZ105" s="1"/>
      <c r="BA105" s="1434"/>
    </row>
    <row r="106" spans="1:63" x14ac:dyDescent="0.3">
      <c r="A106" s="1"/>
      <c r="B106" s="4109" t="s">
        <v>281</v>
      </c>
      <c r="C106" s="4109"/>
      <c r="D106" s="4109"/>
      <c r="E106" s="4109"/>
      <c r="F106" s="4109"/>
      <c r="G106" s="4109"/>
      <c r="H106" s="4109"/>
      <c r="I106" s="4109"/>
      <c r="J106" s="4109"/>
      <c r="K106" s="1"/>
      <c r="M106" s="4109" t="s">
        <v>343</v>
      </c>
      <c r="N106" s="4109"/>
      <c r="O106" s="4109"/>
      <c r="P106" s="4109"/>
      <c r="Q106" s="4109"/>
      <c r="R106" s="4109"/>
      <c r="S106" s="4109"/>
      <c r="T106" s="4109"/>
      <c r="U106" s="4109"/>
      <c r="X106" s="4109" t="s">
        <v>348</v>
      </c>
      <c r="Y106" s="4109"/>
      <c r="Z106" s="4109"/>
      <c r="AA106" s="4109"/>
      <c r="AB106" s="4109"/>
      <c r="AC106" s="4109"/>
      <c r="AD106" s="4109"/>
      <c r="AE106" s="4109"/>
      <c r="AF106" s="4109"/>
      <c r="AI106" s="4109" t="s">
        <v>606</v>
      </c>
      <c r="AJ106" s="4109"/>
      <c r="AK106" s="4109"/>
      <c r="AL106" s="4109"/>
      <c r="AM106" s="4109"/>
      <c r="AN106" s="4109"/>
      <c r="AO106" s="4109"/>
      <c r="AP106" s="4109"/>
      <c r="AQ106" s="4109"/>
      <c r="AS106" s="4109" t="s">
        <v>3550</v>
      </c>
      <c r="AT106" s="4109"/>
      <c r="AU106" s="4109"/>
      <c r="AV106" s="4109"/>
      <c r="AW106" s="4109"/>
      <c r="AX106" s="4109"/>
      <c r="AY106" s="4109"/>
      <c r="AZ106" s="4109"/>
      <c r="BA106" s="4109"/>
    </row>
    <row r="107" spans="1:63" x14ac:dyDescent="0.3">
      <c r="A107" s="1"/>
      <c r="B107" s="4111" t="s">
        <v>62</v>
      </c>
      <c r="C107" s="4111" t="s">
        <v>184</v>
      </c>
      <c r="D107" s="4111" t="s">
        <v>185</v>
      </c>
      <c r="E107" s="4113" t="s">
        <v>186</v>
      </c>
      <c r="F107" s="4114"/>
      <c r="G107" s="4114"/>
      <c r="H107" s="4114"/>
      <c r="I107" s="4115"/>
      <c r="J107" s="4111" t="s">
        <v>0</v>
      </c>
      <c r="K107" s="1"/>
      <c r="M107" s="4111" t="s">
        <v>62</v>
      </c>
      <c r="N107" s="4111" t="s">
        <v>184</v>
      </c>
      <c r="O107" s="4111" t="s">
        <v>185</v>
      </c>
      <c r="P107" s="4113" t="s">
        <v>186</v>
      </c>
      <c r="Q107" s="4114"/>
      <c r="R107" s="4114"/>
      <c r="S107" s="4114"/>
      <c r="T107" s="4115"/>
      <c r="U107" s="4111" t="s">
        <v>0</v>
      </c>
      <c r="X107" s="4111" t="s">
        <v>62</v>
      </c>
      <c r="Y107" s="4111" t="s">
        <v>184</v>
      </c>
      <c r="Z107" s="4111" t="s">
        <v>185</v>
      </c>
      <c r="AA107" s="4113" t="s">
        <v>186</v>
      </c>
      <c r="AB107" s="4114"/>
      <c r="AC107" s="4114"/>
      <c r="AD107" s="4114"/>
      <c r="AE107" s="4115"/>
      <c r="AF107" s="4111" t="s">
        <v>0</v>
      </c>
      <c r="AI107" s="4111" t="s">
        <v>62</v>
      </c>
      <c r="AJ107" s="4111" t="s">
        <v>184</v>
      </c>
      <c r="AK107" s="4111" t="s">
        <v>185</v>
      </c>
      <c r="AL107" s="4113" t="s">
        <v>186</v>
      </c>
      <c r="AM107" s="4114"/>
      <c r="AN107" s="4114"/>
      <c r="AO107" s="4114"/>
      <c r="AP107" s="4115"/>
      <c r="AQ107" s="4111" t="s">
        <v>0</v>
      </c>
      <c r="AS107" s="4111" t="s">
        <v>62</v>
      </c>
      <c r="AT107" s="4111" t="s">
        <v>184</v>
      </c>
      <c r="AU107" s="4111" t="s">
        <v>185</v>
      </c>
      <c r="AV107" s="4113" t="s">
        <v>186</v>
      </c>
      <c r="AW107" s="4114"/>
      <c r="AX107" s="4114"/>
      <c r="AY107" s="4114"/>
      <c r="AZ107" s="4115"/>
      <c r="BA107" s="4111" t="s">
        <v>0</v>
      </c>
    </row>
    <row r="108" spans="1:63" ht="33" x14ac:dyDescent="0.3">
      <c r="A108" s="1"/>
      <c r="B108" s="4112"/>
      <c r="C108" s="4112"/>
      <c r="D108" s="4112"/>
      <c r="E108" s="20" t="s">
        <v>277</v>
      </c>
      <c r="F108" s="20" t="s">
        <v>272</v>
      </c>
      <c r="G108" s="20" t="s">
        <v>273</v>
      </c>
      <c r="H108" s="20" t="s">
        <v>274</v>
      </c>
      <c r="I108" s="20" t="s">
        <v>275</v>
      </c>
      <c r="J108" s="4112"/>
      <c r="K108" s="1"/>
      <c r="M108" s="4112"/>
      <c r="N108" s="4112"/>
      <c r="O108" s="4112"/>
      <c r="P108" s="20" t="s">
        <v>277</v>
      </c>
      <c r="Q108" s="20" t="s">
        <v>272</v>
      </c>
      <c r="R108" s="20" t="s">
        <v>273</v>
      </c>
      <c r="S108" s="20" t="s">
        <v>274</v>
      </c>
      <c r="T108" s="20" t="s">
        <v>275</v>
      </c>
      <c r="U108" s="4112"/>
      <c r="X108" s="4112"/>
      <c r="Y108" s="4112"/>
      <c r="Z108" s="4112"/>
      <c r="AA108" s="20" t="s">
        <v>277</v>
      </c>
      <c r="AB108" s="20" t="s">
        <v>272</v>
      </c>
      <c r="AC108" s="20" t="s">
        <v>273</v>
      </c>
      <c r="AD108" s="20" t="s">
        <v>274</v>
      </c>
      <c r="AE108" s="20" t="s">
        <v>275</v>
      </c>
      <c r="AF108" s="4112"/>
      <c r="AI108" s="4112"/>
      <c r="AJ108" s="4112"/>
      <c r="AK108" s="4112"/>
      <c r="AL108" s="20" t="s">
        <v>277</v>
      </c>
      <c r="AM108" s="20" t="s">
        <v>272</v>
      </c>
      <c r="AN108" s="20" t="s">
        <v>273</v>
      </c>
      <c r="AO108" s="20" t="s">
        <v>274</v>
      </c>
      <c r="AP108" s="20" t="s">
        <v>275</v>
      </c>
      <c r="AQ108" s="4112"/>
      <c r="AS108" s="4112"/>
      <c r="AT108" s="4112"/>
      <c r="AU108" s="4112"/>
      <c r="AV108" s="20" t="s">
        <v>277</v>
      </c>
      <c r="AW108" s="20" t="s">
        <v>272</v>
      </c>
      <c r="AX108" s="20" t="s">
        <v>273</v>
      </c>
      <c r="AY108" s="20" t="s">
        <v>274</v>
      </c>
      <c r="AZ108" s="20" t="s">
        <v>275</v>
      </c>
      <c r="BA108" s="4112"/>
    </row>
    <row r="109" spans="1:63" x14ac:dyDescent="0.3">
      <c r="A109" s="1"/>
      <c r="B109" s="10"/>
      <c r="C109" s="7"/>
      <c r="D109" s="7"/>
      <c r="E109" s="23"/>
      <c r="F109" s="23"/>
      <c r="G109" s="23"/>
      <c r="H109" s="23"/>
      <c r="I109" s="23"/>
      <c r="J109" s="262"/>
      <c r="K109" s="1"/>
      <c r="M109" s="10"/>
      <c r="N109" s="7"/>
      <c r="O109" s="7"/>
      <c r="P109" s="23"/>
      <c r="Q109" s="23"/>
      <c r="R109" s="23"/>
      <c r="S109" s="23"/>
      <c r="T109" s="23"/>
      <c r="U109" s="262"/>
      <c r="X109" s="10"/>
      <c r="Y109" s="7"/>
      <c r="Z109" s="7"/>
      <c r="AA109" s="23"/>
      <c r="AB109" s="23"/>
      <c r="AC109" s="23"/>
      <c r="AD109" s="23"/>
      <c r="AE109" s="23"/>
      <c r="AF109" s="29"/>
      <c r="AI109" s="10"/>
      <c r="AJ109" s="7"/>
      <c r="AK109" s="7"/>
      <c r="AL109" s="23"/>
      <c r="AM109" s="23"/>
      <c r="AN109" s="23"/>
      <c r="AO109" s="23"/>
      <c r="AP109" s="23"/>
      <c r="AQ109" s="29"/>
      <c r="AS109" s="10">
        <v>1</v>
      </c>
      <c r="AT109" s="236"/>
      <c r="AU109" s="336"/>
      <c r="AV109" s="23"/>
      <c r="AW109" s="23"/>
      <c r="AX109" s="23"/>
      <c r="AY109" s="23"/>
      <c r="AZ109" s="23"/>
      <c r="BA109" s="262">
        <f>SUM(AV109:AZ109)</f>
        <v>0</v>
      </c>
    </row>
    <row r="110" spans="1:63" x14ac:dyDescent="0.3">
      <c r="A110" s="1"/>
      <c r="B110" s="10"/>
      <c r="C110" s="7"/>
      <c r="D110" s="7"/>
      <c r="E110" s="23"/>
      <c r="F110" s="23"/>
      <c r="G110" s="23"/>
      <c r="H110" s="23"/>
      <c r="I110" s="23"/>
      <c r="J110" s="262"/>
      <c r="K110" s="1"/>
      <c r="M110" s="10"/>
      <c r="N110" s="7"/>
      <c r="O110" s="7"/>
      <c r="P110" s="23"/>
      <c r="Q110" s="23"/>
      <c r="R110" s="23"/>
      <c r="S110" s="23"/>
      <c r="T110" s="23"/>
      <c r="U110" s="262"/>
      <c r="X110" s="10"/>
      <c r="Y110" s="7"/>
      <c r="Z110" s="7"/>
      <c r="AA110" s="23"/>
      <c r="AB110" s="23"/>
      <c r="AC110" s="23"/>
      <c r="AD110" s="23"/>
      <c r="AE110" s="23"/>
      <c r="AF110" s="29"/>
      <c r="AI110" s="10"/>
      <c r="AJ110" s="7"/>
      <c r="AK110" s="7"/>
      <c r="AL110" s="23"/>
      <c r="AM110" s="23"/>
      <c r="AN110" s="23"/>
      <c r="AO110" s="23"/>
      <c r="AP110" s="23"/>
      <c r="AQ110" s="29"/>
      <c r="AS110" s="10">
        <v>2</v>
      </c>
      <c r="AT110" s="236"/>
      <c r="AU110" s="336"/>
      <c r="AV110" s="23"/>
      <c r="AW110" s="23"/>
      <c r="AX110" s="23"/>
      <c r="AY110" s="23"/>
      <c r="AZ110" s="23"/>
      <c r="BA110" s="262">
        <f t="shared" ref="BA110:BA119" si="14">SUM(AV110:AZ110)</f>
        <v>0</v>
      </c>
      <c r="BC110" s="133" t="s">
        <v>1901</v>
      </c>
      <c r="BG110" s="133" t="s">
        <v>1986</v>
      </c>
      <c r="BH110" s="133"/>
      <c r="BI110" s="133"/>
      <c r="BJ110" s="133"/>
    </row>
    <row r="111" spans="1:63" x14ac:dyDescent="0.3">
      <c r="A111" s="1"/>
      <c r="B111" s="10"/>
      <c r="C111" s="7"/>
      <c r="D111" s="7"/>
      <c r="E111" s="23"/>
      <c r="F111" s="23"/>
      <c r="G111" s="23"/>
      <c r="H111" s="23"/>
      <c r="I111" s="23"/>
      <c r="J111" s="262"/>
      <c r="K111" s="1"/>
      <c r="M111" s="10"/>
      <c r="N111" s="7"/>
      <c r="O111" s="7"/>
      <c r="P111" s="23"/>
      <c r="Q111" s="23"/>
      <c r="R111" s="23"/>
      <c r="S111" s="23"/>
      <c r="T111" s="23"/>
      <c r="U111" s="262"/>
      <c r="X111" s="10"/>
      <c r="Y111" s="7"/>
      <c r="Z111" s="7"/>
      <c r="AA111" s="23"/>
      <c r="AB111" s="23"/>
      <c r="AC111" s="23"/>
      <c r="AD111" s="23"/>
      <c r="AE111" s="23"/>
      <c r="AF111" s="29"/>
      <c r="AI111" s="10"/>
      <c r="AJ111" s="7"/>
      <c r="AK111" s="7"/>
      <c r="AL111" s="23"/>
      <c r="AM111" s="23"/>
      <c r="AN111" s="23"/>
      <c r="AO111" s="23"/>
      <c r="AP111" s="23"/>
      <c r="AQ111" s="29"/>
      <c r="AS111" s="10">
        <v>3</v>
      </c>
      <c r="AT111" s="236"/>
      <c r="AU111" s="336"/>
      <c r="AV111" s="23"/>
      <c r="AW111" s="23"/>
      <c r="AX111" s="23"/>
      <c r="AY111" s="23"/>
      <c r="AZ111" s="23"/>
      <c r="BA111" s="262">
        <f t="shared" si="14"/>
        <v>0</v>
      </c>
      <c r="BC111" s="136">
        <f>SUM(BA110+BA113+BA114+BA116+BA118)</f>
        <v>0</v>
      </c>
      <c r="BG111" s="133">
        <v>2014</v>
      </c>
      <c r="BH111" s="133">
        <v>2015</v>
      </c>
      <c r="BI111" s="133">
        <v>2016</v>
      </c>
      <c r="BJ111" s="133">
        <v>2017</v>
      </c>
      <c r="BK111" s="133">
        <v>2018</v>
      </c>
    </row>
    <row r="112" spans="1:63" x14ac:dyDescent="0.3">
      <c r="A112" s="1"/>
      <c r="B112" s="10"/>
      <c r="C112" s="7"/>
      <c r="D112" s="7"/>
      <c r="E112" s="23"/>
      <c r="F112" s="23"/>
      <c r="G112" s="23"/>
      <c r="H112" s="23"/>
      <c r="I112" s="23"/>
      <c r="J112" s="262"/>
      <c r="K112" s="1"/>
      <c r="M112" s="10"/>
      <c r="N112" s="7"/>
      <c r="O112" s="7"/>
      <c r="P112" s="23"/>
      <c r="Q112" s="23"/>
      <c r="R112" s="23"/>
      <c r="S112" s="23"/>
      <c r="T112" s="23"/>
      <c r="U112" s="262"/>
      <c r="X112" s="10"/>
      <c r="Y112" s="7"/>
      <c r="AA112" s="23"/>
      <c r="AB112" s="23"/>
      <c r="AC112" s="23"/>
      <c r="AD112" s="23"/>
      <c r="AE112" s="23"/>
      <c r="AF112" s="29"/>
      <c r="AI112" s="10"/>
      <c r="AJ112" s="7"/>
      <c r="AK112" s="7"/>
      <c r="AL112" s="23"/>
      <c r="AM112" s="23"/>
      <c r="AN112" s="23"/>
      <c r="AO112" s="23"/>
      <c r="AP112" s="23"/>
      <c r="AQ112" s="29"/>
      <c r="AS112" s="10">
        <v>4</v>
      </c>
      <c r="AT112" s="236"/>
      <c r="AU112" s="336"/>
      <c r="AV112" s="23"/>
      <c r="AW112" s="23"/>
      <c r="AX112" s="23"/>
      <c r="AY112" s="23"/>
      <c r="AZ112" s="23"/>
      <c r="BA112" s="262">
        <f t="shared" si="14"/>
        <v>0</v>
      </c>
      <c r="BC112" s="137">
        <f>BC111/'4 Estadis ESTRATEG Prod3'!K87</f>
        <v>0</v>
      </c>
      <c r="BG112" s="136">
        <v>0</v>
      </c>
      <c r="BH112" s="136">
        <v>0</v>
      </c>
      <c r="BI112" s="136">
        <v>0</v>
      </c>
      <c r="BJ112" s="136">
        <v>0</v>
      </c>
      <c r="BK112" s="136">
        <v>0</v>
      </c>
    </row>
    <row r="113" spans="1:56" x14ac:dyDescent="0.3">
      <c r="A113" s="1"/>
      <c r="B113" s="10"/>
      <c r="C113" s="7"/>
      <c r="D113" s="7"/>
      <c r="E113" s="23"/>
      <c r="F113" s="23"/>
      <c r="G113" s="23"/>
      <c r="H113" s="23"/>
      <c r="I113" s="23"/>
      <c r="J113" s="262"/>
      <c r="K113" s="1"/>
      <c r="M113" s="10"/>
      <c r="N113" s="7"/>
      <c r="O113" s="7"/>
      <c r="P113" s="23"/>
      <c r="Q113" s="23"/>
      <c r="R113" s="23"/>
      <c r="S113" s="23"/>
      <c r="T113" s="23"/>
      <c r="U113" s="262"/>
      <c r="X113" s="10"/>
      <c r="Y113" s="7"/>
      <c r="Z113" s="7"/>
      <c r="AA113" s="23"/>
      <c r="AB113" s="23"/>
      <c r="AC113" s="23"/>
      <c r="AD113" s="23"/>
      <c r="AE113" s="23"/>
      <c r="AF113" s="29"/>
      <c r="AI113" s="10"/>
      <c r="AJ113" s="7"/>
      <c r="AK113" s="7"/>
      <c r="AL113" s="23"/>
      <c r="AM113" s="23"/>
      <c r="AN113" s="23"/>
      <c r="AO113" s="23"/>
      <c r="AP113" s="23"/>
      <c r="AQ113" s="29"/>
      <c r="AS113" s="10">
        <v>5</v>
      </c>
      <c r="AT113" s="236"/>
      <c r="AU113" s="336"/>
      <c r="AV113" s="23"/>
      <c r="AW113" s="23"/>
      <c r="AX113" s="23"/>
      <c r="AY113" s="23"/>
      <c r="AZ113" s="23"/>
      <c r="BA113" s="262">
        <f t="shared" si="14"/>
        <v>0</v>
      </c>
    </row>
    <row r="114" spans="1:56" x14ac:dyDescent="0.3">
      <c r="A114" s="1"/>
      <c r="B114" s="10"/>
      <c r="C114" s="7"/>
      <c r="D114" s="7"/>
      <c r="E114" s="23"/>
      <c r="F114" s="23"/>
      <c r="G114" s="23"/>
      <c r="H114" s="23"/>
      <c r="I114" s="23"/>
      <c r="J114" s="262"/>
      <c r="K114" s="1"/>
      <c r="M114" s="10"/>
      <c r="N114" s="7"/>
      <c r="O114" s="7"/>
      <c r="P114" s="23"/>
      <c r="Q114" s="23"/>
      <c r="R114" s="23"/>
      <c r="S114" s="23"/>
      <c r="T114" s="23"/>
      <c r="U114" s="262"/>
      <c r="X114" s="10"/>
      <c r="Y114" s="7"/>
      <c r="Z114" s="7"/>
      <c r="AA114" s="23"/>
      <c r="AB114" s="23"/>
      <c r="AC114" s="23"/>
      <c r="AD114" s="23"/>
      <c r="AE114" s="23"/>
      <c r="AF114" s="29"/>
      <c r="AI114" s="10"/>
      <c r="AJ114" s="7"/>
      <c r="AL114" s="23"/>
      <c r="AM114" s="23"/>
      <c r="AN114" s="23"/>
      <c r="AO114" s="23"/>
      <c r="AP114" s="23"/>
      <c r="AQ114" s="29"/>
      <c r="AS114" s="10">
        <v>6</v>
      </c>
      <c r="AT114" s="236"/>
      <c r="AU114" s="336"/>
      <c r="AV114" s="23"/>
      <c r="AW114" s="23"/>
      <c r="AX114" s="23"/>
      <c r="AY114" s="23"/>
      <c r="AZ114" s="23"/>
      <c r="BA114" s="262">
        <f t="shared" si="14"/>
        <v>0</v>
      </c>
    </row>
    <row r="115" spans="1:56" x14ac:dyDescent="0.3">
      <c r="A115" s="1"/>
      <c r="B115" s="10"/>
      <c r="C115" s="7"/>
      <c r="D115" s="7"/>
      <c r="E115" s="23"/>
      <c r="F115" s="23"/>
      <c r="G115" s="23"/>
      <c r="H115" s="23"/>
      <c r="I115" s="23"/>
      <c r="J115" s="262"/>
      <c r="K115" s="1"/>
      <c r="M115" s="10"/>
      <c r="N115" s="7"/>
      <c r="O115" s="7"/>
      <c r="P115" s="23"/>
      <c r="Q115" s="23"/>
      <c r="R115" s="23"/>
      <c r="S115" s="23"/>
      <c r="T115" s="23"/>
      <c r="U115" s="262"/>
      <c r="X115" s="10"/>
      <c r="Y115" s="7"/>
      <c r="Z115" s="7"/>
      <c r="AA115" s="23"/>
      <c r="AB115" s="23"/>
      <c r="AC115" s="23"/>
      <c r="AD115" s="23"/>
      <c r="AE115" s="23"/>
      <c r="AF115" s="29"/>
      <c r="AI115" s="10"/>
      <c r="AJ115" s="7"/>
      <c r="AK115" s="7"/>
      <c r="AL115" s="23"/>
      <c r="AM115" s="23"/>
      <c r="AN115" s="23"/>
      <c r="AO115" s="23"/>
      <c r="AP115" s="23"/>
      <c r="AQ115" s="29"/>
      <c r="AS115" s="10">
        <v>7</v>
      </c>
      <c r="AT115" s="236"/>
      <c r="AU115" s="336"/>
      <c r="AV115" s="23"/>
      <c r="AW115" s="23"/>
      <c r="AX115" s="23"/>
      <c r="AY115" s="23"/>
      <c r="AZ115" s="23"/>
      <c r="BA115" s="262">
        <f t="shared" si="14"/>
        <v>0</v>
      </c>
      <c r="BC115" s="133" t="s">
        <v>1905</v>
      </c>
    </row>
    <row r="116" spans="1:56" x14ac:dyDescent="0.3">
      <c r="A116" s="1"/>
      <c r="B116" s="10"/>
      <c r="C116" s="7"/>
      <c r="D116" s="7"/>
      <c r="E116" s="23"/>
      <c r="F116" s="23"/>
      <c r="G116" s="23"/>
      <c r="H116" s="23"/>
      <c r="I116" s="23"/>
      <c r="J116" s="262"/>
      <c r="K116" s="1"/>
      <c r="M116" s="10"/>
      <c r="N116" s="7"/>
      <c r="O116" s="7"/>
      <c r="P116" s="23"/>
      <c r="Q116" s="23"/>
      <c r="R116" s="23"/>
      <c r="S116" s="23"/>
      <c r="T116" s="23"/>
      <c r="U116" s="262"/>
      <c r="X116" s="10"/>
      <c r="Y116" s="7"/>
      <c r="Z116" s="7"/>
      <c r="AA116" s="23"/>
      <c r="AB116" s="23"/>
      <c r="AC116" s="23"/>
      <c r="AD116" s="23"/>
      <c r="AE116" s="23"/>
      <c r="AF116" s="29"/>
      <c r="AI116" s="10"/>
      <c r="AJ116" s="7"/>
      <c r="AK116" s="7"/>
      <c r="AL116" s="23"/>
      <c r="AM116" s="23"/>
      <c r="AN116" s="23"/>
      <c r="AO116" s="23"/>
      <c r="AP116" s="23"/>
      <c r="AQ116" s="29"/>
      <c r="AS116" s="10">
        <v>8</v>
      </c>
      <c r="AT116" s="236"/>
      <c r="AU116" s="336"/>
      <c r="AV116" s="23"/>
      <c r="AW116" s="23"/>
      <c r="AX116" s="23"/>
      <c r="AY116" s="23"/>
      <c r="AZ116" s="23"/>
      <c r="BA116" s="262">
        <f t="shared" si="14"/>
        <v>0</v>
      </c>
      <c r="BC116" s="107">
        <f>SUM(BA111+BA112+BA114+BA115+BA116)</f>
        <v>0</v>
      </c>
    </row>
    <row r="117" spans="1:56" ht="15" customHeight="1" x14ac:dyDescent="0.3">
      <c r="A117" s="1"/>
      <c r="B117" s="10"/>
      <c r="C117" s="7"/>
      <c r="D117" s="7"/>
      <c r="E117" s="23"/>
      <c r="F117" s="23"/>
      <c r="G117" s="23"/>
      <c r="H117" s="23"/>
      <c r="I117" s="23"/>
      <c r="J117" s="262"/>
      <c r="K117" s="1"/>
      <c r="M117" s="10"/>
      <c r="N117" s="7"/>
      <c r="P117" s="23"/>
      <c r="Q117" s="23"/>
      <c r="R117" s="23"/>
      <c r="S117" s="23"/>
      <c r="T117" s="23"/>
      <c r="U117" s="262"/>
      <c r="X117" s="10"/>
      <c r="Y117" s="7"/>
      <c r="AA117" s="23"/>
      <c r="AB117" s="23"/>
      <c r="AC117" s="23"/>
      <c r="AD117" s="23"/>
      <c r="AE117" s="23"/>
      <c r="AF117" s="29"/>
      <c r="AI117" s="10"/>
      <c r="AJ117" s="7"/>
      <c r="AK117" s="7"/>
      <c r="AL117" s="23"/>
      <c r="AM117" s="23"/>
      <c r="AN117" s="23"/>
      <c r="AO117" s="23"/>
      <c r="AP117" s="23"/>
      <c r="AQ117" s="29"/>
      <c r="AS117" s="10">
        <v>9</v>
      </c>
      <c r="AT117" s="236"/>
      <c r="AU117" s="336"/>
      <c r="AV117" s="23"/>
      <c r="AW117" s="23"/>
      <c r="AX117" s="23"/>
      <c r="AY117" s="23"/>
      <c r="AZ117" s="23"/>
      <c r="BA117" s="262">
        <f t="shared" si="14"/>
        <v>0</v>
      </c>
      <c r="BC117" s="135" t="e">
        <f>BC116/BA120</f>
        <v>#DIV/0!</v>
      </c>
    </row>
    <row r="118" spans="1:56" x14ac:dyDescent="0.3">
      <c r="A118" s="1"/>
      <c r="B118" s="10"/>
      <c r="C118" s="7"/>
      <c r="D118" s="7"/>
      <c r="E118" s="23"/>
      <c r="F118" s="23"/>
      <c r="G118" s="23"/>
      <c r="H118" s="23"/>
      <c r="I118" s="23"/>
      <c r="J118" s="262"/>
      <c r="K118" s="1"/>
      <c r="M118" s="10"/>
      <c r="N118" s="7"/>
      <c r="O118" s="7"/>
      <c r="P118" s="23"/>
      <c r="Q118" s="23"/>
      <c r="R118" s="23"/>
      <c r="S118" s="23"/>
      <c r="T118" s="23"/>
      <c r="U118" s="262"/>
      <c r="X118" s="10"/>
      <c r="Y118" s="7"/>
      <c r="Z118" s="7"/>
      <c r="AA118" s="23"/>
      <c r="AB118" s="23"/>
      <c r="AC118" s="23"/>
      <c r="AD118" s="23"/>
      <c r="AE118" s="23"/>
      <c r="AF118" s="29"/>
      <c r="AI118" s="10"/>
      <c r="AJ118" s="7"/>
      <c r="AK118" s="7"/>
      <c r="AL118" s="23"/>
      <c r="AM118" s="23"/>
      <c r="AN118" s="23"/>
      <c r="AO118" s="23"/>
      <c r="AP118" s="23"/>
      <c r="AQ118" s="29"/>
      <c r="AS118" s="10">
        <v>10</v>
      </c>
      <c r="AT118" s="236"/>
      <c r="AU118" s="336"/>
      <c r="AV118" s="23"/>
      <c r="AW118" s="23"/>
      <c r="AX118" s="23"/>
      <c r="AY118" s="23"/>
      <c r="AZ118" s="23"/>
      <c r="BA118" s="262">
        <f t="shared" si="14"/>
        <v>0</v>
      </c>
    </row>
    <row r="119" spans="1:56" x14ac:dyDescent="0.3">
      <c r="A119" s="1"/>
      <c r="B119" s="10"/>
      <c r="C119" s="7"/>
      <c r="D119" s="7"/>
      <c r="E119" s="23"/>
      <c r="F119" s="23"/>
      <c r="G119" s="23"/>
      <c r="H119" s="23"/>
      <c r="I119" s="23"/>
      <c r="J119" s="262"/>
      <c r="K119" s="1"/>
      <c r="M119" s="10"/>
      <c r="N119" s="7"/>
      <c r="O119" s="7"/>
      <c r="P119" s="23"/>
      <c r="Q119" s="23"/>
      <c r="R119" s="23"/>
      <c r="S119" s="23"/>
      <c r="T119" s="23"/>
      <c r="U119" s="262"/>
      <c r="X119" s="10"/>
      <c r="Y119" s="7"/>
      <c r="Z119" s="7"/>
      <c r="AA119" s="23"/>
      <c r="AB119" s="23"/>
      <c r="AC119" s="23"/>
      <c r="AD119" s="23"/>
      <c r="AE119" s="23"/>
      <c r="AF119" s="29"/>
      <c r="AI119" s="10"/>
      <c r="AJ119" s="7"/>
      <c r="AK119" s="7"/>
      <c r="AL119" s="23"/>
      <c r="AM119" s="23"/>
      <c r="AN119" s="23"/>
      <c r="AO119" s="23"/>
      <c r="AP119" s="23"/>
      <c r="AQ119" s="29"/>
      <c r="AS119" s="10"/>
      <c r="AT119" s="236"/>
      <c r="AU119" s="336"/>
      <c r="AV119" s="23"/>
      <c r="AW119" s="23"/>
      <c r="AX119" s="23"/>
      <c r="AY119" s="23"/>
      <c r="AZ119" s="23"/>
      <c r="BA119" s="262">
        <f t="shared" si="14"/>
        <v>0</v>
      </c>
      <c r="BC119" s="133" t="s">
        <v>1954</v>
      </c>
      <c r="BD119" s="133"/>
    </row>
    <row r="120" spans="1:56" x14ac:dyDescent="0.3">
      <c r="A120" s="1"/>
      <c r="B120" s="4122" t="s">
        <v>0</v>
      </c>
      <c r="C120" s="4122"/>
      <c r="D120" s="49"/>
      <c r="E120" s="27">
        <f t="shared" ref="E120:J120" si="15">SUM(E109:E119)</f>
        <v>0</v>
      </c>
      <c r="F120" s="27">
        <f t="shared" si="15"/>
        <v>0</v>
      </c>
      <c r="G120" s="27">
        <f t="shared" si="15"/>
        <v>0</v>
      </c>
      <c r="H120" s="27">
        <f t="shared" si="15"/>
        <v>0</v>
      </c>
      <c r="I120" s="27">
        <f t="shared" si="15"/>
        <v>0</v>
      </c>
      <c r="J120" s="262">
        <f t="shared" si="15"/>
        <v>0</v>
      </c>
      <c r="K120" s="1"/>
      <c r="M120" s="4122" t="s">
        <v>0</v>
      </c>
      <c r="N120" s="4122"/>
      <c r="O120" s="15"/>
      <c r="P120" s="27">
        <f t="shared" ref="P120:U120" si="16">SUM(P109:P119)</f>
        <v>0</v>
      </c>
      <c r="Q120" s="27">
        <f t="shared" si="16"/>
        <v>0</v>
      </c>
      <c r="R120" s="27">
        <f t="shared" si="16"/>
        <v>0</v>
      </c>
      <c r="S120" s="27">
        <f t="shared" si="16"/>
        <v>0</v>
      </c>
      <c r="T120" s="27">
        <f t="shared" si="16"/>
        <v>0</v>
      </c>
      <c r="U120" s="262">
        <f t="shared" si="16"/>
        <v>0</v>
      </c>
      <c r="X120" s="4122" t="s">
        <v>0</v>
      </c>
      <c r="Y120" s="4122"/>
      <c r="Z120" s="15"/>
      <c r="AA120" s="27">
        <f t="shared" ref="AA120:AF120" si="17">SUM(AA109:AA119)</f>
        <v>0</v>
      </c>
      <c r="AB120" s="27">
        <f t="shared" si="17"/>
        <v>0</v>
      </c>
      <c r="AC120" s="27">
        <f t="shared" si="17"/>
        <v>0</v>
      </c>
      <c r="AD120" s="27">
        <f t="shared" si="17"/>
        <v>0</v>
      </c>
      <c r="AE120" s="27">
        <f t="shared" si="17"/>
        <v>0</v>
      </c>
      <c r="AF120" s="27">
        <f t="shared" si="17"/>
        <v>0</v>
      </c>
      <c r="AI120" s="4124" t="s">
        <v>0</v>
      </c>
      <c r="AJ120" s="4124"/>
      <c r="AK120" s="15"/>
      <c r="AL120" s="27">
        <f t="shared" ref="AL120:AQ120" si="18">SUM(AL109:AL119)</f>
        <v>0</v>
      </c>
      <c r="AM120" s="27">
        <f t="shared" si="18"/>
        <v>0</v>
      </c>
      <c r="AN120" s="27">
        <f t="shared" si="18"/>
        <v>0</v>
      </c>
      <c r="AO120" s="27">
        <f t="shared" si="18"/>
        <v>0</v>
      </c>
      <c r="AP120" s="27">
        <f t="shared" si="18"/>
        <v>0</v>
      </c>
      <c r="AQ120" s="27">
        <f t="shared" si="18"/>
        <v>0</v>
      </c>
      <c r="AS120" s="4124" t="s">
        <v>0</v>
      </c>
      <c r="AT120" s="4124"/>
      <c r="AU120" s="336"/>
      <c r="AV120" s="27">
        <f t="shared" ref="AV120:BA120" si="19">SUM(AV109:AV119)</f>
        <v>0</v>
      </c>
      <c r="AW120" s="27">
        <f t="shared" si="19"/>
        <v>0</v>
      </c>
      <c r="AX120" s="27">
        <f t="shared" si="19"/>
        <v>0</v>
      </c>
      <c r="AY120" s="27">
        <f t="shared" si="19"/>
        <v>0</v>
      </c>
      <c r="AZ120" s="27">
        <f t="shared" si="19"/>
        <v>0</v>
      </c>
      <c r="BA120" s="262">
        <f t="shared" si="19"/>
        <v>0</v>
      </c>
      <c r="BC120" s="135">
        <f>BD120/'4 Estadis ESTRATEG Prod3'!K46</f>
        <v>0</v>
      </c>
      <c r="BD120" s="136">
        <f>SUM(BA110+BA113+BA118)</f>
        <v>0</v>
      </c>
    </row>
    <row r="121" spans="1:56" x14ac:dyDescent="0.3">
      <c r="A121" s="1"/>
      <c r="B121" s="11" t="s">
        <v>51</v>
      </c>
      <c r="C121" s="16" t="s">
        <v>316</v>
      </c>
      <c r="D121" s="21"/>
      <c r="E121" s="1"/>
      <c r="F121" s="1"/>
      <c r="G121" s="1"/>
      <c r="H121" s="1"/>
      <c r="I121" s="1"/>
      <c r="J121" s="1423"/>
      <c r="K121" s="1"/>
      <c r="M121" s="4127" t="s">
        <v>188</v>
      </c>
      <c r="N121" s="4127"/>
      <c r="O121" s="4127"/>
      <c r="X121" s="4127" t="s">
        <v>188</v>
      </c>
      <c r="Y121" s="4127"/>
      <c r="Z121" s="4127"/>
      <c r="AI121" s="4127" t="s">
        <v>188</v>
      </c>
      <c r="AJ121" s="4127"/>
      <c r="AK121" s="4127"/>
      <c r="AS121" s="4127" t="s">
        <v>188</v>
      </c>
      <c r="AT121" s="4127"/>
      <c r="AU121" s="4127"/>
      <c r="AV121" s="1"/>
      <c r="AW121" s="1"/>
      <c r="AX121" s="1"/>
      <c r="AY121" s="1"/>
      <c r="AZ121" s="1"/>
      <c r="BA121" s="1434"/>
    </row>
    <row r="122" spans="1:56" x14ac:dyDescent="0.3">
      <c r="A122" s="1"/>
      <c r="B122" s="11"/>
      <c r="C122" s="16" t="s">
        <v>315</v>
      </c>
      <c r="D122" s="1"/>
      <c r="E122" s="1"/>
      <c r="F122" s="1"/>
      <c r="G122" s="1"/>
      <c r="H122" s="1"/>
      <c r="I122" s="1"/>
      <c r="J122" s="1423"/>
      <c r="K122" s="1"/>
      <c r="AU122" s="1433"/>
      <c r="AV122" s="1"/>
      <c r="AW122" s="1"/>
      <c r="AX122" s="1"/>
      <c r="AY122" s="1"/>
      <c r="AZ122" s="1"/>
      <c r="BA122" s="1434"/>
      <c r="BC122" s="133" t="s">
        <v>1957</v>
      </c>
      <c r="BD122" s="133"/>
    </row>
    <row r="123" spans="1:56" x14ac:dyDescent="0.3">
      <c r="A123" s="1"/>
      <c r="B123" s="1"/>
      <c r="C123" s="1"/>
      <c r="D123" s="1"/>
      <c r="E123" s="1" t="s">
        <v>3562</v>
      </c>
      <c r="F123" s="1"/>
      <c r="G123" s="1"/>
      <c r="H123" s="1"/>
      <c r="I123" s="1"/>
      <c r="J123" s="1423"/>
      <c r="K123" s="1"/>
      <c r="AU123" s="1433"/>
      <c r="AV123" s="1"/>
      <c r="AW123" s="1"/>
      <c r="AX123" s="1"/>
      <c r="AY123" s="1"/>
      <c r="AZ123" s="1"/>
      <c r="BA123" s="1434"/>
      <c r="BC123" s="135">
        <f>BD123/'4 Estadis ESTRATEG Prod3'!K46</f>
        <v>0</v>
      </c>
      <c r="BD123" s="136">
        <f>SUM(BA111,BA112,BA114)</f>
        <v>0</v>
      </c>
    </row>
    <row r="124" spans="1:56" x14ac:dyDescent="0.3">
      <c r="A124" s="1"/>
      <c r="B124" s="4125" t="s">
        <v>280</v>
      </c>
      <c r="C124" s="4125"/>
      <c r="D124" s="4125"/>
      <c r="E124" s="4125"/>
      <c r="F124" s="4125"/>
      <c r="G124" s="4125"/>
      <c r="H124" s="4125"/>
      <c r="I124" s="4125"/>
      <c r="J124" s="4125"/>
      <c r="K124" s="1"/>
      <c r="M124" s="4125" t="s">
        <v>344</v>
      </c>
      <c r="N124" s="4125"/>
      <c r="O124" s="4125"/>
      <c r="P124" s="4125"/>
      <c r="Q124" s="4125"/>
      <c r="R124" s="4125"/>
      <c r="S124" s="4125"/>
      <c r="T124" s="4125"/>
      <c r="U124" s="4125"/>
      <c r="X124" s="4125" t="s">
        <v>349</v>
      </c>
      <c r="Y124" s="4125"/>
      <c r="Z124" s="4125"/>
      <c r="AA124" s="4125"/>
      <c r="AB124" s="4125"/>
      <c r="AC124" s="4125"/>
      <c r="AD124" s="4125"/>
      <c r="AE124" s="4125"/>
      <c r="AF124" s="4125"/>
      <c r="AI124" s="4125" t="s">
        <v>607</v>
      </c>
      <c r="AJ124" s="4125"/>
      <c r="AK124" s="4125"/>
      <c r="AL124" s="4125"/>
      <c r="AM124" s="4125"/>
      <c r="AN124" s="4125"/>
      <c r="AO124" s="4125"/>
      <c r="AP124" s="4125"/>
      <c r="AQ124" s="4125"/>
      <c r="AS124" s="4125" t="s">
        <v>3551</v>
      </c>
      <c r="AT124" s="4125"/>
      <c r="AU124" s="4125"/>
      <c r="AV124" s="4125"/>
      <c r="AW124" s="4125"/>
      <c r="AX124" s="4125"/>
      <c r="AY124" s="4125"/>
      <c r="AZ124" s="4125"/>
      <c r="BA124" s="4125"/>
    </row>
    <row r="125" spans="1:56" x14ac:dyDescent="0.3">
      <c r="A125" s="1"/>
      <c r="B125" s="4111" t="s">
        <v>62</v>
      </c>
      <c r="C125" s="4111" t="s">
        <v>184</v>
      </c>
      <c r="D125" s="4111" t="s">
        <v>161</v>
      </c>
      <c r="E125" s="4113" t="s">
        <v>186</v>
      </c>
      <c r="F125" s="4114"/>
      <c r="G125" s="4114"/>
      <c r="H125" s="4114"/>
      <c r="I125" s="4115"/>
      <c r="J125" s="4111" t="s">
        <v>0</v>
      </c>
      <c r="K125" s="1"/>
      <c r="M125" s="4111" t="s">
        <v>62</v>
      </c>
      <c r="N125" s="4111" t="s">
        <v>184</v>
      </c>
      <c r="O125" s="4111" t="s">
        <v>161</v>
      </c>
      <c r="P125" s="4113" t="s">
        <v>186</v>
      </c>
      <c r="Q125" s="4114"/>
      <c r="R125" s="4114"/>
      <c r="S125" s="4114"/>
      <c r="T125" s="4115"/>
      <c r="U125" s="4111" t="s">
        <v>0</v>
      </c>
      <c r="X125" s="4111" t="s">
        <v>62</v>
      </c>
      <c r="Y125" s="4111" t="s">
        <v>184</v>
      </c>
      <c r="Z125" s="4111" t="s">
        <v>161</v>
      </c>
      <c r="AA125" s="4113" t="s">
        <v>186</v>
      </c>
      <c r="AB125" s="4114"/>
      <c r="AC125" s="4114"/>
      <c r="AD125" s="4114"/>
      <c r="AE125" s="4115"/>
      <c r="AF125" s="4111" t="s">
        <v>0</v>
      </c>
      <c r="AI125" s="4111" t="s">
        <v>62</v>
      </c>
      <c r="AJ125" s="4111" t="s">
        <v>184</v>
      </c>
      <c r="AK125" s="4111" t="s">
        <v>161</v>
      </c>
      <c r="AL125" s="4113" t="s">
        <v>186</v>
      </c>
      <c r="AM125" s="4114"/>
      <c r="AN125" s="4114"/>
      <c r="AO125" s="4114"/>
      <c r="AP125" s="4115"/>
      <c r="AQ125" s="4111" t="s">
        <v>0</v>
      </c>
      <c r="AS125" s="4111" t="s">
        <v>62</v>
      </c>
      <c r="AT125" s="4111" t="s">
        <v>184</v>
      </c>
      <c r="AU125" s="4111" t="s">
        <v>161</v>
      </c>
      <c r="AV125" s="4113" t="s">
        <v>186</v>
      </c>
      <c r="AW125" s="4114"/>
      <c r="AX125" s="4114"/>
      <c r="AY125" s="4114"/>
      <c r="AZ125" s="4115"/>
      <c r="BA125" s="4111" t="s">
        <v>0</v>
      </c>
    </row>
    <row r="126" spans="1:56" ht="33" x14ac:dyDescent="0.3">
      <c r="A126" s="1"/>
      <c r="B126" s="4112"/>
      <c r="C126" s="4112"/>
      <c r="D126" s="4112"/>
      <c r="E126" s="20" t="s">
        <v>277</v>
      </c>
      <c r="F126" s="20" t="s">
        <v>272</v>
      </c>
      <c r="G126" s="20" t="s">
        <v>273</v>
      </c>
      <c r="H126" s="20" t="s">
        <v>274</v>
      </c>
      <c r="I126" s="20" t="s">
        <v>275</v>
      </c>
      <c r="J126" s="4112"/>
      <c r="K126" s="1"/>
      <c r="M126" s="4112"/>
      <c r="N126" s="4112"/>
      <c r="O126" s="4112"/>
      <c r="P126" s="20" t="s">
        <v>277</v>
      </c>
      <c r="Q126" s="20" t="s">
        <v>272</v>
      </c>
      <c r="R126" s="20" t="s">
        <v>273</v>
      </c>
      <c r="S126" s="20" t="s">
        <v>274</v>
      </c>
      <c r="T126" s="20" t="s">
        <v>275</v>
      </c>
      <c r="U126" s="4112"/>
      <c r="X126" s="4112"/>
      <c r="Y126" s="4112"/>
      <c r="Z126" s="4112"/>
      <c r="AA126" s="20" t="s">
        <v>277</v>
      </c>
      <c r="AB126" s="20" t="s">
        <v>272</v>
      </c>
      <c r="AC126" s="20" t="s">
        <v>273</v>
      </c>
      <c r="AD126" s="20" t="s">
        <v>274</v>
      </c>
      <c r="AE126" s="20" t="s">
        <v>275</v>
      </c>
      <c r="AF126" s="4112"/>
      <c r="AI126" s="4112"/>
      <c r="AJ126" s="4112"/>
      <c r="AK126" s="4112"/>
      <c r="AL126" s="20" t="s">
        <v>277</v>
      </c>
      <c r="AM126" s="20" t="s">
        <v>272</v>
      </c>
      <c r="AN126" s="20" t="s">
        <v>273</v>
      </c>
      <c r="AO126" s="20" t="s">
        <v>274</v>
      </c>
      <c r="AP126" s="20" t="s">
        <v>275</v>
      </c>
      <c r="AQ126" s="4112"/>
      <c r="AS126" s="4112"/>
      <c r="AT126" s="4112"/>
      <c r="AU126" s="4112"/>
      <c r="AV126" s="20" t="s">
        <v>277</v>
      </c>
      <c r="AW126" s="20" t="s">
        <v>272</v>
      </c>
      <c r="AX126" s="20" t="s">
        <v>273</v>
      </c>
      <c r="AY126" s="20" t="s">
        <v>274</v>
      </c>
      <c r="AZ126" s="20" t="s">
        <v>275</v>
      </c>
      <c r="BA126" s="4112"/>
    </row>
    <row r="127" spans="1:56" x14ac:dyDescent="0.3">
      <c r="A127" s="1"/>
      <c r="B127" s="10"/>
      <c r="C127" s="7"/>
      <c r="D127" s="7"/>
      <c r="E127" s="7"/>
      <c r="F127" s="7"/>
      <c r="G127" s="7"/>
      <c r="H127" s="7"/>
      <c r="I127" s="7"/>
      <c r="J127" s="1415"/>
      <c r="K127" s="1"/>
      <c r="M127" s="10"/>
      <c r="N127" s="7"/>
      <c r="O127" s="7"/>
      <c r="P127" s="23"/>
      <c r="Q127" s="7"/>
      <c r="R127" s="7"/>
      <c r="S127" s="7"/>
      <c r="T127" s="7"/>
      <c r="U127" s="262"/>
      <c r="X127" s="10"/>
      <c r="Y127" s="7"/>
      <c r="Z127" s="7"/>
      <c r="AA127" s="23"/>
      <c r="AB127" s="7"/>
      <c r="AC127" s="7"/>
      <c r="AD127" s="7"/>
      <c r="AE127" s="7"/>
      <c r="AF127" s="29"/>
      <c r="AI127" s="10"/>
      <c r="AJ127" s="7"/>
      <c r="AK127" s="7"/>
      <c r="AL127" s="23"/>
      <c r="AM127" s="7"/>
      <c r="AN127" s="7"/>
      <c r="AO127" s="7"/>
      <c r="AP127" s="7"/>
      <c r="AQ127" s="29"/>
      <c r="AR127" s="4"/>
      <c r="AS127" s="10"/>
      <c r="AT127" s="7"/>
      <c r="AU127" s="336"/>
      <c r="AV127" s="7"/>
      <c r="AW127" s="7"/>
      <c r="AX127" s="7"/>
      <c r="AY127" s="7"/>
      <c r="AZ127" s="7"/>
      <c r="BA127" s="262"/>
    </row>
    <row r="128" spans="1:56" x14ac:dyDescent="0.3">
      <c r="A128" s="1"/>
      <c r="B128" s="10"/>
      <c r="C128" s="7"/>
      <c r="D128" s="7"/>
      <c r="E128" s="7"/>
      <c r="F128" s="7"/>
      <c r="G128" s="7"/>
      <c r="H128" s="7"/>
      <c r="I128" s="7"/>
      <c r="J128" s="1415"/>
      <c r="K128" s="1"/>
      <c r="M128" s="10"/>
      <c r="N128" s="7"/>
      <c r="O128" s="7"/>
      <c r="P128" s="23"/>
      <c r="Q128" s="7"/>
      <c r="R128" s="7"/>
      <c r="S128" s="7"/>
      <c r="T128" s="7"/>
      <c r="U128" s="262"/>
      <c r="X128" s="10"/>
      <c r="Y128" s="7"/>
      <c r="Z128" s="7"/>
      <c r="AA128" s="23"/>
      <c r="AB128" s="7"/>
      <c r="AC128" s="7"/>
      <c r="AD128" s="7"/>
      <c r="AE128" s="7"/>
      <c r="AF128" s="29"/>
      <c r="AI128" s="10"/>
      <c r="AJ128" s="7"/>
      <c r="AK128" s="7"/>
      <c r="AL128" s="23"/>
      <c r="AM128" s="7"/>
      <c r="AN128" s="7"/>
      <c r="AO128" s="7"/>
      <c r="AP128" s="7"/>
      <c r="AQ128" s="29"/>
      <c r="AR128" s="4"/>
      <c r="AS128" s="10"/>
      <c r="AT128" s="7"/>
      <c r="AU128" s="336"/>
      <c r="AV128" s="7"/>
      <c r="AW128" s="7"/>
      <c r="AX128" s="7"/>
      <c r="AY128" s="7"/>
      <c r="AZ128" s="7"/>
      <c r="BA128" s="262"/>
    </row>
    <row r="129" spans="1:57" x14ac:dyDescent="0.3">
      <c r="A129" s="1"/>
      <c r="B129" s="10"/>
      <c r="C129" s="7"/>
      <c r="D129" s="7"/>
      <c r="E129" s="7"/>
      <c r="F129" s="7"/>
      <c r="G129" s="7"/>
      <c r="H129" s="7"/>
      <c r="I129" s="7"/>
      <c r="J129" s="1415"/>
      <c r="K129" s="1"/>
      <c r="M129" s="10"/>
      <c r="N129" s="7"/>
      <c r="O129" s="7"/>
      <c r="P129" s="23"/>
      <c r="Q129" s="7"/>
      <c r="R129" s="7"/>
      <c r="S129" s="7"/>
      <c r="T129" s="7"/>
      <c r="U129" s="262"/>
      <c r="X129" s="10"/>
      <c r="Y129" s="7"/>
      <c r="Z129" s="7"/>
      <c r="AA129" s="23"/>
      <c r="AB129" s="7"/>
      <c r="AC129" s="7"/>
      <c r="AD129" s="7"/>
      <c r="AE129" s="7"/>
      <c r="AF129" s="29"/>
      <c r="AI129" s="10"/>
      <c r="AJ129" s="7"/>
      <c r="AK129" s="7"/>
      <c r="AL129" s="23"/>
      <c r="AM129" s="7"/>
      <c r="AN129" s="7"/>
      <c r="AO129" s="7"/>
      <c r="AP129" s="7"/>
      <c r="AQ129" s="29"/>
      <c r="AR129" s="4"/>
      <c r="AS129" s="10"/>
      <c r="AT129" s="7"/>
      <c r="AU129" s="336"/>
      <c r="AV129" s="7"/>
      <c r="AW129" s="7"/>
      <c r="AX129" s="7"/>
      <c r="AY129" s="7"/>
      <c r="AZ129" s="7"/>
      <c r="BA129" s="262"/>
    </row>
    <row r="130" spans="1:57" x14ac:dyDescent="0.3">
      <c r="A130" s="1"/>
      <c r="B130" s="10"/>
      <c r="C130" s="7"/>
      <c r="D130" s="7"/>
      <c r="E130" s="7"/>
      <c r="F130" s="7"/>
      <c r="G130" s="7"/>
      <c r="H130" s="7"/>
      <c r="I130" s="7"/>
      <c r="J130" s="1415"/>
      <c r="K130" s="1"/>
      <c r="M130" s="10"/>
      <c r="N130" s="7"/>
      <c r="O130" s="7"/>
      <c r="P130" s="23"/>
      <c r="Q130" s="7"/>
      <c r="R130" s="7"/>
      <c r="S130" s="7"/>
      <c r="T130" s="7"/>
      <c r="U130" s="262"/>
      <c r="X130" s="10"/>
      <c r="Y130" s="7"/>
      <c r="Z130" s="7"/>
      <c r="AA130" s="23"/>
      <c r="AB130" s="7"/>
      <c r="AC130" s="7"/>
      <c r="AD130" s="7"/>
      <c r="AE130" s="7"/>
      <c r="AF130" s="29"/>
      <c r="AI130" s="10"/>
      <c r="AJ130" s="7"/>
      <c r="AK130" s="7"/>
      <c r="AL130" s="23"/>
      <c r="AM130" s="7"/>
      <c r="AN130" s="7"/>
      <c r="AO130" s="7"/>
      <c r="AP130" s="7"/>
      <c r="AQ130" s="29"/>
      <c r="AR130" s="4"/>
      <c r="AS130" s="10"/>
      <c r="AT130" s="7"/>
      <c r="AU130" s="336"/>
      <c r="AV130" s="7"/>
      <c r="AW130" s="7"/>
      <c r="AX130" s="7"/>
      <c r="AY130" s="7"/>
      <c r="AZ130" s="7"/>
      <c r="BA130" s="262"/>
    </row>
    <row r="131" spans="1:57" x14ac:dyDescent="0.3">
      <c r="A131" s="1"/>
      <c r="B131" s="10"/>
      <c r="C131" s="7"/>
      <c r="D131" s="7"/>
      <c r="E131" s="7"/>
      <c r="F131" s="7"/>
      <c r="G131" s="7"/>
      <c r="H131" s="7"/>
      <c r="I131" s="7"/>
      <c r="J131" s="1415"/>
      <c r="K131" s="1"/>
      <c r="M131" s="10"/>
      <c r="N131" s="7"/>
      <c r="O131" s="7"/>
      <c r="P131" s="23"/>
      <c r="Q131" s="7"/>
      <c r="R131" s="7"/>
      <c r="S131" s="7"/>
      <c r="T131" s="7"/>
      <c r="U131" s="262"/>
      <c r="X131" s="10"/>
      <c r="Y131" s="7"/>
      <c r="Z131" s="7"/>
      <c r="AA131" s="23"/>
      <c r="AB131" s="7"/>
      <c r="AC131" s="7"/>
      <c r="AD131" s="7"/>
      <c r="AE131" s="7"/>
      <c r="AF131" s="29"/>
      <c r="AI131" s="10"/>
      <c r="AJ131" s="7"/>
      <c r="AK131" s="7"/>
      <c r="AL131" s="23"/>
      <c r="AM131" s="7"/>
      <c r="AN131" s="7"/>
      <c r="AO131" s="7"/>
      <c r="AP131" s="7"/>
      <c r="AQ131" s="29"/>
      <c r="AR131" s="4"/>
      <c r="AS131" s="10"/>
      <c r="AT131" s="7"/>
      <c r="AU131" s="336"/>
      <c r="AV131" s="7"/>
      <c r="AW131" s="7"/>
      <c r="AX131" s="7"/>
      <c r="AY131" s="7"/>
      <c r="AZ131" s="7"/>
      <c r="BA131" s="262"/>
    </row>
    <row r="132" spans="1:57" x14ac:dyDescent="0.3">
      <c r="A132" s="1"/>
      <c r="B132" s="10"/>
      <c r="C132" s="7"/>
      <c r="D132" s="7"/>
      <c r="E132" s="7"/>
      <c r="F132" s="7"/>
      <c r="G132" s="7"/>
      <c r="H132" s="7"/>
      <c r="I132" s="7"/>
      <c r="J132" s="1415"/>
      <c r="K132" s="1"/>
      <c r="M132" s="10"/>
      <c r="N132" s="7"/>
      <c r="O132" s="7"/>
      <c r="P132" s="23"/>
      <c r="Q132" s="7"/>
      <c r="R132" s="7"/>
      <c r="S132" s="7"/>
      <c r="T132" s="7"/>
      <c r="U132" s="262"/>
      <c r="X132" s="10"/>
      <c r="Y132" s="7"/>
      <c r="Z132" s="7"/>
      <c r="AA132" s="23"/>
      <c r="AB132" s="7"/>
      <c r="AC132" s="7"/>
      <c r="AD132" s="7"/>
      <c r="AE132" s="7"/>
      <c r="AF132" s="29"/>
      <c r="AI132" s="10"/>
      <c r="AJ132" s="7"/>
      <c r="AK132" s="7"/>
      <c r="AL132" s="23"/>
      <c r="AM132" s="7"/>
      <c r="AN132" s="7"/>
      <c r="AO132" s="7"/>
      <c r="AP132" s="7"/>
      <c r="AQ132" s="29"/>
      <c r="AR132" s="4"/>
      <c r="AS132" s="10"/>
      <c r="AT132" s="7"/>
      <c r="AU132" s="336"/>
      <c r="AV132" s="7"/>
      <c r="AW132" s="7"/>
      <c r="AX132" s="7"/>
      <c r="AY132" s="7"/>
      <c r="AZ132" s="7"/>
      <c r="BA132" s="262"/>
    </row>
    <row r="133" spans="1:57" x14ac:dyDescent="0.3">
      <c r="A133" s="1"/>
      <c r="B133" s="10"/>
      <c r="C133" s="7"/>
      <c r="D133" s="7"/>
      <c r="E133" s="7"/>
      <c r="F133" s="7"/>
      <c r="G133" s="7"/>
      <c r="H133" s="7"/>
      <c r="I133" s="7"/>
      <c r="J133" s="1415"/>
      <c r="K133" s="1"/>
      <c r="M133" s="10"/>
      <c r="N133" s="7"/>
      <c r="O133" s="7"/>
      <c r="P133" s="23"/>
      <c r="Q133" s="7"/>
      <c r="R133" s="7"/>
      <c r="S133" s="7"/>
      <c r="T133" s="7"/>
      <c r="U133" s="262"/>
      <c r="X133" s="10"/>
      <c r="Y133" s="7"/>
      <c r="Z133" s="7"/>
      <c r="AA133" s="23"/>
      <c r="AB133" s="7"/>
      <c r="AC133" s="7"/>
      <c r="AD133" s="7"/>
      <c r="AE133" s="7"/>
      <c r="AF133" s="29"/>
      <c r="AI133" s="10"/>
      <c r="AJ133" s="7"/>
      <c r="AK133" s="7"/>
      <c r="AL133" s="23"/>
      <c r="AM133" s="7"/>
      <c r="AN133" s="7"/>
      <c r="AO133" s="7"/>
      <c r="AP133" s="7"/>
      <c r="AQ133" s="29"/>
      <c r="AR133" s="4"/>
      <c r="AS133" s="10"/>
      <c r="AT133" s="7"/>
      <c r="AU133" s="336"/>
      <c r="AV133" s="7"/>
      <c r="AW133" s="7"/>
      <c r="AX133" s="7"/>
      <c r="AY133" s="7"/>
      <c r="AZ133" s="7"/>
      <c r="BA133" s="262"/>
    </row>
    <row r="134" spans="1:57" x14ac:dyDescent="0.3">
      <c r="A134" s="1"/>
      <c r="B134" s="10"/>
      <c r="C134" s="7"/>
      <c r="D134" s="7"/>
      <c r="E134" s="7"/>
      <c r="F134" s="7"/>
      <c r="G134" s="7"/>
      <c r="H134" s="7"/>
      <c r="I134" s="7"/>
      <c r="J134" s="1415"/>
      <c r="K134" s="1"/>
      <c r="M134" s="10"/>
      <c r="N134" s="7"/>
      <c r="O134" s="7"/>
      <c r="P134" s="23"/>
      <c r="Q134" s="7"/>
      <c r="R134" s="7"/>
      <c r="S134" s="7"/>
      <c r="T134" s="7"/>
      <c r="U134" s="262"/>
      <c r="X134" s="10"/>
      <c r="Y134" s="7"/>
      <c r="Z134" s="7"/>
      <c r="AA134" s="23"/>
      <c r="AB134" s="7"/>
      <c r="AC134" s="7"/>
      <c r="AD134" s="7"/>
      <c r="AE134" s="7"/>
      <c r="AF134" s="29"/>
      <c r="AI134" s="10"/>
      <c r="AJ134" s="7"/>
      <c r="AK134" s="7"/>
      <c r="AL134" s="23"/>
      <c r="AM134" s="7"/>
      <c r="AN134" s="7"/>
      <c r="AO134" s="7"/>
      <c r="AP134" s="7"/>
      <c r="AQ134" s="29"/>
      <c r="AR134" s="4"/>
      <c r="AS134" s="10"/>
      <c r="AT134" s="7"/>
      <c r="AU134" s="336"/>
      <c r="AV134" s="7"/>
      <c r="AW134" s="7"/>
      <c r="AX134" s="7"/>
      <c r="AY134" s="7"/>
      <c r="AZ134" s="7"/>
      <c r="BA134" s="262"/>
    </row>
    <row r="135" spans="1:57" x14ac:dyDescent="0.3">
      <c r="A135" s="1"/>
      <c r="B135" s="10"/>
      <c r="C135" s="7"/>
      <c r="D135" s="7"/>
      <c r="E135" s="7"/>
      <c r="F135" s="7"/>
      <c r="G135" s="7"/>
      <c r="H135" s="7"/>
      <c r="I135" s="7"/>
      <c r="J135" s="1415"/>
      <c r="K135" s="1"/>
      <c r="M135" s="10"/>
      <c r="N135" s="7"/>
      <c r="O135" s="7"/>
      <c r="P135" s="23"/>
      <c r="Q135" s="7"/>
      <c r="R135" s="7"/>
      <c r="S135" s="7"/>
      <c r="T135" s="7"/>
      <c r="U135" s="262"/>
      <c r="X135" s="10"/>
      <c r="Y135" s="7"/>
      <c r="Z135" s="7"/>
      <c r="AA135" s="23"/>
      <c r="AB135" s="7"/>
      <c r="AC135" s="7"/>
      <c r="AD135" s="7"/>
      <c r="AE135" s="7"/>
      <c r="AF135" s="29"/>
      <c r="AI135" s="10"/>
      <c r="AJ135" s="7"/>
      <c r="AK135" s="7"/>
      <c r="AL135" s="23"/>
      <c r="AM135" s="7"/>
      <c r="AN135" s="7"/>
      <c r="AO135" s="7"/>
      <c r="AP135" s="7"/>
      <c r="AQ135" s="29"/>
      <c r="AR135" s="4"/>
      <c r="AS135" s="10"/>
      <c r="AT135" s="7"/>
      <c r="AU135" s="336"/>
      <c r="AV135" s="7"/>
      <c r="AW135" s="7"/>
      <c r="AX135" s="7"/>
      <c r="AY135" s="7"/>
      <c r="AZ135" s="7"/>
      <c r="BA135" s="262"/>
    </row>
    <row r="136" spans="1:57" x14ac:dyDescent="0.3">
      <c r="A136" s="1"/>
      <c r="B136" s="10"/>
      <c r="C136" s="7"/>
      <c r="D136" s="7"/>
      <c r="E136" s="7"/>
      <c r="F136" s="7"/>
      <c r="G136" s="7"/>
      <c r="H136" s="7"/>
      <c r="I136" s="7"/>
      <c r="J136" s="1415"/>
      <c r="K136" s="1"/>
      <c r="M136" s="10"/>
      <c r="N136" s="7"/>
      <c r="O136" s="7"/>
      <c r="P136" s="23"/>
      <c r="Q136" s="7"/>
      <c r="R136" s="7"/>
      <c r="S136" s="7"/>
      <c r="T136" s="7"/>
      <c r="U136" s="262"/>
      <c r="X136" s="10"/>
      <c r="Y136" s="7"/>
      <c r="Z136" s="7"/>
      <c r="AA136" s="23"/>
      <c r="AB136" s="7"/>
      <c r="AC136" s="7"/>
      <c r="AD136" s="7"/>
      <c r="AE136" s="7"/>
      <c r="AF136" s="29"/>
      <c r="AI136" s="10"/>
      <c r="AJ136" s="7"/>
      <c r="AK136" s="7"/>
      <c r="AL136" s="23"/>
      <c r="AM136" s="7"/>
      <c r="AN136" s="7"/>
      <c r="AO136" s="7"/>
      <c r="AP136" s="7"/>
      <c r="AQ136" s="29"/>
      <c r="AR136" s="4"/>
      <c r="AS136" s="10"/>
      <c r="AT136" s="7"/>
      <c r="AU136" s="336"/>
      <c r="AV136" s="7"/>
      <c r="AW136" s="7"/>
      <c r="AX136" s="7"/>
      <c r="AY136" s="7"/>
      <c r="AZ136" s="7"/>
      <c r="BA136" s="262"/>
    </row>
    <row r="137" spans="1:57" ht="15" customHeight="1" x14ac:dyDescent="0.3">
      <c r="A137" s="1"/>
      <c r="B137" s="10"/>
      <c r="C137" s="7"/>
      <c r="D137" s="7"/>
      <c r="E137" s="7"/>
      <c r="F137" s="7"/>
      <c r="G137" s="7"/>
      <c r="H137" s="7"/>
      <c r="I137" s="7"/>
      <c r="J137" s="1415"/>
      <c r="K137" s="1"/>
      <c r="M137" s="10"/>
      <c r="N137" s="7"/>
      <c r="O137" s="7"/>
      <c r="P137" s="23"/>
      <c r="Q137" s="7"/>
      <c r="R137" s="7"/>
      <c r="S137" s="7"/>
      <c r="T137" s="7"/>
      <c r="U137" s="262"/>
      <c r="X137" s="10"/>
      <c r="Y137" s="7"/>
      <c r="Z137" s="7"/>
      <c r="AA137" s="23"/>
      <c r="AB137" s="7"/>
      <c r="AC137" s="7"/>
      <c r="AD137" s="7"/>
      <c r="AE137" s="7"/>
      <c r="AF137" s="29"/>
      <c r="AI137" s="10"/>
      <c r="AJ137" s="7"/>
      <c r="AK137" s="7"/>
      <c r="AL137" s="23"/>
      <c r="AM137" s="7"/>
      <c r="AN137" s="7"/>
      <c r="AO137" s="7"/>
      <c r="AP137" s="7"/>
      <c r="AQ137" s="29"/>
      <c r="AR137" s="4"/>
      <c r="AS137" s="10"/>
      <c r="AT137" s="7"/>
      <c r="AU137" s="336"/>
      <c r="AV137" s="7"/>
      <c r="AW137" s="7"/>
      <c r="AX137" s="7"/>
      <c r="AY137" s="7"/>
      <c r="AZ137" s="7"/>
      <c r="BA137" s="262"/>
    </row>
    <row r="138" spans="1:57" s="6" customFormat="1" x14ac:dyDescent="0.3">
      <c r="A138" s="3"/>
      <c r="B138" s="4122" t="s">
        <v>0</v>
      </c>
      <c r="C138" s="4122"/>
      <c r="D138" s="1422"/>
      <c r="E138" s="8">
        <f>SUM(E127:E137)</f>
        <v>0</v>
      </c>
      <c r="F138" s="8">
        <f>SUM(F127:F137)</f>
        <v>0</v>
      </c>
      <c r="G138" s="8">
        <f t="shared" ref="G138:I138" si="20">SUM(G127:G137)</f>
        <v>0</v>
      </c>
      <c r="H138" s="8">
        <f t="shared" si="20"/>
        <v>0</v>
      </c>
      <c r="I138" s="8">
        <f t="shared" si="20"/>
        <v>0</v>
      </c>
      <c r="J138" s="1415">
        <f>SUM(J127:J137)</f>
        <v>0</v>
      </c>
      <c r="K138" s="3"/>
      <c r="M138" s="1415"/>
      <c r="N138" s="1415" t="s">
        <v>0</v>
      </c>
      <c r="O138" s="8"/>
      <c r="P138" s="27">
        <f>SUM(P127:P137)</f>
        <v>0</v>
      </c>
      <c r="Q138" s="27">
        <f>SUM(Q127:Q137)</f>
        <v>0</v>
      </c>
      <c r="R138" s="27">
        <f t="shared" ref="R138:T138" si="21">SUM(R127:R137)</f>
        <v>0</v>
      </c>
      <c r="S138" s="27">
        <f t="shared" si="21"/>
        <v>0</v>
      </c>
      <c r="T138" s="27">
        <f t="shared" si="21"/>
        <v>0</v>
      </c>
      <c r="U138" s="262">
        <f>SUM(U127:U137)</f>
        <v>0</v>
      </c>
      <c r="V138" s="3"/>
      <c r="W138" s="3"/>
      <c r="X138" s="4122" t="s">
        <v>0</v>
      </c>
      <c r="Y138" s="4122"/>
      <c r="Z138" s="1422"/>
      <c r="AA138" s="27">
        <f>SUM(AA127:AA137)</f>
        <v>0</v>
      </c>
      <c r="AB138" s="27">
        <f>SUM(AB127:AB137)</f>
        <v>0</v>
      </c>
      <c r="AC138" s="27">
        <f t="shared" ref="AC138:AE138" si="22">SUM(AC127:AC137)</f>
        <v>0</v>
      </c>
      <c r="AD138" s="27">
        <f t="shared" si="22"/>
        <v>0</v>
      </c>
      <c r="AE138" s="27">
        <f t="shared" si="22"/>
        <v>0</v>
      </c>
      <c r="AF138" s="27">
        <f>SUM(AF127:AF137)</f>
        <v>0</v>
      </c>
      <c r="AG138" s="3"/>
      <c r="AH138" s="3"/>
      <c r="AI138" s="4122" t="s">
        <v>0</v>
      </c>
      <c r="AJ138" s="4122"/>
      <c r="AK138" s="1422"/>
      <c r="AL138" s="27">
        <f>SUM(AL127:AL137)</f>
        <v>0</v>
      </c>
      <c r="AM138" s="27">
        <f>SUM(AM127:AM137)</f>
        <v>0</v>
      </c>
      <c r="AN138" s="27">
        <f>SUM(AN127:AN137)</f>
        <v>0</v>
      </c>
      <c r="AO138" s="27">
        <f>SUM(AO127:AO137)</f>
        <v>0</v>
      </c>
      <c r="AP138" s="27">
        <f>SUM(AP127:AP137)</f>
        <v>0</v>
      </c>
      <c r="AQ138" s="29">
        <f t="shared" ref="AQ138" si="23">SUM(AL138:AP138)</f>
        <v>0</v>
      </c>
      <c r="AS138" s="4122" t="s">
        <v>0</v>
      </c>
      <c r="AT138" s="4122"/>
      <c r="AU138" s="1430"/>
      <c r="AV138" s="27">
        <f>SUM(AV127:AV137)</f>
        <v>0</v>
      </c>
      <c r="AW138" s="27">
        <f>SUM(AW127:AW137)</f>
        <v>0</v>
      </c>
      <c r="AX138" s="27">
        <f t="shared" ref="AX138:BA138" si="24">SUM(AX127:AX137)</f>
        <v>0</v>
      </c>
      <c r="AY138" s="27">
        <f t="shared" si="24"/>
        <v>0</v>
      </c>
      <c r="AZ138" s="27">
        <f t="shared" si="24"/>
        <v>0</v>
      </c>
      <c r="BA138" s="262">
        <f t="shared" si="24"/>
        <v>0</v>
      </c>
      <c r="BD138" s="3"/>
      <c r="BE138" s="238"/>
    </row>
    <row r="139" spans="1:57" x14ac:dyDescent="0.3">
      <c r="A139" s="1"/>
      <c r="B139" s="1"/>
      <c r="C139" s="1"/>
      <c r="D139" s="1"/>
      <c r="E139" s="1"/>
      <c r="F139" s="1"/>
      <c r="G139" s="1"/>
      <c r="H139" s="1"/>
      <c r="I139" s="1"/>
      <c r="J139" s="1423"/>
      <c r="K139" s="1"/>
      <c r="AU139" s="1433"/>
      <c r="AV139" s="1"/>
      <c r="AW139" s="1"/>
      <c r="AX139" s="1"/>
      <c r="AY139" s="1"/>
      <c r="AZ139" s="1447">
        <f>SUM(E97:F97)</f>
        <v>174</v>
      </c>
      <c r="BA139" s="1505">
        <f>'4 Estadis ESTRATEG Prod3'!AE50</f>
        <v>0</v>
      </c>
      <c r="BB139" s="132">
        <f>BA138/(E97+F97)</f>
        <v>0</v>
      </c>
      <c r="BC139" s="133" t="s">
        <v>1809</v>
      </c>
    </row>
    <row r="140" spans="1:57" x14ac:dyDescent="0.3">
      <c r="A140" s="1"/>
      <c r="B140" s="1"/>
      <c r="C140" s="1"/>
      <c r="D140" s="1"/>
      <c r="E140" s="1"/>
      <c r="F140" s="1"/>
      <c r="G140" s="1"/>
      <c r="H140" s="1"/>
      <c r="I140" s="1"/>
      <c r="J140" s="1423"/>
      <c r="K140" s="1"/>
      <c r="AU140" s="1433"/>
      <c r="AV140" s="1"/>
      <c r="AW140" s="1"/>
      <c r="AX140" s="1"/>
      <c r="AY140" s="1"/>
      <c r="AZ140" s="1" t="e">
        <f>AZ139/BA139</f>
        <v>#DIV/0!</v>
      </c>
      <c r="BA140" s="1435" t="e">
        <f>SUM(E97:F97)/BA139</f>
        <v>#DIV/0!</v>
      </c>
      <c r="BB140" s="1488" t="e">
        <f>BA140/BA138</f>
        <v>#DIV/0!</v>
      </c>
    </row>
    <row r="141" spans="1:57" x14ac:dyDescent="0.3">
      <c r="A141" s="1"/>
      <c r="B141" s="1"/>
      <c r="C141" s="1"/>
      <c r="D141" s="1"/>
      <c r="E141" s="1"/>
      <c r="F141" s="1"/>
      <c r="G141" s="1"/>
      <c r="H141" s="1"/>
      <c r="I141" s="1"/>
      <c r="J141" s="1423"/>
      <c r="K141" s="1"/>
      <c r="AU141" s="1433"/>
      <c r="AV141" s="1"/>
      <c r="AW141" s="1"/>
      <c r="AX141" s="1"/>
      <c r="AY141" s="1"/>
      <c r="AZ141" s="1"/>
      <c r="BA141" s="1434"/>
    </row>
    <row r="142" spans="1:57" x14ac:dyDescent="0.3">
      <c r="A142" s="1"/>
      <c r="B142" s="4125" t="s">
        <v>279</v>
      </c>
      <c r="C142" s="4125"/>
      <c r="D142" s="4125"/>
      <c r="E142" s="4125"/>
      <c r="F142" s="4125"/>
      <c r="G142" s="4125"/>
      <c r="H142" s="4125"/>
      <c r="I142" s="4125"/>
      <c r="J142" s="4125"/>
      <c r="K142" s="1"/>
      <c r="M142" s="4125" t="s">
        <v>345</v>
      </c>
      <c r="N142" s="4125"/>
      <c r="O142" s="4125"/>
      <c r="P142" s="4125"/>
      <c r="Q142" s="4125"/>
      <c r="R142" s="4125"/>
      <c r="S142" s="4125"/>
      <c r="T142" s="4125"/>
      <c r="U142" s="4125"/>
      <c r="X142" s="4125" t="s">
        <v>350</v>
      </c>
      <c r="Y142" s="4125"/>
      <c r="Z142" s="4125"/>
      <c r="AA142" s="4125"/>
      <c r="AB142" s="4125"/>
      <c r="AC142" s="4125"/>
      <c r="AD142" s="4125"/>
      <c r="AE142" s="4125"/>
      <c r="AF142" s="4125"/>
      <c r="AI142" s="4125" t="s">
        <v>608</v>
      </c>
      <c r="AJ142" s="4125"/>
      <c r="AK142" s="4125"/>
      <c r="AL142" s="4125"/>
      <c r="AM142" s="4125"/>
      <c r="AN142" s="4125"/>
      <c r="AO142" s="4125"/>
      <c r="AP142" s="4125"/>
      <c r="AQ142" s="4125"/>
      <c r="AS142" s="4125" t="s">
        <v>3552</v>
      </c>
      <c r="AT142" s="4125"/>
      <c r="AU142" s="4125"/>
      <c r="AV142" s="4125"/>
      <c r="AW142" s="4125"/>
      <c r="AX142" s="4125"/>
      <c r="AY142" s="4125"/>
      <c r="AZ142" s="4125"/>
      <c r="BA142" s="4125"/>
    </row>
    <row r="143" spans="1:57" x14ac:dyDescent="0.3">
      <c r="A143" s="1"/>
      <c r="B143" s="4111" t="s">
        <v>62</v>
      </c>
      <c r="C143" s="4111" t="s">
        <v>184</v>
      </c>
      <c r="D143" s="4111" t="s">
        <v>161</v>
      </c>
      <c r="E143" s="4113" t="s">
        <v>186</v>
      </c>
      <c r="F143" s="4114"/>
      <c r="G143" s="4114"/>
      <c r="H143" s="4114"/>
      <c r="I143" s="4115"/>
      <c r="J143" s="4111" t="s">
        <v>0</v>
      </c>
      <c r="K143" s="1"/>
      <c r="M143" s="4111" t="s">
        <v>62</v>
      </c>
      <c r="N143" s="4111" t="s">
        <v>184</v>
      </c>
      <c r="O143" s="4111" t="s">
        <v>161</v>
      </c>
      <c r="P143" s="4113" t="s">
        <v>186</v>
      </c>
      <c r="Q143" s="4114"/>
      <c r="R143" s="4114"/>
      <c r="S143" s="4114"/>
      <c r="T143" s="4115"/>
      <c r="U143" s="4111" t="s">
        <v>0</v>
      </c>
      <c r="X143" s="4111" t="s">
        <v>62</v>
      </c>
      <c r="Y143" s="4111" t="s">
        <v>184</v>
      </c>
      <c r="Z143" s="4111" t="s">
        <v>161</v>
      </c>
      <c r="AA143" s="4113" t="s">
        <v>186</v>
      </c>
      <c r="AB143" s="4114"/>
      <c r="AC143" s="4114"/>
      <c r="AD143" s="4114"/>
      <c r="AE143" s="4115"/>
      <c r="AF143" s="4111" t="s">
        <v>0</v>
      </c>
      <c r="AI143" s="4111" t="s">
        <v>62</v>
      </c>
      <c r="AJ143" s="4111" t="s">
        <v>184</v>
      </c>
      <c r="AK143" s="4111" t="s">
        <v>161</v>
      </c>
      <c r="AL143" s="4113" t="s">
        <v>186</v>
      </c>
      <c r="AM143" s="4114"/>
      <c r="AN143" s="4114"/>
      <c r="AO143" s="4114"/>
      <c r="AP143" s="4115"/>
      <c r="AQ143" s="4111" t="s">
        <v>0</v>
      </c>
      <c r="AS143" s="4111" t="s">
        <v>62</v>
      </c>
      <c r="AT143" s="4111" t="s">
        <v>184</v>
      </c>
      <c r="AU143" s="4111" t="s">
        <v>161</v>
      </c>
      <c r="AV143" s="4113" t="s">
        <v>186</v>
      </c>
      <c r="AW143" s="4114"/>
      <c r="AX143" s="4114"/>
      <c r="AY143" s="4114"/>
      <c r="AZ143" s="4115"/>
      <c r="BA143" s="4111" t="s">
        <v>0</v>
      </c>
      <c r="BD143" s="1447">
        <f>BA120+BA138+BA156</f>
        <v>0</v>
      </c>
    </row>
    <row r="144" spans="1:57" ht="33" x14ac:dyDescent="0.3">
      <c r="A144" s="1"/>
      <c r="B144" s="4112"/>
      <c r="C144" s="4112"/>
      <c r="D144" s="4112"/>
      <c r="E144" s="20" t="s">
        <v>277</v>
      </c>
      <c r="F144" s="20" t="s">
        <v>272</v>
      </c>
      <c r="G144" s="20" t="s">
        <v>273</v>
      </c>
      <c r="H144" s="20" t="s">
        <v>274</v>
      </c>
      <c r="I144" s="20" t="s">
        <v>275</v>
      </c>
      <c r="J144" s="4112"/>
      <c r="K144" s="1"/>
      <c r="M144" s="4112"/>
      <c r="N144" s="4112"/>
      <c r="O144" s="4112"/>
      <c r="P144" s="20" t="s">
        <v>277</v>
      </c>
      <c r="Q144" s="20" t="s">
        <v>272</v>
      </c>
      <c r="R144" s="20" t="s">
        <v>273</v>
      </c>
      <c r="S144" s="20" t="s">
        <v>274</v>
      </c>
      <c r="T144" s="20" t="s">
        <v>275</v>
      </c>
      <c r="U144" s="4112"/>
      <c r="X144" s="4112"/>
      <c r="Y144" s="4112"/>
      <c r="Z144" s="4112"/>
      <c r="AA144" s="20" t="s">
        <v>277</v>
      </c>
      <c r="AB144" s="20" t="s">
        <v>272</v>
      </c>
      <c r="AC144" s="20" t="s">
        <v>273</v>
      </c>
      <c r="AD144" s="20" t="s">
        <v>274</v>
      </c>
      <c r="AE144" s="20" t="s">
        <v>275</v>
      </c>
      <c r="AF144" s="4112"/>
      <c r="AI144" s="4112"/>
      <c r="AJ144" s="4112"/>
      <c r="AK144" s="4112"/>
      <c r="AL144" s="20" t="s">
        <v>277</v>
      </c>
      <c r="AM144" s="20" t="s">
        <v>272</v>
      </c>
      <c r="AN144" s="20" t="s">
        <v>273</v>
      </c>
      <c r="AO144" s="20" t="s">
        <v>274</v>
      </c>
      <c r="AP144" s="20" t="s">
        <v>275</v>
      </c>
      <c r="AQ144" s="4112"/>
      <c r="AS144" s="4112"/>
      <c r="AT144" s="4112"/>
      <c r="AU144" s="4112"/>
      <c r="AV144" s="20" t="s">
        <v>277</v>
      </c>
      <c r="AW144" s="20" t="s">
        <v>272</v>
      </c>
      <c r="AX144" s="20" t="s">
        <v>273</v>
      </c>
      <c r="AY144" s="20" t="s">
        <v>274</v>
      </c>
      <c r="AZ144" s="20" t="s">
        <v>275</v>
      </c>
      <c r="BA144" s="4112"/>
    </row>
    <row r="145" spans="1:56" x14ac:dyDescent="0.3">
      <c r="B145" s="10"/>
      <c r="C145" s="7"/>
      <c r="D145" s="7"/>
      <c r="E145" s="7"/>
      <c r="F145" s="7"/>
      <c r="G145" s="7"/>
      <c r="H145" s="7"/>
      <c r="I145" s="7"/>
      <c r="J145" s="1415"/>
      <c r="M145" s="10"/>
      <c r="N145" s="7"/>
      <c r="O145" s="7"/>
      <c r="P145" s="7"/>
      <c r="Q145" s="7"/>
      <c r="R145" s="7"/>
      <c r="S145" s="7"/>
      <c r="T145" s="7"/>
      <c r="U145" s="1415"/>
      <c r="V145" s="4"/>
      <c r="W145" s="4"/>
      <c r="X145" s="10"/>
      <c r="Y145" s="1414"/>
      <c r="Z145" s="1414"/>
      <c r="AA145" s="1414"/>
      <c r="AB145" s="1414"/>
      <c r="AC145" s="1414"/>
      <c r="AD145" s="1414"/>
      <c r="AE145" s="1414"/>
      <c r="AF145" s="29"/>
      <c r="AG145" s="4"/>
      <c r="AH145" s="4"/>
      <c r="AI145" s="10"/>
      <c r="AJ145" s="7"/>
      <c r="AK145" s="7"/>
      <c r="AL145" s="7"/>
      <c r="AM145" s="7"/>
      <c r="AN145" s="7"/>
      <c r="AO145" s="7"/>
      <c r="AP145" s="7"/>
      <c r="AQ145" s="29"/>
      <c r="AR145" s="4"/>
      <c r="AS145" s="10"/>
      <c r="AT145" s="7"/>
      <c r="AU145" s="336"/>
      <c r="AV145" s="7"/>
      <c r="AW145" s="1446"/>
      <c r="AX145" s="1446"/>
      <c r="AY145" s="1446"/>
      <c r="AZ145" s="1446"/>
      <c r="BA145" s="262"/>
      <c r="BD145" s="4"/>
    </row>
    <row r="146" spans="1:56" x14ac:dyDescent="0.3">
      <c r="B146" s="10"/>
      <c r="C146" s="7"/>
      <c r="D146" s="7"/>
      <c r="E146" s="7"/>
      <c r="F146" s="7"/>
      <c r="G146" s="7"/>
      <c r="H146" s="7"/>
      <c r="I146" s="7"/>
      <c r="J146" s="1415"/>
      <c r="M146" s="10"/>
      <c r="N146" s="7"/>
      <c r="O146" s="7"/>
      <c r="P146" s="7"/>
      <c r="Q146" s="7"/>
      <c r="R146" s="7"/>
      <c r="S146" s="7"/>
      <c r="T146" s="7"/>
      <c r="U146" s="1415"/>
      <c r="V146" s="4"/>
      <c r="W146" s="4"/>
      <c r="X146" s="10"/>
      <c r="Y146" s="1414"/>
      <c r="Z146" s="1414"/>
      <c r="AA146" s="1414"/>
      <c r="AB146" s="1414"/>
      <c r="AC146" s="1414"/>
      <c r="AD146" s="1414"/>
      <c r="AE146" s="1414"/>
      <c r="AF146" s="29"/>
      <c r="AG146" s="4"/>
      <c r="AH146" s="4"/>
      <c r="AI146" s="10"/>
      <c r="AJ146" s="7"/>
      <c r="AK146" s="7"/>
      <c r="AL146" s="7"/>
      <c r="AM146" s="7"/>
      <c r="AN146" s="7"/>
      <c r="AO146" s="7"/>
      <c r="AP146" s="7"/>
      <c r="AQ146" s="29"/>
      <c r="AR146" s="4"/>
      <c r="AS146" s="10"/>
      <c r="AT146" s="7"/>
      <c r="AU146" s="336"/>
      <c r="AV146" s="7"/>
      <c r="AW146" s="1446"/>
      <c r="AX146" s="1446"/>
      <c r="AY146" s="1446"/>
      <c r="AZ146" s="1446"/>
      <c r="BA146" s="262"/>
      <c r="BD146" s="4"/>
    </row>
    <row r="147" spans="1:56" x14ac:dyDescent="0.3">
      <c r="B147" s="10"/>
      <c r="C147" s="7"/>
      <c r="D147" s="7"/>
      <c r="E147" s="7"/>
      <c r="F147" s="7"/>
      <c r="G147" s="7"/>
      <c r="H147" s="7"/>
      <c r="I147" s="7"/>
      <c r="J147" s="1415"/>
      <c r="M147" s="10"/>
      <c r="N147" s="7"/>
      <c r="O147" s="7"/>
      <c r="P147" s="7"/>
      <c r="Q147" s="7"/>
      <c r="R147" s="7"/>
      <c r="S147" s="7"/>
      <c r="T147" s="7"/>
      <c r="U147" s="1415"/>
      <c r="V147" s="4"/>
      <c r="W147" s="4"/>
      <c r="X147" s="10"/>
      <c r="Y147" s="1414"/>
      <c r="Z147" s="1414"/>
      <c r="AA147" s="1414"/>
      <c r="AB147" s="1414"/>
      <c r="AC147" s="1414"/>
      <c r="AD147" s="1414"/>
      <c r="AE147" s="1414"/>
      <c r="AF147" s="29"/>
      <c r="AG147" s="4"/>
      <c r="AH147" s="4"/>
      <c r="AI147" s="10"/>
      <c r="AJ147" s="7"/>
      <c r="AK147" s="7"/>
      <c r="AL147" s="7"/>
      <c r="AM147" s="7"/>
      <c r="AN147" s="7"/>
      <c r="AO147" s="7"/>
      <c r="AP147" s="7"/>
      <c r="AQ147" s="29"/>
      <c r="AR147" s="4"/>
      <c r="AS147" s="10"/>
      <c r="AT147" s="7"/>
      <c r="AU147" s="336"/>
      <c r="AV147" s="7"/>
      <c r="AW147" s="1446"/>
      <c r="AX147" s="1446"/>
      <c r="AY147" s="1446"/>
      <c r="AZ147" s="1446"/>
      <c r="BA147" s="262"/>
      <c r="BD147" s="4"/>
    </row>
    <row r="148" spans="1:56" x14ac:dyDescent="0.3">
      <c r="B148" s="10"/>
      <c r="C148" s="7"/>
      <c r="D148" s="7"/>
      <c r="E148" s="7"/>
      <c r="F148" s="7"/>
      <c r="G148" s="7"/>
      <c r="H148" s="7"/>
      <c r="I148" s="7"/>
      <c r="J148" s="1415"/>
      <c r="M148" s="10"/>
      <c r="N148" s="7"/>
      <c r="O148" s="7"/>
      <c r="P148" s="7"/>
      <c r="Q148" s="7"/>
      <c r="R148" s="7"/>
      <c r="S148" s="7"/>
      <c r="T148" s="7"/>
      <c r="U148" s="1415"/>
      <c r="V148" s="4"/>
      <c r="W148" s="4"/>
      <c r="X148" s="10"/>
      <c r="Y148" s="1414"/>
      <c r="Z148" s="1414"/>
      <c r="AA148" s="1414"/>
      <c r="AB148" s="1414"/>
      <c r="AC148" s="1414"/>
      <c r="AD148" s="1414"/>
      <c r="AE148" s="1414"/>
      <c r="AF148" s="29"/>
      <c r="AG148" s="4"/>
      <c r="AH148" s="4"/>
      <c r="AI148" s="10"/>
      <c r="AJ148" s="7"/>
      <c r="AK148" s="7"/>
      <c r="AL148" s="7"/>
      <c r="AM148" s="7"/>
      <c r="AN148" s="7"/>
      <c r="AO148" s="7"/>
      <c r="AP148" s="7"/>
      <c r="AQ148" s="29"/>
      <c r="AR148" s="4"/>
      <c r="AS148" s="10"/>
      <c r="AT148" s="7"/>
      <c r="AU148" s="336"/>
      <c r="AV148" s="7"/>
      <c r="AW148" s="1446"/>
      <c r="AX148" s="1446"/>
      <c r="AY148" s="1446"/>
      <c r="AZ148" s="1446"/>
      <c r="BA148" s="262"/>
      <c r="BD148" s="4"/>
    </row>
    <row r="149" spans="1:56" x14ac:dyDescent="0.3">
      <c r="B149" s="10"/>
      <c r="C149" s="7"/>
      <c r="D149" s="7"/>
      <c r="E149" s="7"/>
      <c r="F149" s="7"/>
      <c r="G149" s="7"/>
      <c r="H149" s="7"/>
      <c r="I149" s="7"/>
      <c r="J149" s="1415"/>
      <c r="M149" s="10"/>
      <c r="N149" s="7"/>
      <c r="O149" s="7"/>
      <c r="P149" s="7"/>
      <c r="Q149" s="7"/>
      <c r="R149" s="7"/>
      <c r="S149" s="7"/>
      <c r="T149" s="7"/>
      <c r="U149" s="1415"/>
      <c r="V149" s="4"/>
      <c r="W149" s="4"/>
      <c r="X149" s="10"/>
      <c r="Y149" s="1414"/>
      <c r="Z149" s="1414"/>
      <c r="AA149" s="1414"/>
      <c r="AB149" s="1414"/>
      <c r="AC149" s="1414"/>
      <c r="AD149" s="1414"/>
      <c r="AE149" s="1414"/>
      <c r="AF149" s="29"/>
      <c r="AG149" s="4"/>
      <c r="AH149" s="4"/>
      <c r="AI149" s="10"/>
      <c r="AJ149" s="7"/>
      <c r="AK149" s="7"/>
      <c r="AL149" s="7"/>
      <c r="AM149" s="7"/>
      <c r="AN149" s="7"/>
      <c r="AO149" s="7"/>
      <c r="AP149" s="7"/>
      <c r="AQ149" s="29"/>
      <c r="AR149" s="4"/>
      <c r="AS149" s="10"/>
      <c r="AT149" s="7"/>
      <c r="AU149" s="336"/>
      <c r="AV149" s="7"/>
      <c r="AW149" s="1446"/>
      <c r="AX149" s="1446"/>
      <c r="AY149" s="1446"/>
      <c r="AZ149" s="1446"/>
      <c r="BA149" s="262"/>
      <c r="BD149" s="4"/>
    </row>
    <row r="150" spans="1:56" x14ac:dyDescent="0.3">
      <c r="B150" s="10"/>
      <c r="C150" s="7"/>
      <c r="D150" s="7"/>
      <c r="E150" s="7"/>
      <c r="F150" s="7"/>
      <c r="G150" s="7"/>
      <c r="H150" s="7"/>
      <c r="I150" s="7"/>
      <c r="J150" s="1415"/>
      <c r="M150" s="10"/>
      <c r="N150" s="7"/>
      <c r="O150" s="7"/>
      <c r="P150" s="7"/>
      <c r="Q150" s="7"/>
      <c r="R150" s="7"/>
      <c r="S150" s="7"/>
      <c r="T150" s="7"/>
      <c r="U150" s="1415"/>
      <c r="V150" s="4"/>
      <c r="W150" s="4"/>
      <c r="X150" s="10"/>
      <c r="Y150" s="1414"/>
      <c r="Z150" s="1414"/>
      <c r="AA150" s="1414"/>
      <c r="AB150" s="1414"/>
      <c r="AC150" s="1414"/>
      <c r="AD150" s="1414"/>
      <c r="AE150" s="1414"/>
      <c r="AF150" s="29"/>
      <c r="AG150" s="4"/>
      <c r="AH150" s="4"/>
      <c r="AI150" s="10"/>
      <c r="AJ150" s="7"/>
      <c r="AK150" s="7"/>
      <c r="AL150" s="7"/>
      <c r="AM150" s="7"/>
      <c r="AN150" s="7"/>
      <c r="AO150" s="7"/>
      <c r="AP150" s="7"/>
      <c r="AQ150" s="29"/>
      <c r="AR150" s="4"/>
      <c r="AS150" s="10"/>
      <c r="AT150" s="7"/>
      <c r="AU150" s="336"/>
      <c r="AV150" s="7"/>
      <c r="AW150" s="1446"/>
      <c r="AX150" s="1446"/>
      <c r="AY150" s="1446"/>
      <c r="AZ150" s="1446"/>
      <c r="BA150" s="262"/>
      <c r="BD150" s="4"/>
    </row>
    <row r="151" spans="1:56" x14ac:dyDescent="0.3">
      <c r="B151" s="10"/>
      <c r="C151" s="7"/>
      <c r="D151" s="7"/>
      <c r="E151" s="7"/>
      <c r="F151" s="7"/>
      <c r="G151" s="7"/>
      <c r="H151" s="7"/>
      <c r="I151" s="7"/>
      <c r="J151" s="1415"/>
      <c r="M151" s="10"/>
      <c r="N151" s="7"/>
      <c r="O151" s="7"/>
      <c r="P151" s="7"/>
      <c r="Q151" s="7"/>
      <c r="R151" s="7"/>
      <c r="S151" s="7"/>
      <c r="T151" s="7"/>
      <c r="U151" s="1415"/>
      <c r="V151" s="4"/>
      <c r="W151" s="4"/>
      <c r="X151" s="10"/>
      <c r="Y151" s="1414"/>
      <c r="Z151" s="1414"/>
      <c r="AA151" s="1414"/>
      <c r="AB151" s="1414"/>
      <c r="AC151" s="1414"/>
      <c r="AD151" s="1414"/>
      <c r="AE151" s="1414"/>
      <c r="AF151" s="29"/>
      <c r="AG151" s="4"/>
      <c r="AH151" s="4"/>
      <c r="AI151" s="10"/>
      <c r="AJ151" s="7"/>
      <c r="AK151" s="7"/>
      <c r="AL151" s="7"/>
      <c r="AM151" s="7"/>
      <c r="AN151" s="7"/>
      <c r="AO151" s="7"/>
      <c r="AP151" s="7"/>
      <c r="AQ151" s="29"/>
      <c r="AR151" s="4"/>
      <c r="AS151" s="10"/>
      <c r="AT151" s="7"/>
      <c r="AU151" s="336"/>
      <c r="AV151" s="7"/>
      <c r="AW151" s="1446"/>
      <c r="AX151" s="1446"/>
      <c r="AY151" s="1446"/>
      <c r="AZ151" s="1446"/>
      <c r="BA151" s="262"/>
      <c r="BD151" s="4"/>
    </row>
    <row r="152" spans="1:56" x14ac:dyDescent="0.3">
      <c r="B152" s="10"/>
      <c r="C152" s="7"/>
      <c r="D152" s="7"/>
      <c r="E152" s="7"/>
      <c r="F152" s="7"/>
      <c r="G152" s="7"/>
      <c r="H152" s="7"/>
      <c r="I152" s="7"/>
      <c r="J152" s="1415"/>
      <c r="M152" s="10"/>
      <c r="N152" s="7"/>
      <c r="O152" s="7"/>
      <c r="P152" s="7"/>
      <c r="Q152" s="7"/>
      <c r="R152" s="7"/>
      <c r="S152" s="7"/>
      <c r="T152" s="7"/>
      <c r="U152" s="1415"/>
      <c r="V152" s="4"/>
      <c r="W152" s="4"/>
      <c r="X152" s="10"/>
      <c r="Y152" s="1414"/>
      <c r="Z152" s="1414"/>
      <c r="AA152" s="1414"/>
      <c r="AB152" s="1414"/>
      <c r="AC152" s="1414"/>
      <c r="AD152" s="1414"/>
      <c r="AE152" s="1414"/>
      <c r="AF152" s="29"/>
      <c r="AG152" s="4"/>
      <c r="AH152" s="4"/>
      <c r="AI152" s="10"/>
      <c r="AJ152" s="7"/>
      <c r="AK152" s="7"/>
      <c r="AL152" s="7"/>
      <c r="AM152" s="7"/>
      <c r="AN152" s="7"/>
      <c r="AO152" s="7"/>
      <c r="AP152" s="7"/>
      <c r="AQ152" s="29"/>
      <c r="AR152" s="4"/>
      <c r="AS152" s="10"/>
      <c r="AT152" s="7"/>
      <c r="AU152" s="336"/>
      <c r="AV152" s="7"/>
      <c r="AW152" s="1446"/>
      <c r="AX152" s="1446"/>
      <c r="AY152" s="1446"/>
      <c r="AZ152" s="1446"/>
      <c r="BA152" s="262"/>
      <c r="BD152" s="4"/>
    </row>
    <row r="153" spans="1:56" x14ac:dyDescent="0.3">
      <c r="B153" s="10"/>
      <c r="C153" s="7"/>
      <c r="D153" s="7"/>
      <c r="E153" s="7"/>
      <c r="F153" s="7"/>
      <c r="G153" s="7"/>
      <c r="H153" s="7"/>
      <c r="I153" s="7"/>
      <c r="J153" s="1415"/>
      <c r="M153" s="10"/>
      <c r="N153" s="7"/>
      <c r="O153" s="7"/>
      <c r="P153" s="7"/>
      <c r="Q153" s="7"/>
      <c r="R153" s="7"/>
      <c r="S153" s="7"/>
      <c r="T153" s="7"/>
      <c r="U153" s="1415"/>
      <c r="V153" s="4"/>
      <c r="W153" s="4"/>
      <c r="X153" s="10"/>
      <c r="Y153" s="1414"/>
      <c r="Z153" s="1414"/>
      <c r="AA153" s="1414"/>
      <c r="AB153" s="1414"/>
      <c r="AC153" s="1414"/>
      <c r="AD153" s="1414"/>
      <c r="AE153" s="1414"/>
      <c r="AF153" s="29"/>
      <c r="AG153" s="4"/>
      <c r="AH153" s="4"/>
      <c r="AI153" s="10"/>
      <c r="AJ153" s="7"/>
      <c r="AK153" s="7"/>
      <c r="AL153" s="7"/>
      <c r="AM153" s="7"/>
      <c r="AN153" s="7"/>
      <c r="AO153" s="7"/>
      <c r="AP153" s="7"/>
      <c r="AQ153" s="29"/>
      <c r="AR153" s="4"/>
      <c r="AS153" s="10"/>
      <c r="AT153" s="7"/>
      <c r="AU153" s="336"/>
      <c r="AV153" s="7"/>
      <c r="AW153" s="1446"/>
      <c r="AX153" s="1446"/>
      <c r="AY153" s="1446"/>
      <c r="AZ153" s="1446"/>
      <c r="BA153" s="262"/>
      <c r="BD153" s="4"/>
    </row>
    <row r="154" spans="1:56" ht="15" customHeight="1" x14ac:dyDescent="0.3">
      <c r="B154" s="10"/>
      <c r="C154" s="7"/>
      <c r="E154" s="7"/>
      <c r="F154" s="7"/>
      <c r="G154" s="7"/>
      <c r="H154" s="7"/>
      <c r="I154" s="7"/>
      <c r="M154" s="10"/>
      <c r="N154" s="7"/>
      <c r="O154" s="7"/>
      <c r="P154" s="7"/>
      <c r="Q154" s="7"/>
      <c r="R154" s="7"/>
      <c r="S154" s="7"/>
      <c r="T154" s="7"/>
      <c r="U154" s="1415"/>
      <c r="V154" s="4"/>
      <c r="W154" s="4"/>
      <c r="X154" s="10"/>
      <c r="Y154" s="1414"/>
      <c r="Z154" s="1414"/>
      <c r="AA154" s="1414"/>
      <c r="AB154" s="1414"/>
      <c r="AC154" s="1414"/>
      <c r="AD154" s="1414"/>
      <c r="AE154" s="1414"/>
      <c r="AF154" s="29"/>
      <c r="AG154" s="4"/>
      <c r="AH154" s="4"/>
      <c r="AI154" s="10"/>
      <c r="AJ154" s="7"/>
      <c r="AK154" s="7"/>
      <c r="AL154" s="7"/>
      <c r="AM154" s="7"/>
      <c r="AN154" s="7"/>
      <c r="AO154" s="7"/>
      <c r="AP154" s="7"/>
      <c r="AQ154" s="29"/>
      <c r="AR154" s="4"/>
      <c r="AS154" s="10"/>
      <c r="AT154" s="7"/>
      <c r="AU154" s="336"/>
      <c r="AV154" s="7"/>
      <c r="AW154" s="1446"/>
      <c r="AX154" s="1446"/>
      <c r="AY154" s="1446"/>
      <c r="AZ154" s="1446"/>
      <c r="BA154" s="262"/>
      <c r="BD154" s="4"/>
    </row>
    <row r="155" spans="1:56" x14ac:dyDescent="0.3">
      <c r="B155" s="10"/>
      <c r="C155" s="7"/>
      <c r="D155" s="7"/>
      <c r="E155" s="7"/>
      <c r="F155" s="7"/>
      <c r="G155" s="7"/>
      <c r="H155" s="7"/>
      <c r="I155" s="7"/>
      <c r="J155" s="1415"/>
      <c r="M155" s="10"/>
      <c r="N155" s="7"/>
      <c r="O155" s="7"/>
      <c r="P155" s="7"/>
      <c r="Q155" s="7"/>
      <c r="R155" s="7"/>
      <c r="S155" s="7"/>
      <c r="T155" s="7"/>
      <c r="U155" s="1415"/>
      <c r="V155" s="4"/>
      <c r="W155" s="4"/>
      <c r="X155" s="10"/>
      <c r="Y155" s="50"/>
      <c r="Z155" s="1414"/>
      <c r="AA155" s="1414"/>
      <c r="AB155" s="1414"/>
      <c r="AC155" s="1414"/>
      <c r="AD155" s="1414"/>
      <c r="AE155" s="1414"/>
      <c r="AF155" s="29"/>
      <c r="AG155" s="4"/>
      <c r="AH155" s="4"/>
      <c r="AI155" s="10"/>
      <c r="AJ155" s="7"/>
      <c r="AK155" s="7"/>
      <c r="AL155" s="7"/>
      <c r="AM155" s="7"/>
      <c r="AN155" s="7"/>
      <c r="AO155" s="7"/>
      <c r="AP155" s="7"/>
      <c r="AQ155" s="29"/>
      <c r="AR155" s="4"/>
      <c r="AS155" s="10"/>
      <c r="AT155" s="7"/>
      <c r="AU155" s="336"/>
      <c r="AV155" s="7"/>
      <c r="AW155" s="1446"/>
      <c r="AX155" s="1446"/>
      <c r="AY155" s="1446"/>
      <c r="AZ155" s="1446"/>
      <c r="BA155" s="1445"/>
      <c r="BD155" s="4"/>
    </row>
    <row r="156" spans="1:56" s="238" customFormat="1" x14ac:dyDescent="0.25">
      <c r="B156" s="1415"/>
      <c r="C156" s="1415" t="s">
        <v>0</v>
      </c>
      <c r="D156" s="1415"/>
      <c r="E156" s="1415">
        <f t="shared" ref="E156:J156" si="25">SUM(E145:E155)</f>
        <v>0</v>
      </c>
      <c r="F156" s="1415">
        <f t="shared" si="25"/>
        <v>0</v>
      </c>
      <c r="G156" s="1415">
        <f t="shared" si="25"/>
        <v>0</v>
      </c>
      <c r="H156" s="1415">
        <f t="shared" si="25"/>
        <v>0</v>
      </c>
      <c r="I156" s="1415">
        <f t="shared" si="25"/>
        <v>0</v>
      </c>
      <c r="J156" s="1415">
        <f t="shared" si="25"/>
        <v>0</v>
      </c>
      <c r="M156" s="1415"/>
      <c r="N156" s="1415" t="s">
        <v>0</v>
      </c>
      <c r="O156" s="1415"/>
      <c r="P156" s="1415">
        <f t="shared" ref="P156:U156" si="26">SUM(P145:P155)</f>
        <v>0</v>
      </c>
      <c r="Q156" s="1415">
        <f t="shared" si="26"/>
        <v>0</v>
      </c>
      <c r="R156" s="1415">
        <f t="shared" si="26"/>
        <v>0</v>
      </c>
      <c r="S156" s="1415">
        <f t="shared" si="26"/>
        <v>0</v>
      </c>
      <c r="T156" s="1415">
        <f t="shared" si="26"/>
        <v>0</v>
      </c>
      <c r="U156" s="1415">
        <f t="shared" si="26"/>
        <v>0</v>
      </c>
      <c r="X156" s="1415"/>
      <c r="Y156" s="1415"/>
      <c r="Z156" s="1415"/>
      <c r="AA156" s="1415">
        <f t="shared" ref="AA156:AF156" si="27">SUM(AA145:AA155)</f>
        <v>0</v>
      </c>
      <c r="AB156" s="1415">
        <f t="shared" si="27"/>
        <v>0</v>
      </c>
      <c r="AC156" s="1415">
        <f t="shared" si="27"/>
        <v>0</v>
      </c>
      <c r="AD156" s="1415">
        <f t="shared" si="27"/>
        <v>0</v>
      </c>
      <c r="AE156" s="1415">
        <f t="shared" si="27"/>
        <v>0</v>
      </c>
      <c r="AF156" s="262">
        <f t="shared" si="27"/>
        <v>0</v>
      </c>
      <c r="AI156" s="1415"/>
      <c r="AJ156" s="1415"/>
      <c r="AK156" s="1415"/>
      <c r="AL156" s="1415">
        <f t="shared" ref="AL156:AQ156" si="28">SUM(AL145:AL155)</f>
        <v>0</v>
      </c>
      <c r="AM156" s="1415">
        <f t="shared" si="28"/>
        <v>0</v>
      </c>
      <c r="AN156" s="1415">
        <f t="shared" si="28"/>
        <v>0</v>
      </c>
      <c r="AO156" s="1415">
        <f t="shared" si="28"/>
        <v>0</v>
      </c>
      <c r="AP156" s="1415">
        <f t="shared" si="28"/>
        <v>0</v>
      </c>
      <c r="AQ156" s="1415">
        <f t="shared" si="28"/>
        <v>0</v>
      </c>
      <c r="AS156" s="1415"/>
      <c r="AT156" s="1415" t="s">
        <v>0</v>
      </c>
      <c r="AU156" s="1430"/>
      <c r="AV156" s="1415">
        <f t="shared" ref="AV156:BA156" si="29">SUM(AV145:AV155)</f>
        <v>0</v>
      </c>
      <c r="AW156" s="1415">
        <f t="shared" si="29"/>
        <v>0</v>
      </c>
      <c r="AX156" s="1415">
        <f t="shared" si="29"/>
        <v>0</v>
      </c>
      <c r="AY156" s="1415">
        <f t="shared" si="29"/>
        <v>0</v>
      </c>
      <c r="AZ156" s="1415">
        <f t="shared" si="29"/>
        <v>0</v>
      </c>
      <c r="BA156" s="1430">
        <f t="shared" si="29"/>
        <v>0</v>
      </c>
    </row>
    <row r="157" spans="1:56" x14ac:dyDescent="0.3">
      <c r="M157" s="4"/>
      <c r="N157" s="4"/>
      <c r="O157" s="4"/>
      <c r="P157" s="4"/>
      <c r="Q157" s="4"/>
      <c r="R157" s="4"/>
      <c r="S157" s="4"/>
      <c r="T157" s="4"/>
      <c r="U157" s="238"/>
      <c r="V157" s="4"/>
      <c r="W157" s="4"/>
      <c r="X157" s="4"/>
      <c r="Y157" s="4"/>
      <c r="Z157" s="4"/>
      <c r="AA157" s="4"/>
      <c r="AB157" s="4"/>
      <c r="AC157" s="4"/>
      <c r="AD157" s="4"/>
      <c r="AE157" s="4"/>
      <c r="AF157" s="6"/>
      <c r="AG157" s="4"/>
      <c r="AH157" s="4"/>
      <c r="AI157" s="4"/>
      <c r="AJ157" s="4"/>
      <c r="AK157" s="4"/>
      <c r="AL157" s="4"/>
      <c r="AM157" s="4"/>
      <c r="AN157" s="4"/>
      <c r="AO157" s="4"/>
      <c r="AP157" s="4"/>
      <c r="AQ157" s="6"/>
      <c r="AR157" s="4"/>
      <c r="AS157" s="4"/>
      <c r="AT157" s="4"/>
      <c r="BB157" s="1488">
        <f>BA156/(F97+G97)</f>
        <v>0</v>
      </c>
      <c r="BC157" s="133" t="s">
        <v>1811</v>
      </c>
      <c r="BD157" s="4"/>
    </row>
    <row r="158" spans="1:56" x14ac:dyDescent="0.3">
      <c r="A158" s="1"/>
      <c r="B158" s="1"/>
      <c r="C158" s="1"/>
      <c r="D158" s="1"/>
      <c r="E158" s="1"/>
      <c r="F158" s="1"/>
      <c r="G158" s="1"/>
      <c r="H158" s="1"/>
      <c r="I158" s="1"/>
      <c r="J158" s="1423"/>
      <c r="K158" s="1"/>
      <c r="X158" s="4"/>
      <c r="Y158" s="4"/>
      <c r="Z158" s="4"/>
      <c r="AA158" s="4"/>
      <c r="AB158" s="4"/>
      <c r="AC158" s="4"/>
      <c r="AD158" s="4"/>
      <c r="AE158" s="4"/>
      <c r="AF158" s="6"/>
      <c r="AH158" s="4"/>
      <c r="AI158" s="4"/>
      <c r="AJ158" s="4"/>
      <c r="AK158" s="4"/>
      <c r="AL158" s="4"/>
      <c r="AM158" s="4"/>
      <c r="AN158" s="4"/>
      <c r="AO158" s="4"/>
      <c r="AP158" s="4"/>
      <c r="AQ158" s="6"/>
      <c r="AR158" s="4"/>
      <c r="AS158" s="4"/>
      <c r="AT158" s="4"/>
      <c r="BB158" s="1504">
        <f>BB157*'4 Estadis ESTRATEG Prod3'!AE51</f>
        <v>0</v>
      </c>
    </row>
    <row r="159" spans="1:56" x14ac:dyDescent="0.3">
      <c r="A159" s="1"/>
      <c r="B159" s="1"/>
      <c r="C159" s="1"/>
      <c r="D159" s="1"/>
      <c r="E159" s="1"/>
      <c r="F159" s="1"/>
      <c r="G159" s="1"/>
      <c r="H159" s="1"/>
      <c r="I159" s="1"/>
      <c r="J159" s="1423"/>
      <c r="K159" s="1"/>
      <c r="AI159" s="5"/>
      <c r="AJ159" s="4"/>
      <c r="AK159" s="4"/>
      <c r="AL159" s="4"/>
      <c r="AM159" s="4"/>
      <c r="AN159" s="4"/>
      <c r="AO159" s="4"/>
      <c r="AP159" s="4"/>
      <c r="AQ159" s="6"/>
      <c r="AR159" s="4"/>
      <c r="AS159" s="4"/>
      <c r="AT159" s="4"/>
    </row>
    <row r="160" spans="1:56" x14ac:dyDescent="0.3">
      <c r="A160" s="1"/>
      <c r="B160" s="1"/>
      <c r="C160" s="1"/>
      <c r="D160" s="1"/>
      <c r="E160" s="1"/>
      <c r="F160" s="1"/>
      <c r="G160" s="1"/>
      <c r="H160" s="1"/>
      <c r="I160" s="1"/>
      <c r="J160" s="1423"/>
      <c r="K160" s="1"/>
      <c r="AI160" s="5"/>
      <c r="AJ160" s="4"/>
      <c r="AK160" s="4"/>
      <c r="AL160" s="4"/>
      <c r="AM160" s="4"/>
      <c r="AN160" s="4"/>
      <c r="AO160" s="4"/>
      <c r="AP160" s="4"/>
      <c r="AQ160" s="6"/>
      <c r="AS160" s="5"/>
      <c r="AT160" s="4"/>
    </row>
    <row r="161" spans="1:53" x14ac:dyDescent="0.3">
      <c r="A161" s="1"/>
      <c r="B161" s="1"/>
      <c r="C161" s="1"/>
      <c r="D161" s="1"/>
      <c r="E161" s="1"/>
      <c r="F161" s="1"/>
      <c r="G161" s="1"/>
      <c r="H161" s="1"/>
      <c r="I161" s="1"/>
      <c r="J161" s="1423"/>
      <c r="K161" s="1"/>
      <c r="AU161" s="1433"/>
      <c r="AV161" s="1"/>
      <c r="AW161" s="1"/>
      <c r="AX161" s="1"/>
      <c r="AY161" s="1"/>
      <c r="AZ161" s="1"/>
      <c r="BA161" s="1434"/>
    </row>
    <row r="162" spans="1:53" x14ac:dyDescent="0.3">
      <c r="A162" s="1"/>
      <c r="B162" s="1"/>
      <c r="C162" s="1"/>
      <c r="D162" s="1"/>
      <c r="E162" s="1"/>
      <c r="F162" s="1"/>
      <c r="G162" s="1"/>
      <c r="H162" s="1"/>
      <c r="I162" s="1"/>
      <c r="J162" s="1423"/>
      <c r="K162" s="1"/>
      <c r="AU162" s="1433"/>
      <c r="AV162" s="1"/>
      <c r="AW162" s="1"/>
      <c r="AX162" s="1"/>
      <c r="AY162" s="1"/>
      <c r="AZ162" s="1"/>
      <c r="BA162" s="1434"/>
    </row>
    <row r="163" spans="1:53" ht="15" customHeight="1" x14ac:dyDescent="0.3">
      <c r="A163" s="1"/>
      <c r="B163" s="1"/>
      <c r="C163" s="1"/>
      <c r="D163" s="1"/>
      <c r="E163" s="1"/>
      <c r="F163" s="1"/>
      <c r="G163" s="1"/>
      <c r="H163" s="1"/>
      <c r="I163" s="1"/>
      <c r="J163" s="1423"/>
      <c r="K163" s="1"/>
      <c r="AU163" s="1433"/>
      <c r="AV163" s="1"/>
      <c r="AW163" s="1"/>
      <c r="AX163" s="1"/>
      <c r="AY163" s="1"/>
      <c r="AZ163" s="1"/>
      <c r="BA163" s="1434"/>
    </row>
    <row r="164" spans="1:53" x14ac:dyDescent="0.3">
      <c r="A164" s="1"/>
      <c r="B164" s="4125" t="s">
        <v>278</v>
      </c>
      <c r="C164" s="4125"/>
      <c r="D164" s="4125"/>
      <c r="E164" s="4125"/>
      <c r="F164" s="4125"/>
      <c r="G164" s="4125"/>
      <c r="H164" s="4125"/>
      <c r="I164" s="4125"/>
      <c r="J164" s="4125"/>
      <c r="K164" s="1"/>
      <c r="M164" s="4125" t="s">
        <v>346</v>
      </c>
      <c r="N164" s="4125"/>
      <c r="O164" s="4125"/>
      <c r="P164" s="4125"/>
      <c r="Q164" s="4125"/>
      <c r="R164" s="4125"/>
      <c r="S164" s="4125"/>
      <c r="T164" s="4125"/>
      <c r="U164" s="4125"/>
      <c r="X164" s="4125" t="s">
        <v>351</v>
      </c>
      <c r="Y164" s="4125"/>
      <c r="Z164" s="4125"/>
      <c r="AA164" s="4125"/>
      <c r="AB164" s="4125"/>
      <c r="AC164" s="4125"/>
      <c r="AD164" s="4125"/>
      <c r="AE164" s="4125"/>
      <c r="AF164" s="4125"/>
      <c r="AI164" s="4125" t="s">
        <v>609</v>
      </c>
      <c r="AJ164" s="4125"/>
      <c r="AK164" s="4125"/>
      <c r="AL164" s="4125"/>
      <c r="AM164" s="4125"/>
      <c r="AN164" s="4125"/>
      <c r="AO164" s="4125"/>
      <c r="AP164" s="4125"/>
      <c r="AQ164" s="4125"/>
      <c r="AS164" s="4125" t="s">
        <v>3553</v>
      </c>
      <c r="AT164" s="4125"/>
      <c r="AU164" s="4125"/>
      <c r="AV164" s="4125"/>
      <c r="AW164" s="4125"/>
      <c r="AX164" s="4125"/>
      <c r="AY164" s="4125"/>
      <c r="AZ164" s="4125"/>
      <c r="BA164" s="4125"/>
    </row>
    <row r="165" spans="1:53" x14ac:dyDescent="0.3">
      <c r="A165" s="1"/>
      <c r="B165" s="4111" t="s">
        <v>62</v>
      </c>
      <c r="C165" s="4111" t="s">
        <v>184</v>
      </c>
      <c r="D165" s="4111" t="s">
        <v>161</v>
      </c>
      <c r="E165" s="4113" t="s">
        <v>186</v>
      </c>
      <c r="F165" s="4114"/>
      <c r="G165" s="4114"/>
      <c r="H165" s="4114"/>
      <c r="I165" s="4115"/>
      <c r="J165" s="4111" t="s">
        <v>0</v>
      </c>
      <c r="K165" s="1"/>
      <c r="M165" s="4111" t="s">
        <v>62</v>
      </c>
      <c r="N165" s="4111" t="s">
        <v>184</v>
      </c>
      <c r="O165" s="4111" t="s">
        <v>161</v>
      </c>
      <c r="P165" s="4113" t="s">
        <v>186</v>
      </c>
      <c r="Q165" s="4114"/>
      <c r="R165" s="4114"/>
      <c r="S165" s="4114"/>
      <c r="T165" s="4115"/>
      <c r="U165" s="4111" t="s">
        <v>0</v>
      </c>
      <c r="X165" s="4111" t="s">
        <v>62</v>
      </c>
      <c r="Y165" s="4111" t="s">
        <v>184</v>
      </c>
      <c r="Z165" s="4111" t="s">
        <v>161</v>
      </c>
      <c r="AA165" s="4113" t="s">
        <v>186</v>
      </c>
      <c r="AB165" s="4114"/>
      <c r="AC165" s="4114"/>
      <c r="AD165" s="4114"/>
      <c r="AE165" s="4115"/>
      <c r="AF165" s="4111" t="s">
        <v>0</v>
      </c>
      <c r="AI165" s="4111" t="s">
        <v>62</v>
      </c>
      <c r="AJ165" s="4111" t="s">
        <v>184</v>
      </c>
      <c r="AK165" s="4111" t="s">
        <v>161</v>
      </c>
      <c r="AL165" s="4113" t="s">
        <v>186</v>
      </c>
      <c r="AM165" s="4114"/>
      <c r="AN165" s="4114"/>
      <c r="AO165" s="4114"/>
      <c r="AP165" s="4115"/>
      <c r="AQ165" s="4111" t="s">
        <v>0</v>
      </c>
      <c r="AS165" s="4111" t="s">
        <v>62</v>
      </c>
      <c r="AT165" s="4111" t="s">
        <v>184</v>
      </c>
      <c r="AU165" s="4111" t="s">
        <v>161</v>
      </c>
      <c r="AV165" s="4113" t="s">
        <v>186</v>
      </c>
      <c r="AW165" s="4114"/>
      <c r="AX165" s="4114"/>
      <c r="AY165" s="4114"/>
      <c r="AZ165" s="4115"/>
      <c r="BA165" s="4111" t="s">
        <v>0</v>
      </c>
    </row>
    <row r="166" spans="1:53" ht="33" x14ac:dyDescent="0.3">
      <c r="A166" s="1"/>
      <c r="B166" s="4112"/>
      <c r="C166" s="4112"/>
      <c r="D166" s="4112"/>
      <c r="E166" s="20" t="s">
        <v>277</v>
      </c>
      <c r="F166" s="20" t="s">
        <v>272</v>
      </c>
      <c r="G166" s="20" t="s">
        <v>273</v>
      </c>
      <c r="H166" s="20" t="s">
        <v>274</v>
      </c>
      <c r="I166" s="20" t="s">
        <v>275</v>
      </c>
      <c r="J166" s="4112"/>
      <c r="K166" s="1"/>
      <c r="M166" s="4112"/>
      <c r="N166" s="4112"/>
      <c r="O166" s="4112"/>
      <c r="P166" s="20" t="s">
        <v>277</v>
      </c>
      <c r="Q166" s="20" t="s">
        <v>272</v>
      </c>
      <c r="R166" s="20" t="s">
        <v>273</v>
      </c>
      <c r="S166" s="20" t="s">
        <v>274</v>
      </c>
      <c r="T166" s="20" t="s">
        <v>275</v>
      </c>
      <c r="U166" s="4112"/>
      <c r="X166" s="4112"/>
      <c r="Y166" s="4112"/>
      <c r="Z166" s="4112"/>
      <c r="AA166" s="20" t="s">
        <v>277</v>
      </c>
      <c r="AB166" s="20" t="s">
        <v>272</v>
      </c>
      <c r="AC166" s="20" t="s">
        <v>273</v>
      </c>
      <c r="AD166" s="20" t="s">
        <v>274</v>
      </c>
      <c r="AE166" s="20" t="s">
        <v>275</v>
      </c>
      <c r="AF166" s="4112"/>
      <c r="AI166" s="4112"/>
      <c r="AJ166" s="4112"/>
      <c r="AK166" s="4112"/>
      <c r="AL166" s="20" t="s">
        <v>277</v>
      </c>
      <c r="AM166" s="20" t="s">
        <v>272</v>
      </c>
      <c r="AN166" s="20" t="s">
        <v>273</v>
      </c>
      <c r="AO166" s="20" t="s">
        <v>274</v>
      </c>
      <c r="AP166" s="20" t="s">
        <v>275</v>
      </c>
      <c r="AQ166" s="4112"/>
      <c r="AS166" s="4112"/>
      <c r="AT166" s="4112"/>
      <c r="AU166" s="4112"/>
      <c r="AV166" s="20" t="s">
        <v>277</v>
      </c>
      <c r="AW166" s="20" t="s">
        <v>272</v>
      </c>
      <c r="AX166" s="20" t="s">
        <v>273</v>
      </c>
      <c r="AY166" s="20" t="s">
        <v>274</v>
      </c>
      <c r="AZ166" s="20" t="s">
        <v>275</v>
      </c>
      <c r="BA166" s="4112"/>
    </row>
    <row r="167" spans="1:53" x14ac:dyDescent="0.3">
      <c r="A167" s="1"/>
      <c r="B167" s="47">
        <v>1</v>
      </c>
      <c r="C167" s="44"/>
      <c r="D167" s="44"/>
      <c r="E167" s="44"/>
      <c r="F167" s="44"/>
      <c r="G167" s="44"/>
      <c r="H167" s="44"/>
      <c r="I167" s="44"/>
      <c r="J167" s="261"/>
      <c r="K167" s="1"/>
      <c r="M167" s="47">
        <v>1</v>
      </c>
      <c r="N167" s="44"/>
      <c r="O167" s="44"/>
      <c r="P167" s="44"/>
      <c r="Q167" s="44"/>
      <c r="R167" s="44"/>
      <c r="S167" s="44"/>
      <c r="T167" s="44"/>
      <c r="U167" s="261"/>
      <c r="X167" s="47">
        <v>1</v>
      </c>
      <c r="Y167" s="44"/>
      <c r="Z167" s="44"/>
      <c r="AA167" s="44"/>
      <c r="AB167" s="44"/>
      <c r="AC167" s="44"/>
      <c r="AD167" s="44"/>
      <c r="AE167" s="44"/>
      <c r="AF167" s="1427"/>
      <c r="AI167" s="47">
        <v>1</v>
      </c>
      <c r="AJ167" s="44"/>
      <c r="AK167" s="44"/>
      <c r="AL167" s="44"/>
      <c r="AM167" s="44"/>
      <c r="AN167" s="44"/>
      <c r="AO167" s="44"/>
      <c r="AP167" s="44"/>
      <c r="AQ167" s="1427"/>
      <c r="AS167" s="47">
        <v>1</v>
      </c>
      <c r="AT167" s="44"/>
      <c r="AU167" s="47"/>
      <c r="AV167" s="44"/>
      <c r="AW167" s="44"/>
      <c r="AX167" s="44"/>
      <c r="AY167" s="44"/>
      <c r="AZ167" s="44"/>
      <c r="BA167" s="261"/>
    </row>
    <row r="168" spans="1:53" x14ac:dyDescent="0.3">
      <c r="A168" s="1"/>
      <c r="B168" s="47">
        <f t="shared" ref="B168:B176" si="30">+B167+1</f>
        <v>2</v>
      </c>
      <c r="C168" s="44"/>
      <c r="D168" s="44"/>
      <c r="E168" s="44"/>
      <c r="F168" s="44"/>
      <c r="G168" s="44"/>
      <c r="H168" s="44"/>
      <c r="I168" s="44"/>
      <c r="J168" s="261"/>
      <c r="K168" s="1"/>
      <c r="M168" s="47">
        <f t="shared" ref="M168:M176" si="31">+M167+1</f>
        <v>2</v>
      </c>
      <c r="N168" s="44"/>
      <c r="O168" s="44"/>
      <c r="P168" s="44"/>
      <c r="Q168" s="44"/>
      <c r="R168" s="44"/>
      <c r="S168" s="44"/>
      <c r="T168" s="44"/>
      <c r="U168" s="261"/>
      <c r="X168" s="47">
        <f t="shared" ref="X168:X176" si="32">+X167+1</f>
        <v>2</v>
      </c>
      <c r="Y168" s="44"/>
      <c r="Z168" s="44"/>
      <c r="AA168" s="44"/>
      <c r="AB168" s="44"/>
      <c r="AC168" s="44"/>
      <c r="AD168" s="44"/>
      <c r="AE168" s="44"/>
      <c r="AF168" s="1427"/>
      <c r="AI168" s="47">
        <f t="shared" ref="AI168:AI176" si="33">+AI167+1</f>
        <v>2</v>
      </c>
      <c r="AJ168" s="44"/>
      <c r="AK168" s="44"/>
      <c r="AL168" s="44"/>
      <c r="AM168" s="44"/>
      <c r="AN168" s="44"/>
      <c r="AO168" s="44"/>
      <c r="AP168" s="44"/>
      <c r="AQ168" s="1427"/>
      <c r="AS168" s="47">
        <f t="shared" ref="AS168:AS176" si="34">+AS167+1</f>
        <v>2</v>
      </c>
      <c r="AT168" s="44"/>
      <c r="AU168" s="47"/>
      <c r="AV168" s="44"/>
      <c r="AW168" s="44"/>
      <c r="AX168" s="44"/>
      <c r="AY168" s="44"/>
      <c r="AZ168" s="44"/>
      <c r="BA168" s="261"/>
    </row>
    <row r="169" spans="1:53" x14ac:dyDescent="0.3">
      <c r="A169" s="1"/>
      <c r="B169" s="47">
        <f t="shared" si="30"/>
        <v>3</v>
      </c>
      <c r="C169" s="44"/>
      <c r="D169" s="44"/>
      <c r="E169" s="44"/>
      <c r="F169" s="44"/>
      <c r="G169" s="44"/>
      <c r="H169" s="44"/>
      <c r="I169" s="44"/>
      <c r="J169" s="261"/>
      <c r="K169" s="1"/>
      <c r="M169" s="47">
        <f t="shared" si="31"/>
        <v>3</v>
      </c>
      <c r="N169" s="44"/>
      <c r="O169" s="44"/>
      <c r="P169" s="44"/>
      <c r="Q169" s="44"/>
      <c r="R169" s="44"/>
      <c r="S169" s="44"/>
      <c r="T169" s="44"/>
      <c r="U169" s="261"/>
      <c r="X169" s="47">
        <f t="shared" si="32"/>
        <v>3</v>
      </c>
      <c r="Y169" s="44"/>
      <c r="Z169" s="44"/>
      <c r="AA169" s="44"/>
      <c r="AB169" s="44"/>
      <c r="AC169" s="44"/>
      <c r="AD169" s="44"/>
      <c r="AE169" s="44"/>
      <c r="AF169" s="1427"/>
      <c r="AI169" s="47">
        <f t="shared" si="33"/>
        <v>3</v>
      </c>
      <c r="AJ169" s="44"/>
      <c r="AK169" s="44"/>
      <c r="AL169" s="44"/>
      <c r="AM169" s="44"/>
      <c r="AN169" s="44"/>
      <c r="AO169" s="44"/>
      <c r="AP169" s="44"/>
      <c r="AQ169" s="1427"/>
      <c r="AS169" s="47">
        <f t="shared" si="34"/>
        <v>3</v>
      </c>
      <c r="AT169" s="44"/>
      <c r="AU169" s="47"/>
      <c r="AV169" s="44"/>
      <c r="AW169" s="44"/>
      <c r="AX169" s="44"/>
      <c r="AY169" s="44"/>
      <c r="AZ169" s="44"/>
      <c r="BA169" s="261"/>
    </row>
    <row r="170" spans="1:53" x14ac:dyDescent="0.3">
      <c r="A170" s="1"/>
      <c r="B170" s="47">
        <f t="shared" si="30"/>
        <v>4</v>
      </c>
      <c r="C170" s="44"/>
      <c r="D170" s="44"/>
      <c r="E170" s="44"/>
      <c r="F170" s="44"/>
      <c r="G170" s="44"/>
      <c r="H170" s="44"/>
      <c r="I170" s="44"/>
      <c r="J170" s="261"/>
      <c r="K170" s="1"/>
      <c r="M170" s="47">
        <f t="shared" si="31"/>
        <v>4</v>
      </c>
      <c r="N170" s="44"/>
      <c r="O170" s="44"/>
      <c r="P170" s="44"/>
      <c r="Q170" s="44"/>
      <c r="R170" s="44"/>
      <c r="S170" s="44"/>
      <c r="T170" s="44"/>
      <c r="U170" s="261"/>
      <c r="X170" s="47">
        <f t="shared" si="32"/>
        <v>4</v>
      </c>
      <c r="Y170" s="44"/>
      <c r="Z170" s="44"/>
      <c r="AA170" s="44"/>
      <c r="AB170" s="44"/>
      <c r="AC170" s="44"/>
      <c r="AD170" s="44"/>
      <c r="AE170" s="44"/>
      <c r="AF170" s="1427"/>
      <c r="AI170" s="47">
        <f t="shared" si="33"/>
        <v>4</v>
      </c>
      <c r="AJ170" s="44"/>
      <c r="AK170" s="44"/>
      <c r="AL170" s="44"/>
      <c r="AM170" s="44"/>
      <c r="AN170" s="44"/>
      <c r="AO170" s="44"/>
      <c r="AP170" s="44"/>
      <c r="AQ170" s="1427"/>
      <c r="AS170" s="47">
        <f t="shared" si="34"/>
        <v>4</v>
      </c>
      <c r="AT170" s="44"/>
      <c r="AU170" s="47"/>
      <c r="AV170" s="44"/>
      <c r="AW170" s="44"/>
      <c r="AX170" s="44"/>
      <c r="AY170" s="44"/>
      <c r="AZ170" s="44"/>
      <c r="BA170" s="261"/>
    </row>
    <row r="171" spans="1:53" x14ac:dyDescent="0.3">
      <c r="A171" s="1"/>
      <c r="B171" s="47">
        <f t="shared" si="30"/>
        <v>5</v>
      </c>
      <c r="C171" s="44"/>
      <c r="D171" s="44"/>
      <c r="E171" s="44"/>
      <c r="F171" s="44"/>
      <c r="G171" s="44"/>
      <c r="H171" s="44"/>
      <c r="I171" s="44"/>
      <c r="J171" s="261"/>
      <c r="K171" s="1"/>
      <c r="M171" s="47">
        <f t="shared" si="31"/>
        <v>5</v>
      </c>
      <c r="N171" s="44"/>
      <c r="O171" s="44"/>
      <c r="P171" s="44"/>
      <c r="Q171" s="44"/>
      <c r="R171" s="44"/>
      <c r="S171" s="44"/>
      <c r="T171" s="44"/>
      <c r="U171" s="261"/>
      <c r="X171" s="47">
        <f t="shared" si="32"/>
        <v>5</v>
      </c>
      <c r="Y171" s="44"/>
      <c r="Z171" s="44"/>
      <c r="AA171" s="44"/>
      <c r="AB171" s="44"/>
      <c r="AC171" s="44"/>
      <c r="AD171" s="44"/>
      <c r="AE171" s="44"/>
      <c r="AF171" s="1427"/>
      <c r="AI171" s="47">
        <f t="shared" si="33"/>
        <v>5</v>
      </c>
      <c r="AJ171" s="44"/>
      <c r="AK171" s="44"/>
      <c r="AL171" s="44"/>
      <c r="AM171" s="44"/>
      <c r="AN171" s="44"/>
      <c r="AO171" s="44"/>
      <c r="AP171" s="44"/>
      <c r="AQ171" s="1427"/>
      <c r="AS171" s="47">
        <f t="shared" si="34"/>
        <v>5</v>
      </c>
      <c r="AT171" s="44"/>
      <c r="AU171" s="47"/>
      <c r="AV171" s="44"/>
      <c r="AW171" s="44"/>
      <c r="AX171" s="44"/>
      <c r="AY171" s="44"/>
      <c r="AZ171" s="44"/>
      <c r="BA171" s="261"/>
    </row>
    <row r="172" spans="1:53" x14ac:dyDescent="0.3">
      <c r="A172" s="1"/>
      <c r="B172" s="47">
        <f t="shared" si="30"/>
        <v>6</v>
      </c>
      <c r="C172" s="44"/>
      <c r="D172" s="44"/>
      <c r="E172" s="44"/>
      <c r="F172" s="44"/>
      <c r="G172" s="44"/>
      <c r="H172" s="44"/>
      <c r="I172" s="44"/>
      <c r="J172" s="261"/>
      <c r="K172" s="1"/>
      <c r="M172" s="47">
        <f t="shared" si="31"/>
        <v>6</v>
      </c>
      <c r="N172" s="44"/>
      <c r="O172" s="44"/>
      <c r="P172" s="44"/>
      <c r="Q172" s="44"/>
      <c r="R172" s="44"/>
      <c r="S172" s="44"/>
      <c r="T172" s="44"/>
      <c r="U172" s="261"/>
      <c r="X172" s="47">
        <f t="shared" si="32"/>
        <v>6</v>
      </c>
      <c r="Y172" s="44"/>
      <c r="Z172" s="44"/>
      <c r="AA172" s="44"/>
      <c r="AB172" s="44"/>
      <c r="AC172" s="44"/>
      <c r="AD172" s="44"/>
      <c r="AE172" s="44"/>
      <c r="AF172" s="1427"/>
      <c r="AI172" s="47">
        <f t="shared" si="33"/>
        <v>6</v>
      </c>
      <c r="AJ172" s="44"/>
      <c r="AK172" s="44"/>
      <c r="AL172" s="44"/>
      <c r="AM172" s="44"/>
      <c r="AN172" s="44"/>
      <c r="AO172" s="44"/>
      <c r="AP172" s="44"/>
      <c r="AQ172" s="1427"/>
      <c r="AS172" s="47">
        <f t="shared" si="34"/>
        <v>6</v>
      </c>
      <c r="AT172" s="44"/>
      <c r="AU172" s="47"/>
      <c r="AV172" s="44"/>
      <c r="AW172" s="44"/>
      <c r="AX172" s="44"/>
      <c r="AY172" s="44"/>
      <c r="AZ172" s="44"/>
      <c r="BA172" s="261"/>
    </row>
    <row r="173" spans="1:53" x14ac:dyDescent="0.3">
      <c r="A173" s="1"/>
      <c r="B173" s="47">
        <f t="shared" si="30"/>
        <v>7</v>
      </c>
      <c r="C173" s="44"/>
      <c r="D173" s="44"/>
      <c r="E173" s="44"/>
      <c r="F173" s="44"/>
      <c r="G173" s="44"/>
      <c r="H173" s="44"/>
      <c r="I173" s="44"/>
      <c r="J173" s="261"/>
      <c r="K173" s="1"/>
      <c r="M173" s="47">
        <f t="shared" si="31"/>
        <v>7</v>
      </c>
      <c r="N173" s="44"/>
      <c r="O173" s="44"/>
      <c r="P173" s="44"/>
      <c r="Q173" s="44"/>
      <c r="R173" s="44"/>
      <c r="S173" s="44"/>
      <c r="T173" s="44"/>
      <c r="U173" s="261"/>
      <c r="X173" s="47">
        <f t="shared" si="32"/>
        <v>7</v>
      </c>
      <c r="Y173" s="44"/>
      <c r="Z173" s="44"/>
      <c r="AA173" s="44"/>
      <c r="AB173" s="44"/>
      <c r="AC173" s="44"/>
      <c r="AD173" s="44"/>
      <c r="AE173" s="44"/>
      <c r="AF173" s="1427"/>
      <c r="AI173" s="47">
        <f t="shared" si="33"/>
        <v>7</v>
      </c>
      <c r="AJ173" s="44"/>
      <c r="AK173" s="44"/>
      <c r="AL173" s="44"/>
      <c r="AM173" s="44"/>
      <c r="AN173" s="44"/>
      <c r="AO173" s="44"/>
      <c r="AP173" s="44"/>
      <c r="AQ173" s="1427"/>
      <c r="AS173" s="47">
        <f t="shared" si="34"/>
        <v>7</v>
      </c>
      <c r="AT173" s="44"/>
      <c r="AU173" s="47"/>
      <c r="AV173" s="44"/>
      <c r="AW173" s="44"/>
      <c r="AX173" s="44"/>
      <c r="AY173" s="44"/>
      <c r="AZ173" s="44"/>
      <c r="BA173" s="261"/>
    </row>
    <row r="174" spans="1:53" x14ac:dyDescent="0.3">
      <c r="A174" s="1"/>
      <c r="B174" s="47">
        <f t="shared" si="30"/>
        <v>8</v>
      </c>
      <c r="C174" s="44"/>
      <c r="D174" s="44"/>
      <c r="E174" s="44"/>
      <c r="F174" s="44"/>
      <c r="G174" s="44"/>
      <c r="H174" s="44"/>
      <c r="I174" s="44"/>
      <c r="J174" s="261"/>
      <c r="K174" s="1"/>
      <c r="M174" s="47">
        <f t="shared" si="31"/>
        <v>8</v>
      </c>
      <c r="N174" s="44"/>
      <c r="O174" s="44"/>
      <c r="P174" s="44"/>
      <c r="Q174" s="44"/>
      <c r="R174" s="44"/>
      <c r="S174" s="44"/>
      <c r="T174" s="44"/>
      <c r="U174" s="261"/>
      <c r="X174" s="47">
        <f t="shared" si="32"/>
        <v>8</v>
      </c>
      <c r="Y174" s="44"/>
      <c r="Z174" s="44"/>
      <c r="AA174" s="44"/>
      <c r="AB174" s="44"/>
      <c r="AC174" s="44"/>
      <c r="AD174" s="44"/>
      <c r="AE174" s="44"/>
      <c r="AF174" s="1427"/>
      <c r="AI174" s="47">
        <f t="shared" si="33"/>
        <v>8</v>
      </c>
      <c r="AJ174" s="44"/>
      <c r="AK174" s="44"/>
      <c r="AL174" s="44"/>
      <c r="AM174" s="44"/>
      <c r="AN174" s="44"/>
      <c r="AO174" s="44"/>
      <c r="AP174" s="44"/>
      <c r="AQ174" s="1427"/>
      <c r="AS174" s="47">
        <f t="shared" si="34"/>
        <v>8</v>
      </c>
      <c r="AT174" s="44"/>
      <c r="AU174" s="47"/>
      <c r="AV174" s="44"/>
      <c r="AW174" s="44"/>
      <c r="AX174" s="44"/>
      <c r="AY174" s="44"/>
      <c r="AZ174" s="44"/>
      <c r="BA174" s="261"/>
    </row>
    <row r="175" spans="1:53" ht="25.5" customHeight="1" x14ac:dyDescent="0.3">
      <c r="A175" s="1"/>
      <c r="B175" s="47">
        <f t="shared" si="30"/>
        <v>9</v>
      </c>
      <c r="C175" s="44"/>
      <c r="D175" s="44"/>
      <c r="E175" s="44"/>
      <c r="F175" s="44"/>
      <c r="G175" s="44"/>
      <c r="H175" s="44"/>
      <c r="I175" s="44"/>
      <c r="J175" s="261"/>
      <c r="K175" s="1"/>
      <c r="M175" s="47">
        <f t="shared" si="31"/>
        <v>9</v>
      </c>
      <c r="N175" s="44"/>
      <c r="O175" s="44"/>
      <c r="P175" s="44"/>
      <c r="Q175" s="44"/>
      <c r="R175" s="44"/>
      <c r="S175" s="44"/>
      <c r="T175" s="44"/>
      <c r="U175" s="261"/>
      <c r="X175" s="47">
        <f t="shared" si="32"/>
        <v>9</v>
      </c>
      <c r="Y175" s="44"/>
      <c r="Z175" s="44"/>
      <c r="AA175" s="44"/>
      <c r="AB175" s="44"/>
      <c r="AC175" s="44"/>
      <c r="AD175" s="44"/>
      <c r="AE175" s="44"/>
      <c r="AF175" s="1427"/>
      <c r="AI175" s="47">
        <f t="shared" si="33"/>
        <v>9</v>
      </c>
      <c r="AJ175" s="44"/>
      <c r="AK175" s="44"/>
      <c r="AL175" s="44"/>
      <c r="AM175" s="44"/>
      <c r="AN175" s="44"/>
      <c r="AO175" s="44"/>
      <c r="AP175" s="44"/>
      <c r="AQ175" s="1427"/>
      <c r="AS175" s="47">
        <f t="shared" si="34"/>
        <v>9</v>
      </c>
      <c r="AT175" s="44"/>
      <c r="AU175" s="47"/>
      <c r="AV175" s="44"/>
      <c r="AW175" s="44"/>
      <c r="AX175" s="44"/>
      <c r="AY175" s="44"/>
      <c r="AZ175" s="44"/>
      <c r="BA175" s="261"/>
    </row>
    <row r="176" spans="1:53" x14ac:dyDescent="0.3">
      <c r="A176" s="1"/>
      <c r="B176" s="47">
        <f t="shared" si="30"/>
        <v>10</v>
      </c>
      <c r="C176" s="44"/>
      <c r="D176" s="44"/>
      <c r="E176" s="44"/>
      <c r="F176" s="44"/>
      <c r="G176" s="44"/>
      <c r="H176" s="44"/>
      <c r="I176" s="44"/>
      <c r="J176" s="261"/>
      <c r="K176" s="1"/>
      <c r="M176" s="47">
        <f t="shared" si="31"/>
        <v>10</v>
      </c>
      <c r="N176" s="44"/>
      <c r="O176" s="44"/>
      <c r="P176" s="44"/>
      <c r="Q176" s="44"/>
      <c r="R176" s="44"/>
      <c r="S176" s="44"/>
      <c r="T176" s="44"/>
      <c r="U176" s="261"/>
      <c r="X176" s="47">
        <f t="shared" si="32"/>
        <v>10</v>
      </c>
      <c r="Y176" s="44"/>
      <c r="Z176" s="44"/>
      <c r="AA176" s="44"/>
      <c r="AB176" s="44"/>
      <c r="AC176" s="44"/>
      <c r="AD176" s="44"/>
      <c r="AE176" s="44"/>
      <c r="AF176" s="1427"/>
      <c r="AI176" s="47">
        <f t="shared" si="33"/>
        <v>10</v>
      </c>
      <c r="AJ176" s="44"/>
      <c r="AK176" s="44"/>
      <c r="AL176" s="44"/>
      <c r="AM176" s="44"/>
      <c r="AN176" s="44"/>
      <c r="AO176" s="44"/>
      <c r="AP176" s="44"/>
      <c r="AQ176" s="1427"/>
      <c r="AS176" s="47">
        <f t="shared" si="34"/>
        <v>10</v>
      </c>
      <c r="AT176" s="44"/>
      <c r="AU176" s="47"/>
      <c r="AV176" s="44"/>
      <c r="AW176" s="44"/>
      <c r="AX176" s="44"/>
      <c r="AY176" s="44"/>
      <c r="AZ176" s="44"/>
      <c r="BA176" s="261"/>
    </row>
    <row r="177" spans="1:57" x14ac:dyDescent="0.3">
      <c r="A177" s="1"/>
      <c r="B177" s="47"/>
      <c r="C177" s="44" t="s">
        <v>187</v>
      </c>
      <c r="D177" s="44"/>
      <c r="E177" s="44"/>
      <c r="F177" s="44"/>
      <c r="G177" s="44"/>
      <c r="H177" s="44"/>
      <c r="I177" s="44"/>
      <c r="J177" s="261"/>
      <c r="K177" s="1"/>
      <c r="M177" s="47"/>
      <c r="N177" s="44" t="s">
        <v>187</v>
      </c>
      <c r="O177" s="44"/>
      <c r="P177" s="44"/>
      <c r="Q177" s="44"/>
      <c r="R177" s="44"/>
      <c r="S177" s="44"/>
      <c r="T177" s="44"/>
      <c r="U177" s="261"/>
      <c r="X177" s="47"/>
      <c r="Y177" s="44" t="s">
        <v>187</v>
      </c>
      <c r="Z177" s="44"/>
      <c r="AA177" s="44"/>
      <c r="AB177" s="44"/>
      <c r="AC177" s="44"/>
      <c r="AD177" s="44"/>
      <c r="AE177" s="44"/>
      <c r="AF177" s="1427"/>
      <c r="AI177" s="47"/>
      <c r="AJ177" s="44" t="s">
        <v>187</v>
      </c>
      <c r="AK177" s="44"/>
      <c r="AL177" s="44"/>
      <c r="AM177" s="44"/>
      <c r="AN177" s="44"/>
      <c r="AO177" s="44"/>
      <c r="AP177" s="44"/>
      <c r="AQ177" s="1427"/>
      <c r="AS177" s="47"/>
      <c r="AT177" s="44" t="s">
        <v>187</v>
      </c>
      <c r="AU177" s="47"/>
      <c r="AV177" s="44"/>
      <c r="AW177" s="44"/>
      <c r="AX177" s="44"/>
      <c r="AY177" s="44"/>
      <c r="AZ177" s="44"/>
      <c r="BA177" s="261"/>
    </row>
    <row r="178" spans="1:57" x14ac:dyDescent="0.3">
      <c r="A178" s="1"/>
      <c r="B178" s="46" t="s">
        <v>0</v>
      </c>
      <c r="C178" s="46"/>
      <c r="D178" s="46"/>
      <c r="E178" s="44"/>
      <c r="F178" s="44"/>
      <c r="G178" s="44"/>
      <c r="H178" s="44"/>
      <c r="I178" s="44"/>
      <c r="J178" s="261"/>
      <c r="K178" s="1"/>
      <c r="M178" s="46" t="s">
        <v>0</v>
      </c>
      <c r="N178" s="46"/>
      <c r="O178" s="46"/>
      <c r="P178" s="44"/>
      <c r="Q178" s="44"/>
      <c r="R178" s="44"/>
      <c r="S178" s="44"/>
      <c r="T178" s="44"/>
      <c r="U178" s="261"/>
      <c r="X178" s="46" t="s">
        <v>0</v>
      </c>
      <c r="Y178" s="46"/>
      <c r="Z178" s="46"/>
      <c r="AA178" s="44"/>
      <c r="AB178" s="44"/>
      <c r="AC178" s="44"/>
      <c r="AD178" s="44"/>
      <c r="AE178" s="44"/>
      <c r="AF178" s="1427"/>
      <c r="AI178" s="46" t="s">
        <v>0</v>
      </c>
      <c r="AJ178" s="46"/>
      <c r="AK178" s="46"/>
      <c r="AL178" s="44"/>
      <c r="AM178" s="44"/>
      <c r="AN178" s="44"/>
      <c r="AO178" s="44"/>
      <c r="AP178" s="44"/>
      <c r="AQ178" s="1427"/>
      <c r="AS178" s="4129" t="s">
        <v>0</v>
      </c>
      <c r="AT178" s="4129"/>
      <c r="AU178" s="47"/>
      <c r="AV178" s="44"/>
      <c r="AW178" s="44"/>
      <c r="AX178" s="44"/>
      <c r="AY178" s="44"/>
      <c r="AZ178" s="44"/>
      <c r="BA178" s="261"/>
    </row>
    <row r="179" spans="1:57" x14ac:dyDescent="0.3">
      <c r="A179" s="1"/>
      <c r="B179" s="1"/>
      <c r="C179" s="1"/>
      <c r="D179" s="1"/>
      <c r="E179" s="1"/>
      <c r="F179" s="1"/>
      <c r="G179" s="1"/>
      <c r="H179" s="1"/>
      <c r="I179" s="1"/>
      <c r="J179" s="1423"/>
      <c r="K179" s="1"/>
      <c r="AU179" s="1433"/>
      <c r="AV179" s="1"/>
      <c r="AW179" s="1"/>
      <c r="AX179" s="1"/>
      <c r="AY179" s="1"/>
      <c r="AZ179" s="1"/>
      <c r="BA179" s="1434"/>
    </row>
    <row r="180" spans="1:57" x14ac:dyDescent="0.3">
      <c r="A180" s="1"/>
      <c r="B180" s="17" t="s">
        <v>78</v>
      </c>
      <c r="C180" s="1"/>
      <c r="D180" s="1"/>
      <c r="E180" s="1"/>
      <c r="F180" s="1"/>
      <c r="G180" s="1"/>
      <c r="H180" s="1"/>
      <c r="I180" s="1"/>
      <c r="J180" s="1423"/>
      <c r="K180" s="1"/>
      <c r="M180" s="17" t="s">
        <v>78</v>
      </c>
      <c r="X180" s="17" t="s">
        <v>78</v>
      </c>
      <c r="AI180" s="17" t="s">
        <v>78</v>
      </c>
      <c r="AS180" s="17" t="s">
        <v>78</v>
      </c>
      <c r="AU180" s="1433"/>
      <c r="AV180" s="1"/>
      <c r="AW180" s="1"/>
      <c r="AX180" s="1"/>
      <c r="AY180" s="1"/>
      <c r="AZ180" s="1"/>
      <c r="BA180" s="1434"/>
    </row>
    <row r="181" spans="1:57" x14ac:dyDescent="0.3">
      <c r="A181" s="1"/>
      <c r="B181" s="3" t="s">
        <v>276</v>
      </c>
      <c r="C181" s="1"/>
      <c r="D181" s="1"/>
      <c r="E181" s="1"/>
      <c r="F181" s="1"/>
      <c r="G181" s="1"/>
      <c r="H181" s="1"/>
      <c r="I181" s="1"/>
      <c r="J181" s="1423"/>
      <c r="K181" s="1"/>
      <c r="M181" s="3" t="s">
        <v>276</v>
      </c>
      <c r="X181" s="3" t="s">
        <v>276</v>
      </c>
      <c r="AI181" s="3" t="s">
        <v>276</v>
      </c>
      <c r="AS181" s="3" t="s">
        <v>276</v>
      </c>
      <c r="AU181" s="1433"/>
      <c r="AV181" s="1"/>
      <c r="AW181" s="1"/>
      <c r="AX181" s="1"/>
      <c r="AY181" s="1"/>
      <c r="AZ181" s="1"/>
      <c r="BA181" s="1434"/>
    </row>
    <row r="182" spans="1:57" x14ac:dyDescent="0.3">
      <c r="A182" s="1"/>
      <c r="B182" s="11" t="s">
        <v>51</v>
      </c>
      <c r="C182" s="16" t="s">
        <v>317</v>
      </c>
      <c r="D182" s="1"/>
      <c r="E182" s="1"/>
      <c r="F182" s="1"/>
      <c r="G182" s="1"/>
      <c r="H182" s="1"/>
      <c r="I182" s="1"/>
      <c r="J182" s="1423"/>
      <c r="K182" s="1"/>
      <c r="AU182" s="1433"/>
      <c r="AV182" s="1"/>
      <c r="AW182" s="1"/>
      <c r="AX182" s="1"/>
      <c r="AY182" s="1"/>
      <c r="AZ182" s="1"/>
      <c r="BA182" s="1434"/>
    </row>
    <row r="183" spans="1:57" s="73" customFormat="1" x14ac:dyDescent="0.3">
      <c r="B183" s="75"/>
      <c r="J183" s="309"/>
      <c r="U183" s="309"/>
      <c r="AF183" s="1426"/>
      <c r="AQ183" s="1426"/>
      <c r="AU183" s="74"/>
      <c r="BA183" s="309"/>
      <c r="BE183" s="74"/>
    </row>
    <row r="184" spans="1:57" x14ac:dyDescent="0.3">
      <c r="A184" s="1"/>
      <c r="B184" s="14"/>
      <c r="C184" s="1"/>
      <c r="D184" s="1"/>
      <c r="E184" s="1"/>
      <c r="F184" s="1"/>
      <c r="G184" s="1"/>
      <c r="H184" s="1"/>
      <c r="I184" s="1"/>
      <c r="J184" s="1423"/>
      <c r="K184" s="1"/>
      <c r="M184" s="14"/>
      <c r="X184" s="14"/>
      <c r="AI184" s="14"/>
      <c r="AS184" s="14"/>
      <c r="AU184" s="1433"/>
      <c r="AV184" s="1"/>
      <c r="AW184" s="1"/>
      <c r="AX184" s="1"/>
      <c r="AY184" s="1"/>
      <c r="AZ184" s="1"/>
      <c r="BA184" s="1434"/>
    </row>
    <row r="185" spans="1:57" x14ac:dyDescent="0.3">
      <c r="A185" s="1"/>
      <c r="B185" s="4117" t="s">
        <v>189</v>
      </c>
      <c r="C185" s="4118"/>
      <c r="D185" s="4118"/>
      <c r="E185" s="4118"/>
      <c r="F185" s="4118"/>
      <c r="G185" s="4118"/>
      <c r="H185" s="4118"/>
      <c r="I185" s="4118"/>
      <c r="J185" s="4119"/>
      <c r="K185" s="1"/>
      <c r="M185" s="4117" t="s">
        <v>189</v>
      </c>
      <c r="N185" s="4118"/>
      <c r="O185" s="4118"/>
      <c r="P185" s="4118"/>
      <c r="Q185" s="4118"/>
      <c r="R185" s="4118"/>
      <c r="S185" s="4118"/>
      <c r="T185" s="4118"/>
      <c r="U185" s="4119"/>
      <c r="X185" s="69" t="s">
        <v>189</v>
      </c>
      <c r="Y185" s="70"/>
      <c r="Z185" s="70"/>
      <c r="AA185" s="70"/>
      <c r="AB185" s="70"/>
      <c r="AC185" s="70"/>
      <c r="AD185" s="70"/>
      <c r="AE185" s="70"/>
      <c r="AF185" s="1421"/>
      <c r="AI185" s="69" t="s">
        <v>189</v>
      </c>
      <c r="AJ185" s="70"/>
      <c r="AK185" s="70"/>
      <c r="AL185" s="70"/>
      <c r="AM185" s="70"/>
      <c r="AN185" s="70"/>
      <c r="AO185" s="70"/>
      <c r="AP185" s="70"/>
      <c r="AQ185" s="1421"/>
      <c r="AS185" s="4117" t="s">
        <v>189</v>
      </c>
      <c r="AT185" s="4118"/>
      <c r="AU185" s="4118"/>
      <c r="AV185" s="4118"/>
      <c r="AW185" s="4118"/>
      <c r="AX185" s="4118"/>
      <c r="AY185" s="4118"/>
      <c r="AZ185" s="4118"/>
      <c r="BA185" s="4119"/>
    </row>
    <row r="186" spans="1:57" x14ac:dyDescent="0.3">
      <c r="A186" s="1"/>
      <c r="B186" s="18" t="s">
        <v>183</v>
      </c>
      <c r="C186" s="1"/>
      <c r="D186" s="1"/>
      <c r="E186" s="1"/>
      <c r="F186" s="1"/>
      <c r="G186" s="1"/>
      <c r="H186" s="1"/>
      <c r="I186" s="1"/>
      <c r="J186" s="1423"/>
      <c r="K186" s="1"/>
      <c r="M186" s="18" t="s">
        <v>183</v>
      </c>
      <c r="X186" s="18" t="s">
        <v>183</v>
      </c>
      <c r="AI186" s="18" t="s">
        <v>183</v>
      </c>
      <c r="AS186" s="18" t="s">
        <v>183</v>
      </c>
      <c r="AU186" s="1433"/>
      <c r="AV186" s="1"/>
      <c r="AW186" s="1"/>
      <c r="AX186" s="1"/>
      <c r="AY186" s="1"/>
      <c r="AZ186" s="1"/>
      <c r="BA186" s="1434"/>
    </row>
    <row r="187" spans="1:57" x14ac:dyDescent="0.3">
      <c r="A187" s="1"/>
      <c r="B187" s="14"/>
      <c r="C187" s="1"/>
      <c r="D187" s="1"/>
      <c r="E187" s="1"/>
      <c r="F187" s="1"/>
      <c r="G187" s="1"/>
      <c r="H187" s="1"/>
      <c r="I187" s="1"/>
      <c r="J187" s="1423"/>
      <c r="K187" s="1"/>
      <c r="M187" s="14"/>
      <c r="X187" s="14"/>
      <c r="AI187" s="14"/>
      <c r="AS187" s="14"/>
      <c r="AU187" s="1433"/>
      <c r="AV187" s="1"/>
      <c r="AW187" s="1"/>
      <c r="AX187" s="1"/>
      <c r="AY187" s="1"/>
      <c r="AZ187" s="1"/>
      <c r="BA187" s="1434"/>
    </row>
    <row r="188" spans="1:57" x14ac:dyDescent="0.3">
      <c r="A188" s="1"/>
      <c r="B188" s="4109" t="s">
        <v>281</v>
      </c>
      <c r="C188" s="4109"/>
      <c r="D188" s="4109"/>
      <c r="E188" s="4109"/>
      <c r="F188" s="4109"/>
      <c r="G188" s="4109"/>
      <c r="H188" s="4109"/>
      <c r="I188" s="4109"/>
      <c r="J188" s="4109"/>
      <c r="K188" s="1"/>
      <c r="M188" s="4109" t="s">
        <v>343</v>
      </c>
      <c r="N188" s="4109"/>
      <c r="O188" s="4109"/>
      <c r="P188" s="4109"/>
      <c r="Q188" s="4109"/>
      <c r="R188" s="4109"/>
      <c r="S188" s="4109"/>
      <c r="T188" s="4109"/>
      <c r="U188" s="4109"/>
      <c r="X188" s="4109" t="s">
        <v>348</v>
      </c>
      <c r="Y188" s="4109"/>
      <c r="Z188" s="4109"/>
      <c r="AA188" s="4109"/>
      <c r="AB188" s="4109"/>
      <c r="AC188" s="4109"/>
      <c r="AD188" s="4109"/>
      <c r="AE188" s="4109"/>
      <c r="AF188" s="4109"/>
      <c r="AI188" s="4109" t="s">
        <v>606</v>
      </c>
      <c r="AJ188" s="4109"/>
      <c r="AK188" s="4109"/>
      <c r="AL188" s="4109"/>
      <c r="AM188" s="4109"/>
      <c r="AN188" s="4109"/>
      <c r="AO188" s="4109"/>
      <c r="AP188" s="4109"/>
      <c r="AQ188" s="4109"/>
      <c r="AS188" s="4109" t="s">
        <v>3550</v>
      </c>
      <c r="AT188" s="4109"/>
      <c r="AU188" s="4109"/>
      <c r="AV188" s="4109"/>
      <c r="AW188" s="4109"/>
      <c r="AX188" s="4109"/>
      <c r="AY188" s="4109"/>
      <c r="AZ188" s="4109"/>
      <c r="BA188" s="4109"/>
    </row>
    <row r="189" spans="1:57" ht="33" x14ac:dyDescent="0.3">
      <c r="A189" s="1"/>
      <c r="B189" s="20" t="s">
        <v>62</v>
      </c>
      <c r="C189" s="20" t="s">
        <v>184</v>
      </c>
      <c r="D189" s="20" t="s">
        <v>161</v>
      </c>
      <c r="E189" s="4113" t="s">
        <v>186</v>
      </c>
      <c r="F189" s="4114"/>
      <c r="G189" s="4114"/>
      <c r="H189" s="4114"/>
      <c r="I189" s="4115"/>
      <c r="J189" s="1418" t="s">
        <v>0</v>
      </c>
      <c r="K189" s="1"/>
      <c r="M189" s="20" t="s">
        <v>62</v>
      </c>
      <c r="N189" s="20" t="s">
        <v>184</v>
      </c>
      <c r="O189" s="20" t="s">
        <v>161</v>
      </c>
      <c r="P189" s="63" t="s">
        <v>186</v>
      </c>
      <c r="Q189" s="64"/>
      <c r="R189" s="64"/>
      <c r="S189" s="64"/>
      <c r="T189" s="65"/>
      <c r="U189" s="1418" t="s">
        <v>0</v>
      </c>
      <c r="X189" s="20" t="s">
        <v>62</v>
      </c>
      <c r="Y189" s="20" t="s">
        <v>184</v>
      </c>
      <c r="Z189" s="20" t="s">
        <v>161</v>
      </c>
      <c r="AA189" s="63" t="s">
        <v>186</v>
      </c>
      <c r="AB189" s="64"/>
      <c r="AC189" s="64"/>
      <c r="AD189" s="64"/>
      <c r="AE189" s="65"/>
      <c r="AF189" s="1418" t="s">
        <v>0</v>
      </c>
      <c r="AI189" s="20" t="s">
        <v>62</v>
      </c>
      <c r="AJ189" s="20" t="s">
        <v>184</v>
      </c>
      <c r="AK189" s="20" t="s">
        <v>161</v>
      </c>
      <c r="AL189" s="63" t="s">
        <v>186</v>
      </c>
      <c r="AM189" s="64"/>
      <c r="AN189" s="64"/>
      <c r="AO189" s="64"/>
      <c r="AP189" s="65"/>
      <c r="AQ189" s="1418" t="s">
        <v>0</v>
      </c>
      <c r="AS189" s="4111" t="s">
        <v>62</v>
      </c>
      <c r="AT189" s="4111" t="s">
        <v>184</v>
      </c>
      <c r="AU189" s="4111" t="s">
        <v>161</v>
      </c>
      <c r="AV189" s="4113" t="s">
        <v>186</v>
      </c>
      <c r="AW189" s="4114"/>
      <c r="AX189" s="4114"/>
      <c r="AY189" s="4114"/>
      <c r="AZ189" s="4115"/>
      <c r="BA189" s="4111" t="s">
        <v>0</v>
      </c>
    </row>
    <row r="190" spans="1:57" ht="33" x14ac:dyDescent="0.3">
      <c r="A190" s="1"/>
      <c r="B190" s="66"/>
      <c r="C190" s="66"/>
      <c r="D190" s="66"/>
      <c r="E190" s="20" t="s">
        <v>277</v>
      </c>
      <c r="F190" s="20" t="s">
        <v>272</v>
      </c>
      <c r="G190" s="20" t="s">
        <v>273</v>
      </c>
      <c r="H190" s="20" t="s">
        <v>274</v>
      </c>
      <c r="I190" s="20" t="s">
        <v>275</v>
      </c>
      <c r="J190" s="1420"/>
      <c r="K190" s="1"/>
      <c r="M190" s="66"/>
      <c r="N190" s="66"/>
      <c r="O190" s="66"/>
      <c r="P190" s="20" t="s">
        <v>277</v>
      </c>
      <c r="Q190" s="20" t="s">
        <v>272</v>
      </c>
      <c r="R190" s="20" t="s">
        <v>273</v>
      </c>
      <c r="S190" s="20" t="s">
        <v>274</v>
      </c>
      <c r="T190" s="20" t="s">
        <v>275</v>
      </c>
      <c r="U190" s="1420"/>
      <c r="X190" s="66"/>
      <c r="Y190" s="66"/>
      <c r="Z190" s="66"/>
      <c r="AA190" s="20" t="s">
        <v>277</v>
      </c>
      <c r="AB190" s="20" t="s">
        <v>272</v>
      </c>
      <c r="AC190" s="20" t="s">
        <v>273</v>
      </c>
      <c r="AD190" s="20" t="s">
        <v>274</v>
      </c>
      <c r="AE190" s="20" t="s">
        <v>275</v>
      </c>
      <c r="AF190" s="1420"/>
      <c r="AI190" s="66"/>
      <c r="AJ190" s="66"/>
      <c r="AK190" s="66"/>
      <c r="AL190" s="20" t="s">
        <v>277</v>
      </c>
      <c r="AM190" s="20" t="s">
        <v>272</v>
      </c>
      <c r="AN190" s="20" t="s">
        <v>273</v>
      </c>
      <c r="AO190" s="20" t="s">
        <v>274</v>
      </c>
      <c r="AP190" s="20" t="s">
        <v>275</v>
      </c>
      <c r="AQ190" s="1420"/>
      <c r="AS190" s="4116"/>
      <c r="AT190" s="4116"/>
      <c r="AU190" s="4116"/>
      <c r="AV190" s="20" t="s">
        <v>277</v>
      </c>
      <c r="AW190" s="20" t="s">
        <v>272</v>
      </c>
      <c r="AX190" s="20" t="s">
        <v>273</v>
      </c>
      <c r="AY190" s="20" t="s">
        <v>274</v>
      </c>
      <c r="AZ190" s="20" t="s">
        <v>275</v>
      </c>
      <c r="BA190" s="4116"/>
    </row>
    <row r="191" spans="1:57" x14ac:dyDescent="0.3">
      <c r="A191" s="1"/>
      <c r="B191" s="10"/>
      <c r="C191" s="7"/>
      <c r="D191" s="7"/>
      <c r="E191" s="7"/>
      <c r="F191" s="7"/>
      <c r="G191" s="7"/>
      <c r="H191" s="7"/>
      <c r="I191" s="7"/>
      <c r="J191" s="262"/>
      <c r="K191" s="1"/>
      <c r="M191" s="10"/>
      <c r="N191" s="7"/>
      <c r="O191" s="7"/>
      <c r="P191" s="7"/>
      <c r="Q191" s="7"/>
      <c r="R191" s="7"/>
      <c r="S191" s="7"/>
      <c r="T191" s="7"/>
      <c r="U191" s="262"/>
      <c r="X191" s="10"/>
      <c r="Y191" s="7"/>
      <c r="Z191" s="7"/>
      <c r="AA191" s="7"/>
      <c r="AB191" s="7"/>
      <c r="AC191" s="7"/>
      <c r="AD191" s="7"/>
      <c r="AE191" s="7"/>
      <c r="AF191" s="29"/>
      <c r="AI191" s="10"/>
      <c r="AJ191" s="7"/>
      <c r="AK191" s="7"/>
      <c r="AL191" s="7"/>
      <c r="AM191" s="7"/>
      <c r="AN191" s="7"/>
      <c r="AO191" s="7"/>
      <c r="AP191" s="7"/>
      <c r="AQ191" s="29"/>
      <c r="AS191" s="10"/>
      <c r="AT191" s="7"/>
      <c r="AU191" s="336"/>
      <c r="AV191" s="7"/>
      <c r="AW191" s="7"/>
      <c r="AX191" s="7"/>
      <c r="AY191" s="7"/>
      <c r="AZ191" s="7"/>
      <c r="BA191" s="262"/>
      <c r="BC191" s="133" t="s">
        <v>1955</v>
      </c>
      <c r="BD191" s="133"/>
      <c r="BE191" s="133"/>
    </row>
    <row r="192" spans="1:57" x14ac:dyDescent="0.3">
      <c r="A192" s="1"/>
      <c r="B192" s="10"/>
      <c r="C192" s="7"/>
      <c r="D192" s="7"/>
      <c r="E192" s="7"/>
      <c r="F192" s="7"/>
      <c r="G192" s="7"/>
      <c r="H192" s="7"/>
      <c r="I192" s="7"/>
      <c r="J192" s="262"/>
      <c r="K192" s="1"/>
      <c r="M192" s="10"/>
      <c r="N192" s="7"/>
      <c r="O192" s="7"/>
      <c r="P192" s="7"/>
      <c r="Q192" s="7"/>
      <c r="R192" s="7"/>
      <c r="S192" s="7"/>
      <c r="T192" s="7"/>
      <c r="U192" s="262"/>
      <c r="X192" s="10"/>
      <c r="Y192" s="7"/>
      <c r="Z192" s="7"/>
      <c r="AA192" s="7"/>
      <c r="AB192" s="7"/>
      <c r="AC192" s="7"/>
      <c r="AD192" s="7"/>
      <c r="AE192" s="7"/>
      <c r="AF192" s="29"/>
      <c r="AI192" s="10"/>
      <c r="AJ192" s="7"/>
      <c r="AK192" s="7"/>
      <c r="AL192" s="7"/>
      <c r="AM192" s="7"/>
      <c r="AN192" s="7"/>
      <c r="AO192" s="7"/>
      <c r="AP192" s="7"/>
      <c r="AQ192" s="29"/>
      <c r="AS192" s="10"/>
      <c r="AT192" s="7"/>
      <c r="AU192" s="336"/>
      <c r="AV192" s="7"/>
      <c r="AW192" s="7"/>
      <c r="AX192" s="7"/>
      <c r="AY192" s="7"/>
      <c r="AZ192" s="7"/>
      <c r="BA192" s="262"/>
      <c r="BC192" s="135" t="e">
        <f>BD192/'4 Estadis ESTRATEG Prod3'!L111</f>
        <v>#DIV/0!</v>
      </c>
      <c r="BD192" s="136">
        <f>+BA194+BA197+BA198+BA199+BA208+BA210+BA211+BA214+BA191+BA192</f>
        <v>0</v>
      </c>
      <c r="BE192" s="133"/>
    </row>
    <row r="193" spans="1:56" x14ac:dyDescent="0.3">
      <c r="A193" s="1"/>
      <c r="B193" s="10"/>
      <c r="C193" s="7"/>
      <c r="D193" s="7"/>
      <c r="E193" s="7"/>
      <c r="F193" s="7"/>
      <c r="G193" s="7"/>
      <c r="H193" s="7"/>
      <c r="I193" s="7"/>
      <c r="J193" s="262"/>
      <c r="K193" s="1"/>
      <c r="M193" s="10"/>
      <c r="N193" s="7"/>
      <c r="O193" s="7"/>
      <c r="P193" s="7"/>
      <c r="Q193" s="7"/>
      <c r="R193" s="7"/>
      <c r="S193" s="7"/>
      <c r="T193" s="7"/>
      <c r="U193" s="262"/>
      <c r="X193" s="10"/>
      <c r="Y193" s="7"/>
      <c r="Z193" s="7"/>
      <c r="AA193" s="7"/>
      <c r="AB193" s="7"/>
      <c r="AC193" s="7"/>
      <c r="AD193" s="7"/>
      <c r="AE193" s="7"/>
      <c r="AF193" s="29"/>
      <c r="AI193" s="10"/>
      <c r="AJ193" s="7"/>
      <c r="AK193" s="7"/>
      <c r="AL193" s="7"/>
      <c r="AM193" s="7"/>
      <c r="AN193" s="7"/>
      <c r="AO193" s="7"/>
      <c r="AP193" s="7"/>
      <c r="AQ193" s="29"/>
      <c r="AS193" s="10"/>
      <c r="AT193" s="7"/>
      <c r="AU193" s="336"/>
      <c r="AV193" s="7"/>
      <c r="AW193" s="7"/>
      <c r="AX193" s="7"/>
      <c r="AY193" s="7"/>
      <c r="AZ193" s="7"/>
      <c r="BA193" s="262"/>
    </row>
    <row r="194" spans="1:56" x14ac:dyDescent="0.3">
      <c r="A194" s="1"/>
      <c r="B194" s="10"/>
      <c r="C194" s="7"/>
      <c r="D194" s="7"/>
      <c r="E194" s="7"/>
      <c r="F194" s="7"/>
      <c r="G194" s="7"/>
      <c r="H194" s="7"/>
      <c r="I194" s="7"/>
      <c r="J194" s="262"/>
      <c r="K194" s="1"/>
      <c r="M194" s="10"/>
      <c r="N194" s="7"/>
      <c r="O194" s="7"/>
      <c r="P194" s="7"/>
      <c r="Q194" s="7"/>
      <c r="R194" s="7"/>
      <c r="S194" s="7"/>
      <c r="T194" s="7"/>
      <c r="U194" s="262"/>
      <c r="X194" s="10"/>
      <c r="Y194" s="7"/>
      <c r="Z194" s="7"/>
      <c r="AA194" s="7"/>
      <c r="AB194" s="7"/>
      <c r="AC194" s="7"/>
      <c r="AD194" s="7"/>
      <c r="AE194" s="7"/>
      <c r="AF194" s="29"/>
      <c r="AI194" s="10"/>
      <c r="AJ194" s="7"/>
      <c r="AK194" s="7"/>
      <c r="AL194" s="7"/>
      <c r="AM194" s="7"/>
      <c r="AN194" s="7"/>
      <c r="AO194" s="7"/>
      <c r="AP194" s="7"/>
      <c r="AQ194" s="29"/>
      <c r="AS194" s="10"/>
      <c r="AT194" s="7"/>
      <c r="AU194" s="336"/>
      <c r="AV194" s="7"/>
      <c r="AW194" s="7"/>
      <c r="AX194" s="7"/>
      <c r="AY194" s="7"/>
      <c r="AZ194" s="7"/>
      <c r="BA194" s="262"/>
    </row>
    <row r="195" spans="1:56" x14ac:dyDescent="0.3">
      <c r="A195" s="1"/>
      <c r="B195" s="10"/>
      <c r="C195" s="7"/>
      <c r="D195" s="7"/>
      <c r="E195" s="7"/>
      <c r="F195" s="7"/>
      <c r="G195" s="7"/>
      <c r="H195" s="7"/>
      <c r="I195" s="7"/>
      <c r="J195" s="262"/>
      <c r="K195" s="1"/>
      <c r="M195" s="10"/>
      <c r="N195" s="7"/>
      <c r="O195" s="7"/>
      <c r="P195" s="7"/>
      <c r="Q195" s="7"/>
      <c r="R195" s="7"/>
      <c r="S195" s="7"/>
      <c r="T195" s="7"/>
      <c r="U195" s="262"/>
      <c r="X195" s="10"/>
      <c r="Y195" s="7"/>
      <c r="Z195" s="7"/>
      <c r="AA195" s="7"/>
      <c r="AB195" s="7"/>
      <c r="AC195" s="7"/>
      <c r="AD195" s="7"/>
      <c r="AE195" s="7"/>
      <c r="AF195" s="29"/>
      <c r="AI195" s="10"/>
      <c r="AJ195" s="7"/>
      <c r="AK195" s="7"/>
      <c r="AL195" s="7"/>
      <c r="AM195" s="7"/>
      <c r="AN195" s="7"/>
      <c r="AO195" s="7"/>
      <c r="AP195" s="7"/>
      <c r="AQ195" s="29"/>
      <c r="AS195" s="10"/>
      <c r="AT195" s="7"/>
      <c r="AU195" s="336"/>
      <c r="AV195" s="7"/>
      <c r="AW195" s="7"/>
      <c r="AX195" s="7"/>
      <c r="AY195" s="7"/>
      <c r="AZ195" s="7"/>
      <c r="BA195" s="262"/>
    </row>
    <row r="196" spans="1:56" x14ac:dyDescent="0.3">
      <c r="A196" s="1"/>
      <c r="B196" s="10"/>
      <c r="C196" s="7"/>
      <c r="D196" s="7"/>
      <c r="E196" s="7"/>
      <c r="F196" s="7"/>
      <c r="G196" s="7"/>
      <c r="H196" s="7"/>
      <c r="I196" s="7"/>
      <c r="J196" s="262"/>
      <c r="K196" s="1"/>
      <c r="M196" s="10"/>
      <c r="N196" s="7"/>
      <c r="O196" s="7"/>
      <c r="P196" s="7"/>
      <c r="Q196" s="7"/>
      <c r="R196" s="7"/>
      <c r="S196" s="7"/>
      <c r="T196" s="7"/>
      <c r="U196" s="262"/>
      <c r="X196" s="10"/>
      <c r="Y196" s="7"/>
      <c r="Z196" s="7"/>
      <c r="AA196" s="7"/>
      <c r="AB196" s="7"/>
      <c r="AC196" s="7"/>
      <c r="AD196" s="7"/>
      <c r="AE196" s="7"/>
      <c r="AF196" s="29"/>
      <c r="AI196" s="10"/>
      <c r="AJ196" s="7"/>
      <c r="AK196" s="7"/>
      <c r="AL196" s="7"/>
      <c r="AM196" s="7"/>
      <c r="AN196" s="7"/>
      <c r="AO196" s="7"/>
      <c r="AP196" s="7"/>
      <c r="AQ196" s="29"/>
      <c r="AS196" s="10"/>
      <c r="AT196" s="7"/>
      <c r="AU196" s="336"/>
      <c r="AV196" s="7"/>
      <c r="AW196" s="7"/>
      <c r="AX196" s="7"/>
      <c r="AY196" s="7"/>
      <c r="AZ196" s="7"/>
      <c r="BA196" s="262"/>
    </row>
    <row r="197" spans="1:56" x14ac:dyDescent="0.3">
      <c r="A197" s="1"/>
      <c r="B197" s="10"/>
      <c r="C197" s="7"/>
      <c r="D197" s="7"/>
      <c r="E197" s="7"/>
      <c r="F197" s="7"/>
      <c r="G197" s="7"/>
      <c r="H197" s="7"/>
      <c r="I197" s="7"/>
      <c r="J197" s="262"/>
      <c r="K197" s="1"/>
      <c r="M197" s="10"/>
      <c r="N197" s="7"/>
      <c r="O197" s="7"/>
      <c r="P197" s="7"/>
      <c r="Q197" s="7"/>
      <c r="R197" s="7"/>
      <c r="S197" s="7"/>
      <c r="T197" s="7"/>
      <c r="U197" s="262"/>
      <c r="X197" s="10"/>
      <c r="Y197" s="7"/>
      <c r="Z197" s="7"/>
      <c r="AA197" s="7"/>
      <c r="AB197" s="7"/>
      <c r="AC197" s="7"/>
      <c r="AD197" s="7"/>
      <c r="AE197" s="7"/>
      <c r="AF197" s="29"/>
      <c r="AI197" s="10"/>
      <c r="AJ197" s="7"/>
      <c r="AK197" s="7"/>
      <c r="AL197" s="7"/>
      <c r="AM197" s="7"/>
      <c r="AN197" s="7"/>
      <c r="AO197" s="7"/>
      <c r="AP197" s="7"/>
      <c r="AQ197" s="29"/>
      <c r="AS197" s="10"/>
      <c r="AT197" s="7"/>
      <c r="AU197" s="336"/>
      <c r="AV197" s="7"/>
      <c r="AW197" s="7"/>
      <c r="AX197" s="7"/>
      <c r="AY197" s="7"/>
      <c r="AZ197" s="7"/>
      <c r="BA197" s="262"/>
    </row>
    <row r="198" spans="1:56" x14ac:dyDescent="0.3">
      <c r="A198" s="1"/>
      <c r="B198" s="10"/>
      <c r="C198" s="7"/>
      <c r="D198" s="7"/>
      <c r="E198" s="7"/>
      <c r="F198" s="7"/>
      <c r="G198" s="7"/>
      <c r="H198" s="7"/>
      <c r="I198" s="7"/>
      <c r="J198" s="262"/>
      <c r="K198" s="1"/>
      <c r="M198" s="10"/>
      <c r="N198" s="7"/>
      <c r="O198" s="7"/>
      <c r="P198" s="7"/>
      <c r="Q198" s="7"/>
      <c r="R198" s="7"/>
      <c r="S198" s="7"/>
      <c r="T198" s="7"/>
      <c r="U198" s="262"/>
      <c r="X198" s="10"/>
      <c r="Y198" s="7"/>
      <c r="Z198" s="7"/>
      <c r="AA198" s="7"/>
      <c r="AB198" s="7"/>
      <c r="AC198" s="7"/>
      <c r="AD198" s="7"/>
      <c r="AE198" s="7"/>
      <c r="AF198" s="29"/>
      <c r="AI198" s="10"/>
      <c r="AJ198" s="7"/>
      <c r="AK198" s="7"/>
      <c r="AL198" s="7"/>
      <c r="AM198" s="7"/>
      <c r="AN198" s="7"/>
      <c r="AO198" s="7"/>
      <c r="AP198" s="7"/>
      <c r="AQ198" s="29"/>
      <c r="AS198" s="10"/>
      <c r="AT198" s="7"/>
      <c r="AU198" s="336"/>
      <c r="AV198" s="7"/>
      <c r="AW198" s="7"/>
      <c r="AX198" s="7"/>
      <c r="AY198" s="7"/>
      <c r="AZ198" s="7"/>
      <c r="BA198" s="262"/>
    </row>
    <row r="199" spans="1:56" x14ac:dyDescent="0.3">
      <c r="A199" s="1"/>
      <c r="B199" s="10"/>
      <c r="C199" s="7"/>
      <c r="D199" s="7"/>
      <c r="E199" s="7"/>
      <c r="F199" s="7"/>
      <c r="G199" s="7"/>
      <c r="H199" s="7"/>
      <c r="I199" s="7"/>
      <c r="J199" s="262"/>
      <c r="K199" s="1"/>
      <c r="M199" s="10"/>
      <c r="N199" s="7"/>
      <c r="O199" s="7"/>
      <c r="P199" s="7"/>
      <c r="Q199" s="7"/>
      <c r="R199" s="7"/>
      <c r="S199" s="7"/>
      <c r="T199" s="7"/>
      <c r="U199" s="262"/>
      <c r="X199" s="10"/>
      <c r="Y199" s="7"/>
      <c r="Z199" s="7"/>
      <c r="AA199" s="7"/>
      <c r="AB199" s="7"/>
      <c r="AC199" s="7"/>
      <c r="AD199" s="7"/>
      <c r="AE199" s="7"/>
      <c r="AF199" s="29"/>
      <c r="AI199" s="10"/>
      <c r="AJ199" s="7"/>
      <c r="AK199" s="7"/>
      <c r="AL199" s="7"/>
      <c r="AM199" s="7"/>
      <c r="AN199" s="7"/>
      <c r="AO199" s="7"/>
      <c r="AP199" s="7"/>
      <c r="AQ199" s="29"/>
      <c r="AS199" s="10"/>
      <c r="AT199" s="7"/>
      <c r="AU199" s="336"/>
      <c r="AV199" s="7"/>
      <c r="AW199" s="7"/>
      <c r="AX199" s="7"/>
      <c r="AY199" s="7"/>
      <c r="AZ199" s="7"/>
      <c r="BA199" s="262"/>
    </row>
    <row r="200" spans="1:56" x14ac:dyDescent="0.3">
      <c r="A200" s="1"/>
      <c r="B200" s="10"/>
      <c r="C200" s="7"/>
      <c r="D200" s="7"/>
      <c r="E200" s="7"/>
      <c r="F200" s="7"/>
      <c r="G200" s="7"/>
      <c r="H200" s="7"/>
      <c r="I200" s="7"/>
      <c r="J200" s="262"/>
      <c r="K200" s="1"/>
      <c r="M200" s="10"/>
      <c r="N200" s="7"/>
      <c r="O200" s="7"/>
      <c r="P200" s="7"/>
      <c r="Q200" s="7"/>
      <c r="R200" s="7"/>
      <c r="S200" s="7"/>
      <c r="T200" s="7"/>
      <c r="U200" s="262"/>
      <c r="X200" s="10"/>
      <c r="Y200" s="7"/>
      <c r="Z200" s="7"/>
      <c r="AA200" s="7"/>
      <c r="AB200" s="7"/>
      <c r="AC200" s="7"/>
      <c r="AD200" s="7"/>
      <c r="AE200" s="7"/>
      <c r="AF200" s="29"/>
      <c r="AI200" s="10"/>
      <c r="AJ200" s="7"/>
      <c r="AK200" s="7"/>
      <c r="AL200" s="7"/>
      <c r="AM200" s="7"/>
      <c r="AN200" s="7"/>
      <c r="AO200" s="7"/>
      <c r="AP200" s="7"/>
      <c r="AQ200" s="29"/>
      <c r="AS200" s="10"/>
      <c r="AT200" s="7"/>
      <c r="AU200" s="336"/>
      <c r="AV200" s="7"/>
      <c r="AW200" s="7"/>
      <c r="AX200" s="7"/>
      <c r="AY200" s="7"/>
      <c r="AZ200" s="7"/>
      <c r="BA200" s="262"/>
    </row>
    <row r="201" spans="1:56" x14ac:dyDescent="0.3">
      <c r="A201" s="1"/>
      <c r="B201" s="10"/>
      <c r="C201" s="7"/>
      <c r="D201" s="7"/>
      <c r="E201" s="7"/>
      <c r="F201" s="7"/>
      <c r="G201" s="7"/>
      <c r="H201" s="7"/>
      <c r="I201" s="7"/>
      <c r="J201" s="262"/>
      <c r="K201" s="1"/>
      <c r="M201" s="10"/>
      <c r="N201" s="7"/>
      <c r="O201" s="7"/>
      <c r="P201" s="7"/>
      <c r="Q201" s="7"/>
      <c r="R201" s="7"/>
      <c r="S201" s="7"/>
      <c r="T201" s="7"/>
      <c r="U201" s="262"/>
      <c r="X201" s="10"/>
      <c r="Y201" s="7"/>
      <c r="Z201" s="7"/>
      <c r="AA201" s="7"/>
      <c r="AB201" s="7"/>
      <c r="AC201" s="7"/>
      <c r="AD201" s="7"/>
      <c r="AE201" s="7"/>
      <c r="AF201" s="29"/>
      <c r="AI201" s="10"/>
      <c r="AJ201" s="7"/>
      <c r="AK201" s="7"/>
      <c r="AL201" s="7"/>
      <c r="AM201" s="7"/>
      <c r="AN201" s="7"/>
      <c r="AO201" s="7"/>
      <c r="AP201" s="7"/>
      <c r="AQ201" s="29"/>
      <c r="AS201" s="10"/>
      <c r="AT201" s="7"/>
      <c r="AU201" s="336"/>
      <c r="AV201" s="7"/>
      <c r="AW201" s="7"/>
      <c r="AX201" s="7"/>
      <c r="AY201" s="7"/>
      <c r="AZ201" s="7"/>
      <c r="BA201" s="262"/>
    </row>
    <row r="202" spans="1:56" x14ac:dyDescent="0.3">
      <c r="A202" s="1"/>
      <c r="B202" s="4120" t="s">
        <v>0</v>
      </c>
      <c r="C202" s="4121"/>
      <c r="D202" s="15"/>
      <c r="E202" s="27">
        <f>SUM(E191:E201)</f>
        <v>0</v>
      </c>
      <c r="F202" s="27">
        <f>SUM(F191:F201)</f>
        <v>0</v>
      </c>
      <c r="G202" s="27">
        <f>SUM(G191:G201)</f>
        <v>0</v>
      </c>
      <c r="H202" s="27">
        <f>SUM(H191:H201)</f>
        <v>0</v>
      </c>
      <c r="I202" s="27">
        <f>SUM(I191:I201)</f>
        <v>0</v>
      </c>
      <c r="J202" s="262">
        <f t="shared" ref="J202" si="35">SUM(E202:I202)</f>
        <v>0</v>
      </c>
      <c r="K202" s="1"/>
      <c r="M202" s="4120" t="s">
        <v>0</v>
      </c>
      <c r="N202" s="4121"/>
      <c r="O202" s="15"/>
      <c r="P202" s="27">
        <f>SUM(P191:P201)</f>
        <v>0</v>
      </c>
      <c r="Q202" s="27">
        <f>SUM(Q191:Q201)</f>
        <v>0</v>
      </c>
      <c r="R202" s="27">
        <f>SUM(R191:R201)</f>
        <v>0</v>
      </c>
      <c r="S202" s="27">
        <f>SUM(S191:S201)</f>
        <v>0</v>
      </c>
      <c r="T202" s="27">
        <f>SUM(T191:T201)</f>
        <v>0</v>
      </c>
      <c r="U202" s="262">
        <f t="shared" ref="U202" si="36">SUM(P202:T202)</f>
        <v>0</v>
      </c>
      <c r="X202" s="4120" t="s">
        <v>0</v>
      </c>
      <c r="Y202" s="4121"/>
      <c r="Z202" s="15"/>
      <c r="AA202" s="27">
        <f>SUM(AA191:AA201)</f>
        <v>0</v>
      </c>
      <c r="AB202" s="27">
        <f>SUM(AB191:AB201)</f>
        <v>0</v>
      </c>
      <c r="AC202" s="27">
        <f>SUM(AC191:AC201)</f>
        <v>0</v>
      </c>
      <c r="AD202" s="27">
        <f>SUM(AD191:AD201)</f>
        <v>0</v>
      </c>
      <c r="AE202" s="27">
        <f>SUM(AE191:AE201)</f>
        <v>0</v>
      </c>
      <c r="AF202" s="29">
        <f t="shared" ref="AF202" si="37">SUM(AA202:AE202)</f>
        <v>0</v>
      </c>
      <c r="AI202" s="4120" t="s">
        <v>0</v>
      </c>
      <c r="AJ202" s="4121"/>
      <c r="AK202" s="15"/>
      <c r="AL202" s="27">
        <f>SUM(AL191:AL201)</f>
        <v>0</v>
      </c>
      <c r="AM202" s="27">
        <f>SUM(AM191:AM201)</f>
        <v>0</v>
      </c>
      <c r="AN202" s="27">
        <f>SUM(AN191:AN201)</f>
        <v>0</v>
      </c>
      <c r="AO202" s="27">
        <f>SUM(AO191:AO201)</f>
        <v>0</v>
      </c>
      <c r="AP202" s="27">
        <f>SUM(AP191:AP201)</f>
        <v>0</v>
      </c>
      <c r="AQ202" s="29">
        <f t="shared" ref="AQ202" si="38">SUM(AL202:AP202)</f>
        <v>0</v>
      </c>
      <c r="AS202" s="4120" t="s">
        <v>0</v>
      </c>
      <c r="AT202" s="4121"/>
      <c r="AU202" s="336"/>
      <c r="AV202" s="27">
        <f>SUM(AV191:AV201)</f>
        <v>0</v>
      </c>
      <c r="AW202" s="27">
        <f>SUM(AW191:AW201)</f>
        <v>0</v>
      </c>
      <c r="AX202" s="27">
        <f>SUM(AX191:AX201)</f>
        <v>0</v>
      </c>
      <c r="AY202" s="27">
        <f>SUM(AY191:AY201)</f>
        <v>0</v>
      </c>
      <c r="AZ202" s="27">
        <f>SUM(AZ191:AZ201)</f>
        <v>0</v>
      </c>
      <c r="BA202" s="262">
        <f t="shared" ref="BA202" si="39">SUM(AV202:AZ202)</f>
        <v>0</v>
      </c>
    </row>
    <row r="203" spans="1:56" x14ac:dyDescent="0.3">
      <c r="A203" s="1"/>
      <c r="B203" s="1"/>
      <c r="C203" s="1"/>
      <c r="D203" s="1"/>
      <c r="E203" s="1"/>
      <c r="F203" s="1"/>
      <c r="G203" s="1"/>
      <c r="H203" s="1"/>
      <c r="I203" s="1"/>
      <c r="J203" s="1423"/>
      <c r="K203" s="1"/>
      <c r="AU203" s="1433"/>
      <c r="AV203" s="1"/>
      <c r="AW203" s="1"/>
      <c r="AX203" s="1"/>
      <c r="AY203" s="1"/>
      <c r="AZ203" s="1"/>
      <c r="BA203" s="1434"/>
    </row>
    <row r="204" spans="1:56" x14ac:dyDescent="0.3">
      <c r="A204" s="1"/>
      <c r="B204" s="1"/>
      <c r="C204" s="1"/>
      <c r="D204" s="1"/>
      <c r="E204" s="1"/>
      <c r="F204" s="1"/>
      <c r="G204" s="1"/>
      <c r="H204" s="1"/>
      <c r="I204" s="1"/>
      <c r="J204" s="1423"/>
      <c r="K204" s="1"/>
      <c r="AU204" s="1433"/>
      <c r="AV204" s="1"/>
      <c r="AW204" s="1"/>
      <c r="AX204" s="1"/>
      <c r="AY204" s="1"/>
      <c r="AZ204" s="1"/>
      <c r="BA204" s="1434"/>
    </row>
    <row r="205" spans="1:56" x14ac:dyDescent="0.3">
      <c r="A205" s="1"/>
      <c r="B205" s="4109" t="s">
        <v>280</v>
      </c>
      <c r="C205" s="4109"/>
      <c r="D205" s="4109"/>
      <c r="E205" s="4109"/>
      <c r="F205" s="4109"/>
      <c r="G205" s="4109"/>
      <c r="H205" s="4109"/>
      <c r="I205" s="4109"/>
      <c r="J205" s="4109"/>
      <c r="K205" s="1"/>
      <c r="M205" s="4109" t="s">
        <v>344</v>
      </c>
      <c r="N205" s="4109"/>
      <c r="O205" s="4109"/>
      <c r="P205" s="4109"/>
      <c r="Q205" s="4109"/>
      <c r="R205" s="4109"/>
      <c r="S205" s="4109"/>
      <c r="T205" s="4109"/>
      <c r="U205" s="4109"/>
      <c r="X205" s="4109" t="s">
        <v>349</v>
      </c>
      <c r="Y205" s="4109"/>
      <c r="Z205" s="4109"/>
      <c r="AA205" s="4109"/>
      <c r="AB205" s="4109"/>
      <c r="AC205" s="4109"/>
      <c r="AD205" s="4109"/>
      <c r="AE205" s="4109"/>
      <c r="AF205" s="4109"/>
      <c r="AI205" s="4109" t="s">
        <v>607</v>
      </c>
      <c r="AJ205" s="4109"/>
      <c r="AK205" s="4109"/>
      <c r="AL205" s="4109"/>
      <c r="AM205" s="4109"/>
      <c r="AN205" s="4109"/>
      <c r="AO205" s="4109"/>
      <c r="AP205" s="4109"/>
      <c r="AQ205" s="4109"/>
      <c r="AS205" s="4109" t="s">
        <v>3551</v>
      </c>
      <c r="AT205" s="4109"/>
      <c r="AU205" s="4109"/>
      <c r="AV205" s="4109"/>
      <c r="AW205" s="4109"/>
      <c r="AX205" s="4109"/>
      <c r="AY205" s="4109"/>
      <c r="AZ205" s="4109"/>
      <c r="BA205" s="4109"/>
    </row>
    <row r="206" spans="1:56" ht="33" x14ac:dyDescent="0.3">
      <c r="A206" s="1"/>
      <c r="B206" s="20" t="s">
        <v>62</v>
      </c>
      <c r="C206" s="20" t="s">
        <v>184</v>
      </c>
      <c r="D206" s="20" t="s">
        <v>161</v>
      </c>
      <c r="E206" s="63" t="s">
        <v>186</v>
      </c>
      <c r="F206" s="64"/>
      <c r="G206" s="64"/>
      <c r="H206" s="64"/>
      <c r="I206" s="65"/>
      <c r="J206" s="1418" t="s">
        <v>0</v>
      </c>
      <c r="K206" s="1"/>
      <c r="M206" s="20" t="s">
        <v>62</v>
      </c>
      <c r="N206" s="20" t="s">
        <v>184</v>
      </c>
      <c r="O206" s="20" t="s">
        <v>161</v>
      </c>
      <c r="P206" s="63" t="s">
        <v>186</v>
      </c>
      <c r="Q206" s="64"/>
      <c r="R206" s="64"/>
      <c r="S206" s="64"/>
      <c r="T206" s="65"/>
      <c r="U206" s="1418" t="s">
        <v>0</v>
      </c>
      <c r="X206" s="20" t="s">
        <v>62</v>
      </c>
      <c r="Y206" s="20" t="s">
        <v>184</v>
      </c>
      <c r="Z206" s="20" t="s">
        <v>161</v>
      </c>
      <c r="AA206" s="63" t="s">
        <v>186</v>
      </c>
      <c r="AB206" s="64"/>
      <c r="AC206" s="64"/>
      <c r="AD206" s="64"/>
      <c r="AE206" s="65"/>
      <c r="AF206" s="1418" t="s">
        <v>0</v>
      </c>
      <c r="AI206" s="20" t="s">
        <v>62</v>
      </c>
      <c r="AJ206" s="20" t="s">
        <v>184</v>
      </c>
      <c r="AK206" s="20" t="s">
        <v>161</v>
      </c>
      <c r="AL206" s="63" t="s">
        <v>186</v>
      </c>
      <c r="AM206" s="64"/>
      <c r="AN206" s="64"/>
      <c r="AO206" s="64"/>
      <c r="AP206" s="65"/>
      <c r="AQ206" s="1418" t="s">
        <v>0</v>
      </c>
      <c r="AS206" s="4111" t="s">
        <v>62</v>
      </c>
      <c r="AT206" s="4111" t="s">
        <v>184</v>
      </c>
      <c r="AU206" s="4111" t="s">
        <v>161</v>
      </c>
      <c r="AV206" s="4113" t="s">
        <v>186</v>
      </c>
      <c r="AW206" s="4114"/>
      <c r="AX206" s="4114"/>
      <c r="AY206" s="4114"/>
      <c r="AZ206" s="4115"/>
      <c r="BA206" s="4111" t="s">
        <v>0</v>
      </c>
    </row>
    <row r="207" spans="1:56" ht="33" x14ac:dyDescent="0.3">
      <c r="A207" s="1"/>
      <c r="B207" s="66"/>
      <c r="C207" s="66"/>
      <c r="D207" s="66"/>
      <c r="E207" s="20" t="s">
        <v>277</v>
      </c>
      <c r="F207" s="20" t="s">
        <v>272</v>
      </c>
      <c r="G207" s="20" t="s">
        <v>273</v>
      </c>
      <c r="H207" s="20" t="s">
        <v>274</v>
      </c>
      <c r="I207" s="20" t="s">
        <v>275</v>
      </c>
      <c r="J207" s="1420"/>
      <c r="K207" s="1"/>
      <c r="M207" s="66"/>
      <c r="N207" s="66"/>
      <c r="O207" s="66"/>
      <c r="P207" s="20" t="s">
        <v>277</v>
      </c>
      <c r="Q207" s="20" t="s">
        <v>272</v>
      </c>
      <c r="R207" s="20" t="s">
        <v>273</v>
      </c>
      <c r="S207" s="20" t="s">
        <v>274</v>
      </c>
      <c r="T207" s="20" t="s">
        <v>275</v>
      </c>
      <c r="U207" s="1420"/>
      <c r="X207" s="66"/>
      <c r="Y207" s="66"/>
      <c r="Z207" s="66"/>
      <c r="AA207" s="20" t="s">
        <v>277</v>
      </c>
      <c r="AB207" s="20" t="s">
        <v>272</v>
      </c>
      <c r="AC207" s="20" t="s">
        <v>273</v>
      </c>
      <c r="AD207" s="20" t="s">
        <v>274</v>
      </c>
      <c r="AE207" s="20" t="s">
        <v>275</v>
      </c>
      <c r="AF207" s="1420"/>
      <c r="AI207" s="66"/>
      <c r="AJ207" s="66"/>
      <c r="AK207" s="66"/>
      <c r="AL207" s="20" t="s">
        <v>277</v>
      </c>
      <c r="AM207" s="20" t="s">
        <v>272</v>
      </c>
      <c r="AN207" s="20" t="s">
        <v>273</v>
      </c>
      <c r="AO207" s="20" t="s">
        <v>274</v>
      </c>
      <c r="AP207" s="20" t="s">
        <v>275</v>
      </c>
      <c r="AQ207" s="1420"/>
      <c r="AS207" s="4116"/>
      <c r="AT207" s="4116"/>
      <c r="AU207" s="4116"/>
      <c r="AV207" s="20" t="s">
        <v>277</v>
      </c>
      <c r="AW207" s="20" t="s">
        <v>272</v>
      </c>
      <c r="AX207" s="20" t="s">
        <v>273</v>
      </c>
      <c r="AY207" s="20" t="s">
        <v>274</v>
      </c>
      <c r="AZ207" s="20" t="s">
        <v>275</v>
      </c>
      <c r="BA207" s="4116"/>
    </row>
    <row r="208" spans="1:56" x14ac:dyDescent="0.3">
      <c r="B208" s="10"/>
      <c r="C208" s="7"/>
      <c r="D208" s="7"/>
      <c r="E208" s="7"/>
      <c r="F208" s="7"/>
      <c r="G208" s="7"/>
      <c r="H208" s="7"/>
      <c r="I208" s="7"/>
      <c r="J208" s="1415"/>
      <c r="M208" s="10"/>
      <c r="N208" s="7"/>
      <c r="O208" s="7"/>
      <c r="P208" s="7"/>
      <c r="Q208" s="7"/>
      <c r="R208" s="7"/>
      <c r="S208" s="7"/>
      <c r="T208" s="7"/>
      <c r="U208" s="1415"/>
      <c r="V208" s="4"/>
      <c r="W208" s="4"/>
      <c r="X208" s="10"/>
      <c r="Y208" s="7"/>
      <c r="Z208" s="7"/>
      <c r="AA208" s="7"/>
      <c r="AB208" s="7"/>
      <c r="AC208" s="7"/>
      <c r="AD208" s="7"/>
      <c r="AE208" s="7"/>
      <c r="AF208" s="114"/>
      <c r="AG208" s="4"/>
      <c r="AH208" s="4"/>
      <c r="AI208" s="10"/>
      <c r="AJ208" s="7"/>
      <c r="AK208" s="7"/>
      <c r="AL208" s="7"/>
      <c r="AM208" s="7"/>
      <c r="AN208" s="7"/>
      <c r="AO208" s="7"/>
      <c r="AP208" s="7"/>
      <c r="AQ208" s="114"/>
      <c r="AR208" s="4"/>
      <c r="AS208" s="10"/>
      <c r="AT208" s="7"/>
      <c r="AU208" s="336"/>
      <c r="AV208" s="7"/>
      <c r="AW208" s="7"/>
      <c r="AX208" s="7"/>
      <c r="AY208" s="7"/>
      <c r="AZ208" s="7"/>
      <c r="BA208" s="1430"/>
      <c r="BD208" s="4"/>
    </row>
    <row r="209" spans="1:56" x14ac:dyDescent="0.3">
      <c r="B209" s="10"/>
      <c r="C209" s="7"/>
      <c r="D209" s="7"/>
      <c r="E209" s="7"/>
      <c r="F209" s="7"/>
      <c r="G209" s="7"/>
      <c r="H209" s="7"/>
      <c r="I209" s="7"/>
      <c r="J209" s="1415"/>
      <c r="M209" s="10"/>
      <c r="N209" s="7"/>
      <c r="O209" s="7"/>
      <c r="P209" s="7"/>
      <c r="Q209" s="7"/>
      <c r="R209" s="7"/>
      <c r="S209" s="7"/>
      <c r="T209" s="7"/>
      <c r="U209" s="1415"/>
      <c r="V209" s="4"/>
      <c r="W209" s="4"/>
      <c r="X209" s="10"/>
      <c r="Y209" s="7"/>
      <c r="Z209" s="7"/>
      <c r="AA209" s="7"/>
      <c r="AB209" s="7"/>
      <c r="AC209" s="7"/>
      <c r="AD209" s="7"/>
      <c r="AE209" s="7"/>
      <c r="AF209" s="114"/>
      <c r="AG209" s="4"/>
      <c r="AH209" s="4"/>
      <c r="AI209" s="10"/>
      <c r="AJ209" s="7"/>
      <c r="AK209" s="7"/>
      <c r="AL209" s="7"/>
      <c r="AM209" s="7"/>
      <c r="AN209" s="7"/>
      <c r="AO209" s="7"/>
      <c r="AP209" s="7"/>
      <c r="AQ209" s="114"/>
      <c r="AR209" s="4"/>
      <c r="AS209" s="10"/>
      <c r="AT209" s="7"/>
      <c r="AU209" s="336"/>
      <c r="AV209" s="7"/>
      <c r="AW209" s="7"/>
      <c r="AX209" s="7"/>
      <c r="AY209" s="7"/>
      <c r="AZ209" s="7"/>
      <c r="BA209" s="1430"/>
      <c r="BD209" s="4"/>
    </row>
    <row r="210" spans="1:56" x14ac:dyDescent="0.3">
      <c r="B210" s="10"/>
      <c r="C210" s="7"/>
      <c r="D210" s="7"/>
      <c r="E210" s="7"/>
      <c r="F210" s="7"/>
      <c r="G210" s="7"/>
      <c r="H210" s="7"/>
      <c r="I210" s="7"/>
      <c r="J210" s="1415"/>
      <c r="M210" s="10"/>
      <c r="N210" s="7"/>
      <c r="O210" s="7"/>
      <c r="P210" s="7"/>
      <c r="Q210" s="7"/>
      <c r="R210" s="7"/>
      <c r="S210" s="7"/>
      <c r="T210" s="7"/>
      <c r="U210" s="1415"/>
      <c r="V210" s="4"/>
      <c r="W210" s="4"/>
      <c r="X210" s="10"/>
      <c r="Y210" s="7"/>
      <c r="Z210" s="7"/>
      <c r="AA210" s="7"/>
      <c r="AB210" s="7"/>
      <c r="AC210" s="7"/>
      <c r="AD210" s="7"/>
      <c r="AE210" s="7"/>
      <c r="AF210" s="114"/>
      <c r="AG210" s="4"/>
      <c r="AH210" s="4"/>
      <c r="AI210" s="10"/>
      <c r="AJ210" s="7"/>
      <c r="AK210" s="7"/>
      <c r="AL210" s="7"/>
      <c r="AM210" s="7"/>
      <c r="AN210" s="7"/>
      <c r="AO210" s="7"/>
      <c r="AP210" s="7"/>
      <c r="AQ210" s="114"/>
      <c r="AR210" s="4"/>
      <c r="AS210" s="10"/>
      <c r="AT210" s="7"/>
      <c r="AU210" s="336"/>
      <c r="AV210" s="7"/>
      <c r="AW210" s="7"/>
      <c r="AX210" s="7"/>
      <c r="AY210" s="7"/>
      <c r="AZ210" s="7"/>
      <c r="BA210" s="1430"/>
      <c r="BD210" s="4"/>
    </row>
    <row r="211" spans="1:56" x14ac:dyDescent="0.3">
      <c r="B211" s="10"/>
      <c r="C211" s="7"/>
      <c r="D211" s="7"/>
      <c r="E211" s="7"/>
      <c r="F211" s="7"/>
      <c r="G211" s="7"/>
      <c r="H211" s="7"/>
      <c r="I211" s="7"/>
      <c r="J211" s="1415"/>
      <c r="M211" s="10"/>
      <c r="N211" s="7"/>
      <c r="O211" s="7"/>
      <c r="P211" s="7"/>
      <c r="Q211" s="7"/>
      <c r="R211" s="7"/>
      <c r="S211" s="7"/>
      <c r="T211" s="7"/>
      <c r="U211" s="1415"/>
      <c r="V211" s="4"/>
      <c r="W211" s="4"/>
      <c r="X211" s="10"/>
      <c r="Y211" s="7"/>
      <c r="Z211" s="7"/>
      <c r="AA211" s="7"/>
      <c r="AB211" s="7"/>
      <c r="AC211" s="7"/>
      <c r="AD211" s="7"/>
      <c r="AE211" s="7"/>
      <c r="AF211" s="114"/>
      <c r="AG211" s="4"/>
      <c r="AH211" s="4"/>
      <c r="AI211" s="10"/>
      <c r="AJ211" s="7"/>
      <c r="AK211" s="7"/>
      <c r="AL211" s="7"/>
      <c r="AM211" s="7"/>
      <c r="AN211" s="7"/>
      <c r="AO211" s="7"/>
      <c r="AP211" s="7"/>
      <c r="AQ211" s="114"/>
      <c r="AR211" s="4"/>
      <c r="AS211" s="10"/>
      <c r="AT211" s="7"/>
      <c r="AU211" s="336"/>
      <c r="AV211" s="7"/>
      <c r="AW211" s="7"/>
      <c r="AX211" s="7"/>
      <c r="AY211" s="7"/>
      <c r="AZ211" s="7"/>
      <c r="BA211" s="1430"/>
      <c r="BD211" s="4"/>
    </row>
    <row r="212" spans="1:56" x14ac:dyDescent="0.3">
      <c r="B212" s="10"/>
      <c r="C212" s="7"/>
      <c r="D212" s="7"/>
      <c r="E212" s="7"/>
      <c r="F212" s="7"/>
      <c r="G212" s="7"/>
      <c r="H212" s="7"/>
      <c r="I212" s="7"/>
      <c r="J212" s="1415"/>
      <c r="M212" s="10"/>
      <c r="N212" s="7"/>
      <c r="O212" s="7"/>
      <c r="P212" s="7"/>
      <c r="Q212" s="7"/>
      <c r="R212" s="7"/>
      <c r="S212" s="7"/>
      <c r="T212" s="7"/>
      <c r="U212" s="1415"/>
      <c r="V212" s="4"/>
      <c r="W212" s="4"/>
      <c r="X212" s="10"/>
      <c r="Y212" s="7"/>
      <c r="Z212" s="7"/>
      <c r="AA212" s="7"/>
      <c r="AB212" s="7"/>
      <c r="AC212" s="7"/>
      <c r="AD212" s="7"/>
      <c r="AE212" s="7"/>
      <c r="AF212" s="114"/>
      <c r="AG212" s="4"/>
      <c r="AH212" s="4"/>
      <c r="AI212" s="10"/>
      <c r="AJ212" s="7"/>
      <c r="AK212" s="7"/>
      <c r="AL212" s="7"/>
      <c r="AM212" s="7"/>
      <c r="AN212" s="7"/>
      <c r="AO212" s="7"/>
      <c r="AP212" s="7"/>
      <c r="AQ212" s="114"/>
      <c r="AR212" s="4"/>
      <c r="AS212" s="10"/>
      <c r="AT212" s="7"/>
      <c r="AU212" s="336"/>
      <c r="AV212" s="7"/>
      <c r="AW212" s="7"/>
      <c r="AX212" s="7"/>
      <c r="AY212" s="7"/>
      <c r="AZ212" s="7"/>
      <c r="BA212" s="1430"/>
      <c r="BD212" s="4"/>
    </row>
    <row r="213" spans="1:56" x14ac:dyDescent="0.3">
      <c r="B213" s="10"/>
      <c r="C213" s="7"/>
      <c r="D213" s="7"/>
      <c r="E213" s="7"/>
      <c r="F213" s="7"/>
      <c r="G213" s="7"/>
      <c r="H213" s="7"/>
      <c r="I213" s="7"/>
      <c r="J213" s="1415"/>
      <c r="M213" s="10"/>
      <c r="N213" s="7"/>
      <c r="O213" s="7"/>
      <c r="P213" s="7"/>
      <c r="Q213" s="7"/>
      <c r="R213" s="7"/>
      <c r="S213" s="7"/>
      <c r="T213" s="7"/>
      <c r="U213" s="1415"/>
      <c r="V213" s="4"/>
      <c r="W213" s="4"/>
      <c r="X213" s="10"/>
      <c r="Y213" s="7"/>
      <c r="Z213" s="7"/>
      <c r="AA213" s="7"/>
      <c r="AB213" s="7"/>
      <c r="AC213" s="7"/>
      <c r="AD213" s="7"/>
      <c r="AE213" s="7"/>
      <c r="AF213" s="114"/>
      <c r="AG213" s="4"/>
      <c r="AH213" s="4"/>
      <c r="AI213" s="10"/>
      <c r="AJ213" s="7"/>
      <c r="AK213" s="7"/>
      <c r="AL213" s="7"/>
      <c r="AM213" s="7"/>
      <c r="AN213" s="7"/>
      <c r="AO213" s="7"/>
      <c r="AP213" s="7"/>
      <c r="AQ213" s="114"/>
      <c r="AR213" s="4"/>
      <c r="AS213" s="10"/>
      <c r="AT213" s="7"/>
      <c r="AU213" s="336"/>
      <c r="AV213" s="7"/>
      <c r="AW213" s="7"/>
      <c r="AX213" s="7"/>
      <c r="AY213" s="7"/>
      <c r="AZ213" s="7"/>
      <c r="BA213" s="1430"/>
      <c r="BD213" s="4"/>
    </row>
    <row r="214" spans="1:56" x14ac:dyDescent="0.3">
      <c r="B214" s="10"/>
      <c r="C214" s="7"/>
      <c r="D214" s="7"/>
      <c r="E214" s="7"/>
      <c r="F214" s="7"/>
      <c r="G214" s="7"/>
      <c r="H214" s="7"/>
      <c r="I214" s="7"/>
      <c r="J214" s="1415"/>
      <c r="M214" s="10"/>
      <c r="N214" s="7"/>
      <c r="O214" s="7"/>
      <c r="P214" s="7"/>
      <c r="Q214" s="7"/>
      <c r="R214" s="7"/>
      <c r="S214" s="7"/>
      <c r="T214" s="7"/>
      <c r="U214" s="1415"/>
      <c r="V214" s="4"/>
      <c r="W214" s="4"/>
      <c r="X214" s="10"/>
      <c r="Y214" s="7"/>
      <c r="Z214" s="7"/>
      <c r="AA214" s="7"/>
      <c r="AB214" s="7"/>
      <c r="AC214" s="7"/>
      <c r="AD214" s="7"/>
      <c r="AE214" s="7"/>
      <c r="AF214" s="114"/>
      <c r="AG214" s="4"/>
      <c r="AH214" s="4"/>
      <c r="AI214" s="10"/>
      <c r="AJ214" s="7"/>
      <c r="AK214" s="7"/>
      <c r="AL214" s="7"/>
      <c r="AM214" s="7"/>
      <c r="AN214" s="7"/>
      <c r="AO214" s="7"/>
      <c r="AP214" s="7"/>
      <c r="AQ214" s="114"/>
      <c r="AR214" s="4"/>
      <c r="AS214" s="10"/>
      <c r="AT214" s="7"/>
      <c r="AU214" s="336"/>
      <c r="AV214" s="7"/>
      <c r="AW214" s="7"/>
      <c r="AX214" s="7"/>
      <c r="AY214" s="7"/>
      <c r="AZ214" s="7"/>
      <c r="BA214" s="1430"/>
      <c r="BD214" s="4"/>
    </row>
    <row r="215" spans="1:56" x14ac:dyDescent="0.3">
      <c r="B215" s="10"/>
      <c r="C215" s="7"/>
      <c r="D215" s="7"/>
      <c r="E215" s="7"/>
      <c r="F215" s="7"/>
      <c r="G215" s="7"/>
      <c r="H215" s="7"/>
      <c r="I215" s="7"/>
      <c r="J215" s="1415"/>
      <c r="M215" s="10"/>
      <c r="N215" s="7"/>
      <c r="O215" s="7"/>
      <c r="P215" s="7"/>
      <c r="Q215" s="7"/>
      <c r="R215" s="7"/>
      <c r="S215" s="7"/>
      <c r="T215" s="7"/>
      <c r="U215" s="1415"/>
      <c r="V215" s="4"/>
      <c r="W215" s="4"/>
      <c r="X215" s="10"/>
      <c r="Y215" s="7"/>
      <c r="Z215" s="7"/>
      <c r="AA215" s="7"/>
      <c r="AB215" s="7"/>
      <c r="AC215" s="7"/>
      <c r="AD215" s="7"/>
      <c r="AE215" s="7"/>
      <c r="AF215" s="114"/>
      <c r="AG215" s="4"/>
      <c r="AH215" s="4"/>
      <c r="AI215" s="10"/>
      <c r="AJ215" s="7"/>
      <c r="AK215" s="7"/>
      <c r="AL215" s="7"/>
      <c r="AM215" s="7"/>
      <c r="AN215" s="7"/>
      <c r="AO215" s="7"/>
      <c r="AP215" s="7"/>
      <c r="AQ215" s="114"/>
      <c r="AR215" s="4"/>
      <c r="AS215" s="10"/>
      <c r="AT215" s="7"/>
      <c r="AU215" s="336"/>
      <c r="AV215" s="7"/>
      <c r="AW215" s="7"/>
      <c r="AX215" s="7"/>
      <c r="AY215" s="7"/>
      <c r="AZ215" s="7"/>
      <c r="BA215" s="1430"/>
      <c r="BD215" s="4"/>
    </row>
    <row r="216" spans="1:56" x14ac:dyDescent="0.3">
      <c r="B216" s="10"/>
      <c r="C216" s="7"/>
      <c r="D216" s="7"/>
      <c r="E216" s="7"/>
      <c r="F216" s="7"/>
      <c r="G216" s="7"/>
      <c r="H216" s="7"/>
      <c r="I216" s="7"/>
      <c r="J216" s="1415"/>
      <c r="M216" s="10"/>
      <c r="N216" s="7"/>
      <c r="O216" s="7"/>
      <c r="P216" s="7"/>
      <c r="Q216" s="7"/>
      <c r="R216" s="7"/>
      <c r="S216" s="7"/>
      <c r="T216" s="7"/>
      <c r="U216" s="1415"/>
      <c r="V216" s="4"/>
      <c r="W216" s="4"/>
      <c r="X216" s="10"/>
      <c r="Y216" s="7"/>
      <c r="Z216" s="7"/>
      <c r="AA216" s="7"/>
      <c r="AB216" s="7"/>
      <c r="AC216" s="7"/>
      <c r="AD216" s="7"/>
      <c r="AE216" s="7"/>
      <c r="AF216" s="114"/>
      <c r="AG216" s="4"/>
      <c r="AH216" s="4"/>
      <c r="AI216" s="10"/>
      <c r="AJ216" s="7"/>
      <c r="AK216" s="7"/>
      <c r="AL216" s="7"/>
      <c r="AM216" s="7"/>
      <c r="AN216" s="7"/>
      <c r="AO216" s="7"/>
      <c r="AP216" s="7"/>
      <c r="AQ216" s="114"/>
      <c r="AR216" s="4"/>
      <c r="AS216" s="10"/>
      <c r="AT216" s="7"/>
      <c r="AU216" s="336"/>
      <c r="AV216" s="7"/>
      <c r="AW216" s="7"/>
      <c r="AX216" s="7"/>
      <c r="AY216" s="7"/>
      <c r="AZ216" s="7"/>
      <c r="BA216" s="1430"/>
      <c r="BD216" s="4"/>
    </row>
    <row r="217" spans="1:56" x14ac:dyDescent="0.3">
      <c r="B217" s="10"/>
      <c r="C217" s="7"/>
      <c r="D217" s="7"/>
      <c r="E217" s="7"/>
      <c r="F217" s="7"/>
      <c r="G217" s="7"/>
      <c r="H217" s="7"/>
      <c r="I217" s="7"/>
      <c r="J217" s="1415"/>
      <c r="M217" s="10"/>
      <c r="N217" s="7"/>
      <c r="O217" s="7"/>
      <c r="P217" s="7"/>
      <c r="Q217" s="7"/>
      <c r="R217" s="7"/>
      <c r="S217" s="7"/>
      <c r="T217" s="7"/>
      <c r="U217" s="1415"/>
      <c r="V217" s="4"/>
      <c r="W217" s="4"/>
      <c r="X217" s="10"/>
      <c r="Y217" s="7"/>
      <c r="Z217" s="7"/>
      <c r="AA217" s="7"/>
      <c r="AB217" s="7"/>
      <c r="AC217" s="7"/>
      <c r="AD217" s="7"/>
      <c r="AE217" s="7"/>
      <c r="AF217" s="114"/>
      <c r="AG217" s="4"/>
      <c r="AH217" s="4"/>
      <c r="AI217" s="10"/>
      <c r="AJ217" s="7"/>
      <c r="AK217" s="7"/>
      <c r="AL217" s="7"/>
      <c r="AM217" s="7"/>
      <c r="AN217" s="7"/>
      <c r="AO217" s="7"/>
      <c r="AP217" s="7"/>
      <c r="AQ217" s="114"/>
      <c r="AR217" s="4"/>
      <c r="AS217" s="10"/>
      <c r="AT217" s="7"/>
      <c r="AU217" s="336"/>
      <c r="AV217" s="7"/>
      <c r="AW217" s="7"/>
      <c r="AX217" s="7"/>
      <c r="AY217" s="7"/>
      <c r="AZ217" s="7"/>
      <c r="BA217" s="1430"/>
      <c r="BD217" s="4"/>
    </row>
    <row r="218" spans="1:56" x14ac:dyDescent="0.3">
      <c r="B218" s="10"/>
      <c r="C218" s="7"/>
      <c r="D218" s="7"/>
      <c r="E218" s="7"/>
      <c r="F218" s="7"/>
      <c r="G218" s="7"/>
      <c r="H218" s="7"/>
      <c r="I218" s="7"/>
      <c r="J218" s="1415"/>
      <c r="M218" s="10"/>
      <c r="N218" s="7"/>
      <c r="O218" s="7"/>
      <c r="P218" s="7"/>
      <c r="Q218" s="7"/>
      <c r="R218" s="7"/>
      <c r="S218" s="7"/>
      <c r="T218" s="7"/>
      <c r="U218" s="1415"/>
      <c r="V218" s="4"/>
      <c r="W218" s="4"/>
      <c r="X218" s="10"/>
      <c r="Y218" s="7"/>
      <c r="Z218" s="7"/>
      <c r="AA218" s="7"/>
      <c r="AB218" s="7"/>
      <c r="AC218" s="7"/>
      <c r="AD218" s="7"/>
      <c r="AE218" s="7"/>
      <c r="AF218" s="114"/>
      <c r="AG218" s="4"/>
      <c r="AH218" s="4"/>
      <c r="AI218" s="10"/>
      <c r="AJ218" s="7"/>
      <c r="AK218" s="7"/>
      <c r="AL218" s="7"/>
      <c r="AM218" s="7"/>
      <c r="AN218" s="7"/>
      <c r="AO218" s="7"/>
      <c r="AP218" s="7"/>
      <c r="AQ218" s="114"/>
      <c r="AR218" s="4"/>
      <c r="AS218" s="10"/>
      <c r="AT218" s="7"/>
      <c r="AU218" s="336"/>
      <c r="AV218" s="7"/>
      <c r="AW218" s="7"/>
      <c r="AX218" s="7"/>
      <c r="AY218" s="7"/>
      <c r="AZ218" s="7"/>
      <c r="BA218" s="1430"/>
      <c r="BD218" s="4"/>
    </row>
    <row r="219" spans="1:56" s="238" customFormat="1" x14ac:dyDescent="0.25">
      <c r="B219" s="1431"/>
      <c r="C219" s="1432" t="s">
        <v>0</v>
      </c>
      <c r="D219" s="1430"/>
      <c r="E219" s="1430">
        <f>SUM(E208:E218)</f>
        <v>0</v>
      </c>
      <c r="F219" s="1430">
        <f>SUM(F208:F218)</f>
        <v>0</v>
      </c>
      <c r="G219" s="1430">
        <f>SUM(G208:G218)</f>
        <v>0</v>
      </c>
      <c r="H219" s="1430">
        <f>SUM(H208:H218)</f>
        <v>0</v>
      </c>
      <c r="I219" s="1430">
        <f>SUM(I208:I218)</f>
        <v>0</v>
      </c>
      <c r="J219" s="1430">
        <f t="shared" ref="J219" si="40">SUM(E219:I219)</f>
        <v>0</v>
      </c>
      <c r="M219" s="1431"/>
      <c r="N219" s="1432" t="s">
        <v>0</v>
      </c>
      <c r="O219" s="1430"/>
      <c r="P219" s="1430">
        <f t="shared" ref="P219:U219" si="41">SUM(P208:P218)</f>
        <v>0</v>
      </c>
      <c r="Q219" s="1430">
        <f t="shared" si="41"/>
        <v>0</v>
      </c>
      <c r="R219" s="1430">
        <f t="shared" si="41"/>
        <v>0</v>
      </c>
      <c r="S219" s="1430">
        <f t="shared" si="41"/>
        <v>0</v>
      </c>
      <c r="T219" s="1430">
        <f t="shared" si="41"/>
        <v>0</v>
      </c>
      <c r="U219" s="1430">
        <f t="shared" si="41"/>
        <v>0</v>
      </c>
      <c r="X219" s="1431"/>
      <c r="Y219" s="1432" t="s">
        <v>0</v>
      </c>
      <c r="Z219" s="1430"/>
      <c r="AA219" s="1430">
        <f>SUM(AA208:AA218)</f>
        <v>0</v>
      </c>
      <c r="AB219" s="1430">
        <f>SUM(AB208:AB218)</f>
        <v>0</v>
      </c>
      <c r="AC219" s="1430">
        <f>SUM(AC208:AC218)</f>
        <v>0</v>
      </c>
      <c r="AD219" s="1430">
        <f>SUM(AD208:AD218)</f>
        <v>0</v>
      </c>
      <c r="AE219" s="1430">
        <f>SUM(AE208:AE218)</f>
        <v>0</v>
      </c>
      <c r="AF219" s="1430">
        <f t="shared" ref="AF219" si="42">SUM(AA219:AE219)</f>
        <v>0</v>
      </c>
      <c r="AI219" s="1431"/>
      <c r="AJ219" s="1432" t="s">
        <v>0</v>
      </c>
      <c r="AK219" s="1430"/>
      <c r="AL219" s="1430">
        <f>SUM(AL208:AL218)</f>
        <v>0</v>
      </c>
      <c r="AM219" s="1430">
        <f>SUM(AM208:AM218)</f>
        <v>0</v>
      </c>
      <c r="AN219" s="1430">
        <f>SUM(AN208:AN218)</f>
        <v>0</v>
      </c>
      <c r="AO219" s="1430">
        <f>SUM(AO208:AO218)</f>
        <v>0</v>
      </c>
      <c r="AP219" s="1430">
        <f>SUM(AP208:AP218)</f>
        <v>0</v>
      </c>
      <c r="AQ219" s="1430">
        <f t="shared" ref="AQ219" si="43">SUM(AL219:AP219)</f>
        <v>0</v>
      </c>
      <c r="AS219" s="4046" t="s">
        <v>0</v>
      </c>
      <c r="AT219" s="4047"/>
      <c r="AU219" s="1430"/>
      <c r="AV219" s="1430">
        <f t="shared" ref="AV219:BA219" si="44">SUM(AV208:AV218)</f>
        <v>0</v>
      </c>
      <c r="AW219" s="1430">
        <f t="shared" si="44"/>
        <v>0</v>
      </c>
      <c r="AX219" s="1430">
        <f t="shared" si="44"/>
        <v>0</v>
      </c>
      <c r="AY219" s="1430">
        <f t="shared" si="44"/>
        <v>0</v>
      </c>
      <c r="AZ219" s="1430">
        <f t="shared" si="44"/>
        <v>0</v>
      </c>
      <c r="BA219" s="1430">
        <f t="shared" si="44"/>
        <v>0</v>
      </c>
    </row>
    <row r="220" spans="1:56" x14ac:dyDescent="0.3">
      <c r="A220" s="1"/>
      <c r="B220" s="1"/>
      <c r="C220" s="1"/>
      <c r="D220" s="1"/>
      <c r="E220" s="1"/>
      <c r="F220" s="1"/>
      <c r="G220" s="1"/>
      <c r="H220" s="1"/>
      <c r="I220" s="1"/>
      <c r="J220" s="1423"/>
      <c r="K220" s="1"/>
      <c r="AU220" s="1433"/>
      <c r="AV220" s="1"/>
      <c r="AW220" s="1"/>
      <c r="AX220" s="1"/>
      <c r="AY220" s="1"/>
      <c r="AZ220" s="1"/>
      <c r="BA220" s="1434"/>
    </row>
    <row r="221" spans="1:56" x14ac:dyDescent="0.3">
      <c r="A221" s="1"/>
      <c r="B221" s="1"/>
      <c r="C221" s="1"/>
      <c r="D221" s="1"/>
      <c r="E221" s="1"/>
      <c r="F221" s="1"/>
      <c r="G221" s="1"/>
      <c r="H221" s="1"/>
      <c r="I221" s="1"/>
      <c r="J221" s="1423"/>
      <c r="K221" s="1"/>
      <c r="AU221" s="1433"/>
      <c r="AV221" s="1"/>
      <c r="AW221" s="1"/>
      <c r="AX221" s="1"/>
      <c r="AY221" s="1"/>
      <c r="AZ221" s="1"/>
      <c r="BA221" s="1434"/>
    </row>
    <row r="222" spans="1:56" ht="15" customHeight="1" x14ac:dyDescent="0.3">
      <c r="A222" s="1"/>
      <c r="B222" s="4109" t="s">
        <v>279</v>
      </c>
      <c r="C222" s="4109"/>
      <c r="D222" s="4109"/>
      <c r="E222" s="4109"/>
      <c r="F222" s="4109"/>
      <c r="G222" s="4109"/>
      <c r="H222" s="4109"/>
      <c r="I222" s="4109"/>
      <c r="J222" s="4109"/>
      <c r="K222" s="1"/>
      <c r="M222" s="4109" t="s">
        <v>345</v>
      </c>
      <c r="N222" s="4109"/>
      <c r="O222" s="4109"/>
      <c r="P222" s="4109"/>
      <c r="Q222" s="4109"/>
      <c r="R222" s="4109"/>
      <c r="S222" s="4109"/>
      <c r="T222" s="4109"/>
      <c r="U222" s="4109"/>
      <c r="X222" s="4109" t="s">
        <v>350</v>
      </c>
      <c r="Y222" s="4109"/>
      <c r="Z222" s="4109"/>
      <c r="AA222" s="4109"/>
      <c r="AB222" s="4109"/>
      <c r="AC222" s="4109"/>
      <c r="AD222" s="4109"/>
      <c r="AE222" s="4109"/>
      <c r="AF222" s="4109"/>
      <c r="AI222" s="4109" t="s">
        <v>608</v>
      </c>
      <c r="AJ222" s="4109"/>
      <c r="AK222" s="4109"/>
      <c r="AL222" s="4109"/>
      <c r="AM222" s="4109"/>
      <c r="AN222" s="4109"/>
      <c r="AO222" s="4109"/>
      <c r="AP222" s="4109"/>
      <c r="AQ222" s="4109"/>
      <c r="AS222" s="4109" t="s">
        <v>3552</v>
      </c>
      <c r="AT222" s="4109"/>
      <c r="AU222" s="4109"/>
      <c r="AV222" s="4109"/>
      <c r="AW222" s="4109"/>
      <c r="AX222" s="4109"/>
      <c r="AY222" s="4109"/>
      <c r="AZ222" s="4109"/>
      <c r="BA222" s="4109"/>
    </row>
    <row r="223" spans="1:56" ht="33" x14ac:dyDescent="0.3">
      <c r="A223" s="1"/>
      <c r="B223" s="20" t="s">
        <v>62</v>
      </c>
      <c r="C223" s="20" t="s">
        <v>184</v>
      </c>
      <c r="D223" s="20" t="s">
        <v>161</v>
      </c>
      <c r="E223" s="63" t="s">
        <v>186</v>
      </c>
      <c r="F223" s="64"/>
      <c r="G223" s="64"/>
      <c r="H223" s="64"/>
      <c r="I223" s="65"/>
      <c r="J223" s="1418" t="s">
        <v>0</v>
      </c>
      <c r="K223" s="1"/>
      <c r="M223" s="20" t="s">
        <v>62</v>
      </c>
      <c r="N223" s="20" t="s">
        <v>184</v>
      </c>
      <c r="O223" s="20" t="s">
        <v>161</v>
      </c>
      <c r="P223" s="63" t="s">
        <v>186</v>
      </c>
      <c r="Q223" s="64"/>
      <c r="R223" s="64"/>
      <c r="S223" s="64"/>
      <c r="T223" s="65"/>
      <c r="U223" s="1418" t="s">
        <v>0</v>
      </c>
      <c r="X223" s="20" t="s">
        <v>62</v>
      </c>
      <c r="Y223" s="20" t="s">
        <v>184</v>
      </c>
      <c r="Z223" s="20" t="s">
        <v>161</v>
      </c>
      <c r="AA223" s="63" t="s">
        <v>186</v>
      </c>
      <c r="AB223" s="64"/>
      <c r="AC223" s="64"/>
      <c r="AD223" s="64"/>
      <c r="AE223" s="65"/>
      <c r="AF223" s="1418" t="s">
        <v>0</v>
      </c>
      <c r="AI223" s="20" t="s">
        <v>62</v>
      </c>
      <c r="AJ223" s="20" t="s">
        <v>184</v>
      </c>
      <c r="AK223" s="20" t="s">
        <v>161</v>
      </c>
      <c r="AL223" s="63" t="s">
        <v>186</v>
      </c>
      <c r="AM223" s="64"/>
      <c r="AN223" s="64"/>
      <c r="AO223" s="64"/>
      <c r="AP223" s="65"/>
      <c r="AQ223" s="1418" t="s">
        <v>0</v>
      </c>
      <c r="AS223" s="4111" t="s">
        <v>62</v>
      </c>
      <c r="AT223" s="4111" t="s">
        <v>184</v>
      </c>
      <c r="AU223" s="4111" t="s">
        <v>161</v>
      </c>
      <c r="AV223" s="4113" t="s">
        <v>186</v>
      </c>
      <c r="AW223" s="4114"/>
      <c r="AX223" s="4114"/>
      <c r="AY223" s="4114"/>
      <c r="AZ223" s="4115"/>
      <c r="BA223" s="4111" t="s">
        <v>0</v>
      </c>
    </row>
    <row r="224" spans="1:56" ht="33" x14ac:dyDescent="0.3">
      <c r="A224" s="1"/>
      <c r="B224" s="66"/>
      <c r="C224" s="66"/>
      <c r="D224" s="66"/>
      <c r="E224" s="20" t="s">
        <v>277</v>
      </c>
      <c r="F224" s="20" t="s">
        <v>272</v>
      </c>
      <c r="G224" s="20" t="s">
        <v>273</v>
      </c>
      <c r="H224" s="20" t="s">
        <v>274</v>
      </c>
      <c r="I224" s="20" t="s">
        <v>275</v>
      </c>
      <c r="J224" s="1420"/>
      <c r="K224" s="1"/>
      <c r="M224" s="66"/>
      <c r="N224" s="66"/>
      <c r="O224" s="66"/>
      <c r="P224" s="20" t="s">
        <v>277</v>
      </c>
      <c r="Q224" s="20" t="s">
        <v>272</v>
      </c>
      <c r="R224" s="20" t="s">
        <v>273</v>
      </c>
      <c r="S224" s="20" t="s">
        <v>274</v>
      </c>
      <c r="T224" s="20" t="s">
        <v>275</v>
      </c>
      <c r="U224" s="1420"/>
      <c r="X224" s="66"/>
      <c r="Y224" s="66"/>
      <c r="Z224" s="66"/>
      <c r="AA224" s="20" t="s">
        <v>277</v>
      </c>
      <c r="AB224" s="20" t="s">
        <v>272</v>
      </c>
      <c r="AC224" s="20" t="s">
        <v>273</v>
      </c>
      <c r="AD224" s="20" t="s">
        <v>274</v>
      </c>
      <c r="AE224" s="20" t="s">
        <v>275</v>
      </c>
      <c r="AF224" s="1420"/>
      <c r="AI224" s="66"/>
      <c r="AJ224" s="66"/>
      <c r="AK224" s="66"/>
      <c r="AL224" s="20" t="s">
        <v>277</v>
      </c>
      <c r="AM224" s="20" t="s">
        <v>272</v>
      </c>
      <c r="AN224" s="20" t="s">
        <v>273</v>
      </c>
      <c r="AO224" s="20" t="s">
        <v>274</v>
      </c>
      <c r="AP224" s="20" t="s">
        <v>275</v>
      </c>
      <c r="AQ224" s="1420"/>
      <c r="AS224" s="4116"/>
      <c r="AT224" s="4116"/>
      <c r="AU224" s="4116"/>
      <c r="AV224" s="20" t="s">
        <v>277</v>
      </c>
      <c r="AW224" s="20" t="s">
        <v>272</v>
      </c>
      <c r="AX224" s="20" t="s">
        <v>273</v>
      </c>
      <c r="AY224" s="20" t="s">
        <v>274</v>
      </c>
      <c r="AZ224" s="20" t="s">
        <v>275</v>
      </c>
      <c r="BA224" s="4116"/>
    </row>
    <row r="225" spans="1:56" x14ac:dyDescent="0.3">
      <c r="B225" s="10"/>
      <c r="C225" s="7"/>
      <c r="D225" s="7"/>
      <c r="E225" s="7"/>
      <c r="F225" s="7"/>
      <c r="G225" s="7"/>
      <c r="H225" s="7"/>
      <c r="I225" s="7"/>
      <c r="J225" s="1415"/>
      <c r="M225" s="10"/>
      <c r="N225" s="7"/>
      <c r="O225" s="7"/>
      <c r="P225" s="7"/>
      <c r="Q225" s="7"/>
      <c r="R225" s="7"/>
      <c r="S225" s="7"/>
      <c r="T225" s="7"/>
      <c r="U225" s="1415"/>
      <c r="V225" s="4"/>
      <c r="W225" s="4"/>
      <c r="X225" s="10"/>
      <c r="Y225" s="7"/>
      <c r="Z225" s="7"/>
      <c r="AA225" s="7"/>
      <c r="AB225" s="7"/>
      <c r="AC225" s="7"/>
      <c r="AD225" s="7"/>
      <c r="AE225" s="7"/>
      <c r="AF225" s="114"/>
      <c r="AG225" s="4"/>
      <c r="AH225" s="4"/>
      <c r="AI225" s="10"/>
      <c r="AJ225" s="7"/>
      <c r="AK225" s="7"/>
      <c r="AL225" s="7"/>
      <c r="AM225" s="7"/>
      <c r="AN225" s="7"/>
      <c r="AO225" s="7"/>
      <c r="AP225" s="7"/>
      <c r="AQ225" s="114"/>
      <c r="AR225" s="4"/>
      <c r="AS225" s="10"/>
      <c r="AT225" s="7"/>
      <c r="AU225" s="336"/>
      <c r="AV225" s="7"/>
      <c r="AW225" s="7"/>
      <c r="AX225" s="7"/>
      <c r="AY225" s="7"/>
      <c r="AZ225" s="7"/>
      <c r="BA225" s="1430"/>
      <c r="BD225" s="4"/>
    </row>
    <row r="226" spans="1:56" x14ac:dyDescent="0.3">
      <c r="B226" s="10"/>
      <c r="C226" s="7"/>
      <c r="D226" s="7"/>
      <c r="E226" s="7"/>
      <c r="F226" s="7"/>
      <c r="G226" s="7"/>
      <c r="H226" s="7"/>
      <c r="I226" s="7"/>
      <c r="J226" s="1415"/>
      <c r="M226" s="10"/>
      <c r="N226" s="7"/>
      <c r="O226" s="7"/>
      <c r="P226" s="7"/>
      <c r="Q226" s="7"/>
      <c r="R226" s="7"/>
      <c r="S226" s="7"/>
      <c r="T226" s="7"/>
      <c r="U226" s="1415"/>
      <c r="V226" s="4"/>
      <c r="W226" s="4"/>
      <c r="X226" s="10"/>
      <c r="Y226" s="7"/>
      <c r="Z226" s="7"/>
      <c r="AA226" s="7"/>
      <c r="AB226" s="7"/>
      <c r="AC226" s="7"/>
      <c r="AD226" s="7"/>
      <c r="AE226" s="7"/>
      <c r="AF226" s="114"/>
      <c r="AG226" s="4"/>
      <c r="AH226" s="4"/>
      <c r="AI226" s="10"/>
      <c r="AJ226" s="7"/>
      <c r="AK226" s="7"/>
      <c r="AL226" s="7"/>
      <c r="AM226" s="7"/>
      <c r="AN226" s="7"/>
      <c r="AO226" s="7"/>
      <c r="AP226" s="7"/>
      <c r="AQ226" s="114"/>
      <c r="AR226" s="4"/>
      <c r="AS226" s="10"/>
      <c r="AT226" s="7"/>
      <c r="AU226" s="336"/>
      <c r="AV226" s="7"/>
      <c r="AW226" s="7"/>
      <c r="AX226" s="7"/>
      <c r="AY226" s="7"/>
      <c r="AZ226" s="7"/>
      <c r="BA226" s="1430"/>
      <c r="BD226" s="4"/>
    </row>
    <row r="227" spans="1:56" x14ac:dyDescent="0.3">
      <c r="B227" s="336"/>
      <c r="C227" s="7"/>
      <c r="D227" s="7"/>
      <c r="E227" s="7"/>
      <c r="F227" s="7"/>
      <c r="G227" s="7"/>
      <c r="H227" s="7"/>
      <c r="I227" s="7"/>
      <c r="J227" s="1430"/>
      <c r="M227" s="336"/>
      <c r="N227" s="7"/>
      <c r="O227" s="7"/>
      <c r="P227" s="7"/>
      <c r="Q227" s="7"/>
      <c r="R227" s="7"/>
      <c r="S227" s="7"/>
      <c r="T227" s="7"/>
      <c r="U227" s="1430"/>
      <c r="V227" s="4"/>
      <c r="W227" s="4"/>
      <c r="X227" s="336"/>
      <c r="Y227" s="7"/>
      <c r="Z227" s="7"/>
      <c r="AA227" s="7"/>
      <c r="AB227" s="7"/>
      <c r="AC227" s="7"/>
      <c r="AD227" s="7"/>
      <c r="AE227" s="7"/>
      <c r="AF227" s="114"/>
      <c r="AG227" s="4"/>
      <c r="AH227" s="4"/>
      <c r="AI227" s="336"/>
      <c r="AJ227" s="7"/>
      <c r="AK227" s="7"/>
      <c r="AL227" s="7"/>
      <c r="AM227" s="7"/>
      <c r="AN227" s="7"/>
      <c r="AO227" s="7"/>
      <c r="AP227" s="7"/>
      <c r="AQ227" s="114"/>
      <c r="AR227" s="4"/>
      <c r="AS227" s="336"/>
      <c r="AT227" s="7"/>
      <c r="AU227" s="336"/>
      <c r="AV227" s="7"/>
      <c r="AW227" s="7"/>
      <c r="AX227" s="7"/>
      <c r="AY227" s="7"/>
      <c r="AZ227" s="7"/>
      <c r="BA227" s="1430"/>
      <c r="BD227" s="4"/>
    </row>
    <row r="228" spans="1:56" x14ac:dyDescent="0.3">
      <c r="B228" s="336"/>
      <c r="C228" s="7"/>
      <c r="D228" s="7"/>
      <c r="E228" s="7"/>
      <c r="F228" s="7"/>
      <c r="G228" s="7"/>
      <c r="H228" s="7"/>
      <c r="I228" s="7"/>
      <c r="J228" s="1430"/>
      <c r="M228" s="336"/>
      <c r="N228" s="7"/>
      <c r="O228" s="7"/>
      <c r="P228" s="7"/>
      <c r="Q228" s="7"/>
      <c r="R228" s="7"/>
      <c r="S228" s="7"/>
      <c r="T228" s="7"/>
      <c r="U228" s="1430"/>
      <c r="V228" s="4"/>
      <c r="W228" s="4"/>
      <c r="X228" s="336"/>
      <c r="Y228" s="7"/>
      <c r="Z228" s="7"/>
      <c r="AA228" s="7"/>
      <c r="AB228" s="7"/>
      <c r="AC228" s="7"/>
      <c r="AD228" s="7"/>
      <c r="AE228" s="7"/>
      <c r="AF228" s="114"/>
      <c r="AG228" s="4"/>
      <c r="AH228" s="4"/>
      <c r="AI228" s="336"/>
      <c r="AJ228" s="7"/>
      <c r="AK228" s="7"/>
      <c r="AL228" s="7"/>
      <c r="AM228" s="7"/>
      <c r="AN228" s="7"/>
      <c r="AO228" s="7"/>
      <c r="AP228" s="7"/>
      <c r="AQ228" s="114"/>
      <c r="AR228" s="4"/>
      <c r="AS228" s="336"/>
      <c r="AT228" s="7"/>
      <c r="AU228" s="336"/>
      <c r="AV228" s="7"/>
      <c r="AW228" s="7"/>
      <c r="AX228" s="7"/>
      <c r="AY228" s="7"/>
      <c r="AZ228" s="7"/>
      <c r="BA228" s="1430"/>
      <c r="BD228" s="4"/>
    </row>
    <row r="229" spans="1:56" x14ac:dyDescent="0.3">
      <c r="B229" s="336"/>
      <c r="C229" s="7"/>
      <c r="D229" s="7"/>
      <c r="E229" s="7"/>
      <c r="F229" s="7"/>
      <c r="G229" s="7"/>
      <c r="H229" s="7"/>
      <c r="I229" s="7"/>
      <c r="J229" s="1430"/>
      <c r="M229" s="336"/>
      <c r="N229" s="7"/>
      <c r="O229" s="7"/>
      <c r="P229" s="7"/>
      <c r="Q229" s="7"/>
      <c r="R229" s="7"/>
      <c r="S229" s="7"/>
      <c r="T229" s="7"/>
      <c r="U229" s="1430"/>
      <c r="V229" s="4"/>
      <c r="W229" s="4"/>
      <c r="X229" s="336"/>
      <c r="Y229" s="7"/>
      <c r="Z229" s="7"/>
      <c r="AA229" s="7"/>
      <c r="AB229" s="7"/>
      <c r="AC229" s="7"/>
      <c r="AD229" s="7"/>
      <c r="AE229" s="7"/>
      <c r="AF229" s="114"/>
      <c r="AG229" s="4"/>
      <c r="AH229" s="4"/>
      <c r="AI229" s="336"/>
      <c r="AJ229" s="7"/>
      <c r="AK229" s="7"/>
      <c r="AL229" s="7"/>
      <c r="AM229" s="7"/>
      <c r="AN229" s="7"/>
      <c r="AO229" s="7"/>
      <c r="AP229" s="7"/>
      <c r="AQ229" s="114"/>
      <c r="AR229" s="4"/>
      <c r="AS229" s="336"/>
      <c r="AT229" s="7"/>
      <c r="AU229" s="336"/>
      <c r="AV229" s="7"/>
      <c r="AW229" s="7"/>
      <c r="AX229" s="7"/>
      <c r="AY229" s="7"/>
      <c r="AZ229" s="7"/>
      <c r="BA229" s="1430"/>
      <c r="BD229" s="4"/>
    </row>
    <row r="230" spans="1:56" x14ac:dyDescent="0.3">
      <c r="B230" s="10"/>
      <c r="C230" s="7"/>
      <c r="D230" s="7"/>
      <c r="E230" s="7"/>
      <c r="F230" s="7"/>
      <c r="G230" s="7"/>
      <c r="H230" s="7"/>
      <c r="I230" s="7"/>
      <c r="J230" s="1415"/>
      <c r="M230" s="10"/>
      <c r="N230" s="7"/>
      <c r="O230" s="7"/>
      <c r="P230" s="7"/>
      <c r="Q230" s="7"/>
      <c r="R230" s="7"/>
      <c r="S230" s="7"/>
      <c r="T230" s="7"/>
      <c r="U230" s="1415"/>
      <c r="V230" s="4"/>
      <c r="W230" s="4"/>
      <c r="X230" s="10"/>
      <c r="Y230" s="7"/>
      <c r="Z230" s="7"/>
      <c r="AA230" s="7"/>
      <c r="AB230" s="7"/>
      <c r="AC230" s="7"/>
      <c r="AD230" s="7"/>
      <c r="AE230" s="7"/>
      <c r="AF230" s="114"/>
      <c r="AG230" s="4"/>
      <c r="AH230" s="4"/>
      <c r="AI230" s="10"/>
      <c r="AJ230" s="7"/>
      <c r="AK230" s="7"/>
      <c r="AL230" s="7"/>
      <c r="AM230" s="7"/>
      <c r="AN230" s="7"/>
      <c r="AO230" s="7"/>
      <c r="AP230" s="7"/>
      <c r="AQ230" s="114"/>
      <c r="AR230" s="4"/>
      <c r="AS230" s="336"/>
      <c r="AT230" s="7"/>
      <c r="AU230" s="336"/>
      <c r="AV230" s="7"/>
      <c r="AW230" s="7"/>
      <c r="AX230" s="7"/>
      <c r="AY230" s="7"/>
      <c r="AZ230" s="7"/>
      <c r="BA230" s="1430"/>
      <c r="BD230" s="4"/>
    </row>
    <row r="231" spans="1:56" x14ac:dyDescent="0.3">
      <c r="B231" s="10"/>
      <c r="C231" s="7"/>
      <c r="D231" s="7"/>
      <c r="E231" s="7"/>
      <c r="F231" s="7"/>
      <c r="G231" s="7"/>
      <c r="H231" s="7"/>
      <c r="I231" s="7"/>
      <c r="J231" s="1415"/>
      <c r="M231" s="10"/>
      <c r="N231" s="7"/>
      <c r="O231" s="7"/>
      <c r="P231" s="7"/>
      <c r="Q231" s="7"/>
      <c r="R231" s="7"/>
      <c r="S231" s="7"/>
      <c r="T231" s="7"/>
      <c r="U231" s="1415"/>
      <c r="V231" s="4"/>
      <c r="W231" s="4"/>
      <c r="X231" s="10"/>
      <c r="Y231" s="7"/>
      <c r="Z231" s="7"/>
      <c r="AA231" s="7"/>
      <c r="AB231" s="7"/>
      <c r="AC231" s="7"/>
      <c r="AD231" s="7"/>
      <c r="AE231" s="7"/>
      <c r="AF231" s="114"/>
      <c r="AG231" s="4"/>
      <c r="AH231" s="4"/>
      <c r="AI231" s="10"/>
      <c r="AJ231" s="7"/>
      <c r="AK231" s="7"/>
      <c r="AL231" s="7"/>
      <c r="AM231" s="7"/>
      <c r="AN231" s="7"/>
      <c r="AO231" s="7"/>
      <c r="AP231" s="7"/>
      <c r="AQ231" s="114"/>
      <c r="AR231" s="4"/>
      <c r="AS231" s="336"/>
      <c r="AT231" s="7"/>
      <c r="AU231" s="336"/>
      <c r="AV231" s="7"/>
      <c r="AW231" s="7"/>
      <c r="AX231" s="7"/>
      <c r="AY231" s="7"/>
      <c r="AZ231" s="7"/>
      <c r="BA231" s="1430"/>
      <c r="BD231" s="4"/>
    </row>
    <row r="232" spans="1:56" x14ac:dyDescent="0.3">
      <c r="B232" s="10"/>
      <c r="C232" s="7"/>
      <c r="D232" s="7"/>
      <c r="E232" s="7"/>
      <c r="F232" s="7"/>
      <c r="G232" s="7"/>
      <c r="H232" s="7"/>
      <c r="I232" s="7"/>
      <c r="J232" s="1415"/>
      <c r="M232" s="10"/>
      <c r="N232" s="7"/>
      <c r="O232" s="7"/>
      <c r="P232" s="7"/>
      <c r="Q232" s="7"/>
      <c r="R232" s="7"/>
      <c r="S232" s="7"/>
      <c r="T232" s="7"/>
      <c r="U232" s="1415"/>
      <c r="V232" s="4"/>
      <c r="W232" s="4"/>
      <c r="X232" s="10"/>
      <c r="Y232" s="7"/>
      <c r="Z232" s="7"/>
      <c r="AA232" s="7"/>
      <c r="AB232" s="7"/>
      <c r="AC232" s="7"/>
      <c r="AD232" s="7"/>
      <c r="AE232" s="7"/>
      <c r="AF232" s="114"/>
      <c r="AG232" s="4"/>
      <c r="AH232" s="4"/>
      <c r="AI232" s="10"/>
      <c r="AJ232" s="7"/>
      <c r="AK232" s="7"/>
      <c r="AL232" s="7"/>
      <c r="AM232" s="7"/>
      <c r="AN232" s="7"/>
      <c r="AO232" s="7"/>
      <c r="AP232" s="7"/>
      <c r="AQ232" s="114"/>
      <c r="AR232" s="4"/>
      <c r="AS232" s="336"/>
      <c r="AT232" s="7"/>
      <c r="AU232" s="336"/>
      <c r="AV232" s="7"/>
      <c r="AW232" s="7"/>
      <c r="AX232" s="7"/>
      <c r="AY232" s="7"/>
      <c r="AZ232" s="7"/>
      <c r="BA232" s="1430"/>
      <c r="BD232" s="4"/>
    </row>
    <row r="233" spans="1:56" x14ac:dyDescent="0.3">
      <c r="B233" s="336"/>
      <c r="C233" s="7"/>
      <c r="D233" s="7"/>
      <c r="E233" s="7"/>
      <c r="F233" s="7"/>
      <c r="G233" s="7"/>
      <c r="H233" s="7"/>
      <c r="I233" s="7"/>
      <c r="J233" s="1430"/>
      <c r="M233" s="336"/>
      <c r="N233" s="7"/>
      <c r="O233" s="7"/>
      <c r="P233" s="7"/>
      <c r="Q233" s="7"/>
      <c r="R233" s="7"/>
      <c r="S233" s="7"/>
      <c r="T233" s="7"/>
      <c r="U233" s="1430"/>
      <c r="V233" s="4"/>
      <c r="W233" s="4"/>
      <c r="X233" s="336"/>
      <c r="Y233" s="7"/>
      <c r="Z233" s="7"/>
      <c r="AA233" s="7"/>
      <c r="AB233" s="7"/>
      <c r="AC233" s="7"/>
      <c r="AD233" s="7"/>
      <c r="AE233" s="7"/>
      <c r="AF233" s="114"/>
      <c r="AG233" s="4"/>
      <c r="AH233" s="4"/>
      <c r="AI233" s="336"/>
      <c r="AJ233" s="7"/>
      <c r="AK233" s="7"/>
      <c r="AL233" s="7"/>
      <c r="AM233" s="7"/>
      <c r="AN233" s="7"/>
      <c r="AO233" s="7"/>
      <c r="AP233" s="7"/>
      <c r="AQ233" s="114"/>
      <c r="AR233" s="4"/>
      <c r="AS233" s="336"/>
      <c r="AT233" s="7"/>
      <c r="AU233" s="336"/>
      <c r="AV233" s="7"/>
      <c r="AW233" s="7"/>
      <c r="AX233" s="7"/>
      <c r="AY233" s="7"/>
      <c r="AZ233" s="7"/>
      <c r="BA233" s="1430"/>
      <c r="BD233" s="4"/>
    </row>
    <row r="234" spans="1:56" x14ac:dyDescent="0.3">
      <c r="B234" s="10"/>
      <c r="C234" s="7"/>
      <c r="D234" s="7"/>
      <c r="E234" s="7"/>
      <c r="F234" s="7"/>
      <c r="G234" s="7"/>
      <c r="H234" s="7"/>
      <c r="I234" s="7"/>
      <c r="J234" s="1415"/>
      <c r="M234" s="10"/>
      <c r="N234" s="7"/>
      <c r="O234" s="7"/>
      <c r="P234" s="7"/>
      <c r="Q234" s="7"/>
      <c r="R234" s="7"/>
      <c r="S234" s="7"/>
      <c r="T234" s="7"/>
      <c r="U234" s="1415"/>
      <c r="V234" s="4"/>
      <c r="W234" s="4"/>
      <c r="X234" s="10"/>
      <c r="Y234" s="7"/>
      <c r="Z234" s="7"/>
      <c r="AA234" s="7"/>
      <c r="AB234" s="7"/>
      <c r="AC234" s="7"/>
      <c r="AD234" s="7"/>
      <c r="AE234" s="7"/>
      <c r="AF234" s="114"/>
      <c r="AG234" s="4"/>
      <c r="AH234" s="4"/>
      <c r="AI234" s="10"/>
      <c r="AJ234" s="7"/>
      <c r="AK234" s="7"/>
      <c r="AL234" s="7"/>
      <c r="AM234" s="7"/>
      <c r="AN234" s="7"/>
      <c r="AO234" s="7"/>
      <c r="AP234" s="7"/>
      <c r="AQ234" s="114"/>
      <c r="AR234" s="4"/>
      <c r="AS234" s="336"/>
      <c r="AT234"/>
      <c r="AU234" s="239"/>
      <c r="AV234" s="7"/>
      <c r="AW234" s="7"/>
      <c r="AX234" s="7"/>
      <c r="AY234" s="7"/>
      <c r="AZ234" s="7"/>
      <c r="BA234" s="1430"/>
      <c r="BD234" s="4"/>
    </row>
    <row r="235" spans="1:56" x14ac:dyDescent="0.3">
      <c r="B235" s="10"/>
      <c r="C235" s="7"/>
      <c r="D235" s="7"/>
      <c r="E235" s="7"/>
      <c r="F235" s="7"/>
      <c r="G235" s="7"/>
      <c r="H235" s="7"/>
      <c r="I235" s="7"/>
      <c r="J235" s="1415"/>
      <c r="M235" s="10"/>
      <c r="N235" s="7"/>
      <c r="O235" s="7"/>
      <c r="P235" s="7"/>
      <c r="Q235" s="7"/>
      <c r="R235" s="7"/>
      <c r="S235" s="7"/>
      <c r="T235" s="7"/>
      <c r="U235" s="1415"/>
      <c r="V235" s="4"/>
      <c r="W235" s="4"/>
      <c r="X235" s="10"/>
      <c r="Y235" s="7"/>
      <c r="Z235" s="7"/>
      <c r="AA235" s="7"/>
      <c r="AB235" s="7"/>
      <c r="AC235" s="7"/>
      <c r="AD235" s="7"/>
      <c r="AE235" s="7"/>
      <c r="AF235" s="114"/>
      <c r="AG235" s="4"/>
      <c r="AH235" s="4"/>
      <c r="AI235" s="10"/>
      <c r="AJ235" s="7"/>
      <c r="AK235" s="7"/>
      <c r="AL235" s="7"/>
      <c r="AM235" s="7"/>
      <c r="AN235" s="7"/>
      <c r="AO235" s="7"/>
      <c r="AP235" s="7"/>
      <c r="AQ235" s="114"/>
      <c r="AR235" s="4"/>
      <c r="AS235" s="336"/>
      <c r="AT235" s="7"/>
      <c r="AU235" s="336"/>
      <c r="AV235" s="7"/>
      <c r="AW235" s="7"/>
      <c r="AX235" s="7"/>
      <c r="AY235" s="7"/>
      <c r="AZ235" s="7"/>
      <c r="BA235" s="1430"/>
      <c r="BD235" s="4"/>
    </row>
    <row r="236" spans="1:56" s="238" customFormat="1" x14ac:dyDescent="0.25">
      <c r="B236" s="1416"/>
      <c r="C236" s="1417" t="s">
        <v>0</v>
      </c>
      <c r="D236" s="1415"/>
      <c r="E236" s="1415">
        <f>SUM(E225:E235)</f>
        <v>0</v>
      </c>
      <c r="F236" s="1415">
        <f>SUM(F225:F235)</f>
        <v>0</v>
      </c>
      <c r="G236" s="1415">
        <f>SUM(G225:G235)</f>
        <v>0</v>
      </c>
      <c r="H236" s="1415">
        <f>SUM(H225:H235)</f>
        <v>0</v>
      </c>
      <c r="I236" s="1415">
        <f>SUM(I225:I235)</f>
        <v>0</v>
      </c>
      <c r="J236" s="1415">
        <f t="shared" ref="J236" si="45">SUM(E236:I236)</f>
        <v>0</v>
      </c>
      <c r="M236" s="1416"/>
      <c r="N236" s="1417" t="s">
        <v>0</v>
      </c>
      <c r="O236" s="1415"/>
      <c r="P236" s="1415">
        <f t="shared" ref="P236:U236" si="46">SUM(P225:P235)</f>
        <v>0</v>
      </c>
      <c r="Q236" s="1415">
        <f t="shared" si="46"/>
        <v>0</v>
      </c>
      <c r="R236" s="1415">
        <f t="shared" si="46"/>
        <v>0</v>
      </c>
      <c r="S236" s="1415">
        <f t="shared" si="46"/>
        <v>0</v>
      </c>
      <c r="T236" s="1415">
        <f t="shared" si="46"/>
        <v>0</v>
      </c>
      <c r="U236" s="1415">
        <f t="shared" si="46"/>
        <v>0</v>
      </c>
      <c r="X236" s="1416"/>
      <c r="Y236" s="1417"/>
      <c r="Z236" s="1415"/>
      <c r="AA236" s="1415">
        <f>SUM(AA225:AA235)</f>
        <v>0</v>
      </c>
      <c r="AB236" s="1415">
        <f>SUM(AB225:AB235)</f>
        <v>0</v>
      </c>
      <c r="AC236" s="1415">
        <f>SUM(AC225:AC235)</f>
        <v>0</v>
      </c>
      <c r="AD236" s="1415">
        <f>SUM(AD225:AD235)</f>
        <v>0</v>
      </c>
      <c r="AE236" s="1415">
        <f>SUM(AE225:AE235)</f>
        <v>0</v>
      </c>
      <c r="AF236" s="1415">
        <f t="shared" ref="AF236" si="47">SUM(AA236:AE236)</f>
        <v>0</v>
      </c>
      <c r="AI236" s="1416"/>
      <c r="AJ236" s="1417"/>
      <c r="AK236" s="1415"/>
      <c r="AL236" s="1415">
        <f>SUM(AL225:AL235)</f>
        <v>0</v>
      </c>
      <c r="AM236" s="1415">
        <f>SUM(AM225:AM235)</f>
        <v>0</v>
      </c>
      <c r="AN236" s="1415">
        <f>SUM(AN225:AN235)</f>
        <v>0</v>
      </c>
      <c r="AO236" s="1415">
        <f>SUM(AO225:AO235)</f>
        <v>0</v>
      </c>
      <c r="AP236" s="1415">
        <f>SUM(AP225:AP235)</f>
        <v>0</v>
      </c>
      <c r="AQ236" s="1415">
        <f t="shared" ref="AQ236" si="48">SUM(AL236:AP236)</f>
        <v>0</v>
      </c>
      <c r="AR236" s="344"/>
      <c r="AS236" s="4046"/>
      <c r="AT236" s="4047"/>
      <c r="AU236" s="1430"/>
      <c r="AV236" s="1415">
        <f>SUM(AV225:AV235)</f>
        <v>0</v>
      </c>
      <c r="AW236" s="1415">
        <f>SUM(AW225:AW235)</f>
        <v>0</v>
      </c>
      <c r="AX236" s="1415">
        <f>SUM(AX225:AX235)</f>
        <v>0</v>
      </c>
      <c r="AY236" s="1415">
        <f>SUM(AY225:AY235)</f>
        <v>0</v>
      </c>
      <c r="AZ236" s="1415">
        <f>SUM(AZ225:AZ235)</f>
        <v>0</v>
      </c>
      <c r="BA236" s="1430">
        <f t="shared" ref="BA236" si="49">SUM(AV236:AZ236)</f>
        <v>0</v>
      </c>
    </row>
    <row r="237" spans="1:56" x14ac:dyDescent="0.3">
      <c r="M237" s="4"/>
      <c r="N237" s="4"/>
      <c r="O237" s="4"/>
      <c r="P237" s="4"/>
      <c r="Q237" s="4"/>
      <c r="R237" s="4"/>
      <c r="S237" s="4"/>
      <c r="T237" s="4"/>
      <c r="U237" s="238"/>
      <c r="V237" s="4"/>
      <c r="W237" s="4"/>
      <c r="X237" s="4"/>
      <c r="Y237" s="4"/>
      <c r="Z237" s="4"/>
      <c r="AA237" s="4"/>
      <c r="AB237" s="4"/>
      <c r="AC237" s="4"/>
      <c r="AD237" s="4"/>
      <c r="AE237" s="4"/>
      <c r="AF237" s="6"/>
      <c r="AG237" s="4"/>
      <c r="AH237" s="4"/>
      <c r="AI237" s="4"/>
      <c r="AJ237" s="4"/>
      <c r="AK237" s="4"/>
      <c r="AL237" s="4"/>
      <c r="AM237" s="4"/>
      <c r="AN237" s="4"/>
      <c r="AO237" s="4"/>
      <c r="AP237" s="4"/>
      <c r="AQ237" s="6"/>
      <c r="AR237" s="4"/>
      <c r="AS237" s="4"/>
      <c r="AT237" s="4"/>
      <c r="BD237" s="4"/>
    </row>
    <row r="238" spans="1:56" x14ac:dyDescent="0.3">
      <c r="M238" s="4"/>
      <c r="N238" s="4"/>
      <c r="O238" s="4"/>
      <c r="P238" s="4"/>
      <c r="Q238" s="4"/>
      <c r="R238" s="4"/>
      <c r="S238" s="4"/>
      <c r="T238" s="4"/>
      <c r="U238" s="238"/>
      <c r="V238" s="4"/>
      <c r="W238" s="4"/>
      <c r="X238" s="4"/>
      <c r="Y238" s="4"/>
      <c r="Z238" s="4"/>
      <c r="AA238" s="4"/>
      <c r="AB238" s="4"/>
      <c r="AC238" s="4"/>
      <c r="AD238" s="4"/>
      <c r="AE238" s="4"/>
      <c r="AF238" s="6"/>
      <c r="AG238" s="4"/>
      <c r="AH238" s="4"/>
      <c r="AI238" s="4"/>
      <c r="AJ238" s="4"/>
      <c r="AK238" s="4"/>
      <c r="AL238" s="4"/>
      <c r="AM238" s="4"/>
      <c r="AN238" s="4"/>
      <c r="AO238" s="4"/>
      <c r="AP238" s="4"/>
      <c r="AQ238" s="6"/>
      <c r="AR238" s="4"/>
      <c r="AS238" s="4"/>
      <c r="AT238" s="4"/>
      <c r="BD238" s="4"/>
    </row>
    <row r="239" spans="1:56" x14ac:dyDescent="0.3">
      <c r="A239" s="1"/>
      <c r="B239" s="67"/>
      <c r="C239" s="4109" t="s">
        <v>278</v>
      </c>
      <c r="D239" s="4109"/>
      <c r="E239" s="4109"/>
      <c r="F239" s="4109"/>
      <c r="G239" s="4109"/>
      <c r="H239" s="4109"/>
      <c r="I239" s="4109"/>
      <c r="J239" s="4109"/>
      <c r="K239" s="1"/>
      <c r="M239" s="4109" t="s">
        <v>346</v>
      </c>
      <c r="N239" s="4109"/>
      <c r="O239" s="4109"/>
      <c r="P239" s="4109"/>
      <c r="Q239" s="4109"/>
      <c r="R239" s="4109"/>
      <c r="S239" s="4109"/>
      <c r="T239" s="4109"/>
      <c r="U239" s="4109"/>
      <c r="X239" s="4109" t="s">
        <v>351</v>
      </c>
      <c r="Y239" s="4109"/>
      <c r="Z239" s="4109"/>
      <c r="AA239" s="4109"/>
      <c r="AB239" s="4109"/>
      <c r="AC239" s="4109"/>
      <c r="AD239" s="4109"/>
      <c r="AE239" s="4109"/>
      <c r="AF239" s="4109"/>
      <c r="AI239" s="4109" t="s">
        <v>609</v>
      </c>
      <c r="AJ239" s="4109"/>
      <c r="AK239" s="4109"/>
      <c r="AL239" s="4109"/>
      <c r="AM239" s="4109"/>
      <c r="AN239" s="4109"/>
      <c r="AO239" s="4109"/>
      <c r="AP239" s="4109"/>
      <c r="AQ239" s="4109"/>
      <c r="AS239" s="4109" t="s">
        <v>3553</v>
      </c>
      <c r="AT239" s="4109"/>
      <c r="AU239" s="4109"/>
      <c r="AV239" s="4109"/>
      <c r="AW239" s="4109"/>
      <c r="AX239" s="4109"/>
      <c r="AY239" s="4109"/>
      <c r="AZ239" s="4109"/>
      <c r="BA239" s="4109"/>
    </row>
    <row r="240" spans="1:56" ht="33" x14ac:dyDescent="0.3">
      <c r="A240" s="1"/>
      <c r="B240" s="20" t="s">
        <v>62</v>
      </c>
      <c r="C240" s="20" t="s">
        <v>184</v>
      </c>
      <c r="D240" s="20" t="s">
        <v>161</v>
      </c>
      <c r="E240" s="63" t="s">
        <v>186</v>
      </c>
      <c r="F240" s="64"/>
      <c r="G240" s="64"/>
      <c r="H240" s="64"/>
      <c r="I240" s="65"/>
      <c r="J240" s="1418" t="s">
        <v>0</v>
      </c>
      <c r="K240" s="1"/>
      <c r="M240" s="20" t="s">
        <v>62</v>
      </c>
      <c r="N240" s="20" t="s">
        <v>184</v>
      </c>
      <c r="O240" s="20" t="s">
        <v>161</v>
      </c>
      <c r="P240" s="63" t="s">
        <v>186</v>
      </c>
      <c r="Q240" s="64"/>
      <c r="R240" s="64"/>
      <c r="S240" s="64"/>
      <c r="T240" s="65"/>
      <c r="U240" s="1418" t="s">
        <v>0</v>
      </c>
      <c r="X240" s="20" t="s">
        <v>62</v>
      </c>
      <c r="Y240" s="20" t="s">
        <v>184</v>
      </c>
      <c r="Z240" s="20" t="s">
        <v>161</v>
      </c>
      <c r="AA240" s="63" t="s">
        <v>186</v>
      </c>
      <c r="AB240" s="64"/>
      <c r="AC240" s="64"/>
      <c r="AD240" s="64"/>
      <c r="AE240" s="65"/>
      <c r="AF240" s="1418" t="s">
        <v>0</v>
      </c>
      <c r="AI240" s="20" t="s">
        <v>62</v>
      </c>
      <c r="AJ240" s="20" t="s">
        <v>184</v>
      </c>
      <c r="AK240" s="20" t="s">
        <v>161</v>
      </c>
      <c r="AL240" s="63" t="s">
        <v>186</v>
      </c>
      <c r="AM240" s="64"/>
      <c r="AN240" s="64"/>
      <c r="AO240" s="64"/>
      <c r="AP240" s="65"/>
      <c r="AQ240" s="1418" t="s">
        <v>0</v>
      </c>
      <c r="AS240" s="4111" t="s">
        <v>62</v>
      </c>
      <c r="AT240" s="4111" t="s">
        <v>184</v>
      </c>
      <c r="AU240" s="4111" t="s">
        <v>161</v>
      </c>
      <c r="AV240" s="4113" t="s">
        <v>186</v>
      </c>
      <c r="AW240" s="4114"/>
      <c r="AX240" s="4114"/>
      <c r="AY240" s="4114"/>
      <c r="AZ240" s="4115"/>
      <c r="BA240" s="4111" t="s">
        <v>0</v>
      </c>
    </row>
    <row r="241" spans="1:53" ht="33" x14ac:dyDescent="0.3">
      <c r="A241" s="1"/>
      <c r="B241" s="66"/>
      <c r="C241" s="66"/>
      <c r="D241" s="66"/>
      <c r="E241" s="20" t="s">
        <v>277</v>
      </c>
      <c r="F241" s="20" t="s">
        <v>272</v>
      </c>
      <c r="G241" s="20" t="s">
        <v>273</v>
      </c>
      <c r="H241" s="20" t="s">
        <v>274</v>
      </c>
      <c r="I241" s="20" t="s">
        <v>275</v>
      </c>
      <c r="J241" s="1420"/>
      <c r="K241" s="1"/>
      <c r="M241" s="66"/>
      <c r="N241" s="66"/>
      <c r="O241" s="66"/>
      <c r="P241" s="20" t="s">
        <v>277</v>
      </c>
      <c r="Q241" s="20" t="s">
        <v>272</v>
      </c>
      <c r="R241" s="20" t="s">
        <v>273</v>
      </c>
      <c r="S241" s="20" t="s">
        <v>274</v>
      </c>
      <c r="T241" s="20" t="s">
        <v>275</v>
      </c>
      <c r="U241" s="1420"/>
      <c r="X241" s="66"/>
      <c r="Y241" s="66"/>
      <c r="Z241" s="66"/>
      <c r="AA241" s="20" t="s">
        <v>277</v>
      </c>
      <c r="AB241" s="20" t="s">
        <v>272</v>
      </c>
      <c r="AC241" s="20" t="s">
        <v>273</v>
      </c>
      <c r="AD241" s="20" t="s">
        <v>274</v>
      </c>
      <c r="AE241" s="20" t="s">
        <v>275</v>
      </c>
      <c r="AF241" s="1420"/>
      <c r="AI241" s="66"/>
      <c r="AJ241" s="66"/>
      <c r="AK241" s="66"/>
      <c r="AL241" s="20" t="s">
        <v>277</v>
      </c>
      <c r="AM241" s="20" t="s">
        <v>272</v>
      </c>
      <c r="AN241" s="20" t="s">
        <v>273</v>
      </c>
      <c r="AO241" s="20" t="s">
        <v>274</v>
      </c>
      <c r="AP241" s="20" t="s">
        <v>275</v>
      </c>
      <c r="AQ241" s="1420"/>
      <c r="AS241" s="4116"/>
      <c r="AT241" s="4116"/>
      <c r="AU241" s="4116"/>
      <c r="AV241" s="20" t="s">
        <v>277</v>
      </c>
      <c r="AW241" s="20" t="s">
        <v>272</v>
      </c>
      <c r="AX241" s="20" t="s">
        <v>273</v>
      </c>
      <c r="AY241" s="20" t="s">
        <v>274</v>
      </c>
      <c r="AZ241" s="20" t="s">
        <v>275</v>
      </c>
      <c r="BA241" s="4116"/>
    </row>
    <row r="242" spans="1:53" x14ac:dyDescent="0.3">
      <c r="A242" s="1"/>
      <c r="B242" s="77"/>
      <c r="C242" s="76"/>
      <c r="D242" s="76"/>
      <c r="E242" s="76"/>
      <c r="F242" s="76"/>
      <c r="G242" s="76"/>
      <c r="H242" s="76"/>
      <c r="I242" s="76"/>
      <c r="J242" s="1425"/>
      <c r="K242" s="1"/>
      <c r="M242" s="77"/>
      <c r="N242" s="76"/>
      <c r="O242" s="76"/>
      <c r="P242" s="76"/>
      <c r="Q242" s="76"/>
      <c r="R242" s="76"/>
      <c r="S242" s="76"/>
      <c r="T242" s="76"/>
      <c r="U242" s="1425"/>
      <c r="X242" s="77"/>
      <c r="Y242" s="76"/>
      <c r="Z242" s="76"/>
      <c r="AA242" s="76"/>
      <c r="AB242" s="76"/>
      <c r="AC242" s="76"/>
      <c r="AD242" s="76"/>
      <c r="AE242" s="76"/>
      <c r="AF242" s="1428"/>
      <c r="AI242" s="77"/>
      <c r="AJ242" s="76"/>
      <c r="AK242" s="76"/>
      <c r="AL242" s="76"/>
      <c r="AM242" s="76"/>
      <c r="AN242" s="76"/>
      <c r="AO242" s="76"/>
      <c r="AP242" s="76"/>
      <c r="AQ242" s="1428"/>
      <c r="AS242" s="77"/>
      <c r="AT242" s="76"/>
      <c r="AU242" s="77"/>
      <c r="AV242" s="76"/>
      <c r="AW242" s="76"/>
      <c r="AX242" s="76"/>
      <c r="AY242" s="76"/>
      <c r="AZ242" s="76"/>
      <c r="BA242" s="1425"/>
    </row>
    <row r="243" spans="1:53" x14ac:dyDescent="0.3">
      <c r="A243" s="1"/>
      <c r="B243" s="77"/>
      <c r="C243" s="76"/>
      <c r="D243" s="76"/>
      <c r="E243" s="76"/>
      <c r="F243" s="76"/>
      <c r="G243" s="76"/>
      <c r="H243" s="76"/>
      <c r="I243" s="76"/>
      <c r="J243" s="1425"/>
      <c r="K243" s="1"/>
      <c r="M243" s="77"/>
      <c r="N243" s="76"/>
      <c r="O243" s="76"/>
      <c r="P243" s="76"/>
      <c r="Q243" s="76"/>
      <c r="R243" s="76"/>
      <c r="S243" s="76"/>
      <c r="T243" s="76"/>
      <c r="U243" s="1425"/>
      <c r="X243" s="77"/>
      <c r="Y243" s="76"/>
      <c r="Z243" s="76"/>
      <c r="AA243" s="76"/>
      <c r="AB243" s="76"/>
      <c r="AC243" s="76"/>
      <c r="AD243" s="76"/>
      <c r="AE243" s="76"/>
      <c r="AF243" s="1428"/>
      <c r="AI243" s="77"/>
      <c r="AJ243" s="76"/>
      <c r="AK243" s="76"/>
      <c r="AL243" s="76"/>
      <c r="AM243" s="76"/>
      <c r="AN243" s="76"/>
      <c r="AO243" s="76"/>
      <c r="AP243" s="76"/>
      <c r="AQ243" s="1428"/>
      <c r="AS243" s="77"/>
      <c r="AT243" s="76"/>
      <c r="AU243" s="77"/>
      <c r="AV243" s="76"/>
      <c r="AW243" s="76"/>
      <c r="AX243" s="76"/>
      <c r="AY243" s="76"/>
      <c r="AZ243" s="76"/>
      <c r="BA243" s="1425"/>
    </row>
    <row r="244" spans="1:53" ht="15" customHeight="1" x14ac:dyDescent="0.3">
      <c r="A244" s="1"/>
      <c r="B244" s="77"/>
      <c r="C244" s="76"/>
      <c r="D244" s="76"/>
      <c r="E244" s="76"/>
      <c r="F244" s="76"/>
      <c r="G244" s="76"/>
      <c r="H244" s="76"/>
      <c r="I244" s="76"/>
      <c r="J244" s="1425"/>
      <c r="K244" s="1"/>
      <c r="M244" s="77"/>
      <c r="N244" s="76"/>
      <c r="O244" s="76"/>
      <c r="P244" s="76"/>
      <c r="Q244" s="76"/>
      <c r="R244" s="76"/>
      <c r="S244" s="76"/>
      <c r="T244" s="76"/>
      <c r="U244" s="1425"/>
      <c r="X244" s="77"/>
      <c r="Y244" s="76"/>
      <c r="Z244" s="76"/>
      <c r="AA244" s="76"/>
      <c r="AB244" s="76"/>
      <c r="AC244" s="76"/>
      <c r="AD244" s="76"/>
      <c r="AE244" s="76"/>
      <c r="AF244" s="1428"/>
      <c r="AI244" s="77"/>
      <c r="AJ244" s="76"/>
      <c r="AK244" s="76"/>
      <c r="AL244" s="76"/>
      <c r="AM244" s="76"/>
      <c r="AN244" s="76"/>
      <c r="AO244" s="76"/>
      <c r="AP244" s="76"/>
      <c r="AQ244" s="1428"/>
      <c r="AS244" s="77"/>
      <c r="AT244" s="76"/>
      <c r="AU244" s="77"/>
      <c r="AV244" s="76"/>
      <c r="AW244" s="76"/>
      <c r="AX244" s="76"/>
      <c r="AY244" s="76"/>
      <c r="AZ244" s="76"/>
      <c r="BA244" s="1425"/>
    </row>
    <row r="245" spans="1:53" x14ac:dyDescent="0.3">
      <c r="A245" s="1"/>
      <c r="B245" s="77"/>
      <c r="C245" s="76"/>
      <c r="D245" s="76"/>
      <c r="E245" s="76"/>
      <c r="F245" s="76"/>
      <c r="G245" s="76"/>
      <c r="H245" s="76"/>
      <c r="I245" s="76"/>
      <c r="J245" s="1425"/>
      <c r="K245" s="1"/>
      <c r="M245" s="77"/>
      <c r="N245" s="76"/>
      <c r="O245" s="76"/>
      <c r="P245" s="76"/>
      <c r="Q245" s="76"/>
      <c r="R245" s="76"/>
      <c r="S245" s="76"/>
      <c r="T245" s="76"/>
      <c r="U245" s="1425"/>
      <c r="X245" s="77"/>
      <c r="Y245" s="76"/>
      <c r="Z245" s="76"/>
      <c r="AA245" s="76"/>
      <c r="AB245" s="76"/>
      <c r="AC245" s="76"/>
      <c r="AD245" s="76"/>
      <c r="AE245" s="76"/>
      <c r="AF245" s="1428"/>
      <c r="AI245" s="77"/>
      <c r="AJ245" s="76"/>
      <c r="AK245" s="76"/>
      <c r="AL245" s="76"/>
      <c r="AM245" s="76"/>
      <c r="AN245" s="76"/>
      <c r="AO245" s="76"/>
      <c r="AP245" s="76"/>
      <c r="AQ245" s="1428"/>
      <c r="AS245" s="77"/>
      <c r="AT245" s="76"/>
      <c r="AU245" s="77"/>
      <c r="AV245" s="76"/>
      <c r="AW245" s="76"/>
      <c r="AX245" s="76"/>
      <c r="AY245" s="76"/>
      <c r="AZ245" s="76"/>
      <c r="BA245" s="1425"/>
    </row>
    <row r="246" spans="1:53" x14ac:dyDescent="0.3">
      <c r="A246" s="1"/>
      <c r="B246" s="77"/>
      <c r="C246" s="76"/>
      <c r="D246" s="76"/>
      <c r="E246" s="76"/>
      <c r="F246" s="76"/>
      <c r="G246" s="76"/>
      <c r="H246" s="76"/>
      <c r="I246" s="76"/>
      <c r="J246" s="1425"/>
      <c r="K246" s="1"/>
      <c r="M246" s="77"/>
      <c r="N246" s="76"/>
      <c r="O246" s="76"/>
      <c r="P246" s="76"/>
      <c r="Q246" s="76"/>
      <c r="R246" s="76"/>
      <c r="S246" s="76"/>
      <c r="T246" s="76"/>
      <c r="U246" s="1425"/>
      <c r="X246" s="77"/>
      <c r="Y246" s="76"/>
      <c r="Z246" s="76"/>
      <c r="AA246" s="76"/>
      <c r="AB246" s="76"/>
      <c r="AC246" s="76"/>
      <c r="AD246" s="76"/>
      <c r="AE246" s="76"/>
      <c r="AF246" s="1428"/>
      <c r="AI246" s="77"/>
      <c r="AJ246" s="76"/>
      <c r="AK246" s="76"/>
      <c r="AL246" s="76"/>
      <c r="AM246" s="76"/>
      <c r="AN246" s="76"/>
      <c r="AO246" s="76"/>
      <c r="AP246" s="76"/>
      <c r="AQ246" s="1428"/>
      <c r="AS246" s="77"/>
      <c r="AT246" s="76"/>
      <c r="AU246" s="77"/>
      <c r="AV246" s="76"/>
      <c r="AW246" s="76"/>
      <c r="AX246" s="76"/>
      <c r="AY246" s="76"/>
      <c r="AZ246" s="76"/>
      <c r="BA246" s="1425"/>
    </row>
    <row r="247" spans="1:53" x14ac:dyDescent="0.3">
      <c r="A247" s="1"/>
      <c r="B247" s="77"/>
      <c r="C247" s="76"/>
      <c r="D247" s="76"/>
      <c r="E247" s="76"/>
      <c r="F247" s="76"/>
      <c r="G247" s="76"/>
      <c r="H247" s="76"/>
      <c r="I247" s="76"/>
      <c r="J247" s="1425"/>
      <c r="K247" s="1"/>
      <c r="M247" s="77"/>
      <c r="N247" s="76"/>
      <c r="O247" s="76"/>
      <c r="P247" s="76"/>
      <c r="Q247" s="76"/>
      <c r="R247" s="76"/>
      <c r="S247" s="76"/>
      <c r="T247" s="76"/>
      <c r="U247" s="1425"/>
      <c r="X247" s="77"/>
      <c r="Y247" s="76"/>
      <c r="Z247" s="76"/>
      <c r="AA247" s="76"/>
      <c r="AB247" s="76"/>
      <c r="AC247" s="76"/>
      <c r="AD247" s="76"/>
      <c r="AE247" s="76"/>
      <c r="AF247" s="1428"/>
      <c r="AI247" s="77"/>
      <c r="AJ247" s="76"/>
      <c r="AK247" s="76"/>
      <c r="AL247" s="76"/>
      <c r="AM247" s="76"/>
      <c r="AN247" s="76"/>
      <c r="AO247" s="76"/>
      <c r="AP247" s="76"/>
      <c r="AQ247" s="1428"/>
      <c r="AS247" s="77"/>
      <c r="AT247" s="76"/>
      <c r="AU247" s="77"/>
      <c r="AV247" s="76"/>
      <c r="AW247" s="76"/>
      <c r="AX247" s="76"/>
      <c r="AY247" s="76"/>
      <c r="AZ247" s="76"/>
      <c r="BA247" s="1425"/>
    </row>
    <row r="248" spans="1:53" x14ac:dyDescent="0.3">
      <c r="A248" s="1"/>
      <c r="B248" s="77"/>
      <c r="C248" s="76"/>
      <c r="D248" s="76"/>
      <c r="E248" s="76"/>
      <c r="F248" s="76"/>
      <c r="G248" s="76"/>
      <c r="H248" s="76"/>
      <c r="I248" s="76"/>
      <c r="J248" s="1425"/>
      <c r="K248" s="1"/>
      <c r="M248" s="77"/>
      <c r="N248" s="76"/>
      <c r="O248" s="76"/>
      <c r="P248" s="76"/>
      <c r="Q248" s="76"/>
      <c r="R248" s="76"/>
      <c r="S248" s="76"/>
      <c r="T248" s="76"/>
      <c r="U248" s="1425"/>
      <c r="X248" s="77"/>
      <c r="Y248" s="76"/>
      <c r="Z248" s="76"/>
      <c r="AA248" s="76"/>
      <c r="AB248" s="76"/>
      <c r="AC248" s="76"/>
      <c r="AD248" s="76"/>
      <c r="AE248" s="76"/>
      <c r="AF248" s="1428"/>
      <c r="AI248" s="77"/>
      <c r="AJ248" s="76"/>
      <c r="AK248" s="76"/>
      <c r="AL248" s="76"/>
      <c r="AM248" s="76"/>
      <c r="AN248" s="76"/>
      <c r="AO248" s="76"/>
      <c r="AP248" s="76"/>
      <c r="AQ248" s="1428"/>
      <c r="AS248" s="77"/>
      <c r="AT248" s="76"/>
      <c r="AU248" s="77"/>
      <c r="AV248" s="76"/>
      <c r="AW248" s="76"/>
      <c r="AX248" s="76"/>
      <c r="AY248" s="76"/>
      <c r="AZ248" s="76"/>
      <c r="BA248" s="1425"/>
    </row>
    <row r="249" spans="1:53" x14ac:dyDescent="0.3">
      <c r="A249" s="1"/>
      <c r="B249" s="77"/>
      <c r="C249" s="76"/>
      <c r="D249" s="76"/>
      <c r="E249" s="76"/>
      <c r="F249" s="76"/>
      <c r="G249" s="76"/>
      <c r="H249" s="76"/>
      <c r="I249" s="76"/>
      <c r="J249" s="1425"/>
      <c r="K249" s="1"/>
      <c r="M249" s="77"/>
      <c r="N249" s="76"/>
      <c r="O249" s="76"/>
      <c r="P249" s="76"/>
      <c r="Q249" s="76"/>
      <c r="R249" s="76"/>
      <c r="S249" s="76"/>
      <c r="T249" s="76"/>
      <c r="U249" s="1425"/>
      <c r="X249" s="77"/>
      <c r="Y249" s="76"/>
      <c r="Z249" s="76"/>
      <c r="AA249" s="76"/>
      <c r="AB249" s="76"/>
      <c r="AC249" s="76"/>
      <c r="AD249" s="76"/>
      <c r="AE249" s="76"/>
      <c r="AF249" s="1428"/>
      <c r="AI249" s="77"/>
      <c r="AJ249" s="76"/>
      <c r="AK249" s="76"/>
      <c r="AL249" s="76"/>
      <c r="AM249" s="76"/>
      <c r="AN249" s="76"/>
      <c r="AO249" s="76"/>
      <c r="AP249" s="76"/>
      <c r="AQ249" s="1428"/>
      <c r="AS249" s="77"/>
      <c r="AT249" s="76"/>
      <c r="AU249" s="77"/>
      <c r="AV249" s="76"/>
      <c r="AW249" s="76"/>
      <c r="AX249" s="76"/>
      <c r="AY249" s="76"/>
      <c r="AZ249" s="76"/>
      <c r="BA249" s="1425"/>
    </row>
    <row r="250" spans="1:53" x14ac:dyDescent="0.3">
      <c r="A250" s="1"/>
      <c r="B250" s="77"/>
      <c r="C250" s="76"/>
      <c r="D250" s="76"/>
      <c r="E250" s="76"/>
      <c r="F250" s="76"/>
      <c r="G250" s="76"/>
      <c r="H250" s="76"/>
      <c r="I250" s="76"/>
      <c r="J250" s="1425"/>
      <c r="K250" s="1"/>
      <c r="M250" s="77"/>
      <c r="N250" s="76"/>
      <c r="O250" s="76"/>
      <c r="P250" s="76"/>
      <c r="Q250" s="76"/>
      <c r="R250" s="76"/>
      <c r="S250" s="76"/>
      <c r="T250" s="76"/>
      <c r="U250" s="1425"/>
      <c r="X250" s="77"/>
      <c r="Y250" s="76"/>
      <c r="Z250" s="76"/>
      <c r="AA250" s="76"/>
      <c r="AB250" s="76"/>
      <c r="AC250" s="76"/>
      <c r="AD250" s="76"/>
      <c r="AE250" s="76"/>
      <c r="AF250" s="1428"/>
      <c r="AI250" s="77"/>
      <c r="AJ250" s="76"/>
      <c r="AK250" s="76"/>
      <c r="AL250" s="76"/>
      <c r="AM250" s="76"/>
      <c r="AN250" s="76"/>
      <c r="AO250" s="76"/>
      <c r="AP250" s="76"/>
      <c r="AQ250" s="1428"/>
      <c r="AS250" s="77"/>
      <c r="AT250" s="76"/>
      <c r="AU250" s="77"/>
      <c r="AV250" s="76"/>
      <c r="AW250" s="76"/>
      <c r="AX250" s="76"/>
      <c r="AY250" s="76"/>
      <c r="AZ250" s="76"/>
      <c r="BA250" s="1425"/>
    </row>
    <row r="251" spans="1:53" x14ac:dyDescent="0.3">
      <c r="A251" s="1"/>
      <c r="B251" s="77"/>
      <c r="C251" s="76"/>
      <c r="D251" s="76"/>
      <c r="E251" s="76"/>
      <c r="F251" s="76"/>
      <c r="G251" s="76"/>
      <c r="H251" s="76"/>
      <c r="I251" s="76"/>
      <c r="J251" s="1425"/>
      <c r="K251" s="1"/>
      <c r="M251" s="77"/>
      <c r="N251" s="76"/>
      <c r="O251" s="76"/>
      <c r="P251" s="76"/>
      <c r="Q251" s="76"/>
      <c r="R251" s="76"/>
      <c r="S251" s="76"/>
      <c r="T251" s="76"/>
      <c r="U251" s="1425"/>
      <c r="X251" s="77"/>
      <c r="Y251" s="76"/>
      <c r="Z251" s="76"/>
      <c r="AA251" s="76"/>
      <c r="AB251" s="76"/>
      <c r="AC251" s="76"/>
      <c r="AD251" s="76"/>
      <c r="AE251" s="76"/>
      <c r="AF251" s="1428"/>
      <c r="AI251" s="77"/>
      <c r="AJ251" s="76"/>
      <c r="AK251" s="76"/>
      <c r="AL251" s="76"/>
      <c r="AM251" s="76"/>
      <c r="AN251" s="76"/>
      <c r="AO251" s="76"/>
      <c r="AP251" s="76"/>
      <c r="AQ251" s="1428"/>
      <c r="AS251" s="77"/>
      <c r="AT251" s="76"/>
      <c r="AU251" s="77"/>
      <c r="AV251" s="76"/>
      <c r="AW251" s="76"/>
      <c r="AX251" s="76"/>
      <c r="AY251" s="76"/>
      <c r="AZ251" s="76"/>
      <c r="BA251" s="1425"/>
    </row>
    <row r="252" spans="1:53" x14ac:dyDescent="0.3">
      <c r="A252" s="1"/>
      <c r="B252" s="77"/>
      <c r="C252" s="76"/>
      <c r="D252" s="76"/>
      <c r="E252" s="76"/>
      <c r="F252" s="76"/>
      <c r="G252" s="76"/>
      <c r="H252" s="76"/>
      <c r="I252" s="76"/>
      <c r="J252" s="1425"/>
      <c r="K252" s="1"/>
      <c r="M252" s="77"/>
      <c r="N252" s="76"/>
      <c r="O252" s="76"/>
      <c r="P252" s="76"/>
      <c r="Q252" s="76"/>
      <c r="R252" s="76"/>
      <c r="S252" s="76"/>
      <c r="T252" s="76"/>
      <c r="U252" s="1425"/>
      <c r="X252" s="77"/>
      <c r="Y252" s="76"/>
      <c r="Z252" s="76"/>
      <c r="AA252" s="76"/>
      <c r="AB252" s="76"/>
      <c r="AC252" s="76"/>
      <c r="AD252" s="76"/>
      <c r="AE252" s="76"/>
      <c r="AF252" s="1428"/>
      <c r="AI252" s="77"/>
      <c r="AJ252" s="76"/>
      <c r="AK252" s="76"/>
      <c r="AL252" s="76"/>
      <c r="AM252" s="76"/>
      <c r="AN252" s="76"/>
      <c r="AO252" s="76"/>
      <c r="AP252" s="76"/>
      <c r="AQ252" s="1428"/>
      <c r="AS252" s="77"/>
      <c r="AT252" s="76"/>
      <c r="AU252" s="77"/>
      <c r="AV252" s="76"/>
      <c r="AW252" s="76"/>
      <c r="AX252" s="76"/>
      <c r="AY252" s="76"/>
      <c r="AZ252" s="76"/>
      <c r="BA252" s="1425"/>
    </row>
    <row r="253" spans="1:53" x14ac:dyDescent="0.3">
      <c r="A253" s="1"/>
      <c r="B253" s="79"/>
      <c r="C253" s="80"/>
      <c r="D253" s="78"/>
      <c r="E253" s="76"/>
      <c r="F253" s="76"/>
      <c r="G253" s="76"/>
      <c r="H253" s="76"/>
      <c r="I253" s="76"/>
      <c r="J253" s="1425"/>
      <c r="K253" s="1"/>
      <c r="M253" s="79"/>
      <c r="N253" s="80"/>
      <c r="O253" s="78"/>
      <c r="P253" s="76"/>
      <c r="Q253" s="76"/>
      <c r="R253" s="76"/>
      <c r="S253" s="76"/>
      <c r="T253" s="76"/>
      <c r="U253" s="1425"/>
      <c r="X253" s="79"/>
      <c r="Y253" s="80"/>
      <c r="Z253" s="78"/>
      <c r="AA253" s="76"/>
      <c r="AB253" s="76"/>
      <c r="AC253" s="76"/>
      <c r="AD253" s="76"/>
      <c r="AE253" s="76"/>
      <c r="AF253" s="1428"/>
      <c r="AI253" s="79"/>
      <c r="AJ253" s="80"/>
      <c r="AK253" s="78"/>
      <c r="AL253" s="76"/>
      <c r="AM253" s="76"/>
      <c r="AN253" s="76"/>
      <c r="AO253" s="76"/>
      <c r="AP253" s="76"/>
      <c r="AQ253" s="1428"/>
      <c r="AS253" s="4133"/>
      <c r="AT253" s="4134"/>
      <c r="AU253" s="77"/>
      <c r="AV253" s="76"/>
      <c r="AW253" s="76"/>
      <c r="AX253" s="76"/>
      <c r="AY253" s="76"/>
      <c r="AZ253" s="76"/>
      <c r="BA253" s="1425"/>
    </row>
    <row r="254" spans="1:53" x14ac:dyDescent="0.3">
      <c r="A254" s="1"/>
      <c r="B254" s="1"/>
      <c r="C254" s="1"/>
      <c r="D254" s="1"/>
      <c r="E254" s="1"/>
      <c r="F254" s="1"/>
      <c r="G254" s="1"/>
      <c r="H254" s="1"/>
      <c r="I254" s="1"/>
      <c r="J254" s="1423"/>
      <c r="K254" s="1"/>
      <c r="AU254" s="1433"/>
      <c r="AV254" s="1"/>
      <c r="AW254" s="1"/>
      <c r="AX254" s="1"/>
      <c r="AY254" s="1"/>
      <c r="AZ254" s="1"/>
      <c r="BA254" s="1434"/>
    </row>
    <row r="255" spans="1:53" x14ac:dyDescent="0.3">
      <c r="A255" s="1"/>
      <c r="B255" s="1"/>
      <c r="C255" s="1"/>
      <c r="D255" s="1"/>
      <c r="E255" s="1"/>
      <c r="F255" s="1"/>
      <c r="G255" s="1"/>
      <c r="H255" s="1"/>
      <c r="I255" s="1"/>
      <c r="J255" s="1423"/>
      <c r="K255" s="1"/>
      <c r="AU255" s="1433"/>
      <c r="AV255" s="1"/>
      <c r="AW255" s="1"/>
      <c r="AX255" s="1"/>
      <c r="AY255" s="1"/>
      <c r="AZ255" s="1"/>
      <c r="BA255" s="1434"/>
    </row>
    <row r="256" spans="1:53" x14ac:dyDescent="0.3">
      <c r="A256" s="1"/>
      <c r="B256" s="14" t="s">
        <v>78</v>
      </c>
      <c r="C256" s="1"/>
      <c r="D256" s="1"/>
      <c r="E256" s="1"/>
      <c r="F256" s="1"/>
      <c r="G256" s="1"/>
      <c r="H256" s="1"/>
      <c r="I256" s="1"/>
      <c r="J256" s="1423"/>
      <c r="K256" s="1"/>
      <c r="M256" s="14" t="s">
        <v>78</v>
      </c>
      <c r="X256" s="14" t="s">
        <v>78</v>
      </c>
      <c r="AI256" s="14" t="s">
        <v>78</v>
      </c>
      <c r="AS256" s="14" t="s">
        <v>78</v>
      </c>
      <c r="AU256" s="1433"/>
      <c r="AV256" s="1"/>
      <c r="AW256" s="1"/>
      <c r="AX256" s="1"/>
      <c r="AY256" s="1"/>
      <c r="AZ256" s="1"/>
      <c r="BA256" s="1434"/>
    </row>
    <row r="257" spans="1:65" x14ac:dyDescent="0.3">
      <c r="A257" s="1"/>
      <c r="B257" s="3" t="s">
        <v>276</v>
      </c>
      <c r="C257" s="1"/>
      <c r="D257" s="1"/>
      <c r="E257" s="1"/>
      <c r="F257" s="1"/>
      <c r="G257" s="1"/>
      <c r="H257" s="1"/>
      <c r="I257" s="1"/>
      <c r="J257" s="1423"/>
      <c r="K257" s="1"/>
      <c r="M257" s="3" t="s">
        <v>276</v>
      </c>
      <c r="X257" s="3" t="s">
        <v>276</v>
      </c>
      <c r="AI257" s="3" t="s">
        <v>276</v>
      </c>
      <c r="AS257" s="3" t="s">
        <v>276</v>
      </c>
      <c r="AU257" s="1433"/>
      <c r="AV257" s="1"/>
      <c r="AW257" s="1"/>
      <c r="AX257" s="1"/>
      <c r="AY257" s="1"/>
      <c r="AZ257" s="1"/>
      <c r="BA257" s="1434"/>
    </row>
    <row r="258" spans="1:65" s="73" customFormat="1" x14ac:dyDescent="0.3">
      <c r="B258" s="74"/>
      <c r="J258" s="309"/>
      <c r="M258" s="74"/>
      <c r="U258" s="309"/>
      <c r="X258" s="74"/>
      <c r="AF258" s="1426"/>
      <c r="AI258" s="74"/>
      <c r="AQ258" s="1426"/>
      <c r="AS258" s="74"/>
      <c r="AU258" s="74"/>
      <c r="BA258" s="309"/>
      <c r="BE258" s="74"/>
    </row>
    <row r="259" spans="1:65" s="1" customFormat="1" x14ac:dyDescent="0.3">
      <c r="J259" s="1423"/>
      <c r="U259" s="1423"/>
      <c r="AF259" s="3"/>
      <c r="AQ259" s="3"/>
      <c r="AU259" s="1433"/>
      <c r="BA259" s="1434"/>
    </row>
    <row r="260" spans="1:65" x14ac:dyDescent="0.3">
      <c r="A260" s="1"/>
      <c r="B260" s="4130" t="s">
        <v>190</v>
      </c>
      <c r="C260" s="4131"/>
      <c r="D260" s="4131"/>
      <c r="E260" s="4131"/>
      <c r="F260" s="4131"/>
      <c r="G260" s="4131"/>
      <c r="H260" s="4131"/>
      <c r="I260" s="4131"/>
      <c r="J260" s="4132"/>
      <c r="K260" s="1"/>
      <c r="M260" s="68" t="s">
        <v>190</v>
      </c>
      <c r="N260" s="68"/>
      <c r="O260" s="68"/>
      <c r="P260" s="68"/>
      <c r="Q260" s="68"/>
      <c r="R260" s="68"/>
      <c r="S260" s="68"/>
      <c r="T260" s="68"/>
      <c r="U260" s="1424"/>
      <c r="X260" s="68" t="s">
        <v>190</v>
      </c>
      <c r="Y260" s="68"/>
      <c r="Z260" s="68"/>
      <c r="AA260" s="68"/>
      <c r="AB260" s="68"/>
      <c r="AC260" s="68"/>
      <c r="AD260" s="68"/>
      <c r="AE260" s="68"/>
      <c r="AF260" s="1424"/>
      <c r="AI260" s="68" t="s">
        <v>190</v>
      </c>
      <c r="AJ260" s="68"/>
      <c r="AK260" s="68"/>
      <c r="AL260" s="68"/>
      <c r="AM260" s="68"/>
      <c r="AN260" s="68"/>
      <c r="AO260" s="68"/>
      <c r="AP260" s="68"/>
      <c r="AQ260" s="1424"/>
      <c r="AS260" s="4135" t="s">
        <v>190</v>
      </c>
      <c r="AT260" s="4135"/>
      <c r="AU260" s="4135"/>
      <c r="AV260" s="4135"/>
      <c r="AW260" s="4135"/>
      <c r="AX260" s="4135"/>
      <c r="AY260" s="4135"/>
      <c r="AZ260" s="4135"/>
      <c r="BA260" s="4135"/>
    </row>
    <row r="261" spans="1:65" x14ac:dyDescent="0.3">
      <c r="A261" s="1"/>
      <c r="B261" s="14" t="s">
        <v>183</v>
      </c>
      <c r="C261" s="14"/>
      <c r="D261" s="14"/>
      <c r="E261" s="14"/>
      <c r="F261" s="14"/>
      <c r="G261" s="14"/>
      <c r="H261" s="14"/>
      <c r="I261" s="14"/>
      <c r="J261" s="1423"/>
      <c r="K261" s="1"/>
      <c r="M261" s="14" t="s">
        <v>183</v>
      </c>
      <c r="N261" s="14"/>
      <c r="O261" s="14"/>
      <c r="P261" s="14"/>
      <c r="Q261" s="14"/>
      <c r="R261" s="14"/>
      <c r="S261" s="14"/>
      <c r="T261" s="14"/>
      <c r="X261" s="14" t="s">
        <v>183</v>
      </c>
      <c r="Y261" s="14"/>
      <c r="Z261" s="14"/>
      <c r="AA261" s="14"/>
      <c r="AB261" s="14"/>
      <c r="AC261" s="14"/>
      <c r="AD261" s="14"/>
      <c r="AE261" s="14"/>
      <c r="AF261" s="1423"/>
      <c r="AI261" s="14" t="s">
        <v>183</v>
      </c>
      <c r="AJ261" s="14"/>
      <c r="AK261" s="14"/>
      <c r="AL261" s="14"/>
      <c r="AM261" s="14"/>
      <c r="AN261" s="14"/>
      <c r="AO261" s="14"/>
      <c r="AP261" s="14"/>
      <c r="AQ261" s="1423"/>
      <c r="AS261" s="4110" t="s">
        <v>183</v>
      </c>
      <c r="AT261" s="4110"/>
      <c r="AU261" s="4110"/>
      <c r="AV261" s="4110"/>
      <c r="AW261" s="4110"/>
      <c r="AX261" s="4110"/>
      <c r="AY261" s="4110"/>
      <c r="AZ261" s="4110"/>
      <c r="BA261" s="4110"/>
    </row>
    <row r="262" spans="1:65" x14ac:dyDescent="0.3">
      <c r="A262" s="1"/>
      <c r="B262" s="14"/>
      <c r="C262" s="1"/>
      <c r="D262" s="1"/>
      <c r="E262" s="1"/>
      <c r="F262" s="1"/>
      <c r="G262" s="1"/>
      <c r="H262" s="1"/>
      <c r="I262" s="1"/>
      <c r="J262" s="1423"/>
      <c r="K262" s="1"/>
      <c r="M262" s="14"/>
      <c r="X262" s="14"/>
      <c r="AI262" s="14"/>
      <c r="AS262" s="14"/>
      <c r="AU262" s="1433"/>
      <c r="AV262" s="1"/>
      <c r="AW262" s="1"/>
      <c r="AX262" s="1"/>
      <c r="AY262" s="1"/>
      <c r="AZ262" s="1"/>
      <c r="BA262" s="1434"/>
    </row>
    <row r="263" spans="1:65" x14ac:dyDescent="0.3">
      <c r="A263" s="1"/>
      <c r="B263" s="4109" t="s">
        <v>281</v>
      </c>
      <c r="C263" s="4109"/>
      <c r="D263" s="4109"/>
      <c r="E263" s="4109"/>
      <c r="F263" s="4109"/>
      <c r="G263" s="4109"/>
      <c r="H263" s="4109"/>
      <c r="I263" s="4109"/>
      <c r="J263" s="4109"/>
      <c r="K263" s="1"/>
      <c r="M263" s="4109" t="s">
        <v>343</v>
      </c>
      <c r="N263" s="4109"/>
      <c r="O263" s="4109"/>
      <c r="P263" s="4109"/>
      <c r="Q263" s="4109"/>
      <c r="R263" s="4109"/>
      <c r="S263" s="4109"/>
      <c r="T263" s="4109"/>
      <c r="U263" s="4109"/>
      <c r="X263" s="4109" t="s">
        <v>348</v>
      </c>
      <c r="Y263" s="4109"/>
      <c r="Z263" s="4109"/>
      <c r="AA263" s="4109"/>
      <c r="AB263" s="4109"/>
      <c r="AC263" s="4109"/>
      <c r="AD263" s="4109"/>
      <c r="AE263" s="4109"/>
      <c r="AF263" s="4109"/>
      <c r="AI263" s="4109" t="s">
        <v>606</v>
      </c>
      <c r="AJ263" s="4109"/>
      <c r="AK263" s="4109"/>
      <c r="AL263" s="4109"/>
      <c r="AM263" s="4109"/>
      <c r="AN263" s="4109"/>
      <c r="AO263" s="4109"/>
      <c r="AP263" s="4109"/>
      <c r="AQ263" s="4109"/>
      <c r="AS263" s="4109" t="s">
        <v>3550</v>
      </c>
      <c r="AT263" s="4109"/>
      <c r="AU263" s="4109"/>
      <c r="AV263" s="4109"/>
      <c r="AW263" s="4109"/>
      <c r="AX263" s="4109"/>
      <c r="AY263" s="4109"/>
      <c r="AZ263" s="4109"/>
      <c r="BA263" s="4109"/>
    </row>
    <row r="264" spans="1:65" ht="33" x14ac:dyDescent="0.3">
      <c r="A264" s="1"/>
      <c r="B264" s="20" t="s">
        <v>62</v>
      </c>
      <c r="C264" s="20" t="s">
        <v>184</v>
      </c>
      <c r="D264" s="20" t="s">
        <v>161</v>
      </c>
      <c r="E264" s="63" t="s">
        <v>186</v>
      </c>
      <c r="F264" s="64"/>
      <c r="G264" s="64"/>
      <c r="H264" s="64"/>
      <c r="I264" s="65"/>
      <c r="J264" s="1418" t="s">
        <v>0</v>
      </c>
      <c r="K264" s="1"/>
      <c r="M264" s="20" t="s">
        <v>62</v>
      </c>
      <c r="N264" s="20" t="s">
        <v>184</v>
      </c>
      <c r="O264" s="20" t="s">
        <v>161</v>
      </c>
      <c r="P264" s="63" t="s">
        <v>186</v>
      </c>
      <c r="Q264" s="64"/>
      <c r="R264" s="64"/>
      <c r="S264" s="64"/>
      <c r="T264" s="65"/>
      <c r="U264" s="1418" t="s">
        <v>0</v>
      </c>
      <c r="X264" s="20" t="s">
        <v>62</v>
      </c>
      <c r="Y264" s="20" t="s">
        <v>184</v>
      </c>
      <c r="Z264" s="20" t="s">
        <v>161</v>
      </c>
      <c r="AA264" s="63" t="s">
        <v>186</v>
      </c>
      <c r="AB264" s="64"/>
      <c r="AC264" s="64"/>
      <c r="AD264" s="64"/>
      <c r="AE264" s="65"/>
      <c r="AF264" s="1418" t="s">
        <v>0</v>
      </c>
      <c r="AI264" s="20" t="s">
        <v>62</v>
      </c>
      <c r="AJ264" s="20" t="s">
        <v>184</v>
      </c>
      <c r="AK264" s="20" t="s">
        <v>161</v>
      </c>
      <c r="AL264" s="63" t="s">
        <v>186</v>
      </c>
      <c r="AM264" s="64"/>
      <c r="AN264" s="64"/>
      <c r="AO264" s="64"/>
      <c r="AP264" s="65"/>
      <c r="AQ264" s="1418" t="s">
        <v>0</v>
      </c>
      <c r="AS264" s="4111" t="s">
        <v>62</v>
      </c>
      <c r="AT264" s="4111" t="s">
        <v>184</v>
      </c>
      <c r="AU264" s="4111" t="s">
        <v>161</v>
      </c>
      <c r="AV264" s="4113" t="s">
        <v>186</v>
      </c>
      <c r="AW264" s="4114"/>
      <c r="AX264" s="4114"/>
      <c r="AY264" s="4114"/>
      <c r="AZ264" s="4115"/>
      <c r="BA264" s="4111" t="s">
        <v>0</v>
      </c>
    </row>
    <row r="265" spans="1:65" ht="33" x14ac:dyDescent="0.3">
      <c r="A265" s="1"/>
      <c r="B265" s="62"/>
      <c r="C265" s="62"/>
      <c r="D265" s="62"/>
      <c r="E265" s="20" t="s">
        <v>277</v>
      </c>
      <c r="F265" s="20" t="s">
        <v>272</v>
      </c>
      <c r="G265" s="20" t="s">
        <v>273</v>
      </c>
      <c r="H265" s="20" t="s">
        <v>274</v>
      </c>
      <c r="I265" s="20" t="s">
        <v>275</v>
      </c>
      <c r="J265" s="1419"/>
      <c r="K265" s="1"/>
      <c r="M265" s="62"/>
      <c r="N265" s="62"/>
      <c r="O265" s="62"/>
      <c r="P265" s="20" t="s">
        <v>277</v>
      </c>
      <c r="Q265" s="20" t="s">
        <v>272</v>
      </c>
      <c r="R265" s="20" t="s">
        <v>273</v>
      </c>
      <c r="S265" s="20" t="s">
        <v>274</v>
      </c>
      <c r="T265" s="20" t="s">
        <v>275</v>
      </c>
      <c r="U265" s="1419"/>
      <c r="X265" s="62"/>
      <c r="Y265" s="62"/>
      <c r="Z265" s="62"/>
      <c r="AA265" s="20" t="s">
        <v>277</v>
      </c>
      <c r="AB265" s="20" t="s">
        <v>272</v>
      </c>
      <c r="AC265" s="20" t="s">
        <v>273</v>
      </c>
      <c r="AD265" s="20" t="s">
        <v>274</v>
      </c>
      <c r="AE265" s="20" t="s">
        <v>275</v>
      </c>
      <c r="AF265" s="1419"/>
      <c r="AI265" s="62"/>
      <c r="AJ265" s="62"/>
      <c r="AK265" s="62"/>
      <c r="AL265" s="20" t="s">
        <v>277</v>
      </c>
      <c r="AM265" s="20" t="s">
        <v>272</v>
      </c>
      <c r="AN265" s="20" t="s">
        <v>273</v>
      </c>
      <c r="AO265" s="20" t="s">
        <v>274</v>
      </c>
      <c r="AP265" s="20" t="s">
        <v>275</v>
      </c>
      <c r="AQ265" s="1419"/>
      <c r="AS265" s="4112"/>
      <c r="AT265" s="4112"/>
      <c r="AU265" s="4112"/>
      <c r="AV265" s="20" t="s">
        <v>277</v>
      </c>
      <c r="AW265" s="20" t="s">
        <v>272</v>
      </c>
      <c r="AX265" s="20" t="s">
        <v>273</v>
      </c>
      <c r="AY265" s="20" t="s">
        <v>274</v>
      </c>
      <c r="AZ265" s="20" t="s">
        <v>275</v>
      </c>
      <c r="BA265" s="4112"/>
    </row>
    <row r="266" spans="1:65" x14ac:dyDescent="0.3">
      <c r="A266" s="1"/>
      <c r="B266" s="10"/>
      <c r="C266" s="7"/>
      <c r="D266" s="7"/>
      <c r="E266" s="7"/>
      <c r="F266" s="7"/>
      <c r="G266" s="7"/>
      <c r="H266" s="7"/>
      <c r="I266" s="7"/>
      <c r="J266" s="1415"/>
      <c r="K266" s="1"/>
      <c r="M266" s="10"/>
      <c r="N266" s="7"/>
      <c r="O266" s="7"/>
      <c r="P266" s="7"/>
      <c r="Q266" s="7"/>
      <c r="R266" s="7"/>
      <c r="S266" s="7"/>
      <c r="T266" s="7"/>
      <c r="U266" s="1415"/>
      <c r="X266" s="10"/>
      <c r="Y266" s="7"/>
      <c r="Z266" s="7"/>
      <c r="AA266" s="7"/>
      <c r="AB266" s="7"/>
      <c r="AC266" s="7"/>
      <c r="AD266" s="7"/>
      <c r="AE266" s="7"/>
      <c r="AF266" s="114"/>
      <c r="AI266" s="10"/>
      <c r="AJ266" s="7"/>
      <c r="AK266" s="7"/>
      <c r="AL266" s="7"/>
      <c r="AM266" s="7"/>
      <c r="AN266" s="7"/>
      <c r="AO266" s="7"/>
      <c r="AP266" s="7"/>
      <c r="AQ266" s="114"/>
      <c r="AS266" s="10"/>
      <c r="AT266" s="7"/>
      <c r="AU266" s="7"/>
      <c r="AV266" s="7"/>
      <c r="AW266" s="7"/>
      <c r="AX266" s="7"/>
      <c r="AY266" s="7"/>
      <c r="AZ266" s="7"/>
      <c r="BA266" s="262"/>
      <c r="BC266" s="133" t="s">
        <v>1956</v>
      </c>
      <c r="BD266" s="133"/>
    </row>
    <row r="267" spans="1:65" x14ac:dyDescent="0.3">
      <c r="A267" s="1"/>
      <c r="B267" s="10"/>
      <c r="C267" s="7"/>
      <c r="D267" s="7"/>
      <c r="E267" s="7"/>
      <c r="F267" s="7"/>
      <c r="G267" s="7"/>
      <c r="H267" s="7"/>
      <c r="I267" s="7"/>
      <c r="J267" s="1415"/>
      <c r="K267" s="1"/>
      <c r="M267" s="10"/>
      <c r="N267" s="7"/>
      <c r="O267" s="7"/>
      <c r="P267" s="7"/>
      <c r="Q267" s="7"/>
      <c r="R267" s="7"/>
      <c r="S267" s="7"/>
      <c r="T267" s="7"/>
      <c r="U267" s="1415"/>
      <c r="X267" s="10"/>
      <c r="Y267" s="7"/>
      <c r="Z267" s="7"/>
      <c r="AA267" s="7"/>
      <c r="AB267" s="7"/>
      <c r="AC267" s="7"/>
      <c r="AD267" s="7"/>
      <c r="AE267" s="7"/>
      <c r="AF267" s="114"/>
      <c r="AI267" s="10"/>
      <c r="AJ267" s="7"/>
      <c r="AK267" s="7"/>
      <c r="AL267" s="7"/>
      <c r="AM267" s="7"/>
      <c r="AN267" s="7"/>
      <c r="AO267" s="7"/>
      <c r="AP267" s="7"/>
      <c r="AQ267" s="114"/>
      <c r="AS267" s="10"/>
      <c r="AT267" s="7"/>
      <c r="AU267" s="7"/>
      <c r="AV267" s="7"/>
      <c r="AW267" s="7"/>
      <c r="AX267" s="7"/>
      <c r="AY267" s="7"/>
      <c r="AZ267" s="7"/>
      <c r="BA267" s="262"/>
      <c r="BC267" s="135" t="e">
        <f>BD267/'4 Estadis ESTRATEG Prod3'!J288</f>
        <v>#DIV/0!</v>
      </c>
      <c r="BD267" s="136">
        <f>BA266+BA267+BA268+BA270+BA272+BA275+BA283+BA284+BA285+BA286+BA289+BA290+BA291+BA292</f>
        <v>0</v>
      </c>
    </row>
    <row r="268" spans="1:65" x14ac:dyDescent="0.3">
      <c r="A268" s="1"/>
      <c r="B268" s="10"/>
      <c r="C268" s="7"/>
      <c r="D268" s="7"/>
      <c r="E268" s="7"/>
      <c r="F268" s="7"/>
      <c r="G268" s="7"/>
      <c r="H268" s="7"/>
      <c r="I268" s="7"/>
      <c r="J268" s="1415"/>
      <c r="K268" s="1"/>
      <c r="M268" s="10"/>
      <c r="N268" s="7"/>
      <c r="O268" s="7"/>
      <c r="P268" s="7"/>
      <c r="Q268" s="7"/>
      <c r="R268" s="7"/>
      <c r="S268" s="7"/>
      <c r="T268" s="7"/>
      <c r="U268" s="1415"/>
      <c r="X268" s="10"/>
      <c r="Y268" s="7"/>
      <c r="Z268" s="7"/>
      <c r="AA268" s="7"/>
      <c r="AB268" s="7"/>
      <c r="AC268" s="7"/>
      <c r="AD268" s="7"/>
      <c r="AE268" s="7"/>
      <c r="AF268" s="114"/>
      <c r="AI268" s="10"/>
      <c r="AJ268" s="7"/>
      <c r="AK268" s="7"/>
      <c r="AL268" s="7"/>
      <c r="AM268" s="7"/>
      <c r="AN268" s="7"/>
      <c r="AO268" s="7"/>
      <c r="AP268" s="7"/>
      <c r="AQ268" s="114"/>
      <c r="AS268" s="10"/>
      <c r="AT268" s="7"/>
      <c r="AU268" s="7"/>
      <c r="AV268" s="7"/>
      <c r="AW268" s="7"/>
      <c r="AX268" s="7"/>
      <c r="AY268" s="7"/>
      <c r="AZ268" s="7"/>
      <c r="BA268" s="262"/>
    </row>
    <row r="269" spans="1:65" x14ac:dyDescent="0.3">
      <c r="A269" s="1"/>
      <c r="B269" s="10"/>
      <c r="C269" s="7"/>
      <c r="D269" s="7"/>
      <c r="E269" s="7"/>
      <c r="F269" s="7"/>
      <c r="G269" s="7"/>
      <c r="H269" s="7"/>
      <c r="I269" s="7"/>
      <c r="J269" s="1415"/>
      <c r="K269" s="1"/>
      <c r="M269" s="10"/>
      <c r="N269" s="7"/>
      <c r="O269" s="7"/>
      <c r="P269" s="7"/>
      <c r="Q269" s="7"/>
      <c r="R269" s="7"/>
      <c r="S269" s="7"/>
      <c r="T269" s="7"/>
      <c r="U269" s="1415"/>
      <c r="X269" s="10"/>
      <c r="Y269" s="7"/>
      <c r="Z269" s="7"/>
      <c r="AA269" s="7"/>
      <c r="AB269" s="7"/>
      <c r="AC269" s="7"/>
      <c r="AD269" s="7"/>
      <c r="AE269" s="7"/>
      <c r="AF269" s="114"/>
      <c r="AI269" s="10"/>
      <c r="AJ269" s="7"/>
      <c r="AK269" s="7"/>
      <c r="AL269" s="7"/>
      <c r="AM269" s="7"/>
      <c r="AN269" s="7"/>
      <c r="AO269" s="7"/>
      <c r="AP269" s="7"/>
      <c r="AQ269" s="114"/>
      <c r="AS269" s="10"/>
      <c r="AT269" s="7"/>
      <c r="AU269" s="7"/>
      <c r="AV269" s="7"/>
      <c r="AW269" s="7"/>
      <c r="AX269" s="7"/>
      <c r="AY269" s="7"/>
      <c r="AZ269" s="7"/>
      <c r="BA269" s="262"/>
    </row>
    <row r="270" spans="1:65" x14ac:dyDescent="0.3">
      <c r="A270" s="1"/>
      <c r="B270" s="10"/>
      <c r="C270" s="7"/>
      <c r="D270" s="7"/>
      <c r="E270" s="7"/>
      <c r="F270" s="7"/>
      <c r="G270" s="7"/>
      <c r="H270" s="7"/>
      <c r="I270" s="7"/>
      <c r="J270" s="1415"/>
      <c r="K270" s="1"/>
      <c r="M270" s="10"/>
      <c r="N270" s="7"/>
      <c r="O270" s="7"/>
      <c r="P270" s="7"/>
      <c r="Q270" s="7"/>
      <c r="R270" s="7"/>
      <c r="S270" s="7"/>
      <c r="T270" s="7"/>
      <c r="U270" s="1415"/>
      <c r="X270" s="10"/>
      <c r="Y270" s="7"/>
      <c r="Z270" s="7"/>
      <c r="AA270" s="7"/>
      <c r="AB270" s="7"/>
      <c r="AC270" s="7"/>
      <c r="AD270" s="7"/>
      <c r="AE270" s="7"/>
      <c r="AF270" s="114"/>
      <c r="AI270" s="10"/>
      <c r="AJ270" s="7"/>
      <c r="AK270" s="7"/>
      <c r="AL270" s="7"/>
      <c r="AM270" s="7"/>
      <c r="AN270" s="7"/>
      <c r="AO270" s="7"/>
      <c r="AP270" s="7"/>
      <c r="AQ270" s="114"/>
      <c r="AS270" s="10"/>
      <c r="AT270" s="7"/>
      <c r="AU270" s="7"/>
      <c r="AV270" s="7"/>
      <c r="AW270" s="7"/>
      <c r="AX270" s="7"/>
      <c r="AY270" s="7"/>
      <c r="AZ270" s="7"/>
      <c r="BA270" s="262"/>
    </row>
    <row r="271" spans="1:65" x14ac:dyDescent="0.3">
      <c r="A271" s="1"/>
      <c r="B271" s="10"/>
      <c r="C271" s="7"/>
      <c r="D271" s="7"/>
      <c r="E271" s="7"/>
      <c r="F271" s="7"/>
      <c r="G271" s="7"/>
      <c r="H271" s="7"/>
      <c r="I271" s="7"/>
      <c r="J271" s="1415"/>
      <c r="K271" s="1"/>
      <c r="M271" s="10"/>
      <c r="N271" s="7"/>
      <c r="O271" s="7"/>
      <c r="P271" s="7"/>
      <c r="Q271" s="7"/>
      <c r="R271" s="7"/>
      <c r="S271" s="7"/>
      <c r="T271" s="7"/>
      <c r="U271" s="1415"/>
      <c r="X271" s="10"/>
      <c r="Y271" s="7"/>
      <c r="Z271" s="7"/>
      <c r="AA271" s="7"/>
      <c r="AB271" s="7"/>
      <c r="AC271" s="7"/>
      <c r="AD271" s="7"/>
      <c r="AE271" s="7"/>
      <c r="AF271" s="114"/>
      <c r="AI271" s="10"/>
      <c r="AJ271" s="7"/>
      <c r="AK271" s="7"/>
      <c r="AL271" s="7"/>
      <c r="AM271" s="7"/>
      <c r="AN271" s="7"/>
      <c r="AO271" s="7"/>
      <c r="AP271" s="7"/>
      <c r="AQ271" s="114"/>
      <c r="AS271" s="10"/>
      <c r="AT271" s="7"/>
      <c r="AU271" s="7"/>
      <c r="AV271" s="7"/>
      <c r="AW271" s="7"/>
      <c r="AX271" s="7"/>
      <c r="AY271" s="7"/>
      <c r="AZ271" s="7"/>
      <c r="BA271" s="262"/>
    </row>
    <row r="272" spans="1:65" x14ac:dyDescent="0.3">
      <c r="A272" s="1"/>
      <c r="B272" s="10"/>
      <c r="C272" s="7"/>
      <c r="D272" s="7"/>
      <c r="E272" s="7"/>
      <c r="F272" s="7"/>
      <c r="G272" s="7"/>
      <c r="H272" s="7"/>
      <c r="I272" s="7"/>
      <c r="J272" s="1415"/>
      <c r="K272" s="1"/>
      <c r="M272" s="10"/>
      <c r="N272" s="7"/>
      <c r="O272" s="7"/>
      <c r="P272" s="7"/>
      <c r="Q272" s="7"/>
      <c r="R272" s="7"/>
      <c r="S272" s="7"/>
      <c r="T272" s="7"/>
      <c r="U272" s="1415"/>
      <c r="X272" s="10"/>
      <c r="Y272" s="7"/>
      <c r="Z272" s="7"/>
      <c r="AA272" s="7"/>
      <c r="AB272" s="7"/>
      <c r="AC272" s="7"/>
      <c r="AD272" s="7"/>
      <c r="AE272" s="7"/>
      <c r="AF272" s="114"/>
      <c r="AI272" s="10"/>
      <c r="AJ272" s="7"/>
      <c r="AK272" s="7"/>
      <c r="AL272" s="7"/>
      <c r="AM272" s="7"/>
      <c r="AN272" s="7"/>
      <c r="AO272" s="7"/>
      <c r="AP272" s="7"/>
      <c r="AQ272" s="114"/>
      <c r="AS272" s="10"/>
      <c r="AT272" s="7"/>
      <c r="AU272" s="7"/>
      <c r="AV272" s="7"/>
      <c r="AW272" s="7"/>
      <c r="AX272" s="7"/>
      <c r="AY272" s="7"/>
      <c r="AZ272" s="7"/>
      <c r="BA272" s="262"/>
      <c r="BC272" s="1"/>
      <c r="BE272" s="1"/>
      <c r="BF272" s="1"/>
      <c r="BG272" s="1"/>
      <c r="BH272" s="1"/>
      <c r="BI272" s="1"/>
      <c r="BJ272" s="1"/>
      <c r="BK272" s="1"/>
      <c r="BL272" s="1"/>
      <c r="BM272" s="1"/>
    </row>
    <row r="273" spans="1:65" x14ac:dyDescent="0.3">
      <c r="A273" s="1"/>
      <c r="B273" s="10"/>
      <c r="C273" s="7"/>
      <c r="D273" s="7"/>
      <c r="E273" s="7"/>
      <c r="F273" s="7"/>
      <c r="G273" s="7"/>
      <c r="H273" s="7"/>
      <c r="I273" s="7"/>
      <c r="J273" s="1415"/>
      <c r="K273" s="1"/>
      <c r="M273" s="10"/>
      <c r="N273" s="7"/>
      <c r="O273" s="7"/>
      <c r="P273" s="7"/>
      <c r="Q273" s="7"/>
      <c r="R273" s="7"/>
      <c r="S273" s="7"/>
      <c r="T273" s="7"/>
      <c r="U273" s="1415"/>
      <c r="X273" s="10"/>
      <c r="Y273" s="7"/>
      <c r="Z273" s="7"/>
      <c r="AA273" s="7"/>
      <c r="AB273" s="7"/>
      <c r="AC273" s="7"/>
      <c r="AD273" s="7"/>
      <c r="AE273" s="7"/>
      <c r="AF273" s="114"/>
      <c r="AI273" s="10"/>
      <c r="AJ273" s="7"/>
      <c r="AK273" s="7"/>
      <c r="AL273" s="7"/>
      <c r="AM273" s="7"/>
      <c r="AN273" s="7"/>
      <c r="AO273" s="7"/>
      <c r="AP273" s="7"/>
      <c r="AQ273" s="114"/>
      <c r="AS273" s="10"/>
      <c r="AT273" s="7"/>
      <c r="AU273" s="7"/>
      <c r="AV273" s="7"/>
      <c r="AW273" s="7"/>
      <c r="AX273" s="7"/>
      <c r="AY273" s="7"/>
      <c r="AZ273" s="7"/>
      <c r="BA273" s="262"/>
      <c r="BC273" s="1"/>
      <c r="BE273" s="14"/>
      <c r="BF273" s="1"/>
      <c r="BG273" s="1"/>
      <c r="BH273" s="1"/>
      <c r="BI273" s="1"/>
      <c r="BJ273" s="1"/>
      <c r="BK273" s="1"/>
      <c r="BL273" s="1"/>
      <c r="BM273" s="1"/>
    </row>
    <row r="274" spans="1:65" x14ac:dyDescent="0.3">
      <c r="A274" s="1"/>
      <c r="B274" s="10"/>
      <c r="C274" s="7"/>
      <c r="D274" s="7"/>
      <c r="E274" s="7"/>
      <c r="F274" s="7"/>
      <c r="G274" s="7"/>
      <c r="H274" s="7"/>
      <c r="I274" s="7"/>
      <c r="J274" s="1415"/>
      <c r="K274" s="1"/>
      <c r="M274" s="10"/>
      <c r="N274" s="7"/>
      <c r="O274" s="7"/>
      <c r="P274" s="7"/>
      <c r="Q274" s="7"/>
      <c r="R274" s="7"/>
      <c r="S274" s="7"/>
      <c r="T274" s="7"/>
      <c r="U274" s="1415"/>
      <c r="X274" s="10"/>
      <c r="Y274" s="7"/>
      <c r="Z274" s="7"/>
      <c r="AA274" s="7"/>
      <c r="AB274" s="7"/>
      <c r="AC274" s="7"/>
      <c r="AD274" s="7"/>
      <c r="AE274" s="7"/>
      <c r="AF274" s="114"/>
      <c r="AI274" s="10"/>
      <c r="AJ274" s="7"/>
      <c r="AK274" s="7"/>
      <c r="AL274" s="7"/>
      <c r="AM274" s="7"/>
      <c r="AN274" s="7"/>
      <c r="AO274" s="7"/>
      <c r="AP274" s="7"/>
      <c r="AQ274" s="114"/>
      <c r="AS274" s="10"/>
      <c r="AT274" s="7"/>
      <c r="AU274" s="7"/>
      <c r="AV274" s="7"/>
      <c r="AW274" s="7"/>
      <c r="AX274" s="7"/>
      <c r="AY274" s="7"/>
      <c r="AZ274" s="7"/>
      <c r="BA274" s="262"/>
    </row>
    <row r="275" spans="1:65" x14ac:dyDescent="0.3">
      <c r="A275" s="1"/>
      <c r="B275" s="10"/>
      <c r="C275" s="7"/>
      <c r="D275" s="7"/>
      <c r="E275" s="7"/>
      <c r="F275" s="7"/>
      <c r="G275" s="7"/>
      <c r="H275" s="7"/>
      <c r="I275" s="7"/>
      <c r="J275" s="1415"/>
      <c r="K275" s="1"/>
      <c r="M275" s="10"/>
      <c r="N275" s="7"/>
      <c r="O275" s="7"/>
      <c r="P275" s="7"/>
      <c r="Q275" s="7"/>
      <c r="R275" s="7"/>
      <c r="S275" s="7"/>
      <c r="T275" s="7"/>
      <c r="U275" s="1415"/>
      <c r="X275" s="10"/>
      <c r="Y275" s="7"/>
      <c r="Z275" s="7"/>
      <c r="AA275" s="7"/>
      <c r="AB275" s="7"/>
      <c r="AC275" s="7"/>
      <c r="AD275" s="7"/>
      <c r="AE275" s="7"/>
      <c r="AF275" s="114"/>
      <c r="AI275" s="10"/>
      <c r="AJ275" s="7"/>
      <c r="AK275" s="7"/>
      <c r="AL275" s="7"/>
      <c r="AM275" s="7"/>
      <c r="AN275" s="7"/>
      <c r="AO275" s="7"/>
      <c r="AP275" s="7"/>
      <c r="AQ275" s="114"/>
      <c r="AS275" s="10"/>
      <c r="AT275" s="7"/>
      <c r="AU275" s="7"/>
      <c r="AV275" s="7"/>
      <c r="AW275" s="7"/>
      <c r="AX275" s="7"/>
      <c r="AY275" s="7"/>
      <c r="AZ275" s="7"/>
      <c r="BA275" s="262"/>
    </row>
    <row r="276" spans="1:65" x14ac:dyDescent="0.3">
      <c r="A276" s="1"/>
      <c r="B276" s="10"/>
      <c r="C276" s="7"/>
      <c r="D276" s="7"/>
      <c r="E276" s="7"/>
      <c r="F276" s="7"/>
      <c r="G276" s="7"/>
      <c r="H276" s="7"/>
      <c r="I276" s="7"/>
      <c r="J276" s="1415"/>
      <c r="K276" s="1"/>
      <c r="M276" s="10"/>
      <c r="N276" s="7"/>
      <c r="O276" s="7"/>
      <c r="P276" s="7"/>
      <c r="Q276" s="7"/>
      <c r="R276" s="7"/>
      <c r="S276" s="7"/>
      <c r="T276" s="7"/>
      <c r="U276" s="1415"/>
      <c r="X276" s="10"/>
      <c r="Y276" s="7"/>
      <c r="Z276" s="7"/>
      <c r="AA276" s="7"/>
      <c r="AB276" s="7"/>
      <c r="AC276" s="7"/>
      <c r="AD276" s="7"/>
      <c r="AE276" s="7"/>
      <c r="AF276" s="114"/>
      <c r="AI276" s="10"/>
      <c r="AJ276" s="7"/>
      <c r="AK276" s="7"/>
      <c r="AL276" s="7"/>
      <c r="AM276" s="7"/>
      <c r="AN276" s="7"/>
      <c r="AO276" s="7"/>
      <c r="AP276" s="7"/>
      <c r="AQ276" s="114"/>
      <c r="AS276" s="10"/>
      <c r="AT276" s="7"/>
      <c r="AU276" s="336"/>
      <c r="AV276" s="7"/>
      <c r="AW276" s="7"/>
      <c r="AX276" s="7"/>
      <c r="AY276" s="7"/>
      <c r="AZ276" s="7"/>
      <c r="BA276" s="262"/>
    </row>
    <row r="277" spans="1:65" x14ac:dyDescent="0.3">
      <c r="A277" s="1"/>
      <c r="B277" s="15" t="s">
        <v>0</v>
      </c>
      <c r="C277" s="15"/>
      <c r="D277" s="15"/>
      <c r="E277" s="7">
        <f t="shared" ref="E277:J277" si="50">SUM(E266:E276)</f>
        <v>0</v>
      </c>
      <c r="F277" s="7">
        <f t="shared" si="50"/>
        <v>0</v>
      </c>
      <c r="G277" s="7">
        <f t="shared" si="50"/>
        <v>0</v>
      </c>
      <c r="H277" s="7">
        <f t="shared" si="50"/>
        <v>0</v>
      </c>
      <c r="I277" s="7">
        <f t="shared" si="50"/>
        <v>0</v>
      </c>
      <c r="J277" s="1415">
        <f t="shared" si="50"/>
        <v>0</v>
      </c>
      <c r="K277" s="1"/>
      <c r="M277" s="15" t="s">
        <v>0</v>
      </c>
      <c r="N277" s="15"/>
      <c r="O277" s="15"/>
      <c r="P277" s="7">
        <f t="shared" ref="P277:U277" si="51">SUM(P266:P276)</f>
        <v>0</v>
      </c>
      <c r="Q277" s="7">
        <f t="shared" si="51"/>
        <v>0</v>
      </c>
      <c r="R277" s="7">
        <f t="shared" si="51"/>
        <v>0</v>
      </c>
      <c r="S277" s="7">
        <f t="shared" si="51"/>
        <v>0</v>
      </c>
      <c r="T277" s="7">
        <f t="shared" si="51"/>
        <v>0</v>
      </c>
      <c r="U277" s="1415">
        <f t="shared" si="51"/>
        <v>0</v>
      </c>
      <c r="X277" s="15" t="s">
        <v>0</v>
      </c>
      <c r="Y277" s="15"/>
      <c r="Z277" s="15"/>
      <c r="AA277" s="7">
        <f t="shared" ref="AA277:AF277" si="52">SUM(AA266:AA276)</f>
        <v>0</v>
      </c>
      <c r="AB277" s="7">
        <f t="shared" si="52"/>
        <v>0</v>
      </c>
      <c r="AC277" s="7">
        <f t="shared" si="52"/>
        <v>0</v>
      </c>
      <c r="AD277" s="7">
        <f t="shared" si="52"/>
        <v>0</v>
      </c>
      <c r="AE277" s="7">
        <f t="shared" si="52"/>
        <v>0</v>
      </c>
      <c r="AF277" s="8">
        <f t="shared" si="52"/>
        <v>0</v>
      </c>
      <c r="AI277" s="15" t="s">
        <v>0</v>
      </c>
      <c r="AJ277" s="15"/>
      <c r="AK277" s="15"/>
      <c r="AL277" s="7">
        <f t="shared" ref="AL277:AQ277" si="53">SUM(AL266:AL276)</f>
        <v>0</v>
      </c>
      <c r="AM277" s="7">
        <f t="shared" si="53"/>
        <v>0</v>
      </c>
      <c r="AN277" s="7">
        <f t="shared" si="53"/>
        <v>0</v>
      </c>
      <c r="AO277" s="7">
        <f t="shared" si="53"/>
        <v>0</v>
      </c>
      <c r="AP277" s="7">
        <f t="shared" si="53"/>
        <v>0</v>
      </c>
      <c r="AQ277" s="8">
        <f t="shared" si="53"/>
        <v>0</v>
      </c>
      <c r="AS277" s="4122" t="s">
        <v>0</v>
      </c>
      <c r="AT277" s="4122"/>
      <c r="AU277" s="1430"/>
      <c r="AV277" s="27">
        <f t="shared" ref="AV277:BA277" si="54">SUM(AV266:AV276)</f>
        <v>0</v>
      </c>
      <c r="AW277" s="27">
        <f t="shared" si="54"/>
        <v>0</v>
      </c>
      <c r="AX277" s="27">
        <f t="shared" si="54"/>
        <v>0</v>
      </c>
      <c r="AY277" s="27">
        <f t="shared" si="54"/>
        <v>0</v>
      </c>
      <c r="AZ277" s="27">
        <f t="shared" si="54"/>
        <v>0</v>
      </c>
      <c r="BA277" s="262">
        <f t="shared" si="54"/>
        <v>0</v>
      </c>
    </row>
    <row r="278" spans="1:65" x14ac:dyDescent="0.3">
      <c r="A278" s="1"/>
      <c r="B278" s="1"/>
      <c r="C278" s="1"/>
      <c r="D278" s="1"/>
      <c r="E278" s="1"/>
      <c r="F278" s="1"/>
      <c r="G278" s="1"/>
      <c r="H278" s="1"/>
      <c r="I278" s="1"/>
      <c r="J278" s="1423"/>
      <c r="K278" s="1"/>
      <c r="AU278" s="1433"/>
      <c r="AV278" s="1"/>
      <c r="AW278" s="1"/>
      <c r="AX278" s="1"/>
      <c r="AY278" s="1"/>
      <c r="AZ278" s="1"/>
      <c r="BA278" s="1434"/>
    </row>
    <row r="279" spans="1:65" x14ac:dyDescent="0.3">
      <c r="A279" s="1"/>
      <c r="B279" s="1"/>
      <c r="C279" s="1"/>
      <c r="D279" s="1"/>
      <c r="E279" s="1"/>
      <c r="F279" s="1"/>
      <c r="G279" s="1"/>
      <c r="H279" s="1"/>
      <c r="I279" s="1"/>
      <c r="J279" s="1423"/>
      <c r="K279" s="1"/>
      <c r="AU279" s="1433"/>
      <c r="AV279" s="1"/>
      <c r="AW279" s="1"/>
      <c r="AX279" s="1"/>
      <c r="AY279" s="1"/>
      <c r="AZ279" s="1"/>
      <c r="BA279" s="1434"/>
    </row>
    <row r="280" spans="1:65" x14ac:dyDescent="0.3">
      <c r="A280" s="1"/>
      <c r="B280" s="4109" t="s">
        <v>280</v>
      </c>
      <c r="C280" s="4109"/>
      <c r="D280" s="4109"/>
      <c r="E280" s="4109"/>
      <c r="F280" s="4109"/>
      <c r="G280" s="4109"/>
      <c r="H280" s="4109"/>
      <c r="I280" s="4109"/>
      <c r="J280" s="4109"/>
      <c r="K280" s="1"/>
      <c r="M280" s="4109" t="s">
        <v>344</v>
      </c>
      <c r="N280" s="4109"/>
      <c r="O280" s="4109"/>
      <c r="P280" s="4109"/>
      <c r="Q280" s="4109"/>
      <c r="R280" s="4109"/>
      <c r="S280" s="4109"/>
      <c r="T280" s="4109"/>
      <c r="U280" s="4109"/>
      <c r="X280" s="4109" t="s">
        <v>349</v>
      </c>
      <c r="Y280" s="4109"/>
      <c r="Z280" s="4109"/>
      <c r="AA280" s="4109"/>
      <c r="AB280" s="4109"/>
      <c r="AC280" s="4109"/>
      <c r="AD280" s="4109"/>
      <c r="AE280" s="4109"/>
      <c r="AF280" s="4109"/>
      <c r="AI280" s="4109" t="s">
        <v>607</v>
      </c>
      <c r="AJ280" s="4109"/>
      <c r="AK280" s="4109"/>
      <c r="AL280" s="4109"/>
      <c r="AM280" s="4109"/>
      <c r="AN280" s="4109"/>
      <c r="AO280" s="4109"/>
      <c r="AP280" s="4109"/>
      <c r="AQ280" s="4109"/>
      <c r="AS280" s="4125" t="s">
        <v>3551</v>
      </c>
      <c r="AT280" s="4125"/>
      <c r="AU280" s="4125"/>
      <c r="AV280" s="4125"/>
      <c r="AW280" s="4125"/>
      <c r="AX280" s="4125"/>
      <c r="AY280" s="4125"/>
      <c r="AZ280" s="4125"/>
      <c r="BA280" s="4125"/>
    </row>
    <row r="281" spans="1:65" ht="33" x14ac:dyDescent="0.3">
      <c r="A281" s="1"/>
      <c r="B281" s="20" t="s">
        <v>62</v>
      </c>
      <c r="C281" s="20" t="s">
        <v>184</v>
      </c>
      <c r="D281" s="20" t="s">
        <v>161</v>
      </c>
      <c r="E281" s="63" t="s">
        <v>186</v>
      </c>
      <c r="F281" s="64"/>
      <c r="G281" s="64"/>
      <c r="H281" s="64"/>
      <c r="I281" s="65"/>
      <c r="J281" s="1418" t="s">
        <v>0</v>
      </c>
      <c r="K281" s="1"/>
      <c r="M281" s="20" t="s">
        <v>62</v>
      </c>
      <c r="N281" s="20" t="s">
        <v>184</v>
      </c>
      <c r="O281" s="20" t="s">
        <v>161</v>
      </c>
      <c r="P281" s="63" t="s">
        <v>186</v>
      </c>
      <c r="Q281" s="64"/>
      <c r="R281" s="64"/>
      <c r="S281" s="64"/>
      <c r="T281" s="65"/>
      <c r="U281" s="1418" t="s">
        <v>0</v>
      </c>
      <c r="X281" s="20" t="s">
        <v>62</v>
      </c>
      <c r="Y281" s="20" t="s">
        <v>184</v>
      </c>
      <c r="Z281" s="20" t="s">
        <v>161</v>
      </c>
      <c r="AA281" s="63" t="s">
        <v>186</v>
      </c>
      <c r="AB281" s="64"/>
      <c r="AC281" s="64"/>
      <c r="AD281" s="64"/>
      <c r="AE281" s="65"/>
      <c r="AF281" s="1418" t="s">
        <v>0</v>
      </c>
      <c r="AI281" s="20" t="s">
        <v>62</v>
      </c>
      <c r="AJ281" s="20" t="s">
        <v>184</v>
      </c>
      <c r="AK281" s="20" t="s">
        <v>161</v>
      </c>
      <c r="AL281" s="63" t="s">
        <v>186</v>
      </c>
      <c r="AM281" s="64"/>
      <c r="AN281" s="64"/>
      <c r="AO281" s="64"/>
      <c r="AP281" s="65"/>
      <c r="AQ281" s="1418" t="s">
        <v>0</v>
      </c>
      <c r="AS281" s="4111" t="s">
        <v>62</v>
      </c>
      <c r="AT281" s="4111" t="s">
        <v>184</v>
      </c>
      <c r="AU281" s="4111" t="s">
        <v>161</v>
      </c>
      <c r="AV281" s="4113" t="s">
        <v>186</v>
      </c>
      <c r="AW281" s="4114"/>
      <c r="AX281" s="4114"/>
      <c r="AY281" s="4114"/>
      <c r="AZ281" s="4115"/>
      <c r="BA281" s="4111" t="s">
        <v>0</v>
      </c>
    </row>
    <row r="282" spans="1:65" ht="33" x14ac:dyDescent="0.3">
      <c r="A282" s="1"/>
      <c r="B282" s="62"/>
      <c r="C282" s="62"/>
      <c r="D282" s="62"/>
      <c r="E282" s="20" t="s">
        <v>277</v>
      </c>
      <c r="F282" s="20" t="s">
        <v>272</v>
      </c>
      <c r="G282" s="20" t="s">
        <v>273</v>
      </c>
      <c r="H282" s="20" t="s">
        <v>274</v>
      </c>
      <c r="I282" s="20" t="s">
        <v>275</v>
      </c>
      <c r="J282" s="1419"/>
      <c r="K282" s="1"/>
      <c r="M282" s="62"/>
      <c r="N282" s="62"/>
      <c r="O282" s="62"/>
      <c r="P282" s="20" t="s">
        <v>277</v>
      </c>
      <c r="Q282" s="20" t="s">
        <v>272</v>
      </c>
      <c r="R282" s="20" t="s">
        <v>273</v>
      </c>
      <c r="S282" s="20" t="s">
        <v>274</v>
      </c>
      <c r="T282" s="20" t="s">
        <v>275</v>
      </c>
      <c r="U282" s="1419"/>
      <c r="X282" s="62"/>
      <c r="Y282" s="62"/>
      <c r="Z282" s="62"/>
      <c r="AA282" s="20" t="s">
        <v>277</v>
      </c>
      <c r="AB282" s="20" t="s">
        <v>272</v>
      </c>
      <c r="AC282" s="20" t="s">
        <v>273</v>
      </c>
      <c r="AD282" s="20" t="s">
        <v>274</v>
      </c>
      <c r="AE282" s="20" t="s">
        <v>275</v>
      </c>
      <c r="AF282" s="1419"/>
      <c r="AI282" s="62"/>
      <c r="AJ282" s="62"/>
      <c r="AK282" s="62"/>
      <c r="AL282" s="20" t="s">
        <v>277</v>
      </c>
      <c r="AM282" s="20" t="s">
        <v>272</v>
      </c>
      <c r="AN282" s="20" t="s">
        <v>273</v>
      </c>
      <c r="AO282" s="20" t="s">
        <v>274</v>
      </c>
      <c r="AP282" s="20" t="s">
        <v>275</v>
      </c>
      <c r="AQ282" s="1419"/>
      <c r="AS282" s="4112"/>
      <c r="AT282" s="4112"/>
      <c r="AU282" s="4112"/>
      <c r="AV282" s="20" t="s">
        <v>277</v>
      </c>
      <c r="AW282" s="20" t="s">
        <v>272</v>
      </c>
      <c r="AX282" s="20" t="s">
        <v>273</v>
      </c>
      <c r="AY282" s="20" t="s">
        <v>274</v>
      </c>
      <c r="AZ282" s="20" t="s">
        <v>275</v>
      </c>
      <c r="BA282" s="4112"/>
    </row>
    <row r="283" spans="1:65" x14ac:dyDescent="0.3">
      <c r="B283" s="10"/>
      <c r="C283" s="7"/>
      <c r="D283" s="7"/>
      <c r="E283" s="7"/>
      <c r="F283" s="7"/>
      <c r="G283" s="7"/>
      <c r="H283" s="7"/>
      <c r="I283" s="7"/>
      <c r="J283" s="1415"/>
      <c r="M283" s="10"/>
      <c r="N283" s="7"/>
      <c r="O283" s="7"/>
      <c r="P283" s="7"/>
      <c r="Q283" s="7"/>
      <c r="R283" s="7"/>
      <c r="S283" s="7"/>
      <c r="T283" s="7"/>
      <c r="U283" s="1415"/>
      <c r="V283" s="4"/>
      <c r="W283" s="4"/>
      <c r="X283" s="10"/>
      <c r="Y283" s="7"/>
      <c r="Z283" s="7"/>
      <c r="AA283" s="7"/>
      <c r="AB283" s="7"/>
      <c r="AC283" s="7"/>
      <c r="AD283" s="7"/>
      <c r="AE283" s="7"/>
      <c r="AF283" s="114"/>
      <c r="AG283" s="4"/>
      <c r="AH283" s="4"/>
      <c r="AI283" s="10"/>
      <c r="AJ283" s="7"/>
      <c r="AK283" s="7"/>
      <c r="AL283" s="7"/>
      <c r="AM283" s="7"/>
      <c r="AN283" s="7"/>
      <c r="AO283" s="7"/>
      <c r="AP283" s="7"/>
      <c r="AQ283" s="114"/>
      <c r="AR283" s="4"/>
      <c r="AS283" s="10"/>
      <c r="AT283" s="7"/>
      <c r="AU283" s="7"/>
      <c r="AV283" s="7"/>
      <c r="AW283" s="7"/>
      <c r="AX283" s="7"/>
      <c r="AY283" s="7"/>
      <c r="AZ283" s="7"/>
      <c r="BA283" s="1430"/>
      <c r="BD283" s="4"/>
    </row>
    <row r="284" spans="1:65" x14ac:dyDescent="0.3">
      <c r="B284" s="10"/>
      <c r="C284" s="7"/>
      <c r="D284" s="7"/>
      <c r="E284" s="7"/>
      <c r="F284" s="7"/>
      <c r="G284" s="7"/>
      <c r="H284" s="7"/>
      <c r="I284" s="7"/>
      <c r="J284" s="1415"/>
      <c r="M284" s="10"/>
      <c r="N284" s="7"/>
      <c r="O284" s="7"/>
      <c r="P284" s="7"/>
      <c r="Q284" s="7"/>
      <c r="R284" s="7"/>
      <c r="S284" s="7"/>
      <c r="T284" s="7"/>
      <c r="U284" s="1415"/>
      <c r="V284" s="4"/>
      <c r="W284" s="4"/>
      <c r="X284" s="10"/>
      <c r="Y284" s="7"/>
      <c r="Z284" s="7"/>
      <c r="AA284" s="7"/>
      <c r="AB284" s="7"/>
      <c r="AC284" s="7"/>
      <c r="AD284" s="7"/>
      <c r="AE284" s="7"/>
      <c r="AF284" s="114"/>
      <c r="AG284" s="4"/>
      <c r="AH284" s="4"/>
      <c r="AI284" s="10"/>
      <c r="AJ284" s="7"/>
      <c r="AK284" s="7"/>
      <c r="AL284" s="7"/>
      <c r="AM284" s="7"/>
      <c r="AN284" s="7"/>
      <c r="AO284" s="7"/>
      <c r="AP284" s="7"/>
      <c r="AQ284" s="114"/>
      <c r="AR284" s="4"/>
      <c r="AS284" s="10"/>
      <c r="AT284" s="7"/>
      <c r="AU284" s="7"/>
      <c r="AV284" s="7"/>
      <c r="AW284" s="7"/>
      <c r="AX284" s="7"/>
      <c r="AY284" s="7"/>
      <c r="AZ284" s="7"/>
      <c r="BA284" s="1430"/>
      <c r="BD284" s="4"/>
    </row>
    <row r="285" spans="1:65" x14ac:dyDescent="0.3">
      <c r="B285" s="10"/>
      <c r="C285" s="7"/>
      <c r="D285" s="7"/>
      <c r="E285" s="7"/>
      <c r="F285" s="7"/>
      <c r="G285" s="7"/>
      <c r="H285" s="7"/>
      <c r="I285" s="7"/>
      <c r="J285" s="1415"/>
      <c r="M285" s="10"/>
      <c r="N285" s="7"/>
      <c r="O285" s="7"/>
      <c r="P285" s="7"/>
      <c r="Q285" s="7"/>
      <c r="R285" s="7"/>
      <c r="S285" s="7"/>
      <c r="T285" s="7"/>
      <c r="U285" s="1415"/>
      <c r="V285" s="4"/>
      <c r="W285" s="4"/>
      <c r="X285" s="10"/>
      <c r="Y285" s="7"/>
      <c r="Z285" s="7"/>
      <c r="AA285" s="7"/>
      <c r="AB285" s="7"/>
      <c r="AC285" s="7"/>
      <c r="AD285" s="7"/>
      <c r="AE285" s="7"/>
      <c r="AF285" s="114"/>
      <c r="AG285" s="4"/>
      <c r="AH285" s="4"/>
      <c r="AI285" s="10"/>
      <c r="AJ285" s="7"/>
      <c r="AK285" s="7"/>
      <c r="AL285" s="7"/>
      <c r="AM285" s="7"/>
      <c r="AN285" s="7"/>
      <c r="AO285" s="7"/>
      <c r="AP285" s="7"/>
      <c r="AQ285" s="114"/>
      <c r="AR285" s="4"/>
      <c r="AS285" s="10"/>
      <c r="AT285" s="7"/>
      <c r="AU285" s="7"/>
      <c r="AV285" s="7"/>
      <c r="AW285" s="7"/>
      <c r="AX285" s="7"/>
      <c r="AY285" s="7"/>
      <c r="AZ285" s="7"/>
      <c r="BA285" s="1430"/>
      <c r="BD285" s="4"/>
    </row>
    <row r="286" spans="1:65" x14ac:dyDescent="0.3">
      <c r="B286" s="10"/>
      <c r="C286" s="7"/>
      <c r="D286" s="7"/>
      <c r="E286" s="7"/>
      <c r="F286" s="7"/>
      <c r="G286" s="7"/>
      <c r="H286" s="7"/>
      <c r="I286" s="7"/>
      <c r="J286" s="1415"/>
      <c r="M286" s="10"/>
      <c r="N286" s="7"/>
      <c r="O286" s="7"/>
      <c r="P286" s="7"/>
      <c r="Q286" s="7"/>
      <c r="R286" s="7"/>
      <c r="S286" s="7"/>
      <c r="T286" s="7"/>
      <c r="U286" s="1415"/>
      <c r="V286" s="4"/>
      <c r="W286" s="4"/>
      <c r="X286" s="10"/>
      <c r="Y286" s="7"/>
      <c r="Z286" s="7"/>
      <c r="AA286" s="7"/>
      <c r="AB286" s="7"/>
      <c r="AC286" s="7"/>
      <c r="AD286" s="7"/>
      <c r="AE286" s="7"/>
      <c r="AF286" s="114"/>
      <c r="AG286" s="4"/>
      <c r="AH286" s="4"/>
      <c r="AI286" s="10"/>
      <c r="AJ286" s="7"/>
      <c r="AK286" s="7"/>
      <c r="AL286" s="7"/>
      <c r="AM286" s="7"/>
      <c r="AN286" s="7"/>
      <c r="AO286" s="7"/>
      <c r="AP286" s="7"/>
      <c r="AQ286" s="114"/>
      <c r="AR286" s="4"/>
      <c r="AS286" s="336"/>
      <c r="AT286" s="7"/>
      <c r="AU286" s="7"/>
      <c r="AV286" s="7"/>
      <c r="AW286" s="7"/>
      <c r="AX286" s="7"/>
      <c r="AY286" s="7"/>
      <c r="AZ286" s="7"/>
      <c r="BA286" s="1430"/>
      <c r="BD286" s="4"/>
    </row>
    <row r="287" spans="1:65" x14ac:dyDescent="0.3">
      <c r="B287" s="10"/>
      <c r="C287" s="7"/>
      <c r="D287" s="7"/>
      <c r="E287" s="7"/>
      <c r="F287" s="7"/>
      <c r="G287" s="7"/>
      <c r="H287" s="7"/>
      <c r="I287" s="7"/>
      <c r="J287" s="1415"/>
      <c r="M287" s="10"/>
      <c r="N287" s="7"/>
      <c r="O287" s="7"/>
      <c r="P287" s="7"/>
      <c r="Q287" s="7"/>
      <c r="R287" s="7"/>
      <c r="S287" s="7"/>
      <c r="T287" s="7"/>
      <c r="U287" s="1415"/>
      <c r="V287" s="4"/>
      <c r="W287" s="4"/>
      <c r="X287" s="10"/>
      <c r="Y287" s="7"/>
      <c r="Z287" s="7"/>
      <c r="AA287" s="7"/>
      <c r="AB287" s="7"/>
      <c r="AC287" s="7"/>
      <c r="AD287" s="7"/>
      <c r="AE287" s="7"/>
      <c r="AF287" s="114"/>
      <c r="AG287" s="4"/>
      <c r="AH287" s="4"/>
      <c r="AI287" s="10"/>
      <c r="AJ287" s="7"/>
      <c r="AK287" s="7"/>
      <c r="AL287" s="7"/>
      <c r="AM287" s="7"/>
      <c r="AN287" s="7"/>
      <c r="AO287" s="7"/>
      <c r="AP287" s="7"/>
      <c r="AQ287" s="114"/>
      <c r="AR287" s="4"/>
      <c r="AS287" s="336"/>
      <c r="AT287" s="7"/>
      <c r="AU287" s="7"/>
      <c r="AV287" s="7"/>
      <c r="AW287" s="7"/>
      <c r="AX287" s="7"/>
      <c r="AY287" s="7"/>
      <c r="AZ287" s="7"/>
      <c r="BA287" s="1430"/>
      <c r="BD287" s="4"/>
    </row>
    <row r="288" spans="1:65" x14ac:dyDescent="0.3">
      <c r="B288" s="10"/>
      <c r="C288" s="7"/>
      <c r="D288" s="7"/>
      <c r="E288" s="7"/>
      <c r="F288" s="7"/>
      <c r="G288" s="7"/>
      <c r="H288" s="7"/>
      <c r="I288" s="7"/>
      <c r="J288" s="1415"/>
      <c r="M288" s="10"/>
      <c r="N288" s="7"/>
      <c r="O288" s="7"/>
      <c r="P288" s="7"/>
      <c r="Q288" s="7"/>
      <c r="R288" s="7"/>
      <c r="S288" s="7"/>
      <c r="T288" s="7"/>
      <c r="U288" s="1415"/>
      <c r="V288" s="4"/>
      <c r="W288" s="4"/>
      <c r="X288" s="10"/>
      <c r="Y288" s="7"/>
      <c r="Z288" s="7"/>
      <c r="AA288" s="7"/>
      <c r="AB288" s="7"/>
      <c r="AC288" s="7"/>
      <c r="AD288" s="7"/>
      <c r="AE288" s="7"/>
      <c r="AF288" s="114"/>
      <c r="AG288" s="4"/>
      <c r="AH288" s="4"/>
      <c r="AI288" s="10"/>
      <c r="AJ288" s="7"/>
      <c r="AK288" s="7"/>
      <c r="AL288" s="7"/>
      <c r="AM288" s="7"/>
      <c r="AN288" s="7"/>
      <c r="AO288" s="7"/>
      <c r="AP288" s="7"/>
      <c r="AQ288" s="114"/>
      <c r="AR288" s="4"/>
      <c r="AS288" s="336"/>
      <c r="AT288" s="7"/>
      <c r="AU288" s="7"/>
      <c r="AV288" s="7"/>
      <c r="AW288" s="7"/>
      <c r="AX288" s="7"/>
      <c r="AY288" s="7"/>
      <c r="AZ288" s="7"/>
      <c r="BA288" s="1430"/>
      <c r="BD288" s="4"/>
    </row>
    <row r="289" spans="1:57" x14ac:dyDescent="0.3">
      <c r="B289" s="10"/>
      <c r="C289" s="7"/>
      <c r="D289" s="7"/>
      <c r="E289" s="7"/>
      <c r="F289" s="7"/>
      <c r="G289" s="7"/>
      <c r="H289" s="7"/>
      <c r="I289" s="7"/>
      <c r="J289" s="1415"/>
      <c r="M289" s="10"/>
      <c r="N289" s="7"/>
      <c r="O289" s="7"/>
      <c r="P289" s="7"/>
      <c r="Q289" s="7"/>
      <c r="R289" s="7"/>
      <c r="S289" s="7"/>
      <c r="T289" s="7"/>
      <c r="U289" s="1415"/>
      <c r="V289" s="4"/>
      <c r="W289" s="4"/>
      <c r="X289" s="10"/>
      <c r="Y289" s="7"/>
      <c r="Z289" s="7"/>
      <c r="AA289" s="7"/>
      <c r="AB289" s="7"/>
      <c r="AC289" s="7"/>
      <c r="AD289" s="7"/>
      <c r="AE289" s="7"/>
      <c r="AF289" s="114"/>
      <c r="AG289" s="4"/>
      <c r="AH289" s="4"/>
      <c r="AI289" s="10"/>
      <c r="AJ289" s="7"/>
      <c r="AK289" s="7"/>
      <c r="AL289" s="7"/>
      <c r="AM289" s="7"/>
      <c r="AN289" s="7"/>
      <c r="AO289" s="7"/>
      <c r="AP289" s="7"/>
      <c r="AQ289" s="114"/>
      <c r="AR289" s="4"/>
      <c r="AS289" s="336"/>
      <c r="AT289" s="7"/>
      <c r="AU289" s="7"/>
      <c r="AV289" s="7"/>
      <c r="AW289" s="7"/>
      <c r="AX289" s="7"/>
      <c r="AY289" s="7"/>
      <c r="AZ289" s="7"/>
      <c r="BA289" s="1430"/>
      <c r="BC289" s="5"/>
      <c r="BD289" s="4"/>
    </row>
    <row r="290" spans="1:57" x14ac:dyDescent="0.3">
      <c r="B290" s="10"/>
      <c r="C290" s="7"/>
      <c r="D290" s="7"/>
      <c r="E290" s="7"/>
      <c r="F290" s="7"/>
      <c r="G290" s="7"/>
      <c r="H290" s="7"/>
      <c r="I290" s="7"/>
      <c r="J290" s="1415"/>
      <c r="M290" s="10"/>
      <c r="N290" s="7"/>
      <c r="O290" s="7"/>
      <c r="P290" s="7"/>
      <c r="Q290" s="7"/>
      <c r="R290" s="7"/>
      <c r="S290" s="7"/>
      <c r="T290" s="7"/>
      <c r="U290" s="1415"/>
      <c r="V290" s="4"/>
      <c r="W290" s="4"/>
      <c r="X290" s="10"/>
      <c r="Y290" s="7"/>
      <c r="Z290" s="7"/>
      <c r="AA290" s="7"/>
      <c r="AB290" s="7"/>
      <c r="AC290" s="7"/>
      <c r="AD290" s="7"/>
      <c r="AE290" s="7"/>
      <c r="AF290" s="114"/>
      <c r="AG290" s="4"/>
      <c r="AH290" s="4"/>
      <c r="AI290" s="10"/>
      <c r="AJ290" s="7"/>
      <c r="AK290" s="7"/>
      <c r="AL290" s="7"/>
      <c r="AM290" s="7"/>
      <c r="AN290" s="7"/>
      <c r="AO290" s="7"/>
      <c r="AP290" s="7"/>
      <c r="AQ290" s="114"/>
      <c r="AR290" s="4"/>
      <c r="AS290" s="336"/>
      <c r="AT290" s="7"/>
      <c r="AU290" s="7"/>
      <c r="AV290" s="7"/>
      <c r="AW290" s="7"/>
      <c r="AX290" s="7"/>
      <c r="AY290" s="7"/>
      <c r="AZ290" s="7"/>
      <c r="BA290" s="1430"/>
      <c r="BD290" s="4"/>
    </row>
    <row r="291" spans="1:57" x14ac:dyDescent="0.3">
      <c r="B291" s="10"/>
      <c r="C291" s="7"/>
      <c r="D291" s="7"/>
      <c r="E291" s="7"/>
      <c r="F291" s="7"/>
      <c r="G291" s="7"/>
      <c r="H291" s="7"/>
      <c r="I291" s="7"/>
      <c r="J291" s="1415"/>
      <c r="M291" s="10"/>
      <c r="N291" s="7"/>
      <c r="O291" s="7"/>
      <c r="P291" s="7"/>
      <c r="Q291" s="7"/>
      <c r="R291" s="7"/>
      <c r="S291" s="7"/>
      <c r="T291" s="7"/>
      <c r="U291" s="1415"/>
      <c r="V291" s="4"/>
      <c r="W291" s="4"/>
      <c r="X291" s="10"/>
      <c r="Y291" s="7"/>
      <c r="Z291" s="7"/>
      <c r="AA291" s="7"/>
      <c r="AB291" s="7"/>
      <c r="AC291" s="7"/>
      <c r="AD291" s="7"/>
      <c r="AE291" s="7"/>
      <c r="AF291" s="114"/>
      <c r="AG291" s="4"/>
      <c r="AH291" s="4"/>
      <c r="AI291" s="10"/>
      <c r="AJ291" s="7"/>
      <c r="AK291" s="7"/>
      <c r="AL291" s="7"/>
      <c r="AM291" s="7"/>
      <c r="AN291" s="7"/>
      <c r="AO291" s="7"/>
      <c r="AP291" s="7"/>
      <c r="AQ291" s="114"/>
      <c r="AR291" s="4"/>
      <c r="AS291" s="336"/>
      <c r="AT291" s="7"/>
      <c r="AU291" s="7"/>
      <c r="AV291" s="7"/>
      <c r="AW291" s="7"/>
      <c r="AX291" s="7"/>
      <c r="AY291" s="7"/>
      <c r="AZ291" s="7"/>
      <c r="BA291" s="1430"/>
      <c r="BD291" s="4"/>
    </row>
    <row r="292" spans="1:57" x14ac:dyDescent="0.3">
      <c r="B292" s="336"/>
      <c r="C292" s="7"/>
      <c r="D292" s="7"/>
      <c r="E292" s="7"/>
      <c r="F292" s="7"/>
      <c r="G292" s="7"/>
      <c r="H292" s="7"/>
      <c r="I292" s="7"/>
      <c r="J292" s="1430"/>
      <c r="M292" s="336"/>
      <c r="N292" s="7"/>
      <c r="O292" s="7"/>
      <c r="P292" s="7"/>
      <c r="Q292" s="7"/>
      <c r="R292" s="7"/>
      <c r="S292" s="7"/>
      <c r="T292" s="7"/>
      <c r="U292" s="1430"/>
      <c r="V292" s="4"/>
      <c r="W292" s="4"/>
      <c r="X292" s="336"/>
      <c r="Y292" s="7"/>
      <c r="Z292" s="7"/>
      <c r="AA292" s="7"/>
      <c r="AB292" s="7"/>
      <c r="AC292" s="7"/>
      <c r="AD292" s="7"/>
      <c r="AE292" s="7"/>
      <c r="AF292" s="114"/>
      <c r="AG292" s="4"/>
      <c r="AH292" s="4"/>
      <c r="AI292" s="336"/>
      <c r="AJ292" s="7"/>
      <c r="AK292" s="7"/>
      <c r="AL292" s="7"/>
      <c r="AM292" s="7"/>
      <c r="AN292" s="7"/>
      <c r="AO292" s="7"/>
      <c r="AP292" s="7"/>
      <c r="AQ292" s="114"/>
      <c r="AR292" s="4"/>
      <c r="AS292" s="336"/>
      <c r="AT292" s="7"/>
      <c r="AU292" s="7"/>
      <c r="AV292" s="7"/>
      <c r="AW292" s="7"/>
      <c r="AX292" s="7"/>
      <c r="AY292" s="7"/>
      <c r="AZ292" s="7"/>
      <c r="BA292" s="1430"/>
      <c r="BD292" s="4"/>
    </row>
    <row r="293" spans="1:57" x14ac:dyDescent="0.3">
      <c r="B293" s="10"/>
      <c r="C293" s="7"/>
      <c r="D293" s="7"/>
      <c r="E293" s="7"/>
      <c r="F293" s="7"/>
      <c r="G293" s="7"/>
      <c r="H293" s="7"/>
      <c r="I293" s="7"/>
      <c r="J293" s="1415"/>
      <c r="M293" s="10"/>
      <c r="N293" s="7"/>
      <c r="O293" s="7"/>
      <c r="P293" s="7"/>
      <c r="Q293" s="7"/>
      <c r="R293" s="7"/>
      <c r="S293" s="7"/>
      <c r="T293" s="7"/>
      <c r="U293" s="1415"/>
      <c r="V293" s="4"/>
      <c r="W293" s="4"/>
      <c r="X293" s="10"/>
      <c r="Y293" s="7"/>
      <c r="Z293" s="7"/>
      <c r="AA293" s="7"/>
      <c r="AB293" s="7"/>
      <c r="AC293" s="7"/>
      <c r="AD293" s="7"/>
      <c r="AE293" s="7"/>
      <c r="AF293" s="114"/>
      <c r="AG293" s="4"/>
      <c r="AH293" s="4"/>
      <c r="AI293" s="10"/>
      <c r="AJ293" s="7"/>
      <c r="AK293" s="7"/>
      <c r="AL293" s="7"/>
      <c r="AM293" s="7"/>
      <c r="AN293" s="7"/>
      <c r="AO293" s="7"/>
      <c r="AP293" s="7"/>
      <c r="AQ293" s="114"/>
      <c r="AR293" s="4"/>
      <c r="AS293" s="336"/>
      <c r="AT293" s="7"/>
      <c r="AU293" s="336"/>
      <c r="AV293" s="7"/>
      <c r="AW293" s="7"/>
      <c r="AX293" s="7"/>
      <c r="AY293" s="7"/>
      <c r="AZ293" s="7"/>
      <c r="BA293" s="1430"/>
      <c r="BD293" s="4"/>
    </row>
    <row r="294" spans="1:57" s="238" customFormat="1" x14ac:dyDescent="0.25">
      <c r="B294" s="1430"/>
      <c r="C294" s="1430" t="s">
        <v>0</v>
      </c>
      <c r="D294" s="1430"/>
      <c r="E294" s="1430">
        <f t="shared" ref="E294:J294" si="55">SUM(E283:E293)</f>
        <v>0</v>
      </c>
      <c r="F294" s="1430">
        <f t="shared" si="55"/>
        <v>0</v>
      </c>
      <c r="G294" s="1430">
        <f t="shared" si="55"/>
        <v>0</v>
      </c>
      <c r="H294" s="1430">
        <f t="shared" si="55"/>
        <v>0</v>
      </c>
      <c r="I294" s="1430">
        <f t="shared" si="55"/>
        <v>0</v>
      </c>
      <c r="J294" s="1430">
        <f t="shared" si="55"/>
        <v>0</v>
      </c>
      <c r="M294" s="1430"/>
      <c r="N294" s="1430" t="s">
        <v>0</v>
      </c>
      <c r="O294" s="1430"/>
      <c r="P294" s="1430">
        <f t="shared" ref="P294:U294" si="56">SUM(P283:P293)</f>
        <v>0</v>
      </c>
      <c r="Q294" s="1430">
        <f t="shared" si="56"/>
        <v>0</v>
      </c>
      <c r="R294" s="1430">
        <f t="shared" si="56"/>
        <v>0</v>
      </c>
      <c r="S294" s="1430">
        <f t="shared" si="56"/>
        <v>0</v>
      </c>
      <c r="T294" s="1430">
        <f t="shared" si="56"/>
        <v>0</v>
      </c>
      <c r="U294" s="1430">
        <f t="shared" si="56"/>
        <v>0</v>
      </c>
      <c r="X294" s="1430"/>
      <c r="Y294" s="1430" t="s">
        <v>0</v>
      </c>
      <c r="Z294" s="1430"/>
      <c r="AA294" s="1430">
        <f t="shared" ref="AA294:AF294" si="57">SUM(AA283:AA293)</f>
        <v>0</v>
      </c>
      <c r="AB294" s="1430">
        <f t="shared" si="57"/>
        <v>0</v>
      </c>
      <c r="AC294" s="1430">
        <f t="shared" si="57"/>
        <v>0</v>
      </c>
      <c r="AD294" s="1430">
        <f t="shared" si="57"/>
        <v>0</v>
      </c>
      <c r="AE294" s="1430">
        <f t="shared" si="57"/>
        <v>0</v>
      </c>
      <c r="AF294" s="1430">
        <f t="shared" si="57"/>
        <v>0</v>
      </c>
      <c r="AI294" s="1430"/>
      <c r="AJ294" s="1430" t="s">
        <v>0</v>
      </c>
      <c r="AK294" s="1430"/>
      <c r="AL294" s="1430">
        <f t="shared" ref="AL294:AQ294" si="58">SUM(AL283:AL293)</f>
        <v>0</v>
      </c>
      <c r="AM294" s="1430">
        <f t="shared" si="58"/>
        <v>0</v>
      </c>
      <c r="AN294" s="1430">
        <f t="shared" si="58"/>
        <v>0</v>
      </c>
      <c r="AO294" s="1430">
        <f t="shared" si="58"/>
        <v>0</v>
      </c>
      <c r="AP294" s="1430">
        <f t="shared" si="58"/>
        <v>0</v>
      </c>
      <c r="AQ294" s="1430">
        <f t="shared" si="58"/>
        <v>0</v>
      </c>
      <c r="AS294" s="1430"/>
      <c r="AT294" s="1430" t="s">
        <v>0</v>
      </c>
      <c r="AU294" s="1430"/>
      <c r="AV294" s="1430">
        <f t="shared" ref="AV294:BA294" si="59">SUM(AV283:AV293)</f>
        <v>0</v>
      </c>
      <c r="AW294" s="1430">
        <f t="shared" si="59"/>
        <v>0</v>
      </c>
      <c r="AX294" s="1430">
        <f t="shared" si="59"/>
        <v>0</v>
      </c>
      <c r="AY294" s="1430">
        <f t="shared" si="59"/>
        <v>0</v>
      </c>
      <c r="AZ294" s="1430">
        <f t="shared" si="59"/>
        <v>0</v>
      </c>
      <c r="BA294" s="1430">
        <f t="shared" si="59"/>
        <v>0</v>
      </c>
    </row>
    <row r="295" spans="1:57" x14ac:dyDescent="0.3">
      <c r="A295" s="1"/>
      <c r="B295" s="1"/>
      <c r="C295" s="1"/>
      <c r="D295" s="1"/>
      <c r="E295" s="1"/>
      <c r="F295" s="1"/>
      <c r="G295" s="1"/>
      <c r="H295" s="1"/>
      <c r="I295" s="1"/>
      <c r="J295" s="1423"/>
      <c r="K295" s="1"/>
      <c r="AU295" s="1433"/>
      <c r="AV295" s="1"/>
      <c r="AW295" s="1"/>
      <c r="AX295" s="1"/>
      <c r="AY295" s="1"/>
      <c r="AZ295" s="1"/>
      <c r="BA295" s="1434"/>
    </row>
    <row r="296" spans="1:57" x14ac:dyDescent="0.3">
      <c r="A296" s="1"/>
      <c r="B296" s="1"/>
      <c r="C296" s="1"/>
      <c r="D296" s="1"/>
      <c r="E296" s="1"/>
      <c r="F296" s="1"/>
      <c r="G296" s="1"/>
      <c r="H296" s="1"/>
      <c r="I296" s="1"/>
      <c r="J296" s="1423"/>
      <c r="K296" s="1"/>
      <c r="AU296" s="1433"/>
      <c r="AV296" s="1"/>
      <c r="AW296" s="1"/>
      <c r="AX296" s="1"/>
      <c r="AY296" s="1"/>
      <c r="AZ296" s="1"/>
      <c r="BA296" s="1434"/>
    </row>
    <row r="297" spans="1:57" x14ac:dyDescent="0.3">
      <c r="A297" s="1"/>
      <c r="B297" s="4109" t="s">
        <v>279</v>
      </c>
      <c r="C297" s="4109"/>
      <c r="D297" s="4109"/>
      <c r="E297" s="4109"/>
      <c r="F297" s="4109"/>
      <c r="G297" s="4109"/>
      <c r="H297" s="4109"/>
      <c r="I297" s="4109"/>
      <c r="J297" s="4109"/>
      <c r="K297" s="1"/>
      <c r="M297" s="4109" t="s">
        <v>345</v>
      </c>
      <c r="N297" s="4109"/>
      <c r="O297" s="4109"/>
      <c r="P297" s="4109"/>
      <c r="Q297" s="4109"/>
      <c r="R297" s="4109"/>
      <c r="S297" s="4109"/>
      <c r="T297" s="4109"/>
      <c r="U297" s="4109"/>
      <c r="X297" s="4109" t="s">
        <v>350</v>
      </c>
      <c r="Y297" s="4109"/>
      <c r="Z297" s="4109"/>
      <c r="AA297" s="4109"/>
      <c r="AB297" s="4109"/>
      <c r="AC297" s="4109"/>
      <c r="AD297" s="4109"/>
      <c r="AE297" s="4109"/>
      <c r="AF297" s="4109"/>
      <c r="AI297" s="4109" t="s">
        <v>608</v>
      </c>
      <c r="AJ297" s="4109"/>
      <c r="AK297" s="4109"/>
      <c r="AL297" s="4109"/>
      <c r="AM297" s="4109"/>
      <c r="AN297" s="4109"/>
      <c r="AO297" s="4109"/>
      <c r="AP297" s="4109"/>
      <c r="AQ297" s="4109"/>
      <c r="AS297" s="4125" t="s">
        <v>3552</v>
      </c>
      <c r="AT297" s="4125"/>
      <c r="AU297" s="4125"/>
      <c r="AV297" s="4125"/>
      <c r="AW297" s="4125"/>
      <c r="AX297" s="4125"/>
      <c r="AY297" s="4125"/>
      <c r="AZ297" s="4125"/>
      <c r="BA297" s="4125"/>
    </row>
    <row r="298" spans="1:57" ht="33" x14ac:dyDescent="0.3">
      <c r="A298" s="1"/>
      <c r="B298" s="20" t="s">
        <v>62</v>
      </c>
      <c r="C298" s="20" t="s">
        <v>184</v>
      </c>
      <c r="D298" s="20" t="s">
        <v>161</v>
      </c>
      <c r="E298" s="63" t="s">
        <v>186</v>
      </c>
      <c r="F298" s="64"/>
      <c r="G298" s="64"/>
      <c r="H298" s="64"/>
      <c r="I298" s="65"/>
      <c r="J298" s="1418" t="s">
        <v>0</v>
      </c>
      <c r="K298" s="1"/>
      <c r="M298" s="20" t="s">
        <v>62</v>
      </c>
      <c r="N298" s="20" t="s">
        <v>184</v>
      </c>
      <c r="O298" s="20" t="s">
        <v>161</v>
      </c>
      <c r="P298" s="63" t="s">
        <v>186</v>
      </c>
      <c r="Q298" s="64"/>
      <c r="R298" s="64"/>
      <c r="S298" s="64"/>
      <c r="T298" s="65"/>
      <c r="U298" s="1418" t="s">
        <v>0</v>
      </c>
      <c r="X298" s="20" t="s">
        <v>62</v>
      </c>
      <c r="Y298" s="20" t="s">
        <v>184</v>
      </c>
      <c r="Z298" s="20" t="s">
        <v>161</v>
      </c>
      <c r="AA298" s="63" t="s">
        <v>186</v>
      </c>
      <c r="AB298" s="64"/>
      <c r="AC298" s="64"/>
      <c r="AD298" s="64"/>
      <c r="AE298" s="65"/>
      <c r="AF298" s="1418" t="s">
        <v>0</v>
      </c>
      <c r="AI298" s="20" t="s">
        <v>62</v>
      </c>
      <c r="AJ298" s="20" t="s">
        <v>184</v>
      </c>
      <c r="AK298" s="20" t="s">
        <v>161</v>
      </c>
      <c r="AL298" s="63" t="s">
        <v>186</v>
      </c>
      <c r="AM298" s="64"/>
      <c r="AN298" s="64"/>
      <c r="AO298" s="64"/>
      <c r="AP298" s="65"/>
      <c r="AQ298" s="1418" t="s">
        <v>0</v>
      </c>
      <c r="AS298" s="4111" t="s">
        <v>62</v>
      </c>
      <c r="AT298" s="4111" t="s">
        <v>184</v>
      </c>
      <c r="AU298" s="4111" t="s">
        <v>161</v>
      </c>
      <c r="AV298" s="4113" t="s">
        <v>186</v>
      </c>
      <c r="AW298" s="4114"/>
      <c r="AX298" s="4114"/>
      <c r="AY298" s="4114"/>
      <c r="AZ298" s="4115"/>
      <c r="BA298" s="4111" t="s">
        <v>0</v>
      </c>
    </row>
    <row r="299" spans="1:57" ht="33" x14ac:dyDescent="0.3">
      <c r="A299" s="1"/>
      <c r="B299" s="62"/>
      <c r="C299" s="62"/>
      <c r="D299" s="62"/>
      <c r="E299" s="20" t="s">
        <v>277</v>
      </c>
      <c r="F299" s="20" t="s">
        <v>272</v>
      </c>
      <c r="G299" s="20" t="s">
        <v>273</v>
      </c>
      <c r="H299" s="20" t="s">
        <v>274</v>
      </c>
      <c r="I299" s="20" t="s">
        <v>275</v>
      </c>
      <c r="J299" s="1419"/>
      <c r="K299" s="1"/>
      <c r="M299" s="62"/>
      <c r="N299" s="62"/>
      <c r="O299" s="62"/>
      <c r="P299" s="20" t="s">
        <v>277</v>
      </c>
      <c r="Q299" s="20" t="s">
        <v>272</v>
      </c>
      <c r="R299" s="20" t="s">
        <v>273</v>
      </c>
      <c r="S299" s="20" t="s">
        <v>274</v>
      </c>
      <c r="T299" s="20" t="s">
        <v>275</v>
      </c>
      <c r="U299" s="1419"/>
      <c r="X299" s="62"/>
      <c r="Y299" s="62"/>
      <c r="Z299" s="62"/>
      <c r="AA299" s="20" t="s">
        <v>277</v>
      </c>
      <c r="AB299" s="20" t="s">
        <v>272</v>
      </c>
      <c r="AC299" s="20" t="s">
        <v>273</v>
      </c>
      <c r="AD299" s="20" t="s">
        <v>274</v>
      </c>
      <c r="AE299" s="20" t="s">
        <v>275</v>
      </c>
      <c r="AF299" s="1419"/>
      <c r="AI299" s="62"/>
      <c r="AJ299" s="62"/>
      <c r="AK299" s="62"/>
      <c r="AL299" s="20" t="s">
        <v>277</v>
      </c>
      <c r="AM299" s="20" t="s">
        <v>272</v>
      </c>
      <c r="AN299" s="20" t="s">
        <v>273</v>
      </c>
      <c r="AO299" s="20" t="s">
        <v>274</v>
      </c>
      <c r="AP299" s="20" t="s">
        <v>275</v>
      </c>
      <c r="AQ299" s="1419"/>
      <c r="AS299" s="4112"/>
      <c r="AT299" s="4112"/>
      <c r="AU299" s="4112"/>
      <c r="AV299" s="20" t="s">
        <v>277</v>
      </c>
      <c r="AW299" s="20" t="s">
        <v>272</v>
      </c>
      <c r="AX299" s="20" t="s">
        <v>273</v>
      </c>
      <c r="AY299" s="20" t="s">
        <v>274</v>
      </c>
      <c r="AZ299" s="20" t="s">
        <v>275</v>
      </c>
      <c r="BA299" s="4112"/>
    </row>
    <row r="300" spans="1:57" s="318" customFormat="1" x14ac:dyDescent="0.3">
      <c r="B300" s="234"/>
      <c r="C300" s="237"/>
      <c r="D300" s="237"/>
      <c r="E300" s="236"/>
      <c r="F300" s="236"/>
      <c r="G300" s="236"/>
      <c r="H300" s="236"/>
      <c r="I300" s="236"/>
      <c r="J300" s="3846"/>
      <c r="M300" s="234"/>
      <c r="N300" s="236"/>
      <c r="O300" s="236"/>
      <c r="P300" s="236"/>
      <c r="Q300" s="236"/>
      <c r="R300" s="236"/>
      <c r="S300" s="236"/>
      <c r="T300" s="236"/>
      <c r="U300" s="3846"/>
      <c r="X300" s="234"/>
      <c r="Y300" s="236"/>
      <c r="Z300" s="236"/>
      <c r="AA300" s="236"/>
      <c r="AB300" s="236"/>
      <c r="AC300" s="236"/>
      <c r="AD300" s="236"/>
      <c r="AE300" s="236"/>
      <c r="AF300" s="3847"/>
      <c r="AI300" s="234"/>
      <c r="AJ300" s="236"/>
      <c r="AK300" s="236"/>
      <c r="AL300" s="236"/>
      <c r="AM300" s="236"/>
      <c r="AN300" s="236"/>
      <c r="AO300" s="236"/>
      <c r="AP300" s="236"/>
      <c r="AQ300" s="3847"/>
      <c r="AS300" s="234"/>
      <c r="AT300" s="236"/>
      <c r="AU300" s="236"/>
      <c r="AV300" s="236"/>
      <c r="AW300" s="236"/>
      <c r="AX300" s="236"/>
      <c r="AY300" s="236"/>
      <c r="AZ300" s="236"/>
      <c r="BA300" s="3846"/>
      <c r="BE300" s="328"/>
    </row>
    <row r="301" spans="1:57" s="318" customFormat="1" x14ac:dyDescent="0.3">
      <c r="B301" s="234"/>
      <c r="C301" s="237"/>
      <c r="D301" s="237"/>
      <c r="E301" s="236"/>
      <c r="F301" s="236"/>
      <c r="G301" s="236"/>
      <c r="H301" s="236"/>
      <c r="I301" s="236"/>
      <c r="J301" s="3846"/>
      <c r="M301" s="234"/>
      <c r="N301" s="236"/>
      <c r="O301" s="236"/>
      <c r="P301" s="236"/>
      <c r="Q301" s="236"/>
      <c r="R301" s="236"/>
      <c r="S301" s="236"/>
      <c r="T301" s="236"/>
      <c r="U301" s="3846"/>
      <c r="X301" s="234"/>
      <c r="Y301" s="236"/>
      <c r="Z301" s="236"/>
      <c r="AA301" s="236"/>
      <c r="AB301" s="236"/>
      <c r="AC301" s="236"/>
      <c r="AD301" s="236"/>
      <c r="AE301" s="236"/>
      <c r="AF301" s="3847"/>
      <c r="AI301" s="234"/>
      <c r="AJ301" s="236"/>
      <c r="AK301" s="236"/>
      <c r="AL301" s="236"/>
      <c r="AM301" s="236"/>
      <c r="AN301" s="236"/>
      <c r="AO301" s="236"/>
      <c r="AP301" s="236"/>
      <c r="AQ301" s="3847"/>
      <c r="AS301" s="234"/>
      <c r="AT301" s="236"/>
      <c r="AU301" s="236"/>
      <c r="AV301" s="236"/>
      <c r="AW301" s="236"/>
      <c r="AX301" s="236"/>
      <c r="AY301" s="236"/>
      <c r="AZ301" s="236"/>
      <c r="BA301" s="3846"/>
      <c r="BE301" s="328"/>
    </row>
    <row r="302" spans="1:57" s="318" customFormat="1" x14ac:dyDescent="0.3">
      <c r="B302" s="234"/>
      <c r="C302" s="236"/>
      <c r="D302" s="236"/>
      <c r="E302" s="236"/>
      <c r="F302" s="236"/>
      <c r="G302" s="236"/>
      <c r="H302" s="236"/>
      <c r="I302" s="236"/>
      <c r="J302" s="3846"/>
      <c r="M302" s="234"/>
      <c r="N302" s="236"/>
      <c r="O302" s="236"/>
      <c r="P302" s="236"/>
      <c r="Q302" s="236"/>
      <c r="R302" s="236"/>
      <c r="S302" s="236"/>
      <c r="T302" s="236"/>
      <c r="U302" s="3846"/>
      <c r="X302" s="234"/>
      <c r="Y302" s="236"/>
      <c r="Z302" s="236"/>
      <c r="AA302" s="236"/>
      <c r="AB302" s="236"/>
      <c r="AC302" s="236"/>
      <c r="AD302" s="236"/>
      <c r="AE302" s="236"/>
      <c r="AF302" s="3847"/>
      <c r="AI302" s="234"/>
      <c r="AJ302" s="236"/>
      <c r="AK302" s="236"/>
      <c r="AL302" s="236"/>
      <c r="AM302" s="236"/>
      <c r="AN302" s="236"/>
      <c r="AO302" s="236"/>
      <c r="AP302" s="236"/>
      <c r="AQ302" s="3847"/>
      <c r="AS302" s="234"/>
      <c r="AT302" s="236"/>
      <c r="AU302" s="236"/>
      <c r="AV302" s="236"/>
      <c r="AW302" s="236"/>
      <c r="AX302" s="236"/>
      <c r="AY302" s="236"/>
      <c r="AZ302" s="236"/>
      <c r="BA302" s="3846"/>
      <c r="BE302" s="328"/>
    </row>
    <row r="303" spans="1:57" s="318" customFormat="1" x14ac:dyDescent="0.3">
      <c r="B303" s="234"/>
      <c r="C303" s="236"/>
      <c r="D303" s="236"/>
      <c r="E303" s="236"/>
      <c r="F303" s="236"/>
      <c r="G303" s="236"/>
      <c r="H303" s="236"/>
      <c r="I303" s="236"/>
      <c r="J303" s="3846"/>
      <c r="M303" s="234"/>
      <c r="N303" s="236"/>
      <c r="O303" s="236"/>
      <c r="P303" s="236"/>
      <c r="Q303" s="236"/>
      <c r="R303" s="236"/>
      <c r="S303" s="236"/>
      <c r="T303" s="236"/>
      <c r="U303" s="3846"/>
      <c r="X303" s="234"/>
      <c r="Y303" s="236"/>
      <c r="Z303" s="236"/>
      <c r="AA303" s="236"/>
      <c r="AB303" s="236"/>
      <c r="AC303" s="236"/>
      <c r="AD303" s="236"/>
      <c r="AE303" s="236"/>
      <c r="AF303" s="3847"/>
      <c r="AI303" s="234"/>
      <c r="AJ303" s="236"/>
      <c r="AK303" s="236"/>
      <c r="AL303" s="236"/>
      <c r="AM303" s="236"/>
      <c r="AN303" s="236"/>
      <c r="AO303" s="236"/>
      <c r="AP303" s="236"/>
      <c r="AQ303" s="3847"/>
      <c r="AS303" s="234"/>
      <c r="AT303" s="236"/>
      <c r="AU303" s="236"/>
      <c r="AV303" s="236"/>
      <c r="AW303" s="236"/>
      <c r="AX303" s="236"/>
      <c r="AY303" s="236"/>
      <c r="AZ303" s="236"/>
      <c r="BA303" s="3846"/>
      <c r="BE303" s="328"/>
    </row>
    <row r="304" spans="1:57" s="318" customFormat="1" x14ac:dyDescent="0.3">
      <c r="B304" s="234"/>
      <c r="C304" s="236"/>
      <c r="D304" s="236"/>
      <c r="E304" s="236"/>
      <c r="F304" s="236"/>
      <c r="G304" s="236"/>
      <c r="H304" s="236"/>
      <c r="I304" s="236"/>
      <c r="J304" s="3846"/>
      <c r="M304" s="234"/>
      <c r="N304" s="236"/>
      <c r="O304" s="236"/>
      <c r="P304" s="236"/>
      <c r="Q304" s="236"/>
      <c r="R304" s="236"/>
      <c r="S304" s="236"/>
      <c r="T304" s="236"/>
      <c r="U304" s="3846"/>
      <c r="X304" s="234"/>
      <c r="Y304" s="236"/>
      <c r="Z304" s="236"/>
      <c r="AA304" s="236"/>
      <c r="AB304" s="236"/>
      <c r="AC304" s="236"/>
      <c r="AD304" s="236"/>
      <c r="AE304" s="236"/>
      <c r="AF304" s="3847"/>
      <c r="AI304" s="234"/>
      <c r="AJ304" s="236"/>
      <c r="AK304" s="236"/>
      <c r="AL304" s="236"/>
      <c r="AM304" s="236"/>
      <c r="AN304" s="236"/>
      <c r="AO304" s="236"/>
      <c r="AP304" s="236"/>
      <c r="AQ304" s="3847"/>
      <c r="AS304" s="234"/>
      <c r="AT304" s="236"/>
      <c r="AU304" s="236"/>
      <c r="AV304" s="236"/>
      <c r="AW304" s="236"/>
      <c r="AX304" s="236"/>
      <c r="AY304" s="236"/>
      <c r="AZ304" s="236"/>
      <c r="BA304" s="3846"/>
      <c r="BE304" s="328"/>
    </row>
    <row r="305" spans="1:57" s="318" customFormat="1" x14ac:dyDescent="0.3">
      <c r="B305" s="234"/>
      <c r="C305" s="236"/>
      <c r="D305" s="236"/>
      <c r="E305" s="236"/>
      <c r="F305" s="236"/>
      <c r="G305" s="236"/>
      <c r="H305" s="236"/>
      <c r="I305" s="236"/>
      <c r="J305" s="3846"/>
      <c r="M305" s="234"/>
      <c r="N305" s="236"/>
      <c r="O305" s="236"/>
      <c r="P305" s="236"/>
      <c r="Q305" s="236"/>
      <c r="R305" s="236"/>
      <c r="S305" s="236"/>
      <c r="T305" s="236"/>
      <c r="U305" s="3846"/>
      <c r="X305" s="234"/>
      <c r="Y305" s="236"/>
      <c r="Z305" s="236"/>
      <c r="AA305" s="236"/>
      <c r="AB305" s="236"/>
      <c r="AC305" s="236"/>
      <c r="AD305" s="236"/>
      <c r="AE305" s="236"/>
      <c r="AF305" s="3847"/>
      <c r="AI305" s="234"/>
      <c r="AJ305" s="236"/>
      <c r="AK305" s="236"/>
      <c r="AL305" s="236"/>
      <c r="AM305" s="236"/>
      <c r="AN305" s="236"/>
      <c r="AO305" s="236"/>
      <c r="AP305" s="236"/>
      <c r="AQ305" s="3847"/>
      <c r="AS305" s="234"/>
      <c r="AT305" s="236"/>
      <c r="AU305" s="236"/>
      <c r="AV305" s="236"/>
      <c r="AW305" s="236"/>
      <c r="AX305" s="236"/>
      <c r="AY305" s="236"/>
      <c r="AZ305" s="236"/>
      <c r="BA305" s="3846"/>
      <c r="BE305" s="328"/>
    </row>
    <row r="306" spans="1:57" s="318" customFormat="1" x14ac:dyDescent="0.3">
      <c r="B306" s="234"/>
      <c r="C306" s="236"/>
      <c r="D306" s="236"/>
      <c r="E306" s="236"/>
      <c r="F306" s="236"/>
      <c r="G306" s="236"/>
      <c r="H306" s="236"/>
      <c r="I306" s="236"/>
      <c r="J306" s="3846"/>
      <c r="M306" s="234"/>
      <c r="N306" s="236"/>
      <c r="O306" s="236"/>
      <c r="P306" s="236"/>
      <c r="Q306" s="236"/>
      <c r="R306" s="236"/>
      <c r="S306" s="236"/>
      <c r="T306" s="236"/>
      <c r="U306" s="3846"/>
      <c r="X306" s="234"/>
      <c r="Y306" s="236"/>
      <c r="Z306" s="236"/>
      <c r="AA306" s="236"/>
      <c r="AB306" s="236"/>
      <c r="AC306" s="236"/>
      <c r="AD306" s="236"/>
      <c r="AE306" s="236"/>
      <c r="AF306" s="3847"/>
      <c r="AI306" s="234"/>
      <c r="AJ306" s="236"/>
      <c r="AK306" s="236"/>
      <c r="AL306" s="236"/>
      <c r="AM306" s="236"/>
      <c r="AN306" s="236"/>
      <c r="AO306" s="236"/>
      <c r="AP306" s="236"/>
      <c r="AQ306" s="3847"/>
      <c r="AS306" s="234"/>
      <c r="AT306" s="236"/>
      <c r="AU306" s="236"/>
      <c r="AV306" s="236"/>
      <c r="AW306" s="236"/>
      <c r="AX306" s="236"/>
      <c r="AY306" s="236"/>
      <c r="AZ306" s="236"/>
      <c r="BA306" s="3846"/>
      <c r="BE306" s="328"/>
    </row>
    <row r="307" spans="1:57" s="318" customFormat="1" x14ac:dyDescent="0.3">
      <c r="B307" s="234"/>
      <c r="C307" s="236"/>
      <c r="D307" s="236"/>
      <c r="E307" s="236"/>
      <c r="F307" s="236"/>
      <c r="G307" s="236"/>
      <c r="H307" s="236"/>
      <c r="I307" s="236"/>
      <c r="J307" s="3846"/>
      <c r="M307" s="234"/>
      <c r="N307" s="236"/>
      <c r="O307" s="236"/>
      <c r="P307" s="236"/>
      <c r="Q307" s="236"/>
      <c r="R307" s="236"/>
      <c r="S307" s="236"/>
      <c r="T307" s="236"/>
      <c r="U307" s="3846"/>
      <c r="X307" s="234"/>
      <c r="Y307" s="236"/>
      <c r="Z307" s="236"/>
      <c r="AA307" s="236"/>
      <c r="AB307" s="236"/>
      <c r="AC307" s="236"/>
      <c r="AD307" s="236"/>
      <c r="AE307" s="236"/>
      <c r="AF307" s="3847"/>
      <c r="AI307" s="234"/>
      <c r="AJ307" s="236"/>
      <c r="AK307" s="236"/>
      <c r="AL307" s="236"/>
      <c r="AM307" s="236"/>
      <c r="AN307" s="236"/>
      <c r="AO307" s="236"/>
      <c r="AP307" s="236"/>
      <c r="AQ307" s="3847"/>
      <c r="AS307" s="234"/>
      <c r="AT307" s="236"/>
      <c r="AU307" s="236"/>
      <c r="AV307" s="236"/>
      <c r="AW307" s="236"/>
      <c r="AX307" s="236"/>
      <c r="AY307" s="236"/>
      <c r="AZ307" s="236"/>
      <c r="BA307" s="3846"/>
      <c r="BE307" s="328"/>
    </row>
    <row r="308" spans="1:57" s="318" customFormat="1" x14ac:dyDescent="0.3">
      <c r="B308" s="234"/>
      <c r="C308" s="236"/>
      <c r="D308" s="236"/>
      <c r="E308" s="236"/>
      <c r="F308" s="236"/>
      <c r="G308" s="236"/>
      <c r="H308" s="236"/>
      <c r="I308" s="236"/>
      <c r="J308" s="3846"/>
      <c r="M308" s="234"/>
      <c r="N308" s="236"/>
      <c r="O308" s="236"/>
      <c r="P308" s="236"/>
      <c r="Q308" s="236"/>
      <c r="R308" s="236"/>
      <c r="S308" s="236"/>
      <c r="T308" s="236"/>
      <c r="U308" s="3846"/>
      <c r="X308" s="234"/>
      <c r="Y308" s="236"/>
      <c r="Z308" s="236"/>
      <c r="AA308" s="236"/>
      <c r="AB308" s="236"/>
      <c r="AC308" s="236"/>
      <c r="AD308" s="236"/>
      <c r="AE308" s="236"/>
      <c r="AF308" s="3847"/>
      <c r="AI308" s="234"/>
      <c r="AJ308" s="236"/>
      <c r="AK308" s="236"/>
      <c r="AL308" s="236"/>
      <c r="AM308" s="236"/>
      <c r="AN308" s="236"/>
      <c r="AO308" s="236"/>
      <c r="AP308" s="236"/>
      <c r="AQ308" s="3847"/>
      <c r="AS308" s="234"/>
      <c r="AT308" s="236"/>
      <c r="AU308" s="236"/>
      <c r="AV308" s="236"/>
      <c r="AW308" s="236"/>
      <c r="AX308" s="236"/>
      <c r="AY308" s="236"/>
      <c r="AZ308" s="236"/>
      <c r="BA308" s="3846"/>
      <c r="BE308" s="328"/>
    </row>
    <row r="309" spans="1:57" s="318" customFormat="1" x14ac:dyDescent="0.3">
      <c r="B309" s="234"/>
      <c r="C309" s="236"/>
      <c r="D309" s="236"/>
      <c r="E309" s="236"/>
      <c r="F309" s="236"/>
      <c r="G309" s="236"/>
      <c r="H309" s="236"/>
      <c r="I309" s="236"/>
      <c r="J309" s="3846"/>
      <c r="M309" s="234"/>
      <c r="N309" s="236"/>
      <c r="O309" s="236"/>
      <c r="P309" s="236"/>
      <c r="Q309" s="236"/>
      <c r="R309" s="236"/>
      <c r="S309" s="236"/>
      <c r="T309" s="236"/>
      <c r="U309" s="3846"/>
      <c r="X309" s="234"/>
      <c r="Y309" s="236"/>
      <c r="Z309" s="236"/>
      <c r="AA309" s="236"/>
      <c r="AB309" s="236"/>
      <c r="AC309" s="236"/>
      <c r="AD309" s="236"/>
      <c r="AE309" s="236"/>
      <c r="AF309" s="3847"/>
      <c r="AI309" s="234"/>
      <c r="AJ309" s="236"/>
      <c r="AK309" s="236"/>
      <c r="AL309" s="236"/>
      <c r="AM309" s="236"/>
      <c r="AN309" s="236"/>
      <c r="AO309" s="236"/>
      <c r="AP309" s="236"/>
      <c r="AQ309" s="3847"/>
      <c r="AS309" s="234"/>
      <c r="AT309" s="236"/>
      <c r="AU309" s="236"/>
      <c r="AV309" s="236"/>
      <c r="AW309" s="236"/>
      <c r="AX309" s="236"/>
      <c r="AY309" s="236"/>
      <c r="AZ309" s="236"/>
      <c r="BA309" s="3846"/>
      <c r="BE309" s="328"/>
    </row>
    <row r="310" spans="1:57" s="318" customFormat="1" x14ac:dyDescent="0.3">
      <c r="B310" s="234"/>
      <c r="C310" s="236"/>
      <c r="D310" s="236"/>
      <c r="E310" s="236"/>
      <c r="F310" s="236"/>
      <c r="G310" s="236"/>
      <c r="H310" s="236"/>
      <c r="I310" s="236"/>
      <c r="J310" s="3846"/>
      <c r="M310" s="234"/>
      <c r="N310" s="236"/>
      <c r="O310" s="236"/>
      <c r="P310" s="236"/>
      <c r="Q310" s="236"/>
      <c r="R310" s="236"/>
      <c r="S310" s="236"/>
      <c r="T310" s="236"/>
      <c r="U310" s="3846"/>
      <c r="X310" s="234"/>
      <c r="Y310" s="236"/>
      <c r="Z310" s="236"/>
      <c r="AA310" s="236"/>
      <c r="AB310" s="236"/>
      <c r="AC310" s="236"/>
      <c r="AD310" s="236"/>
      <c r="AE310" s="236"/>
      <c r="AF310" s="3847"/>
      <c r="AI310" s="234"/>
      <c r="AJ310" s="236"/>
      <c r="AK310" s="236"/>
      <c r="AL310" s="236"/>
      <c r="AM310" s="236"/>
      <c r="AN310" s="236"/>
      <c r="AO310" s="236"/>
      <c r="AP310" s="236"/>
      <c r="AQ310" s="3847"/>
      <c r="AS310" s="234"/>
      <c r="AT310" s="236"/>
      <c r="AU310" s="234"/>
      <c r="AV310" s="236"/>
      <c r="AW310" s="236"/>
      <c r="AX310" s="236"/>
      <c r="AY310" s="236"/>
      <c r="AZ310" s="236"/>
      <c r="BA310" s="3846"/>
      <c r="BE310" s="328"/>
    </row>
    <row r="311" spans="1:57" s="238" customFormat="1" x14ac:dyDescent="0.25">
      <c r="B311" s="1430"/>
      <c r="C311" s="1430" t="s">
        <v>0</v>
      </c>
      <c r="D311" s="1430"/>
      <c r="E311" s="1430">
        <f t="shared" ref="E311:J311" si="60">SUM(E300:E310)</f>
        <v>0</v>
      </c>
      <c r="F311" s="1430">
        <f t="shared" si="60"/>
        <v>0</v>
      </c>
      <c r="G311" s="1430">
        <f t="shared" si="60"/>
        <v>0</v>
      </c>
      <c r="H311" s="1430">
        <f t="shared" si="60"/>
        <v>0</v>
      </c>
      <c r="I311" s="1430">
        <f t="shared" si="60"/>
        <v>0</v>
      </c>
      <c r="J311" s="1430">
        <f t="shared" si="60"/>
        <v>0</v>
      </c>
      <c r="M311" s="1430"/>
      <c r="N311" s="1430" t="s">
        <v>0</v>
      </c>
      <c r="O311" s="1430"/>
      <c r="P311" s="1430">
        <f t="shared" ref="P311:U311" si="61">SUM(P300:P310)</f>
        <v>0</v>
      </c>
      <c r="Q311" s="1430">
        <f t="shared" si="61"/>
        <v>0</v>
      </c>
      <c r="R311" s="1430">
        <f t="shared" si="61"/>
        <v>0</v>
      </c>
      <c r="S311" s="1430">
        <f t="shared" si="61"/>
        <v>0</v>
      </c>
      <c r="T311" s="1430">
        <f t="shared" si="61"/>
        <v>0</v>
      </c>
      <c r="U311" s="1430">
        <f t="shared" si="61"/>
        <v>0</v>
      </c>
      <c r="X311" s="1430"/>
      <c r="Y311" s="1430" t="s">
        <v>0</v>
      </c>
      <c r="Z311" s="1430"/>
      <c r="AA311" s="1430">
        <f t="shared" ref="AA311:AF311" si="62">SUM(AA300:AA310)</f>
        <v>0</v>
      </c>
      <c r="AB311" s="1430">
        <f t="shared" si="62"/>
        <v>0</v>
      </c>
      <c r="AC311" s="1430">
        <f t="shared" si="62"/>
        <v>0</v>
      </c>
      <c r="AD311" s="1430">
        <f t="shared" si="62"/>
        <v>0</v>
      </c>
      <c r="AE311" s="1430">
        <f t="shared" si="62"/>
        <v>0</v>
      </c>
      <c r="AF311" s="1430">
        <f t="shared" si="62"/>
        <v>0</v>
      </c>
      <c r="AI311" s="1430"/>
      <c r="AJ311" s="1430" t="s">
        <v>0</v>
      </c>
      <c r="AK311" s="1430"/>
      <c r="AL311" s="1430">
        <f>SUM(AL300:AL310)</f>
        <v>0</v>
      </c>
      <c r="AM311" s="1430">
        <f>SUM(AM300:AM310)</f>
        <v>0</v>
      </c>
      <c r="AN311" s="1430">
        <f>SUM(AN300:AN310)</f>
        <v>0</v>
      </c>
      <c r="AO311" s="1430">
        <f>SUM(AO300:AO310)</f>
        <v>0</v>
      </c>
      <c r="AP311" s="1430">
        <f>SUM(AP300:AP310)</f>
        <v>0</v>
      </c>
      <c r="AQ311" s="1430">
        <f t="shared" ref="AQ311" si="63">SUM(AL311:AP311)</f>
        <v>0</v>
      </c>
      <c r="AS311" s="1430"/>
      <c r="AT311" s="1430" t="s">
        <v>0</v>
      </c>
      <c r="AU311" s="1430"/>
      <c r="AV311" s="1430">
        <f t="shared" ref="AV311:BA311" si="64">SUM(AV300:AV310)</f>
        <v>0</v>
      </c>
      <c r="AW311" s="1430">
        <f t="shared" si="64"/>
        <v>0</v>
      </c>
      <c r="AX311" s="1430">
        <f t="shared" si="64"/>
        <v>0</v>
      </c>
      <c r="AY311" s="1430">
        <f t="shared" si="64"/>
        <v>0</v>
      </c>
      <c r="AZ311" s="1430">
        <f t="shared" si="64"/>
        <v>0</v>
      </c>
      <c r="BA311" s="1430">
        <f t="shared" si="64"/>
        <v>0</v>
      </c>
    </row>
    <row r="312" spans="1:57" x14ac:dyDescent="0.3">
      <c r="A312" s="1"/>
      <c r="B312" s="1"/>
      <c r="C312" s="1"/>
      <c r="D312" s="1"/>
      <c r="E312" s="1"/>
      <c r="F312" s="1"/>
      <c r="G312" s="1"/>
      <c r="H312" s="1"/>
      <c r="I312" s="1"/>
      <c r="J312" s="1423"/>
      <c r="K312" s="1"/>
      <c r="AU312" s="1433"/>
      <c r="AV312" s="1"/>
      <c r="AW312" s="1"/>
      <c r="AX312" s="1"/>
      <c r="AY312" s="1"/>
      <c r="AZ312" s="1"/>
      <c r="BA312" s="1434"/>
    </row>
    <row r="313" spans="1:57" x14ac:dyDescent="0.3">
      <c r="A313" s="1"/>
      <c r="B313" s="1"/>
      <c r="C313" s="1"/>
      <c r="D313" s="1"/>
      <c r="E313" s="1"/>
      <c r="F313" s="1"/>
      <c r="G313" s="1"/>
      <c r="H313" s="1"/>
      <c r="I313" s="1"/>
      <c r="J313" s="1423"/>
      <c r="K313" s="1"/>
      <c r="AU313" s="1433"/>
      <c r="AV313" s="1"/>
      <c r="AW313" s="1"/>
      <c r="AX313" s="1"/>
      <c r="AY313" s="1"/>
      <c r="AZ313" s="1"/>
      <c r="BA313" s="1434"/>
    </row>
    <row r="314" spans="1:57" x14ac:dyDescent="0.3">
      <c r="A314" s="1"/>
      <c r="B314" s="4109" t="s">
        <v>278</v>
      </c>
      <c r="C314" s="4109"/>
      <c r="D314" s="4109"/>
      <c r="E314" s="4109"/>
      <c r="F314" s="4109"/>
      <c r="G314" s="4109"/>
      <c r="H314" s="4109"/>
      <c r="I314" s="4109"/>
      <c r="J314" s="4109"/>
      <c r="K314" s="1"/>
      <c r="M314" s="4109" t="s">
        <v>346</v>
      </c>
      <c r="N314" s="4109"/>
      <c r="O314" s="4109"/>
      <c r="P314" s="4109"/>
      <c r="Q314" s="4109"/>
      <c r="R314" s="4109"/>
      <c r="S314" s="4109"/>
      <c r="T314" s="4109"/>
      <c r="U314" s="4109"/>
      <c r="X314" s="4109" t="s">
        <v>351</v>
      </c>
      <c r="Y314" s="4109"/>
      <c r="Z314" s="4109"/>
      <c r="AA314" s="4109"/>
      <c r="AB314" s="4109"/>
      <c r="AC314" s="4109"/>
      <c r="AD314" s="4109"/>
      <c r="AE314" s="4109"/>
      <c r="AF314" s="4109"/>
      <c r="AI314" s="4109" t="s">
        <v>609</v>
      </c>
      <c r="AJ314" s="4109"/>
      <c r="AK314" s="4109"/>
      <c r="AL314" s="4109"/>
      <c r="AM314" s="4109"/>
      <c r="AN314" s="4109"/>
      <c r="AO314" s="4109"/>
      <c r="AP314" s="4109"/>
      <c r="AQ314" s="4109"/>
      <c r="AS314" s="4109" t="s">
        <v>3553</v>
      </c>
      <c r="AT314" s="4109"/>
      <c r="AU314" s="4109"/>
      <c r="AV314" s="4109"/>
      <c r="AW314" s="4109"/>
      <c r="AX314" s="4109"/>
      <c r="AY314" s="4109"/>
      <c r="AZ314" s="4109"/>
      <c r="BA314" s="4109"/>
    </row>
    <row r="315" spans="1:57" ht="33" x14ac:dyDescent="0.3">
      <c r="A315" s="1"/>
      <c r="B315" s="20" t="s">
        <v>62</v>
      </c>
      <c r="C315" s="20" t="s">
        <v>184</v>
      </c>
      <c r="D315" s="20" t="s">
        <v>161</v>
      </c>
      <c r="E315" s="63" t="s">
        <v>186</v>
      </c>
      <c r="F315" s="64"/>
      <c r="G315" s="64"/>
      <c r="H315" s="64"/>
      <c r="I315" s="65"/>
      <c r="J315" s="1418" t="s">
        <v>0</v>
      </c>
      <c r="K315" s="1"/>
      <c r="M315" s="20" t="s">
        <v>62</v>
      </c>
      <c r="N315" s="20" t="s">
        <v>184</v>
      </c>
      <c r="O315" s="20" t="s">
        <v>161</v>
      </c>
      <c r="P315" s="63" t="s">
        <v>186</v>
      </c>
      <c r="Q315" s="64"/>
      <c r="R315" s="64"/>
      <c r="S315" s="64"/>
      <c r="T315" s="65"/>
      <c r="U315" s="1418" t="s">
        <v>0</v>
      </c>
      <c r="X315" s="20" t="s">
        <v>62</v>
      </c>
      <c r="Y315" s="20" t="s">
        <v>184</v>
      </c>
      <c r="Z315" s="20" t="s">
        <v>161</v>
      </c>
      <c r="AA315" s="63" t="s">
        <v>186</v>
      </c>
      <c r="AB315" s="64"/>
      <c r="AC315" s="64"/>
      <c r="AD315" s="64"/>
      <c r="AE315" s="65"/>
      <c r="AF315" s="1418" t="s">
        <v>0</v>
      </c>
      <c r="AI315" s="20" t="s">
        <v>62</v>
      </c>
      <c r="AJ315" s="20" t="s">
        <v>184</v>
      </c>
      <c r="AK315" s="20" t="s">
        <v>161</v>
      </c>
      <c r="AL315" s="63" t="s">
        <v>186</v>
      </c>
      <c r="AM315" s="64"/>
      <c r="AN315" s="64"/>
      <c r="AO315" s="64"/>
      <c r="AP315" s="65"/>
      <c r="AQ315" s="1418" t="s">
        <v>0</v>
      </c>
      <c r="AS315" s="4111" t="s">
        <v>62</v>
      </c>
      <c r="AT315" s="4111" t="s">
        <v>184</v>
      </c>
      <c r="AU315" s="4111" t="s">
        <v>161</v>
      </c>
      <c r="AV315" s="4113" t="s">
        <v>186</v>
      </c>
      <c r="AW315" s="4114"/>
      <c r="AX315" s="4114"/>
      <c r="AY315" s="4114"/>
      <c r="AZ315" s="4115"/>
      <c r="BA315" s="4111" t="s">
        <v>0</v>
      </c>
    </row>
    <row r="316" spans="1:57" ht="33" x14ac:dyDescent="0.3">
      <c r="A316" s="1"/>
      <c r="B316" s="62"/>
      <c r="C316" s="62"/>
      <c r="D316" s="62"/>
      <c r="E316" s="20" t="s">
        <v>277</v>
      </c>
      <c r="F316" s="20" t="s">
        <v>272</v>
      </c>
      <c r="G316" s="20" t="s">
        <v>273</v>
      </c>
      <c r="H316" s="20" t="s">
        <v>274</v>
      </c>
      <c r="I316" s="20" t="s">
        <v>275</v>
      </c>
      <c r="J316" s="1419"/>
      <c r="K316" s="1"/>
      <c r="M316" s="62"/>
      <c r="N316" s="62"/>
      <c r="O316" s="62"/>
      <c r="P316" s="20" t="s">
        <v>277</v>
      </c>
      <c r="Q316" s="20" t="s">
        <v>272</v>
      </c>
      <c r="R316" s="20" t="s">
        <v>273</v>
      </c>
      <c r="S316" s="20" t="s">
        <v>274</v>
      </c>
      <c r="T316" s="20" t="s">
        <v>275</v>
      </c>
      <c r="U316" s="1419"/>
      <c r="X316" s="62"/>
      <c r="Y316" s="62"/>
      <c r="Z316" s="62"/>
      <c r="AA316" s="20" t="s">
        <v>277</v>
      </c>
      <c r="AB316" s="20" t="s">
        <v>272</v>
      </c>
      <c r="AC316" s="20" t="s">
        <v>273</v>
      </c>
      <c r="AD316" s="20" t="s">
        <v>274</v>
      </c>
      <c r="AE316" s="20" t="s">
        <v>275</v>
      </c>
      <c r="AF316" s="1419"/>
      <c r="AI316" s="62"/>
      <c r="AJ316" s="62"/>
      <c r="AK316" s="62"/>
      <c r="AL316" s="20" t="s">
        <v>277</v>
      </c>
      <c r="AM316" s="20" t="s">
        <v>272</v>
      </c>
      <c r="AN316" s="20" t="s">
        <v>273</v>
      </c>
      <c r="AO316" s="20" t="s">
        <v>274</v>
      </c>
      <c r="AP316" s="20" t="s">
        <v>275</v>
      </c>
      <c r="AQ316" s="1419"/>
      <c r="AS316" s="4112"/>
      <c r="AT316" s="4112"/>
      <c r="AU316" s="4112"/>
      <c r="AV316" s="20" t="s">
        <v>277</v>
      </c>
      <c r="AW316" s="20" t="s">
        <v>272</v>
      </c>
      <c r="AX316" s="20" t="s">
        <v>273</v>
      </c>
      <c r="AY316" s="20" t="s">
        <v>274</v>
      </c>
      <c r="AZ316" s="20" t="s">
        <v>275</v>
      </c>
      <c r="BA316" s="4112"/>
    </row>
    <row r="317" spans="1:57" x14ac:dyDescent="0.3">
      <c r="A317" s="1"/>
      <c r="B317" s="77"/>
      <c r="C317" s="76"/>
      <c r="D317" s="76"/>
      <c r="E317" s="76"/>
      <c r="F317" s="76"/>
      <c r="G317" s="76"/>
      <c r="H317" s="76"/>
      <c r="I317" s="76"/>
      <c r="J317" s="1425"/>
      <c r="K317" s="1"/>
      <c r="M317" s="77"/>
      <c r="N317" s="76"/>
      <c r="O317" s="76"/>
      <c r="P317" s="76"/>
      <c r="Q317" s="76"/>
      <c r="R317" s="76"/>
      <c r="S317" s="76"/>
      <c r="T317" s="76"/>
      <c r="U317" s="1425"/>
      <c r="X317" s="77"/>
      <c r="Y317" s="76"/>
      <c r="Z317" s="76"/>
      <c r="AA317" s="76"/>
      <c r="AB317" s="76"/>
      <c r="AC317" s="76"/>
      <c r="AD317" s="76"/>
      <c r="AE317" s="76"/>
      <c r="AF317" s="1428"/>
      <c r="AI317" s="77"/>
      <c r="AJ317" s="76"/>
      <c r="AK317" s="76"/>
      <c r="AL317" s="76"/>
      <c r="AM317" s="76"/>
      <c r="AN317" s="76"/>
      <c r="AO317" s="76"/>
      <c r="AP317" s="76"/>
      <c r="AQ317" s="1428"/>
      <c r="AS317" s="77"/>
      <c r="AT317" s="76"/>
      <c r="AU317" s="77"/>
      <c r="AV317" s="76"/>
      <c r="AW317" s="76"/>
      <c r="AX317" s="76"/>
      <c r="AY317" s="76"/>
      <c r="AZ317" s="76"/>
      <c r="BA317" s="1425"/>
    </row>
    <row r="318" spans="1:57" x14ac:dyDescent="0.3">
      <c r="A318" s="1"/>
      <c r="B318" s="77"/>
      <c r="C318" s="76"/>
      <c r="D318" s="76"/>
      <c r="E318" s="76"/>
      <c r="F318" s="76"/>
      <c r="G318" s="76"/>
      <c r="H318" s="76"/>
      <c r="I318" s="76"/>
      <c r="J318" s="1425"/>
      <c r="K318" s="1"/>
      <c r="M318" s="77"/>
      <c r="N318" s="76"/>
      <c r="O318" s="76"/>
      <c r="P318" s="76"/>
      <c r="Q318" s="76"/>
      <c r="R318" s="76"/>
      <c r="S318" s="76"/>
      <c r="T318" s="76"/>
      <c r="U318" s="1425"/>
      <c r="X318" s="77"/>
      <c r="Y318" s="76"/>
      <c r="Z318" s="76"/>
      <c r="AA318" s="76"/>
      <c r="AB318" s="76"/>
      <c r="AC318" s="76"/>
      <c r="AD318" s="76"/>
      <c r="AE318" s="76"/>
      <c r="AF318" s="1428"/>
      <c r="AI318" s="77"/>
      <c r="AJ318" s="76"/>
      <c r="AK318" s="76"/>
      <c r="AL318" s="76"/>
      <c r="AM318" s="76"/>
      <c r="AN318" s="76"/>
      <c r="AO318" s="76"/>
      <c r="AP318" s="76"/>
      <c r="AQ318" s="1428"/>
      <c r="AS318" s="77"/>
      <c r="AT318" s="76"/>
      <c r="AU318" s="77"/>
      <c r="AV318" s="76"/>
      <c r="AW318" s="76"/>
      <c r="AX318" s="76"/>
      <c r="AY318" s="76"/>
      <c r="AZ318" s="76"/>
      <c r="BA318" s="1425"/>
    </row>
    <row r="319" spans="1:57" x14ac:dyDescent="0.3">
      <c r="A319" s="1"/>
      <c r="B319" s="77"/>
      <c r="C319" s="76"/>
      <c r="D319" s="76"/>
      <c r="E319" s="76"/>
      <c r="F319" s="76"/>
      <c r="G319" s="76"/>
      <c r="H319" s="76"/>
      <c r="I319" s="76"/>
      <c r="J319" s="1425"/>
      <c r="K319" s="1"/>
      <c r="M319" s="77"/>
      <c r="N319" s="76"/>
      <c r="O319" s="76"/>
      <c r="P319" s="76"/>
      <c r="Q319" s="76"/>
      <c r="R319" s="76"/>
      <c r="S319" s="76"/>
      <c r="T319" s="76"/>
      <c r="U319" s="1425"/>
      <c r="X319" s="77"/>
      <c r="Y319" s="76"/>
      <c r="Z319" s="76"/>
      <c r="AA319" s="76"/>
      <c r="AB319" s="76"/>
      <c r="AC319" s="76"/>
      <c r="AD319" s="76"/>
      <c r="AE319" s="76"/>
      <c r="AF319" s="1428"/>
      <c r="AI319" s="77"/>
      <c r="AJ319" s="76"/>
      <c r="AK319" s="76"/>
      <c r="AL319" s="76"/>
      <c r="AM319" s="76"/>
      <c r="AN319" s="76"/>
      <c r="AO319" s="76"/>
      <c r="AP319" s="76"/>
      <c r="AQ319" s="1428"/>
      <c r="AS319" s="77"/>
      <c r="AT319" s="76"/>
      <c r="AU319" s="77"/>
      <c r="AV319" s="76"/>
      <c r="AW319" s="76"/>
      <c r="AX319" s="76"/>
      <c r="AY319" s="76"/>
      <c r="AZ319" s="76"/>
      <c r="BA319" s="1425"/>
    </row>
    <row r="320" spans="1:57" x14ac:dyDescent="0.3">
      <c r="A320" s="1"/>
      <c r="B320" s="77"/>
      <c r="C320" s="76"/>
      <c r="D320" s="76"/>
      <c r="E320" s="76"/>
      <c r="F320" s="76"/>
      <c r="G320" s="76"/>
      <c r="H320" s="76"/>
      <c r="I320" s="76"/>
      <c r="J320" s="1425"/>
      <c r="K320" s="1"/>
      <c r="M320" s="77"/>
      <c r="N320" s="76"/>
      <c r="O320" s="76"/>
      <c r="P320" s="76"/>
      <c r="Q320" s="76"/>
      <c r="R320" s="76"/>
      <c r="S320" s="76"/>
      <c r="T320" s="76"/>
      <c r="U320" s="1425"/>
      <c r="X320" s="77"/>
      <c r="Y320" s="76"/>
      <c r="Z320" s="76"/>
      <c r="AA320" s="76"/>
      <c r="AB320" s="76"/>
      <c r="AC320" s="76"/>
      <c r="AD320" s="76"/>
      <c r="AE320" s="76"/>
      <c r="AF320" s="1428"/>
      <c r="AI320" s="77"/>
      <c r="AJ320" s="76"/>
      <c r="AK320" s="76"/>
      <c r="AL320" s="76"/>
      <c r="AM320" s="76"/>
      <c r="AN320" s="76"/>
      <c r="AO320" s="76"/>
      <c r="AP320" s="76"/>
      <c r="AQ320" s="1428"/>
      <c r="AS320" s="77"/>
      <c r="AT320" s="76"/>
      <c r="AU320" s="77"/>
      <c r="AV320" s="76"/>
      <c r="AW320" s="76"/>
      <c r="AX320" s="76"/>
      <c r="AY320" s="76"/>
      <c r="AZ320" s="76"/>
      <c r="BA320" s="1425"/>
    </row>
    <row r="321" spans="1:53" x14ac:dyDescent="0.3">
      <c r="A321" s="1"/>
      <c r="B321" s="77"/>
      <c r="C321" s="76"/>
      <c r="D321" s="76"/>
      <c r="E321" s="76"/>
      <c r="F321" s="76"/>
      <c r="G321" s="76"/>
      <c r="H321" s="76"/>
      <c r="I321" s="76"/>
      <c r="J321" s="1425"/>
      <c r="K321" s="1"/>
      <c r="M321" s="77"/>
      <c r="N321" s="76"/>
      <c r="O321" s="76"/>
      <c r="P321" s="76"/>
      <c r="Q321" s="76"/>
      <c r="R321" s="76"/>
      <c r="S321" s="76"/>
      <c r="T321" s="76"/>
      <c r="U321" s="1425"/>
      <c r="X321" s="77"/>
      <c r="Y321" s="76"/>
      <c r="Z321" s="76"/>
      <c r="AA321" s="76"/>
      <c r="AB321" s="76"/>
      <c r="AC321" s="76"/>
      <c r="AD321" s="76"/>
      <c r="AE321" s="76"/>
      <c r="AF321" s="1428"/>
      <c r="AI321" s="77"/>
      <c r="AJ321" s="76"/>
      <c r="AK321" s="76"/>
      <c r="AL321" s="76"/>
      <c r="AM321" s="76"/>
      <c r="AN321" s="76"/>
      <c r="AO321" s="76"/>
      <c r="AP321" s="76"/>
      <c r="AQ321" s="1428"/>
      <c r="AS321" s="77"/>
      <c r="AT321" s="76"/>
      <c r="AU321" s="77"/>
      <c r="AV321" s="76"/>
      <c r="AW321" s="76"/>
      <c r="AX321" s="76"/>
      <c r="AY321" s="76"/>
      <c r="AZ321" s="76"/>
      <c r="BA321" s="1425"/>
    </row>
    <row r="322" spans="1:53" x14ac:dyDescent="0.3">
      <c r="A322" s="1"/>
      <c r="B322" s="77"/>
      <c r="C322" s="76"/>
      <c r="D322" s="76"/>
      <c r="E322" s="76"/>
      <c r="F322" s="76"/>
      <c r="G322" s="76"/>
      <c r="H322" s="76"/>
      <c r="I322" s="76"/>
      <c r="J322" s="1425"/>
      <c r="K322" s="1"/>
      <c r="M322" s="77"/>
      <c r="N322" s="76"/>
      <c r="O322" s="76"/>
      <c r="P322" s="76"/>
      <c r="Q322" s="76"/>
      <c r="R322" s="76"/>
      <c r="S322" s="76"/>
      <c r="T322" s="76"/>
      <c r="U322" s="1425"/>
      <c r="X322" s="77"/>
      <c r="Y322" s="76"/>
      <c r="Z322" s="76"/>
      <c r="AA322" s="76"/>
      <c r="AB322" s="76"/>
      <c r="AC322" s="76"/>
      <c r="AD322" s="76"/>
      <c r="AE322" s="76"/>
      <c r="AF322" s="1428"/>
      <c r="AI322" s="77"/>
      <c r="AJ322" s="76"/>
      <c r="AK322" s="76"/>
      <c r="AL322" s="76"/>
      <c r="AM322" s="76"/>
      <c r="AN322" s="76"/>
      <c r="AO322" s="76"/>
      <c r="AP322" s="76"/>
      <c r="AQ322" s="1428"/>
      <c r="AS322" s="77"/>
      <c r="AT322" s="76"/>
      <c r="AU322" s="77"/>
      <c r="AV322" s="76"/>
      <c r="AW322" s="76"/>
      <c r="AX322" s="76"/>
      <c r="AY322" s="76"/>
      <c r="AZ322" s="76"/>
      <c r="BA322" s="1425"/>
    </row>
    <row r="323" spans="1:53" x14ac:dyDescent="0.3">
      <c r="A323" s="1"/>
      <c r="B323" s="77"/>
      <c r="C323" s="76"/>
      <c r="D323" s="76"/>
      <c r="E323" s="76"/>
      <c r="F323" s="76"/>
      <c r="G323" s="76"/>
      <c r="H323" s="76"/>
      <c r="I323" s="76"/>
      <c r="J323" s="1425"/>
      <c r="K323" s="1"/>
      <c r="M323" s="77"/>
      <c r="N323" s="76"/>
      <c r="O323" s="76"/>
      <c r="P323" s="76"/>
      <c r="Q323" s="76"/>
      <c r="R323" s="76"/>
      <c r="S323" s="76"/>
      <c r="T323" s="76"/>
      <c r="U323" s="1425"/>
      <c r="X323" s="77"/>
      <c r="Y323" s="76"/>
      <c r="Z323" s="76"/>
      <c r="AA323" s="76"/>
      <c r="AB323" s="76"/>
      <c r="AC323" s="76"/>
      <c r="AD323" s="76"/>
      <c r="AE323" s="76"/>
      <c r="AF323" s="1428"/>
      <c r="AI323" s="77"/>
      <c r="AJ323" s="76"/>
      <c r="AK323" s="76"/>
      <c r="AL323" s="76"/>
      <c r="AM323" s="76"/>
      <c r="AN323" s="76"/>
      <c r="AO323" s="76"/>
      <c r="AP323" s="76"/>
      <c r="AQ323" s="1428"/>
      <c r="AS323" s="77"/>
      <c r="AT323" s="76"/>
      <c r="AU323" s="77"/>
      <c r="AV323" s="76"/>
      <c r="AW323" s="76"/>
      <c r="AX323" s="76"/>
      <c r="AY323" s="76"/>
      <c r="AZ323" s="76"/>
      <c r="BA323" s="1425"/>
    </row>
    <row r="324" spans="1:53" x14ac:dyDescent="0.3">
      <c r="A324" s="1"/>
      <c r="B324" s="77"/>
      <c r="C324" s="76"/>
      <c r="D324" s="76"/>
      <c r="E324" s="76"/>
      <c r="F324" s="76"/>
      <c r="G324" s="76"/>
      <c r="H324" s="76"/>
      <c r="I324" s="76"/>
      <c r="J324" s="1425"/>
      <c r="K324" s="1"/>
      <c r="M324" s="77"/>
      <c r="N324" s="76"/>
      <c r="O324" s="76"/>
      <c r="P324" s="76"/>
      <c r="Q324" s="76"/>
      <c r="R324" s="76"/>
      <c r="S324" s="76"/>
      <c r="T324" s="76"/>
      <c r="U324" s="1425"/>
      <c r="X324" s="77"/>
      <c r="Y324" s="76"/>
      <c r="Z324" s="76"/>
      <c r="AA324" s="76"/>
      <c r="AB324" s="76"/>
      <c r="AC324" s="76"/>
      <c r="AD324" s="76"/>
      <c r="AE324" s="76"/>
      <c r="AF324" s="1428"/>
      <c r="AI324" s="77"/>
      <c r="AJ324" s="76"/>
      <c r="AK324" s="76"/>
      <c r="AL324" s="76"/>
      <c r="AM324" s="76"/>
      <c r="AN324" s="76"/>
      <c r="AO324" s="76"/>
      <c r="AP324" s="76"/>
      <c r="AQ324" s="1428"/>
      <c r="AS324" s="77"/>
      <c r="AT324" s="76"/>
      <c r="AU324" s="77"/>
      <c r="AV324" s="76"/>
      <c r="AW324" s="76"/>
      <c r="AX324" s="76"/>
      <c r="AY324" s="76"/>
      <c r="AZ324" s="76"/>
      <c r="BA324" s="1425"/>
    </row>
    <row r="325" spans="1:53" x14ac:dyDescent="0.3">
      <c r="A325" s="1"/>
      <c r="B325" s="77"/>
      <c r="C325" s="76"/>
      <c r="D325" s="76"/>
      <c r="E325" s="76"/>
      <c r="F325" s="76"/>
      <c r="G325" s="76"/>
      <c r="H325" s="76"/>
      <c r="I325" s="76"/>
      <c r="J325" s="1425"/>
      <c r="K325" s="1"/>
      <c r="M325" s="77"/>
      <c r="N325" s="76"/>
      <c r="O325" s="76"/>
      <c r="P325" s="76"/>
      <c r="Q325" s="76"/>
      <c r="R325" s="76"/>
      <c r="S325" s="76"/>
      <c r="T325" s="76"/>
      <c r="U325" s="1425"/>
      <c r="X325" s="77"/>
      <c r="Y325" s="76"/>
      <c r="Z325" s="76"/>
      <c r="AA325" s="76"/>
      <c r="AB325" s="76"/>
      <c r="AC325" s="76"/>
      <c r="AD325" s="76"/>
      <c r="AE325" s="76"/>
      <c r="AF325" s="1428"/>
      <c r="AI325" s="77"/>
      <c r="AJ325" s="76"/>
      <c r="AK325" s="76"/>
      <c r="AL325" s="76"/>
      <c r="AM325" s="76"/>
      <c r="AN325" s="76"/>
      <c r="AO325" s="76"/>
      <c r="AP325" s="76"/>
      <c r="AQ325" s="1428"/>
      <c r="AS325" s="77"/>
      <c r="AT325" s="76"/>
      <c r="AU325" s="77"/>
      <c r="AV325" s="76"/>
      <c r="AW325" s="76"/>
      <c r="AX325" s="76"/>
      <c r="AY325" s="76"/>
      <c r="AZ325" s="76"/>
      <c r="BA325" s="1425"/>
    </row>
    <row r="326" spans="1:53" x14ac:dyDescent="0.3">
      <c r="A326" s="1"/>
      <c r="B326" s="77"/>
      <c r="C326" s="76"/>
      <c r="D326" s="76"/>
      <c r="E326" s="76"/>
      <c r="F326" s="76"/>
      <c r="G326" s="76"/>
      <c r="H326" s="76"/>
      <c r="I326" s="76"/>
      <c r="J326" s="1425"/>
      <c r="K326" s="1"/>
      <c r="M326" s="77"/>
      <c r="N326" s="76"/>
      <c r="O326" s="76"/>
      <c r="P326" s="76"/>
      <c r="Q326" s="76"/>
      <c r="R326" s="76"/>
      <c r="S326" s="76"/>
      <c r="T326" s="76"/>
      <c r="U326" s="1425"/>
      <c r="X326" s="77"/>
      <c r="Y326" s="76"/>
      <c r="Z326" s="76"/>
      <c r="AA326" s="76"/>
      <c r="AB326" s="76"/>
      <c r="AC326" s="76"/>
      <c r="AD326" s="76"/>
      <c r="AE326" s="76"/>
      <c r="AF326" s="1428"/>
      <c r="AI326" s="77"/>
      <c r="AJ326" s="76"/>
      <c r="AK326" s="76"/>
      <c r="AL326" s="76"/>
      <c r="AM326" s="76"/>
      <c r="AN326" s="76"/>
      <c r="AO326" s="76"/>
      <c r="AP326" s="76"/>
      <c r="AQ326" s="1428"/>
      <c r="AS326" s="77"/>
      <c r="AT326" s="76"/>
      <c r="AU326" s="77"/>
      <c r="AV326" s="76"/>
      <c r="AW326" s="76"/>
      <c r="AX326" s="76"/>
      <c r="AY326" s="76"/>
      <c r="AZ326" s="76"/>
      <c r="BA326" s="1425"/>
    </row>
    <row r="327" spans="1:53" x14ac:dyDescent="0.3">
      <c r="A327" s="1"/>
      <c r="B327" s="77"/>
      <c r="C327" s="76"/>
      <c r="D327" s="76"/>
      <c r="E327" s="76"/>
      <c r="F327" s="76"/>
      <c r="G327" s="76"/>
      <c r="H327" s="76"/>
      <c r="I327" s="76"/>
      <c r="J327" s="1425"/>
      <c r="K327" s="1"/>
      <c r="M327" s="77"/>
      <c r="N327" s="76"/>
      <c r="O327" s="76"/>
      <c r="P327" s="76"/>
      <c r="Q327" s="76"/>
      <c r="R327" s="76"/>
      <c r="S327" s="76"/>
      <c r="T327" s="76"/>
      <c r="U327" s="1425"/>
      <c r="X327" s="77"/>
      <c r="Y327" s="76"/>
      <c r="Z327" s="76"/>
      <c r="AA327" s="76"/>
      <c r="AB327" s="76"/>
      <c r="AC327" s="76"/>
      <c r="AD327" s="76"/>
      <c r="AE327" s="76"/>
      <c r="AF327" s="1428"/>
      <c r="AI327" s="77"/>
      <c r="AJ327" s="76"/>
      <c r="AK327" s="76"/>
      <c r="AL327" s="76"/>
      <c r="AM327" s="76"/>
      <c r="AN327" s="76"/>
      <c r="AO327" s="76"/>
      <c r="AP327" s="76"/>
      <c r="AQ327" s="1428"/>
      <c r="AS327" s="77"/>
      <c r="AT327" s="76"/>
      <c r="AU327" s="77"/>
      <c r="AV327" s="76"/>
      <c r="AW327" s="76"/>
      <c r="AX327" s="76"/>
      <c r="AY327" s="76"/>
      <c r="AZ327" s="76"/>
      <c r="BA327" s="1425"/>
    </row>
    <row r="328" spans="1:53" x14ac:dyDescent="0.3">
      <c r="A328" s="1"/>
      <c r="B328" s="78"/>
      <c r="C328" s="78"/>
      <c r="D328" s="78"/>
      <c r="E328" s="76"/>
      <c r="F328" s="76"/>
      <c r="G328" s="76"/>
      <c r="H328" s="76"/>
      <c r="I328" s="76"/>
      <c r="J328" s="1425"/>
      <c r="K328" s="1"/>
      <c r="M328" s="78"/>
      <c r="N328" s="78"/>
      <c r="O328" s="78"/>
      <c r="P328" s="76"/>
      <c r="Q328" s="76"/>
      <c r="R328" s="76"/>
      <c r="S328" s="76"/>
      <c r="T328" s="76"/>
      <c r="U328" s="1425"/>
      <c r="X328" s="78"/>
      <c r="Y328" s="78"/>
      <c r="Z328" s="78"/>
      <c r="AA328" s="76"/>
      <c r="AB328" s="76"/>
      <c r="AC328" s="76"/>
      <c r="AD328" s="76"/>
      <c r="AE328" s="76"/>
      <c r="AF328" s="1428"/>
      <c r="AI328" s="78"/>
      <c r="AJ328" s="78"/>
      <c r="AK328" s="78"/>
      <c r="AL328" s="76"/>
      <c r="AM328" s="76"/>
      <c r="AN328" s="76"/>
      <c r="AO328" s="76"/>
      <c r="AP328" s="76"/>
      <c r="AQ328" s="1428"/>
      <c r="AS328" s="4128"/>
      <c r="AT328" s="4128"/>
      <c r="AU328" s="77"/>
      <c r="AV328" s="76"/>
      <c r="AW328" s="76"/>
      <c r="AX328" s="76"/>
      <c r="AY328" s="76"/>
      <c r="AZ328" s="76"/>
      <c r="BA328" s="1425"/>
    </row>
    <row r="329" spans="1:53" x14ac:dyDescent="0.3">
      <c r="A329" s="1"/>
      <c r="B329" s="1"/>
      <c r="C329" s="1"/>
      <c r="D329" s="1"/>
      <c r="E329" s="1"/>
      <c r="F329" s="1"/>
      <c r="G329" s="1"/>
      <c r="H329" s="1"/>
      <c r="I329" s="1"/>
      <c r="J329" s="1423"/>
      <c r="K329" s="1"/>
      <c r="AU329" s="1433"/>
      <c r="AV329" s="1"/>
      <c r="AW329" s="1"/>
      <c r="AX329" s="1"/>
      <c r="AY329" s="1"/>
      <c r="AZ329" s="1"/>
      <c r="BA329" s="1434"/>
    </row>
    <row r="330" spans="1:53" x14ac:dyDescent="0.3">
      <c r="A330" s="1"/>
      <c r="B330" s="1"/>
      <c r="C330" s="1"/>
      <c r="D330" s="1"/>
      <c r="E330" s="1"/>
      <c r="F330" s="1"/>
      <c r="G330" s="1"/>
      <c r="H330" s="1"/>
      <c r="I330" s="1"/>
      <c r="J330" s="1423"/>
      <c r="K330" s="1"/>
      <c r="AU330" s="1433"/>
      <c r="AV330" s="1"/>
      <c r="AW330" s="1"/>
      <c r="AX330" s="1"/>
      <c r="AY330" s="1"/>
      <c r="AZ330" s="1"/>
      <c r="BA330" s="1434"/>
    </row>
    <row r="331" spans="1:53" x14ac:dyDescent="0.3">
      <c r="A331" s="1"/>
      <c r="B331" s="19" t="s">
        <v>78</v>
      </c>
      <c r="C331" s="1"/>
      <c r="D331" s="1"/>
      <c r="E331" s="1"/>
      <c r="F331" s="1"/>
      <c r="G331" s="1"/>
      <c r="H331" s="1"/>
      <c r="I331" s="1"/>
      <c r="J331" s="1423"/>
      <c r="K331" s="1"/>
      <c r="M331" s="19" t="s">
        <v>78</v>
      </c>
      <c r="X331" s="19" t="s">
        <v>78</v>
      </c>
      <c r="AI331" s="19" t="s">
        <v>78</v>
      </c>
      <c r="AS331" s="19" t="s">
        <v>78</v>
      </c>
      <c r="AU331" s="1433"/>
      <c r="AV331" s="1"/>
      <c r="AW331" s="1"/>
      <c r="AX331" s="1"/>
      <c r="AY331" s="1"/>
      <c r="AZ331" s="1"/>
      <c r="BA331" s="1434"/>
    </row>
    <row r="332" spans="1:53" x14ac:dyDescent="0.3">
      <c r="A332" s="1"/>
      <c r="B332" s="3" t="s">
        <v>276</v>
      </c>
      <c r="C332" s="1"/>
      <c r="D332" s="1"/>
      <c r="E332" s="1"/>
      <c r="F332" s="1"/>
      <c r="G332" s="1"/>
      <c r="H332" s="1"/>
      <c r="I332" s="1"/>
      <c r="J332" s="1423"/>
      <c r="K332" s="1"/>
      <c r="M332" s="3" t="s">
        <v>276</v>
      </c>
      <c r="X332" s="3" t="s">
        <v>276</v>
      </c>
      <c r="AI332" s="3" t="s">
        <v>276</v>
      </c>
      <c r="AS332" s="3" t="s">
        <v>276</v>
      </c>
      <c r="AU332" s="1433"/>
      <c r="AV332" s="1"/>
      <c r="AW332" s="1"/>
      <c r="AX332" s="1"/>
      <c r="AY332" s="1"/>
      <c r="AZ332" s="1"/>
      <c r="BA332" s="1434"/>
    </row>
    <row r="333" spans="1:53" x14ac:dyDescent="0.3">
      <c r="A333" s="1"/>
      <c r="B333" s="1"/>
      <c r="C333" s="1"/>
      <c r="D333" s="1"/>
      <c r="E333" s="1"/>
      <c r="F333" s="1"/>
      <c r="G333" s="1"/>
      <c r="H333" s="1"/>
      <c r="I333" s="1"/>
      <c r="J333" s="1423"/>
      <c r="K333" s="1"/>
      <c r="AU333" s="1433"/>
      <c r="AV333" s="1"/>
      <c r="AW333" s="1"/>
      <c r="AX333" s="1"/>
      <c r="AY333" s="1"/>
      <c r="AZ333" s="1"/>
      <c r="BA333" s="1434"/>
    </row>
    <row r="334" spans="1:53" x14ac:dyDescent="0.3">
      <c r="A334" s="1"/>
      <c r="B334" s="1"/>
      <c r="C334" s="1"/>
      <c r="D334" s="1"/>
      <c r="E334" s="1"/>
      <c r="F334" s="1"/>
      <c r="G334" s="1"/>
      <c r="H334" s="1"/>
      <c r="I334" s="1"/>
      <c r="J334" s="1423"/>
      <c r="K334" s="1"/>
      <c r="AU334" s="1433"/>
      <c r="AV334" s="1"/>
      <c r="AW334" s="1"/>
      <c r="AX334" s="1"/>
      <c r="AY334" s="1"/>
      <c r="AZ334" s="1"/>
      <c r="BA334" s="1434"/>
    </row>
    <row r="335" spans="1:53" x14ac:dyDescent="0.3">
      <c r="A335" s="1"/>
      <c r="B335" s="1"/>
      <c r="C335" s="1"/>
      <c r="D335" s="1"/>
      <c r="E335" s="1"/>
      <c r="F335" s="1"/>
      <c r="G335" s="1"/>
      <c r="H335" s="1"/>
      <c r="I335" s="1"/>
      <c r="J335" s="1423"/>
      <c r="K335" s="1"/>
      <c r="AU335" s="1433"/>
      <c r="AV335" s="1"/>
      <c r="AW335" s="1"/>
      <c r="AX335" s="1"/>
      <c r="AY335" s="1"/>
      <c r="AZ335" s="1"/>
      <c r="BA335" s="1434"/>
    </row>
    <row r="336" spans="1:53" x14ac:dyDescent="0.3">
      <c r="A336" s="1"/>
      <c r="B336" s="1"/>
      <c r="C336" s="1"/>
      <c r="D336" s="1"/>
      <c r="E336" s="1"/>
      <c r="F336" s="1"/>
      <c r="G336" s="1"/>
      <c r="H336" s="1"/>
      <c r="I336" s="1"/>
      <c r="J336" s="1423"/>
      <c r="K336" s="1"/>
      <c r="AU336" s="1433"/>
      <c r="AV336" s="1"/>
      <c r="AW336" s="1"/>
      <c r="AX336" s="1"/>
      <c r="AY336" s="1"/>
      <c r="AZ336" s="1"/>
      <c r="BA336" s="1434"/>
    </row>
    <row r="337" spans="1:53" x14ac:dyDescent="0.3">
      <c r="A337" s="1"/>
      <c r="B337" s="1"/>
      <c r="C337" s="1"/>
      <c r="D337" s="1"/>
      <c r="E337" s="1"/>
      <c r="F337" s="1"/>
      <c r="G337" s="1"/>
      <c r="H337" s="1"/>
      <c r="I337" s="1"/>
      <c r="J337" s="1423"/>
      <c r="K337" s="1"/>
      <c r="AU337" s="1433"/>
      <c r="AV337" s="1"/>
      <c r="AW337" s="1"/>
      <c r="AX337" s="1"/>
      <c r="AY337" s="1"/>
      <c r="AZ337" s="1"/>
      <c r="BA337" s="1434"/>
    </row>
    <row r="338" spans="1:53" x14ac:dyDescent="0.3">
      <c r="A338" s="1"/>
      <c r="B338" s="1"/>
      <c r="C338" s="1"/>
      <c r="D338" s="1"/>
      <c r="E338" s="1"/>
      <c r="F338" s="1"/>
      <c r="G338" s="1"/>
      <c r="H338" s="1"/>
      <c r="I338" s="1"/>
      <c r="J338" s="1423"/>
      <c r="K338" s="1"/>
      <c r="AU338" s="1433"/>
      <c r="AV338" s="1"/>
      <c r="AW338" s="1"/>
      <c r="AX338" s="1"/>
      <c r="AY338" s="1"/>
      <c r="AZ338" s="1"/>
      <c r="BA338" s="1434"/>
    </row>
    <row r="339" spans="1:53" x14ac:dyDescent="0.3">
      <c r="A339" s="1"/>
      <c r="B339" s="1"/>
      <c r="C339" s="1"/>
      <c r="D339" s="1"/>
      <c r="E339" s="1"/>
      <c r="F339" s="1"/>
      <c r="G339" s="1"/>
      <c r="H339" s="1"/>
      <c r="I339" s="1"/>
      <c r="J339" s="1423"/>
      <c r="K339" s="1"/>
      <c r="AU339" s="1433"/>
      <c r="AV339" s="1"/>
      <c r="AW339" s="1"/>
      <c r="AX339" s="1"/>
      <c r="AY339" s="1"/>
      <c r="AZ339" s="1"/>
      <c r="BA339" s="1434"/>
    </row>
    <row r="340" spans="1:53" x14ac:dyDescent="0.3">
      <c r="A340" s="1"/>
      <c r="B340" s="1"/>
      <c r="C340" s="1"/>
      <c r="D340" s="1"/>
      <c r="E340" s="1"/>
      <c r="F340" s="1"/>
      <c r="G340" s="1"/>
      <c r="H340" s="1"/>
      <c r="I340" s="1"/>
      <c r="J340" s="1423"/>
      <c r="K340" s="1"/>
      <c r="AU340" s="1433"/>
      <c r="AV340" s="1"/>
      <c r="AW340" s="1"/>
      <c r="AX340" s="1"/>
      <c r="AY340" s="1"/>
      <c r="AZ340" s="1"/>
      <c r="BA340" s="1434"/>
    </row>
    <row r="341" spans="1:53" x14ac:dyDescent="0.3">
      <c r="A341" s="1"/>
      <c r="B341" s="1"/>
      <c r="C341" s="1"/>
      <c r="D341" s="1"/>
      <c r="E341" s="1"/>
      <c r="F341" s="1"/>
      <c r="G341" s="1"/>
      <c r="H341" s="1"/>
      <c r="I341" s="1"/>
      <c r="J341" s="1423"/>
      <c r="K341" s="1"/>
      <c r="AU341" s="1433"/>
      <c r="AV341" s="1"/>
      <c r="AW341" s="1"/>
      <c r="AX341" s="1"/>
      <c r="AY341" s="1"/>
      <c r="AZ341" s="1"/>
      <c r="BA341" s="1434"/>
    </row>
    <row r="342" spans="1:53" x14ac:dyDescent="0.3">
      <c r="A342" s="1"/>
      <c r="B342" s="1"/>
      <c r="C342" s="1"/>
      <c r="D342" s="1"/>
      <c r="E342" s="1"/>
      <c r="F342" s="1"/>
      <c r="G342" s="1"/>
      <c r="H342" s="1"/>
      <c r="I342" s="1"/>
      <c r="J342" s="1423"/>
      <c r="K342" s="1"/>
      <c r="AU342" s="1433"/>
      <c r="AV342" s="1"/>
      <c r="AW342" s="1"/>
      <c r="AX342" s="1"/>
      <c r="AY342" s="1"/>
      <c r="AZ342" s="1"/>
      <c r="BA342" s="1434"/>
    </row>
    <row r="343" spans="1:53" x14ac:dyDescent="0.3">
      <c r="A343" s="1"/>
      <c r="B343" s="1"/>
      <c r="C343" s="1"/>
      <c r="D343" s="1"/>
      <c r="E343" s="1"/>
      <c r="F343" s="1"/>
      <c r="G343" s="1"/>
      <c r="H343" s="1"/>
      <c r="I343" s="1"/>
      <c r="J343" s="1423"/>
      <c r="K343" s="1"/>
      <c r="AU343" s="1433"/>
      <c r="AV343" s="1"/>
      <c r="AW343" s="1"/>
      <c r="AX343" s="1"/>
      <c r="AY343" s="1"/>
      <c r="AZ343" s="1"/>
      <c r="BA343" s="1434"/>
    </row>
    <row r="344" spans="1:53" x14ac:dyDescent="0.3">
      <c r="A344" s="1"/>
      <c r="B344" s="1"/>
      <c r="C344" s="1"/>
      <c r="D344" s="1"/>
      <c r="E344" s="1"/>
      <c r="F344" s="1"/>
      <c r="G344" s="1"/>
      <c r="H344" s="1"/>
      <c r="I344" s="1"/>
      <c r="J344" s="1423"/>
      <c r="K344" s="1"/>
      <c r="AU344" s="1433"/>
      <c r="AV344" s="1"/>
      <c r="AW344" s="1"/>
      <c r="AX344" s="1"/>
      <c r="AY344" s="1"/>
      <c r="AZ344" s="1"/>
      <c r="BA344" s="1434"/>
    </row>
    <row r="345" spans="1:53" x14ac:dyDescent="0.3">
      <c r="A345" s="1"/>
      <c r="B345" s="1"/>
      <c r="C345" s="1"/>
      <c r="D345" s="1"/>
      <c r="E345" s="1"/>
      <c r="F345" s="1"/>
      <c r="G345" s="1"/>
      <c r="H345" s="1"/>
      <c r="I345" s="1"/>
      <c r="J345" s="1423"/>
      <c r="K345" s="1"/>
      <c r="AU345" s="1433"/>
      <c r="AV345" s="1"/>
      <c r="AW345" s="1"/>
      <c r="AX345" s="1"/>
      <c r="AY345" s="1"/>
      <c r="AZ345" s="1"/>
      <c r="BA345" s="1434"/>
    </row>
    <row r="346" spans="1:53" x14ac:dyDescent="0.3">
      <c r="A346" s="1"/>
      <c r="B346" s="1"/>
      <c r="C346" s="1"/>
      <c r="D346" s="1"/>
      <c r="E346" s="1"/>
      <c r="F346" s="1"/>
      <c r="G346" s="1"/>
      <c r="H346" s="1"/>
      <c r="I346" s="1"/>
      <c r="J346" s="1423"/>
      <c r="K346" s="1"/>
      <c r="AU346" s="1433"/>
      <c r="AV346" s="1"/>
      <c r="AW346" s="1"/>
      <c r="AX346" s="1"/>
      <c r="AY346" s="1"/>
      <c r="AZ346" s="1"/>
      <c r="BA346" s="1434"/>
    </row>
    <row r="347" spans="1:53" x14ac:dyDescent="0.3">
      <c r="A347" s="1"/>
      <c r="B347" s="1"/>
      <c r="C347" s="1"/>
      <c r="D347" s="1"/>
      <c r="E347" s="1"/>
      <c r="F347" s="1"/>
      <c r="G347" s="1"/>
      <c r="H347" s="1"/>
      <c r="I347" s="1"/>
      <c r="J347" s="1423"/>
      <c r="K347" s="1"/>
      <c r="AU347" s="1433"/>
      <c r="AV347" s="1"/>
      <c r="AW347" s="1"/>
      <c r="AX347" s="1"/>
      <c r="AY347" s="1"/>
      <c r="AZ347" s="1"/>
      <c r="BA347" s="1434"/>
    </row>
    <row r="348" spans="1:53" x14ac:dyDescent="0.3">
      <c r="A348" s="1"/>
      <c r="B348" s="1"/>
      <c r="C348" s="1"/>
      <c r="D348" s="1"/>
      <c r="E348" s="1"/>
      <c r="F348" s="1"/>
      <c r="G348" s="1"/>
      <c r="H348" s="1"/>
      <c r="I348" s="1"/>
      <c r="J348" s="1423"/>
      <c r="K348" s="1"/>
      <c r="AU348" s="1433"/>
      <c r="AV348" s="1"/>
      <c r="AW348" s="1"/>
      <c r="AX348" s="1"/>
      <c r="AY348" s="1"/>
      <c r="AZ348" s="1"/>
      <c r="BA348" s="1434"/>
    </row>
    <row r="349" spans="1:53" x14ac:dyDescent="0.3">
      <c r="A349" s="1"/>
      <c r="B349" s="14"/>
      <c r="C349" s="1"/>
      <c r="D349" s="1"/>
      <c r="E349" s="1"/>
      <c r="F349" s="1"/>
      <c r="G349" s="1"/>
      <c r="H349" s="1"/>
      <c r="I349" s="1"/>
      <c r="J349" s="1423"/>
      <c r="K349" s="1"/>
      <c r="M349" s="14"/>
      <c r="X349" s="14"/>
      <c r="AI349" s="14"/>
      <c r="AS349" s="14"/>
      <c r="AU349" s="1433"/>
      <c r="AV349" s="1"/>
      <c r="AW349" s="1"/>
      <c r="AX349" s="1"/>
      <c r="AY349" s="1"/>
      <c r="AZ349" s="1"/>
      <c r="BA349" s="1434"/>
    </row>
    <row r="350" spans="1:53" x14ac:dyDescent="0.3">
      <c r="A350" s="1"/>
      <c r="B350" s="14"/>
      <c r="C350" s="1"/>
      <c r="D350" s="1"/>
      <c r="E350" s="1"/>
      <c r="F350" s="1"/>
      <c r="G350" s="1"/>
      <c r="H350" s="1"/>
      <c r="I350" s="1"/>
      <c r="J350" s="1423"/>
      <c r="K350" s="1"/>
      <c r="M350" s="14"/>
      <c r="X350" s="14"/>
      <c r="AI350" s="14"/>
      <c r="AS350" s="14"/>
      <c r="AU350" s="1433"/>
      <c r="AV350" s="1"/>
      <c r="AW350" s="1"/>
      <c r="AX350" s="1"/>
      <c r="AY350" s="1"/>
      <c r="AZ350" s="1"/>
      <c r="BA350" s="1434"/>
    </row>
  </sheetData>
  <mergeCells count="273">
    <mergeCell ref="X222:AF222"/>
    <mergeCell ref="X239:AF239"/>
    <mergeCell ref="X263:AF263"/>
    <mergeCell ref="X280:AF280"/>
    <mergeCell ref="X297:AF297"/>
    <mergeCell ref="X314:AF314"/>
    <mergeCell ref="AI188:AQ188"/>
    <mergeCell ref="AI205:AQ205"/>
    <mergeCell ref="AI222:AQ222"/>
    <mergeCell ref="AI239:AQ239"/>
    <mergeCell ref="AI263:AQ263"/>
    <mergeCell ref="AI280:AQ280"/>
    <mergeCell ref="AI297:AQ297"/>
    <mergeCell ref="AI314:AQ314"/>
    <mergeCell ref="AI202:AJ202"/>
    <mergeCell ref="X202:Y202"/>
    <mergeCell ref="X188:AF188"/>
    <mergeCell ref="X205:AF205"/>
    <mergeCell ref="B297:J297"/>
    <mergeCell ref="B314:J314"/>
    <mergeCell ref="M188:U188"/>
    <mergeCell ref="M205:U205"/>
    <mergeCell ref="M222:U222"/>
    <mergeCell ref="M239:U239"/>
    <mergeCell ref="M263:U263"/>
    <mergeCell ref="M280:U280"/>
    <mergeCell ref="M297:U297"/>
    <mergeCell ref="M314:U314"/>
    <mergeCell ref="M202:N202"/>
    <mergeCell ref="B202:C202"/>
    <mergeCell ref="E189:I189"/>
    <mergeCell ref="B185:J185"/>
    <mergeCell ref="B260:J260"/>
    <mergeCell ref="B188:J188"/>
    <mergeCell ref="B205:J205"/>
    <mergeCell ref="B222:J222"/>
    <mergeCell ref="C239:J239"/>
    <mergeCell ref="B263:J263"/>
    <mergeCell ref="B280:J280"/>
    <mergeCell ref="AV315:AZ315"/>
    <mergeCell ref="AS236:AT236"/>
    <mergeCell ref="AT281:AT282"/>
    <mergeCell ref="AS253:AT253"/>
    <mergeCell ref="AS277:AT277"/>
    <mergeCell ref="AS281:AS282"/>
    <mergeCell ref="AT240:AT241"/>
    <mergeCell ref="AS263:BA263"/>
    <mergeCell ref="AS261:BA261"/>
    <mergeCell ref="AS260:BA260"/>
    <mergeCell ref="BA264:BA265"/>
    <mergeCell ref="AS264:AS265"/>
    <mergeCell ref="AT264:AT265"/>
    <mergeCell ref="AU264:AU265"/>
    <mergeCell ref="AV264:AZ264"/>
    <mergeCell ref="M185:U185"/>
    <mergeCell ref="BA125:BA126"/>
    <mergeCell ref="AU143:AU144"/>
    <mergeCell ref="BA143:BA144"/>
    <mergeCell ref="AS142:BA142"/>
    <mergeCell ref="AV143:AZ143"/>
    <mergeCell ref="Z165:Z166"/>
    <mergeCell ref="AS206:AS207"/>
    <mergeCell ref="BA206:BA207"/>
    <mergeCell ref="AS164:BA164"/>
    <mergeCell ref="AS178:AT178"/>
    <mergeCell ref="AS188:BA188"/>
    <mergeCell ref="AT125:AT126"/>
    <mergeCell ref="Z143:Z144"/>
    <mergeCell ref="AF143:AF144"/>
    <mergeCell ref="AI143:AI144"/>
    <mergeCell ref="AJ143:AJ144"/>
    <mergeCell ref="AK143:AK144"/>
    <mergeCell ref="AQ143:AQ144"/>
    <mergeCell ref="AK125:AK126"/>
    <mergeCell ref="AL125:AP125"/>
    <mergeCell ref="AI138:AJ138"/>
    <mergeCell ref="AI142:AQ142"/>
    <mergeCell ref="AA165:AE165"/>
    <mergeCell ref="AF165:AF166"/>
    <mergeCell ref="AS328:AT328"/>
    <mergeCell ref="AS315:AS316"/>
    <mergeCell ref="AT315:AT316"/>
    <mergeCell ref="AU315:AU316"/>
    <mergeCell ref="BA315:BA316"/>
    <mergeCell ref="AU281:AU282"/>
    <mergeCell ref="BA281:BA282"/>
    <mergeCell ref="AS280:BA280"/>
    <mergeCell ref="AS298:AS299"/>
    <mergeCell ref="AT298:AT299"/>
    <mergeCell ref="AU298:AU299"/>
    <mergeCell ref="AV298:AZ298"/>
    <mergeCell ref="BA298:BA299"/>
    <mergeCell ref="AS314:BA314"/>
    <mergeCell ref="AV281:AZ281"/>
    <mergeCell ref="AS297:BA297"/>
    <mergeCell ref="AS120:AT120"/>
    <mergeCell ref="AS121:AU121"/>
    <mergeCell ref="AS124:BA124"/>
    <mergeCell ref="AV125:AZ125"/>
    <mergeCell ref="AS138:AT138"/>
    <mergeCell ref="AL143:AP143"/>
    <mergeCell ref="AI164:AQ164"/>
    <mergeCell ref="X106:AF106"/>
    <mergeCell ref="X120:Y120"/>
    <mergeCell ref="X121:Z121"/>
    <mergeCell ref="X124:AF124"/>
    <mergeCell ref="AA125:AE125"/>
    <mergeCell ref="X138:Y138"/>
    <mergeCell ref="X142:AF142"/>
    <mergeCell ref="AA143:AE143"/>
    <mergeCell ref="X125:X126"/>
    <mergeCell ref="Y125:Y126"/>
    <mergeCell ref="Z125:Z126"/>
    <mergeCell ref="AF125:AF126"/>
    <mergeCell ref="X143:X144"/>
    <mergeCell ref="Y143:Y144"/>
    <mergeCell ref="AI120:AJ120"/>
    <mergeCell ref="AI121:AK121"/>
    <mergeCell ref="AI124:AQ124"/>
    <mergeCell ref="M120:N120"/>
    <mergeCell ref="M121:O121"/>
    <mergeCell ref="M124:U124"/>
    <mergeCell ref="P125:T125"/>
    <mergeCell ref="M143:M144"/>
    <mergeCell ref="N143:N144"/>
    <mergeCell ref="O143:O144"/>
    <mergeCell ref="U143:U144"/>
    <mergeCell ref="M125:M126"/>
    <mergeCell ref="N125:N126"/>
    <mergeCell ref="O125:O126"/>
    <mergeCell ref="U125:U126"/>
    <mergeCell ref="M142:U142"/>
    <mergeCell ref="P143:T143"/>
    <mergeCell ref="P165:T165"/>
    <mergeCell ref="U165:U166"/>
    <mergeCell ref="M165:M166"/>
    <mergeCell ref="X165:X166"/>
    <mergeCell ref="Y165:Y166"/>
    <mergeCell ref="N165:N166"/>
    <mergeCell ref="O165:O166"/>
    <mergeCell ref="B97:C97"/>
    <mergeCell ref="B106:J106"/>
    <mergeCell ref="B124:J124"/>
    <mergeCell ref="B142:J142"/>
    <mergeCell ref="E143:I143"/>
    <mergeCell ref="E125:I125"/>
    <mergeCell ref="B164:J164"/>
    <mergeCell ref="B165:B166"/>
    <mergeCell ref="C165:C166"/>
    <mergeCell ref="D165:D166"/>
    <mergeCell ref="E165:I165"/>
    <mergeCell ref="J165:J166"/>
    <mergeCell ref="M102:Z102"/>
    <mergeCell ref="M103:U103"/>
    <mergeCell ref="X103:AF103"/>
    <mergeCell ref="M164:U164"/>
    <mergeCell ref="X164:AF164"/>
    <mergeCell ref="B80:C80"/>
    <mergeCell ref="B84:B85"/>
    <mergeCell ref="C84:C85"/>
    <mergeCell ref="D84:D85"/>
    <mergeCell ref="E84:I84"/>
    <mergeCell ref="J84:J85"/>
    <mergeCell ref="J125:J126"/>
    <mergeCell ref="B143:B144"/>
    <mergeCell ref="C143:C144"/>
    <mergeCell ref="D143:D144"/>
    <mergeCell ref="J143:J144"/>
    <mergeCell ref="B103:J103"/>
    <mergeCell ref="B138:C138"/>
    <mergeCell ref="B120:C120"/>
    <mergeCell ref="B125:B126"/>
    <mergeCell ref="C125:C126"/>
    <mergeCell ref="D125:D126"/>
    <mergeCell ref="B107:B108"/>
    <mergeCell ref="C107:C108"/>
    <mergeCell ref="D107:D108"/>
    <mergeCell ref="B63:C63"/>
    <mergeCell ref="B67:B68"/>
    <mergeCell ref="C67:C68"/>
    <mergeCell ref="D67:D68"/>
    <mergeCell ref="E67:I67"/>
    <mergeCell ref="J67:J68"/>
    <mergeCell ref="B46:C46"/>
    <mergeCell ref="B50:B51"/>
    <mergeCell ref="C50:C51"/>
    <mergeCell ref="D50:D51"/>
    <mergeCell ref="E50:I50"/>
    <mergeCell ref="J50:J51"/>
    <mergeCell ref="B26:C26"/>
    <mergeCell ref="B33:B34"/>
    <mergeCell ref="C33:C34"/>
    <mergeCell ref="D33:D34"/>
    <mergeCell ref="E33:I33"/>
    <mergeCell ref="J33:J34"/>
    <mergeCell ref="B10:J10"/>
    <mergeCell ref="B12:B13"/>
    <mergeCell ref="C12:C13"/>
    <mergeCell ref="D12:D13"/>
    <mergeCell ref="E12:I12"/>
    <mergeCell ref="J12:J13"/>
    <mergeCell ref="AU240:AU241"/>
    <mergeCell ref="BA240:BA241"/>
    <mergeCell ref="AS240:AS241"/>
    <mergeCell ref="AT206:AT207"/>
    <mergeCell ref="AU206:AU207"/>
    <mergeCell ref="AV206:AZ206"/>
    <mergeCell ref="AS219:AT219"/>
    <mergeCell ref="BA189:BA190"/>
    <mergeCell ref="AV240:AZ240"/>
    <mergeCell ref="BA165:BA166"/>
    <mergeCell ref="AS165:AS166"/>
    <mergeCell ref="AS239:BA239"/>
    <mergeCell ref="AT223:AT224"/>
    <mergeCell ref="AU223:AU224"/>
    <mergeCell ref="BA223:BA224"/>
    <mergeCell ref="AS223:AS224"/>
    <mergeCell ref="AS205:BA205"/>
    <mergeCell ref="AS222:BA222"/>
    <mergeCell ref="AV223:AZ223"/>
    <mergeCell ref="AU165:AU166"/>
    <mergeCell ref="AV165:AZ165"/>
    <mergeCell ref="AS189:AS190"/>
    <mergeCell ref="AV189:AZ189"/>
    <mergeCell ref="AS185:BA185"/>
    <mergeCell ref="AT189:AT190"/>
    <mergeCell ref="AU189:AU190"/>
    <mergeCell ref="AS202:AT202"/>
    <mergeCell ref="AU125:AU126"/>
    <mergeCell ref="AS143:AS144"/>
    <mergeCell ref="AT143:AT144"/>
    <mergeCell ref="AS125:AS126"/>
    <mergeCell ref="AT165:AT166"/>
    <mergeCell ref="AI125:AI126"/>
    <mergeCell ref="AJ125:AJ126"/>
    <mergeCell ref="AJ165:AJ166"/>
    <mergeCell ref="AK165:AK166"/>
    <mergeCell ref="AQ125:AQ126"/>
    <mergeCell ref="AQ165:AQ166"/>
    <mergeCell ref="AI165:AI166"/>
    <mergeCell ref="AL165:AP165"/>
    <mergeCell ref="AV107:AZ107"/>
    <mergeCell ref="BA107:BA108"/>
    <mergeCell ref="AK107:AK108"/>
    <mergeCell ref="AL107:AP107"/>
    <mergeCell ref="AQ107:AQ108"/>
    <mergeCell ref="AS107:AS108"/>
    <mergeCell ref="AT107:AT108"/>
    <mergeCell ref="AU107:AU108"/>
    <mergeCell ref="AI107:AI108"/>
    <mergeCell ref="AJ107:AJ108"/>
    <mergeCell ref="Z107:Z108"/>
    <mergeCell ref="AA107:AE107"/>
    <mergeCell ref="AF107:AF108"/>
    <mergeCell ref="M107:M108"/>
    <mergeCell ref="N107:N108"/>
    <mergeCell ref="O107:O108"/>
    <mergeCell ref="P107:T107"/>
    <mergeCell ref="E107:I107"/>
    <mergeCell ref="J107:J108"/>
    <mergeCell ref="Y107:Y108"/>
    <mergeCell ref="U107:U108"/>
    <mergeCell ref="X107:X108"/>
    <mergeCell ref="AS106:BA106"/>
    <mergeCell ref="M106:U106"/>
    <mergeCell ref="AI103:AQ103"/>
    <mergeCell ref="AS103:BA103"/>
    <mergeCell ref="B104:J104"/>
    <mergeCell ref="M104:U104"/>
    <mergeCell ref="X104:AF104"/>
    <mergeCell ref="AI104:AQ104"/>
    <mergeCell ref="AS104:BA104"/>
    <mergeCell ref="AI106:AQ106"/>
  </mergeCells>
  <pageMargins left="0.7" right="0.7" top="0.75" bottom="0.75" header="0.3" footer="0.3"/>
  <pageSetup orientation="portrait" r:id="rId1"/>
  <ignoredErrors>
    <ignoredError sqref="J219 AF219 AQ219" formulaRange="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249977111117893"/>
  </sheetPr>
  <dimension ref="A3:AY227"/>
  <sheetViews>
    <sheetView zoomScale="85" zoomScaleNormal="85" workbookViewId="0">
      <selection activeCell="C25" sqref="C25"/>
    </sheetView>
  </sheetViews>
  <sheetFormatPr baseColWidth="10" defaultColWidth="11.42578125" defaultRowHeight="16.5" x14ac:dyDescent="0.3"/>
  <cols>
    <col min="1" max="1" width="4.7109375" style="4" customWidth="1"/>
    <col min="2" max="2" width="9.28515625" style="4" customWidth="1"/>
    <col min="3" max="3" width="50.7109375" style="4" customWidth="1"/>
    <col min="4" max="4" width="15.28515625" style="4" customWidth="1"/>
    <col min="5" max="5" width="11.42578125" style="4"/>
    <col min="6" max="7" width="16.5703125" style="4" bestFit="1" customWidth="1"/>
    <col min="8" max="8" width="15.42578125" style="4" bestFit="1" customWidth="1"/>
    <col min="9" max="9" width="11.42578125" style="4"/>
    <col min="10" max="10" width="38.42578125" style="4" bestFit="1" customWidth="1"/>
    <col min="11" max="11" width="11.42578125" style="4"/>
    <col min="12" max="12" width="12.42578125" style="4" bestFit="1" customWidth="1"/>
    <col min="13" max="13" width="71.7109375" style="4" customWidth="1"/>
    <col min="14" max="14" width="10.28515625" style="4" customWidth="1"/>
    <col min="15" max="15" width="12.42578125" style="4" bestFit="1" customWidth="1"/>
    <col min="16" max="16" width="11.42578125" style="4"/>
    <col min="17" max="17" width="54.85546875" style="4" bestFit="1" customWidth="1"/>
    <col min="18" max="23" width="11.42578125" style="4"/>
    <col min="24" max="24" width="93.28515625" style="4" bestFit="1" customWidth="1"/>
    <col min="25" max="33" width="11.42578125" style="4"/>
    <col min="34" max="34" width="93.28515625" style="4" bestFit="1" customWidth="1"/>
    <col min="35" max="43" width="11.42578125" style="4"/>
    <col min="44" max="44" width="93.28515625" style="4" bestFit="1" customWidth="1"/>
    <col min="45" max="16384" width="11.42578125" style="4"/>
  </cols>
  <sheetData>
    <row r="3" spans="1:51" x14ac:dyDescent="0.3">
      <c r="E3" s="9"/>
    </row>
    <row r="4" spans="1:51" ht="20.25" x14ac:dyDescent="0.3">
      <c r="C4" s="4153" t="s">
        <v>558</v>
      </c>
      <c r="D4" s="4154"/>
      <c r="E4" s="4154"/>
      <c r="F4" s="4154"/>
      <c r="G4" s="4154"/>
      <c r="H4" s="4154"/>
      <c r="I4" s="4154"/>
      <c r="J4" s="4154"/>
      <c r="K4" s="4154"/>
      <c r="L4" s="4154"/>
      <c r="M4" s="4154"/>
      <c r="N4" s="4154"/>
      <c r="O4" s="4154"/>
      <c r="P4" s="4154"/>
      <c r="Q4" s="4154"/>
      <c r="R4" s="4154"/>
      <c r="S4" s="4154"/>
      <c r="T4" s="4154"/>
      <c r="U4" s="4154"/>
      <c r="V4" s="4155"/>
    </row>
    <row r="5" spans="1:51" x14ac:dyDescent="0.3">
      <c r="C5" s="4156" t="s">
        <v>559</v>
      </c>
      <c r="D5" s="4156"/>
      <c r="E5" s="4156"/>
      <c r="F5" s="4156"/>
      <c r="G5" s="4156"/>
      <c r="H5" s="4156"/>
      <c r="I5" s="4156"/>
      <c r="J5" s="4156"/>
      <c r="K5" s="4156"/>
      <c r="L5" s="4156"/>
      <c r="M5" s="4156"/>
      <c r="N5" s="4156"/>
      <c r="O5" s="4156"/>
      <c r="P5" s="4156"/>
      <c r="Q5" s="4156"/>
      <c r="R5" s="4156"/>
      <c r="S5" s="4156"/>
      <c r="T5" s="4156"/>
      <c r="U5" s="4156"/>
      <c r="V5" s="4156"/>
    </row>
    <row r="6" spans="1:51" x14ac:dyDescent="0.3">
      <c r="C6" s="6" t="s">
        <v>191</v>
      </c>
      <c r="D6" s="9" t="s">
        <v>5973</v>
      </c>
    </row>
    <row r="7" spans="1:51" x14ac:dyDescent="0.3">
      <c r="D7" s="9"/>
    </row>
    <row r="8" spans="1:51" x14ac:dyDescent="0.3">
      <c r="C8" s="6" t="s">
        <v>192</v>
      </c>
      <c r="D8" s="9" t="s">
        <v>5974</v>
      </c>
      <c r="J8" s="6"/>
    </row>
    <row r="9" spans="1:51" x14ac:dyDescent="0.3">
      <c r="C9" s="6"/>
      <c r="D9" s="9"/>
      <c r="J9" s="6"/>
    </row>
    <row r="10" spans="1:51" ht="24.75" customHeight="1" x14ac:dyDescent="0.3">
      <c r="B10" s="4027" t="s">
        <v>296</v>
      </c>
      <c r="C10" s="4027"/>
      <c r="D10" s="4027"/>
      <c r="E10" s="4027"/>
      <c r="F10" s="4027"/>
      <c r="G10" s="4027"/>
      <c r="H10" s="4027"/>
      <c r="I10" s="4027"/>
      <c r="J10" s="4027"/>
      <c r="L10" s="4027" t="s">
        <v>342</v>
      </c>
      <c r="M10" s="4027"/>
      <c r="N10" s="4027"/>
      <c r="O10" s="4027"/>
      <c r="P10" s="4027"/>
      <c r="Q10" s="4027"/>
      <c r="R10" s="4027"/>
      <c r="S10" s="4027"/>
      <c r="T10" s="4027"/>
      <c r="V10" s="4027" t="s">
        <v>347</v>
      </c>
      <c r="W10" s="4027"/>
      <c r="X10" s="4027"/>
      <c r="Y10" s="4027"/>
      <c r="Z10" s="4027"/>
      <c r="AA10" s="4027"/>
      <c r="AB10" s="4027"/>
      <c r="AC10" s="4027"/>
      <c r="AD10" s="4027"/>
      <c r="AF10" s="4027" t="s">
        <v>614</v>
      </c>
      <c r="AG10" s="4027"/>
      <c r="AH10" s="4027"/>
      <c r="AI10" s="4027"/>
      <c r="AJ10" s="4027"/>
      <c r="AK10" s="4027"/>
      <c r="AL10" s="4027"/>
      <c r="AM10" s="4027"/>
      <c r="AN10" s="4027"/>
      <c r="AO10" s="3951"/>
      <c r="AP10" s="4027" t="s">
        <v>3554</v>
      </c>
      <c r="AQ10" s="4027"/>
      <c r="AR10" s="4027"/>
      <c r="AS10" s="4027"/>
      <c r="AT10" s="4027"/>
      <c r="AU10" s="4027"/>
      <c r="AV10" s="4027"/>
      <c r="AW10" s="4027"/>
      <c r="AX10" s="4027"/>
      <c r="AY10" s="3951"/>
    </row>
    <row r="11" spans="1:51" s="6" customFormat="1" x14ac:dyDescent="0.3">
      <c r="B11" s="12" t="s">
        <v>294</v>
      </c>
      <c r="D11" s="51"/>
      <c r="M11" s="12" t="s">
        <v>294</v>
      </c>
      <c r="O11" s="51"/>
      <c r="W11" s="12" t="s">
        <v>294</v>
      </c>
      <c r="Y11" s="51"/>
      <c r="AG11" s="12" t="s">
        <v>294</v>
      </c>
      <c r="AI11" s="51"/>
      <c r="AQ11" s="12" t="s">
        <v>294</v>
      </c>
      <c r="AS11" s="51"/>
    </row>
    <row r="12" spans="1:51" s="6" customFormat="1" x14ac:dyDescent="0.3">
      <c r="A12" s="102">
        <v>1</v>
      </c>
      <c r="B12" s="103" t="s">
        <v>6074</v>
      </c>
      <c r="C12" s="102"/>
      <c r="D12" s="104"/>
      <c r="E12" s="102"/>
      <c r="M12" s="12"/>
      <c r="O12" s="51"/>
      <c r="W12" s="12"/>
      <c r="Y12" s="51"/>
      <c r="AG12" s="12"/>
      <c r="AI12" s="51"/>
      <c r="AQ12" s="12"/>
      <c r="AS12" s="51"/>
    </row>
    <row r="13" spans="1:51" s="6" customFormat="1" x14ac:dyDescent="0.3">
      <c r="B13" s="12"/>
      <c r="D13" s="51"/>
      <c r="M13" s="12"/>
      <c r="O13" s="51"/>
      <c r="W13" s="12"/>
      <c r="Y13" s="51"/>
      <c r="AG13" s="12"/>
      <c r="AI13" s="51"/>
      <c r="AQ13" s="12"/>
      <c r="AS13" s="51"/>
    </row>
    <row r="14" spans="1:51" ht="16.5" customHeight="1" x14ac:dyDescent="0.3">
      <c r="B14" s="4014" t="s">
        <v>62</v>
      </c>
      <c r="C14" s="4014" t="s">
        <v>184</v>
      </c>
      <c r="D14" s="4014" t="s">
        <v>161</v>
      </c>
      <c r="E14" s="4037" t="s">
        <v>186</v>
      </c>
      <c r="F14" s="4038"/>
      <c r="G14" s="4038"/>
      <c r="H14" s="4038"/>
      <c r="I14" s="4056"/>
      <c r="J14" s="4014" t="s">
        <v>0</v>
      </c>
      <c r="L14" s="4014" t="s">
        <v>62</v>
      </c>
      <c r="M14" s="4014" t="s">
        <v>184</v>
      </c>
      <c r="N14" s="4014" t="s">
        <v>161</v>
      </c>
      <c r="O14" s="4037" t="s">
        <v>186</v>
      </c>
      <c r="P14" s="4038"/>
      <c r="Q14" s="4038"/>
      <c r="R14" s="4038"/>
      <c r="S14" s="4056"/>
      <c r="T14" s="4014" t="s">
        <v>0</v>
      </c>
      <c r="V14" s="4014" t="s">
        <v>62</v>
      </c>
      <c r="W14" s="4014" t="s">
        <v>184</v>
      </c>
      <c r="X14" s="4014" t="s">
        <v>161</v>
      </c>
      <c r="Y14" s="4037" t="s">
        <v>186</v>
      </c>
      <c r="Z14" s="4038"/>
      <c r="AA14" s="4038"/>
      <c r="AB14" s="4038"/>
      <c r="AC14" s="4056"/>
      <c r="AD14" s="4014" t="s">
        <v>0</v>
      </c>
      <c r="AF14" s="4014" t="s">
        <v>62</v>
      </c>
      <c r="AG14" s="4014" t="s">
        <v>184</v>
      </c>
      <c r="AH14" s="4014" t="s">
        <v>161</v>
      </c>
      <c r="AI14" s="4037" t="s">
        <v>186</v>
      </c>
      <c r="AJ14" s="4038"/>
      <c r="AK14" s="4038"/>
      <c r="AL14" s="4038"/>
      <c r="AM14" s="4056"/>
      <c r="AN14" s="4014" t="s">
        <v>0</v>
      </c>
      <c r="AP14" s="4014" t="s">
        <v>62</v>
      </c>
      <c r="AQ14" s="4014" t="s">
        <v>184</v>
      </c>
      <c r="AR14" s="4014" t="s">
        <v>161</v>
      </c>
      <c r="AS14" s="4037" t="s">
        <v>186</v>
      </c>
      <c r="AT14" s="4038"/>
      <c r="AU14" s="4038"/>
      <c r="AV14" s="4038"/>
      <c r="AW14" s="4056"/>
      <c r="AX14" s="4014" t="s">
        <v>0</v>
      </c>
    </row>
    <row r="15" spans="1:51" ht="16.5" customHeight="1" x14ac:dyDescent="0.3">
      <c r="B15" s="4015"/>
      <c r="C15" s="4015"/>
      <c r="D15" s="4015"/>
      <c r="E15" s="3921" t="s">
        <v>271</v>
      </c>
      <c r="F15" s="3921" t="s">
        <v>289</v>
      </c>
      <c r="G15" s="3921" t="s">
        <v>290</v>
      </c>
      <c r="H15" s="3921" t="s">
        <v>291</v>
      </c>
      <c r="I15" s="3921" t="s">
        <v>292</v>
      </c>
      <c r="J15" s="4015"/>
      <c r="L15" s="4015"/>
      <c r="M15" s="4015"/>
      <c r="N15" s="4015"/>
      <c r="O15" s="3921" t="s">
        <v>271</v>
      </c>
      <c r="P15" s="3921" t="s">
        <v>289</v>
      </c>
      <c r="Q15" s="3921" t="s">
        <v>290</v>
      </c>
      <c r="R15" s="3921" t="s">
        <v>291</v>
      </c>
      <c r="S15" s="3921" t="s">
        <v>292</v>
      </c>
      <c r="T15" s="4015"/>
      <c r="V15" s="4015"/>
      <c r="W15" s="4015"/>
      <c r="X15" s="4015"/>
      <c r="Y15" s="3921" t="s">
        <v>271</v>
      </c>
      <c r="Z15" s="3921" t="s">
        <v>289</v>
      </c>
      <c r="AA15" s="3921" t="s">
        <v>290</v>
      </c>
      <c r="AB15" s="3921" t="s">
        <v>291</v>
      </c>
      <c r="AC15" s="3921" t="s">
        <v>292</v>
      </c>
      <c r="AD15" s="4036"/>
      <c r="AF15" s="4036"/>
      <c r="AG15" s="4036"/>
      <c r="AH15" s="4036"/>
      <c r="AI15" s="3921" t="s">
        <v>271</v>
      </c>
      <c r="AJ15" s="3921" t="s">
        <v>289</v>
      </c>
      <c r="AK15" s="3921" t="s">
        <v>290</v>
      </c>
      <c r="AL15" s="3921" t="s">
        <v>291</v>
      </c>
      <c r="AM15" s="3921" t="s">
        <v>292</v>
      </c>
      <c r="AN15" s="4036"/>
      <c r="AP15" s="4036"/>
      <c r="AQ15" s="4036"/>
      <c r="AR15" s="4036"/>
      <c r="AS15" s="3921" t="s">
        <v>271</v>
      </c>
      <c r="AT15" s="3921" t="s">
        <v>289</v>
      </c>
      <c r="AU15" s="3921" t="s">
        <v>290</v>
      </c>
      <c r="AV15" s="3921" t="s">
        <v>291</v>
      </c>
      <c r="AW15" s="3921" t="s">
        <v>292</v>
      </c>
      <c r="AX15" s="4036"/>
    </row>
    <row r="16" spans="1:51" x14ac:dyDescent="0.3">
      <c r="B16" s="3863">
        <v>1</v>
      </c>
      <c r="C16" s="3862" t="s">
        <v>5975</v>
      </c>
      <c r="D16" s="3863" t="s">
        <v>1108</v>
      </c>
      <c r="E16" s="3864">
        <v>1573</v>
      </c>
      <c r="F16" s="3864">
        <v>303</v>
      </c>
      <c r="G16" s="3864">
        <v>395</v>
      </c>
      <c r="H16" s="3864">
        <v>702</v>
      </c>
      <c r="I16" s="3864">
        <v>332</v>
      </c>
      <c r="J16" s="262">
        <f>SUM(E16+F16+G16+H16+I16)</f>
        <v>3305</v>
      </c>
      <c r="L16" s="3863">
        <v>1</v>
      </c>
      <c r="M16" s="3862" t="s">
        <v>5975</v>
      </c>
      <c r="N16" s="3863" t="s">
        <v>1108</v>
      </c>
      <c r="O16" s="3863">
        <v>1660</v>
      </c>
      <c r="P16" s="3863">
        <v>307</v>
      </c>
      <c r="Q16" s="3863">
        <v>440</v>
      </c>
      <c r="R16" s="3863">
        <v>909</v>
      </c>
      <c r="S16" s="3863">
        <v>356</v>
      </c>
      <c r="T16" s="262">
        <f>SUM(O16+P16+Q16+R16+S16)</f>
        <v>3672</v>
      </c>
      <c r="V16" s="3863">
        <v>1</v>
      </c>
      <c r="W16" s="3862" t="s">
        <v>5975</v>
      </c>
      <c r="X16" s="3863" t="s">
        <v>1108</v>
      </c>
      <c r="Y16" s="3863">
        <v>1462</v>
      </c>
      <c r="Z16" s="3863">
        <v>336</v>
      </c>
      <c r="AA16" s="3863">
        <v>412</v>
      </c>
      <c r="AB16" s="3863">
        <v>953</v>
      </c>
      <c r="AC16" s="3863">
        <v>425</v>
      </c>
      <c r="AD16" s="262">
        <f t="shared" ref="AD16:AD26" si="0">SUM(Y16+Z16+AA16+AB16+AC16)</f>
        <v>3588</v>
      </c>
      <c r="AF16" s="3863">
        <v>1</v>
      </c>
      <c r="AG16" s="3862" t="s">
        <v>5975</v>
      </c>
      <c r="AH16" s="3863" t="s">
        <v>1108</v>
      </c>
      <c r="AI16" s="3863">
        <v>937</v>
      </c>
      <c r="AJ16" s="3863">
        <v>314</v>
      </c>
      <c r="AK16" s="3863">
        <v>370</v>
      </c>
      <c r="AL16" s="3863">
        <v>943</v>
      </c>
      <c r="AM16" s="3863">
        <v>445</v>
      </c>
      <c r="AN16" s="262">
        <f t="shared" ref="AN16:AN26" si="1">SUM(AI16+AJ16+AK16+AL16+AM16)</f>
        <v>3009</v>
      </c>
      <c r="AP16" s="3863">
        <v>1</v>
      </c>
      <c r="AQ16" s="3862" t="s">
        <v>5975</v>
      </c>
      <c r="AR16" s="3863" t="s">
        <v>1108</v>
      </c>
      <c r="AS16" s="3863">
        <v>734</v>
      </c>
      <c r="AT16" s="3863">
        <v>260</v>
      </c>
      <c r="AU16" s="3863">
        <v>288</v>
      </c>
      <c r="AV16" s="3863">
        <v>704</v>
      </c>
      <c r="AW16" s="3863">
        <v>337</v>
      </c>
      <c r="AX16" s="262">
        <f t="shared" ref="AX16:AX26" si="2">SUM(AS16+AT16+AU16+AV16+AW16)</f>
        <v>2323</v>
      </c>
    </row>
    <row r="17" spans="1:50" x14ac:dyDescent="0.3">
      <c r="B17" s="3863">
        <v>2</v>
      </c>
      <c r="C17" s="3862" t="s">
        <v>877</v>
      </c>
      <c r="D17" s="3863" t="s">
        <v>876</v>
      </c>
      <c r="E17" s="3864">
        <v>884</v>
      </c>
      <c r="F17" s="3864">
        <v>144</v>
      </c>
      <c r="G17" s="3864">
        <v>202</v>
      </c>
      <c r="H17" s="3864">
        <v>372</v>
      </c>
      <c r="I17" s="3864">
        <v>255</v>
      </c>
      <c r="J17" s="262">
        <f t="shared" ref="J17:J26" si="3">SUM(E17+F17+G17+H17+I17)</f>
        <v>1857</v>
      </c>
      <c r="L17" s="3863">
        <v>2</v>
      </c>
      <c r="M17" s="3862" t="s">
        <v>877</v>
      </c>
      <c r="N17" s="3863" t="s">
        <v>876</v>
      </c>
      <c r="O17" s="3863">
        <v>781</v>
      </c>
      <c r="P17" s="3863">
        <v>136</v>
      </c>
      <c r="Q17" s="3863">
        <v>168</v>
      </c>
      <c r="R17" s="3863">
        <v>370</v>
      </c>
      <c r="S17" s="3863">
        <v>194</v>
      </c>
      <c r="T17" s="262">
        <f t="shared" ref="T17:T26" si="4">SUM(O17+P17+Q17+R17+S17)</f>
        <v>1649</v>
      </c>
      <c r="V17" s="3863">
        <v>2</v>
      </c>
      <c r="W17" s="3862" t="s">
        <v>877</v>
      </c>
      <c r="X17" s="3863" t="s">
        <v>876</v>
      </c>
      <c r="Y17" s="3863">
        <v>689</v>
      </c>
      <c r="Z17" s="3863">
        <v>150</v>
      </c>
      <c r="AA17" s="3863">
        <v>169</v>
      </c>
      <c r="AB17" s="3863">
        <v>427</v>
      </c>
      <c r="AC17" s="3863">
        <v>271</v>
      </c>
      <c r="AD17" s="262">
        <f t="shared" si="0"/>
        <v>1706</v>
      </c>
      <c r="AF17" s="3863">
        <v>2</v>
      </c>
      <c r="AG17" s="3862" t="s">
        <v>877</v>
      </c>
      <c r="AH17" s="3863" t="s">
        <v>876</v>
      </c>
      <c r="AI17" s="3863">
        <v>1156</v>
      </c>
      <c r="AJ17" s="3863">
        <v>237</v>
      </c>
      <c r="AK17" s="3863">
        <v>249</v>
      </c>
      <c r="AL17" s="3863">
        <v>596</v>
      </c>
      <c r="AM17" s="3863">
        <v>405</v>
      </c>
      <c r="AN17" s="262">
        <f t="shared" si="1"/>
        <v>2643</v>
      </c>
      <c r="AP17" s="3863">
        <v>2</v>
      </c>
      <c r="AQ17" s="3862" t="s">
        <v>877</v>
      </c>
      <c r="AR17" s="3863" t="s">
        <v>876</v>
      </c>
      <c r="AS17" s="3863">
        <v>1391</v>
      </c>
      <c r="AT17" s="3863">
        <v>222</v>
      </c>
      <c r="AU17" s="3863">
        <v>294</v>
      </c>
      <c r="AV17" s="3863">
        <v>729</v>
      </c>
      <c r="AW17" s="3863">
        <v>380</v>
      </c>
      <c r="AX17" s="262">
        <f t="shared" si="2"/>
        <v>3016</v>
      </c>
    </row>
    <row r="18" spans="1:50" x14ac:dyDescent="0.3">
      <c r="B18" s="3863">
        <v>3</v>
      </c>
      <c r="C18" s="3862" t="s">
        <v>1111</v>
      </c>
      <c r="D18" s="3863" t="s">
        <v>1109</v>
      </c>
      <c r="E18" s="3864">
        <v>481</v>
      </c>
      <c r="F18" s="3864">
        <v>110</v>
      </c>
      <c r="G18" s="3864">
        <v>85</v>
      </c>
      <c r="H18" s="3864">
        <v>162</v>
      </c>
      <c r="I18" s="3864">
        <v>86</v>
      </c>
      <c r="J18" s="262">
        <f t="shared" si="3"/>
        <v>924</v>
      </c>
      <c r="L18" s="3863">
        <v>3</v>
      </c>
      <c r="M18" s="3862" t="s">
        <v>1111</v>
      </c>
      <c r="N18" s="3863" t="s">
        <v>1109</v>
      </c>
      <c r="O18" s="3863">
        <v>454</v>
      </c>
      <c r="P18" s="3863">
        <v>101</v>
      </c>
      <c r="Q18" s="3863">
        <v>108</v>
      </c>
      <c r="R18" s="3863">
        <v>201</v>
      </c>
      <c r="S18" s="3863">
        <v>88</v>
      </c>
      <c r="T18" s="262">
        <f t="shared" si="4"/>
        <v>952</v>
      </c>
      <c r="V18" s="3863">
        <v>3</v>
      </c>
      <c r="W18" s="3862" t="s">
        <v>1111</v>
      </c>
      <c r="X18" s="3863" t="s">
        <v>1109</v>
      </c>
      <c r="Y18" s="3863">
        <v>586</v>
      </c>
      <c r="Z18" s="3863">
        <v>106</v>
      </c>
      <c r="AA18" s="3863">
        <v>135</v>
      </c>
      <c r="AB18" s="3863">
        <v>216</v>
      </c>
      <c r="AC18" s="3863">
        <v>111</v>
      </c>
      <c r="AD18" s="262">
        <f t="shared" si="0"/>
        <v>1154</v>
      </c>
      <c r="AF18" s="3863">
        <v>3</v>
      </c>
      <c r="AG18" s="3862" t="s">
        <v>1111</v>
      </c>
      <c r="AH18" s="3863" t="s">
        <v>1109</v>
      </c>
      <c r="AI18" s="3863">
        <v>582</v>
      </c>
      <c r="AJ18" s="3863">
        <v>132</v>
      </c>
      <c r="AK18" s="3863">
        <v>138</v>
      </c>
      <c r="AL18" s="3863">
        <v>319</v>
      </c>
      <c r="AM18" s="3863">
        <v>144</v>
      </c>
      <c r="AN18" s="262">
        <f t="shared" si="1"/>
        <v>1315</v>
      </c>
      <c r="AP18" s="3863">
        <v>3</v>
      </c>
      <c r="AQ18" s="3862" t="s">
        <v>1111</v>
      </c>
      <c r="AR18" s="3863" t="s">
        <v>1109</v>
      </c>
      <c r="AS18" s="3863">
        <v>744</v>
      </c>
      <c r="AT18" s="3863">
        <v>128</v>
      </c>
      <c r="AU18" s="3863">
        <v>121</v>
      </c>
      <c r="AV18" s="3863">
        <v>308</v>
      </c>
      <c r="AW18" s="3863">
        <v>130</v>
      </c>
      <c r="AX18" s="262">
        <f t="shared" si="2"/>
        <v>1431</v>
      </c>
    </row>
    <row r="19" spans="1:50" x14ac:dyDescent="0.3">
      <c r="B19" s="3863">
        <v>4</v>
      </c>
      <c r="C19" s="3862" t="s">
        <v>5976</v>
      </c>
      <c r="D19" s="3863" t="s">
        <v>5977</v>
      </c>
      <c r="E19" s="3864">
        <v>33</v>
      </c>
      <c r="F19" s="3864">
        <v>22</v>
      </c>
      <c r="G19" s="3864">
        <v>130</v>
      </c>
      <c r="H19" s="3864">
        <v>708</v>
      </c>
      <c r="I19" s="3864">
        <v>711</v>
      </c>
      <c r="J19" s="262">
        <f t="shared" si="3"/>
        <v>1604</v>
      </c>
      <c r="L19" s="3863">
        <v>4</v>
      </c>
      <c r="M19" s="3862" t="s">
        <v>5976</v>
      </c>
      <c r="N19" s="3863" t="s">
        <v>5977</v>
      </c>
      <c r="O19" s="3863">
        <v>63</v>
      </c>
      <c r="P19" s="3863">
        <v>20</v>
      </c>
      <c r="Q19" s="3863">
        <v>104</v>
      </c>
      <c r="R19" s="3863">
        <v>713</v>
      </c>
      <c r="S19" s="3863">
        <v>635</v>
      </c>
      <c r="T19" s="262">
        <f t="shared" si="4"/>
        <v>1535</v>
      </c>
      <c r="V19" s="3863">
        <v>4</v>
      </c>
      <c r="W19" s="3862" t="s">
        <v>5976</v>
      </c>
      <c r="X19" s="3863" t="s">
        <v>5977</v>
      </c>
      <c r="Y19" s="3863">
        <v>18</v>
      </c>
      <c r="Z19" s="3863">
        <v>22</v>
      </c>
      <c r="AA19" s="3863">
        <v>140</v>
      </c>
      <c r="AB19" s="3863">
        <v>854</v>
      </c>
      <c r="AC19" s="3863">
        <v>867</v>
      </c>
      <c r="AD19" s="262">
        <f t="shared" si="0"/>
        <v>1901</v>
      </c>
      <c r="AF19" s="3863">
        <v>4</v>
      </c>
      <c r="AG19" s="3862" t="s">
        <v>5976</v>
      </c>
      <c r="AH19" s="3863" t="s">
        <v>5977</v>
      </c>
      <c r="AI19" s="3863">
        <v>6</v>
      </c>
      <c r="AJ19" s="3863">
        <v>12</v>
      </c>
      <c r="AK19" s="3863">
        <v>100</v>
      </c>
      <c r="AL19" s="3863">
        <v>805</v>
      </c>
      <c r="AM19" s="3863">
        <v>916</v>
      </c>
      <c r="AN19" s="262">
        <f t="shared" si="1"/>
        <v>1839</v>
      </c>
      <c r="AP19" s="3863">
        <v>4</v>
      </c>
      <c r="AQ19" s="3862" t="s">
        <v>5976</v>
      </c>
      <c r="AR19" s="3863" t="s">
        <v>5977</v>
      </c>
      <c r="AS19" s="3863">
        <v>7</v>
      </c>
      <c r="AT19" s="3863">
        <v>13</v>
      </c>
      <c r="AU19" s="3863">
        <v>105</v>
      </c>
      <c r="AV19" s="3863">
        <v>809</v>
      </c>
      <c r="AW19" s="3863">
        <v>923</v>
      </c>
      <c r="AX19" s="262">
        <f t="shared" si="2"/>
        <v>1857</v>
      </c>
    </row>
    <row r="20" spans="1:50" x14ac:dyDescent="0.3">
      <c r="B20" s="3863">
        <v>5</v>
      </c>
      <c r="C20" s="3862" t="s">
        <v>5978</v>
      </c>
      <c r="D20" s="3863" t="s">
        <v>5979</v>
      </c>
      <c r="E20" s="3864">
        <v>24</v>
      </c>
      <c r="F20" s="3864">
        <v>21</v>
      </c>
      <c r="G20" s="3864">
        <v>117</v>
      </c>
      <c r="H20" s="3864">
        <v>359</v>
      </c>
      <c r="I20" s="3864">
        <v>238</v>
      </c>
      <c r="J20" s="262">
        <f t="shared" si="3"/>
        <v>759</v>
      </c>
      <c r="L20" s="3863">
        <v>5</v>
      </c>
      <c r="M20" s="3862" t="s">
        <v>5978</v>
      </c>
      <c r="N20" s="3863" t="s">
        <v>5979</v>
      </c>
      <c r="O20" s="3863">
        <v>62</v>
      </c>
      <c r="P20" s="3863">
        <v>48</v>
      </c>
      <c r="Q20" s="3863">
        <v>208</v>
      </c>
      <c r="R20" s="3863">
        <v>569</v>
      </c>
      <c r="S20" s="3863">
        <v>367</v>
      </c>
      <c r="T20" s="262">
        <f t="shared" si="4"/>
        <v>1254</v>
      </c>
      <c r="V20" s="3863">
        <v>5</v>
      </c>
      <c r="W20" s="3862" t="s">
        <v>5978</v>
      </c>
      <c r="X20" s="3863" t="s">
        <v>5979</v>
      </c>
      <c r="Y20" s="3863">
        <v>49</v>
      </c>
      <c r="Z20" s="3863">
        <v>69</v>
      </c>
      <c r="AA20" s="3863">
        <v>276</v>
      </c>
      <c r="AB20" s="3863">
        <v>853</v>
      </c>
      <c r="AC20" s="3863">
        <v>607</v>
      </c>
      <c r="AD20" s="262">
        <f t="shared" si="0"/>
        <v>1854</v>
      </c>
      <c r="AF20" s="3863">
        <v>5</v>
      </c>
      <c r="AG20" s="3862" t="s">
        <v>5978</v>
      </c>
      <c r="AH20" s="3863" t="s">
        <v>5979</v>
      </c>
      <c r="AI20" s="3863">
        <v>24</v>
      </c>
      <c r="AJ20" s="3863">
        <v>55</v>
      </c>
      <c r="AK20" s="3863">
        <v>194</v>
      </c>
      <c r="AL20" s="3863">
        <v>840</v>
      </c>
      <c r="AM20" s="3863">
        <v>604</v>
      </c>
      <c r="AN20" s="262">
        <f t="shared" si="1"/>
        <v>1717</v>
      </c>
      <c r="AP20" s="3863">
        <v>5</v>
      </c>
      <c r="AQ20" s="3862" t="s">
        <v>5978</v>
      </c>
      <c r="AR20" s="3863" t="s">
        <v>5979</v>
      </c>
      <c r="AS20" s="3863">
        <v>27</v>
      </c>
      <c r="AT20" s="3863">
        <v>60</v>
      </c>
      <c r="AU20" s="3863">
        <v>200</v>
      </c>
      <c r="AV20" s="3863">
        <v>854</v>
      </c>
      <c r="AW20" s="3863">
        <v>610</v>
      </c>
      <c r="AX20" s="262">
        <f t="shared" si="2"/>
        <v>1751</v>
      </c>
    </row>
    <row r="21" spans="1:50" x14ac:dyDescent="0.3">
      <c r="B21" s="3863">
        <v>6</v>
      </c>
      <c r="C21" s="3862" t="s">
        <v>5980</v>
      </c>
      <c r="D21" s="3863" t="s">
        <v>5981</v>
      </c>
      <c r="E21" s="3864">
        <v>0</v>
      </c>
      <c r="F21" s="3864">
        <v>15</v>
      </c>
      <c r="G21" s="3864">
        <v>85</v>
      </c>
      <c r="H21" s="3864">
        <v>252</v>
      </c>
      <c r="I21" s="3864">
        <v>247</v>
      </c>
      <c r="J21" s="262">
        <f t="shared" si="3"/>
        <v>599</v>
      </c>
      <c r="L21" s="3863">
        <v>6</v>
      </c>
      <c r="M21" s="3862" t="s">
        <v>5980</v>
      </c>
      <c r="N21" s="3863" t="s">
        <v>5981</v>
      </c>
      <c r="O21" s="3863">
        <v>20</v>
      </c>
      <c r="P21" s="3863">
        <v>18</v>
      </c>
      <c r="Q21" s="3863">
        <v>94</v>
      </c>
      <c r="R21" s="3863">
        <v>317</v>
      </c>
      <c r="S21" s="3863">
        <v>277</v>
      </c>
      <c r="T21" s="262">
        <f t="shared" si="4"/>
        <v>726</v>
      </c>
      <c r="V21" s="3863">
        <v>6</v>
      </c>
      <c r="W21" s="3862" t="s">
        <v>5980</v>
      </c>
      <c r="X21" s="3863" t="s">
        <v>5981</v>
      </c>
      <c r="Y21" s="3863">
        <v>5</v>
      </c>
      <c r="Z21" s="3863">
        <v>34</v>
      </c>
      <c r="AA21" s="3863">
        <v>135</v>
      </c>
      <c r="AB21" s="3863">
        <v>415</v>
      </c>
      <c r="AC21" s="3863">
        <v>360</v>
      </c>
      <c r="AD21" s="262">
        <f t="shared" si="0"/>
        <v>949</v>
      </c>
      <c r="AF21" s="3863">
        <v>6</v>
      </c>
      <c r="AG21" s="3862" t="s">
        <v>5980</v>
      </c>
      <c r="AH21" s="3863" t="s">
        <v>5981</v>
      </c>
      <c r="AI21" s="3863">
        <v>2</v>
      </c>
      <c r="AJ21" s="3863">
        <v>11</v>
      </c>
      <c r="AK21" s="3863">
        <v>64</v>
      </c>
      <c r="AL21" s="3863">
        <v>229</v>
      </c>
      <c r="AM21" s="3863">
        <v>217</v>
      </c>
      <c r="AN21" s="262">
        <f t="shared" si="1"/>
        <v>523</v>
      </c>
      <c r="AP21" s="3863">
        <v>6</v>
      </c>
      <c r="AQ21" s="3862" t="s">
        <v>5980</v>
      </c>
      <c r="AR21" s="3863" t="s">
        <v>5981</v>
      </c>
      <c r="AS21" s="3863">
        <v>137</v>
      </c>
      <c r="AT21" s="3863">
        <v>48</v>
      </c>
      <c r="AU21" s="3863">
        <v>70</v>
      </c>
      <c r="AV21" s="3863">
        <v>208</v>
      </c>
      <c r="AW21" s="3863">
        <v>190</v>
      </c>
      <c r="AX21" s="262">
        <f t="shared" si="2"/>
        <v>653</v>
      </c>
    </row>
    <row r="22" spans="1:50" x14ac:dyDescent="0.3">
      <c r="B22" s="3863">
        <v>7</v>
      </c>
      <c r="C22" s="3862" t="s">
        <v>5982</v>
      </c>
      <c r="D22" s="3863" t="s">
        <v>5983</v>
      </c>
      <c r="E22" s="3864">
        <v>67</v>
      </c>
      <c r="F22" s="3864">
        <v>79</v>
      </c>
      <c r="G22" s="3864">
        <v>161</v>
      </c>
      <c r="H22" s="3864">
        <v>495</v>
      </c>
      <c r="I22" s="3864">
        <v>382</v>
      </c>
      <c r="J22" s="262">
        <f t="shared" si="3"/>
        <v>1184</v>
      </c>
      <c r="L22" s="3863">
        <v>7</v>
      </c>
      <c r="M22" s="3862" t="s">
        <v>5982</v>
      </c>
      <c r="N22" s="3863" t="s">
        <v>5983</v>
      </c>
      <c r="O22" s="3863">
        <v>112</v>
      </c>
      <c r="P22" s="3863">
        <v>72</v>
      </c>
      <c r="Q22" s="3863">
        <v>172</v>
      </c>
      <c r="R22" s="3863">
        <v>484</v>
      </c>
      <c r="S22" s="3863">
        <v>261</v>
      </c>
      <c r="T22" s="262">
        <f t="shared" si="4"/>
        <v>1101</v>
      </c>
      <c r="V22" s="3863">
        <v>7</v>
      </c>
      <c r="W22" s="3862" t="s">
        <v>5982</v>
      </c>
      <c r="X22" s="3863" t="s">
        <v>5983</v>
      </c>
      <c r="Y22" s="3863">
        <v>64</v>
      </c>
      <c r="Z22" s="3863">
        <v>62</v>
      </c>
      <c r="AA22" s="3863">
        <v>149</v>
      </c>
      <c r="AB22" s="3863">
        <v>495</v>
      </c>
      <c r="AC22" s="3863">
        <v>308</v>
      </c>
      <c r="AD22" s="262">
        <f t="shared" si="0"/>
        <v>1078</v>
      </c>
      <c r="AF22" s="3863">
        <v>7</v>
      </c>
      <c r="AG22" s="3862" t="s">
        <v>5982</v>
      </c>
      <c r="AH22" s="3863" t="s">
        <v>5983</v>
      </c>
      <c r="AI22" s="3863">
        <v>36</v>
      </c>
      <c r="AJ22" s="3863">
        <v>70</v>
      </c>
      <c r="AK22" s="3863">
        <v>152</v>
      </c>
      <c r="AL22" s="3863">
        <v>576</v>
      </c>
      <c r="AM22" s="3863">
        <v>393</v>
      </c>
      <c r="AN22" s="262">
        <f t="shared" si="1"/>
        <v>1227</v>
      </c>
      <c r="AP22" s="3863">
        <v>7</v>
      </c>
      <c r="AQ22" s="3862" t="s">
        <v>5982</v>
      </c>
      <c r="AR22" s="3863" t="s">
        <v>5983</v>
      </c>
      <c r="AS22" s="3863">
        <v>40</v>
      </c>
      <c r="AT22" s="3863">
        <v>75</v>
      </c>
      <c r="AU22" s="3863">
        <v>150</v>
      </c>
      <c r="AV22" s="3863">
        <v>570</v>
      </c>
      <c r="AW22" s="3863">
        <v>385</v>
      </c>
      <c r="AX22" s="262">
        <f t="shared" si="2"/>
        <v>1220</v>
      </c>
    </row>
    <row r="23" spans="1:50" x14ac:dyDescent="0.3">
      <c r="B23" s="3863">
        <v>8</v>
      </c>
      <c r="C23" s="3862" t="s">
        <v>779</v>
      </c>
      <c r="D23" s="3863" t="s">
        <v>497</v>
      </c>
      <c r="E23" s="3864">
        <v>45</v>
      </c>
      <c r="F23" s="3864">
        <v>24</v>
      </c>
      <c r="G23" s="3864">
        <v>155</v>
      </c>
      <c r="H23" s="3864">
        <v>512</v>
      </c>
      <c r="I23" s="3864">
        <v>208</v>
      </c>
      <c r="J23" s="262">
        <f t="shared" si="3"/>
        <v>944</v>
      </c>
      <c r="L23" s="3863">
        <v>8</v>
      </c>
      <c r="M23" s="3862" t="s">
        <v>779</v>
      </c>
      <c r="N23" s="3863" t="s">
        <v>497</v>
      </c>
      <c r="O23" s="3863">
        <v>84</v>
      </c>
      <c r="P23" s="3863">
        <v>31</v>
      </c>
      <c r="Q23" s="3863">
        <v>197</v>
      </c>
      <c r="R23" s="3863">
        <v>516</v>
      </c>
      <c r="S23" s="3863">
        <v>216</v>
      </c>
      <c r="T23" s="262">
        <f t="shared" si="4"/>
        <v>1044</v>
      </c>
      <c r="V23" s="3863">
        <v>8</v>
      </c>
      <c r="W23" s="3862" t="s">
        <v>779</v>
      </c>
      <c r="X23" s="3863" t="s">
        <v>497</v>
      </c>
      <c r="Y23" s="3863">
        <v>76</v>
      </c>
      <c r="Z23" s="3863">
        <v>43</v>
      </c>
      <c r="AA23" s="3863">
        <v>171</v>
      </c>
      <c r="AB23" s="3863">
        <v>572</v>
      </c>
      <c r="AC23" s="3863">
        <v>280</v>
      </c>
      <c r="AD23" s="262">
        <f t="shared" si="0"/>
        <v>1142</v>
      </c>
      <c r="AF23" s="3863">
        <v>8</v>
      </c>
      <c r="AG23" s="3862" t="s">
        <v>779</v>
      </c>
      <c r="AH23" s="3863" t="s">
        <v>497</v>
      </c>
      <c r="AI23" s="3863">
        <v>40</v>
      </c>
      <c r="AJ23" s="3863">
        <v>30</v>
      </c>
      <c r="AK23" s="3863">
        <v>124</v>
      </c>
      <c r="AL23" s="3863">
        <v>456</v>
      </c>
      <c r="AM23" s="3863">
        <v>181</v>
      </c>
      <c r="AN23" s="262">
        <f t="shared" si="1"/>
        <v>831</v>
      </c>
      <c r="AP23" s="3863">
        <v>8</v>
      </c>
      <c r="AQ23" s="3862" t="s">
        <v>779</v>
      </c>
      <c r="AR23" s="3863" t="s">
        <v>497</v>
      </c>
      <c r="AS23" s="3863">
        <v>58</v>
      </c>
      <c r="AT23" s="3863">
        <v>34</v>
      </c>
      <c r="AU23" s="3863">
        <v>139</v>
      </c>
      <c r="AV23" s="3863">
        <v>491</v>
      </c>
      <c r="AW23" s="3863">
        <v>222</v>
      </c>
      <c r="AX23" s="262">
        <f t="shared" si="2"/>
        <v>944</v>
      </c>
    </row>
    <row r="24" spans="1:50" x14ac:dyDescent="0.3">
      <c r="B24" s="3863">
        <v>9</v>
      </c>
      <c r="C24" s="3862" t="s">
        <v>5984</v>
      </c>
      <c r="D24" s="3863" t="s">
        <v>5985</v>
      </c>
      <c r="E24" s="3864">
        <v>720</v>
      </c>
      <c r="F24" s="3864">
        <v>70</v>
      </c>
      <c r="G24" s="3864">
        <v>9</v>
      </c>
      <c r="H24" s="3864">
        <v>10</v>
      </c>
      <c r="I24" s="3864">
        <v>10</v>
      </c>
      <c r="J24" s="262">
        <f t="shared" si="3"/>
        <v>819</v>
      </c>
      <c r="L24" s="3863">
        <v>9</v>
      </c>
      <c r="M24" s="3862" t="s">
        <v>5984</v>
      </c>
      <c r="N24" s="3863" t="s">
        <v>5985</v>
      </c>
      <c r="O24" s="3863">
        <v>178</v>
      </c>
      <c r="P24" s="3863">
        <v>36</v>
      </c>
      <c r="Q24" s="3863">
        <v>17</v>
      </c>
      <c r="R24" s="3863">
        <v>21</v>
      </c>
      <c r="S24" s="3863">
        <v>12</v>
      </c>
      <c r="T24" s="262">
        <f t="shared" si="4"/>
        <v>264</v>
      </c>
      <c r="V24" s="3863">
        <v>9</v>
      </c>
      <c r="W24" s="3862" t="s">
        <v>5984</v>
      </c>
      <c r="X24" s="3863" t="s">
        <v>5985</v>
      </c>
      <c r="Y24" s="3863">
        <v>238</v>
      </c>
      <c r="Z24" s="3863">
        <v>24</v>
      </c>
      <c r="AA24" s="3863">
        <v>20</v>
      </c>
      <c r="AB24" s="3863">
        <v>29</v>
      </c>
      <c r="AC24" s="3863">
        <v>12</v>
      </c>
      <c r="AD24" s="262">
        <f t="shared" si="0"/>
        <v>323</v>
      </c>
      <c r="AF24" s="3863">
        <v>9</v>
      </c>
      <c r="AG24" s="3862" t="s">
        <v>5984</v>
      </c>
      <c r="AH24" s="3863" t="s">
        <v>5985</v>
      </c>
      <c r="AI24" s="3863">
        <v>138</v>
      </c>
      <c r="AJ24" s="3863">
        <v>54</v>
      </c>
      <c r="AK24" s="3863">
        <v>39</v>
      </c>
      <c r="AL24" s="3863">
        <v>108</v>
      </c>
      <c r="AM24" s="3863">
        <v>48</v>
      </c>
      <c r="AN24" s="262">
        <f t="shared" si="1"/>
        <v>387</v>
      </c>
      <c r="AP24" s="3863">
        <v>9</v>
      </c>
      <c r="AQ24" s="3862" t="s">
        <v>5984</v>
      </c>
      <c r="AR24" s="3863" t="s">
        <v>5985</v>
      </c>
      <c r="AS24" s="3863">
        <v>140</v>
      </c>
      <c r="AT24" s="3863">
        <v>60</v>
      </c>
      <c r="AU24" s="3863">
        <v>35</v>
      </c>
      <c r="AV24" s="3863">
        <v>115</v>
      </c>
      <c r="AW24" s="3863">
        <v>50</v>
      </c>
      <c r="AX24" s="262">
        <f t="shared" si="2"/>
        <v>400</v>
      </c>
    </row>
    <row r="25" spans="1:50" x14ac:dyDescent="0.3">
      <c r="B25" s="3863">
        <v>10</v>
      </c>
      <c r="C25" s="3862" t="s">
        <v>1074</v>
      </c>
      <c r="D25" s="3863" t="s">
        <v>493</v>
      </c>
      <c r="E25" s="3864">
        <v>23</v>
      </c>
      <c r="F25" s="3864">
        <v>62</v>
      </c>
      <c r="G25" s="3864">
        <v>96</v>
      </c>
      <c r="H25" s="3864">
        <v>298</v>
      </c>
      <c r="I25" s="3864">
        <v>230</v>
      </c>
      <c r="J25" s="262">
        <f t="shared" si="3"/>
        <v>709</v>
      </c>
      <c r="L25" s="3863">
        <v>10</v>
      </c>
      <c r="M25" s="3862" t="s">
        <v>1074</v>
      </c>
      <c r="N25" s="3863" t="s">
        <v>493</v>
      </c>
      <c r="O25" s="3863">
        <v>51</v>
      </c>
      <c r="P25" s="3863">
        <v>47</v>
      </c>
      <c r="Q25" s="3863">
        <v>80</v>
      </c>
      <c r="R25" s="3863">
        <v>289</v>
      </c>
      <c r="S25" s="3863">
        <v>235</v>
      </c>
      <c r="T25" s="262">
        <f t="shared" si="4"/>
        <v>702</v>
      </c>
      <c r="V25" s="3863">
        <v>10</v>
      </c>
      <c r="W25" s="3862" t="s">
        <v>1074</v>
      </c>
      <c r="X25" s="3863" t="s">
        <v>493</v>
      </c>
      <c r="Y25" s="3863">
        <v>16</v>
      </c>
      <c r="Z25" s="3863">
        <v>50</v>
      </c>
      <c r="AA25" s="3863">
        <v>84</v>
      </c>
      <c r="AB25" s="3863">
        <v>392</v>
      </c>
      <c r="AC25" s="3863">
        <v>351</v>
      </c>
      <c r="AD25" s="262">
        <f t="shared" si="0"/>
        <v>893</v>
      </c>
      <c r="AF25" s="3863">
        <v>10</v>
      </c>
      <c r="AG25" s="3862" t="s">
        <v>1074</v>
      </c>
      <c r="AH25" s="3863" t="s">
        <v>493</v>
      </c>
      <c r="AI25" s="3863">
        <v>27</v>
      </c>
      <c r="AJ25" s="3863">
        <v>48</v>
      </c>
      <c r="AK25" s="3863">
        <v>124</v>
      </c>
      <c r="AL25" s="3863">
        <v>501</v>
      </c>
      <c r="AM25" s="3863">
        <v>415</v>
      </c>
      <c r="AN25" s="262">
        <f t="shared" si="1"/>
        <v>1115</v>
      </c>
      <c r="AP25" s="3863">
        <v>10</v>
      </c>
      <c r="AQ25" s="3862" t="s">
        <v>1074</v>
      </c>
      <c r="AR25" s="3863" t="s">
        <v>493</v>
      </c>
      <c r="AS25" s="3863">
        <v>21</v>
      </c>
      <c r="AT25" s="3863">
        <v>77</v>
      </c>
      <c r="AU25" s="3863">
        <v>164</v>
      </c>
      <c r="AV25" s="3863">
        <v>647</v>
      </c>
      <c r="AW25" s="3863">
        <v>662</v>
      </c>
      <c r="AX25" s="262">
        <f t="shared" si="2"/>
        <v>1571</v>
      </c>
    </row>
    <row r="26" spans="1:50" x14ac:dyDescent="0.3">
      <c r="B26" s="3863"/>
      <c r="C26" s="3862" t="s">
        <v>543</v>
      </c>
      <c r="D26" s="3863"/>
      <c r="E26" s="3864">
        <v>1591</v>
      </c>
      <c r="F26" s="3864">
        <v>926</v>
      </c>
      <c r="G26" s="3864">
        <v>1095</v>
      </c>
      <c r="H26" s="3864">
        <v>1359</v>
      </c>
      <c r="I26" s="3864">
        <v>1366</v>
      </c>
      <c r="J26" s="262">
        <f t="shared" si="3"/>
        <v>6337</v>
      </c>
      <c r="L26" s="3863"/>
      <c r="M26" s="3862" t="s">
        <v>187</v>
      </c>
      <c r="N26" s="3863"/>
      <c r="O26" s="3863">
        <v>1865</v>
      </c>
      <c r="P26" s="3863">
        <v>1184</v>
      </c>
      <c r="Q26" s="3863">
        <v>1984</v>
      </c>
      <c r="R26" s="3863">
        <v>1756</v>
      </c>
      <c r="S26" s="3863">
        <v>1865</v>
      </c>
      <c r="T26" s="262">
        <f t="shared" si="4"/>
        <v>8654</v>
      </c>
      <c r="V26" s="3863"/>
      <c r="W26" s="3862" t="s">
        <v>543</v>
      </c>
      <c r="X26" s="3863"/>
      <c r="Y26" s="3863">
        <v>1397</v>
      </c>
      <c r="Z26" s="3863">
        <v>1071</v>
      </c>
      <c r="AA26" s="3863">
        <v>1068</v>
      </c>
      <c r="AB26" s="3863">
        <v>1363</v>
      </c>
      <c r="AC26" s="3863">
        <v>1133</v>
      </c>
      <c r="AD26" s="262">
        <f t="shared" si="0"/>
        <v>6032</v>
      </c>
      <c r="AF26" s="3863"/>
      <c r="AG26" s="3862" t="s">
        <v>613</v>
      </c>
      <c r="AH26" s="3863"/>
      <c r="AI26" s="3863">
        <v>1623</v>
      </c>
      <c r="AJ26" s="3863">
        <v>1184</v>
      </c>
      <c r="AK26" s="3863">
        <v>1157</v>
      </c>
      <c r="AL26" s="3863">
        <v>1281</v>
      </c>
      <c r="AM26" s="3863">
        <v>1533</v>
      </c>
      <c r="AN26" s="262">
        <f t="shared" si="1"/>
        <v>6778</v>
      </c>
      <c r="AP26" s="3863"/>
      <c r="AQ26" s="3862" t="s">
        <v>613</v>
      </c>
      <c r="AR26" s="3863"/>
      <c r="AS26" s="3863">
        <v>1640</v>
      </c>
      <c r="AT26" s="3863">
        <v>1201</v>
      </c>
      <c r="AU26" s="3863">
        <v>1140</v>
      </c>
      <c r="AV26" s="3863">
        <v>1274</v>
      </c>
      <c r="AW26" s="3863">
        <v>1544</v>
      </c>
      <c r="AX26" s="262">
        <f t="shared" si="2"/>
        <v>6799</v>
      </c>
    </row>
    <row r="27" spans="1:50" x14ac:dyDescent="0.3">
      <c r="B27" s="4046" t="s">
        <v>0</v>
      </c>
      <c r="C27" s="4047"/>
      <c r="D27" s="3930"/>
      <c r="E27" s="262">
        <f t="shared" ref="E27:J27" si="5">SUM(E16:E26)</f>
        <v>5441</v>
      </c>
      <c r="F27" s="262">
        <f t="shared" si="5"/>
        <v>1776</v>
      </c>
      <c r="G27" s="262">
        <f t="shared" si="5"/>
        <v>2530</v>
      </c>
      <c r="H27" s="262">
        <f t="shared" si="5"/>
        <v>5229</v>
      </c>
      <c r="I27" s="262">
        <f t="shared" si="5"/>
        <v>4065</v>
      </c>
      <c r="J27" s="262">
        <f t="shared" si="5"/>
        <v>19041</v>
      </c>
      <c r="L27" s="4150" t="s">
        <v>0</v>
      </c>
      <c r="M27" s="4151"/>
      <c r="N27" s="3863"/>
      <c r="O27" s="262">
        <f t="shared" ref="O27:T27" si="6">SUM(O16:O26)</f>
        <v>5330</v>
      </c>
      <c r="P27" s="262">
        <f t="shared" si="6"/>
        <v>2000</v>
      </c>
      <c r="Q27" s="262">
        <f t="shared" si="6"/>
        <v>3572</v>
      </c>
      <c r="R27" s="262">
        <f t="shared" si="6"/>
        <v>6145</v>
      </c>
      <c r="S27" s="262">
        <f t="shared" si="6"/>
        <v>4506</v>
      </c>
      <c r="T27" s="262">
        <f t="shared" si="6"/>
        <v>21553</v>
      </c>
      <c r="V27" s="4046" t="s">
        <v>0</v>
      </c>
      <c r="W27" s="4047"/>
      <c r="X27" s="3863"/>
      <c r="Y27" s="262">
        <f t="shared" ref="Y27:AD27" si="7">SUM(Y16:Y26)</f>
        <v>4600</v>
      </c>
      <c r="Z27" s="262">
        <f t="shared" si="7"/>
        <v>1967</v>
      </c>
      <c r="AA27" s="262">
        <f t="shared" si="7"/>
        <v>2759</v>
      </c>
      <c r="AB27" s="262">
        <f t="shared" si="7"/>
        <v>6569</v>
      </c>
      <c r="AC27" s="262">
        <f t="shared" si="7"/>
        <v>4725</v>
      </c>
      <c r="AD27" s="262">
        <f t="shared" si="7"/>
        <v>20620</v>
      </c>
      <c r="AF27" s="4027" t="s">
        <v>0</v>
      </c>
      <c r="AG27" s="4027"/>
      <c r="AH27" s="3952"/>
      <c r="AI27" s="262">
        <f t="shared" ref="AI27:AN27" si="8">SUM(AI16:AI26)</f>
        <v>4571</v>
      </c>
      <c r="AJ27" s="262">
        <f t="shared" si="8"/>
        <v>2147</v>
      </c>
      <c r="AK27" s="262">
        <f t="shared" si="8"/>
        <v>2711</v>
      </c>
      <c r="AL27" s="262">
        <f t="shared" si="8"/>
        <v>6654</v>
      </c>
      <c r="AM27" s="262">
        <f t="shared" si="8"/>
        <v>5301</v>
      </c>
      <c r="AN27" s="262">
        <f t="shared" si="8"/>
        <v>21384</v>
      </c>
      <c r="AP27" s="4027" t="s">
        <v>0</v>
      </c>
      <c r="AQ27" s="4027"/>
      <c r="AR27" s="3952"/>
      <c r="AS27" s="262">
        <f t="shared" ref="AS27:AX27" si="9">SUM(AS16:AS26)</f>
        <v>4939</v>
      </c>
      <c r="AT27" s="262">
        <f t="shared" si="9"/>
        <v>2178</v>
      </c>
      <c r="AU27" s="262">
        <f t="shared" si="9"/>
        <v>2706</v>
      </c>
      <c r="AV27" s="262">
        <f t="shared" si="9"/>
        <v>6709</v>
      </c>
      <c r="AW27" s="262">
        <f t="shared" si="9"/>
        <v>5433</v>
      </c>
      <c r="AX27" s="262">
        <f t="shared" si="9"/>
        <v>21965</v>
      </c>
    </row>
    <row r="28" spans="1:50" x14ac:dyDescent="0.3">
      <c r="M28" s="4" t="s">
        <v>432</v>
      </c>
      <c r="W28" s="4" t="s">
        <v>432</v>
      </c>
      <c r="AG28" s="4" t="s">
        <v>432</v>
      </c>
      <c r="AQ28" s="4" t="s">
        <v>432</v>
      </c>
    </row>
    <row r="30" spans="1:50" s="6" customFormat="1" x14ac:dyDescent="0.3">
      <c r="A30" s="102">
        <v>2</v>
      </c>
      <c r="B30" s="3953" t="s">
        <v>6075</v>
      </c>
      <c r="C30" s="102"/>
      <c r="D30" s="102"/>
      <c r="E30" s="102"/>
    </row>
    <row r="31" spans="1:50" ht="15" customHeight="1" x14ac:dyDescent="0.3">
      <c r="B31" s="12" t="s">
        <v>578</v>
      </c>
      <c r="C31" s="6"/>
      <c r="D31" s="51"/>
      <c r="E31" s="6"/>
      <c r="F31" s="6"/>
      <c r="G31" s="6"/>
      <c r="H31" s="6"/>
      <c r="I31" s="6"/>
      <c r="J31" s="6"/>
      <c r="K31" s="6"/>
      <c r="L31" s="12" t="s">
        <v>579</v>
      </c>
      <c r="M31" s="6"/>
      <c r="N31" s="51"/>
      <c r="O31" s="6"/>
      <c r="P31" s="6"/>
      <c r="Q31" s="6"/>
      <c r="R31" s="6"/>
      <c r="S31" s="6"/>
      <c r="T31" s="6"/>
      <c r="U31" s="6"/>
      <c r="V31" s="12" t="s">
        <v>580</v>
      </c>
      <c r="W31" s="6"/>
      <c r="X31" s="51"/>
      <c r="Y31" s="6"/>
      <c r="Z31" s="6"/>
      <c r="AA31" s="6"/>
      <c r="AB31" s="6"/>
      <c r="AC31" s="6"/>
      <c r="AD31" s="6"/>
      <c r="AE31" s="6"/>
      <c r="AF31" s="12" t="s">
        <v>615</v>
      </c>
      <c r="AG31" s="6"/>
      <c r="AH31" s="51"/>
      <c r="AI31" s="6"/>
      <c r="AJ31" s="6"/>
      <c r="AK31" s="6"/>
      <c r="AL31" s="6"/>
      <c r="AM31" s="6"/>
      <c r="AN31" s="6"/>
      <c r="AP31" s="12" t="s">
        <v>3555</v>
      </c>
      <c r="AQ31" s="6"/>
      <c r="AR31" s="51"/>
      <c r="AS31" s="6"/>
      <c r="AT31" s="6"/>
      <c r="AU31" s="6"/>
      <c r="AV31" s="6"/>
      <c r="AW31" s="6"/>
      <c r="AX31" s="6"/>
    </row>
    <row r="32" spans="1:50" ht="33" x14ac:dyDescent="0.3">
      <c r="B32" s="3921" t="s">
        <v>62</v>
      </c>
      <c r="C32" s="3921" t="s">
        <v>184</v>
      </c>
      <c r="D32" s="3921" t="s">
        <v>161</v>
      </c>
      <c r="E32" s="4037" t="s">
        <v>186</v>
      </c>
      <c r="F32" s="4038"/>
      <c r="G32" s="4038"/>
      <c r="H32" s="4038"/>
      <c r="I32" s="4056"/>
      <c r="J32" s="3921" t="s">
        <v>0</v>
      </c>
      <c r="L32" s="3921" t="s">
        <v>62</v>
      </c>
      <c r="M32" s="3921" t="s">
        <v>184</v>
      </c>
      <c r="N32" s="3921" t="s">
        <v>161</v>
      </c>
      <c r="O32" s="4037" t="s">
        <v>186</v>
      </c>
      <c r="P32" s="4038"/>
      <c r="Q32" s="4038"/>
      <c r="R32" s="4038"/>
      <c r="S32" s="4056"/>
      <c r="T32" s="3921" t="s">
        <v>0</v>
      </c>
      <c r="V32" s="3921" t="s">
        <v>62</v>
      </c>
      <c r="W32" s="3921" t="s">
        <v>184</v>
      </c>
      <c r="X32" s="3921" t="s">
        <v>161</v>
      </c>
      <c r="Y32" s="4037" t="s">
        <v>186</v>
      </c>
      <c r="Z32" s="4038"/>
      <c r="AA32" s="4038"/>
      <c r="AB32" s="4038"/>
      <c r="AC32" s="4056"/>
      <c r="AD32" s="4014" t="s">
        <v>0</v>
      </c>
      <c r="AF32" s="4014" t="s">
        <v>62</v>
      </c>
      <c r="AG32" s="4014" t="s">
        <v>184</v>
      </c>
      <c r="AH32" s="4014" t="s">
        <v>161</v>
      </c>
      <c r="AI32" s="4037" t="s">
        <v>186</v>
      </c>
      <c r="AJ32" s="4038"/>
      <c r="AK32" s="4038"/>
      <c r="AL32" s="4038"/>
      <c r="AM32" s="4056"/>
      <c r="AN32" s="4014" t="s">
        <v>0</v>
      </c>
      <c r="AP32" s="3921" t="s">
        <v>62</v>
      </c>
      <c r="AQ32" s="3921" t="s">
        <v>184</v>
      </c>
      <c r="AR32" s="3921" t="s">
        <v>161</v>
      </c>
      <c r="AS32" s="3926" t="s">
        <v>186</v>
      </c>
      <c r="AT32" s="3927"/>
      <c r="AU32" s="3927"/>
      <c r="AV32" s="3927"/>
      <c r="AW32" s="3928"/>
      <c r="AX32" s="3921" t="s">
        <v>0</v>
      </c>
    </row>
    <row r="33" spans="2:50" x14ac:dyDescent="0.3">
      <c r="B33" s="3929"/>
      <c r="C33" s="3929"/>
      <c r="D33" s="3929"/>
      <c r="E33" s="3921" t="s">
        <v>271</v>
      </c>
      <c r="F33" s="3921" t="s">
        <v>289</v>
      </c>
      <c r="G33" s="3921" t="s">
        <v>290</v>
      </c>
      <c r="H33" s="3921" t="s">
        <v>291</v>
      </c>
      <c r="I33" s="3921" t="s">
        <v>292</v>
      </c>
      <c r="J33" s="3929"/>
      <c r="L33" s="3929"/>
      <c r="M33" s="3929"/>
      <c r="N33" s="3929"/>
      <c r="O33" s="3921" t="s">
        <v>271</v>
      </c>
      <c r="P33" s="3921" t="s">
        <v>289</v>
      </c>
      <c r="Q33" s="3921" t="s">
        <v>290</v>
      </c>
      <c r="R33" s="3921" t="s">
        <v>291</v>
      </c>
      <c r="S33" s="3921" t="s">
        <v>292</v>
      </c>
      <c r="T33" s="3929"/>
      <c r="V33" s="3929"/>
      <c r="W33" s="3929"/>
      <c r="X33" s="3929"/>
      <c r="Y33" s="3921" t="s">
        <v>271</v>
      </c>
      <c r="Z33" s="3921" t="s">
        <v>289</v>
      </c>
      <c r="AA33" s="3921" t="s">
        <v>290</v>
      </c>
      <c r="AB33" s="3921" t="s">
        <v>291</v>
      </c>
      <c r="AC33" s="3921" t="s">
        <v>292</v>
      </c>
      <c r="AD33" s="4036"/>
      <c r="AF33" s="4036"/>
      <c r="AG33" s="4036"/>
      <c r="AH33" s="4036"/>
      <c r="AI33" s="3921" t="s">
        <v>271</v>
      </c>
      <c r="AJ33" s="3921" t="s">
        <v>289</v>
      </c>
      <c r="AK33" s="3921" t="s">
        <v>290</v>
      </c>
      <c r="AL33" s="3921" t="s">
        <v>291</v>
      </c>
      <c r="AM33" s="3921" t="s">
        <v>292</v>
      </c>
      <c r="AN33" s="4036"/>
      <c r="AP33" s="3929"/>
      <c r="AQ33" s="3929"/>
      <c r="AR33" s="3929"/>
      <c r="AS33" s="3921" t="s">
        <v>271</v>
      </c>
      <c r="AT33" s="3921" t="s">
        <v>289</v>
      </c>
      <c r="AU33" s="3921" t="s">
        <v>290</v>
      </c>
      <c r="AV33" s="3921" t="s">
        <v>291</v>
      </c>
      <c r="AW33" s="3921" t="s">
        <v>292</v>
      </c>
      <c r="AX33" s="3929"/>
    </row>
    <row r="34" spans="2:50" x14ac:dyDescent="0.3">
      <c r="B34" s="3863">
        <v>1</v>
      </c>
      <c r="C34" s="3865" t="s">
        <v>441</v>
      </c>
      <c r="D34" s="3863"/>
      <c r="E34" s="3863">
        <v>54</v>
      </c>
      <c r="F34" s="3863">
        <v>49</v>
      </c>
      <c r="G34" s="3863">
        <v>98</v>
      </c>
      <c r="H34" s="3863">
        <v>98</v>
      </c>
      <c r="I34" s="3863">
        <v>59</v>
      </c>
      <c r="J34" s="3930">
        <f>SUM(E34:I34)</f>
        <v>358</v>
      </c>
      <c r="L34" s="3863">
        <v>1</v>
      </c>
      <c r="M34" s="3865" t="s">
        <v>441</v>
      </c>
      <c r="N34" s="3863"/>
      <c r="O34" s="3863">
        <v>92</v>
      </c>
      <c r="P34" s="3863">
        <v>53</v>
      </c>
      <c r="Q34" s="3863">
        <v>145</v>
      </c>
      <c r="R34" s="3863">
        <v>145</v>
      </c>
      <c r="S34" s="3863">
        <v>69</v>
      </c>
      <c r="T34" s="3930">
        <f>SUM(O34:S34)</f>
        <v>504</v>
      </c>
      <c r="V34" s="3863">
        <v>1</v>
      </c>
      <c r="W34" s="3865" t="s">
        <v>441</v>
      </c>
      <c r="X34" s="3863"/>
      <c r="Y34" s="3863">
        <v>58</v>
      </c>
      <c r="Z34" s="3863">
        <v>27</v>
      </c>
      <c r="AA34" s="3863">
        <v>170</v>
      </c>
      <c r="AB34" s="3863">
        <v>170</v>
      </c>
      <c r="AC34" s="3867">
        <v>59</v>
      </c>
      <c r="AD34" s="3930">
        <f>SUM(Y34:AC34)</f>
        <v>484</v>
      </c>
      <c r="AF34" s="3863">
        <v>1</v>
      </c>
      <c r="AG34" s="3865" t="s">
        <v>441</v>
      </c>
      <c r="AH34" s="3863"/>
      <c r="AI34" s="3863">
        <v>60</v>
      </c>
      <c r="AJ34" s="3863">
        <v>43</v>
      </c>
      <c r="AK34" s="3863">
        <v>171</v>
      </c>
      <c r="AL34" s="3863">
        <v>171</v>
      </c>
      <c r="AM34" s="3867">
        <v>69</v>
      </c>
      <c r="AN34" s="262">
        <f>SUM(AI34:AM34)</f>
        <v>514</v>
      </c>
      <c r="AP34" s="3863">
        <v>1</v>
      </c>
      <c r="AQ34" s="3865" t="s">
        <v>441</v>
      </c>
      <c r="AR34" s="3863"/>
      <c r="AS34" s="3863">
        <v>62</v>
      </c>
      <c r="AT34" s="3863">
        <v>45</v>
      </c>
      <c r="AU34" s="3863">
        <v>175</v>
      </c>
      <c r="AV34" s="3864">
        <v>175</v>
      </c>
      <c r="AW34" s="3867">
        <v>70</v>
      </c>
      <c r="AX34" s="262">
        <f t="shared" ref="AX34:AX44" si="10">SUM(AS34:AW34)</f>
        <v>527</v>
      </c>
    </row>
    <row r="35" spans="2:50" x14ac:dyDescent="0.3">
      <c r="B35" s="3863">
        <v>2</v>
      </c>
      <c r="C35" s="3865" t="s">
        <v>449</v>
      </c>
      <c r="D35" s="3863"/>
      <c r="E35" s="3863">
        <v>63</v>
      </c>
      <c r="F35" s="3863">
        <v>14</v>
      </c>
      <c r="G35" s="3863">
        <v>40</v>
      </c>
      <c r="H35" s="3863">
        <v>40</v>
      </c>
      <c r="I35" s="3863">
        <v>109</v>
      </c>
      <c r="J35" s="3930">
        <f t="shared" ref="J35:J44" si="11">SUM(E35:I35)</f>
        <v>266</v>
      </c>
      <c r="L35" s="3863">
        <v>2</v>
      </c>
      <c r="M35" s="3865" t="s">
        <v>449</v>
      </c>
      <c r="N35" s="3863"/>
      <c r="O35" s="3863">
        <v>114</v>
      </c>
      <c r="P35" s="3863">
        <v>18</v>
      </c>
      <c r="Q35" s="3863">
        <v>62</v>
      </c>
      <c r="R35" s="3863">
        <v>62</v>
      </c>
      <c r="S35" s="3863">
        <v>98</v>
      </c>
      <c r="T35" s="3930">
        <f t="shared" ref="T35:T45" si="12">SUM(O35:S35)</f>
        <v>354</v>
      </c>
      <c r="V35" s="3863">
        <v>2</v>
      </c>
      <c r="W35" s="3865" t="s">
        <v>449</v>
      </c>
      <c r="X35" s="3863"/>
      <c r="Y35" s="3863">
        <v>97</v>
      </c>
      <c r="Z35" s="3863">
        <v>16</v>
      </c>
      <c r="AA35" s="3863">
        <v>79</v>
      </c>
      <c r="AB35" s="3863">
        <v>79</v>
      </c>
      <c r="AC35" s="3867">
        <v>70</v>
      </c>
      <c r="AD35" s="3930">
        <f t="shared" ref="AD35:AD45" si="13">SUM(Y35:AC35)</f>
        <v>341</v>
      </c>
      <c r="AF35" s="3863">
        <v>2</v>
      </c>
      <c r="AG35" s="3865" t="s">
        <v>449</v>
      </c>
      <c r="AH35" s="3863"/>
      <c r="AI35" s="3863">
        <v>112</v>
      </c>
      <c r="AJ35" s="3863">
        <v>27</v>
      </c>
      <c r="AK35" s="3863">
        <v>90</v>
      </c>
      <c r="AL35" s="3863">
        <v>90</v>
      </c>
      <c r="AM35" s="3867">
        <v>68</v>
      </c>
      <c r="AN35" s="262">
        <f t="shared" ref="AN35:AN45" si="14">SUM(AI35:AM35)</f>
        <v>387</v>
      </c>
      <c r="AP35" s="3863">
        <v>2</v>
      </c>
      <c r="AQ35" s="3865" t="s">
        <v>449</v>
      </c>
      <c r="AR35" s="3863"/>
      <c r="AS35" s="3863">
        <v>115</v>
      </c>
      <c r="AT35" s="3863">
        <v>30</v>
      </c>
      <c r="AU35" s="3863">
        <v>95</v>
      </c>
      <c r="AV35" s="3864">
        <v>95</v>
      </c>
      <c r="AW35" s="3867">
        <v>70</v>
      </c>
      <c r="AX35" s="262">
        <f t="shared" si="10"/>
        <v>405</v>
      </c>
    </row>
    <row r="36" spans="2:50" x14ac:dyDescent="0.3">
      <c r="B36" s="3863">
        <v>3</v>
      </c>
      <c r="C36" s="3865" t="s">
        <v>435</v>
      </c>
      <c r="D36" s="3863"/>
      <c r="E36" s="3863">
        <v>744</v>
      </c>
      <c r="F36" s="3863">
        <v>67</v>
      </c>
      <c r="G36" s="3863">
        <v>243</v>
      </c>
      <c r="H36" s="3863">
        <v>243</v>
      </c>
      <c r="I36" s="3863">
        <v>185</v>
      </c>
      <c r="J36" s="3930">
        <f t="shared" si="11"/>
        <v>1482</v>
      </c>
      <c r="L36" s="3863">
        <v>3</v>
      </c>
      <c r="M36" s="3865" t="s">
        <v>435</v>
      </c>
      <c r="N36" s="3863"/>
      <c r="O36" s="3863">
        <v>667</v>
      </c>
      <c r="P36" s="3863">
        <v>98</v>
      </c>
      <c r="Q36" s="3863">
        <v>255</v>
      </c>
      <c r="R36" s="3863">
        <v>255</v>
      </c>
      <c r="S36" s="3863">
        <v>220</v>
      </c>
      <c r="T36" s="3930">
        <f t="shared" si="12"/>
        <v>1495</v>
      </c>
      <c r="V36" s="3863">
        <v>3</v>
      </c>
      <c r="W36" s="3865" t="s">
        <v>435</v>
      </c>
      <c r="X36" s="3863"/>
      <c r="Y36" s="3863">
        <v>669</v>
      </c>
      <c r="Z36" s="3863">
        <v>106</v>
      </c>
      <c r="AA36" s="3863">
        <v>283</v>
      </c>
      <c r="AB36" s="3863">
        <v>283</v>
      </c>
      <c r="AC36" s="3867">
        <v>256</v>
      </c>
      <c r="AD36" s="3930">
        <f t="shared" si="13"/>
        <v>1597</v>
      </c>
      <c r="AF36" s="3863">
        <v>3</v>
      </c>
      <c r="AG36" s="3865" t="s">
        <v>435</v>
      </c>
      <c r="AH36" s="3863"/>
      <c r="AI36" s="3863">
        <v>625</v>
      </c>
      <c r="AJ36" s="3863">
        <v>95</v>
      </c>
      <c r="AK36" s="3863">
        <v>308</v>
      </c>
      <c r="AL36" s="3863">
        <v>308</v>
      </c>
      <c r="AM36" s="3867">
        <v>195</v>
      </c>
      <c r="AN36" s="262">
        <f t="shared" si="14"/>
        <v>1531</v>
      </c>
      <c r="AP36" s="3863">
        <v>3</v>
      </c>
      <c r="AQ36" s="3865" t="s">
        <v>435</v>
      </c>
      <c r="AR36" s="3863"/>
      <c r="AS36" s="3863">
        <v>630</v>
      </c>
      <c r="AT36" s="3863">
        <v>100</v>
      </c>
      <c r="AU36" s="3863">
        <v>310</v>
      </c>
      <c r="AV36" s="3864">
        <v>310</v>
      </c>
      <c r="AW36" s="3867">
        <v>201</v>
      </c>
      <c r="AX36" s="262">
        <f t="shared" si="10"/>
        <v>1551</v>
      </c>
    </row>
    <row r="37" spans="2:50" x14ac:dyDescent="0.3">
      <c r="B37" s="3863">
        <v>4</v>
      </c>
      <c r="C37" s="3865" t="s">
        <v>448</v>
      </c>
      <c r="D37" s="3863"/>
      <c r="E37" s="3863">
        <v>194</v>
      </c>
      <c r="F37" s="3863">
        <v>61</v>
      </c>
      <c r="G37" s="3863">
        <v>148</v>
      </c>
      <c r="H37" s="3863">
        <v>148</v>
      </c>
      <c r="I37" s="3863">
        <v>86</v>
      </c>
      <c r="J37" s="3930">
        <f t="shared" si="11"/>
        <v>637</v>
      </c>
      <c r="L37" s="3863">
        <v>4</v>
      </c>
      <c r="M37" s="3865" t="s">
        <v>448</v>
      </c>
      <c r="N37" s="3863"/>
      <c r="O37" s="3863">
        <v>186</v>
      </c>
      <c r="P37" s="3863">
        <v>60</v>
      </c>
      <c r="Q37" s="3863">
        <v>184</v>
      </c>
      <c r="R37" s="3863">
        <v>184</v>
      </c>
      <c r="S37" s="3863">
        <v>70</v>
      </c>
      <c r="T37" s="3930">
        <f t="shared" si="12"/>
        <v>684</v>
      </c>
      <c r="V37" s="3863">
        <v>4</v>
      </c>
      <c r="W37" s="3865" t="s">
        <v>448</v>
      </c>
      <c r="X37" s="3863"/>
      <c r="Y37" s="3863">
        <v>175</v>
      </c>
      <c r="Z37" s="3863">
        <v>71</v>
      </c>
      <c r="AA37" s="3863">
        <v>144</v>
      </c>
      <c r="AB37" s="3863">
        <v>144</v>
      </c>
      <c r="AC37" s="3867">
        <v>78</v>
      </c>
      <c r="AD37" s="3930">
        <f t="shared" si="13"/>
        <v>612</v>
      </c>
      <c r="AF37" s="3863">
        <v>4</v>
      </c>
      <c r="AG37" s="3865" t="s">
        <v>448</v>
      </c>
      <c r="AH37" s="3863"/>
      <c r="AI37" s="3863">
        <v>131</v>
      </c>
      <c r="AJ37" s="3863">
        <v>57</v>
      </c>
      <c r="AK37" s="3863">
        <v>155</v>
      </c>
      <c r="AL37" s="3863">
        <v>155</v>
      </c>
      <c r="AM37" s="3867">
        <v>62</v>
      </c>
      <c r="AN37" s="262">
        <f t="shared" si="14"/>
        <v>560</v>
      </c>
      <c r="AP37" s="3863">
        <v>4</v>
      </c>
      <c r="AQ37" s="3865" t="s">
        <v>448</v>
      </c>
      <c r="AR37" s="3863"/>
      <c r="AS37" s="3863">
        <v>135</v>
      </c>
      <c r="AT37" s="3863">
        <v>60</v>
      </c>
      <c r="AU37" s="3863">
        <v>160</v>
      </c>
      <c r="AV37" s="3864">
        <v>160</v>
      </c>
      <c r="AW37" s="3867">
        <v>60</v>
      </c>
      <c r="AX37" s="262">
        <f t="shared" si="10"/>
        <v>575</v>
      </c>
    </row>
    <row r="38" spans="2:50" x14ac:dyDescent="0.3">
      <c r="B38" s="3863">
        <v>5</v>
      </c>
      <c r="C38" s="3865" t="s">
        <v>434</v>
      </c>
      <c r="D38" s="3863"/>
      <c r="E38" s="3863">
        <v>0</v>
      </c>
      <c r="F38" s="3863">
        <v>0</v>
      </c>
      <c r="G38" s="3863">
        <v>0</v>
      </c>
      <c r="H38" s="3863">
        <v>0</v>
      </c>
      <c r="I38" s="3863">
        <v>0</v>
      </c>
      <c r="J38" s="3930">
        <f t="shared" si="11"/>
        <v>0</v>
      </c>
      <c r="L38" s="3863">
        <v>5</v>
      </c>
      <c r="M38" s="3865" t="s">
        <v>434</v>
      </c>
      <c r="N38" s="3863"/>
      <c r="O38" s="3863">
        <v>0</v>
      </c>
      <c r="P38" s="3863">
        <v>0</v>
      </c>
      <c r="Q38" s="3863">
        <v>0</v>
      </c>
      <c r="R38" s="3863">
        <v>0</v>
      </c>
      <c r="S38" s="3863">
        <v>0</v>
      </c>
      <c r="T38" s="3930">
        <f t="shared" si="12"/>
        <v>0</v>
      </c>
      <c r="V38" s="3863">
        <v>5</v>
      </c>
      <c r="W38" s="3865" t="s">
        <v>434</v>
      </c>
      <c r="X38" s="3863"/>
      <c r="Y38" s="3863">
        <v>0</v>
      </c>
      <c r="Z38" s="3863">
        <v>0</v>
      </c>
      <c r="AA38" s="3863">
        <v>0</v>
      </c>
      <c r="AB38" s="3863">
        <v>0</v>
      </c>
      <c r="AC38" s="3867">
        <v>0</v>
      </c>
      <c r="AD38" s="3930">
        <f t="shared" si="13"/>
        <v>0</v>
      </c>
      <c r="AF38" s="3863">
        <v>5</v>
      </c>
      <c r="AG38" s="3865" t="s">
        <v>434</v>
      </c>
      <c r="AH38" s="3863"/>
      <c r="AI38" s="3863">
        <v>0</v>
      </c>
      <c r="AJ38" s="3863">
        <v>0</v>
      </c>
      <c r="AK38" s="3863">
        <v>0</v>
      </c>
      <c r="AL38" s="3863">
        <v>0</v>
      </c>
      <c r="AM38" s="3867">
        <v>0</v>
      </c>
      <c r="AN38" s="262">
        <f t="shared" si="14"/>
        <v>0</v>
      </c>
      <c r="AP38" s="3863">
        <v>5</v>
      </c>
      <c r="AQ38" s="3865" t="s">
        <v>434</v>
      </c>
      <c r="AR38" s="3863"/>
      <c r="AS38" s="3863">
        <v>0</v>
      </c>
      <c r="AT38" s="3863">
        <v>0</v>
      </c>
      <c r="AU38" s="3863">
        <v>0</v>
      </c>
      <c r="AV38" s="3864">
        <v>0</v>
      </c>
      <c r="AW38" s="3867">
        <v>0</v>
      </c>
      <c r="AX38" s="262">
        <f t="shared" si="10"/>
        <v>0</v>
      </c>
    </row>
    <row r="39" spans="2:50" x14ac:dyDescent="0.3">
      <c r="B39" s="3863">
        <v>6</v>
      </c>
      <c r="C39" s="3865" t="s">
        <v>436</v>
      </c>
      <c r="D39" s="3863"/>
      <c r="E39" s="3863">
        <v>36</v>
      </c>
      <c r="F39" s="3863">
        <v>112</v>
      </c>
      <c r="G39" s="3863">
        <v>579</v>
      </c>
      <c r="H39" s="3863">
        <v>579</v>
      </c>
      <c r="I39" s="3863">
        <v>537</v>
      </c>
      <c r="J39" s="3930">
        <f t="shared" si="11"/>
        <v>1843</v>
      </c>
      <c r="L39" s="3863">
        <v>6</v>
      </c>
      <c r="M39" s="3865" t="s">
        <v>436</v>
      </c>
      <c r="N39" s="3863"/>
      <c r="O39" s="3863">
        <v>78</v>
      </c>
      <c r="P39" s="3863">
        <v>99</v>
      </c>
      <c r="Q39" s="3863">
        <v>658</v>
      </c>
      <c r="R39" s="3863">
        <v>658</v>
      </c>
      <c r="S39" s="3863">
        <v>592</v>
      </c>
      <c r="T39" s="3930">
        <f t="shared" si="12"/>
        <v>2085</v>
      </c>
      <c r="V39" s="3863">
        <v>6</v>
      </c>
      <c r="W39" s="3865" t="s">
        <v>436</v>
      </c>
      <c r="X39" s="3863"/>
      <c r="Y39" s="3863">
        <v>27</v>
      </c>
      <c r="Z39" s="3863">
        <v>102</v>
      </c>
      <c r="AA39" s="3863">
        <v>703</v>
      </c>
      <c r="AB39" s="3863">
        <v>703</v>
      </c>
      <c r="AC39" s="3867">
        <v>814</v>
      </c>
      <c r="AD39" s="3930">
        <f t="shared" si="13"/>
        <v>2349</v>
      </c>
      <c r="AF39" s="3863">
        <v>6</v>
      </c>
      <c r="AG39" s="3865" t="s">
        <v>436</v>
      </c>
      <c r="AH39" s="3863"/>
      <c r="AI39" s="3863">
        <v>38</v>
      </c>
      <c r="AJ39" s="3863">
        <v>89</v>
      </c>
      <c r="AK39" s="3863">
        <v>678</v>
      </c>
      <c r="AL39" s="3863">
        <v>678</v>
      </c>
      <c r="AM39" s="3867">
        <v>717</v>
      </c>
      <c r="AN39" s="262">
        <f t="shared" si="14"/>
        <v>2200</v>
      </c>
      <c r="AP39" s="3863">
        <v>6</v>
      </c>
      <c r="AQ39" s="3865" t="s">
        <v>436</v>
      </c>
      <c r="AR39" s="3863"/>
      <c r="AS39" s="3863">
        <v>40</v>
      </c>
      <c r="AT39" s="3863">
        <v>90</v>
      </c>
      <c r="AU39" s="3863">
        <v>680</v>
      </c>
      <c r="AV39" s="3864">
        <v>680</v>
      </c>
      <c r="AW39" s="3867">
        <v>725</v>
      </c>
      <c r="AX39" s="262">
        <f t="shared" si="10"/>
        <v>2215</v>
      </c>
    </row>
    <row r="40" spans="2:50" x14ac:dyDescent="0.3">
      <c r="B40" s="3863">
        <v>7</v>
      </c>
      <c r="C40" s="3865" t="s">
        <v>458</v>
      </c>
      <c r="D40" s="3863"/>
      <c r="E40" s="3863">
        <v>0</v>
      </c>
      <c r="F40" s="3863">
        <v>0</v>
      </c>
      <c r="G40" s="3863">
        <v>0</v>
      </c>
      <c r="H40" s="3863">
        <v>0</v>
      </c>
      <c r="I40" s="3863">
        <v>0</v>
      </c>
      <c r="J40" s="3930">
        <f t="shared" si="11"/>
        <v>0</v>
      </c>
      <c r="L40" s="3863">
        <v>7</v>
      </c>
      <c r="M40" s="3865" t="s">
        <v>458</v>
      </c>
      <c r="N40" s="3863"/>
      <c r="O40" s="3863">
        <v>0</v>
      </c>
      <c r="P40" s="3863">
        <v>0</v>
      </c>
      <c r="Q40" s="3863">
        <v>0</v>
      </c>
      <c r="R40" s="3863">
        <v>0</v>
      </c>
      <c r="S40" s="3863">
        <v>0</v>
      </c>
      <c r="T40" s="3930">
        <f t="shared" si="12"/>
        <v>0</v>
      </c>
      <c r="V40" s="3863">
        <v>7</v>
      </c>
      <c r="W40" s="3865" t="s">
        <v>458</v>
      </c>
      <c r="X40" s="3863"/>
      <c r="Y40" s="3863">
        <v>0</v>
      </c>
      <c r="Z40" s="3863">
        <v>0</v>
      </c>
      <c r="AA40" s="3863">
        <v>0</v>
      </c>
      <c r="AB40" s="3863">
        <v>0</v>
      </c>
      <c r="AC40" s="3867">
        <v>0</v>
      </c>
      <c r="AD40" s="3930">
        <f t="shared" si="13"/>
        <v>0</v>
      </c>
      <c r="AF40" s="3863">
        <v>7</v>
      </c>
      <c r="AG40" s="3865" t="s">
        <v>458</v>
      </c>
      <c r="AH40" s="3863"/>
      <c r="AI40" s="3863">
        <v>0</v>
      </c>
      <c r="AJ40" s="3863">
        <v>0</v>
      </c>
      <c r="AK40" s="3863">
        <v>0</v>
      </c>
      <c r="AL40" s="3863">
        <v>0</v>
      </c>
      <c r="AM40" s="3867">
        <v>0</v>
      </c>
      <c r="AN40" s="262">
        <f t="shared" si="14"/>
        <v>0</v>
      </c>
      <c r="AP40" s="3863">
        <v>7</v>
      </c>
      <c r="AQ40" s="3865" t="s">
        <v>458</v>
      </c>
      <c r="AR40" s="3863"/>
      <c r="AS40" s="3863">
        <v>0</v>
      </c>
      <c r="AT40" s="3863">
        <v>0</v>
      </c>
      <c r="AU40" s="3863">
        <v>0</v>
      </c>
      <c r="AV40" s="3864">
        <v>0</v>
      </c>
      <c r="AW40" s="3867">
        <v>0</v>
      </c>
      <c r="AX40" s="262">
        <f t="shared" si="10"/>
        <v>0</v>
      </c>
    </row>
    <row r="41" spans="2:50" ht="24" customHeight="1" x14ac:dyDescent="0.3">
      <c r="B41" s="3863">
        <v>8</v>
      </c>
      <c r="C41" s="3865" t="s">
        <v>451</v>
      </c>
      <c r="D41" s="3863"/>
      <c r="E41" s="3863">
        <v>1</v>
      </c>
      <c r="F41" s="3863">
        <v>1</v>
      </c>
      <c r="G41" s="3863">
        <v>25</v>
      </c>
      <c r="H41" s="3863">
        <v>25</v>
      </c>
      <c r="I41" s="3863">
        <v>193</v>
      </c>
      <c r="J41" s="3930">
        <f t="shared" si="11"/>
        <v>245</v>
      </c>
      <c r="L41" s="3863">
        <v>8</v>
      </c>
      <c r="M41" s="3865" t="s">
        <v>451</v>
      </c>
      <c r="N41" s="3863"/>
      <c r="O41" s="3863">
        <v>12</v>
      </c>
      <c r="P41" s="3863">
        <v>0</v>
      </c>
      <c r="Q41" s="3863">
        <v>31</v>
      </c>
      <c r="R41" s="3863">
        <v>31</v>
      </c>
      <c r="S41" s="3863">
        <v>303</v>
      </c>
      <c r="T41" s="3930">
        <f t="shared" si="12"/>
        <v>377</v>
      </c>
      <c r="V41" s="3863">
        <v>8</v>
      </c>
      <c r="W41" s="3865" t="s">
        <v>451</v>
      </c>
      <c r="X41" s="3863"/>
      <c r="Y41" s="3863">
        <v>0</v>
      </c>
      <c r="Z41" s="3863">
        <v>0</v>
      </c>
      <c r="AA41" s="3863">
        <v>34</v>
      </c>
      <c r="AB41" s="3863">
        <v>34</v>
      </c>
      <c r="AC41" s="3867">
        <v>278</v>
      </c>
      <c r="AD41" s="3930">
        <f t="shared" si="13"/>
        <v>346</v>
      </c>
      <c r="AF41" s="3863">
        <v>8</v>
      </c>
      <c r="AG41" s="3865" t="s">
        <v>451</v>
      </c>
      <c r="AH41" s="3863"/>
      <c r="AI41" s="3863">
        <v>2</v>
      </c>
      <c r="AJ41" s="3863">
        <v>0</v>
      </c>
      <c r="AK41" s="3863">
        <v>32</v>
      </c>
      <c r="AL41" s="3863">
        <v>32</v>
      </c>
      <c r="AM41" s="3867">
        <v>265</v>
      </c>
      <c r="AN41" s="262">
        <f t="shared" si="14"/>
        <v>331</v>
      </c>
      <c r="AP41" s="3863">
        <v>8</v>
      </c>
      <c r="AQ41" s="3865" t="s">
        <v>451</v>
      </c>
      <c r="AR41" s="3863"/>
      <c r="AS41" s="3863">
        <v>2</v>
      </c>
      <c r="AT41" s="3863">
        <v>0</v>
      </c>
      <c r="AU41" s="3863">
        <v>35</v>
      </c>
      <c r="AV41" s="3864">
        <v>35</v>
      </c>
      <c r="AW41" s="3867">
        <v>270</v>
      </c>
      <c r="AX41" s="262">
        <f t="shared" si="10"/>
        <v>342</v>
      </c>
    </row>
    <row r="42" spans="2:50" x14ac:dyDescent="0.3">
      <c r="B42" s="3863">
        <v>9</v>
      </c>
      <c r="C42" s="3865" t="s">
        <v>456</v>
      </c>
      <c r="D42" s="3863"/>
      <c r="E42" s="3863">
        <v>0</v>
      </c>
      <c r="F42" s="3863">
        <v>2</v>
      </c>
      <c r="G42" s="3863">
        <v>16</v>
      </c>
      <c r="H42" s="3863">
        <v>16</v>
      </c>
      <c r="I42" s="3863">
        <v>0</v>
      </c>
      <c r="J42" s="3930">
        <f t="shared" si="11"/>
        <v>34</v>
      </c>
      <c r="L42" s="3863">
        <v>9</v>
      </c>
      <c r="M42" s="3865" t="s">
        <v>456</v>
      </c>
      <c r="N42" s="3863"/>
      <c r="O42" s="3863">
        <v>0</v>
      </c>
      <c r="P42" s="3863">
        <v>0</v>
      </c>
      <c r="Q42" s="3863">
        <v>5</v>
      </c>
      <c r="R42" s="3863">
        <v>5</v>
      </c>
      <c r="S42" s="3863">
        <v>0</v>
      </c>
      <c r="T42" s="3930">
        <f t="shared" si="12"/>
        <v>10</v>
      </c>
      <c r="V42" s="3863">
        <v>9</v>
      </c>
      <c r="W42" s="3865" t="s">
        <v>456</v>
      </c>
      <c r="X42" s="3863"/>
      <c r="Y42" s="3863">
        <v>0</v>
      </c>
      <c r="Z42" s="3863">
        <v>2</v>
      </c>
      <c r="AA42" s="3863">
        <v>19</v>
      </c>
      <c r="AB42" s="3863">
        <v>19</v>
      </c>
      <c r="AC42" s="3867">
        <v>0</v>
      </c>
      <c r="AD42" s="3930">
        <f t="shared" si="13"/>
        <v>40</v>
      </c>
      <c r="AF42" s="3863">
        <v>9</v>
      </c>
      <c r="AG42" s="3865" t="s">
        <v>456</v>
      </c>
      <c r="AH42" s="3863"/>
      <c r="AI42" s="3863">
        <v>0</v>
      </c>
      <c r="AJ42" s="3863">
        <v>2</v>
      </c>
      <c r="AK42" s="3863">
        <v>15</v>
      </c>
      <c r="AL42" s="3863">
        <v>15</v>
      </c>
      <c r="AM42" s="3867">
        <v>0</v>
      </c>
      <c r="AN42" s="262">
        <f t="shared" si="14"/>
        <v>32</v>
      </c>
      <c r="AP42" s="3863">
        <v>9</v>
      </c>
      <c r="AQ42" s="3865" t="s">
        <v>456</v>
      </c>
      <c r="AR42" s="3863"/>
      <c r="AS42" s="3863">
        <v>0</v>
      </c>
      <c r="AT42" s="3863">
        <v>3</v>
      </c>
      <c r="AU42" s="3863">
        <v>18</v>
      </c>
      <c r="AV42" s="3864">
        <v>18</v>
      </c>
      <c r="AW42" s="3867">
        <v>0</v>
      </c>
      <c r="AX42" s="262">
        <f t="shared" si="10"/>
        <v>39</v>
      </c>
    </row>
    <row r="43" spans="2:50" x14ac:dyDescent="0.3">
      <c r="B43" s="3863">
        <v>10</v>
      </c>
      <c r="C43" s="3865" t="s">
        <v>1280</v>
      </c>
      <c r="D43" s="3863"/>
      <c r="E43" s="3863">
        <v>77</v>
      </c>
      <c r="F43" s="3863">
        <v>47</v>
      </c>
      <c r="G43" s="3863">
        <v>79</v>
      </c>
      <c r="H43" s="3863">
        <v>79</v>
      </c>
      <c r="I43" s="3863">
        <v>45</v>
      </c>
      <c r="J43" s="3930">
        <f t="shared" si="11"/>
        <v>327</v>
      </c>
      <c r="L43" s="3863">
        <v>10</v>
      </c>
      <c r="M43" s="3865" t="s">
        <v>1280</v>
      </c>
      <c r="N43" s="3863"/>
      <c r="O43" s="3863">
        <v>80</v>
      </c>
      <c r="P43" s="3863">
        <v>47</v>
      </c>
      <c r="Q43" s="3863">
        <v>109</v>
      </c>
      <c r="R43" s="3863">
        <v>109</v>
      </c>
      <c r="S43" s="3863">
        <v>39</v>
      </c>
      <c r="T43" s="3930">
        <f t="shared" si="12"/>
        <v>384</v>
      </c>
      <c r="V43" s="3863">
        <v>10</v>
      </c>
      <c r="W43" s="3865" t="s">
        <v>1280</v>
      </c>
      <c r="X43" s="3863"/>
      <c r="Y43" s="3863">
        <v>51</v>
      </c>
      <c r="Z43" s="3863">
        <v>38</v>
      </c>
      <c r="AA43" s="3863">
        <v>100</v>
      </c>
      <c r="AB43" s="3863">
        <v>100</v>
      </c>
      <c r="AC43" s="3867">
        <v>68</v>
      </c>
      <c r="AD43" s="3930">
        <f t="shared" si="13"/>
        <v>357</v>
      </c>
      <c r="AF43" s="3863">
        <v>10</v>
      </c>
      <c r="AG43" s="3865" t="s">
        <v>1280</v>
      </c>
      <c r="AH43" s="3863"/>
      <c r="AI43" s="3863">
        <v>51</v>
      </c>
      <c r="AJ43" s="3863">
        <v>49</v>
      </c>
      <c r="AK43" s="3863">
        <v>97</v>
      </c>
      <c r="AL43" s="3863">
        <v>97</v>
      </c>
      <c r="AM43" s="3867">
        <v>55</v>
      </c>
      <c r="AN43" s="262">
        <f t="shared" si="14"/>
        <v>349</v>
      </c>
      <c r="AP43" s="3863">
        <v>10</v>
      </c>
      <c r="AQ43" s="3865" t="s">
        <v>1280</v>
      </c>
      <c r="AR43" s="3863"/>
      <c r="AS43" s="3863">
        <v>55</v>
      </c>
      <c r="AT43" s="3863">
        <v>52</v>
      </c>
      <c r="AU43" s="3863">
        <v>102</v>
      </c>
      <c r="AV43" s="3864">
        <v>102</v>
      </c>
      <c r="AW43" s="3867">
        <v>60</v>
      </c>
      <c r="AX43" s="262">
        <f t="shared" si="10"/>
        <v>371</v>
      </c>
    </row>
    <row r="44" spans="2:50" x14ac:dyDescent="0.3">
      <c r="B44" s="3863"/>
      <c r="C44" s="3862" t="s">
        <v>1281</v>
      </c>
      <c r="D44" s="3863"/>
      <c r="E44" s="3863">
        <v>0</v>
      </c>
      <c r="F44" s="3863">
        <v>0</v>
      </c>
      <c r="G44" s="3863">
        <v>0</v>
      </c>
      <c r="H44" s="3863">
        <v>0</v>
      </c>
      <c r="I44" s="3863">
        <v>0</v>
      </c>
      <c r="J44" s="3930">
        <f t="shared" si="11"/>
        <v>0</v>
      </c>
      <c r="L44" s="3863"/>
      <c r="M44" s="3862" t="s">
        <v>1281</v>
      </c>
      <c r="N44" s="3863"/>
      <c r="O44" s="3863">
        <v>0</v>
      </c>
      <c r="P44" s="3863">
        <v>0</v>
      </c>
      <c r="Q44" s="3863">
        <v>0</v>
      </c>
      <c r="R44" s="3863">
        <v>0</v>
      </c>
      <c r="S44" s="3863">
        <v>0</v>
      </c>
      <c r="T44" s="3930">
        <f t="shared" si="12"/>
        <v>0</v>
      </c>
      <c r="V44" s="3863"/>
      <c r="W44" s="3862" t="s">
        <v>1281</v>
      </c>
      <c r="X44" s="3863"/>
      <c r="Y44" s="3863">
        <v>0</v>
      </c>
      <c r="Z44" s="3863">
        <v>0</v>
      </c>
      <c r="AA44" s="3863">
        <v>0</v>
      </c>
      <c r="AB44" s="3863">
        <v>0</v>
      </c>
      <c r="AC44" s="3863">
        <v>0</v>
      </c>
      <c r="AD44" s="3930">
        <f t="shared" si="13"/>
        <v>0</v>
      </c>
      <c r="AF44" s="3863"/>
      <c r="AG44" s="3862" t="s">
        <v>1281</v>
      </c>
      <c r="AH44" s="3863"/>
      <c r="AI44" s="3863">
        <v>0</v>
      </c>
      <c r="AJ44" s="3863">
        <v>0</v>
      </c>
      <c r="AK44" s="3863">
        <v>0</v>
      </c>
      <c r="AL44" s="3863">
        <v>0</v>
      </c>
      <c r="AM44" s="3863">
        <v>0</v>
      </c>
      <c r="AN44" s="262">
        <f t="shared" si="14"/>
        <v>0</v>
      </c>
      <c r="AP44" s="3863"/>
      <c r="AQ44" s="3862" t="s">
        <v>1281</v>
      </c>
      <c r="AR44" s="3863"/>
      <c r="AS44" s="3863">
        <v>0</v>
      </c>
      <c r="AT44" s="3863">
        <v>0</v>
      </c>
      <c r="AU44" s="3863">
        <v>0</v>
      </c>
      <c r="AV44" s="3863">
        <v>0</v>
      </c>
      <c r="AW44" s="3863">
        <v>0</v>
      </c>
      <c r="AX44" s="262">
        <f t="shared" si="10"/>
        <v>0</v>
      </c>
    </row>
    <row r="45" spans="2:50" x14ac:dyDescent="0.3">
      <c r="B45" s="3863"/>
      <c r="C45" s="3922" t="s">
        <v>0</v>
      </c>
      <c r="D45" s="3863"/>
      <c r="E45" s="3930">
        <f>SUM(E34:E44)</f>
        <v>1169</v>
      </c>
      <c r="F45" s="3930">
        <f t="shared" ref="F45:J45" si="15">SUM(F34:F44)</f>
        <v>353</v>
      </c>
      <c r="G45" s="3930">
        <f t="shared" si="15"/>
        <v>1228</v>
      </c>
      <c r="H45" s="3930">
        <f t="shared" si="15"/>
        <v>1228</v>
      </c>
      <c r="I45" s="3930">
        <f t="shared" si="15"/>
        <v>1214</v>
      </c>
      <c r="J45" s="3930">
        <f t="shared" si="15"/>
        <v>5192</v>
      </c>
      <c r="L45" s="3863"/>
      <c r="M45" s="3863" t="s">
        <v>0</v>
      </c>
      <c r="N45" s="3863"/>
      <c r="O45" s="3930">
        <f>SUM(O34:O44)</f>
        <v>1229</v>
      </c>
      <c r="P45" s="3930">
        <f t="shared" ref="P45:S45" si="16">SUM(P34:P44)</f>
        <v>375</v>
      </c>
      <c r="Q45" s="3930">
        <f t="shared" si="16"/>
        <v>1449</v>
      </c>
      <c r="R45" s="3930">
        <f t="shared" si="16"/>
        <v>1449</v>
      </c>
      <c r="S45" s="3930">
        <f t="shared" si="16"/>
        <v>1391</v>
      </c>
      <c r="T45" s="3930">
        <f t="shared" si="12"/>
        <v>5893</v>
      </c>
      <c r="V45" s="3863"/>
      <c r="W45" s="3863" t="s">
        <v>0</v>
      </c>
      <c r="X45" s="3863"/>
      <c r="Y45" s="3930">
        <f>SUM(Y34:Y44)</f>
        <v>1077</v>
      </c>
      <c r="Z45" s="3930">
        <f t="shared" ref="Z45:AC45" si="17">SUM(Z34:Z44)</f>
        <v>362</v>
      </c>
      <c r="AA45" s="3930">
        <f t="shared" si="17"/>
        <v>1532</v>
      </c>
      <c r="AB45" s="3930">
        <f t="shared" si="17"/>
        <v>1532</v>
      </c>
      <c r="AC45" s="3930">
        <f t="shared" si="17"/>
        <v>1623</v>
      </c>
      <c r="AD45" s="3930">
        <f t="shared" si="13"/>
        <v>6126</v>
      </c>
      <c r="AF45" s="4152" t="s">
        <v>0</v>
      </c>
      <c r="AG45" s="4152"/>
      <c r="AH45" s="3863"/>
      <c r="AI45" s="262">
        <f>SUM(AI34:AI44)</f>
        <v>1019</v>
      </c>
      <c r="AJ45" s="262">
        <f t="shared" ref="AJ45:AM45" si="18">SUM(AJ34:AJ44)</f>
        <v>362</v>
      </c>
      <c r="AK45" s="262">
        <f t="shared" si="18"/>
        <v>1546</v>
      </c>
      <c r="AL45" s="262">
        <f t="shared" si="18"/>
        <v>1546</v>
      </c>
      <c r="AM45" s="262">
        <f t="shared" si="18"/>
        <v>1431</v>
      </c>
      <c r="AN45" s="262">
        <f t="shared" si="14"/>
        <v>5904</v>
      </c>
      <c r="AP45" s="3863"/>
      <c r="AQ45" s="3930" t="s">
        <v>0</v>
      </c>
      <c r="AR45" s="3863"/>
      <c r="AS45" s="262">
        <f>SUM(AS34:AS44)</f>
        <v>1039</v>
      </c>
      <c r="AT45" s="262">
        <f>SUM(AT34:AT44)</f>
        <v>380</v>
      </c>
      <c r="AU45" s="262">
        <f>SUM(AU34:AU44)</f>
        <v>1575</v>
      </c>
      <c r="AV45" s="262">
        <f t="shared" ref="AV45:AW45" si="19">SUM(AV34:AV44)</f>
        <v>1575</v>
      </c>
      <c r="AW45" s="262">
        <f t="shared" si="19"/>
        <v>1456</v>
      </c>
      <c r="AX45" s="262">
        <f>SUM(AX34:AX44)</f>
        <v>6025</v>
      </c>
    </row>
    <row r="46" spans="2:50" x14ac:dyDescent="0.3">
      <c r="B46" s="4" t="s">
        <v>432</v>
      </c>
      <c r="L46" s="4" t="s">
        <v>432</v>
      </c>
      <c r="V46" s="4" t="s">
        <v>432</v>
      </c>
      <c r="AF46" s="4" t="s">
        <v>432</v>
      </c>
    </row>
    <row r="49" spans="1:50" s="6" customFormat="1" x14ac:dyDescent="0.3">
      <c r="A49" s="102">
        <v>3</v>
      </c>
      <c r="B49" s="3953" t="s">
        <v>6076</v>
      </c>
      <c r="C49" s="102"/>
      <c r="D49" s="102"/>
      <c r="E49" s="102"/>
    </row>
    <row r="50" spans="1:50" x14ac:dyDescent="0.3">
      <c r="B50" s="12" t="s">
        <v>6077</v>
      </c>
      <c r="D50" s="3924"/>
      <c r="L50" s="12" t="s">
        <v>6078</v>
      </c>
      <c r="N50" s="3924"/>
      <c r="V50" s="12" t="s">
        <v>6079</v>
      </c>
      <c r="X50" s="3924"/>
      <c r="AF50" s="12" t="s">
        <v>6080</v>
      </c>
      <c r="AH50" s="3924"/>
      <c r="AP50" s="12" t="s">
        <v>6081</v>
      </c>
      <c r="AR50" s="3924"/>
    </row>
    <row r="51" spans="1:50" ht="15" customHeight="1" x14ac:dyDescent="0.3">
      <c r="B51" s="4014" t="s">
        <v>62</v>
      </c>
      <c r="C51" s="4014" t="s">
        <v>184</v>
      </c>
      <c r="D51" s="4014" t="s">
        <v>161</v>
      </c>
      <c r="E51" s="4037" t="s">
        <v>186</v>
      </c>
      <c r="F51" s="4038"/>
      <c r="G51" s="4038"/>
      <c r="H51" s="4038"/>
      <c r="I51" s="4056"/>
      <c r="J51" s="4014" t="s">
        <v>0</v>
      </c>
      <c r="L51" s="4014" t="s">
        <v>62</v>
      </c>
      <c r="M51" s="4014" t="s">
        <v>184</v>
      </c>
      <c r="N51" s="4014" t="s">
        <v>161</v>
      </c>
      <c r="O51" s="4037" t="s">
        <v>186</v>
      </c>
      <c r="P51" s="4038"/>
      <c r="Q51" s="4038"/>
      <c r="R51" s="4038"/>
      <c r="S51" s="4056"/>
      <c r="T51" s="4014" t="s">
        <v>0</v>
      </c>
      <c r="V51" s="4014" t="s">
        <v>62</v>
      </c>
      <c r="W51" s="4014" t="s">
        <v>184</v>
      </c>
      <c r="X51" s="4014" t="s">
        <v>161</v>
      </c>
      <c r="Y51" s="4037" t="s">
        <v>186</v>
      </c>
      <c r="Z51" s="4038"/>
      <c r="AA51" s="4038"/>
      <c r="AB51" s="4038"/>
      <c r="AC51" s="4056"/>
      <c r="AD51" s="4014" t="s">
        <v>0</v>
      </c>
      <c r="AF51" s="4014" t="s">
        <v>62</v>
      </c>
      <c r="AG51" s="4014" t="s">
        <v>184</v>
      </c>
      <c r="AH51" s="4014" t="s">
        <v>161</v>
      </c>
      <c r="AI51" s="4037" t="s">
        <v>186</v>
      </c>
      <c r="AJ51" s="4038"/>
      <c r="AK51" s="4038"/>
      <c r="AL51" s="4038"/>
      <c r="AM51" s="4056"/>
      <c r="AN51" s="4014" t="s">
        <v>0</v>
      </c>
      <c r="AP51" s="4014" t="s">
        <v>62</v>
      </c>
      <c r="AQ51" s="4014" t="s">
        <v>184</v>
      </c>
      <c r="AR51" s="4014" t="s">
        <v>161</v>
      </c>
      <c r="AS51" s="4037" t="s">
        <v>186</v>
      </c>
      <c r="AT51" s="4038"/>
      <c r="AU51" s="4038"/>
      <c r="AV51" s="4038"/>
      <c r="AW51" s="4056"/>
      <c r="AX51" s="4014" t="s">
        <v>0</v>
      </c>
    </row>
    <row r="52" spans="1:50" x14ac:dyDescent="0.3">
      <c r="B52" s="4036"/>
      <c r="C52" s="4036"/>
      <c r="D52" s="4036"/>
      <c r="E52" s="3921" t="s">
        <v>271</v>
      </c>
      <c r="F52" s="3921" t="s">
        <v>289</v>
      </c>
      <c r="G52" s="3921" t="s">
        <v>290</v>
      </c>
      <c r="H52" s="3921" t="s">
        <v>291</v>
      </c>
      <c r="I52" s="3921" t="s">
        <v>292</v>
      </c>
      <c r="J52" s="4036"/>
      <c r="L52" s="4036"/>
      <c r="M52" s="4036"/>
      <c r="N52" s="4036"/>
      <c r="O52" s="3921" t="s">
        <v>271</v>
      </c>
      <c r="P52" s="3921" t="s">
        <v>289</v>
      </c>
      <c r="Q52" s="3921" t="s">
        <v>290</v>
      </c>
      <c r="R52" s="3921" t="s">
        <v>291</v>
      </c>
      <c r="S52" s="3921" t="s">
        <v>292</v>
      </c>
      <c r="T52" s="4036"/>
      <c r="V52" s="4036"/>
      <c r="W52" s="4036"/>
      <c r="X52" s="4036"/>
      <c r="Y52" s="3921" t="s">
        <v>271</v>
      </c>
      <c r="Z52" s="3921" t="s">
        <v>289</v>
      </c>
      <c r="AA52" s="3921" t="s">
        <v>290</v>
      </c>
      <c r="AB52" s="3921" t="s">
        <v>291</v>
      </c>
      <c r="AC52" s="3921" t="s">
        <v>292</v>
      </c>
      <c r="AD52" s="4036"/>
      <c r="AF52" s="4036"/>
      <c r="AG52" s="4036"/>
      <c r="AH52" s="4036"/>
      <c r="AI52" s="3921" t="s">
        <v>271</v>
      </c>
      <c r="AJ52" s="3921" t="s">
        <v>289</v>
      </c>
      <c r="AK52" s="3921" t="s">
        <v>290</v>
      </c>
      <c r="AL52" s="3921" t="s">
        <v>291</v>
      </c>
      <c r="AM52" s="3921" t="s">
        <v>292</v>
      </c>
      <c r="AN52" s="4036"/>
      <c r="AP52" s="4036"/>
      <c r="AQ52" s="4036"/>
      <c r="AR52" s="4036"/>
      <c r="AS52" s="3921" t="s">
        <v>271</v>
      </c>
      <c r="AT52" s="3921" t="s">
        <v>289</v>
      </c>
      <c r="AU52" s="3921" t="s">
        <v>290</v>
      </c>
      <c r="AV52" s="3921" t="s">
        <v>291</v>
      </c>
      <c r="AW52" s="3921" t="s">
        <v>292</v>
      </c>
      <c r="AX52" s="4036"/>
    </row>
    <row r="53" spans="1:50" x14ac:dyDescent="0.3">
      <c r="B53" s="3867">
        <v>1</v>
      </c>
      <c r="C53" s="3865" t="s">
        <v>1279</v>
      </c>
      <c r="D53" s="3867"/>
      <c r="E53" s="3865">
        <v>0</v>
      </c>
      <c r="F53" s="3865">
        <v>3</v>
      </c>
      <c r="G53" s="3865">
        <v>12</v>
      </c>
      <c r="H53" s="3865">
        <v>17</v>
      </c>
      <c r="I53" s="3865">
        <v>0</v>
      </c>
      <c r="J53" s="3954">
        <f>SUM(E53:I53)</f>
        <v>32</v>
      </c>
      <c r="L53" s="3867">
        <v>1</v>
      </c>
      <c r="M53" s="3865" t="s">
        <v>1279</v>
      </c>
      <c r="N53" s="3867"/>
      <c r="O53" s="3865">
        <v>0</v>
      </c>
      <c r="P53" s="3865">
        <v>1</v>
      </c>
      <c r="Q53" s="3865">
        <v>7</v>
      </c>
      <c r="R53" s="3865">
        <v>4</v>
      </c>
      <c r="S53" s="3865">
        <v>0</v>
      </c>
      <c r="T53" s="3954">
        <f>SUM(O53:S53)</f>
        <v>12</v>
      </c>
      <c r="V53" s="3867">
        <v>1</v>
      </c>
      <c r="W53" s="3865" t="s">
        <v>1279</v>
      </c>
      <c r="X53" s="3867"/>
      <c r="Y53" s="3865">
        <v>0</v>
      </c>
      <c r="Z53" s="3865">
        <v>3</v>
      </c>
      <c r="AA53" s="3865">
        <v>16</v>
      </c>
      <c r="AB53" s="3865">
        <v>13</v>
      </c>
      <c r="AC53" s="3866">
        <v>0</v>
      </c>
      <c r="AD53" s="301">
        <f>SUM(Y53:AC53)</f>
        <v>32</v>
      </c>
      <c r="AF53" s="3867">
        <v>1</v>
      </c>
      <c r="AG53" s="3865" t="s">
        <v>1279</v>
      </c>
      <c r="AH53" s="3867"/>
      <c r="AI53" s="3865">
        <v>0</v>
      </c>
      <c r="AJ53" s="3865">
        <v>2</v>
      </c>
      <c r="AK53" s="3865">
        <v>11</v>
      </c>
      <c r="AL53" s="3865">
        <v>17</v>
      </c>
      <c r="AM53" s="3866">
        <v>0</v>
      </c>
      <c r="AN53" s="301">
        <f>SUM(AI53:AM53)</f>
        <v>30</v>
      </c>
      <c r="AP53" s="3867">
        <v>1</v>
      </c>
      <c r="AQ53" s="3865" t="s">
        <v>1279</v>
      </c>
      <c r="AR53" s="3867"/>
      <c r="AS53" s="3865">
        <v>0</v>
      </c>
      <c r="AT53" s="3865">
        <v>2</v>
      </c>
      <c r="AU53" s="3865">
        <v>12</v>
      </c>
      <c r="AV53" s="3865">
        <v>18</v>
      </c>
      <c r="AW53" s="3866">
        <v>0</v>
      </c>
      <c r="AX53" s="301">
        <f>SUM(AS53:AW53)</f>
        <v>32</v>
      </c>
    </row>
    <row r="54" spans="1:50" x14ac:dyDescent="0.3">
      <c r="B54" s="3867">
        <v>2</v>
      </c>
      <c r="C54" s="3865" t="s">
        <v>441</v>
      </c>
      <c r="D54" s="3867"/>
      <c r="E54" s="3865">
        <v>4</v>
      </c>
      <c r="F54" s="3865">
        <v>2</v>
      </c>
      <c r="G54" s="3865">
        <v>5</v>
      </c>
      <c r="H54" s="3865">
        <v>12</v>
      </c>
      <c r="I54" s="3865">
        <v>32</v>
      </c>
      <c r="J54" s="3954">
        <f t="shared" ref="J54:J64" si="20">SUM(E54:I54)</f>
        <v>55</v>
      </c>
      <c r="L54" s="3867">
        <v>2</v>
      </c>
      <c r="M54" s="3865" t="s">
        <v>441</v>
      </c>
      <c r="N54" s="3867"/>
      <c r="O54" s="3865">
        <v>4</v>
      </c>
      <c r="P54" s="3865">
        <v>1</v>
      </c>
      <c r="Q54" s="3865">
        <v>6</v>
      </c>
      <c r="R54" s="3865">
        <v>2</v>
      </c>
      <c r="S54" s="3865">
        <v>4</v>
      </c>
      <c r="T54" s="3954">
        <f t="shared" ref="T54:T64" si="21">SUM(O54:S54)</f>
        <v>17</v>
      </c>
      <c r="V54" s="3867">
        <v>2</v>
      </c>
      <c r="W54" s="3865" t="s">
        <v>441</v>
      </c>
      <c r="X54" s="3867"/>
      <c r="Y54" s="3865">
        <v>3</v>
      </c>
      <c r="Z54" s="3865">
        <v>1</v>
      </c>
      <c r="AA54" s="3865">
        <v>2</v>
      </c>
      <c r="AB54" s="3865">
        <v>11</v>
      </c>
      <c r="AC54" s="3866">
        <v>5</v>
      </c>
      <c r="AD54" s="301">
        <f t="shared" ref="AD54:AD64" si="22">SUM(Y54:AC54)</f>
        <v>22</v>
      </c>
      <c r="AF54" s="3867">
        <v>2</v>
      </c>
      <c r="AG54" s="3865" t="s">
        <v>441</v>
      </c>
      <c r="AH54" s="3867"/>
      <c r="AI54" s="3865">
        <v>15</v>
      </c>
      <c r="AJ54" s="3865">
        <v>5</v>
      </c>
      <c r="AK54" s="3865">
        <v>6</v>
      </c>
      <c r="AL54" s="3865">
        <v>36</v>
      </c>
      <c r="AM54" s="3866">
        <v>10</v>
      </c>
      <c r="AN54" s="301">
        <f t="shared" ref="AN54:AN63" si="23">SUM(AI54:AM54)</f>
        <v>72</v>
      </c>
      <c r="AP54" s="3867">
        <v>2</v>
      </c>
      <c r="AQ54" s="3865" t="s">
        <v>441</v>
      </c>
      <c r="AR54" s="3867"/>
      <c r="AS54" s="3865">
        <v>15</v>
      </c>
      <c r="AT54" s="3865">
        <v>6</v>
      </c>
      <c r="AU54" s="3865">
        <v>7</v>
      </c>
      <c r="AV54" s="3865">
        <v>38</v>
      </c>
      <c r="AW54" s="3866">
        <v>15</v>
      </c>
      <c r="AX54" s="301">
        <f t="shared" ref="AX54:AX64" si="24">SUM(AS54:AW54)</f>
        <v>81</v>
      </c>
    </row>
    <row r="55" spans="1:50" x14ac:dyDescent="0.3">
      <c r="B55" s="3867">
        <v>3</v>
      </c>
      <c r="C55" s="3865" t="s">
        <v>435</v>
      </c>
      <c r="D55" s="3867"/>
      <c r="E55" s="3865">
        <v>95</v>
      </c>
      <c r="F55" s="3865">
        <v>3</v>
      </c>
      <c r="G55" s="3865">
        <v>3</v>
      </c>
      <c r="H55" s="3865">
        <v>7</v>
      </c>
      <c r="I55" s="3865">
        <v>120</v>
      </c>
      <c r="J55" s="3954">
        <f t="shared" si="20"/>
        <v>228</v>
      </c>
      <c r="L55" s="3867">
        <v>3</v>
      </c>
      <c r="M55" s="3865" t="s">
        <v>435</v>
      </c>
      <c r="N55" s="3867"/>
      <c r="O55" s="3865">
        <v>123</v>
      </c>
      <c r="P55" s="3865">
        <v>21</v>
      </c>
      <c r="Q55" s="3865">
        <v>21</v>
      </c>
      <c r="R55" s="3865">
        <v>41</v>
      </c>
      <c r="S55" s="3865">
        <v>29</v>
      </c>
      <c r="T55" s="3954">
        <f t="shared" si="21"/>
        <v>235</v>
      </c>
      <c r="V55" s="3867">
        <v>3</v>
      </c>
      <c r="W55" s="3865" t="s">
        <v>435</v>
      </c>
      <c r="X55" s="3867"/>
      <c r="Y55" s="3865">
        <v>201</v>
      </c>
      <c r="Z55" s="3865">
        <v>19</v>
      </c>
      <c r="AA55" s="3865">
        <v>37</v>
      </c>
      <c r="AB55" s="3865">
        <v>53</v>
      </c>
      <c r="AC55" s="3866">
        <v>39</v>
      </c>
      <c r="AD55" s="301">
        <f t="shared" si="22"/>
        <v>349</v>
      </c>
      <c r="AF55" s="3867">
        <v>3</v>
      </c>
      <c r="AG55" s="3865" t="s">
        <v>435</v>
      </c>
      <c r="AH55" s="3867"/>
      <c r="AI55" s="3865">
        <v>118</v>
      </c>
      <c r="AJ55" s="3865">
        <v>14</v>
      </c>
      <c r="AK55" s="3865">
        <v>18</v>
      </c>
      <c r="AL55" s="3865">
        <v>54</v>
      </c>
      <c r="AM55" s="3866">
        <v>21</v>
      </c>
      <c r="AN55" s="301">
        <f t="shared" si="23"/>
        <v>225</v>
      </c>
      <c r="AP55" s="3867">
        <v>3</v>
      </c>
      <c r="AQ55" s="3865" t="s">
        <v>435</v>
      </c>
      <c r="AR55" s="3867"/>
      <c r="AS55" s="3865">
        <v>125</v>
      </c>
      <c r="AT55" s="3865">
        <v>17</v>
      </c>
      <c r="AU55" s="3865">
        <v>20</v>
      </c>
      <c r="AV55" s="3865">
        <v>50</v>
      </c>
      <c r="AW55" s="3866">
        <v>21</v>
      </c>
      <c r="AX55" s="301">
        <f t="shared" si="24"/>
        <v>233</v>
      </c>
    </row>
    <row r="56" spans="1:50" x14ac:dyDescent="0.3">
      <c r="B56" s="3867">
        <v>4</v>
      </c>
      <c r="C56" s="3865" t="s">
        <v>437</v>
      </c>
      <c r="D56" s="3867"/>
      <c r="E56" s="3865">
        <v>0</v>
      </c>
      <c r="F56" s="3865">
        <v>8</v>
      </c>
      <c r="G56" s="3865">
        <v>33</v>
      </c>
      <c r="H56" s="3865">
        <v>58</v>
      </c>
      <c r="I56" s="3865">
        <v>99</v>
      </c>
      <c r="J56" s="3954">
        <f t="shared" si="20"/>
        <v>198</v>
      </c>
      <c r="L56" s="3867">
        <v>4</v>
      </c>
      <c r="M56" s="3865" t="s">
        <v>437</v>
      </c>
      <c r="N56" s="3867"/>
      <c r="O56" s="3865" t="s">
        <v>1995</v>
      </c>
      <c r="P56" s="3865">
        <v>12</v>
      </c>
      <c r="Q56" s="3865">
        <v>163</v>
      </c>
      <c r="R56" s="3865">
        <v>49</v>
      </c>
      <c r="S56" s="3865" t="s">
        <v>1995</v>
      </c>
      <c r="T56" s="3954">
        <f t="shared" si="21"/>
        <v>224</v>
      </c>
      <c r="V56" s="3867">
        <v>4</v>
      </c>
      <c r="W56" s="3865" t="s">
        <v>437</v>
      </c>
      <c r="X56" s="3867"/>
      <c r="Y56" s="3865">
        <v>0</v>
      </c>
      <c r="Z56" s="3865">
        <v>11</v>
      </c>
      <c r="AA56" s="3865">
        <v>125</v>
      </c>
      <c r="AB56" s="3865">
        <v>113</v>
      </c>
      <c r="AC56" s="3866">
        <v>0</v>
      </c>
      <c r="AD56" s="301">
        <f t="shared" si="22"/>
        <v>249</v>
      </c>
      <c r="AF56" s="3867">
        <v>4</v>
      </c>
      <c r="AG56" s="3865" t="s">
        <v>437</v>
      </c>
      <c r="AH56" s="3867"/>
      <c r="AI56" s="3865">
        <v>0</v>
      </c>
      <c r="AJ56" s="3865">
        <v>2</v>
      </c>
      <c r="AK56" s="3865">
        <v>63</v>
      </c>
      <c r="AL56" s="3865">
        <v>69</v>
      </c>
      <c r="AM56" s="3866">
        <v>0</v>
      </c>
      <c r="AN56" s="301">
        <f t="shared" si="23"/>
        <v>134</v>
      </c>
      <c r="AP56" s="3867">
        <v>4</v>
      </c>
      <c r="AQ56" s="3865" t="s">
        <v>437</v>
      </c>
      <c r="AR56" s="3867"/>
      <c r="AS56" s="3865">
        <v>0</v>
      </c>
      <c r="AT56" s="3865">
        <v>2</v>
      </c>
      <c r="AU56" s="3865">
        <v>65</v>
      </c>
      <c r="AV56" s="3865">
        <v>70</v>
      </c>
      <c r="AW56" s="3866">
        <v>0</v>
      </c>
      <c r="AX56" s="301">
        <f t="shared" si="24"/>
        <v>137</v>
      </c>
    </row>
    <row r="57" spans="1:50" x14ac:dyDescent="0.3">
      <c r="B57" s="3867">
        <v>5</v>
      </c>
      <c r="C57" s="3865" t="s">
        <v>1282</v>
      </c>
      <c r="D57" s="3867"/>
      <c r="E57" s="3865">
        <v>37</v>
      </c>
      <c r="F57" s="3865">
        <v>1</v>
      </c>
      <c r="G57" s="3865">
        <v>7</v>
      </c>
      <c r="H57" s="3865">
        <v>41</v>
      </c>
      <c r="I57" s="3865">
        <v>71</v>
      </c>
      <c r="J57" s="3954">
        <f t="shared" si="20"/>
        <v>157</v>
      </c>
      <c r="L57" s="3867">
        <v>5</v>
      </c>
      <c r="M57" s="3865" t="s">
        <v>1282</v>
      </c>
      <c r="N57" s="3867"/>
      <c r="O57" s="3865">
        <v>27</v>
      </c>
      <c r="P57" s="3865">
        <v>1</v>
      </c>
      <c r="Q57" s="3865">
        <v>15</v>
      </c>
      <c r="R57" s="3865">
        <v>42</v>
      </c>
      <c r="S57" s="3865">
        <v>53</v>
      </c>
      <c r="T57" s="3954">
        <f t="shared" si="21"/>
        <v>138</v>
      </c>
      <c r="V57" s="3867">
        <v>5</v>
      </c>
      <c r="W57" s="3865" t="s">
        <v>1282</v>
      </c>
      <c r="X57" s="3867"/>
      <c r="Y57" s="3865">
        <v>7</v>
      </c>
      <c r="Z57" s="3865">
        <v>4</v>
      </c>
      <c r="AA57" s="3865">
        <v>4</v>
      </c>
      <c r="AB57" s="3865">
        <v>15</v>
      </c>
      <c r="AC57" s="3866">
        <v>27</v>
      </c>
      <c r="AD57" s="301">
        <f t="shared" si="22"/>
        <v>57</v>
      </c>
      <c r="AF57" s="3867">
        <v>5</v>
      </c>
      <c r="AG57" s="3865" t="s">
        <v>1282</v>
      </c>
      <c r="AH57" s="3867"/>
      <c r="AI57" s="3865">
        <v>2</v>
      </c>
      <c r="AJ57" s="3865">
        <v>1</v>
      </c>
      <c r="AK57" s="3865">
        <v>3</v>
      </c>
      <c r="AL57" s="3865">
        <v>18</v>
      </c>
      <c r="AM57" s="3866">
        <v>26</v>
      </c>
      <c r="AN57" s="301">
        <f t="shared" si="23"/>
        <v>50</v>
      </c>
      <c r="AP57" s="3867">
        <v>5</v>
      </c>
      <c r="AQ57" s="3865" t="s">
        <v>1282</v>
      </c>
      <c r="AR57" s="3867"/>
      <c r="AS57" s="3865">
        <v>2</v>
      </c>
      <c r="AT57" s="3865">
        <v>2</v>
      </c>
      <c r="AU57" s="3865">
        <v>3</v>
      </c>
      <c r="AV57" s="3865">
        <v>18</v>
      </c>
      <c r="AW57" s="3866">
        <v>29</v>
      </c>
      <c r="AX57" s="301">
        <f t="shared" si="24"/>
        <v>54</v>
      </c>
    </row>
    <row r="58" spans="1:50" x14ac:dyDescent="0.3">
      <c r="B58" s="3867">
        <v>6</v>
      </c>
      <c r="C58" s="3865" t="s">
        <v>436</v>
      </c>
      <c r="D58" s="3867"/>
      <c r="E58" s="3865">
        <v>10</v>
      </c>
      <c r="F58" s="3865">
        <v>9</v>
      </c>
      <c r="G58" s="3865">
        <v>3</v>
      </c>
      <c r="H58" s="3865">
        <v>16</v>
      </c>
      <c r="I58" s="3865">
        <v>41</v>
      </c>
      <c r="J58" s="3954">
        <f t="shared" si="20"/>
        <v>79</v>
      </c>
      <c r="L58" s="3867">
        <v>6</v>
      </c>
      <c r="M58" s="3865" t="s">
        <v>436</v>
      </c>
      <c r="N58" s="3867"/>
      <c r="O58" s="3865">
        <v>2</v>
      </c>
      <c r="P58" s="3865">
        <v>1</v>
      </c>
      <c r="Q58" s="3865" t="s">
        <v>1995</v>
      </c>
      <c r="R58" s="3865" t="s">
        <v>1995</v>
      </c>
      <c r="S58" s="3865" t="s">
        <v>1995</v>
      </c>
      <c r="T58" s="3954">
        <f t="shared" si="21"/>
        <v>3</v>
      </c>
      <c r="V58" s="3867">
        <v>6</v>
      </c>
      <c r="W58" s="3865" t="s">
        <v>436</v>
      </c>
      <c r="X58" s="3867"/>
      <c r="Y58" s="3865">
        <v>2</v>
      </c>
      <c r="Z58" s="3865">
        <v>0</v>
      </c>
      <c r="AA58" s="3865">
        <v>0</v>
      </c>
      <c r="AB58" s="3865">
        <v>4</v>
      </c>
      <c r="AC58" s="3866">
        <v>0</v>
      </c>
      <c r="AD58" s="301">
        <f t="shared" si="22"/>
        <v>6</v>
      </c>
      <c r="AF58" s="3867">
        <v>6</v>
      </c>
      <c r="AG58" s="3865" t="s">
        <v>436</v>
      </c>
      <c r="AH58" s="3867"/>
      <c r="AI58" s="3865">
        <v>0</v>
      </c>
      <c r="AJ58" s="3865">
        <v>1</v>
      </c>
      <c r="AK58" s="3865">
        <v>0</v>
      </c>
      <c r="AL58" s="3865">
        <v>5</v>
      </c>
      <c r="AM58" s="3866">
        <v>2</v>
      </c>
      <c r="AN58" s="301">
        <f t="shared" si="23"/>
        <v>8</v>
      </c>
      <c r="AP58" s="3867">
        <v>6</v>
      </c>
      <c r="AQ58" s="3865" t="s">
        <v>436</v>
      </c>
      <c r="AR58" s="3867"/>
      <c r="AS58" s="3865">
        <v>0</v>
      </c>
      <c r="AT58" s="3865">
        <v>1</v>
      </c>
      <c r="AU58" s="3865">
        <v>0</v>
      </c>
      <c r="AV58" s="3865">
        <v>6</v>
      </c>
      <c r="AW58" s="3866">
        <v>2</v>
      </c>
      <c r="AX58" s="301">
        <f t="shared" si="24"/>
        <v>9</v>
      </c>
    </row>
    <row r="59" spans="1:50" x14ac:dyDescent="0.3">
      <c r="B59" s="3867">
        <v>7</v>
      </c>
      <c r="C59" s="3865" t="s">
        <v>438</v>
      </c>
      <c r="D59" s="3867"/>
      <c r="E59" s="3865">
        <v>8</v>
      </c>
      <c r="F59" s="3865">
        <v>6</v>
      </c>
      <c r="G59" s="3865">
        <v>22</v>
      </c>
      <c r="H59" s="3865">
        <v>94</v>
      </c>
      <c r="I59" s="3865">
        <v>164</v>
      </c>
      <c r="J59" s="3954">
        <f t="shared" si="20"/>
        <v>294</v>
      </c>
      <c r="L59" s="3867">
        <v>7</v>
      </c>
      <c r="M59" s="3865" t="s">
        <v>438</v>
      </c>
      <c r="N59" s="3867"/>
      <c r="O59" s="3865">
        <v>59</v>
      </c>
      <c r="P59" s="3865">
        <v>17</v>
      </c>
      <c r="Q59" s="3865">
        <v>146</v>
      </c>
      <c r="R59" s="3865">
        <v>226</v>
      </c>
      <c r="S59" s="3865">
        <v>100</v>
      </c>
      <c r="T59" s="3954">
        <f t="shared" si="21"/>
        <v>548</v>
      </c>
      <c r="V59" s="3867">
        <v>7</v>
      </c>
      <c r="W59" s="3865" t="s">
        <v>438</v>
      </c>
      <c r="X59" s="3867"/>
      <c r="Y59" s="3865">
        <v>38</v>
      </c>
      <c r="Z59" s="3865">
        <v>28</v>
      </c>
      <c r="AA59" s="3865">
        <v>129</v>
      </c>
      <c r="AB59" s="3865">
        <v>268</v>
      </c>
      <c r="AC59" s="3866">
        <v>100</v>
      </c>
      <c r="AD59" s="301">
        <f t="shared" si="22"/>
        <v>563</v>
      </c>
      <c r="AF59" s="3867">
        <v>7</v>
      </c>
      <c r="AG59" s="3865" t="s">
        <v>438</v>
      </c>
      <c r="AH59" s="3867"/>
      <c r="AI59" s="3865">
        <v>32</v>
      </c>
      <c r="AJ59" s="3865">
        <v>17</v>
      </c>
      <c r="AK59" s="3865">
        <v>82</v>
      </c>
      <c r="AL59" s="3865">
        <v>199</v>
      </c>
      <c r="AM59" s="3866">
        <v>55</v>
      </c>
      <c r="AN59" s="301">
        <f t="shared" si="23"/>
        <v>385</v>
      </c>
      <c r="AP59" s="3867">
        <v>7</v>
      </c>
      <c r="AQ59" s="3865" t="s">
        <v>438</v>
      </c>
      <c r="AR59" s="3867"/>
      <c r="AS59" s="3865">
        <v>35</v>
      </c>
      <c r="AT59" s="3865">
        <v>18</v>
      </c>
      <c r="AU59" s="3865">
        <v>85</v>
      </c>
      <c r="AV59" s="3865">
        <v>205</v>
      </c>
      <c r="AW59" s="3866">
        <v>60</v>
      </c>
      <c r="AX59" s="301">
        <f t="shared" si="24"/>
        <v>403</v>
      </c>
    </row>
    <row r="60" spans="1:50" x14ac:dyDescent="0.3">
      <c r="B60" s="3867">
        <v>8</v>
      </c>
      <c r="C60" s="3865" t="s">
        <v>1283</v>
      </c>
      <c r="D60" s="3867"/>
      <c r="E60" s="3865">
        <v>0</v>
      </c>
      <c r="F60" s="3865">
        <v>0</v>
      </c>
      <c r="G60" s="3865">
        <v>0</v>
      </c>
      <c r="H60" s="3865">
        <v>0</v>
      </c>
      <c r="I60" s="3865">
        <v>1</v>
      </c>
      <c r="J60" s="3954">
        <f t="shared" si="20"/>
        <v>1</v>
      </c>
      <c r="L60" s="3867">
        <v>8</v>
      </c>
      <c r="M60" s="3865" t="s">
        <v>1283</v>
      </c>
      <c r="N60" s="3867"/>
      <c r="O60" s="3865" t="s">
        <v>1995</v>
      </c>
      <c r="P60" s="3865">
        <v>2</v>
      </c>
      <c r="Q60" s="3865" t="s">
        <v>1995</v>
      </c>
      <c r="R60" s="3865">
        <v>3</v>
      </c>
      <c r="S60" s="3865">
        <v>1</v>
      </c>
      <c r="T60" s="3954">
        <f t="shared" si="21"/>
        <v>6</v>
      </c>
      <c r="V60" s="3867">
        <v>8</v>
      </c>
      <c r="W60" s="3865" t="s">
        <v>1283</v>
      </c>
      <c r="X60" s="3867"/>
      <c r="Y60" s="3865" t="s">
        <v>1995</v>
      </c>
      <c r="Z60" s="3865">
        <v>1</v>
      </c>
      <c r="AA60" s="3865">
        <v>1</v>
      </c>
      <c r="AB60" s="3865">
        <v>11</v>
      </c>
      <c r="AC60" s="3866">
        <v>5</v>
      </c>
      <c r="AD60" s="301">
        <f t="shared" si="22"/>
        <v>18</v>
      </c>
      <c r="AF60" s="3867">
        <v>8</v>
      </c>
      <c r="AG60" s="3865" t="s">
        <v>1283</v>
      </c>
      <c r="AH60" s="3867"/>
      <c r="AI60" s="3865">
        <v>0</v>
      </c>
      <c r="AJ60" s="3865">
        <v>1</v>
      </c>
      <c r="AK60" s="3865">
        <v>2</v>
      </c>
      <c r="AL60" s="3865">
        <v>11</v>
      </c>
      <c r="AM60" s="3866">
        <v>5</v>
      </c>
      <c r="AN60" s="301">
        <f t="shared" si="23"/>
        <v>19</v>
      </c>
      <c r="AP60" s="3867">
        <v>8</v>
      </c>
      <c r="AQ60" s="3865" t="s">
        <v>1283</v>
      </c>
      <c r="AR60" s="3867"/>
      <c r="AS60" s="3865">
        <v>0</v>
      </c>
      <c r="AT60" s="3865">
        <v>1</v>
      </c>
      <c r="AU60" s="3865">
        <v>3</v>
      </c>
      <c r="AV60" s="3865">
        <v>12</v>
      </c>
      <c r="AW60" s="3866">
        <v>6</v>
      </c>
      <c r="AX60" s="301">
        <f t="shared" si="24"/>
        <v>22</v>
      </c>
    </row>
    <row r="61" spans="1:50" x14ac:dyDescent="0.3">
      <c r="B61" s="3867">
        <v>9</v>
      </c>
      <c r="C61" s="3865" t="s">
        <v>1284</v>
      </c>
      <c r="D61" s="3867"/>
      <c r="E61" s="3865">
        <v>0</v>
      </c>
      <c r="F61" s="3865">
        <v>0</v>
      </c>
      <c r="G61" s="3865">
        <v>0</v>
      </c>
      <c r="H61" s="3865">
        <v>0</v>
      </c>
      <c r="I61" s="3865">
        <v>0</v>
      </c>
      <c r="J61" s="3954">
        <f t="shared" si="20"/>
        <v>0</v>
      </c>
      <c r="L61" s="3867">
        <v>9</v>
      </c>
      <c r="M61" s="3865" t="s">
        <v>1284</v>
      </c>
      <c r="N61" s="3867"/>
      <c r="O61" s="3865">
        <v>0</v>
      </c>
      <c r="P61" s="3865">
        <v>0</v>
      </c>
      <c r="Q61" s="3865">
        <v>0</v>
      </c>
      <c r="R61" s="3865">
        <v>0</v>
      </c>
      <c r="S61" s="3865">
        <v>0</v>
      </c>
      <c r="T61" s="3954">
        <f t="shared" si="21"/>
        <v>0</v>
      </c>
      <c r="V61" s="3867">
        <v>9</v>
      </c>
      <c r="W61" s="3865" t="s">
        <v>1284</v>
      </c>
      <c r="X61" s="3867"/>
      <c r="Y61" s="3865">
        <v>0</v>
      </c>
      <c r="Z61" s="3865">
        <v>0</v>
      </c>
      <c r="AA61" s="3865">
        <v>0</v>
      </c>
      <c r="AB61" s="3865">
        <v>0</v>
      </c>
      <c r="AC61" s="3866">
        <v>0</v>
      </c>
      <c r="AD61" s="301">
        <f t="shared" si="22"/>
        <v>0</v>
      </c>
      <c r="AF61" s="3867">
        <v>9</v>
      </c>
      <c r="AG61" s="3865" t="s">
        <v>1284</v>
      </c>
      <c r="AH61" s="3867"/>
      <c r="AI61" s="3865">
        <v>1</v>
      </c>
      <c r="AJ61" s="3865">
        <v>0</v>
      </c>
      <c r="AK61" s="3865">
        <v>0</v>
      </c>
      <c r="AL61" s="3865">
        <v>0</v>
      </c>
      <c r="AM61" s="3866">
        <v>0</v>
      </c>
      <c r="AN61" s="301">
        <f t="shared" si="23"/>
        <v>1</v>
      </c>
      <c r="AP61" s="3867">
        <v>9</v>
      </c>
      <c r="AQ61" s="3865" t="s">
        <v>1284</v>
      </c>
      <c r="AR61" s="3867"/>
      <c r="AS61" s="3865">
        <v>1</v>
      </c>
      <c r="AT61" s="3865">
        <v>0</v>
      </c>
      <c r="AU61" s="3865">
        <v>0</v>
      </c>
      <c r="AV61" s="3865">
        <v>0</v>
      </c>
      <c r="AW61" s="3866">
        <v>0</v>
      </c>
      <c r="AX61" s="301">
        <f t="shared" si="24"/>
        <v>1</v>
      </c>
    </row>
    <row r="62" spans="1:50" x14ac:dyDescent="0.3">
      <c r="B62" s="3867">
        <v>10</v>
      </c>
      <c r="C62" s="3865" t="s">
        <v>457</v>
      </c>
      <c r="D62" s="3867"/>
      <c r="E62" s="3865">
        <v>0</v>
      </c>
      <c r="F62" s="3865">
        <v>1</v>
      </c>
      <c r="G62" s="3865">
        <v>0</v>
      </c>
      <c r="H62" s="3865">
        <v>3</v>
      </c>
      <c r="I62" s="3865">
        <v>6</v>
      </c>
      <c r="J62" s="3954">
        <f t="shared" si="20"/>
        <v>10</v>
      </c>
      <c r="L62" s="3867">
        <v>10</v>
      </c>
      <c r="M62" s="3865" t="s">
        <v>457</v>
      </c>
      <c r="N62" s="3867"/>
      <c r="O62" s="3865">
        <v>1</v>
      </c>
      <c r="P62" s="3865" t="s">
        <v>1995</v>
      </c>
      <c r="Q62" s="3865">
        <v>1</v>
      </c>
      <c r="R62" s="3865">
        <v>10</v>
      </c>
      <c r="S62" s="3865">
        <v>3</v>
      </c>
      <c r="T62" s="3954">
        <f t="shared" si="21"/>
        <v>15</v>
      </c>
      <c r="V62" s="3867">
        <v>10</v>
      </c>
      <c r="W62" s="3865" t="s">
        <v>457</v>
      </c>
      <c r="X62" s="3867"/>
      <c r="Y62" s="3865">
        <v>2</v>
      </c>
      <c r="Z62" s="3865">
        <v>1</v>
      </c>
      <c r="AA62" s="3865">
        <v>2</v>
      </c>
      <c r="AB62" s="3865">
        <v>4</v>
      </c>
      <c r="AC62" s="3866">
        <v>5</v>
      </c>
      <c r="AD62" s="301">
        <f t="shared" si="22"/>
        <v>14</v>
      </c>
      <c r="AF62" s="3867">
        <v>10</v>
      </c>
      <c r="AG62" s="3865" t="s">
        <v>457</v>
      </c>
      <c r="AH62" s="3867"/>
      <c r="AI62" s="3865">
        <v>0</v>
      </c>
      <c r="AJ62" s="3865">
        <v>0</v>
      </c>
      <c r="AK62" s="3865">
        <v>1</v>
      </c>
      <c r="AL62" s="3865">
        <v>1</v>
      </c>
      <c r="AM62" s="3866">
        <v>4</v>
      </c>
      <c r="AN62" s="301">
        <f t="shared" si="23"/>
        <v>6</v>
      </c>
      <c r="AP62" s="3867">
        <v>10</v>
      </c>
      <c r="AQ62" s="3865" t="s">
        <v>457</v>
      </c>
      <c r="AR62" s="3867"/>
      <c r="AS62" s="3865">
        <v>0</v>
      </c>
      <c r="AT62" s="3865">
        <v>0</v>
      </c>
      <c r="AU62" s="3865">
        <v>1</v>
      </c>
      <c r="AV62" s="3865">
        <v>2</v>
      </c>
      <c r="AW62" s="3866">
        <v>5</v>
      </c>
      <c r="AX62" s="301">
        <f t="shared" si="24"/>
        <v>8</v>
      </c>
    </row>
    <row r="63" spans="1:50" x14ac:dyDescent="0.3">
      <c r="B63" s="3867"/>
      <c r="C63" s="3865" t="s">
        <v>1281</v>
      </c>
      <c r="D63" s="3867"/>
      <c r="E63" s="3865"/>
      <c r="F63" s="3865"/>
      <c r="G63" s="3865"/>
      <c r="H63" s="3865"/>
      <c r="I63" s="3865"/>
      <c r="J63" s="3954">
        <f t="shared" si="20"/>
        <v>0</v>
      </c>
      <c r="L63" s="3867"/>
      <c r="M63" s="3865" t="s">
        <v>1281</v>
      </c>
      <c r="N63" s="3867"/>
      <c r="O63" s="3865"/>
      <c r="P63" s="3865"/>
      <c r="Q63" s="3865"/>
      <c r="R63" s="3865"/>
      <c r="S63" s="3865"/>
      <c r="T63" s="3954">
        <f t="shared" si="21"/>
        <v>0</v>
      </c>
      <c r="V63" s="3867"/>
      <c r="W63" s="3865" t="s">
        <v>1281</v>
      </c>
      <c r="X63" s="3867"/>
      <c r="Y63" s="3865"/>
      <c r="Z63" s="3865"/>
      <c r="AA63" s="3865"/>
      <c r="AB63" s="3865"/>
      <c r="AC63" s="3866"/>
      <c r="AD63" s="301">
        <f t="shared" si="22"/>
        <v>0</v>
      </c>
      <c r="AF63" s="3867"/>
      <c r="AG63" s="3865" t="s">
        <v>1281</v>
      </c>
      <c r="AH63" s="3867"/>
      <c r="AI63" s="3865">
        <v>0</v>
      </c>
      <c r="AJ63" s="3865">
        <v>0</v>
      </c>
      <c r="AK63" s="3865">
        <v>0</v>
      </c>
      <c r="AL63" s="3865">
        <v>0</v>
      </c>
      <c r="AM63" s="3866">
        <v>0</v>
      </c>
      <c r="AN63" s="301">
        <f t="shared" si="23"/>
        <v>0</v>
      </c>
      <c r="AP63" s="3867"/>
      <c r="AQ63" s="3865" t="s">
        <v>1281</v>
      </c>
      <c r="AR63" s="3867"/>
      <c r="AS63" s="3865">
        <v>0</v>
      </c>
      <c r="AT63" s="3865">
        <v>0</v>
      </c>
      <c r="AU63" s="3865">
        <v>0</v>
      </c>
      <c r="AV63" s="3865">
        <v>0</v>
      </c>
      <c r="AW63" s="3866">
        <v>0</v>
      </c>
      <c r="AX63" s="301">
        <f t="shared" si="24"/>
        <v>0</v>
      </c>
    </row>
    <row r="64" spans="1:50" x14ac:dyDescent="0.3">
      <c r="B64" s="4146"/>
      <c r="C64" s="4146"/>
      <c r="D64" s="3867"/>
      <c r="E64" s="3954">
        <f>SUM(E53:E63)</f>
        <v>154</v>
      </c>
      <c r="F64" s="3954">
        <f t="shared" ref="F64:I64" si="25">SUM(F53:F63)</f>
        <v>33</v>
      </c>
      <c r="G64" s="3954">
        <f t="shared" si="25"/>
        <v>85</v>
      </c>
      <c r="H64" s="3954">
        <f t="shared" si="25"/>
        <v>248</v>
      </c>
      <c r="I64" s="3954">
        <f t="shared" si="25"/>
        <v>534</v>
      </c>
      <c r="J64" s="3954">
        <f t="shared" si="20"/>
        <v>1054</v>
      </c>
      <c r="L64" s="4146" t="s">
        <v>0</v>
      </c>
      <c r="M64" s="4146"/>
      <c r="N64" s="3867"/>
      <c r="O64" s="3954">
        <f>SUM(O53:O63)</f>
        <v>216</v>
      </c>
      <c r="P64" s="3954">
        <f t="shared" ref="P64:S64" si="26">SUM(P53:P63)</f>
        <v>56</v>
      </c>
      <c r="Q64" s="3954">
        <f t="shared" si="26"/>
        <v>359</v>
      </c>
      <c r="R64" s="3954">
        <f t="shared" si="26"/>
        <v>377</v>
      </c>
      <c r="S64" s="3954">
        <f t="shared" si="26"/>
        <v>190</v>
      </c>
      <c r="T64" s="3954">
        <f t="shared" si="21"/>
        <v>1198</v>
      </c>
      <c r="V64" s="4146" t="s">
        <v>0</v>
      </c>
      <c r="W64" s="4146"/>
      <c r="X64" s="3867"/>
      <c r="Y64" s="3954">
        <f>SUM(Y53:Y63)</f>
        <v>253</v>
      </c>
      <c r="Z64" s="3954">
        <f t="shared" ref="Z64:AC64" si="27">SUM(Z53:Z63)</f>
        <v>68</v>
      </c>
      <c r="AA64" s="3954">
        <f t="shared" si="27"/>
        <v>316</v>
      </c>
      <c r="AB64" s="3954">
        <f t="shared" si="27"/>
        <v>492</v>
      </c>
      <c r="AC64" s="3954">
        <f t="shared" si="27"/>
        <v>181</v>
      </c>
      <c r="AD64" s="301">
        <f t="shared" si="22"/>
        <v>1310</v>
      </c>
      <c r="AF64" s="4146" t="s">
        <v>0</v>
      </c>
      <c r="AG64" s="4146"/>
      <c r="AH64" s="3867"/>
      <c r="AI64" s="3955">
        <f>SUM(AI53:AI63)</f>
        <v>168</v>
      </c>
      <c r="AJ64" s="3955">
        <f t="shared" ref="AJ64:AN64" si="28">SUM(AJ53:AJ63)</f>
        <v>43</v>
      </c>
      <c r="AK64" s="3955">
        <f t="shared" si="28"/>
        <v>186</v>
      </c>
      <c r="AL64" s="3955">
        <f t="shared" si="28"/>
        <v>410</v>
      </c>
      <c r="AM64" s="3955">
        <f t="shared" si="28"/>
        <v>123</v>
      </c>
      <c r="AN64" s="3955">
        <f t="shared" si="28"/>
        <v>930</v>
      </c>
      <c r="AP64" s="4158" t="s">
        <v>0</v>
      </c>
      <c r="AQ64" s="4158"/>
      <c r="AR64" s="3867"/>
      <c r="AS64" s="3955">
        <f>SUM(AS53:AS63)</f>
        <v>178</v>
      </c>
      <c r="AT64" s="3955">
        <f t="shared" ref="AT64:AW64" si="29">SUM(AT53:AT63)</f>
        <v>49</v>
      </c>
      <c r="AU64" s="3955">
        <f t="shared" si="29"/>
        <v>196</v>
      </c>
      <c r="AV64" s="3955">
        <f t="shared" si="29"/>
        <v>419</v>
      </c>
      <c r="AW64" s="3955">
        <f t="shared" si="29"/>
        <v>138</v>
      </c>
      <c r="AX64" s="301">
        <f t="shared" si="24"/>
        <v>980</v>
      </c>
    </row>
    <row r="65" spans="1:44" x14ac:dyDescent="0.3">
      <c r="B65" s="4" t="s">
        <v>432</v>
      </c>
      <c r="M65" s="4" t="s">
        <v>432</v>
      </c>
      <c r="W65" s="4" t="s">
        <v>432</v>
      </c>
      <c r="AG65" s="4" t="s">
        <v>432</v>
      </c>
      <c r="AQ65" s="6"/>
      <c r="AR65" s="6"/>
    </row>
    <row r="67" spans="1:44" s="6" customFormat="1" x14ac:dyDescent="0.3">
      <c r="A67" s="102">
        <v>4</v>
      </c>
      <c r="B67" s="3953" t="s">
        <v>6082</v>
      </c>
      <c r="C67" s="102"/>
      <c r="D67" s="102"/>
    </row>
    <row r="68" spans="1:44" s="6" customFormat="1" x14ac:dyDescent="0.3">
      <c r="F68" s="112"/>
    </row>
    <row r="69" spans="1:44" ht="16.5" customHeight="1" x14ac:dyDescent="0.3">
      <c r="B69" s="4147" t="s">
        <v>6083</v>
      </c>
      <c r="C69" s="4147"/>
      <c r="D69" s="4147"/>
      <c r="E69" s="4147"/>
      <c r="F69" s="4147"/>
      <c r="G69" s="4147"/>
      <c r="H69" s="4147"/>
      <c r="I69" s="4147"/>
      <c r="J69" s="4147"/>
    </row>
    <row r="70" spans="1:44" x14ac:dyDescent="0.3">
      <c r="B70" s="4148" t="s">
        <v>62</v>
      </c>
      <c r="C70" s="4136" t="s">
        <v>284</v>
      </c>
      <c r="D70" s="4137"/>
      <c r="E70" s="4137"/>
      <c r="F70" s="4137"/>
      <c r="G70" s="4137"/>
      <c r="H70" s="4137"/>
      <c r="I70" s="4137"/>
      <c r="J70" s="4137"/>
      <c r="M70" s="3956"/>
      <c r="N70" s="3956"/>
      <c r="O70" s="3956"/>
      <c r="P70" s="3956"/>
      <c r="Q70" s="3956"/>
      <c r="R70" s="3956"/>
    </row>
    <row r="71" spans="1:44" x14ac:dyDescent="0.3">
      <c r="B71" s="4148"/>
      <c r="C71" s="3950" t="s">
        <v>285</v>
      </c>
      <c r="D71" s="3950" t="s">
        <v>332</v>
      </c>
      <c r="E71" s="3950">
        <v>2014</v>
      </c>
      <c r="F71" s="3950">
        <f>E71+1</f>
        <v>2015</v>
      </c>
      <c r="G71" s="3950">
        <f t="shared" ref="G71:I71" si="30">F71+1</f>
        <v>2016</v>
      </c>
      <c r="H71" s="3950">
        <f t="shared" si="30"/>
        <v>2017</v>
      </c>
      <c r="I71" s="3950">
        <f t="shared" si="30"/>
        <v>2018</v>
      </c>
      <c r="J71" s="3950" t="s">
        <v>150</v>
      </c>
      <c r="M71" s="13"/>
      <c r="N71" s="13"/>
      <c r="O71" s="13"/>
      <c r="P71" s="13"/>
      <c r="Q71" s="13"/>
      <c r="R71" s="13"/>
    </row>
    <row r="72" spans="1:44" ht="33" x14ac:dyDescent="0.3">
      <c r="B72" s="3867">
        <v>1</v>
      </c>
      <c r="C72" s="3848" t="s">
        <v>5986</v>
      </c>
      <c r="D72" s="3867"/>
      <c r="E72" s="3849">
        <v>0</v>
      </c>
      <c r="F72" s="3849">
        <v>0</v>
      </c>
      <c r="G72" s="3849">
        <v>0</v>
      </c>
      <c r="H72" s="3849">
        <v>0</v>
      </c>
      <c r="I72" s="3849">
        <v>0</v>
      </c>
      <c r="J72" s="3853">
        <f>SUM(E72:I72)</f>
        <v>0</v>
      </c>
      <c r="M72" s="13"/>
      <c r="N72" s="13"/>
      <c r="O72" s="13"/>
      <c r="P72" s="13"/>
      <c r="Q72" s="13"/>
      <c r="R72" s="13"/>
      <c r="S72" s="13"/>
    </row>
    <row r="73" spans="1:44" x14ac:dyDescent="0.3">
      <c r="B73" s="3867">
        <v>2</v>
      </c>
      <c r="C73" s="3850" t="s">
        <v>5987</v>
      </c>
      <c r="D73" s="3867"/>
      <c r="E73" s="3849">
        <v>30</v>
      </c>
      <c r="F73" s="3849">
        <v>12</v>
      </c>
      <c r="G73" s="3849">
        <v>21</v>
      </c>
      <c r="H73" s="3849">
        <v>26</v>
      </c>
      <c r="I73" s="3849">
        <v>22.25</v>
      </c>
      <c r="J73" s="3853">
        <f>SUM(E73:I73)</f>
        <v>111.25</v>
      </c>
      <c r="M73" s="13"/>
      <c r="N73" s="3957"/>
      <c r="O73" s="3957"/>
      <c r="P73" s="3957"/>
      <c r="Q73" s="3957"/>
      <c r="R73" s="3957"/>
    </row>
    <row r="74" spans="1:44" x14ac:dyDescent="0.3">
      <c r="B74" s="3867">
        <v>3</v>
      </c>
      <c r="C74" s="3850" t="s">
        <v>5988</v>
      </c>
      <c r="D74" s="3867"/>
      <c r="E74" s="3849">
        <v>6</v>
      </c>
      <c r="F74" s="3849">
        <v>0</v>
      </c>
      <c r="G74" s="3849">
        <v>4</v>
      </c>
      <c r="H74" s="3849">
        <v>0</v>
      </c>
      <c r="I74" s="3849">
        <v>2.5</v>
      </c>
      <c r="J74" s="3853">
        <f>SUM(E74:I74)</f>
        <v>12.5</v>
      </c>
    </row>
    <row r="75" spans="1:44" x14ac:dyDescent="0.3">
      <c r="B75" s="3867">
        <v>4</v>
      </c>
      <c r="C75" s="3850" t="s">
        <v>5989</v>
      </c>
      <c r="D75" s="3867"/>
      <c r="E75" s="3849">
        <v>7</v>
      </c>
      <c r="F75" s="3849">
        <v>3</v>
      </c>
      <c r="G75" s="3849">
        <v>0</v>
      </c>
      <c r="H75" s="3849">
        <v>0</v>
      </c>
      <c r="I75" s="3849">
        <v>2.5</v>
      </c>
      <c r="J75" s="3853">
        <f>SUM(E75:I75)</f>
        <v>12.5</v>
      </c>
    </row>
    <row r="76" spans="1:44" ht="33" x14ac:dyDescent="0.3">
      <c r="B76" s="3867">
        <v>5</v>
      </c>
      <c r="C76" s="3850" t="s">
        <v>5990</v>
      </c>
      <c r="D76" s="3867"/>
      <c r="E76" s="3849">
        <v>0</v>
      </c>
      <c r="F76" s="3849">
        <v>1</v>
      </c>
      <c r="G76" s="3849">
        <v>0</v>
      </c>
      <c r="H76" s="3849">
        <v>0</v>
      </c>
      <c r="I76" s="3849">
        <v>0.25</v>
      </c>
      <c r="J76" s="3853">
        <f>SUM(E76:I76)</f>
        <v>1.25</v>
      </c>
    </row>
    <row r="77" spans="1:44" x14ac:dyDescent="0.3">
      <c r="B77" s="3863"/>
      <c r="C77" s="3923"/>
      <c r="D77" s="3933"/>
      <c r="E77" s="3851"/>
      <c r="F77" s="3851"/>
      <c r="G77" s="3851"/>
      <c r="H77" s="3851"/>
      <c r="I77" s="3851"/>
      <c r="J77" s="3958"/>
    </row>
    <row r="78" spans="1:44" x14ac:dyDescent="0.3">
      <c r="B78" s="3863"/>
      <c r="C78" s="3923"/>
      <c r="D78" s="3933"/>
      <c r="E78" s="3851"/>
      <c r="F78" s="3851"/>
      <c r="G78" s="3851"/>
      <c r="H78" s="3851"/>
      <c r="I78" s="3851"/>
      <c r="J78" s="3958"/>
      <c r="M78" s="3956"/>
      <c r="N78" s="3956"/>
      <c r="O78" s="3956"/>
      <c r="P78" s="3956"/>
      <c r="Q78" s="3956"/>
      <c r="R78" s="3956"/>
    </row>
    <row r="79" spans="1:44" x14ac:dyDescent="0.3">
      <c r="B79" s="3863"/>
      <c r="C79" s="3923"/>
      <c r="D79" s="3933"/>
      <c r="E79" s="3851"/>
      <c r="F79" s="3851"/>
      <c r="G79" s="3851"/>
      <c r="H79" s="3851"/>
      <c r="I79" s="3851"/>
      <c r="J79" s="3958"/>
      <c r="M79" s="13"/>
      <c r="N79" s="13"/>
      <c r="O79" s="13"/>
      <c r="P79" s="13"/>
      <c r="Q79" s="13"/>
      <c r="R79" s="13"/>
    </row>
    <row r="80" spans="1:44" x14ac:dyDescent="0.3">
      <c r="B80" s="3863"/>
      <c r="C80" s="113"/>
      <c r="D80" s="3933"/>
      <c r="E80" s="3851"/>
      <c r="F80" s="3851"/>
      <c r="G80" s="3851"/>
      <c r="H80" s="3851"/>
      <c r="I80" s="3851"/>
      <c r="J80" s="3958"/>
      <c r="M80" s="13"/>
      <c r="N80" s="13"/>
      <c r="O80" s="13"/>
      <c r="P80" s="13"/>
      <c r="Q80" s="13"/>
      <c r="R80" s="13"/>
    </row>
    <row r="81" spans="1:18" x14ac:dyDescent="0.3">
      <c r="B81" s="3863"/>
      <c r="C81" s="113"/>
      <c r="D81" s="3933"/>
      <c r="E81" s="3851"/>
      <c r="F81" s="3851"/>
      <c r="G81" s="3851"/>
      <c r="H81" s="3851"/>
      <c r="I81" s="3851"/>
      <c r="J81" s="3958"/>
      <c r="M81" s="13"/>
      <c r="N81" s="13"/>
      <c r="O81" s="13"/>
      <c r="P81" s="13"/>
      <c r="Q81" s="13"/>
      <c r="R81" s="13"/>
    </row>
    <row r="82" spans="1:18" x14ac:dyDescent="0.3">
      <c r="B82" s="4120" t="s">
        <v>0</v>
      </c>
      <c r="C82" s="4121"/>
      <c r="D82" s="3933"/>
      <c r="E82" s="3851">
        <f>+(E72+E73+E74+E75+E76+E77+E78+E79+E80+E81)</f>
        <v>43</v>
      </c>
      <c r="F82" s="3851">
        <f t="shared" ref="F82:I82" si="31">+(F72+F73+F74+F75+F76+F77+F78+F79+F80+F81)</f>
        <v>16</v>
      </c>
      <c r="G82" s="3851">
        <f t="shared" si="31"/>
        <v>25</v>
      </c>
      <c r="H82" s="3851">
        <f t="shared" si="31"/>
        <v>26</v>
      </c>
      <c r="I82" s="3851">
        <f t="shared" si="31"/>
        <v>27.5</v>
      </c>
      <c r="J82" s="3851">
        <f>+(J72+J73+J74+J75+J76+J77+J78+J79+J80+J81)</f>
        <v>137.5</v>
      </c>
      <c r="M82" s="13"/>
      <c r="N82" s="13"/>
      <c r="O82" s="13"/>
      <c r="P82" s="13"/>
      <c r="Q82" s="13"/>
      <c r="R82" s="13"/>
    </row>
    <row r="83" spans="1:18" x14ac:dyDescent="0.3">
      <c r="B83" s="337" t="s">
        <v>64</v>
      </c>
      <c r="C83" s="3924"/>
      <c r="D83" s="3924"/>
      <c r="E83" s="3924"/>
      <c r="F83" s="3924"/>
      <c r="G83" s="3924"/>
      <c r="H83" s="3924"/>
      <c r="I83" s="3924"/>
      <c r="J83" s="3924"/>
      <c r="N83" s="3957"/>
      <c r="O83" s="3957"/>
      <c r="P83" s="3957"/>
      <c r="Q83" s="3957"/>
      <c r="R83" s="3957"/>
    </row>
    <row r="84" spans="1:18" ht="16.5" customHeight="1" x14ac:dyDescent="0.3">
      <c r="B84" s="5"/>
      <c r="C84" s="3924"/>
      <c r="D84" s="3924"/>
      <c r="E84" s="3924"/>
      <c r="F84" s="3924"/>
      <c r="G84" s="3924"/>
      <c r="H84" s="3924"/>
      <c r="I84" s="3924"/>
      <c r="J84" s="3924"/>
      <c r="M84" s="3956"/>
      <c r="N84" s="3956"/>
      <c r="O84" s="3956"/>
      <c r="P84" s="3956"/>
      <c r="Q84" s="3956"/>
      <c r="R84" s="3956"/>
    </row>
    <row r="85" spans="1:18" s="6" customFormat="1" ht="16.5" customHeight="1" x14ac:dyDescent="0.3">
      <c r="A85" s="102">
        <v>5</v>
      </c>
      <c r="B85" s="4157" t="s">
        <v>6084</v>
      </c>
      <c r="C85" s="4157"/>
      <c r="D85" s="4157"/>
      <c r="E85" s="4157"/>
      <c r="F85" s="4157"/>
      <c r="G85" s="4157"/>
      <c r="H85" s="4157"/>
      <c r="I85" s="4157"/>
      <c r="J85" s="4157"/>
      <c r="N85" s="9"/>
    </row>
    <row r="86" spans="1:18" x14ac:dyDescent="0.3">
      <c r="B86" s="5"/>
      <c r="C86" s="3924"/>
      <c r="D86" s="3924"/>
      <c r="E86" s="3924"/>
      <c r="F86" s="3924"/>
      <c r="G86" s="3924"/>
      <c r="H86" s="3924"/>
      <c r="I86" s="3924"/>
      <c r="J86" s="3924"/>
    </row>
    <row r="87" spans="1:18" x14ac:dyDescent="0.3">
      <c r="B87" s="4138" t="s">
        <v>62</v>
      </c>
      <c r="C87" s="4136" t="s">
        <v>286</v>
      </c>
      <c r="D87" s="4137"/>
      <c r="E87" s="4137"/>
      <c r="F87" s="4137"/>
      <c r="G87" s="4137"/>
      <c r="H87" s="4137"/>
      <c r="I87" s="4137"/>
      <c r="J87" s="4137"/>
    </row>
    <row r="88" spans="1:18" x14ac:dyDescent="0.3">
      <c r="B88" s="4149"/>
      <c r="C88" s="3950" t="s">
        <v>285</v>
      </c>
      <c r="D88" s="3950" t="s">
        <v>332</v>
      </c>
      <c r="E88" s="3950">
        <v>2014</v>
      </c>
      <c r="F88" s="3950">
        <f>E88+1</f>
        <v>2015</v>
      </c>
      <c r="G88" s="3950">
        <f t="shared" ref="G88:I88" si="32">F88+1</f>
        <v>2016</v>
      </c>
      <c r="H88" s="3950">
        <f t="shared" si="32"/>
        <v>2017</v>
      </c>
      <c r="I88" s="3950">
        <f t="shared" si="32"/>
        <v>2018</v>
      </c>
      <c r="J88" s="3950" t="s">
        <v>150</v>
      </c>
    </row>
    <row r="89" spans="1:18" x14ac:dyDescent="0.3">
      <c r="B89" s="3867">
        <v>1</v>
      </c>
      <c r="C89" s="3852" t="s">
        <v>1288</v>
      </c>
      <c r="D89" s="3867"/>
      <c r="E89" s="3849">
        <v>1</v>
      </c>
      <c r="F89" s="3849">
        <v>0</v>
      </c>
      <c r="G89" s="3849">
        <v>1</v>
      </c>
      <c r="H89" s="3849">
        <v>1</v>
      </c>
      <c r="I89" s="3849">
        <v>0.75</v>
      </c>
      <c r="J89" s="3853">
        <f>SUM(E89:I89)</f>
        <v>3.75</v>
      </c>
    </row>
    <row r="90" spans="1:18" x14ac:dyDescent="0.3">
      <c r="B90" s="3867">
        <f>+B89+1</f>
        <v>2</v>
      </c>
      <c r="C90" s="3854" t="s">
        <v>1289</v>
      </c>
      <c r="D90" s="3867"/>
      <c r="E90" s="3849">
        <v>0</v>
      </c>
      <c r="F90" s="3849">
        <v>0</v>
      </c>
      <c r="G90" s="3849">
        <v>0</v>
      </c>
      <c r="H90" s="3849">
        <v>0</v>
      </c>
      <c r="I90" s="3849">
        <v>0</v>
      </c>
      <c r="J90" s="3853">
        <v>0</v>
      </c>
    </row>
    <row r="91" spans="1:18" x14ac:dyDescent="0.3">
      <c r="B91" s="3867">
        <f>+B90+1</f>
        <v>3</v>
      </c>
      <c r="C91" s="3854" t="s">
        <v>1290</v>
      </c>
      <c r="D91" s="3867"/>
      <c r="E91" s="3849">
        <v>0</v>
      </c>
      <c r="F91" s="3849">
        <v>0</v>
      </c>
      <c r="G91" s="3849">
        <v>0</v>
      </c>
      <c r="H91" s="3849">
        <v>0</v>
      </c>
      <c r="I91" s="3849">
        <v>0</v>
      </c>
      <c r="J91" s="3853">
        <v>0</v>
      </c>
    </row>
    <row r="92" spans="1:18" x14ac:dyDescent="0.3">
      <c r="B92" s="4144" t="s">
        <v>0</v>
      </c>
      <c r="C92" s="4145"/>
      <c r="D92" s="3933"/>
      <c r="E92" s="30">
        <f>SUM(E89:E91)</f>
        <v>1</v>
      </c>
      <c r="F92" s="30">
        <f t="shared" ref="F92:J92" si="33">SUM(F89:F91)</f>
        <v>0</v>
      </c>
      <c r="G92" s="30">
        <f t="shared" si="33"/>
        <v>1</v>
      </c>
      <c r="H92" s="30">
        <f t="shared" si="33"/>
        <v>1</v>
      </c>
      <c r="I92" s="30">
        <f t="shared" si="33"/>
        <v>0.75</v>
      </c>
      <c r="J92" s="30">
        <f t="shared" si="33"/>
        <v>3.75</v>
      </c>
    </row>
    <row r="93" spans="1:18" x14ac:dyDescent="0.3">
      <c r="B93" s="337" t="s">
        <v>64</v>
      </c>
      <c r="C93" s="3924"/>
      <c r="D93" s="3924"/>
      <c r="E93" s="3924"/>
      <c r="F93" s="3924"/>
      <c r="G93" s="3924"/>
      <c r="H93" s="3924"/>
      <c r="I93" s="3924"/>
      <c r="J93" s="3924"/>
    </row>
    <row r="94" spans="1:18" ht="16.5" customHeight="1" x14ac:dyDescent="0.3">
      <c r="B94" s="5"/>
      <c r="C94" s="3924"/>
      <c r="D94" s="3924"/>
      <c r="E94" s="3924"/>
      <c r="F94" s="3924"/>
      <c r="G94" s="3924"/>
      <c r="H94" s="3924"/>
      <c r="I94" s="3924"/>
      <c r="J94" s="3924"/>
    </row>
    <row r="95" spans="1:18" s="6" customFormat="1" ht="16.5" customHeight="1" x14ac:dyDescent="0.3">
      <c r="A95" s="102">
        <v>6</v>
      </c>
      <c r="B95" s="4157" t="s">
        <v>6085</v>
      </c>
      <c r="C95" s="4157"/>
      <c r="D95" s="4157"/>
      <c r="E95" s="4157"/>
      <c r="F95" s="4157"/>
      <c r="G95" s="4157"/>
      <c r="H95" s="4157"/>
      <c r="I95" s="4157"/>
      <c r="J95" s="4157"/>
    </row>
    <row r="96" spans="1:18" x14ac:dyDescent="0.3">
      <c r="B96" s="5"/>
      <c r="C96" s="3924"/>
      <c r="D96" s="3924"/>
      <c r="E96" s="3924"/>
      <c r="F96" s="3924"/>
      <c r="G96" s="3924"/>
      <c r="H96" s="3924"/>
      <c r="I96" s="3924"/>
      <c r="J96" s="3924"/>
    </row>
    <row r="97" spans="1:10" x14ac:dyDescent="0.3">
      <c r="B97" s="4138" t="s">
        <v>62</v>
      </c>
      <c r="C97" s="4136" t="s">
        <v>287</v>
      </c>
      <c r="D97" s="4137"/>
      <c r="E97" s="4137"/>
      <c r="F97" s="4137"/>
      <c r="G97" s="4137"/>
      <c r="H97" s="4137"/>
      <c r="I97" s="4137"/>
      <c r="J97" s="4137"/>
    </row>
    <row r="98" spans="1:10" x14ac:dyDescent="0.3">
      <c r="B98" s="4149"/>
      <c r="C98" s="3950" t="s">
        <v>285</v>
      </c>
      <c r="D98" s="3950" t="s">
        <v>332</v>
      </c>
      <c r="E98" s="3950">
        <v>2014</v>
      </c>
      <c r="F98" s="3950">
        <f>E98+1</f>
        <v>2015</v>
      </c>
      <c r="G98" s="3950">
        <f t="shared" ref="G98:I98" si="34">F98+1</f>
        <v>2016</v>
      </c>
      <c r="H98" s="3950">
        <f t="shared" si="34"/>
        <v>2017</v>
      </c>
      <c r="I98" s="3950">
        <f t="shared" si="34"/>
        <v>2018</v>
      </c>
      <c r="J98" s="3950" t="s">
        <v>150</v>
      </c>
    </row>
    <row r="99" spans="1:10" x14ac:dyDescent="0.3">
      <c r="B99" s="3933">
        <v>1</v>
      </c>
      <c r="C99" s="3854" t="s">
        <v>1288</v>
      </c>
      <c r="D99" s="3867"/>
      <c r="E99" s="3867">
        <v>2</v>
      </c>
      <c r="F99" s="3867">
        <v>1</v>
      </c>
      <c r="G99" s="3867">
        <v>0</v>
      </c>
      <c r="H99" s="3867">
        <v>1</v>
      </c>
      <c r="I99" s="3867">
        <v>1</v>
      </c>
      <c r="J99" s="3855">
        <f>SUM(E99:I99)</f>
        <v>5</v>
      </c>
    </row>
    <row r="100" spans="1:10" x14ac:dyDescent="0.3">
      <c r="B100" s="3933">
        <f>+B99+1</f>
        <v>2</v>
      </c>
      <c r="C100" s="3854" t="s">
        <v>5991</v>
      </c>
      <c r="D100" s="3867"/>
      <c r="E100" s="3849">
        <v>0</v>
      </c>
      <c r="F100" s="3849">
        <v>0</v>
      </c>
      <c r="G100" s="3849">
        <v>0</v>
      </c>
      <c r="H100" s="3849">
        <v>1</v>
      </c>
      <c r="I100" s="3849">
        <v>1</v>
      </c>
      <c r="J100" s="3855">
        <f>SUM(E100:I100)</f>
        <v>2</v>
      </c>
    </row>
    <row r="101" spans="1:10" x14ac:dyDescent="0.3">
      <c r="B101" s="4144" t="s">
        <v>0</v>
      </c>
      <c r="C101" s="4145"/>
      <c r="D101" s="3933"/>
      <c r="E101" s="3932">
        <f>SUM(E99:E100)</f>
        <v>2</v>
      </c>
      <c r="F101" s="3932">
        <f t="shared" ref="F101:J101" si="35">SUM(F99:F100)</f>
        <v>1</v>
      </c>
      <c r="G101" s="3932">
        <f t="shared" si="35"/>
        <v>0</v>
      </c>
      <c r="H101" s="3932">
        <f t="shared" si="35"/>
        <v>2</v>
      </c>
      <c r="I101" s="3932">
        <f t="shared" si="35"/>
        <v>2</v>
      </c>
      <c r="J101" s="3932">
        <f t="shared" si="35"/>
        <v>7</v>
      </c>
    </row>
    <row r="102" spans="1:10" x14ac:dyDescent="0.3">
      <c r="B102" s="337" t="s">
        <v>64</v>
      </c>
      <c r="C102" s="3924"/>
      <c r="D102" s="3924"/>
      <c r="E102" s="3924"/>
      <c r="F102" s="3924"/>
      <c r="G102" s="3924"/>
      <c r="H102" s="3924"/>
      <c r="I102" s="3924"/>
      <c r="J102" s="3924"/>
    </row>
    <row r="103" spans="1:10" ht="16.5" customHeight="1" x14ac:dyDescent="0.3">
      <c r="B103" s="5"/>
      <c r="C103" s="3924"/>
      <c r="D103" s="3924"/>
      <c r="E103" s="3924"/>
      <c r="F103" s="3924"/>
      <c r="G103" s="3924"/>
      <c r="H103" s="3924"/>
      <c r="I103" s="3924"/>
      <c r="J103" s="3924"/>
    </row>
    <row r="104" spans="1:10" s="6" customFormat="1" ht="16.5" customHeight="1" x14ac:dyDescent="0.3">
      <c r="A104" s="102">
        <v>7</v>
      </c>
      <c r="B104" s="4157" t="s">
        <v>6086</v>
      </c>
      <c r="C104" s="4157"/>
      <c r="D104" s="4157"/>
      <c r="E104" s="4157"/>
      <c r="F104" s="4157"/>
      <c r="G104" s="4157"/>
      <c r="H104" s="4157"/>
      <c r="I104" s="4157"/>
      <c r="J104" s="4157"/>
    </row>
    <row r="105" spans="1:10" x14ac:dyDescent="0.3">
      <c r="B105" s="5"/>
      <c r="C105" s="3924"/>
      <c r="D105" s="3924"/>
      <c r="E105" s="3924"/>
      <c r="F105" s="3924"/>
      <c r="G105" s="3924"/>
      <c r="H105" s="3924"/>
      <c r="I105" s="3924"/>
      <c r="J105" s="3924"/>
    </row>
    <row r="106" spans="1:10" x14ac:dyDescent="0.3">
      <c r="B106" s="4138" t="s">
        <v>62</v>
      </c>
      <c r="C106" s="4136" t="s">
        <v>288</v>
      </c>
      <c r="D106" s="4137"/>
      <c r="E106" s="4137"/>
      <c r="F106" s="4137"/>
      <c r="G106" s="4137"/>
      <c r="H106" s="4137"/>
      <c r="I106" s="4137"/>
      <c r="J106" s="4137"/>
    </row>
    <row r="107" spans="1:10" x14ac:dyDescent="0.3">
      <c r="B107" s="4139"/>
      <c r="C107" s="3950" t="s">
        <v>285</v>
      </c>
      <c r="D107" s="3950" t="s">
        <v>332</v>
      </c>
      <c r="E107" s="3950">
        <v>2014</v>
      </c>
      <c r="F107" s="3950">
        <f>E107+1</f>
        <v>2015</v>
      </c>
      <c r="G107" s="3950">
        <f t="shared" ref="G107:I107" si="36">F107+1</f>
        <v>2016</v>
      </c>
      <c r="H107" s="3950">
        <f t="shared" si="36"/>
        <v>2017</v>
      </c>
      <c r="I107" s="3950">
        <f t="shared" si="36"/>
        <v>2018</v>
      </c>
      <c r="J107" s="3950" t="s">
        <v>150</v>
      </c>
    </row>
    <row r="108" spans="1:10" x14ac:dyDescent="0.3">
      <c r="B108" s="3856">
        <v>1</v>
      </c>
      <c r="C108" s="3857" t="s">
        <v>1291</v>
      </c>
      <c r="D108" s="3867"/>
      <c r="E108" s="3849">
        <v>0</v>
      </c>
      <c r="F108" s="3849">
        <v>0</v>
      </c>
      <c r="G108" s="3849">
        <v>0</v>
      </c>
      <c r="H108" s="3849">
        <v>0</v>
      </c>
      <c r="I108" s="3849">
        <v>0</v>
      </c>
      <c r="J108" s="3959">
        <f>SUM(E108:I108)</f>
        <v>0</v>
      </c>
    </row>
    <row r="109" spans="1:10" x14ac:dyDescent="0.3">
      <c r="B109" s="3863">
        <f t="shared" ref="B109" si="37">+B108+1</f>
        <v>2</v>
      </c>
      <c r="C109" s="3854" t="s">
        <v>187</v>
      </c>
      <c r="D109" s="3867"/>
      <c r="E109" s="3867">
        <v>0</v>
      </c>
      <c r="F109" s="3867">
        <v>0</v>
      </c>
      <c r="G109" s="3867">
        <v>0</v>
      </c>
      <c r="H109" s="3867">
        <v>0</v>
      </c>
      <c r="I109" s="3867">
        <v>0</v>
      </c>
      <c r="J109" s="3959">
        <f>SUM(E109:I109)</f>
        <v>0</v>
      </c>
    </row>
    <row r="110" spans="1:10" x14ac:dyDescent="0.3">
      <c r="B110" s="3863"/>
      <c r="C110" s="3923"/>
      <c r="D110" s="3933"/>
      <c r="E110" s="3933"/>
      <c r="F110" s="3933"/>
      <c r="G110" s="3933"/>
      <c r="H110" s="3933"/>
      <c r="I110" s="3933"/>
      <c r="J110" s="3958"/>
    </row>
    <row r="111" spans="1:10" x14ac:dyDescent="0.3">
      <c r="B111" s="4120" t="s">
        <v>0</v>
      </c>
      <c r="C111" s="4121"/>
      <c r="D111" s="3932"/>
      <c r="E111" s="30">
        <f>SUM(E108:E110)</f>
        <v>0</v>
      </c>
      <c r="F111" s="30">
        <f t="shared" ref="F111:J111" si="38">SUM(F108:F110)</f>
        <v>0</v>
      </c>
      <c r="G111" s="30">
        <f t="shared" si="38"/>
        <v>0</v>
      </c>
      <c r="H111" s="30">
        <f t="shared" si="38"/>
        <v>0</v>
      </c>
      <c r="I111" s="30">
        <f t="shared" si="38"/>
        <v>0</v>
      </c>
      <c r="J111" s="30">
        <f t="shared" si="38"/>
        <v>0</v>
      </c>
    </row>
    <row r="112" spans="1:10" x14ac:dyDescent="0.3">
      <c r="B112" s="337" t="s">
        <v>64</v>
      </c>
      <c r="C112" s="3924"/>
      <c r="D112" s="3924"/>
      <c r="E112" s="3924"/>
      <c r="F112" s="3924"/>
      <c r="G112" s="3924"/>
      <c r="H112" s="3924"/>
      <c r="I112" s="3924"/>
      <c r="J112" s="3924"/>
    </row>
    <row r="113" spans="1:29" x14ac:dyDescent="0.3">
      <c r="B113" s="337"/>
      <c r="C113" s="3924"/>
      <c r="D113" s="3924"/>
      <c r="E113" s="3924"/>
      <c r="F113" s="3924"/>
      <c r="G113" s="3924"/>
      <c r="H113" s="3924"/>
      <c r="I113" s="3924"/>
      <c r="J113" s="3924"/>
    </row>
    <row r="114" spans="1:29" s="6" customFormat="1" x14ac:dyDescent="0.3">
      <c r="A114" s="102">
        <v>8</v>
      </c>
      <c r="B114" s="103" t="s">
        <v>6087</v>
      </c>
      <c r="C114" s="104"/>
      <c r="D114" s="104"/>
      <c r="E114" s="51"/>
      <c r="F114" s="51"/>
      <c r="G114" s="51"/>
      <c r="H114" s="51"/>
      <c r="I114" s="51"/>
      <c r="J114" s="51"/>
    </row>
    <row r="115" spans="1:29" ht="17.25" thickBot="1" x14ac:dyDescent="0.35">
      <c r="B115" s="52"/>
      <c r="C115" s="52"/>
      <c r="D115" s="52"/>
      <c r="E115" s="52"/>
      <c r="F115" s="52"/>
      <c r="G115" s="52"/>
      <c r="H115" s="52"/>
      <c r="I115" s="3924"/>
      <c r="J115" s="3924"/>
    </row>
    <row r="116" spans="1:29" x14ac:dyDescent="0.3">
      <c r="B116" s="3950" t="s">
        <v>62</v>
      </c>
      <c r="C116" s="3950" t="s">
        <v>581</v>
      </c>
      <c r="D116" s="3950">
        <v>2014</v>
      </c>
      <c r="E116" s="3950">
        <f>D116+1</f>
        <v>2015</v>
      </c>
      <c r="F116" s="3950">
        <f t="shared" ref="F116:H116" si="39">E116+1</f>
        <v>2016</v>
      </c>
      <c r="G116" s="3950">
        <f t="shared" si="39"/>
        <v>2017</v>
      </c>
      <c r="H116" s="3950">
        <f t="shared" si="39"/>
        <v>2018</v>
      </c>
      <c r="I116" s="3924"/>
      <c r="J116" s="3950" t="s">
        <v>297</v>
      </c>
      <c r="K116" s="3950">
        <v>2014</v>
      </c>
      <c r="L116" s="3950">
        <f>K116+1</f>
        <v>2015</v>
      </c>
      <c r="M116" s="3950">
        <f t="shared" ref="M116:O116" si="40">L116+1</f>
        <v>2016</v>
      </c>
      <c r="N116" s="3950">
        <f t="shared" si="40"/>
        <v>2017</v>
      </c>
      <c r="O116" s="3950">
        <f t="shared" si="40"/>
        <v>2018</v>
      </c>
      <c r="Q116" s="3950" t="s">
        <v>297</v>
      </c>
      <c r="R116" s="3950">
        <v>2014</v>
      </c>
      <c r="S116" s="3950">
        <f>R116+1</f>
        <v>2015</v>
      </c>
      <c r="T116" s="3950">
        <f t="shared" ref="T116:V116" si="41">S116+1</f>
        <v>2016</v>
      </c>
      <c r="U116" s="3950">
        <f t="shared" si="41"/>
        <v>2017</v>
      </c>
      <c r="V116" s="3950">
        <f t="shared" si="41"/>
        <v>2018</v>
      </c>
      <c r="X116" s="3950" t="s">
        <v>297</v>
      </c>
      <c r="Y116" s="3950">
        <v>2014</v>
      </c>
      <c r="Z116" s="3950">
        <f>Y116+1</f>
        <v>2015</v>
      </c>
      <c r="AA116" s="3950">
        <f t="shared" ref="AA116:AC116" si="42">Z116+1</f>
        <v>2016</v>
      </c>
      <c r="AB116" s="3950">
        <f t="shared" si="42"/>
        <v>2017</v>
      </c>
      <c r="AC116" s="3950">
        <f t="shared" si="42"/>
        <v>2018</v>
      </c>
    </row>
    <row r="117" spans="1:29" ht="33" x14ac:dyDescent="0.3">
      <c r="B117" s="3960">
        <v>1</v>
      </c>
      <c r="C117" s="3961" t="s">
        <v>582</v>
      </c>
      <c r="D117" s="3962">
        <v>0</v>
      </c>
      <c r="E117" s="3962">
        <v>0</v>
      </c>
      <c r="F117" s="3962">
        <v>0</v>
      </c>
      <c r="G117" s="3962">
        <v>0</v>
      </c>
      <c r="H117" s="3962">
        <f>+O119</f>
        <v>0</v>
      </c>
      <c r="I117" s="3924"/>
      <c r="J117" s="115" t="s">
        <v>590</v>
      </c>
      <c r="K117" s="3963">
        <f>+E111</f>
        <v>0</v>
      </c>
      <c r="L117" s="3963">
        <f>+F111</f>
        <v>0</v>
      </c>
      <c r="M117" s="3963">
        <f>+G111</f>
        <v>0</v>
      </c>
      <c r="N117" s="3963">
        <f>+H111</f>
        <v>0</v>
      </c>
      <c r="O117" s="3963">
        <f>+I111</f>
        <v>0</v>
      </c>
      <c r="Q117" s="3964" t="s">
        <v>588</v>
      </c>
      <c r="R117" s="3963">
        <f>+E92</f>
        <v>1</v>
      </c>
      <c r="S117" s="3963">
        <f t="shared" ref="S117:V117" si="43">+F92</f>
        <v>0</v>
      </c>
      <c r="T117" s="3963">
        <f t="shared" si="43"/>
        <v>1</v>
      </c>
      <c r="U117" s="3963">
        <f t="shared" si="43"/>
        <v>1</v>
      </c>
      <c r="V117" s="3963">
        <f t="shared" si="43"/>
        <v>0.75</v>
      </c>
      <c r="X117" s="31" t="s">
        <v>589</v>
      </c>
      <c r="Y117" s="3963">
        <f>+E101</f>
        <v>2</v>
      </c>
      <c r="Z117" s="3963">
        <f t="shared" ref="Z117:AC117" si="44">+F101</f>
        <v>1</v>
      </c>
      <c r="AA117" s="3963">
        <f t="shared" si="44"/>
        <v>0</v>
      </c>
      <c r="AB117" s="3963">
        <f t="shared" si="44"/>
        <v>2</v>
      </c>
      <c r="AC117" s="3963">
        <f t="shared" si="44"/>
        <v>2</v>
      </c>
    </row>
    <row r="118" spans="1:29" ht="31.5" customHeight="1" x14ac:dyDescent="0.3">
      <c r="B118" s="3960">
        <v>2</v>
      </c>
      <c r="C118" s="3961" t="s">
        <v>584</v>
      </c>
      <c r="D118" s="3962">
        <v>16</v>
      </c>
      <c r="E118" s="3962">
        <v>0</v>
      </c>
      <c r="F118" s="3962">
        <v>20</v>
      </c>
      <c r="G118" s="3962">
        <v>19</v>
      </c>
      <c r="H118" s="3962">
        <v>14</v>
      </c>
      <c r="I118" s="3924"/>
      <c r="J118" s="115" t="s">
        <v>592</v>
      </c>
      <c r="K118" s="3863">
        <v>62</v>
      </c>
      <c r="L118" s="3863">
        <v>53</v>
      </c>
      <c r="M118" s="3863">
        <v>49</v>
      </c>
      <c r="N118" s="3863">
        <v>52</v>
      </c>
      <c r="O118" s="3863">
        <v>55</v>
      </c>
      <c r="Q118" s="3964" t="s">
        <v>591</v>
      </c>
      <c r="R118" s="3863">
        <v>62</v>
      </c>
      <c r="S118" s="3863">
        <v>53</v>
      </c>
      <c r="T118" s="3863">
        <v>49</v>
      </c>
      <c r="U118" s="3863">
        <v>52</v>
      </c>
      <c r="V118" s="3863">
        <v>55</v>
      </c>
      <c r="X118" s="31" t="s">
        <v>593</v>
      </c>
      <c r="Y118" s="3863">
        <v>62</v>
      </c>
      <c r="Z118" s="3863">
        <v>53</v>
      </c>
      <c r="AA118" s="3863">
        <v>49</v>
      </c>
      <c r="AB118" s="3863">
        <v>52</v>
      </c>
      <c r="AC118" s="3863">
        <v>55</v>
      </c>
    </row>
    <row r="119" spans="1:29" ht="27.75" customHeight="1" x14ac:dyDescent="0.3">
      <c r="B119" s="3960">
        <v>3</v>
      </c>
      <c r="C119" s="3961" t="s">
        <v>583</v>
      </c>
      <c r="D119" s="3962">
        <v>32</v>
      </c>
      <c r="E119" s="3962">
        <v>19</v>
      </c>
      <c r="F119" s="3962">
        <v>0</v>
      </c>
      <c r="G119" s="3962">
        <v>38</v>
      </c>
      <c r="H119" s="3962">
        <v>36</v>
      </c>
      <c r="I119" s="3924"/>
      <c r="J119" s="31" t="s">
        <v>585</v>
      </c>
      <c r="K119" s="3965">
        <f>(K117/K118)*100000</f>
        <v>0</v>
      </c>
      <c r="L119" s="3965">
        <f t="shared" ref="L119:O119" si="45">(L117/L118)*100000</f>
        <v>0</v>
      </c>
      <c r="M119" s="3965">
        <f t="shared" si="45"/>
        <v>0</v>
      </c>
      <c r="N119" s="3965">
        <f t="shared" si="45"/>
        <v>0</v>
      </c>
      <c r="O119" s="3965">
        <f t="shared" si="45"/>
        <v>0</v>
      </c>
      <c r="Q119" s="3966" t="s">
        <v>586</v>
      </c>
      <c r="R119" s="3967">
        <f>(R117/R118)*1000</f>
        <v>16.129032258064516</v>
      </c>
      <c r="S119" s="3967">
        <f t="shared" ref="S119:V119" si="46">(S117/S118)*1000</f>
        <v>0</v>
      </c>
      <c r="T119" s="3967">
        <f t="shared" si="46"/>
        <v>20.408163265306122</v>
      </c>
      <c r="U119" s="3967">
        <f t="shared" si="46"/>
        <v>19.230769230769234</v>
      </c>
      <c r="V119" s="3967">
        <f t="shared" si="46"/>
        <v>13.636363636363635</v>
      </c>
      <c r="X119" s="31" t="s">
        <v>587</v>
      </c>
      <c r="Y119" s="3967">
        <f>(Y117/Y118)*1000</f>
        <v>32.258064516129032</v>
      </c>
      <c r="Z119" s="3967">
        <f t="shared" ref="Z119:AC119" si="47">(Z117/Z118)*1000</f>
        <v>18.867924528301884</v>
      </c>
      <c r="AA119" s="3967">
        <f t="shared" si="47"/>
        <v>0</v>
      </c>
      <c r="AB119" s="3967">
        <f t="shared" si="47"/>
        <v>38.461538461538467</v>
      </c>
      <c r="AC119" s="3967">
        <f t="shared" si="47"/>
        <v>36.36363636363636</v>
      </c>
    </row>
    <row r="120" spans="1:29" ht="17.25" customHeight="1" x14ac:dyDescent="0.3">
      <c r="C120" s="6"/>
      <c r="D120" s="6"/>
      <c r="I120" s="3924"/>
    </row>
    <row r="121" spans="1:29" s="22" customFormat="1" x14ac:dyDescent="0.3">
      <c r="A121" s="105">
        <v>9</v>
      </c>
      <c r="B121" s="3968" t="s">
        <v>6088</v>
      </c>
      <c r="C121" s="105"/>
      <c r="D121" s="105"/>
      <c r="E121" s="105"/>
      <c r="F121" s="105"/>
      <c r="I121" s="53"/>
    </row>
    <row r="122" spans="1:29" s="22" customFormat="1" x14ac:dyDescent="0.3">
      <c r="I122" s="53"/>
    </row>
    <row r="123" spans="1:29" s="22" customFormat="1" x14ac:dyDescent="0.3">
      <c r="B123" s="3931" t="s">
        <v>62</v>
      </c>
      <c r="C123" s="3931" t="s">
        <v>298</v>
      </c>
      <c r="D123" s="3950">
        <v>2014</v>
      </c>
      <c r="E123" s="3950">
        <f>D123+1</f>
        <v>2015</v>
      </c>
      <c r="F123" s="3950">
        <f t="shared" ref="F123:H123" si="48">E123+1</f>
        <v>2016</v>
      </c>
      <c r="G123" s="3950">
        <f t="shared" si="48"/>
        <v>2017</v>
      </c>
      <c r="H123" s="3950">
        <f t="shared" si="48"/>
        <v>2018</v>
      </c>
      <c r="I123" s="53"/>
    </row>
    <row r="124" spans="1:29" s="22" customFormat="1" x14ac:dyDescent="0.3">
      <c r="B124" s="3863"/>
      <c r="C124" s="3858" t="s">
        <v>303</v>
      </c>
      <c r="D124" s="3864">
        <v>1763</v>
      </c>
      <c r="E124" s="3864">
        <v>1720</v>
      </c>
      <c r="F124" s="3864">
        <v>1773</v>
      </c>
      <c r="G124" s="3864">
        <v>1610</v>
      </c>
      <c r="H124" s="3864">
        <v>1595</v>
      </c>
      <c r="I124" s="53"/>
    </row>
    <row r="125" spans="1:29" s="22" customFormat="1" x14ac:dyDescent="0.3">
      <c r="B125" s="5"/>
      <c r="C125" s="106"/>
      <c r="D125" s="107"/>
      <c r="E125" s="107"/>
      <c r="F125" s="107"/>
      <c r="G125" s="107"/>
      <c r="H125" s="107"/>
      <c r="I125" s="53"/>
    </row>
    <row r="126" spans="1:29" s="22" customFormat="1" x14ac:dyDescent="0.3">
      <c r="B126" s="5"/>
      <c r="C126" s="106"/>
      <c r="D126" s="107"/>
      <c r="E126" s="107"/>
      <c r="F126" s="107"/>
      <c r="G126" s="107"/>
      <c r="H126" s="107"/>
      <c r="I126" s="53"/>
    </row>
    <row r="127" spans="1:29" s="22" customFormat="1" x14ac:dyDescent="0.3">
      <c r="A127" s="105">
        <v>10</v>
      </c>
      <c r="B127" s="105" t="s">
        <v>6089</v>
      </c>
      <c r="C127" s="105"/>
      <c r="D127" s="105"/>
      <c r="E127" s="105"/>
      <c r="F127" s="105"/>
      <c r="I127" s="53"/>
    </row>
    <row r="128" spans="1:29" s="22" customFormat="1" x14ac:dyDescent="0.3">
      <c r="B128" s="3931" t="s">
        <v>62</v>
      </c>
      <c r="C128" s="3931" t="s">
        <v>298</v>
      </c>
      <c r="D128" s="3950">
        <v>2014</v>
      </c>
      <c r="E128" s="3950">
        <f>D128+1</f>
        <v>2015</v>
      </c>
      <c r="F128" s="3950">
        <f t="shared" ref="F128:H128" si="49">E128+1</f>
        <v>2016</v>
      </c>
      <c r="G128" s="3950">
        <f t="shared" si="49"/>
        <v>2017</v>
      </c>
      <c r="H128" s="3950">
        <f t="shared" si="49"/>
        <v>2018</v>
      </c>
      <c r="I128" s="53"/>
      <c r="J128" s="5"/>
      <c r="K128" s="5"/>
      <c r="L128" s="5"/>
      <c r="M128" s="5"/>
      <c r="N128" s="5"/>
      <c r="O128" s="5"/>
      <c r="P128" s="5"/>
      <c r="Q128" s="5"/>
      <c r="R128" s="5"/>
      <c r="S128" s="5"/>
      <c r="T128" s="5"/>
      <c r="U128" s="5"/>
      <c r="V128" s="5"/>
      <c r="W128" s="5"/>
      <c r="X128" s="5"/>
    </row>
    <row r="129" spans="1:24" s="22" customFormat="1" x14ac:dyDescent="0.3">
      <c r="B129" s="3863"/>
      <c r="C129" s="3858" t="s">
        <v>304</v>
      </c>
      <c r="D129" s="23">
        <v>17</v>
      </c>
      <c r="E129" s="23">
        <v>44</v>
      </c>
      <c r="F129" s="23">
        <v>10</v>
      </c>
      <c r="G129" s="23">
        <v>31</v>
      </c>
      <c r="H129" s="23">
        <v>38</v>
      </c>
      <c r="I129" s="53"/>
      <c r="J129" s="5"/>
      <c r="K129" s="5"/>
      <c r="L129" s="5"/>
      <c r="M129" s="5"/>
      <c r="N129" s="5"/>
      <c r="O129" s="5"/>
      <c r="P129" s="5"/>
      <c r="Q129" s="5"/>
      <c r="R129" s="5"/>
      <c r="S129" s="5"/>
      <c r="T129" s="5"/>
      <c r="U129" s="5"/>
      <c r="V129" s="5"/>
      <c r="W129" s="5"/>
      <c r="X129" s="5"/>
    </row>
    <row r="130" spans="1:24" x14ac:dyDescent="0.3">
      <c r="A130" s="22"/>
      <c r="B130" s="3863"/>
      <c r="C130" s="3858" t="s">
        <v>305</v>
      </c>
      <c r="D130" s="23">
        <v>0</v>
      </c>
      <c r="E130" s="23">
        <v>4</v>
      </c>
      <c r="F130" s="23">
        <v>2</v>
      </c>
      <c r="G130" s="23">
        <v>5</v>
      </c>
      <c r="H130" s="23">
        <v>5</v>
      </c>
      <c r="I130" s="53"/>
      <c r="J130" s="5"/>
      <c r="K130" s="5"/>
      <c r="L130" s="5"/>
      <c r="M130" s="5"/>
      <c r="N130" s="5"/>
      <c r="O130" s="5"/>
      <c r="P130" s="5"/>
      <c r="Q130" s="5"/>
      <c r="R130" s="5"/>
      <c r="S130" s="5"/>
      <c r="T130" s="5"/>
      <c r="U130" s="5"/>
      <c r="V130" s="5"/>
      <c r="W130" s="5"/>
      <c r="X130" s="5"/>
    </row>
    <row r="131" spans="1:24" x14ac:dyDescent="0.3">
      <c r="A131" s="22"/>
      <c r="B131" s="22"/>
      <c r="C131" s="22"/>
      <c r="D131" s="22"/>
      <c r="E131" s="22"/>
      <c r="F131" s="22"/>
      <c r="G131" s="22"/>
      <c r="H131" s="22"/>
      <c r="I131" s="53"/>
      <c r="J131" s="5"/>
      <c r="K131" s="5"/>
      <c r="L131" s="5"/>
      <c r="M131" s="5"/>
      <c r="N131" s="5"/>
      <c r="O131" s="5"/>
      <c r="P131" s="5"/>
      <c r="Q131" s="5"/>
      <c r="R131" s="5"/>
      <c r="S131" s="5"/>
      <c r="T131" s="5"/>
      <c r="U131" s="5"/>
      <c r="V131" s="5"/>
      <c r="W131" s="5"/>
      <c r="X131" s="5"/>
    </row>
    <row r="132" spans="1:24" x14ac:dyDescent="0.3">
      <c r="A132" s="22"/>
      <c r="B132" s="22"/>
      <c r="C132" s="22"/>
      <c r="D132" s="22"/>
      <c r="E132" s="22"/>
      <c r="F132" s="22"/>
      <c r="G132" s="22"/>
      <c r="H132" s="22"/>
      <c r="I132" s="53"/>
      <c r="J132" s="5"/>
      <c r="K132" s="5"/>
      <c r="L132" s="5"/>
      <c r="M132" s="5"/>
      <c r="N132" s="5"/>
      <c r="O132" s="5"/>
      <c r="P132" s="5"/>
      <c r="Q132" s="5"/>
      <c r="R132" s="5"/>
      <c r="S132" s="5"/>
      <c r="T132" s="5"/>
      <c r="U132" s="5"/>
      <c r="V132" s="5"/>
      <c r="W132" s="5"/>
      <c r="X132" s="5"/>
    </row>
    <row r="133" spans="1:24" x14ac:dyDescent="0.3">
      <c r="A133" s="105">
        <v>11</v>
      </c>
      <c r="B133" s="105" t="s">
        <v>6090</v>
      </c>
      <c r="C133" s="105"/>
      <c r="D133" s="105"/>
      <c r="E133" s="105"/>
      <c r="F133" s="105"/>
      <c r="G133" s="22"/>
      <c r="H133" s="22"/>
      <c r="I133" s="53"/>
      <c r="J133" s="5"/>
      <c r="K133" s="5"/>
      <c r="L133" s="5"/>
      <c r="M133" s="5"/>
      <c r="N133" s="5"/>
      <c r="O133" s="5"/>
      <c r="P133" s="5"/>
      <c r="Q133" s="5"/>
      <c r="R133" s="5"/>
      <c r="S133" s="5"/>
      <c r="T133" s="5"/>
      <c r="U133" s="5"/>
      <c r="V133" s="5"/>
      <c r="W133" s="5"/>
      <c r="X133" s="5"/>
    </row>
    <row r="134" spans="1:24" x14ac:dyDescent="0.3">
      <c r="A134" s="22"/>
      <c r="B134" s="3931" t="s">
        <v>62</v>
      </c>
      <c r="C134" s="3931" t="s">
        <v>298</v>
      </c>
      <c r="D134" s="3950">
        <v>2014</v>
      </c>
      <c r="E134" s="3950">
        <f>D134+1</f>
        <v>2015</v>
      </c>
      <c r="F134" s="3950">
        <f t="shared" ref="F134:H134" si="50">E134+1</f>
        <v>2016</v>
      </c>
      <c r="G134" s="3950">
        <f t="shared" si="50"/>
        <v>2017</v>
      </c>
      <c r="H134" s="3950">
        <f t="shared" si="50"/>
        <v>2018</v>
      </c>
      <c r="I134" s="53"/>
      <c r="J134" s="5"/>
      <c r="K134" s="5"/>
      <c r="L134" s="5"/>
      <c r="M134" s="5"/>
      <c r="N134" s="5"/>
      <c r="O134" s="5"/>
      <c r="P134" s="5"/>
      <c r="Q134" s="5"/>
      <c r="R134" s="5"/>
      <c r="S134" s="5"/>
      <c r="T134" s="5"/>
      <c r="U134" s="5"/>
      <c r="V134" s="5"/>
      <c r="W134" s="5"/>
      <c r="X134" s="5"/>
    </row>
    <row r="135" spans="1:24" x14ac:dyDescent="0.3">
      <c r="A135" s="22"/>
      <c r="B135" s="3863"/>
      <c r="C135" s="3862" t="s">
        <v>306</v>
      </c>
      <c r="D135" s="3864">
        <v>1667</v>
      </c>
      <c r="E135" s="3864">
        <v>1697</v>
      </c>
      <c r="F135" s="3864">
        <v>1914</v>
      </c>
      <c r="G135" s="3864">
        <v>1779</v>
      </c>
      <c r="H135" s="3864">
        <v>1764.25</v>
      </c>
      <c r="I135" s="53"/>
      <c r="J135" s="5"/>
      <c r="K135" s="5"/>
      <c r="L135" s="5"/>
      <c r="M135" s="5"/>
      <c r="N135" s="5"/>
      <c r="O135" s="5"/>
      <c r="P135" s="5"/>
      <c r="Q135" s="5"/>
      <c r="R135" s="5"/>
      <c r="S135" s="5"/>
      <c r="T135" s="5"/>
      <c r="U135" s="5"/>
      <c r="V135" s="5"/>
      <c r="W135" s="5"/>
      <c r="X135" s="5"/>
    </row>
    <row r="136" spans="1:24" x14ac:dyDescent="0.3">
      <c r="A136" s="22"/>
      <c r="B136" s="22"/>
      <c r="C136" s="22"/>
      <c r="D136" s="22"/>
      <c r="E136" s="22"/>
      <c r="F136" s="22"/>
      <c r="G136" s="22"/>
      <c r="H136" s="22"/>
      <c r="I136" s="53"/>
      <c r="J136" s="5"/>
      <c r="K136" s="5"/>
      <c r="L136" s="5"/>
      <c r="M136" s="5"/>
      <c r="N136" s="5"/>
      <c r="O136" s="5"/>
      <c r="P136" s="5"/>
      <c r="Q136" s="5"/>
      <c r="R136" s="5"/>
      <c r="S136" s="5"/>
      <c r="T136" s="5"/>
      <c r="U136" s="5"/>
      <c r="V136" s="5"/>
      <c r="W136" s="5"/>
      <c r="X136" s="5"/>
    </row>
    <row r="137" spans="1:24" x14ac:dyDescent="0.3">
      <c r="C137" s="6"/>
      <c r="D137" s="6"/>
      <c r="J137" s="5"/>
      <c r="K137" s="5"/>
      <c r="L137" s="5"/>
      <c r="M137" s="5"/>
      <c r="N137" s="5"/>
      <c r="O137" s="5"/>
      <c r="P137" s="5"/>
      <c r="Q137" s="5"/>
      <c r="R137" s="5"/>
      <c r="S137" s="5"/>
      <c r="T137" s="5"/>
      <c r="U137" s="5"/>
      <c r="V137" s="5"/>
      <c r="W137" s="5"/>
      <c r="X137" s="5"/>
    </row>
    <row r="138" spans="1:24" x14ac:dyDescent="0.3">
      <c r="A138" s="6">
        <v>12</v>
      </c>
      <c r="B138" s="6" t="s">
        <v>6091</v>
      </c>
      <c r="C138" s="6"/>
      <c r="D138" s="6"/>
      <c r="E138" s="6"/>
      <c r="F138" s="6"/>
      <c r="G138" s="6"/>
      <c r="H138" s="6"/>
      <c r="I138" s="6"/>
      <c r="J138" s="5"/>
      <c r="K138" s="5"/>
      <c r="L138" s="5"/>
      <c r="M138" s="5"/>
      <c r="N138" s="5"/>
      <c r="O138" s="5"/>
      <c r="P138" s="5"/>
      <c r="Q138" s="5"/>
      <c r="R138" s="5"/>
      <c r="S138" s="5"/>
      <c r="T138" s="5"/>
      <c r="U138" s="5"/>
      <c r="V138" s="5"/>
      <c r="W138" s="5"/>
      <c r="X138" s="5"/>
    </row>
    <row r="139" spans="1:24" x14ac:dyDescent="0.3">
      <c r="A139" s="6"/>
      <c r="B139" s="3950" t="s">
        <v>62</v>
      </c>
      <c r="C139" s="3950" t="s">
        <v>1241</v>
      </c>
      <c r="D139" s="3950">
        <v>2014</v>
      </c>
      <c r="E139" s="3950">
        <f>D139+1</f>
        <v>2015</v>
      </c>
      <c r="F139" s="3950">
        <f t="shared" ref="F139:H139" si="51">E139+1</f>
        <v>2016</v>
      </c>
      <c r="G139" s="3950">
        <f t="shared" si="51"/>
        <v>2017</v>
      </c>
      <c r="H139" s="3950">
        <f t="shared" si="51"/>
        <v>2018</v>
      </c>
      <c r="I139" s="6"/>
      <c r="J139" s="5"/>
      <c r="K139" s="5"/>
      <c r="L139" s="5"/>
      <c r="M139" s="5"/>
      <c r="N139" s="5"/>
      <c r="O139" s="5"/>
      <c r="P139" s="5"/>
      <c r="Q139" s="5"/>
      <c r="R139" s="5"/>
      <c r="S139" s="5"/>
      <c r="T139" s="5"/>
      <c r="U139" s="5"/>
      <c r="V139" s="5"/>
      <c r="W139" s="5"/>
      <c r="X139" s="5"/>
    </row>
    <row r="140" spans="1:24" x14ac:dyDescent="0.3">
      <c r="A140" s="6"/>
      <c r="B140" s="115"/>
      <c r="C140" s="115" t="s">
        <v>1254</v>
      </c>
      <c r="D140" s="3859">
        <v>4</v>
      </c>
      <c r="E140" s="3859">
        <v>5</v>
      </c>
      <c r="F140" s="3859">
        <v>4</v>
      </c>
      <c r="G140" s="3859">
        <v>8</v>
      </c>
      <c r="H140" s="3859">
        <v>6</v>
      </c>
      <c r="I140" s="3969"/>
      <c r="J140" s="5"/>
      <c r="K140" s="5"/>
      <c r="L140" s="5"/>
      <c r="M140" s="5"/>
      <c r="N140" s="5"/>
      <c r="O140" s="5"/>
      <c r="P140" s="5"/>
      <c r="Q140" s="5"/>
      <c r="R140" s="5"/>
      <c r="S140" s="5"/>
      <c r="T140" s="5"/>
      <c r="U140" s="5"/>
      <c r="V140" s="5"/>
      <c r="W140" s="5"/>
      <c r="X140" s="5"/>
    </row>
    <row r="141" spans="1:24" x14ac:dyDescent="0.3">
      <c r="A141" s="6"/>
      <c r="B141" s="6"/>
      <c r="C141" s="9" t="s">
        <v>1257</v>
      </c>
      <c r="D141" s="3970">
        <v>13930.375903463895</v>
      </c>
      <c r="E141" s="3970">
        <v>13881.678824831777</v>
      </c>
      <c r="F141" s="3970">
        <v>13943.148463749611</v>
      </c>
      <c r="G141" s="3970">
        <v>14001.220722476644</v>
      </c>
      <c r="H141" s="3970">
        <v>14076</v>
      </c>
      <c r="I141" s="6"/>
      <c r="J141" s="5"/>
      <c r="K141" s="5"/>
      <c r="L141" s="5"/>
      <c r="M141" s="5"/>
      <c r="N141" s="5"/>
      <c r="O141" s="5"/>
      <c r="P141" s="5"/>
      <c r="Q141" s="5"/>
      <c r="R141" s="5"/>
      <c r="S141" s="5"/>
      <c r="T141" s="5"/>
      <c r="U141" s="5"/>
      <c r="V141" s="5"/>
      <c r="W141" s="5"/>
      <c r="X141" s="5"/>
    </row>
    <row r="142" spans="1:24" ht="18" customHeight="1" x14ac:dyDescent="0.3">
      <c r="A142" s="6">
        <v>13</v>
      </c>
      <c r="B142" s="6" t="s">
        <v>6092</v>
      </c>
      <c r="C142" s="6"/>
      <c r="D142" s="6"/>
      <c r="E142" s="6"/>
      <c r="F142" s="6"/>
      <c r="G142" s="6"/>
      <c r="H142" s="6"/>
      <c r="I142" s="6"/>
      <c r="J142" s="5"/>
      <c r="K142" s="5"/>
      <c r="L142" s="5"/>
      <c r="M142" s="5"/>
      <c r="N142" s="5"/>
      <c r="O142" s="5"/>
      <c r="P142" s="5"/>
      <c r="Q142" s="5"/>
      <c r="R142" s="5"/>
      <c r="S142" s="5"/>
      <c r="T142" s="5"/>
      <c r="U142" s="5"/>
      <c r="V142" s="5"/>
      <c r="W142" s="5"/>
      <c r="X142" s="5"/>
    </row>
    <row r="143" spans="1:24" x14ac:dyDescent="0.3">
      <c r="B143" s="4138" t="s">
        <v>62</v>
      </c>
      <c r="C143" s="4136" t="s">
        <v>297</v>
      </c>
      <c r="D143" s="4137"/>
      <c r="E143" s="4137"/>
      <c r="F143" s="4137"/>
      <c r="G143" s="4137"/>
      <c r="H143" s="4140"/>
      <c r="J143" s="5"/>
      <c r="K143" s="5"/>
      <c r="L143" s="5"/>
      <c r="M143" s="5"/>
      <c r="N143" s="5"/>
      <c r="O143" s="5"/>
      <c r="P143" s="5"/>
      <c r="Q143" s="5"/>
      <c r="R143" s="5"/>
      <c r="S143" s="5"/>
      <c r="T143" s="5"/>
      <c r="U143" s="5"/>
      <c r="V143" s="5"/>
      <c r="W143" s="5"/>
      <c r="X143" s="5"/>
    </row>
    <row r="144" spans="1:24" ht="32.25" customHeight="1" x14ac:dyDescent="0.3">
      <c r="B144" s="4139"/>
      <c r="C144" s="3950" t="s">
        <v>5</v>
      </c>
      <c r="D144" s="3950">
        <v>2014</v>
      </c>
      <c r="E144" s="3950">
        <f>D144+1</f>
        <v>2015</v>
      </c>
      <c r="F144" s="3950">
        <f t="shared" ref="F144:H144" si="52">E144+1</f>
        <v>2016</v>
      </c>
      <c r="G144" s="3950">
        <f t="shared" si="52"/>
        <v>2017</v>
      </c>
      <c r="H144" s="3950">
        <f t="shared" si="52"/>
        <v>2018</v>
      </c>
      <c r="J144" s="5"/>
      <c r="K144" s="5"/>
      <c r="L144" s="5"/>
      <c r="M144" s="5"/>
      <c r="N144" s="5"/>
      <c r="O144" s="5"/>
      <c r="P144" s="5"/>
      <c r="Q144" s="5"/>
      <c r="R144" s="5"/>
      <c r="S144" s="5"/>
      <c r="T144" s="5"/>
      <c r="U144" s="5"/>
      <c r="V144" s="5"/>
      <c r="W144" s="5"/>
      <c r="X144" s="5"/>
    </row>
    <row r="145" spans="1:24" x14ac:dyDescent="0.3">
      <c r="B145" s="3863"/>
      <c r="C145" s="7" t="s">
        <v>1242</v>
      </c>
      <c r="D145" s="3971">
        <f>D140/D141*100000</f>
        <v>28.714228730937329</v>
      </c>
      <c r="E145" s="3971">
        <f t="shared" ref="E145:G145" si="53">E140/E141*100000</f>
        <v>36.018698192728081</v>
      </c>
      <c r="F145" s="3971">
        <f t="shared" si="53"/>
        <v>28.687925187051437</v>
      </c>
      <c r="G145" s="3971">
        <f t="shared" si="53"/>
        <v>57.13787503654823</v>
      </c>
      <c r="H145" s="3971">
        <f>H140/H141*100000</f>
        <v>42.625745950554133</v>
      </c>
      <c r="J145" s="5"/>
      <c r="K145" s="5"/>
      <c r="L145" s="5"/>
      <c r="M145" s="5"/>
      <c r="N145" s="5"/>
      <c r="O145" s="5"/>
      <c r="P145" s="5"/>
      <c r="Q145" s="5"/>
      <c r="R145" s="5"/>
      <c r="S145" s="5"/>
      <c r="T145" s="5"/>
      <c r="U145" s="5"/>
      <c r="V145" s="5"/>
      <c r="W145" s="5"/>
      <c r="X145" s="5"/>
    </row>
    <row r="146" spans="1:24" x14ac:dyDescent="0.3">
      <c r="B146" s="3863"/>
      <c r="C146" s="7" t="s">
        <v>1243</v>
      </c>
      <c r="D146" s="3971">
        <f>(D140/D141)*100000</f>
        <v>28.714228730937329</v>
      </c>
      <c r="E146" s="3971">
        <f t="shared" ref="E146:G146" si="54">(E140/E141)*100000</f>
        <v>36.018698192728081</v>
      </c>
      <c r="F146" s="3971">
        <f t="shared" si="54"/>
        <v>28.687925187051437</v>
      </c>
      <c r="G146" s="3971">
        <f t="shared" si="54"/>
        <v>57.13787503654823</v>
      </c>
      <c r="H146" s="3971">
        <f>(H140/H141)*100000</f>
        <v>42.625745950554133</v>
      </c>
      <c r="J146" s="5"/>
      <c r="K146" s="5"/>
      <c r="L146" s="5"/>
      <c r="M146" s="5"/>
      <c r="N146" s="5"/>
      <c r="O146" s="5"/>
      <c r="P146" s="5"/>
      <c r="Q146" s="5"/>
      <c r="R146" s="5"/>
      <c r="S146" s="5"/>
      <c r="T146" s="5"/>
      <c r="U146" s="5"/>
      <c r="V146" s="5"/>
      <c r="W146" s="5"/>
      <c r="X146" s="5"/>
    </row>
    <row r="147" spans="1:24" x14ac:dyDescent="0.3">
      <c r="J147" s="5"/>
      <c r="K147" s="5"/>
      <c r="L147" s="5"/>
      <c r="M147" s="5"/>
      <c r="N147" s="5"/>
      <c r="O147" s="5"/>
      <c r="P147" s="5"/>
      <c r="Q147" s="5"/>
      <c r="R147" s="5"/>
      <c r="S147" s="5"/>
      <c r="T147" s="5"/>
      <c r="U147" s="5"/>
      <c r="V147" s="5"/>
      <c r="W147" s="5"/>
      <c r="X147" s="5"/>
    </row>
    <row r="148" spans="1:24" x14ac:dyDescent="0.3">
      <c r="A148" s="6">
        <v>14</v>
      </c>
      <c r="B148" s="6" t="s">
        <v>6093</v>
      </c>
      <c r="C148" s="6"/>
      <c r="D148" s="6"/>
      <c r="E148" s="6"/>
      <c r="F148" s="6"/>
      <c r="G148" s="6"/>
      <c r="H148" s="6"/>
      <c r="I148" s="6"/>
      <c r="J148" s="5"/>
      <c r="K148" s="5"/>
      <c r="L148" s="5"/>
      <c r="M148" s="5"/>
      <c r="N148" s="5"/>
      <c r="O148" s="5"/>
      <c r="P148" s="5"/>
      <c r="Q148" s="5"/>
      <c r="R148" s="5"/>
      <c r="S148" s="5"/>
      <c r="T148" s="5"/>
      <c r="U148" s="5"/>
      <c r="V148" s="5"/>
      <c r="W148" s="5"/>
      <c r="X148" s="5"/>
    </row>
    <row r="149" spans="1:24" x14ac:dyDescent="0.3">
      <c r="A149" s="6"/>
      <c r="B149" s="3950" t="s">
        <v>62</v>
      </c>
      <c r="C149" s="3950" t="s">
        <v>1255</v>
      </c>
      <c r="D149" s="3950">
        <v>2014</v>
      </c>
      <c r="E149" s="3950">
        <f>D149+1</f>
        <v>2015</v>
      </c>
      <c r="F149" s="3950">
        <f t="shared" ref="F149:H149" si="55">E149+1</f>
        <v>2016</v>
      </c>
      <c r="G149" s="3950">
        <f t="shared" si="55"/>
        <v>2017</v>
      </c>
      <c r="H149" s="3950">
        <f t="shared" si="55"/>
        <v>2018</v>
      </c>
      <c r="I149" s="6"/>
      <c r="J149" s="5"/>
      <c r="K149" s="5"/>
      <c r="L149" s="5"/>
      <c r="M149" s="5"/>
      <c r="N149" s="5"/>
      <c r="O149" s="5"/>
      <c r="P149" s="5"/>
      <c r="Q149" s="5"/>
      <c r="R149" s="5"/>
      <c r="S149" s="5"/>
      <c r="T149" s="5"/>
      <c r="U149" s="5"/>
      <c r="V149" s="5"/>
      <c r="W149" s="5"/>
      <c r="X149" s="5"/>
    </row>
    <row r="150" spans="1:24" x14ac:dyDescent="0.3">
      <c r="A150" s="6"/>
      <c r="B150" s="31">
        <v>1</v>
      </c>
      <c r="C150" s="31" t="s">
        <v>1244</v>
      </c>
      <c r="D150" s="3860">
        <v>0</v>
      </c>
      <c r="E150" s="3860">
        <v>0</v>
      </c>
      <c r="F150" s="3860">
        <v>0</v>
      </c>
      <c r="G150" s="3859">
        <v>1</v>
      </c>
      <c r="H150" s="3859">
        <v>1</v>
      </c>
      <c r="I150" s="6"/>
      <c r="J150" s="5"/>
      <c r="K150" s="5"/>
      <c r="L150" s="5"/>
      <c r="M150" s="5"/>
      <c r="N150" s="5"/>
      <c r="O150" s="5"/>
      <c r="P150" s="5"/>
      <c r="Q150" s="5"/>
      <c r="R150" s="5"/>
      <c r="S150" s="5"/>
      <c r="T150" s="5"/>
      <c r="U150" s="5"/>
      <c r="V150" s="5"/>
      <c r="W150" s="5"/>
      <c r="X150" s="5"/>
    </row>
    <row r="151" spans="1:24" x14ac:dyDescent="0.3">
      <c r="A151" s="6"/>
      <c r="B151" s="31">
        <v>2</v>
      </c>
      <c r="C151" s="31" t="s">
        <v>1245</v>
      </c>
      <c r="D151" s="3860">
        <v>305</v>
      </c>
      <c r="E151" s="3860">
        <v>335</v>
      </c>
      <c r="F151" s="3860">
        <v>364</v>
      </c>
      <c r="G151" s="3859">
        <v>485</v>
      </c>
      <c r="H151" s="3859">
        <v>495</v>
      </c>
      <c r="I151" s="6"/>
      <c r="J151" s="5"/>
      <c r="K151" s="5"/>
      <c r="L151" s="5"/>
      <c r="M151" s="5"/>
      <c r="N151" s="5"/>
      <c r="O151" s="5"/>
      <c r="P151" s="5"/>
      <c r="Q151" s="5"/>
      <c r="R151" s="5"/>
      <c r="S151" s="5"/>
      <c r="T151" s="5"/>
      <c r="U151" s="5"/>
      <c r="V151" s="5"/>
      <c r="W151" s="5"/>
      <c r="X151" s="5"/>
    </row>
    <row r="152" spans="1:24" x14ac:dyDescent="0.3">
      <c r="A152" s="6"/>
      <c r="B152" s="6"/>
      <c r="C152" s="9" t="s">
        <v>1257</v>
      </c>
      <c r="D152" s="3970">
        <v>13930.375903463895</v>
      </c>
      <c r="E152" s="3970">
        <v>13881.678824831777</v>
      </c>
      <c r="F152" s="3970">
        <v>13943.148463749611</v>
      </c>
      <c r="G152" s="3970">
        <v>14001.220722476644</v>
      </c>
      <c r="H152" s="3970">
        <v>14180</v>
      </c>
      <c r="I152" s="3972"/>
      <c r="J152" s="5"/>
      <c r="K152" s="5"/>
      <c r="L152" s="5"/>
      <c r="M152" s="5"/>
      <c r="N152" s="5"/>
      <c r="O152" s="5"/>
      <c r="P152" s="5"/>
      <c r="Q152" s="5"/>
      <c r="R152" s="5"/>
      <c r="S152" s="5"/>
      <c r="T152" s="5"/>
      <c r="U152" s="5"/>
      <c r="V152" s="5"/>
      <c r="W152" s="5"/>
      <c r="X152" s="5"/>
    </row>
    <row r="153" spans="1:24" s="3973" customFormat="1" x14ac:dyDescent="0.3">
      <c r="A153" s="102">
        <v>15</v>
      </c>
      <c r="B153" s="102" t="s">
        <v>6094</v>
      </c>
      <c r="C153" s="102"/>
      <c r="D153" s="102"/>
      <c r="E153" s="102"/>
      <c r="F153" s="102"/>
      <c r="G153" s="102"/>
      <c r="H153" s="102"/>
      <c r="I153" s="102"/>
      <c r="J153" s="110"/>
      <c r="K153" s="110"/>
      <c r="L153" s="110"/>
      <c r="M153" s="110"/>
      <c r="N153" s="110"/>
      <c r="O153" s="110"/>
      <c r="P153" s="110"/>
      <c r="Q153" s="110"/>
      <c r="R153" s="110"/>
      <c r="S153" s="110"/>
      <c r="T153" s="110"/>
      <c r="U153" s="110"/>
      <c r="V153" s="110"/>
      <c r="W153" s="110"/>
      <c r="X153" s="110"/>
    </row>
    <row r="154" spans="1:24" x14ac:dyDescent="0.3">
      <c r="B154" s="3934" t="s">
        <v>62</v>
      </c>
      <c r="C154" s="3936" t="s">
        <v>297</v>
      </c>
      <c r="D154" s="3937"/>
      <c r="E154" s="3937"/>
      <c r="F154" s="3937"/>
      <c r="G154" s="3937"/>
      <c r="H154" s="3938"/>
      <c r="J154" s="5"/>
      <c r="K154" s="5"/>
      <c r="L154" s="5"/>
      <c r="M154" s="5"/>
      <c r="N154" s="5"/>
      <c r="O154" s="5"/>
      <c r="P154" s="5"/>
      <c r="Q154" s="5"/>
      <c r="R154" s="5"/>
      <c r="S154" s="5"/>
      <c r="T154" s="5"/>
      <c r="U154" s="5"/>
      <c r="V154" s="5"/>
      <c r="W154" s="5"/>
      <c r="X154" s="5"/>
    </row>
    <row r="155" spans="1:24" x14ac:dyDescent="0.3">
      <c r="B155" s="3935"/>
      <c r="C155" s="3950" t="s">
        <v>5</v>
      </c>
      <c r="D155" s="3950">
        <v>2014</v>
      </c>
      <c r="E155" s="3950">
        <f>D155+1</f>
        <v>2015</v>
      </c>
      <c r="F155" s="3950">
        <f t="shared" ref="F155:H155" si="56">E155+1</f>
        <v>2016</v>
      </c>
      <c r="G155" s="3950">
        <f t="shared" si="56"/>
        <v>2017</v>
      </c>
      <c r="H155" s="3950">
        <f t="shared" si="56"/>
        <v>2018</v>
      </c>
      <c r="J155" s="5"/>
      <c r="K155" s="5"/>
      <c r="L155" s="5"/>
      <c r="M155" s="5"/>
      <c r="N155" s="5"/>
      <c r="O155" s="5"/>
      <c r="P155" s="5"/>
      <c r="Q155" s="5"/>
      <c r="R155" s="5"/>
      <c r="S155" s="5"/>
      <c r="T155" s="5"/>
      <c r="U155" s="5"/>
      <c r="V155" s="5"/>
      <c r="W155" s="5"/>
      <c r="X155" s="5"/>
    </row>
    <row r="156" spans="1:24" x14ac:dyDescent="0.3">
      <c r="B156" s="3863"/>
      <c r="C156" s="7" t="s">
        <v>1246</v>
      </c>
      <c r="D156" s="3974">
        <f>(D150/D152)*100000</f>
        <v>0</v>
      </c>
      <c r="E156" s="3974">
        <f>(E150/E152)*100000</f>
        <v>0</v>
      </c>
      <c r="F156" s="3974">
        <f>(F150/F152)*100000</f>
        <v>0</v>
      </c>
      <c r="G156" s="3974">
        <f>(G150/G152)*100000</f>
        <v>7.1422343795685288</v>
      </c>
      <c r="H156" s="3974">
        <f>(H150/H152)*100000</f>
        <v>7.0521861777150914</v>
      </c>
      <c r="J156" s="5"/>
      <c r="K156" s="5"/>
      <c r="L156" s="5"/>
      <c r="M156" s="5"/>
      <c r="N156" s="5"/>
      <c r="O156" s="5"/>
      <c r="P156" s="5"/>
      <c r="Q156" s="5"/>
      <c r="R156" s="5"/>
      <c r="S156" s="5"/>
      <c r="T156" s="5"/>
      <c r="U156" s="5"/>
      <c r="V156" s="5"/>
      <c r="W156" s="5"/>
      <c r="X156" s="5"/>
    </row>
    <row r="157" spans="1:24" x14ac:dyDescent="0.3">
      <c r="B157" s="3863"/>
      <c r="C157" s="7" t="s">
        <v>1247</v>
      </c>
      <c r="D157" s="3974">
        <f>(D151/D152)*100000</f>
        <v>2189.4599407339711</v>
      </c>
      <c r="E157" s="3974">
        <f t="shared" ref="E157:H157" si="57">(E151/E152)*100000</f>
        <v>2413.2527789127812</v>
      </c>
      <c r="F157" s="3974">
        <f t="shared" si="57"/>
        <v>2610.6011920216806</v>
      </c>
      <c r="G157" s="3974">
        <f t="shared" si="57"/>
        <v>3463.9836740907363</v>
      </c>
      <c r="H157" s="3974">
        <f t="shared" si="57"/>
        <v>3490.8321579689705</v>
      </c>
      <c r="J157" s="5"/>
      <c r="K157" s="5"/>
      <c r="L157" s="5"/>
      <c r="M157" s="5"/>
      <c r="N157" s="5"/>
      <c r="O157" s="5"/>
      <c r="P157" s="5"/>
      <c r="Q157" s="5"/>
      <c r="R157" s="5"/>
      <c r="S157" s="5"/>
      <c r="T157" s="5"/>
      <c r="U157" s="5"/>
      <c r="V157" s="5"/>
      <c r="W157" s="5"/>
      <c r="X157" s="5"/>
    </row>
    <row r="158" spans="1:24" x14ac:dyDescent="0.3">
      <c r="J158" s="5"/>
      <c r="K158" s="5"/>
      <c r="L158" s="5"/>
      <c r="M158" s="5"/>
      <c r="N158" s="5"/>
      <c r="O158" s="5"/>
      <c r="P158" s="5"/>
      <c r="Q158" s="5"/>
      <c r="R158" s="5"/>
      <c r="S158" s="5"/>
      <c r="T158" s="5"/>
      <c r="U158" s="5"/>
      <c r="V158" s="5"/>
      <c r="W158" s="5"/>
      <c r="X158" s="5"/>
    </row>
    <row r="159" spans="1:24" x14ac:dyDescent="0.3">
      <c r="A159" s="6">
        <v>16</v>
      </c>
      <c r="B159" s="22" t="s">
        <v>6095</v>
      </c>
      <c r="C159" s="22"/>
      <c r="D159" s="22"/>
      <c r="E159" s="22"/>
      <c r="F159" s="22"/>
      <c r="G159" s="22"/>
      <c r="H159" s="22"/>
      <c r="I159" s="6"/>
      <c r="J159" s="5"/>
      <c r="K159" s="5"/>
      <c r="L159" s="5"/>
      <c r="M159" s="5"/>
      <c r="N159" s="5"/>
      <c r="O159" s="5"/>
      <c r="P159" s="5"/>
      <c r="Q159" s="5"/>
      <c r="R159" s="5"/>
      <c r="S159" s="5"/>
      <c r="T159" s="5"/>
      <c r="U159" s="5"/>
      <c r="V159" s="5"/>
      <c r="W159" s="5"/>
      <c r="X159" s="5"/>
    </row>
    <row r="160" spans="1:24" x14ac:dyDescent="0.3">
      <c r="B160" s="3931" t="s">
        <v>62</v>
      </c>
      <c r="C160" s="3931" t="s">
        <v>298</v>
      </c>
      <c r="D160" s="3950">
        <v>2014</v>
      </c>
      <c r="E160" s="3950">
        <f>D160+1</f>
        <v>2015</v>
      </c>
      <c r="F160" s="3950">
        <f t="shared" ref="F160:H160" si="58">E160+1</f>
        <v>2016</v>
      </c>
      <c r="G160" s="3950">
        <f t="shared" si="58"/>
        <v>2017</v>
      </c>
      <c r="H160" s="3950">
        <f t="shared" si="58"/>
        <v>2018</v>
      </c>
      <c r="J160" s="5"/>
      <c r="K160" s="5"/>
      <c r="L160" s="5"/>
      <c r="M160" s="5"/>
      <c r="N160" s="5"/>
      <c r="O160" s="5"/>
      <c r="P160" s="5"/>
      <c r="Q160" s="5"/>
      <c r="R160" s="5"/>
      <c r="S160" s="5"/>
      <c r="T160" s="5"/>
      <c r="U160" s="5"/>
      <c r="V160" s="5"/>
      <c r="W160" s="5"/>
      <c r="X160" s="5"/>
    </row>
    <row r="161" spans="1:24" x14ac:dyDescent="0.3">
      <c r="B161" s="3863"/>
      <c r="C161" s="3865" t="s">
        <v>1248</v>
      </c>
      <c r="D161" s="60">
        <v>0</v>
      </c>
      <c r="E161" s="60">
        <v>1</v>
      </c>
      <c r="F161" s="60">
        <v>0</v>
      </c>
      <c r="G161" s="3925">
        <v>0</v>
      </c>
      <c r="H161" s="3925">
        <v>0</v>
      </c>
      <c r="J161" s="5"/>
      <c r="K161" s="5"/>
      <c r="L161" s="5"/>
      <c r="M161" s="5"/>
      <c r="N161" s="5"/>
      <c r="O161" s="5"/>
      <c r="P161" s="5"/>
      <c r="Q161" s="5"/>
      <c r="R161" s="5"/>
      <c r="S161" s="5"/>
      <c r="T161" s="5"/>
      <c r="U161" s="5"/>
      <c r="V161" s="5"/>
      <c r="W161" s="5"/>
      <c r="X161" s="5"/>
    </row>
    <row r="162" spans="1:24" x14ac:dyDescent="0.3">
      <c r="B162" s="3863"/>
      <c r="C162" s="3865" t="s">
        <v>1285</v>
      </c>
      <c r="D162" s="60">
        <v>0</v>
      </c>
      <c r="E162" s="60">
        <v>0</v>
      </c>
      <c r="F162" s="60">
        <v>0</v>
      </c>
      <c r="G162" s="3925">
        <v>0</v>
      </c>
      <c r="H162" s="3925">
        <v>0</v>
      </c>
      <c r="J162" s="5"/>
      <c r="K162" s="5"/>
      <c r="L162" s="5"/>
      <c r="M162" s="5"/>
      <c r="N162" s="5"/>
      <c r="O162" s="5"/>
      <c r="P162" s="5"/>
      <c r="Q162" s="5"/>
      <c r="R162" s="5"/>
      <c r="S162" s="5"/>
      <c r="T162" s="5"/>
      <c r="U162" s="5"/>
      <c r="V162" s="5"/>
      <c r="W162" s="5"/>
      <c r="X162" s="5"/>
    </row>
    <row r="163" spans="1:24" x14ac:dyDescent="0.3">
      <c r="B163" s="3863"/>
      <c r="C163" s="3865" t="s">
        <v>1286</v>
      </c>
      <c r="D163" s="60">
        <v>0</v>
      </c>
      <c r="E163" s="60">
        <v>0</v>
      </c>
      <c r="F163" s="60">
        <v>0</v>
      </c>
      <c r="G163" s="3925">
        <v>0</v>
      </c>
      <c r="H163" s="3925">
        <v>0</v>
      </c>
      <c r="J163" s="5"/>
      <c r="K163" s="5"/>
      <c r="L163" s="5"/>
      <c r="M163" s="5"/>
      <c r="N163" s="5"/>
      <c r="O163" s="5"/>
      <c r="P163" s="5"/>
      <c r="Q163" s="5"/>
      <c r="R163" s="5"/>
      <c r="S163" s="5"/>
      <c r="T163" s="5"/>
      <c r="U163" s="5"/>
      <c r="V163" s="5"/>
      <c r="W163" s="5"/>
      <c r="X163" s="5"/>
    </row>
    <row r="164" spans="1:24" x14ac:dyDescent="0.3">
      <c r="B164" s="3863"/>
      <c r="C164" s="3865" t="s">
        <v>1287</v>
      </c>
      <c r="D164" s="60">
        <v>0</v>
      </c>
      <c r="E164" s="60">
        <v>0</v>
      </c>
      <c r="F164" s="60">
        <v>0</v>
      </c>
      <c r="G164" s="3925">
        <v>0</v>
      </c>
      <c r="H164" s="3925">
        <v>0</v>
      </c>
      <c r="J164" s="5"/>
      <c r="K164" s="5"/>
      <c r="L164" s="5"/>
      <c r="M164" s="5"/>
      <c r="N164" s="5"/>
      <c r="O164" s="5"/>
      <c r="P164" s="5"/>
      <c r="Q164" s="5"/>
      <c r="R164" s="5"/>
      <c r="S164" s="5"/>
      <c r="T164" s="5"/>
      <c r="U164" s="5"/>
      <c r="V164" s="5"/>
      <c r="W164" s="5"/>
      <c r="X164" s="5"/>
    </row>
    <row r="165" spans="1:24" x14ac:dyDescent="0.3">
      <c r="B165" s="5"/>
      <c r="D165" s="107"/>
      <c r="E165" s="107"/>
      <c r="F165" s="107"/>
      <c r="G165" s="107"/>
      <c r="H165" s="107"/>
      <c r="J165" s="5"/>
      <c r="K165" s="5"/>
      <c r="L165" s="5"/>
      <c r="M165" s="5"/>
      <c r="N165" s="5"/>
      <c r="O165" s="5"/>
      <c r="P165" s="5"/>
      <c r="Q165" s="5"/>
      <c r="R165" s="5"/>
      <c r="S165" s="5"/>
      <c r="T165" s="5"/>
      <c r="U165" s="5"/>
      <c r="V165" s="5"/>
      <c r="W165" s="5"/>
      <c r="X165" s="5"/>
    </row>
    <row r="166" spans="1:24" x14ac:dyDescent="0.3">
      <c r="A166" s="6">
        <v>17</v>
      </c>
      <c r="B166" s="6" t="s">
        <v>6096</v>
      </c>
      <c r="C166" s="6"/>
      <c r="D166" s="6"/>
      <c r="E166" s="6"/>
      <c r="F166" s="6"/>
      <c r="G166" s="6"/>
      <c r="H166" s="6"/>
      <c r="I166" s="6"/>
      <c r="J166" s="5"/>
      <c r="K166" s="5"/>
      <c r="L166" s="5"/>
      <c r="M166" s="5"/>
      <c r="N166" s="5"/>
      <c r="O166" s="5"/>
      <c r="P166" s="5"/>
      <c r="Q166" s="5"/>
      <c r="R166" s="5"/>
      <c r="S166" s="5"/>
      <c r="T166" s="5"/>
      <c r="U166" s="5"/>
      <c r="V166" s="5"/>
      <c r="W166" s="5"/>
      <c r="X166" s="5"/>
    </row>
    <row r="167" spans="1:24" x14ac:dyDescent="0.3">
      <c r="B167" s="4138" t="s">
        <v>62</v>
      </c>
      <c r="C167" s="4136" t="s">
        <v>297</v>
      </c>
      <c r="D167" s="4137"/>
      <c r="E167" s="4137"/>
      <c r="F167" s="4137"/>
      <c r="G167" s="4137"/>
      <c r="H167" s="4140"/>
      <c r="J167" s="5"/>
      <c r="K167" s="5"/>
      <c r="L167" s="5"/>
      <c r="M167" s="5"/>
      <c r="N167" s="5"/>
      <c r="O167" s="5"/>
      <c r="P167" s="5"/>
      <c r="Q167" s="5"/>
      <c r="R167" s="5"/>
      <c r="S167" s="5"/>
      <c r="T167" s="5"/>
      <c r="U167" s="5"/>
      <c r="V167" s="5"/>
      <c r="W167" s="5"/>
      <c r="X167" s="5"/>
    </row>
    <row r="168" spans="1:24" x14ac:dyDescent="0.3">
      <c r="B168" s="4139"/>
      <c r="C168" s="3950" t="s">
        <v>5</v>
      </c>
      <c r="D168" s="3950">
        <v>2014</v>
      </c>
      <c r="E168" s="3950">
        <f>D168+1</f>
        <v>2015</v>
      </c>
      <c r="F168" s="3950">
        <f t="shared" ref="F168:H168" si="59">E168+1</f>
        <v>2016</v>
      </c>
      <c r="G168" s="3950">
        <f t="shared" si="59"/>
        <v>2017</v>
      </c>
      <c r="H168" s="3950">
        <f t="shared" si="59"/>
        <v>2018</v>
      </c>
      <c r="J168" s="5"/>
      <c r="K168" s="5"/>
      <c r="L168" s="5"/>
      <c r="M168" s="5"/>
      <c r="N168" s="5"/>
      <c r="O168" s="5"/>
      <c r="P168" s="5"/>
      <c r="Q168" s="5"/>
      <c r="R168" s="5"/>
      <c r="S168" s="5"/>
      <c r="T168" s="5"/>
      <c r="U168" s="5"/>
      <c r="V168" s="5"/>
      <c r="W168" s="5"/>
      <c r="X168" s="5"/>
    </row>
    <row r="169" spans="1:24" x14ac:dyDescent="0.3">
      <c r="B169" s="3863"/>
      <c r="C169" s="31" t="s">
        <v>1249</v>
      </c>
      <c r="D169" s="3861">
        <v>2541</v>
      </c>
      <c r="E169" s="3861">
        <v>2289</v>
      </c>
      <c r="F169" s="3861">
        <v>1927</v>
      </c>
      <c r="G169" s="3861">
        <v>1784</v>
      </c>
      <c r="H169" s="3861">
        <v>1675</v>
      </c>
      <c r="J169" s="5"/>
      <c r="K169" s="5"/>
      <c r="L169" s="5"/>
      <c r="M169" s="5"/>
      <c r="N169" s="5"/>
      <c r="O169" s="5"/>
      <c r="P169" s="5"/>
      <c r="Q169" s="5"/>
      <c r="R169" s="5"/>
      <c r="S169" s="5"/>
      <c r="T169" s="5"/>
      <c r="U169" s="5"/>
      <c r="V169" s="5"/>
      <c r="W169" s="5"/>
      <c r="X169" s="5"/>
    </row>
    <row r="170" spans="1:24" x14ac:dyDescent="0.3">
      <c r="B170" s="313"/>
      <c r="C170" s="313" t="s">
        <v>1250</v>
      </c>
      <c r="D170" s="3861">
        <v>7881</v>
      </c>
      <c r="E170" s="3861">
        <v>7914</v>
      </c>
      <c r="F170" s="3861">
        <v>6741</v>
      </c>
      <c r="G170" s="3861">
        <v>6634</v>
      </c>
      <c r="H170" s="3861">
        <v>6525</v>
      </c>
      <c r="J170" s="5"/>
      <c r="K170" s="5"/>
      <c r="L170" s="5"/>
      <c r="M170" s="5"/>
      <c r="N170" s="5"/>
      <c r="O170" s="5"/>
      <c r="P170" s="5"/>
      <c r="Q170" s="5"/>
      <c r="R170" s="5"/>
      <c r="S170" s="5"/>
      <c r="T170" s="5"/>
      <c r="U170" s="5"/>
      <c r="V170" s="5"/>
      <c r="W170" s="5"/>
      <c r="X170" s="5"/>
    </row>
    <row r="171" spans="1:24" x14ac:dyDescent="0.3">
      <c r="B171" s="3975"/>
      <c r="C171" s="3976" t="s">
        <v>477</v>
      </c>
      <c r="D171" s="3977">
        <f>D169/D170</f>
        <v>0.32242101256185762</v>
      </c>
      <c r="E171" s="3977">
        <f t="shared" ref="E171:H171" si="60">E169/E170</f>
        <v>0.28923426838514027</v>
      </c>
      <c r="F171" s="3977">
        <f t="shared" si="60"/>
        <v>0.28586263165702419</v>
      </c>
      <c r="G171" s="3977">
        <f t="shared" si="60"/>
        <v>0.26891769671389809</v>
      </c>
      <c r="H171" s="3977">
        <f t="shared" si="60"/>
        <v>0.25670498084291188</v>
      </c>
      <c r="J171" s="5"/>
      <c r="K171" s="5"/>
      <c r="L171" s="5"/>
      <c r="M171" s="5"/>
      <c r="N171" s="5"/>
      <c r="O171" s="5"/>
      <c r="P171" s="5"/>
      <c r="Q171" s="5"/>
      <c r="R171" s="5"/>
      <c r="S171" s="5"/>
      <c r="T171" s="5"/>
      <c r="U171" s="5"/>
      <c r="V171" s="5"/>
      <c r="W171" s="5"/>
      <c r="X171" s="5"/>
    </row>
    <row r="172" spans="1:24" x14ac:dyDescent="0.3">
      <c r="C172" s="6"/>
      <c r="D172" s="6"/>
      <c r="E172" s="107"/>
      <c r="J172" s="5"/>
      <c r="K172" s="5"/>
      <c r="L172" s="5"/>
      <c r="M172" s="5"/>
      <c r="N172" s="5"/>
      <c r="O172" s="5"/>
      <c r="P172" s="5"/>
      <c r="Q172" s="5"/>
      <c r="R172" s="5"/>
      <c r="S172" s="5"/>
      <c r="T172" s="5"/>
      <c r="U172" s="5"/>
      <c r="V172" s="5"/>
      <c r="W172" s="5"/>
      <c r="X172" s="5"/>
    </row>
    <row r="173" spans="1:24" x14ac:dyDescent="0.3">
      <c r="C173" s="6"/>
      <c r="D173" s="6"/>
      <c r="E173" s="107"/>
      <c r="F173" s="107"/>
      <c r="G173" s="107"/>
      <c r="J173" s="5"/>
      <c r="K173" s="5"/>
      <c r="L173" s="5"/>
      <c r="M173" s="5"/>
      <c r="N173" s="5"/>
      <c r="O173" s="5"/>
      <c r="P173" s="5"/>
      <c r="Q173" s="5"/>
      <c r="R173" s="5"/>
      <c r="S173" s="5"/>
      <c r="T173" s="5"/>
      <c r="U173" s="5"/>
      <c r="V173" s="5"/>
      <c r="W173" s="5"/>
      <c r="X173" s="5"/>
    </row>
    <row r="174" spans="1:24" x14ac:dyDescent="0.3">
      <c r="A174" s="6">
        <v>18</v>
      </c>
      <c r="B174" s="6" t="s">
        <v>6097</v>
      </c>
      <c r="C174" s="6"/>
      <c r="D174" s="6"/>
      <c r="E174" s="6"/>
      <c r="F174" s="6"/>
      <c r="G174" s="6"/>
      <c r="H174" s="6"/>
      <c r="I174" s="6"/>
      <c r="J174" s="5"/>
      <c r="K174" s="5"/>
      <c r="L174" s="5"/>
      <c r="M174" s="5"/>
      <c r="N174" s="5"/>
      <c r="O174" s="5"/>
      <c r="P174" s="5"/>
      <c r="Q174" s="5"/>
      <c r="R174" s="5"/>
      <c r="S174" s="5"/>
      <c r="T174" s="5"/>
      <c r="U174" s="5"/>
      <c r="V174" s="5"/>
      <c r="W174" s="5"/>
      <c r="X174" s="5"/>
    </row>
    <row r="175" spans="1:24" x14ac:dyDescent="0.3">
      <c r="B175" s="4138" t="s">
        <v>62</v>
      </c>
      <c r="C175" s="4136" t="s">
        <v>297</v>
      </c>
      <c r="D175" s="4137"/>
      <c r="E175" s="4137"/>
      <c r="F175" s="4137"/>
      <c r="G175" s="4137"/>
      <c r="H175" s="4140"/>
      <c r="J175" s="5"/>
      <c r="K175" s="5"/>
      <c r="L175" s="5"/>
      <c r="M175" s="5"/>
      <c r="N175" s="5"/>
      <c r="O175" s="5"/>
      <c r="P175" s="5"/>
      <c r="Q175" s="5"/>
      <c r="R175" s="5"/>
      <c r="S175" s="5"/>
      <c r="T175" s="5"/>
      <c r="U175" s="5"/>
      <c r="V175" s="5"/>
      <c r="W175" s="5"/>
      <c r="X175" s="5"/>
    </row>
    <row r="176" spans="1:24" x14ac:dyDescent="0.3">
      <c r="B176" s="4139"/>
      <c r="C176" s="3950" t="s">
        <v>5</v>
      </c>
      <c r="D176" s="3950">
        <v>2014</v>
      </c>
      <c r="E176" s="3950">
        <f>D176+1</f>
        <v>2015</v>
      </c>
      <c r="F176" s="3950">
        <f t="shared" ref="F176:H176" si="61">E176+1</f>
        <v>2016</v>
      </c>
      <c r="G176" s="3950">
        <f t="shared" si="61"/>
        <v>2017</v>
      </c>
      <c r="H176" s="3950">
        <f t="shared" si="61"/>
        <v>2018</v>
      </c>
      <c r="J176" s="5"/>
      <c r="K176" s="5"/>
      <c r="L176" s="5"/>
      <c r="M176" s="5"/>
      <c r="N176" s="5"/>
      <c r="O176" s="5"/>
      <c r="P176" s="5"/>
      <c r="Q176" s="5"/>
      <c r="R176" s="5"/>
      <c r="S176" s="5"/>
      <c r="T176" s="5"/>
      <c r="U176" s="5"/>
      <c r="V176" s="5"/>
      <c r="W176" s="5"/>
      <c r="X176" s="5"/>
    </row>
    <row r="177" spans="1:24" ht="33" x14ac:dyDescent="0.3">
      <c r="B177" s="3863"/>
      <c r="C177" s="3978" t="s">
        <v>293</v>
      </c>
      <c r="D177" s="3863">
        <v>32.25</v>
      </c>
      <c r="E177" s="3859">
        <v>28.95</v>
      </c>
      <c r="F177" s="3859">
        <v>28.59</v>
      </c>
      <c r="G177" s="3859">
        <v>26.9</v>
      </c>
      <c r="H177" s="3859">
        <v>26</v>
      </c>
      <c r="I177" s="107"/>
      <c r="J177" s="5"/>
      <c r="K177" s="5"/>
      <c r="L177" s="5"/>
      <c r="M177" s="5"/>
      <c r="N177" s="5"/>
      <c r="O177" s="5"/>
      <c r="P177" s="5"/>
      <c r="Q177" s="5"/>
      <c r="R177" s="5"/>
      <c r="S177" s="5"/>
      <c r="T177" s="5"/>
      <c r="U177" s="5"/>
      <c r="V177" s="5"/>
      <c r="W177" s="5"/>
      <c r="X177" s="5"/>
    </row>
    <row r="178" spans="1:24" x14ac:dyDescent="0.3">
      <c r="D178" s="107"/>
      <c r="F178" s="107"/>
      <c r="G178" s="107"/>
      <c r="H178" s="107"/>
      <c r="J178" s="5"/>
      <c r="K178" s="5"/>
      <c r="L178" s="5"/>
      <c r="M178" s="5"/>
      <c r="N178" s="5"/>
      <c r="O178" s="5"/>
      <c r="P178" s="5"/>
      <c r="Q178" s="5"/>
      <c r="R178" s="5"/>
      <c r="S178" s="5"/>
      <c r="T178" s="5"/>
      <c r="U178" s="5"/>
      <c r="V178" s="5"/>
      <c r="W178" s="5"/>
      <c r="X178" s="5"/>
    </row>
    <row r="179" spans="1:24" x14ac:dyDescent="0.3">
      <c r="A179" s="6">
        <v>19</v>
      </c>
      <c r="B179" s="6" t="s">
        <v>6098</v>
      </c>
      <c r="C179" s="6"/>
      <c r="D179" s="6"/>
      <c r="E179" s="6"/>
      <c r="F179" s="6"/>
      <c r="G179" s="6"/>
      <c r="H179" s="6"/>
      <c r="I179" s="6"/>
    </row>
    <row r="180" spans="1:24" x14ac:dyDescent="0.3">
      <c r="B180" s="4138" t="s">
        <v>62</v>
      </c>
      <c r="C180" s="4136" t="s">
        <v>297</v>
      </c>
      <c r="D180" s="4137"/>
      <c r="E180" s="4137"/>
      <c r="F180" s="4137"/>
      <c r="G180" s="4137"/>
      <c r="H180" s="4140"/>
    </row>
    <row r="181" spans="1:24" x14ac:dyDescent="0.3">
      <c r="B181" s="4139"/>
      <c r="C181" s="3950" t="s">
        <v>5</v>
      </c>
      <c r="D181" s="3950">
        <v>2014</v>
      </c>
      <c r="E181" s="3950">
        <f>D181+1</f>
        <v>2015</v>
      </c>
      <c r="F181" s="3950">
        <f t="shared" ref="F181:H181" si="62">E181+1</f>
        <v>2016</v>
      </c>
      <c r="G181" s="3950">
        <f t="shared" si="62"/>
        <v>2017</v>
      </c>
      <c r="H181" s="3950">
        <f t="shared" si="62"/>
        <v>2018</v>
      </c>
    </row>
    <row r="182" spans="1:24" x14ac:dyDescent="0.3">
      <c r="B182" s="3863"/>
      <c r="C182" s="3865" t="s">
        <v>1256</v>
      </c>
      <c r="D182" s="3867">
        <v>0</v>
      </c>
      <c r="E182" s="3867">
        <v>0</v>
      </c>
      <c r="F182" s="3867">
        <v>0</v>
      </c>
      <c r="G182" s="3867">
        <v>2</v>
      </c>
      <c r="H182" s="3867">
        <v>2</v>
      </c>
    </row>
    <row r="183" spans="1:24" x14ac:dyDescent="0.3">
      <c r="B183" s="13"/>
    </row>
    <row r="184" spans="1:24" x14ac:dyDescent="0.3">
      <c r="B184" s="13"/>
      <c r="D184" s="111"/>
    </row>
    <row r="185" spans="1:24" x14ac:dyDescent="0.3">
      <c r="A185" s="6">
        <v>20</v>
      </c>
      <c r="B185" s="6" t="s">
        <v>6099</v>
      </c>
      <c r="C185" s="6"/>
      <c r="D185" s="6"/>
      <c r="E185" s="6"/>
      <c r="F185" s="6"/>
      <c r="G185" s="6"/>
      <c r="H185" s="6"/>
      <c r="I185" s="6"/>
    </row>
    <row r="186" spans="1:24" x14ac:dyDescent="0.3">
      <c r="B186" s="3931" t="s">
        <v>62</v>
      </c>
      <c r="C186" s="3931" t="s">
        <v>298</v>
      </c>
      <c r="D186" s="3950">
        <v>2014</v>
      </c>
      <c r="E186" s="3950">
        <f>D186+1</f>
        <v>2015</v>
      </c>
      <c r="F186" s="3950">
        <f t="shared" ref="F186:H186" si="63">E186+1</f>
        <v>2016</v>
      </c>
      <c r="G186" s="3950">
        <f t="shared" si="63"/>
        <v>2017</v>
      </c>
      <c r="H186" s="3950">
        <f t="shared" si="63"/>
        <v>2018</v>
      </c>
    </row>
    <row r="187" spans="1:24" x14ac:dyDescent="0.3">
      <c r="B187" s="3867">
        <v>1</v>
      </c>
      <c r="C187" s="3854" t="s">
        <v>301</v>
      </c>
      <c r="D187" s="60">
        <v>4</v>
      </c>
      <c r="E187" s="60">
        <v>8</v>
      </c>
      <c r="F187" s="60">
        <v>4</v>
      </c>
      <c r="G187" s="60">
        <v>15</v>
      </c>
      <c r="H187" s="60">
        <v>17</v>
      </c>
    </row>
    <row r="188" spans="1:24" x14ac:dyDescent="0.3">
      <c r="B188" s="3867">
        <v>2</v>
      </c>
      <c r="C188" s="3854" t="s">
        <v>302</v>
      </c>
      <c r="D188" s="60">
        <v>185</v>
      </c>
      <c r="E188" s="60">
        <v>325</v>
      </c>
      <c r="F188" s="60">
        <v>380</v>
      </c>
      <c r="G188" s="60">
        <v>464</v>
      </c>
      <c r="H188" s="60">
        <v>470</v>
      </c>
    </row>
    <row r="189" spans="1:24" x14ac:dyDescent="0.3">
      <c r="B189" s="3867">
        <v>3</v>
      </c>
      <c r="C189" s="3854" t="s">
        <v>474</v>
      </c>
      <c r="D189" s="60">
        <v>0</v>
      </c>
      <c r="E189" s="60">
        <v>0</v>
      </c>
      <c r="F189" s="60">
        <v>0</v>
      </c>
      <c r="G189" s="60">
        <v>2</v>
      </c>
      <c r="H189" s="60">
        <v>1</v>
      </c>
    </row>
    <row r="190" spans="1:24" x14ac:dyDescent="0.3">
      <c r="B190" s="109"/>
      <c r="C190" s="3930" t="s">
        <v>0</v>
      </c>
      <c r="D190" s="23">
        <f>SUM(D187+D188+D189)</f>
        <v>189</v>
      </c>
      <c r="E190" s="23">
        <f t="shared" ref="E190:H190" si="64">SUM(E187+E188+E189)</f>
        <v>333</v>
      </c>
      <c r="F190" s="23">
        <f t="shared" si="64"/>
        <v>384</v>
      </c>
      <c r="G190" s="23">
        <f t="shared" si="64"/>
        <v>481</v>
      </c>
      <c r="H190" s="23">
        <f t="shared" si="64"/>
        <v>488</v>
      </c>
    </row>
    <row r="192" spans="1:24" x14ac:dyDescent="0.3">
      <c r="B192" s="4141" t="s">
        <v>307</v>
      </c>
      <c r="C192" s="4142"/>
      <c r="D192" s="4142"/>
      <c r="E192" s="4142"/>
      <c r="F192" s="4142"/>
      <c r="G192" s="4142"/>
      <c r="H192" s="4143"/>
    </row>
    <row r="193" spans="1:10" x14ac:dyDescent="0.3">
      <c r="A193" s="6"/>
      <c r="B193" s="6"/>
      <c r="C193" s="6"/>
      <c r="D193" s="6"/>
      <c r="E193" s="6"/>
      <c r="F193" s="6"/>
      <c r="G193" s="6"/>
      <c r="H193" s="6"/>
      <c r="I193" s="6"/>
      <c r="J193" s="6"/>
    </row>
    <row r="194" spans="1:10" x14ac:dyDescent="0.3">
      <c r="A194" s="6">
        <v>21</v>
      </c>
      <c r="B194" s="6" t="s">
        <v>1251</v>
      </c>
      <c r="C194" s="6"/>
      <c r="D194" s="6"/>
      <c r="E194" s="6"/>
      <c r="F194" s="6"/>
      <c r="G194" s="6"/>
      <c r="H194" s="6"/>
      <c r="I194" s="6"/>
    </row>
    <row r="195" spans="1:10" x14ac:dyDescent="0.3">
      <c r="B195" s="3931" t="s">
        <v>62</v>
      </c>
      <c r="C195" s="3931" t="s">
        <v>298</v>
      </c>
      <c r="D195" s="3950">
        <v>2014</v>
      </c>
      <c r="E195" s="3950">
        <f>D195+1</f>
        <v>2015</v>
      </c>
      <c r="F195" s="3950">
        <f t="shared" ref="F195:H195" si="65">E195+1</f>
        <v>2016</v>
      </c>
      <c r="G195" s="3950">
        <f t="shared" si="65"/>
        <v>2017</v>
      </c>
      <c r="H195" s="3950">
        <f t="shared" si="65"/>
        <v>2018</v>
      </c>
    </row>
    <row r="196" spans="1:10" x14ac:dyDescent="0.3">
      <c r="B196" s="3865">
        <v>1</v>
      </c>
      <c r="C196" s="3865" t="s">
        <v>308</v>
      </c>
      <c r="D196" s="3867">
        <v>1146</v>
      </c>
      <c r="E196" s="3867">
        <v>1316</v>
      </c>
      <c r="F196" s="3867">
        <v>1232</v>
      </c>
      <c r="G196" s="3867">
        <v>1407</v>
      </c>
      <c r="H196" s="3867">
        <v>1504</v>
      </c>
    </row>
    <row r="197" spans="1:10" x14ac:dyDescent="0.3">
      <c r="B197" s="3979">
        <v>2</v>
      </c>
      <c r="C197" s="3979" t="s">
        <v>310</v>
      </c>
      <c r="D197" s="3980">
        <v>1272</v>
      </c>
      <c r="E197" s="3980">
        <v>1330</v>
      </c>
      <c r="F197" s="3980">
        <v>1265</v>
      </c>
      <c r="G197" s="3980">
        <v>1420</v>
      </c>
      <c r="H197" s="3980">
        <v>1517</v>
      </c>
    </row>
    <row r="198" spans="1:10" x14ac:dyDescent="0.3">
      <c r="B198" s="3954">
        <v>3</v>
      </c>
      <c r="C198" s="3954" t="s">
        <v>6100</v>
      </c>
      <c r="D198" s="72">
        <v>0.90094339622641506</v>
      </c>
      <c r="E198" s="72">
        <v>0.98947368421052628</v>
      </c>
      <c r="F198" s="72">
        <v>0.97391304347826091</v>
      </c>
      <c r="G198" s="72">
        <v>0.99084507042253522</v>
      </c>
      <c r="H198" s="72">
        <v>0.99143045484508896</v>
      </c>
    </row>
    <row r="200" spans="1:10" x14ac:dyDescent="0.3">
      <c r="A200" s="6">
        <v>22</v>
      </c>
      <c r="B200" s="6" t="s">
        <v>1252</v>
      </c>
      <c r="C200" s="6"/>
      <c r="D200" s="6"/>
      <c r="E200" s="6"/>
      <c r="F200" s="6"/>
      <c r="G200" s="6"/>
      <c r="H200" s="6"/>
      <c r="I200" s="6"/>
    </row>
    <row r="201" spans="1:10" x14ac:dyDescent="0.3">
      <c r="B201" s="3931" t="s">
        <v>62</v>
      </c>
      <c r="C201" s="3931" t="s">
        <v>298</v>
      </c>
      <c r="D201" s="3950">
        <v>2014</v>
      </c>
      <c r="E201" s="3950">
        <f>D201+1</f>
        <v>2015</v>
      </c>
      <c r="F201" s="3950">
        <f t="shared" ref="F201:H201" si="66">E201+1</f>
        <v>2016</v>
      </c>
      <c r="G201" s="3950">
        <f t="shared" si="66"/>
        <v>2017</v>
      </c>
      <c r="H201" s="3950">
        <f t="shared" si="66"/>
        <v>2018</v>
      </c>
    </row>
    <row r="202" spans="1:10" x14ac:dyDescent="0.3">
      <c r="B202" s="3862">
        <v>1</v>
      </c>
      <c r="C202" s="3862" t="s">
        <v>309</v>
      </c>
      <c r="D202" s="3863">
        <v>105</v>
      </c>
      <c r="E202" s="3863">
        <v>94</v>
      </c>
      <c r="F202" s="3863">
        <v>116</v>
      </c>
      <c r="G202" s="3863">
        <v>137</v>
      </c>
      <c r="H202" s="3863">
        <v>141</v>
      </c>
    </row>
    <row r="203" spans="1:10" x14ac:dyDescent="0.3">
      <c r="B203" s="3862">
        <v>2</v>
      </c>
      <c r="C203" s="3862" t="s">
        <v>311</v>
      </c>
      <c r="D203" s="3863">
        <v>405</v>
      </c>
      <c r="E203" s="3863">
        <v>287</v>
      </c>
      <c r="F203" s="3863">
        <v>370</v>
      </c>
      <c r="G203" s="3863">
        <v>354</v>
      </c>
      <c r="H203" s="3863">
        <v>357</v>
      </c>
    </row>
    <row r="204" spans="1:10" x14ac:dyDescent="0.3">
      <c r="B204" s="114">
        <v>3</v>
      </c>
      <c r="C204" s="114" t="s">
        <v>6101</v>
      </c>
      <c r="D204" s="345">
        <v>0.25925925925925924</v>
      </c>
      <c r="E204" s="345">
        <v>0.32752613240418116</v>
      </c>
      <c r="F204" s="345">
        <v>0.31351351351351353</v>
      </c>
      <c r="G204" s="345">
        <v>0.38700564971751411</v>
      </c>
      <c r="H204" s="345">
        <v>0.3949579831932773</v>
      </c>
    </row>
    <row r="206" spans="1:10" x14ac:dyDescent="0.3">
      <c r="A206" s="6">
        <v>23</v>
      </c>
      <c r="B206" s="6" t="s">
        <v>1253</v>
      </c>
      <c r="C206" s="6"/>
      <c r="D206" s="6"/>
      <c r="E206" s="6"/>
      <c r="F206" s="6"/>
      <c r="G206" s="6"/>
      <c r="H206" s="6"/>
      <c r="I206" s="6"/>
    </row>
    <row r="207" spans="1:10" x14ac:dyDescent="0.3">
      <c r="B207" s="3931" t="s">
        <v>62</v>
      </c>
      <c r="C207" s="3931" t="s">
        <v>298</v>
      </c>
      <c r="D207" s="3950">
        <v>2014</v>
      </c>
      <c r="E207" s="3950">
        <f>D207+1</f>
        <v>2015</v>
      </c>
      <c r="F207" s="3950">
        <f t="shared" ref="F207:H207" si="67">E207+1</f>
        <v>2016</v>
      </c>
      <c r="G207" s="3950">
        <f t="shared" si="67"/>
        <v>2017</v>
      </c>
      <c r="H207" s="3950">
        <f t="shared" si="67"/>
        <v>2018</v>
      </c>
    </row>
    <row r="208" spans="1:10" x14ac:dyDescent="0.3">
      <c r="B208" s="3862">
        <v>1</v>
      </c>
      <c r="C208" s="3862" t="s">
        <v>312</v>
      </c>
      <c r="D208" s="3863">
        <v>62</v>
      </c>
      <c r="E208" s="3863">
        <v>53</v>
      </c>
      <c r="F208" s="3863">
        <v>49</v>
      </c>
      <c r="G208" s="3863">
        <v>52</v>
      </c>
      <c r="H208" s="3863">
        <v>55</v>
      </c>
    </row>
    <row r="209" spans="2:8" x14ac:dyDescent="0.3">
      <c r="B209" s="3862">
        <v>2</v>
      </c>
      <c r="C209" s="3862" t="s">
        <v>313</v>
      </c>
      <c r="D209" s="3863">
        <v>149</v>
      </c>
      <c r="E209" s="3863">
        <v>141</v>
      </c>
      <c r="F209" s="3863">
        <v>162</v>
      </c>
      <c r="G209" s="3863">
        <v>141</v>
      </c>
      <c r="H209" s="3863">
        <v>148</v>
      </c>
    </row>
    <row r="210" spans="2:8" x14ac:dyDescent="0.3">
      <c r="B210" s="114">
        <v>3</v>
      </c>
      <c r="C210" s="114" t="s">
        <v>472</v>
      </c>
      <c r="D210" s="345">
        <v>0.41610738255033558</v>
      </c>
      <c r="E210" s="345">
        <v>0.37588652482269502</v>
      </c>
      <c r="F210" s="345">
        <v>0.30246913580246915</v>
      </c>
      <c r="G210" s="345">
        <v>0.36879432624113473</v>
      </c>
      <c r="H210" s="345">
        <v>0.3716216216216216</v>
      </c>
    </row>
    <row r="211" spans="2:8" x14ac:dyDescent="0.3">
      <c r="D211" s="3981"/>
    </row>
    <row r="212" spans="2:8" x14ac:dyDescent="0.3">
      <c r="C212" s="28" t="s">
        <v>560</v>
      </c>
      <c r="D212" s="28"/>
    </row>
    <row r="213" spans="2:8" x14ac:dyDescent="0.3">
      <c r="C213" s="3982" t="s">
        <v>561</v>
      </c>
      <c r="D213" s="3983" t="s">
        <v>576</v>
      </c>
    </row>
    <row r="214" spans="2:8" x14ac:dyDescent="0.3">
      <c r="C214" s="3982" t="s">
        <v>562</v>
      </c>
      <c r="D214" s="3983" t="s">
        <v>576</v>
      </c>
    </row>
    <row r="215" spans="2:8" x14ac:dyDescent="0.3">
      <c r="C215" s="3982" t="s">
        <v>563</v>
      </c>
      <c r="D215" s="3983" t="s">
        <v>576</v>
      </c>
    </row>
    <row r="216" spans="2:8" x14ac:dyDescent="0.3">
      <c r="C216" s="3982" t="s">
        <v>564</v>
      </c>
      <c r="D216" s="3983" t="s">
        <v>576</v>
      </c>
    </row>
    <row r="217" spans="2:8" ht="33" x14ac:dyDescent="0.3">
      <c r="C217" s="3984" t="s">
        <v>565</v>
      </c>
      <c r="D217" s="3983" t="s">
        <v>576</v>
      </c>
    </row>
    <row r="218" spans="2:8" x14ac:dyDescent="0.3">
      <c r="C218" s="3982" t="s">
        <v>566</v>
      </c>
      <c r="D218" s="3983" t="s">
        <v>576</v>
      </c>
    </row>
    <row r="219" spans="2:8" x14ac:dyDescent="0.3">
      <c r="C219" s="3982" t="s">
        <v>567</v>
      </c>
      <c r="D219" s="3983" t="s">
        <v>576</v>
      </c>
    </row>
    <row r="220" spans="2:8" ht="33" x14ac:dyDescent="0.3">
      <c r="C220" s="3984" t="s">
        <v>568</v>
      </c>
      <c r="D220" s="3983" t="s">
        <v>576</v>
      </c>
    </row>
    <row r="221" spans="2:8" ht="49.5" x14ac:dyDescent="0.3">
      <c r="C221" s="3984" t="s">
        <v>569</v>
      </c>
      <c r="D221" s="3983" t="s">
        <v>576</v>
      </c>
    </row>
    <row r="222" spans="2:8" x14ac:dyDescent="0.3">
      <c r="C222" s="3982" t="s">
        <v>570</v>
      </c>
      <c r="D222" s="3983" t="s">
        <v>576</v>
      </c>
    </row>
    <row r="223" spans="2:8" x14ac:dyDescent="0.3">
      <c r="C223" s="3982" t="s">
        <v>571</v>
      </c>
      <c r="D223" s="3983" t="s">
        <v>576</v>
      </c>
    </row>
    <row r="224" spans="2:8" x14ac:dyDescent="0.3">
      <c r="C224" s="3982" t="s">
        <v>572</v>
      </c>
      <c r="D224" s="3983"/>
    </row>
    <row r="225" spans="3:4" x14ac:dyDescent="0.3">
      <c r="C225" s="3982" t="s">
        <v>573</v>
      </c>
      <c r="D225" s="3983" t="s">
        <v>576</v>
      </c>
    </row>
    <row r="226" spans="3:4" ht="33" x14ac:dyDescent="0.3">
      <c r="C226" s="3984" t="s">
        <v>574</v>
      </c>
      <c r="D226" s="3983" t="s">
        <v>576</v>
      </c>
    </row>
    <row r="227" spans="3:4" ht="33" x14ac:dyDescent="0.3">
      <c r="C227" s="3984" t="s">
        <v>575</v>
      </c>
      <c r="D227" s="3983" t="s">
        <v>576</v>
      </c>
    </row>
  </sheetData>
  <mergeCells count="102">
    <mergeCell ref="B85:J85"/>
    <mergeCell ref="B95:J95"/>
    <mergeCell ref="B104:J104"/>
    <mergeCell ref="AP27:AQ27"/>
    <mergeCell ref="AP10:AX10"/>
    <mergeCell ref="AP14:AP15"/>
    <mergeCell ref="AQ14:AQ15"/>
    <mergeCell ref="AR14:AR15"/>
    <mergeCell ref="AS14:AW14"/>
    <mergeCell ref="AX14:AX15"/>
    <mergeCell ref="AX51:AX52"/>
    <mergeCell ref="AP64:AQ64"/>
    <mergeCell ref="AP51:AP52"/>
    <mergeCell ref="AQ51:AQ52"/>
    <mergeCell ref="AR51:AR52"/>
    <mergeCell ref="AS51:AW51"/>
    <mergeCell ref="AF27:AG27"/>
    <mergeCell ref="AD14:AD15"/>
    <mergeCell ref="AF14:AF15"/>
    <mergeCell ref="AG14:AG15"/>
    <mergeCell ref="AH14:AH15"/>
    <mergeCell ref="V10:AD10"/>
    <mergeCell ref="AF10:AN10"/>
    <mergeCell ref="AN14:AN15"/>
    <mergeCell ref="C14:C15"/>
    <mergeCell ref="C4:V4"/>
    <mergeCell ref="C5:V5"/>
    <mergeCell ref="B10:J10"/>
    <mergeCell ref="L10:T10"/>
    <mergeCell ref="AI14:AM14"/>
    <mergeCell ref="T14:T15"/>
    <mergeCell ref="V14:V15"/>
    <mergeCell ref="W14:W15"/>
    <mergeCell ref="X14:X15"/>
    <mergeCell ref="Y14:AC14"/>
    <mergeCell ref="N14:N15"/>
    <mergeCell ref="M14:M15"/>
    <mergeCell ref="L14:L15"/>
    <mergeCell ref="AN32:AN33"/>
    <mergeCell ref="AD32:AD33"/>
    <mergeCell ref="B51:B52"/>
    <mergeCell ref="C51:C52"/>
    <mergeCell ref="D51:D52"/>
    <mergeCell ref="E51:I51"/>
    <mergeCell ref="J51:J52"/>
    <mergeCell ref="AF45:AG45"/>
    <mergeCell ref="AF32:AF33"/>
    <mergeCell ref="AG32:AG33"/>
    <mergeCell ref="AH32:AH33"/>
    <mergeCell ref="AI32:AM32"/>
    <mergeCell ref="AH51:AH52"/>
    <mergeCell ref="AI51:AM51"/>
    <mergeCell ref="Y32:AC32"/>
    <mergeCell ref="AF64:AG64"/>
    <mergeCell ref="AF51:AF52"/>
    <mergeCell ref="AG51:AG52"/>
    <mergeCell ref="L51:L52"/>
    <mergeCell ref="M51:M52"/>
    <mergeCell ref="N51:N52"/>
    <mergeCell ref="O51:S51"/>
    <mergeCell ref="T51:T52"/>
    <mergeCell ref="AN51:AN52"/>
    <mergeCell ref="V51:V52"/>
    <mergeCell ref="W51:W52"/>
    <mergeCell ref="X51:X52"/>
    <mergeCell ref="Y51:AC51"/>
    <mergeCell ref="AD51:AD52"/>
    <mergeCell ref="C97:J97"/>
    <mergeCell ref="B101:C101"/>
    <mergeCell ref="B106:B107"/>
    <mergeCell ref="L64:M64"/>
    <mergeCell ref="V64:W64"/>
    <mergeCell ref="B14:B15"/>
    <mergeCell ref="E32:I32"/>
    <mergeCell ref="B27:C27"/>
    <mergeCell ref="J14:J15"/>
    <mergeCell ref="B64:C64"/>
    <mergeCell ref="B69:J69"/>
    <mergeCell ref="B70:B71"/>
    <mergeCell ref="C70:J70"/>
    <mergeCell ref="B82:C82"/>
    <mergeCell ref="B87:B88"/>
    <mergeCell ref="C87:J87"/>
    <mergeCell ref="B92:C92"/>
    <mergeCell ref="B97:B98"/>
    <mergeCell ref="O32:S32"/>
    <mergeCell ref="V27:W27"/>
    <mergeCell ref="O14:S14"/>
    <mergeCell ref="L27:M27"/>
    <mergeCell ref="E14:I14"/>
    <mergeCell ref="D14:D15"/>
    <mergeCell ref="B111:C111"/>
    <mergeCell ref="C106:J106"/>
    <mergeCell ref="B175:B176"/>
    <mergeCell ref="C175:H175"/>
    <mergeCell ref="B180:B181"/>
    <mergeCell ref="C180:H180"/>
    <mergeCell ref="B192:H192"/>
    <mergeCell ref="B143:B144"/>
    <mergeCell ref="C143:H143"/>
    <mergeCell ref="B167:B168"/>
    <mergeCell ref="C167:H167"/>
  </mergeCells>
  <pageMargins left="0.7" right="0.7" top="0.75" bottom="0.75" header="0.3" footer="0.3"/>
  <pageSetup orientation="landscape"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FF66"/>
  </sheetPr>
  <dimension ref="B1:AJ378"/>
  <sheetViews>
    <sheetView topLeftCell="C1" zoomScaleNormal="100" workbookViewId="0">
      <selection activeCell="C1" sqref="A1:XFD1048576"/>
    </sheetView>
  </sheetViews>
  <sheetFormatPr baseColWidth="10" defaultRowHeight="12.75" x14ac:dyDescent="0.2"/>
  <cols>
    <col min="1" max="1" width="11.5703125" style="231"/>
    <col min="2" max="2" width="3.7109375" style="232" customWidth="1"/>
    <col min="3" max="3" width="4.42578125" style="231" customWidth="1"/>
    <col min="4" max="4" width="45.7109375" style="231" customWidth="1"/>
    <col min="5" max="5" width="14.5703125" style="231" customWidth="1"/>
    <col min="6" max="7" width="12.7109375" style="231" customWidth="1"/>
    <col min="8" max="8" width="13.140625" style="231" customWidth="1"/>
    <col min="9" max="11" width="12.7109375" style="231" customWidth="1"/>
    <col min="12" max="12" width="22.7109375" style="231" customWidth="1"/>
    <col min="13" max="17" width="12.7109375" style="231" customWidth="1"/>
    <col min="18" max="18" width="14.42578125" style="231" customWidth="1"/>
    <col min="19" max="19" width="12.7109375" style="231" customWidth="1"/>
    <col min="20" max="20" width="33.140625" style="231" customWidth="1"/>
    <col min="21" max="23" width="12.7109375" style="231" customWidth="1"/>
    <col min="24" max="34" width="11.5703125" style="231"/>
    <col min="35" max="35" width="13" style="231" bestFit="1" customWidth="1"/>
    <col min="36" max="257" width="11.5703125" style="231"/>
    <col min="258" max="258" width="3.7109375" style="231" customWidth="1"/>
    <col min="259" max="259" width="4.42578125" style="231" customWidth="1"/>
    <col min="260" max="260" width="35.42578125" style="231" customWidth="1"/>
    <col min="261" max="261" width="14.5703125" style="231" customWidth="1"/>
    <col min="262" max="279" width="12.7109375" style="231" customWidth="1"/>
    <col min="280" max="513" width="11.5703125" style="231"/>
    <col min="514" max="514" width="3.7109375" style="231" customWidth="1"/>
    <col min="515" max="515" width="4.42578125" style="231" customWidth="1"/>
    <col min="516" max="516" width="35.42578125" style="231" customWidth="1"/>
    <col min="517" max="517" width="14.5703125" style="231" customWidth="1"/>
    <col min="518" max="535" width="12.7109375" style="231" customWidth="1"/>
    <col min="536" max="769" width="11.5703125" style="231"/>
    <col min="770" max="770" width="3.7109375" style="231" customWidth="1"/>
    <col min="771" max="771" width="4.42578125" style="231" customWidth="1"/>
    <col min="772" max="772" width="35.42578125" style="231" customWidth="1"/>
    <col min="773" max="773" width="14.5703125" style="231" customWidth="1"/>
    <col min="774" max="791" width="12.7109375" style="231" customWidth="1"/>
    <col min="792" max="1025" width="11.5703125" style="231"/>
    <col min="1026" max="1026" width="3.7109375" style="231" customWidth="1"/>
    <col min="1027" max="1027" width="4.42578125" style="231" customWidth="1"/>
    <col min="1028" max="1028" width="35.42578125" style="231" customWidth="1"/>
    <col min="1029" max="1029" width="14.5703125" style="231" customWidth="1"/>
    <col min="1030" max="1047" width="12.7109375" style="231" customWidth="1"/>
    <col min="1048" max="1281" width="11.5703125" style="231"/>
    <col min="1282" max="1282" width="3.7109375" style="231" customWidth="1"/>
    <col min="1283" max="1283" width="4.42578125" style="231" customWidth="1"/>
    <col min="1284" max="1284" width="35.42578125" style="231" customWidth="1"/>
    <col min="1285" max="1285" width="14.5703125" style="231" customWidth="1"/>
    <col min="1286" max="1303" width="12.7109375" style="231" customWidth="1"/>
    <col min="1304" max="1537" width="11.5703125" style="231"/>
    <col min="1538" max="1538" width="3.7109375" style="231" customWidth="1"/>
    <col min="1539" max="1539" width="4.42578125" style="231" customWidth="1"/>
    <col min="1540" max="1540" width="35.42578125" style="231" customWidth="1"/>
    <col min="1541" max="1541" width="14.5703125" style="231" customWidth="1"/>
    <col min="1542" max="1559" width="12.7109375" style="231" customWidth="1"/>
    <col min="1560" max="1793" width="11.5703125" style="231"/>
    <col min="1794" max="1794" width="3.7109375" style="231" customWidth="1"/>
    <col min="1795" max="1795" width="4.42578125" style="231" customWidth="1"/>
    <col min="1796" max="1796" width="35.42578125" style="231" customWidth="1"/>
    <col min="1797" max="1797" width="14.5703125" style="231" customWidth="1"/>
    <col min="1798" max="1815" width="12.7109375" style="231" customWidth="1"/>
    <col min="1816" max="2049" width="11.5703125" style="231"/>
    <col min="2050" max="2050" width="3.7109375" style="231" customWidth="1"/>
    <col min="2051" max="2051" width="4.42578125" style="231" customWidth="1"/>
    <col min="2052" max="2052" width="35.42578125" style="231" customWidth="1"/>
    <col min="2053" max="2053" width="14.5703125" style="231" customWidth="1"/>
    <col min="2054" max="2071" width="12.7109375" style="231" customWidth="1"/>
    <col min="2072" max="2305" width="11.5703125" style="231"/>
    <col min="2306" max="2306" width="3.7109375" style="231" customWidth="1"/>
    <col min="2307" max="2307" width="4.42578125" style="231" customWidth="1"/>
    <col min="2308" max="2308" width="35.42578125" style="231" customWidth="1"/>
    <col min="2309" max="2309" width="14.5703125" style="231" customWidth="1"/>
    <col min="2310" max="2327" width="12.7109375" style="231" customWidth="1"/>
    <col min="2328" max="2561" width="11.5703125" style="231"/>
    <col min="2562" max="2562" width="3.7109375" style="231" customWidth="1"/>
    <col min="2563" max="2563" width="4.42578125" style="231" customWidth="1"/>
    <col min="2564" max="2564" width="35.42578125" style="231" customWidth="1"/>
    <col min="2565" max="2565" width="14.5703125" style="231" customWidth="1"/>
    <col min="2566" max="2583" width="12.7109375" style="231" customWidth="1"/>
    <col min="2584" max="2817" width="11.5703125" style="231"/>
    <col min="2818" max="2818" width="3.7109375" style="231" customWidth="1"/>
    <col min="2819" max="2819" width="4.42578125" style="231" customWidth="1"/>
    <col min="2820" max="2820" width="35.42578125" style="231" customWidth="1"/>
    <col min="2821" max="2821" width="14.5703125" style="231" customWidth="1"/>
    <col min="2822" max="2839" width="12.7109375" style="231" customWidth="1"/>
    <col min="2840" max="3073" width="11.5703125" style="231"/>
    <col min="3074" max="3074" width="3.7109375" style="231" customWidth="1"/>
    <col min="3075" max="3075" width="4.42578125" style="231" customWidth="1"/>
    <col min="3076" max="3076" width="35.42578125" style="231" customWidth="1"/>
    <col min="3077" max="3077" width="14.5703125" style="231" customWidth="1"/>
    <col min="3078" max="3095" width="12.7109375" style="231" customWidth="1"/>
    <col min="3096" max="3329" width="11.5703125" style="231"/>
    <col min="3330" max="3330" width="3.7109375" style="231" customWidth="1"/>
    <col min="3331" max="3331" width="4.42578125" style="231" customWidth="1"/>
    <col min="3332" max="3332" width="35.42578125" style="231" customWidth="1"/>
    <col min="3333" max="3333" width="14.5703125" style="231" customWidth="1"/>
    <col min="3334" max="3351" width="12.7109375" style="231" customWidth="1"/>
    <col min="3352" max="3585" width="11.5703125" style="231"/>
    <col min="3586" max="3586" width="3.7109375" style="231" customWidth="1"/>
    <col min="3587" max="3587" width="4.42578125" style="231" customWidth="1"/>
    <col min="3588" max="3588" width="35.42578125" style="231" customWidth="1"/>
    <col min="3589" max="3589" width="14.5703125" style="231" customWidth="1"/>
    <col min="3590" max="3607" width="12.7109375" style="231" customWidth="1"/>
    <col min="3608" max="3841" width="11.5703125" style="231"/>
    <col min="3842" max="3842" width="3.7109375" style="231" customWidth="1"/>
    <col min="3843" max="3843" width="4.42578125" style="231" customWidth="1"/>
    <col min="3844" max="3844" width="35.42578125" style="231" customWidth="1"/>
    <col min="3845" max="3845" width="14.5703125" style="231" customWidth="1"/>
    <col min="3846" max="3863" width="12.7109375" style="231" customWidth="1"/>
    <col min="3864" max="4097" width="11.5703125" style="231"/>
    <col min="4098" max="4098" width="3.7109375" style="231" customWidth="1"/>
    <col min="4099" max="4099" width="4.42578125" style="231" customWidth="1"/>
    <col min="4100" max="4100" width="35.42578125" style="231" customWidth="1"/>
    <col min="4101" max="4101" width="14.5703125" style="231" customWidth="1"/>
    <col min="4102" max="4119" width="12.7109375" style="231" customWidth="1"/>
    <col min="4120" max="4353" width="11.5703125" style="231"/>
    <col min="4354" max="4354" width="3.7109375" style="231" customWidth="1"/>
    <col min="4355" max="4355" width="4.42578125" style="231" customWidth="1"/>
    <col min="4356" max="4356" width="35.42578125" style="231" customWidth="1"/>
    <col min="4357" max="4357" width="14.5703125" style="231" customWidth="1"/>
    <col min="4358" max="4375" width="12.7109375" style="231" customWidth="1"/>
    <col min="4376" max="4609" width="11.5703125" style="231"/>
    <col min="4610" max="4610" width="3.7109375" style="231" customWidth="1"/>
    <col min="4611" max="4611" width="4.42578125" style="231" customWidth="1"/>
    <col min="4612" max="4612" width="35.42578125" style="231" customWidth="1"/>
    <col min="4613" max="4613" width="14.5703125" style="231" customWidth="1"/>
    <col min="4614" max="4631" width="12.7109375" style="231" customWidth="1"/>
    <col min="4632" max="4865" width="11.5703125" style="231"/>
    <col min="4866" max="4866" width="3.7109375" style="231" customWidth="1"/>
    <col min="4867" max="4867" width="4.42578125" style="231" customWidth="1"/>
    <col min="4868" max="4868" width="35.42578125" style="231" customWidth="1"/>
    <col min="4869" max="4869" width="14.5703125" style="231" customWidth="1"/>
    <col min="4870" max="4887" width="12.7109375" style="231" customWidth="1"/>
    <col min="4888" max="5121" width="11.5703125" style="231"/>
    <col min="5122" max="5122" width="3.7109375" style="231" customWidth="1"/>
    <col min="5123" max="5123" width="4.42578125" style="231" customWidth="1"/>
    <col min="5124" max="5124" width="35.42578125" style="231" customWidth="1"/>
    <col min="5125" max="5125" width="14.5703125" style="231" customWidth="1"/>
    <col min="5126" max="5143" width="12.7109375" style="231" customWidth="1"/>
    <col min="5144" max="5377" width="11.5703125" style="231"/>
    <col min="5378" max="5378" width="3.7109375" style="231" customWidth="1"/>
    <col min="5379" max="5379" width="4.42578125" style="231" customWidth="1"/>
    <col min="5380" max="5380" width="35.42578125" style="231" customWidth="1"/>
    <col min="5381" max="5381" width="14.5703125" style="231" customWidth="1"/>
    <col min="5382" max="5399" width="12.7109375" style="231" customWidth="1"/>
    <col min="5400" max="5633" width="11.5703125" style="231"/>
    <col min="5634" max="5634" width="3.7109375" style="231" customWidth="1"/>
    <col min="5635" max="5635" width="4.42578125" style="231" customWidth="1"/>
    <col min="5636" max="5636" width="35.42578125" style="231" customWidth="1"/>
    <col min="5637" max="5637" width="14.5703125" style="231" customWidth="1"/>
    <col min="5638" max="5655" width="12.7109375" style="231" customWidth="1"/>
    <col min="5656" max="5889" width="11.5703125" style="231"/>
    <col min="5890" max="5890" width="3.7109375" style="231" customWidth="1"/>
    <col min="5891" max="5891" width="4.42578125" style="231" customWidth="1"/>
    <col min="5892" max="5892" width="35.42578125" style="231" customWidth="1"/>
    <col min="5893" max="5893" width="14.5703125" style="231" customWidth="1"/>
    <col min="5894" max="5911" width="12.7109375" style="231" customWidth="1"/>
    <col min="5912" max="6145" width="11.5703125" style="231"/>
    <col min="6146" max="6146" width="3.7109375" style="231" customWidth="1"/>
    <col min="6147" max="6147" width="4.42578125" style="231" customWidth="1"/>
    <col min="6148" max="6148" width="35.42578125" style="231" customWidth="1"/>
    <col min="6149" max="6149" width="14.5703125" style="231" customWidth="1"/>
    <col min="6150" max="6167" width="12.7109375" style="231" customWidth="1"/>
    <col min="6168" max="6401" width="11.5703125" style="231"/>
    <col min="6402" max="6402" width="3.7109375" style="231" customWidth="1"/>
    <col min="6403" max="6403" width="4.42578125" style="231" customWidth="1"/>
    <col min="6404" max="6404" width="35.42578125" style="231" customWidth="1"/>
    <col min="6405" max="6405" width="14.5703125" style="231" customWidth="1"/>
    <col min="6406" max="6423" width="12.7109375" style="231" customWidth="1"/>
    <col min="6424" max="6657" width="11.5703125" style="231"/>
    <col min="6658" max="6658" width="3.7109375" style="231" customWidth="1"/>
    <col min="6659" max="6659" width="4.42578125" style="231" customWidth="1"/>
    <col min="6660" max="6660" width="35.42578125" style="231" customWidth="1"/>
    <col min="6661" max="6661" width="14.5703125" style="231" customWidth="1"/>
    <col min="6662" max="6679" width="12.7109375" style="231" customWidth="1"/>
    <col min="6680" max="6913" width="11.5703125" style="231"/>
    <col min="6914" max="6914" width="3.7109375" style="231" customWidth="1"/>
    <col min="6915" max="6915" width="4.42578125" style="231" customWidth="1"/>
    <col min="6916" max="6916" width="35.42578125" style="231" customWidth="1"/>
    <col min="6917" max="6917" width="14.5703125" style="231" customWidth="1"/>
    <col min="6918" max="6935" width="12.7109375" style="231" customWidth="1"/>
    <col min="6936" max="7169" width="11.5703125" style="231"/>
    <col min="7170" max="7170" width="3.7109375" style="231" customWidth="1"/>
    <col min="7171" max="7171" width="4.42578125" style="231" customWidth="1"/>
    <col min="7172" max="7172" width="35.42578125" style="231" customWidth="1"/>
    <col min="7173" max="7173" width="14.5703125" style="231" customWidth="1"/>
    <col min="7174" max="7191" width="12.7109375" style="231" customWidth="1"/>
    <col min="7192" max="7425" width="11.5703125" style="231"/>
    <col min="7426" max="7426" width="3.7109375" style="231" customWidth="1"/>
    <col min="7427" max="7427" width="4.42578125" style="231" customWidth="1"/>
    <col min="7428" max="7428" width="35.42578125" style="231" customWidth="1"/>
    <col min="7429" max="7429" width="14.5703125" style="231" customWidth="1"/>
    <col min="7430" max="7447" width="12.7109375" style="231" customWidth="1"/>
    <col min="7448" max="7681" width="11.5703125" style="231"/>
    <col min="7682" max="7682" width="3.7109375" style="231" customWidth="1"/>
    <col min="7683" max="7683" width="4.42578125" style="231" customWidth="1"/>
    <col min="7684" max="7684" width="35.42578125" style="231" customWidth="1"/>
    <col min="7685" max="7685" width="14.5703125" style="231" customWidth="1"/>
    <col min="7686" max="7703" width="12.7109375" style="231" customWidth="1"/>
    <col min="7704" max="7937" width="11.5703125" style="231"/>
    <col min="7938" max="7938" width="3.7109375" style="231" customWidth="1"/>
    <col min="7939" max="7939" width="4.42578125" style="231" customWidth="1"/>
    <col min="7940" max="7940" width="35.42578125" style="231" customWidth="1"/>
    <col min="7941" max="7941" width="14.5703125" style="231" customWidth="1"/>
    <col min="7942" max="7959" width="12.7109375" style="231" customWidth="1"/>
    <col min="7960" max="8193" width="11.5703125" style="231"/>
    <col min="8194" max="8194" width="3.7109375" style="231" customWidth="1"/>
    <col min="8195" max="8195" width="4.42578125" style="231" customWidth="1"/>
    <col min="8196" max="8196" width="35.42578125" style="231" customWidth="1"/>
    <col min="8197" max="8197" width="14.5703125" style="231" customWidth="1"/>
    <col min="8198" max="8215" width="12.7109375" style="231" customWidth="1"/>
    <col min="8216" max="8449" width="11.5703125" style="231"/>
    <col min="8450" max="8450" width="3.7109375" style="231" customWidth="1"/>
    <col min="8451" max="8451" width="4.42578125" style="231" customWidth="1"/>
    <col min="8452" max="8452" width="35.42578125" style="231" customWidth="1"/>
    <col min="8453" max="8453" width="14.5703125" style="231" customWidth="1"/>
    <col min="8454" max="8471" width="12.7109375" style="231" customWidth="1"/>
    <col min="8472" max="8705" width="11.5703125" style="231"/>
    <col min="8706" max="8706" width="3.7109375" style="231" customWidth="1"/>
    <col min="8707" max="8707" width="4.42578125" style="231" customWidth="1"/>
    <col min="8708" max="8708" width="35.42578125" style="231" customWidth="1"/>
    <col min="8709" max="8709" width="14.5703125" style="231" customWidth="1"/>
    <col min="8710" max="8727" width="12.7109375" style="231" customWidth="1"/>
    <col min="8728" max="8961" width="11.5703125" style="231"/>
    <col min="8962" max="8962" width="3.7109375" style="231" customWidth="1"/>
    <col min="8963" max="8963" width="4.42578125" style="231" customWidth="1"/>
    <col min="8964" max="8964" width="35.42578125" style="231" customWidth="1"/>
    <col min="8965" max="8965" width="14.5703125" style="231" customWidth="1"/>
    <col min="8966" max="8983" width="12.7109375" style="231" customWidth="1"/>
    <col min="8984" max="9217" width="11.5703125" style="231"/>
    <col min="9218" max="9218" width="3.7109375" style="231" customWidth="1"/>
    <col min="9219" max="9219" width="4.42578125" style="231" customWidth="1"/>
    <col min="9220" max="9220" width="35.42578125" style="231" customWidth="1"/>
    <col min="9221" max="9221" width="14.5703125" style="231" customWidth="1"/>
    <col min="9222" max="9239" width="12.7109375" style="231" customWidth="1"/>
    <col min="9240" max="9473" width="11.5703125" style="231"/>
    <col min="9474" max="9474" width="3.7109375" style="231" customWidth="1"/>
    <col min="9475" max="9475" width="4.42578125" style="231" customWidth="1"/>
    <col min="9476" max="9476" width="35.42578125" style="231" customWidth="1"/>
    <col min="9477" max="9477" width="14.5703125" style="231" customWidth="1"/>
    <col min="9478" max="9495" width="12.7109375" style="231" customWidth="1"/>
    <col min="9496" max="9729" width="11.5703125" style="231"/>
    <col min="9730" max="9730" width="3.7109375" style="231" customWidth="1"/>
    <col min="9731" max="9731" width="4.42578125" style="231" customWidth="1"/>
    <col min="9732" max="9732" width="35.42578125" style="231" customWidth="1"/>
    <col min="9733" max="9733" width="14.5703125" style="231" customWidth="1"/>
    <col min="9734" max="9751" width="12.7109375" style="231" customWidth="1"/>
    <col min="9752" max="9985" width="11.5703125" style="231"/>
    <col min="9986" max="9986" width="3.7109375" style="231" customWidth="1"/>
    <col min="9987" max="9987" width="4.42578125" style="231" customWidth="1"/>
    <col min="9988" max="9988" width="35.42578125" style="231" customWidth="1"/>
    <col min="9989" max="9989" width="14.5703125" style="231" customWidth="1"/>
    <col min="9990" max="10007" width="12.7109375" style="231" customWidth="1"/>
    <col min="10008" max="10241" width="11.5703125" style="231"/>
    <col min="10242" max="10242" width="3.7109375" style="231" customWidth="1"/>
    <col min="10243" max="10243" width="4.42578125" style="231" customWidth="1"/>
    <col min="10244" max="10244" width="35.42578125" style="231" customWidth="1"/>
    <col min="10245" max="10245" width="14.5703125" style="231" customWidth="1"/>
    <col min="10246" max="10263" width="12.7109375" style="231" customWidth="1"/>
    <col min="10264" max="10497" width="11.5703125" style="231"/>
    <col min="10498" max="10498" width="3.7109375" style="231" customWidth="1"/>
    <col min="10499" max="10499" width="4.42578125" style="231" customWidth="1"/>
    <col min="10500" max="10500" width="35.42578125" style="231" customWidth="1"/>
    <col min="10501" max="10501" width="14.5703125" style="231" customWidth="1"/>
    <col min="10502" max="10519" width="12.7109375" style="231" customWidth="1"/>
    <col min="10520" max="10753" width="11.5703125" style="231"/>
    <col min="10754" max="10754" width="3.7109375" style="231" customWidth="1"/>
    <col min="10755" max="10755" width="4.42578125" style="231" customWidth="1"/>
    <col min="10756" max="10756" width="35.42578125" style="231" customWidth="1"/>
    <col min="10757" max="10757" width="14.5703125" style="231" customWidth="1"/>
    <col min="10758" max="10775" width="12.7109375" style="231" customWidth="1"/>
    <col min="10776" max="11009" width="11.5703125" style="231"/>
    <col min="11010" max="11010" width="3.7109375" style="231" customWidth="1"/>
    <col min="11011" max="11011" width="4.42578125" style="231" customWidth="1"/>
    <col min="11012" max="11012" width="35.42578125" style="231" customWidth="1"/>
    <col min="11013" max="11013" width="14.5703125" style="231" customWidth="1"/>
    <col min="11014" max="11031" width="12.7109375" style="231" customWidth="1"/>
    <col min="11032" max="11265" width="11.5703125" style="231"/>
    <col min="11266" max="11266" width="3.7109375" style="231" customWidth="1"/>
    <col min="11267" max="11267" width="4.42578125" style="231" customWidth="1"/>
    <col min="11268" max="11268" width="35.42578125" style="231" customWidth="1"/>
    <col min="11269" max="11269" width="14.5703125" style="231" customWidth="1"/>
    <col min="11270" max="11287" width="12.7109375" style="231" customWidth="1"/>
    <col min="11288" max="11521" width="11.5703125" style="231"/>
    <col min="11522" max="11522" width="3.7109375" style="231" customWidth="1"/>
    <col min="11523" max="11523" width="4.42578125" style="231" customWidth="1"/>
    <col min="11524" max="11524" width="35.42578125" style="231" customWidth="1"/>
    <col min="11525" max="11525" width="14.5703125" style="231" customWidth="1"/>
    <col min="11526" max="11543" width="12.7109375" style="231" customWidth="1"/>
    <col min="11544" max="11777" width="11.5703125" style="231"/>
    <col min="11778" max="11778" width="3.7109375" style="231" customWidth="1"/>
    <col min="11779" max="11779" width="4.42578125" style="231" customWidth="1"/>
    <col min="11780" max="11780" width="35.42578125" style="231" customWidth="1"/>
    <col min="11781" max="11781" width="14.5703125" style="231" customWidth="1"/>
    <col min="11782" max="11799" width="12.7109375" style="231" customWidth="1"/>
    <col min="11800" max="12033" width="11.5703125" style="231"/>
    <col min="12034" max="12034" width="3.7109375" style="231" customWidth="1"/>
    <col min="12035" max="12035" width="4.42578125" style="231" customWidth="1"/>
    <col min="12036" max="12036" width="35.42578125" style="231" customWidth="1"/>
    <col min="12037" max="12037" width="14.5703125" style="231" customWidth="1"/>
    <col min="12038" max="12055" width="12.7109375" style="231" customWidth="1"/>
    <col min="12056" max="12289" width="11.5703125" style="231"/>
    <col min="12290" max="12290" width="3.7109375" style="231" customWidth="1"/>
    <col min="12291" max="12291" width="4.42578125" style="231" customWidth="1"/>
    <col min="12292" max="12292" width="35.42578125" style="231" customWidth="1"/>
    <col min="12293" max="12293" width="14.5703125" style="231" customWidth="1"/>
    <col min="12294" max="12311" width="12.7109375" style="231" customWidth="1"/>
    <col min="12312" max="12545" width="11.5703125" style="231"/>
    <col min="12546" max="12546" width="3.7109375" style="231" customWidth="1"/>
    <col min="12547" max="12547" width="4.42578125" style="231" customWidth="1"/>
    <col min="12548" max="12548" width="35.42578125" style="231" customWidth="1"/>
    <col min="12549" max="12549" width="14.5703125" style="231" customWidth="1"/>
    <col min="12550" max="12567" width="12.7109375" style="231" customWidth="1"/>
    <col min="12568" max="12801" width="11.5703125" style="231"/>
    <col min="12802" max="12802" width="3.7109375" style="231" customWidth="1"/>
    <col min="12803" max="12803" width="4.42578125" style="231" customWidth="1"/>
    <col min="12804" max="12804" width="35.42578125" style="231" customWidth="1"/>
    <col min="12805" max="12805" width="14.5703125" style="231" customWidth="1"/>
    <col min="12806" max="12823" width="12.7109375" style="231" customWidth="1"/>
    <col min="12824" max="13057" width="11.5703125" style="231"/>
    <col min="13058" max="13058" width="3.7109375" style="231" customWidth="1"/>
    <col min="13059" max="13059" width="4.42578125" style="231" customWidth="1"/>
    <col min="13060" max="13060" width="35.42578125" style="231" customWidth="1"/>
    <col min="13061" max="13061" width="14.5703125" style="231" customWidth="1"/>
    <col min="13062" max="13079" width="12.7109375" style="231" customWidth="1"/>
    <col min="13080" max="13313" width="11.5703125" style="231"/>
    <col min="13314" max="13314" width="3.7109375" style="231" customWidth="1"/>
    <col min="13315" max="13315" width="4.42578125" style="231" customWidth="1"/>
    <col min="13316" max="13316" width="35.42578125" style="231" customWidth="1"/>
    <col min="13317" max="13317" width="14.5703125" style="231" customWidth="1"/>
    <col min="13318" max="13335" width="12.7109375" style="231" customWidth="1"/>
    <col min="13336" max="13569" width="11.5703125" style="231"/>
    <col min="13570" max="13570" width="3.7109375" style="231" customWidth="1"/>
    <col min="13571" max="13571" width="4.42578125" style="231" customWidth="1"/>
    <col min="13572" max="13572" width="35.42578125" style="231" customWidth="1"/>
    <col min="13573" max="13573" width="14.5703125" style="231" customWidth="1"/>
    <col min="13574" max="13591" width="12.7109375" style="231" customWidth="1"/>
    <col min="13592" max="13825" width="11.5703125" style="231"/>
    <col min="13826" max="13826" width="3.7109375" style="231" customWidth="1"/>
    <col min="13827" max="13827" width="4.42578125" style="231" customWidth="1"/>
    <col min="13828" max="13828" width="35.42578125" style="231" customWidth="1"/>
    <col min="13829" max="13829" width="14.5703125" style="231" customWidth="1"/>
    <col min="13830" max="13847" width="12.7109375" style="231" customWidth="1"/>
    <col min="13848" max="14081" width="11.5703125" style="231"/>
    <col min="14082" max="14082" width="3.7109375" style="231" customWidth="1"/>
    <col min="14083" max="14083" width="4.42578125" style="231" customWidth="1"/>
    <col min="14084" max="14084" width="35.42578125" style="231" customWidth="1"/>
    <col min="14085" max="14085" width="14.5703125" style="231" customWidth="1"/>
    <col min="14086" max="14103" width="12.7109375" style="231" customWidth="1"/>
    <col min="14104" max="14337" width="11.5703125" style="231"/>
    <col min="14338" max="14338" width="3.7109375" style="231" customWidth="1"/>
    <col min="14339" max="14339" width="4.42578125" style="231" customWidth="1"/>
    <col min="14340" max="14340" width="35.42578125" style="231" customWidth="1"/>
    <col min="14341" max="14341" width="14.5703125" style="231" customWidth="1"/>
    <col min="14342" max="14359" width="12.7109375" style="231" customWidth="1"/>
    <col min="14360" max="14593" width="11.5703125" style="231"/>
    <col min="14594" max="14594" width="3.7109375" style="231" customWidth="1"/>
    <col min="14595" max="14595" width="4.42578125" style="231" customWidth="1"/>
    <col min="14596" max="14596" width="35.42578125" style="231" customWidth="1"/>
    <col min="14597" max="14597" width="14.5703125" style="231" customWidth="1"/>
    <col min="14598" max="14615" width="12.7109375" style="231" customWidth="1"/>
    <col min="14616" max="14849" width="11.5703125" style="231"/>
    <col min="14850" max="14850" width="3.7109375" style="231" customWidth="1"/>
    <col min="14851" max="14851" width="4.42578125" style="231" customWidth="1"/>
    <col min="14852" max="14852" width="35.42578125" style="231" customWidth="1"/>
    <col min="14853" max="14853" width="14.5703125" style="231" customWidth="1"/>
    <col min="14854" max="14871" width="12.7109375" style="231" customWidth="1"/>
    <col min="14872" max="15105" width="11.5703125" style="231"/>
    <col min="15106" max="15106" width="3.7109375" style="231" customWidth="1"/>
    <col min="15107" max="15107" width="4.42578125" style="231" customWidth="1"/>
    <col min="15108" max="15108" width="35.42578125" style="231" customWidth="1"/>
    <col min="15109" max="15109" width="14.5703125" style="231" customWidth="1"/>
    <col min="15110" max="15127" width="12.7109375" style="231" customWidth="1"/>
    <col min="15128" max="15361" width="11.5703125" style="231"/>
    <col min="15362" max="15362" width="3.7109375" style="231" customWidth="1"/>
    <col min="15363" max="15363" width="4.42578125" style="231" customWidth="1"/>
    <col min="15364" max="15364" width="35.42578125" style="231" customWidth="1"/>
    <col min="15365" max="15365" width="14.5703125" style="231" customWidth="1"/>
    <col min="15366" max="15383" width="12.7109375" style="231" customWidth="1"/>
    <col min="15384" max="15617" width="11.5703125" style="231"/>
    <col min="15618" max="15618" width="3.7109375" style="231" customWidth="1"/>
    <col min="15619" max="15619" width="4.42578125" style="231" customWidth="1"/>
    <col min="15620" max="15620" width="35.42578125" style="231" customWidth="1"/>
    <col min="15621" max="15621" width="14.5703125" style="231" customWidth="1"/>
    <col min="15622" max="15639" width="12.7109375" style="231" customWidth="1"/>
    <col min="15640" max="15873" width="11.5703125" style="231"/>
    <col min="15874" max="15874" width="3.7109375" style="231" customWidth="1"/>
    <col min="15875" max="15875" width="4.42578125" style="231" customWidth="1"/>
    <col min="15876" max="15876" width="35.42578125" style="231" customWidth="1"/>
    <col min="15877" max="15877" width="14.5703125" style="231" customWidth="1"/>
    <col min="15878" max="15895" width="12.7109375" style="231" customWidth="1"/>
    <col min="15896" max="16129" width="11.5703125" style="231"/>
    <col min="16130" max="16130" width="3.7109375" style="231" customWidth="1"/>
    <col min="16131" max="16131" width="4.42578125" style="231" customWidth="1"/>
    <col min="16132" max="16132" width="35.42578125" style="231" customWidth="1"/>
    <col min="16133" max="16133" width="14.5703125" style="231" customWidth="1"/>
    <col min="16134" max="16151" width="12.7109375" style="231" customWidth="1"/>
    <col min="16152" max="16384" width="11.5703125" style="231"/>
  </cols>
  <sheetData>
    <row r="1" spans="2:23" ht="13.5" thickBot="1" x14ac:dyDescent="0.25">
      <c r="B1" s="231"/>
      <c r="D1" s="232"/>
    </row>
    <row r="2" spans="2:23" x14ac:dyDescent="0.2">
      <c r="B2" s="348"/>
      <c r="C2" s="349"/>
      <c r="D2" s="350"/>
      <c r="E2" s="349"/>
      <c r="F2" s="349"/>
      <c r="G2" s="349"/>
      <c r="H2" s="349"/>
      <c r="I2" s="349"/>
      <c r="J2" s="349"/>
      <c r="K2" s="349"/>
      <c r="L2" s="349"/>
      <c r="M2" s="349"/>
      <c r="N2" s="349"/>
      <c r="O2" s="349"/>
      <c r="P2" s="349"/>
      <c r="Q2" s="349"/>
      <c r="R2" s="349"/>
      <c r="S2" s="349"/>
      <c r="T2" s="349"/>
      <c r="U2" s="349"/>
      <c r="V2" s="349"/>
      <c r="W2" s="349"/>
    </row>
    <row r="3" spans="2:23" x14ac:dyDescent="0.2">
      <c r="B3" s="351"/>
      <c r="D3" s="232"/>
    </row>
    <row r="4" spans="2:23" x14ac:dyDescent="0.2">
      <c r="B4" s="351"/>
      <c r="D4" s="232"/>
    </row>
    <row r="5" spans="2:23" ht="27.75" customHeight="1" x14ac:dyDescent="0.2">
      <c r="B5" s="352"/>
      <c r="C5" s="4169" t="s">
        <v>618</v>
      </c>
      <c r="D5" s="4201"/>
      <c r="E5" s="4201"/>
      <c r="F5" s="4201"/>
      <c r="G5" s="4201"/>
      <c r="H5" s="4201"/>
      <c r="I5" s="4201"/>
      <c r="J5" s="4201"/>
      <c r="K5" s="4201"/>
      <c r="L5" s="4201"/>
      <c r="M5" s="4201"/>
      <c r="N5" s="4201"/>
      <c r="O5" s="4201"/>
      <c r="P5" s="4170"/>
    </row>
    <row r="6" spans="2:23" x14ac:dyDescent="0.2">
      <c r="B6" s="351"/>
      <c r="C6" s="4202" t="s">
        <v>619</v>
      </c>
      <c r="D6" s="4202"/>
      <c r="E6" s="4202"/>
      <c r="F6" s="4202"/>
      <c r="G6" s="4202"/>
      <c r="H6" s="4202"/>
      <c r="I6" s="4202"/>
      <c r="J6" s="4202"/>
      <c r="K6" s="4202"/>
      <c r="L6" s="4202"/>
      <c r="M6" s="4202"/>
      <c r="N6" s="4202"/>
      <c r="O6" s="4202"/>
      <c r="P6" s="4202"/>
    </row>
    <row r="7" spans="2:23" x14ac:dyDescent="0.2">
      <c r="B7" s="351"/>
      <c r="C7" s="353"/>
      <c r="D7" s="353"/>
      <c r="E7" s="353"/>
      <c r="F7" s="353"/>
      <c r="G7" s="353"/>
      <c r="H7" s="353"/>
      <c r="I7" s="353"/>
      <c r="J7" s="353"/>
      <c r="K7" s="353"/>
      <c r="L7" s="353"/>
      <c r="M7" s="353"/>
      <c r="N7" s="353"/>
      <c r="O7" s="353"/>
      <c r="P7" s="353"/>
    </row>
    <row r="8" spans="2:23" x14ac:dyDescent="0.2">
      <c r="B8" s="351"/>
      <c r="C8" s="354"/>
      <c r="D8" s="354" t="s">
        <v>191</v>
      </c>
      <c r="E8" s="355" t="s">
        <v>616</v>
      </c>
      <c r="F8" s="355"/>
      <c r="G8" s="355"/>
      <c r="H8" s="355"/>
      <c r="I8" s="355"/>
      <c r="J8" s="355"/>
      <c r="K8" s="353"/>
      <c r="L8" s="353"/>
      <c r="M8" s="353"/>
      <c r="N8" s="353"/>
      <c r="O8" s="353"/>
      <c r="P8" s="353"/>
    </row>
    <row r="9" spans="2:23" x14ac:dyDescent="0.2">
      <c r="B9" s="351"/>
      <c r="C9" s="355"/>
      <c r="D9" s="354"/>
      <c r="E9" s="355"/>
      <c r="F9" s="355"/>
      <c r="G9" s="355"/>
      <c r="H9" s="355"/>
      <c r="I9" s="355"/>
      <c r="J9" s="355"/>
      <c r="K9" s="353"/>
      <c r="L9" s="353"/>
      <c r="M9" s="353"/>
      <c r="N9" s="353"/>
      <c r="O9" s="353"/>
      <c r="P9" s="353"/>
    </row>
    <row r="10" spans="2:23" x14ac:dyDescent="0.2">
      <c r="B10" s="351"/>
      <c r="C10" s="354"/>
      <c r="D10" s="354" t="s">
        <v>192</v>
      </c>
      <c r="E10" s="355" t="s">
        <v>617</v>
      </c>
      <c r="F10" s="355"/>
      <c r="G10" s="355"/>
      <c r="H10" s="355"/>
      <c r="I10" s="355"/>
      <c r="J10" s="354"/>
      <c r="K10" s="353"/>
      <c r="L10" s="353"/>
      <c r="M10" s="353"/>
      <c r="N10" s="353"/>
      <c r="O10" s="353"/>
      <c r="P10" s="353"/>
    </row>
    <row r="11" spans="2:23" x14ac:dyDescent="0.2">
      <c r="B11" s="351"/>
      <c r="C11" s="353"/>
      <c r="D11" s="353"/>
      <c r="E11" s="353"/>
      <c r="F11" s="353"/>
      <c r="G11" s="353"/>
      <c r="H11" s="353"/>
      <c r="I11" s="353"/>
      <c r="J11" s="353"/>
      <c r="K11" s="353"/>
      <c r="L11" s="353"/>
      <c r="M11" s="353"/>
      <c r="N11" s="353"/>
      <c r="O11" s="353"/>
      <c r="P11" s="353"/>
    </row>
    <row r="12" spans="2:23" x14ac:dyDescent="0.2">
      <c r="B12" s="351"/>
      <c r="C12" s="353"/>
      <c r="D12" s="353"/>
      <c r="E12" s="353"/>
      <c r="F12" s="353"/>
      <c r="G12" s="353"/>
      <c r="H12" s="353"/>
      <c r="I12" s="353"/>
      <c r="J12" s="353"/>
      <c r="K12" s="353"/>
      <c r="L12" s="353"/>
      <c r="M12" s="353"/>
      <c r="N12" s="353"/>
      <c r="O12" s="353"/>
      <c r="P12" s="353"/>
    </row>
    <row r="13" spans="2:23" x14ac:dyDescent="0.2">
      <c r="B13" s="351"/>
      <c r="C13" s="353"/>
      <c r="D13" s="353"/>
      <c r="E13" s="353"/>
      <c r="F13" s="353"/>
      <c r="G13" s="353"/>
      <c r="H13" s="353"/>
      <c r="I13" s="353"/>
      <c r="J13" s="353"/>
      <c r="K13" s="353"/>
      <c r="L13" s="353"/>
      <c r="M13" s="353"/>
      <c r="N13" s="353"/>
      <c r="O13" s="353"/>
      <c r="P13" s="353"/>
    </row>
    <row r="14" spans="2:23" s="232" customFormat="1" x14ac:dyDescent="0.2">
      <c r="B14" s="352"/>
      <c r="C14" s="232" t="s">
        <v>4</v>
      </c>
    </row>
    <row r="15" spans="2:23" x14ac:dyDescent="0.2">
      <c r="B15" s="352"/>
      <c r="D15" s="231" t="s">
        <v>620</v>
      </c>
    </row>
    <row r="16" spans="2:23" x14ac:dyDescent="0.2">
      <c r="B16" s="352"/>
      <c r="D16" s="4197" t="s">
        <v>5</v>
      </c>
      <c r="E16" s="4198"/>
      <c r="F16" s="4199"/>
      <c r="G16" s="3942">
        <v>2014</v>
      </c>
      <c r="H16" s="3942">
        <f>G16+1</f>
        <v>2015</v>
      </c>
      <c r="I16" s="3942">
        <f t="shared" ref="I16:K16" si="0">H16+1</f>
        <v>2016</v>
      </c>
      <c r="J16" s="3942">
        <f t="shared" si="0"/>
        <v>2017</v>
      </c>
      <c r="K16" s="3942">
        <f t="shared" si="0"/>
        <v>2018</v>
      </c>
    </row>
    <row r="17" spans="2:36" x14ac:dyDescent="0.2">
      <c r="B17" s="352"/>
      <c r="D17" s="4203" t="s">
        <v>6</v>
      </c>
      <c r="E17" s="4204"/>
      <c r="F17" s="4205"/>
      <c r="G17" s="356">
        <f>E75</f>
        <v>23417</v>
      </c>
      <c r="H17" s="356">
        <f t="shared" ref="H17:K17" si="1">F75</f>
        <v>14664</v>
      </c>
      <c r="I17" s="356">
        <f t="shared" si="1"/>
        <v>4306</v>
      </c>
      <c r="J17" s="356">
        <f t="shared" si="1"/>
        <v>23381</v>
      </c>
      <c r="K17" s="356">
        <f t="shared" si="1"/>
        <v>27632</v>
      </c>
    </row>
    <row r="18" spans="2:36" x14ac:dyDescent="0.2">
      <c r="B18" s="352"/>
      <c r="D18" s="231" t="s">
        <v>7</v>
      </c>
    </row>
    <row r="19" spans="2:36" x14ac:dyDescent="0.2">
      <c r="B19" s="352"/>
      <c r="D19" s="231" t="s">
        <v>8</v>
      </c>
    </row>
    <row r="20" spans="2:36" x14ac:dyDescent="0.2">
      <c r="B20" s="352"/>
    </row>
    <row r="21" spans="2:36" x14ac:dyDescent="0.2">
      <c r="B21" s="352"/>
    </row>
    <row r="22" spans="2:36" s="232" customFormat="1" x14ac:dyDescent="0.2">
      <c r="B22" s="352"/>
      <c r="C22" s="232" t="s">
        <v>9</v>
      </c>
    </row>
    <row r="23" spans="2:36" x14ac:dyDescent="0.2">
      <c r="B23" s="352"/>
    </row>
    <row r="24" spans="2:36" ht="29.25" customHeight="1" x14ac:dyDescent="0.2">
      <c r="B24" s="352"/>
      <c r="D24" s="4206" t="s">
        <v>10</v>
      </c>
      <c r="E24" s="4164">
        <v>2014</v>
      </c>
      <c r="F24" s="4164">
        <f>E24+1</f>
        <v>2015</v>
      </c>
      <c r="G24" s="4164">
        <f t="shared" ref="G24:I24" si="2">F24+1</f>
        <v>2016</v>
      </c>
      <c r="H24" s="4164">
        <f t="shared" si="2"/>
        <v>2017</v>
      </c>
      <c r="I24" s="4164">
        <f t="shared" si="2"/>
        <v>2018</v>
      </c>
      <c r="J24" s="4208" t="s">
        <v>11</v>
      </c>
      <c r="K24" s="4209"/>
      <c r="L24" s="4210"/>
      <c r="M24" s="4164">
        <v>2014</v>
      </c>
      <c r="N24" s="4164">
        <f>M24+1</f>
        <v>2015</v>
      </c>
      <c r="O24" s="4164">
        <f t="shared" ref="O24:Q24" si="3">N24+1</f>
        <v>2016</v>
      </c>
      <c r="P24" s="4164">
        <f t="shared" si="3"/>
        <v>2017</v>
      </c>
      <c r="Q24" s="4164">
        <f t="shared" si="3"/>
        <v>2018</v>
      </c>
    </row>
    <row r="25" spans="2:36" ht="21.75" customHeight="1" x14ac:dyDescent="0.2">
      <c r="B25" s="352"/>
      <c r="D25" s="4207"/>
      <c r="E25" s="4165"/>
      <c r="F25" s="4165"/>
      <c r="G25" s="4165"/>
      <c r="H25" s="4165"/>
      <c r="I25" s="4165"/>
      <c r="J25" s="4211"/>
      <c r="K25" s="4212"/>
      <c r="L25" s="4213"/>
      <c r="M25" s="4165"/>
      <c r="N25" s="4165"/>
      <c r="O25" s="4165"/>
      <c r="P25" s="4165"/>
      <c r="Q25" s="4165"/>
    </row>
    <row r="26" spans="2:36" s="230" customFormat="1" ht="21.75" customHeight="1" x14ac:dyDescent="0.2">
      <c r="B26" s="357"/>
      <c r="D26" s="358" t="s">
        <v>12</v>
      </c>
      <c r="E26" s="359">
        <v>12352</v>
      </c>
      <c r="F26" s="359">
        <v>6938</v>
      </c>
      <c r="G26" s="359">
        <v>2559</v>
      </c>
      <c r="H26" s="359">
        <v>12888</v>
      </c>
      <c r="I26" s="359">
        <f>SUM(I27:I50)</f>
        <v>14851</v>
      </c>
      <c r="J26" s="4214" t="s">
        <v>12</v>
      </c>
      <c r="K26" s="4215"/>
      <c r="L26" s="4216"/>
      <c r="M26" s="359">
        <v>34387</v>
      </c>
      <c r="N26" s="359">
        <v>23105</v>
      </c>
      <c r="O26" s="359">
        <v>8254</v>
      </c>
      <c r="P26" s="359">
        <v>29825</v>
      </c>
      <c r="Q26" s="359">
        <f>SUM(Q27:Q50)</f>
        <v>33331</v>
      </c>
      <c r="V26" s="231"/>
      <c r="W26" s="231"/>
      <c r="X26" s="231"/>
      <c r="Y26" s="231"/>
      <c r="Z26" s="231"/>
      <c r="AA26" s="231"/>
      <c r="AB26" s="231"/>
      <c r="AC26" s="231"/>
      <c r="AD26" s="231"/>
      <c r="AE26" s="231"/>
      <c r="AF26" s="231"/>
      <c r="AG26" s="231"/>
      <c r="AH26" s="231"/>
      <c r="AI26" s="231"/>
      <c r="AJ26" s="231"/>
    </row>
    <row r="27" spans="2:36" s="230" customFormat="1" x14ac:dyDescent="0.2">
      <c r="B27" s="357"/>
      <c r="D27" s="360" t="s">
        <v>13</v>
      </c>
      <c r="E27" s="361">
        <v>1788</v>
      </c>
      <c r="F27" s="361">
        <v>1069</v>
      </c>
      <c r="G27" s="361">
        <v>0</v>
      </c>
      <c r="H27" s="361">
        <v>1205</v>
      </c>
      <c r="I27" s="361">
        <v>1069</v>
      </c>
      <c r="J27" s="4166" t="s">
        <v>13</v>
      </c>
      <c r="K27" s="4167"/>
      <c r="L27" s="4168"/>
      <c r="M27" s="361">
        <v>4005</v>
      </c>
      <c r="N27" s="361">
        <v>2375</v>
      </c>
      <c r="O27" s="361">
        <v>13</v>
      </c>
      <c r="P27" s="361">
        <v>2936</v>
      </c>
      <c r="Q27" s="361">
        <v>4192</v>
      </c>
    </row>
    <row r="28" spans="2:36" s="230" customFormat="1" x14ac:dyDescent="0.2">
      <c r="B28" s="357"/>
      <c r="D28" s="360" t="s">
        <v>14</v>
      </c>
      <c r="E28" s="361">
        <v>381</v>
      </c>
      <c r="F28" s="361">
        <v>15</v>
      </c>
      <c r="G28" s="361">
        <v>78</v>
      </c>
      <c r="H28" s="361">
        <v>450</v>
      </c>
      <c r="I28" s="361">
        <v>757</v>
      </c>
      <c r="J28" s="4166" t="s">
        <v>14</v>
      </c>
      <c r="K28" s="4167"/>
      <c r="L28" s="4168"/>
      <c r="M28" s="361">
        <v>682</v>
      </c>
      <c r="N28" s="361">
        <v>34</v>
      </c>
      <c r="O28" s="361">
        <v>1069</v>
      </c>
      <c r="P28" s="361">
        <v>1148</v>
      </c>
      <c r="Q28" s="361">
        <v>959</v>
      </c>
    </row>
    <row r="29" spans="2:36" s="230" customFormat="1" x14ac:dyDescent="0.2">
      <c r="B29" s="357"/>
      <c r="D29" s="360" t="s">
        <v>15</v>
      </c>
      <c r="E29" s="361">
        <v>0</v>
      </c>
      <c r="F29" s="361">
        <v>0</v>
      </c>
      <c r="G29" s="361">
        <v>0</v>
      </c>
      <c r="H29" s="361">
        <v>0</v>
      </c>
      <c r="I29" s="361">
        <v>0</v>
      </c>
      <c r="J29" s="4166" t="s">
        <v>15</v>
      </c>
      <c r="K29" s="4167"/>
      <c r="L29" s="4168"/>
      <c r="M29" s="361">
        <v>0</v>
      </c>
      <c r="N29" s="361">
        <v>0</v>
      </c>
      <c r="O29" s="361">
        <v>0</v>
      </c>
      <c r="P29" s="361">
        <v>0</v>
      </c>
      <c r="Q29" s="361">
        <v>0</v>
      </c>
    </row>
    <row r="30" spans="2:36" s="230" customFormat="1" x14ac:dyDescent="0.2">
      <c r="B30" s="357"/>
      <c r="D30" s="360" t="s">
        <v>16</v>
      </c>
      <c r="E30" s="361">
        <v>482</v>
      </c>
      <c r="F30" s="361">
        <v>373</v>
      </c>
      <c r="G30" s="361">
        <v>91</v>
      </c>
      <c r="H30" s="361">
        <v>808</v>
      </c>
      <c r="I30" s="361">
        <v>816</v>
      </c>
      <c r="J30" s="4166" t="s">
        <v>16</v>
      </c>
      <c r="K30" s="4167"/>
      <c r="L30" s="4168"/>
      <c r="M30" s="361">
        <v>1588</v>
      </c>
      <c r="N30" s="361">
        <v>1180</v>
      </c>
      <c r="O30" s="361">
        <v>416</v>
      </c>
      <c r="P30" s="361">
        <v>2307</v>
      </c>
      <c r="Q30" s="361">
        <v>2670</v>
      </c>
    </row>
    <row r="31" spans="2:36" s="230" customFormat="1" x14ac:dyDescent="0.2">
      <c r="B31" s="357"/>
      <c r="D31" s="360" t="s">
        <v>17</v>
      </c>
      <c r="E31" s="361">
        <v>1242</v>
      </c>
      <c r="F31" s="361">
        <v>314</v>
      </c>
      <c r="G31" s="361">
        <v>56</v>
      </c>
      <c r="H31" s="361">
        <v>451</v>
      </c>
      <c r="I31" s="361">
        <v>702</v>
      </c>
      <c r="J31" s="4166" t="s">
        <v>17</v>
      </c>
      <c r="K31" s="4167"/>
      <c r="L31" s="4168"/>
      <c r="M31" s="361">
        <v>3477</v>
      </c>
      <c r="N31" s="361">
        <v>1190</v>
      </c>
      <c r="O31" s="361">
        <v>292</v>
      </c>
      <c r="P31" s="361">
        <v>1319</v>
      </c>
      <c r="Q31" s="361">
        <v>1803</v>
      </c>
    </row>
    <row r="32" spans="2:36" s="230" customFormat="1" x14ac:dyDescent="0.2">
      <c r="B32" s="357"/>
      <c r="D32" s="360" t="s">
        <v>18</v>
      </c>
      <c r="E32" s="361">
        <v>1157</v>
      </c>
      <c r="F32" s="361">
        <v>504</v>
      </c>
      <c r="G32" s="361">
        <v>223</v>
      </c>
      <c r="H32" s="361">
        <v>1267</v>
      </c>
      <c r="I32" s="361">
        <v>1561</v>
      </c>
      <c r="J32" s="4166" t="s">
        <v>18</v>
      </c>
      <c r="K32" s="4167"/>
      <c r="L32" s="4168"/>
      <c r="M32" s="361">
        <v>4824</v>
      </c>
      <c r="N32" s="361">
        <v>2063</v>
      </c>
      <c r="O32" s="361">
        <v>754</v>
      </c>
      <c r="P32" s="361">
        <v>3820</v>
      </c>
      <c r="Q32" s="361">
        <v>3850</v>
      </c>
    </row>
    <row r="33" spans="2:18" s="230" customFormat="1" x14ac:dyDescent="0.2">
      <c r="B33" s="357"/>
      <c r="D33" s="360" t="s">
        <v>19</v>
      </c>
      <c r="E33" s="361">
        <v>436</v>
      </c>
      <c r="F33" s="361">
        <v>276</v>
      </c>
      <c r="G33" s="361">
        <v>329</v>
      </c>
      <c r="H33" s="361">
        <v>892</v>
      </c>
      <c r="I33" s="361">
        <v>652</v>
      </c>
      <c r="J33" s="4166" t="s">
        <v>19</v>
      </c>
      <c r="K33" s="4167"/>
      <c r="L33" s="4168"/>
      <c r="M33" s="361">
        <v>819</v>
      </c>
      <c r="N33" s="361">
        <v>486</v>
      </c>
      <c r="O33" s="361">
        <v>503</v>
      </c>
      <c r="P33" s="361">
        <v>1222</v>
      </c>
      <c r="Q33" s="361">
        <v>925</v>
      </c>
    </row>
    <row r="34" spans="2:18" s="230" customFormat="1" x14ac:dyDescent="0.2">
      <c r="B34" s="357"/>
      <c r="D34" s="360" t="s">
        <v>20</v>
      </c>
      <c r="E34" s="361">
        <v>0</v>
      </c>
      <c r="F34" s="361">
        <v>0</v>
      </c>
      <c r="G34" s="361">
        <v>0</v>
      </c>
      <c r="H34" s="361">
        <v>322</v>
      </c>
      <c r="I34" s="361">
        <v>772</v>
      </c>
      <c r="J34" s="4166" t="s">
        <v>20</v>
      </c>
      <c r="K34" s="4167"/>
      <c r="L34" s="4168"/>
      <c r="M34" s="361">
        <v>0</v>
      </c>
      <c r="N34" s="361">
        <v>0</v>
      </c>
      <c r="O34" s="361">
        <v>6</v>
      </c>
      <c r="P34" s="361">
        <v>355</v>
      </c>
      <c r="Q34" s="361">
        <v>943</v>
      </c>
    </row>
    <row r="35" spans="2:18" s="230" customFormat="1" ht="12" customHeight="1" x14ac:dyDescent="0.2">
      <c r="B35" s="357"/>
      <c r="D35" s="360" t="s">
        <v>21</v>
      </c>
      <c r="E35" s="361">
        <v>1670</v>
      </c>
      <c r="F35" s="361">
        <v>1293</v>
      </c>
      <c r="G35" s="361">
        <v>405</v>
      </c>
      <c r="H35" s="361">
        <v>1780</v>
      </c>
      <c r="I35" s="361">
        <v>1561</v>
      </c>
      <c r="J35" s="4166" t="s">
        <v>21</v>
      </c>
      <c r="K35" s="4167"/>
      <c r="L35" s="4168"/>
      <c r="M35" s="361">
        <v>2230</v>
      </c>
      <c r="N35" s="361">
        <v>2015</v>
      </c>
      <c r="O35" s="361">
        <v>671</v>
      </c>
      <c r="P35" s="361">
        <v>2881</v>
      </c>
      <c r="Q35" s="361">
        <v>2826</v>
      </c>
      <c r="R35" s="362"/>
    </row>
    <row r="36" spans="2:18" s="230" customFormat="1" x14ac:dyDescent="0.2">
      <c r="B36" s="357"/>
      <c r="D36" s="360" t="s">
        <v>22</v>
      </c>
      <c r="E36" s="361">
        <v>495</v>
      </c>
      <c r="F36" s="361">
        <v>290</v>
      </c>
      <c r="G36" s="361">
        <v>71</v>
      </c>
      <c r="H36" s="361">
        <v>283</v>
      </c>
      <c r="I36" s="361">
        <v>532</v>
      </c>
      <c r="J36" s="4166" t="s">
        <v>22</v>
      </c>
      <c r="K36" s="4167"/>
      <c r="L36" s="4168"/>
      <c r="M36" s="361">
        <v>1039</v>
      </c>
      <c r="N36" s="361">
        <v>527</v>
      </c>
      <c r="O36" s="361">
        <v>190</v>
      </c>
      <c r="P36" s="361">
        <v>540</v>
      </c>
      <c r="Q36" s="361">
        <v>1211</v>
      </c>
    </row>
    <row r="37" spans="2:18" s="230" customFormat="1" x14ac:dyDescent="0.2">
      <c r="B37" s="357"/>
      <c r="D37" s="360" t="s">
        <v>23</v>
      </c>
      <c r="E37" s="361">
        <v>868</v>
      </c>
      <c r="F37" s="361">
        <v>479</v>
      </c>
      <c r="G37" s="361">
        <v>299</v>
      </c>
      <c r="H37" s="361">
        <v>908</v>
      </c>
      <c r="I37" s="361">
        <v>802</v>
      </c>
      <c r="J37" s="4166" t="s">
        <v>23</v>
      </c>
      <c r="K37" s="4167"/>
      <c r="L37" s="4168"/>
      <c r="M37" s="361">
        <v>2951</v>
      </c>
      <c r="N37" s="361">
        <v>1784</v>
      </c>
      <c r="O37" s="361">
        <v>1613</v>
      </c>
      <c r="P37" s="361">
        <v>3595</v>
      </c>
      <c r="Q37" s="361">
        <v>3408</v>
      </c>
    </row>
    <row r="38" spans="2:18" s="230" customFormat="1" x14ac:dyDescent="0.2">
      <c r="B38" s="357"/>
      <c r="D38" s="360" t="s">
        <v>24</v>
      </c>
      <c r="E38" s="361">
        <v>500</v>
      </c>
      <c r="F38" s="361">
        <v>337</v>
      </c>
      <c r="G38" s="361">
        <v>94</v>
      </c>
      <c r="H38" s="361">
        <v>660</v>
      </c>
      <c r="I38" s="361">
        <v>527</v>
      </c>
      <c r="J38" s="4166" t="s">
        <v>24</v>
      </c>
      <c r="K38" s="4167"/>
      <c r="L38" s="4168"/>
      <c r="M38" s="361">
        <v>1124</v>
      </c>
      <c r="N38" s="361">
        <v>746</v>
      </c>
      <c r="O38" s="361">
        <v>328</v>
      </c>
      <c r="P38" s="361">
        <v>1543</v>
      </c>
      <c r="Q38" s="361">
        <v>1530</v>
      </c>
    </row>
    <row r="39" spans="2:18" s="230" customFormat="1" x14ac:dyDescent="0.2">
      <c r="B39" s="357"/>
      <c r="D39" s="360" t="s">
        <v>25</v>
      </c>
      <c r="E39" s="361">
        <v>0</v>
      </c>
      <c r="F39" s="361">
        <v>9</v>
      </c>
      <c r="G39" s="361">
        <v>0</v>
      </c>
      <c r="H39" s="361">
        <v>177</v>
      </c>
      <c r="I39" s="361">
        <v>94</v>
      </c>
      <c r="J39" s="4166" t="s">
        <v>25</v>
      </c>
      <c r="K39" s="4167"/>
      <c r="L39" s="4168"/>
      <c r="M39" s="361">
        <v>0</v>
      </c>
      <c r="N39" s="361">
        <v>9</v>
      </c>
      <c r="O39" s="361">
        <v>0</v>
      </c>
      <c r="P39" s="361">
        <v>246</v>
      </c>
      <c r="Q39" s="361">
        <v>128</v>
      </c>
    </row>
    <row r="40" spans="2:18" s="230" customFormat="1" x14ac:dyDescent="0.2">
      <c r="B40" s="357"/>
      <c r="D40" s="360" t="s">
        <v>26</v>
      </c>
      <c r="E40" s="361">
        <v>57</v>
      </c>
      <c r="F40" s="361">
        <v>423</v>
      </c>
      <c r="G40" s="361">
        <v>265</v>
      </c>
      <c r="H40" s="361">
        <v>877</v>
      </c>
      <c r="I40" s="361">
        <v>967</v>
      </c>
      <c r="J40" s="4166" t="s">
        <v>26</v>
      </c>
      <c r="K40" s="4167"/>
      <c r="L40" s="4168"/>
      <c r="M40" s="361">
        <v>90</v>
      </c>
      <c r="N40" s="361">
        <v>739</v>
      </c>
      <c r="O40" s="361">
        <v>655</v>
      </c>
      <c r="P40" s="361">
        <v>2547</v>
      </c>
      <c r="Q40" s="361">
        <v>1785</v>
      </c>
    </row>
    <row r="41" spans="2:18" s="230" customFormat="1" x14ac:dyDescent="0.2">
      <c r="B41" s="357"/>
      <c r="D41" s="360" t="s">
        <v>27</v>
      </c>
      <c r="E41" s="361">
        <v>1107</v>
      </c>
      <c r="F41" s="361">
        <v>715</v>
      </c>
      <c r="G41" s="361">
        <v>368</v>
      </c>
      <c r="H41" s="361">
        <v>708</v>
      </c>
      <c r="I41" s="361">
        <v>800</v>
      </c>
      <c r="J41" s="4166" t="s">
        <v>27</v>
      </c>
      <c r="K41" s="4167"/>
      <c r="L41" s="4168"/>
      <c r="M41" s="361">
        <v>1986</v>
      </c>
      <c r="N41" s="361">
        <v>1248</v>
      </c>
      <c r="O41" s="361">
        <v>902</v>
      </c>
      <c r="P41" s="361">
        <v>1258</v>
      </c>
      <c r="Q41" s="361">
        <v>1344</v>
      </c>
    </row>
    <row r="42" spans="2:18" s="230" customFormat="1" x14ac:dyDescent="0.2">
      <c r="B42" s="357"/>
      <c r="D42" s="360" t="s">
        <v>28</v>
      </c>
      <c r="E42" s="361">
        <v>0</v>
      </c>
      <c r="F42" s="361">
        <v>0</v>
      </c>
      <c r="G42" s="361">
        <v>0</v>
      </c>
      <c r="H42" s="361">
        <v>0</v>
      </c>
      <c r="I42" s="361"/>
      <c r="J42" s="4166" t="s">
        <v>28</v>
      </c>
      <c r="K42" s="4167"/>
      <c r="L42" s="4168"/>
      <c r="M42" s="361">
        <v>0</v>
      </c>
      <c r="N42" s="361">
        <v>0</v>
      </c>
      <c r="O42" s="361">
        <v>0</v>
      </c>
      <c r="P42" s="361">
        <v>0</v>
      </c>
      <c r="Q42" s="361"/>
    </row>
    <row r="43" spans="2:18" s="230" customFormat="1" x14ac:dyDescent="0.2">
      <c r="B43" s="357"/>
      <c r="D43" s="360" t="s">
        <v>29</v>
      </c>
      <c r="E43" s="361">
        <v>608</v>
      </c>
      <c r="F43" s="361">
        <v>229</v>
      </c>
      <c r="G43" s="361">
        <v>185</v>
      </c>
      <c r="H43" s="361">
        <v>610</v>
      </c>
      <c r="I43" s="361">
        <v>513</v>
      </c>
      <c r="J43" s="4166" t="s">
        <v>29</v>
      </c>
      <c r="K43" s="4167"/>
      <c r="L43" s="4168"/>
      <c r="M43" s="361">
        <v>1731</v>
      </c>
      <c r="N43" s="361">
        <v>702</v>
      </c>
      <c r="O43" s="361">
        <v>521</v>
      </c>
      <c r="P43" s="361">
        <v>1673</v>
      </c>
      <c r="Q43" s="361">
        <v>1459</v>
      </c>
    </row>
    <row r="44" spans="2:18" s="230" customFormat="1" x14ac:dyDescent="0.2">
      <c r="B44" s="357"/>
      <c r="D44" s="360" t="s">
        <v>30</v>
      </c>
      <c r="E44" s="361">
        <v>86</v>
      </c>
      <c r="F44" s="361">
        <v>0</v>
      </c>
      <c r="G44" s="361">
        <v>0</v>
      </c>
      <c r="H44" s="361">
        <v>671</v>
      </c>
      <c r="I44" s="361">
        <v>1059</v>
      </c>
      <c r="J44" s="4166" t="s">
        <v>30</v>
      </c>
      <c r="K44" s="4167"/>
      <c r="L44" s="4168"/>
      <c r="M44" s="361">
        <v>97</v>
      </c>
      <c r="N44" s="361">
        <v>16</v>
      </c>
      <c r="O44" s="361">
        <v>0</v>
      </c>
      <c r="P44" s="361">
        <v>982</v>
      </c>
      <c r="Q44" s="361">
        <v>1495</v>
      </c>
    </row>
    <row r="45" spans="2:18" s="230" customFormat="1" x14ac:dyDescent="0.2">
      <c r="B45" s="357"/>
      <c r="D45" s="360" t="s">
        <v>31</v>
      </c>
      <c r="E45" s="361">
        <v>1292</v>
      </c>
      <c r="F45" s="361">
        <v>556</v>
      </c>
      <c r="G45" s="361">
        <v>93</v>
      </c>
      <c r="H45" s="361">
        <v>347</v>
      </c>
      <c r="I45" s="361">
        <v>907</v>
      </c>
      <c r="J45" s="4166" t="s">
        <v>31</v>
      </c>
      <c r="K45" s="4167"/>
      <c r="L45" s="4168"/>
      <c r="M45" s="361">
        <v>7090</v>
      </c>
      <c r="N45" s="361">
        <v>7680</v>
      </c>
      <c r="O45" s="361">
        <v>261</v>
      </c>
      <c r="P45" s="361">
        <v>634</v>
      </c>
      <c r="Q45" s="361">
        <v>1653</v>
      </c>
      <c r="R45" s="362"/>
    </row>
    <row r="46" spans="2:18" s="230" customFormat="1" x14ac:dyDescent="0.2">
      <c r="B46" s="357"/>
      <c r="D46" s="360" t="s">
        <v>621</v>
      </c>
      <c r="E46" s="361">
        <v>167</v>
      </c>
      <c r="F46" s="361">
        <v>56</v>
      </c>
      <c r="G46" s="361">
        <v>0</v>
      </c>
      <c r="H46" s="361">
        <v>0</v>
      </c>
      <c r="I46" s="361"/>
      <c r="J46" s="4166" t="s">
        <v>621</v>
      </c>
      <c r="K46" s="4167"/>
      <c r="L46" s="4168"/>
      <c r="M46" s="361">
        <v>489</v>
      </c>
      <c r="N46" s="361">
        <v>311</v>
      </c>
      <c r="O46" s="361">
        <v>4</v>
      </c>
      <c r="P46" s="361">
        <v>0</v>
      </c>
      <c r="Q46" s="361"/>
    </row>
    <row r="47" spans="2:18" s="230" customFormat="1" x14ac:dyDescent="0.2">
      <c r="B47" s="357"/>
      <c r="D47" s="360" t="s">
        <v>622</v>
      </c>
      <c r="E47" s="361">
        <v>16</v>
      </c>
      <c r="F47" s="361">
        <v>0</v>
      </c>
      <c r="G47" s="361">
        <v>2</v>
      </c>
      <c r="H47" s="361">
        <v>457</v>
      </c>
      <c r="I47" s="361">
        <v>757</v>
      </c>
      <c r="J47" s="363" t="s">
        <v>622</v>
      </c>
      <c r="K47" s="3946"/>
      <c r="L47" s="3947"/>
      <c r="M47" s="361">
        <v>23</v>
      </c>
      <c r="N47" s="361">
        <v>0</v>
      </c>
      <c r="O47" s="361">
        <v>56</v>
      </c>
      <c r="P47" s="361">
        <v>796</v>
      </c>
      <c r="Q47" s="361">
        <v>959</v>
      </c>
    </row>
    <row r="48" spans="2:18" s="230" customFormat="1" x14ac:dyDescent="0.2">
      <c r="B48" s="357"/>
      <c r="D48" s="360" t="s">
        <v>623</v>
      </c>
      <c r="E48" s="361">
        <v>0</v>
      </c>
      <c r="F48" s="361">
        <v>0</v>
      </c>
      <c r="G48" s="361">
        <v>0</v>
      </c>
      <c r="H48" s="361">
        <v>8</v>
      </c>
      <c r="I48" s="361">
        <v>0</v>
      </c>
      <c r="J48" s="4166" t="s">
        <v>623</v>
      </c>
      <c r="K48" s="4167"/>
      <c r="L48" s="4168"/>
      <c r="M48" s="361">
        <v>0</v>
      </c>
      <c r="N48" s="361">
        <v>0</v>
      </c>
      <c r="O48" s="361">
        <v>0</v>
      </c>
      <c r="P48" s="361">
        <v>9</v>
      </c>
      <c r="Q48" s="361">
        <v>0</v>
      </c>
    </row>
    <row r="49" spans="2:18" s="230" customFormat="1" x14ac:dyDescent="0.2">
      <c r="B49" s="357"/>
      <c r="D49" s="363" t="s">
        <v>624</v>
      </c>
      <c r="E49" s="361">
        <v>0</v>
      </c>
      <c r="F49" s="361">
        <v>0</v>
      </c>
      <c r="G49" s="361">
        <v>0</v>
      </c>
      <c r="H49" s="361">
        <v>6</v>
      </c>
      <c r="I49" s="361">
        <v>3</v>
      </c>
      <c r="J49" s="4166" t="s">
        <v>624</v>
      </c>
      <c r="K49" s="4167"/>
      <c r="L49" s="4168"/>
      <c r="M49" s="361">
        <v>142</v>
      </c>
      <c r="N49" s="361">
        <v>0</v>
      </c>
      <c r="O49" s="361">
        <v>0</v>
      </c>
      <c r="P49" s="361">
        <v>13</v>
      </c>
      <c r="Q49" s="361">
        <v>191</v>
      </c>
    </row>
    <row r="50" spans="2:18" s="230" customFormat="1" x14ac:dyDescent="0.2">
      <c r="B50" s="357"/>
      <c r="D50" s="363" t="s">
        <v>625</v>
      </c>
      <c r="E50" s="361">
        <v>0</v>
      </c>
      <c r="F50" s="361">
        <v>0</v>
      </c>
      <c r="G50" s="361">
        <v>0</v>
      </c>
      <c r="H50" s="361">
        <v>1</v>
      </c>
      <c r="I50" s="361">
        <v>0</v>
      </c>
      <c r="J50" s="363" t="s">
        <v>625</v>
      </c>
      <c r="K50" s="3946"/>
      <c r="L50" s="3947"/>
      <c r="M50" s="361">
        <v>0</v>
      </c>
      <c r="N50" s="361">
        <v>0</v>
      </c>
      <c r="O50" s="361">
        <v>0</v>
      </c>
      <c r="P50" s="361">
        <v>1</v>
      </c>
      <c r="Q50" s="361">
        <v>0</v>
      </c>
    </row>
    <row r="51" spans="2:18" s="230" customFormat="1" x14ac:dyDescent="0.2">
      <c r="B51" s="357"/>
      <c r="D51" s="363" t="s">
        <v>3632</v>
      </c>
      <c r="E51" s="364">
        <v>241</v>
      </c>
      <c r="F51" s="364">
        <v>186.5</v>
      </c>
      <c r="G51" s="364">
        <v>45.5</v>
      </c>
      <c r="H51" s="364">
        <v>404</v>
      </c>
      <c r="I51" s="364">
        <f>I30/2</f>
        <v>408</v>
      </c>
      <c r="J51" s="365" t="s">
        <v>3632</v>
      </c>
      <c r="K51" s="3946"/>
      <c r="L51" s="3947"/>
      <c r="M51" s="364">
        <v>529.33333333333337</v>
      </c>
      <c r="N51" s="364">
        <v>393.33333333333331</v>
      </c>
      <c r="O51" s="364">
        <v>138.66666666666666</v>
      </c>
      <c r="P51" s="364">
        <v>769</v>
      </c>
      <c r="Q51" s="364">
        <f t="shared" ref="Q51" si="4">Q30/3</f>
        <v>890</v>
      </c>
    </row>
    <row r="52" spans="2:18" s="230" customFormat="1" x14ac:dyDescent="0.2">
      <c r="B52" s="357"/>
      <c r="D52" s="366" t="s">
        <v>32</v>
      </c>
      <c r="E52" s="367">
        <v>8045</v>
      </c>
      <c r="F52" s="367">
        <v>5415</v>
      </c>
      <c r="G52" s="367">
        <v>1135</v>
      </c>
      <c r="H52" s="367">
        <v>7025</v>
      </c>
      <c r="I52" s="367">
        <f>SUM(I53:I62)</f>
        <v>9846</v>
      </c>
      <c r="J52" s="4182" t="s">
        <v>32</v>
      </c>
      <c r="K52" s="4183"/>
      <c r="L52" s="4184"/>
      <c r="M52" s="367">
        <v>17398</v>
      </c>
      <c r="N52" s="367">
        <v>10442</v>
      </c>
      <c r="O52" s="367">
        <v>2400</v>
      </c>
      <c r="P52" s="367">
        <v>12437</v>
      </c>
      <c r="Q52" s="367">
        <f>SUM(Q53:Q62)</f>
        <v>20791</v>
      </c>
    </row>
    <row r="53" spans="2:18" s="230" customFormat="1" x14ac:dyDescent="0.2">
      <c r="B53" s="357"/>
      <c r="D53" s="363" t="s">
        <v>33</v>
      </c>
      <c r="E53" s="361">
        <v>2015</v>
      </c>
      <c r="F53" s="361">
        <v>2348</v>
      </c>
      <c r="G53" s="361">
        <v>453</v>
      </c>
      <c r="H53" s="361">
        <v>1395</v>
      </c>
      <c r="I53" s="361">
        <v>1165</v>
      </c>
      <c r="J53" s="4166" t="s">
        <v>33</v>
      </c>
      <c r="K53" s="4167"/>
      <c r="L53" s="4168"/>
      <c r="M53" s="361">
        <v>2581</v>
      </c>
      <c r="N53" s="361">
        <v>3226</v>
      </c>
      <c r="O53" s="361">
        <v>656</v>
      </c>
      <c r="P53" s="361">
        <v>1998</v>
      </c>
      <c r="Q53" s="361">
        <v>2048</v>
      </c>
    </row>
    <row r="54" spans="2:18" s="230" customFormat="1" x14ac:dyDescent="0.2">
      <c r="B54" s="357"/>
      <c r="D54" s="363" t="s">
        <v>34</v>
      </c>
      <c r="E54" s="361">
        <v>495</v>
      </c>
      <c r="F54" s="361">
        <v>76</v>
      </c>
      <c r="G54" s="361">
        <v>53</v>
      </c>
      <c r="H54" s="361">
        <v>389</v>
      </c>
      <c r="I54" s="361">
        <v>680</v>
      </c>
      <c r="J54" s="4166" t="s">
        <v>34</v>
      </c>
      <c r="K54" s="4167"/>
      <c r="L54" s="4168"/>
      <c r="M54" s="361">
        <v>1577</v>
      </c>
      <c r="N54" s="361">
        <v>415</v>
      </c>
      <c r="O54" s="361">
        <v>159</v>
      </c>
      <c r="P54" s="361">
        <v>819</v>
      </c>
      <c r="Q54" s="361">
        <v>1074</v>
      </c>
    </row>
    <row r="55" spans="2:18" s="230" customFormat="1" x14ac:dyDescent="0.2">
      <c r="B55" s="357"/>
      <c r="D55" s="363" t="s">
        <v>35</v>
      </c>
      <c r="E55" s="361">
        <v>580</v>
      </c>
      <c r="F55" s="361">
        <v>0</v>
      </c>
      <c r="G55" s="361">
        <v>0</v>
      </c>
      <c r="H55" s="361">
        <v>5</v>
      </c>
      <c r="I55" s="361">
        <v>503</v>
      </c>
      <c r="J55" s="4166" t="s">
        <v>35</v>
      </c>
      <c r="K55" s="4167"/>
      <c r="L55" s="4168"/>
      <c r="M55" s="361">
        <v>2195</v>
      </c>
      <c r="N55" s="361">
        <v>0</v>
      </c>
      <c r="O55" s="361">
        <v>0</v>
      </c>
      <c r="P55" s="361">
        <v>7</v>
      </c>
      <c r="Q55" s="361">
        <v>651</v>
      </c>
    </row>
    <row r="56" spans="2:18" s="230" customFormat="1" x14ac:dyDescent="0.2">
      <c r="B56" s="357"/>
      <c r="D56" s="363" t="s">
        <v>461</v>
      </c>
      <c r="E56" s="361">
        <v>985</v>
      </c>
      <c r="F56" s="361">
        <v>2</v>
      </c>
      <c r="G56" s="361">
        <v>0</v>
      </c>
      <c r="H56" s="361">
        <v>648</v>
      </c>
      <c r="I56" s="361">
        <v>3392</v>
      </c>
      <c r="J56" s="4166" t="s">
        <v>461</v>
      </c>
      <c r="K56" s="4167"/>
      <c r="L56" s="4168"/>
      <c r="M56" s="361">
        <v>1499</v>
      </c>
      <c r="N56" s="361">
        <v>466</v>
      </c>
      <c r="O56" s="361">
        <v>0</v>
      </c>
      <c r="P56" s="361">
        <v>1583</v>
      </c>
      <c r="Q56" s="361">
        <v>7714</v>
      </c>
    </row>
    <row r="57" spans="2:18" s="230" customFormat="1" x14ac:dyDescent="0.2">
      <c r="B57" s="357"/>
      <c r="D57" s="360" t="s">
        <v>462</v>
      </c>
      <c r="E57" s="361">
        <v>2001</v>
      </c>
      <c r="F57" s="361">
        <v>1398</v>
      </c>
      <c r="G57" s="361">
        <v>151</v>
      </c>
      <c r="H57" s="361">
        <v>1829</v>
      </c>
      <c r="I57" s="361">
        <v>2016</v>
      </c>
      <c r="J57" s="368" t="s">
        <v>462</v>
      </c>
      <c r="K57" s="3946"/>
      <c r="L57" s="3947"/>
      <c r="M57" s="361">
        <v>6611</v>
      </c>
      <c r="N57" s="361">
        <v>3907</v>
      </c>
      <c r="O57" s="361">
        <v>780</v>
      </c>
      <c r="P57" s="361">
        <v>3549</v>
      </c>
      <c r="Q57" s="361">
        <v>5504</v>
      </c>
      <c r="R57" s="362"/>
    </row>
    <row r="58" spans="2:18" s="230" customFormat="1" x14ac:dyDescent="0.2">
      <c r="B58" s="357"/>
      <c r="D58" s="369" t="s">
        <v>36</v>
      </c>
      <c r="E58" s="370">
        <v>0</v>
      </c>
      <c r="F58" s="370">
        <v>0</v>
      </c>
      <c r="G58" s="370">
        <v>0</v>
      </c>
      <c r="H58" s="370">
        <v>98</v>
      </c>
      <c r="I58" s="370">
        <v>102</v>
      </c>
      <c r="J58" s="4161" t="s">
        <v>36</v>
      </c>
      <c r="K58" s="4162"/>
      <c r="L58" s="4163"/>
      <c r="M58" s="361">
        <v>0</v>
      </c>
      <c r="N58" s="361">
        <v>0</v>
      </c>
      <c r="O58" s="361">
        <v>0</v>
      </c>
      <c r="P58" s="361">
        <v>151</v>
      </c>
      <c r="Q58" s="361">
        <v>173</v>
      </c>
    </row>
    <row r="59" spans="2:18" s="230" customFormat="1" x14ac:dyDescent="0.2">
      <c r="B59" s="357"/>
      <c r="D59" s="369" t="s">
        <v>37</v>
      </c>
      <c r="E59" s="370">
        <v>1637</v>
      </c>
      <c r="F59" s="370">
        <v>1451</v>
      </c>
      <c r="G59" s="370">
        <v>431</v>
      </c>
      <c r="H59" s="370">
        <v>2483</v>
      </c>
      <c r="I59" s="370">
        <v>1758</v>
      </c>
      <c r="J59" s="4161" t="s">
        <v>37</v>
      </c>
      <c r="K59" s="4162"/>
      <c r="L59" s="4163"/>
      <c r="M59" s="361">
        <v>2901</v>
      </c>
      <c r="N59" s="361">
        <v>2418</v>
      </c>
      <c r="O59" s="361">
        <v>805</v>
      </c>
      <c r="P59" s="361">
        <v>3331</v>
      </c>
      <c r="Q59" s="361">
        <v>2707</v>
      </c>
    </row>
    <row r="60" spans="2:18" s="230" customFormat="1" x14ac:dyDescent="0.2">
      <c r="B60" s="357"/>
      <c r="D60" s="369" t="s">
        <v>38</v>
      </c>
      <c r="E60" s="370">
        <v>0</v>
      </c>
      <c r="F60" s="370">
        <v>0</v>
      </c>
      <c r="G60" s="370">
        <v>0</v>
      </c>
      <c r="H60" s="370">
        <v>22</v>
      </c>
      <c r="I60" s="370">
        <v>0</v>
      </c>
      <c r="J60" s="4161" t="s">
        <v>38</v>
      </c>
      <c r="K60" s="4162"/>
      <c r="L60" s="4163"/>
      <c r="M60" s="361">
        <v>0</v>
      </c>
      <c r="N60" s="361">
        <v>0</v>
      </c>
      <c r="O60" s="361">
        <v>0</v>
      </c>
      <c r="P60" s="361">
        <v>35</v>
      </c>
      <c r="Q60" s="361">
        <v>0</v>
      </c>
    </row>
    <row r="61" spans="2:18" s="230" customFormat="1" x14ac:dyDescent="0.2">
      <c r="B61" s="357"/>
      <c r="D61" s="369" t="s">
        <v>39</v>
      </c>
      <c r="E61" s="361">
        <v>332</v>
      </c>
      <c r="F61" s="361">
        <v>140</v>
      </c>
      <c r="G61" s="361">
        <v>47</v>
      </c>
      <c r="H61" s="361">
        <v>156</v>
      </c>
      <c r="I61" s="370">
        <v>230</v>
      </c>
      <c r="J61" s="4161" t="s">
        <v>330</v>
      </c>
      <c r="K61" s="4162"/>
      <c r="L61" s="4163"/>
      <c r="M61" s="361">
        <v>17</v>
      </c>
      <c r="N61" s="361">
        <v>10</v>
      </c>
      <c r="O61" s="361">
        <v>0</v>
      </c>
      <c r="P61" s="361">
        <v>964</v>
      </c>
      <c r="Q61" s="361">
        <v>920</v>
      </c>
    </row>
    <row r="62" spans="2:18" s="230" customFormat="1" x14ac:dyDescent="0.2">
      <c r="B62" s="357"/>
      <c r="D62" s="363" t="s">
        <v>626</v>
      </c>
      <c r="E62" s="361">
        <v>0</v>
      </c>
      <c r="F62" s="361">
        <v>0</v>
      </c>
      <c r="G62" s="361">
        <v>0</v>
      </c>
      <c r="H62" s="361">
        <v>0</v>
      </c>
      <c r="I62" s="361">
        <v>0</v>
      </c>
      <c r="J62" s="4166" t="s">
        <v>626</v>
      </c>
      <c r="K62" s="4167"/>
      <c r="L62" s="4168"/>
      <c r="M62" s="361">
        <v>17</v>
      </c>
      <c r="N62" s="361">
        <v>0</v>
      </c>
      <c r="O62" s="361">
        <v>0</v>
      </c>
      <c r="P62" s="361">
        <v>0</v>
      </c>
      <c r="Q62" s="361">
        <v>0</v>
      </c>
    </row>
    <row r="63" spans="2:18" s="230" customFormat="1" x14ac:dyDescent="0.2">
      <c r="B63" s="357"/>
      <c r="D63" s="366" t="s">
        <v>40</v>
      </c>
      <c r="E63" s="367">
        <v>3020</v>
      </c>
      <c r="F63" s="367">
        <v>2311</v>
      </c>
      <c r="G63" s="367">
        <v>612</v>
      </c>
      <c r="H63" s="367">
        <v>3468</v>
      </c>
      <c r="I63" s="367">
        <f>SUM(I64:I74)</f>
        <v>2935</v>
      </c>
      <c r="J63" s="4182" t="s">
        <v>40</v>
      </c>
      <c r="K63" s="4183"/>
      <c r="L63" s="4184"/>
      <c r="M63" s="367">
        <v>7987</v>
      </c>
      <c r="N63" s="367">
        <v>6017</v>
      </c>
      <c r="O63" s="367">
        <v>3840</v>
      </c>
      <c r="P63" s="367">
        <v>11671</v>
      </c>
      <c r="Q63" s="367">
        <f>SUM(Q64:Q74)</f>
        <v>5699</v>
      </c>
    </row>
    <row r="64" spans="2:18" s="230" customFormat="1" x14ac:dyDescent="0.2">
      <c r="B64" s="357"/>
      <c r="D64" s="363" t="s">
        <v>41</v>
      </c>
      <c r="E64" s="361">
        <v>0</v>
      </c>
      <c r="F64" s="361">
        <v>0</v>
      </c>
      <c r="G64" s="361">
        <v>0</v>
      </c>
      <c r="H64" s="361">
        <v>0</v>
      </c>
      <c r="I64" s="361">
        <v>0</v>
      </c>
      <c r="J64" s="4166" t="s">
        <v>41</v>
      </c>
      <c r="K64" s="4167"/>
      <c r="L64" s="4168"/>
      <c r="M64" s="361">
        <v>0</v>
      </c>
      <c r="N64" s="361">
        <v>0</v>
      </c>
      <c r="O64" s="361">
        <v>0</v>
      </c>
      <c r="P64" s="361">
        <v>0</v>
      </c>
      <c r="Q64" s="361">
        <v>0</v>
      </c>
    </row>
    <row r="65" spans="2:17" s="230" customFormat="1" x14ac:dyDescent="0.2">
      <c r="B65" s="357"/>
      <c r="D65" s="363" t="s">
        <v>42</v>
      </c>
      <c r="E65" s="361">
        <v>840</v>
      </c>
      <c r="F65" s="361">
        <v>466</v>
      </c>
      <c r="G65" s="361">
        <v>111</v>
      </c>
      <c r="H65" s="361">
        <v>367</v>
      </c>
      <c r="I65" s="361">
        <v>424</v>
      </c>
      <c r="J65" s="4166" t="s">
        <v>42</v>
      </c>
      <c r="K65" s="4167"/>
      <c r="L65" s="4168"/>
      <c r="M65" s="361">
        <v>3039</v>
      </c>
      <c r="N65" s="361">
        <v>1951</v>
      </c>
      <c r="O65" s="361">
        <v>307</v>
      </c>
      <c r="P65" s="361">
        <v>825</v>
      </c>
      <c r="Q65" s="361">
        <v>712</v>
      </c>
    </row>
    <row r="66" spans="2:17" s="230" customFormat="1" x14ac:dyDescent="0.2">
      <c r="B66" s="357"/>
      <c r="D66" s="363" t="s">
        <v>43</v>
      </c>
      <c r="E66" s="361">
        <v>1924</v>
      </c>
      <c r="F66" s="361">
        <v>1637</v>
      </c>
      <c r="G66" s="361">
        <v>428</v>
      </c>
      <c r="H66" s="361">
        <v>1</v>
      </c>
      <c r="I66" s="361">
        <v>103</v>
      </c>
      <c r="J66" s="4166" t="s">
        <v>43</v>
      </c>
      <c r="K66" s="4167"/>
      <c r="L66" s="4168"/>
      <c r="M66" s="361">
        <v>4557</v>
      </c>
      <c r="N66" s="361">
        <v>3711</v>
      </c>
      <c r="O66" s="361">
        <v>766</v>
      </c>
      <c r="P66" s="361">
        <v>1</v>
      </c>
      <c r="Q66" s="361">
        <v>143</v>
      </c>
    </row>
    <row r="67" spans="2:17" s="230" customFormat="1" x14ac:dyDescent="0.2">
      <c r="B67" s="357"/>
      <c r="D67" s="363" t="s">
        <v>44</v>
      </c>
      <c r="E67" s="361">
        <v>0</v>
      </c>
      <c r="F67" s="361">
        <v>0</v>
      </c>
      <c r="G67" s="361">
        <v>0</v>
      </c>
      <c r="H67" s="361">
        <v>2525</v>
      </c>
      <c r="I67" s="361">
        <v>2047</v>
      </c>
      <c r="J67" s="4166" t="s">
        <v>44</v>
      </c>
      <c r="K67" s="4167"/>
      <c r="L67" s="4168"/>
      <c r="M67" s="361">
        <v>0</v>
      </c>
      <c r="N67" s="361">
        <v>0</v>
      </c>
      <c r="O67" s="361">
        <v>0</v>
      </c>
      <c r="P67" s="361">
        <v>3067</v>
      </c>
      <c r="Q67" s="361">
        <v>2227</v>
      </c>
    </row>
    <row r="68" spans="2:17" s="230" customFormat="1" x14ac:dyDescent="0.2">
      <c r="B68" s="357"/>
      <c r="D68" s="363" t="s">
        <v>45</v>
      </c>
      <c r="E68" s="361">
        <v>0</v>
      </c>
      <c r="F68" s="361">
        <v>0</v>
      </c>
      <c r="G68" s="361">
        <v>0</v>
      </c>
      <c r="H68" s="361">
        <v>0</v>
      </c>
      <c r="I68" s="361">
        <v>0</v>
      </c>
      <c r="J68" s="4166" t="s">
        <v>45</v>
      </c>
      <c r="K68" s="4167"/>
      <c r="L68" s="4168"/>
      <c r="M68" s="361">
        <v>0</v>
      </c>
      <c r="N68" s="361">
        <v>0</v>
      </c>
      <c r="O68" s="361">
        <v>0</v>
      </c>
      <c r="P68" s="361">
        <v>0</v>
      </c>
      <c r="Q68" s="361">
        <v>0</v>
      </c>
    </row>
    <row r="69" spans="2:17" s="230" customFormat="1" x14ac:dyDescent="0.2">
      <c r="B69" s="357"/>
      <c r="D69" s="363" t="s">
        <v>46</v>
      </c>
      <c r="E69" s="361">
        <v>0</v>
      </c>
      <c r="F69" s="361">
        <v>0</v>
      </c>
      <c r="G69" s="361">
        <v>0</v>
      </c>
      <c r="H69" s="361">
        <v>0</v>
      </c>
      <c r="I69" s="361">
        <v>0</v>
      </c>
      <c r="J69" s="4166" t="s">
        <v>46</v>
      </c>
      <c r="K69" s="4167"/>
      <c r="L69" s="4168"/>
      <c r="M69" s="361">
        <v>0</v>
      </c>
      <c r="N69" s="361">
        <v>0</v>
      </c>
      <c r="O69" s="361">
        <v>0</v>
      </c>
      <c r="P69" s="361">
        <v>0</v>
      </c>
      <c r="Q69" s="361">
        <v>0</v>
      </c>
    </row>
    <row r="70" spans="2:17" s="230" customFormat="1" x14ac:dyDescent="0.2">
      <c r="B70" s="357"/>
      <c r="D70" s="363" t="s">
        <v>47</v>
      </c>
      <c r="E70" s="361">
        <v>252</v>
      </c>
      <c r="F70" s="361">
        <v>208</v>
      </c>
      <c r="G70" s="361">
        <v>6</v>
      </c>
      <c r="H70" s="361">
        <v>3</v>
      </c>
      <c r="I70" s="361">
        <v>4</v>
      </c>
      <c r="J70" s="4166" t="s">
        <v>47</v>
      </c>
      <c r="K70" s="4167"/>
      <c r="L70" s="4168"/>
      <c r="M70" s="361">
        <v>337</v>
      </c>
      <c r="N70" s="361">
        <v>355</v>
      </c>
      <c r="O70" s="361">
        <v>49</v>
      </c>
      <c r="P70" s="361">
        <v>46</v>
      </c>
      <c r="Q70" s="361">
        <v>49</v>
      </c>
    </row>
    <row r="71" spans="2:17" s="230" customFormat="1" x14ac:dyDescent="0.2">
      <c r="B71" s="357"/>
      <c r="D71" s="363" t="s">
        <v>48</v>
      </c>
      <c r="E71" s="361">
        <v>0</v>
      </c>
      <c r="F71" s="361">
        <v>0</v>
      </c>
      <c r="G71" s="361">
        <v>0</v>
      </c>
      <c r="H71" s="361">
        <v>0</v>
      </c>
      <c r="I71" s="361">
        <v>0</v>
      </c>
      <c r="J71" s="4166" t="s">
        <v>48</v>
      </c>
      <c r="K71" s="4167"/>
      <c r="L71" s="4168"/>
      <c r="M71" s="361">
        <v>0</v>
      </c>
      <c r="N71" s="361">
        <v>0</v>
      </c>
      <c r="O71" s="361">
        <v>0</v>
      </c>
      <c r="P71" s="361">
        <v>0</v>
      </c>
      <c r="Q71" s="361">
        <v>0</v>
      </c>
    </row>
    <row r="72" spans="2:17" s="230" customFormat="1" x14ac:dyDescent="0.2">
      <c r="B72" s="357"/>
      <c r="D72" s="363" t="s">
        <v>49</v>
      </c>
      <c r="E72" s="361">
        <v>0</v>
      </c>
      <c r="F72" s="361">
        <v>0</v>
      </c>
      <c r="G72" s="361">
        <v>0</v>
      </c>
      <c r="H72" s="361">
        <v>0</v>
      </c>
      <c r="I72" s="361">
        <v>0</v>
      </c>
      <c r="J72" s="4166" t="s">
        <v>49</v>
      </c>
      <c r="K72" s="4167"/>
      <c r="L72" s="4168"/>
      <c r="M72" s="361">
        <v>0</v>
      </c>
      <c r="N72" s="361">
        <v>0</v>
      </c>
      <c r="O72" s="361">
        <v>0</v>
      </c>
      <c r="P72" s="361">
        <v>0</v>
      </c>
      <c r="Q72" s="361">
        <v>0</v>
      </c>
    </row>
    <row r="73" spans="2:17" s="230" customFormat="1" x14ac:dyDescent="0.2">
      <c r="B73" s="357"/>
      <c r="D73" s="363" t="s">
        <v>627</v>
      </c>
      <c r="E73" s="361">
        <v>4</v>
      </c>
      <c r="F73" s="361">
        <v>0</v>
      </c>
      <c r="G73" s="361">
        <v>0</v>
      </c>
      <c r="H73" s="361">
        <v>2</v>
      </c>
      <c r="I73" s="361">
        <v>1</v>
      </c>
      <c r="J73" s="4166" t="s">
        <v>627</v>
      </c>
      <c r="K73" s="4167"/>
      <c r="L73" s="4168"/>
      <c r="M73" s="361">
        <v>54</v>
      </c>
      <c r="N73" s="361">
        <v>0</v>
      </c>
      <c r="O73" s="361">
        <v>0</v>
      </c>
      <c r="P73" s="361">
        <v>0</v>
      </c>
      <c r="Q73" s="361">
        <v>1</v>
      </c>
    </row>
    <row r="74" spans="2:17" s="230" customFormat="1" x14ac:dyDescent="0.2">
      <c r="B74" s="357"/>
      <c r="D74" s="363" t="s">
        <v>628</v>
      </c>
      <c r="E74" s="361">
        <v>0</v>
      </c>
      <c r="F74" s="361">
        <v>0</v>
      </c>
      <c r="G74" s="361">
        <v>67</v>
      </c>
      <c r="H74" s="361">
        <v>570</v>
      </c>
      <c r="I74" s="361">
        <v>356</v>
      </c>
      <c r="J74" s="4166" t="s">
        <v>628</v>
      </c>
      <c r="K74" s="4167"/>
      <c r="L74" s="4168"/>
      <c r="M74" s="361">
        <v>0</v>
      </c>
      <c r="N74" s="361">
        <v>0</v>
      </c>
      <c r="O74" s="361">
        <v>2718</v>
      </c>
      <c r="P74" s="361">
        <v>7732</v>
      </c>
      <c r="Q74" s="361">
        <v>2567</v>
      </c>
    </row>
    <row r="75" spans="2:17" x14ac:dyDescent="0.2">
      <c r="B75" s="352"/>
      <c r="D75" s="371" t="s">
        <v>0</v>
      </c>
      <c r="E75" s="372">
        <f>+E63+E52+E26</f>
        <v>23417</v>
      </c>
      <c r="F75" s="372">
        <f>+F63+F52+F26</f>
        <v>14664</v>
      </c>
      <c r="G75" s="372">
        <f>+G63+G52+G26</f>
        <v>4306</v>
      </c>
      <c r="H75" s="372">
        <f>+H63+H52+H26</f>
        <v>23381</v>
      </c>
      <c r="I75" s="372">
        <f>+I63+I52+I26</f>
        <v>27632</v>
      </c>
      <c r="J75" s="4185" t="s">
        <v>0</v>
      </c>
      <c r="K75" s="4186"/>
      <c r="L75" s="4187"/>
      <c r="M75" s="372">
        <f>+M63+M52+M26</f>
        <v>59772</v>
      </c>
      <c r="N75" s="372">
        <f>+N63+N52+N26</f>
        <v>39564</v>
      </c>
      <c r="O75" s="372">
        <f>+O63+O52+O26</f>
        <v>14494</v>
      </c>
      <c r="P75" s="372">
        <f>+P63+P52+P26</f>
        <v>53933</v>
      </c>
      <c r="Q75" s="372">
        <f>+Q63+Q52+Q26</f>
        <v>59821</v>
      </c>
    </row>
    <row r="76" spans="2:17" x14ac:dyDescent="0.2">
      <c r="B76" s="352"/>
      <c r="C76" s="373"/>
      <c r="D76" s="374" t="s">
        <v>50</v>
      </c>
      <c r="E76" s="375"/>
      <c r="F76" s="376"/>
      <c r="J76" s="374" t="s">
        <v>50</v>
      </c>
    </row>
    <row r="77" spans="2:17" x14ac:dyDescent="0.2">
      <c r="B77" s="352"/>
      <c r="D77" s="231" t="s">
        <v>51</v>
      </c>
    </row>
    <row r="78" spans="2:17" x14ac:dyDescent="0.2">
      <c r="B78" s="352"/>
      <c r="D78" s="231" t="s">
        <v>52</v>
      </c>
    </row>
    <row r="79" spans="2:17" x14ac:dyDescent="0.2">
      <c r="B79" s="352"/>
    </row>
    <row r="80" spans="2:17" x14ac:dyDescent="0.2">
      <c r="B80" s="352"/>
      <c r="I80" s="377"/>
    </row>
    <row r="81" spans="2:36" x14ac:dyDescent="0.2">
      <c r="B81" s="352"/>
    </row>
    <row r="82" spans="2:36" x14ac:dyDescent="0.2">
      <c r="B82" s="352"/>
      <c r="G82" s="378"/>
    </row>
    <row r="83" spans="2:36" s="230" customFormat="1" x14ac:dyDescent="0.2">
      <c r="B83" s="357"/>
      <c r="C83" s="379" t="s">
        <v>53</v>
      </c>
      <c r="D83" s="380"/>
    </row>
    <row r="84" spans="2:36" x14ac:dyDescent="0.2">
      <c r="B84" s="352"/>
    </row>
    <row r="85" spans="2:36" ht="21" customHeight="1" x14ac:dyDescent="0.2">
      <c r="B85" s="352"/>
      <c r="F85" s="4217">
        <v>2014</v>
      </c>
      <c r="G85" s="4218"/>
      <c r="H85" s="4218"/>
      <c r="I85" s="4218"/>
      <c r="J85" s="4218"/>
      <c r="K85" s="4219"/>
      <c r="L85" s="4217">
        <v>2015</v>
      </c>
      <c r="M85" s="4218"/>
      <c r="N85" s="4218"/>
      <c r="O85" s="4218"/>
      <c r="P85" s="4218"/>
      <c r="Q85" s="4219"/>
      <c r="R85" s="4217">
        <v>2016</v>
      </c>
      <c r="S85" s="4218"/>
      <c r="T85" s="4218"/>
      <c r="U85" s="4218"/>
      <c r="V85" s="4218"/>
      <c r="W85" s="4219"/>
      <c r="X85" s="4217">
        <v>2017</v>
      </c>
      <c r="Y85" s="4218"/>
      <c r="Z85" s="4218"/>
      <c r="AA85" s="4218"/>
      <c r="AB85" s="4218"/>
      <c r="AC85" s="4219"/>
      <c r="AD85" s="4217">
        <v>2018</v>
      </c>
      <c r="AE85" s="4218"/>
      <c r="AF85" s="4218"/>
      <c r="AG85" s="4218"/>
      <c r="AH85" s="4218"/>
      <c r="AI85" s="4219"/>
      <c r="AJ85" s="381" t="s">
        <v>108</v>
      </c>
    </row>
    <row r="86" spans="2:36" ht="44.25" customHeight="1" x14ac:dyDescent="0.2">
      <c r="B86" s="352"/>
      <c r="D86" s="353"/>
      <c r="F86" s="382" t="s">
        <v>54</v>
      </c>
      <c r="G86" s="382" t="s">
        <v>55</v>
      </c>
      <c r="H86" s="382" t="s">
        <v>56</v>
      </c>
      <c r="I86" s="382" t="s">
        <v>57</v>
      </c>
      <c r="J86" s="382" t="s">
        <v>58</v>
      </c>
      <c r="K86" s="383" t="s">
        <v>59</v>
      </c>
      <c r="L86" s="382" t="s">
        <v>54</v>
      </c>
      <c r="M86" s="382" t="s">
        <v>55</v>
      </c>
      <c r="N86" s="382" t="s">
        <v>56</v>
      </c>
      <c r="O86" s="382" t="s">
        <v>57</v>
      </c>
      <c r="P86" s="382" t="s">
        <v>58</v>
      </c>
      <c r="Q86" s="383" t="s">
        <v>59</v>
      </c>
      <c r="R86" s="382" t="s">
        <v>54</v>
      </c>
      <c r="S86" s="382" t="s">
        <v>55</v>
      </c>
      <c r="T86" s="382" t="s">
        <v>56</v>
      </c>
      <c r="U86" s="382" t="s">
        <v>57</v>
      </c>
      <c r="V86" s="382" t="s">
        <v>58</v>
      </c>
      <c r="W86" s="383" t="s">
        <v>59</v>
      </c>
      <c r="X86" s="382" t="s">
        <v>54</v>
      </c>
      <c r="Y86" s="382" t="s">
        <v>55</v>
      </c>
      <c r="Z86" s="382" t="s">
        <v>56</v>
      </c>
      <c r="AA86" s="382" t="s">
        <v>57</v>
      </c>
      <c r="AB86" s="382" t="s">
        <v>58</v>
      </c>
      <c r="AC86" s="383" t="s">
        <v>59</v>
      </c>
      <c r="AD86" s="382" t="s">
        <v>54</v>
      </c>
      <c r="AE86" s="382" t="s">
        <v>55</v>
      </c>
      <c r="AF86" s="382" t="s">
        <v>56</v>
      </c>
      <c r="AG86" s="382" t="s">
        <v>57</v>
      </c>
      <c r="AH86" s="382" t="s">
        <v>58</v>
      </c>
      <c r="AI86" s="383" t="s">
        <v>59</v>
      </c>
      <c r="AJ86" s="4220">
        <v>179</v>
      </c>
    </row>
    <row r="87" spans="2:36" x14ac:dyDescent="0.2">
      <c r="B87" s="352"/>
      <c r="C87" s="384"/>
      <c r="D87" s="231" t="s">
        <v>629</v>
      </c>
      <c r="E87" s="353" t="s">
        <v>60</v>
      </c>
      <c r="F87" s="367">
        <v>810</v>
      </c>
      <c r="G87" s="367">
        <v>881</v>
      </c>
      <c r="H87" s="367">
        <v>391</v>
      </c>
      <c r="I87" s="367">
        <v>1067</v>
      </c>
      <c r="J87" s="367">
        <v>1292</v>
      </c>
      <c r="K87" s="367">
        <v>2234</v>
      </c>
      <c r="L87" s="367">
        <v>854</v>
      </c>
      <c r="M87" s="367">
        <v>824</v>
      </c>
      <c r="N87" s="367">
        <v>252</v>
      </c>
      <c r="O87" s="367">
        <v>881</v>
      </c>
      <c r="P87" s="367">
        <v>1181</v>
      </c>
      <c r="Q87" s="367">
        <v>2110</v>
      </c>
      <c r="R87" s="367">
        <v>1037</v>
      </c>
      <c r="S87" s="367">
        <v>1021</v>
      </c>
      <c r="T87" s="367">
        <v>359</v>
      </c>
      <c r="U87" s="367">
        <v>1116</v>
      </c>
      <c r="V87" s="367">
        <v>604</v>
      </c>
      <c r="W87" s="367">
        <v>3311</v>
      </c>
      <c r="X87" s="367">
        <v>901</v>
      </c>
      <c r="Y87" s="367">
        <v>1059</v>
      </c>
      <c r="Z87" s="367">
        <v>366</v>
      </c>
      <c r="AA87" s="367">
        <v>1117</v>
      </c>
      <c r="AB87" s="367">
        <v>828</v>
      </c>
      <c r="AC87" s="367">
        <v>2897</v>
      </c>
      <c r="AD87" s="367">
        <v>900.6</v>
      </c>
      <c r="AE87" s="367">
        <v>968.8</v>
      </c>
      <c r="AF87" s="367">
        <v>346.8</v>
      </c>
      <c r="AG87" s="367">
        <v>1059.5999999999999</v>
      </c>
      <c r="AH87" s="367">
        <v>946.6</v>
      </c>
      <c r="AI87" s="367">
        <v>2689.8</v>
      </c>
      <c r="AJ87" s="4221"/>
    </row>
    <row r="88" spans="2:36" s="230" customFormat="1" x14ac:dyDescent="0.2">
      <c r="B88" s="357"/>
      <c r="C88" s="385"/>
      <c r="D88" s="230" t="s">
        <v>61</v>
      </c>
      <c r="E88" s="386" t="s">
        <v>60</v>
      </c>
      <c r="F88" s="367">
        <v>1249</v>
      </c>
      <c r="G88" s="367">
        <v>956</v>
      </c>
      <c r="H88" s="367">
        <v>701</v>
      </c>
      <c r="I88" s="367">
        <v>3</v>
      </c>
      <c r="J88" s="367">
        <v>0</v>
      </c>
      <c r="K88" s="367">
        <v>601</v>
      </c>
      <c r="L88" s="367">
        <v>3467</v>
      </c>
      <c r="M88" s="367">
        <v>2922</v>
      </c>
      <c r="N88" s="367">
        <v>1596</v>
      </c>
      <c r="O88" s="367">
        <v>67</v>
      </c>
      <c r="P88" s="367">
        <v>2235</v>
      </c>
      <c r="Q88" s="367">
        <v>1892</v>
      </c>
      <c r="R88" s="367">
        <v>1957</v>
      </c>
      <c r="S88" s="367">
        <v>2157</v>
      </c>
      <c r="T88" s="367">
        <v>2547</v>
      </c>
      <c r="U88" s="367">
        <v>1685</v>
      </c>
      <c r="V88" s="367">
        <v>1247</v>
      </c>
      <c r="W88" s="367">
        <v>678</v>
      </c>
      <c r="X88" s="387">
        <v>3479</v>
      </c>
      <c r="Y88" s="387">
        <v>3178</v>
      </c>
      <c r="Z88" s="387">
        <v>1551</v>
      </c>
      <c r="AA88" s="387">
        <v>3102</v>
      </c>
      <c r="AB88" s="387">
        <v>0</v>
      </c>
      <c r="AC88" s="387">
        <v>2157</v>
      </c>
      <c r="AD88" s="387">
        <v>2726.2</v>
      </c>
      <c r="AE88" s="387">
        <v>2478.1999999999998</v>
      </c>
      <c r="AF88" s="387">
        <v>1589.2</v>
      </c>
      <c r="AG88" s="387">
        <v>1591.8</v>
      </c>
      <c r="AH88" s="387">
        <v>696.4</v>
      </c>
      <c r="AI88" s="387">
        <v>1497</v>
      </c>
      <c r="AJ88" s="4221"/>
    </row>
    <row r="89" spans="2:36" s="230" customFormat="1" x14ac:dyDescent="0.2">
      <c r="B89" s="357"/>
      <c r="D89" s="230" t="s">
        <v>630</v>
      </c>
      <c r="E89" s="386" t="s">
        <v>62</v>
      </c>
      <c r="F89" s="367">
        <v>35</v>
      </c>
      <c r="G89" s="367">
        <v>30</v>
      </c>
      <c r="H89" s="367">
        <v>17</v>
      </c>
      <c r="I89" s="367">
        <v>24</v>
      </c>
      <c r="J89" s="367">
        <v>14</v>
      </c>
      <c r="K89" s="367">
        <v>59</v>
      </c>
      <c r="L89" s="367">
        <v>35</v>
      </c>
      <c r="M89" s="367">
        <v>30</v>
      </c>
      <c r="N89" s="367">
        <v>17</v>
      </c>
      <c r="O89" s="367">
        <v>24</v>
      </c>
      <c r="P89" s="367">
        <v>14</v>
      </c>
      <c r="Q89" s="367">
        <v>59</v>
      </c>
      <c r="R89" s="367">
        <v>35</v>
      </c>
      <c r="S89" s="367">
        <v>30</v>
      </c>
      <c r="T89" s="367">
        <v>17</v>
      </c>
      <c r="U89" s="367">
        <v>24</v>
      </c>
      <c r="V89" s="367">
        <v>14</v>
      </c>
      <c r="W89" s="367">
        <v>59</v>
      </c>
      <c r="X89" s="367">
        <v>35</v>
      </c>
      <c r="Y89" s="367">
        <v>30</v>
      </c>
      <c r="Z89" s="367">
        <v>17</v>
      </c>
      <c r="AA89" s="367">
        <v>24</v>
      </c>
      <c r="AB89" s="367">
        <v>14</v>
      </c>
      <c r="AC89" s="367">
        <v>59</v>
      </c>
      <c r="AD89" s="367">
        <v>35</v>
      </c>
      <c r="AE89" s="367">
        <v>30</v>
      </c>
      <c r="AF89" s="367">
        <v>17</v>
      </c>
      <c r="AG89" s="367">
        <v>24</v>
      </c>
      <c r="AH89" s="367">
        <v>14</v>
      </c>
      <c r="AI89" s="367">
        <v>59</v>
      </c>
      <c r="AJ89" s="4221"/>
    </row>
    <row r="90" spans="2:36" x14ac:dyDescent="0.2">
      <c r="B90" s="352"/>
      <c r="D90" s="231" t="s">
        <v>631</v>
      </c>
      <c r="F90" s="388">
        <v>4.9790123456790125</v>
      </c>
      <c r="G90" s="388">
        <v>6.0056753688989781</v>
      </c>
      <c r="H90" s="388">
        <v>18.941176470588236</v>
      </c>
      <c r="I90" s="388">
        <v>3.5773195876288661</v>
      </c>
      <c r="J90" s="388">
        <v>2.6749226006191948</v>
      </c>
      <c r="K90" s="388">
        <v>5.094449418084154</v>
      </c>
      <c r="L90" s="388">
        <v>5.548009367681499</v>
      </c>
      <c r="M90" s="388">
        <v>7.1286407766990294</v>
      </c>
      <c r="N90" s="388">
        <v>4.1269841269841274</v>
      </c>
      <c r="O90" s="388">
        <v>3.3280363223609535</v>
      </c>
      <c r="P90" s="388">
        <v>2.3370025402201522</v>
      </c>
      <c r="Q90" s="388">
        <v>7.3118483412322277</v>
      </c>
      <c r="R90" s="388">
        <v>0.99421407907425263</v>
      </c>
      <c r="S90" s="388">
        <v>0.99412340842311464</v>
      </c>
      <c r="T90" s="388">
        <v>0.98328690807799446</v>
      </c>
      <c r="U90" s="388">
        <v>0.9946236559139785</v>
      </c>
      <c r="V90" s="388">
        <v>0.99006622516556286</v>
      </c>
      <c r="W90" s="388">
        <v>0.99818785865297488</v>
      </c>
      <c r="X90" s="388">
        <v>1.1442841287458378</v>
      </c>
      <c r="Y90" s="388">
        <v>0.95845136921624174</v>
      </c>
      <c r="Z90" s="388">
        <v>0.96448087431693985</v>
      </c>
      <c r="AA90" s="388">
        <v>0.99373321396598036</v>
      </c>
      <c r="AB90" s="388">
        <v>0.72222222222222221</v>
      </c>
      <c r="AC90" s="388">
        <v>1.1408353469105972</v>
      </c>
      <c r="AD90" s="388">
        <v>2.7619608099852879</v>
      </c>
      <c r="AE90" s="388">
        <v>3.2090684584907208</v>
      </c>
      <c r="AF90" s="388">
        <v>5.1960818508568476</v>
      </c>
      <c r="AG90" s="388">
        <v>1.9774891987671517</v>
      </c>
      <c r="AH90" s="388">
        <v>1.4892871620898709</v>
      </c>
      <c r="AI90" s="388">
        <v>3.1372312623581098</v>
      </c>
      <c r="AJ90" s="4221"/>
    </row>
    <row r="91" spans="2:36" x14ac:dyDescent="0.2">
      <c r="B91" s="352"/>
      <c r="D91" s="231" t="s">
        <v>106</v>
      </c>
      <c r="F91" s="389">
        <v>77.142857142857139</v>
      </c>
      <c r="G91" s="389">
        <v>83.904761904761898</v>
      </c>
      <c r="H91" s="389">
        <v>37.238095238095241</v>
      </c>
      <c r="I91" s="389">
        <v>101.61904761904762</v>
      </c>
      <c r="J91" s="389">
        <v>123.04761904761905</v>
      </c>
      <c r="K91" s="389">
        <v>212.76190476190476</v>
      </c>
      <c r="L91" s="389">
        <v>81.333333333333329</v>
      </c>
      <c r="M91" s="389">
        <v>78.476190476190482</v>
      </c>
      <c r="N91" s="389">
        <v>24</v>
      </c>
      <c r="O91" s="389">
        <v>83.904761904761898</v>
      </c>
      <c r="P91" s="389">
        <v>112.47619047619048</v>
      </c>
      <c r="Q91" s="389">
        <v>200.95238095238096</v>
      </c>
      <c r="R91" s="389">
        <v>98.761904761904759</v>
      </c>
      <c r="S91" s="389">
        <v>97.238095238095241</v>
      </c>
      <c r="T91" s="389">
        <v>34.19047619047619</v>
      </c>
      <c r="U91" s="389">
        <v>106.28571428571429</v>
      </c>
      <c r="V91" s="389">
        <v>57.523809523809526</v>
      </c>
      <c r="W91" s="389">
        <v>315.33333333333331</v>
      </c>
      <c r="X91" s="389">
        <v>85.80952380952381</v>
      </c>
      <c r="Y91" s="389">
        <v>100.85714285714286</v>
      </c>
      <c r="Z91" s="389">
        <v>34.857142857142854</v>
      </c>
      <c r="AA91" s="389">
        <v>106.38095238095238</v>
      </c>
      <c r="AB91" s="389">
        <v>78.857142857142861</v>
      </c>
      <c r="AC91" s="389">
        <v>275.90476190476193</v>
      </c>
      <c r="AD91" s="389">
        <v>85.771428571428572</v>
      </c>
      <c r="AE91" s="389">
        <v>92.26666666666668</v>
      </c>
      <c r="AF91" s="389">
        <v>33.028571428571425</v>
      </c>
      <c r="AG91" s="389">
        <v>100.91428571428571</v>
      </c>
      <c r="AH91" s="389">
        <v>90.152380952380966</v>
      </c>
      <c r="AI91" s="389">
        <v>256.17142857142858</v>
      </c>
      <c r="AJ91" s="4221"/>
    </row>
    <row r="92" spans="2:36" x14ac:dyDescent="0.2">
      <c r="B92" s="352"/>
      <c r="D92" s="231" t="s">
        <v>107</v>
      </c>
      <c r="F92" s="388">
        <v>0.29629629629629628</v>
      </c>
      <c r="G92" s="388">
        <v>0.4183168316831683</v>
      </c>
      <c r="H92" s="388">
        <v>1.6854219948849105</v>
      </c>
      <c r="I92" s="388">
        <v>-1.5932521087160263E-2</v>
      </c>
      <c r="J92" s="388">
        <v>-0.18730650154798761</v>
      </c>
      <c r="K92" s="388">
        <v>-0.54162854528819759</v>
      </c>
      <c r="L92" s="388">
        <v>0.22950819672131148</v>
      </c>
      <c r="M92" s="388">
        <v>0.27427184466019416</v>
      </c>
      <c r="N92" s="388">
        <v>3.1666666666666665</v>
      </c>
      <c r="O92" s="388">
        <v>0.19182746878547105</v>
      </c>
      <c r="P92" s="388">
        <v>-0.1109229466553768</v>
      </c>
      <c r="Q92" s="388">
        <v>-0.51581508515815089</v>
      </c>
      <c r="R92" s="388">
        <v>1.253616200578592E-2</v>
      </c>
      <c r="S92" s="388">
        <v>2.8403525954946131E-2</v>
      </c>
      <c r="T92" s="388">
        <v>1.924791086350975</v>
      </c>
      <c r="U92" s="388">
        <v>-5.9139784946236562E-2</v>
      </c>
      <c r="V92" s="388">
        <v>0.73841059602649006</v>
      </c>
      <c r="W92" s="388">
        <v>-0.68287526427061307</v>
      </c>
      <c r="X92" s="388">
        <v>0.14368370298939248</v>
      </c>
      <c r="Y92" s="388">
        <v>-8.8148873653281102E-3</v>
      </c>
      <c r="Z92" s="388">
        <v>1.9052924791086352</v>
      </c>
      <c r="AA92" s="388">
        <v>-6.0035842293906808E-2</v>
      </c>
      <c r="AB92" s="388">
        <v>0.36754966887417218</v>
      </c>
      <c r="AC92" s="388">
        <v>-0.557837511325883</v>
      </c>
      <c r="AD92" s="388">
        <v>0.16514161220043572</v>
      </c>
      <c r="AE92" s="388">
        <v>0.14067248551353045</v>
      </c>
      <c r="AF92" s="388">
        <v>2.1174929412239645</v>
      </c>
      <c r="AG92" s="388">
        <v>-6.6330436714787664E-4</v>
      </c>
      <c r="AH92" s="388">
        <v>0.23505609711429401</v>
      </c>
      <c r="AI92" s="388">
        <v>-0.57119878347374553</v>
      </c>
      <c r="AJ92" s="4222"/>
    </row>
    <row r="93" spans="2:36" ht="13.5" thickBot="1" x14ac:dyDescent="0.25">
      <c r="B93" s="352"/>
      <c r="F93" s="231" t="s">
        <v>63</v>
      </c>
      <c r="AD93" s="390">
        <f>AD87/(I27+I35+I38+I39+I40+I41+I42)</f>
        <v>0.17947389398166599</v>
      </c>
      <c r="AE93" s="390">
        <f>AE87/(I30+I37+I43)</f>
        <v>0.45462224307836696</v>
      </c>
      <c r="AF93" s="390">
        <f>AF87/(I31+I206)</f>
        <v>0.15078260869565219</v>
      </c>
      <c r="AG93" s="390">
        <f>AG87/(I32+I208+I209)</f>
        <v>0.29069958847736621</v>
      </c>
    </row>
    <row r="94" spans="2:36" s="392" customFormat="1" ht="13.5" thickBot="1" x14ac:dyDescent="0.25">
      <c r="B94" s="391"/>
      <c r="F94" s="393">
        <f>F89*30</f>
        <v>1050</v>
      </c>
      <c r="G94" s="394"/>
      <c r="H94" s="394"/>
      <c r="I94" s="394"/>
      <c r="J94" s="394"/>
      <c r="K94" s="394"/>
      <c r="L94" s="394"/>
      <c r="X94" s="395">
        <f>ROUNDUP(X87/(Q27+Q35+Q38+Q39+Q40+Q41+Q42),2)</f>
        <v>0.08</v>
      </c>
      <c r="Y94" s="396">
        <f>ROUNDUP(Y87/(Q30+Q37),2)</f>
        <v>0.18000000000000002</v>
      </c>
      <c r="Z94" s="396">
        <f>Z87/(Q31+H206)</f>
        <v>0.10912343470483005</v>
      </c>
      <c r="AA94" s="397">
        <f>AA87/Q32</f>
        <v>0.29012987012987013</v>
      </c>
    </row>
    <row r="95" spans="2:36" x14ac:dyDescent="0.2">
      <c r="B95" s="352"/>
      <c r="D95" s="398"/>
      <c r="E95" s="398"/>
      <c r="F95" s="399" t="s">
        <v>632</v>
      </c>
      <c r="G95" s="399"/>
      <c r="H95" s="399"/>
      <c r="I95" s="399"/>
      <c r="J95" s="399"/>
      <c r="K95" s="399"/>
      <c r="L95" s="399"/>
      <c r="M95" s="398"/>
      <c r="N95" s="398"/>
      <c r="O95" s="398"/>
      <c r="P95" s="398"/>
      <c r="AC95" s="392"/>
    </row>
    <row r="96" spans="2:36" s="230" customFormat="1" x14ac:dyDescent="0.2">
      <c r="B96" s="357"/>
      <c r="C96" s="230" t="s">
        <v>69</v>
      </c>
      <c r="D96" s="400"/>
      <c r="E96" s="400"/>
      <c r="F96" s="401"/>
      <c r="G96" s="401"/>
      <c r="H96" s="401"/>
      <c r="I96" s="401"/>
      <c r="J96" s="401"/>
      <c r="K96" s="401"/>
      <c r="L96" s="402"/>
      <c r="M96" s="403"/>
      <c r="N96" s="403"/>
      <c r="O96" s="403"/>
      <c r="P96" s="403"/>
      <c r="Q96" s="362"/>
      <c r="AC96" s="231"/>
      <c r="AD96" s="231"/>
      <c r="AE96" s="231"/>
      <c r="AF96" s="231"/>
      <c r="AG96" s="231"/>
      <c r="AH96" s="231"/>
      <c r="AI96" s="231"/>
      <c r="AJ96" s="231"/>
    </row>
    <row r="97" spans="2:20" x14ac:dyDescent="0.2">
      <c r="B97" s="352"/>
      <c r="C97" s="384"/>
      <c r="D97" s="398"/>
      <c r="E97" s="404"/>
      <c r="F97" s="398"/>
      <c r="G97" s="398"/>
      <c r="H97" s="398"/>
      <c r="I97" s="398"/>
      <c r="J97" s="398"/>
      <c r="K97" s="398"/>
      <c r="L97" s="398"/>
      <c r="M97" s="398"/>
      <c r="N97" s="398"/>
      <c r="O97" s="398"/>
      <c r="P97" s="398"/>
    </row>
    <row r="98" spans="2:20" x14ac:dyDescent="0.2">
      <c r="B98" s="352"/>
      <c r="C98" s="384"/>
      <c r="D98" s="4176" t="s">
        <v>70</v>
      </c>
      <c r="E98" s="4177"/>
      <c r="F98" s="4171">
        <v>2014</v>
      </c>
      <c r="G98" s="4173"/>
      <c r="H98" s="4171">
        <f>F98+1</f>
        <v>2015</v>
      </c>
      <c r="I98" s="4173"/>
      <c r="J98" s="4171">
        <f t="shared" ref="J98" si="5">H98+1</f>
        <v>2016</v>
      </c>
      <c r="K98" s="4173"/>
      <c r="L98" s="4171">
        <f t="shared" ref="L98" si="6">J98+1</f>
        <v>2017</v>
      </c>
      <c r="M98" s="4173"/>
      <c r="N98" s="4171">
        <f t="shared" ref="N98" si="7">L98+1</f>
        <v>2018</v>
      </c>
      <c r="O98" s="4173"/>
      <c r="P98" s="398"/>
    </row>
    <row r="99" spans="2:20" ht="15" customHeight="1" x14ac:dyDescent="0.2">
      <c r="B99" s="352"/>
      <c r="C99" s="384"/>
      <c r="D99" s="4223"/>
      <c r="E99" s="4224"/>
      <c r="F99" s="4164" t="s">
        <v>71</v>
      </c>
      <c r="G99" s="4164" t="s">
        <v>61</v>
      </c>
      <c r="H99" s="4164" t="s">
        <v>71</v>
      </c>
      <c r="I99" s="4164" t="s">
        <v>61</v>
      </c>
      <c r="J99" s="4164" t="s">
        <v>71</v>
      </c>
      <c r="K99" s="4164" t="s">
        <v>61</v>
      </c>
      <c r="L99" s="4164" t="s">
        <v>71</v>
      </c>
      <c r="M99" s="4164" t="s">
        <v>61</v>
      </c>
      <c r="N99" s="4164" t="s">
        <v>71</v>
      </c>
      <c r="O99" s="4164" t="s">
        <v>61</v>
      </c>
      <c r="P99" s="398"/>
    </row>
    <row r="100" spans="2:20" x14ac:dyDescent="0.2">
      <c r="B100" s="352"/>
      <c r="C100" s="384"/>
      <c r="D100" s="4223"/>
      <c r="E100" s="4224"/>
      <c r="F100" s="4226"/>
      <c r="G100" s="4226"/>
      <c r="H100" s="4226"/>
      <c r="I100" s="4226"/>
      <c r="J100" s="4226"/>
      <c r="K100" s="4226"/>
      <c r="L100" s="4226"/>
      <c r="M100" s="4226"/>
      <c r="N100" s="4226"/>
      <c r="O100" s="4226"/>
      <c r="P100" s="398"/>
    </row>
    <row r="101" spans="2:20" ht="13.5" thickBot="1" x14ac:dyDescent="0.25">
      <c r="B101" s="352"/>
      <c r="C101" s="384"/>
      <c r="D101" s="4174"/>
      <c r="E101" s="4225"/>
      <c r="F101" s="405" t="s">
        <v>62</v>
      </c>
      <c r="G101" s="405" t="s">
        <v>62</v>
      </c>
      <c r="H101" s="405" t="s">
        <v>62</v>
      </c>
      <c r="I101" s="405" t="s">
        <v>62</v>
      </c>
      <c r="J101" s="405" t="s">
        <v>62</v>
      </c>
      <c r="K101" s="405" t="s">
        <v>62</v>
      </c>
      <c r="L101" s="405" t="s">
        <v>62</v>
      </c>
      <c r="M101" s="405" t="s">
        <v>62</v>
      </c>
      <c r="N101" s="405" t="s">
        <v>62</v>
      </c>
      <c r="O101" s="405" t="s">
        <v>62</v>
      </c>
      <c r="P101" s="398"/>
    </row>
    <row r="102" spans="2:20" ht="15" customHeight="1" thickBot="1" x14ac:dyDescent="0.25">
      <c r="B102" s="352"/>
      <c r="C102" s="384"/>
      <c r="D102" s="4188" t="s">
        <v>72</v>
      </c>
      <c r="E102" s="4189"/>
      <c r="F102" s="406">
        <v>545</v>
      </c>
      <c r="G102" s="406">
        <v>481</v>
      </c>
      <c r="H102" s="406">
        <v>333</v>
      </c>
      <c r="I102" s="406">
        <v>298</v>
      </c>
      <c r="J102" s="406">
        <v>590.52</v>
      </c>
      <c r="K102" s="406">
        <v>493.2</v>
      </c>
      <c r="L102" s="406">
        <v>414</v>
      </c>
      <c r="M102" s="406">
        <v>449</v>
      </c>
      <c r="N102" s="406">
        <v>470.63</v>
      </c>
      <c r="O102" s="407">
        <v>430.3</v>
      </c>
      <c r="P102" s="408">
        <f>ROUNDUP(SUM(N102:O102)/(I30+I207),2)</f>
        <v>0.29000000000000004</v>
      </c>
      <c r="Q102" s="392"/>
      <c r="R102" s="392"/>
    </row>
    <row r="103" spans="2:20" x14ac:dyDescent="0.2">
      <c r="B103" s="352"/>
      <c r="C103" s="384"/>
      <c r="D103" s="4159" t="s">
        <v>73</v>
      </c>
      <c r="E103" s="4160"/>
      <c r="F103" s="406">
        <v>240</v>
      </c>
      <c r="G103" s="406">
        <v>88</v>
      </c>
      <c r="H103" s="406">
        <v>204</v>
      </c>
      <c r="I103" s="406">
        <v>181</v>
      </c>
      <c r="J103" s="406">
        <v>323.38</v>
      </c>
      <c r="K103" s="406">
        <v>102</v>
      </c>
      <c r="L103" s="406">
        <v>218</v>
      </c>
      <c r="M103" s="406">
        <v>238</v>
      </c>
      <c r="N103" s="406">
        <v>246.345</v>
      </c>
      <c r="O103" s="406">
        <v>152.25</v>
      </c>
      <c r="P103" s="398"/>
      <c r="Q103" s="392"/>
      <c r="R103" s="392"/>
    </row>
    <row r="104" spans="2:20" x14ac:dyDescent="0.2">
      <c r="B104" s="352"/>
      <c r="C104" s="384"/>
      <c r="D104" s="4159" t="s">
        <v>74</v>
      </c>
      <c r="E104" s="4160"/>
      <c r="F104" s="406">
        <v>1</v>
      </c>
      <c r="G104" s="406">
        <v>1</v>
      </c>
      <c r="H104" s="406">
        <v>2</v>
      </c>
      <c r="I104" s="406">
        <v>0</v>
      </c>
      <c r="J104" s="406">
        <v>2</v>
      </c>
      <c r="K104" s="406">
        <v>0</v>
      </c>
      <c r="L104" s="406">
        <v>23</v>
      </c>
      <c r="M104" s="406">
        <v>0</v>
      </c>
      <c r="N104" s="406">
        <v>7</v>
      </c>
      <c r="O104" s="406">
        <v>0.25</v>
      </c>
      <c r="P104" s="398"/>
      <c r="Q104" s="392"/>
      <c r="R104" s="392"/>
    </row>
    <row r="105" spans="2:20" x14ac:dyDescent="0.2">
      <c r="B105" s="352"/>
      <c r="C105" s="384"/>
      <c r="D105" s="4159" t="s">
        <v>75</v>
      </c>
      <c r="E105" s="4160"/>
      <c r="F105" s="406">
        <v>71</v>
      </c>
      <c r="G105" s="406">
        <v>42</v>
      </c>
      <c r="H105" s="406">
        <v>37</v>
      </c>
      <c r="I105" s="406">
        <v>33</v>
      </c>
      <c r="J105" s="406">
        <v>68</v>
      </c>
      <c r="K105" s="406">
        <v>46</v>
      </c>
      <c r="L105" s="406">
        <v>78</v>
      </c>
      <c r="M105" s="406">
        <v>29</v>
      </c>
      <c r="N105" s="406">
        <v>82</v>
      </c>
      <c r="O105" s="406">
        <v>37.5</v>
      </c>
      <c r="P105" s="398"/>
      <c r="Q105" s="392"/>
      <c r="R105" s="392"/>
    </row>
    <row r="106" spans="2:20" x14ac:dyDescent="0.2">
      <c r="B106" s="352"/>
      <c r="C106" s="384"/>
      <c r="D106" s="4159" t="s">
        <v>84</v>
      </c>
      <c r="E106" s="4160"/>
      <c r="F106" s="406">
        <v>0</v>
      </c>
      <c r="G106" s="406">
        <v>1</v>
      </c>
      <c r="H106" s="406">
        <v>0</v>
      </c>
      <c r="I106" s="406">
        <v>0</v>
      </c>
      <c r="J106" s="406">
        <v>0</v>
      </c>
      <c r="K106" s="406">
        <v>0</v>
      </c>
      <c r="L106" s="406">
        <v>0</v>
      </c>
      <c r="M106" s="406">
        <v>0</v>
      </c>
      <c r="N106" s="406">
        <v>0</v>
      </c>
      <c r="O106" s="406">
        <v>0.25</v>
      </c>
      <c r="P106" s="398"/>
      <c r="Q106" s="392"/>
      <c r="R106" s="392"/>
    </row>
    <row r="107" spans="2:20" ht="13.5" thickBot="1" x14ac:dyDescent="0.25">
      <c r="B107" s="352"/>
      <c r="C107" s="384"/>
      <c r="D107" s="4227" t="s">
        <v>76</v>
      </c>
      <c r="E107" s="3945" t="s">
        <v>77</v>
      </c>
      <c r="F107" s="406">
        <v>23</v>
      </c>
      <c r="G107" s="406">
        <v>120</v>
      </c>
      <c r="H107" s="406">
        <v>14</v>
      </c>
      <c r="I107" s="406">
        <v>76</v>
      </c>
      <c r="J107" s="406">
        <v>11</v>
      </c>
      <c r="K107" s="406">
        <v>129</v>
      </c>
      <c r="L107" s="406">
        <v>138</v>
      </c>
      <c r="M107" s="406">
        <v>417</v>
      </c>
      <c r="N107" s="406">
        <v>147</v>
      </c>
      <c r="O107" s="406">
        <v>372</v>
      </c>
      <c r="P107" s="398"/>
      <c r="Q107" s="392"/>
      <c r="R107" s="392">
        <f>186*2</f>
        <v>372</v>
      </c>
      <c r="T107" s="392">
        <f>R107*3</f>
        <v>1116</v>
      </c>
    </row>
    <row r="108" spans="2:20" ht="13.5" thickBot="1" x14ac:dyDescent="0.25">
      <c r="B108" s="352"/>
      <c r="C108" s="384"/>
      <c r="D108" s="4228"/>
      <c r="E108" s="3945" t="s">
        <v>78</v>
      </c>
      <c r="F108" s="406">
        <v>96</v>
      </c>
      <c r="G108" s="406">
        <v>76</v>
      </c>
      <c r="H108" s="406">
        <v>147.79050000000001</v>
      </c>
      <c r="I108" s="406">
        <v>71.486999999999995</v>
      </c>
      <c r="J108" s="406">
        <v>98</v>
      </c>
      <c r="K108" s="406">
        <v>0.98640000000000005</v>
      </c>
      <c r="L108" s="406">
        <v>140</v>
      </c>
      <c r="M108" s="406">
        <v>180</v>
      </c>
      <c r="N108" s="406">
        <v>165</v>
      </c>
      <c r="O108" s="407">
        <v>217</v>
      </c>
      <c r="P108" s="409">
        <f>SUM((O107:O108)+SUM(N107:N108))/(I32+I208)</f>
        <v>0.19069935111751982</v>
      </c>
      <c r="Q108" s="392"/>
      <c r="R108" s="392"/>
    </row>
    <row r="109" spans="2:20" s="230" customFormat="1" x14ac:dyDescent="0.2">
      <c r="B109" s="357"/>
      <c r="C109" s="385"/>
      <c r="D109" s="4229" t="s">
        <v>79</v>
      </c>
      <c r="E109" s="4230"/>
      <c r="F109" s="406">
        <v>187</v>
      </c>
      <c r="G109" s="406">
        <v>251</v>
      </c>
      <c r="H109" s="406">
        <v>516</v>
      </c>
      <c r="I109" s="406">
        <v>432</v>
      </c>
      <c r="J109" s="406">
        <v>561</v>
      </c>
      <c r="K109" s="406">
        <v>556</v>
      </c>
      <c r="L109" s="406">
        <v>1281</v>
      </c>
      <c r="M109" s="406">
        <v>1387</v>
      </c>
      <c r="N109" s="406">
        <v>636.25</v>
      </c>
      <c r="O109" s="406">
        <v>656.5</v>
      </c>
      <c r="P109" s="400"/>
      <c r="Q109" s="392"/>
      <c r="R109" s="392"/>
    </row>
    <row r="110" spans="2:20" x14ac:dyDescent="0.2">
      <c r="B110" s="352"/>
      <c r="C110" s="384"/>
      <c r="D110" s="4159" t="s">
        <v>80</v>
      </c>
      <c r="E110" s="4160"/>
      <c r="F110" s="406">
        <v>0</v>
      </c>
      <c r="G110" s="406">
        <v>0</v>
      </c>
      <c r="H110" s="406">
        <v>0</v>
      </c>
      <c r="I110" s="406">
        <v>0</v>
      </c>
      <c r="J110" s="406">
        <v>0</v>
      </c>
      <c r="K110" s="406">
        <v>0</v>
      </c>
      <c r="L110" s="406">
        <v>4</v>
      </c>
      <c r="M110" s="406">
        <v>0</v>
      </c>
      <c r="N110" s="406">
        <v>5</v>
      </c>
      <c r="O110" s="406">
        <v>0</v>
      </c>
      <c r="P110" s="398"/>
      <c r="Q110" s="392"/>
      <c r="R110" s="392"/>
    </row>
    <row r="111" spans="2:20" x14ac:dyDescent="0.2">
      <c r="B111" s="352"/>
      <c r="C111" s="384"/>
      <c r="D111" s="4231" t="s">
        <v>0</v>
      </c>
      <c r="E111" s="4232"/>
      <c r="F111" s="406">
        <f>SUM(F102:F110)</f>
        <v>1163</v>
      </c>
      <c r="G111" s="406">
        <f t="shared" ref="G111:N111" si="8">SUM(G102:G110)</f>
        <v>1060</v>
      </c>
      <c r="H111" s="406">
        <f t="shared" si="8"/>
        <v>1253.7905000000001</v>
      </c>
      <c r="I111" s="406">
        <f t="shared" si="8"/>
        <v>1091.4870000000001</v>
      </c>
      <c r="J111" s="406">
        <f t="shared" si="8"/>
        <v>1653.9</v>
      </c>
      <c r="K111" s="406">
        <f t="shared" si="8"/>
        <v>1327.1864</v>
      </c>
      <c r="L111" s="406">
        <f t="shared" si="8"/>
        <v>2296</v>
      </c>
      <c r="M111" s="406">
        <f t="shared" si="8"/>
        <v>2700</v>
      </c>
      <c r="N111" s="406">
        <f t="shared" si="8"/>
        <v>1759.2249999999999</v>
      </c>
      <c r="O111" s="406">
        <f>SUM(O102:O110)</f>
        <v>1866.05</v>
      </c>
      <c r="P111" s="398"/>
    </row>
    <row r="112" spans="2:20" x14ac:dyDescent="0.2">
      <c r="B112" s="352"/>
      <c r="C112" s="384"/>
      <c r="E112" s="353"/>
    </row>
    <row r="113" spans="2:13" x14ac:dyDescent="0.2">
      <c r="B113" s="352"/>
      <c r="C113" s="384"/>
      <c r="E113" s="353"/>
      <c r="F113" s="392"/>
    </row>
    <row r="114" spans="2:13" x14ac:dyDescent="0.2">
      <c r="B114" s="352"/>
      <c r="C114" s="398"/>
      <c r="D114" s="398"/>
      <c r="E114" s="398"/>
      <c r="F114" s="398"/>
      <c r="G114" s="398"/>
      <c r="H114" s="398"/>
      <c r="I114" s="398"/>
      <c r="J114" s="398"/>
      <c r="K114" s="398"/>
      <c r="L114" s="398"/>
    </row>
    <row r="115" spans="2:13" s="401" customFormat="1" x14ac:dyDescent="0.2">
      <c r="B115" s="410"/>
      <c r="C115" s="401" t="s">
        <v>81</v>
      </c>
    </row>
    <row r="116" spans="2:13" x14ac:dyDescent="0.2">
      <c r="B116" s="352"/>
      <c r="C116" s="398"/>
      <c r="D116" s="398"/>
      <c r="E116" s="398"/>
      <c r="F116" s="398"/>
      <c r="G116" s="398"/>
      <c r="H116" s="398"/>
      <c r="I116" s="398"/>
      <c r="J116" s="398"/>
      <c r="K116" s="398"/>
      <c r="L116" s="398"/>
    </row>
    <row r="117" spans="2:13" x14ac:dyDescent="0.2">
      <c r="B117" s="352"/>
      <c r="C117" s="398"/>
      <c r="D117" s="4197" t="s">
        <v>82</v>
      </c>
      <c r="E117" s="4199"/>
      <c r="F117" s="3942">
        <v>2014</v>
      </c>
      <c r="G117" s="3942">
        <f>F117+1</f>
        <v>2015</v>
      </c>
      <c r="H117" s="3942">
        <f t="shared" ref="H117:J117" si="9">G117+1</f>
        <v>2016</v>
      </c>
      <c r="I117" s="3942">
        <f t="shared" si="9"/>
        <v>2017</v>
      </c>
      <c r="J117" s="3942">
        <f t="shared" si="9"/>
        <v>2018</v>
      </c>
      <c r="K117" s="3942" t="s">
        <v>83</v>
      </c>
      <c r="L117" s="398"/>
    </row>
    <row r="118" spans="2:13" ht="15" customHeight="1" x14ac:dyDescent="0.2">
      <c r="B118" s="352"/>
      <c r="C118" s="398"/>
      <c r="D118" s="4233" t="s">
        <v>72</v>
      </c>
      <c r="E118" s="4234"/>
      <c r="F118" s="411">
        <v>1026</v>
      </c>
      <c r="G118" s="411">
        <v>631</v>
      </c>
      <c r="H118" s="411">
        <v>1084</v>
      </c>
      <c r="I118" s="411">
        <v>863</v>
      </c>
      <c r="J118" s="411">
        <v>901</v>
      </c>
      <c r="K118" s="4235">
        <v>5</v>
      </c>
      <c r="L118" s="412"/>
    </row>
    <row r="119" spans="2:13" x14ac:dyDescent="0.2">
      <c r="B119" s="352"/>
      <c r="C119" s="398"/>
      <c r="D119" s="4233" t="s">
        <v>73</v>
      </c>
      <c r="E119" s="4234"/>
      <c r="F119" s="411">
        <v>328</v>
      </c>
      <c r="G119" s="411">
        <v>385</v>
      </c>
      <c r="H119" s="411">
        <v>425</v>
      </c>
      <c r="I119" s="411">
        <v>456</v>
      </c>
      <c r="J119" s="411">
        <v>398.5</v>
      </c>
      <c r="K119" s="4235"/>
      <c r="L119" s="412"/>
    </row>
    <row r="120" spans="2:13" x14ac:dyDescent="0.2">
      <c r="B120" s="352"/>
      <c r="C120" s="398"/>
      <c r="D120" s="4233" t="s">
        <v>74</v>
      </c>
      <c r="E120" s="4234"/>
      <c r="F120" s="411">
        <v>2</v>
      </c>
      <c r="G120" s="411">
        <v>2</v>
      </c>
      <c r="H120" s="411">
        <v>2</v>
      </c>
      <c r="I120" s="411">
        <v>23</v>
      </c>
      <c r="J120" s="411">
        <v>7.25</v>
      </c>
      <c r="K120" s="4235"/>
      <c r="L120" s="412"/>
    </row>
    <row r="121" spans="2:13" x14ac:dyDescent="0.2">
      <c r="B121" s="352"/>
      <c r="C121" s="398"/>
      <c r="D121" s="4233" t="s">
        <v>75</v>
      </c>
      <c r="E121" s="4234"/>
      <c r="F121" s="411">
        <v>113</v>
      </c>
      <c r="G121" s="411">
        <v>70</v>
      </c>
      <c r="H121" s="411">
        <v>114</v>
      </c>
      <c r="I121" s="411">
        <v>107</v>
      </c>
      <c r="J121" s="411">
        <v>101</v>
      </c>
      <c r="K121" s="4235"/>
      <c r="L121" s="412"/>
    </row>
    <row r="122" spans="2:13" x14ac:dyDescent="0.2">
      <c r="B122" s="352"/>
      <c r="C122" s="398"/>
      <c r="D122" s="4233" t="s">
        <v>84</v>
      </c>
      <c r="E122" s="4234"/>
      <c r="F122" s="411">
        <v>1</v>
      </c>
      <c r="G122" s="411">
        <v>0</v>
      </c>
      <c r="H122" s="411">
        <v>0</v>
      </c>
      <c r="I122" s="411">
        <v>0</v>
      </c>
      <c r="J122" s="411">
        <v>0.25</v>
      </c>
      <c r="K122" s="4235"/>
      <c r="L122" s="412"/>
    </row>
    <row r="123" spans="2:13" ht="13.5" thickBot="1" x14ac:dyDescent="0.25">
      <c r="B123" s="352"/>
      <c r="C123" s="398"/>
      <c r="D123" s="4237" t="s">
        <v>76</v>
      </c>
      <c r="E123" s="413" t="s">
        <v>77</v>
      </c>
      <c r="F123" s="356">
        <v>143</v>
      </c>
      <c r="G123" s="356">
        <v>90</v>
      </c>
      <c r="H123" s="411">
        <v>140</v>
      </c>
      <c r="I123" s="411">
        <v>555</v>
      </c>
      <c r="J123" s="411">
        <v>532</v>
      </c>
      <c r="K123" s="4235"/>
      <c r="L123" s="398"/>
    </row>
    <row r="124" spans="2:13" ht="13.5" thickBot="1" x14ac:dyDescent="0.25">
      <c r="B124" s="352"/>
      <c r="C124" s="398"/>
      <c r="D124" s="4238"/>
      <c r="E124" s="413" t="s">
        <v>78</v>
      </c>
      <c r="F124" s="356">
        <v>172</v>
      </c>
      <c r="G124" s="356">
        <v>219</v>
      </c>
      <c r="H124" s="411">
        <v>99</v>
      </c>
      <c r="I124" s="411">
        <v>320</v>
      </c>
      <c r="J124" s="411">
        <v>229</v>
      </c>
      <c r="K124" s="4235"/>
      <c r="L124" s="412">
        <f>I125+I290</f>
        <v>5793</v>
      </c>
      <c r="M124" s="408">
        <f>I125/L124</f>
        <v>0.46055584325910581</v>
      </c>
    </row>
    <row r="125" spans="2:13" x14ac:dyDescent="0.2">
      <c r="B125" s="352"/>
      <c r="C125" s="398"/>
      <c r="D125" s="4233" t="s">
        <v>79</v>
      </c>
      <c r="E125" s="4234"/>
      <c r="F125" s="356">
        <v>438</v>
      </c>
      <c r="G125" s="356">
        <v>948</v>
      </c>
      <c r="H125" s="411">
        <v>1117</v>
      </c>
      <c r="I125" s="411">
        <v>2668</v>
      </c>
      <c r="J125" s="411">
        <v>781</v>
      </c>
      <c r="K125" s="4235"/>
      <c r="L125" s="398"/>
    </row>
    <row r="126" spans="2:13" x14ac:dyDescent="0.2">
      <c r="B126" s="352"/>
      <c r="C126" s="398"/>
      <c r="D126" s="4233" t="s">
        <v>80</v>
      </c>
      <c r="E126" s="4234"/>
      <c r="F126" s="356">
        <v>0</v>
      </c>
      <c r="G126" s="356">
        <v>0</v>
      </c>
      <c r="H126" s="411">
        <v>0</v>
      </c>
      <c r="I126" s="411">
        <v>4</v>
      </c>
      <c r="J126" s="411">
        <v>0</v>
      </c>
      <c r="K126" s="4235"/>
      <c r="L126" s="414"/>
      <c r="M126" s="415"/>
    </row>
    <row r="127" spans="2:13" x14ac:dyDescent="0.2">
      <c r="B127" s="352"/>
      <c r="C127" s="398"/>
      <c r="D127" s="4239" t="s">
        <v>0</v>
      </c>
      <c r="E127" s="4240"/>
      <c r="F127" s="411">
        <v>2223</v>
      </c>
      <c r="G127" s="411">
        <v>2345</v>
      </c>
      <c r="H127" s="411">
        <v>2981</v>
      </c>
      <c r="I127" s="411">
        <v>4996</v>
      </c>
      <c r="J127" s="411">
        <v>2950</v>
      </c>
      <c r="K127" s="4236"/>
      <c r="L127" s="398"/>
    </row>
    <row r="128" spans="2:13" x14ac:dyDescent="0.2">
      <c r="B128" s="352"/>
    </row>
    <row r="129" spans="2:28" x14ac:dyDescent="0.2">
      <c r="B129" s="352"/>
      <c r="D129" s="416"/>
    </row>
    <row r="130" spans="2:28" s="230" customFormat="1" x14ac:dyDescent="0.2">
      <c r="B130" s="357"/>
      <c r="C130" s="230" t="s">
        <v>85</v>
      </c>
    </row>
    <row r="131" spans="2:28" x14ac:dyDescent="0.2">
      <c r="B131" s="352"/>
      <c r="W131" s="231" t="s">
        <v>65</v>
      </c>
    </row>
    <row r="132" spans="2:28" x14ac:dyDescent="0.2">
      <c r="B132" s="352"/>
      <c r="D132" s="4164" t="s">
        <v>86</v>
      </c>
      <c r="E132" s="4171">
        <v>2013</v>
      </c>
      <c r="F132" s="4172"/>
      <c r="G132" s="4173"/>
      <c r="H132" s="4171">
        <f>E132+1</f>
        <v>2014</v>
      </c>
      <c r="I132" s="4172"/>
      <c r="J132" s="4173"/>
      <c r="K132" s="4171">
        <f t="shared" ref="K132" si="10">H132+1</f>
        <v>2015</v>
      </c>
      <c r="L132" s="4172"/>
      <c r="M132" s="4173"/>
      <c r="N132" s="4171">
        <f t="shared" ref="N132" si="11">K132+1</f>
        <v>2016</v>
      </c>
      <c r="O132" s="4172"/>
      <c r="P132" s="4173"/>
      <c r="Q132" s="4171">
        <f t="shared" ref="Q132" si="12">N132+1</f>
        <v>2017</v>
      </c>
      <c r="R132" s="4172"/>
      <c r="S132" s="4173"/>
      <c r="W132" s="417" t="s">
        <v>66</v>
      </c>
      <c r="X132" s="417">
        <v>2014</v>
      </c>
      <c r="Y132" s="417">
        <v>2015</v>
      </c>
      <c r="Z132" s="417">
        <v>2016</v>
      </c>
      <c r="AA132" s="417">
        <v>2017</v>
      </c>
      <c r="AB132" s="417">
        <v>2018</v>
      </c>
    </row>
    <row r="133" spans="2:28" x14ac:dyDescent="0.2">
      <c r="B133" s="352"/>
      <c r="D133" s="4226"/>
      <c r="E133" s="405" t="s">
        <v>87</v>
      </c>
      <c r="F133" s="405" t="s">
        <v>88</v>
      </c>
      <c r="G133" s="405" t="s">
        <v>89</v>
      </c>
      <c r="H133" s="405" t="s">
        <v>87</v>
      </c>
      <c r="I133" s="405" t="s">
        <v>88</v>
      </c>
      <c r="J133" s="405" t="s">
        <v>89</v>
      </c>
      <c r="K133" s="405" t="s">
        <v>87</v>
      </c>
      <c r="L133" s="405" t="s">
        <v>88</v>
      </c>
      <c r="M133" s="405" t="s">
        <v>89</v>
      </c>
      <c r="N133" s="405" t="s">
        <v>87</v>
      </c>
      <c r="O133" s="405" t="s">
        <v>88</v>
      </c>
      <c r="P133" s="405" t="s">
        <v>89</v>
      </c>
      <c r="Q133" s="405" t="s">
        <v>87</v>
      </c>
      <c r="R133" s="405" t="s">
        <v>88</v>
      </c>
      <c r="S133" s="405" t="s">
        <v>89</v>
      </c>
      <c r="W133" s="418" t="s">
        <v>67</v>
      </c>
      <c r="X133" s="419">
        <v>12829</v>
      </c>
      <c r="Y133" s="419">
        <v>3321</v>
      </c>
      <c r="Z133" s="419">
        <v>9229.3333333333339</v>
      </c>
      <c r="AA133" s="419">
        <v>8541</v>
      </c>
      <c r="AB133" s="419">
        <v>8480</v>
      </c>
    </row>
    <row r="134" spans="2:28" x14ac:dyDescent="0.2">
      <c r="B134" s="352"/>
      <c r="D134" s="420" t="s">
        <v>90</v>
      </c>
      <c r="E134" s="421">
        <v>43</v>
      </c>
      <c r="F134" s="421">
        <v>4</v>
      </c>
      <c r="G134" s="421">
        <v>41</v>
      </c>
      <c r="H134" s="421">
        <v>51</v>
      </c>
      <c r="I134" s="421">
        <v>53</v>
      </c>
      <c r="J134" s="421">
        <v>83</v>
      </c>
      <c r="K134" s="421">
        <v>40</v>
      </c>
      <c r="L134" s="421">
        <v>25</v>
      </c>
      <c r="M134" s="421">
        <v>48</v>
      </c>
      <c r="N134" s="421">
        <f>AVERAGE(E134+H134+K134)/3</f>
        <v>44.666666666666664</v>
      </c>
      <c r="O134" s="421">
        <f t="shared" ref="O134:P142" si="13">AVERAGE(F134+I134+L134)/3</f>
        <v>27.333333333333332</v>
      </c>
      <c r="P134" s="421">
        <f t="shared" si="13"/>
        <v>57.333333333333336</v>
      </c>
      <c r="Q134" s="421">
        <f>AVERAGE(E134+N134)/2</f>
        <v>43.833333333333329</v>
      </c>
      <c r="R134" s="421">
        <f t="shared" ref="R134:S142" si="14">AVERAGE(F134+O134)/2</f>
        <v>15.666666666666666</v>
      </c>
      <c r="S134" s="421">
        <f t="shared" si="14"/>
        <v>49.166666666666671</v>
      </c>
      <c r="W134" s="418" t="s">
        <v>68</v>
      </c>
      <c r="X134" s="419">
        <v>7925</v>
      </c>
      <c r="Y134" s="419">
        <v>1913</v>
      </c>
      <c r="Z134" s="419">
        <v>5736.333333333333</v>
      </c>
      <c r="AA134" s="419">
        <v>2587</v>
      </c>
      <c r="AB134" s="419">
        <v>4540</v>
      </c>
    </row>
    <row r="135" spans="2:28" x14ac:dyDescent="0.2">
      <c r="B135" s="352"/>
      <c r="D135" s="422" t="s">
        <v>91</v>
      </c>
      <c r="E135" s="423">
        <v>651</v>
      </c>
      <c r="F135" s="423">
        <v>129</v>
      </c>
      <c r="G135" s="423">
        <v>451</v>
      </c>
      <c r="H135" s="423">
        <v>928</v>
      </c>
      <c r="I135" s="423">
        <v>180</v>
      </c>
      <c r="J135" s="423">
        <v>631</v>
      </c>
      <c r="K135" s="423">
        <v>256</v>
      </c>
      <c r="L135" s="423">
        <v>72</v>
      </c>
      <c r="M135" s="423">
        <v>112</v>
      </c>
      <c r="N135" s="421">
        <f t="shared" ref="N135:N142" si="15">AVERAGE(E135+H135+K135)/3</f>
        <v>611.66666666666663</v>
      </c>
      <c r="O135" s="421">
        <f t="shared" si="13"/>
        <v>127</v>
      </c>
      <c r="P135" s="421">
        <f t="shared" si="13"/>
        <v>398</v>
      </c>
      <c r="Q135" s="421">
        <f t="shared" ref="Q135:Q142" si="16">AVERAGE(E135+N135)/2</f>
        <v>631.33333333333326</v>
      </c>
      <c r="R135" s="421">
        <f t="shared" si="14"/>
        <v>128</v>
      </c>
      <c r="S135" s="421">
        <f t="shared" si="14"/>
        <v>424.5</v>
      </c>
      <c r="W135" s="424" t="s">
        <v>0</v>
      </c>
      <c r="X135" s="425">
        <f>(X134+X133)</f>
        <v>20754</v>
      </c>
      <c r="Y135" s="425">
        <f t="shared" ref="Y135:AB135" si="17">(Y134+Y133)</f>
        <v>5234</v>
      </c>
      <c r="Z135" s="425">
        <f t="shared" si="17"/>
        <v>14965.666666666668</v>
      </c>
      <c r="AA135" s="425">
        <f t="shared" si="17"/>
        <v>11128</v>
      </c>
      <c r="AB135" s="425">
        <f t="shared" si="17"/>
        <v>13020</v>
      </c>
    </row>
    <row r="136" spans="2:28" x14ac:dyDescent="0.2">
      <c r="B136" s="352"/>
      <c r="D136" s="422" t="s">
        <v>92</v>
      </c>
      <c r="E136" s="423">
        <v>82</v>
      </c>
      <c r="F136" s="423">
        <v>54</v>
      </c>
      <c r="G136" s="423">
        <v>5</v>
      </c>
      <c r="H136" s="423">
        <v>24</v>
      </c>
      <c r="I136" s="423">
        <v>0</v>
      </c>
      <c r="J136" s="423">
        <v>5</v>
      </c>
      <c r="K136" s="423">
        <v>0</v>
      </c>
      <c r="L136" s="423">
        <v>720</v>
      </c>
      <c r="M136" s="423">
        <v>0</v>
      </c>
      <c r="N136" s="421">
        <f t="shared" si="15"/>
        <v>35.333333333333336</v>
      </c>
      <c r="O136" s="421">
        <f t="shared" si="13"/>
        <v>258</v>
      </c>
      <c r="P136" s="421">
        <f t="shared" si="13"/>
        <v>3.3333333333333335</v>
      </c>
      <c r="Q136" s="421">
        <f t="shared" si="16"/>
        <v>58.666666666666671</v>
      </c>
      <c r="R136" s="421">
        <f t="shared" si="14"/>
        <v>156</v>
      </c>
      <c r="S136" s="421">
        <f t="shared" si="14"/>
        <v>4.166666666666667</v>
      </c>
    </row>
    <row r="137" spans="2:28" x14ac:dyDescent="0.2">
      <c r="B137" s="352"/>
      <c r="D137" s="422" t="s">
        <v>93</v>
      </c>
      <c r="E137" s="426"/>
      <c r="F137" s="426"/>
      <c r="G137" s="426"/>
      <c r="H137" s="426"/>
      <c r="I137" s="426"/>
      <c r="J137" s="426"/>
      <c r="K137" s="426"/>
      <c r="L137" s="426"/>
      <c r="M137" s="426"/>
      <c r="N137" s="426"/>
      <c r="O137" s="426"/>
      <c r="P137" s="426"/>
      <c r="Q137" s="426"/>
      <c r="R137" s="426"/>
      <c r="S137" s="426"/>
    </row>
    <row r="138" spans="2:28" x14ac:dyDescent="0.2">
      <c r="B138" s="352"/>
      <c r="D138" s="422" t="s">
        <v>94</v>
      </c>
      <c r="E138" s="423">
        <v>13978</v>
      </c>
      <c r="F138" s="423">
        <v>791</v>
      </c>
      <c r="G138" s="423">
        <v>4162</v>
      </c>
      <c r="H138" s="423">
        <v>7795</v>
      </c>
      <c r="I138" s="423">
        <v>1098</v>
      </c>
      <c r="J138" s="423">
        <v>1958</v>
      </c>
      <c r="K138" s="423">
        <v>2498</v>
      </c>
      <c r="L138" s="423">
        <v>421</v>
      </c>
      <c r="M138" s="423">
        <v>993</v>
      </c>
      <c r="N138" s="421">
        <f t="shared" si="15"/>
        <v>8090.333333333333</v>
      </c>
      <c r="O138" s="421">
        <f t="shared" si="13"/>
        <v>770</v>
      </c>
      <c r="P138" s="421">
        <f t="shared" si="13"/>
        <v>2371</v>
      </c>
      <c r="Q138" s="421">
        <f t="shared" si="16"/>
        <v>11034.166666666666</v>
      </c>
      <c r="R138" s="421">
        <f t="shared" si="14"/>
        <v>780.5</v>
      </c>
      <c r="S138" s="421">
        <f t="shared" si="14"/>
        <v>3266.5</v>
      </c>
    </row>
    <row r="139" spans="2:28" x14ac:dyDescent="0.2">
      <c r="B139" s="352"/>
      <c r="D139" s="422" t="s">
        <v>95</v>
      </c>
      <c r="E139" s="423">
        <v>15433</v>
      </c>
      <c r="F139" s="423">
        <v>1829</v>
      </c>
      <c r="G139" s="423">
        <v>5073</v>
      </c>
      <c r="H139" s="423">
        <v>18070</v>
      </c>
      <c r="I139" s="423">
        <v>2276</v>
      </c>
      <c r="J139" s="423">
        <v>6558</v>
      </c>
      <c r="K139" s="423">
        <v>5222</v>
      </c>
      <c r="L139" s="423">
        <v>514</v>
      </c>
      <c r="M139" s="423">
        <v>1389</v>
      </c>
      <c r="N139" s="421">
        <f t="shared" si="15"/>
        <v>12908.333333333334</v>
      </c>
      <c r="O139" s="421">
        <f t="shared" si="13"/>
        <v>1539.6666666666667</v>
      </c>
      <c r="P139" s="421">
        <f t="shared" si="13"/>
        <v>4340</v>
      </c>
      <c r="Q139" s="421">
        <f t="shared" si="16"/>
        <v>14170.666666666668</v>
      </c>
      <c r="R139" s="421">
        <f t="shared" si="14"/>
        <v>1684.3333333333335</v>
      </c>
      <c r="S139" s="421">
        <f t="shared" si="14"/>
        <v>4706.5</v>
      </c>
    </row>
    <row r="140" spans="2:28" ht="13.5" thickBot="1" x14ac:dyDescent="0.25">
      <c r="B140" s="352"/>
      <c r="D140" s="422" t="s">
        <v>96</v>
      </c>
      <c r="E140" s="423">
        <v>1482</v>
      </c>
      <c r="F140" s="423">
        <v>9</v>
      </c>
      <c r="G140" s="423">
        <v>358</v>
      </c>
      <c r="H140" s="423">
        <v>2121</v>
      </c>
      <c r="I140" s="423">
        <v>121</v>
      </c>
      <c r="J140" s="423">
        <v>526</v>
      </c>
      <c r="K140" s="423">
        <v>1065</v>
      </c>
      <c r="L140" s="423">
        <v>165</v>
      </c>
      <c r="M140" s="423">
        <v>736</v>
      </c>
      <c r="N140" s="421">
        <f t="shared" si="15"/>
        <v>1556</v>
      </c>
      <c r="O140" s="421">
        <f t="shared" si="13"/>
        <v>98.333333333333329</v>
      </c>
      <c r="P140" s="421">
        <f t="shared" si="13"/>
        <v>540</v>
      </c>
      <c r="Q140" s="421">
        <f t="shared" si="16"/>
        <v>1519</v>
      </c>
      <c r="R140" s="427">
        <f t="shared" si="14"/>
        <v>53.666666666666664</v>
      </c>
      <c r="S140" s="421">
        <f t="shared" si="14"/>
        <v>449</v>
      </c>
    </row>
    <row r="141" spans="2:28" ht="13.5" thickBot="1" x14ac:dyDescent="0.25">
      <c r="B141" s="352"/>
      <c r="D141" s="422" t="s">
        <v>97</v>
      </c>
      <c r="E141" s="428"/>
      <c r="F141" s="428"/>
      <c r="G141" s="428"/>
      <c r="H141" s="428"/>
      <c r="I141" s="428"/>
      <c r="J141" s="428"/>
      <c r="K141" s="428"/>
      <c r="L141" s="428"/>
      <c r="M141" s="428"/>
      <c r="N141" s="428"/>
      <c r="O141" s="428"/>
      <c r="P141" s="428"/>
      <c r="Q141" s="429"/>
      <c r="R141" s="430"/>
      <c r="S141" s="431"/>
      <c r="T141" s="432">
        <f>R141/((AD87+AE87+AF87+AG87+AH87)+J127+I212)</f>
        <v>0</v>
      </c>
    </row>
    <row r="142" spans="2:28" x14ac:dyDescent="0.2">
      <c r="B142" s="352"/>
      <c r="D142" s="422" t="s">
        <v>98</v>
      </c>
      <c r="E142" s="423">
        <v>22</v>
      </c>
      <c r="F142" s="423">
        <v>432</v>
      </c>
      <c r="G142" s="423">
        <v>266</v>
      </c>
      <c r="H142" s="423">
        <v>23</v>
      </c>
      <c r="I142" s="423">
        <v>450</v>
      </c>
      <c r="J142" s="423">
        <v>277</v>
      </c>
      <c r="K142" s="423">
        <v>33</v>
      </c>
      <c r="L142" s="423">
        <v>648</v>
      </c>
      <c r="M142" s="423">
        <v>399</v>
      </c>
      <c r="N142" s="421">
        <f t="shared" si="15"/>
        <v>26</v>
      </c>
      <c r="O142" s="421">
        <f t="shared" si="13"/>
        <v>510</v>
      </c>
      <c r="P142" s="421">
        <f t="shared" si="13"/>
        <v>314</v>
      </c>
      <c r="Q142" s="421">
        <f t="shared" si="16"/>
        <v>24</v>
      </c>
      <c r="R142" s="421">
        <f t="shared" si="14"/>
        <v>471</v>
      </c>
      <c r="S142" s="421">
        <f t="shared" si="14"/>
        <v>290</v>
      </c>
    </row>
    <row r="143" spans="2:28" x14ac:dyDescent="0.2">
      <c r="B143" s="352"/>
      <c r="D143" s="231" t="s">
        <v>3633</v>
      </c>
    </row>
    <row r="144" spans="2:28" x14ac:dyDescent="0.2">
      <c r="B144" s="352"/>
      <c r="D144" s="231" t="s">
        <v>99</v>
      </c>
    </row>
    <row r="145" spans="2:23" x14ac:dyDescent="0.2">
      <c r="B145" s="352"/>
      <c r="D145" s="231" t="s">
        <v>100</v>
      </c>
    </row>
    <row r="146" spans="2:23" x14ac:dyDescent="0.2">
      <c r="B146" s="352"/>
      <c r="D146" s="232"/>
    </row>
    <row r="147" spans="2:23" x14ac:dyDescent="0.2">
      <c r="B147" s="352"/>
      <c r="E147" s="232"/>
    </row>
    <row r="148" spans="2:23" s="230" customFormat="1" x14ac:dyDescent="0.2">
      <c r="B148" s="357"/>
      <c r="C148" s="230" t="s">
        <v>101</v>
      </c>
    </row>
    <row r="149" spans="2:23" ht="30" customHeight="1" x14ac:dyDescent="0.2">
      <c r="B149" s="352"/>
      <c r="D149" s="3942" t="s">
        <v>102</v>
      </c>
      <c r="E149" s="3942">
        <v>2014</v>
      </c>
      <c r="F149" s="3942">
        <f>E149+1</f>
        <v>2015</v>
      </c>
      <c r="G149" s="3942">
        <f t="shared" ref="G149:I149" si="18">F149+1</f>
        <v>2016</v>
      </c>
      <c r="H149" s="3942">
        <f t="shared" si="18"/>
        <v>2017</v>
      </c>
      <c r="I149" s="3942">
        <f t="shared" si="18"/>
        <v>2018</v>
      </c>
      <c r="J149" s="3942" t="s">
        <v>633</v>
      </c>
      <c r="M149" s="4241" t="s">
        <v>103</v>
      </c>
      <c r="N149" s="4241"/>
      <c r="O149" s="4179"/>
      <c r="P149" s="3942">
        <v>2014</v>
      </c>
      <c r="Q149" s="3942">
        <f>P149+1</f>
        <v>2015</v>
      </c>
      <c r="R149" s="3942">
        <f t="shared" ref="R149:T149" si="19">Q149+1</f>
        <v>2016</v>
      </c>
      <c r="S149" s="3942">
        <f t="shared" si="19"/>
        <v>2017</v>
      </c>
      <c r="T149" s="3942">
        <f t="shared" si="19"/>
        <v>2018</v>
      </c>
      <c r="U149" s="3942" t="s">
        <v>633</v>
      </c>
    </row>
    <row r="150" spans="2:23" x14ac:dyDescent="0.2">
      <c r="B150" s="352"/>
      <c r="D150" s="422" t="s">
        <v>104</v>
      </c>
      <c r="E150" s="356">
        <v>69</v>
      </c>
      <c r="F150" s="356">
        <v>102</v>
      </c>
      <c r="G150" s="356">
        <v>81</v>
      </c>
      <c r="H150" s="356">
        <v>77</v>
      </c>
      <c r="I150" s="356">
        <v>82.25</v>
      </c>
      <c r="J150" s="4242"/>
      <c r="M150" s="3939" t="s">
        <v>104</v>
      </c>
      <c r="N150" s="3940"/>
      <c r="O150" s="3941"/>
      <c r="P150" s="356">
        <v>85</v>
      </c>
      <c r="Q150" s="356">
        <v>103</v>
      </c>
      <c r="R150" s="356">
        <v>89</v>
      </c>
      <c r="S150" s="356">
        <v>84</v>
      </c>
      <c r="T150" s="356">
        <v>90.25</v>
      </c>
      <c r="U150" s="4242"/>
    </row>
    <row r="151" spans="2:23" x14ac:dyDescent="0.2">
      <c r="B151" s="352"/>
      <c r="D151" s="422" t="s">
        <v>634</v>
      </c>
      <c r="E151" s="356">
        <v>734</v>
      </c>
      <c r="F151" s="356">
        <v>760</v>
      </c>
      <c r="G151" s="356">
        <v>609</v>
      </c>
      <c r="H151" s="356">
        <v>471</v>
      </c>
      <c r="I151" s="356">
        <v>643.5</v>
      </c>
      <c r="J151" s="4243"/>
      <c r="M151" s="3939" t="s">
        <v>634</v>
      </c>
      <c r="N151" s="3940"/>
      <c r="O151" s="3941"/>
      <c r="P151" s="356">
        <v>935</v>
      </c>
      <c r="Q151" s="356">
        <v>1056</v>
      </c>
      <c r="R151" s="356">
        <v>976</v>
      </c>
      <c r="S151" s="356">
        <v>956</v>
      </c>
      <c r="T151" s="356">
        <v>980.75</v>
      </c>
      <c r="U151" s="4243"/>
    </row>
    <row r="152" spans="2:23" x14ac:dyDescent="0.2">
      <c r="B152" s="352"/>
      <c r="D152" s="422" t="s">
        <v>106</v>
      </c>
      <c r="E152" s="433">
        <v>114.99999999999999</v>
      </c>
      <c r="F152" s="433">
        <v>170</v>
      </c>
      <c r="G152" s="433">
        <v>135</v>
      </c>
      <c r="H152" s="433">
        <v>128</v>
      </c>
      <c r="I152" s="356">
        <v>137</v>
      </c>
      <c r="J152" s="4243"/>
      <c r="M152" s="3939" t="s">
        <v>106</v>
      </c>
      <c r="N152" s="3940"/>
      <c r="O152" s="3941"/>
      <c r="P152" s="434">
        <v>0.84</v>
      </c>
      <c r="Q152" s="434">
        <v>0.89</v>
      </c>
      <c r="R152" s="434">
        <v>15.021111111111113</v>
      </c>
      <c r="S152" s="434">
        <v>0.83</v>
      </c>
      <c r="T152" s="356">
        <v>4.3952777777777774</v>
      </c>
      <c r="U152" s="4243"/>
    </row>
    <row r="153" spans="2:23" x14ac:dyDescent="0.2">
      <c r="B153" s="352"/>
      <c r="D153" s="422" t="s">
        <v>107</v>
      </c>
      <c r="E153" s="434">
        <v>-0.13043478260869565</v>
      </c>
      <c r="F153" s="434">
        <v>-0.41176470588235292</v>
      </c>
      <c r="G153" s="434">
        <v>-0.25925925925925924</v>
      </c>
      <c r="H153" s="434">
        <v>-0.22077922077922077</v>
      </c>
      <c r="I153" s="434">
        <v>-0.22077922077922077</v>
      </c>
      <c r="J153" s="4243"/>
      <c r="M153" s="3939" t="s">
        <v>107</v>
      </c>
      <c r="N153" s="3940"/>
      <c r="O153" s="3941"/>
      <c r="P153" s="434">
        <v>1.1176470588235294</v>
      </c>
      <c r="Q153" s="434">
        <v>0.74757281553398058</v>
      </c>
      <c r="R153" s="434">
        <v>1.0224719101123596</v>
      </c>
      <c r="S153" s="434">
        <v>1.1428571428571428</v>
      </c>
      <c r="T153" s="356">
        <v>1.0076372318317532</v>
      </c>
      <c r="U153" s="4243"/>
    </row>
    <row r="154" spans="2:23" x14ac:dyDescent="0.2">
      <c r="B154" s="352"/>
      <c r="D154" s="422" t="s">
        <v>108</v>
      </c>
      <c r="E154" s="356">
        <v>2</v>
      </c>
      <c r="F154" s="356">
        <v>2</v>
      </c>
      <c r="G154" s="356">
        <v>2</v>
      </c>
      <c r="H154" s="356">
        <v>2</v>
      </c>
      <c r="I154" s="356">
        <v>2</v>
      </c>
      <c r="J154" s="4243"/>
      <c r="M154" s="3939" t="s">
        <v>108</v>
      </c>
      <c r="N154" s="3940"/>
      <c r="O154" s="3941"/>
      <c r="P154" s="356">
        <v>6</v>
      </c>
      <c r="Q154" s="356">
        <v>6</v>
      </c>
      <c r="R154" s="356">
        <v>6</v>
      </c>
      <c r="S154" s="356">
        <v>6</v>
      </c>
      <c r="T154" s="356">
        <v>6</v>
      </c>
      <c r="U154" s="4243"/>
    </row>
    <row r="155" spans="2:23" x14ac:dyDescent="0.2">
      <c r="B155" s="352"/>
      <c r="D155" s="422" t="s">
        <v>110</v>
      </c>
      <c r="E155" s="356">
        <v>3</v>
      </c>
      <c r="F155" s="356">
        <v>3</v>
      </c>
      <c r="G155" s="356">
        <v>3</v>
      </c>
      <c r="H155" s="356">
        <v>3</v>
      </c>
      <c r="I155" s="356">
        <v>3</v>
      </c>
      <c r="J155" s="4244"/>
      <c r="M155" s="3939" t="s">
        <v>110</v>
      </c>
      <c r="N155" s="3940"/>
      <c r="O155" s="3941"/>
      <c r="P155" s="356">
        <v>0</v>
      </c>
      <c r="Q155" s="356">
        <v>0</v>
      </c>
      <c r="R155" s="356">
        <v>0</v>
      </c>
      <c r="S155" s="356">
        <v>0</v>
      </c>
      <c r="T155" s="356">
        <v>0</v>
      </c>
      <c r="U155" s="4244"/>
    </row>
    <row r="156" spans="2:23" x14ac:dyDescent="0.2">
      <c r="B156" s="352"/>
      <c r="E156" s="231">
        <f>E154*30</f>
        <v>60</v>
      </c>
      <c r="P156" s="231">
        <f>P154*30</f>
        <v>180</v>
      </c>
      <c r="S156" s="400"/>
      <c r="T156" s="400"/>
      <c r="U156" s="400"/>
      <c r="V156" s="400"/>
      <c r="W156" s="400"/>
    </row>
    <row r="157" spans="2:23" s="230" customFormat="1" x14ac:dyDescent="0.2">
      <c r="B157" s="357"/>
      <c r="C157" s="230" t="s">
        <v>111</v>
      </c>
      <c r="T157" s="435"/>
      <c r="U157" s="436"/>
      <c r="V157" s="436"/>
      <c r="W157" s="436"/>
    </row>
    <row r="158" spans="2:23" ht="15" customHeight="1" x14ac:dyDescent="0.2">
      <c r="B158" s="352"/>
      <c r="D158" s="4164" t="s">
        <v>112</v>
      </c>
      <c r="E158" s="4174" t="s">
        <v>113</v>
      </c>
      <c r="F158" s="4175"/>
      <c r="G158" s="4175"/>
      <c r="H158" s="4175"/>
      <c r="I158" s="4175"/>
      <c r="M158" s="4176" t="s">
        <v>112</v>
      </c>
      <c r="N158" s="4177"/>
      <c r="O158" s="4171" t="s">
        <v>114</v>
      </c>
      <c r="P158" s="4172"/>
      <c r="Q158" s="4172"/>
      <c r="R158" s="4172"/>
      <c r="S158" s="4172"/>
    </row>
    <row r="159" spans="2:23" x14ac:dyDescent="0.2">
      <c r="B159" s="352"/>
      <c r="D159" s="4165"/>
      <c r="E159" s="3942">
        <v>2014</v>
      </c>
      <c r="F159" s="3942">
        <f>E159+1</f>
        <v>2015</v>
      </c>
      <c r="G159" s="3942">
        <f t="shared" ref="G159:I159" si="20">F159+1</f>
        <v>2016</v>
      </c>
      <c r="H159" s="3942">
        <f t="shared" si="20"/>
        <v>2017</v>
      </c>
      <c r="I159" s="3942">
        <f t="shared" si="20"/>
        <v>2018</v>
      </c>
      <c r="M159" s="4178"/>
      <c r="N159" s="4179"/>
      <c r="O159" s="3942">
        <v>2014</v>
      </c>
      <c r="P159" s="3942">
        <f>O159+1</f>
        <v>2015</v>
      </c>
      <c r="Q159" s="3942">
        <f t="shared" ref="Q159:R159" si="21">P159+1</f>
        <v>2016</v>
      </c>
      <c r="R159" s="3942">
        <f t="shared" si="21"/>
        <v>2017</v>
      </c>
      <c r="S159" s="3942">
        <f>R159+1</f>
        <v>2018</v>
      </c>
    </row>
    <row r="160" spans="2:23" x14ac:dyDescent="0.2">
      <c r="B160" s="352"/>
      <c r="D160" s="422" t="s">
        <v>71</v>
      </c>
      <c r="E160" s="411">
        <v>478</v>
      </c>
      <c r="F160" s="356">
        <v>498</v>
      </c>
      <c r="G160" s="356">
        <v>787</v>
      </c>
      <c r="H160" s="356">
        <v>553</v>
      </c>
      <c r="I160" s="356">
        <v>579</v>
      </c>
      <c r="M160" s="4190" t="s">
        <v>71</v>
      </c>
      <c r="N160" s="4192"/>
      <c r="O160" s="411">
        <v>973</v>
      </c>
      <c r="P160" s="356">
        <v>1028</v>
      </c>
      <c r="Q160" s="356">
        <v>1131</v>
      </c>
      <c r="R160" s="356">
        <v>1244</v>
      </c>
      <c r="S160" s="356">
        <v>1094</v>
      </c>
    </row>
    <row r="161" spans="2:22" x14ac:dyDescent="0.2">
      <c r="B161" s="352"/>
      <c r="D161" s="422" t="s">
        <v>61</v>
      </c>
      <c r="E161" s="411">
        <v>120</v>
      </c>
      <c r="F161" s="356">
        <v>246</v>
      </c>
      <c r="G161" s="356">
        <v>79</v>
      </c>
      <c r="H161" s="356">
        <v>134</v>
      </c>
      <c r="I161" s="356">
        <v>144.75</v>
      </c>
      <c r="M161" s="4190" t="s">
        <v>61</v>
      </c>
      <c r="N161" s="4192"/>
      <c r="O161" s="411">
        <v>738</v>
      </c>
      <c r="P161" s="356">
        <v>791</v>
      </c>
      <c r="Q161" s="356">
        <v>870</v>
      </c>
      <c r="R161" s="356">
        <v>957</v>
      </c>
      <c r="S161" s="356">
        <v>839</v>
      </c>
    </row>
    <row r="162" spans="2:22" x14ac:dyDescent="0.2">
      <c r="B162" s="352"/>
      <c r="D162" s="422" t="s">
        <v>115</v>
      </c>
      <c r="E162" s="411">
        <v>0</v>
      </c>
      <c r="F162" s="356">
        <v>0</v>
      </c>
      <c r="G162" s="356">
        <v>5</v>
      </c>
      <c r="H162" s="356">
        <v>14</v>
      </c>
      <c r="I162" s="356">
        <v>4.75</v>
      </c>
      <c r="M162" s="4190" t="s">
        <v>115</v>
      </c>
      <c r="N162" s="4192"/>
      <c r="O162" s="411">
        <v>0</v>
      </c>
      <c r="P162" s="356">
        <v>0</v>
      </c>
      <c r="Q162" s="356">
        <v>0</v>
      </c>
      <c r="R162" s="356">
        <v>0</v>
      </c>
      <c r="S162" s="356">
        <v>0</v>
      </c>
    </row>
    <row r="163" spans="2:22" x14ac:dyDescent="0.2">
      <c r="B163" s="352"/>
      <c r="D163" s="422" t="s">
        <v>116</v>
      </c>
      <c r="E163" s="411">
        <v>107</v>
      </c>
      <c r="F163" s="356">
        <v>185</v>
      </c>
      <c r="G163" s="356">
        <v>23</v>
      </c>
      <c r="H163" s="356">
        <v>20</v>
      </c>
      <c r="I163" s="356">
        <v>83.75</v>
      </c>
      <c r="M163" s="4190" t="s">
        <v>116</v>
      </c>
      <c r="N163" s="4192"/>
      <c r="O163" s="411">
        <v>1047</v>
      </c>
      <c r="P163" s="356">
        <v>1022</v>
      </c>
      <c r="Q163" s="356">
        <v>1124</v>
      </c>
      <c r="R163" s="356">
        <v>1236</v>
      </c>
      <c r="S163" s="356">
        <v>1107.25</v>
      </c>
    </row>
    <row r="164" spans="2:22" x14ac:dyDescent="0.2">
      <c r="B164" s="352"/>
      <c r="D164" s="422" t="s">
        <v>78</v>
      </c>
      <c r="E164" s="411">
        <v>0</v>
      </c>
      <c r="F164" s="356">
        <v>0</v>
      </c>
      <c r="G164" s="356">
        <v>0</v>
      </c>
      <c r="H164" s="356">
        <v>0</v>
      </c>
      <c r="I164" s="356">
        <v>0</v>
      </c>
      <c r="M164" s="4190" t="s">
        <v>78</v>
      </c>
      <c r="N164" s="4192"/>
      <c r="O164" s="411">
        <v>0</v>
      </c>
      <c r="P164" s="356">
        <v>0</v>
      </c>
      <c r="Q164" s="356">
        <v>0</v>
      </c>
      <c r="R164" s="356">
        <v>0</v>
      </c>
      <c r="S164" s="356">
        <v>0</v>
      </c>
    </row>
    <row r="165" spans="2:22" x14ac:dyDescent="0.2">
      <c r="B165" s="352"/>
      <c r="D165" s="382" t="s">
        <v>0</v>
      </c>
      <c r="E165" s="356">
        <f t="shared" ref="E165:H165" si="22">SUM(E160:E164)</f>
        <v>705</v>
      </c>
      <c r="F165" s="356">
        <f t="shared" si="22"/>
        <v>929</v>
      </c>
      <c r="G165" s="356">
        <f t="shared" si="22"/>
        <v>894</v>
      </c>
      <c r="H165" s="356">
        <f t="shared" si="22"/>
        <v>721</v>
      </c>
      <c r="I165" s="356">
        <f>SUM(I160:I164)</f>
        <v>812.25</v>
      </c>
      <c r="M165" s="4169" t="s">
        <v>0</v>
      </c>
      <c r="N165" s="4170"/>
      <c r="O165" s="411">
        <f>SUM(O160:O164)</f>
        <v>2758</v>
      </c>
      <c r="P165" s="411">
        <f>SUM(P160:P164)</f>
        <v>2841</v>
      </c>
      <c r="Q165" s="411">
        <f>SUM(Q160:Q164)</f>
        <v>3125</v>
      </c>
      <c r="R165" s="411">
        <f>SUM(R160:R164)</f>
        <v>3437</v>
      </c>
      <c r="S165" s="411">
        <f>SUM(S160:S164)</f>
        <v>3040.25</v>
      </c>
    </row>
    <row r="166" spans="2:22" x14ac:dyDescent="0.2">
      <c r="B166" s="352"/>
      <c r="E166" s="437"/>
      <c r="F166" s="438"/>
      <c r="G166" s="439"/>
    </row>
    <row r="167" spans="2:22" x14ac:dyDescent="0.2">
      <c r="B167" s="352"/>
      <c r="E167" s="437"/>
      <c r="F167" s="438"/>
      <c r="G167" s="439"/>
    </row>
    <row r="168" spans="2:22" x14ac:dyDescent="0.2">
      <c r="B168" s="352"/>
      <c r="C168" s="231" t="s">
        <v>117</v>
      </c>
      <c r="P168" s="440">
        <v>2018</v>
      </c>
      <c r="Q168" s="440"/>
      <c r="R168" s="440"/>
      <c r="S168" s="440"/>
    </row>
    <row r="169" spans="2:22" ht="29.25" customHeight="1" x14ac:dyDescent="0.2">
      <c r="B169" s="352"/>
      <c r="D169" s="4164" t="s">
        <v>118</v>
      </c>
      <c r="E169" s="4171" t="s">
        <v>119</v>
      </c>
      <c r="F169" s="4172"/>
      <c r="G169" s="4172"/>
      <c r="H169" s="4172"/>
      <c r="I169" s="4173"/>
      <c r="J169" s="4174" t="s">
        <v>120</v>
      </c>
      <c r="K169" s="4175"/>
      <c r="L169" s="4175"/>
      <c r="M169" s="4175"/>
      <c r="N169" s="4175"/>
      <c r="P169" s="4176" t="s">
        <v>121</v>
      </c>
      <c r="Q169" s="4177"/>
      <c r="R169" s="4171" t="s">
        <v>122</v>
      </c>
      <c r="S169" s="4172"/>
      <c r="U169" s="231">
        <v>2017</v>
      </c>
    </row>
    <row r="170" spans="2:22" ht="35.25" customHeight="1" x14ac:dyDescent="0.2">
      <c r="B170" s="352"/>
      <c r="D170" s="4165"/>
      <c r="E170" s="3942">
        <v>2014</v>
      </c>
      <c r="F170" s="3942">
        <f>E170+1</f>
        <v>2015</v>
      </c>
      <c r="G170" s="3942">
        <f t="shared" ref="G170:I170" si="23">F170+1</f>
        <v>2016</v>
      </c>
      <c r="H170" s="3942">
        <f t="shared" si="23"/>
        <v>2017</v>
      </c>
      <c r="I170" s="3942">
        <f t="shared" si="23"/>
        <v>2018</v>
      </c>
      <c r="J170" s="3942">
        <v>2014</v>
      </c>
      <c r="K170" s="3942">
        <f>J170+1</f>
        <v>2015</v>
      </c>
      <c r="L170" s="3942">
        <f t="shared" ref="L170:N170" si="24">K170+1</f>
        <v>2016</v>
      </c>
      <c r="M170" s="3942">
        <f t="shared" si="24"/>
        <v>2017</v>
      </c>
      <c r="N170" s="3942">
        <f t="shared" si="24"/>
        <v>2018</v>
      </c>
      <c r="P170" s="4178"/>
      <c r="Q170" s="4179"/>
      <c r="R170" s="441" t="s">
        <v>635</v>
      </c>
      <c r="S170" s="441" t="s">
        <v>124</v>
      </c>
      <c r="U170" s="442" t="s">
        <v>299</v>
      </c>
      <c r="V170" s="443">
        <v>442352</v>
      </c>
    </row>
    <row r="171" spans="2:22" x14ac:dyDescent="0.2">
      <c r="B171" s="352"/>
      <c r="D171" s="444" t="s">
        <v>636</v>
      </c>
      <c r="E171" s="445">
        <v>60</v>
      </c>
      <c r="F171" s="445">
        <v>72</v>
      </c>
      <c r="G171" s="445">
        <v>28</v>
      </c>
      <c r="H171" s="445">
        <v>52</v>
      </c>
      <c r="I171" s="445">
        <v>53</v>
      </c>
      <c r="J171" s="446">
        <v>35</v>
      </c>
      <c r="K171" s="445">
        <v>17</v>
      </c>
      <c r="L171" s="445">
        <v>27</v>
      </c>
      <c r="M171" s="445">
        <v>26</v>
      </c>
      <c r="N171" s="445">
        <v>26.25</v>
      </c>
      <c r="P171" s="447" t="s">
        <v>636</v>
      </c>
      <c r="Q171" s="447"/>
      <c r="R171" s="448">
        <f>I171/V171*100000</f>
        <v>453.30140266849133</v>
      </c>
      <c r="S171" s="448">
        <f>I171/V171*100000</f>
        <v>453.30140266849133</v>
      </c>
      <c r="U171" s="442" t="s">
        <v>637</v>
      </c>
      <c r="V171" s="443">
        <v>11692</v>
      </c>
    </row>
    <row r="172" spans="2:22" x14ac:dyDescent="0.2">
      <c r="B172" s="352"/>
      <c r="D172" s="449" t="s">
        <v>3</v>
      </c>
      <c r="E172" s="446">
        <v>102</v>
      </c>
      <c r="F172" s="445">
        <v>100</v>
      </c>
      <c r="G172" s="445">
        <v>169</v>
      </c>
      <c r="H172" s="445">
        <v>118</v>
      </c>
      <c r="I172" s="445">
        <v>122.25</v>
      </c>
      <c r="J172" s="446">
        <v>45</v>
      </c>
      <c r="K172" s="445">
        <v>39</v>
      </c>
      <c r="L172" s="445">
        <v>90</v>
      </c>
      <c r="M172" s="445">
        <v>60</v>
      </c>
      <c r="N172" s="445">
        <v>58.5</v>
      </c>
      <c r="P172" s="4180" t="s">
        <v>3</v>
      </c>
      <c r="Q172" s="4181"/>
      <c r="R172" s="448">
        <f>I172/V170*100000</f>
        <v>27.636361992259559</v>
      </c>
      <c r="S172" s="448">
        <f>I172/V170*100000</f>
        <v>27.636361992259559</v>
      </c>
      <c r="U172" s="392"/>
    </row>
    <row r="173" spans="2:22" x14ac:dyDescent="0.2">
      <c r="B173" s="352"/>
      <c r="D173" s="231" t="s">
        <v>125</v>
      </c>
      <c r="E173" s="437"/>
      <c r="F173" s="437"/>
      <c r="G173" s="437"/>
      <c r="H173" s="437"/>
      <c r="I173" s="437"/>
      <c r="J173" s="439"/>
    </row>
    <row r="174" spans="2:22" x14ac:dyDescent="0.2">
      <c r="B174" s="352"/>
      <c r="E174" s="437"/>
      <c r="F174" s="438"/>
      <c r="G174" s="439"/>
      <c r="H174" s="450"/>
    </row>
    <row r="175" spans="2:22" x14ac:dyDescent="0.2">
      <c r="B175" s="352"/>
      <c r="E175" s="437"/>
      <c r="F175" s="438"/>
      <c r="G175" s="439"/>
    </row>
    <row r="176" spans="2:22" x14ac:dyDescent="0.2">
      <c r="B176" s="352"/>
      <c r="C176" s="231" t="s">
        <v>126</v>
      </c>
      <c r="E176" s="437"/>
      <c r="F176" s="438"/>
      <c r="G176" s="439"/>
    </row>
    <row r="177" spans="2:17" x14ac:dyDescent="0.2">
      <c r="B177" s="352"/>
      <c r="D177" s="3942" t="s">
        <v>127</v>
      </c>
      <c r="E177" s="3942">
        <v>2014</v>
      </c>
      <c r="F177" s="3942">
        <f>E177+1</f>
        <v>2015</v>
      </c>
      <c r="G177" s="3942">
        <f t="shared" ref="G177:I177" si="25">F177+1</f>
        <v>2016</v>
      </c>
      <c r="H177" s="3942">
        <f t="shared" si="25"/>
        <v>2017</v>
      </c>
      <c r="I177" s="3942">
        <f t="shared" si="25"/>
        <v>2018</v>
      </c>
    </row>
    <row r="178" spans="2:17" s="230" customFormat="1" x14ac:dyDescent="0.2">
      <c r="B178" s="357"/>
      <c r="D178" s="451" t="s">
        <v>128</v>
      </c>
      <c r="E178" s="446">
        <v>58.25</v>
      </c>
      <c r="F178" s="446">
        <v>0</v>
      </c>
      <c r="G178" s="446">
        <v>0</v>
      </c>
      <c r="H178" s="446">
        <v>25</v>
      </c>
      <c r="I178" s="446">
        <v>208</v>
      </c>
      <c r="J178" s="362"/>
      <c r="K178" s="452">
        <f>I178+I191+I192</f>
        <v>814</v>
      </c>
      <c r="L178" s="453">
        <f>K178/I26</f>
        <v>5.4811123830045112E-2</v>
      </c>
    </row>
    <row r="179" spans="2:17" s="230" customFormat="1" x14ac:dyDescent="0.2">
      <c r="B179" s="357"/>
      <c r="D179" s="451" t="s">
        <v>129</v>
      </c>
      <c r="E179" s="446">
        <v>0</v>
      </c>
      <c r="F179" s="446">
        <v>0</v>
      </c>
      <c r="G179" s="446">
        <v>0</v>
      </c>
      <c r="H179" s="446">
        <v>0</v>
      </c>
      <c r="I179" s="446">
        <v>0</v>
      </c>
    </row>
    <row r="180" spans="2:17" s="230" customFormat="1" x14ac:dyDescent="0.2">
      <c r="B180" s="357"/>
      <c r="D180" s="451" t="s">
        <v>130</v>
      </c>
      <c r="E180" s="446">
        <v>0</v>
      </c>
      <c r="F180" s="446">
        <v>0</v>
      </c>
      <c r="G180" s="446">
        <v>0</v>
      </c>
      <c r="H180" s="446">
        <v>0</v>
      </c>
      <c r="I180" s="446">
        <v>0</v>
      </c>
    </row>
    <row r="181" spans="2:17" s="230" customFormat="1" x14ac:dyDescent="0.2">
      <c r="B181" s="357"/>
      <c r="D181" s="451" t="s">
        <v>131</v>
      </c>
      <c r="E181" s="446">
        <v>0.75</v>
      </c>
      <c r="F181" s="446">
        <v>0</v>
      </c>
      <c r="G181" s="446">
        <v>0</v>
      </c>
      <c r="H181" s="446">
        <v>0</v>
      </c>
      <c r="I181" s="446">
        <v>3</v>
      </c>
    </row>
    <row r="182" spans="2:17" s="230" customFormat="1" x14ac:dyDescent="0.2">
      <c r="B182" s="357"/>
      <c r="D182" s="451" t="s">
        <v>132</v>
      </c>
      <c r="E182" s="446">
        <v>0</v>
      </c>
      <c r="F182" s="446">
        <v>0</v>
      </c>
      <c r="G182" s="446">
        <v>0</v>
      </c>
      <c r="H182" s="446">
        <v>0</v>
      </c>
      <c r="I182" s="446">
        <v>0</v>
      </c>
    </row>
    <row r="183" spans="2:17" s="230" customFormat="1" x14ac:dyDescent="0.2">
      <c r="B183" s="357"/>
      <c r="D183" s="451" t="s">
        <v>133</v>
      </c>
      <c r="E183" s="446">
        <v>0</v>
      </c>
      <c r="F183" s="446">
        <v>0</v>
      </c>
      <c r="G183" s="446">
        <v>0</v>
      </c>
      <c r="H183" s="446">
        <v>0</v>
      </c>
      <c r="I183" s="446">
        <v>0</v>
      </c>
    </row>
    <row r="184" spans="2:17" s="230" customFormat="1" x14ac:dyDescent="0.2">
      <c r="B184" s="357"/>
      <c r="D184" s="451" t="s">
        <v>134</v>
      </c>
      <c r="E184" s="446">
        <v>14.25</v>
      </c>
      <c r="F184" s="446">
        <v>10</v>
      </c>
      <c r="G184" s="446">
        <v>12</v>
      </c>
      <c r="H184" s="446">
        <v>0</v>
      </c>
      <c r="I184" s="446">
        <v>35</v>
      </c>
    </row>
    <row r="185" spans="2:17" s="230" customFormat="1" x14ac:dyDescent="0.2">
      <c r="B185" s="357"/>
      <c r="D185" s="451" t="s">
        <v>135</v>
      </c>
      <c r="E185" s="446">
        <v>0.25</v>
      </c>
      <c r="F185" s="446">
        <v>0</v>
      </c>
      <c r="G185" s="446">
        <v>0</v>
      </c>
      <c r="H185" s="446">
        <v>0</v>
      </c>
      <c r="I185" s="446">
        <v>1</v>
      </c>
      <c r="Q185" s="230" t="s">
        <v>3634</v>
      </c>
    </row>
    <row r="186" spans="2:17" s="230" customFormat="1" x14ac:dyDescent="0.2">
      <c r="B186" s="357"/>
      <c r="D186" s="451" t="s">
        <v>638</v>
      </c>
      <c r="E186" s="446">
        <v>150.5</v>
      </c>
      <c r="F186" s="446">
        <v>0</v>
      </c>
      <c r="G186" s="446">
        <v>0</v>
      </c>
      <c r="H186" s="446">
        <v>0</v>
      </c>
      <c r="I186" s="446">
        <v>602</v>
      </c>
    </row>
    <row r="187" spans="2:17" s="230" customFormat="1" ht="25.5" x14ac:dyDescent="0.2">
      <c r="B187" s="357"/>
      <c r="D187" s="451" t="s">
        <v>639</v>
      </c>
      <c r="E187" s="446">
        <v>0.25</v>
      </c>
      <c r="F187" s="446">
        <v>1</v>
      </c>
      <c r="G187" s="446">
        <v>0</v>
      </c>
      <c r="H187" s="446">
        <v>0</v>
      </c>
      <c r="I187" s="446">
        <v>0</v>
      </c>
    </row>
    <row r="188" spans="2:17" s="230" customFormat="1" x14ac:dyDescent="0.2">
      <c r="B188" s="357"/>
      <c r="D188" s="451" t="s">
        <v>19</v>
      </c>
      <c r="E188" s="446">
        <v>0</v>
      </c>
      <c r="F188" s="446">
        <v>0</v>
      </c>
      <c r="G188" s="446">
        <v>0</v>
      </c>
      <c r="H188" s="446">
        <v>0</v>
      </c>
      <c r="I188" s="446">
        <v>0</v>
      </c>
    </row>
    <row r="189" spans="2:17" s="230" customFormat="1" ht="20.25" customHeight="1" x14ac:dyDescent="0.2">
      <c r="B189" s="357"/>
      <c r="D189" s="451" t="s">
        <v>136</v>
      </c>
      <c r="E189" s="446">
        <v>0</v>
      </c>
      <c r="F189" s="446">
        <v>0</v>
      </c>
      <c r="G189" s="446">
        <v>0</v>
      </c>
      <c r="H189" s="446">
        <v>0</v>
      </c>
      <c r="I189" s="446">
        <v>0</v>
      </c>
    </row>
    <row r="190" spans="2:17" s="230" customFormat="1" x14ac:dyDescent="0.2">
      <c r="B190" s="357"/>
      <c r="D190" s="451" t="s">
        <v>137</v>
      </c>
      <c r="E190" s="446">
        <v>0</v>
      </c>
      <c r="F190" s="446">
        <v>0</v>
      </c>
      <c r="G190" s="446">
        <v>0</v>
      </c>
      <c r="H190" s="446">
        <v>0</v>
      </c>
      <c r="I190" s="446">
        <v>0</v>
      </c>
    </row>
    <row r="191" spans="2:17" s="230" customFormat="1" x14ac:dyDescent="0.2">
      <c r="B191" s="357"/>
      <c r="D191" s="451" t="s">
        <v>138</v>
      </c>
      <c r="E191" s="446">
        <v>168.25</v>
      </c>
      <c r="F191" s="446">
        <v>88</v>
      </c>
      <c r="G191" s="446">
        <v>100</v>
      </c>
      <c r="H191" s="446">
        <v>116</v>
      </c>
      <c r="I191" s="446">
        <v>369</v>
      </c>
    </row>
    <row r="192" spans="2:17" s="230" customFormat="1" x14ac:dyDescent="0.2">
      <c r="B192" s="357"/>
      <c r="D192" s="451" t="s">
        <v>640</v>
      </c>
      <c r="E192" s="446">
        <v>108.25</v>
      </c>
      <c r="F192" s="446">
        <v>44</v>
      </c>
      <c r="G192" s="446">
        <v>21</v>
      </c>
      <c r="H192" s="446">
        <v>131</v>
      </c>
      <c r="I192" s="446">
        <v>237</v>
      </c>
    </row>
    <row r="193" spans="2:15" s="230" customFormat="1" x14ac:dyDescent="0.2">
      <c r="B193" s="357"/>
      <c r="D193" s="451" t="s">
        <v>641</v>
      </c>
      <c r="E193" s="446">
        <v>166.75</v>
      </c>
      <c r="F193" s="446">
        <v>140</v>
      </c>
      <c r="G193" s="446">
        <v>333</v>
      </c>
      <c r="H193" s="446">
        <v>0</v>
      </c>
      <c r="I193" s="446">
        <v>194</v>
      </c>
    </row>
    <row r="194" spans="2:15" s="230" customFormat="1" x14ac:dyDescent="0.2">
      <c r="B194" s="357"/>
      <c r="D194" s="451" t="s">
        <v>642</v>
      </c>
      <c r="E194" s="446">
        <v>47.25</v>
      </c>
      <c r="F194" s="446">
        <v>70</v>
      </c>
      <c r="G194" s="446">
        <v>63</v>
      </c>
      <c r="H194" s="446">
        <v>0</v>
      </c>
      <c r="I194" s="446">
        <v>56</v>
      </c>
    </row>
    <row r="195" spans="2:15" s="230" customFormat="1" x14ac:dyDescent="0.2">
      <c r="B195" s="357"/>
      <c r="D195" s="451" t="s">
        <v>643</v>
      </c>
      <c r="E195" s="446">
        <v>30.75</v>
      </c>
      <c r="F195" s="446">
        <v>50</v>
      </c>
      <c r="G195" s="446">
        <v>11</v>
      </c>
      <c r="H195" s="446">
        <v>10</v>
      </c>
      <c r="I195" s="446">
        <v>52</v>
      </c>
    </row>
    <row r="196" spans="2:15" s="230" customFormat="1" x14ac:dyDescent="0.2">
      <c r="B196" s="357"/>
      <c r="D196" s="451" t="s">
        <v>644</v>
      </c>
      <c r="E196" s="446">
        <v>35.5</v>
      </c>
      <c r="F196" s="446">
        <v>112</v>
      </c>
      <c r="G196" s="446">
        <v>12</v>
      </c>
      <c r="H196" s="446">
        <v>8</v>
      </c>
      <c r="I196" s="446">
        <v>10</v>
      </c>
    </row>
    <row r="197" spans="2:15" x14ac:dyDescent="0.2">
      <c r="B197" s="352"/>
      <c r="D197" s="454" t="s">
        <v>645</v>
      </c>
      <c r="E197" s="411">
        <v>3</v>
      </c>
      <c r="F197" s="411">
        <v>5</v>
      </c>
      <c r="G197" s="411">
        <v>3</v>
      </c>
      <c r="H197" s="411">
        <v>0</v>
      </c>
      <c r="I197" s="411">
        <v>4</v>
      </c>
    </row>
    <row r="198" spans="2:15" ht="25.5" x14ac:dyDescent="0.2">
      <c r="B198" s="352"/>
      <c r="D198" s="451" t="s">
        <v>646</v>
      </c>
      <c r="E198" s="411">
        <v>10734.5</v>
      </c>
      <c r="F198" s="356">
        <v>8920</v>
      </c>
      <c r="G198" s="356">
        <v>8654</v>
      </c>
      <c r="H198" s="356">
        <v>1984</v>
      </c>
      <c r="I198" s="356">
        <v>23380</v>
      </c>
      <c r="J198" s="392"/>
    </row>
    <row r="199" spans="2:15" ht="21" customHeight="1" x14ac:dyDescent="0.2">
      <c r="B199" s="352"/>
      <c r="D199" s="4245" t="s">
        <v>3635</v>
      </c>
      <c r="E199" s="4245"/>
      <c r="F199" s="4245"/>
      <c r="G199" s="4245"/>
    </row>
    <row r="200" spans="2:15" x14ac:dyDescent="0.2">
      <c r="B200" s="352"/>
      <c r="D200" s="4246"/>
      <c r="E200" s="4246"/>
      <c r="F200" s="4246"/>
      <c r="G200" s="4246"/>
    </row>
    <row r="201" spans="2:15" x14ac:dyDescent="0.2">
      <c r="B201" s="352"/>
      <c r="E201" s="437"/>
      <c r="F201" s="438"/>
      <c r="G201" s="439"/>
    </row>
    <row r="202" spans="2:15" x14ac:dyDescent="0.2">
      <c r="B202" s="352"/>
      <c r="C202" s="398"/>
      <c r="D202" s="398"/>
      <c r="E202" s="455"/>
      <c r="F202" s="456"/>
      <c r="G202" s="457"/>
      <c r="H202" s="398"/>
      <c r="I202" s="398"/>
      <c r="J202" s="398"/>
      <c r="K202" s="398"/>
    </row>
    <row r="203" spans="2:15" x14ac:dyDescent="0.2">
      <c r="B203" s="352">
        <v>12</v>
      </c>
      <c r="C203" s="231" t="s">
        <v>139</v>
      </c>
      <c r="D203" s="398"/>
      <c r="E203" s="455"/>
      <c r="F203" s="456"/>
      <c r="G203" s="458"/>
      <c r="H203" s="398"/>
      <c r="I203" s="398"/>
      <c r="J203" s="398"/>
      <c r="K203" s="398"/>
    </row>
    <row r="204" spans="2:15" x14ac:dyDescent="0.2">
      <c r="B204" s="352"/>
      <c r="C204" s="398"/>
      <c r="D204" s="3942" t="s">
        <v>82</v>
      </c>
      <c r="E204" s="3942">
        <v>2014</v>
      </c>
      <c r="F204" s="3942">
        <f>E204+1</f>
        <v>2015</v>
      </c>
      <c r="G204" s="3942">
        <f t="shared" ref="G204:I204" si="26">F204+1</f>
        <v>2016</v>
      </c>
      <c r="H204" s="3942">
        <f t="shared" si="26"/>
        <v>2017</v>
      </c>
      <c r="I204" s="3942">
        <f t="shared" si="26"/>
        <v>2018</v>
      </c>
      <c r="J204" s="459"/>
      <c r="K204" s="398"/>
    </row>
    <row r="205" spans="2:15" x14ac:dyDescent="0.2">
      <c r="B205" s="352"/>
      <c r="C205" s="398"/>
      <c r="D205" s="460" t="s">
        <v>54</v>
      </c>
      <c r="E205" s="411">
        <v>1249</v>
      </c>
      <c r="F205" s="356">
        <v>3467</v>
      </c>
      <c r="G205" s="356">
        <v>1957</v>
      </c>
      <c r="H205" s="356">
        <v>3479</v>
      </c>
      <c r="I205" s="356">
        <v>2538</v>
      </c>
      <c r="J205" s="414"/>
      <c r="K205" s="412">
        <f>SUM(E205:I205)</f>
        <v>12690</v>
      </c>
      <c r="L205" s="461">
        <f>K205/$K$212</f>
        <v>0.29773356482567687</v>
      </c>
      <c r="N205" s="415"/>
      <c r="O205" s="462"/>
    </row>
    <row r="206" spans="2:15" x14ac:dyDescent="0.2">
      <c r="B206" s="352"/>
      <c r="C206" s="398"/>
      <c r="D206" s="460" t="s">
        <v>140</v>
      </c>
      <c r="E206" s="411">
        <v>701</v>
      </c>
      <c r="F206" s="356">
        <v>1596</v>
      </c>
      <c r="G206" s="356">
        <v>2547</v>
      </c>
      <c r="H206" s="356">
        <v>1551</v>
      </c>
      <c r="I206" s="356">
        <v>1598</v>
      </c>
      <c r="K206" s="412">
        <f t="shared" ref="K206:K209" si="27">SUM(E206:I206)</f>
        <v>7993</v>
      </c>
      <c r="L206" s="461">
        <f t="shared" ref="L206:L209" si="28">K206/$K$212</f>
        <v>0.18753226033503825</v>
      </c>
      <c r="N206" s="415"/>
      <c r="O206" s="462"/>
    </row>
    <row r="207" spans="2:15" x14ac:dyDescent="0.2">
      <c r="B207" s="352"/>
      <c r="C207" s="398"/>
      <c r="D207" s="460" t="s">
        <v>141</v>
      </c>
      <c r="E207" s="411">
        <v>956</v>
      </c>
      <c r="F207" s="356">
        <v>2922</v>
      </c>
      <c r="G207" s="356">
        <v>2157</v>
      </c>
      <c r="H207" s="356">
        <v>3178</v>
      </c>
      <c r="I207" s="356">
        <v>2303</v>
      </c>
      <c r="K207" s="412">
        <f t="shared" si="27"/>
        <v>11516</v>
      </c>
      <c r="L207" s="461">
        <f t="shared" si="28"/>
        <v>0.27018910421847869</v>
      </c>
      <c r="N207" s="415"/>
      <c r="O207" s="462"/>
    </row>
    <row r="208" spans="2:15" x14ac:dyDescent="0.2">
      <c r="B208" s="352"/>
      <c r="C208" s="398"/>
      <c r="D208" s="460" t="s">
        <v>76</v>
      </c>
      <c r="E208" s="411">
        <v>0</v>
      </c>
      <c r="F208" s="356">
        <v>67</v>
      </c>
      <c r="G208" s="356">
        <v>1685</v>
      </c>
      <c r="H208" s="356">
        <v>3102</v>
      </c>
      <c r="I208" s="356">
        <v>1213</v>
      </c>
      <c r="K208" s="412">
        <f t="shared" si="27"/>
        <v>6067</v>
      </c>
      <c r="L208" s="461">
        <f t="shared" si="28"/>
        <v>0.14234432921965182</v>
      </c>
      <c r="N208" s="415"/>
      <c r="O208" s="462"/>
    </row>
    <row r="209" spans="2:15" x14ac:dyDescent="0.2">
      <c r="B209" s="352"/>
      <c r="C209" s="398"/>
      <c r="D209" s="460" t="s">
        <v>58</v>
      </c>
      <c r="E209" s="411">
        <v>3</v>
      </c>
      <c r="F209" s="356">
        <v>2235</v>
      </c>
      <c r="G209" s="356">
        <v>1247</v>
      </c>
      <c r="H209" s="356">
        <v>0</v>
      </c>
      <c r="I209" s="356">
        <v>871</v>
      </c>
      <c r="K209" s="412">
        <f t="shared" si="27"/>
        <v>4356</v>
      </c>
      <c r="L209" s="461">
        <f t="shared" si="28"/>
        <v>0.10220074140115433</v>
      </c>
      <c r="N209" s="415"/>
      <c r="O209" s="462"/>
    </row>
    <row r="210" spans="2:15" x14ac:dyDescent="0.2">
      <c r="B210" s="352"/>
      <c r="C210" s="398"/>
      <c r="D210" s="460" t="s">
        <v>73</v>
      </c>
      <c r="E210" s="411">
        <v>601</v>
      </c>
      <c r="F210" s="356">
        <v>1892</v>
      </c>
      <c r="G210" s="356">
        <v>678</v>
      </c>
      <c r="H210" s="356">
        <v>2157</v>
      </c>
      <c r="I210" s="356">
        <v>1332</v>
      </c>
      <c r="J210" s="414"/>
      <c r="K210" s="412"/>
      <c r="L210" s="461"/>
      <c r="N210" s="415"/>
      <c r="O210" s="462"/>
    </row>
    <row r="211" spans="2:15" x14ac:dyDescent="0.2">
      <c r="B211" s="352"/>
      <c r="C211" s="398"/>
      <c r="D211" s="460" t="s">
        <v>647</v>
      </c>
      <c r="E211" s="356">
        <v>0</v>
      </c>
      <c r="F211" s="356">
        <v>0</v>
      </c>
      <c r="G211" s="356">
        <v>0</v>
      </c>
      <c r="H211" s="356">
        <v>0</v>
      </c>
      <c r="I211" s="356">
        <v>0</v>
      </c>
      <c r="J211" s="414"/>
      <c r="K211" s="412"/>
      <c r="L211" s="461"/>
      <c r="N211" s="415"/>
      <c r="O211" s="462"/>
    </row>
    <row r="212" spans="2:15" x14ac:dyDescent="0.2">
      <c r="B212" s="352"/>
      <c r="C212" s="398"/>
      <c r="D212" s="463" t="s">
        <v>0</v>
      </c>
      <c r="E212" s="411">
        <f>SUM(E205:E211)</f>
        <v>3510</v>
      </c>
      <c r="F212" s="411">
        <f t="shared" ref="F212:H212" si="29">SUM(F205:F211)</f>
        <v>12179</v>
      </c>
      <c r="G212" s="411">
        <f t="shared" si="29"/>
        <v>10271</v>
      </c>
      <c r="H212" s="411">
        <f t="shared" si="29"/>
        <v>13467</v>
      </c>
      <c r="I212" s="356">
        <f>SUM(I205:I211)</f>
        <v>9855</v>
      </c>
      <c r="J212" s="414"/>
      <c r="K212" s="412">
        <f>SUM(K205:K209)</f>
        <v>42622</v>
      </c>
      <c r="N212" s="415"/>
      <c r="O212" s="462"/>
    </row>
    <row r="213" spans="2:15" x14ac:dyDescent="0.2">
      <c r="B213" s="352"/>
      <c r="C213" s="398"/>
      <c r="D213" s="231" t="s">
        <v>648</v>
      </c>
      <c r="E213" s="398"/>
      <c r="F213" s="398"/>
      <c r="G213" s="398"/>
      <c r="H213" s="398"/>
      <c r="I213" s="398"/>
      <c r="J213" s="398"/>
      <c r="K213" s="398"/>
    </row>
    <row r="214" spans="2:15" x14ac:dyDescent="0.2">
      <c r="B214" s="352"/>
      <c r="D214" s="4246" t="s">
        <v>649</v>
      </c>
      <c r="E214" s="4246"/>
      <c r="F214" s="4246"/>
      <c r="G214" s="4246"/>
    </row>
    <row r="215" spans="2:15" x14ac:dyDescent="0.2">
      <c r="B215" s="352"/>
      <c r="D215" s="4246"/>
      <c r="E215" s="4246"/>
      <c r="F215" s="4246"/>
      <c r="G215" s="4246"/>
    </row>
    <row r="216" spans="2:15" x14ac:dyDescent="0.2">
      <c r="B216" s="352"/>
      <c r="D216" s="3944"/>
      <c r="E216" s="3944"/>
      <c r="F216" s="3944"/>
      <c r="G216" s="3944"/>
    </row>
    <row r="217" spans="2:15" s="230" customFormat="1" x14ac:dyDescent="0.2">
      <c r="B217" s="357">
        <v>13</v>
      </c>
      <c r="C217" s="230" t="s">
        <v>143</v>
      </c>
      <c r="E217" s="464"/>
      <c r="F217" s="465"/>
    </row>
    <row r="218" spans="2:15" ht="38.25" x14ac:dyDescent="0.2">
      <c r="B218" s="352"/>
      <c r="D218" s="3942" t="s">
        <v>144</v>
      </c>
      <c r="E218" s="3942">
        <v>2014</v>
      </c>
      <c r="F218" s="3942">
        <f>E218+1</f>
        <v>2015</v>
      </c>
      <c r="G218" s="3942">
        <f t="shared" ref="G218:I218" si="30">F218+1</f>
        <v>2016</v>
      </c>
      <c r="H218" s="3942">
        <f t="shared" si="30"/>
        <v>2017</v>
      </c>
      <c r="I218" s="3942">
        <f t="shared" si="30"/>
        <v>2018</v>
      </c>
      <c r="J218" s="3942" t="s">
        <v>650</v>
      </c>
    </row>
    <row r="219" spans="2:15" x14ac:dyDescent="0.2">
      <c r="B219" s="352"/>
      <c r="D219" s="466" t="s">
        <v>145</v>
      </c>
      <c r="E219" s="467">
        <v>2058</v>
      </c>
      <c r="F219" s="467">
        <v>1785</v>
      </c>
      <c r="G219" s="467">
        <v>2910</v>
      </c>
      <c r="H219" s="467">
        <v>1976</v>
      </c>
      <c r="I219" s="467">
        <v>2182</v>
      </c>
      <c r="J219" s="4247">
        <v>13</v>
      </c>
    </row>
    <row r="220" spans="2:15" x14ac:dyDescent="0.2">
      <c r="B220" s="352"/>
      <c r="D220" s="466" t="s">
        <v>146</v>
      </c>
      <c r="E220" s="467">
        <v>758</v>
      </c>
      <c r="F220" s="467">
        <v>842</v>
      </c>
      <c r="G220" s="467">
        <v>658</v>
      </c>
      <c r="H220" s="467">
        <v>857</v>
      </c>
      <c r="I220" s="467">
        <v>778</v>
      </c>
      <c r="J220" s="4248"/>
    </row>
    <row r="221" spans="2:15" x14ac:dyDescent="0.2">
      <c r="B221" s="352"/>
      <c r="D221" s="466" t="s">
        <v>147</v>
      </c>
      <c r="E221" s="467">
        <v>1875</v>
      </c>
      <c r="F221" s="467">
        <v>2138</v>
      </c>
      <c r="G221" s="467">
        <v>2574</v>
      </c>
      <c r="H221" s="467">
        <v>1579</v>
      </c>
      <c r="I221" s="467">
        <v>2041</v>
      </c>
      <c r="J221" s="4249"/>
    </row>
    <row r="222" spans="2:15" x14ac:dyDescent="0.2">
      <c r="B222" s="352"/>
      <c r="D222" s="468"/>
      <c r="E222" s="469"/>
      <c r="F222" s="470"/>
      <c r="G222" s="471"/>
    </row>
    <row r="223" spans="2:15" x14ac:dyDescent="0.2">
      <c r="B223" s="352"/>
      <c r="C223" s="399"/>
      <c r="D223" s="399"/>
      <c r="E223" s="399"/>
      <c r="F223" s="399"/>
      <c r="G223" s="399"/>
      <c r="H223" s="399"/>
      <c r="I223" s="399"/>
      <c r="J223" s="399"/>
      <c r="K223" s="399"/>
      <c r="L223" s="398"/>
    </row>
    <row r="224" spans="2:15" s="230" customFormat="1" x14ac:dyDescent="0.2">
      <c r="B224" s="357">
        <v>14</v>
      </c>
      <c r="C224" s="401" t="s">
        <v>651</v>
      </c>
      <c r="D224" s="401"/>
      <c r="E224" s="401"/>
      <c r="F224" s="401"/>
      <c r="G224" s="401"/>
      <c r="H224" s="401"/>
      <c r="I224" s="401"/>
      <c r="J224" s="401"/>
      <c r="K224" s="401"/>
      <c r="L224" s="400"/>
    </row>
    <row r="225" spans="2:14" ht="38.25" x14ac:dyDescent="0.2">
      <c r="B225" s="352"/>
      <c r="C225" s="399"/>
      <c r="D225" s="3942" t="s">
        <v>149</v>
      </c>
      <c r="E225" s="3942">
        <v>2014</v>
      </c>
      <c r="F225" s="3942">
        <f>E225+1</f>
        <v>2015</v>
      </c>
      <c r="G225" s="3942">
        <f t="shared" ref="G225:I225" si="31">F225+1</f>
        <v>2016</v>
      </c>
      <c r="H225" s="3942">
        <f t="shared" si="31"/>
        <v>2017</v>
      </c>
      <c r="I225" s="3942">
        <f t="shared" si="31"/>
        <v>2018</v>
      </c>
      <c r="J225" s="3942" t="s">
        <v>650</v>
      </c>
      <c r="K225" s="399"/>
      <c r="L225" s="398"/>
    </row>
    <row r="226" spans="2:14" s="230" customFormat="1" x14ac:dyDescent="0.2">
      <c r="B226" s="357"/>
      <c r="C226" s="401"/>
      <c r="D226" s="472" t="s">
        <v>54</v>
      </c>
      <c r="E226" s="446">
        <v>1124.1000000000001</v>
      </c>
      <c r="F226" s="446">
        <v>3120.3</v>
      </c>
      <c r="G226" s="446">
        <v>1761.3</v>
      </c>
      <c r="H226" s="446">
        <v>3131.1</v>
      </c>
      <c r="I226" s="446">
        <v>2284</v>
      </c>
      <c r="J226" s="4250">
        <v>22</v>
      </c>
      <c r="K226" s="473">
        <f>I226/$I$233</f>
        <v>0.17791071748494691</v>
      </c>
      <c r="L226" s="400"/>
    </row>
    <row r="227" spans="2:14" s="230" customFormat="1" x14ac:dyDescent="0.2">
      <c r="B227" s="357"/>
      <c r="C227" s="401"/>
      <c r="D227" s="472" t="s">
        <v>140</v>
      </c>
      <c r="E227" s="446">
        <v>630.9</v>
      </c>
      <c r="F227" s="446">
        <v>1436.4</v>
      </c>
      <c r="G227" s="446">
        <v>2292.3000000000002</v>
      </c>
      <c r="H227" s="446">
        <v>1395.9</v>
      </c>
      <c r="I227" s="446">
        <v>1395</v>
      </c>
      <c r="J227" s="4251"/>
      <c r="K227" s="473">
        <f t="shared" ref="K227:K232" si="32">I227/$I$233</f>
        <v>0.10866263173883579</v>
      </c>
      <c r="L227" s="400"/>
    </row>
    <row r="228" spans="2:14" s="230" customFormat="1" x14ac:dyDescent="0.2">
      <c r="B228" s="357"/>
      <c r="C228" s="401"/>
      <c r="D228" s="472" t="s">
        <v>141</v>
      </c>
      <c r="E228" s="446">
        <v>860.4</v>
      </c>
      <c r="F228" s="446">
        <v>2629.8</v>
      </c>
      <c r="G228" s="446">
        <v>1941.3</v>
      </c>
      <c r="H228" s="446">
        <v>2860.2000000000003</v>
      </c>
      <c r="I228" s="446">
        <v>2860</v>
      </c>
      <c r="J228" s="4251"/>
      <c r="K228" s="473">
        <f t="shared" si="32"/>
        <v>0.22277786865453073</v>
      </c>
      <c r="L228" s="400"/>
    </row>
    <row r="229" spans="2:14" s="230" customFormat="1" x14ac:dyDescent="0.2">
      <c r="B229" s="357"/>
      <c r="C229" s="401"/>
      <c r="D229" s="472" t="s">
        <v>76</v>
      </c>
      <c r="E229" s="446">
        <v>0</v>
      </c>
      <c r="F229" s="446">
        <v>60.300000000000004</v>
      </c>
      <c r="G229" s="446">
        <v>1516.5</v>
      </c>
      <c r="H229" s="446">
        <v>2791.8</v>
      </c>
      <c r="I229" s="446">
        <v>2791</v>
      </c>
      <c r="J229" s="4251"/>
      <c r="K229" s="473">
        <f t="shared" si="32"/>
        <v>0.21740315783734102</v>
      </c>
      <c r="L229" s="400"/>
    </row>
    <row r="230" spans="2:14" s="230" customFormat="1" x14ac:dyDescent="0.2">
      <c r="B230" s="357"/>
      <c r="C230" s="401"/>
      <c r="D230" s="472" t="s">
        <v>58</v>
      </c>
      <c r="E230" s="446">
        <v>2.7</v>
      </c>
      <c r="F230" s="446">
        <v>2011.5</v>
      </c>
      <c r="G230" s="446">
        <v>1122.3</v>
      </c>
      <c r="H230" s="446">
        <v>0</v>
      </c>
      <c r="I230" s="446">
        <v>1566.9</v>
      </c>
      <c r="J230" s="4251"/>
      <c r="K230" s="473">
        <f t="shared" si="32"/>
        <v>0.12205267216600847</v>
      </c>
      <c r="L230" s="400"/>
    </row>
    <row r="231" spans="2:14" s="230" customFormat="1" x14ac:dyDescent="0.2">
      <c r="B231" s="357"/>
      <c r="C231" s="401"/>
      <c r="D231" s="472" t="s">
        <v>73</v>
      </c>
      <c r="E231" s="446">
        <v>540.9</v>
      </c>
      <c r="F231" s="446">
        <v>1702.8</v>
      </c>
      <c r="G231" s="446">
        <v>610.20000000000005</v>
      </c>
      <c r="H231" s="446">
        <v>1941.3</v>
      </c>
      <c r="I231" s="446">
        <v>1941</v>
      </c>
      <c r="J231" s="4251"/>
      <c r="K231" s="473">
        <f t="shared" si="32"/>
        <v>0.15119295211833711</v>
      </c>
      <c r="L231" s="400"/>
    </row>
    <row r="232" spans="2:14" s="230" customFormat="1" x14ac:dyDescent="0.2">
      <c r="B232" s="357"/>
      <c r="C232" s="401"/>
      <c r="D232" s="472" t="s">
        <v>647</v>
      </c>
      <c r="E232" s="446">
        <v>0</v>
      </c>
      <c r="F232" s="446">
        <v>0</v>
      </c>
      <c r="G232" s="446">
        <v>0</v>
      </c>
      <c r="H232" s="446">
        <v>0</v>
      </c>
      <c r="I232" s="446">
        <v>0</v>
      </c>
      <c r="J232" s="4252"/>
      <c r="K232" s="473">
        <f t="shared" si="32"/>
        <v>0</v>
      </c>
      <c r="L232" s="400"/>
    </row>
    <row r="233" spans="2:14" x14ac:dyDescent="0.2">
      <c r="B233" s="352"/>
      <c r="C233" s="399"/>
      <c r="D233" s="474" t="s">
        <v>150</v>
      </c>
      <c r="E233" s="475">
        <f>SUM(E226:E232)</f>
        <v>3159</v>
      </c>
      <c r="F233" s="475">
        <f>SUM(F226:F232)</f>
        <v>10961.1</v>
      </c>
      <c r="G233" s="475">
        <f>SUM(G226:G232)</f>
        <v>9243.9000000000015</v>
      </c>
      <c r="H233" s="475">
        <f>SUM(H226:H232)</f>
        <v>12120.3</v>
      </c>
      <c r="I233" s="475">
        <f>SUM(I226:I232)</f>
        <v>12837.9</v>
      </c>
      <c r="J233" s="399"/>
      <c r="K233" s="399"/>
      <c r="L233" s="398"/>
    </row>
    <row r="234" spans="2:14" x14ac:dyDescent="0.2">
      <c r="B234" s="352"/>
    </row>
    <row r="235" spans="2:14" x14ac:dyDescent="0.2">
      <c r="B235" s="352"/>
      <c r="E235" s="392"/>
      <c r="F235" s="392"/>
      <c r="G235" s="392"/>
      <c r="H235" s="392"/>
      <c r="I235" s="392"/>
    </row>
    <row r="236" spans="2:14" s="230" customFormat="1" x14ac:dyDescent="0.2">
      <c r="B236" s="357">
        <v>15</v>
      </c>
      <c r="C236" s="230" t="s">
        <v>151</v>
      </c>
      <c r="D236" s="231"/>
      <c r="E236" s="231"/>
      <c r="F236" s="231"/>
      <c r="G236" s="231"/>
      <c r="H236" s="231"/>
      <c r="I236" s="231"/>
      <c r="J236" s="231"/>
      <c r="K236" s="231"/>
      <c r="L236" s="231"/>
      <c r="M236" s="231"/>
      <c r="N236" s="231"/>
    </row>
    <row r="237" spans="2:14" x14ac:dyDescent="0.2">
      <c r="B237" s="352"/>
      <c r="D237" s="3942" t="s">
        <v>152</v>
      </c>
      <c r="E237" s="3942">
        <v>2018</v>
      </c>
    </row>
    <row r="238" spans="2:14" x14ac:dyDescent="0.2">
      <c r="B238" s="352"/>
      <c r="D238" s="454" t="s">
        <v>153</v>
      </c>
      <c r="E238" s="411">
        <v>1689</v>
      </c>
    </row>
    <row r="239" spans="2:14" x14ac:dyDescent="0.2">
      <c r="B239" s="352"/>
      <c r="D239" s="454" t="s">
        <v>154</v>
      </c>
      <c r="E239" s="411">
        <v>8352</v>
      </c>
    </row>
    <row r="240" spans="2:14" x14ac:dyDescent="0.2">
      <c r="B240" s="352"/>
      <c r="D240" s="454" t="s">
        <v>155</v>
      </c>
      <c r="E240" s="411">
        <v>1703</v>
      </c>
    </row>
    <row r="241" spans="2:23" x14ac:dyDescent="0.2">
      <c r="B241" s="352"/>
      <c r="D241" s="454" t="s">
        <v>156</v>
      </c>
      <c r="E241" s="411">
        <v>1387</v>
      </c>
    </row>
    <row r="242" spans="2:23" x14ac:dyDescent="0.2">
      <c r="B242" s="352"/>
      <c r="D242" s="476" t="s">
        <v>0</v>
      </c>
      <c r="E242" s="411">
        <f>SUM(E238:E241)</f>
        <v>13131</v>
      </c>
      <c r="F242" s="438"/>
    </row>
    <row r="243" spans="2:23" x14ac:dyDescent="0.2">
      <c r="B243" s="352"/>
      <c r="D243" s="477"/>
      <c r="E243" s="437"/>
      <c r="F243" s="438"/>
      <c r="G243" s="439"/>
    </row>
    <row r="244" spans="2:23" ht="12" customHeight="1" x14ac:dyDescent="0.2">
      <c r="B244" s="352"/>
    </row>
    <row r="245" spans="2:23" s="230" customFormat="1" x14ac:dyDescent="0.2">
      <c r="B245" s="357">
        <v>16</v>
      </c>
      <c r="C245" s="230" t="s">
        <v>157</v>
      </c>
      <c r="D245" s="231"/>
      <c r="E245" s="231"/>
      <c r="F245" s="231"/>
      <c r="G245" s="231"/>
      <c r="H245" s="231"/>
      <c r="I245" s="231"/>
      <c r="J245" s="231"/>
      <c r="K245" s="231"/>
      <c r="L245" s="231"/>
      <c r="M245" s="231"/>
      <c r="N245" s="231"/>
    </row>
    <row r="246" spans="2:23" x14ac:dyDescent="0.2">
      <c r="B246" s="352"/>
      <c r="D246" s="3942" t="s">
        <v>158</v>
      </c>
      <c r="E246" s="3942">
        <v>2014</v>
      </c>
      <c r="F246" s="3942">
        <f>E246+1</f>
        <v>2015</v>
      </c>
      <c r="G246" s="3942">
        <f t="shared" ref="G246:I246" si="33">F246+1</f>
        <v>2016</v>
      </c>
      <c r="H246" s="3942">
        <f t="shared" si="33"/>
        <v>2017</v>
      </c>
      <c r="I246" s="3942">
        <f t="shared" si="33"/>
        <v>2018</v>
      </c>
      <c r="J246" s="478" t="s">
        <v>652</v>
      </c>
    </row>
    <row r="247" spans="2:23" x14ac:dyDescent="0.2">
      <c r="B247" s="352"/>
      <c r="D247" s="422" t="s">
        <v>104</v>
      </c>
      <c r="E247" s="479"/>
      <c r="F247" s="479"/>
      <c r="G247" s="479"/>
      <c r="H247" s="479"/>
      <c r="I247" s="479"/>
    </row>
    <row r="248" spans="2:23" x14ac:dyDescent="0.2">
      <c r="B248" s="352"/>
      <c r="D248" s="422" t="s">
        <v>634</v>
      </c>
      <c r="E248" s="479"/>
      <c r="F248" s="479"/>
      <c r="G248" s="479"/>
      <c r="H248" s="479"/>
      <c r="I248" s="479"/>
    </row>
    <row r="249" spans="2:23" x14ac:dyDescent="0.2">
      <c r="B249" s="352"/>
      <c r="D249" s="422" t="s">
        <v>106</v>
      </c>
      <c r="E249" s="479"/>
      <c r="F249" s="479"/>
      <c r="G249" s="479"/>
      <c r="H249" s="479"/>
      <c r="I249" s="479"/>
    </row>
    <row r="250" spans="2:23" x14ac:dyDescent="0.2">
      <c r="B250" s="352"/>
      <c r="D250" s="422" t="s">
        <v>107</v>
      </c>
      <c r="E250" s="479"/>
      <c r="F250" s="479"/>
      <c r="G250" s="479"/>
      <c r="H250" s="479"/>
      <c r="I250" s="479"/>
    </row>
    <row r="251" spans="2:23" x14ac:dyDescent="0.2">
      <c r="B251" s="352"/>
      <c r="D251" s="422" t="s">
        <v>109</v>
      </c>
      <c r="E251" s="479"/>
      <c r="F251" s="479"/>
      <c r="G251" s="479"/>
      <c r="H251" s="479"/>
      <c r="I251" s="479"/>
    </row>
    <row r="252" spans="2:23" x14ac:dyDescent="0.2">
      <c r="B252" s="352"/>
    </row>
    <row r="253" spans="2:23" x14ac:dyDescent="0.2">
      <c r="B253" s="352"/>
    </row>
    <row r="254" spans="2:23" x14ac:dyDescent="0.2">
      <c r="B254" s="352">
        <v>17</v>
      </c>
      <c r="C254" s="231" t="s">
        <v>653</v>
      </c>
    </row>
    <row r="255" spans="2:23" x14ac:dyDescent="0.2">
      <c r="B255" s="352"/>
    </row>
    <row r="256" spans="2:23" x14ac:dyDescent="0.2">
      <c r="B256" s="352"/>
      <c r="C256" s="4196">
        <v>2014</v>
      </c>
      <c r="D256" s="4196"/>
      <c r="E256" s="4196"/>
      <c r="F256" s="4196"/>
      <c r="G256" s="4196"/>
      <c r="I256" s="4196">
        <v>2015</v>
      </c>
      <c r="J256" s="4196"/>
      <c r="K256" s="4196"/>
      <c r="L256" s="4196"/>
      <c r="M256" s="4196"/>
      <c r="N256" s="4196"/>
      <c r="O256" s="4196"/>
      <c r="Q256" s="4196">
        <v>2016</v>
      </c>
      <c r="R256" s="4196"/>
      <c r="S256" s="4196"/>
      <c r="T256" s="4196"/>
      <c r="U256" s="4196"/>
      <c r="V256" s="4196"/>
      <c r="W256" s="4196"/>
    </row>
    <row r="257" spans="2:23" ht="27.75" customHeight="1" x14ac:dyDescent="0.2">
      <c r="B257" s="352"/>
      <c r="C257" s="405"/>
      <c r="D257" s="405" t="s">
        <v>160</v>
      </c>
      <c r="E257" s="405" t="s">
        <v>161</v>
      </c>
      <c r="F257" s="405" t="s">
        <v>162</v>
      </c>
      <c r="G257" s="405" t="s">
        <v>163</v>
      </c>
      <c r="I257" s="405"/>
      <c r="J257" s="4197" t="s">
        <v>160</v>
      </c>
      <c r="K257" s="4198"/>
      <c r="L257" s="4199"/>
      <c r="M257" s="405" t="s">
        <v>161</v>
      </c>
      <c r="N257" s="405" t="s">
        <v>162</v>
      </c>
      <c r="O257" s="405" t="s">
        <v>163</v>
      </c>
      <c r="Q257" s="405"/>
      <c r="R257" s="4197" t="s">
        <v>160</v>
      </c>
      <c r="S257" s="4198"/>
      <c r="T257" s="4199"/>
      <c r="U257" s="405" t="s">
        <v>161</v>
      </c>
      <c r="V257" s="405" t="s">
        <v>162</v>
      </c>
      <c r="W257" s="405" t="s">
        <v>163</v>
      </c>
    </row>
    <row r="258" spans="2:23" x14ac:dyDescent="0.2">
      <c r="B258" s="352"/>
      <c r="C258" s="475">
        <v>1</v>
      </c>
      <c r="D258" s="447" t="s">
        <v>654</v>
      </c>
      <c r="E258" s="447"/>
      <c r="F258" s="480">
        <v>96</v>
      </c>
      <c r="G258" s="481">
        <f>F258/$F$269</f>
        <v>0.25396825396825395</v>
      </c>
      <c r="I258" s="475">
        <v>1</v>
      </c>
      <c r="J258" s="4190" t="s">
        <v>655</v>
      </c>
      <c r="K258" s="4191"/>
      <c r="L258" s="4192"/>
      <c r="M258" s="447"/>
      <c r="N258" s="447">
        <v>48</v>
      </c>
      <c r="O258" s="481">
        <f>N258/$N$269</f>
        <v>0.3</v>
      </c>
      <c r="Q258" s="475">
        <v>1</v>
      </c>
      <c r="R258" s="4190" t="s">
        <v>654</v>
      </c>
      <c r="S258" s="4191"/>
      <c r="T258" s="4192"/>
      <c r="U258" s="447"/>
      <c r="V258" s="447">
        <v>48</v>
      </c>
      <c r="W258" s="481">
        <f>V258/$V$269</f>
        <v>0.3</v>
      </c>
    </row>
    <row r="259" spans="2:23" x14ac:dyDescent="0.2">
      <c r="B259" s="352"/>
      <c r="C259" s="475">
        <v>2</v>
      </c>
      <c r="D259" s="447" t="s">
        <v>656</v>
      </c>
      <c r="E259" s="447"/>
      <c r="F259" s="480">
        <v>79</v>
      </c>
      <c r="G259" s="481">
        <f t="shared" ref="G259:G269" si="34">F259/$F$269</f>
        <v>0.20899470899470898</v>
      </c>
      <c r="I259" s="475">
        <v>2</v>
      </c>
      <c r="J259" s="4190" t="s">
        <v>654</v>
      </c>
      <c r="K259" s="4191"/>
      <c r="L259" s="4192"/>
      <c r="M259" s="447"/>
      <c r="N259" s="447">
        <v>34</v>
      </c>
      <c r="O259" s="481">
        <f t="shared" ref="O259:O269" si="35">N259/$N$269</f>
        <v>0.21249999999999999</v>
      </c>
      <c r="Q259" s="475">
        <v>2</v>
      </c>
      <c r="R259" s="4190" t="s">
        <v>656</v>
      </c>
      <c r="S259" s="4191"/>
      <c r="T259" s="4192"/>
      <c r="U259" s="447"/>
      <c r="V259" s="447">
        <v>34</v>
      </c>
      <c r="W259" s="481">
        <f t="shared" ref="W259:W269" si="36">V259/$V$269</f>
        <v>0.21249999999999999</v>
      </c>
    </row>
    <row r="260" spans="2:23" x14ac:dyDescent="0.2">
      <c r="B260" s="352"/>
      <c r="C260" s="475">
        <v>3</v>
      </c>
      <c r="D260" s="447" t="s">
        <v>657</v>
      </c>
      <c r="E260" s="447"/>
      <c r="F260" s="480">
        <v>63</v>
      </c>
      <c r="G260" s="481">
        <f t="shared" si="34"/>
        <v>0.16666666666666666</v>
      </c>
      <c r="I260" s="475">
        <v>3</v>
      </c>
      <c r="J260" s="4190" t="s">
        <v>656</v>
      </c>
      <c r="K260" s="4191"/>
      <c r="L260" s="4192"/>
      <c r="M260" s="447"/>
      <c r="N260" s="447">
        <v>25</v>
      </c>
      <c r="O260" s="481">
        <f t="shared" si="35"/>
        <v>0.15625</v>
      </c>
      <c r="Q260" s="475">
        <v>3</v>
      </c>
      <c r="R260" s="4190" t="s">
        <v>657</v>
      </c>
      <c r="S260" s="4191"/>
      <c r="T260" s="4192"/>
      <c r="U260" s="447"/>
      <c r="V260" s="447">
        <v>25</v>
      </c>
      <c r="W260" s="481">
        <f t="shared" si="36"/>
        <v>0.15625</v>
      </c>
    </row>
    <row r="261" spans="2:23" x14ac:dyDescent="0.2">
      <c r="B261" s="352"/>
      <c r="C261" s="475">
        <v>4</v>
      </c>
      <c r="D261" s="447" t="s">
        <v>655</v>
      </c>
      <c r="E261" s="447"/>
      <c r="F261" s="480">
        <v>39</v>
      </c>
      <c r="G261" s="481">
        <f t="shared" si="34"/>
        <v>0.10317460317460317</v>
      </c>
      <c r="I261" s="475">
        <v>4</v>
      </c>
      <c r="J261" s="4190" t="s">
        <v>657</v>
      </c>
      <c r="K261" s="4191"/>
      <c r="L261" s="4192"/>
      <c r="M261" s="447"/>
      <c r="N261" s="447">
        <v>13</v>
      </c>
      <c r="O261" s="481">
        <f t="shared" si="35"/>
        <v>8.1250000000000003E-2</v>
      </c>
      <c r="Q261" s="475">
        <v>4</v>
      </c>
      <c r="R261" s="4190" t="s">
        <v>655</v>
      </c>
      <c r="S261" s="4191"/>
      <c r="T261" s="4192"/>
      <c r="U261" s="447"/>
      <c r="V261" s="447">
        <v>13</v>
      </c>
      <c r="W261" s="481">
        <f t="shared" si="36"/>
        <v>8.1250000000000003E-2</v>
      </c>
    </row>
    <row r="262" spans="2:23" x14ac:dyDescent="0.2">
      <c r="B262" s="352"/>
      <c r="C262" s="475">
        <v>5</v>
      </c>
      <c r="D262" s="447" t="s">
        <v>658</v>
      </c>
      <c r="E262" s="447"/>
      <c r="F262" s="480">
        <v>24</v>
      </c>
      <c r="G262" s="481">
        <f t="shared" si="34"/>
        <v>6.3492063492063489E-2</v>
      </c>
      <c r="I262" s="475">
        <v>5</v>
      </c>
      <c r="J262" s="4190" t="s">
        <v>659</v>
      </c>
      <c r="K262" s="4191"/>
      <c r="L262" s="4192"/>
      <c r="M262" s="447"/>
      <c r="N262" s="447">
        <v>13</v>
      </c>
      <c r="O262" s="481">
        <f t="shared" si="35"/>
        <v>8.1250000000000003E-2</v>
      </c>
      <c r="Q262" s="475">
        <v>5</v>
      </c>
      <c r="R262" s="4190" t="s">
        <v>658</v>
      </c>
      <c r="S262" s="4191"/>
      <c r="T262" s="4192"/>
      <c r="U262" s="447"/>
      <c r="V262" s="447">
        <v>13</v>
      </c>
      <c r="W262" s="481">
        <f t="shared" si="36"/>
        <v>8.1250000000000003E-2</v>
      </c>
    </row>
    <row r="263" spans="2:23" x14ac:dyDescent="0.2">
      <c r="B263" s="352"/>
      <c r="C263" s="475">
        <v>6</v>
      </c>
      <c r="D263" s="447" t="s">
        <v>660</v>
      </c>
      <c r="E263" s="447"/>
      <c r="F263" s="480">
        <v>23</v>
      </c>
      <c r="G263" s="481">
        <f t="shared" si="34"/>
        <v>6.0846560846560843E-2</v>
      </c>
      <c r="I263" s="475">
        <v>6</v>
      </c>
      <c r="J263" s="4190" t="s">
        <v>660</v>
      </c>
      <c r="K263" s="4191"/>
      <c r="L263" s="4192"/>
      <c r="M263" s="447"/>
      <c r="N263" s="447">
        <v>7</v>
      </c>
      <c r="O263" s="481">
        <f t="shared" si="35"/>
        <v>4.3749999999999997E-2</v>
      </c>
      <c r="Q263" s="475">
        <v>6</v>
      </c>
      <c r="R263" s="4190" t="s">
        <v>660</v>
      </c>
      <c r="S263" s="4191"/>
      <c r="T263" s="4192"/>
      <c r="U263" s="447"/>
      <c r="V263" s="447">
        <v>7</v>
      </c>
      <c r="W263" s="481">
        <f t="shared" si="36"/>
        <v>4.3749999999999997E-2</v>
      </c>
    </row>
    <row r="264" spans="2:23" x14ac:dyDescent="0.2">
      <c r="B264" s="352"/>
      <c r="C264" s="482">
        <v>7</v>
      </c>
      <c r="D264" s="483" t="s">
        <v>661</v>
      </c>
      <c r="E264" s="483"/>
      <c r="F264" s="480">
        <v>19</v>
      </c>
      <c r="G264" s="481">
        <f t="shared" si="34"/>
        <v>5.0264550264550262E-2</v>
      </c>
      <c r="I264" s="475">
        <v>7</v>
      </c>
      <c r="J264" s="4190" t="s">
        <v>658</v>
      </c>
      <c r="K264" s="4191"/>
      <c r="L264" s="4192"/>
      <c r="M264" s="447"/>
      <c r="N264" s="447">
        <v>4</v>
      </c>
      <c r="O264" s="481">
        <f t="shared" si="35"/>
        <v>2.5000000000000001E-2</v>
      </c>
      <c r="Q264" s="475">
        <v>7</v>
      </c>
      <c r="R264" s="4190" t="s">
        <v>661</v>
      </c>
      <c r="S264" s="4191"/>
      <c r="T264" s="4192"/>
      <c r="U264" s="447"/>
      <c r="V264" s="447">
        <v>4</v>
      </c>
      <c r="W264" s="481">
        <f t="shared" si="36"/>
        <v>2.5000000000000001E-2</v>
      </c>
    </row>
    <row r="265" spans="2:23" x14ac:dyDescent="0.2">
      <c r="B265" s="352"/>
      <c r="C265" s="475">
        <v>8</v>
      </c>
      <c r="D265" s="484" t="s">
        <v>662</v>
      </c>
      <c r="E265" s="475"/>
      <c r="F265" s="480">
        <v>12</v>
      </c>
      <c r="G265" s="481">
        <f t="shared" si="34"/>
        <v>3.1746031746031744E-2</v>
      </c>
      <c r="I265" s="475">
        <v>8</v>
      </c>
      <c r="J265" s="4190" t="s">
        <v>663</v>
      </c>
      <c r="K265" s="4191"/>
      <c r="L265" s="4192"/>
      <c r="M265" s="447"/>
      <c r="N265" s="447">
        <v>3</v>
      </c>
      <c r="O265" s="481">
        <f t="shared" si="35"/>
        <v>1.8749999999999999E-2</v>
      </c>
      <c r="Q265" s="475">
        <v>8</v>
      </c>
      <c r="R265" s="4190" t="s">
        <v>662</v>
      </c>
      <c r="S265" s="4191"/>
      <c r="T265" s="4192"/>
      <c r="U265" s="447"/>
      <c r="V265" s="447">
        <v>3</v>
      </c>
      <c r="W265" s="481">
        <f t="shared" si="36"/>
        <v>1.8749999999999999E-2</v>
      </c>
    </row>
    <row r="266" spans="2:23" x14ac:dyDescent="0.2">
      <c r="B266" s="352"/>
      <c r="C266" s="475">
        <v>9</v>
      </c>
      <c r="D266" s="484" t="s">
        <v>664</v>
      </c>
      <c r="E266" s="475"/>
      <c r="F266" s="480">
        <v>8</v>
      </c>
      <c r="G266" s="481">
        <f t="shared" si="34"/>
        <v>2.1164021164021163E-2</v>
      </c>
      <c r="I266" s="475">
        <v>9</v>
      </c>
      <c r="J266" s="4190" t="s">
        <v>662</v>
      </c>
      <c r="K266" s="4191"/>
      <c r="L266" s="4192"/>
      <c r="M266" s="3943"/>
      <c r="N266" s="447">
        <v>3</v>
      </c>
      <c r="O266" s="481">
        <f t="shared" si="35"/>
        <v>1.8749999999999999E-2</v>
      </c>
      <c r="Q266" s="475">
        <v>9</v>
      </c>
      <c r="R266" s="4190" t="s">
        <v>664</v>
      </c>
      <c r="S266" s="4191"/>
      <c r="T266" s="4192"/>
      <c r="U266" s="447"/>
      <c r="V266" s="447">
        <v>3</v>
      </c>
      <c r="W266" s="481">
        <f t="shared" si="36"/>
        <v>1.8749999999999999E-2</v>
      </c>
    </row>
    <row r="267" spans="2:23" x14ac:dyDescent="0.2">
      <c r="B267" s="352"/>
      <c r="C267" s="475">
        <v>10</v>
      </c>
      <c r="D267" s="475" t="s">
        <v>663</v>
      </c>
      <c r="E267" s="475"/>
      <c r="F267" s="480">
        <v>4</v>
      </c>
      <c r="G267" s="481">
        <f t="shared" si="34"/>
        <v>1.0582010582010581E-2</v>
      </c>
      <c r="I267" s="475">
        <v>10</v>
      </c>
      <c r="J267" s="4190" t="s">
        <v>661</v>
      </c>
      <c r="K267" s="4191"/>
      <c r="L267" s="4192"/>
      <c r="M267" s="3943"/>
      <c r="N267" s="447">
        <v>2</v>
      </c>
      <c r="O267" s="481">
        <f t="shared" si="35"/>
        <v>1.2500000000000001E-2</v>
      </c>
      <c r="Q267" s="475">
        <v>10</v>
      </c>
      <c r="R267" s="4190" t="s">
        <v>663</v>
      </c>
      <c r="S267" s="4191"/>
      <c r="T267" s="4192"/>
      <c r="U267" s="447"/>
      <c r="V267" s="447">
        <v>2</v>
      </c>
      <c r="W267" s="481">
        <f t="shared" si="36"/>
        <v>1.2500000000000001E-2</v>
      </c>
    </row>
    <row r="268" spans="2:23" x14ac:dyDescent="0.2">
      <c r="B268" s="352"/>
      <c r="C268" s="485"/>
      <c r="D268" s="484" t="s">
        <v>543</v>
      </c>
      <c r="E268" s="475"/>
      <c r="F268" s="480">
        <v>11</v>
      </c>
      <c r="G268" s="481">
        <f t="shared" si="34"/>
        <v>2.9100529100529099E-2</v>
      </c>
      <c r="I268" s="475"/>
      <c r="J268" s="4190" t="s">
        <v>543</v>
      </c>
      <c r="K268" s="4191"/>
      <c r="L268" s="4192"/>
      <c r="M268" s="475"/>
      <c r="N268" s="447">
        <v>8</v>
      </c>
      <c r="O268" s="481">
        <f t="shared" si="35"/>
        <v>0.05</v>
      </c>
      <c r="Q268" s="486"/>
      <c r="R268" s="4190" t="s">
        <v>543</v>
      </c>
      <c r="S268" s="4191"/>
      <c r="T268" s="4192"/>
      <c r="U268" s="3943"/>
      <c r="V268" s="447">
        <v>8</v>
      </c>
      <c r="W268" s="481">
        <f t="shared" si="36"/>
        <v>0.05</v>
      </c>
    </row>
    <row r="269" spans="2:23" x14ac:dyDescent="0.2">
      <c r="B269" s="352"/>
      <c r="C269" s="4193" t="s">
        <v>0</v>
      </c>
      <c r="D269" s="4194"/>
      <c r="E269" s="4195"/>
      <c r="F269" s="480">
        <f>SUM(F258:F268)</f>
        <v>378</v>
      </c>
      <c r="G269" s="481">
        <f t="shared" si="34"/>
        <v>1</v>
      </c>
      <c r="I269" s="4193" t="s">
        <v>0</v>
      </c>
      <c r="J269" s="4194"/>
      <c r="K269" s="4194"/>
      <c r="L269" s="4194"/>
      <c r="M269" s="4195"/>
      <c r="N269" s="447">
        <f>SUM(N258:N268)</f>
        <v>160</v>
      </c>
      <c r="O269" s="481">
        <f t="shared" si="35"/>
        <v>1</v>
      </c>
      <c r="Q269" s="4193" t="s">
        <v>0</v>
      </c>
      <c r="R269" s="4194"/>
      <c r="S269" s="4194"/>
      <c r="T269" s="4194"/>
      <c r="U269" s="4195"/>
      <c r="V269" s="447">
        <f>SUM(V258:V268)</f>
        <v>160</v>
      </c>
      <c r="W269" s="481">
        <f t="shared" si="36"/>
        <v>1</v>
      </c>
    </row>
    <row r="270" spans="2:23" x14ac:dyDescent="0.2">
      <c r="B270" s="352"/>
      <c r="C270" s="231" t="s">
        <v>665</v>
      </c>
      <c r="I270" s="231" t="s">
        <v>665</v>
      </c>
    </row>
    <row r="271" spans="2:23" x14ac:dyDescent="0.2">
      <c r="B271" s="352"/>
      <c r="C271" s="4196">
        <v>2017</v>
      </c>
      <c r="D271" s="4196"/>
      <c r="E271" s="4196"/>
      <c r="F271" s="4196"/>
      <c r="G271" s="4196"/>
      <c r="I271" s="4196">
        <v>2018</v>
      </c>
      <c r="J271" s="4196"/>
      <c r="K271" s="4196"/>
      <c r="L271" s="4196"/>
      <c r="M271" s="4196"/>
      <c r="N271" s="4196"/>
      <c r="O271" s="4196"/>
    </row>
    <row r="272" spans="2:23" ht="29.25" customHeight="1" x14ac:dyDescent="0.2">
      <c r="B272" s="352"/>
      <c r="C272" s="405"/>
      <c r="D272" s="405" t="s">
        <v>160</v>
      </c>
      <c r="E272" s="405" t="s">
        <v>161</v>
      </c>
      <c r="F272" s="405" t="s">
        <v>162</v>
      </c>
      <c r="G272" s="405" t="s">
        <v>163</v>
      </c>
      <c r="I272" s="405"/>
      <c r="J272" s="4197" t="s">
        <v>160</v>
      </c>
      <c r="K272" s="4198"/>
      <c r="L272" s="4199"/>
      <c r="M272" s="405" t="s">
        <v>161</v>
      </c>
      <c r="N272" s="405" t="s">
        <v>162</v>
      </c>
      <c r="O272" s="405" t="s">
        <v>163</v>
      </c>
    </row>
    <row r="273" spans="2:17" x14ac:dyDescent="0.2">
      <c r="B273" s="352"/>
      <c r="C273" s="475">
        <v>1</v>
      </c>
      <c r="D273" s="447" t="s">
        <v>654</v>
      </c>
      <c r="E273" s="447"/>
      <c r="F273" s="487">
        <v>61</v>
      </c>
      <c r="G273" s="481">
        <f>F273/$F$284</f>
        <v>0.2332695984703633</v>
      </c>
      <c r="I273" s="475">
        <v>1</v>
      </c>
      <c r="J273" s="4190" t="s">
        <v>654</v>
      </c>
      <c r="K273" s="4191"/>
      <c r="L273" s="4192"/>
      <c r="M273" s="447"/>
      <c r="N273" s="480">
        <v>55.6</v>
      </c>
      <c r="O273" s="481">
        <f>N273/$N$284</f>
        <v>0.30786267995570321</v>
      </c>
    </row>
    <row r="274" spans="2:17" x14ac:dyDescent="0.2">
      <c r="B274" s="352"/>
      <c r="C274" s="475">
        <v>2</v>
      </c>
      <c r="D274" s="447" t="s">
        <v>656</v>
      </c>
      <c r="E274" s="447"/>
      <c r="F274" s="487">
        <v>40</v>
      </c>
      <c r="G274" s="481">
        <f t="shared" ref="G274:G284" si="37">F274/$F$284</f>
        <v>0.15296367112810708</v>
      </c>
      <c r="I274" s="475">
        <v>2</v>
      </c>
      <c r="J274" s="4190" t="s">
        <v>657</v>
      </c>
      <c r="K274" s="4191"/>
      <c r="L274" s="4192"/>
      <c r="M274" s="447"/>
      <c r="N274" s="447">
        <v>40</v>
      </c>
      <c r="O274" s="481">
        <f t="shared" ref="O274:O284" si="38">N274/$N$284</f>
        <v>0.22148394241417499</v>
      </c>
    </row>
    <row r="275" spans="2:17" x14ac:dyDescent="0.2">
      <c r="B275" s="352"/>
      <c r="C275" s="475">
        <v>3</v>
      </c>
      <c r="D275" s="447" t="s">
        <v>657</v>
      </c>
      <c r="E275" s="447"/>
      <c r="F275" s="487">
        <v>39</v>
      </c>
      <c r="G275" s="481">
        <f t="shared" si="37"/>
        <v>0.14913957934990441</v>
      </c>
      <c r="I275" s="475">
        <v>3</v>
      </c>
      <c r="J275" s="4190" t="s">
        <v>655</v>
      </c>
      <c r="K275" s="4191"/>
      <c r="L275" s="4192"/>
      <c r="M275" s="447"/>
      <c r="N275" s="447">
        <v>39</v>
      </c>
      <c r="O275" s="481">
        <f t="shared" si="38"/>
        <v>0.2159468438538206</v>
      </c>
    </row>
    <row r="276" spans="2:17" x14ac:dyDescent="0.2">
      <c r="B276" s="352"/>
      <c r="C276" s="475">
        <v>4</v>
      </c>
      <c r="D276" s="447" t="s">
        <v>655</v>
      </c>
      <c r="E276" s="447"/>
      <c r="F276" s="487">
        <v>10</v>
      </c>
      <c r="G276" s="481">
        <f t="shared" si="37"/>
        <v>3.8240917782026769E-2</v>
      </c>
      <c r="I276" s="475">
        <v>4</v>
      </c>
      <c r="J276" s="4190" t="s">
        <v>660</v>
      </c>
      <c r="K276" s="4191"/>
      <c r="L276" s="4192"/>
      <c r="M276" s="447"/>
      <c r="N276" s="447">
        <v>10</v>
      </c>
      <c r="O276" s="481">
        <f t="shared" si="38"/>
        <v>5.5370985603543747E-2</v>
      </c>
    </row>
    <row r="277" spans="2:17" x14ac:dyDescent="0.2">
      <c r="B277" s="352"/>
      <c r="C277" s="475">
        <v>5</v>
      </c>
      <c r="D277" s="447" t="s">
        <v>658</v>
      </c>
      <c r="E277" s="447"/>
      <c r="F277" s="487">
        <v>8</v>
      </c>
      <c r="G277" s="481">
        <f t="shared" si="37"/>
        <v>3.0592734225621414E-2</v>
      </c>
      <c r="I277" s="475">
        <v>5</v>
      </c>
      <c r="J277" s="4190" t="s">
        <v>661</v>
      </c>
      <c r="K277" s="4191"/>
      <c r="L277" s="4192"/>
      <c r="M277" s="447"/>
      <c r="N277" s="447">
        <v>8</v>
      </c>
      <c r="O277" s="481">
        <f t="shared" si="38"/>
        <v>4.4296788482834998E-2</v>
      </c>
    </row>
    <row r="278" spans="2:17" x14ac:dyDescent="0.2">
      <c r="B278" s="352"/>
      <c r="C278" s="475">
        <v>6</v>
      </c>
      <c r="D278" s="447" t="s">
        <v>660</v>
      </c>
      <c r="E278" s="447"/>
      <c r="F278" s="487">
        <v>7</v>
      </c>
      <c r="G278" s="481">
        <f t="shared" si="37"/>
        <v>2.676864244741874E-2</v>
      </c>
      <c r="I278" s="475">
        <v>6</v>
      </c>
      <c r="J278" s="4190" t="s">
        <v>658</v>
      </c>
      <c r="K278" s="4191"/>
      <c r="L278" s="4192"/>
      <c r="M278" s="447"/>
      <c r="N278" s="447">
        <v>7</v>
      </c>
      <c r="O278" s="481">
        <f t="shared" si="38"/>
        <v>3.875968992248062E-2</v>
      </c>
    </row>
    <row r="279" spans="2:17" x14ac:dyDescent="0.2">
      <c r="B279" s="352"/>
      <c r="C279" s="475">
        <v>7</v>
      </c>
      <c r="D279" s="447" t="s">
        <v>661</v>
      </c>
      <c r="E279" s="447"/>
      <c r="F279" s="487">
        <v>6</v>
      </c>
      <c r="G279" s="481">
        <f t="shared" si="37"/>
        <v>2.2944550669216062E-2</v>
      </c>
      <c r="I279" s="475">
        <v>7</v>
      </c>
      <c r="J279" s="4190" t="s">
        <v>656</v>
      </c>
      <c r="K279" s="4191"/>
      <c r="L279" s="4192"/>
      <c r="M279" s="447"/>
      <c r="N279" s="447">
        <v>6</v>
      </c>
      <c r="O279" s="481">
        <f t="shared" si="38"/>
        <v>3.3222591362126248E-2</v>
      </c>
    </row>
    <row r="280" spans="2:17" x14ac:dyDescent="0.2">
      <c r="B280" s="352"/>
      <c r="C280" s="475">
        <v>8</v>
      </c>
      <c r="D280" s="447" t="s">
        <v>662</v>
      </c>
      <c r="E280" s="447"/>
      <c r="F280" s="487">
        <v>4</v>
      </c>
      <c r="G280" s="481">
        <f t="shared" si="37"/>
        <v>1.5296367112810707E-2</v>
      </c>
      <c r="I280" s="475">
        <v>8</v>
      </c>
      <c r="J280" s="4190" t="s">
        <v>660</v>
      </c>
      <c r="K280" s="4191"/>
      <c r="L280" s="4192"/>
      <c r="M280" s="447"/>
      <c r="N280" s="447">
        <v>4</v>
      </c>
      <c r="O280" s="481">
        <f t="shared" si="38"/>
        <v>2.2148394241417499E-2</v>
      </c>
    </row>
    <row r="281" spans="2:17" x14ac:dyDescent="0.2">
      <c r="B281" s="352"/>
      <c r="C281" s="475">
        <v>9</v>
      </c>
      <c r="D281" s="447" t="s">
        <v>664</v>
      </c>
      <c r="E281" s="447"/>
      <c r="F281" s="487">
        <v>4</v>
      </c>
      <c r="G281" s="481">
        <f t="shared" si="37"/>
        <v>1.5296367112810707E-2</v>
      </c>
      <c r="I281" s="475">
        <v>9</v>
      </c>
      <c r="J281" s="4190" t="s">
        <v>666</v>
      </c>
      <c r="K281" s="4191"/>
      <c r="L281" s="4192"/>
      <c r="M281" s="447"/>
      <c r="N281" s="447">
        <v>4</v>
      </c>
      <c r="O281" s="481">
        <f t="shared" si="38"/>
        <v>2.2148394241417499E-2</v>
      </c>
    </row>
    <row r="282" spans="2:17" x14ac:dyDescent="0.2">
      <c r="B282" s="352"/>
      <c r="C282" s="475">
        <v>10</v>
      </c>
      <c r="D282" s="447" t="s">
        <v>663</v>
      </c>
      <c r="E282" s="447"/>
      <c r="F282" s="487">
        <v>3</v>
      </c>
      <c r="G282" s="481">
        <f t="shared" si="37"/>
        <v>1.1472275334608031E-2</v>
      </c>
      <c r="I282" s="475">
        <v>10</v>
      </c>
      <c r="J282" s="4190" t="s">
        <v>662</v>
      </c>
      <c r="K282" s="4191"/>
      <c r="L282" s="4192"/>
      <c r="M282" s="447"/>
      <c r="N282" s="447">
        <v>3</v>
      </c>
      <c r="O282" s="481">
        <f t="shared" si="38"/>
        <v>1.6611295681063124E-2</v>
      </c>
    </row>
    <row r="283" spans="2:17" x14ac:dyDescent="0.2">
      <c r="B283" s="352"/>
      <c r="C283" s="475"/>
      <c r="D283" s="447" t="s">
        <v>543</v>
      </c>
      <c r="E283" s="447"/>
      <c r="F283" s="487">
        <v>4</v>
      </c>
      <c r="G283" s="481">
        <f t="shared" si="37"/>
        <v>1.5296367112810707E-2</v>
      </c>
      <c r="I283" s="475"/>
      <c r="J283" s="4190" t="s">
        <v>543</v>
      </c>
      <c r="K283" s="4191"/>
      <c r="L283" s="4192"/>
      <c r="M283" s="3943"/>
      <c r="N283" s="447">
        <v>4</v>
      </c>
      <c r="O283" s="481">
        <f t="shared" si="38"/>
        <v>2.2148394241417499E-2</v>
      </c>
    </row>
    <row r="284" spans="2:17" x14ac:dyDescent="0.2">
      <c r="B284" s="352"/>
      <c r="C284" s="4193" t="s">
        <v>0</v>
      </c>
      <c r="D284" s="4194"/>
      <c r="E284" s="4195"/>
      <c r="F284" s="487">
        <v>261.5</v>
      </c>
      <c r="G284" s="481">
        <f t="shared" si="37"/>
        <v>1</v>
      </c>
      <c r="I284" s="4193" t="s">
        <v>0</v>
      </c>
      <c r="J284" s="4194"/>
      <c r="K284" s="4194"/>
      <c r="L284" s="4194"/>
      <c r="M284" s="4195"/>
      <c r="N284" s="480">
        <f>SUM(N273:N283)</f>
        <v>180.6</v>
      </c>
      <c r="O284" s="481">
        <f t="shared" si="38"/>
        <v>1</v>
      </c>
      <c r="Q284" s="471">
        <f>N284/I290</f>
        <v>5.7791999999999996E-2</v>
      </c>
    </row>
    <row r="285" spans="2:17" x14ac:dyDescent="0.2">
      <c r="B285" s="352"/>
      <c r="C285" s="231" t="s">
        <v>665</v>
      </c>
      <c r="I285" s="231" t="s">
        <v>665</v>
      </c>
    </row>
    <row r="286" spans="2:17" x14ac:dyDescent="0.2">
      <c r="B286" s="352">
        <v>18</v>
      </c>
      <c r="C286" s="231" t="s">
        <v>164</v>
      </c>
      <c r="E286" s="437"/>
      <c r="F286" s="438"/>
      <c r="G286" s="439"/>
    </row>
    <row r="287" spans="2:17" x14ac:dyDescent="0.2">
      <c r="B287" s="352"/>
      <c r="D287" s="3942" t="s">
        <v>165</v>
      </c>
      <c r="E287" s="3942">
        <v>2014</v>
      </c>
      <c r="F287" s="3942">
        <f>E287+1</f>
        <v>2015</v>
      </c>
      <c r="G287" s="3942">
        <f t="shared" ref="G287:I287" si="39">F287+1</f>
        <v>2016</v>
      </c>
      <c r="H287" s="3942">
        <f t="shared" si="39"/>
        <v>2017</v>
      </c>
      <c r="I287" s="3942">
        <f t="shared" si="39"/>
        <v>2018</v>
      </c>
    </row>
    <row r="288" spans="2:17" x14ac:dyDescent="0.2">
      <c r="B288" s="352"/>
      <c r="D288" s="454" t="s">
        <v>166</v>
      </c>
      <c r="E288" s="411">
        <v>930</v>
      </c>
      <c r="F288" s="356">
        <v>3416</v>
      </c>
      <c r="G288" s="356">
        <v>607</v>
      </c>
      <c r="H288" s="356">
        <v>2379</v>
      </c>
      <c r="I288" s="356">
        <v>1833</v>
      </c>
    </row>
    <row r="289" spans="2:23" x14ac:dyDescent="0.2">
      <c r="B289" s="352"/>
      <c r="D289" s="454" t="s">
        <v>167</v>
      </c>
      <c r="E289" s="411">
        <v>438</v>
      </c>
      <c r="F289" s="356">
        <v>948</v>
      </c>
      <c r="G289" s="356">
        <v>1117</v>
      </c>
      <c r="H289" s="356">
        <v>2668</v>
      </c>
      <c r="I289" s="356">
        <v>1292</v>
      </c>
    </row>
    <row r="290" spans="2:23" x14ac:dyDescent="0.2">
      <c r="B290" s="352"/>
      <c r="D290" s="476" t="s">
        <v>150</v>
      </c>
      <c r="E290" s="411">
        <f>SUM(E288:E289)</f>
        <v>1368</v>
      </c>
      <c r="F290" s="356">
        <f>SUM(F288:F289)</f>
        <v>4364</v>
      </c>
      <c r="G290" s="356">
        <f>SUM(G288:G289)</f>
        <v>1724</v>
      </c>
      <c r="H290" s="356">
        <f>SUM(H288:H289)</f>
        <v>5047</v>
      </c>
      <c r="I290" s="356">
        <f>SUM(I288:I289)</f>
        <v>3125</v>
      </c>
    </row>
    <row r="291" spans="2:23" x14ac:dyDescent="0.2">
      <c r="B291" s="352"/>
      <c r="D291" s="488"/>
      <c r="E291" s="437"/>
      <c r="F291" s="438"/>
      <c r="G291" s="439"/>
      <c r="J291" s="416"/>
      <c r="K291" s="416"/>
      <c r="L291" s="416"/>
    </row>
    <row r="292" spans="2:23" x14ac:dyDescent="0.2">
      <c r="B292" s="352"/>
      <c r="D292" s="392"/>
      <c r="E292" s="353"/>
      <c r="J292" s="416"/>
      <c r="K292" s="416"/>
      <c r="L292" s="416"/>
    </row>
    <row r="293" spans="2:23" x14ac:dyDescent="0.2">
      <c r="B293" s="352">
        <v>19</v>
      </c>
      <c r="C293" s="231" t="s">
        <v>57</v>
      </c>
      <c r="J293" s="416"/>
      <c r="K293" s="416"/>
      <c r="L293" s="416"/>
    </row>
    <row r="294" spans="2:23" x14ac:dyDescent="0.2">
      <c r="B294" s="352"/>
      <c r="D294" s="3942" t="s">
        <v>168</v>
      </c>
      <c r="E294" s="3942">
        <v>2014</v>
      </c>
      <c r="F294" s="3942">
        <f>E294+1</f>
        <v>2015</v>
      </c>
      <c r="G294" s="3942">
        <f t="shared" ref="G294:I294" si="40">F294+1</f>
        <v>2016</v>
      </c>
      <c r="H294" s="3942">
        <f t="shared" si="40"/>
        <v>2017</v>
      </c>
      <c r="I294" s="3942">
        <f t="shared" si="40"/>
        <v>2018</v>
      </c>
    </row>
    <row r="295" spans="2:23" x14ac:dyDescent="0.2">
      <c r="B295" s="352"/>
      <c r="D295" s="422" t="s">
        <v>77</v>
      </c>
      <c r="E295" s="489">
        <v>143</v>
      </c>
      <c r="F295" s="489">
        <v>90</v>
      </c>
      <c r="G295" s="489">
        <v>140</v>
      </c>
      <c r="H295" s="489">
        <v>555</v>
      </c>
      <c r="I295" s="489">
        <f>AVERAGE(E295,F295,G295,H295)</f>
        <v>232</v>
      </c>
    </row>
    <row r="296" spans="2:23" x14ac:dyDescent="0.2">
      <c r="B296" s="352"/>
      <c r="D296" s="422" t="s">
        <v>667</v>
      </c>
      <c r="E296" s="422">
        <v>775</v>
      </c>
      <c r="F296" s="422">
        <v>555</v>
      </c>
      <c r="G296" s="422">
        <v>581</v>
      </c>
      <c r="H296" s="422">
        <v>414</v>
      </c>
      <c r="I296" s="489">
        <f t="shared" ref="I296:I297" si="41">AVERAGE(E296,F296,G296,H296)</f>
        <v>581.25</v>
      </c>
    </row>
    <row r="297" spans="2:23" x14ac:dyDescent="0.2">
      <c r="B297" s="352"/>
      <c r="D297" s="422" t="s">
        <v>170</v>
      </c>
      <c r="E297" s="422">
        <v>250</v>
      </c>
      <c r="F297" s="422">
        <v>135</v>
      </c>
      <c r="G297" s="422">
        <v>229</v>
      </c>
      <c r="H297" s="422">
        <v>347</v>
      </c>
      <c r="I297" s="489">
        <f t="shared" si="41"/>
        <v>240.25</v>
      </c>
    </row>
    <row r="298" spans="2:23" x14ac:dyDescent="0.2">
      <c r="B298" s="352"/>
    </row>
    <row r="299" spans="2:23" x14ac:dyDescent="0.2">
      <c r="B299" s="352">
        <v>20</v>
      </c>
      <c r="C299" s="231" t="s">
        <v>171</v>
      </c>
    </row>
    <row r="300" spans="2:23" x14ac:dyDescent="0.2">
      <c r="B300" s="352"/>
      <c r="G300" s="392"/>
    </row>
    <row r="301" spans="2:23" x14ac:dyDescent="0.2">
      <c r="B301" s="352"/>
      <c r="C301" s="4196">
        <v>2014</v>
      </c>
      <c r="D301" s="4196"/>
      <c r="E301" s="4196"/>
      <c r="F301" s="4196"/>
      <c r="G301" s="4196"/>
      <c r="I301" s="4196">
        <v>2015</v>
      </c>
      <c r="J301" s="4196"/>
      <c r="K301" s="4196"/>
      <c r="L301" s="4196"/>
      <c r="M301" s="4196"/>
      <c r="N301" s="4196"/>
      <c r="O301" s="4196"/>
      <c r="Q301" s="4196">
        <v>2016</v>
      </c>
      <c r="R301" s="4196"/>
      <c r="S301" s="4196"/>
      <c r="T301" s="4196"/>
      <c r="U301" s="4196"/>
      <c r="V301" s="4196"/>
      <c r="W301" s="4196"/>
    </row>
    <row r="302" spans="2:23" ht="25.5" x14ac:dyDescent="0.2">
      <c r="B302" s="352"/>
      <c r="C302" s="405" t="s">
        <v>62</v>
      </c>
      <c r="D302" s="405" t="s">
        <v>172</v>
      </c>
      <c r="E302" s="405" t="s">
        <v>161</v>
      </c>
      <c r="F302" s="405" t="s">
        <v>162</v>
      </c>
      <c r="G302" s="405" t="s">
        <v>163</v>
      </c>
      <c r="I302" s="405" t="s">
        <v>62</v>
      </c>
      <c r="J302" s="4197" t="s">
        <v>172</v>
      </c>
      <c r="K302" s="4198"/>
      <c r="L302" s="4199"/>
      <c r="M302" s="405" t="s">
        <v>161</v>
      </c>
      <c r="N302" s="405" t="s">
        <v>162</v>
      </c>
      <c r="O302" s="405" t="s">
        <v>163</v>
      </c>
      <c r="Q302" s="405" t="s">
        <v>62</v>
      </c>
      <c r="R302" s="4197" t="s">
        <v>172</v>
      </c>
      <c r="S302" s="4198"/>
      <c r="T302" s="4199"/>
      <c r="U302" s="405" t="s">
        <v>161</v>
      </c>
      <c r="V302" s="405" t="s">
        <v>162</v>
      </c>
      <c r="W302" s="405" t="s">
        <v>163</v>
      </c>
    </row>
    <row r="303" spans="2:23" x14ac:dyDescent="0.2">
      <c r="B303" s="352"/>
      <c r="C303" s="475">
        <v>1</v>
      </c>
      <c r="D303" s="422" t="s">
        <v>668</v>
      </c>
      <c r="E303" s="490" t="s">
        <v>669</v>
      </c>
      <c r="F303" s="475">
        <v>74</v>
      </c>
      <c r="G303" s="491">
        <f>F303/$F$313</f>
        <v>0.2846153846153846</v>
      </c>
      <c r="I303" s="475">
        <v>1</v>
      </c>
      <c r="J303" s="4180" t="s">
        <v>670</v>
      </c>
      <c r="K303" s="4200"/>
      <c r="L303" s="4181"/>
      <c r="M303" s="490" t="s">
        <v>671</v>
      </c>
      <c r="N303" s="475">
        <v>85</v>
      </c>
      <c r="O303" s="491">
        <f>N303/$N$313</f>
        <v>0.3346456692913386</v>
      </c>
      <c r="Q303" s="475">
        <v>1</v>
      </c>
      <c r="R303" s="4180" t="s">
        <v>672</v>
      </c>
      <c r="S303" s="4200"/>
      <c r="T303" s="4181"/>
      <c r="U303" s="490" t="s">
        <v>671</v>
      </c>
      <c r="V303" s="475">
        <v>85</v>
      </c>
      <c r="W303" s="491">
        <f>V303/$V$313</f>
        <v>0.3346456692913386</v>
      </c>
    </row>
    <row r="304" spans="2:23" x14ac:dyDescent="0.2">
      <c r="B304" s="352"/>
      <c r="C304" s="475">
        <v>2</v>
      </c>
      <c r="D304" s="422" t="s">
        <v>673</v>
      </c>
      <c r="E304" s="490" t="s">
        <v>674</v>
      </c>
      <c r="F304" s="475">
        <v>57</v>
      </c>
      <c r="G304" s="491">
        <f t="shared" ref="G304:G314" si="42">F304/$F$313</f>
        <v>0.21923076923076923</v>
      </c>
      <c r="I304" s="475">
        <v>2</v>
      </c>
      <c r="J304" s="4180" t="s">
        <v>675</v>
      </c>
      <c r="K304" s="4200"/>
      <c r="L304" s="4181"/>
      <c r="M304" s="490" t="s">
        <v>676</v>
      </c>
      <c r="N304" s="475">
        <v>38</v>
      </c>
      <c r="O304" s="491">
        <f t="shared" ref="O304:O313" si="43">N304/$N$313</f>
        <v>0.14960629921259844</v>
      </c>
      <c r="Q304" s="475">
        <v>2</v>
      </c>
      <c r="R304" s="4180" t="s">
        <v>677</v>
      </c>
      <c r="S304" s="4200"/>
      <c r="T304" s="4181"/>
      <c r="U304" s="490" t="s">
        <v>676</v>
      </c>
      <c r="V304" s="475">
        <v>38</v>
      </c>
      <c r="W304" s="491">
        <f t="shared" ref="W304:W313" si="44">V304/$V$313</f>
        <v>0.14960629921259844</v>
      </c>
    </row>
    <row r="305" spans="2:23" x14ac:dyDescent="0.2">
      <c r="B305" s="352"/>
      <c r="C305" s="475">
        <v>3</v>
      </c>
      <c r="D305" s="422" t="s">
        <v>678</v>
      </c>
      <c r="E305" s="490" t="s">
        <v>679</v>
      </c>
      <c r="F305" s="475">
        <v>49</v>
      </c>
      <c r="G305" s="491">
        <f t="shared" si="42"/>
        <v>0.18846153846153846</v>
      </c>
      <c r="I305" s="475">
        <v>3</v>
      </c>
      <c r="J305" s="4180" t="s">
        <v>680</v>
      </c>
      <c r="K305" s="4200"/>
      <c r="L305" s="4181"/>
      <c r="M305" s="490" t="s">
        <v>340</v>
      </c>
      <c r="N305" s="475">
        <v>19</v>
      </c>
      <c r="O305" s="491">
        <f t="shared" si="43"/>
        <v>7.4803149606299218E-2</v>
      </c>
      <c r="Q305" s="475">
        <v>3</v>
      </c>
      <c r="R305" s="4180" t="s">
        <v>681</v>
      </c>
      <c r="S305" s="4200"/>
      <c r="T305" s="4181"/>
      <c r="U305" s="490" t="s">
        <v>340</v>
      </c>
      <c r="V305" s="475">
        <v>19</v>
      </c>
      <c r="W305" s="491">
        <f t="shared" si="44"/>
        <v>7.4803149606299218E-2</v>
      </c>
    </row>
    <row r="306" spans="2:23" x14ac:dyDescent="0.2">
      <c r="B306" s="352"/>
      <c r="C306" s="475">
        <v>4</v>
      </c>
      <c r="D306" s="422" t="s">
        <v>682</v>
      </c>
      <c r="E306" s="490" t="s">
        <v>683</v>
      </c>
      <c r="F306" s="475">
        <v>9</v>
      </c>
      <c r="G306" s="491">
        <f t="shared" si="42"/>
        <v>3.4615384615384617E-2</v>
      </c>
      <c r="I306" s="475">
        <v>4</v>
      </c>
      <c r="J306" s="4180" t="s">
        <v>684</v>
      </c>
      <c r="K306" s="4200"/>
      <c r="L306" s="4181"/>
      <c r="M306" s="490" t="s">
        <v>685</v>
      </c>
      <c r="N306" s="475">
        <v>11</v>
      </c>
      <c r="O306" s="491">
        <f t="shared" si="43"/>
        <v>4.3307086614173228E-2</v>
      </c>
      <c r="Q306" s="475">
        <v>4</v>
      </c>
      <c r="R306" s="4180" t="s">
        <v>686</v>
      </c>
      <c r="S306" s="4200"/>
      <c r="T306" s="4181"/>
      <c r="U306" s="490" t="s">
        <v>685</v>
      </c>
      <c r="V306" s="475">
        <v>11</v>
      </c>
      <c r="W306" s="491">
        <f t="shared" si="44"/>
        <v>4.3307086614173228E-2</v>
      </c>
    </row>
    <row r="307" spans="2:23" x14ac:dyDescent="0.2">
      <c r="B307" s="352"/>
      <c r="C307" s="475">
        <v>5</v>
      </c>
      <c r="D307" s="422" t="s">
        <v>687</v>
      </c>
      <c r="E307" s="490" t="s">
        <v>688</v>
      </c>
      <c r="F307" s="475">
        <v>8</v>
      </c>
      <c r="G307" s="491">
        <f t="shared" si="42"/>
        <v>3.0769230769230771E-2</v>
      </c>
      <c r="I307" s="475">
        <v>5</v>
      </c>
      <c r="J307" s="4180" t="s">
        <v>689</v>
      </c>
      <c r="K307" s="4200"/>
      <c r="L307" s="4181"/>
      <c r="M307" s="490" t="s">
        <v>690</v>
      </c>
      <c r="N307" s="475">
        <v>11</v>
      </c>
      <c r="O307" s="491">
        <f t="shared" si="43"/>
        <v>4.3307086614173228E-2</v>
      </c>
      <c r="Q307" s="475">
        <v>5</v>
      </c>
      <c r="R307" s="4180" t="s">
        <v>691</v>
      </c>
      <c r="S307" s="4200"/>
      <c r="T307" s="4181"/>
      <c r="U307" s="490" t="s">
        <v>690</v>
      </c>
      <c r="V307" s="475">
        <v>11</v>
      </c>
      <c r="W307" s="491">
        <f t="shared" si="44"/>
        <v>4.3307086614173228E-2</v>
      </c>
    </row>
    <row r="308" spans="2:23" x14ac:dyDescent="0.2">
      <c r="B308" s="352"/>
      <c r="C308" s="475">
        <v>6</v>
      </c>
      <c r="D308" s="422" t="s">
        <v>692</v>
      </c>
      <c r="E308" s="490" t="s">
        <v>693</v>
      </c>
      <c r="F308" s="475">
        <v>2</v>
      </c>
      <c r="G308" s="491">
        <f t="shared" si="42"/>
        <v>7.6923076923076927E-3</v>
      </c>
      <c r="I308" s="475">
        <v>6</v>
      </c>
      <c r="J308" s="4180" t="s">
        <v>694</v>
      </c>
      <c r="K308" s="4200"/>
      <c r="L308" s="4181"/>
      <c r="M308" s="490" t="s">
        <v>695</v>
      </c>
      <c r="N308" s="475">
        <v>7</v>
      </c>
      <c r="O308" s="491">
        <f t="shared" si="43"/>
        <v>2.7559055118110236E-2</v>
      </c>
      <c r="Q308" s="475">
        <v>6</v>
      </c>
      <c r="R308" s="4180" t="s">
        <v>696</v>
      </c>
      <c r="S308" s="4200"/>
      <c r="T308" s="4181"/>
      <c r="U308" s="490" t="s">
        <v>695</v>
      </c>
      <c r="V308" s="475">
        <v>7</v>
      </c>
      <c r="W308" s="491">
        <f t="shared" si="44"/>
        <v>2.7559055118110236E-2</v>
      </c>
    </row>
    <row r="309" spans="2:23" x14ac:dyDescent="0.2">
      <c r="B309" s="352"/>
      <c r="C309" s="475">
        <v>7</v>
      </c>
      <c r="D309" s="422" t="s">
        <v>697</v>
      </c>
      <c r="E309" s="490" t="s">
        <v>698</v>
      </c>
      <c r="F309" s="475">
        <v>2</v>
      </c>
      <c r="G309" s="491">
        <f t="shared" si="42"/>
        <v>7.6923076923076927E-3</v>
      </c>
      <c r="I309" s="475">
        <v>7</v>
      </c>
      <c r="J309" s="4180" t="s">
        <v>512</v>
      </c>
      <c r="K309" s="4200"/>
      <c r="L309" s="4181"/>
      <c r="M309" s="490" t="s">
        <v>500</v>
      </c>
      <c r="N309" s="475">
        <v>6</v>
      </c>
      <c r="O309" s="491">
        <f t="shared" si="43"/>
        <v>2.3622047244094488E-2</v>
      </c>
      <c r="Q309" s="475">
        <v>7</v>
      </c>
      <c r="R309" s="4180" t="s">
        <v>699</v>
      </c>
      <c r="S309" s="4200"/>
      <c r="T309" s="4181"/>
      <c r="U309" s="490" t="s">
        <v>500</v>
      </c>
      <c r="V309" s="475">
        <v>6</v>
      </c>
      <c r="W309" s="491">
        <f t="shared" si="44"/>
        <v>2.3622047244094488E-2</v>
      </c>
    </row>
    <row r="310" spans="2:23" x14ac:dyDescent="0.2">
      <c r="B310" s="352"/>
      <c r="C310" s="475">
        <v>8</v>
      </c>
      <c r="D310" s="422" t="s">
        <v>700</v>
      </c>
      <c r="E310" s="490" t="s">
        <v>701</v>
      </c>
      <c r="F310" s="475">
        <v>2</v>
      </c>
      <c r="G310" s="491">
        <f t="shared" si="42"/>
        <v>7.6923076923076927E-3</v>
      </c>
      <c r="I310" s="475">
        <v>8</v>
      </c>
      <c r="J310" s="4180" t="s">
        <v>691</v>
      </c>
      <c r="K310" s="4200"/>
      <c r="L310" s="4181"/>
      <c r="M310" s="490" t="s">
        <v>702</v>
      </c>
      <c r="N310" s="475">
        <v>4</v>
      </c>
      <c r="O310" s="491">
        <f t="shared" si="43"/>
        <v>1.5748031496062992E-2</v>
      </c>
      <c r="Q310" s="475">
        <v>8</v>
      </c>
      <c r="R310" s="4180" t="s">
        <v>703</v>
      </c>
      <c r="S310" s="4200"/>
      <c r="T310" s="4181"/>
      <c r="U310" s="490" t="s">
        <v>702</v>
      </c>
      <c r="V310" s="475">
        <v>4</v>
      </c>
      <c r="W310" s="491">
        <f t="shared" si="44"/>
        <v>1.5748031496062992E-2</v>
      </c>
    </row>
    <row r="311" spans="2:23" x14ac:dyDescent="0.2">
      <c r="B311" s="352"/>
      <c r="C311" s="475">
        <v>9</v>
      </c>
      <c r="D311" s="422" t="s">
        <v>704</v>
      </c>
      <c r="E311" s="490" t="s">
        <v>705</v>
      </c>
      <c r="F311" s="475">
        <v>1</v>
      </c>
      <c r="G311" s="491">
        <f t="shared" si="42"/>
        <v>3.8461538461538464E-3</v>
      </c>
      <c r="I311" s="475">
        <v>9</v>
      </c>
      <c r="J311" s="4180" t="s">
        <v>706</v>
      </c>
      <c r="K311" s="4200"/>
      <c r="L311" s="4181"/>
      <c r="M311" s="490" t="s">
        <v>707</v>
      </c>
      <c r="N311" s="475">
        <v>3</v>
      </c>
      <c r="O311" s="491">
        <f t="shared" si="43"/>
        <v>1.1811023622047244E-2</v>
      </c>
      <c r="Q311" s="475">
        <v>9</v>
      </c>
      <c r="R311" s="4180" t="s">
        <v>708</v>
      </c>
      <c r="S311" s="4200"/>
      <c r="T311" s="4181"/>
      <c r="U311" s="490" t="s">
        <v>707</v>
      </c>
      <c r="V311" s="475">
        <v>3</v>
      </c>
      <c r="W311" s="491">
        <f t="shared" si="44"/>
        <v>1.1811023622047244E-2</v>
      </c>
    </row>
    <row r="312" spans="2:23" x14ac:dyDescent="0.2">
      <c r="B312" s="352"/>
      <c r="C312" s="475">
        <v>10</v>
      </c>
      <c r="D312" s="447" t="s">
        <v>543</v>
      </c>
      <c r="E312" s="490"/>
      <c r="F312" s="475">
        <v>56</v>
      </c>
      <c r="G312" s="491">
        <f t="shared" si="42"/>
        <v>0.2153846153846154</v>
      </c>
      <c r="I312" s="475">
        <v>10</v>
      </c>
      <c r="J312" s="4180" t="s">
        <v>543</v>
      </c>
      <c r="K312" s="4200"/>
      <c r="L312" s="4181"/>
      <c r="M312" s="490"/>
      <c r="N312" s="475">
        <v>70</v>
      </c>
      <c r="O312" s="491">
        <f t="shared" si="43"/>
        <v>0.27559055118110237</v>
      </c>
      <c r="Q312" s="475">
        <v>10</v>
      </c>
      <c r="R312" s="4180" t="s">
        <v>543</v>
      </c>
      <c r="S312" s="4200"/>
      <c r="T312" s="4181"/>
      <c r="U312" s="490"/>
      <c r="V312" s="475">
        <v>70</v>
      </c>
      <c r="W312" s="491">
        <f t="shared" si="44"/>
        <v>0.27559055118110237</v>
      </c>
    </row>
    <row r="313" spans="2:23" x14ac:dyDescent="0.2">
      <c r="B313" s="352"/>
      <c r="C313" s="4193" t="s">
        <v>0</v>
      </c>
      <c r="D313" s="4194"/>
      <c r="E313" s="4195"/>
      <c r="F313" s="475">
        <f>SUM(F303:F312)</f>
        <v>260</v>
      </c>
      <c r="G313" s="491">
        <f t="shared" si="42"/>
        <v>1</v>
      </c>
      <c r="I313" s="4193" t="s">
        <v>0</v>
      </c>
      <c r="J313" s="4194"/>
      <c r="K313" s="4194"/>
      <c r="L313" s="4194"/>
      <c r="M313" s="4195"/>
      <c r="N313" s="475">
        <f>SUM(N303:N312)</f>
        <v>254</v>
      </c>
      <c r="O313" s="491">
        <f t="shared" si="43"/>
        <v>1</v>
      </c>
      <c r="Q313" s="4193" t="s">
        <v>0</v>
      </c>
      <c r="R313" s="4194"/>
      <c r="S313" s="4194"/>
      <c r="T313" s="4194"/>
      <c r="U313" s="4195"/>
      <c r="V313" s="475">
        <f>SUM(V303:V312)</f>
        <v>254</v>
      </c>
      <c r="W313" s="491">
        <f t="shared" si="44"/>
        <v>1</v>
      </c>
    </row>
    <row r="314" spans="2:23" x14ac:dyDescent="0.2">
      <c r="B314" s="352"/>
      <c r="F314" s="231">
        <f>F313/(E290)</f>
        <v>0.19005847953216373</v>
      </c>
      <c r="G314" s="231">
        <f t="shared" si="42"/>
        <v>7.3099415204678359E-4</v>
      </c>
      <c r="I314" s="231" t="s">
        <v>709</v>
      </c>
      <c r="N314" s="231">
        <f>N313/(F290+F125)</f>
        <v>5.2894627238650564E-2</v>
      </c>
      <c r="Q314" s="231" t="s">
        <v>709</v>
      </c>
      <c r="V314" s="231">
        <f>V313/(G290+G125)</f>
        <v>9.5059880239520958E-2</v>
      </c>
    </row>
    <row r="315" spans="2:23" x14ac:dyDescent="0.2">
      <c r="B315" s="352"/>
      <c r="C315" s="4196">
        <v>2017</v>
      </c>
      <c r="D315" s="4196"/>
      <c r="E315" s="4196"/>
      <c r="F315" s="4196"/>
      <c r="G315" s="4196"/>
    </row>
    <row r="316" spans="2:23" ht="13.5" thickBot="1" x14ac:dyDescent="0.25">
      <c r="B316" s="352"/>
      <c r="C316" s="405" t="s">
        <v>62</v>
      </c>
      <c r="D316" s="405" t="s">
        <v>172</v>
      </c>
      <c r="E316" s="405" t="s">
        <v>161</v>
      </c>
      <c r="F316" s="405" t="s">
        <v>162</v>
      </c>
      <c r="G316" s="405" t="s">
        <v>163</v>
      </c>
      <c r="I316" s="4196">
        <v>2018</v>
      </c>
      <c r="J316" s="4196"/>
      <c r="K316" s="4196"/>
      <c r="L316" s="4196"/>
      <c r="M316" s="4196"/>
      <c r="N316" s="4196"/>
      <c r="O316" s="4196"/>
    </row>
    <row r="317" spans="2:23" ht="26.25" thickBot="1" x14ac:dyDescent="0.3">
      <c r="B317" s="352"/>
      <c r="C317" s="475">
        <v>1</v>
      </c>
      <c r="D317" s="422" t="s">
        <v>673</v>
      </c>
      <c r="E317" s="490"/>
      <c r="F317" s="475">
        <v>53</v>
      </c>
      <c r="G317" s="491">
        <f>F317/$F$327</f>
        <v>0.32121212121212123</v>
      </c>
      <c r="I317" s="405" t="s">
        <v>62</v>
      </c>
      <c r="J317" s="4197" t="s">
        <v>172</v>
      </c>
      <c r="K317" s="4198"/>
      <c r="L317" s="4199"/>
      <c r="M317" s="405" t="s">
        <v>161</v>
      </c>
      <c r="N317" s="405" t="s">
        <v>162</v>
      </c>
      <c r="O317" s="405" t="s">
        <v>163</v>
      </c>
      <c r="Q317" s="4253" t="s">
        <v>3636</v>
      </c>
      <c r="R317" s="4253"/>
      <c r="S317" s="4254"/>
      <c r="T317" s="492">
        <f>AVERAGE(F314,N314,V314,F328,N329)</f>
        <v>8.1009086224252042E-2</v>
      </c>
    </row>
    <row r="318" spans="2:23" x14ac:dyDescent="0.2">
      <c r="B318" s="352"/>
      <c r="C318" s="475">
        <v>2</v>
      </c>
      <c r="D318" s="422" t="s">
        <v>668</v>
      </c>
      <c r="E318" s="490"/>
      <c r="F318" s="475">
        <v>38</v>
      </c>
      <c r="G318" s="491">
        <f t="shared" ref="G318:G328" si="45">F318/$F$327</f>
        <v>0.23030303030303031</v>
      </c>
      <c r="I318" s="475">
        <v>1</v>
      </c>
      <c r="J318" s="4180" t="s">
        <v>710</v>
      </c>
      <c r="K318" s="4200"/>
      <c r="L318" s="4181"/>
      <c r="M318" s="490"/>
      <c r="N318" s="475">
        <f>AVERAGE(F303,N303,V303,F317)</f>
        <v>74.25</v>
      </c>
      <c r="O318" s="491">
        <f>N318/$N$328</f>
        <v>0.31832797427652731</v>
      </c>
    </row>
    <row r="319" spans="2:23" x14ac:dyDescent="0.2">
      <c r="B319" s="352"/>
      <c r="C319" s="475">
        <v>3</v>
      </c>
      <c r="D319" s="422" t="s">
        <v>692</v>
      </c>
      <c r="E319" s="490"/>
      <c r="F319" s="475">
        <v>13</v>
      </c>
      <c r="G319" s="491">
        <f t="shared" si="45"/>
        <v>7.8787878787878782E-2</v>
      </c>
      <c r="I319" s="475">
        <v>2</v>
      </c>
      <c r="J319" s="4180" t="s">
        <v>670</v>
      </c>
      <c r="K319" s="4200"/>
      <c r="L319" s="4181"/>
      <c r="M319" s="490"/>
      <c r="N319" s="475">
        <f t="shared" ref="N319:N327" si="46">AVERAGE(F304,N304,V304,F318)</f>
        <v>42.75</v>
      </c>
      <c r="O319" s="491">
        <f t="shared" ref="O319:O328" si="47">N319/$N$328</f>
        <v>0.18327974276527331</v>
      </c>
    </row>
    <row r="320" spans="2:23" x14ac:dyDescent="0.2">
      <c r="B320" s="352"/>
      <c r="C320" s="475">
        <v>4</v>
      </c>
      <c r="D320" s="422" t="s">
        <v>703</v>
      </c>
      <c r="E320" s="490"/>
      <c r="F320" s="475">
        <v>11</v>
      </c>
      <c r="G320" s="491">
        <f t="shared" si="45"/>
        <v>6.6666666666666666E-2</v>
      </c>
      <c r="I320" s="475">
        <v>3</v>
      </c>
      <c r="J320" s="4180" t="s">
        <v>703</v>
      </c>
      <c r="K320" s="4200"/>
      <c r="L320" s="4181"/>
      <c r="M320" s="490"/>
      <c r="N320" s="475">
        <f t="shared" si="46"/>
        <v>25</v>
      </c>
      <c r="O320" s="491">
        <f t="shared" si="47"/>
        <v>0.10718113612004287</v>
      </c>
    </row>
    <row r="321" spans="2:19" x14ac:dyDescent="0.2">
      <c r="B321" s="352"/>
      <c r="C321" s="475">
        <v>5</v>
      </c>
      <c r="D321" s="422" t="s">
        <v>694</v>
      </c>
      <c r="E321" s="490"/>
      <c r="F321" s="475">
        <v>5</v>
      </c>
      <c r="G321" s="491">
        <f t="shared" si="45"/>
        <v>3.0303030303030304E-2</v>
      </c>
      <c r="I321" s="475">
        <v>4</v>
      </c>
      <c r="J321" s="4180" t="s">
        <v>691</v>
      </c>
      <c r="K321" s="4200"/>
      <c r="L321" s="4181"/>
      <c r="M321" s="490"/>
      <c r="N321" s="475">
        <f t="shared" si="46"/>
        <v>10.5</v>
      </c>
      <c r="O321" s="491">
        <f t="shared" si="47"/>
        <v>4.5016077170418008E-2</v>
      </c>
    </row>
    <row r="322" spans="2:19" x14ac:dyDescent="0.2">
      <c r="B322" s="352"/>
      <c r="C322" s="475">
        <v>6</v>
      </c>
      <c r="D322" s="422" t="s">
        <v>711</v>
      </c>
      <c r="E322" s="490"/>
      <c r="F322" s="475">
        <v>2</v>
      </c>
      <c r="G322" s="491">
        <f t="shared" si="45"/>
        <v>1.2121212121212121E-2</v>
      </c>
      <c r="I322" s="475">
        <v>5</v>
      </c>
      <c r="J322" s="4180" t="s">
        <v>694</v>
      </c>
      <c r="K322" s="4200">
        <v>3</v>
      </c>
      <c r="L322" s="4181"/>
      <c r="M322" s="490"/>
      <c r="N322" s="475">
        <f t="shared" si="46"/>
        <v>8.75</v>
      </c>
      <c r="O322" s="491">
        <f t="shared" si="47"/>
        <v>3.7513397642015008E-2</v>
      </c>
    </row>
    <row r="323" spans="2:19" x14ac:dyDescent="0.2">
      <c r="B323" s="352"/>
      <c r="C323" s="475">
        <v>7</v>
      </c>
      <c r="D323" s="422" t="s">
        <v>712</v>
      </c>
      <c r="E323" s="490"/>
      <c r="F323" s="475">
        <v>2</v>
      </c>
      <c r="G323" s="491">
        <f t="shared" si="45"/>
        <v>1.2121212121212121E-2</v>
      </c>
      <c r="I323" s="475">
        <v>6</v>
      </c>
      <c r="J323" s="4180" t="s">
        <v>713</v>
      </c>
      <c r="K323" s="4200">
        <v>2</v>
      </c>
      <c r="L323" s="4181"/>
      <c r="M323" s="490"/>
      <c r="N323" s="475">
        <f t="shared" si="46"/>
        <v>4.5</v>
      </c>
      <c r="O323" s="491">
        <f t="shared" si="47"/>
        <v>1.9292604501607719E-2</v>
      </c>
    </row>
    <row r="324" spans="2:19" x14ac:dyDescent="0.2">
      <c r="B324" s="352"/>
      <c r="C324" s="475">
        <v>8</v>
      </c>
      <c r="D324" s="422" t="s">
        <v>714</v>
      </c>
      <c r="E324" s="490"/>
      <c r="F324" s="475">
        <v>2</v>
      </c>
      <c r="G324" s="491">
        <f t="shared" si="45"/>
        <v>1.2121212121212121E-2</v>
      </c>
      <c r="I324" s="475">
        <v>7</v>
      </c>
      <c r="J324" s="4180" t="s">
        <v>715</v>
      </c>
      <c r="K324" s="4200"/>
      <c r="L324" s="4181"/>
      <c r="M324" s="490"/>
      <c r="N324" s="475">
        <f t="shared" si="46"/>
        <v>4</v>
      </c>
      <c r="O324" s="491">
        <f t="shared" si="47"/>
        <v>1.7148981779206859E-2</v>
      </c>
      <c r="Q324" s="493"/>
    </row>
    <row r="325" spans="2:19" x14ac:dyDescent="0.2">
      <c r="B325" s="352"/>
      <c r="C325" s="475">
        <v>9</v>
      </c>
      <c r="D325" s="422" t="s">
        <v>716</v>
      </c>
      <c r="E325" s="490"/>
      <c r="F325" s="475">
        <v>1</v>
      </c>
      <c r="G325" s="491">
        <f t="shared" si="45"/>
        <v>6.0606060606060606E-3</v>
      </c>
      <c r="I325" s="475">
        <v>8</v>
      </c>
      <c r="J325" s="4180" t="s">
        <v>717</v>
      </c>
      <c r="K325" s="4200"/>
      <c r="L325" s="4181"/>
      <c r="M325" s="490"/>
      <c r="N325" s="475">
        <f t="shared" si="46"/>
        <v>3</v>
      </c>
      <c r="O325" s="491">
        <f t="shared" si="47"/>
        <v>1.2861736334405145E-2</v>
      </c>
    </row>
    <row r="326" spans="2:19" x14ac:dyDescent="0.2">
      <c r="B326" s="352"/>
      <c r="C326" s="475">
        <v>10</v>
      </c>
      <c r="D326" s="447" t="s">
        <v>543</v>
      </c>
      <c r="E326" s="490"/>
      <c r="F326" s="475">
        <v>38</v>
      </c>
      <c r="G326" s="491">
        <f t="shared" si="45"/>
        <v>0.23030303030303031</v>
      </c>
      <c r="I326" s="475">
        <v>9</v>
      </c>
      <c r="J326" s="4180" t="s">
        <v>718</v>
      </c>
      <c r="K326" s="4200"/>
      <c r="L326" s="4181"/>
      <c r="M326" s="490"/>
      <c r="N326" s="475">
        <f t="shared" si="46"/>
        <v>2</v>
      </c>
      <c r="O326" s="491">
        <f t="shared" si="47"/>
        <v>8.5744908896034297E-3</v>
      </c>
    </row>
    <row r="327" spans="2:19" x14ac:dyDescent="0.2">
      <c r="B327" s="352"/>
      <c r="C327" s="4193" t="s">
        <v>0</v>
      </c>
      <c r="D327" s="4194"/>
      <c r="E327" s="4195"/>
      <c r="F327" s="475">
        <f>SUM(F317:F326)</f>
        <v>165</v>
      </c>
      <c r="G327" s="491">
        <f t="shared" si="45"/>
        <v>1</v>
      </c>
      <c r="I327" s="356">
        <v>10</v>
      </c>
      <c r="J327" s="4180" t="s">
        <v>543</v>
      </c>
      <c r="K327" s="4200"/>
      <c r="L327" s="4181"/>
      <c r="M327" s="490"/>
      <c r="N327" s="475">
        <f t="shared" si="46"/>
        <v>58.5</v>
      </c>
      <c r="O327" s="491">
        <f t="shared" si="47"/>
        <v>0.25080385852090031</v>
      </c>
    </row>
    <row r="328" spans="2:19" x14ac:dyDescent="0.2">
      <c r="B328" s="352"/>
      <c r="F328" s="231">
        <f>F327/(H290+H125)</f>
        <v>2.6768332251784554E-2</v>
      </c>
      <c r="G328" s="231">
        <f t="shared" si="45"/>
        <v>1.6223231667748214E-4</v>
      </c>
      <c r="I328" s="4193" t="s">
        <v>0</v>
      </c>
      <c r="J328" s="4194"/>
      <c r="K328" s="4194"/>
      <c r="L328" s="4194"/>
      <c r="M328" s="4195"/>
      <c r="N328" s="475">
        <f>SUM(N318:N327)</f>
        <v>233.25</v>
      </c>
      <c r="O328" s="491">
        <f t="shared" si="47"/>
        <v>1</v>
      </c>
    </row>
    <row r="329" spans="2:19" x14ac:dyDescent="0.2">
      <c r="B329" s="352">
        <v>21</v>
      </c>
      <c r="C329" s="231" t="s">
        <v>173</v>
      </c>
      <c r="I329" s="231" t="s">
        <v>709</v>
      </c>
      <c r="N329" s="231">
        <f>N328/(I290+I125)</f>
        <v>4.026411185914034E-2</v>
      </c>
    </row>
    <row r="330" spans="2:19" ht="13.5" customHeight="1" x14ac:dyDescent="0.2">
      <c r="B330" s="352"/>
      <c r="D330" s="4164" t="s">
        <v>118</v>
      </c>
      <c r="E330" s="4171" t="s">
        <v>174</v>
      </c>
      <c r="F330" s="4172"/>
      <c r="G330" s="4172"/>
      <c r="H330" s="4172"/>
      <c r="I330" s="4173"/>
      <c r="J330" s="4174" t="s">
        <v>175</v>
      </c>
      <c r="K330" s="4175"/>
      <c r="L330" s="4175"/>
      <c r="M330" s="4175"/>
      <c r="N330" s="4225"/>
      <c r="O330" s="4174" t="s">
        <v>176</v>
      </c>
      <c r="P330" s="4175"/>
      <c r="Q330" s="4175"/>
      <c r="R330" s="4175"/>
      <c r="S330" s="4175"/>
    </row>
    <row r="331" spans="2:19" x14ac:dyDescent="0.2">
      <c r="B331" s="352"/>
      <c r="D331" s="4165"/>
      <c r="E331" s="3942">
        <v>2014</v>
      </c>
      <c r="F331" s="3942">
        <f>E331+1</f>
        <v>2015</v>
      </c>
      <c r="G331" s="3942">
        <f t="shared" ref="G331:I331" si="48">F331+1</f>
        <v>2016</v>
      </c>
      <c r="H331" s="3942">
        <f t="shared" si="48"/>
        <v>2017</v>
      </c>
      <c r="I331" s="3942">
        <f t="shared" si="48"/>
        <v>2018</v>
      </c>
      <c r="J331" s="3942">
        <v>2014</v>
      </c>
      <c r="K331" s="3942">
        <f>J331+1</f>
        <v>2015</v>
      </c>
      <c r="L331" s="3942">
        <f t="shared" ref="L331:N331" si="49">K331+1</f>
        <v>2016</v>
      </c>
      <c r="M331" s="3942">
        <f t="shared" si="49"/>
        <v>2017</v>
      </c>
      <c r="N331" s="3942">
        <f t="shared" si="49"/>
        <v>2018</v>
      </c>
      <c r="O331" s="3942">
        <v>2014</v>
      </c>
      <c r="P331" s="3942">
        <f>O331+1</f>
        <v>2015</v>
      </c>
      <c r="Q331" s="3942">
        <f t="shared" ref="Q331:S331" si="50">P331+1</f>
        <v>2016</v>
      </c>
      <c r="R331" s="3942">
        <f t="shared" si="50"/>
        <v>2017</v>
      </c>
      <c r="S331" s="3942">
        <f t="shared" si="50"/>
        <v>2018</v>
      </c>
    </row>
    <row r="332" spans="2:19" x14ac:dyDescent="0.2">
      <c r="B332" s="352"/>
      <c r="D332" s="444" t="s">
        <v>636</v>
      </c>
      <c r="E332" s="411">
        <v>624</v>
      </c>
      <c r="F332" s="356">
        <v>707</v>
      </c>
      <c r="G332" s="475">
        <v>524</v>
      </c>
      <c r="H332" s="356">
        <v>652</v>
      </c>
      <c r="I332" s="475">
        <v>626.75</v>
      </c>
      <c r="J332" s="411">
        <v>0</v>
      </c>
      <c r="K332" s="356">
        <v>0</v>
      </c>
      <c r="L332" s="356">
        <v>0</v>
      </c>
      <c r="M332" s="356">
        <v>0</v>
      </c>
      <c r="N332" s="356">
        <v>0</v>
      </c>
      <c r="O332" s="411">
        <v>265</v>
      </c>
      <c r="P332" s="356">
        <v>392</v>
      </c>
      <c r="Q332" s="356">
        <v>426</v>
      </c>
      <c r="R332" s="356">
        <v>485</v>
      </c>
      <c r="S332" s="356">
        <v>392</v>
      </c>
    </row>
    <row r="333" spans="2:19" x14ac:dyDescent="0.2">
      <c r="B333" s="352"/>
      <c r="D333" s="449" t="s">
        <v>3</v>
      </c>
      <c r="E333" s="446">
        <v>15789</v>
      </c>
      <c r="F333" s="445">
        <v>16757</v>
      </c>
      <c r="G333" s="494">
        <v>16852</v>
      </c>
      <c r="H333" s="445">
        <v>16887</v>
      </c>
      <c r="I333" s="475">
        <v>16571.25</v>
      </c>
      <c r="J333" s="446">
        <v>0</v>
      </c>
      <c r="K333" s="445">
        <v>0</v>
      </c>
      <c r="L333" s="445">
        <v>6</v>
      </c>
      <c r="M333" s="445">
        <v>4</v>
      </c>
      <c r="N333" s="445">
        <v>4</v>
      </c>
      <c r="O333" s="446">
        <v>25841</v>
      </c>
      <c r="P333" s="445">
        <v>34887</v>
      </c>
      <c r="Q333" s="445">
        <v>27472</v>
      </c>
      <c r="R333" s="445">
        <v>32542</v>
      </c>
      <c r="S333" s="356">
        <v>30185.5</v>
      </c>
    </row>
    <row r="334" spans="2:19" x14ac:dyDescent="0.2">
      <c r="B334" s="352"/>
      <c r="E334" s="437"/>
      <c r="F334" s="438"/>
      <c r="G334" s="495"/>
    </row>
    <row r="335" spans="2:19" ht="15" customHeight="1" x14ac:dyDescent="0.2">
      <c r="B335" s="352"/>
      <c r="D335" s="4255">
        <v>2017</v>
      </c>
      <c r="E335" s="4255"/>
      <c r="F335" s="4255"/>
      <c r="G335" s="4255"/>
      <c r="H335" s="4255"/>
    </row>
    <row r="336" spans="2:19" ht="15.75" customHeight="1" x14ac:dyDescent="0.2">
      <c r="B336" s="352"/>
      <c r="D336" s="4164" t="s">
        <v>121</v>
      </c>
      <c r="E336" s="4171" t="s">
        <v>123</v>
      </c>
      <c r="F336" s="4173"/>
      <c r="G336" s="4171" t="s">
        <v>124</v>
      </c>
      <c r="H336" s="4172"/>
    </row>
    <row r="337" spans="2:14" ht="25.5" x14ac:dyDescent="0.2">
      <c r="B337" s="352"/>
      <c r="D337" s="4165"/>
      <c r="E337" s="496" t="s">
        <v>719</v>
      </c>
      <c r="F337" s="497" t="s">
        <v>720</v>
      </c>
      <c r="G337" s="496" t="s">
        <v>719</v>
      </c>
      <c r="H337" s="498" t="s">
        <v>721</v>
      </c>
      <c r="K337" s="231">
        <v>2017</v>
      </c>
    </row>
    <row r="338" spans="2:14" x14ac:dyDescent="0.2">
      <c r="B338" s="352"/>
      <c r="D338" s="444" t="s">
        <v>636</v>
      </c>
      <c r="E338" s="489">
        <f>(I332/L339)*100000</f>
        <v>5360.5029079712622</v>
      </c>
      <c r="F338" s="499">
        <f>N332/L339*100000</f>
        <v>0</v>
      </c>
      <c r="G338" s="489">
        <f>I332/L339*100000</f>
        <v>5360.5029079712622</v>
      </c>
      <c r="H338" s="489">
        <f>N332/L339*100000</f>
        <v>0</v>
      </c>
      <c r="K338" s="442" t="s">
        <v>299</v>
      </c>
      <c r="L338" s="443">
        <v>442352</v>
      </c>
    </row>
    <row r="339" spans="2:14" x14ac:dyDescent="0.2">
      <c r="B339" s="352"/>
      <c r="D339" s="449" t="s">
        <v>3</v>
      </c>
      <c r="E339" s="500">
        <f>I333/L338*100000</f>
        <v>3746.1682099323616</v>
      </c>
      <c r="F339" s="423">
        <f>N333/L338*100000</f>
        <v>0.90425724310051725</v>
      </c>
      <c r="G339" s="500">
        <f>I333/L338*100000</f>
        <v>3746.1682099323616</v>
      </c>
      <c r="H339" s="500">
        <f>N333/L338*100000</f>
        <v>0.90425724310051725</v>
      </c>
      <c r="K339" s="442" t="s">
        <v>637</v>
      </c>
      <c r="L339" s="443">
        <v>11692</v>
      </c>
    </row>
    <row r="340" spans="2:14" x14ac:dyDescent="0.2">
      <c r="B340" s="352"/>
      <c r="H340" s="230"/>
      <c r="K340" s="392"/>
    </row>
    <row r="341" spans="2:14" x14ac:dyDescent="0.2">
      <c r="B341" s="352"/>
      <c r="H341" s="230"/>
    </row>
    <row r="342" spans="2:14" x14ac:dyDescent="0.2">
      <c r="B342" s="352">
        <v>22</v>
      </c>
      <c r="C342" s="231" t="s">
        <v>722</v>
      </c>
      <c r="H342" s="230"/>
    </row>
    <row r="343" spans="2:14" x14ac:dyDescent="0.2">
      <c r="B343" s="352"/>
      <c r="D343" s="3942" t="s">
        <v>723</v>
      </c>
      <c r="E343" s="3942">
        <v>2014</v>
      </c>
      <c r="F343" s="3942">
        <f>E343+1</f>
        <v>2015</v>
      </c>
      <c r="G343" s="3942">
        <f t="shared" ref="G343:I343" si="51">F343+1</f>
        <v>2016</v>
      </c>
      <c r="H343" s="501">
        <f t="shared" si="51"/>
        <v>2017</v>
      </c>
      <c r="I343" s="3942">
        <f t="shared" si="51"/>
        <v>2018</v>
      </c>
      <c r="L343" s="502"/>
      <c r="M343" s="502"/>
      <c r="N343" s="502"/>
    </row>
    <row r="344" spans="2:14" ht="38.25" x14ac:dyDescent="0.2">
      <c r="B344" s="352"/>
      <c r="D344" s="503" t="s">
        <v>469</v>
      </c>
      <c r="E344" s="504">
        <v>272</v>
      </c>
      <c r="F344" s="422">
        <v>347</v>
      </c>
      <c r="G344" s="504">
        <f>AVERAGE(H344:I344)</f>
        <v>248.25</v>
      </c>
      <c r="H344" s="504">
        <v>235.5</v>
      </c>
      <c r="I344" s="422">
        <v>261</v>
      </c>
      <c r="L344" s="502"/>
      <c r="M344" s="502"/>
      <c r="N344" s="502"/>
    </row>
    <row r="345" spans="2:14" x14ac:dyDescent="0.2">
      <c r="B345" s="352"/>
      <c r="D345" s="503" t="s">
        <v>463</v>
      </c>
      <c r="E345" s="504">
        <v>170</v>
      </c>
      <c r="F345" s="422">
        <v>259</v>
      </c>
      <c r="G345" s="504">
        <f t="shared" ref="G345:G364" si="52">AVERAGE(H345:I345)</f>
        <v>141</v>
      </c>
      <c r="H345" s="504">
        <v>154</v>
      </c>
      <c r="I345" s="422">
        <v>128</v>
      </c>
      <c r="L345" s="502"/>
    </row>
    <row r="346" spans="2:14" x14ac:dyDescent="0.2">
      <c r="B346" s="352"/>
      <c r="D346" s="503" t="s">
        <v>724</v>
      </c>
      <c r="E346" s="504">
        <v>98</v>
      </c>
      <c r="F346" s="422">
        <v>98</v>
      </c>
      <c r="G346" s="504">
        <f t="shared" si="52"/>
        <v>98.5</v>
      </c>
      <c r="H346" s="504">
        <v>72</v>
      </c>
      <c r="I346" s="422">
        <v>125</v>
      </c>
    </row>
    <row r="347" spans="2:14" x14ac:dyDescent="0.2">
      <c r="B347" s="352"/>
      <c r="D347" s="503" t="s">
        <v>468</v>
      </c>
      <c r="E347" s="504">
        <v>82</v>
      </c>
      <c r="F347" s="422">
        <v>95</v>
      </c>
      <c r="G347" s="504">
        <f t="shared" si="52"/>
        <v>78.5</v>
      </c>
      <c r="H347" s="504">
        <v>62</v>
      </c>
      <c r="I347" s="422">
        <v>95</v>
      </c>
    </row>
    <row r="348" spans="2:14" x14ac:dyDescent="0.2">
      <c r="B348" s="352"/>
      <c r="D348" s="503" t="s">
        <v>725</v>
      </c>
      <c r="E348" s="504">
        <v>58</v>
      </c>
      <c r="F348" s="422">
        <v>53</v>
      </c>
      <c r="G348" s="504">
        <f t="shared" si="52"/>
        <v>60.75</v>
      </c>
      <c r="H348" s="504">
        <v>40.5</v>
      </c>
      <c r="I348" s="422">
        <v>81</v>
      </c>
    </row>
    <row r="349" spans="2:14" ht="38.25" x14ac:dyDescent="0.2">
      <c r="B349" s="352"/>
      <c r="D349" s="503" t="s">
        <v>466</v>
      </c>
      <c r="E349" s="504">
        <v>35</v>
      </c>
      <c r="F349" s="422">
        <v>43</v>
      </c>
      <c r="G349" s="504">
        <f t="shared" si="52"/>
        <v>33.25</v>
      </c>
      <c r="H349" s="504">
        <v>33.5</v>
      </c>
      <c r="I349" s="422">
        <v>33</v>
      </c>
    </row>
    <row r="350" spans="2:14" ht="38.25" x14ac:dyDescent="0.2">
      <c r="B350" s="352"/>
      <c r="D350" s="503" t="s">
        <v>726</v>
      </c>
      <c r="E350" s="504">
        <v>28</v>
      </c>
      <c r="F350" s="422">
        <v>34</v>
      </c>
      <c r="G350" s="504">
        <f t="shared" si="52"/>
        <v>27.25</v>
      </c>
      <c r="H350" s="504">
        <v>28.5</v>
      </c>
      <c r="I350" s="422">
        <v>26</v>
      </c>
    </row>
    <row r="351" spans="2:14" ht="38.25" x14ac:dyDescent="0.2">
      <c r="B351" s="352"/>
      <c r="D351" s="503" t="s">
        <v>727</v>
      </c>
      <c r="E351" s="504">
        <v>22</v>
      </c>
      <c r="F351" s="422">
        <v>23</v>
      </c>
      <c r="G351" s="504">
        <f t="shared" si="52"/>
        <v>22</v>
      </c>
      <c r="H351" s="504"/>
      <c r="I351" s="422">
        <v>22</v>
      </c>
    </row>
    <row r="352" spans="2:14" x14ac:dyDescent="0.2">
      <c r="B352" s="352"/>
      <c r="D352" s="503" t="s">
        <v>467</v>
      </c>
      <c r="E352" s="504">
        <v>20</v>
      </c>
      <c r="F352" s="422">
        <v>20</v>
      </c>
      <c r="G352" s="504">
        <f t="shared" si="52"/>
        <v>20.25</v>
      </c>
      <c r="H352" s="504">
        <v>19.5</v>
      </c>
      <c r="I352" s="422">
        <v>21</v>
      </c>
    </row>
    <row r="353" spans="2:9" x14ac:dyDescent="0.2">
      <c r="B353" s="352"/>
      <c r="D353" s="503" t="s">
        <v>465</v>
      </c>
      <c r="E353" s="504">
        <v>14</v>
      </c>
      <c r="F353" s="422">
        <v>18</v>
      </c>
      <c r="G353" s="504">
        <f t="shared" si="52"/>
        <v>13</v>
      </c>
      <c r="H353" s="504">
        <v>17</v>
      </c>
      <c r="I353" s="422">
        <v>9</v>
      </c>
    </row>
    <row r="354" spans="2:9" ht="38.25" x14ac:dyDescent="0.2">
      <c r="B354" s="352"/>
      <c r="D354" s="503" t="s">
        <v>728</v>
      </c>
      <c r="E354" s="504">
        <v>12</v>
      </c>
      <c r="F354" s="422">
        <v>18</v>
      </c>
      <c r="G354" s="504">
        <f t="shared" si="52"/>
        <v>11</v>
      </c>
      <c r="H354" s="504">
        <v>13</v>
      </c>
      <c r="I354" s="422">
        <v>9</v>
      </c>
    </row>
    <row r="355" spans="2:9" ht="38.25" x14ac:dyDescent="0.2">
      <c r="B355" s="352"/>
      <c r="D355" s="503" t="s">
        <v>729</v>
      </c>
      <c r="E355" s="504">
        <v>10</v>
      </c>
      <c r="F355" s="422">
        <v>15</v>
      </c>
      <c r="G355" s="504">
        <f t="shared" si="52"/>
        <v>9.25</v>
      </c>
      <c r="H355" s="504">
        <v>10.5</v>
      </c>
      <c r="I355" s="422">
        <v>8</v>
      </c>
    </row>
    <row r="356" spans="2:9" ht="25.5" x14ac:dyDescent="0.2">
      <c r="B356" s="352"/>
      <c r="D356" s="503" t="s">
        <v>730</v>
      </c>
      <c r="E356" s="504">
        <v>10</v>
      </c>
      <c r="F356" s="422">
        <v>15</v>
      </c>
      <c r="G356" s="504">
        <f t="shared" si="52"/>
        <v>8.75</v>
      </c>
      <c r="H356" s="504">
        <v>9.5</v>
      </c>
      <c r="I356" s="422">
        <v>8</v>
      </c>
    </row>
    <row r="357" spans="2:9" ht="38.25" x14ac:dyDescent="0.2">
      <c r="B357" s="352"/>
      <c r="D357" s="503" t="s">
        <v>731</v>
      </c>
      <c r="E357" s="504">
        <v>8</v>
      </c>
      <c r="F357" s="422">
        <v>12</v>
      </c>
      <c r="G357" s="504">
        <f t="shared" si="52"/>
        <v>7.25</v>
      </c>
      <c r="H357" s="504">
        <v>7.5</v>
      </c>
      <c r="I357" s="422">
        <v>7</v>
      </c>
    </row>
    <row r="358" spans="2:9" x14ac:dyDescent="0.2">
      <c r="B358" s="352"/>
      <c r="D358" s="503" t="s">
        <v>732</v>
      </c>
      <c r="E358" s="504">
        <v>8</v>
      </c>
      <c r="F358" s="422">
        <v>11</v>
      </c>
      <c r="G358" s="504">
        <f t="shared" si="52"/>
        <v>7</v>
      </c>
      <c r="H358" s="504">
        <v>7</v>
      </c>
      <c r="I358" s="422">
        <v>7</v>
      </c>
    </row>
    <row r="359" spans="2:9" x14ac:dyDescent="0.2">
      <c r="B359" s="352"/>
      <c r="D359" s="503" t="s">
        <v>733</v>
      </c>
      <c r="E359" s="504">
        <v>7</v>
      </c>
      <c r="F359" s="422">
        <v>10</v>
      </c>
      <c r="G359" s="504">
        <f t="shared" si="52"/>
        <v>6.25</v>
      </c>
      <c r="H359" s="504">
        <v>6.5</v>
      </c>
      <c r="I359" s="422">
        <v>6</v>
      </c>
    </row>
    <row r="360" spans="2:9" x14ac:dyDescent="0.2">
      <c r="B360" s="352"/>
      <c r="D360" s="503" t="s">
        <v>734</v>
      </c>
      <c r="E360" s="504">
        <v>6</v>
      </c>
      <c r="F360" s="422">
        <v>9</v>
      </c>
      <c r="G360" s="504">
        <f t="shared" si="52"/>
        <v>5.5</v>
      </c>
      <c r="H360" s="504">
        <v>6</v>
      </c>
      <c r="I360" s="422">
        <v>5</v>
      </c>
    </row>
    <row r="361" spans="2:9" x14ac:dyDescent="0.2">
      <c r="B361" s="352"/>
      <c r="D361" s="503" t="s">
        <v>735</v>
      </c>
      <c r="E361" s="504">
        <v>6</v>
      </c>
      <c r="F361" s="422">
        <v>9</v>
      </c>
      <c r="G361" s="504">
        <f t="shared" si="52"/>
        <v>5.25</v>
      </c>
      <c r="H361" s="504">
        <v>5.5</v>
      </c>
      <c r="I361" s="422">
        <v>5</v>
      </c>
    </row>
    <row r="362" spans="2:9" ht="25.5" x14ac:dyDescent="0.2">
      <c r="B362" s="352"/>
      <c r="D362" s="503" t="s">
        <v>464</v>
      </c>
      <c r="E362" s="504">
        <v>5</v>
      </c>
      <c r="F362" s="422">
        <v>7</v>
      </c>
      <c r="G362" s="504">
        <f t="shared" si="52"/>
        <v>4.5</v>
      </c>
      <c r="H362" s="504">
        <v>4</v>
      </c>
      <c r="I362" s="422">
        <v>5</v>
      </c>
    </row>
    <row r="363" spans="2:9" ht="38.25" x14ac:dyDescent="0.2">
      <c r="B363" s="352"/>
      <c r="D363" s="503" t="s">
        <v>736</v>
      </c>
      <c r="E363" s="504">
        <v>5</v>
      </c>
      <c r="F363" s="422">
        <v>7</v>
      </c>
      <c r="G363" s="504">
        <f t="shared" si="52"/>
        <v>4.5</v>
      </c>
      <c r="H363" s="504">
        <v>4</v>
      </c>
      <c r="I363" s="422">
        <v>5</v>
      </c>
    </row>
    <row r="364" spans="2:9" x14ac:dyDescent="0.2">
      <c r="B364" s="352"/>
      <c r="D364" s="503" t="s">
        <v>520</v>
      </c>
      <c r="E364" s="504">
        <v>60</v>
      </c>
      <c r="F364" s="422">
        <v>78</v>
      </c>
      <c r="G364" s="504">
        <f t="shared" si="52"/>
        <v>54.75</v>
      </c>
      <c r="H364" s="504">
        <v>41.5</v>
      </c>
      <c r="I364" s="422">
        <v>68</v>
      </c>
    </row>
    <row r="365" spans="2:9" x14ac:dyDescent="0.2">
      <c r="B365" s="352"/>
      <c r="D365" s="382" t="s">
        <v>0</v>
      </c>
      <c r="E365" s="489">
        <f>SUM(E344:E364)</f>
        <v>936</v>
      </c>
      <c r="F365" s="489">
        <v>1181</v>
      </c>
      <c r="G365" s="489">
        <f>SUM(G344:G364)</f>
        <v>866.75</v>
      </c>
      <c r="H365" s="489">
        <f>SUM(H344:H364)</f>
        <v>777.5</v>
      </c>
      <c r="I365" s="489">
        <f>SUM(I344:I364)</f>
        <v>934</v>
      </c>
    </row>
    <row r="366" spans="2:9" x14ac:dyDescent="0.2">
      <c r="B366" s="352"/>
      <c r="D366" s="505"/>
    </row>
    <row r="367" spans="2:9" x14ac:dyDescent="0.2">
      <c r="B367" s="352"/>
    </row>
    <row r="368" spans="2:9" x14ac:dyDescent="0.2">
      <c r="B368" s="352">
        <v>23</v>
      </c>
      <c r="C368" s="231" t="s">
        <v>177</v>
      </c>
      <c r="E368" s="437"/>
      <c r="F368" s="438"/>
      <c r="G368" s="439"/>
    </row>
    <row r="369" spans="2:23" ht="22.5" customHeight="1" x14ac:dyDescent="0.2">
      <c r="B369" s="352"/>
      <c r="D369" s="4223" t="s">
        <v>178</v>
      </c>
      <c r="E369" s="4224"/>
      <c r="F369" s="4171">
        <v>2014</v>
      </c>
      <c r="G369" s="4173"/>
      <c r="H369" s="4171">
        <f>F369+1</f>
        <v>2015</v>
      </c>
      <c r="I369" s="4173"/>
      <c r="J369" s="4171">
        <f t="shared" ref="J369" si="53">H369+1</f>
        <v>2016</v>
      </c>
      <c r="K369" s="4173"/>
      <c r="L369" s="4171">
        <f t="shared" ref="L369" si="54">J369+1</f>
        <v>2017</v>
      </c>
      <c r="M369" s="4173"/>
      <c r="N369" s="4171">
        <f t="shared" ref="N369" si="55">L369+1</f>
        <v>2018</v>
      </c>
      <c r="O369" s="4173"/>
    </row>
    <row r="370" spans="2:23" ht="14.25" customHeight="1" x14ac:dyDescent="0.2">
      <c r="B370" s="352"/>
      <c r="D370" s="4178"/>
      <c r="E370" s="4179"/>
      <c r="F370" s="3942" t="s">
        <v>10</v>
      </c>
      <c r="G370" s="3942" t="s">
        <v>11</v>
      </c>
      <c r="H370" s="3942" t="s">
        <v>10</v>
      </c>
      <c r="I370" s="3942" t="s">
        <v>11</v>
      </c>
      <c r="J370" s="3942" t="s">
        <v>10</v>
      </c>
      <c r="K370" s="3942" t="s">
        <v>11</v>
      </c>
      <c r="L370" s="3942" t="s">
        <v>10</v>
      </c>
      <c r="M370" s="3942" t="s">
        <v>11</v>
      </c>
      <c r="N370" s="3942" t="s">
        <v>10</v>
      </c>
      <c r="O370" s="3942" t="s">
        <v>11</v>
      </c>
    </row>
    <row r="371" spans="2:23" ht="18.75" customHeight="1" x14ac:dyDescent="0.2">
      <c r="B371" s="352"/>
      <c r="D371" s="4256" t="s">
        <v>179</v>
      </c>
      <c r="E371" s="4257"/>
      <c r="F371" s="489">
        <v>1292</v>
      </c>
      <c r="G371" s="489">
        <v>7090</v>
      </c>
      <c r="H371" s="489">
        <v>556</v>
      </c>
      <c r="I371" s="489">
        <v>7680</v>
      </c>
      <c r="J371" s="489">
        <v>679</v>
      </c>
      <c r="K371" s="489">
        <v>5134</v>
      </c>
      <c r="L371" s="489">
        <v>347</v>
      </c>
      <c r="M371" s="489">
        <v>634</v>
      </c>
      <c r="N371" s="489">
        <f>AVERAGE(F371,H371,J371,L371)</f>
        <v>718.5</v>
      </c>
      <c r="O371" s="489">
        <f>AVERAGE(G371,I371,K371,M371)</f>
        <v>5134.5</v>
      </c>
    </row>
    <row r="372" spans="2:23" ht="18.75" customHeight="1" x14ac:dyDescent="0.2">
      <c r="B372" s="352"/>
      <c r="D372" s="4256" t="s">
        <v>180</v>
      </c>
      <c r="E372" s="4257"/>
      <c r="F372" s="489">
        <v>0</v>
      </c>
      <c r="G372" s="489">
        <v>0</v>
      </c>
      <c r="H372" s="489">
        <v>0</v>
      </c>
      <c r="I372" s="489">
        <v>0</v>
      </c>
      <c r="J372" s="489">
        <v>0</v>
      </c>
      <c r="K372" s="489">
        <v>0</v>
      </c>
      <c r="L372" s="489">
        <v>0</v>
      </c>
      <c r="M372" s="489">
        <v>0</v>
      </c>
      <c r="N372" s="489">
        <f t="shared" ref="N372:O373" si="56">AVERAGE(F372,H372,J372,L372)</f>
        <v>0</v>
      </c>
      <c r="O372" s="489">
        <f t="shared" si="56"/>
        <v>0</v>
      </c>
    </row>
    <row r="373" spans="2:23" x14ac:dyDescent="0.2">
      <c r="B373" s="352"/>
      <c r="D373" s="4190" t="s">
        <v>181</v>
      </c>
      <c r="E373" s="4192"/>
      <c r="F373" s="489">
        <v>0</v>
      </c>
      <c r="G373" s="489">
        <v>0</v>
      </c>
      <c r="H373" s="489">
        <v>0</v>
      </c>
      <c r="I373" s="489">
        <v>0</v>
      </c>
      <c r="J373" s="489">
        <v>26</v>
      </c>
      <c r="K373" s="489">
        <v>2263</v>
      </c>
      <c r="L373" s="489">
        <v>260</v>
      </c>
      <c r="M373" s="489">
        <v>6983</v>
      </c>
      <c r="N373" s="489">
        <f t="shared" si="56"/>
        <v>71.5</v>
      </c>
      <c r="O373" s="489">
        <f t="shared" si="56"/>
        <v>2311.5</v>
      </c>
    </row>
    <row r="374" spans="2:23" x14ac:dyDescent="0.2">
      <c r="B374" s="352"/>
      <c r="D374" s="4169" t="s">
        <v>0</v>
      </c>
      <c r="E374" s="4170"/>
      <c r="F374" s="489">
        <f>SUM(F371:F373)</f>
        <v>1292</v>
      </c>
      <c r="G374" s="489">
        <f t="shared" ref="G374:O374" si="57">SUM(G371:G373)</f>
        <v>7090</v>
      </c>
      <c r="H374" s="489">
        <f t="shared" si="57"/>
        <v>556</v>
      </c>
      <c r="I374" s="489">
        <f t="shared" si="57"/>
        <v>7680</v>
      </c>
      <c r="J374" s="489">
        <f t="shared" si="57"/>
        <v>705</v>
      </c>
      <c r="K374" s="489">
        <f t="shared" si="57"/>
        <v>7397</v>
      </c>
      <c r="L374" s="489">
        <f t="shared" si="57"/>
        <v>607</v>
      </c>
      <c r="M374" s="489">
        <f t="shared" si="57"/>
        <v>7617</v>
      </c>
      <c r="N374" s="489">
        <f t="shared" si="57"/>
        <v>790</v>
      </c>
      <c r="O374" s="489">
        <f t="shared" si="57"/>
        <v>7446</v>
      </c>
    </row>
    <row r="375" spans="2:23" x14ac:dyDescent="0.2">
      <c r="B375" s="352"/>
    </row>
    <row r="376" spans="2:23" x14ac:dyDescent="0.2">
      <c r="B376" s="352"/>
      <c r="D376" s="231" t="s">
        <v>51</v>
      </c>
    </row>
    <row r="377" spans="2:23" x14ac:dyDescent="0.2">
      <c r="B377" s="352"/>
      <c r="D377" s="506" t="s">
        <v>737</v>
      </c>
      <c r="E377" s="231" t="s">
        <v>738</v>
      </c>
    </row>
    <row r="378" spans="2:23" ht="13.5" thickBot="1" x14ac:dyDescent="0.25">
      <c r="B378" s="507"/>
      <c r="C378" s="508"/>
      <c r="D378" s="508"/>
      <c r="E378" s="508"/>
      <c r="F378" s="508"/>
      <c r="G378" s="508"/>
      <c r="H378" s="508"/>
      <c r="I378" s="508"/>
      <c r="J378" s="508"/>
      <c r="K378" s="508"/>
      <c r="L378" s="508"/>
      <c r="M378" s="508"/>
      <c r="N378" s="508"/>
      <c r="O378" s="508"/>
      <c r="P378" s="508"/>
      <c r="Q378" s="508"/>
      <c r="R378" s="508"/>
      <c r="S378" s="508"/>
      <c r="T378" s="508"/>
      <c r="U378" s="508"/>
      <c r="V378" s="508"/>
      <c r="W378" s="508"/>
    </row>
  </sheetData>
  <mergeCells count="241">
    <mergeCell ref="L369:M369"/>
    <mergeCell ref="N369:O369"/>
    <mergeCell ref="D371:E371"/>
    <mergeCell ref="D372:E372"/>
    <mergeCell ref="D373:E373"/>
    <mergeCell ref="D335:H335"/>
    <mergeCell ref="D336:D337"/>
    <mergeCell ref="E336:F336"/>
    <mergeCell ref="G336:H336"/>
    <mergeCell ref="D374:E374"/>
    <mergeCell ref="D369:E370"/>
    <mergeCell ref="F369:G369"/>
    <mergeCell ref="H369:I369"/>
    <mergeCell ref="J369:K369"/>
    <mergeCell ref="J324:L324"/>
    <mergeCell ref="J325:L325"/>
    <mergeCell ref="C327:E327"/>
    <mergeCell ref="J327:L327"/>
    <mergeCell ref="I328:M328"/>
    <mergeCell ref="D330:D331"/>
    <mergeCell ref="E330:I330"/>
    <mergeCell ref="J330:N330"/>
    <mergeCell ref="O330:S330"/>
    <mergeCell ref="I313:M313"/>
    <mergeCell ref="Q313:U313"/>
    <mergeCell ref="Q317:S317"/>
    <mergeCell ref="J318:L318"/>
    <mergeCell ref="J319:L319"/>
    <mergeCell ref="J320:L320"/>
    <mergeCell ref="J321:L321"/>
    <mergeCell ref="J322:L322"/>
    <mergeCell ref="J323:L323"/>
    <mergeCell ref="D199:G200"/>
    <mergeCell ref="D214:G215"/>
    <mergeCell ref="J219:J221"/>
    <mergeCell ref="J226:J232"/>
    <mergeCell ref="C256:G256"/>
    <mergeCell ref="I256:O256"/>
    <mergeCell ref="Q256:W256"/>
    <mergeCell ref="J257:L257"/>
    <mergeCell ref="R257:T257"/>
    <mergeCell ref="D158:D159"/>
    <mergeCell ref="E158:I158"/>
    <mergeCell ref="M158:N159"/>
    <mergeCell ref="O158:S158"/>
    <mergeCell ref="M160:N160"/>
    <mergeCell ref="M161:N161"/>
    <mergeCell ref="M162:N162"/>
    <mergeCell ref="M163:N163"/>
    <mergeCell ref="M164:N164"/>
    <mergeCell ref="D132:D133"/>
    <mergeCell ref="E132:G132"/>
    <mergeCell ref="H132:J132"/>
    <mergeCell ref="K132:M132"/>
    <mergeCell ref="N132:P132"/>
    <mergeCell ref="Q132:S132"/>
    <mergeCell ref="M149:O149"/>
    <mergeCell ref="J150:J155"/>
    <mergeCell ref="U150:U155"/>
    <mergeCell ref="D106:E106"/>
    <mergeCell ref="D107:D108"/>
    <mergeCell ref="D109:E109"/>
    <mergeCell ref="D110:E110"/>
    <mergeCell ref="D111:E111"/>
    <mergeCell ref="D117:E117"/>
    <mergeCell ref="D118:E118"/>
    <mergeCell ref="K118:K127"/>
    <mergeCell ref="D119:E119"/>
    <mergeCell ref="D120:E120"/>
    <mergeCell ref="D121:E121"/>
    <mergeCell ref="D122:E122"/>
    <mergeCell ref="D123:D124"/>
    <mergeCell ref="D125:E125"/>
    <mergeCell ref="D126:E126"/>
    <mergeCell ref="D127:E127"/>
    <mergeCell ref="AD85:AI85"/>
    <mergeCell ref="AJ86:AJ92"/>
    <mergeCell ref="D98:E101"/>
    <mergeCell ref="F98:G98"/>
    <mergeCell ref="H98:I98"/>
    <mergeCell ref="J98:K98"/>
    <mergeCell ref="L98:M98"/>
    <mergeCell ref="N98:O98"/>
    <mergeCell ref="F99:F100"/>
    <mergeCell ref="G99:G100"/>
    <mergeCell ref="H99:H100"/>
    <mergeCell ref="I99:I100"/>
    <mergeCell ref="J99:J100"/>
    <mergeCell ref="K99:K100"/>
    <mergeCell ref="L99:L100"/>
    <mergeCell ref="M99:M100"/>
    <mergeCell ref="N99:N100"/>
    <mergeCell ref="O99:O100"/>
    <mergeCell ref="F85:K85"/>
    <mergeCell ref="L85:Q85"/>
    <mergeCell ref="J53:L53"/>
    <mergeCell ref="J54:L54"/>
    <mergeCell ref="J55:L55"/>
    <mergeCell ref="J56:L56"/>
    <mergeCell ref="J58:L58"/>
    <mergeCell ref="J59:L59"/>
    <mergeCell ref="J60:L60"/>
    <mergeCell ref="R85:W85"/>
    <mergeCell ref="X85:AC85"/>
    <mergeCell ref="J41:L41"/>
    <mergeCell ref="J42:L42"/>
    <mergeCell ref="J43:L43"/>
    <mergeCell ref="J44:L44"/>
    <mergeCell ref="J45:L45"/>
    <mergeCell ref="J46:L46"/>
    <mergeCell ref="J48:L48"/>
    <mergeCell ref="J49:L49"/>
    <mergeCell ref="J52:L52"/>
    <mergeCell ref="C5:P5"/>
    <mergeCell ref="C6:P6"/>
    <mergeCell ref="D16:F16"/>
    <mergeCell ref="D17:F17"/>
    <mergeCell ref="D24:D25"/>
    <mergeCell ref="J24:L25"/>
    <mergeCell ref="M24:M25"/>
    <mergeCell ref="J26:L26"/>
    <mergeCell ref="J27:L27"/>
    <mergeCell ref="J317:L317"/>
    <mergeCell ref="J326:L326"/>
    <mergeCell ref="J275:L275"/>
    <mergeCell ref="J276:L276"/>
    <mergeCell ref="J277:L277"/>
    <mergeCell ref="J278:L278"/>
    <mergeCell ref="J279:L279"/>
    <mergeCell ref="J280:L280"/>
    <mergeCell ref="J281:L281"/>
    <mergeCell ref="J282:L282"/>
    <mergeCell ref="J283:L283"/>
    <mergeCell ref="I284:M284"/>
    <mergeCell ref="I301:O301"/>
    <mergeCell ref="J302:L302"/>
    <mergeCell ref="J303:L303"/>
    <mergeCell ref="J304:L304"/>
    <mergeCell ref="J305:L305"/>
    <mergeCell ref="J306:L306"/>
    <mergeCell ref="J307:L307"/>
    <mergeCell ref="J308:L308"/>
    <mergeCell ref="J309:L309"/>
    <mergeCell ref="J310:L310"/>
    <mergeCell ref="J311:L311"/>
    <mergeCell ref="J312:L312"/>
    <mergeCell ref="C269:E269"/>
    <mergeCell ref="I269:M269"/>
    <mergeCell ref="Q269:U269"/>
    <mergeCell ref="C271:G271"/>
    <mergeCell ref="I271:O271"/>
    <mergeCell ref="J272:L272"/>
    <mergeCell ref="J273:L273"/>
    <mergeCell ref="C315:G315"/>
    <mergeCell ref="I316:O316"/>
    <mergeCell ref="C284:E284"/>
    <mergeCell ref="C301:G301"/>
    <mergeCell ref="Q301:W301"/>
    <mergeCell ref="R302:T302"/>
    <mergeCell ref="R303:T303"/>
    <mergeCell ref="R304:T304"/>
    <mergeCell ref="R305:T305"/>
    <mergeCell ref="R306:T306"/>
    <mergeCell ref="R307:T307"/>
    <mergeCell ref="R308:T308"/>
    <mergeCell ref="R309:T309"/>
    <mergeCell ref="R310:T310"/>
    <mergeCell ref="R311:T311"/>
    <mergeCell ref="R312:T312"/>
    <mergeCell ref="C313:E313"/>
    <mergeCell ref="J274:L274"/>
    <mergeCell ref="J263:L263"/>
    <mergeCell ref="R263:T263"/>
    <mergeCell ref="J264:L264"/>
    <mergeCell ref="R264:T264"/>
    <mergeCell ref="J265:L265"/>
    <mergeCell ref="R265:T265"/>
    <mergeCell ref="J266:L266"/>
    <mergeCell ref="R266:T266"/>
    <mergeCell ref="J267:L267"/>
    <mergeCell ref="R267:T267"/>
    <mergeCell ref="J268:L268"/>
    <mergeCell ref="R268:T268"/>
    <mergeCell ref="J258:L258"/>
    <mergeCell ref="R258:T258"/>
    <mergeCell ref="J259:L259"/>
    <mergeCell ref="R259:T259"/>
    <mergeCell ref="J260:L260"/>
    <mergeCell ref="R260:T260"/>
    <mergeCell ref="J261:L261"/>
    <mergeCell ref="R261:T261"/>
    <mergeCell ref="J262:L262"/>
    <mergeCell ref="R262:T262"/>
    <mergeCell ref="M165:N165"/>
    <mergeCell ref="D169:D170"/>
    <mergeCell ref="E169:I169"/>
    <mergeCell ref="J169:N169"/>
    <mergeCell ref="P169:Q170"/>
    <mergeCell ref="R169:S169"/>
    <mergeCell ref="P172:Q172"/>
    <mergeCell ref="J62:L62"/>
    <mergeCell ref="J63:L63"/>
    <mergeCell ref="J64:L64"/>
    <mergeCell ref="J65:L65"/>
    <mergeCell ref="J66:L66"/>
    <mergeCell ref="J67:L67"/>
    <mergeCell ref="J68:L68"/>
    <mergeCell ref="J69:L69"/>
    <mergeCell ref="J70:L70"/>
    <mergeCell ref="J71:L71"/>
    <mergeCell ref="J72:L72"/>
    <mergeCell ref="J73:L73"/>
    <mergeCell ref="J74:L74"/>
    <mergeCell ref="J75:L75"/>
    <mergeCell ref="D102:E102"/>
    <mergeCell ref="D103:E103"/>
    <mergeCell ref="D104:E104"/>
    <mergeCell ref="D105:E105"/>
    <mergeCell ref="J61:L61"/>
    <mergeCell ref="N24:N25"/>
    <mergeCell ref="O24:O25"/>
    <mergeCell ref="P24:P25"/>
    <mergeCell ref="Q24:Q25"/>
    <mergeCell ref="J28:L28"/>
    <mergeCell ref="J29:L29"/>
    <mergeCell ref="E24:E25"/>
    <mergeCell ref="F24:F25"/>
    <mergeCell ref="G24:G25"/>
    <mergeCell ref="H24:H25"/>
    <mergeCell ref="I24:I25"/>
    <mergeCell ref="J30:L30"/>
    <mergeCell ref="J31:L31"/>
    <mergeCell ref="J32:L32"/>
    <mergeCell ref="J33:L33"/>
    <mergeCell ref="J34:L34"/>
    <mergeCell ref="J35:L35"/>
    <mergeCell ref="J36:L36"/>
    <mergeCell ref="J37:L37"/>
    <mergeCell ref="J38:L38"/>
    <mergeCell ref="J39:L39"/>
    <mergeCell ref="J40:L40"/>
  </mergeCells>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FF66"/>
  </sheetPr>
  <dimension ref="A1:BA342"/>
  <sheetViews>
    <sheetView workbookViewId="0">
      <selection activeCell="C35" sqref="C35"/>
    </sheetView>
  </sheetViews>
  <sheetFormatPr baseColWidth="10" defaultRowHeight="11.25" x14ac:dyDescent="0.2"/>
  <cols>
    <col min="1" max="1" width="6.140625" style="81" customWidth="1"/>
    <col min="2" max="2" width="8.42578125" style="81" customWidth="1"/>
    <col min="3" max="3" width="50.42578125" style="81" customWidth="1"/>
    <col min="4" max="4" width="11.5703125" style="81"/>
    <col min="5" max="9" width="6.7109375" style="81" customWidth="1"/>
    <col min="10" max="10" width="9.85546875" style="81" customWidth="1"/>
    <col min="11" max="12" width="6.140625" style="81" customWidth="1"/>
    <col min="13" max="13" width="11.5703125" style="81"/>
    <col min="14" max="14" width="49" style="81" customWidth="1"/>
    <col min="15" max="15" width="10.85546875" style="81" customWidth="1"/>
    <col min="16" max="20" width="6.7109375" style="81" customWidth="1"/>
    <col min="21" max="21" width="10" style="81" customWidth="1"/>
    <col min="22" max="23" width="6.140625" style="81" customWidth="1"/>
    <col min="24" max="24" width="9" style="100" customWidth="1"/>
    <col min="25" max="25" width="65.28515625" style="26" customWidth="1"/>
    <col min="26" max="26" width="13.28515625" style="26" customWidth="1"/>
    <col min="27" max="31" width="6.7109375" style="26" customWidth="1"/>
    <col min="32" max="32" width="11.5703125" style="26"/>
    <col min="33" max="33" width="11.5703125" style="81"/>
    <col min="34" max="34" width="11.5703125" style="26"/>
    <col min="35" max="35" width="9.7109375" style="26" customWidth="1"/>
    <col min="36" max="36" width="65.28515625" style="26" customWidth="1"/>
    <col min="37" max="37" width="13.28515625" style="26" customWidth="1"/>
    <col min="38" max="42" width="6.7109375" style="26" customWidth="1"/>
    <col min="43" max="45" width="11.5703125" style="26"/>
    <col min="46" max="46" width="74.42578125" style="26" customWidth="1"/>
    <col min="47" max="256" width="11.5703125" style="26"/>
    <col min="257" max="258" width="6.140625" style="26" customWidth="1"/>
    <col min="259" max="259" width="50.42578125" style="26" customWidth="1"/>
    <col min="260" max="260" width="11.5703125" style="26"/>
    <col min="261" max="265" width="6.7109375" style="26" customWidth="1"/>
    <col min="266" max="266" width="9.85546875" style="26" customWidth="1"/>
    <col min="267" max="269" width="6.140625" style="26" customWidth="1"/>
    <col min="270" max="270" width="49" style="26" customWidth="1"/>
    <col min="271" max="271" width="10.85546875" style="26" customWidth="1"/>
    <col min="272" max="276" width="6.7109375" style="26" customWidth="1"/>
    <col min="277" max="277" width="10" style="26" customWidth="1"/>
    <col min="278" max="279" width="6.140625" style="26" customWidth="1"/>
    <col min="280" max="280" width="5.28515625" style="26" customWidth="1"/>
    <col min="281" max="281" width="65.28515625" style="26" customWidth="1"/>
    <col min="282" max="282" width="13.28515625" style="26" customWidth="1"/>
    <col min="283" max="287" width="6.7109375" style="26" customWidth="1"/>
    <col min="288" max="512" width="11.5703125" style="26"/>
    <col min="513" max="514" width="6.140625" style="26" customWidth="1"/>
    <col min="515" max="515" width="50.42578125" style="26" customWidth="1"/>
    <col min="516" max="516" width="11.5703125" style="26"/>
    <col min="517" max="521" width="6.7109375" style="26" customWidth="1"/>
    <col min="522" max="522" width="9.85546875" style="26" customWidth="1"/>
    <col min="523" max="525" width="6.140625" style="26" customWidth="1"/>
    <col min="526" max="526" width="49" style="26" customWidth="1"/>
    <col min="527" max="527" width="10.85546875" style="26" customWidth="1"/>
    <col min="528" max="532" width="6.7109375" style="26" customWidth="1"/>
    <col min="533" max="533" width="10" style="26" customWidth="1"/>
    <col min="534" max="535" width="6.140625" style="26" customWidth="1"/>
    <col min="536" max="536" width="5.28515625" style="26" customWidth="1"/>
    <col min="537" max="537" width="65.28515625" style="26" customWidth="1"/>
    <col min="538" max="538" width="13.28515625" style="26" customWidth="1"/>
    <col min="539" max="543" width="6.7109375" style="26" customWidth="1"/>
    <col min="544" max="768" width="11.5703125" style="26"/>
    <col min="769" max="770" width="6.140625" style="26" customWidth="1"/>
    <col min="771" max="771" width="50.42578125" style="26" customWidth="1"/>
    <col min="772" max="772" width="11.5703125" style="26"/>
    <col min="773" max="777" width="6.7109375" style="26" customWidth="1"/>
    <col min="778" max="778" width="9.85546875" style="26" customWidth="1"/>
    <col min="779" max="781" width="6.140625" style="26" customWidth="1"/>
    <col min="782" max="782" width="49" style="26" customWidth="1"/>
    <col min="783" max="783" width="10.85546875" style="26" customWidth="1"/>
    <col min="784" max="788" width="6.7109375" style="26" customWidth="1"/>
    <col min="789" max="789" width="10" style="26" customWidth="1"/>
    <col min="790" max="791" width="6.140625" style="26" customWidth="1"/>
    <col min="792" max="792" width="5.28515625" style="26" customWidth="1"/>
    <col min="793" max="793" width="65.28515625" style="26" customWidth="1"/>
    <col min="794" max="794" width="13.28515625" style="26" customWidth="1"/>
    <col min="795" max="799" width="6.7109375" style="26" customWidth="1"/>
    <col min="800" max="1024" width="11.5703125" style="26"/>
    <col min="1025" max="1026" width="6.140625" style="26" customWidth="1"/>
    <col min="1027" max="1027" width="50.42578125" style="26" customWidth="1"/>
    <col min="1028" max="1028" width="11.5703125" style="26"/>
    <col min="1029" max="1033" width="6.7109375" style="26" customWidth="1"/>
    <col min="1034" max="1034" width="9.85546875" style="26" customWidth="1"/>
    <col min="1035" max="1037" width="6.140625" style="26" customWidth="1"/>
    <col min="1038" max="1038" width="49" style="26" customWidth="1"/>
    <col min="1039" max="1039" width="10.85546875" style="26" customWidth="1"/>
    <col min="1040" max="1044" width="6.7109375" style="26" customWidth="1"/>
    <col min="1045" max="1045" width="10" style="26" customWidth="1"/>
    <col min="1046" max="1047" width="6.140625" style="26" customWidth="1"/>
    <col min="1048" max="1048" width="5.28515625" style="26" customWidth="1"/>
    <col min="1049" max="1049" width="65.28515625" style="26" customWidth="1"/>
    <col min="1050" max="1050" width="13.28515625" style="26" customWidth="1"/>
    <col min="1051" max="1055" width="6.7109375" style="26" customWidth="1"/>
    <col min="1056" max="1280" width="11.5703125" style="26"/>
    <col min="1281" max="1282" width="6.140625" style="26" customWidth="1"/>
    <col min="1283" max="1283" width="50.42578125" style="26" customWidth="1"/>
    <col min="1284" max="1284" width="11.5703125" style="26"/>
    <col min="1285" max="1289" width="6.7109375" style="26" customWidth="1"/>
    <col min="1290" max="1290" width="9.85546875" style="26" customWidth="1"/>
    <col min="1291" max="1293" width="6.140625" style="26" customWidth="1"/>
    <col min="1294" max="1294" width="49" style="26" customWidth="1"/>
    <col min="1295" max="1295" width="10.85546875" style="26" customWidth="1"/>
    <col min="1296" max="1300" width="6.7109375" style="26" customWidth="1"/>
    <col min="1301" max="1301" width="10" style="26" customWidth="1"/>
    <col min="1302" max="1303" width="6.140625" style="26" customWidth="1"/>
    <col min="1304" max="1304" width="5.28515625" style="26" customWidth="1"/>
    <col min="1305" max="1305" width="65.28515625" style="26" customWidth="1"/>
    <col min="1306" max="1306" width="13.28515625" style="26" customWidth="1"/>
    <col min="1307" max="1311" width="6.7109375" style="26" customWidth="1"/>
    <col min="1312" max="1536" width="11.5703125" style="26"/>
    <col min="1537" max="1538" width="6.140625" style="26" customWidth="1"/>
    <col min="1539" max="1539" width="50.42578125" style="26" customWidth="1"/>
    <col min="1540" max="1540" width="11.5703125" style="26"/>
    <col min="1541" max="1545" width="6.7109375" style="26" customWidth="1"/>
    <col min="1546" max="1546" width="9.85546875" style="26" customWidth="1"/>
    <col min="1547" max="1549" width="6.140625" style="26" customWidth="1"/>
    <col min="1550" max="1550" width="49" style="26" customWidth="1"/>
    <col min="1551" max="1551" width="10.85546875" style="26" customWidth="1"/>
    <col min="1552" max="1556" width="6.7109375" style="26" customWidth="1"/>
    <col min="1557" max="1557" width="10" style="26" customWidth="1"/>
    <col min="1558" max="1559" width="6.140625" style="26" customWidth="1"/>
    <col min="1560" max="1560" width="5.28515625" style="26" customWidth="1"/>
    <col min="1561" max="1561" width="65.28515625" style="26" customWidth="1"/>
    <col min="1562" max="1562" width="13.28515625" style="26" customWidth="1"/>
    <col min="1563" max="1567" width="6.7109375" style="26" customWidth="1"/>
    <col min="1568" max="1792" width="11.5703125" style="26"/>
    <col min="1793" max="1794" width="6.140625" style="26" customWidth="1"/>
    <col min="1795" max="1795" width="50.42578125" style="26" customWidth="1"/>
    <col min="1796" max="1796" width="11.5703125" style="26"/>
    <col min="1797" max="1801" width="6.7109375" style="26" customWidth="1"/>
    <col min="1802" max="1802" width="9.85546875" style="26" customWidth="1"/>
    <col min="1803" max="1805" width="6.140625" style="26" customWidth="1"/>
    <col min="1806" max="1806" width="49" style="26" customWidth="1"/>
    <col min="1807" max="1807" width="10.85546875" style="26" customWidth="1"/>
    <col min="1808" max="1812" width="6.7109375" style="26" customWidth="1"/>
    <col min="1813" max="1813" width="10" style="26" customWidth="1"/>
    <col min="1814" max="1815" width="6.140625" style="26" customWidth="1"/>
    <col min="1816" max="1816" width="5.28515625" style="26" customWidth="1"/>
    <col min="1817" max="1817" width="65.28515625" style="26" customWidth="1"/>
    <col min="1818" max="1818" width="13.28515625" style="26" customWidth="1"/>
    <col min="1819" max="1823" width="6.7109375" style="26" customWidth="1"/>
    <col min="1824" max="2048" width="11.5703125" style="26"/>
    <col min="2049" max="2050" width="6.140625" style="26" customWidth="1"/>
    <col min="2051" max="2051" width="50.42578125" style="26" customWidth="1"/>
    <col min="2052" max="2052" width="11.5703125" style="26"/>
    <col min="2053" max="2057" width="6.7109375" style="26" customWidth="1"/>
    <col min="2058" max="2058" width="9.85546875" style="26" customWidth="1"/>
    <col min="2059" max="2061" width="6.140625" style="26" customWidth="1"/>
    <col min="2062" max="2062" width="49" style="26" customWidth="1"/>
    <col min="2063" max="2063" width="10.85546875" style="26" customWidth="1"/>
    <col min="2064" max="2068" width="6.7109375" style="26" customWidth="1"/>
    <col min="2069" max="2069" width="10" style="26" customWidth="1"/>
    <col min="2070" max="2071" width="6.140625" style="26" customWidth="1"/>
    <col min="2072" max="2072" width="5.28515625" style="26" customWidth="1"/>
    <col min="2073" max="2073" width="65.28515625" style="26" customWidth="1"/>
    <col min="2074" max="2074" width="13.28515625" style="26" customWidth="1"/>
    <col min="2075" max="2079" width="6.7109375" style="26" customWidth="1"/>
    <col min="2080" max="2304" width="11.5703125" style="26"/>
    <col min="2305" max="2306" width="6.140625" style="26" customWidth="1"/>
    <col min="2307" max="2307" width="50.42578125" style="26" customWidth="1"/>
    <col min="2308" max="2308" width="11.5703125" style="26"/>
    <col min="2309" max="2313" width="6.7109375" style="26" customWidth="1"/>
    <col min="2314" max="2314" width="9.85546875" style="26" customWidth="1"/>
    <col min="2315" max="2317" width="6.140625" style="26" customWidth="1"/>
    <col min="2318" max="2318" width="49" style="26" customWidth="1"/>
    <col min="2319" max="2319" width="10.85546875" style="26" customWidth="1"/>
    <col min="2320" max="2324" width="6.7109375" style="26" customWidth="1"/>
    <col min="2325" max="2325" width="10" style="26" customWidth="1"/>
    <col min="2326" max="2327" width="6.140625" style="26" customWidth="1"/>
    <col min="2328" max="2328" width="5.28515625" style="26" customWidth="1"/>
    <col min="2329" max="2329" width="65.28515625" style="26" customWidth="1"/>
    <col min="2330" max="2330" width="13.28515625" style="26" customWidth="1"/>
    <col min="2331" max="2335" width="6.7109375" style="26" customWidth="1"/>
    <col min="2336" max="2560" width="11.5703125" style="26"/>
    <col min="2561" max="2562" width="6.140625" style="26" customWidth="1"/>
    <col min="2563" max="2563" width="50.42578125" style="26" customWidth="1"/>
    <col min="2564" max="2564" width="11.5703125" style="26"/>
    <col min="2565" max="2569" width="6.7109375" style="26" customWidth="1"/>
    <col min="2570" max="2570" width="9.85546875" style="26" customWidth="1"/>
    <col min="2571" max="2573" width="6.140625" style="26" customWidth="1"/>
    <col min="2574" max="2574" width="49" style="26" customWidth="1"/>
    <col min="2575" max="2575" width="10.85546875" style="26" customWidth="1"/>
    <col min="2576" max="2580" width="6.7109375" style="26" customWidth="1"/>
    <col min="2581" max="2581" width="10" style="26" customWidth="1"/>
    <col min="2582" max="2583" width="6.140625" style="26" customWidth="1"/>
    <col min="2584" max="2584" width="5.28515625" style="26" customWidth="1"/>
    <col min="2585" max="2585" width="65.28515625" style="26" customWidth="1"/>
    <col min="2586" max="2586" width="13.28515625" style="26" customWidth="1"/>
    <col min="2587" max="2591" width="6.7109375" style="26" customWidth="1"/>
    <col min="2592" max="2816" width="11.5703125" style="26"/>
    <col min="2817" max="2818" width="6.140625" style="26" customWidth="1"/>
    <col min="2819" max="2819" width="50.42578125" style="26" customWidth="1"/>
    <col min="2820" max="2820" width="11.5703125" style="26"/>
    <col min="2821" max="2825" width="6.7109375" style="26" customWidth="1"/>
    <col min="2826" max="2826" width="9.85546875" style="26" customWidth="1"/>
    <col min="2827" max="2829" width="6.140625" style="26" customWidth="1"/>
    <col min="2830" max="2830" width="49" style="26" customWidth="1"/>
    <col min="2831" max="2831" width="10.85546875" style="26" customWidth="1"/>
    <col min="2832" max="2836" width="6.7109375" style="26" customWidth="1"/>
    <col min="2837" max="2837" width="10" style="26" customWidth="1"/>
    <col min="2838" max="2839" width="6.140625" style="26" customWidth="1"/>
    <col min="2840" max="2840" width="5.28515625" style="26" customWidth="1"/>
    <col min="2841" max="2841" width="65.28515625" style="26" customWidth="1"/>
    <col min="2842" max="2842" width="13.28515625" style="26" customWidth="1"/>
    <col min="2843" max="2847" width="6.7109375" style="26" customWidth="1"/>
    <col min="2848" max="3072" width="11.5703125" style="26"/>
    <col min="3073" max="3074" width="6.140625" style="26" customWidth="1"/>
    <col min="3075" max="3075" width="50.42578125" style="26" customWidth="1"/>
    <col min="3076" max="3076" width="11.5703125" style="26"/>
    <col min="3077" max="3081" width="6.7109375" style="26" customWidth="1"/>
    <col min="3082" max="3082" width="9.85546875" style="26" customWidth="1"/>
    <col min="3083" max="3085" width="6.140625" style="26" customWidth="1"/>
    <col min="3086" max="3086" width="49" style="26" customWidth="1"/>
    <col min="3087" max="3087" width="10.85546875" style="26" customWidth="1"/>
    <col min="3088" max="3092" width="6.7109375" style="26" customWidth="1"/>
    <col min="3093" max="3093" width="10" style="26" customWidth="1"/>
    <col min="3094" max="3095" width="6.140625" style="26" customWidth="1"/>
    <col min="3096" max="3096" width="5.28515625" style="26" customWidth="1"/>
    <col min="3097" max="3097" width="65.28515625" style="26" customWidth="1"/>
    <col min="3098" max="3098" width="13.28515625" style="26" customWidth="1"/>
    <col min="3099" max="3103" width="6.7109375" style="26" customWidth="1"/>
    <col min="3104" max="3328" width="11.5703125" style="26"/>
    <col min="3329" max="3330" width="6.140625" style="26" customWidth="1"/>
    <col min="3331" max="3331" width="50.42578125" style="26" customWidth="1"/>
    <col min="3332" max="3332" width="11.5703125" style="26"/>
    <col min="3333" max="3337" width="6.7109375" style="26" customWidth="1"/>
    <col min="3338" max="3338" width="9.85546875" style="26" customWidth="1"/>
    <col min="3339" max="3341" width="6.140625" style="26" customWidth="1"/>
    <col min="3342" max="3342" width="49" style="26" customWidth="1"/>
    <col min="3343" max="3343" width="10.85546875" style="26" customWidth="1"/>
    <col min="3344" max="3348" width="6.7109375" style="26" customWidth="1"/>
    <col min="3349" max="3349" width="10" style="26" customWidth="1"/>
    <col min="3350" max="3351" width="6.140625" style="26" customWidth="1"/>
    <col min="3352" max="3352" width="5.28515625" style="26" customWidth="1"/>
    <col min="3353" max="3353" width="65.28515625" style="26" customWidth="1"/>
    <col min="3354" max="3354" width="13.28515625" style="26" customWidth="1"/>
    <col min="3355" max="3359" width="6.7109375" style="26" customWidth="1"/>
    <col min="3360" max="3584" width="11.5703125" style="26"/>
    <col min="3585" max="3586" width="6.140625" style="26" customWidth="1"/>
    <col min="3587" max="3587" width="50.42578125" style="26" customWidth="1"/>
    <col min="3588" max="3588" width="11.5703125" style="26"/>
    <col min="3589" max="3593" width="6.7109375" style="26" customWidth="1"/>
    <col min="3594" max="3594" width="9.85546875" style="26" customWidth="1"/>
    <col min="3595" max="3597" width="6.140625" style="26" customWidth="1"/>
    <col min="3598" max="3598" width="49" style="26" customWidth="1"/>
    <col min="3599" max="3599" width="10.85546875" style="26" customWidth="1"/>
    <col min="3600" max="3604" width="6.7109375" style="26" customWidth="1"/>
    <col min="3605" max="3605" width="10" style="26" customWidth="1"/>
    <col min="3606" max="3607" width="6.140625" style="26" customWidth="1"/>
    <col min="3608" max="3608" width="5.28515625" style="26" customWidth="1"/>
    <col min="3609" max="3609" width="65.28515625" style="26" customWidth="1"/>
    <col min="3610" max="3610" width="13.28515625" style="26" customWidth="1"/>
    <col min="3611" max="3615" width="6.7109375" style="26" customWidth="1"/>
    <col min="3616" max="3840" width="11.5703125" style="26"/>
    <col min="3841" max="3842" width="6.140625" style="26" customWidth="1"/>
    <col min="3843" max="3843" width="50.42578125" style="26" customWidth="1"/>
    <col min="3844" max="3844" width="11.5703125" style="26"/>
    <col min="3845" max="3849" width="6.7109375" style="26" customWidth="1"/>
    <col min="3850" max="3850" width="9.85546875" style="26" customWidth="1"/>
    <col min="3851" max="3853" width="6.140625" style="26" customWidth="1"/>
    <col min="3854" max="3854" width="49" style="26" customWidth="1"/>
    <col min="3855" max="3855" width="10.85546875" style="26" customWidth="1"/>
    <col min="3856" max="3860" width="6.7109375" style="26" customWidth="1"/>
    <col min="3861" max="3861" width="10" style="26" customWidth="1"/>
    <col min="3862" max="3863" width="6.140625" style="26" customWidth="1"/>
    <col min="3864" max="3864" width="5.28515625" style="26" customWidth="1"/>
    <col min="3865" max="3865" width="65.28515625" style="26" customWidth="1"/>
    <col min="3866" max="3866" width="13.28515625" style="26" customWidth="1"/>
    <col min="3867" max="3871" width="6.7109375" style="26" customWidth="1"/>
    <col min="3872" max="4096" width="11.5703125" style="26"/>
    <col min="4097" max="4098" width="6.140625" style="26" customWidth="1"/>
    <col min="4099" max="4099" width="50.42578125" style="26" customWidth="1"/>
    <col min="4100" max="4100" width="11.5703125" style="26"/>
    <col min="4101" max="4105" width="6.7109375" style="26" customWidth="1"/>
    <col min="4106" max="4106" width="9.85546875" style="26" customWidth="1"/>
    <col min="4107" max="4109" width="6.140625" style="26" customWidth="1"/>
    <col min="4110" max="4110" width="49" style="26" customWidth="1"/>
    <col min="4111" max="4111" width="10.85546875" style="26" customWidth="1"/>
    <col min="4112" max="4116" width="6.7109375" style="26" customWidth="1"/>
    <col min="4117" max="4117" width="10" style="26" customWidth="1"/>
    <col min="4118" max="4119" width="6.140625" style="26" customWidth="1"/>
    <col min="4120" max="4120" width="5.28515625" style="26" customWidth="1"/>
    <col min="4121" max="4121" width="65.28515625" style="26" customWidth="1"/>
    <col min="4122" max="4122" width="13.28515625" style="26" customWidth="1"/>
    <col min="4123" max="4127" width="6.7109375" style="26" customWidth="1"/>
    <col min="4128" max="4352" width="11.5703125" style="26"/>
    <col min="4353" max="4354" width="6.140625" style="26" customWidth="1"/>
    <col min="4355" max="4355" width="50.42578125" style="26" customWidth="1"/>
    <col min="4356" max="4356" width="11.5703125" style="26"/>
    <col min="4357" max="4361" width="6.7109375" style="26" customWidth="1"/>
    <col min="4362" max="4362" width="9.85546875" style="26" customWidth="1"/>
    <col min="4363" max="4365" width="6.140625" style="26" customWidth="1"/>
    <col min="4366" max="4366" width="49" style="26" customWidth="1"/>
    <col min="4367" max="4367" width="10.85546875" style="26" customWidth="1"/>
    <col min="4368" max="4372" width="6.7109375" style="26" customWidth="1"/>
    <col min="4373" max="4373" width="10" style="26" customWidth="1"/>
    <col min="4374" max="4375" width="6.140625" style="26" customWidth="1"/>
    <col min="4376" max="4376" width="5.28515625" style="26" customWidth="1"/>
    <col min="4377" max="4377" width="65.28515625" style="26" customWidth="1"/>
    <col min="4378" max="4378" width="13.28515625" style="26" customWidth="1"/>
    <col min="4379" max="4383" width="6.7109375" style="26" customWidth="1"/>
    <col min="4384" max="4608" width="11.5703125" style="26"/>
    <col min="4609" max="4610" width="6.140625" style="26" customWidth="1"/>
    <col min="4611" max="4611" width="50.42578125" style="26" customWidth="1"/>
    <col min="4612" max="4612" width="11.5703125" style="26"/>
    <col min="4613" max="4617" width="6.7109375" style="26" customWidth="1"/>
    <col min="4618" max="4618" width="9.85546875" style="26" customWidth="1"/>
    <col min="4619" max="4621" width="6.140625" style="26" customWidth="1"/>
    <col min="4622" max="4622" width="49" style="26" customWidth="1"/>
    <col min="4623" max="4623" width="10.85546875" style="26" customWidth="1"/>
    <col min="4624" max="4628" width="6.7109375" style="26" customWidth="1"/>
    <col min="4629" max="4629" width="10" style="26" customWidth="1"/>
    <col min="4630" max="4631" width="6.140625" style="26" customWidth="1"/>
    <col min="4632" max="4632" width="5.28515625" style="26" customWidth="1"/>
    <col min="4633" max="4633" width="65.28515625" style="26" customWidth="1"/>
    <col min="4634" max="4634" width="13.28515625" style="26" customWidth="1"/>
    <col min="4635" max="4639" width="6.7109375" style="26" customWidth="1"/>
    <col min="4640" max="4864" width="11.5703125" style="26"/>
    <col min="4865" max="4866" width="6.140625" style="26" customWidth="1"/>
    <col min="4867" max="4867" width="50.42578125" style="26" customWidth="1"/>
    <col min="4868" max="4868" width="11.5703125" style="26"/>
    <col min="4869" max="4873" width="6.7109375" style="26" customWidth="1"/>
    <col min="4874" max="4874" width="9.85546875" style="26" customWidth="1"/>
    <col min="4875" max="4877" width="6.140625" style="26" customWidth="1"/>
    <col min="4878" max="4878" width="49" style="26" customWidth="1"/>
    <col min="4879" max="4879" width="10.85546875" style="26" customWidth="1"/>
    <col min="4880" max="4884" width="6.7109375" style="26" customWidth="1"/>
    <col min="4885" max="4885" width="10" style="26" customWidth="1"/>
    <col min="4886" max="4887" width="6.140625" style="26" customWidth="1"/>
    <col min="4888" max="4888" width="5.28515625" style="26" customWidth="1"/>
    <col min="4889" max="4889" width="65.28515625" style="26" customWidth="1"/>
    <col min="4890" max="4890" width="13.28515625" style="26" customWidth="1"/>
    <col min="4891" max="4895" width="6.7109375" style="26" customWidth="1"/>
    <col min="4896" max="5120" width="11.5703125" style="26"/>
    <col min="5121" max="5122" width="6.140625" style="26" customWidth="1"/>
    <col min="5123" max="5123" width="50.42578125" style="26" customWidth="1"/>
    <col min="5124" max="5124" width="11.5703125" style="26"/>
    <col min="5125" max="5129" width="6.7109375" style="26" customWidth="1"/>
    <col min="5130" max="5130" width="9.85546875" style="26" customWidth="1"/>
    <col min="5131" max="5133" width="6.140625" style="26" customWidth="1"/>
    <col min="5134" max="5134" width="49" style="26" customWidth="1"/>
    <col min="5135" max="5135" width="10.85546875" style="26" customWidth="1"/>
    <col min="5136" max="5140" width="6.7109375" style="26" customWidth="1"/>
    <col min="5141" max="5141" width="10" style="26" customWidth="1"/>
    <col min="5142" max="5143" width="6.140625" style="26" customWidth="1"/>
    <col min="5144" max="5144" width="5.28515625" style="26" customWidth="1"/>
    <col min="5145" max="5145" width="65.28515625" style="26" customWidth="1"/>
    <col min="5146" max="5146" width="13.28515625" style="26" customWidth="1"/>
    <col min="5147" max="5151" width="6.7109375" style="26" customWidth="1"/>
    <col min="5152" max="5376" width="11.5703125" style="26"/>
    <col min="5377" max="5378" width="6.140625" style="26" customWidth="1"/>
    <col min="5379" max="5379" width="50.42578125" style="26" customWidth="1"/>
    <col min="5380" max="5380" width="11.5703125" style="26"/>
    <col min="5381" max="5385" width="6.7109375" style="26" customWidth="1"/>
    <col min="5386" max="5386" width="9.85546875" style="26" customWidth="1"/>
    <col min="5387" max="5389" width="6.140625" style="26" customWidth="1"/>
    <col min="5390" max="5390" width="49" style="26" customWidth="1"/>
    <col min="5391" max="5391" width="10.85546875" style="26" customWidth="1"/>
    <col min="5392" max="5396" width="6.7109375" style="26" customWidth="1"/>
    <col min="5397" max="5397" width="10" style="26" customWidth="1"/>
    <col min="5398" max="5399" width="6.140625" style="26" customWidth="1"/>
    <col min="5400" max="5400" width="5.28515625" style="26" customWidth="1"/>
    <col min="5401" max="5401" width="65.28515625" style="26" customWidth="1"/>
    <col min="5402" max="5402" width="13.28515625" style="26" customWidth="1"/>
    <col min="5403" max="5407" width="6.7109375" style="26" customWidth="1"/>
    <col min="5408" max="5632" width="11.5703125" style="26"/>
    <col min="5633" max="5634" width="6.140625" style="26" customWidth="1"/>
    <col min="5635" max="5635" width="50.42578125" style="26" customWidth="1"/>
    <col min="5636" max="5636" width="11.5703125" style="26"/>
    <col min="5637" max="5641" width="6.7109375" style="26" customWidth="1"/>
    <col min="5642" max="5642" width="9.85546875" style="26" customWidth="1"/>
    <col min="5643" max="5645" width="6.140625" style="26" customWidth="1"/>
    <col min="5646" max="5646" width="49" style="26" customWidth="1"/>
    <col min="5647" max="5647" width="10.85546875" style="26" customWidth="1"/>
    <col min="5648" max="5652" width="6.7109375" style="26" customWidth="1"/>
    <col min="5653" max="5653" width="10" style="26" customWidth="1"/>
    <col min="5654" max="5655" width="6.140625" style="26" customWidth="1"/>
    <col min="5656" max="5656" width="5.28515625" style="26" customWidth="1"/>
    <col min="5657" max="5657" width="65.28515625" style="26" customWidth="1"/>
    <col min="5658" max="5658" width="13.28515625" style="26" customWidth="1"/>
    <col min="5659" max="5663" width="6.7109375" style="26" customWidth="1"/>
    <col min="5664" max="5888" width="11.5703125" style="26"/>
    <col min="5889" max="5890" width="6.140625" style="26" customWidth="1"/>
    <col min="5891" max="5891" width="50.42578125" style="26" customWidth="1"/>
    <col min="5892" max="5892" width="11.5703125" style="26"/>
    <col min="5893" max="5897" width="6.7109375" style="26" customWidth="1"/>
    <col min="5898" max="5898" width="9.85546875" style="26" customWidth="1"/>
    <col min="5899" max="5901" width="6.140625" style="26" customWidth="1"/>
    <col min="5902" max="5902" width="49" style="26" customWidth="1"/>
    <col min="5903" max="5903" width="10.85546875" style="26" customWidth="1"/>
    <col min="5904" max="5908" width="6.7109375" style="26" customWidth="1"/>
    <col min="5909" max="5909" width="10" style="26" customWidth="1"/>
    <col min="5910" max="5911" width="6.140625" style="26" customWidth="1"/>
    <col min="5912" max="5912" width="5.28515625" style="26" customWidth="1"/>
    <col min="5913" max="5913" width="65.28515625" style="26" customWidth="1"/>
    <col min="5914" max="5914" width="13.28515625" style="26" customWidth="1"/>
    <col min="5915" max="5919" width="6.7109375" style="26" customWidth="1"/>
    <col min="5920" max="6144" width="11.5703125" style="26"/>
    <col min="6145" max="6146" width="6.140625" style="26" customWidth="1"/>
    <col min="6147" max="6147" width="50.42578125" style="26" customWidth="1"/>
    <col min="6148" max="6148" width="11.5703125" style="26"/>
    <col min="6149" max="6153" width="6.7109375" style="26" customWidth="1"/>
    <col min="6154" max="6154" width="9.85546875" style="26" customWidth="1"/>
    <col min="6155" max="6157" width="6.140625" style="26" customWidth="1"/>
    <col min="6158" max="6158" width="49" style="26" customWidth="1"/>
    <col min="6159" max="6159" width="10.85546875" style="26" customWidth="1"/>
    <col min="6160" max="6164" width="6.7109375" style="26" customWidth="1"/>
    <col min="6165" max="6165" width="10" style="26" customWidth="1"/>
    <col min="6166" max="6167" width="6.140625" style="26" customWidth="1"/>
    <col min="6168" max="6168" width="5.28515625" style="26" customWidth="1"/>
    <col min="6169" max="6169" width="65.28515625" style="26" customWidth="1"/>
    <col min="6170" max="6170" width="13.28515625" style="26" customWidth="1"/>
    <col min="6171" max="6175" width="6.7109375" style="26" customWidth="1"/>
    <col min="6176" max="6400" width="11.5703125" style="26"/>
    <col min="6401" max="6402" width="6.140625" style="26" customWidth="1"/>
    <col min="6403" max="6403" width="50.42578125" style="26" customWidth="1"/>
    <col min="6404" max="6404" width="11.5703125" style="26"/>
    <col min="6405" max="6409" width="6.7109375" style="26" customWidth="1"/>
    <col min="6410" max="6410" width="9.85546875" style="26" customWidth="1"/>
    <col min="6411" max="6413" width="6.140625" style="26" customWidth="1"/>
    <col min="6414" max="6414" width="49" style="26" customWidth="1"/>
    <col min="6415" max="6415" width="10.85546875" style="26" customWidth="1"/>
    <col min="6416" max="6420" width="6.7109375" style="26" customWidth="1"/>
    <col min="6421" max="6421" width="10" style="26" customWidth="1"/>
    <col min="6422" max="6423" width="6.140625" style="26" customWidth="1"/>
    <col min="6424" max="6424" width="5.28515625" style="26" customWidth="1"/>
    <col min="6425" max="6425" width="65.28515625" style="26" customWidth="1"/>
    <col min="6426" max="6426" width="13.28515625" style="26" customWidth="1"/>
    <col min="6427" max="6431" width="6.7109375" style="26" customWidth="1"/>
    <col min="6432" max="6656" width="11.5703125" style="26"/>
    <col min="6657" max="6658" width="6.140625" style="26" customWidth="1"/>
    <col min="6659" max="6659" width="50.42578125" style="26" customWidth="1"/>
    <col min="6660" max="6660" width="11.5703125" style="26"/>
    <col min="6661" max="6665" width="6.7109375" style="26" customWidth="1"/>
    <col min="6666" max="6666" width="9.85546875" style="26" customWidth="1"/>
    <col min="6667" max="6669" width="6.140625" style="26" customWidth="1"/>
    <col min="6670" max="6670" width="49" style="26" customWidth="1"/>
    <col min="6671" max="6671" width="10.85546875" style="26" customWidth="1"/>
    <col min="6672" max="6676" width="6.7109375" style="26" customWidth="1"/>
    <col min="6677" max="6677" width="10" style="26" customWidth="1"/>
    <col min="6678" max="6679" width="6.140625" style="26" customWidth="1"/>
    <col min="6680" max="6680" width="5.28515625" style="26" customWidth="1"/>
    <col min="6681" max="6681" width="65.28515625" style="26" customWidth="1"/>
    <col min="6682" max="6682" width="13.28515625" style="26" customWidth="1"/>
    <col min="6683" max="6687" width="6.7109375" style="26" customWidth="1"/>
    <col min="6688" max="6912" width="11.5703125" style="26"/>
    <col min="6913" max="6914" width="6.140625" style="26" customWidth="1"/>
    <col min="6915" max="6915" width="50.42578125" style="26" customWidth="1"/>
    <col min="6916" max="6916" width="11.5703125" style="26"/>
    <col min="6917" max="6921" width="6.7109375" style="26" customWidth="1"/>
    <col min="6922" max="6922" width="9.85546875" style="26" customWidth="1"/>
    <col min="6923" max="6925" width="6.140625" style="26" customWidth="1"/>
    <col min="6926" max="6926" width="49" style="26" customWidth="1"/>
    <col min="6927" max="6927" width="10.85546875" style="26" customWidth="1"/>
    <col min="6928" max="6932" width="6.7109375" style="26" customWidth="1"/>
    <col min="6933" max="6933" width="10" style="26" customWidth="1"/>
    <col min="6934" max="6935" width="6.140625" style="26" customWidth="1"/>
    <col min="6936" max="6936" width="5.28515625" style="26" customWidth="1"/>
    <col min="6937" max="6937" width="65.28515625" style="26" customWidth="1"/>
    <col min="6938" max="6938" width="13.28515625" style="26" customWidth="1"/>
    <col min="6939" max="6943" width="6.7109375" style="26" customWidth="1"/>
    <col min="6944" max="7168" width="11.5703125" style="26"/>
    <col min="7169" max="7170" width="6.140625" style="26" customWidth="1"/>
    <col min="7171" max="7171" width="50.42578125" style="26" customWidth="1"/>
    <col min="7172" max="7172" width="11.5703125" style="26"/>
    <col min="7173" max="7177" width="6.7109375" style="26" customWidth="1"/>
    <col min="7178" max="7178" width="9.85546875" style="26" customWidth="1"/>
    <col min="7179" max="7181" width="6.140625" style="26" customWidth="1"/>
    <col min="7182" max="7182" width="49" style="26" customWidth="1"/>
    <col min="7183" max="7183" width="10.85546875" style="26" customWidth="1"/>
    <col min="7184" max="7188" width="6.7109375" style="26" customWidth="1"/>
    <col min="7189" max="7189" width="10" style="26" customWidth="1"/>
    <col min="7190" max="7191" width="6.140625" style="26" customWidth="1"/>
    <col min="7192" max="7192" width="5.28515625" style="26" customWidth="1"/>
    <col min="7193" max="7193" width="65.28515625" style="26" customWidth="1"/>
    <col min="7194" max="7194" width="13.28515625" style="26" customWidth="1"/>
    <col min="7195" max="7199" width="6.7109375" style="26" customWidth="1"/>
    <col min="7200" max="7424" width="11.5703125" style="26"/>
    <col min="7425" max="7426" width="6.140625" style="26" customWidth="1"/>
    <col min="7427" max="7427" width="50.42578125" style="26" customWidth="1"/>
    <col min="7428" max="7428" width="11.5703125" style="26"/>
    <col min="7429" max="7433" width="6.7109375" style="26" customWidth="1"/>
    <col min="7434" max="7434" width="9.85546875" style="26" customWidth="1"/>
    <col min="7435" max="7437" width="6.140625" style="26" customWidth="1"/>
    <col min="7438" max="7438" width="49" style="26" customWidth="1"/>
    <col min="7439" max="7439" width="10.85546875" style="26" customWidth="1"/>
    <col min="7440" max="7444" width="6.7109375" style="26" customWidth="1"/>
    <col min="7445" max="7445" width="10" style="26" customWidth="1"/>
    <col min="7446" max="7447" width="6.140625" style="26" customWidth="1"/>
    <col min="7448" max="7448" width="5.28515625" style="26" customWidth="1"/>
    <col min="7449" max="7449" width="65.28515625" style="26" customWidth="1"/>
    <col min="7450" max="7450" width="13.28515625" style="26" customWidth="1"/>
    <col min="7451" max="7455" width="6.7109375" style="26" customWidth="1"/>
    <col min="7456" max="7680" width="11.5703125" style="26"/>
    <col min="7681" max="7682" width="6.140625" style="26" customWidth="1"/>
    <col min="7683" max="7683" width="50.42578125" style="26" customWidth="1"/>
    <col min="7684" max="7684" width="11.5703125" style="26"/>
    <col min="7685" max="7689" width="6.7109375" style="26" customWidth="1"/>
    <col min="7690" max="7690" width="9.85546875" style="26" customWidth="1"/>
    <col min="7691" max="7693" width="6.140625" style="26" customWidth="1"/>
    <col min="7694" max="7694" width="49" style="26" customWidth="1"/>
    <col min="7695" max="7695" width="10.85546875" style="26" customWidth="1"/>
    <col min="7696" max="7700" width="6.7109375" style="26" customWidth="1"/>
    <col min="7701" max="7701" width="10" style="26" customWidth="1"/>
    <col min="7702" max="7703" width="6.140625" style="26" customWidth="1"/>
    <col min="7704" max="7704" width="5.28515625" style="26" customWidth="1"/>
    <col min="7705" max="7705" width="65.28515625" style="26" customWidth="1"/>
    <col min="7706" max="7706" width="13.28515625" style="26" customWidth="1"/>
    <col min="7707" max="7711" width="6.7109375" style="26" customWidth="1"/>
    <col min="7712" max="7936" width="11.5703125" style="26"/>
    <col min="7937" max="7938" width="6.140625" style="26" customWidth="1"/>
    <col min="7939" max="7939" width="50.42578125" style="26" customWidth="1"/>
    <col min="7940" max="7940" width="11.5703125" style="26"/>
    <col min="7941" max="7945" width="6.7109375" style="26" customWidth="1"/>
    <col min="7946" max="7946" width="9.85546875" style="26" customWidth="1"/>
    <col min="7947" max="7949" width="6.140625" style="26" customWidth="1"/>
    <col min="7950" max="7950" width="49" style="26" customWidth="1"/>
    <col min="7951" max="7951" width="10.85546875" style="26" customWidth="1"/>
    <col min="7952" max="7956" width="6.7109375" style="26" customWidth="1"/>
    <col min="7957" max="7957" width="10" style="26" customWidth="1"/>
    <col min="7958" max="7959" width="6.140625" style="26" customWidth="1"/>
    <col min="7960" max="7960" width="5.28515625" style="26" customWidth="1"/>
    <col min="7961" max="7961" width="65.28515625" style="26" customWidth="1"/>
    <col min="7962" max="7962" width="13.28515625" style="26" customWidth="1"/>
    <col min="7963" max="7967" width="6.7109375" style="26" customWidth="1"/>
    <col min="7968" max="8192" width="11.5703125" style="26"/>
    <col min="8193" max="8194" width="6.140625" style="26" customWidth="1"/>
    <col min="8195" max="8195" width="50.42578125" style="26" customWidth="1"/>
    <col min="8196" max="8196" width="11.5703125" style="26"/>
    <col min="8197" max="8201" width="6.7109375" style="26" customWidth="1"/>
    <col min="8202" max="8202" width="9.85546875" style="26" customWidth="1"/>
    <col min="8203" max="8205" width="6.140625" style="26" customWidth="1"/>
    <col min="8206" max="8206" width="49" style="26" customWidth="1"/>
    <col min="8207" max="8207" width="10.85546875" style="26" customWidth="1"/>
    <col min="8208" max="8212" width="6.7109375" style="26" customWidth="1"/>
    <col min="8213" max="8213" width="10" style="26" customWidth="1"/>
    <col min="8214" max="8215" width="6.140625" style="26" customWidth="1"/>
    <col min="8216" max="8216" width="5.28515625" style="26" customWidth="1"/>
    <col min="8217" max="8217" width="65.28515625" style="26" customWidth="1"/>
    <col min="8218" max="8218" width="13.28515625" style="26" customWidth="1"/>
    <col min="8219" max="8223" width="6.7109375" style="26" customWidth="1"/>
    <col min="8224" max="8448" width="11.5703125" style="26"/>
    <col min="8449" max="8450" width="6.140625" style="26" customWidth="1"/>
    <col min="8451" max="8451" width="50.42578125" style="26" customWidth="1"/>
    <col min="8452" max="8452" width="11.5703125" style="26"/>
    <col min="8453" max="8457" width="6.7109375" style="26" customWidth="1"/>
    <col min="8458" max="8458" width="9.85546875" style="26" customWidth="1"/>
    <col min="8459" max="8461" width="6.140625" style="26" customWidth="1"/>
    <col min="8462" max="8462" width="49" style="26" customWidth="1"/>
    <col min="8463" max="8463" width="10.85546875" style="26" customWidth="1"/>
    <col min="8464" max="8468" width="6.7109375" style="26" customWidth="1"/>
    <col min="8469" max="8469" width="10" style="26" customWidth="1"/>
    <col min="8470" max="8471" width="6.140625" style="26" customWidth="1"/>
    <col min="8472" max="8472" width="5.28515625" style="26" customWidth="1"/>
    <col min="8473" max="8473" width="65.28515625" style="26" customWidth="1"/>
    <col min="8474" max="8474" width="13.28515625" style="26" customWidth="1"/>
    <col min="8475" max="8479" width="6.7109375" style="26" customWidth="1"/>
    <col min="8480" max="8704" width="11.5703125" style="26"/>
    <col min="8705" max="8706" width="6.140625" style="26" customWidth="1"/>
    <col min="8707" max="8707" width="50.42578125" style="26" customWidth="1"/>
    <col min="8708" max="8708" width="11.5703125" style="26"/>
    <col min="8709" max="8713" width="6.7109375" style="26" customWidth="1"/>
    <col min="8714" max="8714" width="9.85546875" style="26" customWidth="1"/>
    <col min="8715" max="8717" width="6.140625" style="26" customWidth="1"/>
    <col min="8718" max="8718" width="49" style="26" customWidth="1"/>
    <col min="8719" max="8719" width="10.85546875" style="26" customWidth="1"/>
    <col min="8720" max="8724" width="6.7109375" style="26" customWidth="1"/>
    <col min="8725" max="8725" width="10" style="26" customWidth="1"/>
    <col min="8726" max="8727" width="6.140625" style="26" customWidth="1"/>
    <col min="8728" max="8728" width="5.28515625" style="26" customWidth="1"/>
    <col min="8729" max="8729" width="65.28515625" style="26" customWidth="1"/>
    <col min="8730" max="8730" width="13.28515625" style="26" customWidth="1"/>
    <col min="8731" max="8735" width="6.7109375" style="26" customWidth="1"/>
    <col min="8736" max="8960" width="11.5703125" style="26"/>
    <col min="8961" max="8962" width="6.140625" style="26" customWidth="1"/>
    <col min="8963" max="8963" width="50.42578125" style="26" customWidth="1"/>
    <col min="8964" max="8964" width="11.5703125" style="26"/>
    <col min="8965" max="8969" width="6.7109375" style="26" customWidth="1"/>
    <col min="8970" max="8970" width="9.85546875" style="26" customWidth="1"/>
    <col min="8971" max="8973" width="6.140625" style="26" customWidth="1"/>
    <col min="8974" max="8974" width="49" style="26" customWidth="1"/>
    <col min="8975" max="8975" width="10.85546875" style="26" customWidth="1"/>
    <col min="8976" max="8980" width="6.7109375" style="26" customWidth="1"/>
    <col min="8981" max="8981" width="10" style="26" customWidth="1"/>
    <col min="8982" max="8983" width="6.140625" style="26" customWidth="1"/>
    <col min="8984" max="8984" width="5.28515625" style="26" customWidth="1"/>
    <col min="8985" max="8985" width="65.28515625" style="26" customWidth="1"/>
    <col min="8986" max="8986" width="13.28515625" style="26" customWidth="1"/>
    <col min="8987" max="8991" width="6.7109375" style="26" customWidth="1"/>
    <col min="8992" max="9216" width="11.5703125" style="26"/>
    <col min="9217" max="9218" width="6.140625" style="26" customWidth="1"/>
    <col min="9219" max="9219" width="50.42578125" style="26" customWidth="1"/>
    <col min="9220" max="9220" width="11.5703125" style="26"/>
    <col min="9221" max="9225" width="6.7109375" style="26" customWidth="1"/>
    <col min="9226" max="9226" width="9.85546875" style="26" customWidth="1"/>
    <col min="9227" max="9229" width="6.140625" style="26" customWidth="1"/>
    <col min="9230" max="9230" width="49" style="26" customWidth="1"/>
    <col min="9231" max="9231" width="10.85546875" style="26" customWidth="1"/>
    <col min="9232" max="9236" width="6.7109375" style="26" customWidth="1"/>
    <col min="9237" max="9237" width="10" style="26" customWidth="1"/>
    <col min="9238" max="9239" width="6.140625" style="26" customWidth="1"/>
    <col min="9240" max="9240" width="5.28515625" style="26" customWidth="1"/>
    <col min="9241" max="9241" width="65.28515625" style="26" customWidth="1"/>
    <col min="9242" max="9242" width="13.28515625" style="26" customWidth="1"/>
    <col min="9243" max="9247" width="6.7109375" style="26" customWidth="1"/>
    <col min="9248" max="9472" width="11.5703125" style="26"/>
    <col min="9473" max="9474" width="6.140625" style="26" customWidth="1"/>
    <col min="9475" max="9475" width="50.42578125" style="26" customWidth="1"/>
    <col min="9476" max="9476" width="11.5703125" style="26"/>
    <col min="9477" max="9481" width="6.7109375" style="26" customWidth="1"/>
    <col min="9482" max="9482" width="9.85546875" style="26" customWidth="1"/>
    <col min="9483" max="9485" width="6.140625" style="26" customWidth="1"/>
    <col min="9486" max="9486" width="49" style="26" customWidth="1"/>
    <col min="9487" max="9487" width="10.85546875" style="26" customWidth="1"/>
    <col min="9488" max="9492" width="6.7109375" style="26" customWidth="1"/>
    <col min="9493" max="9493" width="10" style="26" customWidth="1"/>
    <col min="9494" max="9495" width="6.140625" style="26" customWidth="1"/>
    <col min="9496" max="9496" width="5.28515625" style="26" customWidth="1"/>
    <col min="9497" max="9497" width="65.28515625" style="26" customWidth="1"/>
    <col min="9498" max="9498" width="13.28515625" style="26" customWidth="1"/>
    <col min="9499" max="9503" width="6.7109375" style="26" customWidth="1"/>
    <col min="9504" max="9728" width="11.5703125" style="26"/>
    <col min="9729" max="9730" width="6.140625" style="26" customWidth="1"/>
    <col min="9731" max="9731" width="50.42578125" style="26" customWidth="1"/>
    <col min="9732" max="9732" width="11.5703125" style="26"/>
    <col min="9733" max="9737" width="6.7109375" style="26" customWidth="1"/>
    <col min="9738" max="9738" width="9.85546875" style="26" customWidth="1"/>
    <col min="9739" max="9741" width="6.140625" style="26" customWidth="1"/>
    <col min="9742" max="9742" width="49" style="26" customWidth="1"/>
    <col min="9743" max="9743" width="10.85546875" style="26" customWidth="1"/>
    <col min="9744" max="9748" width="6.7109375" style="26" customWidth="1"/>
    <col min="9749" max="9749" width="10" style="26" customWidth="1"/>
    <col min="9750" max="9751" width="6.140625" style="26" customWidth="1"/>
    <col min="9752" max="9752" width="5.28515625" style="26" customWidth="1"/>
    <col min="9753" max="9753" width="65.28515625" style="26" customWidth="1"/>
    <col min="9754" max="9754" width="13.28515625" style="26" customWidth="1"/>
    <col min="9755" max="9759" width="6.7109375" style="26" customWidth="1"/>
    <col min="9760" max="9984" width="11.5703125" style="26"/>
    <col min="9985" max="9986" width="6.140625" style="26" customWidth="1"/>
    <col min="9987" max="9987" width="50.42578125" style="26" customWidth="1"/>
    <col min="9988" max="9988" width="11.5703125" style="26"/>
    <col min="9989" max="9993" width="6.7109375" style="26" customWidth="1"/>
    <col min="9994" max="9994" width="9.85546875" style="26" customWidth="1"/>
    <col min="9995" max="9997" width="6.140625" style="26" customWidth="1"/>
    <col min="9998" max="9998" width="49" style="26" customWidth="1"/>
    <col min="9999" max="9999" width="10.85546875" style="26" customWidth="1"/>
    <col min="10000" max="10004" width="6.7109375" style="26" customWidth="1"/>
    <col min="10005" max="10005" width="10" style="26" customWidth="1"/>
    <col min="10006" max="10007" width="6.140625" style="26" customWidth="1"/>
    <col min="10008" max="10008" width="5.28515625" style="26" customWidth="1"/>
    <col min="10009" max="10009" width="65.28515625" style="26" customWidth="1"/>
    <col min="10010" max="10010" width="13.28515625" style="26" customWidth="1"/>
    <col min="10011" max="10015" width="6.7109375" style="26" customWidth="1"/>
    <col min="10016" max="10240" width="11.5703125" style="26"/>
    <col min="10241" max="10242" width="6.140625" style="26" customWidth="1"/>
    <col min="10243" max="10243" width="50.42578125" style="26" customWidth="1"/>
    <col min="10244" max="10244" width="11.5703125" style="26"/>
    <col min="10245" max="10249" width="6.7109375" style="26" customWidth="1"/>
    <col min="10250" max="10250" width="9.85546875" style="26" customWidth="1"/>
    <col min="10251" max="10253" width="6.140625" style="26" customWidth="1"/>
    <col min="10254" max="10254" width="49" style="26" customWidth="1"/>
    <col min="10255" max="10255" width="10.85546875" style="26" customWidth="1"/>
    <col min="10256" max="10260" width="6.7109375" style="26" customWidth="1"/>
    <col min="10261" max="10261" width="10" style="26" customWidth="1"/>
    <col min="10262" max="10263" width="6.140625" style="26" customWidth="1"/>
    <col min="10264" max="10264" width="5.28515625" style="26" customWidth="1"/>
    <col min="10265" max="10265" width="65.28515625" style="26" customWidth="1"/>
    <col min="10266" max="10266" width="13.28515625" style="26" customWidth="1"/>
    <col min="10267" max="10271" width="6.7109375" style="26" customWidth="1"/>
    <col min="10272" max="10496" width="11.5703125" style="26"/>
    <col min="10497" max="10498" width="6.140625" style="26" customWidth="1"/>
    <col min="10499" max="10499" width="50.42578125" style="26" customWidth="1"/>
    <col min="10500" max="10500" width="11.5703125" style="26"/>
    <col min="10501" max="10505" width="6.7109375" style="26" customWidth="1"/>
    <col min="10506" max="10506" width="9.85546875" style="26" customWidth="1"/>
    <col min="10507" max="10509" width="6.140625" style="26" customWidth="1"/>
    <col min="10510" max="10510" width="49" style="26" customWidth="1"/>
    <col min="10511" max="10511" width="10.85546875" style="26" customWidth="1"/>
    <col min="10512" max="10516" width="6.7109375" style="26" customWidth="1"/>
    <col min="10517" max="10517" width="10" style="26" customWidth="1"/>
    <col min="10518" max="10519" width="6.140625" style="26" customWidth="1"/>
    <col min="10520" max="10520" width="5.28515625" style="26" customWidth="1"/>
    <col min="10521" max="10521" width="65.28515625" style="26" customWidth="1"/>
    <col min="10522" max="10522" width="13.28515625" style="26" customWidth="1"/>
    <col min="10523" max="10527" width="6.7109375" style="26" customWidth="1"/>
    <col min="10528" max="10752" width="11.5703125" style="26"/>
    <col min="10753" max="10754" width="6.140625" style="26" customWidth="1"/>
    <col min="10755" max="10755" width="50.42578125" style="26" customWidth="1"/>
    <col min="10756" max="10756" width="11.5703125" style="26"/>
    <col min="10757" max="10761" width="6.7109375" style="26" customWidth="1"/>
    <col min="10762" max="10762" width="9.85546875" style="26" customWidth="1"/>
    <col min="10763" max="10765" width="6.140625" style="26" customWidth="1"/>
    <col min="10766" max="10766" width="49" style="26" customWidth="1"/>
    <col min="10767" max="10767" width="10.85546875" style="26" customWidth="1"/>
    <col min="10768" max="10772" width="6.7109375" style="26" customWidth="1"/>
    <col min="10773" max="10773" width="10" style="26" customWidth="1"/>
    <col min="10774" max="10775" width="6.140625" style="26" customWidth="1"/>
    <col min="10776" max="10776" width="5.28515625" style="26" customWidth="1"/>
    <col min="10777" max="10777" width="65.28515625" style="26" customWidth="1"/>
    <col min="10778" max="10778" width="13.28515625" style="26" customWidth="1"/>
    <col min="10779" max="10783" width="6.7109375" style="26" customWidth="1"/>
    <col min="10784" max="11008" width="11.5703125" style="26"/>
    <col min="11009" max="11010" width="6.140625" style="26" customWidth="1"/>
    <col min="11011" max="11011" width="50.42578125" style="26" customWidth="1"/>
    <col min="11012" max="11012" width="11.5703125" style="26"/>
    <col min="11013" max="11017" width="6.7109375" style="26" customWidth="1"/>
    <col min="11018" max="11018" width="9.85546875" style="26" customWidth="1"/>
    <col min="11019" max="11021" width="6.140625" style="26" customWidth="1"/>
    <col min="11022" max="11022" width="49" style="26" customWidth="1"/>
    <col min="11023" max="11023" width="10.85546875" style="26" customWidth="1"/>
    <col min="11024" max="11028" width="6.7109375" style="26" customWidth="1"/>
    <col min="11029" max="11029" width="10" style="26" customWidth="1"/>
    <col min="11030" max="11031" width="6.140625" style="26" customWidth="1"/>
    <col min="11032" max="11032" width="5.28515625" style="26" customWidth="1"/>
    <col min="11033" max="11033" width="65.28515625" style="26" customWidth="1"/>
    <col min="11034" max="11034" width="13.28515625" style="26" customWidth="1"/>
    <col min="11035" max="11039" width="6.7109375" style="26" customWidth="1"/>
    <col min="11040" max="11264" width="11.5703125" style="26"/>
    <col min="11265" max="11266" width="6.140625" style="26" customWidth="1"/>
    <col min="11267" max="11267" width="50.42578125" style="26" customWidth="1"/>
    <col min="11268" max="11268" width="11.5703125" style="26"/>
    <col min="11269" max="11273" width="6.7109375" style="26" customWidth="1"/>
    <col min="11274" max="11274" width="9.85546875" style="26" customWidth="1"/>
    <col min="11275" max="11277" width="6.140625" style="26" customWidth="1"/>
    <col min="11278" max="11278" width="49" style="26" customWidth="1"/>
    <col min="11279" max="11279" width="10.85546875" style="26" customWidth="1"/>
    <col min="11280" max="11284" width="6.7109375" style="26" customWidth="1"/>
    <col min="11285" max="11285" width="10" style="26" customWidth="1"/>
    <col min="11286" max="11287" width="6.140625" style="26" customWidth="1"/>
    <col min="11288" max="11288" width="5.28515625" style="26" customWidth="1"/>
    <col min="11289" max="11289" width="65.28515625" style="26" customWidth="1"/>
    <col min="11290" max="11290" width="13.28515625" style="26" customWidth="1"/>
    <col min="11291" max="11295" width="6.7109375" style="26" customWidth="1"/>
    <col min="11296" max="11520" width="11.5703125" style="26"/>
    <col min="11521" max="11522" width="6.140625" style="26" customWidth="1"/>
    <col min="11523" max="11523" width="50.42578125" style="26" customWidth="1"/>
    <col min="11524" max="11524" width="11.5703125" style="26"/>
    <col min="11525" max="11529" width="6.7109375" style="26" customWidth="1"/>
    <col min="11530" max="11530" width="9.85546875" style="26" customWidth="1"/>
    <col min="11531" max="11533" width="6.140625" style="26" customWidth="1"/>
    <col min="11534" max="11534" width="49" style="26" customWidth="1"/>
    <col min="11535" max="11535" width="10.85546875" style="26" customWidth="1"/>
    <col min="11536" max="11540" width="6.7109375" style="26" customWidth="1"/>
    <col min="11541" max="11541" width="10" style="26" customWidth="1"/>
    <col min="11542" max="11543" width="6.140625" style="26" customWidth="1"/>
    <col min="11544" max="11544" width="5.28515625" style="26" customWidth="1"/>
    <col min="11545" max="11545" width="65.28515625" style="26" customWidth="1"/>
    <col min="11546" max="11546" width="13.28515625" style="26" customWidth="1"/>
    <col min="11547" max="11551" width="6.7109375" style="26" customWidth="1"/>
    <col min="11552" max="11776" width="11.5703125" style="26"/>
    <col min="11777" max="11778" width="6.140625" style="26" customWidth="1"/>
    <col min="11779" max="11779" width="50.42578125" style="26" customWidth="1"/>
    <col min="11780" max="11780" width="11.5703125" style="26"/>
    <col min="11781" max="11785" width="6.7109375" style="26" customWidth="1"/>
    <col min="11786" max="11786" width="9.85546875" style="26" customWidth="1"/>
    <col min="11787" max="11789" width="6.140625" style="26" customWidth="1"/>
    <col min="11790" max="11790" width="49" style="26" customWidth="1"/>
    <col min="11791" max="11791" width="10.85546875" style="26" customWidth="1"/>
    <col min="11792" max="11796" width="6.7109375" style="26" customWidth="1"/>
    <col min="11797" max="11797" width="10" style="26" customWidth="1"/>
    <col min="11798" max="11799" width="6.140625" style="26" customWidth="1"/>
    <col min="11800" max="11800" width="5.28515625" style="26" customWidth="1"/>
    <col min="11801" max="11801" width="65.28515625" style="26" customWidth="1"/>
    <col min="11802" max="11802" width="13.28515625" style="26" customWidth="1"/>
    <col min="11803" max="11807" width="6.7109375" style="26" customWidth="1"/>
    <col min="11808" max="12032" width="11.5703125" style="26"/>
    <col min="12033" max="12034" width="6.140625" style="26" customWidth="1"/>
    <col min="12035" max="12035" width="50.42578125" style="26" customWidth="1"/>
    <col min="12036" max="12036" width="11.5703125" style="26"/>
    <col min="12037" max="12041" width="6.7109375" style="26" customWidth="1"/>
    <col min="12042" max="12042" width="9.85546875" style="26" customWidth="1"/>
    <col min="12043" max="12045" width="6.140625" style="26" customWidth="1"/>
    <col min="12046" max="12046" width="49" style="26" customWidth="1"/>
    <col min="12047" max="12047" width="10.85546875" style="26" customWidth="1"/>
    <col min="12048" max="12052" width="6.7109375" style="26" customWidth="1"/>
    <col min="12053" max="12053" width="10" style="26" customWidth="1"/>
    <col min="12054" max="12055" width="6.140625" style="26" customWidth="1"/>
    <col min="12056" max="12056" width="5.28515625" style="26" customWidth="1"/>
    <col min="12057" max="12057" width="65.28515625" style="26" customWidth="1"/>
    <col min="12058" max="12058" width="13.28515625" style="26" customWidth="1"/>
    <col min="12059" max="12063" width="6.7109375" style="26" customWidth="1"/>
    <col min="12064" max="12288" width="11.5703125" style="26"/>
    <col min="12289" max="12290" width="6.140625" style="26" customWidth="1"/>
    <col min="12291" max="12291" width="50.42578125" style="26" customWidth="1"/>
    <col min="12292" max="12292" width="11.5703125" style="26"/>
    <col min="12293" max="12297" width="6.7109375" style="26" customWidth="1"/>
    <col min="12298" max="12298" width="9.85546875" style="26" customWidth="1"/>
    <col min="12299" max="12301" width="6.140625" style="26" customWidth="1"/>
    <col min="12302" max="12302" width="49" style="26" customWidth="1"/>
    <col min="12303" max="12303" width="10.85546875" style="26" customWidth="1"/>
    <col min="12304" max="12308" width="6.7109375" style="26" customWidth="1"/>
    <col min="12309" max="12309" width="10" style="26" customWidth="1"/>
    <col min="12310" max="12311" width="6.140625" style="26" customWidth="1"/>
    <col min="12312" max="12312" width="5.28515625" style="26" customWidth="1"/>
    <col min="12313" max="12313" width="65.28515625" style="26" customWidth="1"/>
    <col min="12314" max="12314" width="13.28515625" style="26" customWidth="1"/>
    <col min="12315" max="12319" width="6.7109375" style="26" customWidth="1"/>
    <col min="12320" max="12544" width="11.5703125" style="26"/>
    <col min="12545" max="12546" width="6.140625" style="26" customWidth="1"/>
    <col min="12547" max="12547" width="50.42578125" style="26" customWidth="1"/>
    <col min="12548" max="12548" width="11.5703125" style="26"/>
    <col min="12549" max="12553" width="6.7109375" style="26" customWidth="1"/>
    <col min="12554" max="12554" width="9.85546875" style="26" customWidth="1"/>
    <col min="12555" max="12557" width="6.140625" style="26" customWidth="1"/>
    <col min="12558" max="12558" width="49" style="26" customWidth="1"/>
    <col min="12559" max="12559" width="10.85546875" style="26" customWidth="1"/>
    <col min="12560" max="12564" width="6.7109375" style="26" customWidth="1"/>
    <col min="12565" max="12565" width="10" style="26" customWidth="1"/>
    <col min="12566" max="12567" width="6.140625" style="26" customWidth="1"/>
    <col min="12568" max="12568" width="5.28515625" style="26" customWidth="1"/>
    <col min="12569" max="12569" width="65.28515625" style="26" customWidth="1"/>
    <col min="12570" max="12570" width="13.28515625" style="26" customWidth="1"/>
    <col min="12571" max="12575" width="6.7109375" style="26" customWidth="1"/>
    <col min="12576" max="12800" width="11.5703125" style="26"/>
    <col min="12801" max="12802" width="6.140625" style="26" customWidth="1"/>
    <col min="12803" max="12803" width="50.42578125" style="26" customWidth="1"/>
    <col min="12804" max="12804" width="11.5703125" style="26"/>
    <col min="12805" max="12809" width="6.7109375" style="26" customWidth="1"/>
    <col min="12810" max="12810" width="9.85546875" style="26" customWidth="1"/>
    <col min="12811" max="12813" width="6.140625" style="26" customWidth="1"/>
    <col min="12814" max="12814" width="49" style="26" customWidth="1"/>
    <col min="12815" max="12815" width="10.85546875" style="26" customWidth="1"/>
    <col min="12816" max="12820" width="6.7109375" style="26" customWidth="1"/>
    <col min="12821" max="12821" width="10" style="26" customWidth="1"/>
    <col min="12822" max="12823" width="6.140625" style="26" customWidth="1"/>
    <col min="12824" max="12824" width="5.28515625" style="26" customWidth="1"/>
    <col min="12825" max="12825" width="65.28515625" style="26" customWidth="1"/>
    <col min="12826" max="12826" width="13.28515625" style="26" customWidth="1"/>
    <col min="12827" max="12831" width="6.7109375" style="26" customWidth="1"/>
    <col min="12832" max="13056" width="11.5703125" style="26"/>
    <col min="13057" max="13058" width="6.140625" style="26" customWidth="1"/>
    <col min="13059" max="13059" width="50.42578125" style="26" customWidth="1"/>
    <col min="13060" max="13060" width="11.5703125" style="26"/>
    <col min="13061" max="13065" width="6.7109375" style="26" customWidth="1"/>
    <col min="13066" max="13066" width="9.85546875" style="26" customWidth="1"/>
    <col min="13067" max="13069" width="6.140625" style="26" customWidth="1"/>
    <col min="13070" max="13070" width="49" style="26" customWidth="1"/>
    <col min="13071" max="13071" width="10.85546875" style="26" customWidth="1"/>
    <col min="13072" max="13076" width="6.7109375" style="26" customWidth="1"/>
    <col min="13077" max="13077" width="10" style="26" customWidth="1"/>
    <col min="13078" max="13079" width="6.140625" style="26" customWidth="1"/>
    <col min="13080" max="13080" width="5.28515625" style="26" customWidth="1"/>
    <col min="13081" max="13081" width="65.28515625" style="26" customWidth="1"/>
    <col min="13082" max="13082" width="13.28515625" style="26" customWidth="1"/>
    <col min="13083" max="13087" width="6.7109375" style="26" customWidth="1"/>
    <col min="13088" max="13312" width="11.5703125" style="26"/>
    <col min="13313" max="13314" width="6.140625" style="26" customWidth="1"/>
    <col min="13315" max="13315" width="50.42578125" style="26" customWidth="1"/>
    <col min="13316" max="13316" width="11.5703125" style="26"/>
    <col min="13317" max="13321" width="6.7109375" style="26" customWidth="1"/>
    <col min="13322" max="13322" width="9.85546875" style="26" customWidth="1"/>
    <col min="13323" max="13325" width="6.140625" style="26" customWidth="1"/>
    <col min="13326" max="13326" width="49" style="26" customWidth="1"/>
    <col min="13327" max="13327" width="10.85546875" style="26" customWidth="1"/>
    <col min="13328" max="13332" width="6.7109375" style="26" customWidth="1"/>
    <col min="13333" max="13333" width="10" style="26" customWidth="1"/>
    <col min="13334" max="13335" width="6.140625" style="26" customWidth="1"/>
    <col min="13336" max="13336" width="5.28515625" style="26" customWidth="1"/>
    <col min="13337" max="13337" width="65.28515625" style="26" customWidth="1"/>
    <col min="13338" max="13338" width="13.28515625" style="26" customWidth="1"/>
    <col min="13339" max="13343" width="6.7109375" style="26" customWidth="1"/>
    <col min="13344" max="13568" width="11.5703125" style="26"/>
    <col min="13569" max="13570" width="6.140625" style="26" customWidth="1"/>
    <col min="13571" max="13571" width="50.42578125" style="26" customWidth="1"/>
    <col min="13572" max="13572" width="11.5703125" style="26"/>
    <col min="13573" max="13577" width="6.7109375" style="26" customWidth="1"/>
    <col min="13578" max="13578" width="9.85546875" style="26" customWidth="1"/>
    <col min="13579" max="13581" width="6.140625" style="26" customWidth="1"/>
    <col min="13582" max="13582" width="49" style="26" customWidth="1"/>
    <col min="13583" max="13583" width="10.85546875" style="26" customWidth="1"/>
    <col min="13584" max="13588" width="6.7109375" style="26" customWidth="1"/>
    <col min="13589" max="13589" width="10" style="26" customWidth="1"/>
    <col min="13590" max="13591" width="6.140625" style="26" customWidth="1"/>
    <col min="13592" max="13592" width="5.28515625" style="26" customWidth="1"/>
    <col min="13593" max="13593" width="65.28515625" style="26" customWidth="1"/>
    <col min="13594" max="13594" width="13.28515625" style="26" customWidth="1"/>
    <col min="13595" max="13599" width="6.7109375" style="26" customWidth="1"/>
    <col min="13600" max="13824" width="11.5703125" style="26"/>
    <col min="13825" max="13826" width="6.140625" style="26" customWidth="1"/>
    <col min="13827" max="13827" width="50.42578125" style="26" customWidth="1"/>
    <col min="13828" max="13828" width="11.5703125" style="26"/>
    <col min="13829" max="13833" width="6.7109375" style="26" customWidth="1"/>
    <col min="13834" max="13834" width="9.85546875" style="26" customWidth="1"/>
    <col min="13835" max="13837" width="6.140625" style="26" customWidth="1"/>
    <col min="13838" max="13838" width="49" style="26" customWidth="1"/>
    <col min="13839" max="13839" width="10.85546875" style="26" customWidth="1"/>
    <col min="13840" max="13844" width="6.7109375" style="26" customWidth="1"/>
    <col min="13845" max="13845" width="10" style="26" customWidth="1"/>
    <col min="13846" max="13847" width="6.140625" style="26" customWidth="1"/>
    <col min="13848" max="13848" width="5.28515625" style="26" customWidth="1"/>
    <col min="13849" max="13849" width="65.28515625" style="26" customWidth="1"/>
    <col min="13850" max="13850" width="13.28515625" style="26" customWidth="1"/>
    <col min="13851" max="13855" width="6.7109375" style="26" customWidth="1"/>
    <col min="13856" max="14080" width="11.5703125" style="26"/>
    <col min="14081" max="14082" width="6.140625" style="26" customWidth="1"/>
    <col min="14083" max="14083" width="50.42578125" style="26" customWidth="1"/>
    <col min="14084" max="14084" width="11.5703125" style="26"/>
    <col min="14085" max="14089" width="6.7109375" style="26" customWidth="1"/>
    <col min="14090" max="14090" width="9.85546875" style="26" customWidth="1"/>
    <col min="14091" max="14093" width="6.140625" style="26" customWidth="1"/>
    <col min="14094" max="14094" width="49" style="26" customWidth="1"/>
    <col min="14095" max="14095" width="10.85546875" style="26" customWidth="1"/>
    <col min="14096" max="14100" width="6.7109375" style="26" customWidth="1"/>
    <col min="14101" max="14101" width="10" style="26" customWidth="1"/>
    <col min="14102" max="14103" width="6.140625" style="26" customWidth="1"/>
    <col min="14104" max="14104" width="5.28515625" style="26" customWidth="1"/>
    <col min="14105" max="14105" width="65.28515625" style="26" customWidth="1"/>
    <col min="14106" max="14106" width="13.28515625" style="26" customWidth="1"/>
    <col min="14107" max="14111" width="6.7109375" style="26" customWidth="1"/>
    <col min="14112" max="14336" width="11.5703125" style="26"/>
    <col min="14337" max="14338" width="6.140625" style="26" customWidth="1"/>
    <col min="14339" max="14339" width="50.42578125" style="26" customWidth="1"/>
    <col min="14340" max="14340" width="11.5703125" style="26"/>
    <col min="14341" max="14345" width="6.7109375" style="26" customWidth="1"/>
    <col min="14346" max="14346" width="9.85546875" style="26" customWidth="1"/>
    <col min="14347" max="14349" width="6.140625" style="26" customWidth="1"/>
    <col min="14350" max="14350" width="49" style="26" customWidth="1"/>
    <col min="14351" max="14351" width="10.85546875" style="26" customWidth="1"/>
    <col min="14352" max="14356" width="6.7109375" style="26" customWidth="1"/>
    <col min="14357" max="14357" width="10" style="26" customWidth="1"/>
    <col min="14358" max="14359" width="6.140625" style="26" customWidth="1"/>
    <col min="14360" max="14360" width="5.28515625" style="26" customWidth="1"/>
    <col min="14361" max="14361" width="65.28515625" style="26" customWidth="1"/>
    <col min="14362" max="14362" width="13.28515625" style="26" customWidth="1"/>
    <col min="14363" max="14367" width="6.7109375" style="26" customWidth="1"/>
    <col min="14368" max="14592" width="11.5703125" style="26"/>
    <col min="14593" max="14594" width="6.140625" style="26" customWidth="1"/>
    <col min="14595" max="14595" width="50.42578125" style="26" customWidth="1"/>
    <col min="14596" max="14596" width="11.5703125" style="26"/>
    <col min="14597" max="14601" width="6.7109375" style="26" customWidth="1"/>
    <col min="14602" max="14602" width="9.85546875" style="26" customWidth="1"/>
    <col min="14603" max="14605" width="6.140625" style="26" customWidth="1"/>
    <col min="14606" max="14606" width="49" style="26" customWidth="1"/>
    <col min="14607" max="14607" width="10.85546875" style="26" customWidth="1"/>
    <col min="14608" max="14612" width="6.7109375" style="26" customWidth="1"/>
    <col min="14613" max="14613" width="10" style="26" customWidth="1"/>
    <col min="14614" max="14615" width="6.140625" style="26" customWidth="1"/>
    <col min="14616" max="14616" width="5.28515625" style="26" customWidth="1"/>
    <col min="14617" max="14617" width="65.28515625" style="26" customWidth="1"/>
    <col min="14618" max="14618" width="13.28515625" style="26" customWidth="1"/>
    <col min="14619" max="14623" width="6.7109375" style="26" customWidth="1"/>
    <col min="14624" max="14848" width="11.5703125" style="26"/>
    <col min="14849" max="14850" width="6.140625" style="26" customWidth="1"/>
    <col min="14851" max="14851" width="50.42578125" style="26" customWidth="1"/>
    <col min="14852" max="14852" width="11.5703125" style="26"/>
    <col min="14853" max="14857" width="6.7109375" style="26" customWidth="1"/>
    <col min="14858" max="14858" width="9.85546875" style="26" customWidth="1"/>
    <col min="14859" max="14861" width="6.140625" style="26" customWidth="1"/>
    <col min="14862" max="14862" width="49" style="26" customWidth="1"/>
    <col min="14863" max="14863" width="10.85546875" style="26" customWidth="1"/>
    <col min="14864" max="14868" width="6.7109375" style="26" customWidth="1"/>
    <col min="14869" max="14869" width="10" style="26" customWidth="1"/>
    <col min="14870" max="14871" width="6.140625" style="26" customWidth="1"/>
    <col min="14872" max="14872" width="5.28515625" style="26" customWidth="1"/>
    <col min="14873" max="14873" width="65.28515625" style="26" customWidth="1"/>
    <col min="14874" max="14874" width="13.28515625" style="26" customWidth="1"/>
    <col min="14875" max="14879" width="6.7109375" style="26" customWidth="1"/>
    <col min="14880" max="15104" width="11.5703125" style="26"/>
    <col min="15105" max="15106" width="6.140625" style="26" customWidth="1"/>
    <col min="15107" max="15107" width="50.42578125" style="26" customWidth="1"/>
    <col min="15108" max="15108" width="11.5703125" style="26"/>
    <col min="15109" max="15113" width="6.7109375" style="26" customWidth="1"/>
    <col min="15114" max="15114" width="9.85546875" style="26" customWidth="1"/>
    <col min="15115" max="15117" width="6.140625" style="26" customWidth="1"/>
    <col min="15118" max="15118" width="49" style="26" customWidth="1"/>
    <col min="15119" max="15119" width="10.85546875" style="26" customWidth="1"/>
    <col min="15120" max="15124" width="6.7109375" style="26" customWidth="1"/>
    <col min="15125" max="15125" width="10" style="26" customWidth="1"/>
    <col min="15126" max="15127" width="6.140625" style="26" customWidth="1"/>
    <col min="15128" max="15128" width="5.28515625" style="26" customWidth="1"/>
    <col min="15129" max="15129" width="65.28515625" style="26" customWidth="1"/>
    <col min="15130" max="15130" width="13.28515625" style="26" customWidth="1"/>
    <col min="15131" max="15135" width="6.7109375" style="26" customWidth="1"/>
    <col min="15136" max="15360" width="11.5703125" style="26"/>
    <col min="15361" max="15362" width="6.140625" style="26" customWidth="1"/>
    <col min="15363" max="15363" width="50.42578125" style="26" customWidth="1"/>
    <col min="15364" max="15364" width="11.5703125" style="26"/>
    <col min="15365" max="15369" width="6.7109375" style="26" customWidth="1"/>
    <col min="15370" max="15370" width="9.85546875" style="26" customWidth="1"/>
    <col min="15371" max="15373" width="6.140625" style="26" customWidth="1"/>
    <col min="15374" max="15374" width="49" style="26" customWidth="1"/>
    <col min="15375" max="15375" width="10.85546875" style="26" customWidth="1"/>
    <col min="15376" max="15380" width="6.7109375" style="26" customWidth="1"/>
    <col min="15381" max="15381" width="10" style="26" customWidth="1"/>
    <col min="15382" max="15383" width="6.140625" style="26" customWidth="1"/>
    <col min="15384" max="15384" width="5.28515625" style="26" customWidth="1"/>
    <col min="15385" max="15385" width="65.28515625" style="26" customWidth="1"/>
    <col min="15386" max="15386" width="13.28515625" style="26" customWidth="1"/>
    <col min="15387" max="15391" width="6.7109375" style="26" customWidth="1"/>
    <col min="15392" max="15616" width="11.5703125" style="26"/>
    <col min="15617" max="15618" width="6.140625" style="26" customWidth="1"/>
    <col min="15619" max="15619" width="50.42578125" style="26" customWidth="1"/>
    <col min="15620" max="15620" width="11.5703125" style="26"/>
    <col min="15621" max="15625" width="6.7109375" style="26" customWidth="1"/>
    <col min="15626" max="15626" width="9.85546875" style="26" customWidth="1"/>
    <col min="15627" max="15629" width="6.140625" style="26" customWidth="1"/>
    <col min="15630" max="15630" width="49" style="26" customWidth="1"/>
    <col min="15631" max="15631" width="10.85546875" style="26" customWidth="1"/>
    <col min="15632" max="15636" width="6.7109375" style="26" customWidth="1"/>
    <col min="15637" max="15637" width="10" style="26" customWidth="1"/>
    <col min="15638" max="15639" width="6.140625" style="26" customWidth="1"/>
    <col min="15640" max="15640" width="5.28515625" style="26" customWidth="1"/>
    <col min="15641" max="15641" width="65.28515625" style="26" customWidth="1"/>
    <col min="15642" max="15642" width="13.28515625" style="26" customWidth="1"/>
    <col min="15643" max="15647" width="6.7109375" style="26" customWidth="1"/>
    <col min="15648" max="15872" width="11.5703125" style="26"/>
    <col min="15873" max="15874" width="6.140625" style="26" customWidth="1"/>
    <col min="15875" max="15875" width="50.42578125" style="26" customWidth="1"/>
    <col min="15876" max="15876" width="11.5703125" style="26"/>
    <col min="15877" max="15881" width="6.7109375" style="26" customWidth="1"/>
    <col min="15882" max="15882" width="9.85546875" style="26" customWidth="1"/>
    <col min="15883" max="15885" width="6.140625" style="26" customWidth="1"/>
    <col min="15886" max="15886" width="49" style="26" customWidth="1"/>
    <col min="15887" max="15887" width="10.85546875" style="26" customWidth="1"/>
    <col min="15888" max="15892" width="6.7109375" style="26" customWidth="1"/>
    <col min="15893" max="15893" width="10" style="26" customWidth="1"/>
    <col min="15894" max="15895" width="6.140625" style="26" customWidth="1"/>
    <col min="15896" max="15896" width="5.28515625" style="26" customWidth="1"/>
    <col min="15897" max="15897" width="65.28515625" style="26" customWidth="1"/>
    <col min="15898" max="15898" width="13.28515625" style="26" customWidth="1"/>
    <col min="15899" max="15903" width="6.7109375" style="26" customWidth="1"/>
    <col min="15904" max="16128" width="11.5703125" style="26"/>
    <col min="16129" max="16130" width="6.140625" style="26" customWidth="1"/>
    <col min="16131" max="16131" width="50.42578125" style="26" customWidth="1"/>
    <col min="16132" max="16132" width="11.5703125" style="26"/>
    <col min="16133" max="16137" width="6.7109375" style="26" customWidth="1"/>
    <col min="16138" max="16138" width="9.85546875" style="26" customWidth="1"/>
    <col min="16139" max="16141" width="6.140625" style="26" customWidth="1"/>
    <col min="16142" max="16142" width="49" style="26" customWidth="1"/>
    <col min="16143" max="16143" width="10.85546875" style="26" customWidth="1"/>
    <col min="16144" max="16148" width="6.7109375" style="26" customWidth="1"/>
    <col min="16149" max="16149" width="10" style="26" customWidth="1"/>
    <col min="16150" max="16151" width="6.140625" style="26" customWidth="1"/>
    <col min="16152" max="16152" width="5.28515625" style="26" customWidth="1"/>
    <col min="16153" max="16153" width="65.28515625" style="26" customWidth="1"/>
    <col min="16154" max="16154" width="13.28515625" style="26" customWidth="1"/>
    <col min="16155" max="16159" width="6.7109375" style="26" customWidth="1"/>
    <col min="16160" max="16384" width="11.5703125" style="26"/>
  </cols>
  <sheetData>
    <row r="1" spans="2:53" x14ac:dyDescent="0.2">
      <c r="X1" s="3949"/>
      <c r="Y1" s="81"/>
      <c r="Z1" s="81"/>
      <c r="AA1" s="81"/>
      <c r="AB1" s="81"/>
      <c r="AC1" s="81"/>
      <c r="AD1" s="81"/>
      <c r="AE1" s="81"/>
      <c r="AF1" s="81"/>
    </row>
    <row r="2" spans="2:53" x14ac:dyDescent="0.2">
      <c r="B2" s="4269" t="s">
        <v>739</v>
      </c>
      <c r="C2" s="4269"/>
      <c r="D2" s="4269"/>
      <c r="E2" s="4269"/>
      <c r="F2" s="4269"/>
      <c r="G2" s="4269"/>
      <c r="H2" s="4269"/>
      <c r="I2" s="4269"/>
      <c r="J2" s="4269"/>
      <c r="K2" s="4269"/>
      <c r="L2" s="4269"/>
      <c r="M2" s="4269"/>
      <c r="N2" s="4269"/>
      <c r="O2" s="4269"/>
      <c r="X2" s="3949"/>
      <c r="Y2" s="81"/>
      <c r="Z2" s="81"/>
      <c r="AA2" s="81"/>
      <c r="AB2" s="81"/>
      <c r="AC2" s="81"/>
      <c r="AD2" s="81"/>
      <c r="AE2" s="81"/>
      <c r="AF2" s="81"/>
    </row>
    <row r="3" spans="2:53" x14ac:dyDescent="0.2">
      <c r="X3" s="3949"/>
      <c r="Y3" s="81"/>
      <c r="Z3" s="81"/>
      <c r="AA3" s="81"/>
      <c r="AB3" s="81"/>
      <c r="AC3" s="81"/>
      <c r="AD3" s="81"/>
      <c r="AE3" s="81"/>
      <c r="AF3" s="81"/>
    </row>
    <row r="4" spans="2:53" x14ac:dyDescent="0.2">
      <c r="X4" s="3949"/>
      <c r="Y4" s="81"/>
      <c r="Z4" s="81"/>
      <c r="AA4" s="81"/>
      <c r="AB4" s="81"/>
      <c r="AC4" s="81"/>
      <c r="AD4" s="81"/>
      <c r="AE4" s="81"/>
      <c r="AF4" s="81"/>
    </row>
    <row r="5" spans="2:53" ht="16.5" x14ac:dyDescent="0.3">
      <c r="B5" s="6"/>
      <c r="C5" s="6" t="s">
        <v>191</v>
      </c>
      <c r="D5" s="4" t="s">
        <v>616</v>
      </c>
      <c r="E5" s="4"/>
      <c r="F5" s="4"/>
      <c r="G5" s="4"/>
      <c r="H5" s="4"/>
      <c r="I5" s="4"/>
      <c r="J5" s="3985"/>
      <c r="X5" s="3949"/>
      <c r="Y5" s="81"/>
      <c r="Z5" s="81"/>
      <c r="AA5" s="81"/>
      <c r="AB5" s="81"/>
      <c r="AC5" s="81"/>
      <c r="AD5" s="81"/>
      <c r="AE5" s="81"/>
      <c r="AF5" s="81"/>
    </row>
    <row r="6" spans="2:53" ht="16.5" x14ac:dyDescent="0.3">
      <c r="B6" s="4"/>
      <c r="C6" s="6"/>
      <c r="D6" s="4"/>
      <c r="E6" s="4"/>
      <c r="F6" s="4"/>
      <c r="G6" s="4"/>
      <c r="H6" s="4"/>
      <c r="I6" s="4"/>
      <c r="J6" s="3985"/>
      <c r="X6" s="3949"/>
      <c r="Y6" s="81"/>
      <c r="Z6" s="81"/>
      <c r="AA6" s="81"/>
      <c r="AB6" s="81"/>
      <c r="AC6" s="81"/>
      <c r="AD6" s="81"/>
      <c r="AE6" s="81"/>
      <c r="AF6" s="81"/>
    </row>
    <row r="7" spans="2:53" ht="16.5" x14ac:dyDescent="0.3">
      <c r="B7" s="6"/>
      <c r="C7" s="6" t="s">
        <v>192</v>
      </c>
      <c r="D7" s="4" t="s">
        <v>617</v>
      </c>
      <c r="E7" s="4"/>
      <c r="F7" s="4"/>
      <c r="G7" s="4"/>
      <c r="H7" s="4"/>
      <c r="I7" s="6"/>
      <c r="J7" s="3985"/>
      <c r="X7" s="3949"/>
      <c r="Y7" s="81"/>
      <c r="Z7" s="81"/>
      <c r="AA7" s="81"/>
      <c r="AB7" s="81"/>
      <c r="AC7" s="81"/>
      <c r="AD7" s="81"/>
      <c r="AE7" s="81"/>
      <c r="AF7" s="81"/>
    </row>
    <row r="8" spans="2:53" x14ac:dyDescent="0.2">
      <c r="X8" s="3949"/>
      <c r="Y8" s="81"/>
      <c r="Z8" s="81"/>
      <c r="AA8" s="81"/>
      <c r="AB8" s="81"/>
      <c r="AC8" s="81"/>
      <c r="AD8" s="81"/>
      <c r="AE8" s="81"/>
      <c r="AF8" s="81"/>
    </row>
    <row r="9" spans="2:53" x14ac:dyDescent="0.2">
      <c r="X9" s="3949"/>
      <c r="Y9" s="81"/>
      <c r="Z9" s="81"/>
      <c r="AA9" s="81"/>
      <c r="AB9" s="81"/>
      <c r="AC9" s="81"/>
      <c r="AD9" s="81"/>
      <c r="AE9" s="81"/>
      <c r="AF9" s="81"/>
    </row>
    <row r="10" spans="2:53" x14ac:dyDescent="0.2">
      <c r="B10" s="4267" t="s">
        <v>300</v>
      </c>
      <c r="C10" s="4267"/>
      <c r="D10" s="4267"/>
      <c r="E10" s="4267"/>
      <c r="F10" s="4267"/>
      <c r="G10" s="4267"/>
      <c r="H10" s="4267"/>
      <c r="I10" s="4267"/>
      <c r="J10" s="4267"/>
      <c r="M10" s="4267" t="s">
        <v>300</v>
      </c>
      <c r="N10" s="4267"/>
      <c r="O10" s="4267"/>
      <c r="P10" s="4267"/>
      <c r="Q10" s="4267"/>
      <c r="R10" s="4267"/>
      <c r="S10" s="4267"/>
      <c r="T10" s="4267"/>
      <c r="U10" s="4267"/>
      <c r="X10" s="4267" t="s">
        <v>300</v>
      </c>
      <c r="Y10" s="4267"/>
      <c r="Z10" s="4267"/>
      <c r="AA10" s="4267"/>
      <c r="AB10" s="4267"/>
      <c r="AC10" s="4267"/>
      <c r="AD10" s="4267"/>
      <c r="AE10" s="4267"/>
      <c r="AF10" s="4267"/>
      <c r="AI10" s="4267" t="s">
        <v>300</v>
      </c>
      <c r="AJ10" s="4267"/>
      <c r="AK10" s="4267"/>
      <c r="AL10" s="4267"/>
      <c r="AM10" s="4267"/>
      <c r="AN10" s="4267"/>
      <c r="AO10" s="4267"/>
      <c r="AP10" s="4267"/>
      <c r="AQ10" s="4267"/>
      <c r="AS10" s="4267" t="s">
        <v>300</v>
      </c>
      <c r="AT10" s="4267"/>
      <c r="AU10" s="4267"/>
      <c r="AV10" s="4267"/>
      <c r="AW10" s="4267"/>
      <c r="AX10" s="4267"/>
      <c r="AY10" s="4267"/>
      <c r="AZ10" s="4267"/>
      <c r="BA10" s="4267"/>
    </row>
    <row r="11" spans="2:53" x14ac:dyDescent="0.2">
      <c r="B11" s="4268" t="s">
        <v>183</v>
      </c>
      <c r="C11" s="4268"/>
      <c r="D11" s="4268"/>
      <c r="E11" s="4268"/>
      <c r="F11" s="4268"/>
      <c r="G11" s="4268"/>
      <c r="H11" s="4268"/>
      <c r="I11" s="4268"/>
      <c r="J11" s="4268"/>
      <c r="M11" s="4268" t="s">
        <v>183</v>
      </c>
      <c r="N11" s="4268"/>
      <c r="O11" s="4268"/>
      <c r="P11" s="4268"/>
      <c r="Q11" s="4268"/>
      <c r="R11" s="4268"/>
      <c r="S11" s="4268"/>
      <c r="T11" s="4268"/>
      <c r="U11" s="4268"/>
      <c r="X11" s="4268" t="s">
        <v>183</v>
      </c>
      <c r="Y11" s="4268"/>
      <c r="Z11" s="4268"/>
      <c r="AA11" s="4268"/>
      <c r="AB11" s="4268"/>
      <c r="AC11" s="4268"/>
      <c r="AD11" s="4268"/>
      <c r="AE11" s="4268"/>
      <c r="AF11" s="4268"/>
      <c r="AI11" s="4268" t="s">
        <v>183</v>
      </c>
      <c r="AJ11" s="4268"/>
      <c r="AK11" s="4268"/>
      <c r="AL11" s="4268"/>
      <c r="AM11" s="4268"/>
      <c r="AN11" s="4268"/>
      <c r="AO11" s="4268"/>
      <c r="AP11" s="4268"/>
      <c r="AQ11" s="4268"/>
      <c r="AS11" s="4268" t="s">
        <v>183</v>
      </c>
      <c r="AT11" s="4268"/>
      <c r="AU11" s="4268"/>
      <c r="AV11" s="4268"/>
      <c r="AW11" s="4268"/>
      <c r="AX11" s="4268"/>
      <c r="AY11" s="4268"/>
      <c r="AZ11" s="4268"/>
      <c r="BA11" s="4268"/>
    </row>
    <row r="12" spans="2:53" x14ac:dyDescent="0.2">
      <c r="B12" s="3949"/>
      <c r="C12" s="86"/>
      <c r="D12" s="86"/>
      <c r="E12" s="86"/>
      <c r="F12" s="86"/>
      <c r="G12" s="86"/>
      <c r="H12" s="86"/>
      <c r="M12" s="3949"/>
      <c r="N12" s="86"/>
      <c r="O12" s="86"/>
      <c r="P12" s="86"/>
      <c r="Q12" s="86"/>
      <c r="R12" s="86"/>
      <c r="S12" s="86"/>
      <c r="X12" s="3949"/>
      <c r="Y12" s="86"/>
      <c r="Z12" s="86"/>
      <c r="AA12" s="86"/>
      <c r="AB12" s="86"/>
      <c r="AC12" s="86"/>
      <c r="AD12" s="86"/>
      <c r="AE12" s="81"/>
      <c r="AF12" s="81"/>
      <c r="AI12" s="3949"/>
      <c r="AJ12" s="86"/>
      <c r="AK12" s="86"/>
      <c r="AL12" s="86"/>
      <c r="AM12" s="86"/>
      <c r="AN12" s="86"/>
      <c r="AO12" s="86"/>
      <c r="AP12" s="81"/>
      <c r="AQ12" s="81"/>
      <c r="AS12" s="3949"/>
      <c r="AT12" s="86"/>
      <c r="AU12" s="86"/>
      <c r="AV12" s="86"/>
      <c r="AW12" s="86"/>
      <c r="AX12" s="86"/>
      <c r="AY12" s="86"/>
      <c r="AZ12" s="81"/>
      <c r="BA12" s="81"/>
    </row>
    <row r="13" spans="2:53" x14ac:dyDescent="0.2">
      <c r="B13" s="88" t="s">
        <v>740</v>
      </c>
      <c r="M13" s="88" t="s">
        <v>741</v>
      </c>
      <c r="X13" s="88" t="s">
        <v>478</v>
      </c>
      <c r="Y13" s="81"/>
      <c r="Z13" s="81"/>
      <c r="AA13" s="81"/>
      <c r="AB13" s="81"/>
      <c r="AC13" s="81"/>
      <c r="AD13" s="81"/>
      <c r="AE13" s="81"/>
      <c r="AF13" s="81"/>
      <c r="AI13" s="88" t="s">
        <v>1987</v>
      </c>
      <c r="AJ13" s="81"/>
      <c r="AK13" s="81"/>
      <c r="AL13" s="81"/>
      <c r="AM13" s="81"/>
      <c r="AN13" s="81"/>
      <c r="AO13" s="81"/>
      <c r="AP13" s="81"/>
      <c r="AQ13" s="81"/>
      <c r="AS13" s="88" t="s">
        <v>3640</v>
      </c>
      <c r="AT13" s="81"/>
      <c r="AU13" s="81"/>
      <c r="AV13" s="81"/>
      <c r="AW13" s="81"/>
      <c r="AX13" s="81"/>
      <c r="AY13" s="81"/>
      <c r="AZ13" s="81"/>
      <c r="BA13" s="81"/>
    </row>
    <row r="14" spans="2:53" ht="11.25" customHeight="1" x14ac:dyDescent="0.2">
      <c r="B14" s="4258" t="s">
        <v>185</v>
      </c>
      <c r="C14" s="4258" t="s">
        <v>742</v>
      </c>
      <c r="D14" s="4258" t="s">
        <v>0</v>
      </c>
      <c r="E14" s="4260" t="s">
        <v>186</v>
      </c>
      <c r="F14" s="4261"/>
      <c r="G14" s="4261"/>
      <c r="H14" s="4261"/>
      <c r="I14" s="4262"/>
      <c r="M14" s="4258" t="s">
        <v>185</v>
      </c>
      <c r="N14" s="4258" t="s">
        <v>742</v>
      </c>
      <c r="O14" s="4258" t="s">
        <v>0</v>
      </c>
      <c r="P14" s="4260" t="s">
        <v>186</v>
      </c>
      <c r="Q14" s="4261"/>
      <c r="R14" s="4261"/>
      <c r="S14" s="4261"/>
      <c r="T14" s="4262"/>
      <c r="X14" s="4258" t="s">
        <v>185</v>
      </c>
      <c r="Y14" s="4258" t="s">
        <v>742</v>
      </c>
      <c r="Z14" s="4258" t="s">
        <v>0</v>
      </c>
      <c r="AA14" s="4260" t="s">
        <v>186</v>
      </c>
      <c r="AB14" s="4261"/>
      <c r="AC14" s="4261"/>
      <c r="AD14" s="4261"/>
      <c r="AE14" s="4262"/>
      <c r="AI14" s="4258" t="s">
        <v>185</v>
      </c>
      <c r="AJ14" s="4258" t="s">
        <v>742</v>
      </c>
      <c r="AK14" s="4258" t="s">
        <v>0</v>
      </c>
      <c r="AL14" s="4260" t="s">
        <v>186</v>
      </c>
      <c r="AM14" s="4261"/>
      <c r="AN14" s="4261"/>
      <c r="AO14" s="4261"/>
      <c r="AP14" s="4262"/>
      <c r="AS14" s="4258" t="s">
        <v>185</v>
      </c>
      <c r="AT14" s="4258" t="s">
        <v>742</v>
      </c>
      <c r="AU14" s="4258" t="s">
        <v>0</v>
      </c>
      <c r="AV14" s="4260" t="s">
        <v>186</v>
      </c>
      <c r="AW14" s="4261"/>
      <c r="AX14" s="4261"/>
      <c r="AY14" s="4261"/>
      <c r="AZ14" s="4262"/>
    </row>
    <row r="15" spans="2:53" x14ac:dyDescent="0.2">
      <c r="B15" s="4259"/>
      <c r="C15" s="4259"/>
      <c r="D15" s="4259"/>
      <c r="E15" s="3948" t="s">
        <v>743</v>
      </c>
      <c r="F15" s="3948" t="s">
        <v>744</v>
      </c>
      <c r="G15" s="3948" t="s">
        <v>745</v>
      </c>
      <c r="H15" s="3948" t="s">
        <v>746</v>
      </c>
      <c r="I15" s="3948" t="s">
        <v>747</v>
      </c>
      <c r="M15" s="4259"/>
      <c r="N15" s="4259"/>
      <c r="O15" s="4259"/>
      <c r="P15" s="3948" t="s">
        <v>743</v>
      </c>
      <c r="Q15" s="3948" t="s">
        <v>744</v>
      </c>
      <c r="R15" s="3948" t="s">
        <v>745</v>
      </c>
      <c r="S15" s="3948" t="s">
        <v>746</v>
      </c>
      <c r="T15" s="3948" t="s">
        <v>747</v>
      </c>
      <c r="X15" s="4259"/>
      <c r="Y15" s="4259"/>
      <c r="Z15" s="4259"/>
      <c r="AA15" s="3948" t="s">
        <v>743</v>
      </c>
      <c r="AB15" s="3948" t="s">
        <v>744</v>
      </c>
      <c r="AC15" s="3948" t="s">
        <v>745</v>
      </c>
      <c r="AD15" s="3948" t="s">
        <v>746</v>
      </c>
      <c r="AE15" s="3948" t="s">
        <v>747</v>
      </c>
      <c r="AI15" s="4259"/>
      <c r="AJ15" s="4259"/>
      <c r="AK15" s="4259"/>
      <c r="AL15" s="3948" t="s">
        <v>743</v>
      </c>
      <c r="AM15" s="3948" t="s">
        <v>744</v>
      </c>
      <c r="AN15" s="3948" t="s">
        <v>745</v>
      </c>
      <c r="AO15" s="3948" t="s">
        <v>746</v>
      </c>
      <c r="AP15" s="3948" t="s">
        <v>747</v>
      </c>
      <c r="AS15" s="4259"/>
      <c r="AT15" s="4259"/>
      <c r="AU15" s="4259"/>
      <c r="AV15" s="3948" t="s">
        <v>743</v>
      </c>
      <c r="AW15" s="3948" t="s">
        <v>744</v>
      </c>
      <c r="AX15" s="3948" t="s">
        <v>745</v>
      </c>
      <c r="AY15" s="3948" t="s">
        <v>746</v>
      </c>
      <c r="AZ15" s="3948" t="s">
        <v>747</v>
      </c>
    </row>
    <row r="16" spans="2:53" ht="12.75" x14ac:dyDescent="0.25">
      <c r="B16" s="85">
        <v>1301</v>
      </c>
      <c r="C16" s="85" t="s">
        <v>443</v>
      </c>
      <c r="D16" s="89">
        <f>SUM(E16:I16)</f>
        <v>212</v>
      </c>
      <c r="E16" s="85">
        <v>0</v>
      </c>
      <c r="F16" s="85">
        <v>2</v>
      </c>
      <c r="G16" s="85">
        <v>33</v>
      </c>
      <c r="H16" s="85">
        <v>87</v>
      </c>
      <c r="I16" s="85">
        <v>90</v>
      </c>
      <c r="M16" s="85">
        <v>1406</v>
      </c>
      <c r="N16" s="85" t="s">
        <v>438</v>
      </c>
      <c r="O16" s="89">
        <f>SUM(P16:T16)</f>
        <v>178</v>
      </c>
      <c r="P16" s="85">
        <v>0</v>
      </c>
      <c r="Q16" s="85">
        <v>2.5</v>
      </c>
      <c r="R16" s="85">
        <v>35</v>
      </c>
      <c r="S16" s="85">
        <v>78.5</v>
      </c>
      <c r="T16" s="85">
        <v>62</v>
      </c>
      <c r="X16" s="85">
        <v>1001</v>
      </c>
      <c r="Y16" s="85" t="s">
        <v>434</v>
      </c>
      <c r="Z16" s="90">
        <f>SUM(AA16:AE16)</f>
        <v>144</v>
      </c>
      <c r="AA16" s="90">
        <v>0</v>
      </c>
      <c r="AB16" s="90">
        <v>3</v>
      </c>
      <c r="AC16" s="90">
        <v>37</v>
      </c>
      <c r="AD16" s="90">
        <v>70</v>
      </c>
      <c r="AE16" s="90">
        <v>34</v>
      </c>
      <c r="AI16" s="85">
        <v>1001</v>
      </c>
      <c r="AJ16" s="85" t="s">
        <v>434</v>
      </c>
      <c r="AK16" s="89">
        <f>SUM(AL16:AP16)</f>
        <v>129</v>
      </c>
      <c r="AL16" s="85">
        <v>0</v>
      </c>
      <c r="AM16" s="85">
        <v>1</v>
      </c>
      <c r="AN16" s="85">
        <v>5</v>
      </c>
      <c r="AO16" s="85">
        <v>58</v>
      </c>
      <c r="AP16" s="85">
        <v>65</v>
      </c>
      <c r="AS16" s="85">
        <v>408</v>
      </c>
      <c r="AT16" s="85" t="s">
        <v>748</v>
      </c>
      <c r="AU16" s="509">
        <f>SUM(AV16:AZ16)</f>
        <v>135</v>
      </c>
      <c r="AV16" s="510">
        <v>0</v>
      </c>
      <c r="AW16" s="510">
        <v>1</v>
      </c>
      <c r="AX16" s="510">
        <v>6</v>
      </c>
      <c r="AY16" s="510">
        <v>60</v>
      </c>
      <c r="AZ16" s="510">
        <v>68</v>
      </c>
    </row>
    <row r="17" spans="2:52" ht="12.75" x14ac:dyDescent="0.25">
      <c r="B17" s="85">
        <v>1303</v>
      </c>
      <c r="C17" s="85" t="s">
        <v>444</v>
      </c>
      <c r="D17" s="89">
        <f t="shared" ref="D17:D36" si="0">SUM(E17:I17)</f>
        <v>207</v>
      </c>
      <c r="E17" s="85">
        <v>0</v>
      </c>
      <c r="F17" s="85">
        <v>5</v>
      </c>
      <c r="G17" s="85">
        <v>14</v>
      </c>
      <c r="H17" s="85">
        <v>110</v>
      </c>
      <c r="I17" s="85">
        <v>78</v>
      </c>
      <c r="M17" s="85">
        <v>408</v>
      </c>
      <c r="N17" s="85" t="s">
        <v>748</v>
      </c>
      <c r="O17" s="89">
        <f t="shared" ref="O17:O36" si="1">SUM(P17:T17)</f>
        <v>168.5</v>
      </c>
      <c r="P17" s="85">
        <v>2</v>
      </c>
      <c r="Q17" s="85">
        <v>3.5</v>
      </c>
      <c r="R17" s="85">
        <v>15.5</v>
      </c>
      <c r="S17" s="85">
        <v>88</v>
      </c>
      <c r="T17" s="85">
        <v>59.5</v>
      </c>
      <c r="X17" s="85">
        <v>1102</v>
      </c>
      <c r="Y17" s="85" t="s">
        <v>436</v>
      </c>
      <c r="Z17" s="90">
        <f t="shared" ref="Z17:Z36" si="2">SUM(AA17:AE17)</f>
        <v>130</v>
      </c>
      <c r="AA17" s="90">
        <v>4</v>
      </c>
      <c r="AB17" s="90">
        <v>2</v>
      </c>
      <c r="AC17" s="90">
        <v>17</v>
      </c>
      <c r="AD17" s="90">
        <v>66</v>
      </c>
      <c r="AE17" s="90">
        <v>41</v>
      </c>
      <c r="AI17" s="85">
        <v>1102</v>
      </c>
      <c r="AJ17" s="85" t="s">
        <v>436</v>
      </c>
      <c r="AK17" s="89">
        <f t="shared" ref="AK17:AK36" si="3">SUM(AL17:AP17)</f>
        <v>103</v>
      </c>
      <c r="AL17" s="85">
        <v>0</v>
      </c>
      <c r="AM17" s="85">
        <v>6</v>
      </c>
      <c r="AN17" s="85">
        <v>25</v>
      </c>
      <c r="AO17" s="85">
        <v>52</v>
      </c>
      <c r="AP17" s="85">
        <v>20</v>
      </c>
      <c r="AS17" s="85">
        <v>1001</v>
      </c>
      <c r="AT17" s="85" t="s">
        <v>434</v>
      </c>
      <c r="AU17" s="509">
        <f t="shared" ref="AU17:AU35" si="4">SUM(AV17:AZ17)</f>
        <v>110</v>
      </c>
      <c r="AV17" s="510">
        <v>0</v>
      </c>
      <c r="AW17" s="511">
        <v>7</v>
      </c>
      <c r="AX17" s="510">
        <v>26</v>
      </c>
      <c r="AY17" s="510">
        <v>55</v>
      </c>
      <c r="AZ17" s="510">
        <v>22</v>
      </c>
    </row>
    <row r="18" spans="2:52" ht="12.75" x14ac:dyDescent="0.25">
      <c r="B18" s="85">
        <v>1005</v>
      </c>
      <c r="C18" s="85" t="s">
        <v>453</v>
      </c>
      <c r="D18" s="89">
        <f t="shared" si="0"/>
        <v>182</v>
      </c>
      <c r="E18" s="85">
        <v>2</v>
      </c>
      <c r="F18" s="85">
        <v>6</v>
      </c>
      <c r="G18" s="85">
        <v>21</v>
      </c>
      <c r="H18" s="85">
        <v>78</v>
      </c>
      <c r="I18" s="85">
        <v>75</v>
      </c>
      <c r="M18" s="85">
        <v>1102</v>
      </c>
      <c r="N18" s="85" t="s">
        <v>436</v>
      </c>
      <c r="O18" s="89">
        <f t="shared" si="1"/>
        <v>155.5</v>
      </c>
      <c r="P18" s="85">
        <v>2.5</v>
      </c>
      <c r="Q18" s="85">
        <v>4</v>
      </c>
      <c r="R18" s="85">
        <v>17.5</v>
      </c>
      <c r="S18" s="85">
        <v>67.5</v>
      </c>
      <c r="T18" s="85">
        <v>64</v>
      </c>
      <c r="X18" s="85">
        <v>1303</v>
      </c>
      <c r="Y18" s="85" t="s">
        <v>444</v>
      </c>
      <c r="Z18" s="90">
        <f t="shared" si="2"/>
        <v>129</v>
      </c>
      <c r="AA18" s="90">
        <v>3</v>
      </c>
      <c r="AB18" s="90">
        <v>2</v>
      </c>
      <c r="AC18" s="90">
        <v>14</v>
      </c>
      <c r="AD18" s="90">
        <v>57</v>
      </c>
      <c r="AE18" s="90">
        <v>53</v>
      </c>
      <c r="AI18" s="85">
        <v>1303</v>
      </c>
      <c r="AJ18" s="85" t="s">
        <v>444</v>
      </c>
      <c r="AK18" s="89">
        <f t="shared" si="3"/>
        <v>101</v>
      </c>
      <c r="AL18" s="85">
        <v>0</v>
      </c>
      <c r="AM18" s="85">
        <v>0</v>
      </c>
      <c r="AN18" s="85">
        <v>13</v>
      </c>
      <c r="AO18" s="85">
        <v>55</v>
      </c>
      <c r="AP18" s="85">
        <v>33</v>
      </c>
      <c r="AS18" s="85">
        <v>1303</v>
      </c>
      <c r="AT18" s="85" t="s">
        <v>444</v>
      </c>
      <c r="AU18" s="509">
        <f t="shared" si="4"/>
        <v>104</v>
      </c>
      <c r="AV18" s="510">
        <v>0</v>
      </c>
      <c r="AW18" s="510">
        <v>0</v>
      </c>
      <c r="AX18" s="510">
        <v>15</v>
      </c>
      <c r="AY18" s="510">
        <v>55</v>
      </c>
      <c r="AZ18" s="510">
        <v>34</v>
      </c>
    </row>
    <row r="19" spans="2:52" ht="12.75" x14ac:dyDescent="0.25">
      <c r="B19" s="85">
        <v>1102</v>
      </c>
      <c r="C19" s="85" t="s">
        <v>436</v>
      </c>
      <c r="D19" s="89">
        <f t="shared" si="0"/>
        <v>176</v>
      </c>
      <c r="E19" s="85">
        <v>1</v>
      </c>
      <c r="F19" s="85">
        <v>1</v>
      </c>
      <c r="G19" s="85">
        <v>17</v>
      </c>
      <c r="H19" s="85">
        <v>86</v>
      </c>
      <c r="I19" s="85">
        <v>71</v>
      </c>
      <c r="M19" s="85">
        <v>1303</v>
      </c>
      <c r="N19" s="85" t="s">
        <v>444</v>
      </c>
      <c r="O19" s="89">
        <f t="shared" si="1"/>
        <v>142.5</v>
      </c>
      <c r="P19" s="85">
        <v>0.5</v>
      </c>
      <c r="Q19" s="85">
        <v>0.5</v>
      </c>
      <c r="R19" s="85">
        <v>11</v>
      </c>
      <c r="S19" s="85">
        <v>74.5</v>
      </c>
      <c r="T19" s="85">
        <v>56</v>
      </c>
      <c r="X19" s="85">
        <v>408</v>
      </c>
      <c r="Y19" s="85" t="s">
        <v>748</v>
      </c>
      <c r="Z19" s="90">
        <f t="shared" si="2"/>
        <v>109</v>
      </c>
      <c r="AA19" s="90">
        <v>0</v>
      </c>
      <c r="AB19" s="90">
        <v>0</v>
      </c>
      <c r="AC19" s="90">
        <v>5</v>
      </c>
      <c r="AD19" s="90">
        <v>63</v>
      </c>
      <c r="AE19" s="90">
        <v>41</v>
      </c>
      <c r="AI19" s="85">
        <v>408</v>
      </c>
      <c r="AJ19" s="85" t="s">
        <v>748</v>
      </c>
      <c r="AK19" s="89">
        <f t="shared" si="3"/>
        <v>98</v>
      </c>
      <c r="AL19" s="85">
        <v>0</v>
      </c>
      <c r="AM19" s="85">
        <v>0</v>
      </c>
      <c r="AN19" s="85">
        <v>7</v>
      </c>
      <c r="AO19" s="85">
        <v>35</v>
      </c>
      <c r="AP19" s="85">
        <v>56</v>
      </c>
      <c r="AS19" s="85">
        <v>1301</v>
      </c>
      <c r="AT19" s="141" t="s">
        <v>443</v>
      </c>
      <c r="AU19" s="509">
        <f t="shared" si="4"/>
        <v>16</v>
      </c>
      <c r="AV19" s="510">
        <v>0</v>
      </c>
      <c r="AW19" s="510">
        <v>0</v>
      </c>
      <c r="AX19" s="510">
        <v>1</v>
      </c>
      <c r="AY19" s="510">
        <v>4</v>
      </c>
      <c r="AZ19" s="510">
        <v>11</v>
      </c>
    </row>
    <row r="20" spans="2:52" ht="12.75" x14ac:dyDescent="0.25">
      <c r="B20" s="85">
        <v>1001</v>
      </c>
      <c r="C20" s="85" t="s">
        <v>434</v>
      </c>
      <c r="D20" s="89">
        <f t="shared" si="0"/>
        <v>150</v>
      </c>
      <c r="E20" s="85">
        <v>1</v>
      </c>
      <c r="F20" s="85">
        <v>2</v>
      </c>
      <c r="G20" s="85">
        <v>3</v>
      </c>
      <c r="H20" s="85">
        <v>67</v>
      </c>
      <c r="I20" s="85">
        <v>77</v>
      </c>
      <c r="M20" s="85">
        <v>1301</v>
      </c>
      <c r="N20" s="85" t="s">
        <v>443</v>
      </c>
      <c r="O20" s="89">
        <f t="shared" si="1"/>
        <v>123</v>
      </c>
      <c r="P20" s="85">
        <v>1</v>
      </c>
      <c r="Q20" s="85">
        <v>1</v>
      </c>
      <c r="R20" s="85">
        <v>4</v>
      </c>
      <c r="S20" s="85">
        <v>50</v>
      </c>
      <c r="T20" s="85">
        <v>67</v>
      </c>
      <c r="X20" s="85">
        <v>1301</v>
      </c>
      <c r="Y20" s="85" t="s">
        <v>443</v>
      </c>
      <c r="Z20" s="90">
        <f t="shared" si="2"/>
        <v>96</v>
      </c>
      <c r="AA20" s="90">
        <v>1</v>
      </c>
      <c r="AB20" s="90">
        <v>0</v>
      </c>
      <c r="AC20" s="90">
        <v>5</v>
      </c>
      <c r="AD20" s="90">
        <v>33</v>
      </c>
      <c r="AE20" s="90">
        <v>57</v>
      </c>
      <c r="AI20" s="85">
        <v>1301</v>
      </c>
      <c r="AJ20" s="85" t="s">
        <v>443</v>
      </c>
      <c r="AK20" s="89">
        <f t="shared" si="3"/>
        <v>95</v>
      </c>
      <c r="AL20" s="85">
        <v>1</v>
      </c>
      <c r="AM20" s="85">
        <v>3</v>
      </c>
      <c r="AN20" s="85">
        <v>11</v>
      </c>
      <c r="AO20" s="85">
        <v>47</v>
      </c>
      <c r="AP20" s="85">
        <v>33</v>
      </c>
      <c r="AS20" s="85">
        <v>1102</v>
      </c>
      <c r="AT20" s="85" t="s">
        <v>436</v>
      </c>
      <c r="AU20" s="509">
        <f t="shared" si="4"/>
        <v>1</v>
      </c>
      <c r="AV20" s="510">
        <v>0</v>
      </c>
      <c r="AW20" s="510">
        <v>0</v>
      </c>
      <c r="AX20" s="510">
        <v>0</v>
      </c>
      <c r="AY20" s="510">
        <v>0</v>
      </c>
      <c r="AZ20" s="510">
        <v>1</v>
      </c>
    </row>
    <row r="21" spans="2:52" ht="12.75" x14ac:dyDescent="0.25">
      <c r="B21" s="85">
        <v>408</v>
      </c>
      <c r="C21" s="85" t="s">
        <v>748</v>
      </c>
      <c r="D21" s="89">
        <f t="shared" si="0"/>
        <v>129</v>
      </c>
      <c r="E21" s="85">
        <v>2</v>
      </c>
      <c r="F21" s="85">
        <v>7</v>
      </c>
      <c r="G21" s="85">
        <v>36</v>
      </c>
      <c r="H21" s="85">
        <v>59</v>
      </c>
      <c r="I21" s="85">
        <v>25</v>
      </c>
      <c r="M21" s="85">
        <v>1001</v>
      </c>
      <c r="N21" s="85" t="s">
        <v>434</v>
      </c>
      <c r="O21" s="89">
        <f t="shared" si="1"/>
        <v>98.5</v>
      </c>
      <c r="P21" s="85">
        <v>1</v>
      </c>
      <c r="Q21" s="85">
        <v>3.5</v>
      </c>
      <c r="R21" s="85">
        <v>22</v>
      </c>
      <c r="S21" s="85">
        <v>45</v>
      </c>
      <c r="T21" s="85">
        <v>27</v>
      </c>
      <c r="X21" s="85">
        <v>1406</v>
      </c>
      <c r="Y21" s="85" t="s">
        <v>438</v>
      </c>
      <c r="Z21" s="90">
        <f t="shared" si="2"/>
        <v>68</v>
      </c>
      <c r="AA21" s="90">
        <v>0</v>
      </c>
      <c r="AB21" s="90">
        <v>0</v>
      </c>
      <c r="AC21" s="90">
        <v>8</v>
      </c>
      <c r="AD21" s="90">
        <v>31</v>
      </c>
      <c r="AE21" s="90">
        <v>29</v>
      </c>
      <c r="AI21" s="85">
        <v>1406</v>
      </c>
      <c r="AJ21" s="85" t="s">
        <v>438</v>
      </c>
      <c r="AK21" s="89">
        <f t="shared" si="3"/>
        <v>54</v>
      </c>
      <c r="AL21" s="85">
        <v>0</v>
      </c>
      <c r="AM21" s="85">
        <v>1</v>
      </c>
      <c r="AN21" s="85">
        <v>7</v>
      </c>
      <c r="AO21" s="85">
        <v>23</v>
      </c>
      <c r="AP21" s="85">
        <v>23</v>
      </c>
      <c r="AS21" s="85">
        <v>1406</v>
      </c>
      <c r="AT21" s="85" t="s">
        <v>438</v>
      </c>
      <c r="AU21" s="509">
        <f t="shared" si="4"/>
        <v>3</v>
      </c>
      <c r="AV21" s="510">
        <v>0</v>
      </c>
      <c r="AW21" s="510">
        <v>0</v>
      </c>
      <c r="AX21" s="510">
        <v>1</v>
      </c>
      <c r="AY21" s="510">
        <v>2</v>
      </c>
      <c r="AZ21" s="510">
        <v>0</v>
      </c>
    </row>
    <row r="22" spans="2:52" ht="12.75" x14ac:dyDescent="0.25">
      <c r="B22" s="85">
        <v>1406</v>
      </c>
      <c r="C22" s="85" t="s">
        <v>438</v>
      </c>
      <c r="D22" s="89">
        <f t="shared" si="0"/>
        <v>101</v>
      </c>
      <c r="E22" s="85">
        <v>1</v>
      </c>
      <c r="F22" s="85">
        <v>3</v>
      </c>
      <c r="G22" s="85">
        <v>8</v>
      </c>
      <c r="H22" s="85">
        <v>36</v>
      </c>
      <c r="I22" s="85">
        <v>53</v>
      </c>
      <c r="M22" s="85">
        <v>1005</v>
      </c>
      <c r="N22" s="85" t="s">
        <v>453</v>
      </c>
      <c r="O22" s="89">
        <f t="shared" si="1"/>
        <v>73.5</v>
      </c>
      <c r="P22" s="85">
        <v>0.5</v>
      </c>
      <c r="Q22" s="85">
        <v>2</v>
      </c>
      <c r="R22" s="85">
        <v>5</v>
      </c>
      <c r="S22" s="85">
        <v>23.5</v>
      </c>
      <c r="T22" s="85">
        <v>42.5</v>
      </c>
      <c r="X22" s="85">
        <v>1005</v>
      </c>
      <c r="Y22" s="85" t="s">
        <v>453</v>
      </c>
      <c r="Z22" s="90">
        <f t="shared" si="2"/>
        <v>46</v>
      </c>
      <c r="AA22" s="90">
        <v>0</v>
      </c>
      <c r="AB22" s="90">
        <v>1</v>
      </c>
      <c r="AC22" s="90">
        <v>2</v>
      </c>
      <c r="AD22" s="90">
        <v>11</v>
      </c>
      <c r="AE22" s="90">
        <v>32</v>
      </c>
      <c r="AI22" s="85">
        <v>1005</v>
      </c>
      <c r="AJ22" s="85" t="s">
        <v>453</v>
      </c>
      <c r="AK22" s="89">
        <f t="shared" si="3"/>
        <v>46</v>
      </c>
      <c r="AL22" s="85">
        <v>1</v>
      </c>
      <c r="AM22" s="85">
        <v>0</v>
      </c>
      <c r="AN22" s="85">
        <v>2</v>
      </c>
      <c r="AO22" s="85">
        <v>16</v>
      </c>
      <c r="AP22" s="85">
        <v>27</v>
      </c>
      <c r="AS22" s="85">
        <v>1005</v>
      </c>
      <c r="AT22" s="85" t="s">
        <v>453</v>
      </c>
      <c r="AU22" s="509">
        <f t="shared" si="4"/>
        <v>8</v>
      </c>
      <c r="AV22" s="510">
        <v>0</v>
      </c>
      <c r="AW22" s="510">
        <v>0</v>
      </c>
      <c r="AX22" s="510">
        <v>0</v>
      </c>
      <c r="AY22" s="510">
        <v>5</v>
      </c>
      <c r="AZ22" s="510">
        <v>3</v>
      </c>
    </row>
    <row r="23" spans="2:52" ht="12.75" x14ac:dyDescent="0.25">
      <c r="B23" s="85">
        <v>1808</v>
      </c>
      <c r="C23" s="85" t="s">
        <v>449</v>
      </c>
      <c r="D23" s="89">
        <f t="shared" si="0"/>
        <v>100</v>
      </c>
      <c r="E23" s="85">
        <v>0</v>
      </c>
      <c r="F23" s="85">
        <v>0</v>
      </c>
      <c r="G23" s="85">
        <v>6</v>
      </c>
      <c r="H23" s="85">
        <v>39</v>
      </c>
      <c r="I23" s="85">
        <v>55</v>
      </c>
      <c r="M23" s="85">
        <v>402</v>
      </c>
      <c r="N23" s="85" t="s">
        <v>515</v>
      </c>
      <c r="O23" s="89">
        <f t="shared" si="1"/>
        <v>69.5</v>
      </c>
      <c r="P23" s="85">
        <v>0</v>
      </c>
      <c r="Q23" s="85">
        <v>0.5</v>
      </c>
      <c r="R23" s="85">
        <v>8.5</v>
      </c>
      <c r="S23" s="85">
        <v>28</v>
      </c>
      <c r="T23" s="85">
        <v>32.5</v>
      </c>
      <c r="X23" s="85">
        <v>115</v>
      </c>
      <c r="Y23" s="85" t="s">
        <v>749</v>
      </c>
      <c r="Z23" s="90">
        <f t="shared" si="2"/>
        <v>39</v>
      </c>
      <c r="AA23" s="90">
        <v>0</v>
      </c>
      <c r="AB23" s="90">
        <v>1</v>
      </c>
      <c r="AC23" s="90">
        <v>11</v>
      </c>
      <c r="AD23" s="90">
        <v>17</v>
      </c>
      <c r="AE23" s="90">
        <v>10</v>
      </c>
      <c r="AI23" s="85">
        <v>115</v>
      </c>
      <c r="AJ23" s="85" t="s">
        <v>749</v>
      </c>
      <c r="AK23" s="89">
        <f t="shared" si="3"/>
        <v>43</v>
      </c>
      <c r="AL23" s="85">
        <v>0</v>
      </c>
      <c r="AM23" s="85">
        <v>5</v>
      </c>
      <c r="AN23" s="85">
        <v>6</v>
      </c>
      <c r="AO23" s="85">
        <v>22</v>
      </c>
      <c r="AP23" s="85">
        <v>10</v>
      </c>
      <c r="AS23" s="85">
        <v>101</v>
      </c>
      <c r="AT23" s="85" t="s">
        <v>435</v>
      </c>
      <c r="AU23" s="509">
        <f t="shared" si="4"/>
        <v>23</v>
      </c>
      <c r="AV23" s="510">
        <v>0</v>
      </c>
      <c r="AW23" s="510">
        <v>1</v>
      </c>
      <c r="AX23" s="510">
        <v>3</v>
      </c>
      <c r="AY23" s="510">
        <v>15</v>
      </c>
      <c r="AZ23" s="510">
        <v>4</v>
      </c>
    </row>
    <row r="24" spans="2:52" ht="12.75" x14ac:dyDescent="0.25">
      <c r="B24" s="85">
        <v>402</v>
      </c>
      <c r="C24" s="85" t="s">
        <v>515</v>
      </c>
      <c r="D24" s="89">
        <f t="shared" si="0"/>
        <v>86</v>
      </c>
      <c r="E24" s="85">
        <v>0</v>
      </c>
      <c r="F24" s="85">
        <v>7</v>
      </c>
      <c r="G24" s="85">
        <v>32</v>
      </c>
      <c r="H24" s="85">
        <v>36</v>
      </c>
      <c r="I24" s="85">
        <v>11</v>
      </c>
      <c r="M24" s="85">
        <v>606</v>
      </c>
      <c r="N24" s="85" t="s">
        <v>442</v>
      </c>
      <c r="O24" s="89">
        <f t="shared" si="1"/>
        <v>62</v>
      </c>
      <c r="P24" s="85">
        <v>0</v>
      </c>
      <c r="Q24" s="85">
        <v>4</v>
      </c>
      <c r="R24" s="85">
        <v>19</v>
      </c>
      <c r="S24" s="85">
        <v>28</v>
      </c>
      <c r="T24" s="85">
        <v>11</v>
      </c>
      <c r="X24" s="85">
        <v>101</v>
      </c>
      <c r="Y24" s="85" t="s">
        <v>435</v>
      </c>
      <c r="Z24" s="90">
        <f t="shared" si="2"/>
        <v>38</v>
      </c>
      <c r="AA24" s="90">
        <v>0</v>
      </c>
      <c r="AB24" s="90">
        <v>1</v>
      </c>
      <c r="AC24" s="90">
        <v>6</v>
      </c>
      <c r="AD24" s="90">
        <v>20</v>
      </c>
      <c r="AE24" s="90">
        <v>11</v>
      </c>
      <c r="AI24" s="85">
        <v>101</v>
      </c>
      <c r="AJ24" s="85" t="s">
        <v>435</v>
      </c>
      <c r="AK24" s="89">
        <f t="shared" si="3"/>
        <v>38</v>
      </c>
      <c r="AL24" s="85">
        <v>0</v>
      </c>
      <c r="AM24" s="85">
        <v>0</v>
      </c>
      <c r="AN24" s="85">
        <v>1</v>
      </c>
      <c r="AO24" s="85">
        <v>21</v>
      </c>
      <c r="AP24" s="85">
        <v>16</v>
      </c>
      <c r="AS24" s="85">
        <v>402</v>
      </c>
      <c r="AT24" s="85" t="s">
        <v>515</v>
      </c>
      <c r="AU24" s="509">
        <f t="shared" si="4"/>
        <v>27</v>
      </c>
      <c r="AV24" s="510">
        <v>0</v>
      </c>
      <c r="AW24" s="510">
        <v>0</v>
      </c>
      <c r="AX24" s="510">
        <v>4</v>
      </c>
      <c r="AY24" s="510">
        <v>11</v>
      </c>
      <c r="AZ24" s="510">
        <v>12</v>
      </c>
    </row>
    <row r="25" spans="2:52" ht="12.75" x14ac:dyDescent="0.25">
      <c r="B25" s="85">
        <v>606</v>
      </c>
      <c r="C25" s="85" t="s">
        <v>442</v>
      </c>
      <c r="D25" s="89">
        <f t="shared" si="0"/>
        <v>56</v>
      </c>
      <c r="E25" s="85">
        <v>0</v>
      </c>
      <c r="F25" s="85">
        <v>3</v>
      </c>
      <c r="G25" s="85">
        <v>7</v>
      </c>
      <c r="H25" s="85">
        <v>33</v>
      </c>
      <c r="I25" s="85">
        <v>13</v>
      </c>
      <c r="M25" s="85">
        <v>1304</v>
      </c>
      <c r="N25" s="85" t="s">
        <v>447</v>
      </c>
      <c r="O25" s="89">
        <f t="shared" si="1"/>
        <v>46.5</v>
      </c>
      <c r="P25" s="85">
        <v>0</v>
      </c>
      <c r="Q25" s="85">
        <v>1.5</v>
      </c>
      <c r="R25" s="85">
        <v>4</v>
      </c>
      <c r="S25" s="85">
        <v>24.5</v>
      </c>
      <c r="T25" s="85">
        <v>16.5</v>
      </c>
      <c r="X25" s="85">
        <v>402</v>
      </c>
      <c r="Y25" s="85" t="s">
        <v>515</v>
      </c>
      <c r="Z25" s="90">
        <f t="shared" si="2"/>
        <v>37</v>
      </c>
      <c r="AA25" s="90">
        <v>0</v>
      </c>
      <c r="AB25" s="90">
        <v>0</v>
      </c>
      <c r="AC25" s="90">
        <v>1</v>
      </c>
      <c r="AD25" s="90">
        <v>16</v>
      </c>
      <c r="AE25" s="90">
        <v>20</v>
      </c>
      <c r="AI25" s="85">
        <v>402</v>
      </c>
      <c r="AJ25" s="85" t="s">
        <v>515</v>
      </c>
      <c r="AK25" s="89">
        <f t="shared" si="3"/>
        <v>33</v>
      </c>
      <c r="AL25" s="85">
        <v>0</v>
      </c>
      <c r="AM25" s="85">
        <v>1</v>
      </c>
      <c r="AN25" s="85">
        <v>7</v>
      </c>
      <c r="AO25" s="85">
        <v>16</v>
      </c>
      <c r="AP25" s="85">
        <v>9</v>
      </c>
      <c r="AS25" s="85">
        <v>116</v>
      </c>
      <c r="AT25" s="85" t="s">
        <v>750</v>
      </c>
      <c r="AU25" s="509">
        <f t="shared" si="4"/>
        <v>8</v>
      </c>
      <c r="AV25" s="510">
        <v>0</v>
      </c>
      <c r="AW25" s="510">
        <v>1</v>
      </c>
      <c r="AX25" s="510">
        <v>1</v>
      </c>
      <c r="AY25" s="510">
        <v>3</v>
      </c>
      <c r="AZ25" s="510">
        <v>3</v>
      </c>
    </row>
    <row r="26" spans="2:52" ht="12.75" x14ac:dyDescent="0.25">
      <c r="B26" s="85">
        <v>1802</v>
      </c>
      <c r="C26" s="85" t="s">
        <v>441</v>
      </c>
      <c r="D26" s="89">
        <f t="shared" si="0"/>
        <v>51</v>
      </c>
      <c r="E26" s="85">
        <v>0</v>
      </c>
      <c r="F26" s="85">
        <v>0</v>
      </c>
      <c r="G26" s="85">
        <v>0</v>
      </c>
      <c r="H26" s="85">
        <v>18</v>
      </c>
      <c r="I26" s="85">
        <v>33</v>
      </c>
      <c r="M26" s="85">
        <v>903</v>
      </c>
      <c r="N26" s="85" t="s">
        <v>451</v>
      </c>
      <c r="O26" s="89">
        <f t="shared" si="1"/>
        <v>39</v>
      </c>
      <c r="P26" s="85">
        <v>0</v>
      </c>
      <c r="Q26" s="85">
        <v>0</v>
      </c>
      <c r="R26" s="85">
        <v>4</v>
      </c>
      <c r="S26" s="85">
        <v>16</v>
      </c>
      <c r="T26" s="85">
        <v>19</v>
      </c>
      <c r="X26" s="85">
        <v>1004</v>
      </c>
      <c r="Y26" s="85" t="s">
        <v>483</v>
      </c>
      <c r="Z26" s="90">
        <f t="shared" si="2"/>
        <v>27</v>
      </c>
      <c r="AA26" s="90">
        <v>0</v>
      </c>
      <c r="AB26" s="90">
        <v>0</v>
      </c>
      <c r="AC26" s="90">
        <v>8</v>
      </c>
      <c r="AD26" s="90">
        <v>14</v>
      </c>
      <c r="AE26" s="90">
        <v>5</v>
      </c>
      <c r="AI26" s="85">
        <v>1004</v>
      </c>
      <c r="AJ26" s="85" t="s">
        <v>483</v>
      </c>
      <c r="AK26" s="89">
        <f t="shared" si="3"/>
        <v>32</v>
      </c>
      <c r="AL26" s="85">
        <v>0</v>
      </c>
      <c r="AM26" s="85">
        <v>2</v>
      </c>
      <c r="AN26" s="85">
        <v>8</v>
      </c>
      <c r="AO26" s="85">
        <v>12</v>
      </c>
      <c r="AP26" s="85">
        <v>10</v>
      </c>
      <c r="AS26" s="85">
        <v>606</v>
      </c>
      <c r="AT26" s="85" t="s">
        <v>442</v>
      </c>
      <c r="AU26" s="509">
        <f t="shared" si="4"/>
        <v>6</v>
      </c>
      <c r="AV26" s="510">
        <v>0</v>
      </c>
      <c r="AW26" s="510">
        <v>0</v>
      </c>
      <c r="AX26" s="510">
        <v>0</v>
      </c>
      <c r="AY26" s="510">
        <v>5</v>
      </c>
      <c r="AZ26" s="510">
        <v>1</v>
      </c>
    </row>
    <row r="27" spans="2:52" ht="12.75" x14ac:dyDescent="0.25">
      <c r="B27" s="85">
        <v>101</v>
      </c>
      <c r="C27" s="85" t="s">
        <v>435</v>
      </c>
      <c r="D27" s="89">
        <f t="shared" si="0"/>
        <v>43</v>
      </c>
      <c r="E27" s="85">
        <v>0</v>
      </c>
      <c r="F27" s="85">
        <v>4</v>
      </c>
      <c r="G27" s="85">
        <v>11</v>
      </c>
      <c r="H27" s="85">
        <v>17</v>
      </c>
      <c r="I27" s="85">
        <v>11</v>
      </c>
      <c r="M27" s="85">
        <v>101</v>
      </c>
      <c r="N27" s="85" t="s">
        <v>435</v>
      </c>
      <c r="O27" s="89">
        <f t="shared" si="1"/>
        <v>33.5</v>
      </c>
      <c r="P27" s="85">
        <v>0</v>
      </c>
      <c r="Q27" s="85">
        <v>2</v>
      </c>
      <c r="R27" s="85">
        <v>6.5</v>
      </c>
      <c r="S27" s="85">
        <v>14</v>
      </c>
      <c r="T27" s="85">
        <v>11</v>
      </c>
      <c r="X27" s="85">
        <v>1109</v>
      </c>
      <c r="Y27" s="85" t="s">
        <v>488</v>
      </c>
      <c r="Z27" s="90">
        <f t="shared" si="2"/>
        <v>24</v>
      </c>
      <c r="AA27" s="90">
        <v>0</v>
      </c>
      <c r="AB27" s="90">
        <v>0</v>
      </c>
      <c r="AC27" s="90">
        <v>2</v>
      </c>
      <c r="AD27" s="90">
        <v>11</v>
      </c>
      <c r="AE27" s="90">
        <v>11</v>
      </c>
      <c r="AI27" s="85">
        <v>1109</v>
      </c>
      <c r="AJ27" s="85" t="s">
        <v>488</v>
      </c>
      <c r="AK27" s="89">
        <f t="shared" si="3"/>
        <v>30</v>
      </c>
      <c r="AL27" s="85">
        <v>1</v>
      </c>
      <c r="AM27" s="85">
        <v>3</v>
      </c>
      <c r="AN27" s="85">
        <v>6</v>
      </c>
      <c r="AO27" s="85">
        <v>12</v>
      </c>
      <c r="AP27" s="85">
        <v>8</v>
      </c>
      <c r="AS27" s="85">
        <v>115</v>
      </c>
      <c r="AT27" s="85" t="s">
        <v>749</v>
      </c>
      <c r="AU27" s="509">
        <f t="shared" si="4"/>
        <v>14</v>
      </c>
      <c r="AV27" s="510">
        <v>0</v>
      </c>
      <c r="AW27" s="510">
        <v>0</v>
      </c>
      <c r="AX27" s="510">
        <v>0</v>
      </c>
      <c r="AY27" s="510">
        <v>5</v>
      </c>
      <c r="AZ27" s="510">
        <v>9</v>
      </c>
    </row>
    <row r="28" spans="2:52" ht="12.75" x14ac:dyDescent="0.25">
      <c r="B28" s="85">
        <v>1004</v>
      </c>
      <c r="C28" s="85" t="s">
        <v>483</v>
      </c>
      <c r="D28" s="89">
        <f t="shared" si="0"/>
        <v>42</v>
      </c>
      <c r="E28" s="85">
        <v>0</v>
      </c>
      <c r="F28" s="85">
        <v>4</v>
      </c>
      <c r="G28" s="85">
        <v>18</v>
      </c>
      <c r="H28" s="85">
        <v>11</v>
      </c>
      <c r="I28" s="85">
        <v>9</v>
      </c>
      <c r="M28" s="85">
        <v>115</v>
      </c>
      <c r="N28" s="85" t="s">
        <v>749</v>
      </c>
      <c r="O28" s="89">
        <f t="shared" si="1"/>
        <v>32.5</v>
      </c>
      <c r="P28" s="85">
        <v>1</v>
      </c>
      <c r="Q28" s="85">
        <v>3</v>
      </c>
      <c r="R28" s="85">
        <v>12</v>
      </c>
      <c r="S28" s="85">
        <v>12</v>
      </c>
      <c r="T28" s="85">
        <v>4.5</v>
      </c>
      <c r="X28" s="85">
        <v>116</v>
      </c>
      <c r="Y28" s="85" t="s">
        <v>750</v>
      </c>
      <c r="Z28" s="90">
        <f t="shared" si="2"/>
        <v>23</v>
      </c>
      <c r="AA28" s="90">
        <v>2</v>
      </c>
      <c r="AB28" s="90">
        <v>2</v>
      </c>
      <c r="AC28" s="90">
        <v>6</v>
      </c>
      <c r="AD28" s="90">
        <v>13</v>
      </c>
      <c r="AE28" s="90">
        <v>0</v>
      </c>
      <c r="AI28" s="85">
        <v>116</v>
      </c>
      <c r="AJ28" s="85" t="s">
        <v>750</v>
      </c>
      <c r="AK28" s="89">
        <f t="shared" si="3"/>
        <v>28</v>
      </c>
      <c r="AL28" s="85">
        <v>0</v>
      </c>
      <c r="AM28" s="85">
        <v>0</v>
      </c>
      <c r="AN28" s="85">
        <v>4</v>
      </c>
      <c r="AO28" s="85">
        <v>18</v>
      </c>
      <c r="AP28" s="85">
        <v>6</v>
      </c>
      <c r="AS28" s="142">
        <v>1109</v>
      </c>
      <c r="AT28" s="85" t="s">
        <v>488</v>
      </c>
      <c r="AU28" s="509">
        <f t="shared" si="4"/>
        <v>74</v>
      </c>
      <c r="AV28" s="510">
        <v>0</v>
      </c>
      <c r="AW28" s="510">
        <v>2</v>
      </c>
      <c r="AX28" s="510">
        <v>6</v>
      </c>
      <c r="AY28" s="510">
        <v>26</v>
      </c>
      <c r="AZ28" s="510">
        <v>40</v>
      </c>
    </row>
    <row r="29" spans="2:52" ht="12.75" x14ac:dyDescent="0.25">
      <c r="B29" s="85">
        <v>903</v>
      </c>
      <c r="C29" s="85" t="s">
        <v>451</v>
      </c>
      <c r="D29" s="89">
        <f t="shared" si="0"/>
        <v>41</v>
      </c>
      <c r="E29" s="85">
        <v>0</v>
      </c>
      <c r="F29" s="85">
        <v>0</v>
      </c>
      <c r="G29" s="85">
        <v>10</v>
      </c>
      <c r="H29" s="85">
        <v>21</v>
      </c>
      <c r="I29" s="85">
        <v>10</v>
      </c>
      <c r="M29" s="85">
        <v>1109</v>
      </c>
      <c r="N29" s="85" t="s">
        <v>488</v>
      </c>
      <c r="O29" s="89">
        <f t="shared" si="1"/>
        <v>32</v>
      </c>
      <c r="P29" s="85">
        <v>0</v>
      </c>
      <c r="Q29" s="85">
        <v>1.5</v>
      </c>
      <c r="R29" s="85">
        <v>7.5</v>
      </c>
      <c r="S29" s="85">
        <v>17.5</v>
      </c>
      <c r="T29" s="85">
        <v>5.5</v>
      </c>
      <c r="X29" s="85">
        <v>117</v>
      </c>
      <c r="Y29" s="85" t="s">
        <v>446</v>
      </c>
      <c r="Z29" s="90">
        <f t="shared" si="2"/>
        <v>23</v>
      </c>
      <c r="AA29" s="90">
        <v>0</v>
      </c>
      <c r="AB29" s="90">
        <v>3</v>
      </c>
      <c r="AC29" s="90">
        <v>5</v>
      </c>
      <c r="AD29" s="90">
        <v>14</v>
      </c>
      <c r="AE29" s="90">
        <v>1</v>
      </c>
      <c r="AI29" s="85">
        <v>117</v>
      </c>
      <c r="AJ29" s="85" t="s">
        <v>446</v>
      </c>
      <c r="AK29" s="89">
        <f t="shared" si="3"/>
        <v>27</v>
      </c>
      <c r="AL29" s="85">
        <v>0</v>
      </c>
      <c r="AM29" s="85">
        <v>0</v>
      </c>
      <c r="AN29" s="85">
        <v>3</v>
      </c>
      <c r="AO29" s="85">
        <v>15</v>
      </c>
      <c r="AP29" s="85">
        <v>9</v>
      </c>
      <c r="AS29" s="85">
        <v>401</v>
      </c>
      <c r="AT29" s="85" t="s">
        <v>1988</v>
      </c>
      <c r="AU29" s="509">
        <f t="shared" si="4"/>
        <v>5</v>
      </c>
      <c r="AV29" s="510">
        <v>0</v>
      </c>
      <c r="AW29" s="510">
        <v>0</v>
      </c>
      <c r="AX29" s="510">
        <v>0</v>
      </c>
      <c r="AY29" s="510">
        <v>4</v>
      </c>
      <c r="AZ29" s="510">
        <v>1</v>
      </c>
    </row>
    <row r="30" spans="2:52" ht="12.75" x14ac:dyDescent="0.25">
      <c r="B30" s="85">
        <v>505</v>
      </c>
      <c r="C30" s="85" t="s">
        <v>751</v>
      </c>
      <c r="D30" s="89">
        <f t="shared" si="0"/>
        <v>39</v>
      </c>
      <c r="E30" s="85">
        <v>0</v>
      </c>
      <c r="F30" s="85">
        <v>1</v>
      </c>
      <c r="G30" s="85">
        <v>19</v>
      </c>
      <c r="H30" s="85">
        <v>14</v>
      </c>
      <c r="I30" s="85">
        <v>5</v>
      </c>
      <c r="M30" s="85">
        <v>117</v>
      </c>
      <c r="N30" s="85" t="s">
        <v>446</v>
      </c>
      <c r="O30" s="89">
        <f t="shared" si="1"/>
        <v>30.5</v>
      </c>
      <c r="P30" s="85">
        <v>0.5</v>
      </c>
      <c r="Q30" s="85">
        <v>1</v>
      </c>
      <c r="R30" s="85">
        <v>12</v>
      </c>
      <c r="S30" s="85">
        <v>12</v>
      </c>
      <c r="T30" s="85">
        <v>5</v>
      </c>
      <c r="X30" s="85">
        <v>1808</v>
      </c>
      <c r="Y30" s="85" t="s">
        <v>449</v>
      </c>
      <c r="Z30" s="90">
        <f t="shared" si="2"/>
        <v>22</v>
      </c>
      <c r="AA30" s="90">
        <v>1</v>
      </c>
      <c r="AB30" s="90">
        <v>1</v>
      </c>
      <c r="AC30" s="90">
        <v>5</v>
      </c>
      <c r="AD30" s="90">
        <v>10</v>
      </c>
      <c r="AE30" s="90">
        <v>5</v>
      </c>
      <c r="AI30" s="85">
        <v>1808</v>
      </c>
      <c r="AJ30" s="85" t="s">
        <v>449</v>
      </c>
      <c r="AK30" s="89">
        <f t="shared" si="3"/>
        <v>25</v>
      </c>
      <c r="AL30" s="85">
        <v>1</v>
      </c>
      <c r="AM30" s="85">
        <v>3</v>
      </c>
      <c r="AN30" s="85">
        <v>7</v>
      </c>
      <c r="AO30" s="85">
        <v>11</v>
      </c>
      <c r="AP30" s="85">
        <v>3</v>
      </c>
      <c r="AS30" s="85">
        <v>102</v>
      </c>
      <c r="AT30" s="85" t="s">
        <v>755</v>
      </c>
      <c r="AU30" s="509">
        <f t="shared" si="4"/>
        <v>62</v>
      </c>
      <c r="AV30" s="510">
        <v>1</v>
      </c>
      <c r="AW30" s="510">
        <v>0</v>
      </c>
      <c r="AX30" s="510">
        <v>7</v>
      </c>
      <c r="AY30" s="510">
        <v>21</v>
      </c>
      <c r="AZ30" s="510">
        <v>33</v>
      </c>
    </row>
    <row r="31" spans="2:52" ht="12.75" x14ac:dyDescent="0.25">
      <c r="B31" s="85">
        <v>115</v>
      </c>
      <c r="C31" s="85" t="s">
        <v>749</v>
      </c>
      <c r="D31" s="89">
        <f t="shared" si="0"/>
        <v>39</v>
      </c>
      <c r="E31" s="85">
        <v>1</v>
      </c>
      <c r="F31" s="85">
        <v>3</v>
      </c>
      <c r="G31" s="85">
        <v>15</v>
      </c>
      <c r="H31" s="85">
        <v>16</v>
      </c>
      <c r="I31" s="85">
        <v>4</v>
      </c>
      <c r="M31" s="85">
        <v>1004</v>
      </c>
      <c r="N31" s="85" t="s">
        <v>483</v>
      </c>
      <c r="O31" s="89">
        <f t="shared" si="1"/>
        <v>26.5</v>
      </c>
      <c r="P31" s="85">
        <v>0.5</v>
      </c>
      <c r="Q31" s="85">
        <v>1.5</v>
      </c>
      <c r="R31" s="85">
        <v>7.5</v>
      </c>
      <c r="S31" s="85">
        <v>8.5</v>
      </c>
      <c r="T31" s="85">
        <v>8.5</v>
      </c>
      <c r="X31" s="85">
        <v>1407</v>
      </c>
      <c r="Y31" s="85" t="s">
        <v>482</v>
      </c>
      <c r="Z31" s="90">
        <f t="shared" si="2"/>
        <v>14</v>
      </c>
      <c r="AA31" s="90">
        <v>0</v>
      </c>
      <c r="AB31" s="90">
        <v>0</v>
      </c>
      <c r="AC31" s="90">
        <v>0</v>
      </c>
      <c r="AD31" s="90">
        <v>1</v>
      </c>
      <c r="AE31" s="90">
        <v>13</v>
      </c>
      <c r="AI31" s="85">
        <v>1407</v>
      </c>
      <c r="AJ31" s="85" t="s">
        <v>482</v>
      </c>
      <c r="AK31" s="89">
        <f t="shared" si="3"/>
        <v>23</v>
      </c>
      <c r="AL31" s="85">
        <v>0</v>
      </c>
      <c r="AM31" s="85">
        <v>1</v>
      </c>
      <c r="AN31" s="85">
        <v>8</v>
      </c>
      <c r="AO31" s="85">
        <v>8</v>
      </c>
      <c r="AP31" s="85">
        <v>6</v>
      </c>
      <c r="AS31" s="85">
        <v>1808</v>
      </c>
      <c r="AT31" s="85" t="s">
        <v>449</v>
      </c>
      <c r="AU31" s="509">
        <f t="shared" si="4"/>
        <v>2</v>
      </c>
      <c r="AV31" s="510">
        <v>0</v>
      </c>
      <c r="AW31" s="510">
        <v>0</v>
      </c>
      <c r="AX31" s="510">
        <v>0</v>
      </c>
      <c r="AY31" s="510">
        <v>1</v>
      </c>
      <c r="AZ31" s="510">
        <v>1</v>
      </c>
    </row>
    <row r="32" spans="2:52" ht="12.75" x14ac:dyDescent="0.25">
      <c r="B32" s="85">
        <v>117</v>
      </c>
      <c r="C32" s="85" t="s">
        <v>446</v>
      </c>
      <c r="D32" s="89">
        <f t="shared" si="0"/>
        <v>34</v>
      </c>
      <c r="E32" s="85">
        <v>0</v>
      </c>
      <c r="F32" s="85">
        <v>0</v>
      </c>
      <c r="G32" s="85">
        <v>8</v>
      </c>
      <c r="H32" s="85">
        <v>16</v>
      </c>
      <c r="I32" s="85">
        <v>10</v>
      </c>
      <c r="M32" s="85">
        <v>1404</v>
      </c>
      <c r="N32" s="85" t="s">
        <v>752</v>
      </c>
      <c r="O32" s="89">
        <f t="shared" si="1"/>
        <v>24</v>
      </c>
      <c r="P32" s="85">
        <v>0</v>
      </c>
      <c r="Q32" s="85">
        <v>0.5</v>
      </c>
      <c r="R32" s="85">
        <v>5.5</v>
      </c>
      <c r="S32" s="85">
        <v>11</v>
      </c>
      <c r="T32" s="85">
        <v>7</v>
      </c>
      <c r="X32" s="85">
        <v>1801</v>
      </c>
      <c r="Y32" s="85" t="s">
        <v>753</v>
      </c>
      <c r="Z32" s="90">
        <f t="shared" si="2"/>
        <v>14</v>
      </c>
      <c r="AA32" s="90">
        <v>0</v>
      </c>
      <c r="AB32" s="90">
        <v>1</v>
      </c>
      <c r="AC32" s="90">
        <v>3</v>
      </c>
      <c r="AD32" s="90">
        <v>6</v>
      </c>
      <c r="AE32" s="90">
        <v>4</v>
      </c>
      <c r="AI32" s="85">
        <v>1801</v>
      </c>
      <c r="AJ32" s="85" t="s">
        <v>753</v>
      </c>
      <c r="AK32" s="89">
        <f t="shared" si="3"/>
        <v>22</v>
      </c>
      <c r="AL32" s="85">
        <v>0</v>
      </c>
      <c r="AM32" s="85">
        <v>1</v>
      </c>
      <c r="AN32" s="85">
        <v>8</v>
      </c>
      <c r="AO32" s="85">
        <v>12</v>
      </c>
      <c r="AP32" s="85">
        <v>1</v>
      </c>
      <c r="AS32" s="85">
        <v>503</v>
      </c>
      <c r="AT32" s="85" t="s">
        <v>1989</v>
      </c>
      <c r="AU32" s="509">
        <f t="shared" si="4"/>
        <v>77</v>
      </c>
      <c r="AV32" s="510">
        <v>30</v>
      </c>
      <c r="AW32" s="510">
        <v>0</v>
      </c>
      <c r="AX32" s="510">
        <v>3</v>
      </c>
      <c r="AY32" s="510">
        <v>20</v>
      </c>
      <c r="AZ32" s="510">
        <v>24</v>
      </c>
    </row>
    <row r="33" spans="2:53" ht="12.75" x14ac:dyDescent="0.25">
      <c r="B33" s="85">
        <v>1109</v>
      </c>
      <c r="C33" s="85" t="s">
        <v>488</v>
      </c>
      <c r="D33" s="89">
        <f t="shared" si="0"/>
        <v>29</v>
      </c>
      <c r="E33" s="85">
        <v>0</v>
      </c>
      <c r="F33" s="85">
        <v>0</v>
      </c>
      <c r="G33" s="85">
        <v>6</v>
      </c>
      <c r="H33" s="85">
        <v>21</v>
      </c>
      <c r="I33" s="85">
        <v>2</v>
      </c>
      <c r="M33" s="85">
        <v>505</v>
      </c>
      <c r="N33" s="85" t="s">
        <v>751</v>
      </c>
      <c r="O33" s="89">
        <f t="shared" si="1"/>
        <v>21</v>
      </c>
      <c r="P33" s="85">
        <v>0</v>
      </c>
      <c r="Q33" s="85">
        <v>0</v>
      </c>
      <c r="R33" s="85">
        <v>3.5</v>
      </c>
      <c r="S33" s="85">
        <v>11</v>
      </c>
      <c r="T33" s="85">
        <v>6.5</v>
      </c>
      <c r="X33" s="85">
        <v>903</v>
      </c>
      <c r="Y33" s="85" t="s">
        <v>451</v>
      </c>
      <c r="Z33" s="90">
        <f t="shared" si="2"/>
        <v>13</v>
      </c>
      <c r="AA33" s="90">
        <v>0</v>
      </c>
      <c r="AB33" s="90">
        <v>0</v>
      </c>
      <c r="AC33" s="90">
        <v>1</v>
      </c>
      <c r="AD33" s="90">
        <v>1</v>
      </c>
      <c r="AE33" s="90">
        <v>11</v>
      </c>
      <c r="AI33" s="85">
        <v>903</v>
      </c>
      <c r="AJ33" s="85" t="s">
        <v>451</v>
      </c>
      <c r="AK33" s="89">
        <f t="shared" si="3"/>
        <v>19</v>
      </c>
      <c r="AL33" s="85">
        <v>1</v>
      </c>
      <c r="AM33" s="85">
        <v>0</v>
      </c>
      <c r="AN33" s="85">
        <v>6</v>
      </c>
      <c r="AO33" s="85">
        <v>2</v>
      </c>
      <c r="AP33" s="85">
        <v>10</v>
      </c>
      <c r="AS33" s="85">
        <v>117</v>
      </c>
      <c r="AT33" s="85" t="s">
        <v>446</v>
      </c>
      <c r="AU33" s="509">
        <f t="shared" si="4"/>
        <v>8</v>
      </c>
      <c r="AV33" s="510">
        <v>0</v>
      </c>
      <c r="AW33" s="510">
        <v>2</v>
      </c>
      <c r="AX33" s="510">
        <v>1</v>
      </c>
      <c r="AY33" s="510">
        <v>3</v>
      </c>
      <c r="AZ33" s="510">
        <v>2</v>
      </c>
    </row>
    <row r="34" spans="2:53" ht="12.75" x14ac:dyDescent="0.25">
      <c r="B34" s="85">
        <v>1304</v>
      </c>
      <c r="C34" s="85" t="s">
        <v>447</v>
      </c>
      <c r="D34" s="89">
        <f t="shared" si="0"/>
        <v>27</v>
      </c>
      <c r="E34" s="85">
        <v>0</v>
      </c>
      <c r="F34" s="85">
        <v>1</v>
      </c>
      <c r="G34" s="85">
        <v>9</v>
      </c>
      <c r="H34" s="85">
        <v>11</v>
      </c>
      <c r="I34" s="85">
        <v>6</v>
      </c>
      <c r="M34" s="85">
        <v>1201</v>
      </c>
      <c r="N34" s="85" t="s">
        <v>754</v>
      </c>
      <c r="O34" s="89">
        <f t="shared" si="1"/>
        <v>20</v>
      </c>
      <c r="P34" s="85">
        <v>0</v>
      </c>
      <c r="Q34" s="85">
        <v>0.5</v>
      </c>
      <c r="R34" s="85">
        <v>5.5</v>
      </c>
      <c r="S34" s="85">
        <v>8</v>
      </c>
      <c r="T34" s="85">
        <v>6</v>
      </c>
      <c r="X34" s="85">
        <v>1201</v>
      </c>
      <c r="Y34" s="85" t="s">
        <v>754</v>
      </c>
      <c r="Z34" s="90">
        <f t="shared" si="2"/>
        <v>13</v>
      </c>
      <c r="AA34" s="90">
        <v>0</v>
      </c>
      <c r="AB34" s="90">
        <v>0</v>
      </c>
      <c r="AC34" s="90">
        <v>2</v>
      </c>
      <c r="AD34" s="90">
        <v>5</v>
      </c>
      <c r="AE34" s="90">
        <v>6</v>
      </c>
      <c r="AI34" s="85">
        <v>1201</v>
      </c>
      <c r="AJ34" s="85" t="s">
        <v>754</v>
      </c>
      <c r="AK34" s="89">
        <f t="shared" si="3"/>
        <v>19</v>
      </c>
      <c r="AL34" s="85">
        <v>0</v>
      </c>
      <c r="AM34" s="85">
        <v>0</v>
      </c>
      <c r="AN34" s="85">
        <v>0</v>
      </c>
      <c r="AO34" s="85">
        <v>3</v>
      </c>
      <c r="AP34" s="85">
        <v>16</v>
      </c>
      <c r="AS34" s="85">
        <v>903</v>
      </c>
      <c r="AT34" s="85" t="s">
        <v>451</v>
      </c>
      <c r="AU34" s="509">
        <f t="shared" si="4"/>
        <v>2</v>
      </c>
      <c r="AV34" s="510">
        <v>0</v>
      </c>
      <c r="AW34" s="510">
        <v>0</v>
      </c>
      <c r="AX34" s="510">
        <v>0</v>
      </c>
      <c r="AY34" s="510">
        <v>0</v>
      </c>
      <c r="AZ34" s="510">
        <v>2</v>
      </c>
    </row>
    <row r="35" spans="2:53" ht="12.75" x14ac:dyDescent="0.25">
      <c r="B35" s="85">
        <v>1305</v>
      </c>
      <c r="C35" s="85" t="s">
        <v>6102</v>
      </c>
      <c r="D35" s="89">
        <f t="shared" si="0"/>
        <v>23</v>
      </c>
      <c r="E35" s="85">
        <v>0</v>
      </c>
      <c r="F35" s="85">
        <v>1</v>
      </c>
      <c r="G35" s="85">
        <v>6</v>
      </c>
      <c r="H35" s="85">
        <v>13</v>
      </c>
      <c r="I35" s="85">
        <v>3</v>
      </c>
      <c r="M35" s="85">
        <v>102</v>
      </c>
      <c r="N35" s="85" t="s">
        <v>755</v>
      </c>
      <c r="O35" s="89">
        <f t="shared" si="1"/>
        <v>18</v>
      </c>
      <c r="P35" s="85">
        <v>0</v>
      </c>
      <c r="Q35" s="85">
        <v>0.5</v>
      </c>
      <c r="R35" s="85">
        <v>4.5</v>
      </c>
      <c r="S35" s="85">
        <v>11</v>
      </c>
      <c r="T35" s="85">
        <v>2</v>
      </c>
      <c r="X35" s="85">
        <v>1404</v>
      </c>
      <c r="Y35" s="85" t="s">
        <v>752</v>
      </c>
      <c r="Z35" s="90">
        <f t="shared" si="2"/>
        <v>13</v>
      </c>
      <c r="AA35" s="90">
        <v>0</v>
      </c>
      <c r="AB35" s="90">
        <v>0</v>
      </c>
      <c r="AC35" s="90">
        <v>3</v>
      </c>
      <c r="AD35" s="90">
        <v>9</v>
      </c>
      <c r="AE35" s="90">
        <v>1</v>
      </c>
      <c r="AI35" s="85">
        <v>1404</v>
      </c>
      <c r="AJ35" s="85" t="s">
        <v>752</v>
      </c>
      <c r="AK35" s="89">
        <f t="shared" si="3"/>
        <v>18</v>
      </c>
      <c r="AL35" s="85">
        <v>0</v>
      </c>
      <c r="AM35" s="85">
        <v>0</v>
      </c>
      <c r="AN35" s="85">
        <v>1</v>
      </c>
      <c r="AO35" s="85">
        <v>10</v>
      </c>
      <c r="AP35" s="85">
        <v>7</v>
      </c>
      <c r="AS35" s="85">
        <v>1003</v>
      </c>
      <c r="AT35" s="85" t="s">
        <v>452</v>
      </c>
      <c r="AU35" s="509">
        <f t="shared" si="4"/>
        <v>8</v>
      </c>
      <c r="AV35" s="510">
        <v>0</v>
      </c>
      <c r="AW35" s="510">
        <v>0</v>
      </c>
      <c r="AX35" s="510">
        <v>0</v>
      </c>
      <c r="AY35" s="510">
        <v>5</v>
      </c>
      <c r="AZ35" s="510">
        <v>3</v>
      </c>
    </row>
    <row r="36" spans="2:53" ht="12.75" x14ac:dyDescent="0.25">
      <c r="B36" s="85"/>
      <c r="C36" s="85" t="s">
        <v>187</v>
      </c>
      <c r="D36" s="89">
        <f t="shared" si="0"/>
        <v>547</v>
      </c>
      <c r="E36" s="85">
        <v>4</v>
      </c>
      <c r="F36" s="85">
        <v>22</v>
      </c>
      <c r="G36" s="85">
        <v>100</v>
      </c>
      <c r="H36" s="85">
        <v>222</v>
      </c>
      <c r="I36" s="85">
        <v>199</v>
      </c>
      <c r="M36" s="85"/>
      <c r="N36" s="85" t="s">
        <v>187</v>
      </c>
      <c r="O36" s="89">
        <f t="shared" si="1"/>
        <v>405.5</v>
      </c>
      <c r="P36" s="85">
        <v>4</v>
      </c>
      <c r="Q36" s="85">
        <v>14</v>
      </c>
      <c r="R36" s="85">
        <v>71.5</v>
      </c>
      <c r="S36" s="85">
        <v>175</v>
      </c>
      <c r="T36" s="85">
        <v>141</v>
      </c>
      <c r="X36" s="85"/>
      <c r="Y36" s="85" t="s">
        <v>187</v>
      </c>
      <c r="Z36" s="90">
        <f t="shared" si="2"/>
        <v>264</v>
      </c>
      <c r="AA36" s="90">
        <v>4</v>
      </c>
      <c r="AB36" s="90">
        <v>6</v>
      </c>
      <c r="AC36" s="90">
        <v>43</v>
      </c>
      <c r="AD36" s="90">
        <v>128</v>
      </c>
      <c r="AE36" s="90">
        <v>83</v>
      </c>
      <c r="AI36" s="85"/>
      <c r="AJ36" s="85" t="s">
        <v>187</v>
      </c>
      <c r="AK36" s="89">
        <f t="shared" si="3"/>
        <v>358</v>
      </c>
      <c r="AL36" s="85">
        <v>1</v>
      </c>
      <c r="AM36" s="85">
        <v>10</v>
      </c>
      <c r="AN36" s="85">
        <v>68</v>
      </c>
      <c r="AO36" s="85">
        <v>156</v>
      </c>
      <c r="AP36" s="85">
        <v>123</v>
      </c>
      <c r="AS36" s="85"/>
      <c r="AT36" s="85" t="s">
        <v>187</v>
      </c>
      <c r="AU36" s="509">
        <v>370</v>
      </c>
      <c r="AV36" s="511">
        <v>470</v>
      </c>
      <c r="AW36" s="510">
        <v>2</v>
      </c>
      <c r="AX36" s="511">
        <v>6</v>
      </c>
      <c r="AY36" s="511">
        <v>54</v>
      </c>
      <c r="AZ36" s="511">
        <v>128</v>
      </c>
    </row>
    <row r="37" spans="2:53" ht="12.75" x14ac:dyDescent="0.25">
      <c r="B37" s="82"/>
      <c r="C37" s="82" t="s">
        <v>0</v>
      </c>
      <c r="D37" s="91">
        <f t="shared" ref="D37:I37" si="5">SUM(D16:D36)</f>
        <v>2314</v>
      </c>
      <c r="E37" s="87">
        <f t="shared" si="5"/>
        <v>12</v>
      </c>
      <c r="F37" s="87">
        <f t="shared" si="5"/>
        <v>72</v>
      </c>
      <c r="G37" s="87">
        <f t="shared" si="5"/>
        <v>379</v>
      </c>
      <c r="H37" s="87">
        <f t="shared" si="5"/>
        <v>1011</v>
      </c>
      <c r="I37" s="87">
        <f t="shared" si="5"/>
        <v>840</v>
      </c>
      <c r="M37" s="82"/>
      <c r="N37" s="82" t="s">
        <v>0</v>
      </c>
      <c r="O37" s="91">
        <f t="shared" ref="O37:T37" si="6">SUM(O16:O36)</f>
        <v>1800</v>
      </c>
      <c r="P37" s="87">
        <f t="shared" si="6"/>
        <v>13.5</v>
      </c>
      <c r="Q37" s="87">
        <f t="shared" si="6"/>
        <v>47.5</v>
      </c>
      <c r="R37" s="87">
        <f t="shared" si="6"/>
        <v>281.5</v>
      </c>
      <c r="S37" s="87">
        <f t="shared" si="6"/>
        <v>803.5</v>
      </c>
      <c r="T37" s="87">
        <f t="shared" si="6"/>
        <v>654</v>
      </c>
      <c r="X37" s="82"/>
      <c r="Y37" s="82" t="s">
        <v>0</v>
      </c>
      <c r="Z37" s="91">
        <f t="shared" ref="Z37:AE37" si="7">AVERAGE(AK37+D37)/2</f>
        <v>1827.5</v>
      </c>
      <c r="AA37" s="87">
        <f t="shared" si="7"/>
        <v>9</v>
      </c>
      <c r="AB37" s="87">
        <f t="shared" si="7"/>
        <v>54.5</v>
      </c>
      <c r="AC37" s="87">
        <f t="shared" si="7"/>
        <v>291</v>
      </c>
      <c r="AD37" s="87">
        <f t="shared" si="7"/>
        <v>807.5</v>
      </c>
      <c r="AE37" s="87">
        <f t="shared" si="7"/>
        <v>665.5</v>
      </c>
      <c r="AI37" s="82"/>
      <c r="AJ37" s="82" t="s">
        <v>0</v>
      </c>
      <c r="AK37" s="91">
        <f t="shared" ref="AK37:AP37" si="8">SUM(AK16:AK36)</f>
        <v>1341</v>
      </c>
      <c r="AL37" s="87">
        <f t="shared" si="8"/>
        <v>6</v>
      </c>
      <c r="AM37" s="87">
        <f t="shared" si="8"/>
        <v>37</v>
      </c>
      <c r="AN37" s="87">
        <f t="shared" si="8"/>
        <v>203</v>
      </c>
      <c r="AO37" s="87">
        <f t="shared" si="8"/>
        <v>604</v>
      </c>
      <c r="AP37" s="87">
        <f t="shared" si="8"/>
        <v>491</v>
      </c>
      <c r="AS37" s="82"/>
      <c r="AT37" s="82" t="s">
        <v>0</v>
      </c>
      <c r="AU37" s="509">
        <f>SUM(AU16:AU36)</f>
        <v>1063</v>
      </c>
      <c r="AV37" s="511">
        <f t="shared" ref="AV37:AZ37" si="9">SUM(AV16:AV36)</f>
        <v>501</v>
      </c>
      <c r="AW37" s="511">
        <f t="shared" si="9"/>
        <v>16</v>
      </c>
      <c r="AX37" s="511">
        <f t="shared" si="9"/>
        <v>80</v>
      </c>
      <c r="AY37" s="511">
        <f t="shared" si="9"/>
        <v>354</v>
      </c>
      <c r="AZ37" s="511">
        <f t="shared" si="9"/>
        <v>402</v>
      </c>
    </row>
    <row r="38" spans="2:53" x14ac:dyDescent="0.2">
      <c r="B38" s="4266" t="s">
        <v>756</v>
      </c>
      <c r="C38" s="4266"/>
      <c r="D38" s="4266"/>
      <c r="M38" s="4266" t="s">
        <v>756</v>
      </c>
      <c r="N38" s="4266"/>
      <c r="O38" s="4266"/>
      <c r="X38" s="4266" t="s">
        <v>756</v>
      </c>
      <c r="Y38" s="4266"/>
      <c r="Z38" s="4266"/>
      <c r="AA38" s="81"/>
      <c r="AB38" s="81"/>
      <c r="AC38" s="81"/>
      <c r="AD38" s="81"/>
      <c r="AE38" s="81"/>
      <c r="AF38" s="81"/>
      <c r="AI38" s="4266" t="s">
        <v>756</v>
      </c>
      <c r="AJ38" s="4266"/>
      <c r="AK38" s="4266"/>
      <c r="AL38" s="81"/>
      <c r="AM38" s="81"/>
      <c r="AN38" s="81"/>
      <c r="AO38" s="81"/>
      <c r="AP38" s="81"/>
      <c r="AQ38" s="81"/>
      <c r="AS38" s="4266" t="s">
        <v>756</v>
      </c>
      <c r="AT38" s="4266"/>
      <c r="AU38" s="4266"/>
      <c r="AV38" s="81"/>
      <c r="AW38" s="81"/>
      <c r="AX38" s="81"/>
      <c r="AY38" s="81"/>
      <c r="AZ38" s="81"/>
      <c r="BA38" s="81"/>
    </row>
    <row r="39" spans="2:53" x14ac:dyDescent="0.2">
      <c r="B39" s="3949"/>
      <c r="M39" s="3949"/>
      <c r="O39" s="83"/>
      <c r="X39" s="3949"/>
      <c r="Y39" s="81"/>
      <c r="Z39" s="81"/>
      <c r="AA39" s="81"/>
      <c r="AB39" s="81"/>
      <c r="AC39" s="81"/>
      <c r="AD39" s="81"/>
      <c r="AE39" s="81"/>
      <c r="AF39" s="81"/>
      <c r="AI39" s="3949"/>
      <c r="AJ39" s="81"/>
      <c r="AK39" s="81"/>
      <c r="AL39" s="81"/>
      <c r="AM39" s="81"/>
      <c r="AN39" s="81"/>
      <c r="AO39" s="81"/>
      <c r="AP39" s="81"/>
      <c r="AQ39" s="81"/>
      <c r="AS39" s="3949"/>
      <c r="AT39" s="81"/>
      <c r="AU39" s="83"/>
      <c r="AV39" s="81"/>
      <c r="AW39" s="81"/>
      <c r="AX39" s="81"/>
      <c r="AY39" s="81"/>
      <c r="AZ39" s="81"/>
      <c r="BA39" s="81"/>
    </row>
    <row r="40" spans="2:53" x14ac:dyDescent="0.2">
      <c r="B40" s="88" t="s">
        <v>757</v>
      </c>
      <c r="M40" s="88" t="s">
        <v>758</v>
      </c>
      <c r="O40" s="83"/>
      <c r="P40" s="83"/>
      <c r="Q40" s="83"/>
      <c r="R40" s="83"/>
      <c r="S40" s="83"/>
      <c r="T40" s="83"/>
      <c r="X40" s="88" t="s">
        <v>479</v>
      </c>
      <c r="Y40" s="81"/>
      <c r="Z40" s="81"/>
      <c r="AA40" s="81"/>
      <c r="AB40" s="81"/>
      <c r="AC40" s="81"/>
      <c r="AD40" s="81"/>
      <c r="AE40" s="81"/>
      <c r="AF40" s="81"/>
      <c r="AI40" s="88" t="s">
        <v>1990</v>
      </c>
      <c r="AJ40" s="81"/>
      <c r="AK40" s="81"/>
      <c r="AL40" s="81"/>
      <c r="AM40" s="81"/>
      <c r="AN40" s="81"/>
      <c r="AO40" s="81"/>
      <c r="AP40" s="81"/>
      <c r="AQ40" s="81"/>
      <c r="AS40" s="88" t="s">
        <v>3637</v>
      </c>
      <c r="AT40" s="81"/>
      <c r="AU40" s="83"/>
      <c r="AV40" s="83"/>
      <c r="AW40" s="83"/>
      <c r="AX40" s="83"/>
      <c r="AY40" s="83"/>
      <c r="AZ40" s="83"/>
      <c r="BA40" s="81"/>
    </row>
    <row r="41" spans="2:53" ht="11.25" customHeight="1" x14ac:dyDescent="0.2">
      <c r="B41" s="4258" t="s">
        <v>161</v>
      </c>
      <c r="C41" s="4258" t="s">
        <v>742</v>
      </c>
      <c r="D41" s="4258" t="s">
        <v>0</v>
      </c>
      <c r="E41" s="4260" t="s">
        <v>186</v>
      </c>
      <c r="F41" s="4261"/>
      <c r="G41" s="4261"/>
      <c r="H41" s="4261"/>
      <c r="I41" s="4262"/>
      <c r="M41" s="4258" t="s">
        <v>161</v>
      </c>
      <c r="N41" s="4258" t="s">
        <v>742</v>
      </c>
      <c r="O41" s="4258" t="s">
        <v>0</v>
      </c>
      <c r="P41" s="4260" t="s">
        <v>186</v>
      </c>
      <c r="Q41" s="4261"/>
      <c r="R41" s="4261"/>
      <c r="S41" s="4261"/>
      <c r="T41" s="4262"/>
      <c r="X41" s="4258" t="s">
        <v>161</v>
      </c>
      <c r="Y41" s="4258" t="s">
        <v>742</v>
      </c>
      <c r="Z41" s="4258" t="s">
        <v>0</v>
      </c>
      <c r="AA41" s="4260" t="s">
        <v>186</v>
      </c>
      <c r="AB41" s="4261"/>
      <c r="AC41" s="4261"/>
      <c r="AD41" s="4261"/>
      <c r="AE41" s="4262"/>
      <c r="AI41" s="4258" t="s">
        <v>161</v>
      </c>
      <c r="AJ41" s="4258" t="s">
        <v>742</v>
      </c>
      <c r="AK41" s="4258" t="s">
        <v>0</v>
      </c>
      <c r="AL41" s="4260" t="s">
        <v>186</v>
      </c>
      <c r="AM41" s="4261"/>
      <c r="AN41" s="4261"/>
      <c r="AO41" s="4261"/>
      <c r="AP41" s="4262"/>
      <c r="AS41" s="4258" t="s">
        <v>161</v>
      </c>
      <c r="AT41" s="4258" t="s">
        <v>742</v>
      </c>
      <c r="AU41" s="4258" t="s">
        <v>0</v>
      </c>
      <c r="AV41" s="4260" t="s">
        <v>186</v>
      </c>
      <c r="AW41" s="4261"/>
      <c r="AX41" s="4261"/>
      <c r="AY41" s="4261"/>
      <c r="AZ41" s="4262"/>
    </row>
    <row r="42" spans="2:53" x14ac:dyDescent="0.2">
      <c r="B42" s="4259"/>
      <c r="C42" s="4259"/>
      <c r="D42" s="4259"/>
      <c r="E42" s="3948" t="s">
        <v>743</v>
      </c>
      <c r="F42" s="3948" t="s">
        <v>744</v>
      </c>
      <c r="G42" s="3948" t="s">
        <v>745</v>
      </c>
      <c r="H42" s="3948" t="s">
        <v>746</v>
      </c>
      <c r="I42" s="3948" t="s">
        <v>747</v>
      </c>
      <c r="M42" s="4259"/>
      <c r="N42" s="4259"/>
      <c r="O42" s="4259"/>
      <c r="P42" s="3948" t="s">
        <v>743</v>
      </c>
      <c r="Q42" s="3948" t="s">
        <v>744</v>
      </c>
      <c r="R42" s="3948" t="s">
        <v>745</v>
      </c>
      <c r="S42" s="3948" t="s">
        <v>746</v>
      </c>
      <c r="T42" s="3948" t="s">
        <v>747</v>
      </c>
      <c r="X42" s="4259"/>
      <c r="Y42" s="4259"/>
      <c r="Z42" s="4259"/>
      <c r="AA42" s="3948" t="s">
        <v>743</v>
      </c>
      <c r="AB42" s="3948" t="s">
        <v>744</v>
      </c>
      <c r="AC42" s="3948" t="s">
        <v>745</v>
      </c>
      <c r="AD42" s="3948" t="s">
        <v>746</v>
      </c>
      <c r="AE42" s="3948" t="s">
        <v>747</v>
      </c>
      <c r="AI42" s="4259"/>
      <c r="AJ42" s="4259"/>
      <c r="AK42" s="4259"/>
      <c r="AL42" s="3948" t="s">
        <v>743</v>
      </c>
      <c r="AM42" s="3948" t="s">
        <v>744</v>
      </c>
      <c r="AN42" s="3948" t="s">
        <v>745</v>
      </c>
      <c r="AO42" s="3948" t="s">
        <v>746</v>
      </c>
      <c r="AP42" s="3948" t="s">
        <v>747</v>
      </c>
      <c r="AS42" s="4259"/>
      <c r="AT42" s="4259"/>
      <c r="AU42" s="4259"/>
      <c r="AV42" s="3948" t="s">
        <v>743</v>
      </c>
      <c r="AW42" s="3948" t="s">
        <v>744</v>
      </c>
      <c r="AX42" s="3948" t="s">
        <v>745</v>
      </c>
      <c r="AY42" s="3948" t="s">
        <v>746</v>
      </c>
      <c r="AZ42" s="3948" t="s">
        <v>747</v>
      </c>
    </row>
    <row r="43" spans="2:53" x14ac:dyDescent="0.2">
      <c r="B43" s="85">
        <v>1001</v>
      </c>
      <c r="C43" s="85" t="s">
        <v>434</v>
      </c>
      <c r="D43" s="89">
        <f>SUM(E43:I43)</f>
        <v>232</v>
      </c>
      <c r="E43" s="85">
        <v>219</v>
      </c>
      <c r="F43" s="85">
        <v>10</v>
      </c>
      <c r="G43" s="85">
        <v>3</v>
      </c>
      <c r="H43" s="85">
        <v>0</v>
      </c>
      <c r="I43" s="85">
        <v>0</v>
      </c>
      <c r="M43" s="85">
        <v>1001</v>
      </c>
      <c r="N43" s="85" t="s">
        <v>434</v>
      </c>
      <c r="O43" s="85">
        <f>SUM(P43:T43)</f>
        <v>221</v>
      </c>
      <c r="P43" s="85">
        <v>204</v>
      </c>
      <c r="Q43" s="85">
        <v>11</v>
      </c>
      <c r="R43" s="85">
        <v>4</v>
      </c>
      <c r="S43" s="85">
        <v>1</v>
      </c>
      <c r="T43" s="85">
        <v>1</v>
      </c>
      <c r="X43" s="92">
        <v>1001</v>
      </c>
      <c r="Y43" s="93" t="s">
        <v>434</v>
      </c>
      <c r="Z43" s="94">
        <f>SUM(AA43:AE43)</f>
        <v>208</v>
      </c>
      <c r="AA43" s="94">
        <v>188</v>
      </c>
      <c r="AB43" s="94">
        <v>12</v>
      </c>
      <c r="AC43" s="94">
        <v>5</v>
      </c>
      <c r="AD43" s="94">
        <v>2</v>
      </c>
      <c r="AE43" s="94">
        <v>1</v>
      </c>
      <c r="AI43" s="92">
        <v>1001</v>
      </c>
      <c r="AJ43" s="93" t="s">
        <v>434</v>
      </c>
      <c r="AK43" s="92">
        <f>SUM(AL43:AP43)</f>
        <v>208</v>
      </c>
      <c r="AL43" s="92">
        <v>188</v>
      </c>
      <c r="AM43" s="92">
        <v>12</v>
      </c>
      <c r="AN43" s="92">
        <v>5</v>
      </c>
      <c r="AO43" s="92">
        <v>2</v>
      </c>
      <c r="AP43" s="92">
        <v>1</v>
      </c>
      <c r="AS43" s="92">
        <v>1001</v>
      </c>
      <c r="AT43" s="93" t="s">
        <v>434</v>
      </c>
      <c r="AU43" s="92">
        <f>SUM(AV43:AZ43)</f>
        <v>217</v>
      </c>
      <c r="AV43" s="94">
        <v>200</v>
      </c>
      <c r="AW43" s="94">
        <v>11</v>
      </c>
      <c r="AX43" s="94">
        <v>4</v>
      </c>
      <c r="AY43" s="94">
        <v>1</v>
      </c>
      <c r="AZ43" s="94">
        <v>1</v>
      </c>
    </row>
    <row r="44" spans="2:53" x14ac:dyDescent="0.2">
      <c r="B44" s="85">
        <v>117</v>
      </c>
      <c r="C44" s="85" t="s">
        <v>446</v>
      </c>
      <c r="D44" s="89">
        <f t="shared" ref="D44:D63" si="10">SUM(E44:I44)</f>
        <v>78</v>
      </c>
      <c r="E44" s="85">
        <v>72</v>
      </c>
      <c r="F44" s="85">
        <v>4</v>
      </c>
      <c r="G44" s="85">
        <v>1</v>
      </c>
      <c r="H44" s="85">
        <v>1</v>
      </c>
      <c r="I44" s="85">
        <v>0</v>
      </c>
      <c r="M44" s="85">
        <v>117</v>
      </c>
      <c r="N44" s="85" t="s">
        <v>446</v>
      </c>
      <c r="O44" s="85">
        <f t="shared" ref="O44:O63" si="11">SUM(P44:T44)</f>
        <v>68</v>
      </c>
      <c r="P44" s="85">
        <v>63</v>
      </c>
      <c r="Q44" s="85">
        <v>2.5</v>
      </c>
      <c r="R44" s="85">
        <v>2</v>
      </c>
      <c r="S44" s="85">
        <v>0.5</v>
      </c>
      <c r="T44" s="85">
        <v>0</v>
      </c>
      <c r="X44" s="92">
        <v>101</v>
      </c>
      <c r="Y44" s="93" t="s">
        <v>435</v>
      </c>
      <c r="Z44" s="94">
        <f t="shared" ref="Z44:Z63" si="12">SUM(AA44:AE44)</f>
        <v>58</v>
      </c>
      <c r="AA44" s="94">
        <v>54</v>
      </c>
      <c r="AB44" s="94">
        <v>1</v>
      </c>
      <c r="AC44" s="94">
        <v>3</v>
      </c>
      <c r="AD44" s="94">
        <v>0</v>
      </c>
      <c r="AE44" s="94">
        <v>0</v>
      </c>
      <c r="AI44" s="92">
        <v>101</v>
      </c>
      <c r="AJ44" s="93" t="s">
        <v>435</v>
      </c>
      <c r="AK44" s="92">
        <f t="shared" ref="AK44:AK63" si="13">SUM(AL44:AP44)</f>
        <v>58</v>
      </c>
      <c r="AL44" s="92">
        <v>54</v>
      </c>
      <c r="AM44" s="92">
        <v>1</v>
      </c>
      <c r="AN44" s="92">
        <v>3</v>
      </c>
      <c r="AO44" s="92">
        <v>0</v>
      </c>
      <c r="AP44" s="92">
        <v>0</v>
      </c>
      <c r="AS44" s="92">
        <v>1203</v>
      </c>
      <c r="AT44" s="93" t="s">
        <v>454</v>
      </c>
      <c r="AU44" s="92">
        <f t="shared" ref="AU44:AU63" si="14">SUM(AV44:AZ44)</f>
        <v>65</v>
      </c>
      <c r="AV44" s="94">
        <v>61</v>
      </c>
      <c r="AW44" s="94">
        <v>2</v>
      </c>
      <c r="AX44" s="94">
        <v>2</v>
      </c>
      <c r="AY44" s="94">
        <v>0</v>
      </c>
      <c r="AZ44" s="94">
        <v>0</v>
      </c>
    </row>
    <row r="45" spans="2:53" x14ac:dyDescent="0.2">
      <c r="B45" s="85">
        <v>101</v>
      </c>
      <c r="C45" s="85" t="s">
        <v>435</v>
      </c>
      <c r="D45" s="89">
        <f t="shared" si="10"/>
        <v>69</v>
      </c>
      <c r="E45" s="85">
        <v>65</v>
      </c>
      <c r="F45" s="85">
        <v>1</v>
      </c>
      <c r="G45" s="85">
        <v>3</v>
      </c>
      <c r="H45" s="85">
        <v>0</v>
      </c>
      <c r="I45" s="85">
        <v>0</v>
      </c>
      <c r="M45" s="85">
        <v>101</v>
      </c>
      <c r="N45" s="85" t="s">
        <v>435</v>
      </c>
      <c r="O45" s="85">
        <f t="shared" si="11"/>
        <v>58</v>
      </c>
      <c r="P45" s="85">
        <v>53</v>
      </c>
      <c r="Q45" s="85">
        <v>3</v>
      </c>
      <c r="R45" s="85">
        <v>2</v>
      </c>
      <c r="S45" s="85">
        <v>0</v>
      </c>
      <c r="T45" s="85">
        <v>0</v>
      </c>
      <c r="X45" s="92">
        <v>117</v>
      </c>
      <c r="Y45" s="93" t="s">
        <v>446</v>
      </c>
      <c r="Z45" s="94">
        <f t="shared" si="12"/>
        <v>47</v>
      </c>
      <c r="AA45" s="94">
        <v>41</v>
      </c>
      <c r="AB45" s="94">
        <v>5</v>
      </c>
      <c r="AC45" s="94">
        <v>1</v>
      </c>
      <c r="AD45" s="94">
        <v>0</v>
      </c>
      <c r="AE45" s="94">
        <v>0</v>
      </c>
      <c r="AI45" s="92">
        <v>117</v>
      </c>
      <c r="AJ45" s="93" t="s">
        <v>446</v>
      </c>
      <c r="AK45" s="92">
        <f t="shared" si="13"/>
        <v>47</v>
      </c>
      <c r="AL45" s="92">
        <v>41</v>
      </c>
      <c r="AM45" s="92">
        <v>5</v>
      </c>
      <c r="AN45" s="92">
        <v>1</v>
      </c>
      <c r="AO45" s="92">
        <v>0</v>
      </c>
      <c r="AP45" s="92">
        <v>0</v>
      </c>
      <c r="AS45" s="92">
        <v>1606</v>
      </c>
      <c r="AT45" s="93" t="s">
        <v>761</v>
      </c>
      <c r="AU45" s="92">
        <f t="shared" si="14"/>
        <v>56</v>
      </c>
      <c r="AV45" s="94">
        <v>50</v>
      </c>
      <c r="AW45" s="94">
        <v>4</v>
      </c>
      <c r="AX45" s="94">
        <v>2</v>
      </c>
      <c r="AY45" s="94">
        <v>0</v>
      </c>
      <c r="AZ45" s="94">
        <v>0</v>
      </c>
    </row>
    <row r="46" spans="2:53" x14ac:dyDescent="0.2">
      <c r="B46" s="85">
        <v>1003</v>
      </c>
      <c r="C46" s="85" t="s">
        <v>452</v>
      </c>
      <c r="D46" s="89">
        <f t="shared" si="10"/>
        <v>64</v>
      </c>
      <c r="E46" s="85">
        <v>58</v>
      </c>
      <c r="F46" s="85">
        <v>5</v>
      </c>
      <c r="G46" s="85">
        <v>0</v>
      </c>
      <c r="H46" s="85">
        <v>1</v>
      </c>
      <c r="I46" s="85">
        <v>0</v>
      </c>
      <c r="M46" s="85">
        <v>1005</v>
      </c>
      <c r="N46" s="85" t="s">
        <v>453</v>
      </c>
      <c r="O46" s="85">
        <f t="shared" si="11"/>
        <v>54</v>
      </c>
      <c r="P46" s="85">
        <v>48.5</v>
      </c>
      <c r="Q46" s="85">
        <v>5</v>
      </c>
      <c r="R46" s="85">
        <v>0</v>
      </c>
      <c r="S46" s="85">
        <v>0.5</v>
      </c>
      <c r="T46" s="85">
        <v>0</v>
      </c>
      <c r="X46" s="92">
        <v>1203</v>
      </c>
      <c r="Y46" s="93" t="s">
        <v>454</v>
      </c>
      <c r="Z46" s="94">
        <f t="shared" si="12"/>
        <v>44</v>
      </c>
      <c r="AA46" s="94">
        <v>39</v>
      </c>
      <c r="AB46" s="94">
        <v>5</v>
      </c>
      <c r="AC46" s="94">
        <v>0</v>
      </c>
      <c r="AD46" s="94">
        <v>0</v>
      </c>
      <c r="AE46" s="94">
        <v>0</v>
      </c>
      <c r="AI46" s="92">
        <v>1203</v>
      </c>
      <c r="AJ46" s="93" t="s">
        <v>454</v>
      </c>
      <c r="AK46" s="92">
        <f t="shared" si="13"/>
        <v>44</v>
      </c>
      <c r="AL46" s="92">
        <v>39</v>
      </c>
      <c r="AM46" s="92">
        <v>5</v>
      </c>
      <c r="AN46" s="92">
        <v>0</v>
      </c>
      <c r="AO46" s="92">
        <v>0</v>
      </c>
      <c r="AP46" s="92">
        <v>0</v>
      </c>
      <c r="AS46" s="92">
        <v>1802</v>
      </c>
      <c r="AT46" s="93" t="s">
        <v>441</v>
      </c>
      <c r="AU46" s="92">
        <f t="shared" si="14"/>
        <v>51</v>
      </c>
      <c r="AV46" s="94">
        <v>46</v>
      </c>
      <c r="AW46" s="94">
        <v>5</v>
      </c>
      <c r="AX46" s="94">
        <v>0</v>
      </c>
      <c r="AY46" s="94">
        <v>0</v>
      </c>
      <c r="AZ46" s="94">
        <v>0</v>
      </c>
    </row>
    <row r="47" spans="2:53" x14ac:dyDescent="0.2">
      <c r="B47" s="85">
        <v>1004</v>
      </c>
      <c r="C47" s="85" t="s">
        <v>483</v>
      </c>
      <c r="D47" s="89">
        <f t="shared" si="10"/>
        <v>53</v>
      </c>
      <c r="E47" s="85">
        <v>51</v>
      </c>
      <c r="F47" s="85">
        <v>2</v>
      </c>
      <c r="G47" s="85">
        <v>0</v>
      </c>
      <c r="H47" s="85">
        <v>0</v>
      </c>
      <c r="I47" s="85">
        <v>0</v>
      </c>
      <c r="M47" s="85">
        <v>112</v>
      </c>
      <c r="N47" s="85" t="s">
        <v>759</v>
      </c>
      <c r="O47" s="85">
        <f t="shared" si="11"/>
        <v>46.5</v>
      </c>
      <c r="P47" s="85">
        <v>44.5</v>
      </c>
      <c r="Q47" s="85">
        <v>2</v>
      </c>
      <c r="R47" s="85">
        <v>0</v>
      </c>
      <c r="S47" s="85">
        <v>0</v>
      </c>
      <c r="T47" s="85">
        <v>0</v>
      </c>
      <c r="X47" s="92">
        <v>1802</v>
      </c>
      <c r="Y47" s="93" t="s">
        <v>441</v>
      </c>
      <c r="Z47" s="94">
        <f t="shared" si="12"/>
        <v>40</v>
      </c>
      <c r="AA47" s="94">
        <v>38</v>
      </c>
      <c r="AB47" s="94">
        <v>2</v>
      </c>
      <c r="AC47" s="94">
        <v>0</v>
      </c>
      <c r="AD47" s="94">
        <v>0</v>
      </c>
      <c r="AE47" s="94">
        <v>0</v>
      </c>
      <c r="AI47" s="92">
        <v>1802</v>
      </c>
      <c r="AJ47" s="93" t="s">
        <v>441</v>
      </c>
      <c r="AK47" s="92">
        <f t="shared" si="13"/>
        <v>40</v>
      </c>
      <c r="AL47" s="92">
        <v>38</v>
      </c>
      <c r="AM47" s="92">
        <v>2</v>
      </c>
      <c r="AN47" s="92">
        <v>0</v>
      </c>
      <c r="AO47" s="92">
        <v>0</v>
      </c>
      <c r="AP47" s="92">
        <v>0</v>
      </c>
      <c r="AS47" s="92">
        <v>1003</v>
      </c>
      <c r="AT47" s="93" t="s">
        <v>452</v>
      </c>
      <c r="AU47" s="92">
        <f t="shared" si="14"/>
        <v>44</v>
      </c>
      <c r="AV47" s="94">
        <v>42</v>
      </c>
      <c r="AW47" s="94">
        <v>2</v>
      </c>
      <c r="AX47" s="94">
        <v>0</v>
      </c>
      <c r="AY47" s="94">
        <v>0</v>
      </c>
      <c r="AZ47" s="94">
        <v>0</v>
      </c>
    </row>
    <row r="48" spans="2:53" x14ac:dyDescent="0.2">
      <c r="B48" s="85">
        <v>303</v>
      </c>
      <c r="C48" s="85" t="s">
        <v>760</v>
      </c>
      <c r="D48" s="89">
        <f t="shared" si="10"/>
        <v>47</v>
      </c>
      <c r="E48" s="85">
        <v>43</v>
      </c>
      <c r="F48" s="85">
        <v>2</v>
      </c>
      <c r="G48" s="85">
        <v>1</v>
      </c>
      <c r="H48" s="85">
        <v>1</v>
      </c>
      <c r="I48" s="85">
        <v>0</v>
      </c>
      <c r="M48" s="85">
        <v>301</v>
      </c>
      <c r="N48" s="85" t="s">
        <v>440</v>
      </c>
      <c r="O48" s="85">
        <f t="shared" si="11"/>
        <v>42</v>
      </c>
      <c r="P48" s="85">
        <v>38.5</v>
      </c>
      <c r="Q48" s="85">
        <v>2</v>
      </c>
      <c r="R48" s="85">
        <v>0.5</v>
      </c>
      <c r="S48" s="85">
        <v>1</v>
      </c>
      <c r="T48" s="85">
        <v>0</v>
      </c>
      <c r="X48" s="92">
        <v>1005</v>
      </c>
      <c r="Y48" s="93" t="s">
        <v>453</v>
      </c>
      <c r="Z48" s="94">
        <f t="shared" si="12"/>
        <v>37</v>
      </c>
      <c r="AA48" s="94">
        <v>34</v>
      </c>
      <c r="AB48" s="94">
        <v>2</v>
      </c>
      <c r="AC48" s="94">
        <v>0</v>
      </c>
      <c r="AD48" s="94">
        <v>1</v>
      </c>
      <c r="AE48" s="94">
        <v>0</v>
      </c>
      <c r="AI48" s="92">
        <v>1005</v>
      </c>
      <c r="AJ48" s="93" t="s">
        <v>453</v>
      </c>
      <c r="AK48" s="92">
        <f t="shared" si="13"/>
        <v>37</v>
      </c>
      <c r="AL48" s="92">
        <v>34</v>
      </c>
      <c r="AM48" s="92">
        <v>2</v>
      </c>
      <c r="AN48" s="92">
        <v>0</v>
      </c>
      <c r="AO48" s="92">
        <v>1</v>
      </c>
      <c r="AP48" s="92">
        <v>0</v>
      </c>
      <c r="AS48" s="92">
        <v>1005</v>
      </c>
      <c r="AT48" s="93" t="s">
        <v>453</v>
      </c>
      <c r="AU48" s="92">
        <f t="shared" si="14"/>
        <v>40.375</v>
      </c>
      <c r="AV48" s="94">
        <v>37</v>
      </c>
      <c r="AW48" s="94">
        <v>2</v>
      </c>
      <c r="AX48" s="94">
        <v>0.375</v>
      </c>
      <c r="AY48" s="94">
        <v>1</v>
      </c>
      <c r="AZ48" s="94">
        <v>0</v>
      </c>
    </row>
    <row r="49" spans="2:52" x14ac:dyDescent="0.2">
      <c r="B49" s="85">
        <v>1406</v>
      </c>
      <c r="C49" s="85" t="s">
        <v>438</v>
      </c>
      <c r="D49" s="89">
        <f t="shared" si="10"/>
        <v>44</v>
      </c>
      <c r="E49" s="85">
        <v>42</v>
      </c>
      <c r="F49" s="85">
        <v>2</v>
      </c>
      <c r="G49" s="85">
        <v>0</v>
      </c>
      <c r="H49" s="85">
        <v>0</v>
      </c>
      <c r="I49" s="85">
        <v>0</v>
      </c>
      <c r="M49" s="85">
        <v>1406</v>
      </c>
      <c r="N49" s="85" t="s">
        <v>438</v>
      </c>
      <c r="O49" s="85">
        <f t="shared" si="11"/>
        <v>39.5</v>
      </c>
      <c r="P49" s="85">
        <v>38</v>
      </c>
      <c r="Q49" s="85">
        <v>1.5</v>
      </c>
      <c r="R49" s="85">
        <v>0</v>
      </c>
      <c r="S49" s="85">
        <v>0</v>
      </c>
      <c r="T49" s="85">
        <v>0</v>
      </c>
      <c r="X49" s="92">
        <v>112</v>
      </c>
      <c r="Y49" s="93" t="s">
        <v>759</v>
      </c>
      <c r="Z49" s="94">
        <f t="shared" si="12"/>
        <v>35</v>
      </c>
      <c r="AA49" s="94">
        <v>34</v>
      </c>
      <c r="AB49" s="94">
        <v>1</v>
      </c>
      <c r="AC49" s="94">
        <v>0</v>
      </c>
      <c r="AD49" s="94">
        <v>0</v>
      </c>
      <c r="AE49" s="94">
        <v>0</v>
      </c>
      <c r="AI49" s="92">
        <v>112</v>
      </c>
      <c r="AJ49" s="93" t="s">
        <v>759</v>
      </c>
      <c r="AK49" s="92">
        <f t="shared" si="13"/>
        <v>35</v>
      </c>
      <c r="AL49" s="92">
        <v>34</v>
      </c>
      <c r="AM49" s="92">
        <v>1</v>
      </c>
      <c r="AN49" s="92">
        <v>0</v>
      </c>
      <c r="AO49" s="92">
        <v>0</v>
      </c>
      <c r="AP49" s="92">
        <v>0</v>
      </c>
      <c r="AS49" s="92">
        <v>101</v>
      </c>
      <c r="AT49" s="93" t="s">
        <v>435</v>
      </c>
      <c r="AU49" s="92">
        <f t="shared" si="14"/>
        <v>38</v>
      </c>
      <c r="AV49" s="94">
        <v>37</v>
      </c>
      <c r="AW49" s="94">
        <v>1</v>
      </c>
      <c r="AX49" s="94">
        <v>0</v>
      </c>
      <c r="AY49" s="94">
        <v>0</v>
      </c>
      <c r="AZ49" s="94">
        <v>0</v>
      </c>
    </row>
    <row r="50" spans="2:52" x14ac:dyDescent="0.2">
      <c r="B50" s="85">
        <v>1203</v>
      </c>
      <c r="C50" s="85" t="s">
        <v>454</v>
      </c>
      <c r="D50" s="89">
        <f t="shared" si="10"/>
        <v>44</v>
      </c>
      <c r="E50" s="85">
        <v>44</v>
      </c>
      <c r="F50" s="85">
        <v>0</v>
      </c>
      <c r="G50" s="85">
        <v>0</v>
      </c>
      <c r="H50" s="85">
        <v>0</v>
      </c>
      <c r="I50" s="85">
        <v>0</v>
      </c>
      <c r="M50" s="85">
        <v>1606</v>
      </c>
      <c r="N50" s="85" t="s">
        <v>761</v>
      </c>
      <c r="O50" s="85">
        <f t="shared" si="11"/>
        <v>39.5</v>
      </c>
      <c r="P50" s="85">
        <v>39.5</v>
      </c>
      <c r="Q50" s="85">
        <v>0</v>
      </c>
      <c r="R50" s="85">
        <v>0</v>
      </c>
      <c r="S50" s="85">
        <v>0</v>
      </c>
      <c r="T50" s="85">
        <v>0</v>
      </c>
      <c r="X50" s="92">
        <v>1606</v>
      </c>
      <c r="Y50" s="93" t="s">
        <v>761</v>
      </c>
      <c r="Z50" s="94">
        <f t="shared" si="12"/>
        <v>35</v>
      </c>
      <c r="AA50" s="94">
        <v>35</v>
      </c>
      <c r="AB50" s="94">
        <v>0</v>
      </c>
      <c r="AC50" s="94">
        <v>0</v>
      </c>
      <c r="AD50" s="94">
        <v>0</v>
      </c>
      <c r="AE50" s="94">
        <v>0</v>
      </c>
      <c r="AI50" s="92">
        <v>1606</v>
      </c>
      <c r="AJ50" s="93" t="s">
        <v>761</v>
      </c>
      <c r="AK50" s="92">
        <f t="shared" si="13"/>
        <v>35</v>
      </c>
      <c r="AL50" s="92">
        <v>35</v>
      </c>
      <c r="AM50" s="92">
        <v>0</v>
      </c>
      <c r="AN50" s="92">
        <v>0</v>
      </c>
      <c r="AO50" s="92">
        <v>0</v>
      </c>
      <c r="AP50" s="92">
        <v>0</v>
      </c>
      <c r="AS50" s="92">
        <v>1004</v>
      </c>
      <c r="AT50" s="93" t="s">
        <v>483</v>
      </c>
      <c r="AU50" s="92">
        <f t="shared" si="14"/>
        <v>38.375</v>
      </c>
      <c r="AV50" s="94">
        <v>38.375</v>
      </c>
      <c r="AW50" s="94">
        <v>0</v>
      </c>
      <c r="AX50" s="94">
        <v>0</v>
      </c>
      <c r="AY50" s="94">
        <v>0</v>
      </c>
      <c r="AZ50" s="94">
        <v>0</v>
      </c>
    </row>
    <row r="51" spans="2:52" x14ac:dyDescent="0.2">
      <c r="B51" s="85">
        <v>115</v>
      </c>
      <c r="C51" s="85" t="s">
        <v>749</v>
      </c>
      <c r="D51" s="89">
        <f t="shared" si="10"/>
        <v>43</v>
      </c>
      <c r="E51" s="85">
        <v>39</v>
      </c>
      <c r="F51" s="85">
        <v>3</v>
      </c>
      <c r="G51" s="85">
        <v>0</v>
      </c>
      <c r="H51" s="85">
        <v>1</v>
      </c>
      <c r="I51" s="85">
        <v>0</v>
      </c>
      <c r="M51" s="85">
        <v>1003</v>
      </c>
      <c r="N51" s="85" t="s">
        <v>452</v>
      </c>
      <c r="O51" s="85">
        <f t="shared" si="11"/>
        <v>38</v>
      </c>
      <c r="P51" s="85">
        <v>34.5</v>
      </c>
      <c r="Q51" s="85">
        <v>2</v>
      </c>
      <c r="R51" s="85">
        <v>0</v>
      </c>
      <c r="S51" s="85">
        <v>1.5</v>
      </c>
      <c r="T51" s="85">
        <v>0</v>
      </c>
      <c r="X51" s="92">
        <v>1406</v>
      </c>
      <c r="Y51" s="93" t="s">
        <v>438</v>
      </c>
      <c r="Z51" s="94">
        <f t="shared" si="12"/>
        <v>33</v>
      </c>
      <c r="AA51" s="94">
        <v>30</v>
      </c>
      <c r="AB51" s="94">
        <v>1</v>
      </c>
      <c r="AC51" s="94">
        <v>0</v>
      </c>
      <c r="AD51" s="94">
        <v>2</v>
      </c>
      <c r="AE51" s="94">
        <v>0</v>
      </c>
      <c r="AI51" s="92">
        <v>1406</v>
      </c>
      <c r="AJ51" s="93" t="s">
        <v>438</v>
      </c>
      <c r="AK51" s="92">
        <f t="shared" si="13"/>
        <v>33</v>
      </c>
      <c r="AL51" s="92">
        <v>30</v>
      </c>
      <c r="AM51" s="92">
        <v>1</v>
      </c>
      <c r="AN51" s="92">
        <v>0</v>
      </c>
      <c r="AO51" s="92">
        <v>2</v>
      </c>
      <c r="AP51" s="92">
        <v>0</v>
      </c>
      <c r="AS51" s="92">
        <v>301</v>
      </c>
      <c r="AT51" s="93" t="s">
        <v>440</v>
      </c>
      <c r="AU51" s="92">
        <f t="shared" si="14"/>
        <v>37.375</v>
      </c>
      <c r="AV51" s="94">
        <v>33.375</v>
      </c>
      <c r="AW51" s="94">
        <v>2</v>
      </c>
      <c r="AX51" s="94">
        <v>0</v>
      </c>
      <c r="AY51" s="94">
        <v>2</v>
      </c>
      <c r="AZ51" s="94">
        <v>0</v>
      </c>
    </row>
    <row r="52" spans="2:52" x14ac:dyDescent="0.2">
      <c r="B52" s="85">
        <v>1606</v>
      </c>
      <c r="C52" s="85" t="s">
        <v>761</v>
      </c>
      <c r="D52" s="89">
        <f t="shared" si="10"/>
        <v>42</v>
      </c>
      <c r="E52" s="85">
        <v>39</v>
      </c>
      <c r="F52" s="85">
        <v>3</v>
      </c>
      <c r="G52" s="85">
        <v>0</v>
      </c>
      <c r="H52" s="85">
        <v>0</v>
      </c>
      <c r="I52" s="85">
        <v>0</v>
      </c>
      <c r="M52" s="85">
        <v>115</v>
      </c>
      <c r="N52" s="85" t="s">
        <v>749</v>
      </c>
      <c r="O52" s="85">
        <f t="shared" si="11"/>
        <v>37</v>
      </c>
      <c r="P52" s="85">
        <v>35</v>
      </c>
      <c r="Q52" s="85">
        <v>1.5</v>
      </c>
      <c r="R52" s="85">
        <v>0</v>
      </c>
      <c r="S52" s="85">
        <v>0</v>
      </c>
      <c r="T52" s="85">
        <v>0.5</v>
      </c>
      <c r="X52" s="92">
        <v>301</v>
      </c>
      <c r="Y52" s="93" t="s">
        <v>440</v>
      </c>
      <c r="Z52" s="94">
        <f t="shared" si="12"/>
        <v>32</v>
      </c>
      <c r="AA52" s="94">
        <v>31</v>
      </c>
      <c r="AB52" s="94">
        <v>0</v>
      </c>
      <c r="AC52" s="94">
        <v>0</v>
      </c>
      <c r="AD52" s="94">
        <v>0</v>
      </c>
      <c r="AE52" s="94">
        <v>1</v>
      </c>
      <c r="AI52" s="92">
        <v>301</v>
      </c>
      <c r="AJ52" s="93" t="s">
        <v>440</v>
      </c>
      <c r="AK52" s="92">
        <f t="shared" si="13"/>
        <v>32</v>
      </c>
      <c r="AL52" s="92">
        <v>31</v>
      </c>
      <c r="AM52" s="92">
        <v>0</v>
      </c>
      <c r="AN52" s="92">
        <v>0</v>
      </c>
      <c r="AO52" s="92">
        <v>0</v>
      </c>
      <c r="AP52" s="92">
        <v>1</v>
      </c>
      <c r="AS52" s="92">
        <v>1808</v>
      </c>
      <c r="AT52" s="93" t="s">
        <v>449</v>
      </c>
      <c r="AU52" s="92">
        <f t="shared" si="14"/>
        <v>35.75</v>
      </c>
      <c r="AV52" s="94">
        <v>34</v>
      </c>
      <c r="AW52" s="94">
        <v>1.125</v>
      </c>
      <c r="AX52" s="94">
        <v>0</v>
      </c>
      <c r="AY52" s="94">
        <v>0</v>
      </c>
      <c r="AZ52" s="94">
        <v>0.625</v>
      </c>
    </row>
    <row r="53" spans="2:52" x14ac:dyDescent="0.2">
      <c r="B53" s="85">
        <v>1808</v>
      </c>
      <c r="C53" s="85" t="s">
        <v>449</v>
      </c>
      <c r="D53" s="89">
        <f t="shared" si="10"/>
        <v>33</v>
      </c>
      <c r="E53" s="85">
        <v>31</v>
      </c>
      <c r="F53" s="85">
        <v>2</v>
      </c>
      <c r="G53" s="85">
        <v>0</v>
      </c>
      <c r="H53" s="85">
        <v>0</v>
      </c>
      <c r="I53" s="85">
        <v>0</v>
      </c>
      <c r="M53" s="85">
        <v>1004</v>
      </c>
      <c r="N53" s="85" t="s">
        <v>483</v>
      </c>
      <c r="O53" s="85">
        <f t="shared" si="11"/>
        <v>30.5</v>
      </c>
      <c r="P53" s="85">
        <v>29</v>
      </c>
      <c r="Q53" s="85">
        <v>1</v>
      </c>
      <c r="R53" s="85">
        <v>0</v>
      </c>
      <c r="S53" s="85">
        <v>0.5</v>
      </c>
      <c r="T53" s="85">
        <v>0</v>
      </c>
      <c r="X53" s="92">
        <v>1004</v>
      </c>
      <c r="Y53" s="93" t="s">
        <v>483</v>
      </c>
      <c r="Z53" s="94">
        <f t="shared" si="12"/>
        <v>28</v>
      </c>
      <c r="AA53" s="94">
        <v>27</v>
      </c>
      <c r="AB53" s="94">
        <v>0</v>
      </c>
      <c r="AC53" s="94">
        <v>0</v>
      </c>
      <c r="AD53" s="94">
        <v>1</v>
      </c>
      <c r="AE53" s="94">
        <v>0</v>
      </c>
      <c r="AI53" s="92">
        <v>1004</v>
      </c>
      <c r="AJ53" s="93" t="s">
        <v>483</v>
      </c>
      <c r="AK53" s="92">
        <f t="shared" si="13"/>
        <v>28</v>
      </c>
      <c r="AL53" s="92">
        <v>27</v>
      </c>
      <c r="AM53" s="92">
        <v>0</v>
      </c>
      <c r="AN53" s="92">
        <v>0</v>
      </c>
      <c r="AO53" s="92">
        <v>1</v>
      </c>
      <c r="AP53" s="92">
        <v>0</v>
      </c>
      <c r="AS53" s="92">
        <v>1406</v>
      </c>
      <c r="AT53" s="93" t="s">
        <v>438</v>
      </c>
      <c r="AU53" s="92">
        <f t="shared" si="14"/>
        <v>30.375</v>
      </c>
      <c r="AV53" s="94">
        <v>29</v>
      </c>
      <c r="AW53" s="94">
        <v>0.75</v>
      </c>
      <c r="AX53" s="94">
        <v>0</v>
      </c>
      <c r="AY53" s="94">
        <v>0.625</v>
      </c>
      <c r="AZ53" s="94">
        <v>0</v>
      </c>
    </row>
    <row r="54" spans="2:52" x14ac:dyDescent="0.2">
      <c r="B54" s="85">
        <v>1005</v>
      </c>
      <c r="C54" s="85" t="s">
        <v>453</v>
      </c>
      <c r="D54" s="89">
        <f t="shared" si="10"/>
        <v>32</v>
      </c>
      <c r="E54" s="85">
        <v>29</v>
      </c>
      <c r="F54" s="85">
        <v>2</v>
      </c>
      <c r="G54" s="85">
        <v>1</v>
      </c>
      <c r="H54" s="85">
        <v>0</v>
      </c>
      <c r="I54" s="85">
        <v>0</v>
      </c>
      <c r="M54" s="85">
        <v>303</v>
      </c>
      <c r="N54" s="85" t="s">
        <v>760</v>
      </c>
      <c r="O54" s="85">
        <f t="shared" si="11"/>
        <v>27.5</v>
      </c>
      <c r="P54" s="85">
        <v>23</v>
      </c>
      <c r="Q54" s="85">
        <v>3</v>
      </c>
      <c r="R54" s="85">
        <v>0.5</v>
      </c>
      <c r="S54" s="85">
        <v>0.5</v>
      </c>
      <c r="T54" s="85">
        <v>0.5</v>
      </c>
      <c r="X54" s="92">
        <v>115</v>
      </c>
      <c r="Y54" s="93" t="s">
        <v>749</v>
      </c>
      <c r="Z54" s="94">
        <f t="shared" si="12"/>
        <v>23</v>
      </c>
      <c r="AA54" s="94">
        <v>17</v>
      </c>
      <c r="AB54" s="94">
        <v>4</v>
      </c>
      <c r="AC54" s="94">
        <v>0</v>
      </c>
      <c r="AD54" s="94">
        <v>1</v>
      </c>
      <c r="AE54" s="94">
        <v>1</v>
      </c>
      <c r="AI54" s="92">
        <v>115</v>
      </c>
      <c r="AJ54" s="93" t="s">
        <v>749</v>
      </c>
      <c r="AK54" s="92">
        <f t="shared" si="13"/>
        <v>23</v>
      </c>
      <c r="AL54" s="92">
        <v>17</v>
      </c>
      <c r="AM54" s="92">
        <v>4</v>
      </c>
      <c r="AN54" s="92">
        <v>0</v>
      </c>
      <c r="AO54" s="92">
        <v>1</v>
      </c>
      <c r="AP54" s="92">
        <v>1</v>
      </c>
      <c r="AS54" s="92">
        <v>117</v>
      </c>
      <c r="AT54" s="93" t="s">
        <v>446</v>
      </c>
      <c r="AU54" s="92">
        <f t="shared" si="14"/>
        <v>26.625</v>
      </c>
      <c r="AV54" s="94">
        <v>22</v>
      </c>
      <c r="AW54" s="94">
        <v>3</v>
      </c>
      <c r="AX54" s="94">
        <v>0.375</v>
      </c>
      <c r="AY54" s="94">
        <v>0.625</v>
      </c>
      <c r="AZ54" s="94">
        <v>0.625</v>
      </c>
    </row>
    <row r="55" spans="2:52" x14ac:dyDescent="0.2">
      <c r="B55" s="85">
        <v>1802</v>
      </c>
      <c r="C55" s="85" t="s">
        <v>441</v>
      </c>
      <c r="D55" s="89">
        <f t="shared" si="10"/>
        <v>31</v>
      </c>
      <c r="E55" s="85">
        <v>28</v>
      </c>
      <c r="F55" s="85">
        <v>2</v>
      </c>
      <c r="G55" s="85">
        <v>0</v>
      </c>
      <c r="H55" s="85">
        <v>0</v>
      </c>
      <c r="I55" s="85">
        <v>1</v>
      </c>
      <c r="M55" s="85">
        <v>1808</v>
      </c>
      <c r="N55" s="85" t="s">
        <v>449</v>
      </c>
      <c r="O55" s="85">
        <f t="shared" si="11"/>
        <v>26.5</v>
      </c>
      <c r="P55" s="85">
        <v>25</v>
      </c>
      <c r="Q55" s="85">
        <v>1</v>
      </c>
      <c r="R55" s="85">
        <v>0</v>
      </c>
      <c r="S55" s="85">
        <v>0</v>
      </c>
      <c r="T55" s="85">
        <v>0.5</v>
      </c>
      <c r="X55" s="92">
        <v>509</v>
      </c>
      <c r="Y55" s="93" t="s">
        <v>762</v>
      </c>
      <c r="Z55" s="94">
        <f t="shared" si="12"/>
        <v>22</v>
      </c>
      <c r="AA55" s="94">
        <v>22</v>
      </c>
      <c r="AB55" s="94">
        <v>0</v>
      </c>
      <c r="AC55" s="94">
        <v>0</v>
      </c>
      <c r="AD55" s="94">
        <v>0</v>
      </c>
      <c r="AE55" s="94">
        <v>0</v>
      </c>
      <c r="AI55" s="92">
        <v>509</v>
      </c>
      <c r="AJ55" s="93" t="s">
        <v>762</v>
      </c>
      <c r="AK55" s="92">
        <f t="shared" si="13"/>
        <v>22</v>
      </c>
      <c r="AL55" s="92">
        <v>22</v>
      </c>
      <c r="AM55" s="92">
        <v>0</v>
      </c>
      <c r="AN55" s="92">
        <v>0</v>
      </c>
      <c r="AO55" s="92">
        <v>0</v>
      </c>
      <c r="AP55" s="92">
        <v>0</v>
      </c>
      <c r="AS55" s="92">
        <v>606</v>
      </c>
      <c r="AT55" s="93" t="s">
        <v>442</v>
      </c>
      <c r="AU55" s="92">
        <f t="shared" si="14"/>
        <v>25.125</v>
      </c>
      <c r="AV55" s="94">
        <v>24</v>
      </c>
      <c r="AW55" s="94">
        <v>0.75</v>
      </c>
      <c r="AX55" s="94">
        <v>0</v>
      </c>
      <c r="AY55" s="94">
        <v>0</v>
      </c>
      <c r="AZ55" s="94">
        <v>0.375</v>
      </c>
    </row>
    <row r="56" spans="2:52" x14ac:dyDescent="0.2">
      <c r="B56" s="85">
        <v>301</v>
      </c>
      <c r="C56" s="85" t="s">
        <v>440</v>
      </c>
      <c r="D56" s="89">
        <f t="shared" si="10"/>
        <v>30</v>
      </c>
      <c r="E56" s="85">
        <v>29</v>
      </c>
      <c r="F56" s="85">
        <v>0</v>
      </c>
      <c r="G56" s="85">
        <v>0</v>
      </c>
      <c r="H56" s="85">
        <v>0</v>
      </c>
      <c r="I56" s="85">
        <v>1</v>
      </c>
      <c r="M56" s="85">
        <v>1203</v>
      </c>
      <c r="N56" s="85" t="s">
        <v>454</v>
      </c>
      <c r="O56" s="85">
        <f t="shared" si="11"/>
        <v>24.5</v>
      </c>
      <c r="P56" s="85">
        <v>23</v>
      </c>
      <c r="Q56" s="85">
        <v>0.5</v>
      </c>
      <c r="R56" s="85">
        <v>0.5</v>
      </c>
      <c r="S56" s="85">
        <v>0</v>
      </c>
      <c r="T56" s="85">
        <v>0.5</v>
      </c>
      <c r="X56" s="92">
        <v>1808</v>
      </c>
      <c r="Y56" s="93" t="s">
        <v>449</v>
      </c>
      <c r="Z56" s="94">
        <f t="shared" si="12"/>
        <v>19</v>
      </c>
      <c r="AA56" s="94">
        <v>17</v>
      </c>
      <c r="AB56" s="94">
        <v>1</v>
      </c>
      <c r="AC56" s="94">
        <v>1</v>
      </c>
      <c r="AD56" s="94">
        <v>0</v>
      </c>
      <c r="AE56" s="94">
        <v>0</v>
      </c>
      <c r="AI56" s="92">
        <v>1808</v>
      </c>
      <c r="AJ56" s="93" t="s">
        <v>449</v>
      </c>
      <c r="AK56" s="92">
        <f t="shared" si="13"/>
        <v>19</v>
      </c>
      <c r="AL56" s="92">
        <v>17</v>
      </c>
      <c r="AM56" s="92">
        <v>1</v>
      </c>
      <c r="AN56" s="92">
        <v>1</v>
      </c>
      <c r="AO56" s="92">
        <v>0</v>
      </c>
      <c r="AP56" s="92">
        <v>0</v>
      </c>
      <c r="AS56" s="92">
        <v>104</v>
      </c>
      <c r="AT56" s="93" t="s">
        <v>1991</v>
      </c>
      <c r="AU56" s="92">
        <f t="shared" si="14"/>
        <v>23.625</v>
      </c>
      <c r="AV56" s="94">
        <v>22</v>
      </c>
      <c r="AW56" s="94">
        <v>0.625</v>
      </c>
      <c r="AX56" s="94">
        <v>0.625</v>
      </c>
      <c r="AY56" s="94">
        <v>0</v>
      </c>
      <c r="AZ56" s="94">
        <v>0.375</v>
      </c>
    </row>
    <row r="57" spans="2:52" x14ac:dyDescent="0.2">
      <c r="B57" s="85">
        <v>112</v>
      </c>
      <c r="C57" s="85" t="s">
        <v>759</v>
      </c>
      <c r="D57" s="89">
        <f t="shared" si="10"/>
        <v>21</v>
      </c>
      <c r="E57" s="85">
        <v>17</v>
      </c>
      <c r="F57" s="85">
        <v>2</v>
      </c>
      <c r="G57" s="85">
        <v>1</v>
      </c>
      <c r="H57" s="85">
        <v>0</v>
      </c>
      <c r="I57" s="85">
        <v>1</v>
      </c>
      <c r="M57" s="85">
        <v>1801</v>
      </c>
      <c r="N57" s="85" t="s">
        <v>753</v>
      </c>
      <c r="O57" s="85">
        <f t="shared" si="11"/>
        <v>19</v>
      </c>
      <c r="P57" s="85">
        <v>16</v>
      </c>
      <c r="Q57" s="85">
        <v>2</v>
      </c>
      <c r="R57" s="85">
        <v>0.5</v>
      </c>
      <c r="S57" s="85">
        <v>0</v>
      </c>
      <c r="T57" s="85">
        <v>0.5</v>
      </c>
      <c r="X57" s="92">
        <v>1409</v>
      </c>
      <c r="Y57" s="93" t="s">
        <v>450</v>
      </c>
      <c r="Z57" s="94">
        <f t="shared" si="12"/>
        <v>17</v>
      </c>
      <c r="AA57" s="94">
        <v>15</v>
      </c>
      <c r="AB57" s="94">
        <v>2</v>
      </c>
      <c r="AC57" s="94">
        <v>0</v>
      </c>
      <c r="AD57" s="94">
        <v>0</v>
      </c>
      <c r="AE57" s="94">
        <v>0</v>
      </c>
      <c r="AI57" s="92">
        <v>1409</v>
      </c>
      <c r="AJ57" s="93" t="s">
        <v>450</v>
      </c>
      <c r="AK57" s="92">
        <f t="shared" si="13"/>
        <v>17</v>
      </c>
      <c r="AL57" s="92">
        <v>15</v>
      </c>
      <c r="AM57" s="92">
        <v>2</v>
      </c>
      <c r="AN57" s="92">
        <v>0</v>
      </c>
      <c r="AO57" s="92">
        <v>0</v>
      </c>
      <c r="AP57" s="92">
        <v>0</v>
      </c>
      <c r="AS57" s="92">
        <v>203</v>
      </c>
      <c r="AT57" s="93" t="s">
        <v>486</v>
      </c>
      <c r="AU57" s="92">
        <f t="shared" si="14"/>
        <v>18.75</v>
      </c>
      <c r="AV57" s="94">
        <v>16</v>
      </c>
      <c r="AW57" s="94">
        <v>2</v>
      </c>
      <c r="AX57" s="94">
        <v>0.375</v>
      </c>
      <c r="AY57" s="94">
        <v>0</v>
      </c>
      <c r="AZ57" s="94">
        <v>0.375</v>
      </c>
    </row>
    <row r="58" spans="2:52" x14ac:dyDescent="0.2">
      <c r="B58" s="85">
        <v>802</v>
      </c>
      <c r="C58" s="85" t="s">
        <v>6103</v>
      </c>
      <c r="D58" s="89">
        <f t="shared" si="10"/>
        <v>20</v>
      </c>
      <c r="E58" s="85">
        <v>18</v>
      </c>
      <c r="F58" s="85">
        <v>0</v>
      </c>
      <c r="G58" s="85">
        <v>2</v>
      </c>
      <c r="H58" s="85">
        <v>0</v>
      </c>
      <c r="I58" s="85">
        <v>0</v>
      </c>
      <c r="M58" s="85">
        <v>1407</v>
      </c>
      <c r="N58" s="85" t="s">
        <v>482</v>
      </c>
      <c r="O58" s="85">
        <f t="shared" si="11"/>
        <v>18</v>
      </c>
      <c r="P58" s="85">
        <v>16.5</v>
      </c>
      <c r="Q58" s="85">
        <v>0.5</v>
      </c>
      <c r="R58" s="85">
        <v>1</v>
      </c>
      <c r="S58" s="85">
        <v>0</v>
      </c>
      <c r="T58" s="85">
        <v>0</v>
      </c>
      <c r="X58" s="92">
        <v>1101</v>
      </c>
      <c r="Y58" s="93" t="s">
        <v>433</v>
      </c>
      <c r="Z58" s="94">
        <f t="shared" si="12"/>
        <v>16</v>
      </c>
      <c r="AA58" s="94">
        <v>15</v>
      </c>
      <c r="AB58" s="94">
        <v>1</v>
      </c>
      <c r="AC58" s="94">
        <v>0</v>
      </c>
      <c r="AD58" s="94">
        <v>0</v>
      </c>
      <c r="AE58" s="94">
        <v>0</v>
      </c>
      <c r="AI58" s="92">
        <v>1101</v>
      </c>
      <c r="AJ58" s="93" t="s">
        <v>433</v>
      </c>
      <c r="AK58" s="92">
        <f t="shared" si="13"/>
        <v>16</v>
      </c>
      <c r="AL58" s="92">
        <v>15</v>
      </c>
      <c r="AM58" s="92">
        <v>1</v>
      </c>
      <c r="AN58" s="92">
        <v>0</v>
      </c>
      <c r="AO58" s="92">
        <v>0</v>
      </c>
      <c r="AP58" s="92">
        <v>0</v>
      </c>
      <c r="AS58" s="92">
        <v>1106</v>
      </c>
      <c r="AT58" s="93" t="s">
        <v>763</v>
      </c>
      <c r="AU58" s="92">
        <f t="shared" si="14"/>
        <v>17.625</v>
      </c>
      <c r="AV58" s="94">
        <v>16</v>
      </c>
      <c r="AW58" s="94">
        <v>0.625</v>
      </c>
      <c r="AX58" s="94">
        <v>1</v>
      </c>
      <c r="AY58" s="94">
        <v>0</v>
      </c>
      <c r="AZ58" s="94">
        <v>0</v>
      </c>
    </row>
    <row r="59" spans="2:52" x14ac:dyDescent="0.2">
      <c r="B59" s="85">
        <v>1409</v>
      </c>
      <c r="C59" s="85" t="s">
        <v>450</v>
      </c>
      <c r="D59" s="89">
        <f t="shared" si="10"/>
        <v>18</v>
      </c>
      <c r="E59" s="85">
        <v>14</v>
      </c>
      <c r="F59" s="85">
        <v>3</v>
      </c>
      <c r="G59" s="85">
        <v>1</v>
      </c>
      <c r="H59" s="85">
        <v>0</v>
      </c>
      <c r="I59" s="85">
        <v>0</v>
      </c>
      <c r="M59" s="85">
        <v>1802</v>
      </c>
      <c r="N59" s="85" t="s">
        <v>441</v>
      </c>
      <c r="O59" s="85">
        <f t="shared" si="11"/>
        <v>17</v>
      </c>
      <c r="P59" s="85">
        <v>15</v>
      </c>
      <c r="Q59" s="85">
        <v>1.5</v>
      </c>
      <c r="R59" s="85">
        <v>0.5</v>
      </c>
      <c r="S59" s="85">
        <v>0</v>
      </c>
      <c r="T59" s="85">
        <v>0</v>
      </c>
      <c r="X59" s="92">
        <v>1407</v>
      </c>
      <c r="Y59" s="93" t="s">
        <v>482</v>
      </c>
      <c r="Z59" s="94">
        <f t="shared" si="12"/>
        <v>16</v>
      </c>
      <c r="AA59" s="94">
        <v>16</v>
      </c>
      <c r="AB59" s="94">
        <v>0</v>
      </c>
      <c r="AC59" s="94">
        <v>0</v>
      </c>
      <c r="AD59" s="94">
        <v>0</v>
      </c>
      <c r="AE59" s="94">
        <v>0</v>
      </c>
      <c r="AI59" s="92">
        <v>1407</v>
      </c>
      <c r="AJ59" s="93" t="s">
        <v>482</v>
      </c>
      <c r="AK59" s="92">
        <f t="shared" si="13"/>
        <v>16</v>
      </c>
      <c r="AL59" s="92">
        <v>16</v>
      </c>
      <c r="AM59" s="92">
        <v>0</v>
      </c>
      <c r="AN59" s="92">
        <v>0</v>
      </c>
      <c r="AO59" s="92">
        <v>0</v>
      </c>
      <c r="AP59" s="92">
        <v>0</v>
      </c>
      <c r="AS59" s="92">
        <v>1201</v>
      </c>
      <c r="AT59" s="93" t="s">
        <v>754</v>
      </c>
      <c r="AU59" s="92">
        <f t="shared" si="14"/>
        <v>16.5</v>
      </c>
      <c r="AV59" s="94">
        <v>15</v>
      </c>
      <c r="AW59" s="94">
        <v>1.125</v>
      </c>
      <c r="AX59" s="94">
        <v>0.375</v>
      </c>
      <c r="AY59" s="94">
        <v>0</v>
      </c>
      <c r="AZ59" s="94">
        <v>0</v>
      </c>
    </row>
    <row r="60" spans="2:52" x14ac:dyDescent="0.2">
      <c r="B60" s="85">
        <v>702</v>
      </c>
      <c r="C60" s="85" t="s">
        <v>6104</v>
      </c>
      <c r="D60" s="89">
        <f t="shared" si="10"/>
        <v>18</v>
      </c>
      <c r="E60" s="85">
        <v>15</v>
      </c>
      <c r="F60" s="85">
        <v>1</v>
      </c>
      <c r="G60" s="85">
        <v>0</v>
      </c>
      <c r="H60" s="85">
        <v>2</v>
      </c>
      <c r="I60" s="85">
        <v>0</v>
      </c>
      <c r="M60" s="85">
        <v>1901</v>
      </c>
      <c r="N60" s="85" t="s">
        <v>448</v>
      </c>
      <c r="O60" s="85">
        <f t="shared" si="11"/>
        <v>17</v>
      </c>
      <c r="P60" s="85">
        <v>12.5</v>
      </c>
      <c r="Q60" s="85">
        <v>3.5</v>
      </c>
      <c r="R60" s="85">
        <v>0</v>
      </c>
      <c r="S60" s="85">
        <v>1</v>
      </c>
      <c r="T60" s="85">
        <v>0</v>
      </c>
      <c r="X60" s="92">
        <v>1801</v>
      </c>
      <c r="Y60" s="93" t="s">
        <v>753</v>
      </c>
      <c r="Z60" s="94">
        <f t="shared" si="12"/>
        <v>16</v>
      </c>
      <c r="AA60" s="94">
        <v>10</v>
      </c>
      <c r="AB60" s="94">
        <v>6</v>
      </c>
      <c r="AC60" s="94">
        <v>0</v>
      </c>
      <c r="AD60" s="94">
        <v>0</v>
      </c>
      <c r="AE60" s="94">
        <v>0</v>
      </c>
      <c r="AI60" s="92">
        <v>1801</v>
      </c>
      <c r="AJ60" s="93" t="s">
        <v>753</v>
      </c>
      <c r="AK60" s="92">
        <f t="shared" si="13"/>
        <v>16</v>
      </c>
      <c r="AL60" s="92">
        <v>10</v>
      </c>
      <c r="AM60" s="92">
        <v>6</v>
      </c>
      <c r="AN60" s="92">
        <v>0</v>
      </c>
      <c r="AO60" s="92">
        <v>0</v>
      </c>
      <c r="AP60" s="92">
        <v>0</v>
      </c>
      <c r="AS60" s="92">
        <v>1801</v>
      </c>
      <c r="AT60" s="93" t="s">
        <v>753</v>
      </c>
      <c r="AU60" s="92">
        <f t="shared" si="14"/>
        <v>16.875</v>
      </c>
      <c r="AV60" s="94">
        <v>12</v>
      </c>
      <c r="AW60" s="94">
        <v>4.125</v>
      </c>
      <c r="AX60" s="94">
        <v>0</v>
      </c>
      <c r="AY60" s="94">
        <v>0.75</v>
      </c>
      <c r="AZ60" s="94">
        <v>0</v>
      </c>
    </row>
    <row r="61" spans="2:52" x14ac:dyDescent="0.2">
      <c r="B61" s="85">
        <v>606</v>
      </c>
      <c r="C61" s="85" t="s">
        <v>442</v>
      </c>
      <c r="D61" s="89">
        <f t="shared" si="10"/>
        <v>17</v>
      </c>
      <c r="E61" s="85">
        <v>15</v>
      </c>
      <c r="F61" s="85">
        <v>0</v>
      </c>
      <c r="G61" s="85">
        <v>0</v>
      </c>
      <c r="H61" s="85">
        <v>2</v>
      </c>
      <c r="I61" s="85">
        <v>0</v>
      </c>
      <c r="M61" s="85">
        <v>405</v>
      </c>
      <c r="N61" s="85" t="s">
        <v>439</v>
      </c>
      <c r="O61" s="85">
        <f t="shared" si="11"/>
        <v>15.5</v>
      </c>
      <c r="P61" s="85">
        <v>12</v>
      </c>
      <c r="Q61" s="85">
        <v>2.5</v>
      </c>
      <c r="R61" s="85">
        <v>0</v>
      </c>
      <c r="S61" s="85">
        <v>1</v>
      </c>
      <c r="T61" s="85">
        <v>0</v>
      </c>
      <c r="X61" s="92">
        <v>1102</v>
      </c>
      <c r="Y61" s="93" t="s">
        <v>436</v>
      </c>
      <c r="Z61" s="94">
        <f t="shared" si="12"/>
        <v>14</v>
      </c>
      <c r="AA61" s="94">
        <v>9</v>
      </c>
      <c r="AB61" s="94">
        <v>5</v>
      </c>
      <c r="AC61" s="94">
        <v>0</v>
      </c>
      <c r="AD61" s="94">
        <v>0</v>
      </c>
      <c r="AE61" s="94">
        <v>0</v>
      </c>
      <c r="AI61" s="92">
        <v>1102</v>
      </c>
      <c r="AJ61" s="93" t="s">
        <v>436</v>
      </c>
      <c r="AK61" s="92">
        <f t="shared" si="13"/>
        <v>14</v>
      </c>
      <c r="AL61" s="92">
        <v>9</v>
      </c>
      <c r="AM61" s="92">
        <v>5</v>
      </c>
      <c r="AN61" s="92">
        <v>0</v>
      </c>
      <c r="AO61" s="92">
        <v>0</v>
      </c>
      <c r="AP61" s="92">
        <v>0</v>
      </c>
      <c r="AS61" s="92">
        <v>115</v>
      </c>
      <c r="AT61" s="93" t="s">
        <v>749</v>
      </c>
      <c r="AU61" s="92">
        <f t="shared" si="14"/>
        <v>14.875</v>
      </c>
      <c r="AV61" s="94">
        <v>11</v>
      </c>
      <c r="AW61" s="94">
        <v>3.125</v>
      </c>
      <c r="AX61" s="94">
        <v>0</v>
      </c>
      <c r="AY61" s="94">
        <v>0.75</v>
      </c>
      <c r="AZ61" s="94">
        <v>0</v>
      </c>
    </row>
    <row r="62" spans="2:52" x14ac:dyDescent="0.2">
      <c r="B62" s="85">
        <v>1101</v>
      </c>
      <c r="C62" s="85" t="s">
        <v>433</v>
      </c>
      <c r="D62" s="89">
        <f t="shared" si="10"/>
        <v>17</v>
      </c>
      <c r="E62" s="85">
        <v>16</v>
      </c>
      <c r="F62" s="85">
        <v>1</v>
      </c>
      <c r="G62" s="85">
        <v>0</v>
      </c>
      <c r="H62" s="85">
        <v>0</v>
      </c>
      <c r="I62" s="85">
        <v>0</v>
      </c>
      <c r="M62" s="85">
        <v>1201</v>
      </c>
      <c r="N62" s="85" t="s">
        <v>754</v>
      </c>
      <c r="O62" s="85">
        <f t="shared" si="11"/>
        <v>15.5</v>
      </c>
      <c r="P62" s="85">
        <v>14.5</v>
      </c>
      <c r="Q62" s="85">
        <v>1</v>
      </c>
      <c r="R62" s="85">
        <v>0</v>
      </c>
      <c r="S62" s="85">
        <v>0</v>
      </c>
      <c r="T62" s="85">
        <v>0</v>
      </c>
      <c r="X62" s="92">
        <v>1106</v>
      </c>
      <c r="Y62" s="93" t="s">
        <v>763</v>
      </c>
      <c r="Z62" s="94">
        <f t="shared" si="12"/>
        <v>14</v>
      </c>
      <c r="AA62" s="94">
        <v>13</v>
      </c>
      <c r="AB62" s="94">
        <v>1</v>
      </c>
      <c r="AC62" s="94">
        <v>0</v>
      </c>
      <c r="AD62" s="94">
        <v>0</v>
      </c>
      <c r="AE62" s="94">
        <v>0</v>
      </c>
      <c r="AI62" s="92">
        <v>1106</v>
      </c>
      <c r="AJ62" s="93" t="s">
        <v>763</v>
      </c>
      <c r="AK62" s="92">
        <f t="shared" si="13"/>
        <v>14</v>
      </c>
      <c r="AL62" s="92">
        <v>13</v>
      </c>
      <c r="AM62" s="92">
        <v>1</v>
      </c>
      <c r="AN62" s="92">
        <v>0</v>
      </c>
      <c r="AO62" s="92">
        <v>0</v>
      </c>
      <c r="AP62" s="92">
        <v>0</v>
      </c>
      <c r="AS62" s="92">
        <v>112</v>
      </c>
      <c r="AT62" s="93" t="s">
        <v>759</v>
      </c>
      <c r="AU62" s="92">
        <f t="shared" si="14"/>
        <v>15</v>
      </c>
      <c r="AV62" s="94">
        <v>14</v>
      </c>
      <c r="AW62" s="94">
        <v>1</v>
      </c>
      <c r="AX62" s="94">
        <v>0</v>
      </c>
      <c r="AY62" s="94">
        <v>0</v>
      </c>
      <c r="AZ62" s="94">
        <v>0</v>
      </c>
    </row>
    <row r="63" spans="2:52" x14ac:dyDescent="0.2">
      <c r="B63" s="85"/>
      <c r="C63" s="85" t="s">
        <v>187</v>
      </c>
      <c r="D63" s="89">
        <f t="shared" si="10"/>
        <v>328</v>
      </c>
      <c r="E63" s="85">
        <v>263</v>
      </c>
      <c r="F63" s="85">
        <v>31</v>
      </c>
      <c r="G63" s="85">
        <v>9</v>
      </c>
      <c r="H63" s="85">
        <v>13</v>
      </c>
      <c r="I63" s="85">
        <v>12</v>
      </c>
      <c r="M63" s="85"/>
      <c r="N63" s="85" t="s">
        <v>187</v>
      </c>
      <c r="O63" s="85">
        <f t="shared" si="11"/>
        <v>304.5</v>
      </c>
      <c r="P63" s="85">
        <v>254</v>
      </c>
      <c r="Q63" s="85">
        <v>29</v>
      </c>
      <c r="R63" s="85">
        <v>5</v>
      </c>
      <c r="S63" s="85">
        <v>8.5</v>
      </c>
      <c r="T63" s="85">
        <v>8</v>
      </c>
      <c r="X63" s="92"/>
      <c r="Y63" s="93" t="s">
        <v>187</v>
      </c>
      <c r="Z63" s="94">
        <f t="shared" si="12"/>
        <v>281</v>
      </c>
      <c r="AA63" s="94">
        <v>245</v>
      </c>
      <c r="AB63" s="94">
        <v>27</v>
      </c>
      <c r="AC63" s="94">
        <v>1</v>
      </c>
      <c r="AD63" s="94">
        <v>4</v>
      </c>
      <c r="AE63" s="94">
        <v>4</v>
      </c>
      <c r="AI63" s="85"/>
      <c r="AJ63" s="95" t="s">
        <v>187</v>
      </c>
      <c r="AK63" s="92">
        <f t="shared" si="13"/>
        <v>211</v>
      </c>
      <c r="AL63" s="85">
        <v>187</v>
      </c>
      <c r="AM63" s="85">
        <v>24</v>
      </c>
      <c r="AN63" s="85">
        <v>0</v>
      </c>
      <c r="AO63" s="85">
        <v>0</v>
      </c>
      <c r="AP63" s="85">
        <v>0</v>
      </c>
      <c r="AS63" s="85"/>
      <c r="AT63" s="95" t="s">
        <v>187</v>
      </c>
      <c r="AU63" s="92">
        <f t="shared" si="14"/>
        <v>281</v>
      </c>
      <c r="AV63" s="94">
        <v>237</v>
      </c>
      <c r="AW63" s="94">
        <v>28</v>
      </c>
      <c r="AX63" s="94">
        <v>4</v>
      </c>
      <c r="AY63" s="94">
        <v>6</v>
      </c>
      <c r="AZ63" s="94">
        <v>6</v>
      </c>
    </row>
    <row r="64" spans="2:52" x14ac:dyDescent="0.2">
      <c r="B64" s="82"/>
      <c r="C64" s="82" t="s">
        <v>0</v>
      </c>
      <c r="D64" s="91">
        <f t="shared" ref="D64:I64" si="15">SUM(D43:D63)</f>
        <v>1281</v>
      </c>
      <c r="E64" s="87">
        <f t="shared" si="15"/>
        <v>1147</v>
      </c>
      <c r="F64" s="87">
        <f t="shared" si="15"/>
        <v>76</v>
      </c>
      <c r="G64" s="87">
        <f t="shared" si="15"/>
        <v>22</v>
      </c>
      <c r="H64" s="87">
        <f t="shared" si="15"/>
        <v>21</v>
      </c>
      <c r="I64" s="87">
        <f t="shared" si="15"/>
        <v>15</v>
      </c>
      <c r="M64" s="85"/>
      <c r="N64" s="85" t="s">
        <v>0</v>
      </c>
      <c r="O64" s="91">
        <f t="shared" ref="O64:T64" si="16">SUM(O43:O63)</f>
        <v>1159</v>
      </c>
      <c r="P64" s="87">
        <f t="shared" si="16"/>
        <v>1039</v>
      </c>
      <c r="Q64" s="87">
        <f t="shared" si="16"/>
        <v>76</v>
      </c>
      <c r="R64" s="87">
        <f t="shared" si="16"/>
        <v>16.5</v>
      </c>
      <c r="S64" s="87">
        <f t="shared" si="16"/>
        <v>16</v>
      </c>
      <c r="T64" s="87">
        <f t="shared" si="16"/>
        <v>11.5</v>
      </c>
      <c r="X64" s="92"/>
      <c r="Y64" s="96" t="s">
        <v>0</v>
      </c>
      <c r="Z64" s="91">
        <f>SUM(Z43:Z63)</f>
        <v>1035</v>
      </c>
      <c r="AA64" s="91">
        <f t="shared" ref="AA64:AE64" si="17">SUM(AA43:AA63)</f>
        <v>930</v>
      </c>
      <c r="AB64" s="91">
        <f t="shared" si="17"/>
        <v>76</v>
      </c>
      <c r="AC64" s="91">
        <f t="shared" si="17"/>
        <v>11</v>
      </c>
      <c r="AD64" s="91">
        <f t="shared" si="17"/>
        <v>11</v>
      </c>
      <c r="AE64" s="91">
        <f t="shared" si="17"/>
        <v>7</v>
      </c>
      <c r="AI64" s="85"/>
      <c r="AJ64" s="95" t="s">
        <v>0</v>
      </c>
      <c r="AK64" s="91">
        <f>SUM(AK43:AK63)</f>
        <v>965</v>
      </c>
      <c r="AL64" s="87">
        <f t="shared" ref="AL64:AP64" si="18">SUM(AL43:AL63)</f>
        <v>872</v>
      </c>
      <c r="AM64" s="87">
        <f t="shared" si="18"/>
        <v>73</v>
      </c>
      <c r="AN64" s="87">
        <f t="shared" si="18"/>
        <v>10</v>
      </c>
      <c r="AO64" s="87">
        <f t="shared" si="18"/>
        <v>7</v>
      </c>
      <c r="AP64" s="87">
        <f t="shared" si="18"/>
        <v>3</v>
      </c>
      <c r="AS64" s="85"/>
      <c r="AT64" s="95" t="s">
        <v>0</v>
      </c>
      <c r="AU64" s="91">
        <f t="shared" ref="AU64:AZ64" si="19">SUM(AU43:AU63)</f>
        <v>1109.25</v>
      </c>
      <c r="AV64" s="91">
        <f t="shared" si="19"/>
        <v>996.75</v>
      </c>
      <c r="AW64" s="87">
        <f t="shared" si="19"/>
        <v>75.25</v>
      </c>
      <c r="AX64" s="87">
        <f t="shared" si="19"/>
        <v>15.125</v>
      </c>
      <c r="AY64" s="87">
        <f t="shared" si="19"/>
        <v>12.75</v>
      </c>
      <c r="AZ64" s="87">
        <f t="shared" si="19"/>
        <v>9.375</v>
      </c>
    </row>
    <row r="65" spans="2:53" x14ac:dyDescent="0.2">
      <c r="B65" s="3949"/>
      <c r="M65" s="3949"/>
      <c r="X65" s="3949"/>
      <c r="Y65" s="81"/>
      <c r="Z65" s="81"/>
      <c r="AA65" s="81"/>
      <c r="AB65" s="81"/>
      <c r="AC65" s="81"/>
      <c r="AD65" s="81"/>
      <c r="AE65" s="81"/>
      <c r="AF65" s="81"/>
      <c r="AI65" s="3949"/>
      <c r="AJ65" s="81"/>
      <c r="AK65" s="81"/>
      <c r="AL65" s="81"/>
      <c r="AM65" s="81"/>
      <c r="AN65" s="81"/>
      <c r="AO65" s="81"/>
      <c r="AP65" s="81"/>
      <c r="AQ65" s="81"/>
      <c r="AS65" s="3949"/>
      <c r="AT65" s="81"/>
      <c r="AU65" s="81"/>
      <c r="AV65" s="81"/>
      <c r="AW65" s="81"/>
      <c r="AX65" s="81"/>
      <c r="AY65" s="81"/>
      <c r="AZ65" s="81"/>
      <c r="BA65" s="81"/>
    </row>
    <row r="66" spans="2:53" x14ac:dyDescent="0.2">
      <c r="B66" s="88" t="s">
        <v>764</v>
      </c>
      <c r="D66" s="83"/>
      <c r="E66" s="83"/>
      <c r="F66" s="83"/>
      <c r="G66" s="83"/>
      <c r="H66" s="83"/>
      <c r="I66" s="83"/>
      <c r="M66" s="88" t="s">
        <v>765</v>
      </c>
      <c r="X66" s="88" t="s">
        <v>480</v>
      </c>
      <c r="Y66" s="81"/>
      <c r="Z66" s="81"/>
      <c r="AA66" s="81"/>
      <c r="AB66" s="81"/>
      <c r="AC66" s="81"/>
      <c r="AD66" s="81"/>
      <c r="AE66" s="81"/>
      <c r="AF66" s="81"/>
      <c r="AI66" s="88" t="s">
        <v>1992</v>
      </c>
      <c r="AJ66" s="81"/>
      <c r="AK66" s="83"/>
      <c r="AL66" s="83"/>
      <c r="AM66" s="83"/>
      <c r="AN66" s="83"/>
      <c r="AO66" s="83"/>
      <c r="AP66" s="83"/>
      <c r="AS66" s="88" t="s">
        <v>3638</v>
      </c>
      <c r="AT66" s="81"/>
      <c r="AU66" s="83"/>
      <c r="AV66" s="83"/>
      <c r="AW66" s="83"/>
      <c r="AX66" s="83"/>
      <c r="AY66" s="83"/>
      <c r="AZ66" s="83"/>
    </row>
    <row r="67" spans="2:53" ht="11.25" customHeight="1" x14ac:dyDescent="0.2">
      <c r="B67" s="4258" t="s">
        <v>161</v>
      </c>
      <c r="C67" s="4258" t="s">
        <v>742</v>
      </c>
      <c r="D67" s="4258" t="s">
        <v>0</v>
      </c>
      <c r="E67" s="4260" t="s">
        <v>186</v>
      </c>
      <c r="F67" s="4261"/>
      <c r="G67" s="4261"/>
      <c r="H67" s="4261"/>
      <c r="I67" s="4262"/>
      <c r="M67" s="4258" t="s">
        <v>161</v>
      </c>
      <c r="N67" s="4258" t="s">
        <v>742</v>
      </c>
      <c r="O67" s="4258" t="s">
        <v>0</v>
      </c>
      <c r="P67" s="4260" t="s">
        <v>186</v>
      </c>
      <c r="Q67" s="4261"/>
      <c r="R67" s="4261"/>
      <c r="S67" s="4261"/>
      <c r="T67" s="4262"/>
      <c r="X67" s="4258" t="s">
        <v>161</v>
      </c>
      <c r="Y67" s="4258" t="s">
        <v>742</v>
      </c>
      <c r="Z67" s="4258" t="s">
        <v>0</v>
      </c>
      <c r="AA67" s="4260" t="s">
        <v>186</v>
      </c>
      <c r="AB67" s="4261"/>
      <c r="AC67" s="4261"/>
      <c r="AD67" s="4261"/>
      <c r="AE67" s="4262"/>
      <c r="AF67" s="81"/>
      <c r="AI67" s="4258" t="s">
        <v>161</v>
      </c>
      <c r="AJ67" s="4258" t="s">
        <v>742</v>
      </c>
      <c r="AK67" s="4258" t="s">
        <v>0</v>
      </c>
      <c r="AL67" s="4260" t="s">
        <v>186</v>
      </c>
      <c r="AM67" s="4261"/>
      <c r="AN67" s="4261"/>
      <c r="AO67" s="4261"/>
      <c r="AP67" s="4262"/>
      <c r="AS67" s="4258" t="s">
        <v>161</v>
      </c>
      <c r="AT67" s="4258" t="s">
        <v>742</v>
      </c>
      <c r="AU67" s="4258" t="s">
        <v>0</v>
      </c>
      <c r="AV67" s="4260" t="s">
        <v>186</v>
      </c>
      <c r="AW67" s="4261"/>
      <c r="AX67" s="4261"/>
      <c r="AY67" s="4261"/>
      <c r="AZ67" s="4262"/>
    </row>
    <row r="68" spans="2:53" x14ac:dyDescent="0.2">
      <c r="B68" s="4259"/>
      <c r="C68" s="4259"/>
      <c r="D68" s="4259"/>
      <c r="E68" s="3948" t="s">
        <v>743</v>
      </c>
      <c r="F68" s="3948" t="s">
        <v>744</v>
      </c>
      <c r="G68" s="3948" t="s">
        <v>745</v>
      </c>
      <c r="H68" s="3948" t="s">
        <v>746</v>
      </c>
      <c r="I68" s="3948" t="s">
        <v>747</v>
      </c>
      <c r="M68" s="4259"/>
      <c r="N68" s="4259"/>
      <c r="O68" s="4259"/>
      <c r="P68" s="3948" t="s">
        <v>743</v>
      </c>
      <c r="Q68" s="3948" t="s">
        <v>744</v>
      </c>
      <c r="R68" s="3948" t="s">
        <v>745</v>
      </c>
      <c r="S68" s="3948" t="s">
        <v>746</v>
      </c>
      <c r="T68" s="3948" t="s">
        <v>747</v>
      </c>
      <c r="X68" s="4259"/>
      <c r="Y68" s="4259"/>
      <c r="Z68" s="4259"/>
      <c r="AA68" s="3948" t="s">
        <v>743</v>
      </c>
      <c r="AB68" s="3948" t="s">
        <v>744</v>
      </c>
      <c r="AC68" s="3948" t="s">
        <v>745</v>
      </c>
      <c r="AD68" s="3948" t="s">
        <v>746</v>
      </c>
      <c r="AE68" s="3948" t="s">
        <v>747</v>
      </c>
      <c r="AF68" s="81"/>
      <c r="AI68" s="4259"/>
      <c r="AJ68" s="4259"/>
      <c r="AK68" s="4259"/>
      <c r="AL68" s="3948" t="s">
        <v>743</v>
      </c>
      <c r="AM68" s="3948" t="s">
        <v>744</v>
      </c>
      <c r="AN68" s="3948" t="s">
        <v>745</v>
      </c>
      <c r="AO68" s="3948" t="s">
        <v>746</v>
      </c>
      <c r="AP68" s="3948" t="s">
        <v>747</v>
      </c>
      <c r="AS68" s="4259"/>
      <c r="AT68" s="4259"/>
      <c r="AU68" s="4259"/>
      <c r="AV68" s="3948" t="s">
        <v>743</v>
      </c>
      <c r="AW68" s="3948" t="s">
        <v>744</v>
      </c>
      <c r="AX68" s="3948" t="s">
        <v>745</v>
      </c>
      <c r="AY68" s="3948" t="s">
        <v>746</v>
      </c>
      <c r="AZ68" s="3948" t="s">
        <v>747</v>
      </c>
    </row>
    <row r="69" spans="2:53" x14ac:dyDescent="0.2">
      <c r="B69" s="89">
        <v>1410</v>
      </c>
      <c r="C69" s="85" t="s">
        <v>484</v>
      </c>
      <c r="D69" s="85">
        <f>SUM(E69:I69)</f>
        <v>328</v>
      </c>
      <c r="E69" s="85">
        <v>0</v>
      </c>
      <c r="F69" s="85">
        <v>7</v>
      </c>
      <c r="G69" s="85">
        <v>61</v>
      </c>
      <c r="H69" s="85">
        <v>226</v>
      </c>
      <c r="I69" s="85">
        <v>34</v>
      </c>
      <c r="M69" s="89">
        <v>1410</v>
      </c>
      <c r="N69" s="85" t="s">
        <v>484</v>
      </c>
      <c r="O69" s="85">
        <f>SUM(P69:T69)</f>
        <v>444</v>
      </c>
      <c r="P69" s="85">
        <v>3</v>
      </c>
      <c r="Q69" s="85">
        <v>26</v>
      </c>
      <c r="R69" s="85">
        <v>178</v>
      </c>
      <c r="S69" s="85">
        <v>220</v>
      </c>
      <c r="T69" s="85">
        <v>17</v>
      </c>
      <c r="X69" s="89">
        <v>1504</v>
      </c>
      <c r="Y69" s="85" t="s">
        <v>766</v>
      </c>
      <c r="Z69" s="97">
        <f>SUM(AA69:AE69)</f>
        <v>559</v>
      </c>
      <c r="AA69" s="97">
        <v>6</v>
      </c>
      <c r="AB69" s="97">
        <v>44</v>
      </c>
      <c r="AC69" s="97">
        <v>295</v>
      </c>
      <c r="AD69" s="97">
        <v>214</v>
      </c>
      <c r="AE69" s="97">
        <v>0</v>
      </c>
      <c r="AF69" s="81"/>
      <c r="AI69" s="89">
        <v>1504</v>
      </c>
      <c r="AJ69" s="85" t="s">
        <v>766</v>
      </c>
      <c r="AK69" s="85">
        <f>SUM(AL69:AP69)</f>
        <v>394</v>
      </c>
      <c r="AL69" s="85">
        <v>1</v>
      </c>
      <c r="AM69" s="85">
        <v>8</v>
      </c>
      <c r="AN69" s="85">
        <v>117</v>
      </c>
      <c r="AO69" s="85">
        <v>202</v>
      </c>
      <c r="AP69" s="85">
        <v>66</v>
      </c>
      <c r="AS69" s="89">
        <v>1410</v>
      </c>
      <c r="AT69" s="85" t="s">
        <v>484</v>
      </c>
      <c r="AU69" s="85">
        <f>SUM(AV69:AZ69)</f>
        <v>97</v>
      </c>
      <c r="AV69" s="85">
        <v>1</v>
      </c>
      <c r="AW69" s="85">
        <v>1</v>
      </c>
      <c r="AX69" s="85">
        <v>18</v>
      </c>
      <c r="AY69" s="85">
        <v>28</v>
      </c>
      <c r="AZ69" s="85">
        <v>49</v>
      </c>
    </row>
    <row r="70" spans="2:53" x14ac:dyDescent="0.2">
      <c r="B70" s="89">
        <v>1409</v>
      </c>
      <c r="C70" s="85" t="s">
        <v>450</v>
      </c>
      <c r="D70" s="85">
        <f t="shared" ref="D70:D89" si="20">SUM(E70:I70)</f>
        <v>250</v>
      </c>
      <c r="E70" s="85">
        <v>0</v>
      </c>
      <c r="F70" s="85">
        <v>11</v>
      </c>
      <c r="G70" s="85">
        <v>166</v>
      </c>
      <c r="H70" s="85">
        <v>73</v>
      </c>
      <c r="I70" s="85">
        <v>0</v>
      </c>
      <c r="M70" s="89">
        <v>1504</v>
      </c>
      <c r="N70" s="85" t="s">
        <v>766</v>
      </c>
      <c r="O70" s="85">
        <f t="shared" ref="O70:O89" si="21">SUM(P70:T70)</f>
        <v>397</v>
      </c>
      <c r="P70" s="85">
        <v>0.5</v>
      </c>
      <c r="Q70" s="85">
        <v>15.5</v>
      </c>
      <c r="R70" s="85">
        <v>144.5</v>
      </c>
      <c r="S70" s="85">
        <v>202.5</v>
      </c>
      <c r="T70" s="85">
        <v>34</v>
      </c>
      <c r="X70" s="89">
        <v>1410</v>
      </c>
      <c r="Y70" s="85" t="s">
        <v>484</v>
      </c>
      <c r="Z70" s="97">
        <f t="shared" ref="Z70:Z89" si="22">SUM(AA70:AE70)</f>
        <v>544</v>
      </c>
      <c r="AA70" s="97">
        <v>1</v>
      </c>
      <c r="AB70" s="97">
        <v>20</v>
      </c>
      <c r="AC70" s="97">
        <v>123</v>
      </c>
      <c r="AD70" s="97">
        <v>332</v>
      </c>
      <c r="AE70" s="97">
        <v>68</v>
      </c>
      <c r="AF70" s="81"/>
      <c r="AI70" s="89">
        <v>1410</v>
      </c>
      <c r="AJ70" s="85" t="s">
        <v>484</v>
      </c>
      <c r="AK70" s="85">
        <f t="shared" ref="AK70:AK89" si="23">SUM(AL70:AP70)</f>
        <v>348</v>
      </c>
      <c r="AL70" s="85">
        <v>0</v>
      </c>
      <c r="AM70" s="85">
        <v>14</v>
      </c>
      <c r="AN70" s="85">
        <v>174</v>
      </c>
      <c r="AO70" s="85">
        <v>160</v>
      </c>
      <c r="AP70" s="85">
        <v>0</v>
      </c>
      <c r="AS70" s="89">
        <v>1504</v>
      </c>
      <c r="AT70" s="85" t="s">
        <v>766</v>
      </c>
      <c r="AU70" s="85">
        <f t="shared" ref="AU70:AU89" si="24">SUM(AV70:AZ70)</f>
        <v>172</v>
      </c>
      <c r="AV70" s="85">
        <v>1</v>
      </c>
      <c r="AW70" s="85">
        <v>18</v>
      </c>
      <c r="AX70" s="85">
        <v>84</v>
      </c>
      <c r="AY70" s="85">
        <v>69</v>
      </c>
      <c r="AZ70" s="85">
        <v>0</v>
      </c>
    </row>
    <row r="71" spans="2:53" x14ac:dyDescent="0.2">
      <c r="B71" s="89">
        <v>1504</v>
      </c>
      <c r="C71" s="85" t="s">
        <v>766</v>
      </c>
      <c r="D71" s="85">
        <f t="shared" si="20"/>
        <v>243</v>
      </c>
      <c r="E71" s="85">
        <v>1</v>
      </c>
      <c r="F71" s="85">
        <v>3</v>
      </c>
      <c r="G71" s="85">
        <v>55</v>
      </c>
      <c r="H71" s="85">
        <v>174</v>
      </c>
      <c r="I71" s="85">
        <v>10</v>
      </c>
      <c r="M71" s="89">
        <v>1409</v>
      </c>
      <c r="N71" s="85" t="s">
        <v>450</v>
      </c>
      <c r="O71" s="85">
        <f t="shared" si="21"/>
        <v>286</v>
      </c>
      <c r="P71" s="85">
        <v>2.5</v>
      </c>
      <c r="Q71" s="85">
        <v>2.5</v>
      </c>
      <c r="R71" s="85">
        <v>78</v>
      </c>
      <c r="S71" s="85">
        <v>191</v>
      </c>
      <c r="T71" s="85">
        <v>12</v>
      </c>
      <c r="X71" s="89">
        <v>1409</v>
      </c>
      <c r="Y71" s="85" t="s">
        <v>450</v>
      </c>
      <c r="Z71" s="97">
        <f t="shared" si="22"/>
        <v>329</v>
      </c>
      <c r="AA71" s="97">
        <v>4</v>
      </c>
      <c r="AB71" s="97">
        <v>2</v>
      </c>
      <c r="AC71" s="97">
        <v>101</v>
      </c>
      <c r="AD71" s="97">
        <v>208</v>
      </c>
      <c r="AE71" s="97">
        <v>14</v>
      </c>
      <c r="AF71" s="81"/>
      <c r="AI71" s="89">
        <v>1409</v>
      </c>
      <c r="AJ71" s="85" t="s">
        <v>450</v>
      </c>
      <c r="AK71" s="85">
        <f t="shared" si="23"/>
        <v>233</v>
      </c>
      <c r="AL71" s="85">
        <v>0</v>
      </c>
      <c r="AM71" s="85">
        <v>3</v>
      </c>
      <c r="AN71" s="85">
        <v>67</v>
      </c>
      <c r="AO71" s="85">
        <v>161</v>
      </c>
      <c r="AP71" s="85">
        <v>2</v>
      </c>
      <c r="AS71" s="89">
        <v>1409</v>
      </c>
      <c r="AT71" s="85" t="s">
        <v>450</v>
      </c>
      <c r="AU71" s="85">
        <f t="shared" si="24"/>
        <v>398</v>
      </c>
      <c r="AV71" s="85">
        <v>0</v>
      </c>
      <c r="AW71" s="85">
        <v>2</v>
      </c>
      <c r="AX71" s="85">
        <v>84</v>
      </c>
      <c r="AY71" s="85">
        <v>298</v>
      </c>
      <c r="AZ71" s="85">
        <v>14</v>
      </c>
    </row>
    <row r="72" spans="2:53" x14ac:dyDescent="0.2">
      <c r="B72" s="89">
        <v>1802</v>
      </c>
      <c r="C72" s="85" t="s">
        <v>441</v>
      </c>
      <c r="D72" s="85">
        <f t="shared" si="20"/>
        <v>126</v>
      </c>
      <c r="E72" s="85">
        <v>1</v>
      </c>
      <c r="F72" s="85">
        <v>7</v>
      </c>
      <c r="G72" s="85">
        <v>33</v>
      </c>
      <c r="H72" s="85">
        <v>81</v>
      </c>
      <c r="I72" s="85">
        <v>4</v>
      </c>
      <c r="M72" s="89">
        <v>203</v>
      </c>
      <c r="N72" s="85" t="s">
        <v>486</v>
      </c>
      <c r="O72" s="85">
        <f t="shared" si="21"/>
        <v>203.5</v>
      </c>
      <c r="P72" s="85">
        <v>3</v>
      </c>
      <c r="Q72" s="85">
        <v>14.5</v>
      </c>
      <c r="R72" s="85">
        <v>59.5</v>
      </c>
      <c r="S72" s="85">
        <v>117.5</v>
      </c>
      <c r="T72" s="85">
        <v>9</v>
      </c>
      <c r="X72" s="89">
        <v>1408</v>
      </c>
      <c r="Y72" s="85" t="s">
        <v>485</v>
      </c>
      <c r="Z72" s="97">
        <f t="shared" si="22"/>
        <v>281</v>
      </c>
      <c r="AA72" s="97">
        <v>5</v>
      </c>
      <c r="AB72" s="97">
        <v>22</v>
      </c>
      <c r="AC72" s="97">
        <v>86</v>
      </c>
      <c r="AD72" s="97">
        <v>154</v>
      </c>
      <c r="AE72" s="97">
        <v>14</v>
      </c>
      <c r="AF72" s="81"/>
      <c r="AI72" s="89">
        <v>1408</v>
      </c>
      <c r="AJ72" s="85" t="s">
        <v>485</v>
      </c>
      <c r="AK72" s="85">
        <f t="shared" si="23"/>
        <v>176</v>
      </c>
      <c r="AL72" s="85">
        <v>5</v>
      </c>
      <c r="AM72" s="85">
        <v>9</v>
      </c>
      <c r="AN72" s="85">
        <v>71</v>
      </c>
      <c r="AO72" s="85">
        <v>85</v>
      </c>
      <c r="AP72" s="85">
        <v>6</v>
      </c>
      <c r="AS72" s="89">
        <v>1408</v>
      </c>
      <c r="AT72" s="85" t="s">
        <v>485</v>
      </c>
      <c r="AU72" s="85">
        <f t="shared" si="24"/>
        <v>3</v>
      </c>
      <c r="AV72" s="85">
        <v>0</v>
      </c>
      <c r="AW72" s="85">
        <v>0</v>
      </c>
      <c r="AX72" s="85">
        <v>0</v>
      </c>
      <c r="AY72" s="85">
        <v>3</v>
      </c>
      <c r="AZ72" s="85">
        <v>0</v>
      </c>
    </row>
    <row r="73" spans="2:53" x14ac:dyDescent="0.2">
      <c r="B73" s="89">
        <v>1406</v>
      </c>
      <c r="C73" s="85" t="s">
        <v>438</v>
      </c>
      <c r="D73" s="85">
        <f t="shared" si="20"/>
        <v>89</v>
      </c>
      <c r="E73" s="85">
        <v>1</v>
      </c>
      <c r="F73" s="85">
        <v>2</v>
      </c>
      <c r="G73" s="85">
        <v>36</v>
      </c>
      <c r="H73" s="85">
        <v>48</v>
      </c>
      <c r="I73" s="85">
        <v>2</v>
      </c>
      <c r="M73" s="89">
        <v>1408</v>
      </c>
      <c r="N73" s="85" t="s">
        <v>485</v>
      </c>
      <c r="O73" s="85">
        <f t="shared" si="21"/>
        <v>89</v>
      </c>
      <c r="P73" s="85">
        <v>0.5</v>
      </c>
      <c r="Q73" s="85">
        <v>1</v>
      </c>
      <c r="R73" s="85">
        <v>21.5</v>
      </c>
      <c r="S73" s="85">
        <v>64</v>
      </c>
      <c r="T73" s="85">
        <v>2</v>
      </c>
      <c r="X73" s="89">
        <v>203</v>
      </c>
      <c r="Y73" s="85" t="s">
        <v>486</v>
      </c>
      <c r="Z73" s="97">
        <f t="shared" si="22"/>
        <v>89</v>
      </c>
      <c r="AA73" s="97">
        <v>0</v>
      </c>
      <c r="AB73" s="97">
        <v>0</v>
      </c>
      <c r="AC73" s="97">
        <v>7</v>
      </c>
      <c r="AD73" s="97">
        <v>80</v>
      </c>
      <c r="AE73" s="97">
        <v>2</v>
      </c>
      <c r="AF73" s="81"/>
      <c r="AI73" s="89">
        <v>203</v>
      </c>
      <c r="AJ73" s="85" t="s">
        <v>486</v>
      </c>
      <c r="AK73" s="85">
        <f t="shared" si="23"/>
        <v>90</v>
      </c>
      <c r="AL73" s="85">
        <v>0</v>
      </c>
      <c r="AM73" s="85">
        <v>1</v>
      </c>
      <c r="AN73" s="85">
        <v>21</v>
      </c>
      <c r="AO73" s="85">
        <v>62</v>
      </c>
      <c r="AP73" s="85">
        <v>6</v>
      </c>
      <c r="AS73" s="89">
        <v>1802</v>
      </c>
      <c r="AT73" s="85" t="s">
        <v>441</v>
      </c>
      <c r="AU73" s="85">
        <f t="shared" si="24"/>
        <v>3</v>
      </c>
      <c r="AV73" s="85">
        <v>0</v>
      </c>
      <c r="AW73" s="85">
        <v>0</v>
      </c>
      <c r="AX73" s="85">
        <v>0</v>
      </c>
      <c r="AY73" s="85">
        <v>3</v>
      </c>
      <c r="AZ73" s="85">
        <v>0</v>
      </c>
    </row>
    <row r="74" spans="2:53" x14ac:dyDescent="0.2">
      <c r="B74" s="89">
        <v>404</v>
      </c>
      <c r="C74" s="85" t="s">
        <v>487</v>
      </c>
      <c r="D74" s="85">
        <f t="shared" si="20"/>
        <v>79</v>
      </c>
      <c r="E74" s="85">
        <v>0</v>
      </c>
      <c r="F74" s="85">
        <v>3</v>
      </c>
      <c r="G74" s="85">
        <v>21</v>
      </c>
      <c r="H74" s="85">
        <v>52</v>
      </c>
      <c r="I74" s="85">
        <v>3</v>
      </c>
      <c r="M74" s="89">
        <v>1406</v>
      </c>
      <c r="N74" s="85" t="s">
        <v>438</v>
      </c>
      <c r="O74" s="85">
        <f t="shared" si="21"/>
        <v>81.5</v>
      </c>
      <c r="P74" s="85">
        <v>0.5</v>
      </c>
      <c r="Q74" s="85">
        <v>3</v>
      </c>
      <c r="R74" s="85">
        <v>20.5</v>
      </c>
      <c r="S74" s="85">
        <v>50.5</v>
      </c>
      <c r="T74" s="85">
        <v>7</v>
      </c>
      <c r="X74" s="89">
        <v>1406</v>
      </c>
      <c r="Y74" s="85" t="s">
        <v>438</v>
      </c>
      <c r="Z74" s="97">
        <f t="shared" si="22"/>
        <v>84</v>
      </c>
      <c r="AA74" s="97">
        <v>1</v>
      </c>
      <c r="AB74" s="97">
        <v>3</v>
      </c>
      <c r="AC74" s="97">
        <v>20</v>
      </c>
      <c r="AD74" s="97">
        <v>49</v>
      </c>
      <c r="AE74" s="97">
        <v>11</v>
      </c>
      <c r="AF74" s="81"/>
      <c r="AI74" s="89">
        <v>1406</v>
      </c>
      <c r="AJ74" s="85" t="s">
        <v>438</v>
      </c>
      <c r="AK74" s="85">
        <f t="shared" si="23"/>
        <v>77</v>
      </c>
      <c r="AL74" s="85">
        <v>0</v>
      </c>
      <c r="AM74" s="85">
        <v>0</v>
      </c>
      <c r="AN74" s="85">
        <v>8</v>
      </c>
      <c r="AO74" s="85">
        <v>67</v>
      </c>
      <c r="AP74" s="85">
        <v>2</v>
      </c>
      <c r="AS74" s="89">
        <v>203</v>
      </c>
      <c r="AT74" s="85" t="s">
        <v>486</v>
      </c>
      <c r="AU74" s="85">
        <f t="shared" si="24"/>
        <v>18</v>
      </c>
      <c r="AV74" s="85">
        <v>0</v>
      </c>
      <c r="AW74" s="85">
        <v>0</v>
      </c>
      <c r="AX74" s="85">
        <v>3</v>
      </c>
      <c r="AY74" s="85">
        <v>6</v>
      </c>
      <c r="AZ74" s="85">
        <v>9</v>
      </c>
    </row>
    <row r="75" spans="2:53" x14ac:dyDescent="0.2">
      <c r="B75" s="89">
        <v>203</v>
      </c>
      <c r="C75" s="85" t="s">
        <v>486</v>
      </c>
      <c r="D75" s="85">
        <f t="shared" si="20"/>
        <v>70</v>
      </c>
      <c r="E75" s="85">
        <v>0</v>
      </c>
      <c r="F75" s="85">
        <v>0</v>
      </c>
      <c r="G75" s="85">
        <v>18</v>
      </c>
      <c r="H75" s="85">
        <v>40</v>
      </c>
      <c r="I75" s="85">
        <v>12</v>
      </c>
      <c r="M75" s="89">
        <v>1802</v>
      </c>
      <c r="N75" s="85" t="s">
        <v>441</v>
      </c>
      <c r="O75" s="85">
        <f t="shared" si="21"/>
        <v>69</v>
      </c>
      <c r="P75" s="85">
        <v>0</v>
      </c>
      <c r="Q75" s="85">
        <v>2</v>
      </c>
      <c r="R75" s="85">
        <v>25</v>
      </c>
      <c r="S75" s="85">
        <v>36</v>
      </c>
      <c r="T75" s="85">
        <v>6</v>
      </c>
      <c r="X75" s="89">
        <v>1503</v>
      </c>
      <c r="Y75" s="85" t="s">
        <v>437</v>
      </c>
      <c r="Z75" s="97">
        <f t="shared" si="22"/>
        <v>68</v>
      </c>
      <c r="AA75" s="97">
        <v>0</v>
      </c>
      <c r="AB75" s="97">
        <v>4</v>
      </c>
      <c r="AC75" s="97">
        <v>32</v>
      </c>
      <c r="AD75" s="97">
        <v>32</v>
      </c>
      <c r="AE75" s="97">
        <v>0</v>
      </c>
      <c r="AF75" s="81"/>
      <c r="AI75" s="89">
        <v>1503</v>
      </c>
      <c r="AJ75" s="85" t="s">
        <v>437</v>
      </c>
      <c r="AK75" s="85">
        <f t="shared" si="23"/>
        <v>61</v>
      </c>
      <c r="AL75" s="85">
        <v>0</v>
      </c>
      <c r="AM75" s="85">
        <v>1</v>
      </c>
      <c r="AN75" s="85">
        <v>11</v>
      </c>
      <c r="AO75" s="85">
        <v>35</v>
      </c>
      <c r="AP75" s="85">
        <v>14</v>
      </c>
      <c r="AS75" s="89">
        <v>1406</v>
      </c>
      <c r="AT75" s="85" t="s">
        <v>438</v>
      </c>
      <c r="AU75" s="85">
        <f t="shared" si="24"/>
        <v>3</v>
      </c>
      <c r="AV75" s="85">
        <v>0</v>
      </c>
      <c r="AW75" s="85">
        <v>0</v>
      </c>
      <c r="AX75" s="85">
        <v>1</v>
      </c>
      <c r="AY75" s="85">
        <v>2</v>
      </c>
      <c r="AZ75" s="85">
        <v>0</v>
      </c>
    </row>
    <row r="76" spans="2:53" x14ac:dyDescent="0.2">
      <c r="B76" s="89">
        <v>1503</v>
      </c>
      <c r="C76" s="85" t="s">
        <v>437</v>
      </c>
      <c r="D76" s="85">
        <f t="shared" si="20"/>
        <v>47</v>
      </c>
      <c r="E76" s="85">
        <v>0</v>
      </c>
      <c r="F76" s="85">
        <v>1</v>
      </c>
      <c r="G76" s="85">
        <v>29</v>
      </c>
      <c r="H76" s="85">
        <v>17</v>
      </c>
      <c r="I76" s="85">
        <v>0</v>
      </c>
      <c r="M76" s="89">
        <v>1501</v>
      </c>
      <c r="N76" s="85" t="s">
        <v>455</v>
      </c>
      <c r="O76" s="85">
        <f t="shared" si="21"/>
        <v>50</v>
      </c>
      <c r="P76" s="85">
        <v>0</v>
      </c>
      <c r="Q76" s="85">
        <v>1</v>
      </c>
      <c r="R76" s="85">
        <v>20.5</v>
      </c>
      <c r="S76" s="85">
        <v>26</v>
      </c>
      <c r="T76" s="85">
        <v>2.5</v>
      </c>
      <c r="X76" s="89">
        <v>1802</v>
      </c>
      <c r="Y76" s="85" t="s">
        <v>441</v>
      </c>
      <c r="Z76" s="97">
        <f t="shared" si="22"/>
        <v>53</v>
      </c>
      <c r="AA76" s="97">
        <v>0</v>
      </c>
      <c r="AB76" s="97">
        <v>1</v>
      </c>
      <c r="AC76" s="97">
        <v>12</v>
      </c>
      <c r="AD76" s="97">
        <v>35</v>
      </c>
      <c r="AE76" s="97">
        <v>5</v>
      </c>
      <c r="AF76" s="81"/>
      <c r="AI76" s="89">
        <v>1802</v>
      </c>
      <c r="AJ76" s="85" t="s">
        <v>441</v>
      </c>
      <c r="AK76" s="85">
        <f t="shared" si="23"/>
        <v>35</v>
      </c>
      <c r="AL76" s="85">
        <v>0</v>
      </c>
      <c r="AM76" s="85">
        <v>2</v>
      </c>
      <c r="AN76" s="85">
        <v>21</v>
      </c>
      <c r="AO76" s="85">
        <v>12</v>
      </c>
      <c r="AP76" s="85">
        <v>0</v>
      </c>
      <c r="AS76" s="89">
        <v>1501</v>
      </c>
      <c r="AT76" s="85" t="s">
        <v>455</v>
      </c>
      <c r="AU76" s="85">
        <f t="shared" si="24"/>
        <v>87</v>
      </c>
      <c r="AV76" s="85">
        <v>0</v>
      </c>
      <c r="AW76" s="85">
        <v>3</v>
      </c>
      <c r="AX76" s="85">
        <v>33</v>
      </c>
      <c r="AY76" s="85">
        <v>51</v>
      </c>
      <c r="AZ76" s="85">
        <v>0</v>
      </c>
    </row>
    <row r="77" spans="2:53" x14ac:dyDescent="0.2">
      <c r="B77" s="89">
        <v>1501</v>
      </c>
      <c r="C77" s="85" t="s">
        <v>455</v>
      </c>
      <c r="D77" s="85">
        <f t="shared" si="20"/>
        <v>35</v>
      </c>
      <c r="E77" s="85">
        <v>1</v>
      </c>
      <c r="F77" s="85">
        <v>3</v>
      </c>
      <c r="G77" s="85">
        <v>22</v>
      </c>
      <c r="H77" s="85">
        <v>9</v>
      </c>
      <c r="I77" s="85">
        <v>0</v>
      </c>
      <c r="M77" s="89">
        <v>404</v>
      </c>
      <c r="N77" s="85" t="s">
        <v>487</v>
      </c>
      <c r="O77" s="85">
        <f t="shared" si="21"/>
        <v>42.5</v>
      </c>
      <c r="P77" s="85">
        <v>0.5</v>
      </c>
      <c r="Q77" s="85">
        <v>4</v>
      </c>
      <c r="R77" s="85">
        <v>21</v>
      </c>
      <c r="S77" s="85">
        <v>17</v>
      </c>
      <c r="T77" s="85">
        <v>0</v>
      </c>
      <c r="X77" s="89">
        <v>1501</v>
      </c>
      <c r="Y77" s="85" t="s">
        <v>455</v>
      </c>
      <c r="Z77" s="97">
        <f t="shared" si="22"/>
        <v>50</v>
      </c>
      <c r="AA77" s="97">
        <v>0</v>
      </c>
      <c r="AB77" s="97">
        <v>5</v>
      </c>
      <c r="AC77" s="97">
        <v>20</v>
      </c>
      <c r="AD77" s="97">
        <v>25</v>
      </c>
      <c r="AE77" s="97">
        <v>0</v>
      </c>
      <c r="AF77" s="81"/>
      <c r="AI77" s="89">
        <v>1501</v>
      </c>
      <c r="AJ77" s="85" t="s">
        <v>455</v>
      </c>
      <c r="AK77" s="85">
        <f t="shared" si="23"/>
        <v>33</v>
      </c>
      <c r="AL77" s="85">
        <v>0</v>
      </c>
      <c r="AM77" s="85">
        <v>2</v>
      </c>
      <c r="AN77" s="85">
        <v>14</v>
      </c>
      <c r="AO77" s="85">
        <v>17</v>
      </c>
      <c r="AP77" s="85">
        <v>0</v>
      </c>
      <c r="AS77" s="89">
        <v>1503</v>
      </c>
      <c r="AT77" s="85" t="s">
        <v>437</v>
      </c>
      <c r="AU77" s="85">
        <f t="shared" si="24"/>
        <v>1</v>
      </c>
      <c r="AV77" s="85">
        <v>0</v>
      </c>
      <c r="AW77" s="85">
        <v>0</v>
      </c>
      <c r="AX77" s="85">
        <v>1</v>
      </c>
      <c r="AY77" s="85">
        <v>0</v>
      </c>
      <c r="AZ77" s="85"/>
    </row>
    <row r="78" spans="2:53" x14ac:dyDescent="0.2">
      <c r="B78" s="89">
        <v>1408</v>
      </c>
      <c r="C78" s="85" t="s">
        <v>485</v>
      </c>
      <c r="D78" s="85">
        <f t="shared" si="20"/>
        <v>32</v>
      </c>
      <c r="E78" s="85">
        <v>0</v>
      </c>
      <c r="F78" s="85">
        <v>3</v>
      </c>
      <c r="G78" s="85">
        <v>3</v>
      </c>
      <c r="H78" s="85">
        <v>24</v>
      </c>
      <c r="I78" s="85">
        <v>2</v>
      </c>
      <c r="M78" s="89">
        <v>105</v>
      </c>
      <c r="N78" s="85" t="s">
        <v>445</v>
      </c>
      <c r="O78" s="85">
        <f t="shared" si="21"/>
        <v>30.5</v>
      </c>
      <c r="P78" s="85">
        <v>0</v>
      </c>
      <c r="Q78" s="85">
        <v>1.5</v>
      </c>
      <c r="R78" s="85">
        <v>3</v>
      </c>
      <c r="S78" s="85">
        <v>20.5</v>
      </c>
      <c r="T78" s="85">
        <v>5.5</v>
      </c>
      <c r="X78" s="89">
        <v>201</v>
      </c>
      <c r="Y78" s="85" t="s">
        <v>517</v>
      </c>
      <c r="Z78" s="97">
        <f t="shared" si="22"/>
        <v>29</v>
      </c>
      <c r="AA78" s="97">
        <v>0</v>
      </c>
      <c r="AB78" s="97">
        <v>0</v>
      </c>
      <c r="AC78" s="97">
        <v>3</v>
      </c>
      <c r="AD78" s="97">
        <v>17</v>
      </c>
      <c r="AE78" s="97">
        <v>9</v>
      </c>
      <c r="AF78" s="81"/>
      <c r="AI78" s="89">
        <v>201</v>
      </c>
      <c r="AJ78" s="85" t="s">
        <v>517</v>
      </c>
      <c r="AK78" s="85">
        <f t="shared" si="23"/>
        <v>18</v>
      </c>
      <c r="AL78" s="85">
        <v>0</v>
      </c>
      <c r="AM78" s="85">
        <v>2</v>
      </c>
      <c r="AN78" s="85">
        <v>16</v>
      </c>
      <c r="AO78" s="85">
        <v>0</v>
      </c>
      <c r="AP78" s="85">
        <v>0</v>
      </c>
      <c r="AS78" s="89">
        <v>404</v>
      </c>
      <c r="AT78" s="85" t="s">
        <v>487</v>
      </c>
      <c r="AU78" s="85">
        <f t="shared" si="24"/>
        <v>1</v>
      </c>
      <c r="AV78" s="85">
        <v>0</v>
      </c>
      <c r="AW78" s="85">
        <v>0</v>
      </c>
      <c r="AX78" s="85">
        <v>0</v>
      </c>
      <c r="AY78" s="85">
        <v>1</v>
      </c>
      <c r="AZ78" s="85">
        <v>0</v>
      </c>
    </row>
    <row r="79" spans="2:53" x14ac:dyDescent="0.2">
      <c r="B79" s="89">
        <v>1505</v>
      </c>
      <c r="C79" s="85" t="s">
        <v>456</v>
      </c>
      <c r="D79" s="85">
        <f t="shared" si="20"/>
        <v>20</v>
      </c>
      <c r="E79" s="85">
        <v>0</v>
      </c>
      <c r="F79" s="85">
        <v>0</v>
      </c>
      <c r="G79" s="85">
        <v>3</v>
      </c>
      <c r="H79" s="85">
        <v>15</v>
      </c>
      <c r="I79" s="85">
        <v>2</v>
      </c>
      <c r="M79" s="89">
        <v>201</v>
      </c>
      <c r="N79" s="85" t="s">
        <v>517</v>
      </c>
      <c r="O79" s="85">
        <f t="shared" si="21"/>
        <v>19.5</v>
      </c>
      <c r="P79" s="85">
        <v>0</v>
      </c>
      <c r="Q79" s="85">
        <v>1</v>
      </c>
      <c r="R79" s="85">
        <v>8.5</v>
      </c>
      <c r="S79" s="85">
        <v>9</v>
      </c>
      <c r="T79" s="85">
        <v>1</v>
      </c>
      <c r="X79" s="89">
        <v>404</v>
      </c>
      <c r="Y79" s="85" t="s">
        <v>487</v>
      </c>
      <c r="Z79" s="97">
        <f t="shared" si="22"/>
        <v>19</v>
      </c>
      <c r="AA79" s="97">
        <v>0</v>
      </c>
      <c r="AB79" s="97">
        <v>2</v>
      </c>
      <c r="AC79" s="97">
        <v>14</v>
      </c>
      <c r="AD79" s="97">
        <v>3</v>
      </c>
      <c r="AE79" s="97">
        <v>0</v>
      </c>
      <c r="AF79" s="81"/>
      <c r="AI79" s="89">
        <v>404</v>
      </c>
      <c r="AJ79" s="85" t="s">
        <v>487</v>
      </c>
      <c r="AK79" s="85">
        <f t="shared" si="23"/>
        <v>12</v>
      </c>
      <c r="AL79" s="85">
        <v>0</v>
      </c>
      <c r="AM79" s="85">
        <v>1</v>
      </c>
      <c r="AN79" s="85">
        <v>8</v>
      </c>
      <c r="AO79" s="85">
        <v>3</v>
      </c>
      <c r="AP79" s="85">
        <v>0</v>
      </c>
      <c r="AS79" s="89">
        <v>105</v>
      </c>
      <c r="AT79" s="85" t="s">
        <v>445</v>
      </c>
      <c r="AU79" s="85">
        <f t="shared" si="24"/>
        <v>25</v>
      </c>
      <c r="AV79" s="85">
        <v>0</v>
      </c>
      <c r="AW79" s="85">
        <v>3</v>
      </c>
      <c r="AX79" s="85">
        <v>13</v>
      </c>
      <c r="AY79" s="85">
        <v>9</v>
      </c>
      <c r="AZ79" s="85">
        <v>0</v>
      </c>
    </row>
    <row r="80" spans="2:53" x14ac:dyDescent="0.2">
      <c r="B80" s="89">
        <v>1508</v>
      </c>
      <c r="C80" s="85" t="s">
        <v>767</v>
      </c>
      <c r="D80" s="85">
        <f t="shared" si="20"/>
        <v>19</v>
      </c>
      <c r="E80" s="85">
        <v>0</v>
      </c>
      <c r="F80" s="85">
        <v>3</v>
      </c>
      <c r="G80" s="85">
        <v>11</v>
      </c>
      <c r="H80" s="85">
        <v>5</v>
      </c>
      <c r="I80" s="85">
        <v>0</v>
      </c>
      <c r="M80" s="89">
        <v>1503</v>
      </c>
      <c r="N80" s="85" t="s">
        <v>437</v>
      </c>
      <c r="O80" s="85">
        <f t="shared" si="21"/>
        <v>18.5</v>
      </c>
      <c r="P80" s="85">
        <v>0.5</v>
      </c>
      <c r="Q80" s="85">
        <v>2.5</v>
      </c>
      <c r="R80" s="85">
        <v>9.5</v>
      </c>
      <c r="S80" s="85">
        <v>6</v>
      </c>
      <c r="T80" s="85">
        <v>0</v>
      </c>
      <c r="X80" s="89">
        <v>105</v>
      </c>
      <c r="Y80" s="85" t="s">
        <v>445</v>
      </c>
      <c r="Z80" s="97">
        <f t="shared" si="22"/>
        <v>18</v>
      </c>
      <c r="AA80" s="97">
        <v>1</v>
      </c>
      <c r="AB80" s="97">
        <v>2</v>
      </c>
      <c r="AC80" s="97">
        <v>8</v>
      </c>
      <c r="AD80" s="97">
        <v>7</v>
      </c>
      <c r="AE80" s="97">
        <v>0</v>
      </c>
      <c r="AF80" s="81"/>
      <c r="AI80" s="89">
        <v>105</v>
      </c>
      <c r="AJ80" s="85" t="s">
        <v>445</v>
      </c>
      <c r="AK80" s="85">
        <f t="shared" si="23"/>
        <v>11</v>
      </c>
      <c r="AL80" s="85">
        <v>0</v>
      </c>
      <c r="AM80" s="85">
        <v>0</v>
      </c>
      <c r="AN80" s="85">
        <v>4</v>
      </c>
      <c r="AO80" s="85">
        <v>7</v>
      </c>
      <c r="AP80" s="85">
        <v>0</v>
      </c>
      <c r="AS80" s="89">
        <v>1502</v>
      </c>
      <c r="AT80" s="85" t="s">
        <v>769</v>
      </c>
      <c r="AU80" s="85">
        <f t="shared" si="24"/>
        <v>9</v>
      </c>
      <c r="AV80" s="85">
        <v>0</v>
      </c>
      <c r="AW80" s="85">
        <v>0</v>
      </c>
      <c r="AX80" s="85">
        <v>5</v>
      </c>
      <c r="AY80" s="85">
        <v>4</v>
      </c>
      <c r="AZ80" s="85">
        <v>0</v>
      </c>
    </row>
    <row r="81" spans="2:52" x14ac:dyDescent="0.2">
      <c r="B81" s="89">
        <v>201</v>
      </c>
      <c r="C81" s="85" t="s">
        <v>517</v>
      </c>
      <c r="D81" s="85">
        <f t="shared" si="20"/>
        <v>13</v>
      </c>
      <c r="E81" s="85">
        <v>0</v>
      </c>
      <c r="F81" s="85">
        <v>0</v>
      </c>
      <c r="G81" s="85">
        <v>6</v>
      </c>
      <c r="H81" s="85">
        <v>7</v>
      </c>
      <c r="I81" s="85">
        <v>0</v>
      </c>
      <c r="M81" s="89">
        <v>1507</v>
      </c>
      <c r="N81" s="85" t="s">
        <v>768</v>
      </c>
      <c r="O81" s="85">
        <f t="shared" si="21"/>
        <v>15</v>
      </c>
      <c r="P81" s="85">
        <v>0</v>
      </c>
      <c r="Q81" s="85">
        <v>1</v>
      </c>
      <c r="R81" s="85">
        <v>7</v>
      </c>
      <c r="S81" s="85">
        <v>7</v>
      </c>
      <c r="T81" s="85">
        <v>0</v>
      </c>
      <c r="X81" s="89">
        <v>1507</v>
      </c>
      <c r="Y81" s="85" t="s">
        <v>768</v>
      </c>
      <c r="Z81" s="97">
        <f t="shared" si="22"/>
        <v>17</v>
      </c>
      <c r="AA81" s="97">
        <v>0</v>
      </c>
      <c r="AB81" s="97">
        <v>2</v>
      </c>
      <c r="AC81" s="97">
        <v>8</v>
      </c>
      <c r="AD81" s="97">
        <v>7</v>
      </c>
      <c r="AE81" s="97">
        <v>0</v>
      </c>
      <c r="AF81" s="81"/>
      <c r="AI81" s="89">
        <v>1507</v>
      </c>
      <c r="AJ81" s="85" t="s">
        <v>768</v>
      </c>
      <c r="AK81" s="85">
        <f t="shared" si="23"/>
        <v>9</v>
      </c>
      <c r="AL81" s="85">
        <v>0</v>
      </c>
      <c r="AM81" s="85">
        <v>2</v>
      </c>
      <c r="AN81" s="85">
        <v>3</v>
      </c>
      <c r="AO81" s="85">
        <v>4</v>
      </c>
      <c r="AP81" s="85">
        <v>0</v>
      </c>
      <c r="AS81" s="89">
        <v>1505</v>
      </c>
      <c r="AT81" s="85" t="s">
        <v>456</v>
      </c>
      <c r="AU81" s="85">
        <f t="shared" si="24"/>
        <v>23</v>
      </c>
      <c r="AV81" s="85">
        <v>0</v>
      </c>
      <c r="AW81" s="85">
        <v>1</v>
      </c>
      <c r="AX81" s="85">
        <v>12</v>
      </c>
      <c r="AY81" s="85">
        <v>10</v>
      </c>
      <c r="AZ81" s="85">
        <v>0</v>
      </c>
    </row>
    <row r="82" spans="2:52" x14ac:dyDescent="0.2">
      <c r="B82" s="89">
        <v>1502</v>
      </c>
      <c r="C82" s="85" t="s">
        <v>769</v>
      </c>
      <c r="D82" s="85">
        <f t="shared" si="20"/>
        <v>10</v>
      </c>
      <c r="E82" s="85">
        <v>0</v>
      </c>
      <c r="F82" s="85">
        <v>0</v>
      </c>
      <c r="G82" s="85">
        <v>1</v>
      </c>
      <c r="H82" s="85">
        <v>7</v>
      </c>
      <c r="I82" s="85">
        <v>2</v>
      </c>
      <c r="M82" s="89">
        <v>1301</v>
      </c>
      <c r="N82" s="85" t="s">
        <v>443</v>
      </c>
      <c r="O82" s="85">
        <f t="shared" si="21"/>
        <v>11.5</v>
      </c>
      <c r="P82" s="85">
        <v>0</v>
      </c>
      <c r="Q82" s="85">
        <v>0</v>
      </c>
      <c r="R82" s="85">
        <v>4.5</v>
      </c>
      <c r="S82" s="85">
        <v>6</v>
      </c>
      <c r="T82" s="85">
        <v>1</v>
      </c>
      <c r="X82" s="89">
        <v>1502</v>
      </c>
      <c r="Y82" s="85" t="s">
        <v>769</v>
      </c>
      <c r="Z82" s="97">
        <f t="shared" si="22"/>
        <v>13</v>
      </c>
      <c r="AA82" s="97">
        <v>0</v>
      </c>
      <c r="AB82" s="97">
        <v>0</v>
      </c>
      <c r="AC82" s="97">
        <v>8</v>
      </c>
      <c r="AD82" s="97">
        <v>5</v>
      </c>
      <c r="AE82" s="97">
        <v>0</v>
      </c>
      <c r="AF82" s="81"/>
      <c r="AI82" s="89">
        <v>1502</v>
      </c>
      <c r="AJ82" s="85" t="s">
        <v>769</v>
      </c>
      <c r="AK82" s="85">
        <f t="shared" si="23"/>
        <v>8</v>
      </c>
      <c r="AL82" s="85">
        <v>0</v>
      </c>
      <c r="AM82" s="85">
        <v>0</v>
      </c>
      <c r="AN82" s="85">
        <v>1</v>
      </c>
      <c r="AO82" s="85">
        <v>4</v>
      </c>
      <c r="AP82" s="85">
        <v>3</v>
      </c>
      <c r="AS82" s="89">
        <v>201</v>
      </c>
      <c r="AT82" s="85" t="s">
        <v>517</v>
      </c>
      <c r="AU82" s="85">
        <f t="shared" si="24"/>
        <v>25</v>
      </c>
      <c r="AV82" s="85">
        <v>0</v>
      </c>
      <c r="AW82" s="85">
        <v>0</v>
      </c>
      <c r="AX82" s="85">
        <v>1</v>
      </c>
      <c r="AY82" s="85">
        <v>12</v>
      </c>
      <c r="AZ82" s="85">
        <v>12</v>
      </c>
    </row>
    <row r="83" spans="2:52" x14ac:dyDescent="0.2">
      <c r="B83" s="89">
        <v>1303</v>
      </c>
      <c r="C83" s="85" t="s">
        <v>444</v>
      </c>
      <c r="D83" s="85">
        <f t="shared" si="20"/>
        <v>9</v>
      </c>
      <c r="E83" s="85">
        <v>0</v>
      </c>
      <c r="F83" s="85">
        <v>0</v>
      </c>
      <c r="G83" s="85">
        <v>6</v>
      </c>
      <c r="H83" s="85">
        <v>3</v>
      </c>
      <c r="I83" s="85">
        <v>0</v>
      </c>
      <c r="M83" s="89">
        <v>1508</v>
      </c>
      <c r="N83" s="85" t="s">
        <v>767</v>
      </c>
      <c r="O83" s="85">
        <f t="shared" si="21"/>
        <v>9</v>
      </c>
      <c r="P83" s="85">
        <v>0.5</v>
      </c>
      <c r="Q83" s="85">
        <v>1</v>
      </c>
      <c r="R83" s="85">
        <v>5.5</v>
      </c>
      <c r="S83" s="85">
        <v>2</v>
      </c>
      <c r="T83" s="85">
        <v>0</v>
      </c>
      <c r="X83" s="89">
        <v>1508</v>
      </c>
      <c r="Y83" s="85" t="s">
        <v>767</v>
      </c>
      <c r="Z83" s="97">
        <f t="shared" si="22"/>
        <v>9</v>
      </c>
      <c r="AA83" s="97">
        <v>1</v>
      </c>
      <c r="AB83" s="97">
        <v>2</v>
      </c>
      <c r="AC83" s="97">
        <v>5</v>
      </c>
      <c r="AD83" s="97">
        <v>1</v>
      </c>
      <c r="AE83" s="97">
        <v>0</v>
      </c>
      <c r="AF83" s="81"/>
      <c r="AI83" s="89">
        <v>1508</v>
      </c>
      <c r="AJ83" s="85" t="s">
        <v>767</v>
      </c>
      <c r="AK83" s="85">
        <f t="shared" si="23"/>
        <v>8</v>
      </c>
      <c r="AL83" s="85">
        <v>0</v>
      </c>
      <c r="AM83" s="85">
        <v>0</v>
      </c>
      <c r="AN83" s="85">
        <v>5</v>
      </c>
      <c r="AO83" s="85">
        <v>3</v>
      </c>
      <c r="AP83" s="85">
        <v>0</v>
      </c>
      <c r="AS83" s="89">
        <v>301</v>
      </c>
      <c r="AT83" s="85" t="s">
        <v>440</v>
      </c>
      <c r="AU83" s="85">
        <f t="shared" si="24"/>
        <v>1</v>
      </c>
      <c r="AV83" s="85">
        <v>0</v>
      </c>
      <c r="AW83" s="85">
        <v>0</v>
      </c>
      <c r="AX83" s="85">
        <v>0</v>
      </c>
      <c r="AY83" s="85">
        <v>1</v>
      </c>
      <c r="AZ83" s="85">
        <v>0</v>
      </c>
    </row>
    <row r="84" spans="2:52" x14ac:dyDescent="0.2">
      <c r="B84" s="89">
        <v>1102</v>
      </c>
      <c r="C84" s="85" t="s">
        <v>436</v>
      </c>
      <c r="D84" s="85">
        <f t="shared" si="20"/>
        <v>8</v>
      </c>
      <c r="E84" s="85">
        <v>0</v>
      </c>
      <c r="F84" s="85">
        <v>0</v>
      </c>
      <c r="G84" s="85">
        <v>1</v>
      </c>
      <c r="H84" s="85">
        <v>7</v>
      </c>
      <c r="I84" s="85">
        <v>0</v>
      </c>
      <c r="M84" s="89">
        <v>1303</v>
      </c>
      <c r="N84" s="85" t="s">
        <v>444</v>
      </c>
      <c r="O84" s="85">
        <f t="shared" si="21"/>
        <v>7</v>
      </c>
      <c r="P84" s="85">
        <v>0</v>
      </c>
      <c r="Q84" s="85">
        <v>0</v>
      </c>
      <c r="R84" s="85">
        <v>3</v>
      </c>
      <c r="S84" s="85">
        <v>4</v>
      </c>
      <c r="T84" s="85">
        <v>0</v>
      </c>
      <c r="X84" s="89">
        <v>111</v>
      </c>
      <c r="Y84" s="85" t="s">
        <v>770</v>
      </c>
      <c r="Z84" s="97">
        <f t="shared" si="22"/>
        <v>6</v>
      </c>
      <c r="AA84" s="97">
        <v>0</v>
      </c>
      <c r="AB84" s="97">
        <v>0</v>
      </c>
      <c r="AC84" s="97">
        <v>5</v>
      </c>
      <c r="AD84" s="97">
        <v>1</v>
      </c>
      <c r="AE84" s="97">
        <v>0</v>
      </c>
      <c r="AF84" s="81"/>
      <c r="AI84" s="89">
        <v>111</v>
      </c>
      <c r="AJ84" s="85" t="s">
        <v>770</v>
      </c>
      <c r="AK84" s="85">
        <f t="shared" si="23"/>
        <v>8</v>
      </c>
      <c r="AL84" s="85">
        <v>0</v>
      </c>
      <c r="AM84" s="85">
        <v>1</v>
      </c>
      <c r="AN84" s="85">
        <v>5</v>
      </c>
      <c r="AO84" s="85">
        <v>2</v>
      </c>
      <c r="AP84" s="85">
        <v>0</v>
      </c>
      <c r="AS84" s="89">
        <v>1411</v>
      </c>
      <c r="AT84" s="85" t="s">
        <v>1993</v>
      </c>
      <c r="AU84" s="85">
        <f t="shared" si="24"/>
        <v>29</v>
      </c>
      <c r="AV84" s="85">
        <v>0</v>
      </c>
      <c r="AW84" s="85">
        <v>4</v>
      </c>
      <c r="AX84" s="85">
        <v>14</v>
      </c>
      <c r="AY84" s="85">
        <v>11</v>
      </c>
      <c r="AZ84" s="85">
        <v>0</v>
      </c>
    </row>
    <row r="85" spans="2:52" x14ac:dyDescent="0.2">
      <c r="B85" s="89">
        <v>1109</v>
      </c>
      <c r="C85" s="85" t="s">
        <v>488</v>
      </c>
      <c r="D85" s="85">
        <f t="shared" si="20"/>
        <v>8</v>
      </c>
      <c r="E85" s="85">
        <v>0</v>
      </c>
      <c r="F85" s="85">
        <v>0</v>
      </c>
      <c r="G85" s="85">
        <v>4</v>
      </c>
      <c r="H85" s="85">
        <v>4</v>
      </c>
      <c r="I85" s="85">
        <v>0</v>
      </c>
      <c r="M85" s="89">
        <v>1502</v>
      </c>
      <c r="N85" s="85" t="s">
        <v>769</v>
      </c>
      <c r="O85" s="85">
        <f t="shared" si="21"/>
        <v>7</v>
      </c>
      <c r="P85" s="85">
        <v>0</v>
      </c>
      <c r="Q85" s="85">
        <v>0</v>
      </c>
      <c r="R85" s="85">
        <v>4.5</v>
      </c>
      <c r="S85" s="85">
        <v>2</v>
      </c>
      <c r="T85" s="85">
        <v>0.5</v>
      </c>
      <c r="X85" s="89">
        <v>117</v>
      </c>
      <c r="Y85" s="85" t="s">
        <v>446</v>
      </c>
      <c r="Z85" s="97">
        <f t="shared" si="22"/>
        <v>6</v>
      </c>
      <c r="AA85" s="97">
        <v>0</v>
      </c>
      <c r="AB85" s="97">
        <v>0</v>
      </c>
      <c r="AC85" s="97">
        <v>5</v>
      </c>
      <c r="AD85" s="97">
        <v>0</v>
      </c>
      <c r="AE85" s="97">
        <v>1</v>
      </c>
      <c r="AF85" s="81"/>
      <c r="AI85" s="89">
        <v>117</v>
      </c>
      <c r="AJ85" s="85" t="s">
        <v>446</v>
      </c>
      <c r="AK85" s="85">
        <f t="shared" si="23"/>
        <v>8</v>
      </c>
      <c r="AL85" s="85">
        <v>0</v>
      </c>
      <c r="AM85" s="85">
        <v>1</v>
      </c>
      <c r="AN85" s="85">
        <v>5</v>
      </c>
      <c r="AO85" s="85">
        <v>2</v>
      </c>
      <c r="AP85" s="85">
        <v>0</v>
      </c>
      <c r="AS85" s="89">
        <v>1507</v>
      </c>
      <c r="AT85" s="85" t="s">
        <v>768</v>
      </c>
      <c r="AU85" s="85">
        <f t="shared" si="24"/>
        <v>1</v>
      </c>
      <c r="AV85" s="85">
        <v>0</v>
      </c>
      <c r="AW85" s="85">
        <v>0</v>
      </c>
      <c r="AX85" s="85">
        <v>0</v>
      </c>
      <c r="AY85" s="85">
        <v>1</v>
      </c>
      <c r="AZ85" s="85">
        <v>0</v>
      </c>
    </row>
    <row r="86" spans="2:52" x14ac:dyDescent="0.2">
      <c r="B86" s="89">
        <v>105</v>
      </c>
      <c r="C86" s="85" t="s">
        <v>445</v>
      </c>
      <c r="D86" s="85">
        <f t="shared" si="20"/>
        <v>8</v>
      </c>
      <c r="E86" s="85">
        <v>0</v>
      </c>
      <c r="F86" s="85">
        <v>0</v>
      </c>
      <c r="G86" s="85">
        <v>5</v>
      </c>
      <c r="H86" s="85">
        <v>3</v>
      </c>
      <c r="I86" s="85">
        <v>0</v>
      </c>
      <c r="M86" s="89">
        <v>1505</v>
      </c>
      <c r="N86" s="85" t="s">
        <v>456</v>
      </c>
      <c r="O86" s="85">
        <f t="shared" si="21"/>
        <v>7</v>
      </c>
      <c r="P86" s="85">
        <v>0</v>
      </c>
      <c r="Q86" s="85">
        <v>0</v>
      </c>
      <c r="R86" s="85">
        <v>4.5</v>
      </c>
      <c r="S86" s="85">
        <v>2.5</v>
      </c>
      <c r="T86" s="85">
        <v>0</v>
      </c>
      <c r="X86" s="89">
        <v>606</v>
      </c>
      <c r="Y86" s="85" t="s">
        <v>442</v>
      </c>
      <c r="Z86" s="97">
        <f t="shared" si="22"/>
        <v>6</v>
      </c>
      <c r="AA86" s="97">
        <v>0</v>
      </c>
      <c r="AB86" s="97">
        <v>0</v>
      </c>
      <c r="AC86" s="97">
        <v>4</v>
      </c>
      <c r="AD86" s="97">
        <v>2</v>
      </c>
      <c r="AE86" s="97">
        <v>0</v>
      </c>
      <c r="AF86" s="81"/>
      <c r="AI86" s="89">
        <v>606</v>
      </c>
      <c r="AJ86" s="85" t="s">
        <v>442</v>
      </c>
      <c r="AK86" s="85">
        <f t="shared" si="23"/>
        <v>6</v>
      </c>
      <c r="AL86" s="85">
        <v>0</v>
      </c>
      <c r="AM86" s="85">
        <v>0</v>
      </c>
      <c r="AN86" s="85">
        <v>5</v>
      </c>
      <c r="AO86" s="85">
        <v>1</v>
      </c>
      <c r="AP86" s="85">
        <v>0</v>
      </c>
      <c r="AS86" s="89">
        <v>606</v>
      </c>
      <c r="AT86" s="85" t="s">
        <v>442</v>
      </c>
      <c r="AU86" s="85">
        <f t="shared" si="24"/>
        <v>7</v>
      </c>
      <c r="AV86" s="85">
        <v>0</v>
      </c>
      <c r="AW86" s="85">
        <v>0</v>
      </c>
      <c r="AX86" s="85">
        <v>0</v>
      </c>
      <c r="AY86" s="85">
        <v>5</v>
      </c>
      <c r="AZ86" s="85">
        <v>2</v>
      </c>
    </row>
    <row r="87" spans="2:52" x14ac:dyDescent="0.2">
      <c r="B87" s="89">
        <v>1507</v>
      </c>
      <c r="C87" s="85" t="s">
        <v>768</v>
      </c>
      <c r="D87" s="85">
        <f t="shared" si="20"/>
        <v>7</v>
      </c>
      <c r="E87" s="85">
        <v>0</v>
      </c>
      <c r="F87" s="85">
        <v>0</v>
      </c>
      <c r="G87" s="85">
        <v>2</v>
      </c>
      <c r="H87" s="85">
        <v>4</v>
      </c>
      <c r="I87" s="85">
        <v>1</v>
      </c>
      <c r="M87" s="89">
        <v>1102</v>
      </c>
      <c r="N87" s="85" t="s">
        <v>436</v>
      </c>
      <c r="O87" s="85">
        <f t="shared" si="21"/>
        <v>6</v>
      </c>
      <c r="P87" s="85">
        <v>0</v>
      </c>
      <c r="Q87" s="85">
        <v>0</v>
      </c>
      <c r="R87" s="85">
        <v>1</v>
      </c>
      <c r="S87" s="85">
        <v>3.5</v>
      </c>
      <c r="T87" s="85">
        <v>1.5</v>
      </c>
      <c r="X87" s="89">
        <v>202</v>
      </c>
      <c r="Y87" s="85" t="s">
        <v>771</v>
      </c>
      <c r="Z87" s="97">
        <f t="shared" si="22"/>
        <v>5</v>
      </c>
      <c r="AA87" s="97">
        <v>0</v>
      </c>
      <c r="AB87" s="97">
        <v>0</v>
      </c>
      <c r="AC87" s="97">
        <v>0</v>
      </c>
      <c r="AD87" s="97">
        <v>3</v>
      </c>
      <c r="AE87" s="97">
        <v>2</v>
      </c>
      <c r="AF87" s="81"/>
      <c r="AI87" s="89">
        <v>202</v>
      </c>
      <c r="AJ87" s="85" t="s">
        <v>771</v>
      </c>
      <c r="AK87" s="85">
        <f t="shared" si="23"/>
        <v>6</v>
      </c>
      <c r="AL87" s="85">
        <v>0</v>
      </c>
      <c r="AM87" s="85">
        <v>2</v>
      </c>
      <c r="AN87" s="85">
        <v>0</v>
      </c>
      <c r="AO87" s="85">
        <v>4</v>
      </c>
      <c r="AP87" s="85">
        <v>0</v>
      </c>
      <c r="AS87" s="89">
        <v>1508</v>
      </c>
      <c r="AT87" s="85" t="s">
        <v>767</v>
      </c>
      <c r="AU87" s="85">
        <f t="shared" si="24"/>
        <v>8</v>
      </c>
      <c r="AV87" s="85">
        <v>0</v>
      </c>
      <c r="AW87" s="85">
        <v>3</v>
      </c>
      <c r="AX87" s="85">
        <v>0</v>
      </c>
      <c r="AY87" s="85">
        <v>5</v>
      </c>
      <c r="AZ87" s="85">
        <v>0</v>
      </c>
    </row>
    <row r="88" spans="2:52" x14ac:dyDescent="0.2">
      <c r="B88" s="89">
        <v>1305</v>
      </c>
      <c r="C88" s="85" t="s">
        <v>6102</v>
      </c>
      <c r="D88" s="85">
        <f t="shared" si="20"/>
        <v>4</v>
      </c>
      <c r="E88" s="85">
        <v>0</v>
      </c>
      <c r="F88" s="85">
        <v>0</v>
      </c>
      <c r="G88" s="85">
        <v>0</v>
      </c>
      <c r="H88" s="85">
        <v>4</v>
      </c>
      <c r="I88" s="85">
        <v>0</v>
      </c>
      <c r="M88" s="89">
        <v>1808</v>
      </c>
      <c r="N88" s="85" t="s">
        <v>449</v>
      </c>
      <c r="O88" s="85">
        <f t="shared" si="21"/>
        <v>4.5</v>
      </c>
      <c r="P88" s="85">
        <v>0</v>
      </c>
      <c r="Q88" s="85">
        <v>0</v>
      </c>
      <c r="R88" s="85">
        <v>1.5</v>
      </c>
      <c r="S88" s="85">
        <v>3</v>
      </c>
      <c r="T88" s="85">
        <v>0</v>
      </c>
      <c r="X88" s="89">
        <v>301</v>
      </c>
      <c r="Y88" s="85" t="s">
        <v>440</v>
      </c>
      <c r="Z88" s="97">
        <f t="shared" si="22"/>
        <v>5</v>
      </c>
      <c r="AA88" s="97">
        <v>0</v>
      </c>
      <c r="AB88" s="97">
        <v>0</v>
      </c>
      <c r="AC88" s="97">
        <v>3</v>
      </c>
      <c r="AD88" s="97">
        <v>2</v>
      </c>
      <c r="AE88" s="97">
        <v>0</v>
      </c>
      <c r="AF88" s="81"/>
      <c r="AI88" s="89">
        <v>301</v>
      </c>
      <c r="AJ88" s="85" t="s">
        <v>440</v>
      </c>
      <c r="AK88" s="85">
        <f t="shared" si="23"/>
        <v>3</v>
      </c>
      <c r="AL88" s="85">
        <v>0</v>
      </c>
      <c r="AM88" s="85">
        <v>0</v>
      </c>
      <c r="AN88" s="85">
        <v>2</v>
      </c>
      <c r="AO88" s="85">
        <v>1</v>
      </c>
      <c r="AP88" s="85">
        <v>0</v>
      </c>
      <c r="AS88" s="89">
        <v>906</v>
      </c>
      <c r="AT88" s="85" t="s">
        <v>1284</v>
      </c>
      <c r="AU88" s="85">
        <f t="shared" si="24"/>
        <v>4</v>
      </c>
      <c r="AV88" s="85">
        <v>0</v>
      </c>
      <c r="AW88" s="85">
        <v>0</v>
      </c>
      <c r="AX88" s="85">
        <v>2</v>
      </c>
      <c r="AY88" s="85">
        <v>2</v>
      </c>
      <c r="AZ88" s="85">
        <v>0</v>
      </c>
    </row>
    <row r="89" spans="2:52" x14ac:dyDescent="0.2">
      <c r="B89" s="89"/>
      <c r="C89" s="85"/>
      <c r="D89" s="85">
        <f t="shared" si="20"/>
        <v>55</v>
      </c>
      <c r="E89" s="85">
        <v>1</v>
      </c>
      <c r="F89" s="85">
        <v>4</v>
      </c>
      <c r="G89" s="85">
        <v>18</v>
      </c>
      <c r="H89" s="85">
        <v>27</v>
      </c>
      <c r="I89" s="85">
        <v>5</v>
      </c>
      <c r="M89" s="89"/>
      <c r="N89" s="85" t="s">
        <v>187</v>
      </c>
      <c r="O89" s="85">
        <f t="shared" si="21"/>
        <v>62</v>
      </c>
      <c r="P89" s="85">
        <v>1.5</v>
      </c>
      <c r="Q89" s="85">
        <v>3</v>
      </c>
      <c r="R89" s="85">
        <v>19</v>
      </c>
      <c r="S89" s="85">
        <v>33.5</v>
      </c>
      <c r="T89" s="85">
        <v>5</v>
      </c>
      <c r="X89" s="89"/>
      <c r="Y89" s="85" t="s">
        <v>187</v>
      </c>
      <c r="Z89" s="97">
        <f t="shared" si="22"/>
        <v>69</v>
      </c>
      <c r="AA89" s="97">
        <v>2</v>
      </c>
      <c r="AB89" s="97">
        <v>2</v>
      </c>
      <c r="AC89" s="97">
        <v>20</v>
      </c>
      <c r="AD89" s="97">
        <v>40</v>
      </c>
      <c r="AE89" s="97">
        <v>5</v>
      </c>
      <c r="AF89" s="81"/>
      <c r="AI89" s="89"/>
      <c r="AJ89" s="85" t="s">
        <v>187</v>
      </c>
      <c r="AK89" s="85">
        <f t="shared" si="23"/>
        <v>27</v>
      </c>
      <c r="AL89" s="85">
        <v>0</v>
      </c>
      <c r="AM89" s="85">
        <v>3</v>
      </c>
      <c r="AN89" s="85">
        <v>6</v>
      </c>
      <c r="AO89" s="85">
        <v>13</v>
      </c>
      <c r="AP89" s="85">
        <v>5</v>
      </c>
      <c r="AS89" s="89"/>
      <c r="AT89" s="85" t="s">
        <v>187</v>
      </c>
      <c r="AU89" s="85">
        <f t="shared" si="24"/>
        <v>55</v>
      </c>
      <c r="AV89" s="85">
        <v>30</v>
      </c>
      <c r="AW89" s="85">
        <v>0</v>
      </c>
      <c r="AX89" s="85">
        <v>2</v>
      </c>
      <c r="AY89" s="85">
        <v>5</v>
      </c>
      <c r="AZ89" s="85">
        <v>18</v>
      </c>
    </row>
    <row r="90" spans="2:52" x14ac:dyDescent="0.2">
      <c r="B90" s="89"/>
      <c r="C90" s="82" t="s">
        <v>0</v>
      </c>
      <c r="D90" s="91">
        <f t="shared" ref="D90:I90" si="25">SUM(D69:D89)</f>
        <v>1460</v>
      </c>
      <c r="E90" s="87">
        <f t="shared" si="25"/>
        <v>5</v>
      </c>
      <c r="F90" s="87">
        <f t="shared" si="25"/>
        <v>47</v>
      </c>
      <c r="G90" s="87">
        <f t="shared" si="25"/>
        <v>501</v>
      </c>
      <c r="H90" s="87">
        <f t="shared" si="25"/>
        <v>830</v>
      </c>
      <c r="I90" s="87">
        <f t="shared" si="25"/>
        <v>77</v>
      </c>
      <c r="M90" s="89"/>
      <c r="N90" s="82" t="s">
        <v>0</v>
      </c>
      <c r="O90" s="91">
        <f>SUM(O69:O89)</f>
        <v>1860</v>
      </c>
      <c r="P90" s="87">
        <f t="shared" ref="P90:T90" si="26">SUM(P69:P89)</f>
        <v>13</v>
      </c>
      <c r="Q90" s="87">
        <f t="shared" si="26"/>
        <v>79.5</v>
      </c>
      <c r="R90" s="87">
        <f t="shared" si="26"/>
        <v>640</v>
      </c>
      <c r="S90" s="87">
        <f t="shared" si="26"/>
        <v>1023.5</v>
      </c>
      <c r="T90" s="87">
        <f t="shared" si="26"/>
        <v>104</v>
      </c>
      <c r="X90" s="89"/>
      <c r="Y90" s="82" t="s">
        <v>0</v>
      </c>
      <c r="Z90" s="98">
        <f t="shared" ref="Z90:AE90" si="27">AVERAGE(AK90+D90)/2</f>
        <v>1515.5</v>
      </c>
      <c r="AA90" s="98">
        <f t="shared" si="27"/>
        <v>5.5</v>
      </c>
      <c r="AB90" s="98">
        <f t="shared" si="27"/>
        <v>49.5</v>
      </c>
      <c r="AC90" s="98">
        <f t="shared" si="27"/>
        <v>532.5</v>
      </c>
      <c r="AD90" s="98">
        <f t="shared" si="27"/>
        <v>837.5</v>
      </c>
      <c r="AE90" s="98">
        <f t="shared" si="27"/>
        <v>90.5</v>
      </c>
      <c r="AF90" s="81"/>
      <c r="AI90" s="89"/>
      <c r="AJ90" s="82" t="s">
        <v>0</v>
      </c>
      <c r="AK90" s="91">
        <f t="shared" ref="AK90:AP90" si="28">SUM(AK69:AK89)</f>
        <v>1571</v>
      </c>
      <c r="AL90" s="87">
        <f t="shared" si="28"/>
        <v>6</v>
      </c>
      <c r="AM90" s="87">
        <f t="shared" si="28"/>
        <v>52</v>
      </c>
      <c r="AN90" s="87">
        <f t="shared" si="28"/>
        <v>564</v>
      </c>
      <c r="AO90" s="87">
        <f t="shared" si="28"/>
        <v>845</v>
      </c>
      <c r="AP90" s="87">
        <f t="shared" si="28"/>
        <v>104</v>
      </c>
      <c r="AS90" s="89"/>
      <c r="AT90" s="82" t="s">
        <v>0</v>
      </c>
      <c r="AU90" s="91">
        <f>SUM(AU69:AU89)</f>
        <v>970</v>
      </c>
      <c r="AV90" s="87">
        <f t="shared" ref="AV90:AZ90" si="29">SUM(AV69:AV89)</f>
        <v>32</v>
      </c>
      <c r="AW90" s="87">
        <f t="shared" si="29"/>
        <v>35</v>
      </c>
      <c r="AX90" s="87">
        <f t="shared" si="29"/>
        <v>273</v>
      </c>
      <c r="AY90" s="87">
        <f t="shared" si="29"/>
        <v>526</v>
      </c>
      <c r="AZ90" s="87">
        <f t="shared" si="29"/>
        <v>104</v>
      </c>
    </row>
    <row r="91" spans="2:52" x14ac:dyDescent="0.2">
      <c r="B91" s="3949"/>
      <c r="M91" s="3949"/>
      <c r="X91" s="3949"/>
      <c r="Y91" s="81"/>
      <c r="Z91" s="81"/>
      <c r="AA91" s="81"/>
      <c r="AB91" s="81"/>
      <c r="AC91" s="81"/>
      <c r="AD91" s="81"/>
      <c r="AE91" s="81"/>
      <c r="AF91" s="81"/>
      <c r="AI91" s="3949"/>
      <c r="AJ91" s="81"/>
      <c r="AK91" s="81"/>
      <c r="AL91" s="81"/>
      <c r="AM91" s="81"/>
      <c r="AN91" s="81"/>
      <c r="AO91" s="81"/>
      <c r="AP91" s="81"/>
      <c r="AS91" s="3949"/>
      <c r="AT91" s="81"/>
      <c r="AU91" s="83"/>
      <c r="AV91" s="81"/>
      <c r="AW91" s="81"/>
      <c r="AX91" s="81"/>
      <c r="AY91" s="81"/>
      <c r="AZ91" s="81"/>
    </row>
    <row r="92" spans="2:52" x14ac:dyDescent="0.2">
      <c r="B92" s="88" t="s">
        <v>772</v>
      </c>
      <c r="D92" s="83"/>
      <c r="E92" s="83"/>
      <c r="F92" s="83"/>
      <c r="G92" s="83"/>
      <c r="H92" s="83"/>
      <c r="I92" s="83"/>
      <c r="M92" s="88" t="s">
        <v>773</v>
      </c>
      <c r="O92" s="83"/>
      <c r="P92" s="83"/>
      <c r="Q92" s="83"/>
      <c r="R92" s="83"/>
      <c r="S92" s="83"/>
      <c r="T92" s="83"/>
      <c r="X92" s="88" t="s">
        <v>481</v>
      </c>
      <c r="Y92" s="81"/>
      <c r="Z92" s="81"/>
      <c r="AA92" s="81"/>
      <c r="AB92" s="81"/>
      <c r="AC92" s="81"/>
      <c r="AD92" s="81"/>
      <c r="AE92" s="81"/>
      <c r="AF92" s="81"/>
      <c r="AI92" s="88" t="s">
        <v>1994</v>
      </c>
      <c r="AJ92" s="81"/>
      <c r="AK92" s="83"/>
      <c r="AL92" s="83"/>
      <c r="AM92" s="83"/>
      <c r="AN92" s="83"/>
      <c r="AO92" s="83"/>
      <c r="AP92" s="83"/>
      <c r="AS92" s="88" t="s">
        <v>3639</v>
      </c>
      <c r="AT92" s="81"/>
      <c r="AU92" s="83"/>
      <c r="AV92" s="83"/>
      <c r="AW92" s="83"/>
      <c r="AX92" s="83"/>
      <c r="AY92" s="83"/>
      <c r="AZ92" s="83"/>
    </row>
    <row r="93" spans="2:52" ht="11.25" customHeight="1" x14ac:dyDescent="0.2">
      <c r="B93" s="4258" t="s">
        <v>161</v>
      </c>
      <c r="C93" s="4258" t="s">
        <v>742</v>
      </c>
      <c r="D93" s="4258" t="s">
        <v>0</v>
      </c>
      <c r="E93" s="4260" t="s">
        <v>186</v>
      </c>
      <c r="F93" s="4261"/>
      <c r="G93" s="4261"/>
      <c r="H93" s="4261"/>
      <c r="I93" s="4262"/>
      <c r="M93" s="4258" t="s">
        <v>161</v>
      </c>
      <c r="N93" s="4258" t="s">
        <v>742</v>
      </c>
      <c r="O93" s="4258" t="s">
        <v>0</v>
      </c>
      <c r="P93" s="4260" t="s">
        <v>186</v>
      </c>
      <c r="Q93" s="4261"/>
      <c r="R93" s="4261"/>
      <c r="S93" s="4261"/>
      <c r="T93" s="4262"/>
      <c r="X93" s="4258" t="s">
        <v>161</v>
      </c>
      <c r="Y93" s="4258" t="s">
        <v>742</v>
      </c>
      <c r="Z93" s="4258" t="s">
        <v>0</v>
      </c>
      <c r="AA93" s="4260" t="s">
        <v>186</v>
      </c>
      <c r="AB93" s="4261"/>
      <c r="AC93" s="4261"/>
      <c r="AD93" s="4261"/>
      <c r="AE93" s="4262"/>
      <c r="AF93" s="81"/>
      <c r="AI93" s="4258" t="s">
        <v>161</v>
      </c>
      <c r="AJ93" s="4258" t="s">
        <v>742</v>
      </c>
      <c r="AK93" s="4258" t="s">
        <v>0</v>
      </c>
      <c r="AL93" s="4260" t="s">
        <v>186</v>
      </c>
      <c r="AM93" s="4261"/>
      <c r="AN93" s="4261"/>
      <c r="AO93" s="4261"/>
      <c r="AP93" s="4262"/>
      <c r="AS93" s="4258" t="s">
        <v>161</v>
      </c>
      <c r="AT93" s="4258" t="s">
        <v>742</v>
      </c>
      <c r="AU93" s="4258" t="s">
        <v>0</v>
      </c>
      <c r="AV93" s="4260" t="s">
        <v>186</v>
      </c>
      <c r="AW93" s="4261"/>
      <c r="AX93" s="4261"/>
      <c r="AY93" s="4261"/>
      <c r="AZ93" s="4262"/>
    </row>
    <row r="94" spans="2:52" x14ac:dyDescent="0.2">
      <c r="B94" s="4259"/>
      <c r="C94" s="4259"/>
      <c r="D94" s="4259"/>
      <c r="E94" s="3948" t="s">
        <v>743</v>
      </c>
      <c r="F94" s="3948" t="s">
        <v>744</v>
      </c>
      <c r="G94" s="3948" t="s">
        <v>745</v>
      </c>
      <c r="H94" s="3948" t="s">
        <v>746</v>
      </c>
      <c r="I94" s="3948" t="s">
        <v>747</v>
      </c>
      <c r="M94" s="4259"/>
      <c r="N94" s="4259"/>
      <c r="O94" s="4259"/>
      <c r="P94" s="3948" t="s">
        <v>743</v>
      </c>
      <c r="Q94" s="3948" t="s">
        <v>744</v>
      </c>
      <c r="R94" s="3948" t="s">
        <v>745</v>
      </c>
      <c r="S94" s="3948" t="s">
        <v>746</v>
      </c>
      <c r="T94" s="3948" t="s">
        <v>747</v>
      </c>
      <c r="X94" s="4259"/>
      <c r="Y94" s="4259"/>
      <c r="Z94" s="4259"/>
      <c r="AA94" s="3948" t="s">
        <v>743</v>
      </c>
      <c r="AB94" s="3948" t="s">
        <v>744</v>
      </c>
      <c r="AC94" s="3948" t="s">
        <v>745</v>
      </c>
      <c r="AD94" s="3948" t="s">
        <v>746</v>
      </c>
      <c r="AE94" s="3948" t="s">
        <v>747</v>
      </c>
      <c r="AF94" s="81"/>
      <c r="AI94" s="4259"/>
      <c r="AJ94" s="4259"/>
      <c r="AK94" s="4259"/>
      <c r="AL94" s="3948" t="s">
        <v>743</v>
      </c>
      <c r="AM94" s="3948" t="s">
        <v>744</v>
      </c>
      <c r="AN94" s="3948" t="s">
        <v>745</v>
      </c>
      <c r="AO94" s="3948" t="s">
        <v>746</v>
      </c>
      <c r="AP94" s="3948" t="s">
        <v>747</v>
      </c>
      <c r="AS94" s="4259"/>
      <c r="AT94" s="4259"/>
      <c r="AU94" s="4259"/>
      <c r="AV94" s="3948" t="s">
        <v>743</v>
      </c>
      <c r="AW94" s="3948" t="s">
        <v>744</v>
      </c>
      <c r="AX94" s="3948" t="s">
        <v>745</v>
      </c>
      <c r="AY94" s="3948" t="s">
        <v>746</v>
      </c>
      <c r="AZ94" s="3948" t="s">
        <v>747</v>
      </c>
    </row>
    <row r="95" spans="2:52" x14ac:dyDescent="0.2">
      <c r="B95" s="89">
        <v>1109</v>
      </c>
      <c r="C95" s="85" t="s">
        <v>488</v>
      </c>
      <c r="D95" s="85">
        <f>SUM(E95:I95)</f>
        <v>277</v>
      </c>
      <c r="E95" s="85">
        <v>0</v>
      </c>
      <c r="F95" s="85">
        <v>2</v>
      </c>
      <c r="G95" s="85">
        <v>59</v>
      </c>
      <c r="H95" s="85">
        <v>141</v>
      </c>
      <c r="I95" s="85">
        <v>75</v>
      </c>
      <c r="M95" s="89">
        <v>1109</v>
      </c>
      <c r="N95" s="85" t="s">
        <v>488</v>
      </c>
      <c r="O95" s="85">
        <f>SUM(P95:T95)</f>
        <v>311</v>
      </c>
      <c r="P95" s="85">
        <v>3</v>
      </c>
      <c r="Q95" s="85">
        <v>4</v>
      </c>
      <c r="R95" s="85">
        <v>63</v>
      </c>
      <c r="S95" s="85">
        <v>160</v>
      </c>
      <c r="T95" s="85">
        <v>81</v>
      </c>
      <c r="X95" s="89">
        <v>1109</v>
      </c>
      <c r="Y95" s="85" t="s">
        <v>488</v>
      </c>
      <c r="Z95" s="97">
        <f>SUM(AA95:AE95)</f>
        <v>342</v>
      </c>
      <c r="AA95" s="97">
        <v>5</v>
      </c>
      <c r="AB95" s="97">
        <v>5</v>
      </c>
      <c r="AC95" s="97">
        <v>67</v>
      </c>
      <c r="AD95" s="97">
        <v>178</v>
      </c>
      <c r="AE95" s="97">
        <v>87</v>
      </c>
      <c r="AF95" s="81"/>
      <c r="AI95" s="89">
        <v>1109</v>
      </c>
      <c r="AJ95" s="85" t="s">
        <v>488</v>
      </c>
      <c r="AK95" s="85">
        <f>SUM(AL95:AP95)</f>
        <v>386</v>
      </c>
      <c r="AL95" s="85">
        <v>5</v>
      </c>
      <c r="AM95" s="85">
        <v>1</v>
      </c>
      <c r="AN95" s="85">
        <v>65</v>
      </c>
      <c r="AO95" s="85">
        <v>211</v>
      </c>
      <c r="AP95" s="85">
        <v>104</v>
      </c>
      <c r="AS95" s="89">
        <v>1109</v>
      </c>
      <c r="AT95" s="85" t="s">
        <v>488</v>
      </c>
      <c r="AU95" s="85">
        <f>SUM(AV95:AZ95)</f>
        <v>182</v>
      </c>
      <c r="AV95" s="85">
        <v>1</v>
      </c>
      <c r="AW95" s="85">
        <v>4</v>
      </c>
      <c r="AX95" s="85">
        <v>32</v>
      </c>
      <c r="AY95" s="85">
        <v>109</v>
      </c>
      <c r="AZ95" s="85">
        <v>36</v>
      </c>
    </row>
    <row r="96" spans="2:52" x14ac:dyDescent="0.2">
      <c r="B96" s="89">
        <v>1104</v>
      </c>
      <c r="C96" s="85" t="s">
        <v>457</v>
      </c>
      <c r="D96" s="85">
        <f t="shared" ref="D96:D115" si="30">SUM(E96:I96)</f>
        <v>146</v>
      </c>
      <c r="E96" s="85">
        <v>14</v>
      </c>
      <c r="F96" s="85">
        <v>3</v>
      </c>
      <c r="G96" s="85">
        <v>14</v>
      </c>
      <c r="H96" s="85">
        <v>51</v>
      </c>
      <c r="I96" s="85">
        <v>64</v>
      </c>
      <c r="M96" s="89">
        <v>1104</v>
      </c>
      <c r="N96" s="85" t="s">
        <v>457</v>
      </c>
      <c r="O96" s="85">
        <f t="shared" ref="O96:O114" si="31">SUM(P96:T96)</f>
        <v>195</v>
      </c>
      <c r="P96" s="85">
        <v>15</v>
      </c>
      <c r="Q96" s="85">
        <v>5</v>
      </c>
      <c r="R96" s="85">
        <v>20</v>
      </c>
      <c r="S96" s="85">
        <v>75</v>
      </c>
      <c r="T96" s="85">
        <v>80</v>
      </c>
      <c r="X96" s="89">
        <v>1104</v>
      </c>
      <c r="Y96" s="85" t="s">
        <v>457</v>
      </c>
      <c r="Z96" s="97">
        <f t="shared" ref="Z96:Z115" si="32">SUM(AA96:AE96)</f>
        <v>241</v>
      </c>
      <c r="AA96" s="97">
        <v>15</v>
      </c>
      <c r="AB96" s="97">
        <v>6</v>
      </c>
      <c r="AC96" s="97">
        <v>26</v>
      </c>
      <c r="AD96" s="97">
        <v>98</v>
      </c>
      <c r="AE96" s="97">
        <v>96</v>
      </c>
      <c r="AF96" s="81"/>
      <c r="AI96" s="89">
        <v>1104</v>
      </c>
      <c r="AJ96" s="85" t="s">
        <v>457</v>
      </c>
      <c r="AK96" s="85">
        <f t="shared" ref="AK96:AK115" si="33">SUM(AL96:AP96)</f>
        <v>293</v>
      </c>
      <c r="AL96" s="85">
        <v>31</v>
      </c>
      <c r="AM96" s="85">
        <v>2</v>
      </c>
      <c r="AN96" s="85">
        <v>24</v>
      </c>
      <c r="AO96" s="85">
        <v>120</v>
      </c>
      <c r="AP96" s="85">
        <v>116</v>
      </c>
      <c r="AS96" s="89">
        <v>1104</v>
      </c>
      <c r="AT96" s="85" t="s">
        <v>457</v>
      </c>
      <c r="AU96" s="85">
        <f t="shared" ref="AU96:AU115" si="34">SUM(AV96:AZ96)</f>
        <v>419</v>
      </c>
      <c r="AV96" s="85">
        <v>41</v>
      </c>
      <c r="AW96" s="85">
        <v>10</v>
      </c>
      <c r="AX96" s="85">
        <v>41</v>
      </c>
      <c r="AY96" s="85">
        <v>212</v>
      </c>
      <c r="AZ96" s="85">
        <v>115</v>
      </c>
    </row>
    <row r="97" spans="2:52" x14ac:dyDescent="0.2">
      <c r="B97" s="89">
        <v>203</v>
      </c>
      <c r="C97" s="85" t="s">
        <v>486</v>
      </c>
      <c r="D97" s="85">
        <f t="shared" si="30"/>
        <v>68</v>
      </c>
      <c r="E97" s="85">
        <v>16</v>
      </c>
      <c r="F97" s="85">
        <v>5</v>
      </c>
      <c r="G97" s="85">
        <v>13</v>
      </c>
      <c r="H97" s="85">
        <v>27</v>
      </c>
      <c r="I97" s="85">
        <v>7</v>
      </c>
      <c r="M97" s="89">
        <v>1901</v>
      </c>
      <c r="N97" s="85" t="s">
        <v>448</v>
      </c>
      <c r="O97" s="85">
        <f t="shared" si="31"/>
        <v>79</v>
      </c>
      <c r="P97" s="85">
        <v>11</v>
      </c>
      <c r="Q97" s="85">
        <v>9</v>
      </c>
      <c r="R97" s="85">
        <v>22</v>
      </c>
      <c r="S97" s="85">
        <v>27</v>
      </c>
      <c r="T97" s="85">
        <v>10</v>
      </c>
      <c r="X97" s="89">
        <v>203</v>
      </c>
      <c r="Y97" s="85" t="s">
        <v>486</v>
      </c>
      <c r="Z97" s="97">
        <f t="shared" si="32"/>
        <v>87</v>
      </c>
      <c r="AA97" s="97">
        <v>5</v>
      </c>
      <c r="AB97" s="97">
        <v>12</v>
      </c>
      <c r="AC97" s="97">
        <v>30</v>
      </c>
      <c r="AD97" s="97">
        <v>27</v>
      </c>
      <c r="AE97" s="97">
        <v>13</v>
      </c>
      <c r="AF97" s="81"/>
      <c r="AI97" s="89">
        <v>203</v>
      </c>
      <c r="AJ97" s="85" t="s">
        <v>486</v>
      </c>
      <c r="AK97" s="85">
        <f t="shared" si="33"/>
        <v>93</v>
      </c>
      <c r="AL97" s="85">
        <v>8</v>
      </c>
      <c r="AM97" s="85">
        <v>6</v>
      </c>
      <c r="AN97" s="85">
        <v>28</v>
      </c>
      <c r="AO97" s="85">
        <v>32</v>
      </c>
      <c r="AP97" s="85">
        <v>19</v>
      </c>
      <c r="AS97" s="89">
        <v>203</v>
      </c>
      <c r="AT97" s="85" t="s">
        <v>486</v>
      </c>
      <c r="AU97" s="85">
        <f t="shared" si="34"/>
        <v>144</v>
      </c>
      <c r="AV97" s="85">
        <v>16</v>
      </c>
      <c r="AW97" s="85">
        <v>11</v>
      </c>
      <c r="AX97" s="85">
        <v>21</v>
      </c>
      <c r="AY97" s="85">
        <v>74</v>
      </c>
      <c r="AZ97" s="85">
        <v>22</v>
      </c>
    </row>
    <row r="98" spans="2:52" x14ac:dyDescent="0.2">
      <c r="B98" s="89">
        <v>1901</v>
      </c>
      <c r="C98" s="85" t="s">
        <v>448</v>
      </c>
      <c r="D98" s="85">
        <f t="shared" si="30"/>
        <v>58</v>
      </c>
      <c r="E98" s="85">
        <v>5</v>
      </c>
      <c r="F98" s="85">
        <v>8</v>
      </c>
      <c r="G98" s="85">
        <v>11</v>
      </c>
      <c r="H98" s="85">
        <v>20</v>
      </c>
      <c r="I98" s="85">
        <v>14</v>
      </c>
      <c r="M98" s="89">
        <v>203</v>
      </c>
      <c r="N98" s="85" t="s">
        <v>486</v>
      </c>
      <c r="O98" s="85">
        <f t="shared" si="31"/>
        <v>52</v>
      </c>
      <c r="P98" s="85">
        <v>6</v>
      </c>
      <c r="Q98" s="85">
        <v>6</v>
      </c>
      <c r="R98" s="85">
        <v>7</v>
      </c>
      <c r="S98" s="85">
        <v>22</v>
      </c>
      <c r="T98" s="85">
        <v>11</v>
      </c>
      <c r="X98" s="89">
        <v>1103</v>
      </c>
      <c r="Y98" s="85" t="s">
        <v>514</v>
      </c>
      <c r="Z98" s="97">
        <f t="shared" si="32"/>
        <v>43</v>
      </c>
      <c r="AA98" s="97">
        <v>6</v>
      </c>
      <c r="AB98" s="97">
        <v>3</v>
      </c>
      <c r="AC98" s="97">
        <v>2</v>
      </c>
      <c r="AD98" s="97">
        <v>24</v>
      </c>
      <c r="AE98" s="97">
        <v>8</v>
      </c>
      <c r="AF98" s="81"/>
      <c r="AI98" s="89">
        <v>1103</v>
      </c>
      <c r="AJ98" s="85" t="s">
        <v>514</v>
      </c>
      <c r="AK98" s="85">
        <f t="shared" si="33"/>
        <v>49</v>
      </c>
      <c r="AL98" s="85">
        <v>1</v>
      </c>
      <c r="AM98" s="85">
        <v>1</v>
      </c>
      <c r="AN98" s="85">
        <v>3</v>
      </c>
      <c r="AO98" s="85">
        <v>25</v>
      </c>
      <c r="AP98" s="85">
        <v>19</v>
      </c>
      <c r="AS98" s="89">
        <v>1920</v>
      </c>
      <c r="AT98" s="85" t="s">
        <v>519</v>
      </c>
      <c r="AU98" s="85">
        <f t="shared" si="34"/>
        <v>3</v>
      </c>
      <c r="AV98" s="85">
        <v>0</v>
      </c>
      <c r="AW98" s="85">
        <v>0</v>
      </c>
      <c r="AX98" s="85">
        <v>0</v>
      </c>
      <c r="AY98" s="85">
        <v>3</v>
      </c>
      <c r="AZ98" s="85">
        <v>0</v>
      </c>
    </row>
    <row r="99" spans="2:52" x14ac:dyDescent="0.2">
      <c r="B99" s="89">
        <v>1912</v>
      </c>
      <c r="C99" s="85" t="s">
        <v>516</v>
      </c>
      <c r="D99" s="85">
        <f t="shared" si="30"/>
        <v>25</v>
      </c>
      <c r="E99" s="85">
        <v>6</v>
      </c>
      <c r="F99" s="85">
        <v>1</v>
      </c>
      <c r="G99" s="85">
        <v>5</v>
      </c>
      <c r="H99" s="85">
        <v>7</v>
      </c>
      <c r="I99" s="85">
        <v>6</v>
      </c>
      <c r="M99" s="89">
        <v>1201</v>
      </c>
      <c r="N99" s="85" t="s">
        <v>754</v>
      </c>
      <c r="O99" s="85">
        <f t="shared" si="31"/>
        <v>34</v>
      </c>
      <c r="P99" s="85">
        <v>7</v>
      </c>
      <c r="Q99" s="85">
        <v>3</v>
      </c>
      <c r="R99" s="85">
        <v>6</v>
      </c>
      <c r="S99" s="85">
        <v>11</v>
      </c>
      <c r="T99" s="85">
        <v>7</v>
      </c>
      <c r="X99" s="89">
        <v>1901</v>
      </c>
      <c r="Y99" s="85" t="s">
        <v>448</v>
      </c>
      <c r="Z99" s="97">
        <f t="shared" si="32"/>
        <v>40</v>
      </c>
      <c r="AA99" s="97">
        <v>8</v>
      </c>
      <c r="AB99" s="97">
        <v>5</v>
      </c>
      <c r="AC99" s="97">
        <v>6</v>
      </c>
      <c r="AD99" s="97">
        <v>14</v>
      </c>
      <c r="AE99" s="97">
        <v>7</v>
      </c>
      <c r="AF99" s="81"/>
      <c r="AI99" s="89">
        <v>1901</v>
      </c>
      <c r="AJ99" s="85" t="s">
        <v>448</v>
      </c>
      <c r="AK99" s="85">
        <f t="shared" si="33"/>
        <v>42</v>
      </c>
      <c r="AL99" s="85">
        <v>6</v>
      </c>
      <c r="AM99" s="85">
        <v>1</v>
      </c>
      <c r="AN99" s="85">
        <v>13</v>
      </c>
      <c r="AO99" s="85">
        <v>13</v>
      </c>
      <c r="AP99" s="85">
        <v>9</v>
      </c>
      <c r="AS99" s="89">
        <v>1201</v>
      </c>
      <c r="AT99" s="85" t="s">
        <v>754</v>
      </c>
      <c r="AU99" s="85">
        <f t="shared" si="34"/>
        <v>1</v>
      </c>
      <c r="AV99" s="85">
        <v>1</v>
      </c>
      <c r="AW99" s="85">
        <v>0</v>
      </c>
      <c r="AX99" s="85">
        <v>0</v>
      </c>
      <c r="AY99" s="85">
        <v>0</v>
      </c>
      <c r="AZ99" s="85">
        <v>0</v>
      </c>
    </row>
    <row r="100" spans="2:52" x14ac:dyDescent="0.2">
      <c r="B100" s="89">
        <v>1207</v>
      </c>
      <c r="C100" s="85" t="s">
        <v>490</v>
      </c>
      <c r="D100" s="85">
        <f t="shared" si="30"/>
        <v>21</v>
      </c>
      <c r="E100" s="85">
        <v>1</v>
      </c>
      <c r="F100" s="85">
        <v>2</v>
      </c>
      <c r="G100" s="85">
        <v>2</v>
      </c>
      <c r="H100" s="85">
        <v>9</v>
      </c>
      <c r="I100" s="85">
        <v>7</v>
      </c>
      <c r="M100" s="89">
        <v>909</v>
      </c>
      <c r="N100" s="85" t="s">
        <v>774</v>
      </c>
      <c r="O100" s="85">
        <f t="shared" si="31"/>
        <v>31</v>
      </c>
      <c r="P100" s="85">
        <v>3</v>
      </c>
      <c r="Q100" s="85">
        <v>3</v>
      </c>
      <c r="R100" s="85">
        <v>5</v>
      </c>
      <c r="S100" s="85">
        <v>11</v>
      </c>
      <c r="T100" s="85">
        <v>9</v>
      </c>
      <c r="X100" s="89">
        <v>1201</v>
      </c>
      <c r="Y100" s="85" t="s">
        <v>754</v>
      </c>
      <c r="Z100" s="97">
        <f t="shared" si="32"/>
        <v>39</v>
      </c>
      <c r="AA100" s="97">
        <v>5</v>
      </c>
      <c r="AB100" s="97">
        <v>4</v>
      </c>
      <c r="AC100" s="97">
        <v>8</v>
      </c>
      <c r="AD100" s="97">
        <v>12</v>
      </c>
      <c r="AE100" s="97">
        <v>10</v>
      </c>
      <c r="AF100" s="81"/>
      <c r="AI100" s="89">
        <v>1201</v>
      </c>
      <c r="AJ100" s="85" t="s">
        <v>754</v>
      </c>
      <c r="AK100" s="85">
        <f t="shared" si="33"/>
        <v>39</v>
      </c>
      <c r="AL100" s="85">
        <v>4</v>
      </c>
      <c r="AM100" s="85">
        <v>1</v>
      </c>
      <c r="AN100" s="85">
        <v>4</v>
      </c>
      <c r="AO100" s="85">
        <v>25</v>
      </c>
      <c r="AP100" s="85">
        <v>5</v>
      </c>
      <c r="AS100" s="89">
        <v>1103</v>
      </c>
      <c r="AT100" s="85" t="s">
        <v>514</v>
      </c>
      <c r="AU100" s="85">
        <f t="shared" si="34"/>
        <v>2</v>
      </c>
      <c r="AV100" s="85">
        <v>0</v>
      </c>
      <c r="AW100" s="85">
        <v>0</v>
      </c>
      <c r="AX100" s="85">
        <v>0</v>
      </c>
      <c r="AY100" s="85">
        <v>1</v>
      </c>
      <c r="AZ100" s="85">
        <v>1</v>
      </c>
    </row>
    <row r="101" spans="2:52" x14ac:dyDescent="0.2">
      <c r="B101" s="89">
        <v>909</v>
      </c>
      <c r="C101" s="85" t="s">
        <v>774</v>
      </c>
      <c r="D101" s="85">
        <f t="shared" si="30"/>
        <v>21</v>
      </c>
      <c r="E101" s="85">
        <v>2</v>
      </c>
      <c r="F101" s="85">
        <v>2</v>
      </c>
      <c r="G101" s="85">
        <v>1</v>
      </c>
      <c r="H101" s="85">
        <v>10</v>
      </c>
      <c r="I101" s="85">
        <v>6</v>
      </c>
      <c r="M101" s="89">
        <v>1912</v>
      </c>
      <c r="N101" s="85" t="s">
        <v>516</v>
      </c>
      <c r="O101" s="85">
        <f t="shared" si="31"/>
        <v>30</v>
      </c>
      <c r="P101" s="85">
        <v>16</v>
      </c>
      <c r="Q101" s="85">
        <v>4</v>
      </c>
      <c r="R101" s="85">
        <v>2</v>
      </c>
      <c r="S101" s="85">
        <v>5</v>
      </c>
      <c r="T101" s="85">
        <v>3</v>
      </c>
      <c r="X101" s="89">
        <v>1705</v>
      </c>
      <c r="Y101" s="85" t="s">
        <v>775</v>
      </c>
      <c r="Z101" s="97">
        <f t="shared" si="32"/>
        <v>36</v>
      </c>
      <c r="AA101" s="97">
        <v>29</v>
      </c>
      <c r="AB101" s="97">
        <v>5</v>
      </c>
      <c r="AC101" s="97">
        <v>2</v>
      </c>
      <c r="AD101" s="97">
        <v>0</v>
      </c>
      <c r="AE101" s="97">
        <v>0</v>
      </c>
      <c r="AF101" s="81"/>
      <c r="AI101" s="89">
        <v>1705</v>
      </c>
      <c r="AJ101" s="85" t="s">
        <v>775</v>
      </c>
      <c r="AK101" s="85">
        <f t="shared" si="33"/>
        <v>29</v>
      </c>
      <c r="AL101" s="85">
        <v>10</v>
      </c>
      <c r="AM101" s="85">
        <v>2</v>
      </c>
      <c r="AN101" s="85">
        <v>4</v>
      </c>
      <c r="AO101" s="85">
        <v>9</v>
      </c>
      <c r="AP101" s="85">
        <v>4</v>
      </c>
      <c r="AS101" s="89">
        <v>1901</v>
      </c>
      <c r="AT101" s="85" t="s">
        <v>448</v>
      </c>
      <c r="AU101" s="85">
        <f t="shared" si="34"/>
        <v>11</v>
      </c>
      <c r="AV101" s="85">
        <v>5</v>
      </c>
      <c r="AW101" s="85">
        <v>0</v>
      </c>
      <c r="AX101" s="85">
        <v>1</v>
      </c>
      <c r="AY101" s="85">
        <v>2</v>
      </c>
      <c r="AZ101" s="85">
        <v>3</v>
      </c>
    </row>
    <row r="102" spans="2:52" x14ac:dyDescent="0.2">
      <c r="B102" s="89">
        <v>606</v>
      </c>
      <c r="C102" s="85" t="s">
        <v>442</v>
      </c>
      <c r="D102" s="85">
        <f t="shared" si="30"/>
        <v>18</v>
      </c>
      <c r="E102" s="85">
        <v>2</v>
      </c>
      <c r="F102" s="85">
        <v>1</v>
      </c>
      <c r="G102" s="85">
        <v>0</v>
      </c>
      <c r="H102" s="85">
        <v>13</v>
      </c>
      <c r="I102" s="85">
        <v>2</v>
      </c>
      <c r="M102" s="89">
        <v>1102</v>
      </c>
      <c r="N102" s="85" t="s">
        <v>436</v>
      </c>
      <c r="O102" s="85">
        <f t="shared" si="31"/>
        <v>24</v>
      </c>
      <c r="P102" s="85">
        <v>3</v>
      </c>
      <c r="Q102" s="85">
        <v>1</v>
      </c>
      <c r="R102" s="85">
        <v>0</v>
      </c>
      <c r="S102" s="85">
        <v>14</v>
      </c>
      <c r="T102" s="85">
        <v>6</v>
      </c>
      <c r="X102" s="89">
        <v>909</v>
      </c>
      <c r="Y102" s="85" t="s">
        <v>774</v>
      </c>
      <c r="Z102" s="97">
        <f t="shared" si="32"/>
        <v>28</v>
      </c>
      <c r="AA102" s="97">
        <v>3</v>
      </c>
      <c r="AB102" s="97">
        <v>0</v>
      </c>
      <c r="AC102" s="97">
        <v>0</v>
      </c>
      <c r="AD102" s="97">
        <v>15</v>
      </c>
      <c r="AE102" s="97">
        <v>10</v>
      </c>
      <c r="AF102" s="81"/>
      <c r="AI102" s="89">
        <v>909</v>
      </c>
      <c r="AJ102" s="85" t="s">
        <v>774</v>
      </c>
      <c r="AK102" s="85">
        <f t="shared" si="33"/>
        <v>28</v>
      </c>
      <c r="AL102" s="85">
        <v>1</v>
      </c>
      <c r="AM102" s="85">
        <v>1</v>
      </c>
      <c r="AN102" s="85">
        <v>5</v>
      </c>
      <c r="AO102" s="85">
        <v>9</v>
      </c>
      <c r="AP102" s="85">
        <v>12</v>
      </c>
      <c r="AS102" s="89">
        <v>1912</v>
      </c>
      <c r="AT102" s="85" t="s">
        <v>516</v>
      </c>
      <c r="AU102" s="85">
        <f t="shared" si="34"/>
        <v>55</v>
      </c>
      <c r="AV102" s="85">
        <v>5</v>
      </c>
      <c r="AW102" s="85">
        <v>1</v>
      </c>
      <c r="AX102" s="85">
        <v>1</v>
      </c>
      <c r="AY102" s="85">
        <v>18</v>
      </c>
      <c r="AZ102" s="85">
        <v>30</v>
      </c>
    </row>
    <row r="103" spans="2:52" x14ac:dyDescent="0.2">
      <c r="B103" s="89">
        <v>1911</v>
      </c>
      <c r="C103" s="85" t="s">
        <v>458</v>
      </c>
      <c r="D103" s="85">
        <f t="shared" si="30"/>
        <v>17</v>
      </c>
      <c r="E103" s="85">
        <v>1</v>
      </c>
      <c r="F103" s="85">
        <v>3</v>
      </c>
      <c r="G103" s="85">
        <v>1</v>
      </c>
      <c r="H103" s="85">
        <v>10</v>
      </c>
      <c r="I103" s="85">
        <v>2</v>
      </c>
      <c r="M103" s="89">
        <v>1103</v>
      </c>
      <c r="N103" s="85" t="s">
        <v>514</v>
      </c>
      <c r="O103" s="85">
        <f t="shared" si="31"/>
        <v>22</v>
      </c>
      <c r="P103" s="85">
        <v>2</v>
      </c>
      <c r="Q103" s="85">
        <v>3</v>
      </c>
      <c r="R103" s="85">
        <v>4</v>
      </c>
      <c r="S103" s="85">
        <v>8</v>
      </c>
      <c r="T103" s="85">
        <v>5</v>
      </c>
      <c r="X103" s="89">
        <v>1208</v>
      </c>
      <c r="Y103" s="85" t="s">
        <v>489</v>
      </c>
      <c r="Z103" s="97">
        <f t="shared" si="32"/>
        <v>25</v>
      </c>
      <c r="AA103" s="97">
        <v>3</v>
      </c>
      <c r="AB103" s="97">
        <v>3</v>
      </c>
      <c r="AC103" s="97">
        <v>6</v>
      </c>
      <c r="AD103" s="97">
        <v>5</v>
      </c>
      <c r="AE103" s="97">
        <v>8</v>
      </c>
      <c r="AF103" s="81"/>
      <c r="AI103" s="89">
        <v>1208</v>
      </c>
      <c r="AJ103" s="85" t="s">
        <v>489</v>
      </c>
      <c r="AK103" s="85">
        <f t="shared" si="33"/>
        <v>24</v>
      </c>
      <c r="AL103" s="85">
        <v>14</v>
      </c>
      <c r="AM103" s="85">
        <v>1</v>
      </c>
      <c r="AN103" s="85">
        <v>1</v>
      </c>
      <c r="AO103" s="85">
        <v>6</v>
      </c>
      <c r="AP103" s="85">
        <v>2</v>
      </c>
      <c r="AS103" s="89">
        <v>1101</v>
      </c>
      <c r="AT103" s="85" t="s">
        <v>433</v>
      </c>
      <c r="AU103" s="85">
        <f t="shared" si="34"/>
        <v>4</v>
      </c>
      <c r="AV103" s="85">
        <v>1</v>
      </c>
      <c r="AW103" s="85">
        <v>1</v>
      </c>
      <c r="AX103" s="85">
        <v>1</v>
      </c>
      <c r="AY103" s="85">
        <v>1</v>
      </c>
      <c r="AZ103" s="85">
        <v>0</v>
      </c>
    </row>
    <row r="104" spans="2:52" x14ac:dyDescent="0.2">
      <c r="B104" s="89">
        <v>1103</v>
      </c>
      <c r="C104" s="85" t="s">
        <v>514</v>
      </c>
      <c r="D104" s="85">
        <f t="shared" si="30"/>
        <v>16</v>
      </c>
      <c r="E104" s="85">
        <v>2</v>
      </c>
      <c r="F104" s="85">
        <v>1</v>
      </c>
      <c r="G104" s="85">
        <v>7</v>
      </c>
      <c r="H104" s="85">
        <v>6</v>
      </c>
      <c r="I104" s="85">
        <v>0</v>
      </c>
      <c r="M104" s="89">
        <v>1304</v>
      </c>
      <c r="N104" s="85" t="s">
        <v>447</v>
      </c>
      <c r="O104" s="85">
        <f t="shared" si="31"/>
        <v>21</v>
      </c>
      <c r="P104" s="85">
        <v>2</v>
      </c>
      <c r="Q104" s="85">
        <v>1</v>
      </c>
      <c r="R104" s="85">
        <v>4</v>
      </c>
      <c r="S104" s="85">
        <v>10</v>
      </c>
      <c r="T104" s="85">
        <v>4</v>
      </c>
      <c r="X104" s="89">
        <v>1106</v>
      </c>
      <c r="Y104" s="85" t="s">
        <v>763</v>
      </c>
      <c r="Z104" s="97">
        <f t="shared" si="32"/>
        <v>23</v>
      </c>
      <c r="AA104" s="97">
        <v>2</v>
      </c>
      <c r="AB104" s="97">
        <v>1</v>
      </c>
      <c r="AC104" s="97">
        <v>0</v>
      </c>
      <c r="AD104" s="97">
        <v>13</v>
      </c>
      <c r="AE104" s="97">
        <v>7</v>
      </c>
      <c r="AF104" s="81"/>
      <c r="AI104" s="89">
        <v>1106</v>
      </c>
      <c r="AJ104" s="85" t="s">
        <v>763</v>
      </c>
      <c r="AK104" s="85">
        <f t="shared" si="33"/>
        <v>22</v>
      </c>
      <c r="AL104" s="85">
        <v>3</v>
      </c>
      <c r="AM104" s="85">
        <v>1</v>
      </c>
      <c r="AN104" s="85">
        <v>1</v>
      </c>
      <c r="AO104" s="85">
        <v>11</v>
      </c>
      <c r="AP104" s="85">
        <v>6</v>
      </c>
      <c r="AS104" s="89">
        <v>1106</v>
      </c>
      <c r="AT104" s="85" t="s">
        <v>763</v>
      </c>
      <c r="AU104" s="85">
        <f t="shared" si="34"/>
        <v>23</v>
      </c>
      <c r="AV104" s="85">
        <v>3</v>
      </c>
      <c r="AW104" s="85">
        <v>0</v>
      </c>
      <c r="AX104" s="85">
        <v>1</v>
      </c>
      <c r="AY104" s="85">
        <v>5</v>
      </c>
      <c r="AZ104" s="85">
        <v>14</v>
      </c>
    </row>
    <row r="105" spans="2:52" x14ac:dyDescent="0.2">
      <c r="B105" s="89">
        <v>1201</v>
      </c>
      <c r="C105" s="85" t="s">
        <v>754</v>
      </c>
      <c r="D105" s="85">
        <f t="shared" si="30"/>
        <v>14</v>
      </c>
      <c r="E105" s="85">
        <v>2</v>
      </c>
      <c r="F105" s="85">
        <v>1</v>
      </c>
      <c r="G105" s="85">
        <v>7</v>
      </c>
      <c r="H105" s="85">
        <v>2</v>
      </c>
      <c r="I105" s="85">
        <v>2</v>
      </c>
      <c r="M105" s="89">
        <v>1207</v>
      </c>
      <c r="N105" s="85" t="s">
        <v>490</v>
      </c>
      <c r="O105" s="85">
        <f t="shared" si="31"/>
        <v>20</v>
      </c>
      <c r="P105" s="85">
        <v>2</v>
      </c>
      <c r="Q105" s="85">
        <v>1</v>
      </c>
      <c r="R105" s="85">
        <v>6</v>
      </c>
      <c r="S105" s="85">
        <v>7</v>
      </c>
      <c r="T105" s="85">
        <v>4</v>
      </c>
      <c r="X105" s="89">
        <v>1802</v>
      </c>
      <c r="Y105" s="85" t="s">
        <v>441</v>
      </c>
      <c r="Z105" s="97">
        <f t="shared" si="32"/>
        <v>23</v>
      </c>
      <c r="AA105" s="97">
        <v>1</v>
      </c>
      <c r="AB105" s="97">
        <v>0</v>
      </c>
      <c r="AC105" s="97">
        <v>5</v>
      </c>
      <c r="AD105" s="97">
        <v>12</v>
      </c>
      <c r="AE105" s="97">
        <v>5</v>
      </c>
      <c r="AF105" s="81"/>
      <c r="AI105" s="89">
        <v>1802</v>
      </c>
      <c r="AJ105" s="85" t="s">
        <v>441</v>
      </c>
      <c r="AK105" s="85">
        <f t="shared" si="33"/>
        <v>19</v>
      </c>
      <c r="AL105" s="85" t="s">
        <v>1995</v>
      </c>
      <c r="AM105" s="85">
        <v>1</v>
      </c>
      <c r="AN105" s="85">
        <v>3</v>
      </c>
      <c r="AO105" s="85">
        <v>5</v>
      </c>
      <c r="AP105" s="85">
        <v>10</v>
      </c>
      <c r="AS105" s="89">
        <v>201</v>
      </c>
      <c r="AT105" s="85" t="s">
        <v>517</v>
      </c>
      <c r="AU105" s="85">
        <f t="shared" si="34"/>
        <v>59</v>
      </c>
      <c r="AV105" s="85">
        <v>2</v>
      </c>
      <c r="AW105" s="85">
        <v>1</v>
      </c>
      <c r="AX105" s="85">
        <v>4</v>
      </c>
      <c r="AY105" s="85">
        <v>12</v>
      </c>
      <c r="AZ105" s="85">
        <v>40</v>
      </c>
    </row>
    <row r="106" spans="2:52" x14ac:dyDescent="0.2">
      <c r="B106" s="89">
        <v>1304</v>
      </c>
      <c r="C106" s="85" t="s">
        <v>447</v>
      </c>
      <c r="D106" s="85">
        <f t="shared" si="30"/>
        <v>11</v>
      </c>
      <c r="E106" s="85">
        <v>2</v>
      </c>
      <c r="F106" s="85">
        <v>0</v>
      </c>
      <c r="G106" s="85">
        <v>1</v>
      </c>
      <c r="H106" s="85">
        <v>3</v>
      </c>
      <c r="I106" s="85">
        <v>5</v>
      </c>
      <c r="M106" s="89">
        <v>1106</v>
      </c>
      <c r="N106" s="85" t="s">
        <v>763</v>
      </c>
      <c r="O106" s="85">
        <f t="shared" si="31"/>
        <v>17</v>
      </c>
      <c r="P106" s="85">
        <v>5</v>
      </c>
      <c r="Q106" s="85">
        <v>1</v>
      </c>
      <c r="R106" s="85">
        <v>3</v>
      </c>
      <c r="S106" s="85">
        <v>5</v>
      </c>
      <c r="T106" s="85">
        <v>3</v>
      </c>
      <c r="X106" s="89">
        <v>1207</v>
      </c>
      <c r="Y106" s="85" t="s">
        <v>490</v>
      </c>
      <c r="Z106" s="97">
        <f t="shared" si="32"/>
        <v>21</v>
      </c>
      <c r="AA106" s="97">
        <v>8</v>
      </c>
      <c r="AB106" s="97">
        <v>1</v>
      </c>
      <c r="AC106" s="97">
        <v>4</v>
      </c>
      <c r="AD106" s="97">
        <v>7</v>
      </c>
      <c r="AE106" s="97">
        <v>1</v>
      </c>
      <c r="AF106" s="81"/>
      <c r="AI106" s="89">
        <v>1207</v>
      </c>
      <c r="AJ106" s="85" t="s">
        <v>490</v>
      </c>
      <c r="AK106" s="85">
        <f t="shared" si="33"/>
        <v>16</v>
      </c>
      <c r="AL106" s="85">
        <v>2</v>
      </c>
      <c r="AM106" s="85">
        <v>1</v>
      </c>
      <c r="AN106" s="85">
        <v>4</v>
      </c>
      <c r="AO106" s="85">
        <v>2</v>
      </c>
      <c r="AP106" s="85">
        <v>7</v>
      </c>
      <c r="AS106" s="89">
        <v>1208</v>
      </c>
      <c r="AT106" s="85" t="s">
        <v>489</v>
      </c>
      <c r="AU106" s="85">
        <f t="shared" si="34"/>
        <v>1</v>
      </c>
      <c r="AV106" s="85">
        <v>1</v>
      </c>
      <c r="AW106" s="85">
        <v>0</v>
      </c>
      <c r="AX106" s="85">
        <v>0</v>
      </c>
      <c r="AY106" s="85">
        <v>0</v>
      </c>
      <c r="AZ106" s="85">
        <v>0</v>
      </c>
    </row>
    <row r="107" spans="2:52" x14ac:dyDescent="0.2">
      <c r="B107" s="89">
        <v>1802</v>
      </c>
      <c r="C107" s="85" t="s">
        <v>441</v>
      </c>
      <c r="D107" s="85">
        <f t="shared" si="30"/>
        <v>11</v>
      </c>
      <c r="E107" s="85">
        <v>0</v>
      </c>
      <c r="F107" s="85">
        <v>0</v>
      </c>
      <c r="G107" s="85">
        <v>3</v>
      </c>
      <c r="H107" s="85">
        <v>5</v>
      </c>
      <c r="I107" s="85">
        <v>3</v>
      </c>
      <c r="M107" s="89">
        <v>1802</v>
      </c>
      <c r="N107" s="85" t="s">
        <v>441</v>
      </c>
      <c r="O107" s="85">
        <f t="shared" si="31"/>
        <v>16</v>
      </c>
      <c r="P107" s="85">
        <v>0</v>
      </c>
      <c r="Q107" s="85">
        <v>0</v>
      </c>
      <c r="R107" s="85">
        <v>3</v>
      </c>
      <c r="S107" s="85">
        <v>8</v>
      </c>
      <c r="T107" s="85">
        <v>5</v>
      </c>
      <c r="X107" s="89">
        <v>1920</v>
      </c>
      <c r="Y107" s="85" t="s">
        <v>519</v>
      </c>
      <c r="Z107" s="97">
        <f t="shared" si="32"/>
        <v>21</v>
      </c>
      <c r="AA107" s="97">
        <v>0</v>
      </c>
      <c r="AB107" s="97">
        <v>0</v>
      </c>
      <c r="AC107" s="97">
        <v>3</v>
      </c>
      <c r="AD107" s="97">
        <v>11</v>
      </c>
      <c r="AE107" s="97">
        <v>7</v>
      </c>
      <c r="AF107" s="81"/>
      <c r="AI107" s="89">
        <v>1920</v>
      </c>
      <c r="AJ107" s="85" t="s">
        <v>519</v>
      </c>
      <c r="AK107" s="85">
        <f t="shared" si="33"/>
        <v>16</v>
      </c>
      <c r="AL107" s="85" t="s">
        <v>1995</v>
      </c>
      <c r="AM107" s="85" t="s">
        <v>1995</v>
      </c>
      <c r="AN107" s="85">
        <v>4</v>
      </c>
      <c r="AO107" s="85">
        <v>5</v>
      </c>
      <c r="AP107" s="85">
        <v>7</v>
      </c>
      <c r="AS107" s="89">
        <v>1802</v>
      </c>
      <c r="AT107" s="85" t="s">
        <v>441</v>
      </c>
      <c r="AU107" s="85">
        <f t="shared" si="34"/>
        <v>3</v>
      </c>
      <c r="AV107" s="85">
        <v>0</v>
      </c>
      <c r="AW107" s="85">
        <v>0</v>
      </c>
      <c r="AX107" s="85">
        <v>0</v>
      </c>
      <c r="AY107" s="85">
        <v>0</v>
      </c>
      <c r="AZ107" s="85">
        <v>3</v>
      </c>
    </row>
    <row r="108" spans="2:52" x14ac:dyDescent="0.2">
      <c r="B108" s="89">
        <v>1801</v>
      </c>
      <c r="C108" s="85" t="s">
        <v>753</v>
      </c>
      <c r="D108" s="85">
        <f t="shared" si="30"/>
        <v>10</v>
      </c>
      <c r="E108" s="85">
        <v>0</v>
      </c>
      <c r="F108" s="85">
        <v>0</v>
      </c>
      <c r="G108" s="85">
        <v>1</v>
      </c>
      <c r="H108" s="85">
        <v>5</v>
      </c>
      <c r="I108" s="85">
        <v>4</v>
      </c>
      <c r="M108" s="89">
        <v>1303</v>
      </c>
      <c r="N108" s="85" t="s">
        <v>444</v>
      </c>
      <c r="O108" s="85">
        <v>13</v>
      </c>
      <c r="P108" s="85">
        <v>0</v>
      </c>
      <c r="Q108" s="85">
        <v>0</v>
      </c>
      <c r="R108" s="85">
        <v>2</v>
      </c>
      <c r="S108" s="85">
        <v>7</v>
      </c>
      <c r="T108" s="85">
        <v>4</v>
      </c>
      <c r="X108" s="89">
        <v>1102</v>
      </c>
      <c r="Y108" s="85" t="s">
        <v>436</v>
      </c>
      <c r="Z108" s="97">
        <f t="shared" si="32"/>
        <v>15</v>
      </c>
      <c r="AA108" s="97">
        <v>0</v>
      </c>
      <c r="AB108" s="97">
        <v>0</v>
      </c>
      <c r="AC108" s="97">
        <v>3</v>
      </c>
      <c r="AD108" s="97">
        <v>8</v>
      </c>
      <c r="AE108" s="97">
        <v>4</v>
      </c>
      <c r="AF108" s="81"/>
      <c r="AI108" s="89">
        <v>1102</v>
      </c>
      <c r="AJ108" s="85" t="s">
        <v>436</v>
      </c>
      <c r="AK108" s="85">
        <f t="shared" si="33"/>
        <v>14</v>
      </c>
      <c r="AL108" s="85">
        <v>2</v>
      </c>
      <c r="AM108" s="85">
        <v>2</v>
      </c>
      <c r="AN108" s="85">
        <v>3</v>
      </c>
      <c r="AO108" s="85">
        <v>5</v>
      </c>
      <c r="AP108" s="85">
        <v>2</v>
      </c>
      <c r="AS108" s="89">
        <v>1304</v>
      </c>
      <c r="AT108" s="85" t="s">
        <v>447</v>
      </c>
      <c r="AU108" s="85">
        <f t="shared" si="34"/>
        <v>37</v>
      </c>
      <c r="AV108" s="85">
        <v>1</v>
      </c>
      <c r="AW108" s="85">
        <v>1</v>
      </c>
      <c r="AX108" s="85">
        <v>7</v>
      </c>
      <c r="AY108" s="85">
        <v>7</v>
      </c>
      <c r="AZ108" s="85">
        <v>21</v>
      </c>
    </row>
    <row r="109" spans="2:52" x14ac:dyDescent="0.2">
      <c r="B109" s="89">
        <v>201</v>
      </c>
      <c r="C109" s="85" t="s">
        <v>517</v>
      </c>
      <c r="D109" s="85">
        <f t="shared" si="30"/>
        <v>10</v>
      </c>
      <c r="E109" s="85">
        <v>2</v>
      </c>
      <c r="F109" s="85">
        <v>0</v>
      </c>
      <c r="G109" s="85">
        <v>0</v>
      </c>
      <c r="H109" s="85">
        <v>5</v>
      </c>
      <c r="I109" s="85">
        <v>3</v>
      </c>
      <c r="M109" s="89">
        <v>1801</v>
      </c>
      <c r="N109" s="85" t="s">
        <v>753</v>
      </c>
      <c r="O109" s="85">
        <f t="shared" si="31"/>
        <v>13</v>
      </c>
      <c r="P109" s="85">
        <v>2</v>
      </c>
      <c r="Q109" s="85">
        <v>2</v>
      </c>
      <c r="R109" s="85">
        <v>2</v>
      </c>
      <c r="S109" s="85">
        <v>4</v>
      </c>
      <c r="T109" s="85">
        <v>3</v>
      </c>
      <c r="X109" s="89">
        <v>1304</v>
      </c>
      <c r="Y109" s="85" t="s">
        <v>447</v>
      </c>
      <c r="Z109" s="97">
        <f t="shared" si="32"/>
        <v>14</v>
      </c>
      <c r="AA109" s="97">
        <v>2</v>
      </c>
      <c r="AB109" s="97">
        <v>3</v>
      </c>
      <c r="AC109" s="97">
        <v>3</v>
      </c>
      <c r="AD109" s="97">
        <v>3</v>
      </c>
      <c r="AE109" s="97">
        <v>3</v>
      </c>
      <c r="AF109" s="81"/>
      <c r="AI109" s="89">
        <v>1304</v>
      </c>
      <c r="AJ109" s="85" t="s">
        <v>447</v>
      </c>
      <c r="AK109" s="85">
        <f t="shared" si="33"/>
        <v>13</v>
      </c>
      <c r="AL109" s="85" t="s">
        <v>1995</v>
      </c>
      <c r="AM109" s="85" t="s">
        <v>1995</v>
      </c>
      <c r="AN109" s="85" t="s">
        <v>1995</v>
      </c>
      <c r="AO109" s="85">
        <v>6</v>
      </c>
      <c r="AP109" s="85">
        <v>7</v>
      </c>
      <c r="AS109" s="89">
        <v>909</v>
      </c>
      <c r="AT109" s="85" t="s">
        <v>774</v>
      </c>
      <c r="AU109" s="85">
        <f t="shared" si="34"/>
        <v>7</v>
      </c>
      <c r="AV109" s="85">
        <v>1</v>
      </c>
      <c r="AW109" s="85">
        <v>0</v>
      </c>
      <c r="AX109" s="85">
        <v>0</v>
      </c>
      <c r="AY109" s="85">
        <v>3</v>
      </c>
      <c r="AZ109" s="85">
        <v>3</v>
      </c>
    </row>
    <row r="110" spans="2:52" x14ac:dyDescent="0.2">
      <c r="B110" s="89">
        <v>1102</v>
      </c>
      <c r="C110" s="85" t="s">
        <v>436</v>
      </c>
      <c r="D110" s="85">
        <f t="shared" si="30"/>
        <v>10</v>
      </c>
      <c r="E110" s="85">
        <v>1</v>
      </c>
      <c r="F110" s="85">
        <v>0</v>
      </c>
      <c r="G110" s="85">
        <v>1</v>
      </c>
      <c r="H110" s="85">
        <v>6</v>
      </c>
      <c r="I110" s="85">
        <v>2</v>
      </c>
      <c r="M110" s="89">
        <v>1911</v>
      </c>
      <c r="N110" s="85" t="s">
        <v>458</v>
      </c>
      <c r="O110" s="85">
        <f t="shared" si="31"/>
        <v>11</v>
      </c>
      <c r="P110" s="85">
        <v>2</v>
      </c>
      <c r="Q110" s="85">
        <v>0</v>
      </c>
      <c r="R110" s="85">
        <v>2</v>
      </c>
      <c r="S110" s="85">
        <v>5</v>
      </c>
      <c r="T110" s="85">
        <v>2</v>
      </c>
      <c r="X110" s="89">
        <v>1101</v>
      </c>
      <c r="Y110" s="85" t="s">
        <v>433</v>
      </c>
      <c r="Z110" s="97">
        <f t="shared" si="32"/>
        <v>12</v>
      </c>
      <c r="AA110" s="97">
        <v>4</v>
      </c>
      <c r="AB110" s="97">
        <v>0</v>
      </c>
      <c r="AC110" s="97">
        <v>3</v>
      </c>
      <c r="AD110" s="97">
        <v>3</v>
      </c>
      <c r="AE110" s="97">
        <v>2</v>
      </c>
      <c r="AF110" s="81"/>
      <c r="AI110" s="89">
        <v>1101</v>
      </c>
      <c r="AJ110" s="85" t="s">
        <v>433</v>
      </c>
      <c r="AK110" s="85">
        <f t="shared" si="33"/>
        <v>13</v>
      </c>
      <c r="AL110" s="85" t="s">
        <v>1995</v>
      </c>
      <c r="AM110" s="85" t="s">
        <v>1995</v>
      </c>
      <c r="AN110" s="85">
        <v>3</v>
      </c>
      <c r="AO110" s="85">
        <v>6</v>
      </c>
      <c r="AP110" s="85">
        <v>4</v>
      </c>
      <c r="AS110" s="89">
        <v>1102</v>
      </c>
      <c r="AT110" s="85" t="s">
        <v>436</v>
      </c>
      <c r="AU110" s="85">
        <f t="shared" si="34"/>
        <v>1</v>
      </c>
      <c r="AV110" s="85">
        <v>0</v>
      </c>
      <c r="AW110" s="85">
        <v>0</v>
      </c>
      <c r="AX110" s="85">
        <v>0</v>
      </c>
      <c r="AY110" s="85">
        <v>1</v>
      </c>
      <c r="AZ110" s="85">
        <v>0</v>
      </c>
    </row>
    <row r="111" spans="2:52" x14ac:dyDescent="0.2">
      <c r="B111" s="89">
        <v>1808</v>
      </c>
      <c r="C111" s="85" t="s">
        <v>449</v>
      </c>
      <c r="D111" s="85">
        <f t="shared" si="30"/>
        <v>9</v>
      </c>
      <c r="E111" s="85">
        <v>4</v>
      </c>
      <c r="F111" s="85">
        <v>0</v>
      </c>
      <c r="G111" s="85">
        <v>2</v>
      </c>
      <c r="H111" s="85">
        <v>2</v>
      </c>
      <c r="I111" s="85">
        <v>1</v>
      </c>
      <c r="M111" s="89">
        <v>1208</v>
      </c>
      <c r="N111" s="85" t="s">
        <v>489</v>
      </c>
      <c r="O111" s="85">
        <f t="shared" si="31"/>
        <v>11</v>
      </c>
      <c r="P111" s="85">
        <v>4</v>
      </c>
      <c r="Q111" s="85">
        <v>1</v>
      </c>
      <c r="R111" s="85">
        <v>1</v>
      </c>
      <c r="S111" s="85">
        <v>4</v>
      </c>
      <c r="T111" s="85">
        <v>1</v>
      </c>
      <c r="X111" s="89">
        <v>1801</v>
      </c>
      <c r="Y111" s="85" t="s">
        <v>753</v>
      </c>
      <c r="Z111" s="97">
        <f t="shared" si="32"/>
        <v>12</v>
      </c>
      <c r="AA111" s="97">
        <v>4</v>
      </c>
      <c r="AB111" s="97">
        <v>2</v>
      </c>
      <c r="AC111" s="97">
        <v>0</v>
      </c>
      <c r="AD111" s="97">
        <v>5</v>
      </c>
      <c r="AE111" s="97">
        <v>1</v>
      </c>
      <c r="AF111" s="81"/>
      <c r="AI111" s="89">
        <v>1801</v>
      </c>
      <c r="AJ111" s="85" t="s">
        <v>753</v>
      </c>
      <c r="AK111" s="85">
        <f t="shared" si="33"/>
        <v>12</v>
      </c>
      <c r="AL111" s="85">
        <v>2</v>
      </c>
      <c r="AM111" s="85">
        <v>2</v>
      </c>
      <c r="AN111" s="85">
        <v>5</v>
      </c>
      <c r="AO111" s="85">
        <v>3</v>
      </c>
      <c r="AP111" s="85" t="s">
        <v>1995</v>
      </c>
      <c r="AS111" s="89">
        <v>1207</v>
      </c>
      <c r="AT111" s="85" t="s">
        <v>490</v>
      </c>
      <c r="AU111" s="85">
        <f t="shared" si="34"/>
        <v>11</v>
      </c>
      <c r="AV111" s="85">
        <v>2</v>
      </c>
      <c r="AW111" s="85">
        <v>2</v>
      </c>
      <c r="AX111" s="85">
        <v>4</v>
      </c>
      <c r="AY111" s="85">
        <v>3</v>
      </c>
      <c r="AZ111" s="85">
        <v>0</v>
      </c>
    </row>
    <row r="112" spans="2:52" x14ac:dyDescent="0.2">
      <c r="B112" s="89">
        <v>1920</v>
      </c>
      <c r="C112" s="85" t="s">
        <v>519</v>
      </c>
      <c r="D112" s="85">
        <f t="shared" si="30"/>
        <v>8</v>
      </c>
      <c r="E112" s="85">
        <v>0</v>
      </c>
      <c r="F112" s="85">
        <v>0</v>
      </c>
      <c r="G112" s="85">
        <v>0</v>
      </c>
      <c r="H112" s="85">
        <v>5</v>
      </c>
      <c r="I112" s="85">
        <v>3</v>
      </c>
      <c r="M112" s="89">
        <v>201</v>
      </c>
      <c r="N112" s="85" t="s">
        <v>517</v>
      </c>
      <c r="O112" s="85">
        <f t="shared" si="31"/>
        <v>11</v>
      </c>
      <c r="P112" s="85">
        <v>0</v>
      </c>
      <c r="Q112" s="85">
        <v>0</v>
      </c>
      <c r="R112" s="85">
        <v>1</v>
      </c>
      <c r="S112" s="85">
        <v>6</v>
      </c>
      <c r="T112" s="85">
        <v>4</v>
      </c>
      <c r="X112" s="89">
        <v>1904</v>
      </c>
      <c r="Y112" s="85" t="s">
        <v>518</v>
      </c>
      <c r="Z112" s="97">
        <f t="shared" si="32"/>
        <v>11</v>
      </c>
      <c r="AA112" s="97">
        <v>0</v>
      </c>
      <c r="AB112" s="97">
        <v>0</v>
      </c>
      <c r="AC112" s="97">
        <v>1</v>
      </c>
      <c r="AD112" s="97">
        <v>6</v>
      </c>
      <c r="AE112" s="97">
        <v>4</v>
      </c>
      <c r="AF112" s="81"/>
      <c r="AI112" s="89">
        <v>1904</v>
      </c>
      <c r="AJ112" s="85" t="s">
        <v>518</v>
      </c>
      <c r="AK112" s="85">
        <f t="shared" si="33"/>
        <v>8</v>
      </c>
      <c r="AL112" s="85">
        <v>2</v>
      </c>
      <c r="AM112" s="85" t="s">
        <v>1995</v>
      </c>
      <c r="AN112" s="85" t="s">
        <v>1995</v>
      </c>
      <c r="AO112" s="85">
        <v>3</v>
      </c>
      <c r="AP112" s="85">
        <v>3</v>
      </c>
      <c r="AS112" s="89">
        <v>1407</v>
      </c>
      <c r="AT112" s="85" t="s">
        <v>482</v>
      </c>
      <c r="AU112" s="85">
        <f t="shared" si="34"/>
        <v>1</v>
      </c>
      <c r="AV112" s="85">
        <v>0</v>
      </c>
      <c r="AW112" s="85">
        <v>0</v>
      </c>
      <c r="AX112" s="85">
        <v>0</v>
      </c>
      <c r="AY112" s="85">
        <v>1</v>
      </c>
      <c r="AZ112" s="85">
        <v>0</v>
      </c>
    </row>
    <row r="113" spans="2:53" x14ac:dyDescent="0.2">
      <c r="B113" s="89">
        <v>1208</v>
      </c>
      <c r="C113" s="85" t="s">
        <v>489</v>
      </c>
      <c r="D113" s="85">
        <f t="shared" si="30"/>
        <v>8</v>
      </c>
      <c r="E113" s="85">
        <v>0</v>
      </c>
      <c r="F113" s="85">
        <v>2</v>
      </c>
      <c r="G113" s="85">
        <v>6</v>
      </c>
      <c r="H113" s="85">
        <v>0</v>
      </c>
      <c r="I113" s="85">
        <v>0</v>
      </c>
      <c r="M113" s="89">
        <v>1408</v>
      </c>
      <c r="N113" s="85" t="s">
        <v>485</v>
      </c>
      <c r="O113" s="85">
        <f t="shared" si="31"/>
        <v>10</v>
      </c>
      <c r="P113" s="85">
        <v>2</v>
      </c>
      <c r="Q113" s="85">
        <v>1</v>
      </c>
      <c r="R113" s="85">
        <v>5</v>
      </c>
      <c r="S113" s="85">
        <v>1</v>
      </c>
      <c r="T113" s="85">
        <v>1</v>
      </c>
      <c r="X113" s="89">
        <v>1914</v>
      </c>
      <c r="Y113" s="85" t="s">
        <v>776</v>
      </c>
      <c r="Z113" s="97">
        <f t="shared" si="32"/>
        <v>11</v>
      </c>
      <c r="AA113" s="97">
        <v>4</v>
      </c>
      <c r="AB113" s="97">
        <v>0</v>
      </c>
      <c r="AC113" s="97">
        <v>3</v>
      </c>
      <c r="AD113" s="97">
        <v>2</v>
      </c>
      <c r="AE113" s="97">
        <v>2</v>
      </c>
      <c r="AF113" s="81"/>
      <c r="AI113" s="89">
        <v>1914</v>
      </c>
      <c r="AJ113" s="85" t="s">
        <v>776</v>
      </c>
      <c r="AK113" s="85">
        <f t="shared" si="33"/>
        <v>8</v>
      </c>
      <c r="AL113" s="85">
        <v>1</v>
      </c>
      <c r="AM113" s="85" t="s">
        <v>1995</v>
      </c>
      <c r="AN113" s="85">
        <v>1</v>
      </c>
      <c r="AO113" s="85">
        <v>6</v>
      </c>
      <c r="AP113" s="85" t="s">
        <v>1995</v>
      </c>
      <c r="AS113" s="89">
        <v>1909</v>
      </c>
      <c r="AT113" s="85" t="s">
        <v>1996</v>
      </c>
      <c r="AU113" s="85">
        <f t="shared" si="34"/>
        <v>25</v>
      </c>
      <c r="AV113" s="85">
        <v>1</v>
      </c>
      <c r="AW113" s="85">
        <v>3</v>
      </c>
      <c r="AX113" s="85">
        <v>3</v>
      </c>
      <c r="AY113" s="85">
        <v>6</v>
      </c>
      <c r="AZ113" s="85">
        <v>12</v>
      </c>
    </row>
    <row r="114" spans="2:53" x14ac:dyDescent="0.2">
      <c r="B114" s="89">
        <v>1914</v>
      </c>
      <c r="C114" s="85" t="s">
        <v>776</v>
      </c>
      <c r="D114" s="85">
        <f t="shared" si="30"/>
        <v>7</v>
      </c>
      <c r="E114" s="85">
        <v>1</v>
      </c>
      <c r="F114" s="85">
        <v>1</v>
      </c>
      <c r="G114" s="85">
        <v>1</v>
      </c>
      <c r="H114" s="85">
        <v>2</v>
      </c>
      <c r="I114" s="85">
        <v>2</v>
      </c>
      <c r="M114" s="89">
        <v>1407</v>
      </c>
      <c r="N114" s="85" t="s">
        <v>482</v>
      </c>
      <c r="O114" s="85">
        <f t="shared" si="31"/>
        <v>9</v>
      </c>
      <c r="P114" s="85">
        <v>2</v>
      </c>
      <c r="Q114" s="85">
        <v>1</v>
      </c>
      <c r="R114" s="85">
        <v>2</v>
      </c>
      <c r="S114" s="85">
        <v>2</v>
      </c>
      <c r="T114" s="85">
        <v>2</v>
      </c>
      <c r="X114" s="89">
        <v>1911</v>
      </c>
      <c r="Y114" s="85" t="s">
        <v>458</v>
      </c>
      <c r="Z114" s="97">
        <f t="shared" si="32"/>
        <v>8</v>
      </c>
      <c r="AA114" s="97">
        <v>2</v>
      </c>
      <c r="AB114" s="97">
        <v>0</v>
      </c>
      <c r="AC114" s="97">
        <v>3</v>
      </c>
      <c r="AD114" s="97">
        <v>1</v>
      </c>
      <c r="AE114" s="97">
        <v>2</v>
      </c>
      <c r="AF114" s="81"/>
      <c r="AI114" s="89">
        <v>1911</v>
      </c>
      <c r="AJ114" s="85" t="s">
        <v>458</v>
      </c>
      <c r="AK114" s="85">
        <f t="shared" si="33"/>
        <v>8</v>
      </c>
      <c r="AL114" s="85">
        <v>1</v>
      </c>
      <c r="AM114" s="85">
        <v>1</v>
      </c>
      <c r="AN114" s="85">
        <v>2</v>
      </c>
      <c r="AO114" s="85">
        <v>2</v>
      </c>
      <c r="AP114" s="85">
        <v>2</v>
      </c>
      <c r="AS114" s="89">
        <v>1911</v>
      </c>
      <c r="AT114" s="85" t="s">
        <v>458</v>
      </c>
      <c r="AU114" s="85">
        <f t="shared" si="34"/>
        <v>4</v>
      </c>
      <c r="AV114" s="85">
        <v>1</v>
      </c>
      <c r="AW114" s="85">
        <v>0</v>
      </c>
      <c r="AX114" s="85">
        <v>2</v>
      </c>
      <c r="AY114" s="85">
        <v>0</v>
      </c>
      <c r="AZ114" s="85">
        <v>1</v>
      </c>
    </row>
    <row r="115" spans="2:53" x14ac:dyDescent="0.2">
      <c r="B115" s="89"/>
      <c r="C115" s="85" t="s">
        <v>187</v>
      </c>
      <c r="D115" s="85">
        <f t="shared" si="30"/>
        <v>120</v>
      </c>
      <c r="E115" s="85">
        <v>16</v>
      </c>
      <c r="F115" s="85">
        <v>10</v>
      </c>
      <c r="G115" s="85">
        <v>22</v>
      </c>
      <c r="H115" s="85">
        <v>46</v>
      </c>
      <c r="I115" s="85">
        <v>26</v>
      </c>
      <c r="M115" s="89"/>
      <c r="N115" s="85" t="s">
        <v>187</v>
      </c>
      <c r="O115" s="85">
        <f>SUM(P115:T115)</f>
        <v>121</v>
      </c>
      <c r="P115" s="85">
        <v>19</v>
      </c>
      <c r="Q115" s="85">
        <v>9</v>
      </c>
      <c r="R115" s="85">
        <v>20</v>
      </c>
      <c r="S115" s="85">
        <v>41</v>
      </c>
      <c r="T115" s="85">
        <v>32</v>
      </c>
      <c r="X115" s="89"/>
      <c r="Y115" s="85" t="s">
        <v>187</v>
      </c>
      <c r="Z115" s="97">
        <f t="shared" si="32"/>
        <v>121</v>
      </c>
      <c r="AA115" s="97">
        <v>22</v>
      </c>
      <c r="AB115" s="97">
        <v>8</v>
      </c>
      <c r="AC115" s="97">
        <v>18</v>
      </c>
      <c r="AD115" s="97">
        <v>36</v>
      </c>
      <c r="AE115" s="97">
        <v>37</v>
      </c>
      <c r="AF115" s="81"/>
      <c r="AI115" s="89"/>
      <c r="AJ115" s="85" t="s">
        <v>187</v>
      </c>
      <c r="AK115" s="85">
        <f t="shared" si="33"/>
        <v>137</v>
      </c>
      <c r="AL115" s="85">
        <v>33</v>
      </c>
      <c r="AM115" s="85">
        <v>11</v>
      </c>
      <c r="AN115" s="85">
        <v>18</v>
      </c>
      <c r="AO115" s="85">
        <v>49</v>
      </c>
      <c r="AP115" s="85">
        <v>26</v>
      </c>
      <c r="AS115" s="89"/>
      <c r="AT115" s="85" t="s">
        <v>187</v>
      </c>
      <c r="AU115" s="85">
        <f t="shared" si="34"/>
        <v>158</v>
      </c>
      <c r="AV115" s="85">
        <v>25</v>
      </c>
      <c r="AW115" s="85">
        <v>18</v>
      </c>
      <c r="AX115" s="85">
        <v>25</v>
      </c>
      <c r="AY115" s="85">
        <v>65</v>
      </c>
      <c r="AZ115" s="85">
        <v>25</v>
      </c>
    </row>
    <row r="116" spans="2:53" x14ac:dyDescent="0.2">
      <c r="B116" s="89"/>
      <c r="C116" s="96" t="s">
        <v>0</v>
      </c>
      <c r="D116" s="91">
        <f t="shared" ref="D116:I116" si="35">SUM(D95:D115)</f>
        <v>885</v>
      </c>
      <c r="E116" s="91">
        <f t="shared" si="35"/>
        <v>77</v>
      </c>
      <c r="F116" s="91">
        <f t="shared" si="35"/>
        <v>42</v>
      </c>
      <c r="G116" s="91">
        <f t="shared" si="35"/>
        <v>157</v>
      </c>
      <c r="H116" s="91">
        <f t="shared" si="35"/>
        <v>375</v>
      </c>
      <c r="I116" s="91">
        <f t="shared" si="35"/>
        <v>234</v>
      </c>
      <c r="M116" s="89"/>
      <c r="N116" s="96" t="s">
        <v>0</v>
      </c>
      <c r="O116" s="91">
        <f t="shared" ref="O116:T116" si="36">SUM(O95:O115)</f>
        <v>1051</v>
      </c>
      <c r="P116" s="91">
        <f t="shared" si="36"/>
        <v>106</v>
      </c>
      <c r="Q116" s="91">
        <f t="shared" si="36"/>
        <v>55</v>
      </c>
      <c r="R116" s="91">
        <f t="shared" si="36"/>
        <v>180</v>
      </c>
      <c r="S116" s="91">
        <f t="shared" si="36"/>
        <v>433</v>
      </c>
      <c r="T116" s="91">
        <f t="shared" si="36"/>
        <v>277</v>
      </c>
      <c r="X116" s="89"/>
      <c r="Y116" s="96" t="s">
        <v>0</v>
      </c>
      <c r="Z116" s="91">
        <f>SUM(Z95:Z115)</f>
        <v>1173</v>
      </c>
      <c r="AA116" s="91">
        <f t="shared" ref="AA116:AE116" si="37">SUM(AA95:AA115)</f>
        <v>128</v>
      </c>
      <c r="AB116" s="91">
        <f t="shared" si="37"/>
        <v>58</v>
      </c>
      <c r="AC116" s="91">
        <f t="shared" si="37"/>
        <v>193</v>
      </c>
      <c r="AD116" s="91">
        <f t="shared" si="37"/>
        <v>480</v>
      </c>
      <c r="AE116" s="91">
        <f t="shared" si="37"/>
        <v>314</v>
      </c>
      <c r="AF116" s="81"/>
      <c r="AI116" s="89"/>
      <c r="AJ116" s="96" t="s">
        <v>0</v>
      </c>
      <c r="AK116" s="91">
        <f t="shared" ref="AK116:AP116" si="38">SUM(AK95:AK115)</f>
        <v>1269</v>
      </c>
      <c r="AL116" s="91">
        <f t="shared" si="38"/>
        <v>126</v>
      </c>
      <c r="AM116" s="91">
        <f t="shared" si="38"/>
        <v>35</v>
      </c>
      <c r="AN116" s="91">
        <f t="shared" si="38"/>
        <v>191</v>
      </c>
      <c r="AO116" s="91">
        <f t="shared" si="38"/>
        <v>553</v>
      </c>
      <c r="AP116" s="91">
        <f t="shared" si="38"/>
        <v>364</v>
      </c>
      <c r="AS116" s="89"/>
      <c r="AT116" s="96" t="s">
        <v>0</v>
      </c>
      <c r="AU116" s="91">
        <f t="shared" ref="AU116:AZ116" si="39">SUM(AU95:AU115)</f>
        <v>1151</v>
      </c>
      <c r="AV116" s="91">
        <f t="shared" si="39"/>
        <v>107</v>
      </c>
      <c r="AW116" s="91">
        <f t="shared" si="39"/>
        <v>52</v>
      </c>
      <c r="AX116" s="91">
        <f t="shared" si="39"/>
        <v>143</v>
      </c>
      <c r="AY116" s="91">
        <f t="shared" si="39"/>
        <v>523</v>
      </c>
      <c r="AZ116" s="91">
        <f t="shared" si="39"/>
        <v>326</v>
      </c>
    </row>
    <row r="117" spans="2:53" x14ac:dyDescent="0.2">
      <c r="B117" s="3949"/>
      <c r="M117" s="3949"/>
      <c r="X117" s="3949"/>
      <c r="Y117" s="81"/>
      <c r="Z117" s="81"/>
      <c r="AA117" s="81"/>
      <c r="AB117" s="81"/>
      <c r="AC117" s="81"/>
      <c r="AD117" s="81"/>
      <c r="AE117" s="81"/>
      <c r="AF117" s="81"/>
      <c r="AI117" s="3949"/>
      <c r="AJ117" s="81"/>
      <c r="AK117" s="81"/>
      <c r="AL117" s="81"/>
      <c r="AM117" s="81"/>
      <c r="AN117" s="81"/>
      <c r="AO117" s="81"/>
      <c r="AP117" s="81"/>
      <c r="AS117" s="3949"/>
      <c r="AT117" s="81"/>
      <c r="AU117" s="83"/>
      <c r="AV117" s="81"/>
      <c r="AW117" s="81"/>
      <c r="AX117" s="81"/>
      <c r="AY117" s="81"/>
      <c r="AZ117" s="81"/>
    </row>
    <row r="118" spans="2:53" x14ac:dyDescent="0.2">
      <c r="B118" s="88"/>
      <c r="M118" s="88"/>
      <c r="O118" s="83"/>
      <c r="P118" s="83"/>
      <c r="Q118" s="83"/>
      <c r="R118" s="83"/>
      <c r="S118" s="83"/>
      <c r="T118" s="83"/>
      <c r="X118" s="88"/>
      <c r="Y118" s="81"/>
      <c r="Z118" s="81"/>
      <c r="AA118" s="81"/>
      <c r="AB118" s="81"/>
      <c r="AC118" s="81"/>
      <c r="AD118" s="81"/>
      <c r="AE118" s="81"/>
      <c r="AF118" s="81"/>
      <c r="AI118" s="88"/>
      <c r="AJ118" s="81"/>
      <c r="AK118" s="83"/>
      <c r="AL118" s="83"/>
      <c r="AM118" s="83"/>
      <c r="AN118" s="83"/>
      <c r="AO118" s="83"/>
      <c r="AP118" s="83"/>
      <c r="AQ118" s="81"/>
      <c r="AS118" s="88"/>
      <c r="AT118" s="81"/>
      <c r="AU118" s="83"/>
      <c r="AV118" s="83"/>
      <c r="AW118" s="83"/>
      <c r="AX118" s="83"/>
      <c r="AY118" s="83"/>
      <c r="AZ118" s="83"/>
      <c r="BA118" s="81"/>
    </row>
    <row r="119" spans="2:53" x14ac:dyDescent="0.2">
      <c r="B119" s="4265" t="s">
        <v>777</v>
      </c>
      <c r="C119" s="4265"/>
      <c r="D119" s="4265"/>
      <c r="E119" s="4265"/>
      <c r="F119" s="4265"/>
      <c r="G119" s="4265"/>
      <c r="H119" s="4265"/>
      <c r="I119" s="4265"/>
      <c r="J119" s="4265"/>
      <c r="M119" s="4265" t="s">
        <v>777</v>
      </c>
      <c r="N119" s="4265"/>
      <c r="O119" s="4265"/>
      <c r="P119" s="4265"/>
      <c r="Q119" s="4265"/>
      <c r="R119" s="4265"/>
      <c r="S119" s="4265"/>
      <c r="T119" s="4265"/>
      <c r="U119" s="4265"/>
      <c r="X119" s="4265" t="s">
        <v>777</v>
      </c>
      <c r="Y119" s="4265"/>
      <c r="Z119" s="4265"/>
      <c r="AA119" s="4265"/>
      <c r="AB119" s="4265"/>
      <c r="AC119" s="4265"/>
      <c r="AD119" s="4265"/>
      <c r="AE119" s="4265"/>
      <c r="AF119" s="4265"/>
      <c r="AI119" s="4265" t="s">
        <v>777</v>
      </c>
      <c r="AJ119" s="4265"/>
      <c r="AK119" s="4265"/>
      <c r="AL119" s="4265"/>
      <c r="AM119" s="4265"/>
      <c r="AN119" s="4265"/>
      <c r="AO119" s="4265"/>
      <c r="AP119" s="4265"/>
      <c r="AQ119" s="4265"/>
      <c r="AS119" s="4265" t="s">
        <v>777</v>
      </c>
      <c r="AT119" s="4265"/>
      <c r="AU119" s="4265"/>
      <c r="AV119" s="4265"/>
      <c r="AW119" s="4265"/>
      <c r="AX119" s="4265"/>
      <c r="AY119" s="4265"/>
      <c r="AZ119" s="4265"/>
      <c r="BA119" s="4265"/>
    </row>
    <row r="120" spans="2:53" x14ac:dyDescent="0.2">
      <c r="B120" s="88" t="s">
        <v>183</v>
      </c>
      <c r="M120" s="88" t="s">
        <v>183</v>
      </c>
      <c r="X120" s="88" t="s">
        <v>183</v>
      </c>
      <c r="Y120" s="81"/>
      <c r="Z120" s="81"/>
      <c r="AA120" s="81"/>
      <c r="AB120" s="81"/>
      <c r="AC120" s="81"/>
      <c r="AD120" s="81"/>
      <c r="AE120" s="81"/>
      <c r="AF120" s="81"/>
      <c r="AI120" s="88" t="s">
        <v>183</v>
      </c>
      <c r="AJ120" s="81"/>
      <c r="AK120" s="81"/>
      <c r="AL120" s="81"/>
      <c r="AM120" s="81"/>
      <c r="AN120" s="81"/>
      <c r="AO120" s="81"/>
      <c r="AP120" s="81"/>
      <c r="AQ120" s="81"/>
      <c r="AS120" s="88" t="s">
        <v>183</v>
      </c>
      <c r="AT120" s="81"/>
      <c r="AU120" s="81"/>
      <c r="AV120" s="81"/>
      <c r="AW120" s="81"/>
      <c r="AX120" s="81"/>
      <c r="AY120" s="81"/>
      <c r="AZ120" s="81"/>
      <c r="BA120" s="81"/>
    </row>
    <row r="121" spans="2:53" x14ac:dyDescent="0.2">
      <c r="B121" s="3949"/>
      <c r="M121" s="3949"/>
      <c r="X121" s="3949"/>
      <c r="Y121" s="81"/>
      <c r="Z121" s="81"/>
      <c r="AA121" s="81"/>
      <c r="AB121" s="81"/>
      <c r="AC121" s="81"/>
      <c r="AD121" s="81"/>
      <c r="AE121" s="81"/>
      <c r="AF121" s="81"/>
      <c r="AI121" s="3949"/>
      <c r="AJ121" s="81"/>
      <c r="AK121" s="81"/>
      <c r="AL121" s="81"/>
      <c r="AM121" s="81"/>
      <c r="AN121" s="81"/>
      <c r="AO121" s="81"/>
      <c r="AP121" s="81"/>
      <c r="AQ121" s="81"/>
      <c r="AS121" s="3949"/>
      <c r="AT121" s="81"/>
      <c r="AU121" s="81"/>
      <c r="AV121" s="81"/>
      <c r="AW121" s="81"/>
      <c r="AX121" s="81"/>
      <c r="AY121" s="81"/>
      <c r="AZ121" s="81"/>
      <c r="BA121" s="81"/>
    </row>
    <row r="122" spans="2:53" x14ac:dyDescent="0.2">
      <c r="B122" s="88" t="s">
        <v>740</v>
      </c>
      <c r="M122" s="88" t="s">
        <v>741</v>
      </c>
      <c r="X122" s="88" t="s">
        <v>6105</v>
      </c>
      <c r="Y122" s="81"/>
      <c r="Z122" s="81"/>
      <c r="AA122" s="81"/>
      <c r="AB122" s="81"/>
      <c r="AC122" s="81"/>
      <c r="AD122" s="81"/>
      <c r="AE122" s="81"/>
      <c r="AF122" s="81"/>
      <c r="AI122" s="88" t="s">
        <v>1987</v>
      </c>
      <c r="AJ122" s="81"/>
      <c r="AK122" s="81"/>
      <c r="AL122" s="81"/>
      <c r="AM122" s="81"/>
      <c r="AN122" s="81"/>
      <c r="AO122" s="81"/>
      <c r="AP122" s="81"/>
      <c r="AS122" s="88" t="s">
        <v>3640</v>
      </c>
      <c r="AT122" s="81"/>
      <c r="AU122" s="81"/>
      <c r="AV122" s="81"/>
      <c r="AW122" s="81"/>
      <c r="AX122" s="81"/>
      <c r="AY122" s="81"/>
      <c r="AZ122" s="81"/>
    </row>
    <row r="123" spans="2:53" ht="11.25" customHeight="1" x14ac:dyDescent="0.2">
      <c r="B123" s="4258" t="s">
        <v>161</v>
      </c>
      <c r="C123" s="4258" t="s">
        <v>778</v>
      </c>
      <c r="D123" s="4258" t="s">
        <v>0</v>
      </c>
      <c r="E123" s="4260" t="s">
        <v>186</v>
      </c>
      <c r="F123" s="4261"/>
      <c r="G123" s="4261"/>
      <c r="H123" s="4261"/>
      <c r="I123" s="4262"/>
      <c r="M123" s="4258" t="s">
        <v>161</v>
      </c>
      <c r="N123" s="4258" t="s">
        <v>778</v>
      </c>
      <c r="O123" s="4258" t="s">
        <v>0</v>
      </c>
      <c r="P123" s="4260" t="s">
        <v>186</v>
      </c>
      <c r="Q123" s="4261"/>
      <c r="R123" s="4261"/>
      <c r="S123" s="4261"/>
      <c r="T123" s="4262"/>
      <c r="X123" s="4258" t="s">
        <v>161</v>
      </c>
      <c r="Y123" s="4258" t="s">
        <v>778</v>
      </c>
      <c r="Z123" s="4258" t="s">
        <v>0</v>
      </c>
      <c r="AA123" s="4260" t="s">
        <v>186</v>
      </c>
      <c r="AB123" s="4261"/>
      <c r="AC123" s="4261"/>
      <c r="AD123" s="4261"/>
      <c r="AE123" s="4262"/>
      <c r="AF123" s="81"/>
      <c r="AI123" s="4258" t="s">
        <v>161</v>
      </c>
      <c r="AJ123" s="4258" t="s">
        <v>778</v>
      </c>
      <c r="AK123" s="4258" t="s">
        <v>0</v>
      </c>
      <c r="AL123" s="4260" t="s">
        <v>186</v>
      </c>
      <c r="AM123" s="4261"/>
      <c r="AN123" s="4261"/>
      <c r="AO123" s="4261"/>
      <c r="AP123" s="4262"/>
      <c r="AS123" s="4258" t="s">
        <v>161</v>
      </c>
      <c r="AT123" s="4258" t="s">
        <v>778</v>
      </c>
      <c r="AU123" s="4258" t="s">
        <v>0</v>
      </c>
      <c r="AV123" s="4260" t="s">
        <v>186</v>
      </c>
      <c r="AW123" s="4261"/>
      <c r="AX123" s="4261"/>
      <c r="AY123" s="4261"/>
      <c r="AZ123" s="4262"/>
    </row>
    <row r="124" spans="2:53" x14ac:dyDescent="0.2">
      <c r="B124" s="4259"/>
      <c r="C124" s="4259"/>
      <c r="D124" s="4259"/>
      <c r="E124" s="3948" t="s">
        <v>743</v>
      </c>
      <c r="F124" s="3948" t="s">
        <v>744</v>
      </c>
      <c r="G124" s="3948" t="s">
        <v>745</v>
      </c>
      <c r="H124" s="3948" t="s">
        <v>746</v>
      </c>
      <c r="I124" s="3948" t="s">
        <v>747</v>
      </c>
      <c r="M124" s="4259"/>
      <c r="N124" s="4259"/>
      <c r="O124" s="4259"/>
      <c r="P124" s="3948" t="s">
        <v>743</v>
      </c>
      <c r="Q124" s="3948" t="s">
        <v>744</v>
      </c>
      <c r="R124" s="3948" t="s">
        <v>745</v>
      </c>
      <c r="S124" s="3948" t="s">
        <v>746</v>
      </c>
      <c r="T124" s="3948" t="s">
        <v>747</v>
      </c>
      <c r="X124" s="4259"/>
      <c r="Y124" s="4259"/>
      <c r="Z124" s="4259"/>
      <c r="AA124" s="3948" t="s">
        <v>743</v>
      </c>
      <c r="AB124" s="3948" t="s">
        <v>744</v>
      </c>
      <c r="AC124" s="3948" t="s">
        <v>745</v>
      </c>
      <c r="AD124" s="3948" t="s">
        <v>746</v>
      </c>
      <c r="AE124" s="3948" t="s">
        <v>747</v>
      </c>
      <c r="AF124" s="81"/>
      <c r="AI124" s="4259"/>
      <c r="AJ124" s="4259"/>
      <c r="AK124" s="4259"/>
      <c r="AL124" s="3948" t="s">
        <v>743</v>
      </c>
      <c r="AM124" s="3948" t="s">
        <v>744</v>
      </c>
      <c r="AN124" s="3948" t="s">
        <v>745</v>
      </c>
      <c r="AO124" s="3948" t="s">
        <v>746</v>
      </c>
      <c r="AP124" s="3948" t="s">
        <v>747</v>
      </c>
      <c r="AS124" s="4259"/>
      <c r="AT124" s="4259"/>
      <c r="AU124" s="4259"/>
      <c r="AV124" s="3948" t="s">
        <v>743</v>
      </c>
      <c r="AW124" s="3948" t="s">
        <v>744</v>
      </c>
      <c r="AX124" s="3948" t="s">
        <v>745</v>
      </c>
      <c r="AY124" s="3948" t="s">
        <v>746</v>
      </c>
      <c r="AZ124" s="3948" t="s">
        <v>747</v>
      </c>
    </row>
    <row r="125" spans="2:53" x14ac:dyDescent="0.2">
      <c r="B125" s="89" t="s">
        <v>497</v>
      </c>
      <c r="C125" s="85" t="s">
        <v>779</v>
      </c>
      <c r="D125" s="85">
        <f>SUM(E125:I125)</f>
        <v>70</v>
      </c>
      <c r="E125" s="85">
        <v>0</v>
      </c>
      <c r="F125" s="85">
        <v>2</v>
      </c>
      <c r="G125" s="85">
        <v>7</v>
      </c>
      <c r="H125" s="85">
        <v>16</v>
      </c>
      <c r="I125" s="85">
        <v>45</v>
      </c>
      <c r="M125" s="89" t="s">
        <v>497</v>
      </c>
      <c r="N125" s="85" t="s">
        <v>779</v>
      </c>
      <c r="O125" s="85">
        <f>SUM(P125:T125)</f>
        <v>46</v>
      </c>
      <c r="P125" s="85">
        <v>0</v>
      </c>
      <c r="Q125" s="85">
        <v>1</v>
      </c>
      <c r="R125" s="85">
        <v>7</v>
      </c>
      <c r="S125" s="85">
        <v>16</v>
      </c>
      <c r="T125" s="85">
        <v>22</v>
      </c>
      <c r="X125" s="89" t="s">
        <v>780</v>
      </c>
      <c r="Y125" s="85" t="s">
        <v>781</v>
      </c>
      <c r="Z125" s="85">
        <f>SUM(AA125:AE125)</f>
        <v>46</v>
      </c>
      <c r="AA125" s="85">
        <v>0</v>
      </c>
      <c r="AB125" s="85">
        <v>0</v>
      </c>
      <c r="AC125" s="85">
        <v>1</v>
      </c>
      <c r="AD125" s="85">
        <v>3</v>
      </c>
      <c r="AE125" s="85">
        <v>42</v>
      </c>
      <c r="AF125" s="81"/>
      <c r="AI125" s="89" t="s">
        <v>492</v>
      </c>
      <c r="AJ125" s="85" t="s">
        <v>782</v>
      </c>
      <c r="AK125" s="85">
        <f>SUM(AL125:AP125)</f>
        <v>100</v>
      </c>
      <c r="AL125" s="85">
        <v>0</v>
      </c>
      <c r="AM125" s="85">
        <v>0</v>
      </c>
      <c r="AN125" s="85">
        <v>29</v>
      </c>
      <c r="AO125" s="85">
        <v>15</v>
      </c>
      <c r="AP125" s="85">
        <v>56</v>
      </c>
      <c r="AS125" s="89" t="s">
        <v>492</v>
      </c>
      <c r="AT125" s="85" t="s">
        <v>782</v>
      </c>
      <c r="AU125" s="85">
        <f>SUM(AV125:AZ125)</f>
        <v>10</v>
      </c>
      <c r="AV125" s="85">
        <v>0</v>
      </c>
      <c r="AW125" s="85">
        <v>0</v>
      </c>
      <c r="AX125" s="85">
        <v>0</v>
      </c>
      <c r="AY125" s="85">
        <v>1</v>
      </c>
      <c r="AZ125" s="85">
        <v>9</v>
      </c>
    </row>
    <row r="126" spans="2:53" x14ac:dyDescent="0.2">
      <c r="B126" s="89" t="s">
        <v>492</v>
      </c>
      <c r="C126" s="85" t="s">
        <v>783</v>
      </c>
      <c r="D126" s="85">
        <f t="shared" ref="D126:D145" si="40">SUM(E126:I126)</f>
        <v>37</v>
      </c>
      <c r="E126" s="85">
        <v>0</v>
      </c>
      <c r="F126" s="85">
        <v>0</v>
      </c>
      <c r="G126" s="85">
        <v>1</v>
      </c>
      <c r="H126" s="85">
        <v>3</v>
      </c>
      <c r="I126" s="85">
        <v>33</v>
      </c>
      <c r="M126" s="89" t="s">
        <v>492</v>
      </c>
      <c r="N126" s="85" t="s">
        <v>783</v>
      </c>
      <c r="O126" s="85">
        <f t="shared" ref="O126:O145" si="41">SUM(P126:T126)</f>
        <v>39</v>
      </c>
      <c r="P126" s="85">
        <v>0</v>
      </c>
      <c r="Q126" s="85">
        <v>0</v>
      </c>
      <c r="R126" s="85">
        <v>1</v>
      </c>
      <c r="S126" s="85">
        <v>5</v>
      </c>
      <c r="T126" s="85">
        <v>33</v>
      </c>
      <c r="X126" s="89" t="s">
        <v>492</v>
      </c>
      <c r="Y126" s="85" t="s">
        <v>782</v>
      </c>
      <c r="Z126" s="85">
        <f t="shared" ref="Z126:Z146" si="42">SUM(AA126:AE126)</f>
        <v>35</v>
      </c>
      <c r="AA126" s="85">
        <v>0</v>
      </c>
      <c r="AB126" s="85">
        <v>1</v>
      </c>
      <c r="AC126" s="85">
        <v>5</v>
      </c>
      <c r="AD126" s="85">
        <v>6</v>
      </c>
      <c r="AE126" s="85">
        <v>23</v>
      </c>
      <c r="AF126" s="81"/>
      <c r="AG126" s="84"/>
      <c r="AI126" s="89" t="s">
        <v>491</v>
      </c>
      <c r="AJ126" s="85" t="s">
        <v>784</v>
      </c>
      <c r="AK126" s="85">
        <f t="shared" ref="AK126:AK146" si="43">SUM(AL126:AP126)</f>
        <v>105</v>
      </c>
      <c r="AL126" s="85">
        <v>0</v>
      </c>
      <c r="AM126" s="85">
        <v>1</v>
      </c>
      <c r="AN126" s="85">
        <v>16</v>
      </c>
      <c r="AO126" s="85">
        <v>52</v>
      </c>
      <c r="AP126" s="85">
        <v>36</v>
      </c>
      <c r="AS126" s="89" t="s">
        <v>491</v>
      </c>
      <c r="AT126" s="85" t="s">
        <v>784</v>
      </c>
      <c r="AU126" s="85">
        <f t="shared" ref="AU126:AU145" si="44">SUM(AV126:AZ126)</f>
        <v>38</v>
      </c>
      <c r="AV126" s="85">
        <v>0</v>
      </c>
      <c r="AW126" s="85">
        <v>4</v>
      </c>
      <c r="AX126" s="85">
        <v>8</v>
      </c>
      <c r="AY126" s="85">
        <v>16</v>
      </c>
      <c r="AZ126" s="85">
        <v>10</v>
      </c>
    </row>
    <row r="127" spans="2:53" x14ac:dyDescent="0.2">
      <c r="B127" s="89" t="s">
        <v>785</v>
      </c>
      <c r="C127" s="85" t="s">
        <v>786</v>
      </c>
      <c r="D127" s="85">
        <f t="shared" si="40"/>
        <v>22</v>
      </c>
      <c r="E127" s="85">
        <v>0</v>
      </c>
      <c r="F127" s="85">
        <v>1</v>
      </c>
      <c r="G127" s="85">
        <v>0</v>
      </c>
      <c r="H127" s="85">
        <v>3</v>
      </c>
      <c r="I127" s="85">
        <v>18</v>
      </c>
      <c r="M127" s="89" t="s">
        <v>787</v>
      </c>
      <c r="N127" s="85" t="s">
        <v>788</v>
      </c>
      <c r="O127" s="85">
        <f t="shared" si="41"/>
        <v>32</v>
      </c>
      <c r="P127" s="85">
        <v>0</v>
      </c>
      <c r="Q127" s="85">
        <v>1</v>
      </c>
      <c r="R127" s="85">
        <v>4</v>
      </c>
      <c r="S127" s="85">
        <v>10</v>
      </c>
      <c r="T127" s="85">
        <v>17</v>
      </c>
      <c r="X127" s="89" t="s">
        <v>491</v>
      </c>
      <c r="Y127" s="85" t="s">
        <v>784</v>
      </c>
      <c r="Z127" s="85">
        <f t="shared" si="42"/>
        <v>32</v>
      </c>
      <c r="AA127" s="85">
        <v>0</v>
      </c>
      <c r="AB127" s="85">
        <v>0</v>
      </c>
      <c r="AC127" s="85">
        <v>1</v>
      </c>
      <c r="AD127" s="85">
        <v>2</v>
      </c>
      <c r="AE127" s="85">
        <v>29</v>
      </c>
      <c r="AF127" s="81"/>
      <c r="AI127" s="89" t="s">
        <v>497</v>
      </c>
      <c r="AJ127" s="85" t="s">
        <v>789</v>
      </c>
      <c r="AK127" s="85">
        <f t="shared" si="43"/>
        <v>62</v>
      </c>
      <c r="AL127" s="85">
        <v>0</v>
      </c>
      <c r="AM127" s="85">
        <v>0</v>
      </c>
      <c r="AN127" s="85">
        <v>11</v>
      </c>
      <c r="AO127" s="85">
        <v>12</v>
      </c>
      <c r="AP127" s="85">
        <v>39</v>
      </c>
      <c r="AS127" s="89" t="s">
        <v>497</v>
      </c>
      <c r="AT127" s="85" t="s">
        <v>789</v>
      </c>
      <c r="AU127" s="85">
        <f t="shared" si="44"/>
        <v>39</v>
      </c>
      <c r="AV127" s="85">
        <v>1</v>
      </c>
      <c r="AW127" s="85">
        <v>3</v>
      </c>
      <c r="AX127" s="85">
        <v>2</v>
      </c>
      <c r="AY127" s="85">
        <v>11</v>
      </c>
      <c r="AZ127" s="85">
        <v>22</v>
      </c>
    </row>
    <row r="128" spans="2:53" x14ac:dyDescent="0.2">
      <c r="B128" s="89" t="s">
        <v>780</v>
      </c>
      <c r="C128" s="85" t="s">
        <v>6106</v>
      </c>
      <c r="D128" s="85">
        <f t="shared" si="40"/>
        <v>21</v>
      </c>
      <c r="E128" s="85">
        <v>0</v>
      </c>
      <c r="F128" s="85">
        <v>0</v>
      </c>
      <c r="G128" s="85">
        <v>0</v>
      </c>
      <c r="H128" s="85">
        <v>18</v>
      </c>
      <c r="I128" s="85">
        <v>3</v>
      </c>
      <c r="M128" s="89" t="s">
        <v>790</v>
      </c>
      <c r="N128" s="85" t="s">
        <v>791</v>
      </c>
      <c r="O128" s="85">
        <f t="shared" si="41"/>
        <v>32</v>
      </c>
      <c r="P128" s="85">
        <v>0</v>
      </c>
      <c r="Q128" s="85">
        <v>1</v>
      </c>
      <c r="R128" s="85">
        <v>8</v>
      </c>
      <c r="S128" s="85">
        <v>13</v>
      </c>
      <c r="T128" s="85">
        <v>10</v>
      </c>
      <c r="X128" s="89" t="s">
        <v>792</v>
      </c>
      <c r="Y128" s="85" t="s">
        <v>793</v>
      </c>
      <c r="Z128" s="85">
        <f t="shared" si="42"/>
        <v>32</v>
      </c>
      <c r="AA128" s="85">
        <v>0</v>
      </c>
      <c r="AB128" s="85">
        <v>1</v>
      </c>
      <c r="AC128" s="85">
        <v>4</v>
      </c>
      <c r="AD128" s="85">
        <v>12</v>
      </c>
      <c r="AE128" s="85">
        <v>15</v>
      </c>
      <c r="AF128" s="81"/>
      <c r="AI128" s="89" t="s">
        <v>794</v>
      </c>
      <c r="AJ128" s="85" t="s">
        <v>795</v>
      </c>
      <c r="AK128" s="85">
        <f t="shared" si="43"/>
        <v>62</v>
      </c>
      <c r="AL128" s="85">
        <v>0</v>
      </c>
      <c r="AM128" s="85">
        <v>1</v>
      </c>
      <c r="AN128" s="85">
        <v>34</v>
      </c>
      <c r="AO128" s="85">
        <v>12</v>
      </c>
      <c r="AP128" s="85">
        <v>15</v>
      </c>
      <c r="AS128" s="89" t="s">
        <v>794</v>
      </c>
      <c r="AT128" s="85" t="s">
        <v>795</v>
      </c>
      <c r="AU128" s="85">
        <f t="shared" si="44"/>
        <v>317</v>
      </c>
      <c r="AV128" s="85">
        <v>1</v>
      </c>
      <c r="AW128" s="85">
        <v>8</v>
      </c>
      <c r="AX128" s="85">
        <v>31</v>
      </c>
      <c r="AY128" s="85">
        <v>130</v>
      </c>
      <c r="AZ128" s="85">
        <v>147</v>
      </c>
    </row>
    <row r="129" spans="2:52" x14ac:dyDescent="0.2">
      <c r="B129" s="89" t="s">
        <v>790</v>
      </c>
      <c r="C129" s="85" t="s">
        <v>791</v>
      </c>
      <c r="D129" s="85">
        <f t="shared" si="40"/>
        <v>18</v>
      </c>
      <c r="E129" s="85">
        <v>0</v>
      </c>
      <c r="F129" s="85">
        <v>2</v>
      </c>
      <c r="G129" s="85">
        <v>2</v>
      </c>
      <c r="H129" s="85">
        <v>7</v>
      </c>
      <c r="I129" s="85">
        <v>7</v>
      </c>
      <c r="M129" s="89" t="s">
        <v>785</v>
      </c>
      <c r="N129" s="85" t="s">
        <v>786</v>
      </c>
      <c r="O129" s="85">
        <f t="shared" si="41"/>
        <v>29</v>
      </c>
      <c r="P129" s="85">
        <v>0</v>
      </c>
      <c r="Q129" s="85">
        <v>0</v>
      </c>
      <c r="R129" s="85">
        <v>2</v>
      </c>
      <c r="S129" s="85">
        <v>6</v>
      </c>
      <c r="T129" s="85">
        <v>21</v>
      </c>
      <c r="X129" s="89" t="s">
        <v>787</v>
      </c>
      <c r="Y129" s="85" t="s">
        <v>789</v>
      </c>
      <c r="Z129" s="85">
        <f t="shared" si="42"/>
        <v>29</v>
      </c>
      <c r="AA129" s="85">
        <v>0</v>
      </c>
      <c r="AB129" s="85">
        <v>1</v>
      </c>
      <c r="AC129" s="85">
        <v>6</v>
      </c>
      <c r="AD129" s="85">
        <v>20</v>
      </c>
      <c r="AE129" s="85">
        <v>2</v>
      </c>
      <c r="AF129" s="81"/>
      <c r="AI129" s="89" t="s">
        <v>792</v>
      </c>
      <c r="AJ129" s="85" t="s">
        <v>793</v>
      </c>
      <c r="AK129" s="85">
        <f t="shared" si="43"/>
        <v>69</v>
      </c>
      <c r="AL129" s="85">
        <v>0</v>
      </c>
      <c r="AM129" s="85">
        <v>19</v>
      </c>
      <c r="AN129" s="85">
        <v>16</v>
      </c>
      <c r="AO129" s="85">
        <v>22</v>
      </c>
      <c r="AP129" s="85">
        <v>12</v>
      </c>
      <c r="AS129" s="89" t="s">
        <v>792</v>
      </c>
      <c r="AT129" s="85" t="s">
        <v>793</v>
      </c>
      <c r="AU129" s="85">
        <f t="shared" si="44"/>
        <v>2</v>
      </c>
      <c r="AV129" s="85">
        <v>0</v>
      </c>
      <c r="AW129" s="85">
        <v>0</v>
      </c>
      <c r="AX129" s="85">
        <v>1</v>
      </c>
      <c r="AY129" s="85">
        <v>1</v>
      </c>
      <c r="AZ129" s="85">
        <v>0</v>
      </c>
    </row>
    <row r="130" spans="2:52" x14ac:dyDescent="0.2">
      <c r="B130" s="89" t="s">
        <v>496</v>
      </c>
      <c r="C130" s="85" t="s">
        <v>6107</v>
      </c>
      <c r="D130" s="85">
        <f t="shared" si="40"/>
        <v>15</v>
      </c>
      <c r="E130" s="85">
        <v>0</v>
      </c>
      <c r="F130" s="85">
        <v>1</v>
      </c>
      <c r="G130" s="85">
        <v>0</v>
      </c>
      <c r="H130" s="85">
        <v>3</v>
      </c>
      <c r="I130" s="85">
        <v>11</v>
      </c>
      <c r="M130" s="89" t="s">
        <v>501</v>
      </c>
      <c r="N130" s="85" t="s">
        <v>796</v>
      </c>
      <c r="O130" s="85">
        <f t="shared" si="41"/>
        <v>19</v>
      </c>
      <c r="P130" s="85">
        <v>0</v>
      </c>
      <c r="Q130" s="85">
        <v>0</v>
      </c>
      <c r="R130" s="85">
        <v>1</v>
      </c>
      <c r="S130" s="85">
        <v>6</v>
      </c>
      <c r="T130" s="85">
        <v>12</v>
      </c>
      <c r="X130" s="89" t="s">
        <v>497</v>
      </c>
      <c r="Y130" s="85" t="s">
        <v>795</v>
      </c>
      <c r="Z130" s="85">
        <f t="shared" si="42"/>
        <v>27</v>
      </c>
      <c r="AA130" s="85">
        <v>0</v>
      </c>
      <c r="AB130" s="85">
        <v>6</v>
      </c>
      <c r="AC130" s="85">
        <v>16</v>
      </c>
      <c r="AD130" s="85">
        <v>3</v>
      </c>
      <c r="AE130" s="85">
        <v>2</v>
      </c>
      <c r="AF130" s="81"/>
      <c r="AI130" s="89" t="s">
        <v>797</v>
      </c>
      <c r="AJ130" s="85" t="s">
        <v>798</v>
      </c>
      <c r="AK130" s="85">
        <f t="shared" si="43"/>
        <v>63</v>
      </c>
      <c r="AL130" s="85">
        <v>0</v>
      </c>
      <c r="AM130" s="85">
        <v>16</v>
      </c>
      <c r="AN130" s="85">
        <v>32</v>
      </c>
      <c r="AO130" s="85">
        <v>13</v>
      </c>
      <c r="AP130" s="85">
        <v>2</v>
      </c>
      <c r="AS130" s="89" t="s">
        <v>797</v>
      </c>
      <c r="AT130" s="85" t="s">
        <v>798</v>
      </c>
      <c r="AU130" s="85">
        <f t="shared" si="44"/>
        <v>68</v>
      </c>
      <c r="AV130" s="85">
        <v>0</v>
      </c>
      <c r="AW130" s="85">
        <v>16</v>
      </c>
      <c r="AX130" s="85">
        <v>35</v>
      </c>
      <c r="AY130" s="85">
        <v>14</v>
      </c>
      <c r="AZ130" s="85">
        <v>3</v>
      </c>
    </row>
    <row r="131" spans="2:52" x14ac:dyDescent="0.2">
      <c r="B131" s="89" t="s">
        <v>494</v>
      </c>
      <c r="C131" s="85" t="s">
        <v>799</v>
      </c>
      <c r="D131" s="85">
        <f t="shared" si="40"/>
        <v>13</v>
      </c>
      <c r="E131" s="85">
        <v>0</v>
      </c>
      <c r="F131" s="85">
        <v>0</v>
      </c>
      <c r="G131" s="85">
        <v>0</v>
      </c>
      <c r="H131" s="85">
        <v>1</v>
      </c>
      <c r="I131" s="85">
        <v>12</v>
      </c>
      <c r="M131" s="89" t="s">
        <v>800</v>
      </c>
      <c r="N131" s="85" t="s">
        <v>801</v>
      </c>
      <c r="O131" s="85">
        <f t="shared" si="41"/>
        <v>19</v>
      </c>
      <c r="P131" s="85">
        <v>0</v>
      </c>
      <c r="Q131" s="85">
        <v>0</v>
      </c>
      <c r="R131" s="85">
        <v>1</v>
      </c>
      <c r="S131" s="85">
        <v>12</v>
      </c>
      <c r="T131" s="85">
        <v>6</v>
      </c>
      <c r="X131" s="89" t="s">
        <v>790</v>
      </c>
      <c r="Y131" s="85" t="s">
        <v>802</v>
      </c>
      <c r="Z131" s="85">
        <f t="shared" si="42"/>
        <v>21</v>
      </c>
      <c r="AA131" s="85">
        <v>0</v>
      </c>
      <c r="AB131" s="85">
        <v>0</v>
      </c>
      <c r="AC131" s="85">
        <v>1</v>
      </c>
      <c r="AD131" s="85">
        <v>8</v>
      </c>
      <c r="AE131" s="85">
        <v>12</v>
      </c>
      <c r="AF131" s="81"/>
      <c r="AI131" s="89" t="s">
        <v>787</v>
      </c>
      <c r="AJ131" s="85" t="s">
        <v>803</v>
      </c>
      <c r="AK131" s="85">
        <f t="shared" si="43"/>
        <v>61</v>
      </c>
      <c r="AL131" s="85">
        <v>0</v>
      </c>
      <c r="AM131" s="85">
        <v>0</v>
      </c>
      <c r="AN131" s="85">
        <v>21</v>
      </c>
      <c r="AO131" s="85">
        <v>28</v>
      </c>
      <c r="AP131" s="85">
        <v>12</v>
      </c>
      <c r="AS131" s="89" t="s">
        <v>787</v>
      </c>
      <c r="AT131" s="85" t="s">
        <v>803</v>
      </c>
      <c r="AU131" s="85">
        <f t="shared" si="44"/>
        <v>83</v>
      </c>
      <c r="AV131" s="85">
        <v>0</v>
      </c>
      <c r="AW131" s="85">
        <v>0</v>
      </c>
      <c r="AX131" s="85">
        <v>1</v>
      </c>
      <c r="AY131" s="85">
        <v>31</v>
      </c>
      <c r="AZ131" s="85">
        <v>51</v>
      </c>
    </row>
    <row r="132" spans="2:52" x14ac:dyDescent="0.2">
      <c r="B132" s="89" t="s">
        <v>501</v>
      </c>
      <c r="C132" s="85" t="s">
        <v>804</v>
      </c>
      <c r="D132" s="85">
        <f t="shared" si="40"/>
        <v>12</v>
      </c>
      <c r="E132" s="85">
        <v>0</v>
      </c>
      <c r="F132" s="85">
        <v>0</v>
      </c>
      <c r="G132" s="85">
        <v>4</v>
      </c>
      <c r="H132" s="85">
        <v>2</v>
      </c>
      <c r="I132" s="85">
        <v>6</v>
      </c>
      <c r="M132" s="89" t="s">
        <v>805</v>
      </c>
      <c r="N132" s="85" t="s">
        <v>806</v>
      </c>
      <c r="O132" s="85">
        <f t="shared" si="41"/>
        <v>18</v>
      </c>
      <c r="P132" s="85">
        <v>0</v>
      </c>
      <c r="Q132" s="85">
        <v>0</v>
      </c>
      <c r="R132" s="85">
        <v>0</v>
      </c>
      <c r="S132" s="85">
        <v>8</v>
      </c>
      <c r="T132" s="85">
        <v>10</v>
      </c>
      <c r="X132" s="89" t="s">
        <v>501</v>
      </c>
      <c r="Y132" s="85" t="s">
        <v>807</v>
      </c>
      <c r="Z132" s="85">
        <f t="shared" si="42"/>
        <v>20</v>
      </c>
      <c r="AA132" s="85">
        <v>0</v>
      </c>
      <c r="AB132" s="85">
        <v>1</v>
      </c>
      <c r="AC132" s="85">
        <v>5</v>
      </c>
      <c r="AD132" s="85">
        <v>4</v>
      </c>
      <c r="AE132" s="85">
        <v>10</v>
      </c>
      <c r="AF132" s="81"/>
      <c r="AI132" s="89" t="s">
        <v>780</v>
      </c>
      <c r="AJ132" s="85" t="s">
        <v>781</v>
      </c>
      <c r="AK132" s="85">
        <f t="shared" si="43"/>
        <v>60</v>
      </c>
      <c r="AL132" s="85">
        <v>0</v>
      </c>
      <c r="AM132" s="85">
        <v>11</v>
      </c>
      <c r="AN132" s="85">
        <v>15</v>
      </c>
      <c r="AO132" s="85">
        <v>14</v>
      </c>
      <c r="AP132" s="85">
        <v>20</v>
      </c>
      <c r="AS132" s="89" t="s">
        <v>780</v>
      </c>
      <c r="AT132" s="85" t="s">
        <v>781</v>
      </c>
      <c r="AU132" s="85">
        <f t="shared" si="44"/>
        <v>3</v>
      </c>
      <c r="AV132" s="85">
        <v>0</v>
      </c>
      <c r="AW132" s="85">
        <v>0</v>
      </c>
      <c r="AX132" s="85">
        <v>1</v>
      </c>
      <c r="AY132" s="85">
        <v>0</v>
      </c>
      <c r="AZ132" s="85">
        <v>2</v>
      </c>
    </row>
    <row r="133" spans="2:52" x14ac:dyDescent="0.2">
      <c r="B133" s="89" t="s">
        <v>808</v>
      </c>
      <c r="C133" s="85" t="s">
        <v>796</v>
      </c>
      <c r="D133" s="85">
        <f t="shared" si="40"/>
        <v>11</v>
      </c>
      <c r="E133" s="85">
        <v>0</v>
      </c>
      <c r="F133" s="85">
        <v>0</v>
      </c>
      <c r="G133" s="85">
        <v>2</v>
      </c>
      <c r="H133" s="85">
        <v>7</v>
      </c>
      <c r="I133" s="85">
        <v>2</v>
      </c>
      <c r="M133" s="89" t="s">
        <v>809</v>
      </c>
      <c r="N133" s="85" t="s">
        <v>810</v>
      </c>
      <c r="O133" s="85">
        <f t="shared" si="41"/>
        <v>16</v>
      </c>
      <c r="P133" s="85">
        <v>0</v>
      </c>
      <c r="Q133" s="85">
        <v>1</v>
      </c>
      <c r="R133" s="85">
        <v>0</v>
      </c>
      <c r="S133" s="85">
        <v>2</v>
      </c>
      <c r="T133" s="85">
        <v>13</v>
      </c>
      <c r="X133" s="89" t="s">
        <v>785</v>
      </c>
      <c r="Y133" s="85" t="s">
        <v>811</v>
      </c>
      <c r="Z133" s="85">
        <f t="shared" si="42"/>
        <v>17</v>
      </c>
      <c r="AA133" s="85">
        <v>0</v>
      </c>
      <c r="AB133" s="85">
        <v>0</v>
      </c>
      <c r="AC133" s="85">
        <v>2</v>
      </c>
      <c r="AD133" s="85">
        <v>4</v>
      </c>
      <c r="AE133" s="85">
        <v>11</v>
      </c>
      <c r="AF133" s="81"/>
      <c r="AI133" s="89" t="s">
        <v>501</v>
      </c>
      <c r="AJ133" s="85" t="s">
        <v>807</v>
      </c>
      <c r="AK133" s="85">
        <f t="shared" si="43"/>
        <v>60</v>
      </c>
      <c r="AL133" s="85">
        <v>0</v>
      </c>
      <c r="AM133" s="85">
        <v>2</v>
      </c>
      <c r="AN133" s="85">
        <v>22</v>
      </c>
      <c r="AO133" s="85">
        <v>15</v>
      </c>
      <c r="AP133" s="85">
        <v>21</v>
      </c>
      <c r="AS133" s="89" t="s">
        <v>501</v>
      </c>
      <c r="AT133" s="85" t="s">
        <v>807</v>
      </c>
      <c r="AU133" s="85">
        <f t="shared" si="44"/>
        <v>65</v>
      </c>
      <c r="AV133" s="85">
        <v>0</v>
      </c>
      <c r="AW133" s="85">
        <v>2</v>
      </c>
      <c r="AX133" s="85">
        <v>21</v>
      </c>
      <c r="AY133" s="85">
        <v>18</v>
      </c>
      <c r="AZ133" s="85">
        <v>24</v>
      </c>
    </row>
    <row r="134" spans="2:52" x14ac:dyDescent="0.2">
      <c r="B134" s="89" t="s">
        <v>812</v>
      </c>
      <c r="C134" s="85" t="s">
        <v>6108</v>
      </c>
      <c r="D134" s="85">
        <f t="shared" si="40"/>
        <v>11</v>
      </c>
      <c r="E134" s="85">
        <v>0</v>
      </c>
      <c r="F134" s="85">
        <v>0</v>
      </c>
      <c r="G134" s="85">
        <v>5</v>
      </c>
      <c r="H134" s="85">
        <v>4</v>
      </c>
      <c r="I134" s="85">
        <v>2</v>
      </c>
      <c r="M134" s="89" t="s">
        <v>813</v>
      </c>
      <c r="N134" s="85" t="s">
        <v>814</v>
      </c>
      <c r="O134" s="85">
        <f t="shared" si="41"/>
        <v>14</v>
      </c>
      <c r="P134" s="85">
        <v>0</v>
      </c>
      <c r="Q134" s="85">
        <v>0</v>
      </c>
      <c r="R134" s="85">
        <v>1</v>
      </c>
      <c r="S134" s="85">
        <v>3</v>
      </c>
      <c r="T134" s="85">
        <v>10</v>
      </c>
      <c r="X134" s="89" t="s">
        <v>815</v>
      </c>
      <c r="Y134" s="85" t="s">
        <v>816</v>
      </c>
      <c r="Z134" s="85">
        <f t="shared" si="42"/>
        <v>16</v>
      </c>
      <c r="AA134" s="85">
        <v>0</v>
      </c>
      <c r="AB134" s="85">
        <v>0</v>
      </c>
      <c r="AC134" s="85">
        <v>2</v>
      </c>
      <c r="AD134" s="85">
        <v>5</v>
      </c>
      <c r="AE134" s="85">
        <v>9</v>
      </c>
      <c r="AF134" s="81"/>
      <c r="AI134" s="89" t="s">
        <v>785</v>
      </c>
      <c r="AJ134" s="85" t="s">
        <v>817</v>
      </c>
      <c r="AK134" s="85">
        <f t="shared" si="43"/>
        <v>56</v>
      </c>
      <c r="AL134" s="85">
        <v>0</v>
      </c>
      <c r="AM134" s="85">
        <v>0</v>
      </c>
      <c r="AN134" s="85">
        <v>22</v>
      </c>
      <c r="AO134" s="85">
        <v>15</v>
      </c>
      <c r="AP134" s="85">
        <v>19</v>
      </c>
      <c r="AS134" s="89" t="s">
        <v>785</v>
      </c>
      <c r="AT134" s="85" t="s">
        <v>817</v>
      </c>
      <c r="AU134" s="85">
        <f t="shared" si="44"/>
        <v>75</v>
      </c>
      <c r="AV134" s="85">
        <v>0</v>
      </c>
      <c r="AW134" s="85">
        <v>0</v>
      </c>
      <c r="AX134" s="85">
        <v>9</v>
      </c>
      <c r="AY134" s="85">
        <v>37</v>
      </c>
      <c r="AZ134" s="85">
        <v>29</v>
      </c>
    </row>
    <row r="135" spans="2:52" x14ac:dyDescent="0.2">
      <c r="B135" s="89" t="s">
        <v>6109</v>
      </c>
      <c r="C135" s="85" t="s">
        <v>818</v>
      </c>
      <c r="D135" s="85">
        <f t="shared" si="40"/>
        <v>10</v>
      </c>
      <c r="E135" s="85">
        <v>0</v>
      </c>
      <c r="F135" s="85">
        <v>0</v>
      </c>
      <c r="G135" s="85">
        <v>1</v>
      </c>
      <c r="H135" s="85">
        <v>0</v>
      </c>
      <c r="I135" s="85">
        <v>9</v>
      </c>
      <c r="M135" s="89" t="s">
        <v>496</v>
      </c>
      <c r="N135" s="85" t="s">
        <v>819</v>
      </c>
      <c r="O135" s="85">
        <f t="shared" si="41"/>
        <v>14</v>
      </c>
      <c r="P135" s="85">
        <v>0</v>
      </c>
      <c r="Q135" s="85">
        <v>0</v>
      </c>
      <c r="R135" s="85">
        <v>0</v>
      </c>
      <c r="S135" s="85">
        <v>7</v>
      </c>
      <c r="T135" s="85">
        <v>7</v>
      </c>
      <c r="X135" s="89" t="s">
        <v>794</v>
      </c>
      <c r="Y135" s="85" t="s">
        <v>820</v>
      </c>
      <c r="Z135" s="85">
        <f t="shared" si="42"/>
        <v>14</v>
      </c>
      <c r="AA135" s="85">
        <v>0</v>
      </c>
      <c r="AB135" s="85">
        <v>0</v>
      </c>
      <c r="AC135" s="85">
        <v>4</v>
      </c>
      <c r="AD135" s="85">
        <v>4</v>
      </c>
      <c r="AE135" s="85">
        <v>6</v>
      </c>
      <c r="AF135" s="81"/>
      <c r="AI135" s="89" t="s">
        <v>805</v>
      </c>
      <c r="AJ135" s="85" t="s">
        <v>821</v>
      </c>
      <c r="AK135" s="85">
        <f t="shared" si="43"/>
        <v>55</v>
      </c>
      <c r="AL135" s="85">
        <v>0</v>
      </c>
      <c r="AM135" s="85">
        <v>0</v>
      </c>
      <c r="AN135" s="85">
        <v>24</v>
      </c>
      <c r="AO135" s="85">
        <v>15</v>
      </c>
      <c r="AP135" s="85">
        <v>16</v>
      </c>
      <c r="AS135" s="89" t="s">
        <v>805</v>
      </c>
      <c r="AT135" s="85" t="s">
        <v>821</v>
      </c>
      <c r="AU135" s="85">
        <f t="shared" si="44"/>
        <v>22</v>
      </c>
      <c r="AV135" s="85">
        <v>0</v>
      </c>
      <c r="AW135" s="85">
        <v>1</v>
      </c>
      <c r="AX135" s="85">
        <v>4</v>
      </c>
      <c r="AY135" s="85">
        <v>11</v>
      </c>
      <c r="AZ135" s="85">
        <v>6</v>
      </c>
    </row>
    <row r="136" spans="2:52" x14ac:dyDescent="0.2">
      <c r="B136" s="89" t="s">
        <v>822</v>
      </c>
      <c r="C136" s="85" t="s">
        <v>6110</v>
      </c>
      <c r="D136" s="85">
        <f t="shared" si="40"/>
        <v>10</v>
      </c>
      <c r="E136" s="85">
        <v>0</v>
      </c>
      <c r="F136" s="85">
        <v>0</v>
      </c>
      <c r="G136" s="85">
        <v>1</v>
      </c>
      <c r="H136" s="85">
        <v>2</v>
      </c>
      <c r="I136" s="85">
        <v>7</v>
      </c>
      <c r="M136" s="89" t="s">
        <v>815</v>
      </c>
      <c r="N136" s="85" t="s">
        <v>823</v>
      </c>
      <c r="O136" s="85">
        <f t="shared" si="41"/>
        <v>13</v>
      </c>
      <c r="P136" s="85">
        <v>0</v>
      </c>
      <c r="Q136" s="85">
        <v>4</v>
      </c>
      <c r="R136" s="85">
        <v>5</v>
      </c>
      <c r="S136" s="85">
        <v>4</v>
      </c>
      <c r="T136" s="85">
        <v>0</v>
      </c>
      <c r="X136" s="89" t="s">
        <v>824</v>
      </c>
      <c r="Y136" s="85" t="s">
        <v>798</v>
      </c>
      <c r="Z136" s="85">
        <f t="shared" si="42"/>
        <v>14</v>
      </c>
      <c r="AA136" s="85">
        <v>0</v>
      </c>
      <c r="AB136" s="85">
        <v>0</v>
      </c>
      <c r="AC136" s="85">
        <v>2</v>
      </c>
      <c r="AD136" s="85">
        <v>8</v>
      </c>
      <c r="AE136" s="85">
        <v>4</v>
      </c>
      <c r="AF136" s="81"/>
      <c r="AI136" s="89" t="s">
        <v>825</v>
      </c>
      <c r="AJ136" s="85" t="s">
        <v>802</v>
      </c>
      <c r="AK136" s="85">
        <f t="shared" si="43"/>
        <v>44</v>
      </c>
      <c r="AL136" s="85">
        <v>0</v>
      </c>
      <c r="AM136" s="85">
        <v>0</v>
      </c>
      <c r="AN136" s="85">
        <v>12</v>
      </c>
      <c r="AO136" s="85">
        <v>18</v>
      </c>
      <c r="AP136" s="85">
        <v>14</v>
      </c>
      <c r="AS136" s="89" t="s">
        <v>825</v>
      </c>
      <c r="AT136" s="85" t="s">
        <v>802</v>
      </c>
      <c r="AU136" s="85">
        <f t="shared" si="44"/>
        <v>14</v>
      </c>
      <c r="AV136" s="85">
        <v>0</v>
      </c>
      <c r="AW136" s="85">
        <v>0</v>
      </c>
      <c r="AX136" s="85">
        <v>0</v>
      </c>
      <c r="AY136" s="85">
        <v>4</v>
      </c>
      <c r="AZ136" s="85">
        <v>10</v>
      </c>
    </row>
    <row r="137" spans="2:52" x14ac:dyDescent="0.2">
      <c r="B137" s="89" t="s">
        <v>797</v>
      </c>
      <c r="C137" s="85" t="s">
        <v>826</v>
      </c>
      <c r="D137" s="85">
        <f t="shared" si="40"/>
        <v>10</v>
      </c>
      <c r="E137" s="85">
        <v>0</v>
      </c>
      <c r="F137" s="85">
        <v>2</v>
      </c>
      <c r="G137" s="85">
        <v>6</v>
      </c>
      <c r="H137" s="85">
        <v>1</v>
      </c>
      <c r="I137" s="85">
        <v>1</v>
      </c>
      <c r="M137" s="89" t="s">
        <v>812</v>
      </c>
      <c r="N137" s="85" t="s">
        <v>818</v>
      </c>
      <c r="O137" s="85">
        <f t="shared" si="41"/>
        <v>12</v>
      </c>
      <c r="P137" s="85">
        <v>0</v>
      </c>
      <c r="Q137" s="85">
        <v>0</v>
      </c>
      <c r="R137" s="85">
        <v>0</v>
      </c>
      <c r="S137" s="85">
        <v>3</v>
      </c>
      <c r="T137" s="85">
        <v>9</v>
      </c>
      <c r="X137" s="89" t="s">
        <v>498</v>
      </c>
      <c r="Y137" s="85" t="s">
        <v>827</v>
      </c>
      <c r="Z137" s="85">
        <f t="shared" si="42"/>
        <v>13</v>
      </c>
      <c r="AA137" s="85">
        <v>0</v>
      </c>
      <c r="AB137" s="85">
        <v>0</v>
      </c>
      <c r="AC137" s="85">
        <v>3</v>
      </c>
      <c r="AD137" s="85">
        <v>4</v>
      </c>
      <c r="AE137" s="85">
        <v>6</v>
      </c>
      <c r="AF137" s="81"/>
      <c r="AI137" s="89" t="s">
        <v>790</v>
      </c>
      <c r="AJ137" s="85" t="s">
        <v>828</v>
      </c>
      <c r="AK137" s="85">
        <f t="shared" si="43"/>
        <v>53</v>
      </c>
      <c r="AL137" s="85">
        <v>0</v>
      </c>
      <c r="AM137" s="85">
        <v>0</v>
      </c>
      <c r="AN137" s="85">
        <v>13</v>
      </c>
      <c r="AO137" s="85">
        <v>24</v>
      </c>
      <c r="AP137" s="85">
        <v>16</v>
      </c>
      <c r="AS137" s="89" t="s">
        <v>790</v>
      </c>
      <c r="AT137" s="85" t="s">
        <v>828</v>
      </c>
      <c r="AU137" s="85">
        <f t="shared" si="44"/>
        <v>2</v>
      </c>
      <c r="AV137" s="85">
        <v>0</v>
      </c>
      <c r="AW137" s="85">
        <v>0</v>
      </c>
      <c r="AX137" s="85">
        <v>0</v>
      </c>
      <c r="AY137" s="85">
        <v>0</v>
      </c>
      <c r="AZ137" s="85">
        <v>2</v>
      </c>
    </row>
    <row r="138" spans="2:52" x14ac:dyDescent="0.2">
      <c r="B138" s="89" t="s">
        <v>829</v>
      </c>
      <c r="C138" s="85" t="s">
        <v>830</v>
      </c>
      <c r="D138" s="85">
        <f t="shared" si="40"/>
        <v>10</v>
      </c>
      <c r="E138" s="85">
        <v>0</v>
      </c>
      <c r="F138" s="85">
        <v>0</v>
      </c>
      <c r="G138" s="85">
        <v>0</v>
      </c>
      <c r="H138" s="85">
        <v>0</v>
      </c>
      <c r="I138" s="85">
        <v>10</v>
      </c>
      <c r="M138" s="89" t="s">
        <v>831</v>
      </c>
      <c r="N138" s="85" t="s">
        <v>799</v>
      </c>
      <c r="O138" s="85">
        <f t="shared" si="41"/>
        <v>12</v>
      </c>
      <c r="P138" s="85">
        <v>0</v>
      </c>
      <c r="Q138" s="85">
        <v>0</v>
      </c>
      <c r="R138" s="85">
        <v>0</v>
      </c>
      <c r="S138" s="85">
        <v>1</v>
      </c>
      <c r="T138" s="85">
        <v>11</v>
      </c>
      <c r="X138" s="89" t="s">
        <v>808</v>
      </c>
      <c r="Y138" s="85" t="s">
        <v>832</v>
      </c>
      <c r="Z138" s="85">
        <f t="shared" si="42"/>
        <v>9</v>
      </c>
      <c r="AA138" s="85">
        <v>0</v>
      </c>
      <c r="AB138" s="85">
        <v>1</v>
      </c>
      <c r="AC138" s="85">
        <v>0</v>
      </c>
      <c r="AD138" s="85">
        <v>3</v>
      </c>
      <c r="AE138" s="85">
        <v>5</v>
      </c>
      <c r="AF138" s="81"/>
      <c r="AI138" s="89" t="s">
        <v>833</v>
      </c>
      <c r="AJ138" s="85" t="s">
        <v>834</v>
      </c>
      <c r="AK138" s="85">
        <f t="shared" si="43"/>
        <v>59</v>
      </c>
      <c r="AL138" s="85">
        <v>0</v>
      </c>
      <c r="AM138" s="85">
        <v>10</v>
      </c>
      <c r="AN138" s="85">
        <v>11</v>
      </c>
      <c r="AO138" s="85">
        <v>23</v>
      </c>
      <c r="AP138" s="85">
        <v>15</v>
      </c>
      <c r="AS138" s="89" t="s">
        <v>833</v>
      </c>
      <c r="AT138" s="85" t="s">
        <v>834</v>
      </c>
      <c r="AU138" s="85">
        <f t="shared" si="44"/>
        <v>3</v>
      </c>
      <c r="AV138" s="85">
        <v>0</v>
      </c>
      <c r="AW138" s="85">
        <v>0</v>
      </c>
      <c r="AX138" s="85">
        <v>1</v>
      </c>
      <c r="AY138" s="85">
        <v>2</v>
      </c>
      <c r="AZ138" s="85">
        <v>0</v>
      </c>
    </row>
    <row r="139" spans="2:52" x14ac:dyDescent="0.2">
      <c r="B139" s="89" t="s">
        <v>6111</v>
      </c>
      <c r="C139" s="85" t="s">
        <v>6112</v>
      </c>
      <c r="D139" s="85">
        <f t="shared" si="40"/>
        <v>9</v>
      </c>
      <c r="E139" s="85">
        <v>0</v>
      </c>
      <c r="F139" s="85">
        <v>0</v>
      </c>
      <c r="G139" s="85">
        <v>3</v>
      </c>
      <c r="H139" s="85">
        <v>3</v>
      </c>
      <c r="I139" s="85">
        <v>3</v>
      </c>
      <c r="M139" s="89" t="s">
        <v>833</v>
      </c>
      <c r="N139" s="85" t="s">
        <v>835</v>
      </c>
      <c r="O139" s="85">
        <f t="shared" si="41"/>
        <v>11</v>
      </c>
      <c r="P139" s="85">
        <v>0</v>
      </c>
      <c r="Q139" s="85">
        <v>0</v>
      </c>
      <c r="R139" s="85">
        <v>3</v>
      </c>
      <c r="S139" s="85">
        <v>3</v>
      </c>
      <c r="T139" s="85">
        <v>5</v>
      </c>
      <c r="X139" s="89" t="s">
        <v>836</v>
      </c>
      <c r="Y139" s="85" t="s">
        <v>837</v>
      </c>
      <c r="Z139" s="85">
        <f t="shared" si="42"/>
        <v>16</v>
      </c>
      <c r="AA139" s="85">
        <v>0</v>
      </c>
      <c r="AB139" s="85">
        <v>0</v>
      </c>
      <c r="AC139" s="85">
        <v>4</v>
      </c>
      <c r="AD139" s="85">
        <v>1</v>
      </c>
      <c r="AE139" s="85">
        <v>11</v>
      </c>
      <c r="AF139" s="81"/>
      <c r="AI139" s="89" t="s">
        <v>838</v>
      </c>
      <c r="AJ139" s="85" t="s">
        <v>839</v>
      </c>
      <c r="AK139" s="85">
        <f t="shared" si="43"/>
        <v>57</v>
      </c>
      <c r="AL139" s="85">
        <v>0</v>
      </c>
      <c r="AM139" s="85">
        <v>0</v>
      </c>
      <c r="AN139" s="85">
        <v>14</v>
      </c>
      <c r="AO139" s="85">
        <v>21</v>
      </c>
      <c r="AP139" s="85">
        <v>22</v>
      </c>
      <c r="AS139" s="89" t="s">
        <v>838</v>
      </c>
      <c r="AT139" s="85" t="s">
        <v>839</v>
      </c>
      <c r="AU139" s="85">
        <f t="shared" si="44"/>
        <v>1</v>
      </c>
      <c r="AV139" s="85">
        <v>0</v>
      </c>
      <c r="AW139" s="85">
        <v>0</v>
      </c>
      <c r="AX139" s="85">
        <v>0</v>
      </c>
      <c r="AY139" s="85">
        <v>0</v>
      </c>
      <c r="AZ139" s="85">
        <v>1</v>
      </c>
    </row>
    <row r="140" spans="2:52" x14ac:dyDescent="0.2">
      <c r="B140" s="89" t="s">
        <v>833</v>
      </c>
      <c r="C140" s="85" t="s">
        <v>840</v>
      </c>
      <c r="D140" s="85">
        <f t="shared" si="40"/>
        <v>8</v>
      </c>
      <c r="E140" s="85">
        <v>0</v>
      </c>
      <c r="F140" s="85">
        <v>0</v>
      </c>
      <c r="G140" s="85">
        <v>0</v>
      </c>
      <c r="H140" s="85">
        <v>5</v>
      </c>
      <c r="I140" s="85">
        <v>3</v>
      </c>
      <c r="M140" s="89" t="s">
        <v>824</v>
      </c>
      <c r="N140" s="85" t="s">
        <v>841</v>
      </c>
      <c r="O140" s="85">
        <f t="shared" si="41"/>
        <v>11</v>
      </c>
      <c r="P140" s="85">
        <v>0</v>
      </c>
      <c r="Q140" s="85">
        <v>0</v>
      </c>
      <c r="R140" s="85">
        <v>0</v>
      </c>
      <c r="S140" s="85">
        <v>6</v>
      </c>
      <c r="T140" s="85">
        <v>5</v>
      </c>
      <c r="X140" s="89" t="s">
        <v>797</v>
      </c>
      <c r="Y140" s="85" t="s">
        <v>803</v>
      </c>
      <c r="Z140" s="85">
        <f t="shared" si="42"/>
        <v>10</v>
      </c>
      <c r="AA140" s="85">
        <v>0</v>
      </c>
      <c r="AB140" s="85">
        <v>2</v>
      </c>
      <c r="AC140" s="85">
        <v>4</v>
      </c>
      <c r="AD140" s="85">
        <v>3</v>
      </c>
      <c r="AE140" s="85">
        <v>1</v>
      </c>
      <c r="AF140" s="81"/>
      <c r="AI140" s="89" t="s">
        <v>842</v>
      </c>
      <c r="AJ140" s="85" t="s">
        <v>843</v>
      </c>
      <c r="AK140" s="85">
        <f t="shared" si="43"/>
        <v>53</v>
      </c>
      <c r="AL140" s="85">
        <v>0</v>
      </c>
      <c r="AM140" s="85">
        <v>12</v>
      </c>
      <c r="AN140" s="85">
        <v>14</v>
      </c>
      <c r="AO140" s="85">
        <v>16</v>
      </c>
      <c r="AP140" s="85">
        <v>11</v>
      </c>
      <c r="AS140" s="89" t="s">
        <v>842</v>
      </c>
      <c r="AT140" s="85" t="s">
        <v>843</v>
      </c>
      <c r="AU140" s="85">
        <f t="shared" si="44"/>
        <v>55</v>
      </c>
      <c r="AV140" s="85">
        <v>0</v>
      </c>
      <c r="AW140" s="85">
        <v>12</v>
      </c>
      <c r="AX140" s="85">
        <v>13</v>
      </c>
      <c r="AY140" s="85">
        <v>18</v>
      </c>
      <c r="AZ140" s="85">
        <v>12</v>
      </c>
    </row>
    <row r="141" spans="2:52" x14ac:dyDescent="0.2">
      <c r="B141" s="89" t="s">
        <v>498</v>
      </c>
      <c r="C141" s="85" t="s">
        <v>835</v>
      </c>
      <c r="D141" s="85">
        <f t="shared" si="40"/>
        <v>8</v>
      </c>
      <c r="E141" s="85">
        <v>0</v>
      </c>
      <c r="F141" s="85">
        <v>1</v>
      </c>
      <c r="G141" s="85">
        <v>5</v>
      </c>
      <c r="H141" s="85">
        <v>1</v>
      </c>
      <c r="I141" s="85">
        <v>1</v>
      </c>
      <c r="M141" s="89" t="s">
        <v>491</v>
      </c>
      <c r="N141" s="85" t="s">
        <v>844</v>
      </c>
      <c r="O141" s="85">
        <f t="shared" si="41"/>
        <v>10</v>
      </c>
      <c r="P141" s="85">
        <v>0</v>
      </c>
      <c r="Q141" s="85">
        <v>0</v>
      </c>
      <c r="R141" s="85">
        <v>6</v>
      </c>
      <c r="S141" s="85">
        <v>1</v>
      </c>
      <c r="T141" s="85">
        <v>3</v>
      </c>
      <c r="X141" s="89" t="s">
        <v>493</v>
      </c>
      <c r="Y141" s="85" t="s">
        <v>821</v>
      </c>
      <c r="Z141" s="85">
        <f t="shared" si="42"/>
        <v>6</v>
      </c>
      <c r="AA141" s="85">
        <v>0</v>
      </c>
      <c r="AB141" s="85">
        <v>4</v>
      </c>
      <c r="AC141" s="85">
        <v>0</v>
      </c>
      <c r="AD141" s="85">
        <v>1</v>
      </c>
      <c r="AE141" s="85">
        <v>1</v>
      </c>
      <c r="AF141" s="81"/>
      <c r="AI141" s="89" t="s">
        <v>498</v>
      </c>
      <c r="AJ141" s="85" t="s">
        <v>845</v>
      </c>
      <c r="AK141" s="85">
        <f t="shared" si="43"/>
        <v>53</v>
      </c>
      <c r="AL141" s="85">
        <v>0</v>
      </c>
      <c r="AM141" s="85">
        <v>14</v>
      </c>
      <c r="AN141" s="85">
        <v>17</v>
      </c>
      <c r="AO141" s="85">
        <v>21</v>
      </c>
      <c r="AP141" s="85">
        <v>1</v>
      </c>
      <c r="AS141" s="89" t="s">
        <v>498</v>
      </c>
      <c r="AT141" s="85" t="s">
        <v>845</v>
      </c>
      <c r="AU141" s="85">
        <f t="shared" si="44"/>
        <v>55</v>
      </c>
      <c r="AV141" s="85">
        <v>0</v>
      </c>
      <c r="AW141" s="85">
        <v>13</v>
      </c>
      <c r="AX141" s="85">
        <v>18</v>
      </c>
      <c r="AY141" s="85">
        <v>22</v>
      </c>
      <c r="AZ141" s="85">
        <v>2</v>
      </c>
    </row>
    <row r="142" spans="2:52" x14ac:dyDescent="0.2">
      <c r="B142" s="89" t="s">
        <v>6113</v>
      </c>
      <c r="C142" s="85" t="s">
        <v>6114</v>
      </c>
      <c r="D142" s="85">
        <f t="shared" si="40"/>
        <v>7</v>
      </c>
      <c r="E142" s="85">
        <v>0</v>
      </c>
      <c r="F142" s="85">
        <v>0</v>
      </c>
      <c r="G142" s="85">
        <v>0</v>
      </c>
      <c r="H142" s="85">
        <v>7</v>
      </c>
      <c r="I142" s="85">
        <v>0</v>
      </c>
      <c r="M142" s="89" t="s">
        <v>846</v>
      </c>
      <c r="N142" s="85" t="s">
        <v>847</v>
      </c>
      <c r="O142" s="85">
        <f t="shared" si="41"/>
        <v>10</v>
      </c>
      <c r="P142" s="85">
        <v>0</v>
      </c>
      <c r="Q142" s="85">
        <v>0</v>
      </c>
      <c r="R142" s="85">
        <v>0</v>
      </c>
      <c r="S142" s="85">
        <v>1</v>
      </c>
      <c r="T142" s="85">
        <v>9</v>
      </c>
      <c r="X142" s="89" t="s">
        <v>838</v>
      </c>
      <c r="Y142" s="85" t="s">
        <v>839</v>
      </c>
      <c r="Z142" s="85">
        <f t="shared" si="42"/>
        <v>11</v>
      </c>
      <c r="AA142" s="85">
        <v>0</v>
      </c>
      <c r="AB142" s="85">
        <v>0</v>
      </c>
      <c r="AC142" s="85">
        <v>1</v>
      </c>
      <c r="AD142" s="85">
        <v>5</v>
      </c>
      <c r="AE142" s="85">
        <v>5</v>
      </c>
      <c r="AF142" s="81"/>
      <c r="AI142" s="89" t="s">
        <v>812</v>
      </c>
      <c r="AJ142" s="85" t="s">
        <v>820</v>
      </c>
      <c r="AK142" s="85">
        <f t="shared" si="43"/>
        <v>40</v>
      </c>
      <c r="AL142" s="85">
        <v>0</v>
      </c>
      <c r="AM142" s="85">
        <v>0</v>
      </c>
      <c r="AN142" s="85">
        <v>11</v>
      </c>
      <c r="AO142" s="85">
        <v>15</v>
      </c>
      <c r="AP142" s="85">
        <v>14</v>
      </c>
      <c r="AS142" s="89" t="s">
        <v>812</v>
      </c>
      <c r="AT142" s="85" t="s">
        <v>820</v>
      </c>
      <c r="AU142" s="85">
        <f t="shared" si="44"/>
        <v>183</v>
      </c>
      <c r="AV142" s="85">
        <v>0</v>
      </c>
      <c r="AW142" s="85">
        <v>0</v>
      </c>
      <c r="AX142" s="85">
        <v>3</v>
      </c>
      <c r="AY142" s="85">
        <v>79</v>
      </c>
      <c r="AZ142" s="85">
        <v>101</v>
      </c>
    </row>
    <row r="143" spans="2:52" x14ac:dyDescent="0.2">
      <c r="B143" s="89" t="s">
        <v>500</v>
      </c>
      <c r="C143" s="85" t="s">
        <v>6115</v>
      </c>
      <c r="D143" s="85">
        <f t="shared" si="40"/>
        <v>7</v>
      </c>
      <c r="E143" s="85">
        <v>0</v>
      </c>
      <c r="F143" s="85">
        <v>0</v>
      </c>
      <c r="G143" s="85">
        <v>0</v>
      </c>
      <c r="H143" s="85">
        <v>1</v>
      </c>
      <c r="I143" s="85">
        <v>6</v>
      </c>
      <c r="M143" s="89" t="s">
        <v>848</v>
      </c>
      <c r="N143" s="85" t="s">
        <v>849</v>
      </c>
      <c r="O143" s="85">
        <f t="shared" si="41"/>
        <v>10</v>
      </c>
      <c r="P143" s="85">
        <v>0</v>
      </c>
      <c r="Q143" s="85">
        <v>0</v>
      </c>
      <c r="R143" s="85">
        <v>1</v>
      </c>
      <c r="S143" s="85">
        <v>4</v>
      </c>
      <c r="T143" s="85">
        <v>5</v>
      </c>
      <c r="X143" s="89" t="s">
        <v>842</v>
      </c>
      <c r="Y143" s="85" t="s">
        <v>834</v>
      </c>
      <c r="Z143" s="85">
        <f t="shared" si="42"/>
        <v>10</v>
      </c>
      <c r="AA143" s="85">
        <v>0</v>
      </c>
      <c r="AB143" s="85">
        <v>0</v>
      </c>
      <c r="AC143" s="85">
        <v>3</v>
      </c>
      <c r="AD143" s="85">
        <v>3</v>
      </c>
      <c r="AE143" s="85">
        <v>4</v>
      </c>
      <c r="AF143" s="81"/>
      <c r="AI143" s="89" t="s">
        <v>850</v>
      </c>
      <c r="AJ143" s="85" t="s">
        <v>851</v>
      </c>
      <c r="AK143" s="85">
        <f t="shared" si="43"/>
        <v>32</v>
      </c>
      <c r="AL143" s="85">
        <v>0</v>
      </c>
      <c r="AM143" s="85">
        <v>2</v>
      </c>
      <c r="AN143" s="85">
        <v>13</v>
      </c>
      <c r="AO143" s="85">
        <v>13</v>
      </c>
      <c r="AP143" s="85">
        <v>4</v>
      </c>
      <c r="AS143" s="89" t="s">
        <v>850</v>
      </c>
      <c r="AT143" s="85" t="s">
        <v>851</v>
      </c>
      <c r="AU143" s="85">
        <f t="shared" si="44"/>
        <v>172</v>
      </c>
      <c r="AV143" s="85">
        <v>0</v>
      </c>
      <c r="AW143" s="85">
        <v>0</v>
      </c>
      <c r="AX143" s="85">
        <v>2</v>
      </c>
      <c r="AY143" s="85">
        <v>48</v>
      </c>
      <c r="AZ143" s="85">
        <v>122</v>
      </c>
    </row>
    <row r="144" spans="2:52" x14ac:dyDescent="0.2">
      <c r="B144" s="89" t="s">
        <v>6116</v>
      </c>
      <c r="C144" s="85" t="s">
        <v>788</v>
      </c>
      <c r="D144" s="85">
        <f t="shared" si="40"/>
        <v>7</v>
      </c>
      <c r="E144" s="85">
        <v>0</v>
      </c>
      <c r="F144" s="85">
        <v>0</v>
      </c>
      <c r="G144" s="85">
        <v>1</v>
      </c>
      <c r="H144" s="85">
        <v>5</v>
      </c>
      <c r="I144" s="85">
        <v>1</v>
      </c>
      <c r="M144" s="89" t="s">
        <v>836</v>
      </c>
      <c r="N144" s="85" t="s">
        <v>852</v>
      </c>
      <c r="O144" s="85">
        <f t="shared" si="41"/>
        <v>10</v>
      </c>
      <c r="P144" s="85">
        <v>0</v>
      </c>
      <c r="Q144" s="85">
        <v>0</v>
      </c>
      <c r="R144" s="85">
        <v>2</v>
      </c>
      <c r="S144" s="85">
        <v>3</v>
      </c>
      <c r="T144" s="85">
        <v>5</v>
      </c>
      <c r="X144" s="89" t="s">
        <v>853</v>
      </c>
      <c r="Y144" s="85" t="s">
        <v>828</v>
      </c>
      <c r="Z144" s="85">
        <f t="shared" si="42"/>
        <v>5</v>
      </c>
      <c r="AA144" s="85">
        <v>0</v>
      </c>
      <c r="AB144" s="85">
        <v>5</v>
      </c>
      <c r="AC144" s="85">
        <v>0</v>
      </c>
      <c r="AD144" s="85">
        <v>0</v>
      </c>
      <c r="AE144" s="85">
        <v>0</v>
      </c>
      <c r="AF144" s="81"/>
      <c r="AI144" s="89" t="s">
        <v>824</v>
      </c>
      <c r="AJ144" s="85" t="s">
        <v>854</v>
      </c>
      <c r="AK144" s="85">
        <f t="shared" si="43"/>
        <v>28</v>
      </c>
      <c r="AL144" s="85">
        <v>0</v>
      </c>
      <c r="AM144" s="85">
        <v>5</v>
      </c>
      <c r="AN144" s="85">
        <v>2</v>
      </c>
      <c r="AO144" s="85">
        <v>5</v>
      </c>
      <c r="AP144" s="85">
        <v>16</v>
      </c>
      <c r="AS144" s="89" t="s">
        <v>824</v>
      </c>
      <c r="AT144" s="85" t="s">
        <v>854</v>
      </c>
      <c r="AU144" s="85">
        <f t="shared" si="44"/>
        <v>28</v>
      </c>
      <c r="AV144" s="85">
        <v>0</v>
      </c>
      <c r="AW144" s="85">
        <v>4</v>
      </c>
      <c r="AX144" s="85">
        <v>3</v>
      </c>
      <c r="AY144" s="85">
        <v>6</v>
      </c>
      <c r="AZ144" s="85">
        <v>15</v>
      </c>
    </row>
    <row r="145" spans="2:52" x14ac:dyDescent="0.2">
      <c r="B145" s="89"/>
      <c r="C145" s="85" t="s">
        <v>577</v>
      </c>
      <c r="D145" s="85">
        <f t="shared" si="40"/>
        <v>538</v>
      </c>
      <c r="E145" s="85">
        <v>1</v>
      </c>
      <c r="F145" s="85">
        <v>17</v>
      </c>
      <c r="G145" s="85">
        <v>94</v>
      </c>
      <c r="H145" s="85">
        <v>165</v>
      </c>
      <c r="I145" s="85">
        <v>261</v>
      </c>
      <c r="M145" s="89"/>
      <c r="N145" s="85" t="s">
        <v>577</v>
      </c>
      <c r="O145" s="85">
        <f t="shared" si="41"/>
        <v>660</v>
      </c>
      <c r="P145" s="85">
        <v>0</v>
      </c>
      <c r="Q145" s="85">
        <v>40</v>
      </c>
      <c r="R145" s="85">
        <v>97</v>
      </c>
      <c r="S145" s="85">
        <v>204</v>
      </c>
      <c r="T145" s="85">
        <v>319</v>
      </c>
      <c r="X145" s="89"/>
      <c r="Y145" s="85" t="s">
        <v>577</v>
      </c>
      <c r="Z145" s="85">
        <f t="shared" si="42"/>
        <v>518</v>
      </c>
      <c r="AA145" s="85">
        <v>0</v>
      </c>
      <c r="AB145" s="85">
        <v>14</v>
      </c>
      <c r="AC145" s="85">
        <v>83</v>
      </c>
      <c r="AD145" s="85">
        <v>146</v>
      </c>
      <c r="AE145" s="85">
        <v>275</v>
      </c>
      <c r="AF145" s="81"/>
      <c r="AI145" s="89"/>
      <c r="AJ145" s="85" t="s">
        <v>577</v>
      </c>
      <c r="AK145" s="85">
        <f t="shared" si="43"/>
        <v>518</v>
      </c>
      <c r="AL145" s="85">
        <v>0</v>
      </c>
      <c r="AM145" s="85">
        <v>14</v>
      </c>
      <c r="AN145" s="85">
        <v>83</v>
      </c>
      <c r="AO145" s="85">
        <v>146</v>
      </c>
      <c r="AP145" s="85">
        <v>275</v>
      </c>
      <c r="AS145" s="89"/>
      <c r="AT145" s="85" t="s">
        <v>577</v>
      </c>
      <c r="AU145" s="85">
        <f t="shared" si="44"/>
        <v>539</v>
      </c>
      <c r="AV145" s="85">
        <v>0</v>
      </c>
      <c r="AW145" s="85">
        <v>15</v>
      </c>
      <c r="AX145" s="85">
        <v>84</v>
      </c>
      <c r="AY145" s="85">
        <v>150</v>
      </c>
      <c r="AZ145" s="85">
        <v>290</v>
      </c>
    </row>
    <row r="146" spans="2:52" x14ac:dyDescent="0.2">
      <c r="B146" s="89"/>
      <c r="C146" s="96" t="s">
        <v>0</v>
      </c>
      <c r="D146" s="91">
        <f>SUM(D125:D145)</f>
        <v>854</v>
      </c>
      <c r="E146" s="91">
        <f>SUM(E125:E145)</f>
        <v>1</v>
      </c>
      <c r="F146" s="91">
        <f>SUM(F125:F145)</f>
        <v>26</v>
      </c>
      <c r="G146" s="91">
        <f t="shared" ref="G146:I146" si="45">SUM(G125:G145)</f>
        <v>132</v>
      </c>
      <c r="H146" s="91">
        <f t="shared" si="45"/>
        <v>254</v>
      </c>
      <c r="I146" s="91">
        <f t="shared" si="45"/>
        <v>441</v>
      </c>
      <c r="M146" s="89"/>
      <c r="N146" s="96" t="s">
        <v>0</v>
      </c>
      <c r="O146" s="91">
        <f t="shared" ref="O146:T146" si="46">SUM(O125:O145)</f>
        <v>1037</v>
      </c>
      <c r="P146" s="91">
        <f t="shared" si="46"/>
        <v>0</v>
      </c>
      <c r="Q146" s="91">
        <f t="shared" si="46"/>
        <v>48</v>
      </c>
      <c r="R146" s="91">
        <f t="shared" si="46"/>
        <v>139</v>
      </c>
      <c r="S146" s="91">
        <f t="shared" si="46"/>
        <v>318</v>
      </c>
      <c r="T146" s="91">
        <f t="shared" si="46"/>
        <v>532</v>
      </c>
      <c r="X146" s="89"/>
      <c r="Y146" s="96" t="s">
        <v>0</v>
      </c>
      <c r="Z146" s="85">
        <f t="shared" si="42"/>
        <v>901</v>
      </c>
      <c r="AA146" s="91">
        <f>SUM(AA125:AA145)</f>
        <v>0</v>
      </c>
      <c r="AB146" s="91">
        <f>SUM(AB125:AB145)</f>
        <v>36</v>
      </c>
      <c r="AC146" s="91">
        <f>SUM(AC125:AC145)</f>
        <v>147</v>
      </c>
      <c r="AD146" s="91">
        <f>SUM(AD125:AD145)</f>
        <v>245</v>
      </c>
      <c r="AE146" s="91">
        <f>SUM(AE125:AE145)</f>
        <v>473</v>
      </c>
      <c r="AF146" s="81"/>
      <c r="AI146" s="89"/>
      <c r="AJ146" s="96" t="s">
        <v>0</v>
      </c>
      <c r="AK146" s="85">
        <f t="shared" si="43"/>
        <v>1690</v>
      </c>
      <c r="AL146" s="91">
        <f>SUM(AL125:AL145)</f>
        <v>0</v>
      </c>
      <c r="AM146" s="91">
        <f>SUM(AM125:AM145)</f>
        <v>107</v>
      </c>
      <c r="AN146" s="91">
        <f>SUM(AN125:AN145)</f>
        <v>432</v>
      </c>
      <c r="AO146" s="91">
        <f>SUM(AO125:AO145)</f>
        <v>515</v>
      </c>
      <c r="AP146" s="91">
        <f>SUM(AP125:AP145)</f>
        <v>636</v>
      </c>
      <c r="AS146" s="89"/>
      <c r="AT146" s="96" t="s">
        <v>0</v>
      </c>
      <c r="AU146" s="87">
        <f>SUM(AV146:AZ146)</f>
        <v>1774</v>
      </c>
      <c r="AV146" s="91">
        <f>SUM(AV125:AV145)</f>
        <v>2</v>
      </c>
      <c r="AW146" s="91">
        <f>SUM(AW125:AW145)</f>
        <v>78</v>
      </c>
      <c r="AX146" s="91">
        <f>SUM(AX125:AX145)</f>
        <v>237</v>
      </c>
      <c r="AY146" s="91">
        <f>SUM(AY125:AY145)</f>
        <v>599</v>
      </c>
      <c r="AZ146" s="91">
        <f>SUM(AZ125:AZ145)</f>
        <v>858</v>
      </c>
    </row>
    <row r="147" spans="2:52" x14ac:dyDescent="0.2">
      <c r="B147" s="3949"/>
      <c r="M147" s="3949"/>
      <c r="X147" s="3949"/>
      <c r="Y147" s="81"/>
      <c r="Z147" s="81"/>
      <c r="AA147" s="81"/>
      <c r="AB147" s="81"/>
      <c r="AC147" s="81"/>
      <c r="AD147" s="81"/>
      <c r="AE147" s="81"/>
      <c r="AF147" s="81"/>
      <c r="AI147" s="3949"/>
      <c r="AJ147" s="81"/>
      <c r="AK147" s="81"/>
      <c r="AL147" s="81"/>
      <c r="AM147" s="81"/>
      <c r="AN147" s="81"/>
      <c r="AO147" s="81"/>
      <c r="AP147" s="81"/>
      <c r="AS147" s="3949"/>
      <c r="AT147" s="81"/>
      <c r="AU147" s="81"/>
      <c r="AV147" s="81"/>
      <c r="AW147" s="81"/>
      <c r="AX147" s="81"/>
      <c r="AY147" s="81"/>
      <c r="AZ147" s="81"/>
    </row>
    <row r="148" spans="2:52" x14ac:dyDescent="0.2">
      <c r="B148" s="3949"/>
      <c r="M148" s="3949"/>
      <c r="X148" s="3949"/>
      <c r="Y148" s="81"/>
      <c r="Z148" s="81"/>
      <c r="AA148" s="81"/>
      <c r="AB148" s="81"/>
      <c r="AC148" s="81"/>
      <c r="AD148" s="81"/>
      <c r="AE148" s="81"/>
      <c r="AF148" s="81"/>
      <c r="AI148" s="3949"/>
      <c r="AJ148" s="81"/>
      <c r="AK148" s="81"/>
      <c r="AL148" s="81"/>
      <c r="AM148" s="81"/>
      <c r="AN148" s="81"/>
      <c r="AO148" s="81"/>
      <c r="AP148" s="81"/>
      <c r="AS148" s="3949"/>
      <c r="AT148" s="81"/>
      <c r="AU148" s="81"/>
      <c r="AV148" s="81"/>
      <c r="AW148" s="81"/>
      <c r="AX148" s="81"/>
      <c r="AY148" s="81"/>
      <c r="AZ148" s="81"/>
    </row>
    <row r="149" spans="2:52" x14ac:dyDescent="0.2">
      <c r="B149" s="88" t="s">
        <v>757</v>
      </c>
      <c r="M149" s="88" t="s">
        <v>758</v>
      </c>
      <c r="X149" s="88" t="s">
        <v>479</v>
      </c>
      <c r="Y149" s="81"/>
      <c r="Z149" s="81"/>
      <c r="AA149" s="81"/>
      <c r="AB149" s="81"/>
      <c r="AC149" s="81"/>
      <c r="AD149" s="81"/>
      <c r="AE149" s="81"/>
      <c r="AF149" s="81"/>
      <c r="AI149" s="88" t="s">
        <v>1990</v>
      </c>
      <c r="AJ149" s="81"/>
      <c r="AK149" s="81"/>
      <c r="AL149" s="81"/>
      <c r="AM149" s="81"/>
      <c r="AN149" s="81"/>
      <c r="AO149" s="81"/>
      <c r="AP149" s="81"/>
      <c r="AS149" s="88" t="s">
        <v>3637</v>
      </c>
      <c r="AT149" s="81"/>
      <c r="AU149" s="81"/>
      <c r="AV149" s="81"/>
      <c r="AW149" s="81"/>
      <c r="AX149" s="81"/>
      <c r="AY149" s="81"/>
      <c r="AZ149" s="81"/>
    </row>
    <row r="150" spans="2:52" ht="11.25" customHeight="1" x14ac:dyDescent="0.2">
      <c r="B150" s="4258" t="s">
        <v>161</v>
      </c>
      <c r="C150" s="4258" t="s">
        <v>778</v>
      </c>
      <c r="D150" s="4258" t="s">
        <v>0</v>
      </c>
      <c r="E150" s="4260" t="s">
        <v>186</v>
      </c>
      <c r="F150" s="4261"/>
      <c r="G150" s="4261"/>
      <c r="H150" s="4261"/>
      <c r="I150" s="4262"/>
      <c r="M150" s="4258" t="s">
        <v>161</v>
      </c>
      <c r="N150" s="4258" t="s">
        <v>778</v>
      </c>
      <c r="O150" s="4258" t="s">
        <v>0</v>
      </c>
      <c r="P150" s="4260" t="s">
        <v>186</v>
      </c>
      <c r="Q150" s="4261"/>
      <c r="R150" s="4261"/>
      <c r="S150" s="4261"/>
      <c r="T150" s="4262"/>
      <c r="X150" s="4258" t="s">
        <v>161</v>
      </c>
      <c r="Y150" s="4258" t="s">
        <v>778</v>
      </c>
      <c r="Z150" s="4258" t="s">
        <v>0</v>
      </c>
      <c r="AA150" s="4260" t="s">
        <v>186</v>
      </c>
      <c r="AB150" s="4261"/>
      <c r="AC150" s="4261"/>
      <c r="AD150" s="4261"/>
      <c r="AE150" s="4262"/>
      <c r="AF150" s="81"/>
      <c r="AI150" s="4258" t="s">
        <v>161</v>
      </c>
      <c r="AJ150" s="4258" t="s">
        <v>778</v>
      </c>
      <c r="AK150" s="4258" t="s">
        <v>0</v>
      </c>
      <c r="AL150" s="4260" t="s">
        <v>186</v>
      </c>
      <c r="AM150" s="4261"/>
      <c r="AN150" s="4261"/>
      <c r="AO150" s="4261"/>
      <c r="AP150" s="4262"/>
      <c r="AS150" s="4258" t="s">
        <v>161</v>
      </c>
      <c r="AT150" s="4258" t="s">
        <v>778</v>
      </c>
      <c r="AU150" s="4258" t="s">
        <v>0</v>
      </c>
      <c r="AV150" s="4260" t="s">
        <v>186</v>
      </c>
      <c r="AW150" s="4261"/>
      <c r="AX150" s="4261"/>
      <c r="AY150" s="4261"/>
      <c r="AZ150" s="4262"/>
    </row>
    <row r="151" spans="2:52" x14ac:dyDescent="0.2">
      <c r="B151" s="4259"/>
      <c r="C151" s="4259"/>
      <c r="D151" s="4259"/>
      <c r="E151" s="3948" t="s">
        <v>743</v>
      </c>
      <c r="F151" s="3948" t="s">
        <v>744</v>
      </c>
      <c r="G151" s="3948" t="s">
        <v>745</v>
      </c>
      <c r="H151" s="3948" t="s">
        <v>746</v>
      </c>
      <c r="I151" s="3948" t="s">
        <v>747</v>
      </c>
      <c r="M151" s="4259"/>
      <c r="N151" s="4259"/>
      <c r="O151" s="4259"/>
      <c r="P151" s="3948" t="s">
        <v>743</v>
      </c>
      <c r="Q151" s="3948" t="s">
        <v>744</v>
      </c>
      <c r="R151" s="3948" t="s">
        <v>745</v>
      </c>
      <c r="S151" s="3948" t="s">
        <v>746</v>
      </c>
      <c r="T151" s="3948" t="s">
        <v>747</v>
      </c>
      <c r="X151" s="4259"/>
      <c r="Y151" s="4259"/>
      <c r="Z151" s="4259"/>
      <c r="AA151" s="3948" t="s">
        <v>743</v>
      </c>
      <c r="AB151" s="3948" t="s">
        <v>744</v>
      </c>
      <c r="AC151" s="3948" t="s">
        <v>745</v>
      </c>
      <c r="AD151" s="3948" t="s">
        <v>746</v>
      </c>
      <c r="AE151" s="3948" t="s">
        <v>747</v>
      </c>
      <c r="AF151" s="81"/>
      <c r="AI151" s="4259"/>
      <c r="AJ151" s="4259"/>
      <c r="AK151" s="4259"/>
      <c r="AL151" s="3948" t="s">
        <v>743</v>
      </c>
      <c r="AM151" s="3948" t="s">
        <v>744</v>
      </c>
      <c r="AN151" s="3948" t="s">
        <v>745</v>
      </c>
      <c r="AO151" s="3948" t="s">
        <v>746</v>
      </c>
      <c r="AP151" s="3948" t="s">
        <v>747</v>
      </c>
      <c r="AS151" s="4259"/>
      <c r="AT151" s="4259"/>
      <c r="AU151" s="4259"/>
      <c r="AV151" s="3948" t="s">
        <v>743</v>
      </c>
      <c r="AW151" s="3948" t="s">
        <v>744</v>
      </c>
      <c r="AX151" s="3948" t="s">
        <v>745</v>
      </c>
      <c r="AY151" s="3948" t="s">
        <v>746</v>
      </c>
      <c r="AZ151" s="3948" t="s">
        <v>747</v>
      </c>
    </row>
    <row r="152" spans="2:52" x14ac:dyDescent="0.2">
      <c r="B152" s="89" t="s">
        <v>497</v>
      </c>
      <c r="C152" s="85" t="s">
        <v>779</v>
      </c>
      <c r="D152" s="85">
        <f>SUM(E152:I152)</f>
        <v>14</v>
      </c>
      <c r="E152" s="85">
        <v>14</v>
      </c>
      <c r="F152" s="85">
        <v>0</v>
      </c>
      <c r="G152" s="85">
        <v>0</v>
      </c>
      <c r="H152" s="85">
        <v>0</v>
      </c>
      <c r="I152" s="85">
        <v>0</v>
      </c>
      <c r="M152" s="89" t="s">
        <v>497</v>
      </c>
      <c r="N152" s="85" t="s">
        <v>779</v>
      </c>
      <c r="O152" s="85">
        <f>SUM(P152:T152)</f>
        <v>22</v>
      </c>
      <c r="P152" s="85">
        <v>22</v>
      </c>
      <c r="Q152" s="85">
        <v>0</v>
      </c>
      <c r="R152" s="85">
        <v>0</v>
      </c>
      <c r="S152" s="85">
        <v>0</v>
      </c>
      <c r="T152" s="85">
        <v>0</v>
      </c>
      <c r="X152" s="89" t="s">
        <v>497</v>
      </c>
      <c r="Y152" s="85" t="s">
        <v>795</v>
      </c>
      <c r="Z152" s="85">
        <f>SUM(AA152:AE152)</f>
        <v>22</v>
      </c>
      <c r="AA152" s="85">
        <v>21</v>
      </c>
      <c r="AB152" s="85">
        <v>0</v>
      </c>
      <c r="AC152" s="85">
        <v>0</v>
      </c>
      <c r="AD152" s="85">
        <v>1</v>
      </c>
      <c r="AE152" s="85">
        <v>0</v>
      </c>
      <c r="AF152" s="81"/>
      <c r="AI152" s="89" t="s">
        <v>855</v>
      </c>
      <c r="AJ152" s="85" t="s">
        <v>856</v>
      </c>
      <c r="AK152" s="85">
        <f>SUM(AL152:AP152)</f>
        <v>55</v>
      </c>
      <c r="AL152" s="85">
        <v>43</v>
      </c>
      <c r="AM152" s="85">
        <v>12</v>
      </c>
      <c r="AN152" s="85">
        <v>0</v>
      </c>
      <c r="AO152" s="85">
        <v>0</v>
      </c>
      <c r="AP152" s="85">
        <v>0</v>
      </c>
      <c r="AS152" s="89" t="s">
        <v>855</v>
      </c>
      <c r="AT152" s="85" t="s">
        <v>856</v>
      </c>
      <c r="AU152" s="85">
        <f>SUM(AV152:AZ152)</f>
        <v>62</v>
      </c>
      <c r="AV152" s="85">
        <v>48</v>
      </c>
      <c r="AW152" s="85">
        <v>14</v>
      </c>
      <c r="AX152" s="85">
        <v>0</v>
      </c>
      <c r="AY152" s="85">
        <v>0</v>
      </c>
      <c r="AZ152" s="85">
        <v>0</v>
      </c>
    </row>
    <row r="153" spans="2:52" ht="15" x14ac:dyDescent="0.25">
      <c r="B153" s="89" t="s">
        <v>498</v>
      </c>
      <c r="C153" s="85" t="s">
        <v>840</v>
      </c>
      <c r="D153" s="85">
        <f t="shared" ref="D153:D171" si="47">SUM(E153:I153)</f>
        <v>14</v>
      </c>
      <c r="E153" s="85">
        <v>14</v>
      </c>
      <c r="F153" s="85">
        <v>0</v>
      </c>
      <c r="G153" s="85">
        <v>0</v>
      </c>
      <c r="H153" s="85">
        <v>0</v>
      </c>
      <c r="I153" s="85">
        <v>0</v>
      </c>
      <c r="M153" s="99" t="s">
        <v>501</v>
      </c>
      <c r="N153" s="85" t="s">
        <v>796</v>
      </c>
      <c r="O153" s="85">
        <f t="shared" ref="O153:O172" si="48">SUM(P153:T153)</f>
        <v>17</v>
      </c>
      <c r="P153" s="85">
        <v>17</v>
      </c>
      <c r="Q153" s="85">
        <v>0</v>
      </c>
      <c r="R153" s="85">
        <v>0</v>
      </c>
      <c r="S153" s="85">
        <v>0</v>
      </c>
      <c r="T153" s="85">
        <v>0</v>
      </c>
      <c r="X153" s="89" t="s">
        <v>501</v>
      </c>
      <c r="Y153" s="85" t="s">
        <v>816</v>
      </c>
      <c r="Z153" s="85">
        <f t="shared" ref="Z153:Z173" si="49">SUM(AA153:AE153)</f>
        <v>20</v>
      </c>
      <c r="AA153" s="85">
        <v>19</v>
      </c>
      <c r="AB153" s="85">
        <v>0</v>
      </c>
      <c r="AC153" s="85">
        <v>0</v>
      </c>
      <c r="AD153" s="85">
        <v>1</v>
      </c>
      <c r="AE153" s="85">
        <v>0</v>
      </c>
      <c r="AF153" s="81"/>
      <c r="AI153" s="89" t="s">
        <v>857</v>
      </c>
      <c r="AJ153" s="85" t="s">
        <v>858</v>
      </c>
      <c r="AK153" s="85">
        <f t="shared" ref="AK153:AK173" si="50">SUM(AL153:AP153)</f>
        <v>47</v>
      </c>
      <c r="AL153" s="85">
        <v>36</v>
      </c>
      <c r="AM153" s="85">
        <v>11</v>
      </c>
      <c r="AN153" s="85">
        <v>0</v>
      </c>
      <c r="AO153" s="85">
        <v>0</v>
      </c>
      <c r="AP153" s="85">
        <v>0</v>
      </c>
      <c r="AS153" s="89" t="s">
        <v>857</v>
      </c>
      <c r="AT153" s="85" t="s">
        <v>858</v>
      </c>
      <c r="AU153" s="85">
        <f t="shared" ref="AU153:AU173" si="51">SUM(AV153:AZ153)</f>
        <v>53</v>
      </c>
      <c r="AV153" s="85">
        <v>40</v>
      </c>
      <c r="AW153" s="85">
        <v>13</v>
      </c>
      <c r="AX153" s="85">
        <v>0</v>
      </c>
      <c r="AY153" s="85">
        <v>0</v>
      </c>
      <c r="AZ153" s="85">
        <v>0</v>
      </c>
    </row>
    <row r="154" spans="2:52" x14ac:dyDescent="0.2">
      <c r="B154" s="89" t="s">
        <v>501</v>
      </c>
      <c r="C154" s="85" t="s">
        <v>796</v>
      </c>
      <c r="D154" s="85">
        <f t="shared" si="47"/>
        <v>14</v>
      </c>
      <c r="E154" s="85">
        <v>14</v>
      </c>
      <c r="F154" s="85">
        <v>0</v>
      </c>
      <c r="G154" s="85">
        <v>0</v>
      </c>
      <c r="H154" s="85">
        <v>0</v>
      </c>
      <c r="I154" s="85">
        <v>0</v>
      </c>
      <c r="M154" s="89" t="s">
        <v>500</v>
      </c>
      <c r="N154" s="85" t="s">
        <v>859</v>
      </c>
      <c r="O154" s="85">
        <f t="shared" si="48"/>
        <v>16</v>
      </c>
      <c r="P154" s="85">
        <v>15</v>
      </c>
      <c r="Q154" s="85">
        <v>0</v>
      </c>
      <c r="R154" s="85">
        <v>0</v>
      </c>
      <c r="S154" s="85">
        <v>1</v>
      </c>
      <c r="T154" s="85">
        <v>0</v>
      </c>
      <c r="X154" s="89" t="s">
        <v>500</v>
      </c>
      <c r="Y154" s="85" t="s">
        <v>789</v>
      </c>
      <c r="Z154" s="85">
        <f t="shared" si="49"/>
        <v>17</v>
      </c>
      <c r="AA154" s="85">
        <v>16</v>
      </c>
      <c r="AB154" s="85">
        <v>0</v>
      </c>
      <c r="AC154" s="85">
        <v>0</v>
      </c>
      <c r="AD154" s="85">
        <v>1</v>
      </c>
      <c r="AE154" s="85">
        <v>0</v>
      </c>
      <c r="AF154" s="81"/>
      <c r="AI154" s="89" t="s">
        <v>829</v>
      </c>
      <c r="AJ154" s="85" t="s">
        <v>789</v>
      </c>
      <c r="AK154" s="85">
        <f t="shared" si="50"/>
        <v>36</v>
      </c>
      <c r="AL154" s="85">
        <v>25</v>
      </c>
      <c r="AM154" s="85">
        <v>10</v>
      </c>
      <c r="AN154" s="85">
        <v>0</v>
      </c>
      <c r="AO154" s="85">
        <v>1</v>
      </c>
      <c r="AP154" s="85">
        <v>0</v>
      </c>
      <c r="AS154" s="89" t="s">
        <v>829</v>
      </c>
      <c r="AT154" s="85" t="s">
        <v>789</v>
      </c>
      <c r="AU154" s="85">
        <f t="shared" si="51"/>
        <v>37</v>
      </c>
      <c r="AV154" s="85">
        <v>25</v>
      </c>
      <c r="AW154" s="85">
        <v>12</v>
      </c>
      <c r="AX154" s="85">
        <v>0</v>
      </c>
      <c r="AY154" s="85">
        <v>0</v>
      </c>
      <c r="AZ154" s="85">
        <v>0</v>
      </c>
    </row>
    <row r="155" spans="2:52" x14ac:dyDescent="0.2">
      <c r="B155" s="89" t="s">
        <v>860</v>
      </c>
      <c r="C155" s="85" t="s">
        <v>861</v>
      </c>
      <c r="D155" s="85">
        <f t="shared" si="47"/>
        <v>11</v>
      </c>
      <c r="E155" s="85">
        <v>11</v>
      </c>
      <c r="F155" s="85">
        <v>0</v>
      </c>
      <c r="G155" s="85">
        <v>0</v>
      </c>
      <c r="H155" s="85">
        <v>0</v>
      </c>
      <c r="I155" s="85">
        <v>0</v>
      </c>
      <c r="M155" s="89" t="s">
        <v>498</v>
      </c>
      <c r="N155" s="85" t="s">
        <v>840</v>
      </c>
      <c r="O155" s="85">
        <f t="shared" si="48"/>
        <v>15</v>
      </c>
      <c r="P155" s="85">
        <v>14</v>
      </c>
      <c r="Q155" s="85">
        <v>1</v>
      </c>
      <c r="R155" s="85">
        <v>0</v>
      </c>
      <c r="S155" s="85">
        <v>0</v>
      </c>
      <c r="T155" s="85">
        <v>0</v>
      </c>
      <c r="X155" s="89" t="s">
        <v>498</v>
      </c>
      <c r="Y155" s="85" t="s">
        <v>862</v>
      </c>
      <c r="Z155" s="85">
        <f t="shared" si="49"/>
        <v>17</v>
      </c>
      <c r="AA155" s="85">
        <v>16</v>
      </c>
      <c r="AB155" s="85">
        <v>0</v>
      </c>
      <c r="AC155" s="85">
        <v>0</v>
      </c>
      <c r="AD155" s="85">
        <v>1</v>
      </c>
      <c r="AE155" s="85">
        <v>0</v>
      </c>
      <c r="AF155" s="81"/>
      <c r="AI155" s="89" t="s">
        <v>822</v>
      </c>
      <c r="AJ155" s="85" t="s">
        <v>795</v>
      </c>
      <c r="AK155" s="85">
        <f t="shared" si="50"/>
        <v>29</v>
      </c>
      <c r="AL155" s="85">
        <v>20</v>
      </c>
      <c r="AM155" s="85">
        <v>9</v>
      </c>
      <c r="AN155" s="85">
        <v>0</v>
      </c>
      <c r="AO155" s="85">
        <v>0</v>
      </c>
      <c r="AP155" s="85">
        <v>0</v>
      </c>
      <c r="AS155" s="89" t="s">
        <v>822</v>
      </c>
      <c r="AT155" s="85" t="s">
        <v>795</v>
      </c>
      <c r="AU155" s="85">
        <f t="shared" si="51"/>
        <v>122</v>
      </c>
      <c r="AV155" s="85">
        <v>114</v>
      </c>
      <c r="AW155" s="85">
        <v>8</v>
      </c>
      <c r="AX155" s="85">
        <v>0</v>
      </c>
      <c r="AY155" s="85">
        <v>0</v>
      </c>
      <c r="AZ155" s="85">
        <v>0</v>
      </c>
    </row>
    <row r="156" spans="2:52" x14ac:dyDescent="0.2">
      <c r="B156" s="89" t="s">
        <v>6117</v>
      </c>
      <c r="C156" s="85" t="s">
        <v>6118</v>
      </c>
      <c r="D156" s="85">
        <f t="shared" si="47"/>
        <v>10</v>
      </c>
      <c r="E156" s="85">
        <v>9</v>
      </c>
      <c r="F156" s="85">
        <v>1</v>
      </c>
      <c r="G156" s="85">
        <v>0</v>
      </c>
      <c r="H156" s="85">
        <v>0</v>
      </c>
      <c r="I156" s="85">
        <v>0</v>
      </c>
      <c r="M156" s="89" t="s">
        <v>787</v>
      </c>
      <c r="N156" s="85" t="s">
        <v>788</v>
      </c>
      <c r="O156" s="85">
        <f t="shared" si="48"/>
        <v>14</v>
      </c>
      <c r="P156" s="85">
        <v>14</v>
      </c>
      <c r="Q156" s="85">
        <v>0</v>
      </c>
      <c r="R156" s="85">
        <v>0</v>
      </c>
      <c r="S156" s="85">
        <v>0</v>
      </c>
      <c r="T156" s="85">
        <v>0</v>
      </c>
      <c r="X156" s="89" t="s">
        <v>787</v>
      </c>
      <c r="Y156" s="85" t="s">
        <v>863</v>
      </c>
      <c r="Z156" s="85">
        <f t="shared" si="49"/>
        <v>16</v>
      </c>
      <c r="AA156" s="85">
        <v>13</v>
      </c>
      <c r="AB156" s="85">
        <v>1</v>
      </c>
      <c r="AC156" s="85">
        <v>0</v>
      </c>
      <c r="AD156" s="85">
        <v>2</v>
      </c>
      <c r="AE156" s="85">
        <v>0</v>
      </c>
      <c r="AF156" s="81"/>
      <c r="AI156" s="89" t="s">
        <v>864</v>
      </c>
      <c r="AJ156" s="85" t="s">
        <v>865</v>
      </c>
      <c r="AK156" s="85">
        <f t="shared" si="50"/>
        <v>27</v>
      </c>
      <c r="AL156" s="85">
        <v>17</v>
      </c>
      <c r="AM156" s="85">
        <v>10</v>
      </c>
      <c r="AN156" s="85">
        <v>0</v>
      </c>
      <c r="AO156" s="85">
        <v>0</v>
      </c>
      <c r="AP156" s="85">
        <v>0</v>
      </c>
      <c r="AS156" s="89" t="s">
        <v>864</v>
      </c>
      <c r="AT156" s="85" t="s">
        <v>865</v>
      </c>
      <c r="AU156" s="85">
        <f t="shared" si="51"/>
        <v>43</v>
      </c>
      <c r="AV156" s="85">
        <v>28</v>
      </c>
      <c r="AW156" s="85">
        <v>15</v>
      </c>
      <c r="AX156" s="85">
        <v>0</v>
      </c>
      <c r="AY156" s="85">
        <v>0</v>
      </c>
      <c r="AZ156" s="85">
        <v>0</v>
      </c>
    </row>
    <row r="157" spans="2:52" x14ac:dyDescent="0.2">
      <c r="B157" s="89" t="s">
        <v>866</v>
      </c>
      <c r="C157" s="85" t="s">
        <v>867</v>
      </c>
      <c r="D157" s="85">
        <f t="shared" si="47"/>
        <v>7</v>
      </c>
      <c r="E157" s="85">
        <v>7</v>
      </c>
      <c r="F157" s="85">
        <v>0</v>
      </c>
      <c r="G157" s="85">
        <v>0</v>
      </c>
      <c r="H157" s="85">
        <v>0</v>
      </c>
      <c r="I157" s="85">
        <v>0</v>
      </c>
      <c r="M157" s="89" t="s">
        <v>853</v>
      </c>
      <c r="N157" s="85" t="s">
        <v>868</v>
      </c>
      <c r="O157" s="85">
        <f t="shared" si="48"/>
        <v>13</v>
      </c>
      <c r="P157" s="85">
        <v>13</v>
      </c>
      <c r="Q157" s="85">
        <v>0</v>
      </c>
      <c r="R157" s="85">
        <v>0</v>
      </c>
      <c r="S157" s="85">
        <v>0</v>
      </c>
      <c r="T157" s="85">
        <v>0</v>
      </c>
      <c r="X157" s="89" t="s">
        <v>853</v>
      </c>
      <c r="Y157" s="85" t="s">
        <v>856</v>
      </c>
      <c r="Z157" s="85">
        <f t="shared" si="49"/>
        <v>12</v>
      </c>
      <c r="AA157" s="85">
        <v>11</v>
      </c>
      <c r="AB157" s="85">
        <v>0</v>
      </c>
      <c r="AC157" s="85">
        <v>0</v>
      </c>
      <c r="AD157" s="85">
        <v>1</v>
      </c>
      <c r="AE157" s="85">
        <v>0</v>
      </c>
      <c r="AF157" s="81"/>
      <c r="AI157" s="89" t="s">
        <v>869</v>
      </c>
      <c r="AJ157" s="85" t="s">
        <v>863</v>
      </c>
      <c r="AK157" s="85">
        <f t="shared" si="50"/>
        <v>27</v>
      </c>
      <c r="AL157" s="85">
        <v>16</v>
      </c>
      <c r="AM157" s="85">
        <v>11</v>
      </c>
      <c r="AN157" s="85">
        <v>0</v>
      </c>
      <c r="AO157" s="85">
        <v>0</v>
      </c>
      <c r="AP157" s="85">
        <v>0</v>
      </c>
      <c r="AS157" s="89" t="s">
        <v>869</v>
      </c>
      <c r="AT157" s="85" t="s">
        <v>863</v>
      </c>
      <c r="AU157" s="85">
        <f t="shared" si="51"/>
        <v>59</v>
      </c>
      <c r="AV157" s="85">
        <v>58</v>
      </c>
      <c r="AW157" s="85">
        <v>1</v>
      </c>
      <c r="AX157" s="85">
        <v>0</v>
      </c>
      <c r="AY157" s="85">
        <v>0</v>
      </c>
      <c r="AZ157" s="85">
        <v>0</v>
      </c>
    </row>
    <row r="158" spans="2:52" x14ac:dyDescent="0.2">
      <c r="B158" s="89" t="s">
        <v>502</v>
      </c>
      <c r="C158" s="85" t="s">
        <v>870</v>
      </c>
      <c r="D158" s="85">
        <f t="shared" si="47"/>
        <v>8</v>
      </c>
      <c r="E158" s="85">
        <v>8</v>
      </c>
      <c r="F158" s="85">
        <v>0</v>
      </c>
      <c r="G158" s="85">
        <v>0</v>
      </c>
      <c r="H158" s="85">
        <v>0</v>
      </c>
      <c r="I158" s="85">
        <v>0</v>
      </c>
      <c r="M158" s="89" t="s">
        <v>871</v>
      </c>
      <c r="N158" s="85" t="s">
        <v>872</v>
      </c>
      <c r="O158" s="85">
        <f t="shared" si="48"/>
        <v>12</v>
      </c>
      <c r="P158" s="85">
        <v>11</v>
      </c>
      <c r="Q158" s="85">
        <v>0</v>
      </c>
      <c r="R158" s="85">
        <v>1</v>
      </c>
      <c r="S158" s="85">
        <v>0</v>
      </c>
      <c r="T158" s="85">
        <v>0</v>
      </c>
      <c r="X158" s="89" t="s">
        <v>871</v>
      </c>
      <c r="Y158" s="85" t="s">
        <v>873</v>
      </c>
      <c r="Z158" s="85">
        <f t="shared" si="49"/>
        <v>12</v>
      </c>
      <c r="AA158" s="85">
        <v>9</v>
      </c>
      <c r="AB158" s="85">
        <v>1</v>
      </c>
      <c r="AC158" s="85">
        <v>0</v>
      </c>
      <c r="AD158" s="85">
        <v>2</v>
      </c>
      <c r="AE158" s="85">
        <v>0</v>
      </c>
      <c r="AF158" s="81"/>
      <c r="AI158" s="89" t="s">
        <v>874</v>
      </c>
      <c r="AJ158" s="85" t="s">
        <v>875</v>
      </c>
      <c r="AK158" s="85">
        <f t="shared" si="50"/>
        <v>35</v>
      </c>
      <c r="AL158" s="85">
        <v>16</v>
      </c>
      <c r="AM158" s="85">
        <v>19</v>
      </c>
      <c r="AN158" s="85">
        <v>0</v>
      </c>
      <c r="AO158" s="85">
        <v>0</v>
      </c>
      <c r="AP158" s="85">
        <v>0</v>
      </c>
      <c r="AS158" s="89" t="s">
        <v>874</v>
      </c>
      <c r="AT158" s="85" t="s">
        <v>875</v>
      </c>
      <c r="AU158" s="85">
        <f t="shared" si="51"/>
        <v>38</v>
      </c>
      <c r="AV158" s="85">
        <v>36</v>
      </c>
      <c r="AW158" s="85">
        <v>2</v>
      </c>
      <c r="AX158" s="85">
        <v>0</v>
      </c>
      <c r="AY158" s="85">
        <v>0</v>
      </c>
      <c r="AZ158" s="85">
        <v>0</v>
      </c>
    </row>
    <row r="159" spans="2:52" x14ac:dyDescent="0.2">
      <c r="B159" s="89" t="s">
        <v>876</v>
      </c>
      <c r="C159" s="85" t="s">
        <v>877</v>
      </c>
      <c r="D159" s="85">
        <f t="shared" si="47"/>
        <v>6</v>
      </c>
      <c r="E159" s="85">
        <v>6</v>
      </c>
      <c r="F159" s="85">
        <v>0</v>
      </c>
      <c r="G159" s="85">
        <v>0</v>
      </c>
      <c r="H159" s="85">
        <v>0</v>
      </c>
      <c r="I159" s="85">
        <v>0</v>
      </c>
      <c r="M159" s="89" t="s">
        <v>494</v>
      </c>
      <c r="N159" s="85" t="s">
        <v>804</v>
      </c>
      <c r="O159" s="85">
        <f t="shared" si="48"/>
        <v>12</v>
      </c>
      <c r="P159" s="85">
        <v>10</v>
      </c>
      <c r="Q159" s="85">
        <v>2</v>
      </c>
      <c r="R159" s="85">
        <v>0</v>
      </c>
      <c r="S159" s="85">
        <v>0</v>
      </c>
      <c r="T159" s="85">
        <v>0</v>
      </c>
      <c r="X159" s="89" t="s">
        <v>494</v>
      </c>
      <c r="Y159" s="85" t="s">
        <v>878</v>
      </c>
      <c r="Z159" s="85">
        <f t="shared" si="49"/>
        <v>10</v>
      </c>
      <c r="AA159" s="85">
        <v>8</v>
      </c>
      <c r="AB159" s="85">
        <v>1</v>
      </c>
      <c r="AC159" s="85">
        <v>0</v>
      </c>
      <c r="AD159" s="85">
        <v>1</v>
      </c>
      <c r="AE159" s="85">
        <v>0</v>
      </c>
      <c r="AF159" s="81"/>
      <c r="AI159" s="89" t="s">
        <v>879</v>
      </c>
      <c r="AJ159" s="85" t="s">
        <v>880</v>
      </c>
      <c r="AK159" s="85">
        <f t="shared" si="50"/>
        <v>17</v>
      </c>
      <c r="AL159" s="85">
        <v>15</v>
      </c>
      <c r="AM159" s="85">
        <v>1</v>
      </c>
      <c r="AN159" s="85">
        <v>0</v>
      </c>
      <c r="AO159" s="85">
        <v>1</v>
      </c>
      <c r="AP159" s="85">
        <v>0</v>
      </c>
      <c r="AS159" s="89" t="s">
        <v>879</v>
      </c>
      <c r="AT159" s="85" t="s">
        <v>880</v>
      </c>
      <c r="AU159" s="85">
        <f t="shared" si="51"/>
        <v>3</v>
      </c>
      <c r="AV159" s="85">
        <v>3</v>
      </c>
      <c r="AW159" s="85">
        <v>0</v>
      </c>
      <c r="AX159" s="85">
        <v>0</v>
      </c>
      <c r="AY159" s="85">
        <v>0</v>
      </c>
      <c r="AZ159" s="85">
        <v>0</v>
      </c>
    </row>
    <row r="160" spans="2:52" x14ac:dyDescent="0.2">
      <c r="B160" s="89" t="s">
        <v>853</v>
      </c>
      <c r="C160" s="85" t="s">
        <v>868</v>
      </c>
      <c r="D160" s="85">
        <f t="shared" si="47"/>
        <v>6</v>
      </c>
      <c r="E160" s="85">
        <v>6</v>
      </c>
      <c r="F160" s="85">
        <v>0</v>
      </c>
      <c r="G160" s="85">
        <v>0</v>
      </c>
      <c r="H160" s="85">
        <v>0</v>
      </c>
      <c r="I160" s="85">
        <v>0</v>
      </c>
      <c r="M160" s="89" t="s">
        <v>881</v>
      </c>
      <c r="N160" s="85" t="s">
        <v>882</v>
      </c>
      <c r="O160" s="85">
        <f t="shared" si="48"/>
        <v>11</v>
      </c>
      <c r="P160" s="85">
        <v>10</v>
      </c>
      <c r="Q160" s="85">
        <v>1</v>
      </c>
      <c r="R160" s="85">
        <v>0</v>
      </c>
      <c r="S160" s="85">
        <v>0</v>
      </c>
      <c r="T160" s="85">
        <v>0</v>
      </c>
      <c r="X160" s="89" t="s">
        <v>881</v>
      </c>
      <c r="Y160" s="85" t="s">
        <v>880</v>
      </c>
      <c r="Z160" s="85">
        <f t="shared" si="49"/>
        <v>8</v>
      </c>
      <c r="AA160" s="85">
        <v>7</v>
      </c>
      <c r="AB160" s="85">
        <v>0</v>
      </c>
      <c r="AC160" s="85">
        <v>0</v>
      </c>
      <c r="AD160" s="85">
        <v>1</v>
      </c>
      <c r="AE160" s="85">
        <v>0</v>
      </c>
      <c r="AF160" s="81"/>
      <c r="AI160" s="89" t="s">
        <v>883</v>
      </c>
      <c r="AJ160" s="85" t="s">
        <v>884</v>
      </c>
      <c r="AK160" s="85">
        <f t="shared" si="50"/>
        <v>17</v>
      </c>
      <c r="AL160" s="85">
        <v>15</v>
      </c>
      <c r="AM160" s="85">
        <v>2</v>
      </c>
      <c r="AN160" s="85">
        <v>0</v>
      </c>
      <c r="AO160" s="85">
        <v>0</v>
      </c>
      <c r="AP160" s="85">
        <v>0</v>
      </c>
      <c r="AS160" s="89" t="s">
        <v>883</v>
      </c>
      <c r="AT160" s="85" t="s">
        <v>884</v>
      </c>
      <c r="AU160" s="85">
        <f t="shared" si="51"/>
        <v>1</v>
      </c>
      <c r="AV160" s="85">
        <v>1</v>
      </c>
      <c r="AW160" s="85">
        <v>0</v>
      </c>
      <c r="AX160" s="85">
        <v>0</v>
      </c>
      <c r="AY160" s="85">
        <v>0</v>
      </c>
      <c r="AZ160" s="85">
        <v>0</v>
      </c>
    </row>
    <row r="161" spans="2:52" x14ac:dyDescent="0.2">
      <c r="B161" s="89" t="s">
        <v>499</v>
      </c>
      <c r="C161" s="85" t="s">
        <v>885</v>
      </c>
      <c r="D161" s="85">
        <f t="shared" si="47"/>
        <v>6</v>
      </c>
      <c r="E161" s="85">
        <v>6</v>
      </c>
      <c r="F161" s="85">
        <v>0</v>
      </c>
      <c r="G161" s="85">
        <v>0</v>
      </c>
      <c r="H161" s="85">
        <v>0</v>
      </c>
      <c r="I161" s="85">
        <v>0</v>
      </c>
      <c r="M161" s="89" t="s">
        <v>886</v>
      </c>
      <c r="N161" s="85" t="s">
        <v>887</v>
      </c>
      <c r="O161" s="85">
        <f t="shared" si="48"/>
        <v>9</v>
      </c>
      <c r="P161" s="85">
        <v>8</v>
      </c>
      <c r="Q161" s="85">
        <v>1</v>
      </c>
      <c r="R161" s="85">
        <v>0</v>
      </c>
      <c r="S161" s="85">
        <v>0</v>
      </c>
      <c r="T161" s="85">
        <v>0</v>
      </c>
      <c r="X161" s="89" t="s">
        <v>886</v>
      </c>
      <c r="Y161" s="85" t="s">
        <v>821</v>
      </c>
      <c r="Z161" s="85">
        <f t="shared" si="49"/>
        <v>8</v>
      </c>
      <c r="AA161" s="85">
        <v>7</v>
      </c>
      <c r="AB161" s="85">
        <v>0</v>
      </c>
      <c r="AC161" s="85">
        <v>0</v>
      </c>
      <c r="AD161" s="85">
        <v>1</v>
      </c>
      <c r="AE161" s="85">
        <v>0</v>
      </c>
      <c r="AF161" s="81"/>
      <c r="AI161" s="89" t="s">
        <v>888</v>
      </c>
      <c r="AJ161" s="85" t="s">
        <v>834</v>
      </c>
      <c r="AK161" s="85">
        <f t="shared" si="50"/>
        <v>25</v>
      </c>
      <c r="AL161" s="85">
        <v>15</v>
      </c>
      <c r="AM161" s="85">
        <v>9</v>
      </c>
      <c r="AN161" s="85">
        <v>0</v>
      </c>
      <c r="AO161" s="85">
        <v>1</v>
      </c>
      <c r="AP161" s="85">
        <v>0</v>
      </c>
      <c r="AS161" s="89" t="s">
        <v>888</v>
      </c>
      <c r="AT161" s="85" t="s">
        <v>834</v>
      </c>
      <c r="AU161" s="85">
        <f t="shared" si="51"/>
        <v>5</v>
      </c>
      <c r="AV161" s="85">
        <v>3</v>
      </c>
      <c r="AW161" s="85">
        <v>2</v>
      </c>
      <c r="AX161" s="85">
        <v>0</v>
      </c>
      <c r="AY161" s="85">
        <v>0</v>
      </c>
      <c r="AZ161" s="85">
        <v>0</v>
      </c>
    </row>
    <row r="162" spans="2:52" x14ac:dyDescent="0.2">
      <c r="B162" s="89" t="s">
        <v>838</v>
      </c>
      <c r="C162" s="85" t="s">
        <v>882</v>
      </c>
      <c r="D162" s="85">
        <f t="shared" si="47"/>
        <v>5</v>
      </c>
      <c r="E162" s="85">
        <v>5</v>
      </c>
      <c r="F162" s="85">
        <v>0</v>
      </c>
      <c r="G162" s="85">
        <v>0</v>
      </c>
      <c r="H162" s="85">
        <v>0</v>
      </c>
      <c r="I162" s="85">
        <v>0</v>
      </c>
      <c r="M162" s="89" t="s">
        <v>499</v>
      </c>
      <c r="N162" s="85" t="s">
        <v>885</v>
      </c>
      <c r="O162" s="85">
        <f t="shared" si="48"/>
        <v>8</v>
      </c>
      <c r="P162" s="85">
        <v>7</v>
      </c>
      <c r="Q162" s="85">
        <v>1</v>
      </c>
      <c r="R162" s="85">
        <v>0</v>
      </c>
      <c r="S162" s="85">
        <v>0</v>
      </c>
      <c r="T162" s="85">
        <v>0</v>
      </c>
      <c r="X162" s="89" t="s">
        <v>499</v>
      </c>
      <c r="Y162" s="85" t="s">
        <v>889</v>
      </c>
      <c r="Z162" s="85">
        <f t="shared" si="49"/>
        <v>9</v>
      </c>
      <c r="AA162" s="85">
        <v>8</v>
      </c>
      <c r="AB162" s="85">
        <v>1</v>
      </c>
      <c r="AC162" s="85">
        <v>0</v>
      </c>
      <c r="AD162" s="85">
        <v>0</v>
      </c>
      <c r="AE162" s="85">
        <v>0</v>
      </c>
      <c r="AF162" s="81"/>
      <c r="AI162" s="89" t="s">
        <v>495</v>
      </c>
      <c r="AJ162" s="85" t="s">
        <v>873</v>
      </c>
      <c r="AK162" s="85">
        <f t="shared" si="50"/>
        <v>16</v>
      </c>
      <c r="AL162" s="85">
        <v>15</v>
      </c>
      <c r="AM162" s="85">
        <v>1</v>
      </c>
      <c r="AN162" s="85">
        <v>0</v>
      </c>
      <c r="AO162" s="85">
        <v>0</v>
      </c>
      <c r="AP162" s="85">
        <v>0</v>
      </c>
      <c r="AS162" s="89" t="s">
        <v>495</v>
      </c>
      <c r="AT162" s="85" t="s">
        <v>873</v>
      </c>
      <c r="AU162" s="85">
        <f t="shared" si="51"/>
        <v>16</v>
      </c>
      <c r="AV162" s="85">
        <v>16</v>
      </c>
      <c r="AW162" s="85">
        <v>0</v>
      </c>
      <c r="AX162" s="85">
        <v>0</v>
      </c>
      <c r="AY162" s="85">
        <v>0</v>
      </c>
      <c r="AZ162" s="85">
        <v>0</v>
      </c>
    </row>
    <row r="163" spans="2:52" x14ac:dyDescent="0.2">
      <c r="B163" s="89" t="s">
        <v>825</v>
      </c>
      <c r="C163" s="85" t="s">
        <v>890</v>
      </c>
      <c r="D163" s="85">
        <f t="shared" si="47"/>
        <v>5</v>
      </c>
      <c r="E163" s="85">
        <v>4</v>
      </c>
      <c r="F163" s="85">
        <v>1</v>
      </c>
      <c r="G163" s="85">
        <v>0</v>
      </c>
      <c r="H163" s="85">
        <v>0</v>
      </c>
      <c r="I163" s="85">
        <v>0</v>
      </c>
      <c r="M163" s="89" t="s">
        <v>891</v>
      </c>
      <c r="N163" s="85" t="s">
        <v>892</v>
      </c>
      <c r="O163" s="85">
        <f t="shared" si="48"/>
        <v>8</v>
      </c>
      <c r="P163" s="85">
        <v>8</v>
      </c>
      <c r="Q163" s="85">
        <v>0</v>
      </c>
      <c r="R163" s="85">
        <v>0</v>
      </c>
      <c r="S163" s="85">
        <v>0</v>
      </c>
      <c r="T163" s="85">
        <v>0</v>
      </c>
      <c r="X163" s="89" t="s">
        <v>891</v>
      </c>
      <c r="Y163" s="85" t="s">
        <v>858</v>
      </c>
      <c r="Z163" s="85">
        <f t="shared" si="49"/>
        <v>6</v>
      </c>
      <c r="AA163" s="85">
        <v>5</v>
      </c>
      <c r="AB163" s="85">
        <v>0</v>
      </c>
      <c r="AC163" s="85">
        <v>0</v>
      </c>
      <c r="AD163" s="85">
        <v>1</v>
      </c>
      <c r="AE163" s="85">
        <v>0</v>
      </c>
      <c r="AF163" s="81"/>
      <c r="AI163" s="89" t="s">
        <v>893</v>
      </c>
      <c r="AJ163" s="85" t="s">
        <v>894</v>
      </c>
      <c r="AK163" s="85">
        <f t="shared" si="50"/>
        <v>24</v>
      </c>
      <c r="AL163" s="85">
        <v>15</v>
      </c>
      <c r="AM163" s="85">
        <v>8</v>
      </c>
      <c r="AN163" s="85">
        <v>0</v>
      </c>
      <c r="AO163" s="85">
        <v>1</v>
      </c>
      <c r="AP163" s="85">
        <v>0</v>
      </c>
      <c r="AS163" s="89" t="s">
        <v>893</v>
      </c>
      <c r="AT163" s="85" t="s">
        <v>894</v>
      </c>
      <c r="AU163" s="85">
        <f t="shared" si="51"/>
        <v>2</v>
      </c>
      <c r="AV163" s="85">
        <v>2</v>
      </c>
      <c r="AW163" s="85">
        <v>0</v>
      </c>
      <c r="AX163" s="85">
        <v>0</v>
      </c>
      <c r="AY163" s="85">
        <v>0</v>
      </c>
      <c r="AZ163" s="85">
        <v>0</v>
      </c>
    </row>
    <row r="164" spans="2:52" x14ac:dyDescent="0.2">
      <c r="B164" s="89" t="s">
        <v>891</v>
      </c>
      <c r="C164" s="85" t="s">
        <v>6119</v>
      </c>
      <c r="D164" s="85">
        <f t="shared" si="47"/>
        <v>3</v>
      </c>
      <c r="E164" s="85">
        <v>3</v>
      </c>
      <c r="F164" s="85">
        <v>0</v>
      </c>
      <c r="G164" s="85">
        <v>0</v>
      </c>
      <c r="H164" s="85">
        <v>0</v>
      </c>
      <c r="I164" s="85">
        <v>0</v>
      </c>
      <c r="M164" s="89" t="s">
        <v>825</v>
      </c>
      <c r="N164" s="85" t="s">
        <v>890</v>
      </c>
      <c r="O164" s="85">
        <f t="shared" si="48"/>
        <v>8</v>
      </c>
      <c r="P164" s="85">
        <v>7</v>
      </c>
      <c r="Q164" s="85">
        <v>0</v>
      </c>
      <c r="R164" s="85">
        <v>0</v>
      </c>
      <c r="S164" s="85">
        <v>1</v>
      </c>
      <c r="T164" s="85">
        <v>0</v>
      </c>
      <c r="X164" s="89" t="s">
        <v>825</v>
      </c>
      <c r="Y164" s="85" t="s">
        <v>875</v>
      </c>
      <c r="Z164" s="85">
        <f t="shared" si="49"/>
        <v>7</v>
      </c>
      <c r="AA164" s="85">
        <v>7</v>
      </c>
      <c r="AB164" s="85">
        <v>0</v>
      </c>
      <c r="AC164" s="85">
        <v>0</v>
      </c>
      <c r="AD164" s="85">
        <v>0</v>
      </c>
      <c r="AE164" s="85">
        <v>0</v>
      </c>
      <c r="AF164" s="81"/>
      <c r="AI164" s="89" t="s">
        <v>895</v>
      </c>
      <c r="AJ164" s="85" t="s">
        <v>816</v>
      </c>
      <c r="AK164" s="85">
        <f t="shared" si="50"/>
        <v>19</v>
      </c>
      <c r="AL164" s="85">
        <v>14</v>
      </c>
      <c r="AM164" s="85">
        <v>5</v>
      </c>
      <c r="AN164" s="85">
        <v>0</v>
      </c>
      <c r="AO164" s="85">
        <v>0</v>
      </c>
      <c r="AP164" s="85">
        <v>0</v>
      </c>
      <c r="AS164" s="89" t="s">
        <v>895</v>
      </c>
      <c r="AT164" s="85" t="s">
        <v>816</v>
      </c>
      <c r="AU164" s="85">
        <f t="shared" si="51"/>
        <v>4</v>
      </c>
      <c r="AV164" s="85">
        <v>4</v>
      </c>
      <c r="AW164" s="85">
        <v>0</v>
      </c>
      <c r="AX164" s="85">
        <v>0</v>
      </c>
      <c r="AY164" s="85">
        <v>0</v>
      </c>
      <c r="AZ164" s="85">
        <v>0</v>
      </c>
    </row>
    <row r="165" spans="2:52" x14ac:dyDescent="0.2">
      <c r="B165" s="89" t="s">
        <v>881</v>
      </c>
      <c r="C165" s="85" t="s">
        <v>896</v>
      </c>
      <c r="D165" s="85">
        <f t="shared" si="47"/>
        <v>4</v>
      </c>
      <c r="E165" s="85">
        <v>4</v>
      </c>
      <c r="F165" s="85">
        <v>0</v>
      </c>
      <c r="G165" s="85">
        <v>0</v>
      </c>
      <c r="H165" s="85">
        <v>0</v>
      </c>
      <c r="I165" s="85">
        <v>0</v>
      </c>
      <c r="M165" s="89" t="s">
        <v>897</v>
      </c>
      <c r="N165" s="85" t="s">
        <v>896</v>
      </c>
      <c r="O165" s="85">
        <f t="shared" si="48"/>
        <v>5</v>
      </c>
      <c r="P165" s="85">
        <v>4</v>
      </c>
      <c r="Q165" s="85">
        <v>0</v>
      </c>
      <c r="R165" s="85">
        <v>0</v>
      </c>
      <c r="S165" s="85">
        <v>1</v>
      </c>
      <c r="T165" s="85">
        <v>0</v>
      </c>
      <c r="X165" s="89" t="s">
        <v>897</v>
      </c>
      <c r="Y165" s="85" t="s">
        <v>898</v>
      </c>
      <c r="Z165" s="85">
        <f t="shared" si="49"/>
        <v>7</v>
      </c>
      <c r="AA165" s="85">
        <v>5</v>
      </c>
      <c r="AB165" s="85">
        <v>0</v>
      </c>
      <c r="AC165" s="85">
        <v>0</v>
      </c>
      <c r="AD165" s="85">
        <v>2</v>
      </c>
      <c r="AE165" s="85">
        <v>0</v>
      </c>
      <c r="AF165" s="81"/>
      <c r="AI165" s="89" t="s">
        <v>899</v>
      </c>
      <c r="AJ165" s="85" t="s">
        <v>900</v>
      </c>
      <c r="AK165" s="85">
        <f t="shared" si="50"/>
        <v>19</v>
      </c>
      <c r="AL165" s="85">
        <v>14</v>
      </c>
      <c r="AM165" s="85">
        <v>5</v>
      </c>
      <c r="AN165" s="85">
        <v>0</v>
      </c>
      <c r="AO165" s="85">
        <v>0</v>
      </c>
      <c r="AP165" s="85">
        <v>0</v>
      </c>
      <c r="AS165" s="89" t="s">
        <v>899</v>
      </c>
      <c r="AT165" s="85" t="s">
        <v>900</v>
      </c>
      <c r="AU165" s="85">
        <f t="shared" si="51"/>
        <v>14</v>
      </c>
      <c r="AV165" s="85">
        <v>11</v>
      </c>
      <c r="AW165" s="85">
        <v>3</v>
      </c>
      <c r="AX165" s="85">
        <v>0</v>
      </c>
      <c r="AY165" s="85">
        <v>0</v>
      </c>
      <c r="AZ165" s="85">
        <v>0</v>
      </c>
    </row>
    <row r="166" spans="2:52" x14ac:dyDescent="0.2">
      <c r="B166" s="89" t="s">
        <v>901</v>
      </c>
      <c r="C166" s="85" t="s">
        <v>902</v>
      </c>
      <c r="D166" s="85">
        <f t="shared" si="47"/>
        <v>3</v>
      </c>
      <c r="E166" s="85">
        <v>3</v>
      </c>
      <c r="F166" s="85">
        <v>0</v>
      </c>
      <c r="G166" s="85">
        <v>0</v>
      </c>
      <c r="H166" s="85">
        <v>0</v>
      </c>
      <c r="I166" s="85">
        <v>0</v>
      </c>
      <c r="M166" s="89" t="s">
        <v>829</v>
      </c>
      <c r="N166" s="85" t="s">
        <v>830</v>
      </c>
      <c r="O166" s="85">
        <f t="shared" si="48"/>
        <v>5</v>
      </c>
      <c r="P166" s="85">
        <v>5</v>
      </c>
      <c r="Q166" s="85">
        <v>0</v>
      </c>
      <c r="R166" s="85">
        <v>0</v>
      </c>
      <c r="S166" s="85">
        <v>0</v>
      </c>
      <c r="T166" s="85">
        <v>0</v>
      </c>
      <c r="X166" s="89" t="s">
        <v>829</v>
      </c>
      <c r="Y166" s="85" t="s">
        <v>903</v>
      </c>
      <c r="Z166" s="85">
        <f t="shared" si="49"/>
        <v>7</v>
      </c>
      <c r="AA166" s="85">
        <v>6</v>
      </c>
      <c r="AB166" s="85">
        <v>1</v>
      </c>
      <c r="AC166" s="85">
        <v>0</v>
      </c>
      <c r="AD166" s="85">
        <v>0</v>
      </c>
      <c r="AE166" s="85">
        <v>0</v>
      </c>
      <c r="AF166" s="81"/>
      <c r="AI166" s="89" t="s">
        <v>794</v>
      </c>
      <c r="AJ166" s="85" t="s">
        <v>878</v>
      </c>
      <c r="AK166" s="85">
        <f t="shared" si="50"/>
        <v>19</v>
      </c>
      <c r="AL166" s="85">
        <v>14</v>
      </c>
      <c r="AM166" s="85">
        <v>5</v>
      </c>
      <c r="AN166" s="85">
        <v>0</v>
      </c>
      <c r="AO166" s="85">
        <v>0</v>
      </c>
      <c r="AP166" s="85">
        <v>0</v>
      </c>
      <c r="AS166" s="89" t="s">
        <v>794</v>
      </c>
      <c r="AT166" s="85" t="s">
        <v>878</v>
      </c>
      <c r="AU166" s="85">
        <f t="shared" si="51"/>
        <v>5</v>
      </c>
      <c r="AV166" s="85">
        <v>4</v>
      </c>
      <c r="AW166" s="85">
        <v>1</v>
      </c>
      <c r="AX166" s="85">
        <v>0</v>
      </c>
      <c r="AY166" s="85">
        <v>0</v>
      </c>
      <c r="AZ166" s="85">
        <v>0</v>
      </c>
    </row>
    <row r="167" spans="2:52" x14ac:dyDescent="0.2">
      <c r="B167" s="89" t="s">
        <v>494</v>
      </c>
      <c r="C167" s="85" t="s">
        <v>804</v>
      </c>
      <c r="D167" s="85">
        <f t="shared" si="47"/>
        <v>3</v>
      </c>
      <c r="E167" s="85">
        <v>3</v>
      </c>
      <c r="F167" s="85">
        <v>0</v>
      </c>
      <c r="G167" s="85">
        <v>0</v>
      </c>
      <c r="H167" s="85">
        <v>0</v>
      </c>
      <c r="I167" s="85">
        <v>0</v>
      </c>
      <c r="M167" s="89" t="s">
        <v>833</v>
      </c>
      <c r="N167" s="85" t="s">
        <v>904</v>
      </c>
      <c r="O167" s="85">
        <f t="shared" si="48"/>
        <v>4</v>
      </c>
      <c r="P167" s="85">
        <v>4</v>
      </c>
      <c r="Q167" s="85">
        <v>0</v>
      </c>
      <c r="R167" s="85">
        <v>0</v>
      </c>
      <c r="S167" s="85">
        <v>0</v>
      </c>
      <c r="T167" s="85">
        <v>0</v>
      </c>
      <c r="X167" s="89" t="s">
        <v>833</v>
      </c>
      <c r="Y167" s="85" t="s">
        <v>784</v>
      </c>
      <c r="Z167" s="85">
        <f t="shared" si="49"/>
        <v>5</v>
      </c>
      <c r="AA167" s="85">
        <v>5</v>
      </c>
      <c r="AB167" s="85">
        <v>0</v>
      </c>
      <c r="AC167" s="85">
        <v>0</v>
      </c>
      <c r="AD167" s="85">
        <v>0</v>
      </c>
      <c r="AE167" s="85">
        <v>0</v>
      </c>
      <c r="AF167" s="81"/>
      <c r="AI167" s="89" t="s">
        <v>905</v>
      </c>
      <c r="AJ167" s="85" t="s">
        <v>828</v>
      </c>
      <c r="AK167" s="85">
        <f t="shared" si="50"/>
        <v>16</v>
      </c>
      <c r="AL167" s="85">
        <v>13</v>
      </c>
      <c r="AM167" s="85">
        <v>3</v>
      </c>
      <c r="AN167" s="85">
        <v>0</v>
      </c>
      <c r="AO167" s="85">
        <v>0</v>
      </c>
      <c r="AP167" s="85">
        <v>0</v>
      </c>
      <c r="AS167" s="89" t="s">
        <v>905</v>
      </c>
      <c r="AT167" s="85" t="s">
        <v>828</v>
      </c>
      <c r="AU167" s="85">
        <f t="shared" si="51"/>
        <v>1</v>
      </c>
      <c r="AV167" s="85">
        <v>1</v>
      </c>
      <c r="AW167" s="85">
        <v>0</v>
      </c>
      <c r="AX167" s="85">
        <v>0</v>
      </c>
      <c r="AY167" s="85">
        <v>0</v>
      </c>
      <c r="AZ167" s="85">
        <v>0</v>
      </c>
    </row>
    <row r="168" spans="2:52" x14ac:dyDescent="0.2">
      <c r="B168" s="89" t="s">
        <v>6120</v>
      </c>
      <c r="C168" s="85" t="s">
        <v>6121</v>
      </c>
      <c r="D168" s="85">
        <f t="shared" si="47"/>
        <v>3</v>
      </c>
      <c r="E168" s="85">
        <v>3</v>
      </c>
      <c r="F168" s="85">
        <v>0</v>
      </c>
      <c r="G168" s="85">
        <v>0</v>
      </c>
      <c r="H168" s="85">
        <v>0</v>
      </c>
      <c r="I168" s="85">
        <v>0</v>
      </c>
      <c r="M168" s="89" t="s">
        <v>906</v>
      </c>
      <c r="N168" s="85" t="s">
        <v>861</v>
      </c>
      <c r="O168" s="85">
        <f t="shared" si="48"/>
        <v>4</v>
      </c>
      <c r="P168" s="85">
        <v>4</v>
      </c>
      <c r="Q168" s="85">
        <v>0</v>
      </c>
      <c r="R168" s="85">
        <v>0</v>
      </c>
      <c r="S168" s="85">
        <v>0</v>
      </c>
      <c r="T168" s="85">
        <v>0</v>
      </c>
      <c r="X168" s="89" t="s">
        <v>906</v>
      </c>
      <c r="Y168" s="85" t="s">
        <v>907</v>
      </c>
      <c r="Z168" s="85">
        <f t="shared" si="49"/>
        <v>5</v>
      </c>
      <c r="AA168" s="85">
        <v>5</v>
      </c>
      <c r="AB168" s="85">
        <v>0</v>
      </c>
      <c r="AC168" s="85">
        <v>0</v>
      </c>
      <c r="AD168" s="85">
        <v>0</v>
      </c>
      <c r="AE168" s="85">
        <v>0</v>
      </c>
      <c r="AF168" s="81"/>
      <c r="AI168" s="89" t="s">
        <v>908</v>
      </c>
      <c r="AJ168" s="85" t="s">
        <v>909</v>
      </c>
      <c r="AK168" s="85">
        <f t="shared" si="50"/>
        <v>16</v>
      </c>
      <c r="AL168" s="85">
        <v>13</v>
      </c>
      <c r="AM168" s="85">
        <v>3</v>
      </c>
      <c r="AN168" s="85">
        <v>0</v>
      </c>
      <c r="AO168" s="85">
        <v>0</v>
      </c>
      <c r="AP168" s="85">
        <v>0</v>
      </c>
      <c r="AS168" s="89" t="s">
        <v>908</v>
      </c>
      <c r="AT168" s="85" t="s">
        <v>909</v>
      </c>
      <c r="AU168" s="85">
        <f t="shared" si="51"/>
        <v>8</v>
      </c>
      <c r="AV168" s="85">
        <v>8</v>
      </c>
      <c r="AW168" s="85">
        <v>0</v>
      </c>
      <c r="AX168" s="85">
        <v>0</v>
      </c>
      <c r="AY168" s="85">
        <v>0</v>
      </c>
      <c r="AZ168" s="85">
        <v>0</v>
      </c>
    </row>
    <row r="169" spans="2:52" x14ac:dyDescent="0.2">
      <c r="B169" s="89" t="s">
        <v>910</v>
      </c>
      <c r="C169" s="85" t="s">
        <v>911</v>
      </c>
      <c r="D169" s="85">
        <f t="shared" si="47"/>
        <v>3</v>
      </c>
      <c r="E169" s="85">
        <v>3</v>
      </c>
      <c r="F169" s="85">
        <v>0</v>
      </c>
      <c r="G169" s="85">
        <v>0</v>
      </c>
      <c r="H169" s="85">
        <v>0</v>
      </c>
      <c r="I169" s="85">
        <v>0</v>
      </c>
      <c r="M169" s="89" t="s">
        <v>912</v>
      </c>
      <c r="N169" s="85" t="s">
        <v>913</v>
      </c>
      <c r="O169" s="85">
        <f t="shared" si="48"/>
        <v>4</v>
      </c>
      <c r="P169" s="85">
        <v>4</v>
      </c>
      <c r="Q169" s="85">
        <v>0</v>
      </c>
      <c r="R169" s="85">
        <v>0</v>
      </c>
      <c r="S169" s="85">
        <v>0</v>
      </c>
      <c r="T169" s="85">
        <v>0</v>
      </c>
      <c r="X169" s="89" t="s">
        <v>912</v>
      </c>
      <c r="Y169" s="85" t="s">
        <v>914</v>
      </c>
      <c r="Z169" s="85">
        <f t="shared" si="49"/>
        <v>6</v>
      </c>
      <c r="AA169" s="85">
        <v>5</v>
      </c>
      <c r="AB169" s="85">
        <v>0</v>
      </c>
      <c r="AC169" s="85">
        <v>1</v>
      </c>
      <c r="AD169" s="85">
        <v>0</v>
      </c>
      <c r="AE169" s="85">
        <v>0</v>
      </c>
      <c r="AF169" s="81"/>
      <c r="AI169" s="89" t="s">
        <v>915</v>
      </c>
      <c r="AJ169" s="85" t="s">
        <v>916</v>
      </c>
      <c r="AK169" s="85">
        <f t="shared" si="50"/>
        <v>15</v>
      </c>
      <c r="AL169" s="85">
        <v>12</v>
      </c>
      <c r="AM169" s="85">
        <v>3</v>
      </c>
      <c r="AN169" s="85">
        <v>0</v>
      </c>
      <c r="AO169" s="85">
        <v>0</v>
      </c>
      <c r="AP169" s="85">
        <v>0</v>
      </c>
      <c r="AS169" s="89" t="s">
        <v>915</v>
      </c>
      <c r="AT169" s="85" t="s">
        <v>916</v>
      </c>
      <c r="AU169" s="85">
        <f t="shared" si="51"/>
        <v>29</v>
      </c>
      <c r="AV169" s="85">
        <v>27</v>
      </c>
      <c r="AW169" s="85">
        <v>2</v>
      </c>
      <c r="AX169" s="85">
        <v>0</v>
      </c>
      <c r="AY169" s="85">
        <v>0</v>
      </c>
      <c r="AZ169" s="85">
        <v>0</v>
      </c>
    </row>
    <row r="170" spans="2:52" x14ac:dyDescent="0.2">
      <c r="B170" s="89" t="s">
        <v>871</v>
      </c>
      <c r="C170" s="85" t="s">
        <v>872</v>
      </c>
      <c r="D170" s="85">
        <f t="shared" si="47"/>
        <v>3</v>
      </c>
      <c r="E170" s="85">
        <v>2</v>
      </c>
      <c r="F170" s="85">
        <v>1</v>
      </c>
      <c r="G170" s="85">
        <v>0</v>
      </c>
      <c r="H170" s="85">
        <v>0</v>
      </c>
      <c r="I170" s="85">
        <v>0</v>
      </c>
      <c r="M170" s="89" t="s">
        <v>876</v>
      </c>
      <c r="N170" s="85" t="s">
        <v>835</v>
      </c>
      <c r="O170" s="85">
        <f t="shared" si="48"/>
        <v>4</v>
      </c>
      <c r="P170" s="85">
        <v>4</v>
      </c>
      <c r="Q170" s="85">
        <v>0</v>
      </c>
      <c r="R170" s="85">
        <v>0</v>
      </c>
      <c r="S170" s="85">
        <v>0</v>
      </c>
      <c r="T170" s="85">
        <v>0</v>
      </c>
      <c r="X170" s="89" t="s">
        <v>876</v>
      </c>
      <c r="Y170" s="85" t="s">
        <v>900</v>
      </c>
      <c r="Z170" s="85">
        <f t="shared" si="49"/>
        <v>5</v>
      </c>
      <c r="AA170" s="85">
        <v>4</v>
      </c>
      <c r="AB170" s="85">
        <v>0</v>
      </c>
      <c r="AC170" s="85">
        <v>0</v>
      </c>
      <c r="AD170" s="85">
        <v>1</v>
      </c>
      <c r="AE170" s="85">
        <v>0</v>
      </c>
      <c r="AF170" s="81"/>
      <c r="AI170" s="89" t="s">
        <v>917</v>
      </c>
      <c r="AJ170" s="85" t="s">
        <v>918</v>
      </c>
      <c r="AK170" s="85">
        <f t="shared" si="50"/>
        <v>13</v>
      </c>
      <c r="AL170" s="85">
        <v>11</v>
      </c>
      <c r="AM170" s="85">
        <v>2</v>
      </c>
      <c r="AN170" s="85">
        <v>0</v>
      </c>
      <c r="AO170" s="85">
        <v>0</v>
      </c>
      <c r="AP170" s="85">
        <v>0</v>
      </c>
      <c r="AS170" s="89" t="s">
        <v>917</v>
      </c>
      <c r="AT170" s="85" t="s">
        <v>918</v>
      </c>
      <c r="AU170" s="85">
        <f t="shared" si="51"/>
        <v>1</v>
      </c>
      <c r="AV170" s="85">
        <v>1</v>
      </c>
      <c r="AW170" s="85">
        <v>0</v>
      </c>
      <c r="AX170" s="85">
        <v>0</v>
      </c>
      <c r="AY170" s="85">
        <v>0</v>
      </c>
      <c r="AZ170" s="85">
        <v>0</v>
      </c>
    </row>
    <row r="171" spans="2:52" x14ac:dyDescent="0.2">
      <c r="B171" s="89" t="s">
        <v>919</v>
      </c>
      <c r="C171" s="85" t="s">
        <v>6122</v>
      </c>
      <c r="D171" s="85">
        <f t="shared" si="47"/>
        <v>3</v>
      </c>
      <c r="E171" s="85">
        <v>3</v>
      </c>
      <c r="F171" s="85">
        <v>0</v>
      </c>
      <c r="G171" s="85">
        <v>0</v>
      </c>
      <c r="H171" s="85">
        <v>0</v>
      </c>
      <c r="I171" s="85">
        <v>0</v>
      </c>
      <c r="M171" s="89" t="s">
        <v>860</v>
      </c>
      <c r="N171" s="85" t="s">
        <v>877</v>
      </c>
      <c r="O171" s="85">
        <f t="shared" si="48"/>
        <v>4</v>
      </c>
      <c r="P171" s="85">
        <v>4</v>
      </c>
      <c r="Q171" s="85">
        <v>0</v>
      </c>
      <c r="R171" s="85">
        <v>0</v>
      </c>
      <c r="S171" s="85">
        <v>0</v>
      </c>
      <c r="T171" s="85">
        <v>0</v>
      </c>
      <c r="X171" s="89" t="s">
        <v>860</v>
      </c>
      <c r="Y171" s="85" t="s">
        <v>782</v>
      </c>
      <c r="Z171" s="85">
        <f t="shared" si="49"/>
        <v>4</v>
      </c>
      <c r="AA171" s="85">
        <v>3</v>
      </c>
      <c r="AB171" s="85">
        <v>0</v>
      </c>
      <c r="AC171" s="85">
        <v>0</v>
      </c>
      <c r="AD171" s="85">
        <v>1</v>
      </c>
      <c r="AE171" s="85">
        <v>0</v>
      </c>
      <c r="AF171" s="81"/>
      <c r="AI171" s="89" t="s">
        <v>920</v>
      </c>
      <c r="AJ171" s="85" t="s">
        <v>898</v>
      </c>
      <c r="AK171" s="85">
        <f t="shared" si="50"/>
        <v>13</v>
      </c>
      <c r="AL171" s="85">
        <v>11</v>
      </c>
      <c r="AM171" s="85">
        <v>2</v>
      </c>
      <c r="AN171" s="85">
        <v>0</v>
      </c>
      <c r="AO171" s="85">
        <v>0</v>
      </c>
      <c r="AP171" s="85">
        <v>0</v>
      </c>
      <c r="AS171" s="89" t="s">
        <v>920</v>
      </c>
      <c r="AT171" s="85" t="s">
        <v>898</v>
      </c>
      <c r="AU171" s="85">
        <f t="shared" si="51"/>
        <v>3</v>
      </c>
      <c r="AV171" s="85">
        <v>3</v>
      </c>
      <c r="AW171" s="85">
        <v>0</v>
      </c>
      <c r="AX171" s="85">
        <v>0</v>
      </c>
      <c r="AY171" s="85">
        <v>0</v>
      </c>
      <c r="AZ171" s="85">
        <v>0</v>
      </c>
    </row>
    <row r="172" spans="2:52" x14ac:dyDescent="0.2">
      <c r="B172" s="89"/>
      <c r="C172" s="85" t="s">
        <v>577</v>
      </c>
      <c r="D172" s="85">
        <f>SUM(E172:I172)</f>
        <v>121</v>
      </c>
      <c r="E172" s="85">
        <v>114</v>
      </c>
      <c r="F172" s="85">
        <v>7</v>
      </c>
      <c r="G172" s="85">
        <v>0</v>
      </c>
      <c r="H172" s="85">
        <v>0</v>
      </c>
      <c r="I172" s="85">
        <v>0</v>
      </c>
      <c r="M172" s="89"/>
      <c r="N172" s="85" t="s">
        <v>577</v>
      </c>
      <c r="O172" s="85">
        <f t="shared" si="48"/>
        <v>164</v>
      </c>
      <c r="P172" s="85">
        <v>143</v>
      </c>
      <c r="Q172" s="85">
        <v>21</v>
      </c>
      <c r="R172" s="85">
        <v>0</v>
      </c>
      <c r="S172" s="85">
        <v>0</v>
      </c>
      <c r="T172" s="85">
        <v>0</v>
      </c>
      <c r="X172" s="89"/>
      <c r="Y172" s="85" t="s">
        <v>577</v>
      </c>
      <c r="Z172" s="85">
        <f t="shared" si="49"/>
        <v>163</v>
      </c>
      <c r="AA172" s="85">
        <v>132</v>
      </c>
      <c r="AB172" s="85">
        <v>16</v>
      </c>
      <c r="AC172" s="85">
        <v>2</v>
      </c>
      <c r="AD172" s="85">
        <v>13</v>
      </c>
      <c r="AE172" s="85">
        <v>0</v>
      </c>
      <c r="AF172" s="81"/>
      <c r="AI172" s="89"/>
      <c r="AJ172" s="85" t="s">
        <v>577</v>
      </c>
      <c r="AK172" s="85">
        <f t="shared" si="50"/>
        <v>174</v>
      </c>
      <c r="AL172" s="85">
        <v>96</v>
      </c>
      <c r="AM172" s="85">
        <v>78</v>
      </c>
      <c r="AN172" s="85">
        <v>0</v>
      </c>
      <c r="AO172" s="85">
        <v>0</v>
      </c>
      <c r="AP172" s="85">
        <v>0</v>
      </c>
      <c r="AS172" s="89"/>
      <c r="AT172" s="85" t="s">
        <v>577</v>
      </c>
      <c r="AU172" s="85">
        <f t="shared" si="51"/>
        <v>253</v>
      </c>
      <c r="AV172" s="85">
        <v>158</v>
      </c>
      <c r="AW172" s="85">
        <v>95</v>
      </c>
      <c r="AX172" s="85">
        <v>0</v>
      </c>
      <c r="AY172" s="85">
        <v>0</v>
      </c>
      <c r="AZ172" s="85">
        <v>0</v>
      </c>
    </row>
    <row r="173" spans="2:52" x14ac:dyDescent="0.2">
      <c r="B173" s="89"/>
      <c r="C173" s="96" t="s">
        <v>0</v>
      </c>
      <c r="D173" s="91">
        <f t="shared" ref="D173:I173" si="52">SUM(D152:D172)</f>
        <v>252</v>
      </c>
      <c r="E173" s="91">
        <f t="shared" si="52"/>
        <v>242</v>
      </c>
      <c r="F173" s="91">
        <f t="shared" si="52"/>
        <v>10</v>
      </c>
      <c r="G173" s="91">
        <f t="shared" si="52"/>
        <v>0</v>
      </c>
      <c r="H173" s="91">
        <f t="shared" si="52"/>
        <v>0</v>
      </c>
      <c r="I173" s="91">
        <f t="shared" si="52"/>
        <v>0</v>
      </c>
      <c r="M173" s="89"/>
      <c r="N173" s="96" t="s">
        <v>0</v>
      </c>
      <c r="O173" s="91">
        <f t="shared" ref="O173:T173" si="53">SUM(O152:O172)</f>
        <v>359</v>
      </c>
      <c r="P173" s="91">
        <f t="shared" si="53"/>
        <v>328</v>
      </c>
      <c r="Q173" s="91">
        <f t="shared" si="53"/>
        <v>27</v>
      </c>
      <c r="R173" s="91">
        <f t="shared" si="53"/>
        <v>1</v>
      </c>
      <c r="S173" s="91">
        <f t="shared" si="53"/>
        <v>3</v>
      </c>
      <c r="T173" s="91">
        <f t="shared" si="53"/>
        <v>0</v>
      </c>
      <c r="X173" s="89"/>
      <c r="Y173" s="96" t="s">
        <v>0</v>
      </c>
      <c r="Z173" s="85">
        <f t="shared" si="49"/>
        <v>366</v>
      </c>
      <c r="AA173" s="91">
        <f>SUM(AA152:AA172)</f>
        <v>312</v>
      </c>
      <c r="AB173" s="91">
        <f>SUM(AB152:AB172)</f>
        <v>21</v>
      </c>
      <c r="AC173" s="91">
        <f>SUM(AC152:AC172)</f>
        <v>3</v>
      </c>
      <c r="AD173" s="91">
        <f>SUM(AD152:AD172)</f>
        <v>30</v>
      </c>
      <c r="AE173" s="91">
        <f>SUM(AE152:AE172)</f>
        <v>0</v>
      </c>
      <c r="AF173" s="81"/>
      <c r="AI173" s="89"/>
      <c r="AJ173" s="96" t="s">
        <v>0</v>
      </c>
      <c r="AK173" s="85">
        <f t="shared" si="50"/>
        <v>659</v>
      </c>
      <c r="AL173" s="91">
        <f>SUM(AL152:AL172)</f>
        <v>446</v>
      </c>
      <c r="AM173" s="91">
        <f>SUM(AM152:AM172)</f>
        <v>209</v>
      </c>
      <c r="AN173" s="91">
        <f>SUM(AN152:AN172)</f>
        <v>0</v>
      </c>
      <c r="AO173" s="91">
        <f>SUM(AO152:AO172)</f>
        <v>4</v>
      </c>
      <c r="AP173" s="91">
        <f>SUM(AP152:AP172)</f>
        <v>0</v>
      </c>
      <c r="AS173" s="89"/>
      <c r="AT173" s="96" t="s">
        <v>0</v>
      </c>
      <c r="AU173" s="85">
        <f t="shared" si="51"/>
        <v>759</v>
      </c>
      <c r="AV173" s="91">
        <f>SUM(AV152:AV172)</f>
        <v>591</v>
      </c>
      <c r="AW173" s="91">
        <f>SUM(AW152:AW172)</f>
        <v>168</v>
      </c>
      <c r="AX173" s="91">
        <f>SUM(AX152:AX172)</f>
        <v>0</v>
      </c>
      <c r="AY173" s="91">
        <f>SUM(AY152:AY172)</f>
        <v>0</v>
      </c>
      <c r="AZ173" s="91">
        <f>SUM(AZ152:AZ172)</f>
        <v>0</v>
      </c>
    </row>
    <row r="174" spans="2:52" x14ac:dyDescent="0.2">
      <c r="B174" s="3949"/>
      <c r="M174" s="3949"/>
      <c r="X174" s="3949"/>
      <c r="Y174" s="81"/>
      <c r="Z174" s="81"/>
      <c r="AA174" s="81"/>
      <c r="AB174" s="81"/>
      <c r="AC174" s="81"/>
      <c r="AD174" s="81"/>
      <c r="AE174" s="81"/>
      <c r="AF174" s="81"/>
      <c r="AI174" s="3949"/>
      <c r="AJ174" s="81"/>
      <c r="AK174" s="81"/>
      <c r="AL174" s="81"/>
      <c r="AM174" s="81"/>
      <c r="AN174" s="81"/>
      <c r="AO174" s="81"/>
      <c r="AP174" s="81"/>
      <c r="AS174" s="3949"/>
      <c r="AT174" s="81"/>
      <c r="AU174" s="81"/>
      <c r="AV174" s="81"/>
      <c r="AW174" s="81"/>
      <c r="AX174" s="81"/>
      <c r="AY174" s="81"/>
      <c r="AZ174" s="81"/>
    </row>
    <row r="175" spans="2:52" x14ac:dyDescent="0.2">
      <c r="B175" s="3949"/>
      <c r="E175" s="83"/>
      <c r="F175" s="83"/>
      <c r="G175" s="83"/>
      <c r="H175" s="83"/>
      <c r="I175" s="83"/>
      <c r="M175" s="3949"/>
      <c r="X175" s="3949"/>
      <c r="Y175" s="81"/>
      <c r="Z175" s="81"/>
      <c r="AA175" s="81"/>
      <c r="AB175" s="81"/>
      <c r="AC175" s="81"/>
      <c r="AD175" s="81"/>
      <c r="AE175" s="81"/>
      <c r="AF175" s="81"/>
      <c r="AI175" s="3949"/>
      <c r="AJ175" s="81"/>
      <c r="AK175" s="81"/>
      <c r="AL175" s="81"/>
      <c r="AM175" s="81"/>
      <c r="AN175" s="81"/>
      <c r="AO175" s="81"/>
      <c r="AP175" s="81"/>
      <c r="AS175" s="3949"/>
      <c r="AT175" s="81"/>
      <c r="AU175" s="81"/>
      <c r="AV175" s="81"/>
      <c r="AW175" s="81"/>
      <c r="AX175" s="81"/>
      <c r="AY175" s="81"/>
      <c r="AZ175" s="81"/>
    </row>
    <row r="176" spans="2:52" x14ac:dyDescent="0.2">
      <c r="B176" s="88" t="s">
        <v>764</v>
      </c>
      <c r="M176" s="88" t="s">
        <v>765</v>
      </c>
      <c r="X176" s="88" t="s">
        <v>480</v>
      </c>
      <c r="Y176" s="81"/>
      <c r="Z176" s="81"/>
      <c r="AA176" s="81"/>
      <c r="AB176" s="81"/>
      <c r="AC176" s="81"/>
      <c r="AD176" s="81"/>
      <c r="AE176" s="81"/>
      <c r="AF176" s="81"/>
      <c r="AI176" s="88" t="s">
        <v>1992</v>
      </c>
      <c r="AJ176" s="81"/>
      <c r="AK176" s="81"/>
      <c r="AL176" s="81"/>
      <c r="AM176" s="81"/>
      <c r="AN176" s="81"/>
      <c r="AO176" s="81"/>
      <c r="AP176" s="81"/>
      <c r="AS176" s="88" t="s">
        <v>3638</v>
      </c>
      <c r="AT176" s="81"/>
      <c r="AU176" s="81"/>
      <c r="AV176" s="81"/>
      <c r="AW176" s="81"/>
      <c r="AX176" s="81"/>
      <c r="AY176" s="81"/>
      <c r="AZ176" s="81"/>
    </row>
    <row r="177" spans="2:52" ht="11.25" customHeight="1" x14ac:dyDescent="0.2">
      <c r="B177" s="4258" t="s">
        <v>161</v>
      </c>
      <c r="C177" s="4258" t="s">
        <v>778</v>
      </c>
      <c r="D177" s="4258" t="s">
        <v>0</v>
      </c>
      <c r="E177" s="4260" t="s">
        <v>186</v>
      </c>
      <c r="F177" s="4261"/>
      <c r="G177" s="4261"/>
      <c r="H177" s="4261"/>
      <c r="I177" s="4262"/>
      <c r="M177" s="4258" t="s">
        <v>161</v>
      </c>
      <c r="N177" s="4258" t="s">
        <v>778</v>
      </c>
      <c r="O177" s="4258" t="s">
        <v>0</v>
      </c>
      <c r="P177" s="4260" t="s">
        <v>186</v>
      </c>
      <c r="Q177" s="4261"/>
      <c r="R177" s="4261"/>
      <c r="S177" s="4261"/>
      <c r="T177" s="4262"/>
      <c r="X177" s="4258" t="s">
        <v>161</v>
      </c>
      <c r="Y177" s="4258" t="s">
        <v>778</v>
      </c>
      <c r="Z177" s="4258" t="s">
        <v>0</v>
      </c>
      <c r="AA177" s="4260" t="s">
        <v>186</v>
      </c>
      <c r="AB177" s="4261"/>
      <c r="AC177" s="4261"/>
      <c r="AD177" s="4261"/>
      <c r="AE177" s="4262"/>
      <c r="AF177" s="81"/>
      <c r="AI177" s="4258" t="s">
        <v>161</v>
      </c>
      <c r="AJ177" s="4258" t="s">
        <v>778</v>
      </c>
      <c r="AK177" s="4258" t="s">
        <v>0</v>
      </c>
      <c r="AL177" s="4260" t="s">
        <v>186</v>
      </c>
      <c r="AM177" s="4261"/>
      <c r="AN177" s="4261"/>
      <c r="AO177" s="4261"/>
      <c r="AP177" s="4262"/>
      <c r="AS177" s="4258" t="s">
        <v>161</v>
      </c>
      <c r="AT177" s="4258" t="s">
        <v>778</v>
      </c>
      <c r="AU177" s="4258" t="s">
        <v>0</v>
      </c>
      <c r="AV177" s="4260" t="s">
        <v>186</v>
      </c>
      <c r="AW177" s="4261"/>
      <c r="AX177" s="4261"/>
      <c r="AY177" s="4261"/>
      <c r="AZ177" s="4262"/>
    </row>
    <row r="178" spans="2:52" x14ac:dyDescent="0.2">
      <c r="B178" s="4259"/>
      <c r="C178" s="4259"/>
      <c r="D178" s="4259"/>
      <c r="E178" s="3948" t="s">
        <v>743</v>
      </c>
      <c r="F178" s="3948" t="s">
        <v>744</v>
      </c>
      <c r="G178" s="3948" t="s">
        <v>745</v>
      </c>
      <c r="H178" s="3948" t="s">
        <v>746</v>
      </c>
      <c r="I178" s="3948" t="s">
        <v>747</v>
      </c>
      <c r="M178" s="4259"/>
      <c r="N178" s="4259"/>
      <c r="O178" s="4259"/>
      <c r="P178" s="3948" t="s">
        <v>743</v>
      </c>
      <c r="Q178" s="3948" t="s">
        <v>744</v>
      </c>
      <c r="R178" s="3948" t="s">
        <v>745</v>
      </c>
      <c r="S178" s="3948" t="s">
        <v>746</v>
      </c>
      <c r="T178" s="3948" t="s">
        <v>747</v>
      </c>
      <c r="X178" s="4259"/>
      <c r="Y178" s="4259"/>
      <c r="Z178" s="4259"/>
      <c r="AA178" s="3948" t="s">
        <v>743</v>
      </c>
      <c r="AB178" s="3948" t="s">
        <v>744</v>
      </c>
      <c r="AC178" s="3948" t="s">
        <v>745</v>
      </c>
      <c r="AD178" s="3948" t="s">
        <v>746</v>
      </c>
      <c r="AE178" s="3948" t="s">
        <v>747</v>
      </c>
      <c r="AF178" s="81"/>
      <c r="AI178" s="4259"/>
      <c r="AJ178" s="4259"/>
      <c r="AK178" s="4259"/>
      <c r="AL178" s="3948" t="s">
        <v>743</v>
      </c>
      <c r="AM178" s="3948" t="s">
        <v>744</v>
      </c>
      <c r="AN178" s="3948" t="s">
        <v>745</v>
      </c>
      <c r="AO178" s="3948" t="s">
        <v>746</v>
      </c>
      <c r="AP178" s="3948" t="s">
        <v>747</v>
      </c>
      <c r="AS178" s="4259"/>
      <c r="AT178" s="4259"/>
      <c r="AU178" s="4259"/>
      <c r="AV178" s="3948" t="s">
        <v>743</v>
      </c>
      <c r="AW178" s="3948" t="s">
        <v>744</v>
      </c>
      <c r="AX178" s="3948" t="s">
        <v>745</v>
      </c>
      <c r="AY178" s="3948" t="s">
        <v>746</v>
      </c>
      <c r="AZ178" s="3948" t="s">
        <v>747</v>
      </c>
    </row>
    <row r="179" spans="2:52" x14ac:dyDescent="0.2">
      <c r="B179" s="89" t="s">
        <v>504</v>
      </c>
      <c r="C179" s="85" t="s">
        <v>921</v>
      </c>
      <c r="D179" s="85">
        <f>SUM(E179:I179)</f>
        <v>93</v>
      </c>
      <c r="E179" s="85">
        <v>0</v>
      </c>
      <c r="F179" s="85">
        <v>9</v>
      </c>
      <c r="G179" s="85">
        <v>64</v>
      </c>
      <c r="H179" s="85">
        <v>20</v>
      </c>
      <c r="I179" s="85">
        <v>0</v>
      </c>
      <c r="M179" s="89" t="s">
        <v>506</v>
      </c>
      <c r="N179" s="85" t="s">
        <v>922</v>
      </c>
      <c r="O179" s="85">
        <f>SUM(P179:T179)</f>
        <v>113</v>
      </c>
      <c r="P179" s="85">
        <v>0</v>
      </c>
      <c r="Q179" s="85">
        <v>12</v>
      </c>
      <c r="R179" s="85">
        <v>61</v>
      </c>
      <c r="S179" s="85">
        <v>39</v>
      </c>
      <c r="T179" s="85">
        <v>1</v>
      </c>
      <c r="X179" s="89" t="s">
        <v>504</v>
      </c>
      <c r="Y179" s="85" t="s">
        <v>923</v>
      </c>
      <c r="Z179" s="85">
        <f>SUM(AA179:AE179)</f>
        <v>286</v>
      </c>
      <c r="AA179" s="85">
        <v>0</v>
      </c>
      <c r="AB179" s="85">
        <v>10</v>
      </c>
      <c r="AC179" s="85">
        <v>126</v>
      </c>
      <c r="AD179" s="85">
        <v>53</v>
      </c>
      <c r="AE179" s="85">
        <v>97</v>
      </c>
      <c r="AF179" s="81"/>
      <c r="AI179" s="89" t="s">
        <v>504</v>
      </c>
      <c r="AJ179" s="85" t="s">
        <v>923</v>
      </c>
      <c r="AK179" s="85">
        <f>SUM(AL179:AP179)</f>
        <v>154</v>
      </c>
      <c r="AL179" s="85">
        <v>0</v>
      </c>
      <c r="AM179" s="85">
        <v>12</v>
      </c>
      <c r="AN179" s="85">
        <v>56</v>
      </c>
      <c r="AO179" s="85">
        <v>86</v>
      </c>
      <c r="AP179" s="85">
        <v>0</v>
      </c>
      <c r="AS179" s="89" t="s">
        <v>504</v>
      </c>
      <c r="AT179" s="85" t="s">
        <v>923</v>
      </c>
      <c r="AU179" s="85">
        <f>SUM(AV179:AZ179)</f>
        <v>165</v>
      </c>
      <c r="AV179" s="85">
        <v>0</v>
      </c>
      <c r="AW179" s="85">
        <v>13</v>
      </c>
      <c r="AX179" s="85">
        <v>60</v>
      </c>
      <c r="AY179" s="85">
        <v>92</v>
      </c>
      <c r="AZ179" s="85">
        <v>0</v>
      </c>
    </row>
    <row r="180" spans="2:52" x14ac:dyDescent="0.2">
      <c r="B180" s="89" t="s">
        <v>506</v>
      </c>
      <c r="C180" s="85" t="s">
        <v>922</v>
      </c>
      <c r="D180" s="85">
        <f t="shared" ref="D180:D199" si="54">SUM(E180:I180)</f>
        <v>61</v>
      </c>
      <c r="E180" s="85">
        <v>0</v>
      </c>
      <c r="F180" s="85">
        <v>0</v>
      </c>
      <c r="G180" s="85">
        <v>38</v>
      </c>
      <c r="H180" s="85">
        <v>21</v>
      </c>
      <c r="I180" s="85">
        <v>2</v>
      </c>
      <c r="M180" s="89" t="s">
        <v>335</v>
      </c>
      <c r="N180" s="85" t="s">
        <v>924</v>
      </c>
      <c r="O180" s="85">
        <f t="shared" ref="O180:O200" si="55">SUM(P180:T180)</f>
        <v>109</v>
      </c>
      <c r="P180" s="85">
        <v>0</v>
      </c>
      <c r="Q180" s="85">
        <v>9</v>
      </c>
      <c r="R180" s="85">
        <v>60</v>
      </c>
      <c r="S180" s="85">
        <v>39</v>
      </c>
      <c r="T180" s="85">
        <v>1</v>
      </c>
      <c r="X180" s="89" t="s">
        <v>506</v>
      </c>
      <c r="Y180" s="85" t="s">
        <v>925</v>
      </c>
      <c r="Z180" s="85">
        <f t="shared" ref="Z180:Z200" si="56">SUM(AA180:AE180)</f>
        <v>135</v>
      </c>
      <c r="AA180" s="85">
        <v>0</v>
      </c>
      <c r="AB180" s="85">
        <v>10</v>
      </c>
      <c r="AC180" s="85">
        <v>64</v>
      </c>
      <c r="AD180" s="85">
        <v>20</v>
      </c>
      <c r="AE180" s="85">
        <v>41</v>
      </c>
      <c r="AF180" s="81"/>
      <c r="AI180" s="89" t="s">
        <v>506</v>
      </c>
      <c r="AJ180" s="85" t="s">
        <v>925</v>
      </c>
      <c r="AK180" s="85">
        <f t="shared" ref="AK180:AK200" si="57">SUM(AL180:AP180)</f>
        <v>117</v>
      </c>
      <c r="AL180" s="85">
        <v>0</v>
      </c>
      <c r="AM180" s="85">
        <v>10</v>
      </c>
      <c r="AN180" s="85">
        <v>55</v>
      </c>
      <c r="AO180" s="85">
        <v>52</v>
      </c>
      <c r="AP180" s="85">
        <v>0</v>
      </c>
      <c r="AS180" s="89" t="s">
        <v>506</v>
      </c>
      <c r="AT180" s="85" t="s">
        <v>925</v>
      </c>
      <c r="AU180" s="85">
        <f t="shared" ref="AU180:AU200" si="58">SUM(AV180:AZ180)</f>
        <v>130</v>
      </c>
      <c r="AV180" s="85">
        <v>0</v>
      </c>
      <c r="AW180" s="85">
        <v>8</v>
      </c>
      <c r="AX180" s="85">
        <v>60</v>
      </c>
      <c r="AY180" s="85">
        <v>62</v>
      </c>
      <c r="AZ180" s="85">
        <v>0</v>
      </c>
    </row>
    <row r="181" spans="2:52" x14ac:dyDescent="0.2">
      <c r="B181" s="93">
        <v>0</v>
      </c>
      <c r="C181" s="85" t="s">
        <v>6123</v>
      </c>
      <c r="D181" s="85">
        <f t="shared" si="54"/>
        <v>61</v>
      </c>
      <c r="E181" s="85">
        <v>1</v>
      </c>
      <c r="F181" s="85">
        <v>6</v>
      </c>
      <c r="G181" s="85">
        <v>39</v>
      </c>
      <c r="H181" s="85">
        <v>15</v>
      </c>
      <c r="I181" s="85">
        <v>0</v>
      </c>
      <c r="M181" s="89" t="s">
        <v>504</v>
      </c>
      <c r="N181" s="85" t="s">
        <v>921</v>
      </c>
      <c r="O181" s="85">
        <f t="shared" si="55"/>
        <v>82</v>
      </c>
      <c r="P181" s="85">
        <v>0</v>
      </c>
      <c r="Q181" s="85">
        <v>3</v>
      </c>
      <c r="R181" s="85">
        <v>34</v>
      </c>
      <c r="S181" s="85">
        <v>45</v>
      </c>
      <c r="T181" s="85">
        <v>0</v>
      </c>
      <c r="X181" s="89" t="s">
        <v>335</v>
      </c>
      <c r="Y181" s="85" t="s">
        <v>926</v>
      </c>
      <c r="Z181" s="85">
        <f t="shared" si="56"/>
        <v>74</v>
      </c>
      <c r="AA181" s="85">
        <v>0</v>
      </c>
      <c r="AB181" s="85">
        <v>2</v>
      </c>
      <c r="AC181" s="85">
        <v>41</v>
      </c>
      <c r="AD181" s="85">
        <v>29</v>
      </c>
      <c r="AE181" s="85">
        <v>2</v>
      </c>
      <c r="AF181" s="81"/>
      <c r="AI181" s="89" t="s">
        <v>335</v>
      </c>
      <c r="AJ181" s="85" t="s">
        <v>926</v>
      </c>
      <c r="AK181" s="85">
        <f t="shared" si="57"/>
        <v>84</v>
      </c>
      <c r="AL181" s="85">
        <v>0</v>
      </c>
      <c r="AM181" s="85">
        <v>2</v>
      </c>
      <c r="AN181" s="85">
        <v>41</v>
      </c>
      <c r="AO181" s="85">
        <v>41</v>
      </c>
      <c r="AP181" s="85">
        <v>0</v>
      </c>
      <c r="AS181" s="89" t="s">
        <v>335</v>
      </c>
      <c r="AT181" s="512" t="s">
        <v>926</v>
      </c>
      <c r="AU181" s="85">
        <f t="shared" si="58"/>
        <v>19</v>
      </c>
      <c r="AV181" s="85">
        <v>0</v>
      </c>
      <c r="AW181" s="85">
        <v>1</v>
      </c>
      <c r="AX181" s="85">
        <v>7</v>
      </c>
      <c r="AY181" s="85">
        <v>11</v>
      </c>
      <c r="AZ181" s="85">
        <v>0</v>
      </c>
    </row>
    <row r="182" spans="2:52" x14ac:dyDescent="0.2">
      <c r="B182" s="89" t="s">
        <v>927</v>
      </c>
      <c r="C182" s="85" t="s">
        <v>928</v>
      </c>
      <c r="D182" s="85">
        <f t="shared" si="54"/>
        <v>30</v>
      </c>
      <c r="E182" s="85">
        <v>0</v>
      </c>
      <c r="F182" s="85">
        <v>0</v>
      </c>
      <c r="G182" s="85">
        <v>16</v>
      </c>
      <c r="H182" s="85">
        <v>13</v>
      </c>
      <c r="I182" s="85">
        <v>1</v>
      </c>
      <c r="M182" s="89" t="s">
        <v>929</v>
      </c>
      <c r="N182" s="85" t="s">
        <v>930</v>
      </c>
      <c r="O182" s="85">
        <f t="shared" si="55"/>
        <v>46</v>
      </c>
      <c r="P182" s="85">
        <v>0</v>
      </c>
      <c r="Q182" s="85">
        <v>1</v>
      </c>
      <c r="R182" s="85">
        <v>24</v>
      </c>
      <c r="S182" s="85">
        <v>21</v>
      </c>
      <c r="T182" s="85">
        <v>0</v>
      </c>
      <c r="X182" s="89" t="s">
        <v>931</v>
      </c>
      <c r="Y182" s="85" t="s">
        <v>932</v>
      </c>
      <c r="Z182" s="85">
        <f t="shared" si="56"/>
        <v>63</v>
      </c>
      <c r="AA182" s="85">
        <v>0</v>
      </c>
      <c r="AB182" s="85">
        <v>2</v>
      </c>
      <c r="AC182" s="85">
        <v>37</v>
      </c>
      <c r="AD182" s="85">
        <v>16</v>
      </c>
      <c r="AE182" s="85">
        <v>8</v>
      </c>
      <c r="AF182" s="81"/>
      <c r="AI182" s="89" t="s">
        <v>927</v>
      </c>
      <c r="AJ182" s="85" t="s">
        <v>933</v>
      </c>
      <c r="AK182" s="85">
        <f t="shared" si="57"/>
        <v>79</v>
      </c>
      <c r="AL182" s="85">
        <v>0</v>
      </c>
      <c r="AM182" s="85">
        <v>1</v>
      </c>
      <c r="AN182" s="85">
        <v>37</v>
      </c>
      <c r="AO182" s="85">
        <v>41</v>
      </c>
      <c r="AP182" s="85">
        <v>0</v>
      </c>
      <c r="AS182" s="89" t="s">
        <v>927</v>
      </c>
      <c r="AT182" s="85" t="s">
        <v>933</v>
      </c>
      <c r="AU182" s="85">
        <f t="shared" si="58"/>
        <v>1</v>
      </c>
      <c r="AV182" s="85">
        <v>0</v>
      </c>
      <c r="AW182" s="85">
        <v>0</v>
      </c>
      <c r="AX182" s="85">
        <v>1</v>
      </c>
      <c r="AY182" s="85">
        <v>0</v>
      </c>
      <c r="AZ182" s="85">
        <v>0</v>
      </c>
    </row>
    <row r="183" spans="2:52" x14ac:dyDescent="0.2">
      <c r="B183" s="89" t="s">
        <v>505</v>
      </c>
      <c r="C183" s="85" t="s">
        <v>6124</v>
      </c>
      <c r="D183" s="85">
        <f t="shared" si="54"/>
        <v>24</v>
      </c>
      <c r="E183" s="85">
        <v>0</v>
      </c>
      <c r="F183" s="85">
        <v>2</v>
      </c>
      <c r="G183" s="85">
        <v>18</v>
      </c>
      <c r="H183" s="85">
        <v>4</v>
      </c>
      <c r="I183" s="85">
        <v>0</v>
      </c>
      <c r="M183" s="89" t="s">
        <v>934</v>
      </c>
      <c r="N183" s="85" t="s">
        <v>935</v>
      </c>
      <c r="O183" s="85">
        <f t="shared" si="55"/>
        <v>44</v>
      </c>
      <c r="P183" s="85">
        <v>0</v>
      </c>
      <c r="Q183" s="85">
        <v>2</v>
      </c>
      <c r="R183" s="85">
        <v>24</v>
      </c>
      <c r="S183" s="85">
        <v>17</v>
      </c>
      <c r="T183" s="85">
        <v>1</v>
      </c>
      <c r="X183" s="89" t="s">
        <v>929</v>
      </c>
      <c r="Y183" s="85" t="s">
        <v>936</v>
      </c>
      <c r="Z183" s="85">
        <f t="shared" si="56"/>
        <v>41</v>
      </c>
      <c r="AA183" s="85">
        <v>0</v>
      </c>
      <c r="AB183" s="85">
        <v>1</v>
      </c>
      <c r="AC183" s="85">
        <v>26</v>
      </c>
      <c r="AD183" s="85">
        <v>14</v>
      </c>
      <c r="AE183" s="85">
        <v>0</v>
      </c>
      <c r="AF183" s="81"/>
      <c r="AI183" s="89" t="s">
        <v>937</v>
      </c>
      <c r="AJ183" s="85" t="s">
        <v>938</v>
      </c>
      <c r="AK183" s="85">
        <f t="shared" si="57"/>
        <v>55</v>
      </c>
      <c r="AL183" s="85">
        <v>0</v>
      </c>
      <c r="AM183" s="85">
        <v>1</v>
      </c>
      <c r="AN183" s="85">
        <v>26</v>
      </c>
      <c r="AO183" s="85">
        <v>28</v>
      </c>
      <c r="AP183" s="85">
        <v>0</v>
      </c>
      <c r="AS183" s="89" t="s">
        <v>937</v>
      </c>
      <c r="AT183" s="85" t="s">
        <v>938</v>
      </c>
      <c r="AU183" s="85">
        <f t="shared" si="58"/>
        <v>269</v>
      </c>
      <c r="AV183" s="85">
        <v>0</v>
      </c>
      <c r="AW183" s="85">
        <v>17</v>
      </c>
      <c r="AX183" s="85">
        <v>135</v>
      </c>
      <c r="AY183" s="85">
        <v>117</v>
      </c>
      <c r="AZ183" s="85">
        <v>0</v>
      </c>
    </row>
    <row r="184" spans="2:52" x14ac:dyDescent="0.2">
      <c r="B184" s="89" t="s">
        <v>335</v>
      </c>
      <c r="C184" s="85" t="s">
        <v>924</v>
      </c>
      <c r="D184" s="85">
        <f t="shared" si="54"/>
        <v>23</v>
      </c>
      <c r="E184" s="85">
        <v>0</v>
      </c>
      <c r="F184" s="85">
        <v>2</v>
      </c>
      <c r="G184" s="85">
        <v>15</v>
      </c>
      <c r="H184" s="85">
        <v>6</v>
      </c>
      <c r="I184" s="85">
        <v>0</v>
      </c>
      <c r="M184" s="89" t="s">
        <v>939</v>
      </c>
      <c r="N184" s="85" t="s">
        <v>940</v>
      </c>
      <c r="O184" s="85">
        <f t="shared" si="55"/>
        <v>39</v>
      </c>
      <c r="P184" s="85">
        <v>0</v>
      </c>
      <c r="Q184" s="85">
        <v>1</v>
      </c>
      <c r="R184" s="85">
        <v>24</v>
      </c>
      <c r="S184" s="85">
        <v>13</v>
      </c>
      <c r="T184" s="85">
        <v>1</v>
      </c>
      <c r="X184" s="89" t="s">
        <v>937</v>
      </c>
      <c r="Y184" s="85" t="s">
        <v>938</v>
      </c>
      <c r="Z184" s="85">
        <f t="shared" si="56"/>
        <v>32</v>
      </c>
      <c r="AA184" s="85">
        <v>0</v>
      </c>
      <c r="AB184" s="85">
        <v>2</v>
      </c>
      <c r="AC184" s="85">
        <v>14</v>
      </c>
      <c r="AD184" s="85">
        <v>12</v>
      </c>
      <c r="AE184" s="85">
        <v>4</v>
      </c>
      <c r="AF184" s="81"/>
      <c r="AI184" s="89" t="s">
        <v>941</v>
      </c>
      <c r="AJ184" s="85" t="s">
        <v>942</v>
      </c>
      <c r="AK184" s="85">
        <f t="shared" si="57"/>
        <v>55</v>
      </c>
      <c r="AL184" s="85">
        <v>0</v>
      </c>
      <c r="AM184" s="85">
        <v>2</v>
      </c>
      <c r="AN184" s="85">
        <v>14</v>
      </c>
      <c r="AO184" s="85">
        <v>39</v>
      </c>
      <c r="AP184" s="85">
        <v>0</v>
      </c>
      <c r="AS184" s="89" t="s">
        <v>941</v>
      </c>
      <c r="AT184" s="85" t="s">
        <v>942</v>
      </c>
      <c r="AU184" s="85">
        <f t="shared" si="58"/>
        <v>1</v>
      </c>
      <c r="AV184" s="85">
        <v>0</v>
      </c>
      <c r="AW184" s="85">
        <v>0</v>
      </c>
      <c r="AX184" s="85">
        <v>1</v>
      </c>
      <c r="AY184" s="85">
        <v>0</v>
      </c>
      <c r="AZ184" s="85">
        <v>0</v>
      </c>
    </row>
    <row r="185" spans="2:52" x14ac:dyDescent="0.2">
      <c r="B185" s="89" t="s">
        <v>929</v>
      </c>
      <c r="C185" s="85" t="s">
        <v>930</v>
      </c>
      <c r="D185" s="85">
        <f t="shared" si="54"/>
        <v>23</v>
      </c>
      <c r="E185" s="85">
        <v>0</v>
      </c>
      <c r="F185" s="85">
        <v>1</v>
      </c>
      <c r="G185" s="85">
        <v>17</v>
      </c>
      <c r="H185" s="85">
        <v>5</v>
      </c>
      <c r="I185" s="85">
        <v>0</v>
      </c>
      <c r="M185" s="89" t="s">
        <v>941</v>
      </c>
      <c r="N185" s="85" t="s">
        <v>943</v>
      </c>
      <c r="O185" s="85">
        <f t="shared" si="55"/>
        <v>34</v>
      </c>
      <c r="P185" s="85">
        <v>0</v>
      </c>
      <c r="Q185" s="85">
        <v>5</v>
      </c>
      <c r="R185" s="85">
        <v>20</v>
      </c>
      <c r="S185" s="85">
        <v>9</v>
      </c>
      <c r="T185" s="85">
        <v>0</v>
      </c>
      <c r="X185" s="89" t="s">
        <v>944</v>
      </c>
      <c r="Y185" s="85" t="s">
        <v>945</v>
      </c>
      <c r="Z185" s="85">
        <f t="shared" si="56"/>
        <v>31</v>
      </c>
      <c r="AA185" s="85">
        <v>0</v>
      </c>
      <c r="AB185" s="85">
        <v>1</v>
      </c>
      <c r="AC185" s="85">
        <v>17</v>
      </c>
      <c r="AD185" s="85">
        <v>13</v>
      </c>
      <c r="AE185" s="85">
        <v>0</v>
      </c>
      <c r="AF185" s="81"/>
      <c r="AI185" s="89" t="s">
        <v>931</v>
      </c>
      <c r="AJ185" s="85" t="s">
        <v>932</v>
      </c>
      <c r="AK185" s="85">
        <f t="shared" si="57"/>
        <v>56</v>
      </c>
      <c r="AL185" s="85">
        <v>0</v>
      </c>
      <c r="AM185" s="85">
        <v>1</v>
      </c>
      <c r="AN185" s="85">
        <v>17</v>
      </c>
      <c r="AO185" s="85">
        <v>38</v>
      </c>
      <c r="AP185" s="85">
        <v>0</v>
      </c>
      <c r="AS185" s="89" t="s">
        <v>931</v>
      </c>
      <c r="AT185" s="85" t="s">
        <v>932</v>
      </c>
      <c r="AU185" s="85">
        <f t="shared" si="58"/>
        <v>15</v>
      </c>
      <c r="AV185" s="85">
        <v>0</v>
      </c>
      <c r="AW185" s="85">
        <v>1</v>
      </c>
      <c r="AX185" s="85">
        <v>5</v>
      </c>
      <c r="AY185" s="85">
        <v>9</v>
      </c>
      <c r="AZ185" s="85">
        <v>0</v>
      </c>
    </row>
    <row r="186" spans="2:52" x14ac:dyDescent="0.2">
      <c r="B186" s="89" t="s">
        <v>931</v>
      </c>
      <c r="C186" s="85" t="s">
        <v>946</v>
      </c>
      <c r="D186" s="85">
        <f t="shared" si="54"/>
        <v>22</v>
      </c>
      <c r="E186" s="85">
        <v>0</v>
      </c>
      <c r="F186" s="85">
        <v>0</v>
      </c>
      <c r="G186" s="85">
        <v>21</v>
      </c>
      <c r="H186" s="85">
        <v>1</v>
      </c>
      <c r="I186" s="85">
        <v>0</v>
      </c>
      <c r="M186" s="89" t="s">
        <v>947</v>
      </c>
      <c r="N186" s="85" t="s">
        <v>948</v>
      </c>
      <c r="O186" s="85">
        <f t="shared" si="55"/>
        <v>31</v>
      </c>
      <c r="P186" s="85">
        <v>0</v>
      </c>
      <c r="Q186" s="85">
        <v>5</v>
      </c>
      <c r="R186" s="85">
        <v>19</v>
      </c>
      <c r="S186" s="85">
        <v>7</v>
      </c>
      <c r="T186" s="85">
        <v>0</v>
      </c>
      <c r="X186" s="89" t="s">
        <v>927</v>
      </c>
      <c r="Y186" s="85" t="s">
        <v>933</v>
      </c>
      <c r="Z186" s="85">
        <f t="shared" si="56"/>
        <v>30</v>
      </c>
      <c r="AA186" s="85">
        <v>0</v>
      </c>
      <c r="AB186" s="85">
        <v>0</v>
      </c>
      <c r="AC186" s="85">
        <v>9</v>
      </c>
      <c r="AD186" s="85">
        <v>21</v>
      </c>
      <c r="AE186" s="85">
        <v>0</v>
      </c>
      <c r="AF186" s="81"/>
      <c r="AI186" s="89" t="s">
        <v>929</v>
      </c>
      <c r="AJ186" s="85" t="s">
        <v>936</v>
      </c>
      <c r="AK186" s="85">
        <f t="shared" si="57"/>
        <v>36</v>
      </c>
      <c r="AL186" s="85">
        <v>0</v>
      </c>
      <c r="AM186" s="85">
        <v>1</v>
      </c>
      <c r="AN186" s="85">
        <v>9</v>
      </c>
      <c r="AO186" s="85">
        <v>26</v>
      </c>
      <c r="AP186" s="85">
        <v>0</v>
      </c>
      <c r="AS186" s="89" t="s">
        <v>929</v>
      </c>
      <c r="AT186" s="85" t="s">
        <v>936</v>
      </c>
      <c r="AU186" s="85">
        <f t="shared" si="58"/>
        <v>24</v>
      </c>
      <c r="AV186" s="85">
        <v>0</v>
      </c>
      <c r="AW186" s="85">
        <v>1</v>
      </c>
      <c r="AX186" s="85">
        <v>11</v>
      </c>
      <c r="AY186" s="85">
        <v>12</v>
      </c>
      <c r="AZ186" s="85">
        <v>0</v>
      </c>
    </row>
    <row r="187" spans="2:52" x14ac:dyDescent="0.2">
      <c r="B187" s="89" t="s">
        <v>949</v>
      </c>
      <c r="C187" s="85" t="s">
        <v>6125</v>
      </c>
      <c r="D187" s="85">
        <f t="shared" si="54"/>
        <v>19</v>
      </c>
      <c r="E187" s="85">
        <v>0</v>
      </c>
      <c r="F187" s="85">
        <v>3</v>
      </c>
      <c r="G187" s="85">
        <v>8</v>
      </c>
      <c r="H187" s="85">
        <v>8</v>
      </c>
      <c r="I187" s="85">
        <v>0</v>
      </c>
      <c r="M187" s="89" t="s">
        <v>950</v>
      </c>
      <c r="N187" s="85" t="s">
        <v>951</v>
      </c>
      <c r="O187" s="85">
        <f t="shared" si="55"/>
        <v>28</v>
      </c>
      <c r="P187" s="85">
        <v>0</v>
      </c>
      <c r="Q187" s="85">
        <v>0</v>
      </c>
      <c r="R187" s="85">
        <v>20</v>
      </c>
      <c r="S187" s="85">
        <v>7</v>
      </c>
      <c r="T187" s="85">
        <v>1</v>
      </c>
      <c r="X187" s="89" t="s">
        <v>941</v>
      </c>
      <c r="Y187" s="85" t="s">
        <v>942</v>
      </c>
      <c r="Z187" s="85">
        <f t="shared" si="56"/>
        <v>21</v>
      </c>
      <c r="AA187" s="85">
        <v>0</v>
      </c>
      <c r="AB187" s="85">
        <v>2</v>
      </c>
      <c r="AC187" s="85">
        <v>3</v>
      </c>
      <c r="AD187" s="85">
        <v>15</v>
      </c>
      <c r="AE187" s="85">
        <v>1</v>
      </c>
      <c r="AF187" s="81"/>
      <c r="AI187" s="89" t="s">
        <v>952</v>
      </c>
      <c r="AJ187" s="85" t="s">
        <v>953</v>
      </c>
      <c r="AK187" s="85">
        <f t="shared" si="57"/>
        <v>26</v>
      </c>
      <c r="AL187" s="85">
        <v>0</v>
      </c>
      <c r="AM187" s="85">
        <v>2</v>
      </c>
      <c r="AN187" s="85">
        <v>3</v>
      </c>
      <c r="AO187" s="85">
        <v>21</v>
      </c>
      <c r="AP187" s="85">
        <v>0</v>
      </c>
      <c r="AS187" s="89" t="s">
        <v>952</v>
      </c>
      <c r="AT187" s="85" t="s">
        <v>953</v>
      </c>
      <c r="AU187" s="85">
        <f t="shared" si="58"/>
        <v>11</v>
      </c>
      <c r="AV187" s="85">
        <v>0</v>
      </c>
      <c r="AW187" s="85">
        <v>0</v>
      </c>
      <c r="AX187" s="85">
        <v>5</v>
      </c>
      <c r="AY187" s="85">
        <v>6</v>
      </c>
      <c r="AZ187" s="85">
        <v>0</v>
      </c>
    </row>
    <row r="188" spans="2:52" x14ac:dyDescent="0.2">
      <c r="B188" s="89" t="s">
        <v>941</v>
      </c>
      <c r="C188" s="85" t="s">
        <v>943</v>
      </c>
      <c r="D188" s="85">
        <f t="shared" si="54"/>
        <v>18</v>
      </c>
      <c r="E188" s="85">
        <v>0</v>
      </c>
      <c r="F188" s="85">
        <v>0</v>
      </c>
      <c r="G188" s="85">
        <v>11</v>
      </c>
      <c r="H188" s="85">
        <v>7</v>
      </c>
      <c r="I188" s="85">
        <v>0</v>
      </c>
      <c r="M188" s="89" t="s">
        <v>954</v>
      </c>
      <c r="N188" s="85" t="s">
        <v>955</v>
      </c>
      <c r="O188" s="85">
        <f t="shared" si="55"/>
        <v>24</v>
      </c>
      <c r="P188" s="85">
        <v>0</v>
      </c>
      <c r="Q188" s="85">
        <v>0</v>
      </c>
      <c r="R188" s="85">
        <v>14</v>
      </c>
      <c r="S188" s="85">
        <v>10</v>
      </c>
      <c r="T188" s="85">
        <v>0</v>
      </c>
      <c r="X188" s="89" t="s">
        <v>956</v>
      </c>
      <c r="Y188" s="85" t="s">
        <v>957</v>
      </c>
      <c r="Z188" s="85">
        <f t="shared" si="56"/>
        <v>21</v>
      </c>
      <c r="AA188" s="85">
        <v>0</v>
      </c>
      <c r="AB188" s="85">
        <v>2</v>
      </c>
      <c r="AC188" s="85">
        <v>6</v>
      </c>
      <c r="AD188" s="85">
        <v>9</v>
      </c>
      <c r="AE188" s="85">
        <v>4</v>
      </c>
      <c r="AF188" s="81"/>
      <c r="AI188" s="89" t="s">
        <v>958</v>
      </c>
      <c r="AJ188" s="85" t="s">
        <v>959</v>
      </c>
      <c r="AK188" s="85">
        <f t="shared" si="57"/>
        <v>27</v>
      </c>
      <c r="AL188" s="85">
        <v>0</v>
      </c>
      <c r="AM188" s="85">
        <v>2</v>
      </c>
      <c r="AN188" s="85">
        <v>6</v>
      </c>
      <c r="AO188" s="85">
        <v>19</v>
      </c>
      <c r="AP188" s="85">
        <v>0</v>
      </c>
      <c r="AS188" s="89" t="s">
        <v>958</v>
      </c>
      <c r="AT188" s="85" t="s">
        <v>959</v>
      </c>
      <c r="AU188" s="85">
        <f t="shared" si="58"/>
        <v>250</v>
      </c>
      <c r="AV188" s="85">
        <v>0</v>
      </c>
      <c r="AW188" s="85">
        <v>13</v>
      </c>
      <c r="AX188" s="85">
        <v>101</v>
      </c>
      <c r="AY188" s="85">
        <v>119</v>
      </c>
      <c r="AZ188" s="85">
        <v>17</v>
      </c>
    </row>
    <row r="189" spans="2:52" x14ac:dyDescent="0.2">
      <c r="B189" s="89" t="s">
        <v>6126</v>
      </c>
      <c r="C189" s="85" t="s">
        <v>6127</v>
      </c>
      <c r="D189" s="85">
        <f t="shared" si="54"/>
        <v>16</v>
      </c>
      <c r="E189" s="85">
        <v>0</v>
      </c>
      <c r="F189" s="85">
        <v>2</v>
      </c>
      <c r="G189" s="85">
        <v>10</v>
      </c>
      <c r="H189" s="85">
        <v>4</v>
      </c>
      <c r="I189" s="85">
        <v>0</v>
      </c>
      <c r="M189" s="89" t="s">
        <v>960</v>
      </c>
      <c r="N189" s="85" t="s">
        <v>961</v>
      </c>
      <c r="O189" s="85">
        <f t="shared" si="55"/>
        <v>20</v>
      </c>
      <c r="P189" s="85">
        <v>0</v>
      </c>
      <c r="Q189" s="85">
        <v>3</v>
      </c>
      <c r="R189" s="85">
        <v>11</v>
      </c>
      <c r="S189" s="85">
        <v>6</v>
      </c>
      <c r="T189" s="85">
        <v>0</v>
      </c>
      <c r="X189" s="89" t="s">
        <v>934</v>
      </c>
      <c r="Y189" s="85" t="s">
        <v>962</v>
      </c>
      <c r="Z189" s="85">
        <f t="shared" si="56"/>
        <v>20</v>
      </c>
      <c r="AA189" s="85">
        <v>0</v>
      </c>
      <c r="AB189" s="85">
        <v>1</v>
      </c>
      <c r="AC189" s="85">
        <v>5</v>
      </c>
      <c r="AD189" s="85">
        <v>12</v>
      </c>
      <c r="AE189" s="85">
        <v>2</v>
      </c>
      <c r="AF189" s="81"/>
      <c r="AI189" s="89" t="s">
        <v>963</v>
      </c>
      <c r="AJ189" s="85" t="s">
        <v>964</v>
      </c>
      <c r="AK189" s="85">
        <f t="shared" si="57"/>
        <v>21</v>
      </c>
      <c r="AL189" s="85">
        <v>0</v>
      </c>
      <c r="AM189" s="85">
        <v>1</v>
      </c>
      <c r="AN189" s="85">
        <v>5</v>
      </c>
      <c r="AO189" s="85">
        <v>15</v>
      </c>
      <c r="AP189" s="85">
        <v>0</v>
      </c>
      <c r="AS189" s="89" t="s">
        <v>963</v>
      </c>
      <c r="AT189" s="85" t="s">
        <v>964</v>
      </c>
      <c r="AU189" s="85">
        <f t="shared" si="58"/>
        <v>3</v>
      </c>
      <c r="AV189" s="85">
        <v>0</v>
      </c>
      <c r="AW189" s="85">
        <v>0</v>
      </c>
      <c r="AX189" s="85">
        <v>0</v>
      </c>
      <c r="AY189" s="85">
        <v>3</v>
      </c>
      <c r="AZ189" s="85">
        <v>0</v>
      </c>
    </row>
    <row r="190" spans="2:52" x14ac:dyDescent="0.2">
      <c r="B190" s="89" t="s">
        <v>963</v>
      </c>
      <c r="C190" s="85" t="s">
        <v>965</v>
      </c>
      <c r="D190" s="85">
        <f t="shared" si="54"/>
        <v>16</v>
      </c>
      <c r="E190" s="85">
        <v>0</v>
      </c>
      <c r="F190" s="85">
        <v>0</v>
      </c>
      <c r="G190" s="85">
        <v>8</v>
      </c>
      <c r="H190" s="85">
        <v>6</v>
      </c>
      <c r="I190" s="85">
        <v>2</v>
      </c>
      <c r="M190" s="89" t="s">
        <v>927</v>
      </c>
      <c r="N190" s="85" t="s">
        <v>928</v>
      </c>
      <c r="O190" s="85">
        <f t="shared" si="55"/>
        <v>19</v>
      </c>
      <c r="P190" s="85">
        <v>0</v>
      </c>
      <c r="Q190" s="85">
        <v>1</v>
      </c>
      <c r="R190" s="85">
        <v>13</v>
      </c>
      <c r="S190" s="85">
        <v>5</v>
      </c>
      <c r="T190" s="85">
        <v>0</v>
      </c>
      <c r="X190" s="89" t="s">
        <v>966</v>
      </c>
      <c r="Y190" s="85" t="s">
        <v>967</v>
      </c>
      <c r="Z190" s="85">
        <f t="shared" si="56"/>
        <v>15</v>
      </c>
      <c r="AA190" s="85">
        <v>0</v>
      </c>
      <c r="AB190" s="85">
        <v>1</v>
      </c>
      <c r="AC190" s="85">
        <v>9</v>
      </c>
      <c r="AD190" s="85">
        <v>2</v>
      </c>
      <c r="AE190" s="85">
        <v>3</v>
      </c>
      <c r="AF190" s="81"/>
      <c r="AI190" s="89" t="s">
        <v>503</v>
      </c>
      <c r="AJ190" s="85" t="s">
        <v>968</v>
      </c>
      <c r="AK190" s="85">
        <f t="shared" si="57"/>
        <v>35</v>
      </c>
      <c r="AL190" s="85">
        <v>0</v>
      </c>
      <c r="AM190" s="85">
        <v>1</v>
      </c>
      <c r="AN190" s="85">
        <v>6</v>
      </c>
      <c r="AO190" s="85">
        <v>28</v>
      </c>
      <c r="AP190" s="85">
        <v>0</v>
      </c>
      <c r="AS190" s="89" t="s">
        <v>503</v>
      </c>
      <c r="AT190" s="85" t="s">
        <v>968</v>
      </c>
      <c r="AU190" s="85">
        <f t="shared" si="58"/>
        <v>37</v>
      </c>
      <c r="AV190" s="85">
        <v>0</v>
      </c>
      <c r="AW190" s="85">
        <v>1</v>
      </c>
      <c r="AX190" s="85">
        <v>6</v>
      </c>
      <c r="AY190" s="85">
        <v>30</v>
      </c>
      <c r="AZ190" s="85">
        <v>0</v>
      </c>
    </row>
    <row r="191" spans="2:52" x14ac:dyDescent="0.2">
      <c r="B191" s="89" t="s">
        <v>503</v>
      </c>
      <c r="C191" s="85" t="s">
        <v>6128</v>
      </c>
      <c r="D191" s="85">
        <f t="shared" si="54"/>
        <v>14</v>
      </c>
      <c r="E191" s="85">
        <v>0</v>
      </c>
      <c r="F191" s="85">
        <v>1</v>
      </c>
      <c r="G191" s="85">
        <v>5</v>
      </c>
      <c r="H191" s="85">
        <v>8</v>
      </c>
      <c r="I191" s="85">
        <v>0</v>
      </c>
      <c r="M191" s="89" t="s">
        <v>958</v>
      </c>
      <c r="N191" s="85" t="s">
        <v>969</v>
      </c>
      <c r="O191" s="85">
        <f t="shared" si="55"/>
        <v>18</v>
      </c>
      <c r="P191" s="85">
        <v>0</v>
      </c>
      <c r="Q191" s="85">
        <v>3</v>
      </c>
      <c r="R191" s="85">
        <v>10</v>
      </c>
      <c r="S191" s="85">
        <v>5</v>
      </c>
      <c r="T191" s="85">
        <v>0</v>
      </c>
      <c r="X191" s="89" t="s">
        <v>970</v>
      </c>
      <c r="Y191" s="85" t="s">
        <v>968</v>
      </c>
      <c r="Z191" s="85">
        <f t="shared" si="56"/>
        <v>15</v>
      </c>
      <c r="AA191" s="85">
        <v>0</v>
      </c>
      <c r="AB191" s="85">
        <v>2</v>
      </c>
      <c r="AC191" s="85">
        <v>6</v>
      </c>
      <c r="AD191" s="85">
        <v>1</v>
      </c>
      <c r="AE191" s="85">
        <v>6</v>
      </c>
      <c r="AF191" s="81"/>
      <c r="AI191" s="89" t="s">
        <v>971</v>
      </c>
      <c r="AJ191" s="85" t="s">
        <v>972</v>
      </c>
      <c r="AK191" s="85">
        <f t="shared" si="57"/>
        <v>42</v>
      </c>
      <c r="AL191" s="85">
        <v>0</v>
      </c>
      <c r="AM191" s="85">
        <v>2</v>
      </c>
      <c r="AN191" s="85">
        <v>6</v>
      </c>
      <c r="AO191" s="85">
        <v>34</v>
      </c>
      <c r="AP191" s="85">
        <v>0</v>
      </c>
      <c r="AS191" s="89" t="s">
        <v>971</v>
      </c>
      <c r="AT191" s="85" t="s">
        <v>972</v>
      </c>
      <c r="AU191" s="85">
        <f t="shared" si="58"/>
        <v>50</v>
      </c>
      <c r="AV191" s="85">
        <v>0</v>
      </c>
      <c r="AW191" s="85">
        <v>3</v>
      </c>
      <c r="AX191" s="85">
        <v>7</v>
      </c>
      <c r="AY191" s="85">
        <v>40</v>
      </c>
      <c r="AZ191" s="85">
        <v>0</v>
      </c>
    </row>
    <row r="192" spans="2:52" x14ac:dyDescent="0.2">
      <c r="B192" s="89" t="s">
        <v>973</v>
      </c>
      <c r="C192" s="85" t="s">
        <v>974</v>
      </c>
      <c r="D192" s="85">
        <f t="shared" si="54"/>
        <v>14</v>
      </c>
      <c r="E192" s="85">
        <v>0</v>
      </c>
      <c r="F192" s="85">
        <v>0</v>
      </c>
      <c r="G192" s="85">
        <v>8</v>
      </c>
      <c r="H192" s="85">
        <v>6</v>
      </c>
      <c r="I192" s="85">
        <v>0</v>
      </c>
      <c r="M192" s="89" t="s">
        <v>975</v>
      </c>
      <c r="N192" s="85" t="s">
        <v>976</v>
      </c>
      <c r="O192" s="85">
        <f t="shared" si="55"/>
        <v>18</v>
      </c>
      <c r="P192" s="85">
        <v>0</v>
      </c>
      <c r="Q192" s="85">
        <v>1</v>
      </c>
      <c r="R192" s="85">
        <v>11</v>
      </c>
      <c r="S192" s="85">
        <v>6</v>
      </c>
      <c r="T192" s="85">
        <v>0</v>
      </c>
      <c r="X192" s="89" t="s">
        <v>977</v>
      </c>
      <c r="Y192" s="85" t="s">
        <v>978</v>
      </c>
      <c r="Z192" s="85">
        <f t="shared" si="56"/>
        <v>15</v>
      </c>
      <c r="AA192" s="85">
        <v>0</v>
      </c>
      <c r="AB192" s="85">
        <v>1</v>
      </c>
      <c r="AC192" s="85">
        <v>4</v>
      </c>
      <c r="AD192" s="85">
        <v>6</v>
      </c>
      <c r="AE192" s="85">
        <v>4</v>
      </c>
      <c r="AF192" s="81"/>
      <c r="AI192" s="89" t="s">
        <v>505</v>
      </c>
      <c r="AJ192" s="85" t="s">
        <v>979</v>
      </c>
      <c r="AK192" s="85">
        <f t="shared" si="57"/>
        <v>32</v>
      </c>
      <c r="AL192" s="85">
        <v>0</v>
      </c>
      <c r="AM192" s="85">
        <v>1</v>
      </c>
      <c r="AN192" s="85">
        <v>4</v>
      </c>
      <c r="AO192" s="85">
        <v>27</v>
      </c>
      <c r="AP192" s="85">
        <v>0</v>
      </c>
      <c r="AS192" s="89" t="s">
        <v>505</v>
      </c>
      <c r="AT192" s="85" t="s">
        <v>979</v>
      </c>
      <c r="AU192" s="85">
        <f t="shared" si="58"/>
        <v>32</v>
      </c>
      <c r="AV192" s="85">
        <v>0</v>
      </c>
      <c r="AW192" s="85">
        <v>2</v>
      </c>
      <c r="AX192" s="85">
        <v>5</v>
      </c>
      <c r="AY192" s="85">
        <v>25</v>
      </c>
      <c r="AZ192" s="85">
        <v>0</v>
      </c>
    </row>
    <row r="193" spans="2:53" x14ac:dyDescent="0.2">
      <c r="B193" s="89" t="s">
        <v>6129</v>
      </c>
      <c r="C193" s="85" t="s">
        <v>6130</v>
      </c>
      <c r="D193" s="85">
        <f t="shared" si="54"/>
        <v>12</v>
      </c>
      <c r="E193" s="85">
        <v>0</v>
      </c>
      <c r="F193" s="85">
        <v>0</v>
      </c>
      <c r="G193" s="85">
        <v>4</v>
      </c>
      <c r="H193" s="85">
        <v>7</v>
      </c>
      <c r="I193" s="85">
        <v>1</v>
      </c>
      <c r="M193" s="89" t="s">
        <v>963</v>
      </c>
      <c r="N193" s="85" t="s">
        <v>974</v>
      </c>
      <c r="O193" s="85">
        <f t="shared" si="55"/>
        <v>14</v>
      </c>
      <c r="P193" s="85">
        <v>0</v>
      </c>
      <c r="Q193" s="85">
        <v>0</v>
      </c>
      <c r="R193" s="85">
        <v>10</v>
      </c>
      <c r="S193" s="85">
        <v>4</v>
      </c>
      <c r="T193" s="85">
        <v>0</v>
      </c>
      <c r="X193" s="89" t="s">
        <v>947</v>
      </c>
      <c r="Y193" s="85" t="s">
        <v>948</v>
      </c>
      <c r="Z193" s="85">
        <f t="shared" si="56"/>
        <v>14</v>
      </c>
      <c r="AA193" s="85">
        <v>0</v>
      </c>
      <c r="AB193" s="85">
        <v>3</v>
      </c>
      <c r="AC193" s="85">
        <v>8</v>
      </c>
      <c r="AD193" s="85">
        <v>3</v>
      </c>
      <c r="AE193" s="85">
        <v>0</v>
      </c>
      <c r="AF193" s="81"/>
      <c r="AI193" s="89" t="s">
        <v>970</v>
      </c>
      <c r="AJ193" s="85" t="s">
        <v>980</v>
      </c>
      <c r="AK193" s="85">
        <f t="shared" si="57"/>
        <v>24</v>
      </c>
      <c r="AL193" s="85">
        <v>0</v>
      </c>
      <c r="AM193" s="85">
        <v>3</v>
      </c>
      <c r="AN193" s="85">
        <v>8</v>
      </c>
      <c r="AO193" s="85">
        <v>13</v>
      </c>
      <c r="AP193" s="85">
        <v>0</v>
      </c>
      <c r="AS193" s="89" t="s">
        <v>970</v>
      </c>
      <c r="AT193" s="85" t="s">
        <v>980</v>
      </c>
      <c r="AU193" s="85">
        <f t="shared" si="58"/>
        <v>18</v>
      </c>
      <c r="AV193" s="85">
        <v>0</v>
      </c>
      <c r="AW193" s="85">
        <v>0</v>
      </c>
      <c r="AX193" s="85">
        <v>7</v>
      </c>
      <c r="AY193" s="85">
        <v>11</v>
      </c>
      <c r="AZ193" s="85">
        <v>0</v>
      </c>
    </row>
    <row r="194" spans="2:53" x14ac:dyDescent="0.2">
      <c r="B194" s="89" t="s">
        <v>981</v>
      </c>
      <c r="C194" s="85" t="s">
        <v>6131</v>
      </c>
      <c r="D194" s="85">
        <f t="shared" si="54"/>
        <v>12</v>
      </c>
      <c r="E194" s="85">
        <v>0</v>
      </c>
      <c r="F194" s="85">
        <v>0</v>
      </c>
      <c r="G194" s="85">
        <v>7</v>
      </c>
      <c r="H194" s="85">
        <v>5</v>
      </c>
      <c r="I194" s="85">
        <v>0</v>
      </c>
      <c r="M194" s="89" t="s">
        <v>973</v>
      </c>
      <c r="N194" s="85" t="s">
        <v>946</v>
      </c>
      <c r="O194" s="85">
        <f t="shared" si="55"/>
        <v>13</v>
      </c>
      <c r="P194" s="85">
        <v>0</v>
      </c>
      <c r="Q194" s="85">
        <v>0</v>
      </c>
      <c r="R194" s="85">
        <v>1</v>
      </c>
      <c r="S194" s="85">
        <v>12</v>
      </c>
      <c r="T194" s="85">
        <v>0</v>
      </c>
      <c r="X194" s="89" t="s">
        <v>981</v>
      </c>
      <c r="Y194" s="85" t="s">
        <v>982</v>
      </c>
      <c r="Z194" s="85">
        <f t="shared" si="56"/>
        <v>12</v>
      </c>
      <c r="AA194" s="85">
        <v>0</v>
      </c>
      <c r="AB194" s="85">
        <v>0</v>
      </c>
      <c r="AC194" s="85">
        <v>0</v>
      </c>
      <c r="AD194" s="85">
        <v>10</v>
      </c>
      <c r="AE194" s="85">
        <v>2</v>
      </c>
      <c r="AF194" s="81"/>
      <c r="AI194" s="89" t="s">
        <v>983</v>
      </c>
      <c r="AJ194" s="85" t="s">
        <v>984</v>
      </c>
      <c r="AK194" s="85">
        <f t="shared" si="57"/>
        <v>11</v>
      </c>
      <c r="AL194" s="85">
        <v>0</v>
      </c>
      <c r="AM194" s="85">
        <v>0</v>
      </c>
      <c r="AN194" s="85">
        <v>1</v>
      </c>
      <c r="AO194" s="85">
        <v>10</v>
      </c>
      <c r="AP194" s="85">
        <v>0</v>
      </c>
      <c r="AS194" s="89" t="s">
        <v>983</v>
      </c>
      <c r="AT194" s="85" t="s">
        <v>984</v>
      </c>
      <c r="AU194" s="85">
        <f t="shared" si="58"/>
        <v>67</v>
      </c>
      <c r="AV194" s="85">
        <v>0</v>
      </c>
      <c r="AW194" s="85">
        <v>0</v>
      </c>
      <c r="AX194" s="85">
        <v>0</v>
      </c>
      <c r="AY194" s="85">
        <v>26</v>
      </c>
      <c r="AZ194" s="85">
        <v>41</v>
      </c>
    </row>
    <row r="195" spans="2:53" x14ac:dyDescent="0.2">
      <c r="B195" s="89" t="s">
        <v>985</v>
      </c>
      <c r="C195" s="85" t="s">
        <v>6132</v>
      </c>
      <c r="D195" s="85">
        <f t="shared" si="54"/>
        <v>12</v>
      </c>
      <c r="E195" s="85">
        <v>0</v>
      </c>
      <c r="F195" s="85">
        <v>1</v>
      </c>
      <c r="G195" s="85">
        <v>4</v>
      </c>
      <c r="H195" s="85">
        <v>7</v>
      </c>
      <c r="I195" s="85">
        <v>0</v>
      </c>
      <c r="M195" s="89" t="s">
        <v>986</v>
      </c>
      <c r="N195" s="85" t="s">
        <v>987</v>
      </c>
      <c r="O195" s="85">
        <f t="shared" si="55"/>
        <v>12</v>
      </c>
      <c r="P195" s="85">
        <v>0</v>
      </c>
      <c r="Q195" s="85">
        <v>1</v>
      </c>
      <c r="R195" s="85">
        <v>7</v>
      </c>
      <c r="S195" s="85">
        <v>3</v>
      </c>
      <c r="T195" s="85">
        <v>1</v>
      </c>
      <c r="X195" s="89" t="s">
        <v>988</v>
      </c>
      <c r="Y195" s="85" t="s">
        <v>959</v>
      </c>
      <c r="Z195" s="85">
        <f t="shared" si="56"/>
        <v>11</v>
      </c>
      <c r="AA195" s="85">
        <v>0</v>
      </c>
      <c r="AB195" s="85">
        <v>0</v>
      </c>
      <c r="AC195" s="85">
        <v>1</v>
      </c>
      <c r="AD195" s="85">
        <v>9</v>
      </c>
      <c r="AE195" s="85">
        <v>1</v>
      </c>
      <c r="AF195" s="81"/>
      <c r="AI195" s="89" t="s">
        <v>981</v>
      </c>
      <c r="AJ195" s="85" t="s">
        <v>982</v>
      </c>
      <c r="AK195" s="85">
        <f t="shared" si="57"/>
        <v>11</v>
      </c>
      <c r="AL195" s="85">
        <v>0</v>
      </c>
      <c r="AM195" s="85">
        <v>0</v>
      </c>
      <c r="AN195" s="85">
        <v>2</v>
      </c>
      <c r="AO195" s="85">
        <v>9</v>
      </c>
      <c r="AP195" s="85">
        <v>0</v>
      </c>
      <c r="AS195" s="89" t="s">
        <v>981</v>
      </c>
      <c r="AT195" s="85" t="s">
        <v>982</v>
      </c>
      <c r="AU195" s="85">
        <f t="shared" si="58"/>
        <v>109</v>
      </c>
      <c r="AV195" s="85">
        <v>0</v>
      </c>
      <c r="AW195" s="85">
        <v>0</v>
      </c>
      <c r="AX195" s="85">
        <v>6</v>
      </c>
      <c r="AY195" s="85">
        <v>100</v>
      </c>
      <c r="AZ195" s="85">
        <v>3</v>
      </c>
    </row>
    <row r="196" spans="2:53" x14ac:dyDescent="0.2">
      <c r="B196" s="89" t="s">
        <v>939</v>
      </c>
      <c r="C196" s="85" t="s">
        <v>940</v>
      </c>
      <c r="D196" s="85">
        <f t="shared" si="54"/>
        <v>12</v>
      </c>
      <c r="E196" s="85">
        <v>0</v>
      </c>
      <c r="F196" s="85">
        <v>0</v>
      </c>
      <c r="G196" s="85">
        <v>8</v>
      </c>
      <c r="H196" s="85">
        <v>4</v>
      </c>
      <c r="I196" s="85">
        <v>0</v>
      </c>
      <c r="M196" s="89" t="s">
        <v>931</v>
      </c>
      <c r="N196" s="85" t="s">
        <v>965</v>
      </c>
      <c r="O196" s="85">
        <f t="shared" si="55"/>
        <v>12</v>
      </c>
      <c r="P196" s="85">
        <v>0</v>
      </c>
      <c r="Q196" s="85">
        <v>0</v>
      </c>
      <c r="R196" s="85">
        <v>7</v>
      </c>
      <c r="S196" s="85">
        <v>5</v>
      </c>
      <c r="T196" s="85">
        <v>0</v>
      </c>
      <c r="X196" s="89" t="s">
        <v>952</v>
      </c>
      <c r="Y196" s="85" t="s">
        <v>989</v>
      </c>
      <c r="Z196" s="85">
        <f t="shared" si="56"/>
        <v>10</v>
      </c>
      <c r="AA196" s="85">
        <v>0</v>
      </c>
      <c r="AB196" s="85">
        <v>2</v>
      </c>
      <c r="AC196" s="85">
        <v>6</v>
      </c>
      <c r="AD196" s="85">
        <v>1</v>
      </c>
      <c r="AE196" s="85">
        <v>1</v>
      </c>
      <c r="AF196" s="81"/>
      <c r="AI196" s="89" t="s">
        <v>491</v>
      </c>
      <c r="AJ196" s="85" t="s">
        <v>945</v>
      </c>
      <c r="AK196" s="85">
        <f t="shared" si="57"/>
        <v>13</v>
      </c>
      <c r="AL196" s="85">
        <v>0</v>
      </c>
      <c r="AM196" s="85">
        <v>1</v>
      </c>
      <c r="AN196" s="85">
        <v>1</v>
      </c>
      <c r="AO196" s="85">
        <v>11</v>
      </c>
      <c r="AP196" s="85">
        <v>0</v>
      </c>
      <c r="AS196" s="89" t="s">
        <v>491</v>
      </c>
      <c r="AT196" s="85" t="s">
        <v>945</v>
      </c>
      <c r="AU196" s="85">
        <f t="shared" si="58"/>
        <v>1</v>
      </c>
      <c r="AV196" s="85">
        <v>0</v>
      </c>
      <c r="AW196" s="85">
        <v>0</v>
      </c>
      <c r="AX196" s="85">
        <v>1</v>
      </c>
      <c r="AY196" s="85">
        <v>0</v>
      </c>
      <c r="AZ196" s="85">
        <v>0</v>
      </c>
    </row>
    <row r="197" spans="2:53" x14ac:dyDescent="0.2">
      <c r="B197" s="89" t="s">
        <v>6133</v>
      </c>
      <c r="C197" s="85" t="s">
        <v>6134</v>
      </c>
      <c r="D197" s="85">
        <f t="shared" si="54"/>
        <v>11</v>
      </c>
      <c r="E197" s="85">
        <v>0</v>
      </c>
      <c r="F197" s="85">
        <v>3</v>
      </c>
      <c r="G197" s="85">
        <v>7</v>
      </c>
      <c r="H197" s="85">
        <v>1</v>
      </c>
      <c r="I197" s="85">
        <v>0</v>
      </c>
      <c r="M197" s="89" t="s">
        <v>990</v>
      </c>
      <c r="N197" s="85" t="s">
        <v>991</v>
      </c>
      <c r="O197" s="85">
        <f t="shared" si="55"/>
        <v>11</v>
      </c>
      <c r="P197" s="85">
        <v>0</v>
      </c>
      <c r="Q197" s="85">
        <v>1</v>
      </c>
      <c r="R197" s="85">
        <v>9</v>
      </c>
      <c r="S197" s="85">
        <v>1</v>
      </c>
      <c r="T197" s="85">
        <v>0</v>
      </c>
      <c r="X197" s="89" t="s">
        <v>497</v>
      </c>
      <c r="Y197" s="85" t="s">
        <v>992</v>
      </c>
      <c r="Z197" s="85">
        <f t="shared" si="56"/>
        <v>10</v>
      </c>
      <c r="AA197" s="85">
        <v>0</v>
      </c>
      <c r="AB197" s="85">
        <v>1</v>
      </c>
      <c r="AC197" s="85">
        <v>3</v>
      </c>
      <c r="AD197" s="85">
        <v>4</v>
      </c>
      <c r="AE197" s="85">
        <v>2</v>
      </c>
      <c r="AF197" s="81"/>
      <c r="AI197" s="89" t="s">
        <v>944</v>
      </c>
      <c r="AJ197" s="85" t="s">
        <v>993</v>
      </c>
      <c r="AK197" s="85">
        <f t="shared" si="57"/>
        <v>12</v>
      </c>
      <c r="AL197" s="85">
        <v>0</v>
      </c>
      <c r="AM197" s="85">
        <v>1</v>
      </c>
      <c r="AN197" s="85">
        <v>6</v>
      </c>
      <c r="AO197" s="85">
        <v>5</v>
      </c>
      <c r="AP197" s="85">
        <v>0</v>
      </c>
      <c r="AS197" s="89" t="s">
        <v>944</v>
      </c>
      <c r="AT197" s="85" t="s">
        <v>993</v>
      </c>
      <c r="AU197" s="85">
        <f t="shared" si="58"/>
        <v>13</v>
      </c>
      <c r="AV197" s="85">
        <v>0</v>
      </c>
      <c r="AW197" s="85">
        <v>1</v>
      </c>
      <c r="AX197" s="85">
        <v>5</v>
      </c>
      <c r="AY197" s="85">
        <v>7</v>
      </c>
      <c r="AZ197" s="85">
        <v>0</v>
      </c>
    </row>
    <row r="198" spans="2:53" x14ac:dyDescent="0.2">
      <c r="B198" s="89" t="s">
        <v>983</v>
      </c>
      <c r="C198" s="85" t="s">
        <v>6135</v>
      </c>
      <c r="D198" s="85">
        <f t="shared" si="54"/>
        <v>10</v>
      </c>
      <c r="E198" s="85">
        <v>0</v>
      </c>
      <c r="F198" s="85">
        <v>1</v>
      </c>
      <c r="G198" s="85">
        <v>4</v>
      </c>
      <c r="H198" s="85">
        <v>5</v>
      </c>
      <c r="I198" s="85">
        <v>0</v>
      </c>
      <c r="M198" s="89" t="s">
        <v>994</v>
      </c>
      <c r="N198" s="85" t="s">
        <v>995</v>
      </c>
      <c r="O198" s="85">
        <f t="shared" si="55"/>
        <v>11</v>
      </c>
      <c r="P198" s="85">
        <v>0</v>
      </c>
      <c r="Q198" s="85">
        <v>1</v>
      </c>
      <c r="R198" s="85">
        <v>3</v>
      </c>
      <c r="S198" s="85">
        <v>4</v>
      </c>
      <c r="T198" s="85">
        <v>3</v>
      </c>
      <c r="X198" s="89" t="s">
        <v>963</v>
      </c>
      <c r="Y198" s="85" t="s">
        <v>795</v>
      </c>
      <c r="Z198" s="85">
        <f t="shared" si="56"/>
        <v>10</v>
      </c>
      <c r="AA198" s="85">
        <v>0</v>
      </c>
      <c r="AB198" s="85">
        <v>0</v>
      </c>
      <c r="AC198" s="85">
        <v>3</v>
      </c>
      <c r="AD198" s="85">
        <v>7</v>
      </c>
      <c r="AE198" s="85">
        <v>0</v>
      </c>
      <c r="AF198" s="81"/>
      <c r="AI198" s="89" t="s">
        <v>996</v>
      </c>
      <c r="AJ198" s="85" t="s">
        <v>784</v>
      </c>
      <c r="AK198" s="85">
        <f t="shared" si="57"/>
        <v>9</v>
      </c>
      <c r="AL198" s="85">
        <v>0</v>
      </c>
      <c r="AM198" s="85">
        <v>0</v>
      </c>
      <c r="AN198" s="85">
        <v>3</v>
      </c>
      <c r="AO198" s="85">
        <v>6</v>
      </c>
      <c r="AP198" s="85">
        <v>0</v>
      </c>
      <c r="AS198" s="89" t="s">
        <v>996</v>
      </c>
      <c r="AT198" s="85" t="s">
        <v>784</v>
      </c>
      <c r="AU198" s="85">
        <f t="shared" si="58"/>
        <v>5</v>
      </c>
      <c r="AV198" s="85">
        <v>0</v>
      </c>
      <c r="AW198" s="85">
        <v>0</v>
      </c>
      <c r="AX198" s="85">
        <v>0</v>
      </c>
      <c r="AY198" s="85">
        <v>3</v>
      </c>
      <c r="AZ198" s="85">
        <v>2</v>
      </c>
    </row>
    <row r="199" spans="2:53" x14ac:dyDescent="0.2">
      <c r="B199" s="89"/>
      <c r="C199" s="85" t="s">
        <v>577</v>
      </c>
      <c r="D199" s="85">
        <f t="shared" si="54"/>
        <v>378</v>
      </c>
      <c r="E199" s="85">
        <v>0</v>
      </c>
      <c r="F199" s="85">
        <v>19</v>
      </c>
      <c r="G199" s="85">
        <v>193</v>
      </c>
      <c r="H199" s="85">
        <v>151</v>
      </c>
      <c r="I199" s="85">
        <v>15</v>
      </c>
      <c r="M199" s="89"/>
      <c r="N199" s="85" t="s">
        <v>577</v>
      </c>
      <c r="O199" s="85">
        <f t="shared" si="55"/>
        <v>418</v>
      </c>
      <c r="P199" s="85">
        <v>0</v>
      </c>
      <c r="Q199" s="85">
        <v>22</v>
      </c>
      <c r="R199" s="85">
        <v>196</v>
      </c>
      <c r="S199" s="85">
        <v>176</v>
      </c>
      <c r="T199" s="85">
        <v>24</v>
      </c>
      <c r="X199" s="89"/>
      <c r="Y199" s="85" t="s">
        <v>577</v>
      </c>
      <c r="Z199" s="85">
        <f t="shared" si="56"/>
        <v>251</v>
      </c>
      <c r="AA199" s="85">
        <v>0</v>
      </c>
      <c r="AB199" s="85">
        <v>15</v>
      </c>
      <c r="AC199" s="85">
        <v>103</v>
      </c>
      <c r="AD199" s="85">
        <v>97</v>
      </c>
      <c r="AE199" s="85">
        <v>36</v>
      </c>
      <c r="AF199" s="81"/>
      <c r="AI199" s="89"/>
      <c r="AJ199" s="85" t="s">
        <v>577</v>
      </c>
      <c r="AK199" s="85">
        <f t="shared" si="57"/>
        <v>65</v>
      </c>
      <c r="AL199" s="85">
        <v>0</v>
      </c>
      <c r="AM199" s="85">
        <v>1</v>
      </c>
      <c r="AN199" s="85">
        <v>12</v>
      </c>
      <c r="AO199" s="85">
        <v>52</v>
      </c>
      <c r="AP199" s="85">
        <v>0</v>
      </c>
      <c r="AS199" s="89"/>
      <c r="AT199" s="85" t="s">
        <v>577</v>
      </c>
      <c r="AU199" s="85">
        <f t="shared" si="58"/>
        <v>78</v>
      </c>
      <c r="AV199" s="85">
        <v>0</v>
      </c>
      <c r="AW199" s="85">
        <v>1</v>
      </c>
      <c r="AX199" s="85">
        <v>15</v>
      </c>
      <c r="AY199" s="85">
        <v>62</v>
      </c>
      <c r="AZ199" s="85">
        <v>0</v>
      </c>
    </row>
    <row r="200" spans="2:53" x14ac:dyDescent="0.2">
      <c r="B200" s="89"/>
      <c r="C200" s="96" t="s">
        <v>0</v>
      </c>
      <c r="D200" s="91">
        <f t="shared" ref="D200:I200" si="59">SUM(D179:D199)</f>
        <v>881</v>
      </c>
      <c r="E200" s="91">
        <f t="shared" si="59"/>
        <v>1</v>
      </c>
      <c r="F200" s="91">
        <f t="shared" si="59"/>
        <v>50</v>
      </c>
      <c r="G200" s="91">
        <f t="shared" si="59"/>
        <v>505</v>
      </c>
      <c r="H200" s="91">
        <f t="shared" si="59"/>
        <v>304</v>
      </c>
      <c r="I200" s="91">
        <f t="shared" si="59"/>
        <v>21</v>
      </c>
      <c r="M200" s="89"/>
      <c r="N200" s="96" t="s">
        <v>0</v>
      </c>
      <c r="O200" s="85">
        <f t="shared" si="55"/>
        <v>1116</v>
      </c>
      <c r="P200" s="91">
        <f>SUM(P179:P199)</f>
        <v>0</v>
      </c>
      <c r="Q200" s="91">
        <f>SUM(Q179:Q199)</f>
        <v>71</v>
      </c>
      <c r="R200" s="91">
        <f>SUM(R179:R199)</f>
        <v>578</v>
      </c>
      <c r="S200" s="91">
        <f>SUM(S179:S199)</f>
        <v>434</v>
      </c>
      <c r="T200" s="91">
        <f>SUM(T179:T199)</f>
        <v>33</v>
      </c>
      <c r="X200" s="89"/>
      <c r="Y200" s="96" t="s">
        <v>0</v>
      </c>
      <c r="Z200" s="85">
        <f t="shared" si="56"/>
        <v>1117</v>
      </c>
      <c r="AA200" s="91">
        <f>SUM(AA179:AA199)</f>
        <v>0</v>
      </c>
      <c r="AB200" s="91">
        <f>SUM(AB179:AB199)</f>
        <v>58</v>
      </c>
      <c r="AC200" s="91">
        <f>SUM(AC179:AC199)</f>
        <v>491</v>
      </c>
      <c r="AD200" s="91">
        <f>SUM(AD179:AD199)</f>
        <v>354</v>
      </c>
      <c r="AE200" s="91">
        <f>SUM(AE179:AE199)</f>
        <v>214</v>
      </c>
      <c r="AF200" s="81"/>
      <c r="AI200" s="89"/>
      <c r="AJ200" s="96" t="s">
        <v>0</v>
      </c>
      <c r="AK200" s="85">
        <f t="shared" si="57"/>
        <v>964</v>
      </c>
      <c r="AL200" s="91">
        <f>SUM(AL179:AL199)</f>
        <v>0</v>
      </c>
      <c r="AM200" s="91">
        <f>SUM(AM179:AM199)</f>
        <v>45</v>
      </c>
      <c r="AN200" s="91">
        <f>SUM(AN179:AN199)</f>
        <v>318</v>
      </c>
      <c r="AO200" s="91">
        <f>SUM(AO179:AO199)</f>
        <v>601</v>
      </c>
      <c r="AP200" s="91">
        <f>SUM(AP179:AP199)</f>
        <v>0</v>
      </c>
      <c r="AS200" s="89"/>
      <c r="AT200" s="96" t="s">
        <v>0</v>
      </c>
      <c r="AU200" s="85">
        <f t="shared" si="58"/>
        <v>1298</v>
      </c>
      <c r="AV200" s="91">
        <f>SUM(AV179:AV199)</f>
        <v>0</v>
      </c>
      <c r="AW200" s="91">
        <f>SUM(AW179:AW199)</f>
        <v>62</v>
      </c>
      <c r="AX200" s="91">
        <f>SUM(AX179:AX199)</f>
        <v>438</v>
      </c>
      <c r="AY200" s="91">
        <f>SUM(AY179:AY199)</f>
        <v>735</v>
      </c>
      <c r="AZ200" s="91">
        <f>SUM(AZ179:AZ199)</f>
        <v>63</v>
      </c>
    </row>
    <row r="201" spans="2:53" x14ac:dyDescent="0.2">
      <c r="B201" s="3949"/>
      <c r="M201" s="3949"/>
      <c r="X201" s="3949"/>
      <c r="Y201" s="81"/>
      <c r="Z201" s="81"/>
      <c r="AA201" s="81"/>
      <c r="AB201" s="81"/>
      <c r="AC201" s="81"/>
      <c r="AD201" s="81"/>
      <c r="AE201" s="81"/>
      <c r="AF201" s="81"/>
      <c r="AI201" s="3949"/>
      <c r="AJ201" s="81"/>
      <c r="AK201" s="81"/>
      <c r="AL201" s="81"/>
      <c r="AM201" s="81"/>
      <c r="AN201" s="81"/>
      <c r="AO201" s="81"/>
      <c r="AP201" s="81"/>
      <c r="AQ201" s="81"/>
      <c r="AS201" s="3949"/>
      <c r="AT201" s="81"/>
      <c r="AU201" s="81"/>
      <c r="AV201" s="81"/>
      <c r="AW201" s="81"/>
      <c r="AX201" s="81"/>
      <c r="AY201" s="81"/>
      <c r="AZ201" s="81"/>
      <c r="BA201" s="81"/>
    </row>
    <row r="202" spans="2:53" x14ac:dyDescent="0.2">
      <c r="B202" s="3949"/>
      <c r="M202" s="3949"/>
      <c r="X202" s="3949"/>
      <c r="Y202" s="81"/>
      <c r="Z202" s="81"/>
      <c r="AA202" s="81"/>
      <c r="AB202" s="81"/>
      <c r="AC202" s="81"/>
      <c r="AD202" s="81"/>
      <c r="AE202" s="81"/>
      <c r="AF202" s="81"/>
      <c r="AI202" s="3949"/>
      <c r="AJ202" s="81"/>
      <c r="AK202" s="81"/>
      <c r="AL202" s="81"/>
      <c r="AM202" s="81"/>
      <c r="AN202" s="81"/>
      <c r="AO202" s="81"/>
      <c r="AP202" s="81"/>
      <c r="AQ202" s="81"/>
      <c r="AS202" s="3949"/>
      <c r="AT202" s="81"/>
      <c r="AU202" s="81"/>
      <c r="AV202" s="81"/>
      <c r="AW202" s="81"/>
      <c r="AX202" s="81"/>
      <c r="AY202" s="81"/>
      <c r="AZ202" s="81"/>
      <c r="BA202" s="81"/>
    </row>
    <row r="203" spans="2:53" x14ac:dyDescent="0.2">
      <c r="B203" s="88" t="s">
        <v>772</v>
      </c>
      <c r="M203" s="88" t="s">
        <v>773</v>
      </c>
      <c r="X203" s="88" t="s">
        <v>481</v>
      </c>
      <c r="Y203" s="81"/>
      <c r="Z203" s="81"/>
      <c r="AA203" s="81"/>
      <c r="AB203" s="81"/>
      <c r="AC203" s="81"/>
      <c r="AD203" s="81"/>
      <c r="AE203" s="81"/>
      <c r="AF203" s="81"/>
      <c r="AI203" s="88" t="s">
        <v>1994</v>
      </c>
      <c r="AJ203" s="81"/>
      <c r="AK203" s="81"/>
      <c r="AL203" s="81"/>
      <c r="AM203" s="81"/>
      <c r="AN203" s="81"/>
      <c r="AO203" s="81"/>
      <c r="AP203" s="81"/>
      <c r="AS203" s="88" t="s">
        <v>3639</v>
      </c>
      <c r="AT203" s="81"/>
      <c r="AU203" s="81"/>
      <c r="AV203" s="81"/>
      <c r="AW203" s="81"/>
      <c r="AX203" s="81"/>
      <c r="AY203" s="81"/>
      <c r="AZ203" s="81"/>
    </row>
    <row r="204" spans="2:53" ht="11.25" customHeight="1" x14ac:dyDescent="0.2">
      <c r="B204" s="4258" t="s">
        <v>161</v>
      </c>
      <c r="C204" s="4258" t="s">
        <v>778</v>
      </c>
      <c r="D204" s="4258" t="s">
        <v>0</v>
      </c>
      <c r="E204" s="4260" t="s">
        <v>186</v>
      </c>
      <c r="F204" s="4261"/>
      <c r="G204" s="4261"/>
      <c r="H204" s="4261"/>
      <c r="I204" s="4262"/>
      <c r="M204" s="4258" t="s">
        <v>161</v>
      </c>
      <c r="N204" s="4258" t="s">
        <v>778</v>
      </c>
      <c r="O204" s="4258" t="s">
        <v>0</v>
      </c>
      <c r="P204" s="4260" t="s">
        <v>186</v>
      </c>
      <c r="Q204" s="4261"/>
      <c r="R204" s="4261"/>
      <c r="S204" s="4261"/>
      <c r="T204" s="4262"/>
      <c r="X204" s="4258" t="s">
        <v>161</v>
      </c>
      <c r="Y204" s="4258" t="s">
        <v>778</v>
      </c>
      <c r="Z204" s="4258" t="s">
        <v>0</v>
      </c>
      <c r="AA204" s="4260" t="s">
        <v>186</v>
      </c>
      <c r="AB204" s="4261"/>
      <c r="AC204" s="4261"/>
      <c r="AD204" s="4261"/>
      <c r="AE204" s="4262"/>
      <c r="AF204" s="81"/>
      <c r="AI204" s="4258" t="s">
        <v>161</v>
      </c>
      <c r="AJ204" s="4258" t="s">
        <v>778</v>
      </c>
      <c r="AK204" s="4258" t="s">
        <v>0</v>
      </c>
      <c r="AL204" s="4260" t="s">
        <v>186</v>
      </c>
      <c r="AM204" s="4261"/>
      <c r="AN204" s="4261"/>
      <c r="AO204" s="4261"/>
      <c r="AP204" s="4262"/>
      <c r="AS204" s="4258" t="s">
        <v>161</v>
      </c>
      <c r="AT204" s="4258" t="s">
        <v>778</v>
      </c>
      <c r="AU204" s="4258" t="s">
        <v>0</v>
      </c>
      <c r="AV204" s="4260" t="s">
        <v>186</v>
      </c>
      <c r="AW204" s="4261"/>
      <c r="AX204" s="4261"/>
      <c r="AY204" s="4261"/>
      <c r="AZ204" s="4262"/>
    </row>
    <row r="205" spans="2:53" x14ac:dyDescent="0.2">
      <c r="B205" s="4259"/>
      <c r="C205" s="4259"/>
      <c r="D205" s="4259"/>
      <c r="E205" s="3948" t="s">
        <v>743</v>
      </c>
      <c r="F205" s="3948" t="s">
        <v>744</v>
      </c>
      <c r="G205" s="3948" t="s">
        <v>745</v>
      </c>
      <c r="H205" s="3948" t="s">
        <v>746</v>
      </c>
      <c r="I205" s="3948" t="s">
        <v>747</v>
      </c>
      <c r="M205" s="4259"/>
      <c r="N205" s="4259"/>
      <c r="O205" s="4259"/>
      <c r="P205" s="3948" t="s">
        <v>743</v>
      </c>
      <c r="Q205" s="3948" t="s">
        <v>744</v>
      </c>
      <c r="R205" s="3948" t="s">
        <v>745</v>
      </c>
      <c r="S205" s="3948" t="s">
        <v>746</v>
      </c>
      <c r="T205" s="3948" t="s">
        <v>747</v>
      </c>
      <c r="X205" s="4259"/>
      <c r="Y205" s="4259"/>
      <c r="Z205" s="4259"/>
      <c r="AA205" s="3948" t="s">
        <v>743</v>
      </c>
      <c r="AB205" s="3948" t="s">
        <v>744</v>
      </c>
      <c r="AC205" s="3948" t="s">
        <v>745</v>
      </c>
      <c r="AD205" s="3948" t="s">
        <v>746</v>
      </c>
      <c r="AE205" s="3948" t="s">
        <v>747</v>
      </c>
      <c r="AF205" s="81"/>
      <c r="AI205" s="4259"/>
      <c r="AJ205" s="4259"/>
      <c r="AK205" s="4259"/>
      <c r="AL205" s="3948" t="s">
        <v>743</v>
      </c>
      <c r="AM205" s="3948" t="s">
        <v>744</v>
      </c>
      <c r="AN205" s="3948" t="s">
        <v>745</v>
      </c>
      <c r="AO205" s="3948" t="s">
        <v>746</v>
      </c>
      <c r="AP205" s="3948" t="s">
        <v>747</v>
      </c>
      <c r="AS205" s="4259"/>
      <c r="AT205" s="4259"/>
      <c r="AU205" s="4259"/>
      <c r="AV205" s="3948" t="s">
        <v>743</v>
      </c>
      <c r="AW205" s="3948" t="s">
        <v>744</v>
      </c>
      <c r="AX205" s="3948" t="s">
        <v>745</v>
      </c>
      <c r="AY205" s="3948" t="s">
        <v>746</v>
      </c>
      <c r="AZ205" s="3948" t="s">
        <v>747</v>
      </c>
    </row>
    <row r="206" spans="2:53" x14ac:dyDescent="0.2">
      <c r="B206" s="89" t="s">
        <v>997</v>
      </c>
      <c r="C206" s="85" t="s">
        <v>998</v>
      </c>
      <c r="D206" s="85">
        <f>SUM(E206:I206)</f>
        <v>167</v>
      </c>
      <c r="E206" s="85">
        <v>9</v>
      </c>
      <c r="F206" s="85">
        <v>7</v>
      </c>
      <c r="G206" s="85">
        <v>61</v>
      </c>
      <c r="H206" s="85">
        <v>76</v>
      </c>
      <c r="I206" s="85">
        <v>14</v>
      </c>
      <c r="M206" s="89" t="s">
        <v>997</v>
      </c>
      <c r="N206" s="85" t="s">
        <v>998</v>
      </c>
      <c r="O206" s="85">
        <f>SUM(P206:T206)</f>
        <v>196</v>
      </c>
      <c r="P206" s="85">
        <v>16</v>
      </c>
      <c r="Q206" s="85">
        <v>13</v>
      </c>
      <c r="R206" s="85">
        <v>69</v>
      </c>
      <c r="S206" s="85">
        <v>73</v>
      </c>
      <c r="T206" s="85">
        <v>25</v>
      </c>
      <c r="X206" s="89" t="s">
        <v>999</v>
      </c>
      <c r="Y206" s="85" t="s">
        <v>1000</v>
      </c>
      <c r="Z206" s="85">
        <f>SUM(AA206:AE206)</f>
        <v>239</v>
      </c>
      <c r="AA206" s="85">
        <v>17</v>
      </c>
      <c r="AB206" s="85">
        <v>19</v>
      </c>
      <c r="AC206" s="85">
        <v>63</v>
      </c>
      <c r="AD206" s="85">
        <v>90</v>
      </c>
      <c r="AE206" s="85">
        <v>50</v>
      </c>
      <c r="AF206" s="81"/>
      <c r="AI206" s="89" t="s">
        <v>999</v>
      </c>
      <c r="AJ206" s="85" t="s">
        <v>1000</v>
      </c>
      <c r="AK206" s="85">
        <f>SUM(AL206:AP206)</f>
        <v>134</v>
      </c>
      <c r="AL206" s="85">
        <v>7</v>
      </c>
      <c r="AM206" s="85">
        <v>15</v>
      </c>
      <c r="AN206" s="85">
        <v>25</v>
      </c>
      <c r="AO206" s="85">
        <v>26</v>
      </c>
      <c r="AP206" s="85">
        <v>61</v>
      </c>
      <c r="AS206" s="89" t="s">
        <v>999</v>
      </c>
      <c r="AT206" s="85" t="s">
        <v>1000</v>
      </c>
      <c r="AU206" s="85">
        <f>SUM(AV206:AZ206)</f>
        <v>204</v>
      </c>
      <c r="AV206" s="85">
        <v>25</v>
      </c>
      <c r="AW206" s="85">
        <v>6</v>
      </c>
      <c r="AX206" s="85">
        <v>48</v>
      </c>
      <c r="AY206" s="85">
        <v>86</v>
      </c>
      <c r="AZ206" s="85">
        <v>39</v>
      </c>
    </row>
    <row r="207" spans="2:53" x14ac:dyDescent="0.2">
      <c r="B207" s="89" t="s">
        <v>1001</v>
      </c>
      <c r="C207" s="85" t="s">
        <v>1002</v>
      </c>
      <c r="D207" s="85">
        <f t="shared" ref="D207:D226" si="60">SUM(E207:I207)</f>
        <v>49</v>
      </c>
      <c r="E207" s="85">
        <v>0</v>
      </c>
      <c r="F207" s="85">
        <v>1</v>
      </c>
      <c r="G207" s="85">
        <v>11</v>
      </c>
      <c r="H207" s="85">
        <v>24</v>
      </c>
      <c r="I207" s="85">
        <v>13</v>
      </c>
      <c r="M207" s="89" t="s">
        <v>508</v>
      </c>
      <c r="N207" s="85" t="s">
        <v>1003</v>
      </c>
      <c r="O207" s="85">
        <f t="shared" ref="O207:O227" si="61">SUM(P207:T207)</f>
        <v>105</v>
      </c>
      <c r="P207" s="85">
        <v>0</v>
      </c>
      <c r="Q207" s="85">
        <v>2</v>
      </c>
      <c r="R207" s="85">
        <v>23</v>
      </c>
      <c r="S207" s="85">
        <v>62</v>
      </c>
      <c r="T207" s="85">
        <v>18</v>
      </c>
      <c r="X207" s="89" t="s">
        <v>508</v>
      </c>
      <c r="Y207" s="85" t="s">
        <v>1004</v>
      </c>
      <c r="Z207" s="85">
        <f t="shared" ref="Z207:Z227" si="62">SUM(AA207:AE207)</f>
        <v>122</v>
      </c>
      <c r="AA207" s="85">
        <v>0</v>
      </c>
      <c r="AB207" s="85">
        <v>2</v>
      </c>
      <c r="AC207" s="85">
        <v>21</v>
      </c>
      <c r="AD207" s="85">
        <v>56</v>
      </c>
      <c r="AE207" s="85">
        <v>43</v>
      </c>
      <c r="AF207" s="81"/>
      <c r="AI207" s="89" t="s">
        <v>508</v>
      </c>
      <c r="AJ207" s="85" t="s">
        <v>1004</v>
      </c>
      <c r="AK207" s="85">
        <f t="shared" ref="AK207:AK227" si="63">SUM(AL207:AP207)</f>
        <v>66</v>
      </c>
      <c r="AL207" s="85">
        <v>0</v>
      </c>
      <c r="AM207" s="85">
        <v>3</v>
      </c>
      <c r="AN207" s="85">
        <v>19</v>
      </c>
      <c r="AO207" s="85">
        <v>16</v>
      </c>
      <c r="AP207" s="85">
        <v>28</v>
      </c>
      <c r="AS207" s="89" t="s">
        <v>508</v>
      </c>
      <c r="AT207" s="85" t="s">
        <v>1004</v>
      </c>
      <c r="AU207" s="85">
        <f t="shared" ref="AU207:AU227" si="64">SUM(AV207:AZ207)</f>
        <v>333</v>
      </c>
      <c r="AV207" s="85">
        <v>0</v>
      </c>
      <c r="AW207" s="85">
        <v>0</v>
      </c>
      <c r="AX207" s="85">
        <v>54</v>
      </c>
      <c r="AY207" s="85">
        <v>208</v>
      </c>
      <c r="AZ207" s="85">
        <v>71</v>
      </c>
    </row>
    <row r="208" spans="2:53" x14ac:dyDescent="0.2">
      <c r="B208" s="93">
        <v>0</v>
      </c>
      <c r="C208" s="85" t="s">
        <v>6123</v>
      </c>
      <c r="D208" s="85">
        <f t="shared" si="60"/>
        <v>39</v>
      </c>
      <c r="E208" s="85">
        <v>0</v>
      </c>
      <c r="F208" s="85">
        <v>0</v>
      </c>
      <c r="G208" s="85">
        <v>12</v>
      </c>
      <c r="H208" s="85">
        <v>14</v>
      </c>
      <c r="I208" s="85">
        <v>13</v>
      </c>
      <c r="M208" s="89" t="s">
        <v>1001</v>
      </c>
      <c r="N208" s="85" t="s">
        <v>1002</v>
      </c>
      <c r="O208" s="85">
        <f t="shared" si="61"/>
        <v>60</v>
      </c>
      <c r="P208" s="85">
        <v>0</v>
      </c>
      <c r="Q208" s="85">
        <v>0</v>
      </c>
      <c r="R208" s="85">
        <v>0</v>
      </c>
      <c r="S208" s="85">
        <v>8</v>
      </c>
      <c r="T208" s="85">
        <v>52</v>
      </c>
      <c r="X208" s="89" t="s">
        <v>1005</v>
      </c>
      <c r="Y208" s="85" t="s">
        <v>1006</v>
      </c>
      <c r="Z208" s="85">
        <f t="shared" si="62"/>
        <v>55</v>
      </c>
      <c r="AA208" s="85">
        <v>0</v>
      </c>
      <c r="AB208" s="85">
        <v>0</v>
      </c>
      <c r="AC208" s="85">
        <v>0</v>
      </c>
      <c r="AD208" s="85">
        <v>4</v>
      </c>
      <c r="AE208" s="85">
        <v>51</v>
      </c>
      <c r="AF208" s="81"/>
      <c r="AI208" s="89" t="s">
        <v>1005</v>
      </c>
      <c r="AJ208" s="85" t="s">
        <v>1006</v>
      </c>
      <c r="AK208" s="85">
        <f t="shared" si="63"/>
        <v>26</v>
      </c>
      <c r="AL208" s="85">
        <v>0</v>
      </c>
      <c r="AM208" s="85">
        <v>2</v>
      </c>
      <c r="AN208" s="85">
        <v>2</v>
      </c>
      <c r="AO208" s="85">
        <v>3</v>
      </c>
      <c r="AP208" s="85">
        <v>19</v>
      </c>
      <c r="AS208" s="89" t="s">
        <v>1005</v>
      </c>
      <c r="AT208" s="85" t="s">
        <v>1006</v>
      </c>
      <c r="AU208" s="85">
        <f t="shared" si="64"/>
        <v>5</v>
      </c>
      <c r="AV208" s="85">
        <v>0</v>
      </c>
      <c r="AW208" s="85">
        <v>0</v>
      </c>
      <c r="AX208" s="85">
        <v>0</v>
      </c>
      <c r="AY208" s="85">
        <v>0</v>
      </c>
      <c r="AZ208" s="85">
        <v>5</v>
      </c>
    </row>
    <row r="209" spans="2:52" x14ac:dyDescent="0.2">
      <c r="B209" s="89" t="s">
        <v>508</v>
      </c>
      <c r="C209" s="85" t="s">
        <v>1003</v>
      </c>
      <c r="D209" s="85">
        <f t="shared" si="60"/>
        <v>36</v>
      </c>
      <c r="E209" s="85">
        <v>1</v>
      </c>
      <c r="F209" s="85">
        <v>2</v>
      </c>
      <c r="G209" s="85">
        <v>6</v>
      </c>
      <c r="H209" s="85">
        <v>18</v>
      </c>
      <c r="I209" s="85">
        <v>9</v>
      </c>
      <c r="M209" s="89" t="s">
        <v>1007</v>
      </c>
      <c r="N209" s="85" t="s">
        <v>1008</v>
      </c>
      <c r="O209" s="85">
        <f t="shared" si="61"/>
        <v>50</v>
      </c>
      <c r="P209" s="85">
        <v>2</v>
      </c>
      <c r="Q209" s="85">
        <v>1</v>
      </c>
      <c r="R209" s="85">
        <v>13</v>
      </c>
      <c r="S209" s="85">
        <v>13</v>
      </c>
      <c r="T209" s="85">
        <v>21</v>
      </c>
      <c r="X209" s="89" t="s">
        <v>491</v>
      </c>
      <c r="Y209" s="85" t="s">
        <v>784</v>
      </c>
      <c r="Z209" s="85">
        <f t="shared" si="62"/>
        <v>51</v>
      </c>
      <c r="AA209" s="85">
        <v>0</v>
      </c>
      <c r="AB209" s="85">
        <v>0</v>
      </c>
      <c r="AC209" s="85">
        <v>5</v>
      </c>
      <c r="AD209" s="85">
        <v>33</v>
      </c>
      <c r="AE209" s="85">
        <v>13</v>
      </c>
      <c r="AF209" s="81"/>
      <c r="AI209" s="89" t="s">
        <v>1001</v>
      </c>
      <c r="AJ209" s="85" t="s">
        <v>1009</v>
      </c>
      <c r="AK209" s="85">
        <f t="shared" si="63"/>
        <v>42</v>
      </c>
      <c r="AL209" s="85">
        <v>0</v>
      </c>
      <c r="AM209" s="85">
        <v>1</v>
      </c>
      <c r="AN209" s="85">
        <v>14</v>
      </c>
      <c r="AO209" s="85">
        <v>12</v>
      </c>
      <c r="AP209" s="85">
        <v>15</v>
      </c>
      <c r="AS209" s="89" t="s">
        <v>1001</v>
      </c>
      <c r="AT209" s="85" t="s">
        <v>1009</v>
      </c>
      <c r="AU209" s="85">
        <f t="shared" si="64"/>
        <v>63</v>
      </c>
      <c r="AV209" s="85">
        <v>0</v>
      </c>
      <c r="AW209" s="85">
        <v>1</v>
      </c>
      <c r="AX209" s="85">
        <v>9</v>
      </c>
      <c r="AY209" s="85">
        <v>42</v>
      </c>
      <c r="AZ209" s="85">
        <v>11</v>
      </c>
    </row>
    <row r="210" spans="2:52" x14ac:dyDescent="0.2">
      <c r="B210" s="89" t="s">
        <v>509</v>
      </c>
      <c r="C210" s="85" t="s">
        <v>1010</v>
      </c>
      <c r="D210" s="85">
        <f t="shared" si="60"/>
        <v>26</v>
      </c>
      <c r="E210" s="85">
        <v>2</v>
      </c>
      <c r="F210" s="85">
        <v>0</v>
      </c>
      <c r="G210" s="85">
        <v>0</v>
      </c>
      <c r="H210" s="85">
        <v>4</v>
      </c>
      <c r="I210" s="85">
        <v>20</v>
      </c>
      <c r="M210" s="89" t="s">
        <v>1005</v>
      </c>
      <c r="N210" s="85" t="s">
        <v>1011</v>
      </c>
      <c r="O210" s="85">
        <f t="shared" si="61"/>
        <v>46</v>
      </c>
      <c r="P210" s="85">
        <v>1</v>
      </c>
      <c r="Q210" s="85">
        <v>1</v>
      </c>
      <c r="R210" s="85">
        <v>14</v>
      </c>
      <c r="S210" s="85">
        <v>23</v>
      </c>
      <c r="T210" s="85">
        <v>7</v>
      </c>
      <c r="X210" s="89" t="s">
        <v>1001</v>
      </c>
      <c r="Y210" s="85" t="s">
        <v>1009</v>
      </c>
      <c r="Z210" s="85">
        <f t="shared" si="62"/>
        <v>31</v>
      </c>
      <c r="AA210" s="85">
        <v>2</v>
      </c>
      <c r="AB210" s="85">
        <v>1</v>
      </c>
      <c r="AC210" s="85">
        <v>8</v>
      </c>
      <c r="AD210" s="85">
        <v>12</v>
      </c>
      <c r="AE210" s="85">
        <v>8</v>
      </c>
      <c r="AF210" s="81"/>
      <c r="AI210" s="89" t="s">
        <v>1012</v>
      </c>
      <c r="AJ210" s="85" t="s">
        <v>1013</v>
      </c>
      <c r="AK210" s="85">
        <f t="shared" si="63"/>
        <v>41</v>
      </c>
      <c r="AL210" s="85">
        <v>2</v>
      </c>
      <c r="AM210" s="85">
        <v>1</v>
      </c>
      <c r="AN210" s="85">
        <v>8</v>
      </c>
      <c r="AO210" s="85">
        <v>12</v>
      </c>
      <c r="AP210" s="85">
        <v>18</v>
      </c>
      <c r="AS210" s="89" t="s">
        <v>1012</v>
      </c>
      <c r="AT210" s="85" t="s">
        <v>1013</v>
      </c>
      <c r="AU210" s="85">
        <f t="shared" si="64"/>
        <v>8</v>
      </c>
      <c r="AV210" s="85">
        <v>1</v>
      </c>
      <c r="AW210" s="85">
        <v>1</v>
      </c>
      <c r="AX210" s="85">
        <v>2</v>
      </c>
      <c r="AY210" s="85">
        <v>3</v>
      </c>
      <c r="AZ210" s="85">
        <v>1</v>
      </c>
    </row>
    <row r="211" spans="2:52" x14ac:dyDescent="0.2">
      <c r="B211" s="89" t="s">
        <v>1005</v>
      </c>
      <c r="C211" s="85" t="s">
        <v>1011</v>
      </c>
      <c r="D211" s="85">
        <f t="shared" si="60"/>
        <v>18</v>
      </c>
      <c r="E211" s="85">
        <v>0</v>
      </c>
      <c r="F211" s="85">
        <v>0</v>
      </c>
      <c r="G211" s="85">
        <v>4</v>
      </c>
      <c r="H211" s="85">
        <v>10</v>
      </c>
      <c r="I211" s="85">
        <v>4</v>
      </c>
      <c r="M211" s="89" t="s">
        <v>1014</v>
      </c>
      <c r="N211" s="85" t="s">
        <v>1015</v>
      </c>
      <c r="O211" s="85">
        <f t="shared" si="61"/>
        <v>34</v>
      </c>
      <c r="P211" s="85">
        <v>1</v>
      </c>
      <c r="Q211" s="85">
        <v>1</v>
      </c>
      <c r="R211" s="85">
        <v>3</v>
      </c>
      <c r="S211" s="85">
        <v>13</v>
      </c>
      <c r="T211" s="85">
        <v>16</v>
      </c>
      <c r="X211" s="89" t="s">
        <v>1012</v>
      </c>
      <c r="Y211" s="85" t="s">
        <v>1016</v>
      </c>
      <c r="Z211" s="85">
        <f t="shared" si="62"/>
        <v>24</v>
      </c>
      <c r="AA211" s="85">
        <v>2</v>
      </c>
      <c r="AB211" s="85">
        <v>2</v>
      </c>
      <c r="AC211" s="85">
        <v>7</v>
      </c>
      <c r="AD211" s="85">
        <v>6</v>
      </c>
      <c r="AE211" s="85">
        <v>7</v>
      </c>
      <c r="AF211" s="81"/>
      <c r="AI211" s="89" t="s">
        <v>509</v>
      </c>
      <c r="AJ211" s="85" t="s">
        <v>1017</v>
      </c>
      <c r="AK211" s="85">
        <f t="shared" si="63"/>
        <v>34</v>
      </c>
      <c r="AL211" s="85">
        <v>2</v>
      </c>
      <c r="AM211" s="85">
        <v>2</v>
      </c>
      <c r="AN211" s="85">
        <v>7</v>
      </c>
      <c r="AO211" s="85">
        <v>6</v>
      </c>
      <c r="AP211" s="85">
        <v>17</v>
      </c>
      <c r="AS211" s="89" t="s">
        <v>509</v>
      </c>
      <c r="AT211" s="85" t="s">
        <v>1017</v>
      </c>
      <c r="AU211" s="85">
        <f t="shared" si="64"/>
        <v>8</v>
      </c>
      <c r="AV211" s="85">
        <v>0</v>
      </c>
      <c r="AW211" s="85">
        <v>1</v>
      </c>
      <c r="AX211" s="85">
        <v>1</v>
      </c>
      <c r="AY211" s="85">
        <v>6</v>
      </c>
      <c r="AZ211" s="85">
        <v>0</v>
      </c>
    </row>
    <row r="212" spans="2:52" x14ac:dyDescent="0.2">
      <c r="B212" s="89" t="s">
        <v>1018</v>
      </c>
      <c r="C212" s="85" t="s">
        <v>1019</v>
      </c>
      <c r="D212" s="85">
        <f t="shared" si="60"/>
        <v>18</v>
      </c>
      <c r="E212" s="85">
        <v>1</v>
      </c>
      <c r="F212" s="85">
        <v>0</v>
      </c>
      <c r="G212" s="85">
        <v>1</v>
      </c>
      <c r="H212" s="85">
        <v>9</v>
      </c>
      <c r="I212" s="85">
        <v>7</v>
      </c>
      <c r="M212" s="89" t="s">
        <v>1020</v>
      </c>
      <c r="N212" s="85" t="s">
        <v>1021</v>
      </c>
      <c r="O212" s="85">
        <f t="shared" si="61"/>
        <v>26</v>
      </c>
      <c r="P212" s="85">
        <v>1</v>
      </c>
      <c r="Q212" s="85">
        <v>1</v>
      </c>
      <c r="R212" s="85">
        <v>5</v>
      </c>
      <c r="S212" s="85">
        <v>12</v>
      </c>
      <c r="T212" s="85">
        <v>7</v>
      </c>
      <c r="X212" s="89" t="s">
        <v>1014</v>
      </c>
      <c r="Y212" s="85" t="s">
        <v>1013</v>
      </c>
      <c r="Z212" s="85">
        <f t="shared" si="62"/>
        <v>21</v>
      </c>
      <c r="AA212" s="85">
        <v>0</v>
      </c>
      <c r="AB212" s="85">
        <v>0</v>
      </c>
      <c r="AC212" s="85">
        <v>3</v>
      </c>
      <c r="AD212" s="85">
        <v>13</v>
      </c>
      <c r="AE212" s="85">
        <v>5</v>
      </c>
      <c r="AF212" s="81"/>
      <c r="AI212" s="89" t="s">
        <v>1022</v>
      </c>
      <c r="AJ212" s="85" t="s">
        <v>1023</v>
      </c>
      <c r="AK212" s="85">
        <f t="shared" si="63"/>
        <v>42</v>
      </c>
      <c r="AL212" s="85">
        <v>0</v>
      </c>
      <c r="AM212" s="85">
        <v>2</v>
      </c>
      <c r="AN212" s="85">
        <v>13</v>
      </c>
      <c r="AO212" s="85">
        <v>11</v>
      </c>
      <c r="AP212" s="85">
        <v>16</v>
      </c>
      <c r="AS212" s="89" t="s">
        <v>1022</v>
      </c>
      <c r="AT212" s="85" t="s">
        <v>1023</v>
      </c>
      <c r="AU212" s="85">
        <f t="shared" si="64"/>
        <v>114</v>
      </c>
      <c r="AV212" s="85">
        <v>12</v>
      </c>
      <c r="AW212" s="85">
        <v>0</v>
      </c>
      <c r="AX212" s="85">
        <v>12</v>
      </c>
      <c r="AY212" s="85">
        <v>66</v>
      </c>
      <c r="AZ212" s="85">
        <v>24</v>
      </c>
    </row>
    <row r="213" spans="2:52" x14ac:dyDescent="0.2">
      <c r="B213" s="89" t="s">
        <v>1024</v>
      </c>
      <c r="C213" s="85" t="s">
        <v>6136</v>
      </c>
      <c r="D213" s="85">
        <f t="shared" si="60"/>
        <v>17</v>
      </c>
      <c r="E213" s="85">
        <v>1</v>
      </c>
      <c r="F213" s="85">
        <v>2</v>
      </c>
      <c r="G213" s="85">
        <v>0</v>
      </c>
      <c r="H213" s="85">
        <v>11</v>
      </c>
      <c r="I213" s="85">
        <v>3</v>
      </c>
      <c r="M213" s="89" t="s">
        <v>1025</v>
      </c>
      <c r="N213" s="85" t="s">
        <v>1026</v>
      </c>
      <c r="O213" s="85">
        <f t="shared" si="61"/>
        <v>22</v>
      </c>
      <c r="P213" s="85">
        <v>0</v>
      </c>
      <c r="Q213" s="85">
        <v>0</v>
      </c>
      <c r="R213" s="85">
        <v>0</v>
      </c>
      <c r="S213" s="85">
        <v>11</v>
      </c>
      <c r="T213" s="85">
        <v>11</v>
      </c>
      <c r="X213" s="89" t="s">
        <v>1025</v>
      </c>
      <c r="Y213" s="85" t="s">
        <v>1027</v>
      </c>
      <c r="Z213" s="85">
        <f t="shared" si="62"/>
        <v>17</v>
      </c>
      <c r="AA213" s="85">
        <v>0</v>
      </c>
      <c r="AB213" s="85">
        <v>0</v>
      </c>
      <c r="AC213" s="85">
        <v>6</v>
      </c>
      <c r="AD213" s="85">
        <v>10</v>
      </c>
      <c r="AE213" s="85">
        <v>1</v>
      </c>
      <c r="AF213" s="81"/>
      <c r="AI213" s="89" t="s">
        <v>1007</v>
      </c>
      <c r="AJ213" s="85" t="s">
        <v>1028</v>
      </c>
      <c r="AK213" s="85">
        <f t="shared" si="63"/>
        <v>45</v>
      </c>
      <c r="AL213" s="85">
        <v>0</v>
      </c>
      <c r="AM213" s="85">
        <v>0</v>
      </c>
      <c r="AN213" s="85">
        <v>16</v>
      </c>
      <c r="AO213" s="85">
        <v>18</v>
      </c>
      <c r="AP213" s="85">
        <v>11</v>
      </c>
      <c r="AS213" s="89" t="s">
        <v>1007</v>
      </c>
      <c r="AT213" s="85" t="s">
        <v>1028</v>
      </c>
      <c r="AU213" s="85">
        <f t="shared" si="64"/>
        <v>149</v>
      </c>
      <c r="AV213" s="85">
        <v>1</v>
      </c>
      <c r="AW213" s="85">
        <v>4</v>
      </c>
      <c r="AX213" s="85">
        <v>22</v>
      </c>
      <c r="AY213" s="85">
        <v>95</v>
      </c>
      <c r="AZ213" s="85">
        <v>27</v>
      </c>
    </row>
    <row r="214" spans="2:52" x14ac:dyDescent="0.2">
      <c r="B214" s="89" t="s">
        <v>1022</v>
      </c>
      <c r="C214" s="85" t="s">
        <v>1029</v>
      </c>
      <c r="D214" s="85">
        <f t="shared" si="60"/>
        <v>14</v>
      </c>
      <c r="E214" s="85">
        <v>3</v>
      </c>
      <c r="F214" s="85">
        <v>0</v>
      </c>
      <c r="G214" s="85">
        <v>1</v>
      </c>
      <c r="H214" s="85">
        <v>7</v>
      </c>
      <c r="I214" s="85">
        <v>3</v>
      </c>
      <c r="M214" s="89" t="s">
        <v>1030</v>
      </c>
      <c r="N214" s="85" t="s">
        <v>1031</v>
      </c>
      <c r="O214" s="85">
        <f t="shared" si="61"/>
        <v>20</v>
      </c>
      <c r="P214" s="85">
        <v>2</v>
      </c>
      <c r="Q214" s="85">
        <v>1</v>
      </c>
      <c r="R214" s="85">
        <v>8</v>
      </c>
      <c r="S214" s="85">
        <v>7</v>
      </c>
      <c r="T214" s="85">
        <v>2</v>
      </c>
      <c r="X214" s="89" t="s">
        <v>509</v>
      </c>
      <c r="Y214" s="85" t="s">
        <v>1017</v>
      </c>
      <c r="Z214" s="85">
        <f t="shared" si="62"/>
        <v>16</v>
      </c>
      <c r="AA214" s="85">
        <v>0</v>
      </c>
      <c r="AB214" s="85">
        <v>0</v>
      </c>
      <c r="AC214" s="85">
        <v>1</v>
      </c>
      <c r="AD214" s="85">
        <v>10</v>
      </c>
      <c r="AE214" s="85">
        <v>5</v>
      </c>
      <c r="AF214" s="81"/>
      <c r="AI214" s="89" t="s">
        <v>1032</v>
      </c>
      <c r="AJ214" s="85" t="s">
        <v>1033</v>
      </c>
      <c r="AK214" s="85">
        <f t="shared" si="63"/>
        <v>45</v>
      </c>
      <c r="AL214" s="85">
        <v>0</v>
      </c>
      <c r="AM214" s="85">
        <v>0</v>
      </c>
      <c r="AN214" s="85">
        <v>12</v>
      </c>
      <c r="AO214" s="85">
        <v>18</v>
      </c>
      <c r="AP214" s="85">
        <v>15</v>
      </c>
      <c r="AS214" s="89" t="s">
        <v>1032</v>
      </c>
      <c r="AT214" s="85" t="s">
        <v>1033</v>
      </c>
      <c r="AU214" s="85">
        <f t="shared" si="64"/>
        <v>15</v>
      </c>
      <c r="AV214" s="85">
        <v>0</v>
      </c>
      <c r="AW214" s="85">
        <v>0</v>
      </c>
      <c r="AX214" s="85">
        <v>0</v>
      </c>
      <c r="AY214" s="85">
        <v>5</v>
      </c>
      <c r="AZ214" s="85">
        <v>10</v>
      </c>
    </row>
    <row r="215" spans="2:52" x14ac:dyDescent="0.2">
      <c r="B215" s="89" t="s">
        <v>1014</v>
      </c>
      <c r="C215" s="85" t="s">
        <v>1021</v>
      </c>
      <c r="D215" s="85">
        <f t="shared" si="60"/>
        <v>13</v>
      </c>
      <c r="E215" s="85">
        <v>2</v>
      </c>
      <c r="F215" s="85">
        <v>0</v>
      </c>
      <c r="G215" s="85">
        <v>6</v>
      </c>
      <c r="H215" s="85">
        <v>4</v>
      </c>
      <c r="I215" s="85">
        <v>1</v>
      </c>
      <c r="M215" s="89" t="s">
        <v>509</v>
      </c>
      <c r="N215" s="85" t="s">
        <v>1034</v>
      </c>
      <c r="O215" s="85">
        <f t="shared" si="61"/>
        <v>17</v>
      </c>
      <c r="P215" s="85">
        <v>1</v>
      </c>
      <c r="Q215" s="85">
        <v>0</v>
      </c>
      <c r="R215" s="85">
        <v>4</v>
      </c>
      <c r="S215" s="85">
        <v>8</v>
      </c>
      <c r="T215" s="85">
        <v>4</v>
      </c>
      <c r="X215" s="89" t="s">
        <v>1035</v>
      </c>
      <c r="Y215" s="85" t="s">
        <v>1036</v>
      </c>
      <c r="Z215" s="85">
        <f t="shared" si="62"/>
        <v>15</v>
      </c>
      <c r="AA215" s="85">
        <v>0</v>
      </c>
      <c r="AB215" s="85">
        <v>0</v>
      </c>
      <c r="AC215" s="85">
        <v>3</v>
      </c>
      <c r="AD215" s="85">
        <v>6</v>
      </c>
      <c r="AE215" s="85">
        <v>6</v>
      </c>
      <c r="AF215" s="81"/>
      <c r="AI215" s="89" t="s">
        <v>507</v>
      </c>
      <c r="AJ215" s="85" t="s">
        <v>1037</v>
      </c>
      <c r="AK215" s="85">
        <f t="shared" si="63"/>
        <v>45</v>
      </c>
      <c r="AL215" s="85">
        <v>0</v>
      </c>
      <c r="AM215" s="85">
        <v>0</v>
      </c>
      <c r="AN215" s="85">
        <v>13</v>
      </c>
      <c r="AO215" s="85">
        <v>16</v>
      </c>
      <c r="AP215" s="85">
        <v>16</v>
      </c>
      <c r="AS215" s="89" t="s">
        <v>507</v>
      </c>
      <c r="AT215" s="85" t="s">
        <v>1037</v>
      </c>
      <c r="AU215" s="85">
        <f t="shared" si="64"/>
        <v>8</v>
      </c>
      <c r="AV215" s="85">
        <v>1</v>
      </c>
      <c r="AW215" s="85">
        <v>1</v>
      </c>
      <c r="AX215" s="85">
        <v>2</v>
      </c>
      <c r="AY215" s="85">
        <v>3</v>
      </c>
      <c r="AZ215" s="85">
        <v>1</v>
      </c>
    </row>
    <row r="216" spans="2:52" x14ac:dyDescent="0.2">
      <c r="B216" s="89" t="s">
        <v>1025</v>
      </c>
      <c r="C216" s="85" t="s">
        <v>1026</v>
      </c>
      <c r="D216" s="85">
        <f t="shared" si="60"/>
        <v>13</v>
      </c>
      <c r="E216" s="85">
        <v>0</v>
      </c>
      <c r="F216" s="85">
        <v>1</v>
      </c>
      <c r="G216" s="85">
        <v>2</v>
      </c>
      <c r="H216" s="85">
        <v>6</v>
      </c>
      <c r="I216" s="85">
        <v>4</v>
      </c>
      <c r="M216" s="89" t="s">
        <v>1038</v>
      </c>
      <c r="N216" s="85" t="s">
        <v>1010</v>
      </c>
      <c r="O216" s="85">
        <f t="shared" si="61"/>
        <v>16</v>
      </c>
      <c r="P216" s="85">
        <v>0</v>
      </c>
      <c r="Q216" s="85">
        <v>1</v>
      </c>
      <c r="R216" s="85">
        <v>2</v>
      </c>
      <c r="S216" s="85">
        <v>10</v>
      </c>
      <c r="T216" s="85">
        <v>3</v>
      </c>
      <c r="X216" s="89" t="s">
        <v>1022</v>
      </c>
      <c r="Y216" s="85" t="s">
        <v>1023</v>
      </c>
      <c r="Z216" s="85">
        <f t="shared" si="62"/>
        <v>13</v>
      </c>
      <c r="AA216" s="85">
        <v>0</v>
      </c>
      <c r="AB216" s="85">
        <v>0</v>
      </c>
      <c r="AC216" s="85">
        <v>3</v>
      </c>
      <c r="AD216" s="85">
        <v>8</v>
      </c>
      <c r="AE216" s="85">
        <v>2</v>
      </c>
      <c r="AF216" s="81"/>
      <c r="AI216" s="89" t="s">
        <v>1014</v>
      </c>
      <c r="AJ216" s="85" t="s">
        <v>1039</v>
      </c>
      <c r="AK216" s="85">
        <f t="shared" si="63"/>
        <v>13</v>
      </c>
      <c r="AL216" s="85">
        <v>0</v>
      </c>
      <c r="AM216" s="85">
        <v>2</v>
      </c>
      <c r="AN216" s="85">
        <v>3</v>
      </c>
      <c r="AO216" s="85">
        <v>5</v>
      </c>
      <c r="AP216" s="85">
        <v>3</v>
      </c>
      <c r="AS216" s="89" t="s">
        <v>1014</v>
      </c>
      <c r="AT216" s="85" t="s">
        <v>1039</v>
      </c>
      <c r="AU216" s="85">
        <f t="shared" si="64"/>
        <v>41</v>
      </c>
      <c r="AV216" s="85">
        <v>1</v>
      </c>
      <c r="AW216" s="85">
        <v>0</v>
      </c>
      <c r="AX216" s="85">
        <v>7</v>
      </c>
      <c r="AY216" s="85">
        <v>29</v>
      </c>
      <c r="AZ216" s="85">
        <v>4</v>
      </c>
    </row>
    <row r="217" spans="2:52" x14ac:dyDescent="0.2">
      <c r="B217" s="89" t="s">
        <v>6137</v>
      </c>
      <c r="C217" s="85" t="s">
        <v>6138</v>
      </c>
      <c r="D217" s="85">
        <f t="shared" si="60"/>
        <v>11</v>
      </c>
      <c r="E217" s="85">
        <v>8</v>
      </c>
      <c r="F217" s="85">
        <v>1</v>
      </c>
      <c r="G217" s="85">
        <v>1</v>
      </c>
      <c r="H217" s="85">
        <v>1</v>
      </c>
      <c r="I217" s="85">
        <v>0</v>
      </c>
      <c r="M217" s="89" t="s">
        <v>1040</v>
      </c>
      <c r="N217" s="85" t="s">
        <v>1041</v>
      </c>
      <c r="O217" s="85">
        <f t="shared" si="61"/>
        <v>16</v>
      </c>
      <c r="P217" s="85">
        <v>0</v>
      </c>
      <c r="Q217" s="85">
        <v>0</v>
      </c>
      <c r="R217" s="85">
        <v>2</v>
      </c>
      <c r="S217" s="85">
        <v>11</v>
      </c>
      <c r="T217" s="85">
        <v>3</v>
      </c>
      <c r="X217" s="89" t="s">
        <v>1007</v>
      </c>
      <c r="Y217" s="85" t="s">
        <v>1028</v>
      </c>
      <c r="Z217" s="85">
        <f t="shared" si="62"/>
        <v>13</v>
      </c>
      <c r="AA217" s="85">
        <v>0</v>
      </c>
      <c r="AB217" s="85">
        <v>0</v>
      </c>
      <c r="AC217" s="85">
        <v>3</v>
      </c>
      <c r="AD217" s="85">
        <v>5</v>
      </c>
      <c r="AE217" s="85">
        <v>5</v>
      </c>
      <c r="AF217" s="81"/>
      <c r="AI217" s="89" t="s">
        <v>1042</v>
      </c>
      <c r="AJ217" s="85" t="s">
        <v>1016</v>
      </c>
      <c r="AK217" s="85">
        <f t="shared" si="63"/>
        <v>24</v>
      </c>
      <c r="AL217" s="85">
        <v>0</v>
      </c>
      <c r="AM217" s="85">
        <v>2</v>
      </c>
      <c r="AN217" s="85">
        <v>6</v>
      </c>
      <c r="AO217" s="85">
        <v>6</v>
      </c>
      <c r="AP217" s="85">
        <v>10</v>
      </c>
      <c r="AS217" s="89" t="s">
        <v>1042</v>
      </c>
      <c r="AT217" s="85" t="s">
        <v>1016</v>
      </c>
      <c r="AU217" s="85">
        <f t="shared" si="64"/>
        <v>113</v>
      </c>
      <c r="AV217" s="85">
        <v>12</v>
      </c>
      <c r="AW217" s="85">
        <v>7</v>
      </c>
      <c r="AX217" s="85">
        <v>13</v>
      </c>
      <c r="AY217" s="85">
        <v>44</v>
      </c>
      <c r="AZ217" s="85">
        <v>37</v>
      </c>
    </row>
    <row r="218" spans="2:52" x14ac:dyDescent="0.2">
      <c r="B218" s="89" t="s">
        <v>1040</v>
      </c>
      <c r="C218" s="85" t="s">
        <v>1041</v>
      </c>
      <c r="D218" s="85">
        <f t="shared" si="60"/>
        <v>10</v>
      </c>
      <c r="E218" s="85">
        <v>0</v>
      </c>
      <c r="F218" s="85">
        <v>1</v>
      </c>
      <c r="G218" s="85">
        <v>1</v>
      </c>
      <c r="H218" s="85">
        <v>3</v>
      </c>
      <c r="I218" s="85">
        <v>5</v>
      </c>
      <c r="M218" s="89" t="s">
        <v>1043</v>
      </c>
      <c r="N218" s="85" t="s">
        <v>1044</v>
      </c>
      <c r="O218" s="85">
        <f t="shared" si="61"/>
        <v>16</v>
      </c>
      <c r="P218" s="85">
        <v>2</v>
      </c>
      <c r="Q218" s="85">
        <v>0</v>
      </c>
      <c r="R218" s="85">
        <v>1</v>
      </c>
      <c r="S218" s="85">
        <v>4</v>
      </c>
      <c r="T218" s="85">
        <v>9</v>
      </c>
      <c r="X218" s="89" t="s">
        <v>1045</v>
      </c>
      <c r="Y218" s="85" t="s">
        <v>1046</v>
      </c>
      <c r="Z218" s="85">
        <f t="shared" si="62"/>
        <v>14</v>
      </c>
      <c r="AA218" s="85">
        <v>0</v>
      </c>
      <c r="AB218" s="85">
        <v>1</v>
      </c>
      <c r="AC218" s="85">
        <v>0</v>
      </c>
      <c r="AD218" s="85">
        <v>6</v>
      </c>
      <c r="AE218" s="85">
        <v>7</v>
      </c>
      <c r="AF218" s="81"/>
      <c r="AI218" s="89" t="s">
        <v>491</v>
      </c>
      <c r="AJ218" s="85" t="s">
        <v>1047</v>
      </c>
      <c r="AK218" s="85">
        <f t="shared" si="63"/>
        <v>12</v>
      </c>
      <c r="AL218" s="85">
        <v>0</v>
      </c>
      <c r="AM218" s="85">
        <v>1</v>
      </c>
      <c r="AN218" s="85">
        <v>1</v>
      </c>
      <c r="AO218" s="85">
        <v>2</v>
      </c>
      <c r="AP218" s="85">
        <v>8</v>
      </c>
      <c r="AS218" s="89" t="s">
        <v>491</v>
      </c>
      <c r="AT218" s="85" t="s">
        <v>1047</v>
      </c>
      <c r="AU218" s="85">
        <f t="shared" si="64"/>
        <v>5</v>
      </c>
      <c r="AV218" s="85">
        <v>0</v>
      </c>
      <c r="AW218" s="85">
        <v>0</v>
      </c>
      <c r="AX218" s="85">
        <v>0</v>
      </c>
      <c r="AY218" s="85">
        <v>4</v>
      </c>
      <c r="AZ218" s="85">
        <v>1</v>
      </c>
    </row>
    <row r="219" spans="2:52" x14ac:dyDescent="0.2">
      <c r="B219" s="89" t="s">
        <v>491</v>
      </c>
      <c r="C219" s="85" t="s">
        <v>844</v>
      </c>
      <c r="D219" s="85">
        <f t="shared" si="60"/>
        <v>10</v>
      </c>
      <c r="E219" s="85">
        <v>6</v>
      </c>
      <c r="F219" s="85">
        <v>0</v>
      </c>
      <c r="G219" s="85">
        <v>0</v>
      </c>
      <c r="H219" s="85">
        <v>1</v>
      </c>
      <c r="I219" s="85">
        <v>3</v>
      </c>
      <c r="M219" s="89" t="s">
        <v>1048</v>
      </c>
      <c r="N219" s="85" t="s">
        <v>1049</v>
      </c>
      <c r="O219" s="85">
        <f t="shared" si="61"/>
        <v>13</v>
      </c>
      <c r="P219" s="85">
        <v>2</v>
      </c>
      <c r="Q219" s="85">
        <v>1</v>
      </c>
      <c r="R219" s="85">
        <v>1</v>
      </c>
      <c r="S219" s="85">
        <v>5</v>
      </c>
      <c r="T219" s="85">
        <v>4</v>
      </c>
      <c r="X219" s="89" t="s">
        <v>1050</v>
      </c>
      <c r="Y219" s="85" t="s">
        <v>1051</v>
      </c>
      <c r="Z219" s="85">
        <f t="shared" si="62"/>
        <v>11</v>
      </c>
      <c r="AA219" s="85">
        <v>0</v>
      </c>
      <c r="AB219" s="85">
        <v>0</v>
      </c>
      <c r="AC219" s="85">
        <v>2</v>
      </c>
      <c r="AD219" s="85">
        <v>7</v>
      </c>
      <c r="AE219" s="85">
        <v>2</v>
      </c>
      <c r="AF219" s="81"/>
      <c r="AI219" s="89" t="s">
        <v>1025</v>
      </c>
      <c r="AJ219" s="85" t="s">
        <v>784</v>
      </c>
      <c r="AK219" s="85">
        <f t="shared" si="63"/>
        <v>11</v>
      </c>
      <c r="AL219" s="85">
        <v>0</v>
      </c>
      <c r="AM219" s="85">
        <v>0</v>
      </c>
      <c r="AN219" s="85">
        <v>3</v>
      </c>
      <c r="AO219" s="85">
        <v>5</v>
      </c>
      <c r="AP219" s="85">
        <v>3</v>
      </c>
      <c r="AS219" s="89" t="s">
        <v>1025</v>
      </c>
      <c r="AT219" s="85" t="s">
        <v>784</v>
      </c>
      <c r="AU219" s="85">
        <f t="shared" si="64"/>
        <v>22</v>
      </c>
      <c r="AV219" s="85">
        <v>0</v>
      </c>
      <c r="AW219" s="85">
        <v>0</v>
      </c>
      <c r="AX219" s="85">
        <v>5</v>
      </c>
      <c r="AY219" s="85">
        <v>10</v>
      </c>
      <c r="AZ219" s="85">
        <v>7</v>
      </c>
    </row>
    <row r="220" spans="2:52" x14ac:dyDescent="0.2">
      <c r="B220" s="89" t="s">
        <v>1032</v>
      </c>
      <c r="C220" s="85" t="s">
        <v>1052</v>
      </c>
      <c r="D220" s="85">
        <f t="shared" si="60"/>
        <v>10</v>
      </c>
      <c r="E220" s="85">
        <v>1</v>
      </c>
      <c r="F220" s="85">
        <v>0</v>
      </c>
      <c r="G220" s="85">
        <v>1</v>
      </c>
      <c r="H220" s="85">
        <v>4</v>
      </c>
      <c r="I220" s="85">
        <v>4</v>
      </c>
      <c r="M220" s="89" t="s">
        <v>1022</v>
      </c>
      <c r="N220" s="85" t="s">
        <v>1029</v>
      </c>
      <c r="O220" s="85">
        <f t="shared" si="61"/>
        <v>11</v>
      </c>
      <c r="P220" s="85">
        <v>1</v>
      </c>
      <c r="Q220" s="85">
        <v>2</v>
      </c>
      <c r="R220" s="85">
        <v>3</v>
      </c>
      <c r="S220" s="85">
        <v>4</v>
      </c>
      <c r="T220" s="85">
        <v>1</v>
      </c>
      <c r="X220" s="89" t="s">
        <v>1024</v>
      </c>
      <c r="Y220" s="85" t="s">
        <v>1037</v>
      </c>
      <c r="Z220" s="85">
        <f t="shared" si="62"/>
        <v>11</v>
      </c>
      <c r="AA220" s="85">
        <v>0</v>
      </c>
      <c r="AB220" s="85">
        <v>0</v>
      </c>
      <c r="AC220" s="85">
        <v>0</v>
      </c>
      <c r="AD220" s="85">
        <v>5</v>
      </c>
      <c r="AE220" s="85">
        <v>6</v>
      </c>
      <c r="AF220" s="81"/>
      <c r="AI220" s="89" t="s">
        <v>1053</v>
      </c>
      <c r="AJ220" s="85" t="s">
        <v>1027</v>
      </c>
      <c r="AK220" s="85">
        <f t="shared" si="63"/>
        <v>14</v>
      </c>
      <c r="AL220" s="85">
        <v>0</v>
      </c>
      <c r="AM220" s="85">
        <v>0</v>
      </c>
      <c r="AN220" s="85">
        <v>2</v>
      </c>
      <c r="AO220" s="85">
        <v>6</v>
      </c>
      <c r="AP220" s="85">
        <v>6</v>
      </c>
      <c r="AS220" s="89" t="s">
        <v>1053</v>
      </c>
      <c r="AT220" s="85" t="s">
        <v>1027</v>
      </c>
      <c r="AU220" s="85">
        <f t="shared" si="64"/>
        <v>4</v>
      </c>
      <c r="AV220" s="85">
        <v>0</v>
      </c>
      <c r="AW220" s="85">
        <v>0</v>
      </c>
      <c r="AX220" s="85">
        <v>1</v>
      </c>
      <c r="AY220" s="85">
        <v>1</v>
      </c>
      <c r="AZ220" s="85">
        <v>2</v>
      </c>
    </row>
    <row r="221" spans="2:52" x14ac:dyDescent="0.2">
      <c r="B221" s="89" t="s">
        <v>1007</v>
      </c>
      <c r="C221" s="85" t="s">
        <v>1008</v>
      </c>
      <c r="D221" s="85">
        <f t="shared" si="60"/>
        <v>9</v>
      </c>
      <c r="E221" s="85">
        <v>0</v>
      </c>
      <c r="F221" s="85">
        <v>0</v>
      </c>
      <c r="G221" s="85">
        <v>0</v>
      </c>
      <c r="H221" s="85">
        <v>0</v>
      </c>
      <c r="I221" s="85">
        <v>9</v>
      </c>
      <c r="M221" s="89" t="s">
        <v>1054</v>
      </c>
      <c r="N221" s="85" t="s">
        <v>1055</v>
      </c>
      <c r="O221" s="85">
        <f t="shared" si="61"/>
        <v>11</v>
      </c>
      <c r="P221" s="85">
        <v>0</v>
      </c>
      <c r="Q221" s="85">
        <v>0</v>
      </c>
      <c r="R221" s="85">
        <v>4</v>
      </c>
      <c r="S221" s="85">
        <v>3</v>
      </c>
      <c r="T221" s="85">
        <v>4</v>
      </c>
      <c r="X221" s="89" t="s">
        <v>1020</v>
      </c>
      <c r="Y221" s="85" t="s">
        <v>1056</v>
      </c>
      <c r="Z221" s="85">
        <f t="shared" si="62"/>
        <v>9</v>
      </c>
      <c r="AA221" s="85">
        <v>0</v>
      </c>
      <c r="AB221" s="85">
        <v>1</v>
      </c>
      <c r="AC221" s="85">
        <v>1</v>
      </c>
      <c r="AD221" s="85">
        <v>5</v>
      </c>
      <c r="AE221" s="85">
        <v>2</v>
      </c>
      <c r="AF221" s="81"/>
      <c r="AI221" s="89" t="s">
        <v>1024</v>
      </c>
      <c r="AJ221" s="85" t="s">
        <v>1057</v>
      </c>
      <c r="AK221" s="85">
        <f t="shared" si="63"/>
        <v>9</v>
      </c>
      <c r="AL221" s="85">
        <v>0</v>
      </c>
      <c r="AM221" s="85">
        <v>1</v>
      </c>
      <c r="AN221" s="85">
        <v>1</v>
      </c>
      <c r="AO221" s="85">
        <v>5</v>
      </c>
      <c r="AP221" s="85">
        <v>2</v>
      </c>
      <c r="AS221" s="89" t="s">
        <v>1024</v>
      </c>
      <c r="AT221" s="85" t="s">
        <v>1057</v>
      </c>
      <c r="AU221" s="85">
        <f t="shared" si="64"/>
        <v>3</v>
      </c>
      <c r="AV221" s="85">
        <v>0</v>
      </c>
      <c r="AW221" s="85">
        <v>0</v>
      </c>
      <c r="AX221" s="85">
        <v>1</v>
      </c>
      <c r="AY221" s="85">
        <v>2</v>
      </c>
      <c r="AZ221" s="85">
        <v>0</v>
      </c>
    </row>
    <row r="222" spans="2:52" x14ac:dyDescent="0.2">
      <c r="B222" s="89" t="s">
        <v>1058</v>
      </c>
      <c r="C222" s="85" t="s">
        <v>6139</v>
      </c>
      <c r="D222" s="85">
        <f t="shared" si="60"/>
        <v>8</v>
      </c>
      <c r="E222" s="85">
        <v>1</v>
      </c>
      <c r="F222" s="85">
        <v>0</v>
      </c>
      <c r="G222" s="85">
        <v>2</v>
      </c>
      <c r="H222" s="85">
        <v>3</v>
      </c>
      <c r="I222" s="85">
        <v>2</v>
      </c>
      <c r="M222" s="89" t="s">
        <v>1032</v>
      </c>
      <c r="N222" s="85" t="s">
        <v>1019</v>
      </c>
      <c r="O222" s="85">
        <f t="shared" si="61"/>
        <v>10</v>
      </c>
      <c r="P222" s="85">
        <v>0</v>
      </c>
      <c r="Q222" s="85">
        <v>0</v>
      </c>
      <c r="R222" s="85">
        <v>5</v>
      </c>
      <c r="S222" s="85">
        <v>4</v>
      </c>
      <c r="T222" s="85">
        <v>1</v>
      </c>
      <c r="X222" s="89" t="s">
        <v>1059</v>
      </c>
      <c r="Y222" s="85" t="s">
        <v>1060</v>
      </c>
      <c r="Z222" s="85">
        <f t="shared" si="62"/>
        <v>7</v>
      </c>
      <c r="AA222" s="85">
        <v>0</v>
      </c>
      <c r="AB222" s="85">
        <v>0</v>
      </c>
      <c r="AC222" s="85">
        <v>1</v>
      </c>
      <c r="AD222" s="85">
        <v>5</v>
      </c>
      <c r="AE222" s="85">
        <v>1</v>
      </c>
      <c r="AF222" s="81"/>
      <c r="AI222" s="89" t="s">
        <v>1048</v>
      </c>
      <c r="AJ222" s="85" t="s">
        <v>1056</v>
      </c>
      <c r="AK222" s="85">
        <f t="shared" si="63"/>
        <v>6</v>
      </c>
      <c r="AL222" s="85">
        <v>0</v>
      </c>
      <c r="AM222" s="85">
        <v>2</v>
      </c>
      <c r="AN222" s="85">
        <v>1</v>
      </c>
      <c r="AO222" s="85">
        <v>2</v>
      </c>
      <c r="AP222" s="85">
        <v>1</v>
      </c>
      <c r="AS222" s="89" t="s">
        <v>1048</v>
      </c>
      <c r="AT222" s="85" t="s">
        <v>1056</v>
      </c>
      <c r="AU222" s="85">
        <f t="shared" si="64"/>
        <v>9</v>
      </c>
      <c r="AV222" s="85">
        <v>0</v>
      </c>
      <c r="AW222" s="85">
        <v>0</v>
      </c>
      <c r="AX222" s="85">
        <v>3</v>
      </c>
      <c r="AY222" s="85">
        <v>3</v>
      </c>
      <c r="AZ222" s="85">
        <v>3</v>
      </c>
    </row>
    <row r="223" spans="2:52" x14ac:dyDescent="0.2">
      <c r="B223" s="89" t="s">
        <v>1043</v>
      </c>
      <c r="C223" s="85" t="s">
        <v>1044</v>
      </c>
      <c r="D223" s="85">
        <f t="shared" si="60"/>
        <v>12</v>
      </c>
      <c r="E223" s="85">
        <v>0</v>
      </c>
      <c r="F223" s="85">
        <v>0</v>
      </c>
      <c r="G223" s="85">
        <v>0</v>
      </c>
      <c r="H223" s="85">
        <v>6</v>
      </c>
      <c r="I223" s="85">
        <v>6</v>
      </c>
      <c r="M223" s="89" t="s">
        <v>1018</v>
      </c>
      <c r="N223" s="85" t="s">
        <v>1052</v>
      </c>
      <c r="O223" s="85">
        <f t="shared" si="61"/>
        <v>8</v>
      </c>
      <c r="P223" s="85">
        <v>4</v>
      </c>
      <c r="Q223" s="85">
        <v>1</v>
      </c>
      <c r="R223" s="85">
        <v>0</v>
      </c>
      <c r="S223" s="85">
        <v>2</v>
      </c>
      <c r="T223" s="85">
        <v>1</v>
      </c>
      <c r="X223" s="89" t="s">
        <v>1032</v>
      </c>
      <c r="Y223" s="85" t="s">
        <v>1061</v>
      </c>
      <c r="Z223" s="85">
        <f t="shared" si="62"/>
        <v>7</v>
      </c>
      <c r="AA223" s="85">
        <v>3</v>
      </c>
      <c r="AB223" s="85">
        <v>0</v>
      </c>
      <c r="AC223" s="85">
        <v>0</v>
      </c>
      <c r="AD223" s="85">
        <v>3</v>
      </c>
      <c r="AE223" s="85">
        <v>1</v>
      </c>
      <c r="AF223" s="81"/>
      <c r="AI223" s="89" t="s">
        <v>1035</v>
      </c>
      <c r="AJ223" s="85" t="s">
        <v>1062</v>
      </c>
      <c r="AK223" s="85">
        <f t="shared" si="63"/>
        <v>11</v>
      </c>
      <c r="AL223" s="85">
        <v>3</v>
      </c>
      <c r="AM223" s="85">
        <v>2</v>
      </c>
      <c r="AN223" s="85">
        <v>2</v>
      </c>
      <c r="AO223" s="85">
        <v>3</v>
      </c>
      <c r="AP223" s="85">
        <v>1</v>
      </c>
      <c r="AS223" s="89" t="s">
        <v>1035</v>
      </c>
      <c r="AT223" s="85" t="s">
        <v>1062</v>
      </c>
      <c r="AU223" s="85">
        <f t="shared" si="64"/>
        <v>1</v>
      </c>
      <c r="AV223" s="85">
        <v>1</v>
      </c>
      <c r="AW223" s="85">
        <v>0</v>
      </c>
      <c r="AX223" s="85">
        <v>0</v>
      </c>
      <c r="AY223" s="85">
        <v>0</v>
      </c>
      <c r="AZ223" s="85">
        <v>0</v>
      </c>
    </row>
    <row r="224" spans="2:52" x14ac:dyDescent="0.2">
      <c r="B224" s="89" t="s">
        <v>1038</v>
      </c>
      <c r="C224" s="85" t="s">
        <v>1034</v>
      </c>
      <c r="D224" s="85">
        <f t="shared" si="60"/>
        <v>10</v>
      </c>
      <c r="E224" s="85">
        <v>0</v>
      </c>
      <c r="F224" s="85">
        <v>0</v>
      </c>
      <c r="G224" s="85">
        <v>0</v>
      </c>
      <c r="H224" s="85">
        <v>5</v>
      </c>
      <c r="I224" s="85">
        <v>5</v>
      </c>
      <c r="M224" s="89" t="s">
        <v>1063</v>
      </c>
      <c r="N224" s="85" t="s">
        <v>1064</v>
      </c>
      <c r="O224" s="85">
        <f t="shared" si="61"/>
        <v>7</v>
      </c>
      <c r="P224" s="85">
        <v>1</v>
      </c>
      <c r="Q224" s="85">
        <v>0</v>
      </c>
      <c r="R224" s="85">
        <v>0</v>
      </c>
      <c r="S224" s="85">
        <v>3</v>
      </c>
      <c r="T224" s="85">
        <v>3</v>
      </c>
      <c r="X224" s="89" t="s">
        <v>1053</v>
      </c>
      <c r="Y224" s="85" t="s">
        <v>1057</v>
      </c>
      <c r="Z224" s="85">
        <f t="shared" si="62"/>
        <v>7</v>
      </c>
      <c r="AA224" s="85">
        <v>0</v>
      </c>
      <c r="AB224" s="85">
        <v>0</v>
      </c>
      <c r="AC224" s="85">
        <v>1</v>
      </c>
      <c r="AD224" s="85">
        <v>2</v>
      </c>
      <c r="AE224" s="85">
        <v>4</v>
      </c>
      <c r="AF224" s="81"/>
      <c r="AI224" s="89" t="s">
        <v>1065</v>
      </c>
      <c r="AJ224" s="85" t="s">
        <v>1036</v>
      </c>
      <c r="AK224" s="85">
        <f t="shared" si="63"/>
        <v>10</v>
      </c>
      <c r="AL224" s="85">
        <v>0</v>
      </c>
      <c r="AM224" s="85">
        <v>2</v>
      </c>
      <c r="AN224" s="85">
        <v>1</v>
      </c>
      <c r="AO224" s="85">
        <v>3</v>
      </c>
      <c r="AP224" s="85">
        <v>4</v>
      </c>
      <c r="AS224" s="89" t="s">
        <v>1065</v>
      </c>
      <c r="AT224" s="85" t="s">
        <v>1036</v>
      </c>
      <c r="AU224" s="85">
        <f t="shared" si="64"/>
        <v>8</v>
      </c>
      <c r="AV224" s="85">
        <v>0</v>
      </c>
      <c r="AW224" s="85">
        <v>2</v>
      </c>
      <c r="AX224" s="85">
        <v>3</v>
      </c>
      <c r="AY224" s="85">
        <v>1</v>
      </c>
      <c r="AZ224" s="85">
        <v>2</v>
      </c>
    </row>
    <row r="225" spans="2:53" x14ac:dyDescent="0.2">
      <c r="B225" s="89" t="s">
        <v>6140</v>
      </c>
      <c r="C225" s="85" t="s">
        <v>6141</v>
      </c>
      <c r="D225" s="85">
        <f t="shared" si="60"/>
        <v>5</v>
      </c>
      <c r="E225" s="85">
        <v>1</v>
      </c>
      <c r="F225" s="85">
        <v>0</v>
      </c>
      <c r="G225" s="85">
        <v>0</v>
      </c>
      <c r="H225" s="85">
        <v>2</v>
      </c>
      <c r="I225" s="85">
        <v>2</v>
      </c>
      <c r="M225" s="89" t="s">
        <v>1058</v>
      </c>
      <c r="N225" s="85" t="s">
        <v>1066</v>
      </c>
      <c r="O225" s="85">
        <f t="shared" si="61"/>
        <v>7</v>
      </c>
      <c r="P225" s="85">
        <v>0</v>
      </c>
      <c r="Q225" s="85">
        <v>0</v>
      </c>
      <c r="R225" s="85">
        <v>0</v>
      </c>
      <c r="S225" s="85">
        <v>1</v>
      </c>
      <c r="T225" s="85">
        <v>6</v>
      </c>
      <c r="X225" s="89" t="s">
        <v>1067</v>
      </c>
      <c r="Y225" s="85" t="s">
        <v>1033</v>
      </c>
      <c r="Z225" s="85">
        <f t="shared" si="62"/>
        <v>7</v>
      </c>
      <c r="AA225" s="85">
        <v>0</v>
      </c>
      <c r="AB225" s="85">
        <v>1</v>
      </c>
      <c r="AC225" s="85">
        <v>0</v>
      </c>
      <c r="AD225" s="85">
        <v>2</v>
      </c>
      <c r="AE225" s="85">
        <v>4</v>
      </c>
      <c r="AF225" s="81"/>
      <c r="AI225" s="89" t="s">
        <v>1040</v>
      </c>
      <c r="AJ225" s="85" t="s">
        <v>1068</v>
      </c>
      <c r="AK225" s="85">
        <f t="shared" si="63"/>
        <v>7</v>
      </c>
      <c r="AL225" s="85">
        <v>0</v>
      </c>
      <c r="AM225" s="85">
        <v>1</v>
      </c>
      <c r="AN225" s="85">
        <v>0</v>
      </c>
      <c r="AO225" s="85">
        <v>2</v>
      </c>
      <c r="AP225" s="85">
        <v>4</v>
      </c>
      <c r="AS225" s="89" t="s">
        <v>1040</v>
      </c>
      <c r="AT225" s="85" t="s">
        <v>1068</v>
      </c>
      <c r="AU225" s="85">
        <f t="shared" si="64"/>
        <v>6</v>
      </c>
      <c r="AV225" s="85">
        <v>3</v>
      </c>
      <c r="AW225" s="85">
        <v>0</v>
      </c>
      <c r="AX225" s="85">
        <v>2</v>
      </c>
      <c r="AY225" s="85">
        <v>0</v>
      </c>
      <c r="AZ225" s="85">
        <v>1</v>
      </c>
    </row>
    <row r="226" spans="2:53" x14ac:dyDescent="0.2">
      <c r="B226" s="89"/>
      <c r="C226" s="85" t="s">
        <v>577</v>
      </c>
      <c r="D226" s="85">
        <f t="shared" si="60"/>
        <v>329</v>
      </c>
      <c r="E226" s="85">
        <v>47</v>
      </c>
      <c r="F226" s="85">
        <v>16</v>
      </c>
      <c r="G226" s="85">
        <v>46</v>
      </c>
      <c r="H226" s="85">
        <v>100</v>
      </c>
      <c r="I226" s="85">
        <v>120</v>
      </c>
      <c r="M226" s="89" t="s">
        <v>1067</v>
      </c>
      <c r="N226" s="85" t="s">
        <v>577</v>
      </c>
      <c r="O226" s="85">
        <f t="shared" si="61"/>
        <v>330</v>
      </c>
      <c r="P226" s="85">
        <v>35</v>
      </c>
      <c r="Q226" s="85">
        <v>10</v>
      </c>
      <c r="R226" s="85">
        <v>55</v>
      </c>
      <c r="S226" s="85">
        <v>121</v>
      </c>
      <c r="T226" s="85">
        <v>109</v>
      </c>
      <c r="X226" s="89"/>
      <c r="Y226" s="85" t="s">
        <v>577</v>
      </c>
      <c r="Z226" s="85">
        <f t="shared" si="62"/>
        <v>369</v>
      </c>
      <c r="AA226" s="85">
        <v>34</v>
      </c>
      <c r="AB226" s="85">
        <v>12</v>
      </c>
      <c r="AC226" s="85">
        <v>60</v>
      </c>
      <c r="AD226" s="85">
        <v>122</v>
      </c>
      <c r="AE226" s="85">
        <v>141</v>
      </c>
      <c r="AF226" s="81"/>
      <c r="AI226" s="89"/>
      <c r="AJ226" s="85" t="s">
        <v>577</v>
      </c>
      <c r="AK226" s="85">
        <f t="shared" si="63"/>
        <v>244</v>
      </c>
      <c r="AL226" s="85">
        <v>36</v>
      </c>
      <c r="AM226" s="85">
        <v>11</v>
      </c>
      <c r="AN226" s="85">
        <v>45</v>
      </c>
      <c r="AO226" s="85">
        <v>96</v>
      </c>
      <c r="AP226" s="85">
        <v>56</v>
      </c>
      <c r="AS226" s="89"/>
      <c r="AT226" s="85" t="s">
        <v>577</v>
      </c>
      <c r="AU226" s="85">
        <f t="shared" si="64"/>
        <v>236</v>
      </c>
      <c r="AV226" s="85">
        <v>25</v>
      </c>
      <c r="AW226" s="85">
        <v>18</v>
      </c>
      <c r="AX226" s="85">
        <v>48</v>
      </c>
      <c r="AY226" s="85">
        <v>85</v>
      </c>
      <c r="AZ226" s="85">
        <v>60</v>
      </c>
    </row>
    <row r="227" spans="2:53" x14ac:dyDescent="0.2">
      <c r="B227" s="89"/>
      <c r="C227" s="96" t="s">
        <v>0</v>
      </c>
      <c r="D227" s="91">
        <f t="shared" ref="D227:I227" si="65">SUM(D206:D226)</f>
        <v>824</v>
      </c>
      <c r="E227" s="91">
        <f t="shared" si="65"/>
        <v>83</v>
      </c>
      <c r="F227" s="91">
        <f t="shared" si="65"/>
        <v>31</v>
      </c>
      <c r="G227" s="91">
        <f t="shared" si="65"/>
        <v>155</v>
      </c>
      <c r="H227" s="91">
        <f t="shared" si="65"/>
        <v>308</v>
      </c>
      <c r="I227" s="91">
        <f t="shared" si="65"/>
        <v>247</v>
      </c>
      <c r="M227" s="89"/>
      <c r="N227" s="96" t="s">
        <v>0</v>
      </c>
      <c r="O227" s="85">
        <f t="shared" si="61"/>
        <v>1021</v>
      </c>
      <c r="P227" s="91">
        <f>SUM(P206:P226)</f>
        <v>69</v>
      </c>
      <c r="Q227" s="91">
        <f>SUM(Q206:Q226)</f>
        <v>35</v>
      </c>
      <c r="R227" s="91">
        <f>SUM(R206:R226)</f>
        <v>212</v>
      </c>
      <c r="S227" s="91">
        <f>SUM(S206:S226)</f>
        <v>398</v>
      </c>
      <c r="T227" s="91">
        <f>SUM(T206:T226)</f>
        <v>307</v>
      </c>
      <c r="X227" s="89"/>
      <c r="Y227" s="96" t="s">
        <v>0</v>
      </c>
      <c r="Z227" s="85">
        <f t="shared" si="62"/>
        <v>1059</v>
      </c>
      <c r="AA227" s="91">
        <f>SUM(AA206:AA226)</f>
        <v>58</v>
      </c>
      <c r="AB227" s="91">
        <f>SUM(AB206:AB226)</f>
        <v>39</v>
      </c>
      <c r="AC227" s="91">
        <f>SUM(AC206:AC226)</f>
        <v>188</v>
      </c>
      <c r="AD227" s="91">
        <f>SUM(AD206:AD226)</f>
        <v>410</v>
      </c>
      <c r="AE227" s="91">
        <f>SUM(AE206:AE226)</f>
        <v>364</v>
      </c>
      <c r="AF227" s="81"/>
      <c r="AI227" s="89"/>
      <c r="AJ227" s="96" t="s">
        <v>0</v>
      </c>
      <c r="AK227" s="85">
        <f t="shared" si="63"/>
        <v>881</v>
      </c>
      <c r="AL227" s="91">
        <f>SUM(AL206:AL226)</f>
        <v>50</v>
      </c>
      <c r="AM227" s="91">
        <f>SUM(AM206:AM226)</f>
        <v>50</v>
      </c>
      <c r="AN227" s="91">
        <f>SUM(AN206:AN226)</f>
        <v>194</v>
      </c>
      <c r="AO227" s="91">
        <f>SUM(AO206:AO226)</f>
        <v>273</v>
      </c>
      <c r="AP227" s="91">
        <f>SUM(AP206:AP226)</f>
        <v>314</v>
      </c>
      <c r="AS227" s="89"/>
      <c r="AT227" s="96" t="s">
        <v>0</v>
      </c>
      <c r="AU227" s="85">
        <f t="shared" si="64"/>
        <v>1355</v>
      </c>
      <c r="AV227" s="91">
        <f>SUM(AV206:AV226)</f>
        <v>82</v>
      </c>
      <c r="AW227" s="91">
        <f>SUM(AW206:AW226)</f>
        <v>41</v>
      </c>
      <c r="AX227" s="91">
        <f>SUM(AX206:AX226)</f>
        <v>233</v>
      </c>
      <c r="AY227" s="91">
        <f>SUM(AY206:AY226)</f>
        <v>693</v>
      </c>
      <c r="AZ227" s="91">
        <f>SUM(AZ206:AZ226)</f>
        <v>306</v>
      </c>
    </row>
    <row r="228" spans="2:53" x14ac:dyDescent="0.2">
      <c r="B228" s="3949"/>
      <c r="M228" s="3949"/>
      <c r="X228" s="3949"/>
      <c r="Y228" s="81"/>
      <c r="Z228" s="81"/>
      <c r="AA228" s="81"/>
      <c r="AB228" s="81"/>
      <c r="AC228" s="81"/>
      <c r="AD228" s="81"/>
      <c r="AE228" s="81"/>
      <c r="AF228" s="81"/>
      <c r="AI228" s="3949"/>
      <c r="AJ228" s="81"/>
      <c r="AK228" s="81"/>
      <c r="AL228" s="81"/>
      <c r="AM228" s="81"/>
      <c r="AN228" s="81"/>
      <c r="AO228" s="81"/>
      <c r="AP228" s="81"/>
      <c r="AS228" s="3949"/>
      <c r="AT228" s="81"/>
      <c r="AU228" s="81"/>
      <c r="AV228" s="81"/>
      <c r="AW228" s="81"/>
      <c r="AX228" s="81"/>
      <c r="AY228" s="81"/>
      <c r="AZ228" s="81"/>
    </row>
    <row r="229" spans="2:53" x14ac:dyDescent="0.2">
      <c r="B229" s="3949"/>
      <c r="M229" s="3949"/>
      <c r="X229" s="3949"/>
      <c r="Y229" s="81"/>
      <c r="Z229" s="81"/>
      <c r="AA229" s="81"/>
      <c r="AB229" s="81"/>
      <c r="AC229" s="81"/>
      <c r="AD229" s="81"/>
      <c r="AE229" s="81"/>
      <c r="AF229" s="81"/>
      <c r="AI229" s="3949"/>
      <c r="AJ229" s="81"/>
      <c r="AK229" s="81"/>
      <c r="AL229" s="81"/>
      <c r="AM229" s="81"/>
      <c r="AN229" s="81"/>
      <c r="AO229" s="81"/>
      <c r="AP229" s="81"/>
      <c r="AQ229" s="81"/>
      <c r="AS229" s="3949"/>
      <c r="AT229" s="81"/>
      <c r="AU229" s="81"/>
      <c r="AV229" s="81"/>
      <c r="AW229" s="81"/>
      <c r="AX229" s="81"/>
      <c r="AY229" s="81"/>
      <c r="AZ229" s="81"/>
      <c r="BA229" s="81"/>
    </row>
    <row r="230" spans="2:53" x14ac:dyDescent="0.2">
      <c r="B230" s="4263" t="s">
        <v>1069</v>
      </c>
      <c r="C230" s="4263"/>
      <c r="D230" s="4263"/>
      <c r="E230" s="4263"/>
      <c r="F230" s="4263"/>
      <c r="G230" s="4263"/>
      <c r="H230" s="4263"/>
      <c r="I230" s="4263"/>
      <c r="J230" s="4263"/>
      <c r="M230" s="4263" t="s">
        <v>1069</v>
      </c>
      <c r="N230" s="4263"/>
      <c r="O230" s="4263"/>
      <c r="P230" s="4263"/>
      <c r="Q230" s="4263"/>
      <c r="R230" s="4263"/>
      <c r="S230" s="4263"/>
      <c r="T230" s="4263"/>
      <c r="U230" s="4263"/>
      <c r="X230" s="4263" t="s">
        <v>1069</v>
      </c>
      <c r="Y230" s="4263"/>
      <c r="Z230" s="4263"/>
      <c r="AA230" s="4263"/>
      <c r="AB230" s="4263"/>
      <c r="AC230" s="4263"/>
      <c r="AD230" s="4263"/>
      <c r="AE230" s="4263"/>
      <c r="AF230" s="4263"/>
      <c r="AI230" s="4263" t="s">
        <v>1069</v>
      </c>
      <c r="AJ230" s="4263"/>
      <c r="AK230" s="4263"/>
      <c r="AL230" s="4263"/>
      <c r="AM230" s="4263"/>
      <c r="AN230" s="4263"/>
      <c r="AO230" s="4263"/>
      <c r="AP230" s="4263"/>
      <c r="AQ230" s="4263"/>
      <c r="AS230" s="4263" t="s">
        <v>1069</v>
      </c>
      <c r="AT230" s="4263"/>
      <c r="AU230" s="4263"/>
      <c r="AV230" s="4263"/>
      <c r="AW230" s="4263"/>
      <c r="AX230" s="4263"/>
      <c r="AY230" s="4263"/>
      <c r="AZ230" s="4263"/>
      <c r="BA230" s="4263"/>
    </row>
    <row r="231" spans="2:53" x14ac:dyDescent="0.2">
      <c r="B231" s="4270" t="s">
        <v>183</v>
      </c>
      <c r="C231" s="4270"/>
      <c r="D231" s="4270"/>
      <c r="E231" s="4270"/>
      <c r="F231" s="4270"/>
      <c r="G231" s="4270"/>
      <c r="H231" s="4270"/>
      <c r="I231" s="4270"/>
      <c r="J231" s="4270"/>
      <c r="M231" s="4270" t="s">
        <v>183</v>
      </c>
      <c r="N231" s="4270"/>
      <c r="O231" s="4270"/>
      <c r="P231" s="4270"/>
      <c r="Q231" s="4270"/>
      <c r="R231" s="4270"/>
      <c r="S231" s="4270"/>
      <c r="T231" s="4270"/>
      <c r="U231" s="4270"/>
      <c r="X231" s="4270" t="s">
        <v>183</v>
      </c>
      <c r="Y231" s="4270"/>
      <c r="Z231" s="4270"/>
      <c r="AA231" s="4270"/>
      <c r="AB231" s="4270"/>
      <c r="AC231" s="4270"/>
      <c r="AD231" s="4270"/>
      <c r="AE231" s="4270"/>
      <c r="AF231" s="4270"/>
      <c r="AI231" s="4264" t="s">
        <v>183</v>
      </c>
      <c r="AJ231" s="4264"/>
      <c r="AK231" s="4264"/>
      <c r="AL231" s="4264"/>
      <c r="AM231" s="4264"/>
      <c r="AN231" s="4264"/>
      <c r="AO231" s="4264"/>
      <c r="AP231" s="4264"/>
      <c r="AQ231" s="4264"/>
      <c r="AS231" s="4264" t="s">
        <v>183</v>
      </c>
      <c r="AT231" s="4264"/>
      <c r="AU231" s="4264"/>
      <c r="AV231" s="4264"/>
      <c r="AW231" s="4264"/>
      <c r="AX231" s="4264"/>
      <c r="AY231" s="4264"/>
      <c r="AZ231" s="4264"/>
      <c r="BA231" s="4264"/>
    </row>
    <row r="232" spans="2:53" x14ac:dyDescent="0.2">
      <c r="B232" s="3949"/>
      <c r="M232" s="3949"/>
      <c r="X232" s="3949"/>
      <c r="Y232" s="81"/>
      <c r="Z232" s="81"/>
      <c r="AA232" s="81"/>
      <c r="AB232" s="81"/>
      <c r="AC232" s="81"/>
      <c r="AD232" s="81"/>
      <c r="AE232" s="81"/>
      <c r="AF232" s="81"/>
      <c r="AI232" s="3949"/>
      <c r="AJ232" s="81"/>
      <c r="AK232" s="81"/>
      <c r="AL232" s="81"/>
      <c r="AM232" s="81"/>
      <c r="AN232" s="81"/>
      <c r="AO232" s="81"/>
      <c r="AP232" s="81"/>
      <c r="AQ232" s="81"/>
      <c r="AS232" s="3949"/>
      <c r="AT232" s="81"/>
      <c r="AU232" s="81"/>
      <c r="AV232" s="81"/>
      <c r="AW232" s="81"/>
      <c r="AX232" s="81"/>
      <c r="AY232" s="81"/>
      <c r="AZ232" s="81"/>
      <c r="BA232" s="81"/>
    </row>
    <row r="233" spans="2:53" x14ac:dyDescent="0.2">
      <c r="B233" s="88" t="s">
        <v>740</v>
      </c>
      <c r="M233" s="88" t="s">
        <v>741</v>
      </c>
      <c r="X233" s="88" t="s">
        <v>478</v>
      </c>
      <c r="Y233" s="81"/>
      <c r="Z233" s="81"/>
      <c r="AA233" s="81"/>
      <c r="AB233" s="81"/>
      <c r="AC233" s="81"/>
      <c r="AD233" s="81"/>
      <c r="AE233" s="81"/>
      <c r="AF233" s="81"/>
      <c r="AI233" s="88" t="s">
        <v>1987</v>
      </c>
      <c r="AJ233" s="81"/>
      <c r="AK233" s="81"/>
      <c r="AL233" s="81"/>
      <c r="AM233" s="81"/>
      <c r="AN233" s="81"/>
      <c r="AO233" s="81"/>
      <c r="AP233" s="81"/>
      <c r="AS233" s="88" t="s">
        <v>3640</v>
      </c>
      <c r="AT233" s="81"/>
      <c r="AU233" s="81"/>
      <c r="AV233" s="81"/>
      <c r="AW233" s="81"/>
      <c r="AX233" s="81"/>
      <c r="AY233" s="81"/>
      <c r="AZ233" s="81"/>
    </row>
    <row r="234" spans="2:53" ht="11.25" customHeight="1" x14ac:dyDescent="0.2">
      <c r="B234" s="4258" t="s">
        <v>161</v>
      </c>
      <c r="C234" s="4258" t="s">
        <v>778</v>
      </c>
      <c r="D234" s="4258" t="s">
        <v>0</v>
      </c>
      <c r="E234" s="4260" t="s">
        <v>186</v>
      </c>
      <c r="F234" s="4261"/>
      <c r="G234" s="4261"/>
      <c r="H234" s="4261"/>
      <c r="I234" s="4262"/>
      <c r="M234" s="4258" t="s">
        <v>161</v>
      </c>
      <c r="N234" s="4258" t="s">
        <v>778</v>
      </c>
      <c r="O234" s="4258" t="s">
        <v>0</v>
      </c>
      <c r="P234" s="4260" t="s">
        <v>186</v>
      </c>
      <c r="Q234" s="4261"/>
      <c r="R234" s="4261"/>
      <c r="S234" s="4261"/>
      <c r="T234" s="4262"/>
      <c r="X234" s="4258" t="s">
        <v>161</v>
      </c>
      <c r="Y234" s="4258" t="s">
        <v>778</v>
      </c>
      <c r="Z234" s="4258" t="s">
        <v>0</v>
      </c>
      <c r="AA234" s="4260" t="s">
        <v>186</v>
      </c>
      <c r="AB234" s="4261"/>
      <c r="AC234" s="4261"/>
      <c r="AD234" s="4261"/>
      <c r="AE234" s="4262"/>
      <c r="AF234" s="81"/>
      <c r="AI234" s="4258" t="s">
        <v>161</v>
      </c>
      <c r="AJ234" s="4258" t="s">
        <v>778</v>
      </c>
      <c r="AK234" s="4258" t="s">
        <v>0</v>
      </c>
      <c r="AL234" s="4260" t="s">
        <v>186</v>
      </c>
      <c r="AM234" s="4261"/>
      <c r="AN234" s="4261"/>
      <c r="AO234" s="4261"/>
      <c r="AP234" s="4262"/>
      <c r="AS234" s="4258" t="s">
        <v>161</v>
      </c>
      <c r="AT234" s="4258" t="s">
        <v>778</v>
      </c>
      <c r="AU234" s="4258" t="s">
        <v>0</v>
      </c>
      <c r="AV234" s="4260" t="s">
        <v>186</v>
      </c>
      <c r="AW234" s="4261"/>
      <c r="AX234" s="4261"/>
      <c r="AY234" s="4261"/>
      <c r="AZ234" s="4262"/>
    </row>
    <row r="235" spans="2:53" x14ac:dyDescent="0.2">
      <c r="B235" s="4259"/>
      <c r="C235" s="4259"/>
      <c r="D235" s="4259"/>
      <c r="E235" s="3948" t="s">
        <v>743</v>
      </c>
      <c r="F235" s="3948" t="s">
        <v>744</v>
      </c>
      <c r="G235" s="3948" t="s">
        <v>745</v>
      </c>
      <c r="H235" s="3948" t="s">
        <v>746</v>
      </c>
      <c r="I235" s="3948" t="s">
        <v>747</v>
      </c>
      <c r="M235" s="4259"/>
      <c r="N235" s="4259"/>
      <c r="O235" s="4259"/>
      <c r="P235" s="3948" t="s">
        <v>743</v>
      </c>
      <c r="Q235" s="3948" t="s">
        <v>744</v>
      </c>
      <c r="R235" s="3948" t="s">
        <v>745</v>
      </c>
      <c r="S235" s="3948" t="s">
        <v>746</v>
      </c>
      <c r="T235" s="3948" t="s">
        <v>747</v>
      </c>
      <c r="X235" s="4259"/>
      <c r="Y235" s="4259"/>
      <c r="Z235" s="4259"/>
      <c r="AA235" s="3948" t="s">
        <v>743</v>
      </c>
      <c r="AB235" s="3948" t="s">
        <v>744</v>
      </c>
      <c r="AC235" s="3948" t="s">
        <v>745</v>
      </c>
      <c r="AD235" s="3948" t="s">
        <v>746</v>
      </c>
      <c r="AE235" s="3948" t="s">
        <v>747</v>
      </c>
      <c r="AF235" s="81"/>
      <c r="AI235" s="4259"/>
      <c r="AJ235" s="4259"/>
      <c r="AK235" s="4259"/>
      <c r="AL235" s="3948" t="s">
        <v>743</v>
      </c>
      <c r="AM235" s="3948" t="s">
        <v>744</v>
      </c>
      <c r="AN235" s="3948" t="s">
        <v>745</v>
      </c>
      <c r="AO235" s="3948" t="s">
        <v>746</v>
      </c>
      <c r="AP235" s="3948" t="s">
        <v>747</v>
      </c>
      <c r="AS235" s="4259"/>
      <c r="AT235" s="4259"/>
      <c r="AU235" s="4259"/>
      <c r="AV235" s="3948" t="s">
        <v>743</v>
      </c>
      <c r="AW235" s="3948" t="s">
        <v>744</v>
      </c>
      <c r="AX235" s="3948" t="s">
        <v>745</v>
      </c>
      <c r="AY235" s="3948" t="s">
        <v>746</v>
      </c>
      <c r="AZ235" s="3948" t="s">
        <v>747</v>
      </c>
    </row>
    <row r="236" spans="2:53" x14ac:dyDescent="0.2">
      <c r="B236" s="89" t="s">
        <v>491</v>
      </c>
      <c r="C236" s="85" t="s">
        <v>844</v>
      </c>
      <c r="D236" s="85">
        <f>SUM(E236:I236)</f>
        <v>358</v>
      </c>
      <c r="E236" s="85">
        <v>1</v>
      </c>
      <c r="F236" s="85">
        <v>13</v>
      </c>
      <c r="G236" s="85">
        <v>116</v>
      </c>
      <c r="H236" s="85">
        <v>150</v>
      </c>
      <c r="I236" s="85">
        <v>78</v>
      </c>
      <c r="M236" s="89" t="s">
        <v>491</v>
      </c>
      <c r="N236" s="85" t="s">
        <v>844</v>
      </c>
      <c r="O236" s="85">
        <f>SUM(P236:T236)</f>
        <v>180</v>
      </c>
      <c r="P236" s="85">
        <v>1</v>
      </c>
      <c r="Q236" s="85">
        <v>7</v>
      </c>
      <c r="R236" s="85">
        <v>58</v>
      </c>
      <c r="S236" s="85">
        <v>75</v>
      </c>
      <c r="T236" s="85">
        <v>39</v>
      </c>
      <c r="X236" s="89" t="s">
        <v>491</v>
      </c>
      <c r="Y236" s="85" t="s">
        <v>844</v>
      </c>
      <c r="Z236" s="85">
        <f>SUM(AA236:AE236)</f>
        <v>30285</v>
      </c>
      <c r="AA236" s="97">
        <v>0</v>
      </c>
      <c r="AB236" s="97">
        <v>417</v>
      </c>
      <c r="AC236" s="97">
        <v>4974</v>
      </c>
      <c r="AD236" s="97">
        <v>11266</v>
      </c>
      <c r="AE236" s="97">
        <v>13628</v>
      </c>
      <c r="AF236" s="81"/>
      <c r="AI236" s="89" t="s">
        <v>491</v>
      </c>
      <c r="AJ236" s="85" t="s">
        <v>510</v>
      </c>
      <c r="AK236" s="85">
        <f>SUM(AL236:AP236)</f>
        <v>137</v>
      </c>
      <c r="AL236" s="85">
        <v>2</v>
      </c>
      <c r="AM236" s="85">
        <v>42</v>
      </c>
      <c r="AN236" s="85">
        <v>12</v>
      </c>
      <c r="AO236" s="85">
        <v>55</v>
      </c>
      <c r="AP236" s="85">
        <v>26</v>
      </c>
      <c r="AS236" s="89" t="s">
        <v>491</v>
      </c>
      <c r="AT236" s="85" t="s">
        <v>510</v>
      </c>
      <c r="AU236" s="85">
        <f>SUM(AV236:AZ236)</f>
        <v>27</v>
      </c>
      <c r="AV236" s="85">
        <v>0</v>
      </c>
      <c r="AW236" s="85">
        <v>3</v>
      </c>
      <c r="AX236" s="85">
        <v>6</v>
      </c>
      <c r="AY236" s="85">
        <v>10</v>
      </c>
      <c r="AZ236" s="85">
        <v>8</v>
      </c>
    </row>
    <row r="237" spans="2:53" x14ac:dyDescent="0.2">
      <c r="B237" s="89" t="s">
        <v>497</v>
      </c>
      <c r="C237" s="85" t="s">
        <v>779</v>
      </c>
      <c r="D237" s="85">
        <f t="shared" ref="D237:D256" si="66">SUM(E237:I237)</f>
        <v>219</v>
      </c>
      <c r="E237" s="85">
        <v>0</v>
      </c>
      <c r="F237" s="85">
        <v>10</v>
      </c>
      <c r="G237" s="85">
        <v>48</v>
      </c>
      <c r="H237" s="85">
        <v>59</v>
      </c>
      <c r="I237" s="85">
        <v>102</v>
      </c>
      <c r="M237" s="89" t="s">
        <v>497</v>
      </c>
      <c r="N237" s="85" t="s">
        <v>779</v>
      </c>
      <c r="O237" s="85">
        <f t="shared" ref="O237:O256" si="67">SUM(P237:T237)</f>
        <v>110</v>
      </c>
      <c r="P237" s="85">
        <v>0</v>
      </c>
      <c r="Q237" s="85">
        <v>5</v>
      </c>
      <c r="R237" s="85">
        <v>24</v>
      </c>
      <c r="S237" s="85">
        <v>30</v>
      </c>
      <c r="T237" s="85">
        <v>51</v>
      </c>
      <c r="X237" s="89" t="s">
        <v>497</v>
      </c>
      <c r="Y237" s="85" t="s">
        <v>779</v>
      </c>
      <c r="Z237" s="85">
        <f t="shared" ref="Z237:Z256" si="68">SUM(AA237:AE237)</f>
        <v>12751</v>
      </c>
      <c r="AA237" s="97">
        <v>0</v>
      </c>
      <c r="AB237" s="97">
        <v>192</v>
      </c>
      <c r="AC237" s="97">
        <v>2568</v>
      </c>
      <c r="AD237" s="97">
        <v>4484</v>
      </c>
      <c r="AE237" s="97">
        <v>5507</v>
      </c>
      <c r="AF237" s="81"/>
      <c r="AI237" s="89" t="s">
        <v>498</v>
      </c>
      <c r="AJ237" s="85" t="s">
        <v>1070</v>
      </c>
      <c r="AK237" s="85">
        <f t="shared" ref="AK237:AK256" si="69">SUM(AL237:AP237)</f>
        <v>76</v>
      </c>
      <c r="AL237" s="85">
        <v>2</v>
      </c>
      <c r="AM237" s="85">
        <v>23</v>
      </c>
      <c r="AN237" s="85">
        <v>21</v>
      </c>
      <c r="AO237" s="85">
        <v>20</v>
      </c>
      <c r="AP237" s="85">
        <v>10</v>
      </c>
      <c r="AS237" s="89" t="s">
        <v>498</v>
      </c>
      <c r="AT237" s="85" t="s">
        <v>1070</v>
      </c>
      <c r="AU237" s="85">
        <f t="shared" ref="AU237:AU256" si="70">SUM(AV237:AZ237)</f>
        <v>32</v>
      </c>
      <c r="AV237" s="85">
        <v>0</v>
      </c>
      <c r="AW237" s="85">
        <v>4</v>
      </c>
      <c r="AX237" s="85">
        <v>4</v>
      </c>
      <c r="AY237" s="85">
        <v>15</v>
      </c>
      <c r="AZ237" s="85">
        <v>9</v>
      </c>
    </row>
    <row r="238" spans="2:53" x14ac:dyDescent="0.2">
      <c r="B238" s="89" t="s">
        <v>498</v>
      </c>
      <c r="C238" s="85" t="s">
        <v>840</v>
      </c>
      <c r="D238" s="85">
        <f t="shared" si="66"/>
        <v>150</v>
      </c>
      <c r="E238" s="85">
        <v>2</v>
      </c>
      <c r="F238" s="85">
        <v>9</v>
      </c>
      <c r="G238" s="85">
        <v>55</v>
      </c>
      <c r="H238" s="85">
        <v>58</v>
      </c>
      <c r="I238" s="85">
        <v>26</v>
      </c>
      <c r="M238" s="89" t="s">
        <v>498</v>
      </c>
      <c r="N238" s="85" t="s">
        <v>840</v>
      </c>
      <c r="O238" s="85">
        <f t="shared" si="67"/>
        <v>76</v>
      </c>
      <c r="P238" s="85">
        <v>1</v>
      </c>
      <c r="Q238" s="85">
        <v>5</v>
      </c>
      <c r="R238" s="85">
        <v>28</v>
      </c>
      <c r="S238" s="85">
        <v>29</v>
      </c>
      <c r="T238" s="85">
        <v>13</v>
      </c>
      <c r="X238" s="89" t="s">
        <v>498</v>
      </c>
      <c r="Y238" s="85" t="s">
        <v>840</v>
      </c>
      <c r="Z238" s="85">
        <f t="shared" si="68"/>
        <v>5882</v>
      </c>
      <c r="AA238" s="97">
        <v>0</v>
      </c>
      <c r="AB238" s="97">
        <v>111</v>
      </c>
      <c r="AC238" s="97">
        <v>829</v>
      </c>
      <c r="AD238" s="97">
        <v>1879</v>
      </c>
      <c r="AE238" s="97">
        <v>3063</v>
      </c>
      <c r="AF238" s="81"/>
      <c r="AI238" s="89" t="s">
        <v>497</v>
      </c>
      <c r="AJ238" s="85" t="s">
        <v>1071</v>
      </c>
      <c r="AK238" s="85">
        <f t="shared" si="69"/>
        <v>89</v>
      </c>
      <c r="AL238" s="85">
        <v>0</v>
      </c>
      <c r="AM238" s="85">
        <v>10</v>
      </c>
      <c r="AN238" s="85">
        <v>36</v>
      </c>
      <c r="AO238" s="85">
        <v>20</v>
      </c>
      <c r="AP238" s="85">
        <v>23</v>
      </c>
      <c r="AS238" s="89" t="s">
        <v>497</v>
      </c>
      <c r="AT238" s="85" t="s">
        <v>1071</v>
      </c>
      <c r="AU238" s="85">
        <f t="shared" si="70"/>
        <v>487</v>
      </c>
      <c r="AV238" s="85">
        <v>1</v>
      </c>
      <c r="AW238" s="85">
        <v>8</v>
      </c>
      <c r="AX238" s="85">
        <v>31</v>
      </c>
      <c r="AY238" s="85">
        <v>130</v>
      </c>
      <c r="AZ238" s="85">
        <v>317</v>
      </c>
    </row>
    <row r="239" spans="2:53" x14ac:dyDescent="0.2">
      <c r="B239" s="89" t="s">
        <v>919</v>
      </c>
      <c r="C239" s="85" t="s">
        <v>911</v>
      </c>
      <c r="D239" s="85">
        <f t="shared" si="66"/>
        <v>113</v>
      </c>
      <c r="E239" s="85">
        <v>0</v>
      </c>
      <c r="F239" s="85">
        <v>14</v>
      </c>
      <c r="G239" s="85">
        <v>64</v>
      </c>
      <c r="H239" s="85">
        <v>34</v>
      </c>
      <c r="I239" s="85">
        <v>1</v>
      </c>
      <c r="M239" s="89" t="s">
        <v>944</v>
      </c>
      <c r="N239" s="85" t="s">
        <v>1072</v>
      </c>
      <c r="O239" s="85">
        <f t="shared" si="67"/>
        <v>57</v>
      </c>
      <c r="P239" s="85">
        <v>0</v>
      </c>
      <c r="Q239" s="85">
        <v>7</v>
      </c>
      <c r="R239" s="85">
        <v>32</v>
      </c>
      <c r="S239" s="85">
        <v>17</v>
      </c>
      <c r="T239" s="85">
        <v>1</v>
      </c>
      <c r="X239" s="89" t="s">
        <v>944</v>
      </c>
      <c r="Y239" s="85" t="s">
        <v>1072</v>
      </c>
      <c r="Z239" s="85">
        <f t="shared" si="68"/>
        <v>3546</v>
      </c>
      <c r="AA239" s="97">
        <v>0</v>
      </c>
      <c r="AB239" s="97">
        <v>0</v>
      </c>
      <c r="AC239" s="97">
        <v>47</v>
      </c>
      <c r="AD239" s="97">
        <v>1346</v>
      </c>
      <c r="AE239" s="97">
        <v>2153</v>
      </c>
      <c r="AF239" s="81"/>
      <c r="AI239" s="89" t="s">
        <v>797</v>
      </c>
      <c r="AJ239" s="85" t="s">
        <v>1073</v>
      </c>
      <c r="AK239" s="85">
        <f t="shared" si="69"/>
        <v>127</v>
      </c>
      <c r="AL239" s="85">
        <v>1</v>
      </c>
      <c r="AM239" s="85">
        <v>21</v>
      </c>
      <c r="AN239" s="85">
        <v>47</v>
      </c>
      <c r="AO239" s="85">
        <v>2</v>
      </c>
      <c r="AP239" s="85">
        <v>56</v>
      </c>
      <c r="AS239" s="89" t="s">
        <v>797</v>
      </c>
      <c r="AT239" s="85" t="s">
        <v>1073</v>
      </c>
      <c r="AU239" s="85">
        <f t="shared" si="70"/>
        <v>61</v>
      </c>
      <c r="AV239" s="85">
        <v>0</v>
      </c>
      <c r="AW239" s="85">
        <v>0</v>
      </c>
      <c r="AX239" s="85">
        <v>1</v>
      </c>
      <c r="AY239" s="85">
        <v>31</v>
      </c>
      <c r="AZ239" s="85">
        <v>29</v>
      </c>
    </row>
    <row r="240" spans="2:53" x14ac:dyDescent="0.2">
      <c r="B240" s="89" t="s">
        <v>493</v>
      </c>
      <c r="C240" s="85" t="s">
        <v>1074</v>
      </c>
      <c r="D240" s="85">
        <f t="shared" si="66"/>
        <v>61</v>
      </c>
      <c r="E240" s="85">
        <v>1</v>
      </c>
      <c r="F240" s="85">
        <v>1</v>
      </c>
      <c r="G240" s="85">
        <v>28</v>
      </c>
      <c r="H240" s="85">
        <v>23</v>
      </c>
      <c r="I240" s="85">
        <v>8</v>
      </c>
      <c r="M240" s="89" t="s">
        <v>1075</v>
      </c>
      <c r="N240" s="85" t="s">
        <v>1076</v>
      </c>
      <c r="O240" s="85">
        <f t="shared" si="67"/>
        <v>32</v>
      </c>
      <c r="P240" s="85">
        <v>1</v>
      </c>
      <c r="Q240" s="85">
        <v>1</v>
      </c>
      <c r="R240" s="85">
        <v>14</v>
      </c>
      <c r="S240" s="85">
        <v>12</v>
      </c>
      <c r="T240" s="85">
        <v>4</v>
      </c>
      <c r="X240" s="89" t="s">
        <v>1075</v>
      </c>
      <c r="Y240" s="85" t="s">
        <v>1076</v>
      </c>
      <c r="Z240" s="85">
        <f t="shared" si="68"/>
        <v>3066</v>
      </c>
      <c r="AA240" s="97">
        <v>0</v>
      </c>
      <c r="AB240" s="97">
        <v>77</v>
      </c>
      <c r="AC240" s="97">
        <v>959</v>
      </c>
      <c r="AD240" s="97">
        <v>1587</v>
      </c>
      <c r="AE240" s="97">
        <v>443</v>
      </c>
      <c r="AF240" s="81"/>
      <c r="AI240" s="89" t="s">
        <v>1075</v>
      </c>
      <c r="AJ240" s="85" t="s">
        <v>1077</v>
      </c>
      <c r="AK240" s="85">
        <f t="shared" si="69"/>
        <v>135</v>
      </c>
      <c r="AL240" s="85">
        <v>0</v>
      </c>
      <c r="AM240" s="85">
        <v>77</v>
      </c>
      <c r="AN240" s="85">
        <v>20</v>
      </c>
      <c r="AO240" s="85">
        <v>36</v>
      </c>
      <c r="AP240" s="85">
        <v>2</v>
      </c>
      <c r="AS240" s="89" t="s">
        <v>1075</v>
      </c>
      <c r="AT240" s="85" t="s">
        <v>1077</v>
      </c>
      <c r="AU240" s="85">
        <f t="shared" si="70"/>
        <v>19</v>
      </c>
      <c r="AV240" s="85">
        <v>0</v>
      </c>
      <c r="AW240" s="85">
        <v>3</v>
      </c>
      <c r="AX240" s="85">
        <v>2</v>
      </c>
      <c r="AY240" s="85">
        <v>7</v>
      </c>
      <c r="AZ240" s="85">
        <v>7</v>
      </c>
    </row>
    <row r="241" spans="2:52" x14ac:dyDescent="0.2">
      <c r="B241" s="89" t="s">
        <v>496</v>
      </c>
      <c r="C241" s="85" t="s">
        <v>799</v>
      </c>
      <c r="D241" s="85">
        <f t="shared" si="66"/>
        <v>54</v>
      </c>
      <c r="E241" s="85">
        <v>0</v>
      </c>
      <c r="F241" s="85">
        <v>3</v>
      </c>
      <c r="G241" s="85">
        <v>21</v>
      </c>
      <c r="H241" s="85">
        <v>21</v>
      </c>
      <c r="I241" s="85">
        <v>9</v>
      </c>
      <c r="M241" s="89" t="s">
        <v>1078</v>
      </c>
      <c r="N241" s="85" t="s">
        <v>1079</v>
      </c>
      <c r="O241" s="85">
        <f t="shared" si="67"/>
        <v>29</v>
      </c>
      <c r="P241" s="85">
        <v>0</v>
      </c>
      <c r="Q241" s="85">
        <v>2</v>
      </c>
      <c r="R241" s="85">
        <v>11</v>
      </c>
      <c r="S241" s="85">
        <v>11</v>
      </c>
      <c r="T241" s="85">
        <v>5</v>
      </c>
      <c r="X241" s="89" t="s">
        <v>1078</v>
      </c>
      <c r="Y241" s="85" t="s">
        <v>1079</v>
      </c>
      <c r="Z241" s="85">
        <f t="shared" si="68"/>
        <v>3030</v>
      </c>
      <c r="AA241" s="97">
        <v>0</v>
      </c>
      <c r="AB241" s="97">
        <v>0</v>
      </c>
      <c r="AC241" s="97">
        <v>18</v>
      </c>
      <c r="AD241" s="97">
        <v>274</v>
      </c>
      <c r="AE241" s="97">
        <v>2738</v>
      </c>
      <c r="AF241" s="81"/>
      <c r="AI241" s="89" t="s">
        <v>492</v>
      </c>
      <c r="AJ241" s="85" t="s">
        <v>511</v>
      </c>
      <c r="AK241" s="85">
        <f t="shared" si="69"/>
        <v>69</v>
      </c>
      <c r="AL241" s="85">
        <v>0</v>
      </c>
      <c r="AM241" s="85">
        <v>2</v>
      </c>
      <c r="AN241" s="85">
        <v>18</v>
      </c>
      <c r="AO241" s="85">
        <v>11</v>
      </c>
      <c r="AP241" s="85">
        <v>38</v>
      </c>
      <c r="AS241" s="89" t="s">
        <v>492</v>
      </c>
      <c r="AT241" s="85" t="s">
        <v>511</v>
      </c>
      <c r="AU241" s="85">
        <f t="shared" si="70"/>
        <v>8</v>
      </c>
      <c r="AV241" s="85">
        <v>0</v>
      </c>
      <c r="AW241" s="85">
        <v>0</v>
      </c>
      <c r="AX241" s="85">
        <v>0</v>
      </c>
      <c r="AY241" s="85">
        <v>1</v>
      </c>
      <c r="AZ241" s="85">
        <v>7</v>
      </c>
    </row>
    <row r="242" spans="2:52" x14ac:dyDescent="0.2">
      <c r="B242" s="89" t="s">
        <v>876</v>
      </c>
      <c r="C242" s="85" t="s">
        <v>877</v>
      </c>
      <c r="D242" s="85">
        <f t="shared" si="66"/>
        <v>51</v>
      </c>
      <c r="E242" s="85">
        <v>1</v>
      </c>
      <c r="F242" s="85">
        <v>3</v>
      </c>
      <c r="G242" s="85">
        <v>17</v>
      </c>
      <c r="H242" s="85">
        <v>22</v>
      </c>
      <c r="I242" s="85">
        <v>8</v>
      </c>
      <c r="M242" s="89" t="s">
        <v>496</v>
      </c>
      <c r="N242" s="85" t="s">
        <v>911</v>
      </c>
      <c r="O242" s="85">
        <f t="shared" si="67"/>
        <v>27</v>
      </c>
      <c r="P242" s="85">
        <v>1</v>
      </c>
      <c r="Q242" s="85">
        <v>2</v>
      </c>
      <c r="R242" s="85">
        <v>9</v>
      </c>
      <c r="S242" s="85">
        <v>11</v>
      </c>
      <c r="T242" s="85">
        <v>4</v>
      </c>
      <c r="X242" s="89" t="s">
        <v>496</v>
      </c>
      <c r="Y242" s="85" t="s">
        <v>911</v>
      </c>
      <c r="Z242" s="85">
        <f t="shared" si="68"/>
        <v>2790</v>
      </c>
      <c r="AA242" s="97">
        <v>11</v>
      </c>
      <c r="AB242" s="97">
        <v>61</v>
      </c>
      <c r="AC242" s="97">
        <v>628</v>
      </c>
      <c r="AD242" s="97">
        <v>1309</v>
      </c>
      <c r="AE242" s="97">
        <v>781</v>
      </c>
      <c r="AF242" s="81"/>
      <c r="AI242" s="89" t="s">
        <v>1078</v>
      </c>
      <c r="AJ242" s="85" t="s">
        <v>1080</v>
      </c>
      <c r="AK242" s="85">
        <f t="shared" si="69"/>
        <v>120</v>
      </c>
      <c r="AL242" s="85">
        <v>2</v>
      </c>
      <c r="AM242" s="85">
        <v>61</v>
      </c>
      <c r="AN242" s="85">
        <v>28</v>
      </c>
      <c r="AO242" s="85">
        <v>19</v>
      </c>
      <c r="AP242" s="85">
        <v>10</v>
      </c>
      <c r="AS242" s="89" t="s">
        <v>1078</v>
      </c>
      <c r="AT242" s="85" t="s">
        <v>1080</v>
      </c>
      <c r="AU242" s="85">
        <f t="shared" si="70"/>
        <v>36</v>
      </c>
      <c r="AV242" s="85">
        <v>1</v>
      </c>
      <c r="AW242" s="85">
        <v>1</v>
      </c>
      <c r="AX242" s="85">
        <v>5</v>
      </c>
      <c r="AY242" s="85">
        <v>18</v>
      </c>
      <c r="AZ242" s="85">
        <v>11</v>
      </c>
    </row>
    <row r="243" spans="2:52" x14ac:dyDescent="0.2">
      <c r="B243" s="89" t="s">
        <v>883</v>
      </c>
      <c r="C243" s="85" t="s">
        <v>1081</v>
      </c>
      <c r="D243" s="85">
        <f t="shared" si="66"/>
        <v>51</v>
      </c>
      <c r="E243" s="85">
        <v>0</v>
      </c>
      <c r="F243" s="85">
        <v>0</v>
      </c>
      <c r="G243" s="85">
        <v>2</v>
      </c>
      <c r="H243" s="85">
        <v>16</v>
      </c>
      <c r="I243" s="85">
        <v>33</v>
      </c>
      <c r="M243" s="89" t="s">
        <v>919</v>
      </c>
      <c r="N243" s="85" t="s">
        <v>799</v>
      </c>
      <c r="O243" s="85">
        <f t="shared" si="67"/>
        <v>26</v>
      </c>
      <c r="P243" s="85">
        <v>0</v>
      </c>
      <c r="Q243" s="85">
        <v>0</v>
      </c>
      <c r="R243" s="85">
        <v>1</v>
      </c>
      <c r="S243" s="85">
        <v>8</v>
      </c>
      <c r="T243" s="85">
        <v>17</v>
      </c>
      <c r="X243" s="89" t="s">
        <v>919</v>
      </c>
      <c r="Y243" s="85" t="s">
        <v>799</v>
      </c>
      <c r="Z243" s="85">
        <f t="shared" si="68"/>
        <v>2721</v>
      </c>
      <c r="AA243" s="97">
        <v>0</v>
      </c>
      <c r="AB243" s="97">
        <v>81</v>
      </c>
      <c r="AC243" s="97">
        <v>590</v>
      </c>
      <c r="AD243" s="97">
        <v>1119</v>
      </c>
      <c r="AE243" s="97">
        <v>931</v>
      </c>
      <c r="AF243" s="81"/>
      <c r="AI243" s="89" t="s">
        <v>493</v>
      </c>
      <c r="AJ243" s="85" t="s">
        <v>1082</v>
      </c>
      <c r="AK243" s="85">
        <f t="shared" si="69"/>
        <v>144</v>
      </c>
      <c r="AL243" s="85">
        <v>3</v>
      </c>
      <c r="AM243" s="85">
        <v>81</v>
      </c>
      <c r="AN243" s="85">
        <v>10</v>
      </c>
      <c r="AO243" s="85">
        <v>19</v>
      </c>
      <c r="AP243" s="85">
        <v>31</v>
      </c>
      <c r="AS243" s="89" t="s">
        <v>493</v>
      </c>
      <c r="AT243" s="85" t="s">
        <v>1082</v>
      </c>
      <c r="AU243" s="85">
        <f t="shared" si="70"/>
        <v>113</v>
      </c>
      <c r="AV243" s="85">
        <v>0</v>
      </c>
      <c r="AW243" s="85">
        <v>3</v>
      </c>
      <c r="AX243" s="85">
        <v>18</v>
      </c>
      <c r="AY243" s="85">
        <v>50</v>
      </c>
      <c r="AZ243" s="85">
        <v>42</v>
      </c>
    </row>
    <row r="244" spans="2:52" x14ac:dyDescent="0.2">
      <c r="B244" s="89" t="s">
        <v>1078</v>
      </c>
      <c r="C244" s="85" t="s">
        <v>1079</v>
      </c>
      <c r="D244" s="85">
        <f t="shared" si="66"/>
        <v>48</v>
      </c>
      <c r="E244" s="85">
        <v>0</v>
      </c>
      <c r="F244" s="85">
        <v>0</v>
      </c>
      <c r="G244" s="85">
        <v>0</v>
      </c>
      <c r="H244" s="85">
        <v>4</v>
      </c>
      <c r="I244" s="85">
        <v>44</v>
      </c>
      <c r="M244" s="89" t="s">
        <v>492</v>
      </c>
      <c r="N244" s="85" t="s">
        <v>783</v>
      </c>
      <c r="O244" s="85">
        <f t="shared" si="67"/>
        <v>24</v>
      </c>
      <c r="P244" s="85">
        <v>0</v>
      </c>
      <c r="Q244" s="85">
        <v>0</v>
      </c>
      <c r="R244" s="85">
        <v>0</v>
      </c>
      <c r="S244" s="85">
        <v>2</v>
      </c>
      <c r="T244" s="85">
        <v>22</v>
      </c>
      <c r="X244" s="89" t="s">
        <v>492</v>
      </c>
      <c r="Y244" s="85" t="s">
        <v>783</v>
      </c>
      <c r="Z244" s="85">
        <f t="shared" si="68"/>
        <v>2534</v>
      </c>
      <c r="AA244" s="97">
        <v>0</v>
      </c>
      <c r="AB244" s="97">
        <v>0</v>
      </c>
      <c r="AC244" s="97">
        <v>19</v>
      </c>
      <c r="AD244" s="97">
        <v>513</v>
      </c>
      <c r="AE244" s="97">
        <v>2002</v>
      </c>
      <c r="AF244" s="81"/>
      <c r="AI244" s="89" t="s">
        <v>496</v>
      </c>
      <c r="AJ244" s="85" t="s">
        <v>1083</v>
      </c>
      <c r="AK244" s="85">
        <f t="shared" si="69"/>
        <v>77</v>
      </c>
      <c r="AL244" s="85">
        <v>0</v>
      </c>
      <c r="AM244" s="85">
        <v>0</v>
      </c>
      <c r="AN244" s="85">
        <v>19</v>
      </c>
      <c r="AO244" s="85">
        <v>56</v>
      </c>
      <c r="AP244" s="85">
        <v>2</v>
      </c>
      <c r="AS244" s="89" t="s">
        <v>496</v>
      </c>
      <c r="AT244" s="85" t="s">
        <v>1083</v>
      </c>
      <c r="AU244" s="85">
        <f t="shared" si="70"/>
        <v>58</v>
      </c>
      <c r="AV244" s="85">
        <v>0</v>
      </c>
      <c r="AW244" s="85">
        <v>0</v>
      </c>
      <c r="AX244" s="85">
        <v>1</v>
      </c>
      <c r="AY244" s="85">
        <v>9</v>
      </c>
      <c r="AZ244" s="85">
        <v>48</v>
      </c>
    </row>
    <row r="245" spans="2:52" x14ac:dyDescent="0.2">
      <c r="B245" s="89" t="s">
        <v>1084</v>
      </c>
      <c r="C245" s="85" t="s">
        <v>1085</v>
      </c>
      <c r="D245" s="85">
        <f t="shared" si="66"/>
        <v>43</v>
      </c>
      <c r="E245" s="85">
        <v>0</v>
      </c>
      <c r="F245" s="85">
        <v>1</v>
      </c>
      <c r="G245" s="85">
        <v>11</v>
      </c>
      <c r="H245" s="85">
        <v>23</v>
      </c>
      <c r="I245" s="85">
        <v>8</v>
      </c>
      <c r="M245" s="89" t="s">
        <v>1084</v>
      </c>
      <c r="N245" s="85" t="s">
        <v>1085</v>
      </c>
      <c r="O245" s="85">
        <f t="shared" si="67"/>
        <v>23</v>
      </c>
      <c r="P245" s="85">
        <v>0</v>
      </c>
      <c r="Q245" s="85">
        <v>1</v>
      </c>
      <c r="R245" s="85">
        <v>6</v>
      </c>
      <c r="S245" s="85">
        <v>12</v>
      </c>
      <c r="T245" s="85">
        <v>4</v>
      </c>
      <c r="X245" s="89" t="s">
        <v>1084</v>
      </c>
      <c r="Y245" s="85" t="s">
        <v>1085</v>
      </c>
      <c r="Z245" s="85">
        <f t="shared" si="68"/>
        <v>2349</v>
      </c>
      <c r="AA245" s="97">
        <v>0</v>
      </c>
      <c r="AB245" s="97">
        <v>80</v>
      </c>
      <c r="AC245" s="97">
        <v>494</v>
      </c>
      <c r="AD245" s="97">
        <v>1245</v>
      </c>
      <c r="AE245" s="97">
        <v>530</v>
      </c>
      <c r="AF245" s="81"/>
      <c r="AI245" s="89" t="s">
        <v>999</v>
      </c>
      <c r="AJ245" s="85" t="s">
        <v>1086</v>
      </c>
      <c r="AK245" s="85">
        <f t="shared" si="69"/>
        <v>63</v>
      </c>
      <c r="AL245" s="85">
        <v>0</v>
      </c>
      <c r="AM245" s="85">
        <v>2</v>
      </c>
      <c r="AN245" s="85">
        <v>10</v>
      </c>
      <c r="AO245" s="85">
        <v>21</v>
      </c>
      <c r="AP245" s="85">
        <v>30</v>
      </c>
      <c r="AS245" s="89" t="s">
        <v>999</v>
      </c>
      <c r="AT245" s="85" t="s">
        <v>1086</v>
      </c>
      <c r="AU245" s="85">
        <f t="shared" si="70"/>
        <v>1</v>
      </c>
      <c r="AV245" s="85">
        <v>0</v>
      </c>
      <c r="AW245" s="85">
        <v>1</v>
      </c>
      <c r="AX245" s="85">
        <v>0</v>
      </c>
      <c r="AY245" s="85">
        <v>0</v>
      </c>
      <c r="AZ245" s="85">
        <v>0</v>
      </c>
    </row>
    <row r="246" spans="2:52" x14ac:dyDescent="0.2">
      <c r="B246" s="89" t="s">
        <v>805</v>
      </c>
      <c r="C246" s="85" t="s">
        <v>806</v>
      </c>
      <c r="D246" s="85">
        <f t="shared" si="66"/>
        <v>41</v>
      </c>
      <c r="E246" s="85">
        <v>0</v>
      </c>
      <c r="F246" s="85">
        <v>1</v>
      </c>
      <c r="G246" s="85">
        <v>15</v>
      </c>
      <c r="H246" s="85">
        <v>17</v>
      </c>
      <c r="I246" s="85">
        <v>8</v>
      </c>
      <c r="M246" s="89" t="s">
        <v>901</v>
      </c>
      <c r="N246" s="85" t="s">
        <v>902</v>
      </c>
      <c r="O246" s="85">
        <f t="shared" si="67"/>
        <v>22</v>
      </c>
      <c r="P246" s="85">
        <v>0</v>
      </c>
      <c r="Q246" s="85">
        <v>1</v>
      </c>
      <c r="R246" s="85">
        <v>8</v>
      </c>
      <c r="S246" s="85">
        <v>9</v>
      </c>
      <c r="T246" s="85">
        <v>4</v>
      </c>
      <c r="X246" s="89" t="s">
        <v>901</v>
      </c>
      <c r="Y246" s="85" t="s">
        <v>902</v>
      </c>
      <c r="Z246" s="85">
        <f t="shared" si="68"/>
        <v>2248</v>
      </c>
      <c r="AA246" s="97">
        <v>0</v>
      </c>
      <c r="AB246" s="97">
        <v>49</v>
      </c>
      <c r="AC246" s="97">
        <v>258</v>
      </c>
      <c r="AD246" s="97">
        <v>850</v>
      </c>
      <c r="AE246" s="97">
        <v>1091</v>
      </c>
      <c r="AF246" s="81"/>
      <c r="AI246" s="89" t="s">
        <v>1053</v>
      </c>
      <c r="AJ246" s="85" t="s">
        <v>1087</v>
      </c>
      <c r="AK246" s="85">
        <f t="shared" si="69"/>
        <v>121</v>
      </c>
      <c r="AL246" s="85">
        <v>0</v>
      </c>
      <c r="AM246" s="85">
        <v>3</v>
      </c>
      <c r="AN246" s="85">
        <v>58</v>
      </c>
      <c r="AO246" s="85">
        <v>50</v>
      </c>
      <c r="AP246" s="85">
        <v>10</v>
      </c>
      <c r="AS246" s="89" t="s">
        <v>1053</v>
      </c>
      <c r="AT246" s="85" t="s">
        <v>1087</v>
      </c>
      <c r="AU246" s="85">
        <f t="shared" si="70"/>
        <v>48</v>
      </c>
      <c r="AV246" s="85">
        <v>0</v>
      </c>
      <c r="AW246" s="85">
        <v>0</v>
      </c>
      <c r="AX246" s="85">
        <v>8</v>
      </c>
      <c r="AY246" s="85">
        <v>20</v>
      </c>
      <c r="AZ246" s="85">
        <v>20</v>
      </c>
    </row>
    <row r="247" spans="2:52" x14ac:dyDescent="0.2">
      <c r="B247" s="89" t="s">
        <v>6142</v>
      </c>
      <c r="C247" s="85" t="s">
        <v>6143</v>
      </c>
      <c r="D247" s="85">
        <f t="shared" si="66"/>
        <v>40</v>
      </c>
      <c r="E247" s="85">
        <v>0</v>
      </c>
      <c r="F247" s="85">
        <v>3</v>
      </c>
      <c r="G247" s="85">
        <v>18</v>
      </c>
      <c r="H247" s="85">
        <v>14</v>
      </c>
      <c r="I247" s="85">
        <v>5</v>
      </c>
      <c r="M247" s="89" t="s">
        <v>1088</v>
      </c>
      <c r="N247" s="85" t="s">
        <v>1089</v>
      </c>
      <c r="O247" s="85">
        <f t="shared" si="67"/>
        <v>21</v>
      </c>
      <c r="P247" s="85">
        <v>0</v>
      </c>
      <c r="Q247" s="85">
        <v>2</v>
      </c>
      <c r="R247" s="85">
        <v>9</v>
      </c>
      <c r="S247" s="85">
        <v>7</v>
      </c>
      <c r="T247" s="85">
        <v>3</v>
      </c>
      <c r="X247" s="89" t="s">
        <v>1088</v>
      </c>
      <c r="Y247" s="85" t="s">
        <v>1089</v>
      </c>
      <c r="Z247" s="85">
        <f t="shared" si="68"/>
        <v>2163</v>
      </c>
      <c r="AA247" s="97">
        <v>0</v>
      </c>
      <c r="AB247" s="97">
        <v>14</v>
      </c>
      <c r="AC247" s="97">
        <v>241</v>
      </c>
      <c r="AD247" s="97">
        <v>543</v>
      </c>
      <c r="AE247" s="97">
        <v>1365</v>
      </c>
      <c r="AF247" s="81"/>
      <c r="AI247" s="89" t="s">
        <v>853</v>
      </c>
      <c r="AJ247" s="85" t="s">
        <v>1090</v>
      </c>
      <c r="AK247" s="85">
        <f t="shared" si="69"/>
        <v>111</v>
      </c>
      <c r="AL247" s="85">
        <v>11</v>
      </c>
      <c r="AM247" s="85">
        <v>14</v>
      </c>
      <c r="AN247" s="85">
        <v>41</v>
      </c>
      <c r="AO247" s="85">
        <v>43</v>
      </c>
      <c r="AP247" s="85">
        <v>2</v>
      </c>
      <c r="AS247" s="89" t="s">
        <v>853</v>
      </c>
      <c r="AT247" s="85" t="s">
        <v>1090</v>
      </c>
      <c r="AU247" s="85">
        <f t="shared" si="70"/>
        <v>20</v>
      </c>
      <c r="AV247" s="85">
        <v>0</v>
      </c>
      <c r="AW247" s="85">
        <v>1</v>
      </c>
      <c r="AX247" s="85">
        <v>4</v>
      </c>
      <c r="AY247" s="85">
        <v>4</v>
      </c>
      <c r="AZ247" s="85">
        <v>11</v>
      </c>
    </row>
    <row r="248" spans="2:52" x14ac:dyDescent="0.2">
      <c r="B248" s="89" t="s">
        <v>1075</v>
      </c>
      <c r="C248" s="85" t="s">
        <v>1076</v>
      </c>
      <c r="D248" s="85">
        <f t="shared" si="66"/>
        <v>39</v>
      </c>
      <c r="E248" s="85">
        <v>0</v>
      </c>
      <c r="F248" s="85">
        <v>7</v>
      </c>
      <c r="G248" s="85">
        <v>13</v>
      </c>
      <c r="H248" s="85">
        <v>15</v>
      </c>
      <c r="I248" s="85">
        <v>4</v>
      </c>
      <c r="M248" s="89" t="s">
        <v>493</v>
      </c>
      <c r="N248" s="85" t="s">
        <v>1074</v>
      </c>
      <c r="O248" s="85">
        <f t="shared" si="67"/>
        <v>21</v>
      </c>
      <c r="P248" s="85">
        <v>0</v>
      </c>
      <c r="Q248" s="85">
        <v>4</v>
      </c>
      <c r="R248" s="85">
        <v>7</v>
      </c>
      <c r="S248" s="85">
        <v>8</v>
      </c>
      <c r="T248" s="85">
        <v>2</v>
      </c>
      <c r="X248" s="89" t="s">
        <v>493</v>
      </c>
      <c r="Y248" s="85" t="s">
        <v>1074</v>
      </c>
      <c r="Z248" s="85">
        <f t="shared" si="68"/>
        <v>2247</v>
      </c>
      <c r="AA248" s="97">
        <v>0</v>
      </c>
      <c r="AB248" s="97">
        <v>17</v>
      </c>
      <c r="AC248" s="97">
        <v>0</v>
      </c>
      <c r="AD248" s="97">
        <v>258</v>
      </c>
      <c r="AE248" s="97">
        <v>1972</v>
      </c>
      <c r="AF248" s="81"/>
      <c r="AI248" s="89" t="s">
        <v>502</v>
      </c>
      <c r="AJ248" s="85" t="s">
        <v>513</v>
      </c>
      <c r="AK248" s="85">
        <f t="shared" si="69"/>
        <v>110</v>
      </c>
      <c r="AL248" s="85">
        <v>23</v>
      </c>
      <c r="AM248" s="85">
        <v>17</v>
      </c>
      <c r="AN248" s="85">
        <v>10</v>
      </c>
      <c r="AO248" s="85">
        <v>58</v>
      </c>
      <c r="AP248" s="85">
        <v>2</v>
      </c>
      <c r="AS248" s="89" t="s">
        <v>502</v>
      </c>
      <c r="AT248" s="85" t="s">
        <v>513</v>
      </c>
      <c r="AU248" s="85">
        <f t="shared" si="70"/>
        <v>29</v>
      </c>
      <c r="AV248" s="85">
        <v>0</v>
      </c>
      <c r="AW248" s="85">
        <v>2</v>
      </c>
      <c r="AX248" s="85">
        <v>2</v>
      </c>
      <c r="AY248" s="85">
        <v>15</v>
      </c>
      <c r="AZ248" s="85">
        <v>10</v>
      </c>
    </row>
    <row r="249" spans="2:52" x14ac:dyDescent="0.2">
      <c r="B249" s="89" t="s">
        <v>6144</v>
      </c>
      <c r="C249" s="85" t="s">
        <v>6145</v>
      </c>
      <c r="D249" s="85">
        <f t="shared" si="66"/>
        <v>34</v>
      </c>
      <c r="E249" s="85">
        <v>2</v>
      </c>
      <c r="F249" s="85">
        <v>1</v>
      </c>
      <c r="G249" s="85">
        <v>12</v>
      </c>
      <c r="H249" s="85">
        <v>17</v>
      </c>
      <c r="I249" s="85">
        <v>2</v>
      </c>
      <c r="M249" s="89" t="s">
        <v>500</v>
      </c>
      <c r="N249" s="85" t="s">
        <v>877</v>
      </c>
      <c r="O249" s="85">
        <f t="shared" si="67"/>
        <v>18</v>
      </c>
      <c r="P249" s="85">
        <v>1</v>
      </c>
      <c r="Q249" s="85">
        <v>1</v>
      </c>
      <c r="R249" s="85">
        <v>6</v>
      </c>
      <c r="S249" s="85">
        <v>9</v>
      </c>
      <c r="T249" s="85">
        <v>1</v>
      </c>
      <c r="X249" s="89" t="s">
        <v>500</v>
      </c>
      <c r="Y249" s="85" t="s">
        <v>877</v>
      </c>
      <c r="Z249" s="85">
        <f t="shared" si="68"/>
        <v>1811</v>
      </c>
      <c r="AA249" s="97">
        <v>0</v>
      </c>
      <c r="AB249" s="97">
        <v>30</v>
      </c>
      <c r="AC249" s="97">
        <v>184</v>
      </c>
      <c r="AD249" s="97">
        <v>1043</v>
      </c>
      <c r="AE249" s="97">
        <v>554</v>
      </c>
      <c r="AF249" s="81"/>
      <c r="AI249" s="89" t="s">
        <v>1001</v>
      </c>
      <c r="AJ249" s="85" t="s">
        <v>1091</v>
      </c>
      <c r="AK249" s="85">
        <f t="shared" si="69"/>
        <v>128</v>
      </c>
      <c r="AL249" s="85">
        <v>0</v>
      </c>
      <c r="AM249" s="85">
        <v>30</v>
      </c>
      <c r="AN249" s="85">
        <v>84</v>
      </c>
      <c r="AO249" s="85">
        <v>10</v>
      </c>
      <c r="AP249" s="85">
        <v>4</v>
      </c>
      <c r="AS249" s="89" t="s">
        <v>1001</v>
      </c>
      <c r="AT249" s="85" t="s">
        <v>1091</v>
      </c>
      <c r="AU249" s="85">
        <f t="shared" si="70"/>
        <v>103</v>
      </c>
      <c r="AV249" s="85">
        <v>1</v>
      </c>
      <c r="AW249" s="85">
        <v>4</v>
      </c>
      <c r="AX249" s="85">
        <v>27</v>
      </c>
      <c r="AY249" s="85">
        <v>47</v>
      </c>
      <c r="AZ249" s="85">
        <v>24</v>
      </c>
    </row>
    <row r="250" spans="2:52" x14ac:dyDescent="0.2">
      <c r="B250" s="89" t="s">
        <v>6146</v>
      </c>
      <c r="C250" s="85" t="s">
        <v>6147</v>
      </c>
      <c r="D250" s="85">
        <f t="shared" si="66"/>
        <v>34</v>
      </c>
      <c r="E250" s="85">
        <v>4</v>
      </c>
      <c r="F250" s="85">
        <v>5</v>
      </c>
      <c r="G250" s="85">
        <v>14</v>
      </c>
      <c r="H250" s="85">
        <v>5</v>
      </c>
      <c r="I250" s="85">
        <v>6</v>
      </c>
      <c r="M250" s="89" t="s">
        <v>876</v>
      </c>
      <c r="N250" s="85" t="s">
        <v>859</v>
      </c>
      <c r="O250" s="85">
        <f t="shared" si="67"/>
        <v>18</v>
      </c>
      <c r="P250" s="85">
        <v>2</v>
      </c>
      <c r="Q250" s="85">
        <v>3</v>
      </c>
      <c r="R250" s="85">
        <v>7</v>
      </c>
      <c r="S250" s="85">
        <v>3</v>
      </c>
      <c r="T250" s="85">
        <v>3</v>
      </c>
      <c r="X250" s="89" t="s">
        <v>876</v>
      </c>
      <c r="Y250" s="85" t="s">
        <v>859</v>
      </c>
      <c r="Z250" s="85">
        <f t="shared" si="68"/>
        <v>1806</v>
      </c>
      <c r="AA250" s="97">
        <v>0</v>
      </c>
      <c r="AB250" s="97">
        <v>0</v>
      </c>
      <c r="AC250" s="97">
        <v>71</v>
      </c>
      <c r="AD250" s="97">
        <v>152</v>
      </c>
      <c r="AE250" s="97">
        <v>1583</v>
      </c>
      <c r="AF250" s="81"/>
      <c r="AI250" s="89" t="s">
        <v>501</v>
      </c>
      <c r="AJ250" s="85" t="s">
        <v>1092</v>
      </c>
      <c r="AK250" s="85">
        <f t="shared" si="69"/>
        <v>73</v>
      </c>
      <c r="AL250" s="85">
        <v>0</v>
      </c>
      <c r="AM250" s="85">
        <v>9</v>
      </c>
      <c r="AN250" s="85">
        <v>10</v>
      </c>
      <c r="AO250" s="85">
        <v>52</v>
      </c>
      <c r="AP250" s="85">
        <v>2</v>
      </c>
      <c r="AS250" s="89" t="s">
        <v>501</v>
      </c>
      <c r="AT250" s="85" t="s">
        <v>1092</v>
      </c>
      <c r="AU250" s="85">
        <f t="shared" si="70"/>
        <v>2</v>
      </c>
      <c r="AV250" s="85">
        <v>0</v>
      </c>
      <c r="AW250" s="85">
        <v>0</v>
      </c>
      <c r="AX250" s="85">
        <v>0</v>
      </c>
      <c r="AY250" s="85">
        <v>0</v>
      </c>
      <c r="AZ250" s="85">
        <v>2</v>
      </c>
    </row>
    <row r="251" spans="2:52" x14ac:dyDescent="0.2">
      <c r="B251" s="89" t="s">
        <v>6148</v>
      </c>
      <c r="C251" s="85" t="s">
        <v>6149</v>
      </c>
      <c r="D251" s="85">
        <f t="shared" si="66"/>
        <v>32</v>
      </c>
      <c r="E251" s="85">
        <v>0</v>
      </c>
      <c r="F251" s="85">
        <v>0</v>
      </c>
      <c r="G251" s="85">
        <v>9</v>
      </c>
      <c r="H251" s="85">
        <v>15</v>
      </c>
      <c r="I251" s="85">
        <v>8</v>
      </c>
      <c r="M251" s="89" t="s">
        <v>805</v>
      </c>
      <c r="N251" s="85" t="s">
        <v>806</v>
      </c>
      <c r="O251" s="85">
        <f t="shared" si="67"/>
        <v>17</v>
      </c>
      <c r="P251" s="85">
        <v>0</v>
      </c>
      <c r="Q251" s="85">
        <v>0</v>
      </c>
      <c r="R251" s="85">
        <v>5</v>
      </c>
      <c r="S251" s="85">
        <v>8</v>
      </c>
      <c r="T251" s="85">
        <v>4</v>
      </c>
      <c r="X251" s="89" t="s">
        <v>805</v>
      </c>
      <c r="Y251" s="85" t="s">
        <v>806</v>
      </c>
      <c r="Z251" s="85">
        <f t="shared" si="68"/>
        <v>1732</v>
      </c>
      <c r="AA251" s="97">
        <v>0</v>
      </c>
      <c r="AB251" s="97">
        <v>0</v>
      </c>
      <c r="AC251" s="97">
        <v>55</v>
      </c>
      <c r="AD251" s="97">
        <v>269</v>
      </c>
      <c r="AE251" s="97">
        <v>1408</v>
      </c>
      <c r="AF251" s="81"/>
      <c r="AI251" s="89" t="s">
        <v>910</v>
      </c>
      <c r="AJ251" s="85" t="s">
        <v>1093</v>
      </c>
      <c r="AK251" s="85">
        <f t="shared" si="69"/>
        <v>57</v>
      </c>
      <c r="AL251" s="85">
        <v>9</v>
      </c>
      <c r="AM251" s="85">
        <v>19</v>
      </c>
      <c r="AN251" s="85">
        <v>10</v>
      </c>
      <c r="AO251" s="85">
        <v>9</v>
      </c>
      <c r="AP251" s="85">
        <v>10</v>
      </c>
      <c r="AS251" s="89" t="s">
        <v>910</v>
      </c>
      <c r="AT251" s="85" t="s">
        <v>1093</v>
      </c>
      <c r="AU251" s="85">
        <f t="shared" si="70"/>
        <v>1</v>
      </c>
      <c r="AV251" s="85">
        <v>0</v>
      </c>
      <c r="AW251" s="85">
        <v>0</v>
      </c>
      <c r="AX251" s="85">
        <v>0</v>
      </c>
      <c r="AY251" s="85">
        <v>1</v>
      </c>
      <c r="AZ251" s="85">
        <v>0</v>
      </c>
    </row>
    <row r="252" spans="2:52" x14ac:dyDescent="0.2">
      <c r="B252" s="89" t="s">
        <v>1043</v>
      </c>
      <c r="C252" s="85" t="s">
        <v>1044</v>
      </c>
      <c r="D252" s="85">
        <f t="shared" si="66"/>
        <v>32</v>
      </c>
      <c r="E252" s="85">
        <v>0</v>
      </c>
      <c r="F252" s="85">
        <v>0</v>
      </c>
      <c r="G252" s="85">
        <v>2</v>
      </c>
      <c r="H252" s="85">
        <v>12</v>
      </c>
      <c r="I252" s="85">
        <v>18</v>
      </c>
      <c r="M252" s="89" t="s">
        <v>797</v>
      </c>
      <c r="N252" s="85" t="s">
        <v>826</v>
      </c>
      <c r="O252" s="85">
        <f t="shared" si="67"/>
        <v>16</v>
      </c>
      <c r="P252" s="85">
        <v>0</v>
      </c>
      <c r="Q252" s="85">
        <v>0</v>
      </c>
      <c r="R252" s="85">
        <v>1</v>
      </c>
      <c r="S252" s="85">
        <v>6</v>
      </c>
      <c r="T252" s="85">
        <v>9</v>
      </c>
      <c r="X252" s="89" t="s">
        <v>797</v>
      </c>
      <c r="Y252" s="85" t="s">
        <v>826</v>
      </c>
      <c r="Z252" s="85">
        <f t="shared" si="68"/>
        <v>1712</v>
      </c>
      <c r="AA252" s="97">
        <v>0</v>
      </c>
      <c r="AB252" s="97">
        <v>62</v>
      </c>
      <c r="AC252" s="97">
        <v>291</v>
      </c>
      <c r="AD252" s="97">
        <v>611</v>
      </c>
      <c r="AE252" s="97">
        <v>748</v>
      </c>
      <c r="AF252" s="81"/>
      <c r="AI252" s="89" t="s">
        <v>500</v>
      </c>
      <c r="AJ252" s="85" t="s">
        <v>1094</v>
      </c>
      <c r="AK252" s="85">
        <f t="shared" si="69"/>
        <v>33</v>
      </c>
      <c r="AL252" s="85">
        <v>10</v>
      </c>
      <c r="AM252" s="85">
        <v>9</v>
      </c>
      <c r="AN252" s="85">
        <v>2</v>
      </c>
      <c r="AO252" s="85">
        <v>10</v>
      </c>
      <c r="AP252" s="85">
        <v>2</v>
      </c>
      <c r="AS252" s="89" t="s">
        <v>500</v>
      </c>
      <c r="AT252" s="85" t="s">
        <v>1094</v>
      </c>
      <c r="AU252" s="85">
        <f t="shared" si="70"/>
        <v>3</v>
      </c>
      <c r="AV252" s="85">
        <v>0</v>
      </c>
      <c r="AW252" s="85">
        <v>0</v>
      </c>
      <c r="AX252" s="85">
        <v>1</v>
      </c>
      <c r="AY252" s="85">
        <v>2</v>
      </c>
      <c r="AZ252" s="85">
        <v>0</v>
      </c>
    </row>
    <row r="253" spans="2:52" x14ac:dyDescent="0.2">
      <c r="B253" s="89" t="s">
        <v>866</v>
      </c>
      <c r="C253" s="85" t="s">
        <v>867</v>
      </c>
      <c r="D253" s="85">
        <f t="shared" si="66"/>
        <v>31</v>
      </c>
      <c r="E253" s="85">
        <v>0</v>
      </c>
      <c r="F253" s="85">
        <v>6</v>
      </c>
      <c r="G253" s="85">
        <v>15</v>
      </c>
      <c r="H253" s="85">
        <v>8</v>
      </c>
      <c r="I253" s="85">
        <v>2</v>
      </c>
      <c r="M253" s="89" t="s">
        <v>1095</v>
      </c>
      <c r="N253" s="85" t="s">
        <v>1096</v>
      </c>
      <c r="O253" s="85">
        <f t="shared" si="67"/>
        <v>16</v>
      </c>
      <c r="P253" s="85">
        <v>0</v>
      </c>
      <c r="Q253" s="85">
        <v>3</v>
      </c>
      <c r="R253" s="85">
        <v>8</v>
      </c>
      <c r="S253" s="85">
        <v>4</v>
      </c>
      <c r="T253" s="85">
        <v>1</v>
      </c>
      <c r="X253" s="89" t="s">
        <v>1095</v>
      </c>
      <c r="Y253" s="85" t="s">
        <v>1096</v>
      </c>
      <c r="Z253" s="85">
        <f t="shared" si="68"/>
        <v>1548</v>
      </c>
      <c r="AA253" s="97">
        <v>0</v>
      </c>
      <c r="AB253" s="97">
        <v>47</v>
      </c>
      <c r="AC253" s="97">
        <v>276</v>
      </c>
      <c r="AD253" s="97">
        <v>854</v>
      </c>
      <c r="AE253" s="97">
        <v>371</v>
      </c>
      <c r="AF253" s="81"/>
      <c r="AI253" s="89" t="s">
        <v>883</v>
      </c>
      <c r="AJ253" s="85" t="s">
        <v>1097</v>
      </c>
      <c r="AK253" s="85">
        <f t="shared" si="69"/>
        <v>181</v>
      </c>
      <c r="AL253" s="85">
        <v>0</v>
      </c>
      <c r="AM253" s="85">
        <v>47</v>
      </c>
      <c r="AN253" s="85">
        <v>9</v>
      </c>
      <c r="AO253" s="85">
        <v>54</v>
      </c>
      <c r="AP253" s="85">
        <v>71</v>
      </c>
      <c r="AS253" s="89" t="s">
        <v>883</v>
      </c>
      <c r="AT253" s="85" t="s">
        <v>1097</v>
      </c>
      <c r="AU253" s="85">
        <f t="shared" si="70"/>
        <v>193</v>
      </c>
      <c r="AV253" s="85">
        <v>0</v>
      </c>
      <c r="AW253" s="85">
        <v>45</v>
      </c>
      <c r="AX253" s="85">
        <v>10</v>
      </c>
      <c r="AY253" s="85">
        <v>58</v>
      </c>
      <c r="AZ253" s="85">
        <v>80</v>
      </c>
    </row>
    <row r="254" spans="2:52" x14ac:dyDescent="0.2">
      <c r="B254" s="89" t="s">
        <v>6150</v>
      </c>
      <c r="C254" s="85" t="s">
        <v>6151</v>
      </c>
      <c r="D254" s="85">
        <f t="shared" si="66"/>
        <v>31</v>
      </c>
      <c r="E254" s="85">
        <v>0</v>
      </c>
      <c r="F254" s="85">
        <v>0</v>
      </c>
      <c r="G254" s="85">
        <v>17</v>
      </c>
      <c r="H254" s="85">
        <v>10</v>
      </c>
      <c r="I254" s="85">
        <v>4</v>
      </c>
      <c r="M254" s="89" t="s">
        <v>997</v>
      </c>
      <c r="N254" s="85" t="s">
        <v>998</v>
      </c>
      <c r="O254" s="85">
        <f t="shared" si="67"/>
        <v>16</v>
      </c>
      <c r="P254" s="85">
        <v>0</v>
      </c>
      <c r="Q254" s="85">
        <v>0</v>
      </c>
      <c r="R254" s="85">
        <v>9</v>
      </c>
      <c r="S254" s="85">
        <v>5</v>
      </c>
      <c r="T254" s="85">
        <v>2</v>
      </c>
      <c r="X254" s="89" t="s">
        <v>997</v>
      </c>
      <c r="Y254" s="85" t="s">
        <v>998</v>
      </c>
      <c r="Z254" s="85">
        <f t="shared" si="68"/>
        <v>1474</v>
      </c>
      <c r="AA254" s="97">
        <v>0</v>
      </c>
      <c r="AB254" s="97">
        <v>33</v>
      </c>
      <c r="AC254" s="97">
        <v>217</v>
      </c>
      <c r="AD254" s="97">
        <v>707</v>
      </c>
      <c r="AE254" s="97">
        <v>517</v>
      </c>
      <c r="AF254" s="81"/>
      <c r="AI254" s="89" t="s">
        <v>805</v>
      </c>
      <c r="AJ254" s="85" t="s">
        <v>1098</v>
      </c>
      <c r="AK254" s="85">
        <f t="shared" si="69"/>
        <v>114</v>
      </c>
      <c r="AL254" s="85">
        <v>0</v>
      </c>
      <c r="AM254" s="85">
        <v>10</v>
      </c>
      <c r="AN254" s="85">
        <v>17</v>
      </c>
      <c r="AO254" s="85">
        <v>70</v>
      </c>
      <c r="AP254" s="85">
        <v>17</v>
      </c>
      <c r="AS254" s="89" t="s">
        <v>805</v>
      </c>
      <c r="AT254" s="85" t="s">
        <v>1098</v>
      </c>
      <c r="AU254" s="85">
        <f t="shared" si="70"/>
        <v>75</v>
      </c>
      <c r="AV254" s="85">
        <v>0</v>
      </c>
      <c r="AW254" s="85">
        <v>0</v>
      </c>
      <c r="AX254" s="85">
        <v>9</v>
      </c>
      <c r="AY254" s="85">
        <v>37</v>
      </c>
      <c r="AZ254" s="85">
        <v>29</v>
      </c>
    </row>
    <row r="255" spans="2:52" x14ac:dyDescent="0.2">
      <c r="B255" s="89" t="s">
        <v>500</v>
      </c>
      <c r="C255" s="85" t="s">
        <v>859</v>
      </c>
      <c r="D255" s="85">
        <f t="shared" si="66"/>
        <v>30</v>
      </c>
      <c r="E255" s="85">
        <v>0</v>
      </c>
      <c r="F255" s="85">
        <v>2</v>
      </c>
      <c r="G255" s="85">
        <v>16</v>
      </c>
      <c r="H255" s="85">
        <v>9</v>
      </c>
      <c r="I255" s="85">
        <v>3</v>
      </c>
      <c r="M255" s="89" t="s">
        <v>929</v>
      </c>
      <c r="N255" s="85" t="s">
        <v>930</v>
      </c>
      <c r="O255" s="85">
        <f t="shared" si="67"/>
        <v>16</v>
      </c>
      <c r="P255" s="85">
        <v>0</v>
      </c>
      <c r="Q255" s="85">
        <v>1</v>
      </c>
      <c r="R255" s="85">
        <v>8</v>
      </c>
      <c r="S255" s="85">
        <v>5</v>
      </c>
      <c r="T255" s="85">
        <v>2</v>
      </c>
      <c r="X255" s="89" t="s">
        <v>929</v>
      </c>
      <c r="Y255" s="85" t="s">
        <v>930</v>
      </c>
      <c r="Z255" s="85">
        <f t="shared" si="68"/>
        <v>1405</v>
      </c>
      <c r="AA255" s="97">
        <v>0</v>
      </c>
      <c r="AB255" s="97">
        <v>0</v>
      </c>
      <c r="AC255" s="97">
        <v>72</v>
      </c>
      <c r="AD255" s="97">
        <v>344</v>
      </c>
      <c r="AE255" s="97">
        <v>989</v>
      </c>
      <c r="AF255" s="81"/>
      <c r="AI255" s="89" t="s">
        <v>785</v>
      </c>
      <c r="AJ255" s="85" t="s">
        <v>1099</v>
      </c>
      <c r="AK255" s="85">
        <f t="shared" si="69"/>
        <v>72</v>
      </c>
      <c r="AL255" s="85">
        <v>3</v>
      </c>
      <c r="AM255" s="85">
        <v>2</v>
      </c>
      <c r="AN255" s="85">
        <v>21</v>
      </c>
      <c r="AO255" s="85">
        <v>44</v>
      </c>
      <c r="AP255" s="85">
        <v>2</v>
      </c>
      <c r="AS255" s="89" t="s">
        <v>785</v>
      </c>
      <c r="AT255" s="85" t="s">
        <v>1099</v>
      </c>
      <c r="AU255" s="85">
        <f t="shared" si="70"/>
        <v>83</v>
      </c>
      <c r="AV255" s="85">
        <v>3</v>
      </c>
      <c r="AW255" s="85">
        <v>3</v>
      </c>
      <c r="AX255" s="85">
        <v>25</v>
      </c>
      <c r="AY255" s="85">
        <v>49</v>
      </c>
      <c r="AZ255" s="85">
        <v>3</v>
      </c>
    </row>
    <row r="256" spans="2:52" x14ac:dyDescent="0.2">
      <c r="B256" s="89"/>
      <c r="C256" s="85" t="s">
        <v>577</v>
      </c>
      <c r="D256" s="85">
        <f t="shared" si="66"/>
        <v>1975</v>
      </c>
      <c r="E256" s="85">
        <v>43</v>
      </c>
      <c r="F256" s="85">
        <v>95</v>
      </c>
      <c r="G256" s="85">
        <v>621</v>
      </c>
      <c r="H256" s="85">
        <v>652</v>
      </c>
      <c r="I256" s="85">
        <v>564</v>
      </c>
      <c r="M256" s="89"/>
      <c r="N256" s="85" t="s">
        <v>577</v>
      </c>
      <c r="O256" s="85">
        <f t="shared" si="67"/>
        <v>889</v>
      </c>
      <c r="P256" s="85">
        <v>22</v>
      </c>
      <c r="Q256" s="85">
        <v>48</v>
      </c>
      <c r="R256" s="85">
        <v>211</v>
      </c>
      <c r="S256" s="85">
        <v>326</v>
      </c>
      <c r="T256" s="85">
        <v>282</v>
      </c>
      <c r="X256" s="89"/>
      <c r="Y256" s="85" t="s">
        <v>577</v>
      </c>
      <c r="Z256" s="85">
        <f t="shared" si="68"/>
        <v>71398</v>
      </c>
      <c r="AA256" s="97">
        <v>0</v>
      </c>
      <c r="AB256" s="97">
        <v>1569</v>
      </c>
      <c r="AC256" s="97">
        <v>10137</v>
      </c>
      <c r="AD256" s="97">
        <v>25531</v>
      </c>
      <c r="AE256" s="97">
        <v>34161</v>
      </c>
      <c r="AF256" s="81"/>
      <c r="AI256" s="89"/>
      <c r="AJ256" s="85" t="s">
        <v>187</v>
      </c>
      <c r="AK256" s="85">
        <f t="shared" si="69"/>
        <v>65</v>
      </c>
      <c r="AL256" s="85">
        <v>0</v>
      </c>
      <c r="AM256" s="85">
        <v>12</v>
      </c>
      <c r="AN256" s="85">
        <v>11</v>
      </c>
      <c r="AO256" s="85">
        <v>10</v>
      </c>
      <c r="AP256" s="85">
        <v>32</v>
      </c>
      <c r="AS256" s="89"/>
      <c r="AT256" s="85" t="s">
        <v>187</v>
      </c>
      <c r="AU256" s="85">
        <f t="shared" si="70"/>
        <v>80</v>
      </c>
      <c r="AV256" s="85">
        <v>0</v>
      </c>
      <c r="AW256" s="85">
        <v>15</v>
      </c>
      <c r="AX256" s="85">
        <v>15</v>
      </c>
      <c r="AY256" s="85">
        <v>15</v>
      </c>
      <c r="AZ256" s="85">
        <v>35</v>
      </c>
    </row>
    <row r="257" spans="2:53" x14ac:dyDescent="0.2">
      <c r="B257" s="89"/>
      <c r="C257" s="96" t="s">
        <v>0</v>
      </c>
      <c r="D257" s="91">
        <f t="shared" ref="D257:I257" si="71">SUM(D236:D256)</f>
        <v>3467</v>
      </c>
      <c r="E257" s="91">
        <f t="shared" si="71"/>
        <v>54</v>
      </c>
      <c r="F257" s="91">
        <f t="shared" si="71"/>
        <v>174</v>
      </c>
      <c r="G257" s="91">
        <f t="shared" si="71"/>
        <v>1114</v>
      </c>
      <c r="H257" s="91">
        <f t="shared" si="71"/>
        <v>1184</v>
      </c>
      <c r="I257" s="91">
        <f t="shared" si="71"/>
        <v>941</v>
      </c>
      <c r="M257" s="89"/>
      <c r="N257" s="96" t="s">
        <v>0</v>
      </c>
      <c r="O257" s="91">
        <f t="shared" ref="O257:T257" si="72">SUM(O236:O256)</f>
        <v>1654</v>
      </c>
      <c r="P257" s="91">
        <f t="shared" si="72"/>
        <v>29</v>
      </c>
      <c r="Q257" s="91">
        <f t="shared" si="72"/>
        <v>93</v>
      </c>
      <c r="R257" s="91">
        <f t="shared" si="72"/>
        <v>462</v>
      </c>
      <c r="S257" s="91">
        <f t="shared" si="72"/>
        <v>597</v>
      </c>
      <c r="T257" s="91">
        <f t="shared" si="72"/>
        <v>473</v>
      </c>
      <c r="X257" s="89"/>
      <c r="Y257" s="96" t="s">
        <v>0</v>
      </c>
      <c r="Z257" s="91">
        <f t="shared" ref="Z257:AE257" si="73">SUM(Z236:Z256)</f>
        <v>158498</v>
      </c>
      <c r="AA257" s="91">
        <f t="shared" si="73"/>
        <v>11</v>
      </c>
      <c r="AB257" s="91">
        <f t="shared" si="73"/>
        <v>2840</v>
      </c>
      <c r="AC257" s="91">
        <f t="shared" si="73"/>
        <v>22928</v>
      </c>
      <c r="AD257" s="91">
        <f t="shared" si="73"/>
        <v>56184</v>
      </c>
      <c r="AE257" s="91">
        <f t="shared" si="73"/>
        <v>76535</v>
      </c>
      <c r="AF257" s="81"/>
      <c r="AI257" s="89"/>
      <c r="AJ257" s="96" t="s">
        <v>0</v>
      </c>
      <c r="AK257" s="91">
        <f t="shared" ref="AK257:AO257" si="74">SUM(AK236:AK256)</f>
        <v>2102</v>
      </c>
      <c r="AL257" s="91">
        <f t="shared" si="74"/>
        <v>66</v>
      </c>
      <c r="AM257" s="91">
        <f t="shared" si="74"/>
        <v>491</v>
      </c>
      <c r="AN257" s="91">
        <f t="shared" si="74"/>
        <v>494</v>
      </c>
      <c r="AO257" s="91">
        <f t="shared" si="74"/>
        <v>669</v>
      </c>
      <c r="AP257" s="91">
        <f>SUM(AP236:AP256)</f>
        <v>382</v>
      </c>
      <c r="AS257" s="89"/>
      <c r="AT257" s="96" t="s">
        <v>0</v>
      </c>
      <c r="AU257" s="91">
        <f t="shared" ref="AU257:AY257" si="75">SUM(AU236:AU256)</f>
        <v>1479</v>
      </c>
      <c r="AV257" s="91">
        <f t="shared" si="75"/>
        <v>6</v>
      </c>
      <c r="AW257" s="91">
        <f t="shared" si="75"/>
        <v>93</v>
      </c>
      <c r="AX257" s="91">
        <f t="shared" si="75"/>
        <v>169</v>
      </c>
      <c r="AY257" s="91">
        <f t="shared" si="75"/>
        <v>519</v>
      </c>
      <c r="AZ257" s="91">
        <f>SUM(AZ236:AZ256)</f>
        <v>692</v>
      </c>
    </row>
    <row r="258" spans="2:53" x14ac:dyDescent="0.2">
      <c r="B258" s="3949"/>
      <c r="M258" s="3949"/>
      <c r="X258" s="3949"/>
      <c r="Y258" s="81"/>
      <c r="Z258" s="81"/>
      <c r="AA258" s="81"/>
      <c r="AB258" s="81"/>
      <c r="AC258" s="81"/>
      <c r="AD258" s="81"/>
      <c r="AE258" s="81"/>
      <c r="AF258" s="81"/>
      <c r="AI258" s="3949"/>
      <c r="AJ258" s="81"/>
      <c r="AK258" s="81"/>
      <c r="AL258" s="81"/>
      <c r="AM258" s="81"/>
      <c r="AN258" s="81"/>
      <c r="AO258" s="81"/>
      <c r="AP258" s="81"/>
      <c r="AS258" s="3949"/>
      <c r="AT258" s="81"/>
      <c r="AU258" s="81"/>
      <c r="AV258" s="81"/>
      <c r="AW258" s="81"/>
      <c r="AX258" s="81"/>
      <c r="AY258" s="81"/>
      <c r="AZ258" s="81"/>
    </row>
    <row r="259" spans="2:53" x14ac:dyDescent="0.2">
      <c r="B259" s="3949"/>
      <c r="M259" s="3949"/>
      <c r="X259" s="3949"/>
      <c r="Y259" s="81"/>
      <c r="Z259" s="81"/>
      <c r="AA259" s="81"/>
      <c r="AB259" s="81"/>
      <c r="AC259" s="81"/>
      <c r="AD259" s="81"/>
      <c r="AE259" s="81"/>
      <c r="AF259" s="81"/>
      <c r="AI259" s="3949"/>
      <c r="AJ259" s="81"/>
      <c r="AK259" s="81"/>
      <c r="AL259" s="81"/>
      <c r="AM259" s="81"/>
      <c r="AN259" s="81"/>
      <c r="AO259" s="81"/>
      <c r="AP259" s="81"/>
      <c r="AQ259" s="81"/>
      <c r="AS259" s="3949"/>
      <c r="AT259" s="81"/>
      <c r="AU259" s="81"/>
      <c r="AV259" s="81"/>
      <c r="AW259" s="81"/>
      <c r="AX259" s="81"/>
      <c r="AY259" s="81"/>
      <c r="AZ259" s="81"/>
      <c r="BA259" s="81"/>
    </row>
    <row r="260" spans="2:53" x14ac:dyDescent="0.2">
      <c r="B260" s="88" t="s">
        <v>757</v>
      </c>
      <c r="M260" s="88" t="s">
        <v>758</v>
      </c>
      <c r="X260" s="88" t="s">
        <v>479</v>
      </c>
      <c r="Y260" s="81"/>
      <c r="Z260" s="81"/>
      <c r="AA260" s="81"/>
      <c r="AB260" s="81"/>
      <c r="AC260" s="81"/>
      <c r="AD260" s="81"/>
      <c r="AE260" s="81"/>
      <c r="AF260" s="81"/>
      <c r="AI260" s="88" t="s">
        <v>1990</v>
      </c>
      <c r="AJ260" s="81"/>
      <c r="AK260" s="81"/>
      <c r="AL260" s="81"/>
      <c r="AM260" s="81"/>
      <c r="AN260" s="81"/>
      <c r="AO260" s="81"/>
      <c r="AP260" s="81"/>
      <c r="AQ260" s="81"/>
      <c r="AS260" s="88" t="s">
        <v>3637</v>
      </c>
      <c r="AT260" s="81"/>
      <c r="AU260" s="81"/>
      <c r="AV260" s="81"/>
      <c r="AW260" s="81"/>
      <c r="AX260" s="81"/>
      <c r="AY260" s="81"/>
      <c r="AZ260" s="81"/>
      <c r="BA260" s="81"/>
    </row>
    <row r="261" spans="2:53" ht="11.25" customHeight="1" x14ac:dyDescent="0.2">
      <c r="B261" s="4258" t="s">
        <v>161</v>
      </c>
      <c r="C261" s="4258" t="s">
        <v>778</v>
      </c>
      <c r="D261" s="4258" t="s">
        <v>0</v>
      </c>
      <c r="E261" s="4260" t="s">
        <v>186</v>
      </c>
      <c r="F261" s="4261"/>
      <c r="G261" s="4261"/>
      <c r="H261" s="4261"/>
      <c r="I261" s="4262"/>
      <c r="M261" s="4258" t="s">
        <v>161</v>
      </c>
      <c r="N261" s="4258" t="s">
        <v>778</v>
      </c>
      <c r="O261" s="4258" t="s">
        <v>0</v>
      </c>
      <c r="P261" s="4260" t="s">
        <v>186</v>
      </c>
      <c r="Q261" s="4261"/>
      <c r="R261" s="4261"/>
      <c r="S261" s="4261"/>
      <c r="T261" s="4262"/>
      <c r="X261" s="4258" t="s">
        <v>161</v>
      </c>
      <c r="Y261" s="4258" t="s">
        <v>778</v>
      </c>
      <c r="Z261" s="4258" t="s">
        <v>0</v>
      </c>
      <c r="AA261" s="4260" t="s">
        <v>186</v>
      </c>
      <c r="AB261" s="4261"/>
      <c r="AC261" s="4261"/>
      <c r="AD261" s="4261"/>
      <c r="AE261" s="4262"/>
      <c r="AF261" s="81"/>
      <c r="AI261" s="4258" t="s">
        <v>161</v>
      </c>
      <c r="AJ261" s="4258" t="s">
        <v>778</v>
      </c>
      <c r="AK261" s="4258" t="s">
        <v>0</v>
      </c>
      <c r="AL261" s="4260" t="s">
        <v>186</v>
      </c>
      <c r="AM261" s="4261"/>
      <c r="AN261" s="4261"/>
      <c r="AO261" s="4261"/>
      <c r="AP261" s="4262"/>
      <c r="AS261" s="4258" t="s">
        <v>161</v>
      </c>
      <c r="AT261" s="4258" t="s">
        <v>778</v>
      </c>
      <c r="AU261" s="4258" t="s">
        <v>0</v>
      </c>
      <c r="AV261" s="4260" t="s">
        <v>186</v>
      </c>
      <c r="AW261" s="4261"/>
      <c r="AX261" s="4261"/>
      <c r="AY261" s="4261"/>
      <c r="AZ261" s="4262"/>
    </row>
    <row r="262" spans="2:53" x14ac:dyDescent="0.2">
      <c r="B262" s="4259"/>
      <c r="C262" s="4259"/>
      <c r="D262" s="4259"/>
      <c r="E262" s="3948" t="s">
        <v>743</v>
      </c>
      <c r="F262" s="3948" t="s">
        <v>744</v>
      </c>
      <c r="G262" s="3948" t="s">
        <v>745</v>
      </c>
      <c r="H262" s="3948" t="s">
        <v>746</v>
      </c>
      <c r="I262" s="3948" t="s">
        <v>747</v>
      </c>
      <c r="M262" s="4259"/>
      <c r="N262" s="4259"/>
      <c r="O262" s="4259"/>
      <c r="P262" s="3948" t="s">
        <v>743</v>
      </c>
      <c r="Q262" s="3948" t="s">
        <v>744</v>
      </c>
      <c r="R262" s="3948" t="s">
        <v>745</v>
      </c>
      <c r="S262" s="3948" t="s">
        <v>746</v>
      </c>
      <c r="T262" s="3948" t="s">
        <v>747</v>
      </c>
      <c r="X262" s="4259"/>
      <c r="Y262" s="4259"/>
      <c r="Z262" s="4259"/>
      <c r="AA262" s="3948" t="s">
        <v>743</v>
      </c>
      <c r="AB262" s="3948" t="s">
        <v>744</v>
      </c>
      <c r="AC262" s="3948" t="s">
        <v>745</v>
      </c>
      <c r="AD262" s="3948" t="s">
        <v>746</v>
      </c>
      <c r="AE262" s="3948" t="s">
        <v>747</v>
      </c>
      <c r="AF262" s="81"/>
      <c r="AI262" s="4259"/>
      <c r="AJ262" s="4259"/>
      <c r="AK262" s="4259"/>
      <c r="AL262" s="3948" t="s">
        <v>743</v>
      </c>
      <c r="AM262" s="3948" t="s">
        <v>744</v>
      </c>
      <c r="AN262" s="3948" t="s">
        <v>745</v>
      </c>
      <c r="AO262" s="3948" t="s">
        <v>746</v>
      </c>
      <c r="AP262" s="3948" t="s">
        <v>747</v>
      </c>
      <c r="AS262" s="4259"/>
      <c r="AT262" s="4259"/>
      <c r="AU262" s="4259"/>
      <c r="AV262" s="3948" t="s">
        <v>743</v>
      </c>
      <c r="AW262" s="3948" t="s">
        <v>744</v>
      </c>
      <c r="AX262" s="3948" t="s">
        <v>745</v>
      </c>
      <c r="AY262" s="3948" t="s">
        <v>746</v>
      </c>
      <c r="AZ262" s="3948" t="s">
        <v>747</v>
      </c>
    </row>
    <row r="263" spans="2:53" x14ac:dyDescent="0.2">
      <c r="B263" s="89" t="s">
        <v>500</v>
      </c>
      <c r="C263" s="85" t="s">
        <v>859</v>
      </c>
      <c r="D263" s="85">
        <f>SUM(E263:I263)</f>
        <v>190</v>
      </c>
      <c r="E263" s="85">
        <v>181</v>
      </c>
      <c r="F263" s="85">
        <v>6</v>
      </c>
      <c r="G263" s="85">
        <v>3</v>
      </c>
      <c r="H263" s="85">
        <v>0</v>
      </c>
      <c r="I263" s="85">
        <v>0</v>
      </c>
      <c r="M263" s="89" t="s">
        <v>876</v>
      </c>
      <c r="N263" s="85" t="s">
        <v>877</v>
      </c>
      <c r="O263" s="85">
        <f>SUM(P263:T263)</f>
        <v>95</v>
      </c>
      <c r="P263" s="85">
        <v>90.5</v>
      </c>
      <c r="Q263" s="85">
        <v>3</v>
      </c>
      <c r="R263" s="85">
        <v>1.5</v>
      </c>
      <c r="S263" s="85">
        <v>0</v>
      </c>
      <c r="T263" s="85">
        <v>0</v>
      </c>
      <c r="X263" s="89" t="s">
        <v>876</v>
      </c>
      <c r="Y263" s="85" t="s">
        <v>877</v>
      </c>
      <c r="Z263" s="85">
        <f>SUM(AA263:AE263)</f>
        <v>955</v>
      </c>
      <c r="AA263" s="97">
        <v>808</v>
      </c>
      <c r="AB263" s="97">
        <v>120</v>
      </c>
      <c r="AC263" s="97">
        <v>27</v>
      </c>
      <c r="AD263" s="97">
        <v>0</v>
      </c>
      <c r="AE263" s="97">
        <v>0</v>
      </c>
      <c r="AF263" s="81"/>
      <c r="AI263" s="89" t="s">
        <v>498</v>
      </c>
      <c r="AJ263" s="85" t="s">
        <v>1070</v>
      </c>
      <c r="AK263" s="85">
        <f>SUM(AL263:AP263)</f>
        <v>57</v>
      </c>
      <c r="AL263" s="85">
        <v>29</v>
      </c>
      <c r="AM263" s="85">
        <v>28</v>
      </c>
      <c r="AN263" s="85">
        <v>0</v>
      </c>
      <c r="AO263" s="85">
        <v>0</v>
      </c>
      <c r="AP263" s="85">
        <v>0</v>
      </c>
      <c r="AS263" s="89" t="s">
        <v>498</v>
      </c>
      <c r="AT263" s="85" t="s">
        <v>1070</v>
      </c>
      <c r="AU263" s="85">
        <f>SUM(AV263:AZ263)</f>
        <v>11</v>
      </c>
      <c r="AV263" s="85">
        <v>9</v>
      </c>
      <c r="AW263" s="85">
        <v>2</v>
      </c>
      <c r="AX263" s="85">
        <v>0</v>
      </c>
      <c r="AY263" s="85">
        <v>0</v>
      </c>
      <c r="AZ263" s="85">
        <v>0</v>
      </c>
    </row>
    <row r="264" spans="2:53" x14ac:dyDescent="0.2">
      <c r="B264" s="89" t="s">
        <v>876</v>
      </c>
      <c r="C264" s="85" t="s">
        <v>877</v>
      </c>
      <c r="D264" s="85">
        <f t="shared" ref="D264:D283" si="76">SUM(E264:I264)</f>
        <v>174</v>
      </c>
      <c r="E264" s="85">
        <v>168</v>
      </c>
      <c r="F264" s="85">
        <v>5</v>
      </c>
      <c r="G264" s="85">
        <v>1</v>
      </c>
      <c r="H264" s="85">
        <v>0</v>
      </c>
      <c r="I264" s="85">
        <v>0</v>
      </c>
      <c r="M264" s="89" t="s">
        <v>500</v>
      </c>
      <c r="N264" s="85" t="s">
        <v>859</v>
      </c>
      <c r="O264" s="85">
        <f t="shared" ref="O264:O283" si="77">SUM(P264:T264)</f>
        <v>87</v>
      </c>
      <c r="P264" s="85">
        <v>84</v>
      </c>
      <c r="Q264" s="85">
        <v>2.5</v>
      </c>
      <c r="R264" s="85">
        <v>0.5</v>
      </c>
      <c r="S264" s="85">
        <v>0</v>
      </c>
      <c r="T264" s="85">
        <v>0</v>
      </c>
      <c r="X264" s="89" t="s">
        <v>500</v>
      </c>
      <c r="Y264" s="85" t="s">
        <v>859</v>
      </c>
      <c r="Z264" s="85">
        <f t="shared" ref="Z264:Z283" si="78">SUM(AA264:AE264)</f>
        <v>858</v>
      </c>
      <c r="AA264" s="97">
        <v>728</v>
      </c>
      <c r="AB264" s="97">
        <v>130</v>
      </c>
      <c r="AC264" s="97">
        <v>0</v>
      </c>
      <c r="AD264" s="97">
        <v>0</v>
      </c>
      <c r="AE264" s="97">
        <v>0</v>
      </c>
      <c r="AF264" s="81"/>
      <c r="AI264" s="89" t="s">
        <v>500</v>
      </c>
      <c r="AJ264" s="85" t="s">
        <v>1094</v>
      </c>
      <c r="AK264" s="85">
        <f t="shared" ref="AK264:AK283" si="79">SUM(AL264:AP264)</f>
        <v>54</v>
      </c>
      <c r="AL264" s="85">
        <v>29</v>
      </c>
      <c r="AM264" s="85">
        <v>25</v>
      </c>
      <c r="AN264" s="85">
        <v>0</v>
      </c>
      <c r="AO264" s="85">
        <v>0</v>
      </c>
      <c r="AP264" s="85">
        <v>0</v>
      </c>
      <c r="AS264" s="89" t="s">
        <v>500</v>
      </c>
      <c r="AT264" s="85" t="s">
        <v>1094</v>
      </c>
      <c r="AU264" s="85">
        <f t="shared" ref="AU264:AU283" si="80">SUM(AV264:AZ264)</f>
        <v>3</v>
      </c>
      <c r="AV264" s="85">
        <v>2</v>
      </c>
      <c r="AW264" s="85">
        <v>1</v>
      </c>
      <c r="AX264" s="85">
        <v>0</v>
      </c>
      <c r="AY264" s="85">
        <v>0</v>
      </c>
      <c r="AZ264" s="85">
        <v>0</v>
      </c>
    </row>
    <row r="265" spans="2:53" x14ac:dyDescent="0.2">
      <c r="B265" s="89" t="s">
        <v>498</v>
      </c>
      <c r="C265" s="85" t="s">
        <v>840</v>
      </c>
      <c r="D265" s="85">
        <f t="shared" si="76"/>
        <v>96</v>
      </c>
      <c r="E265" s="85">
        <v>89</v>
      </c>
      <c r="F265" s="85">
        <v>7</v>
      </c>
      <c r="G265" s="85">
        <v>0</v>
      </c>
      <c r="H265" s="85">
        <v>0</v>
      </c>
      <c r="I265" s="85">
        <v>0</v>
      </c>
      <c r="M265" s="89" t="s">
        <v>498</v>
      </c>
      <c r="N265" s="85" t="s">
        <v>840</v>
      </c>
      <c r="O265" s="85">
        <f t="shared" si="77"/>
        <v>48</v>
      </c>
      <c r="P265" s="85">
        <v>44.5</v>
      </c>
      <c r="Q265" s="85">
        <v>3.5</v>
      </c>
      <c r="R265" s="85">
        <v>0</v>
      </c>
      <c r="S265" s="85">
        <v>0</v>
      </c>
      <c r="T265" s="85">
        <v>0</v>
      </c>
      <c r="X265" s="89" t="s">
        <v>498</v>
      </c>
      <c r="Y265" s="85" t="s">
        <v>840</v>
      </c>
      <c r="Z265" s="85">
        <f t="shared" si="78"/>
        <v>854</v>
      </c>
      <c r="AA265" s="97">
        <v>789</v>
      </c>
      <c r="AB265" s="97">
        <v>65</v>
      </c>
      <c r="AC265" s="97">
        <v>0</v>
      </c>
      <c r="AD265" s="97">
        <v>0</v>
      </c>
      <c r="AE265" s="97">
        <v>0</v>
      </c>
      <c r="AF265" s="81"/>
      <c r="AI265" s="89" t="s">
        <v>876</v>
      </c>
      <c r="AJ265" s="85" t="s">
        <v>1100</v>
      </c>
      <c r="AK265" s="85">
        <f t="shared" si="79"/>
        <v>87</v>
      </c>
      <c r="AL265" s="85">
        <v>22</v>
      </c>
      <c r="AM265" s="85">
        <v>65</v>
      </c>
      <c r="AN265" s="85">
        <v>0</v>
      </c>
      <c r="AO265" s="85">
        <v>0</v>
      </c>
      <c r="AP265" s="85">
        <v>0</v>
      </c>
      <c r="AS265" s="89" t="s">
        <v>876</v>
      </c>
      <c r="AT265" s="85" t="s">
        <v>1100</v>
      </c>
      <c r="AU265" s="85">
        <f t="shared" si="80"/>
        <v>59</v>
      </c>
      <c r="AV265" s="85">
        <v>58</v>
      </c>
      <c r="AW265" s="85">
        <v>1</v>
      </c>
      <c r="AX265" s="85">
        <v>0</v>
      </c>
      <c r="AY265" s="85">
        <v>0</v>
      </c>
      <c r="AZ265" s="85">
        <v>0</v>
      </c>
    </row>
    <row r="266" spans="2:53" x14ac:dyDescent="0.2">
      <c r="B266" s="89" t="s">
        <v>1101</v>
      </c>
      <c r="C266" s="85" t="s">
        <v>1102</v>
      </c>
      <c r="D266" s="85">
        <f t="shared" si="76"/>
        <v>84</v>
      </c>
      <c r="E266" s="85">
        <v>80</v>
      </c>
      <c r="F266" s="85">
        <v>2</v>
      </c>
      <c r="G266" s="85">
        <v>2</v>
      </c>
      <c r="H266" s="85">
        <v>0</v>
      </c>
      <c r="I266" s="85">
        <v>0</v>
      </c>
      <c r="M266" s="89" t="s">
        <v>497</v>
      </c>
      <c r="N266" s="85" t="s">
        <v>779</v>
      </c>
      <c r="O266" s="85">
        <f t="shared" si="77"/>
        <v>42</v>
      </c>
      <c r="P266" s="85">
        <v>40</v>
      </c>
      <c r="Q266" s="85">
        <v>1</v>
      </c>
      <c r="R266" s="85">
        <v>1</v>
      </c>
      <c r="S266" s="85">
        <v>0</v>
      </c>
      <c r="T266" s="85">
        <v>0</v>
      </c>
      <c r="X266" s="89" t="s">
        <v>497</v>
      </c>
      <c r="Y266" s="85" t="s">
        <v>779</v>
      </c>
      <c r="Z266" s="85">
        <f t="shared" si="78"/>
        <v>506</v>
      </c>
      <c r="AA266" s="97">
        <v>353</v>
      </c>
      <c r="AB266" s="97">
        <v>114</v>
      </c>
      <c r="AC266" s="97">
        <v>39</v>
      </c>
      <c r="AD266" s="97">
        <v>0</v>
      </c>
      <c r="AE266" s="97">
        <v>0</v>
      </c>
      <c r="AF266" s="81"/>
      <c r="AI266" s="89" t="s">
        <v>491</v>
      </c>
      <c r="AJ266" s="85" t="s">
        <v>510</v>
      </c>
      <c r="AK266" s="85">
        <f t="shared" si="79"/>
        <v>48</v>
      </c>
      <c r="AL266" s="85">
        <v>24</v>
      </c>
      <c r="AM266" s="85">
        <v>24</v>
      </c>
      <c r="AN266" s="85">
        <v>0</v>
      </c>
      <c r="AO266" s="85">
        <v>0</v>
      </c>
      <c r="AP266" s="85">
        <v>0</v>
      </c>
      <c r="AS266" s="89" t="s">
        <v>491</v>
      </c>
      <c r="AT266" s="85" t="s">
        <v>510</v>
      </c>
      <c r="AU266" s="85">
        <f t="shared" si="80"/>
        <v>27</v>
      </c>
      <c r="AV266" s="85">
        <v>16</v>
      </c>
      <c r="AW266" s="85">
        <v>11</v>
      </c>
      <c r="AX266" s="85">
        <v>0</v>
      </c>
      <c r="AY266" s="85">
        <v>0</v>
      </c>
      <c r="AZ266" s="85">
        <v>0</v>
      </c>
    </row>
    <row r="267" spans="2:53" x14ac:dyDescent="0.2">
      <c r="B267" s="89" t="s">
        <v>497</v>
      </c>
      <c r="C267" s="85" t="s">
        <v>779</v>
      </c>
      <c r="D267" s="85">
        <f t="shared" si="76"/>
        <v>78</v>
      </c>
      <c r="E267" s="85">
        <v>78</v>
      </c>
      <c r="F267" s="85">
        <v>0</v>
      </c>
      <c r="G267" s="85">
        <v>0</v>
      </c>
      <c r="H267" s="85">
        <v>0</v>
      </c>
      <c r="I267" s="85">
        <v>0</v>
      </c>
      <c r="M267" s="89" t="s">
        <v>1103</v>
      </c>
      <c r="N267" s="85" t="s">
        <v>1104</v>
      </c>
      <c r="O267" s="85">
        <f t="shared" si="77"/>
        <v>39</v>
      </c>
      <c r="P267" s="85">
        <v>39</v>
      </c>
      <c r="Q267" s="85">
        <v>0</v>
      </c>
      <c r="R267" s="85">
        <v>0</v>
      </c>
      <c r="S267" s="85">
        <v>0</v>
      </c>
      <c r="T267" s="85">
        <v>0</v>
      </c>
      <c r="X267" s="89" t="s">
        <v>1103</v>
      </c>
      <c r="Y267" s="85" t="s">
        <v>1104</v>
      </c>
      <c r="Z267" s="85">
        <f t="shared" si="78"/>
        <v>425</v>
      </c>
      <c r="AA267" s="97">
        <v>336</v>
      </c>
      <c r="AB267" s="97">
        <v>89</v>
      </c>
      <c r="AC267" s="97">
        <v>0</v>
      </c>
      <c r="AD267" s="97">
        <v>0</v>
      </c>
      <c r="AE267" s="97">
        <v>0</v>
      </c>
      <c r="AF267" s="81"/>
      <c r="AI267" s="89" t="s">
        <v>1105</v>
      </c>
      <c r="AJ267" s="85" t="s">
        <v>1106</v>
      </c>
      <c r="AK267" s="85">
        <f t="shared" si="79"/>
        <v>112</v>
      </c>
      <c r="AL267" s="85">
        <v>23</v>
      </c>
      <c r="AM267" s="85">
        <v>89</v>
      </c>
      <c r="AN267" s="85">
        <v>0</v>
      </c>
      <c r="AO267" s="85">
        <v>0</v>
      </c>
      <c r="AP267" s="85">
        <v>0</v>
      </c>
      <c r="AS267" s="89" t="s">
        <v>1105</v>
      </c>
      <c r="AT267" s="85" t="s">
        <v>1106</v>
      </c>
      <c r="AU267" s="85">
        <v>12</v>
      </c>
      <c r="AV267" s="85">
        <v>3</v>
      </c>
      <c r="AW267" s="85">
        <v>0</v>
      </c>
      <c r="AX267" s="85">
        <v>0</v>
      </c>
      <c r="AY267" s="85">
        <v>0</v>
      </c>
      <c r="AZ267" s="85">
        <v>0</v>
      </c>
    </row>
    <row r="268" spans="2:53" x14ac:dyDescent="0.2">
      <c r="B268" s="89" t="s">
        <v>1103</v>
      </c>
      <c r="C268" s="85" t="s">
        <v>1104</v>
      </c>
      <c r="D268" s="85">
        <f t="shared" si="76"/>
        <v>55</v>
      </c>
      <c r="E268" s="85">
        <v>50</v>
      </c>
      <c r="F268" s="85">
        <v>4</v>
      </c>
      <c r="G268" s="85">
        <v>1</v>
      </c>
      <c r="H268" s="85">
        <v>0</v>
      </c>
      <c r="I268" s="85">
        <v>0</v>
      </c>
      <c r="M268" s="89" t="s">
        <v>1101</v>
      </c>
      <c r="N268" s="85" t="s">
        <v>1102</v>
      </c>
      <c r="O268" s="85">
        <f t="shared" si="77"/>
        <v>27.5</v>
      </c>
      <c r="P268" s="85">
        <v>25</v>
      </c>
      <c r="Q268" s="85">
        <v>2</v>
      </c>
      <c r="R268" s="85">
        <v>0.5</v>
      </c>
      <c r="S268" s="85">
        <v>0</v>
      </c>
      <c r="T268" s="85">
        <v>0</v>
      </c>
      <c r="X268" s="89" t="s">
        <v>1101</v>
      </c>
      <c r="Y268" s="85" t="s">
        <v>1102</v>
      </c>
      <c r="Z268" s="85">
        <f t="shared" si="78"/>
        <v>336</v>
      </c>
      <c r="AA268" s="97">
        <v>217</v>
      </c>
      <c r="AB268" s="97">
        <v>15</v>
      </c>
      <c r="AC268" s="97">
        <v>104</v>
      </c>
      <c r="AD268" s="97">
        <v>0</v>
      </c>
      <c r="AE268" s="97">
        <v>0</v>
      </c>
      <c r="AF268" s="81"/>
      <c r="AI268" s="89" t="s">
        <v>340</v>
      </c>
      <c r="AJ268" s="85" t="s">
        <v>677</v>
      </c>
      <c r="AK268" s="85">
        <f t="shared" si="79"/>
        <v>40</v>
      </c>
      <c r="AL268" s="85">
        <v>25</v>
      </c>
      <c r="AM268" s="85">
        <v>15</v>
      </c>
      <c r="AN268" s="85">
        <v>0</v>
      </c>
      <c r="AO268" s="85">
        <v>0</v>
      </c>
      <c r="AP268" s="85">
        <v>0</v>
      </c>
      <c r="AS268" s="89" t="s">
        <v>340</v>
      </c>
      <c r="AT268" s="85" t="s">
        <v>677</v>
      </c>
      <c r="AU268" s="85">
        <f t="shared" si="80"/>
        <v>45</v>
      </c>
      <c r="AV268" s="85">
        <v>45</v>
      </c>
      <c r="AW268" s="85">
        <v>0</v>
      </c>
      <c r="AX268" s="85">
        <v>0</v>
      </c>
      <c r="AY268" s="85">
        <v>0</v>
      </c>
      <c r="AZ268" s="85">
        <v>0</v>
      </c>
    </row>
    <row r="269" spans="2:53" x14ac:dyDescent="0.2">
      <c r="B269" s="89" t="s">
        <v>491</v>
      </c>
      <c r="C269" s="85" t="s">
        <v>844</v>
      </c>
      <c r="D269" s="85">
        <f t="shared" si="76"/>
        <v>50</v>
      </c>
      <c r="E269" s="85">
        <v>42</v>
      </c>
      <c r="F269" s="85">
        <v>7</v>
      </c>
      <c r="G269" s="85">
        <v>1</v>
      </c>
      <c r="H269" s="85">
        <v>0</v>
      </c>
      <c r="I269" s="85">
        <v>0</v>
      </c>
      <c r="M269" s="89" t="s">
        <v>491</v>
      </c>
      <c r="N269" s="85" t="s">
        <v>844</v>
      </c>
      <c r="O269" s="85">
        <f t="shared" si="77"/>
        <v>25</v>
      </c>
      <c r="P269" s="85">
        <v>21</v>
      </c>
      <c r="Q269" s="85">
        <v>3.5</v>
      </c>
      <c r="R269" s="85">
        <v>0.5</v>
      </c>
      <c r="S269" s="85">
        <v>0</v>
      </c>
      <c r="T269" s="85">
        <v>0</v>
      </c>
      <c r="X269" s="89" t="s">
        <v>491</v>
      </c>
      <c r="Y269" s="85" t="s">
        <v>844</v>
      </c>
      <c r="Z269" s="85">
        <f t="shared" si="78"/>
        <v>231</v>
      </c>
      <c r="AA269" s="97">
        <v>82</v>
      </c>
      <c r="AB269" s="97">
        <v>15</v>
      </c>
      <c r="AC269" s="97">
        <v>134</v>
      </c>
      <c r="AD269" s="97">
        <v>0</v>
      </c>
      <c r="AE269" s="97">
        <v>0</v>
      </c>
      <c r="AF269" s="81"/>
      <c r="AI269" s="89" t="s">
        <v>671</v>
      </c>
      <c r="AJ269" s="85" t="s">
        <v>670</v>
      </c>
      <c r="AK269" s="85">
        <f t="shared" si="79"/>
        <v>27</v>
      </c>
      <c r="AL269" s="85">
        <v>12</v>
      </c>
      <c r="AM269" s="85">
        <v>15</v>
      </c>
      <c r="AN269" s="85">
        <v>0</v>
      </c>
      <c r="AO269" s="85">
        <v>0</v>
      </c>
      <c r="AP269" s="85">
        <v>0</v>
      </c>
      <c r="AS269" s="89" t="s">
        <v>671</v>
      </c>
      <c r="AT269" s="85" t="s">
        <v>670</v>
      </c>
      <c r="AU269" s="85">
        <f t="shared" si="80"/>
        <v>12</v>
      </c>
      <c r="AV269" s="85">
        <v>12</v>
      </c>
      <c r="AW269" s="85">
        <v>0</v>
      </c>
      <c r="AX269" s="85">
        <v>0</v>
      </c>
      <c r="AY269" s="85">
        <v>0</v>
      </c>
      <c r="AZ269" s="85">
        <v>0</v>
      </c>
    </row>
    <row r="270" spans="2:53" x14ac:dyDescent="0.2">
      <c r="B270" s="89" t="s">
        <v>502</v>
      </c>
      <c r="C270" s="85" t="s">
        <v>870</v>
      </c>
      <c r="D270" s="85">
        <f t="shared" si="76"/>
        <v>33</v>
      </c>
      <c r="E270" s="85">
        <v>30</v>
      </c>
      <c r="F270" s="85">
        <v>3</v>
      </c>
      <c r="G270" s="85">
        <v>0</v>
      </c>
      <c r="H270" s="85">
        <v>0</v>
      </c>
      <c r="I270" s="85">
        <v>0</v>
      </c>
      <c r="M270" s="89" t="s">
        <v>919</v>
      </c>
      <c r="N270" s="85" t="s">
        <v>911</v>
      </c>
      <c r="O270" s="85">
        <f t="shared" si="77"/>
        <v>16.5</v>
      </c>
      <c r="P270" s="85">
        <v>15</v>
      </c>
      <c r="Q270" s="85">
        <v>1.5</v>
      </c>
      <c r="R270" s="85">
        <v>0</v>
      </c>
      <c r="S270" s="85">
        <v>0</v>
      </c>
      <c r="T270" s="85">
        <v>0</v>
      </c>
      <c r="X270" s="89" t="s">
        <v>919</v>
      </c>
      <c r="Y270" s="85" t="s">
        <v>911</v>
      </c>
      <c r="Z270" s="85">
        <f t="shared" si="78"/>
        <v>230</v>
      </c>
      <c r="AA270" s="97">
        <v>192</v>
      </c>
      <c r="AB270" s="97">
        <v>38</v>
      </c>
      <c r="AC270" s="97">
        <v>0</v>
      </c>
      <c r="AD270" s="97">
        <v>0</v>
      </c>
      <c r="AE270" s="97">
        <v>0</v>
      </c>
      <c r="AF270" s="81"/>
      <c r="AI270" s="89" t="s">
        <v>497</v>
      </c>
      <c r="AJ270" s="85" t="s">
        <v>1071</v>
      </c>
      <c r="AK270" s="85">
        <f t="shared" si="79"/>
        <v>230</v>
      </c>
      <c r="AL270" s="85">
        <v>192</v>
      </c>
      <c r="AM270" s="85">
        <v>38</v>
      </c>
      <c r="AN270" s="85">
        <v>0</v>
      </c>
      <c r="AO270" s="85">
        <v>0</v>
      </c>
      <c r="AP270" s="85">
        <v>0</v>
      </c>
      <c r="AS270" s="89" t="s">
        <v>497</v>
      </c>
      <c r="AT270" s="85" t="s">
        <v>1071</v>
      </c>
      <c r="AU270" s="85">
        <f t="shared" si="80"/>
        <v>122</v>
      </c>
      <c r="AV270" s="85">
        <v>114</v>
      </c>
      <c r="AW270" s="85">
        <v>8</v>
      </c>
      <c r="AX270" s="85">
        <v>0</v>
      </c>
      <c r="AY270" s="85">
        <v>0</v>
      </c>
      <c r="AZ270" s="85">
        <v>0</v>
      </c>
    </row>
    <row r="271" spans="2:53" x14ac:dyDescent="0.2">
      <c r="B271" s="89" t="s">
        <v>1043</v>
      </c>
      <c r="C271" s="85" t="s">
        <v>1044</v>
      </c>
      <c r="D271" s="85">
        <f t="shared" si="76"/>
        <v>32</v>
      </c>
      <c r="E271" s="85">
        <v>23</v>
      </c>
      <c r="F271" s="85">
        <v>4</v>
      </c>
      <c r="G271" s="85">
        <v>5</v>
      </c>
      <c r="H271" s="85">
        <v>0</v>
      </c>
      <c r="I271" s="85">
        <v>0</v>
      </c>
      <c r="M271" s="89" t="s">
        <v>340</v>
      </c>
      <c r="N271" s="85" t="s">
        <v>1107</v>
      </c>
      <c r="O271" s="85">
        <f t="shared" si="77"/>
        <v>16</v>
      </c>
      <c r="P271" s="85">
        <v>11.5</v>
      </c>
      <c r="Q271" s="85">
        <v>2</v>
      </c>
      <c r="R271" s="85">
        <v>2.5</v>
      </c>
      <c r="S271" s="85">
        <v>0</v>
      </c>
      <c r="T271" s="85">
        <v>0</v>
      </c>
      <c r="X271" s="89" t="s">
        <v>340</v>
      </c>
      <c r="Y271" s="85" t="s">
        <v>1107</v>
      </c>
      <c r="Z271" s="85">
        <f t="shared" si="78"/>
        <v>189</v>
      </c>
      <c r="AA271" s="97">
        <v>176</v>
      </c>
      <c r="AB271" s="97">
        <v>13</v>
      </c>
      <c r="AC271" s="97">
        <v>0</v>
      </c>
      <c r="AD271" s="97">
        <v>0</v>
      </c>
      <c r="AE271" s="97">
        <v>0</v>
      </c>
      <c r="AF271" s="81"/>
      <c r="AI271" s="89" t="s">
        <v>883</v>
      </c>
      <c r="AJ271" s="85" t="s">
        <v>1097</v>
      </c>
      <c r="AK271" s="85">
        <f t="shared" si="79"/>
        <v>25</v>
      </c>
      <c r="AL271" s="85">
        <v>12</v>
      </c>
      <c r="AM271" s="85">
        <v>13</v>
      </c>
      <c r="AN271" s="85">
        <v>0</v>
      </c>
      <c r="AO271" s="85">
        <v>0</v>
      </c>
      <c r="AP271" s="85">
        <v>0</v>
      </c>
      <c r="AS271" s="89" t="s">
        <v>883</v>
      </c>
      <c r="AT271" s="85" t="s">
        <v>1097</v>
      </c>
      <c r="AU271" s="85">
        <f t="shared" si="80"/>
        <v>30</v>
      </c>
      <c r="AV271" s="85">
        <v>14</v>
      </c>
      <c r="AW271" s="85">
        <v>16</v>
      </c>
      <c r="AX271" s="85">
        <v>0</v>
      </c>
      <c r="AY271" s="85">
        <v>0</v>
      </c>
      <c r="AZ271" s="85">
        <v>0</v>
      </c>
    </row>
    <row r="272" spans="2:53" x14ac:dyDescent="0.2">
      <c r="B272" s="89" t="s">
        <v>1108</v>
      </c>
      <c r="C272" s="85" t="s">
        <v>5975</v>
      </c>
      <c r="D272" s="85">
        <f t="shared" si="76"/>
        <v>28</v>
      </c>
      <c r="E272" s="85">
        <v>25</v>
      </c>
      <c r="F272" s="85">
        <v>3</v>
      </c>
      <c r="G272" s="85">
        <v>0</v>
      </c>
      <c r="H272" s="85">
        <v>0</v>
      </c>
      <c r="I272" s="85">
        <v>0</v>
      </c>
      <c r="M272" s="89" t="s">
        <v>883</v>
      </c>
      <c r="N272" s="85" t="s">
        <v>1081</v>
      </c>
      <c r="O272" s="85">
        <f t="shared" si="77"/>
        <v>14</v>
      </c>
      <c r="P272" s="85">
        <v>12.5</v>
      </c>
      <c r="Q272" s="85">
        <v>1.5</v>
      </c>
      <c r="R272" s="85">
        <v>0</v>
      </c>
      <c r="S272" s="85">
        <v>0</v>
      </c>
      <c r="T272" s="85">
        <v>0</v>
      </c>
      <c r="X272" s="89" t="s">
        <v>883</v>
      </c>
      <c r="Y272" s="85" t="s">
        <v>1081</v>
      </c>
      <c r="Z272" s="85">
        <f t="shared" si="78"/>
        <v>167</v>
      </c>
      <c r="AA272" s="97">
        <v>167</v>
      </c>
      <c r="AB272" s="97">
        <v>0</v>
      </c>
      <c r="AC272" s="97">
        <v>0</v>
      </c>
      <c r="AD272" s="97">
        <v>0</v>
      </c>
      <c r="AE272" s="97">
        <v>0</v>
      </c>
      <c r="AF272" s="81"/>
      <c r="AI272" s="89" t="s">
        <v>1109</v>
      </c>
      <c r="AJ272" s="85" t="s">
        <v>605</v>
      </c>
      <c r="AK272" s="85">
        <f t="shared" si="79"/>
        <v>23</v>
      </c>
      <c r="AL272" s="85">
        <v>23</v>
      </c>
      <c r="AM272" s="85">
        <v>0</v>
      </c>
      <c r="AN272" s="85">
        <v>0</v>
      </c>
      <c r="AO272" s="85">
        <v>0</v>
      </c>
      <c r="AP272" s="85">
        <v>0</v>
      </c>
      <c r="AS272" s="89" t="s">
        <v>1109</v>
      </c>
      <c r="AT272" s="85" t="s">
        <v>605</v>
      </c>
      <c r="AU272" s="85">
        <f t="shared" si="80"/>
        <v>105</v>
      </c>
      <c r="AV272" s="85">
        <v>100</v>
      </c>
      <c r="AW272" s="85">
        <v>5</v>
      </c>
      <c r="AX272" s="85">
        <v>0</v>
      </c>
      <c r="AY272" s="85">
        <v>0</v>
      </c>
      <c r="AZ272" s="85">
        <v>0</v>
      </c>
    </row>
    <row r="273" spans="2:53" x14ac:dyDescent="0.2">
      <c r="B273" s="89" t="s">
        <v>1110</v>
      </c>
      <c r="C273" s="85" t="s">
        <v>6152</v>
      </c>
      <c r="D273" s="85">
        <f t="shared" si="76"/>
        <v>27</v>
      </c>
      <c r="E273" s="85">
        <v>26</v>
      </c>
      <c r="F273" s="85">
        <v>0</v>
      </c>
      <c r="G273" s="85">
        <v>1</v>
      </c>
      <c r="H273" s="85">
        <v>0</v>
      </c>
      <c r="I273" s="85">
        <v>0</v>
      </c>
      <c r="M273" s="89" t="s">
        <v>1109</v>
      </c>
      <c r="N273" s="85" t="s">
        <v>1111</v>
      </c>
      <c r="O273" s="85">
        <f t="shared" si="77"/>
        <v>13.5</v>
      </c>
      <c r="P273" s="85">
        <v>13</v>
      </c>
      <c r="Q273" s="85">
        <v>0</v>
      </c>
      <c r="R273" s="85">
        <v>0.5</v>
      </c>
      <c r="S273" s="85">
        <v>0</v>
      </c>
      <c r="T273" s="85">
        <v>0</v>
      </c>
      <c r="X273" s="89" t="s">
        <v>1109</v>
      </c>
      <c r="Y273" s="85" t="s">
        <v>1111</v>
      </c>
      <c r="Z273" s="85">
        <f t="shared" si="78"/>
        <v>161</v>
      </c>
      <c r="AA273" s="97">
        <v>122</v>
      </c>
      <c r="AB273" s="97">
        <v>39</v>
      </c>
      <c r="AC273" s="97">
        <v>0</v>
      </c>
      <c r="AD273" s="97">
        <v>0</v>
      </c>
      <c r="AE273" s="97">
        <v>0</v>
      </c>
      <c r="AF273" s="81"/>
      <c r="AI273" s="89" t="s">
        <v>853</v>
      </c>
      <c r="AJ273" s="85" t="s">
        <v>1090</v>
      </c>
      <c r="AK273" s="85">
        <f t="shared" si="79"/>
        <v>60</v>
      </c>
      <c r="AL273" s="85">
        <v>21</v>
      </c>
      <c r="AM273" s="85">
        <v>39</v>
      </c>
      <c r="AN273" s="85">
        <v>0</v>
      </c>
      <c r="AO273" s="85">
        <v>0</v>
      </c>
      <c r="AP273" s="85">
        <v>0</v>
      </c>
      <c r="AS273" s="89" t="s">
        <v>853</v>
      </c>
      <c r="AT273" s="85" t="s">
        <v>1090</v>
      </c>
      <c r="AU273" s="85">
        <f t="shared" si="80"/>
        <v>29</v>
      </c>
      <c r="AV273" s="85">
        <v>27</v>
      </c>
      <c r="AW273" s="85">
        <v>2</v>
      </c>
      <c r="AX273" s="85">
        <v>0</v>
      </c>
      <c r="AY273" s="85">
        <v>0</v>
      </c>
      <c r="AZ273" s="85">
        <v>0</v>
      </c>
    </row>
    <row r="274" spans="2:53" x14ac:dyDescent="0.2">
      <c r="B274" s="89" t="s">
        <v>1105</v>
      </c>
      <c r="C274" s="85" t="s">
        <v>1112</v>
      </c>
      <c r="D274" s="85">
        <f t="shared" si="76"/>
        <v>24</v>
      </c>
      <c r="E274" s="85">
        <v>20</v>
      </c>
      <c r="F274" s="85">
        <v>4</v>
      </c>
      <c r="G274" s="85">
        <v>0</v>
      </c>
      <c r="H274" s="85">
        <v>0</v>
      </c>
      <c r="I274" s="85">
        <v>0</v>
      </c>
      <c r="M274" s="89" t="s">
        <v>1113</v>
      </c>
      <c r="N274" s="85" t="s">
        <v>1114</v>
      </c>
      <c r="O274" s="85">
        <f t="shared" si="77"/>
        <v>12</v>
      </c>
      <c r="P274" s="85">
        <v>10</v>
      </c>
      <c r="Q274" s="85">
        <v>2</v>
      </c>
      <c r="R274" s="85">
        <v>0</v>
      </c>
      <c r="S274" s="85">
        <v>0</v>
      </c>
      <c r="T274" s="85">
        <v>0</v>
      </c>
      <c r="X274" s="89" t="s">
        <v>1113</v>
      </c>
      <c r="Y274" s="85" t="s">
        <v>1114</v>
      </c>
      <c r="Z274" s="85">
        <f t="shared" si="78"/>
        <v>136</v>
      </c>
      <c r="AA274" s="97">
        <v>84</v>
      </c>
      <c r="AB274" s="97">
        <v>52</v>
      </c>
      <c r="AC274" s="97">
        <v>0</v>
      </c>
      <c r="AD274" s="97">
        <v>0</v>
      </c>
      <c r="AE274" s="97">
        <v>0</v>
      </c>
      <c r="AF274" s="81"/>
      <c r="AI274" s="89" t="s">
        <v>1115</v>
      </c>
      <c r="AJ274" s="85" t="s">
        <v>1116</v>
      </c>
      <c r="AK274" s="85">
        <f t="shared" si="79"/>
        <v>96</v>
      </c>
      <c r="AL274" s="85">
        <v>84</v>
      </c>
      <c r="AM274" s="85">
        <v>12</v>
      </c>
      <c r="AN274" s="85">
        <v>0</v>
      </c>
      <c r="AO274" s="85">
        <v>0</v>
      </c>
      <c r="AP274" s="85">
        <v>0</v>
      </c>
      <c r="AS274" s="89" t="s">
        <v>1115</v>
      </c>
      <c r="AT274" s="85" t="s">
        <v>1116</v>
      </c>
      <c r="AU274" s="85">
        <f t="shared" si="80"/>
        <v>102</v>
      </c>
      <c r="AV274" s="85">
        <v>85</v>
      </c>
      <c r="AW274" s="85">
        <v>17</v>
      </c>
      <c r="AX274" s="85">
        <v>0</v>
      </c>
      <c r="AY274" s="85">
        <v>0</v>
      </c>
      <c r="AZ274" s="85">
        <v>0</v>
      </c>
    </row>
    <row r="275" spans="2:53" x14ac:dyDescent="0.2">
      <c r="B275" s="89" t="s">
        <v>6148</v>
      </c>
      <c r="C275" s="85" t="s">
        <v>6149</v>
      </c>
      <c r="D275" s="85">
        <f t="shared" si="76"/>
        <v>22</v>
      </c>
      <c r="E275" s="85">
        <v>19</v>
      </c>
      <c r="F275" s="85">
        <v>3</v>
      </c>
      <c r="G275" s="85">
        <v>0</v>
      </c>
      <c r="H275" s="85">
        <v>0</v>
      </c>
      <c r="I275" s="85">
        <v>0</v>
      </c>
      <c r="M275" s="89" t="s">
        <v>864</v>
      </c>
      <c r="N275" s="85" t="s">
        <v>1117</v>
      </c>
      <c r="O275" s="85">
        <f t="shared" si="77"/>
        <v>11</v>
      </c>
      <c r="P275" s="85">
        <v>9.5</v>
      </c>
      <c r="Q275" s="85">
        <v>1.5</v>
      </c>
      <c r="R275" s="85">
        <v>0</v>
      </c>
      <c r="S275" s="85">
        <v>0</v>
      </c>
      <c r="T275" s="85">
        <v>0</v>
      </c>
      <c r="X275" s="89" t="s">
        <v>864</v>
      </c>
      <c r="Y275" s="85" t="s">
        <v>1117</v>
      </c>
      <c r="Z275" s="85">
        <f t="shared" si="78"/>
        <v>128</v>
      </c>
      <c r="AA275" s="97">
        <v>101</v>
      </c>
      <c r="AB275" s="97">
        <v>27</v>
      </c>
      <c r="AC275" s="97">
        <v>0</v>
      </c>
      <c r="AD275" s="97">
        <v>0</v>
      </c>
      <c r="AE275" s="97">
        <v>0</v>
      </c>
      <c r="AF275" s="81"/>
      <c r="AI275" s="89" t="s">
        <v>1113</v>
      </c>
      <c r="AJ275" s="85" t="s">
        <v>1118</v>
      </c>
      <c r="AK275" s="85">
        <f t="shared" si="79"/>
        <v>125</v>
      </c>
      <c r="AL275" s="85">
        <v>98</v>
      </c>
      <c r="AM275" s="85">
        <v>27</v>
      </c>
      <c r="AN275" s="85">
        <v>0</v>
      </c>
      <c r="AO275" s="85">
        <v>0</v>
      </c>
      <c r="AP275" s="85">
        <v>0</v>
      </c>
      <c r="AS275" s="89" t="s">
        <v>1113</v>
      </c>
      <c r="AT275" s="85" t="s">
        <v>1118</v>
      </c>
      <c r="AU275" s="85">
        <f t="shared" si="80"/>
        <v>1</v>
      </c>
      <c r="AV275" s="85">
        <v>1</v>
      </c>
      <c r="AW275" s="85">
        <v>0</v>
      </c>
      <c r="AX275" s="85">
        <v>0</v>
      </c>
      <c r="AY275" s="85">
        <v>0</v>
      </c>
      <c r="AZ275" s="85">
        <v>0</v>
      </c>
    </row>
    <row r="276" spans="2:53" x14ac:dyDescent="0.2">
      <c r="B276" s="89" t="s">
        <v>919</v>
      </c>
      <c r="C276" s="85" t="s">
        <v>911</v>
      </c>
      <c r="D276" s="85">
        <f t="shared" si="76"/>
        <v>19</v>
      </c>
      <c r="E276" s="85">
        <v>18</v>
      </c>
      <c r="F276" s="85">
        <v>0</v>
      </c>
      <c r="G276" s="85">
        <v>1</v>
      </c>
      <c r="H276" s="85">
        <v>0</v>
      </c>
      <c r="I276" s="85">
        <v>0</v>
      </c>
      <c r="M276" s="89" t="s">
        <v>1105</v>
      </c>
      <c r="N276" s="85" t="s">
        <v>872</v>
      </c>
      <c r="O276" s="85">
        <f t="shared" si="77"/>
        <v>9.5</v>
      </c>
      <c r="P276" s="85">
        <v>9</v>
      </c>
      <c r="Q276" s="85">
        <v>0</v>
      </c>
      <c r="R276" s="85">
        <v>0.5</v>
      </c>
      <c r="S276" s="85">
        <v>0</v>
      </c>
      <c r="T276" s="85">
        <v>0</v>
      </c>
      <c r="X276" s="89" t="s">
        <v>1105</v>
      </c>
      <c r="Y276" s="85" t="s">
        <v>872</v>
      </c>
      <c r="Z276" s="85">
        <f t="shared" si="78"/>
        <v>127</v>
      </c>
      <c r="AA276" s="97">
        <v>115</v>
      </c>
      <c r="AB276" s="97">
        <v>12</v>
      </c>
      <c r="AC276" s="97">
        <v>0</v>
      </c>
      <c r="AD276" s="97">
        <v>0</v>
      </c>
      <c r="AE276" s="97">
        <v>0</v>
      </c>
      <c r="AF276" s="81"/>
      <c r="AI276" s="89" t="s">
        <v>1108</v>
      </c>
      <c r="AJ276" s="85" t="s">
        <v>1119</v>
      </c>
      <c r="AK276" s="85">
        <f t="shared" si="79"/>
        <v>27</v>
      </c>
      <c r="AL276" s="85">
        <v>15</v>
      </c>
      <c r="AM276" s="85">
        <v>12</v>
      </c>
      <c r="AN276" s="85">
        <v>0</v>
      </c>
      <c r="AO276" s="85">
        <v>0</v>
      </c>
      <c r="AP276" s="85">
        <v>0</v>
      </c>
      <c r="AS276" s="89" t="s">
        <v>1108</v>
      </c>
      <c r="AT276" s="85" t="s">
        <v>1119</v>
      </c>
      <c r="AU276" s="85">
        <f t="shared" si="80"/>
        <v>49</v>
      </c>
      <c r="AV276" s="85">
        <v>44</v>
      </c>
      <c r="AW276" s="85">
        <v>5</v>
      </c>
      <c r="AX276" s="85">
        <v>0</v>
      </c>
      <c r="AY276" s="85">
        <v>0</v>
      </c>
      <c r="AZ276" s="85">
        <v>0</v>
      </c>
    </row>
    <row r="277" spans="2:53" x14ac:dyDescent="0.2">
      <c r="B277" s="89" t="s">
        <v>883</v>
      </c>
      <c r="C277" s="85" t="s">
        <v>1081</v>
      </c>
      <c r="D277" s="85">
        <f t="shared" si="76"/>
        <v>19</v>
      </c>
      <c r="E277" s="85">
        <v>15</v>
      </c>
      <c r="F277" s="85">
        <v>4</v>
      </c>
      <c r="G277" s="85">
        <v>0</v>
      </c>
      <c r="H277" s="85">
        <v>0</v>
      </c>
      <c r="I277" s="85">
        <v>0</v>
      </c>
      <c r="M277" s="89" t="s">
        <v>871</v>
      </c>
      <c r="N277" s="85" t="s">
        <v>1112</v>
      </c>
      <c r="O277" s="85">
        <f t="shared" si="77"/>
        <v>9.5</v>
      </c>
      <c r="P277" s="85">
        <v>7.5</v>
      </c>
      <c r="Q277" s="85">
        <v>2</v>
      </c>
      <c r="R277" s="85">
        <v>0</v>
      </c>
      <c r="S277" s="85">
        <v>0</v>
      </c>
      <c r="T277" s="85">
        <v>0</v>
      </c>
      <c r="X277" s="89" t="s">
        <v>871</v>
      </c>
      <c r="Y277" s="85" t="s">
        <v>1112</v>
      </c>
      <c r="Z277" s="85">
        <f t="shared" si="78"/>
        <v>125</v>
      </c>
      <c r="AA277" s="97">
        <v>112</v>
      </c>
      <c r="AB277" s="97">
        <v>13</v>
      </c>
      <c r="AC277" s="97">
        <v>0</v>
      </c>
      <c r="AD277" s="97">
        <v>0</v>
      </c>
      <c r="AE277" s="97">
        <v>0</v>
      </c>
      <c r="AF277" s="81"/>
      <c r="AI277" s="89" t="s">
        <v>910</v>
      </c>
      <c r="AJ277" s="85" t="s">
        <v>1093</v>
      </c>
      <c r="AK277" s="85">
        <f t="shared" si="79"/>
        <v>95</v>
      </c>
      <c r="AL277" s="85">
        <v>82</v>
      </c>
      <c r="AM277" s="85">
        <v>13</v>
      </c>
      <c r="AN277" s="85">
        <v>0</v>
      </c>
      <c r="AO277" s="85">
        <v>0</v>
      </c>
      <c r="AP277" s="85">
        <v>0</v>
      </c>
      <c r="AS277" s="89" t="s">
        <v>910</v>
      </c>
      <c r="AT277" s="85" t="s">
        <v>1093</v>
      </c>
      <c r="AU277" s="85">
        <f t="shared" si="80"/>
        <v>1</v>
      </c>
      <c r="AV277" s="85">
        <v>1</v>
      </c>
      <c r="AW277" s="85">
        <v>0</v>
      </c>
      <c r="AX277" s="85">
        <v>0</v>
      </c>
      <c r="AY277" s="85">
        <v>0</v>
      </c>
      <c r="AZ277" s="85">
        <v>0</v>
      </c>
    </row>
    <row r="278" spans="2:53" x14ac:dyDescent="0.2">
      <c r="B278" s="89" t="s">
        <v>6153</v>
      </c>
      <c r="C278" s="85" t="s">
        <v>6154</v>
      </c>
      <c r="D278" s="85">
        <f t="shared" si="76"/>
        <v>18</v>
      </c>
      <c r="E278" s="85">
        <v>17</v>
      </c>
      <c r="F278" s="85">
        <v>1</v>
      </c>
      <c r="G278" s="85">
        <v>0</v>
      </c>
      <c r="H278" s="85">
        <v>0</v>
      </c>
      <c r="I278" s="85">
        <v>0</v>
      </c>
      <c r="M278" s="89" t="s">
        <v>501</v>
      </c>
      <c r="N278" s="85" t="s">
        <v>796</v>
      </c>
      <c r="O278" s="85">
        <f t="shared" si="77"/>
        <v>9</v>
      </c>
      <c r="P278" s="85">
        <v>8.5</v>
      </c>
      <c r="Q278" s="85">
        <v>0.5</v>
      </c>
      <c r="R278" s="85">
        <v>0</v>
      </c>
      <c r="S278" s="85">
        <v>0</v>
      </c>
      <c r="T278" s="85">
        <v>0</v>
      </c>
      <c r="X278" s="89" t="s">
        <v>501</v>
      </c>
      <c r="Y278" s="85" t="s">
        <v>796</v>
      </c>
      <c r="Z278" s="85">
        <f t="shared" si="78"/>
        <v>119</v>
      </c>
      <c r="AA278" s="97">
        <v>119</v>
      </c>
      <c r="AB278" s="97">
        <v>0</v>
      </c>
      <c r="AC278" s="97">
        <v>0</v>
      </c>
      <c r="AD278" s="97">
        <v>0</v>
      </c>
      <c r="AE278" s="97">
        <v>0</v>
      </c>
      <c r="AF278" s="81"/>
      <c r="AI278" s="89" t="s">
        <v>501</v>
      </c>
      <c r="AJ278" s="85" t="s">
        <v>1092</v>
      </c>
      <c r="AK278" s="85">
        <f t="shared" si="79"/>
        <v>23</v>
      </c>
      <c r="AL278" s="85">
        <v>23</v>
      </c>
      <c r="AM278" s="85">
        <v>0</v>
      </c>
      <c r="AN278" s="85">
        <v>0</v>
      </c>
      <c r="AO278" s="85">
        <v>0</v>
      </c>
      <c r="AP278" s="85">
        <v>0</v>
      </c>
      <c r="AS278" s="89" t="s">
        <v>501</v>
      </c>
      <c r="AT278" s="85" t="s">
        <v>1092</v>
      </c>
      <c r="AU278" s="85">
        <f t="shared" si="80"/>
        <v>4</v>
      </c>
      <c r="AV278" s="85">
        <v>4</v>
      </c>
      <c r="AW278" s="85">
        <v>0</v>
      </c>
      <c r="AX278" s="85">
        <v>0</v>
      </c>
      <c r="AY278" s="85">
        <v>0</v>
      </c>
      <c r="AZ278" s="85">
        <v>0</v>
      </c>
    </row>
    <row r="279" spans="2:53" x14ac:dyDescent="0.2">
      <c r="B279" s="89" t="s">
        <v>6155</v>
      </c>
      <c r="C279" s="85" t="s">
        <v>6156</v>
      </c>
      <c r="D279" s="85">
        <f t="shared" si="76"/>
        <v>17</v>
      </c>
      <c r="E279" s="85">
        <v>15</v>
      </c>
      <c r="F279" s="85">
        <v>0</v>
      </c>
      <c r="G279" s="85">
        <v>2</v>
      </c>
      <c r="H279" s="85">
        <v>0</v>
      </c>
      <c r="I279" s="85">
        <v>0</v>
      </c>
      <c r="M279" s="89" t="s">
        <v>860</v>
      </c>
      <c r="N279" s="85" t="s">
        <v>861</v>
      </c>
      <c r="O279" s="85">
        <f t="shared" si="77"/>
        <v>8.5</v>
      </c>
      <c r="P279" s="85">
        <v>7.5</v>
      </c>
      <c r="Q279" s="85">
        <v>0</v>
      </c>
      <c r="R279" s="85">
        <v>1</v>
      </c>
      <c r="S279" s="85">
        <v>0</v>
      </c>
      <c r="T279" s="85">
        <v>0</v>
      </c>
      <c r="X279" s="89" t="s">
        <v>860</v>
      </c>
      <c r="Y279" s="85" t="s">
        <v>861</v>
      </c>
      <c r="Z279" s="85">
        <f t="shared" si="78"/>
        <v>78</v>
      </c>
      <c r="AA279" s="97">
        <v>64</v>
      </c>
      <c r="AB279" s="97">
        <v>14</v>
      </c>
      <c r="AC279" s="97">
        <v>0</v>
      </c>
      <c r="AD279" s="97">
        <v>0</v>
      </c>
      <c r="AE279" s="97">
        <v>0</v>
      </c>
      <c r="AF279" s="81"/>
      <c r="AI279" s="89" t="s">
        <v>999</v>
      </c>
      <c r="AJ279" s="85" t="s">
        <v>1086</v>
      </c>
      <c r="AK279" s="85">
        <f t="shared" si="79"/>
        <v>78</v>
      </c>
      <c r="AL279" s="85">
        <v>64</v>
      </c>
      <c r="AM279" s="85">
        <v>14</v>
      </c>
      <c r="AN279" s="85">
        <v>0</v>
      </c>
      <c r="AO279" s="85">
        <v>0</v>
      </c>
      <c r="AP279" s="85">
        <v>0</v>
      </c>
      <c r="AS279" s="89" t="s">
        <v>999</v>
      </c>
      <c r="AT279" s="85" t="s">
        <v>1086</v>
      </c>
      <c r="AU279" s="85">
        <f t="shared" si="80"/>
        <v>88</v>
      </c>
      <c r="AV279" s="85">
        <v>68</v>
      </c>
      <c r="AW279" s="85">
        <v>20</v>
      </c>
      <c r="AX279" s="85">
        <v>0</v>
      </c>
      <c r="AY279" s="85">
        <v>0</v>
      </c>
      <c r="AZ279" s="85">
        <v>0</v>
      </c>
    </row>
    <row r="280" spans="2:53" x14ac:dyDescent="0.2">
      <c r="B280" s="89" t="s">
        <v>1109</v>
      </c>
      <c r="C280" s="85" t="s">
        <v>1111</v>
      </c>
      <c r="D280" s="85">
        <f t="shared" si="76"/>
        <v>15</v>
      </c>
      <c r="E280" s="85">
        <v>14</v>
      </c>
      <c r="F280" s="85">
        <v>1</v>
      </c>
      <c r="G280" s="85">
        <v>0</v>
      </c>
      <c r="H280" s="85">
        <v>0</v>
      </c>
      <c r="I280" s="85">
        <v>0</v>
      </c>
      <c r="M280" s="89" t="s">
        <v>853</v>
      </c>
      <c r="N280" s="85" t="s">
        <v>868</v>
      </c>
      <c r="O280" s="85">
        <f t="shared" si="77"/>
        <v>7.5</v>
      </c>
      <c r="P280" s="85">
        <v>7</v>
      </c>
      <c r="Q280" s="85">
        <v>0.5</v>
      </c>
      <c r="R280" s="85">
        <v>0</v>
      </c>
      <c r="S280" s="85">
        <v>0</v>
      </c>
      <c r="T280" s="85">
        <v>0</v>
      </c>
      <c r="X280" s="89" t="s">
        <v>853</v>
      </c>
      <c r="Y280" s="85" t="s">
        <v>868</v>
      </c>
      <c r="Z280" s="85">
        <f t="shared" si="78"/>
        <v>74</v>
      </c>
      <c r="AA280" s="97">
        <v>23</v>
      </c>
      <c r="AB280" s="97">
        <v>0</v>
      </c>
      <c r="AC280" s="97">
        <v>51</v>
      </c>
      <c r="AD280" s="97">
        <v>0</v>
      </c>
      <c r="AE280" s="97">
        <v>0</v>
      </c>
      <c r="AF280" s="81"/>
      <c r="AI280" s="89" t="s">
        <v>891</v>
      </c>
      <c r="AJ280" s="85" t="s">
        <v>1120</v>
      </c>
      <c r="AK280" s="85">
        <f t="shared" si="79"/>
        <v>23</v>
      </c>
      <c r="AL280" s="85">
        <v>23</v>
      </c>
      <c r="AM280" s="85">
        <v>0</v>
      </c>
      <c r="AN280" s="85">
        <v>0</v>
      </c>
      <c r="AO280" s="85">
        <v>0</v>
      </c>
      <c r="AP280" s="85">
        <v>0</v>
      </c>
      <c r="AS280" s="89" t="s">
        <v>891</v>
      </c>
      <c r="AT280" s="85" t="s">
        <v>1120</v>
      </c>
      <c r="AU280" s="85">
        <f t="shared" si="80"/>
        <v>8</v>
      </c>
      <c r="AV280" s="85">
        <v>8</v>
      </c>
      <c r="AW280" s="85">
        <v>0</v>
      </c>
      <c r="AX280" s="85">
        <v>0</v>
      </c>
      <c r="AY280" s="85">
        <v>0</v>
      </c>
      <c r="AZ280" s="85">
        <v>0</v>
      </c>
    </row>
    <row r="281" spans="2:53" x14ac:dyDescent="0.2">
      <c r="B281" s="89" t="s">
        <v>6120</v>
      </c>
      <c r="C281" s="85" t="s">
        <v>6121</v>
      </c>
      <c r="D281" s="85">
        <f t="shared" si="76"/>
        <v>15</v>
      </c>
      <c r="E281" s="85">
        <v>15</v>
      </c>
      <c r="F281" s="85">
        <v>0</v>
      </c>
      <c r="G281" s="85">
        <v>0</v>
      </c>
      <c r="H281" s="85">
        <v>0</v>
      </c>
      <c r="I281" s="85">
        <v>0</v>
      </c>
      <c r="M281" s="89" t="s">
        <v>866</v>
      </c>
      <c r="N281" s="85" t="s">
        <v>870</v>
      </c>
      <c r="O281" s="85">
        <f t="shared" si="77"/>
        <v>7.5</v>
      </c>
      <c r="P281" s="85">
        <v>7.5</v>
      </c>
      <c r="Q281" s="85">
        <v>0</v>
      </c>
      <c r="R281" s="85">
        <v>0</v>
      </c>
      <c r="S281" s="85">
        <v>0</v>
      </c>
      <c r="T281" s="85">
        <v>0</v>
      </c>
      <c r="X281" s="89" t="s">
        <v>866</v>
      </c>
      <c r="Y281" s="85" t="s">
        <v>870</v>
      </c>
      <c r="Z281" s="85">
        <f t="shared" si="78"/>
        <v>65</v>
      </c>
      <c r="AA281" s="97">
        <v>52</v>
      </c>
      <c r="AB281" s="97">
        <v>13</v>
      </c>
      <c r="AC281" s="97">
        <v>0</v>
      </c>
      <c r="AD281" s="97">
        <v>0</v>
      </c>
      <c r="AE281" s="97">
        <v>0</v>
      </c>
      <c r="AF281" s="81"/>
      <c r="AI281" s="89" t="s">
        <v>1121</v>
      </c>
      <c r="AJ281" s="85" t="s">
        <v>1122</v>
      </c>
      <c r="AK281" s="85">
        <f t="shared" si="79"/>
        <v>65</v>
      </c>
      <c r="AL281" s="85">
        <v>52</v>
      </c>
      <c r="AM281" s="85">
        <v>13</v>
      </c>
      <c r="AN281" s="85">
        <v>0</v>
      </c>
      <c r="AO281" s="85">
        <v>0</v>
      </c>
      <c r="AP281" s="85">
        <v>0</v>
      </c>
      <c r="AS281" s="89" t="s">
        <v>1121</v>
      </c>
      <c r="AT281" s="85" t="s">
        <v>1122</v>
      </c>
      <c r="AU281" s="85">
        <f t="shared" si="80"/>
        <v>73</v>
      </c>
      <c r="AV281" s="85">
        <v>55</v>
      </c>
      <c r="AW281" s="85">
        <v>18</v>
      </c>
      <c r="AX281" s="85">
        <v>0</v>
      </c>
      <c r="AY281" s="85">
        <v>0</v>
      </c>
      <c r="AZ281" s="85">
        <v>0</v>
      </c>
    </row>
    <row r="282" spans="2:53" x14ac:dyDescent="0.2">
      <c r="B282" s="89" t="s">
        <v>871</v>
      </c>
      <c r="C282" s="85" t="s">
        <v>872</v>
      </c>
      <c r="D282" s="85">
        <f t="shared" si="76"/>
        <v>15</v>
      </c>
      <c r="E282" s="85">
        <v>15</v>
      </c>
      <c r="F282" s="85">
        <v>0</v>
      </c>
      <c r="G282" s="85">
        <v>0</v>
      </c>
      <c r="H282" s="85">
        <v>0</v>
      </c>
      <c r="I282" s="85">
        <v>0</v>
      </c>
      <c r="M282" s="89" t="s">
        <v>502</v>
      </c>
      <c r="N282" s="85" t="s">
        <v>867</v>
      </c>
      <c r="O282" s="85">
        <f t="shared" si="77"/>
        <v>7.5</v>
      </c>
      <c r="P282" s="85">
        <v>7.5</v>
      </c>
      <c r="Q282" s="85">
        <v>0</v>
      </c>
      <c r="R282" s="85">
        <v>0</v>
      </c>
      <c r="S282" s="85">
        <v>0</v>
      </c>
      <c r="T282" s="85">
        <v>0</v>
      </c>
      <c r="X282" s="89" t="s">
        <v>502</v>
      </c>
      <c r="Y282" s="85" t="s">
        <v>867</v>
      </c>
      <c r="Z282" s="85">
        <f t="shared" si="78"/>
        <v>63</v>
      </c>
      <c r="AA282" s="97">
        <v>49</v>
      </c>
      <c r="AB282" s="97">
        <v>14</v>
      </c>
      <c r="AC282" s="97">
        <v>0</v>
      </c>
      <c r="AD282" s="97">
        <v>0</v>
      </c>
      <c r="AE282" s="97">
        <v>0</v>
      </c>
      <c r="AF282" s="81"/>
      <c r="AI282" s="89" t="s">
        <v>886</v>
      </c>
      <c r="AJ282" s="85" t="s">
        <v>1123</v>
      </c>
      <c r="AK282" s="85">
        <f t="shared" si="79"/>
        <v>63</v>
      </c>
      <c r="AL282" s="85">
        <v>49</v>
      </c>
      <c r="AM282" s="85">
        <v>14</v>
      </c>
      <c r="AN282" s="85">
        <v>0</v>
      </c>
      <c r="AO282" s="85">
        <v>0</v>
      </c>
      <c r="AP282" s="85">
        <v>0</v>
      </c>
      <c r="AS282" s="89" t="s">
        <v>886</v>
      </c>
      <c r="AT282" s="85" t="s">
        <v>1123</v>
      </c>
      <c r="AU282" s="85">
        <f t="shared" si="80"/>
        <v>12</v>
      </c>
      <c r="AV282" s="85">
        <v>10</v>
      </c>
      <c r="AW282" s="85">
        <v>2</v>
      </c>
      <c r="AX282" s="85">
        <v>0</v>
      </c>
      <c r="AY282" s="85">
        <v>0</v>
      </c>
      <c r="AZ282" s="85">
        <v>0</v>
      </c>
    </row>
    <row r="283" spans="2:53" x14ac:dyDescent="0.2">
      <c r="B283" s="89"/>
      <c r="C283" s="85" t="s">
        <v>577</v>
      </c>
      <c r="D283" s="85">
        <f t="shared" si="76"/>
        <v>585</v>
      </c>
      <c r="E283" s="85">
        <v>516</v>
      </c>
      <c r="F283" s="85">
        <v>48</v>
      </c>
      <c r="G283" s="85">
        <v>18</v>
      </c>
      <c r="H283" s="85">
        <v>3</v>
      </c>
      <c r="I283" s="85">
        <v>0</v>
      </c>
      <c r="M283" s="89"/>
      <c r="N283" s="85" t="s">
        <v>577</v>
      </c>
      <c r="O283" s="85">
        <f t="shared" si="77"/>
        <v>292.5</v>
      </c>
      <c r="P283" s="85">
        <v>258</v>
      </c>
      <c r="Q283" s="85">
        <v>24</v>
      </c>
      <c r="R283" s="85">
        <v>9</v>
      </c>
      <c r="S283" s="85">
        <v>1.5</v>
      </c>
      <c r="T283" s="85">
        <v>0</v>
      </c>
      <c r="X283" s="89"/>
      <c r="Y283" s="85" t="s">
        <v>577</v>
      </c>
      <c r="Z283" s="85">
        <f t="shared" si="78"/>
        <v>2309</v>
      </c>
      <c r="AA283" s="97">
        <v>1646</v>
      </c>
      <c r="AB283" s="97">
        <v>582</v>
      </c>
      <c r="AC283" s="97">
        <v>51</v>
      </c>
      <c r="AD283" s="97">
        <v>30</v>
      </c>
      <c r="AE283" s="97">
        <v>0</v>
      </c>
      <c r="AF283" s="81"/>
      <c r="AI283" s="89"/>
      <c r="AJ283" s="85" t="s">
        <v>187</v>
      </c>
      <c r="AK283" s="85">
        <f t="shared" si="79"/>
        <v>11</v>
      </c>
      <c r="AL283" s="85">
        <v>5</v>
      </c>
      <c r="AM283" s="85">
        <v>6</v>
      </c>
      <c r="AN283" s="85">
        <v>0</v>
      </c>
      <c r="AO283" s="85">
        <v>0</v>
      </c>
      <c r="AP283" s="85">
        <v>0</v>
      </c>
      <c r="AS283" s="89"/>
      <c r="AT283" s="85" t="s">
        <v>187</v>
      </c>
      <c r="AU283" s="85">
        <f t="shared" si="80"/>
        <v>28</v>
      </c>
      <c r="AV283" s="85">
        <v>10</v>
      </c>
      <c r="AW283" s="85">
        <v>18</v>
      </c>
      <c r="AX283" s="85">
        <v>0</v>
      </c>
      <c r="AY283" s="85">
        <v>0</v>
      </c>
      <c r="AZ283" s="85">
        <v>0</v>
      </c>
    </row>
    <row r="284" spans="2:53" x14ac:dyDescent="0.2">
      <c r="B284" s="89"/>
      <c r="C284" s="96" t="s">
        <v>0</v>
      </c>
      <c r="D284" s="91">
        <f t="shared" ref="D284:I284" si="81">SUM(D263:D283)</f>
        <v>1596</v>
      </c>
      <c r="E284" s="91">
        <f t="shared" si="81"/>
        <v>1456</v>
      </c>
      <c r="F284" s="91">
        <f t="shared" si="81"/>
        <v>102</v>
      </c>
      <c r="G284" s="91">
        <f t="shared" si="81"/>
        <v>35</v>
      </c>
      <c r="H284" s="91">
        <f t="shared" si="81"/>
        <v>3</v>
      </c>
      <c r="I284" s="91">
        <f t="shared" si="81"/>
        <v>0</v>
      </c>
      <c r="M284" s="89"/>
      <c r="N284" s="96" t="s">
        <v>0</v>
      </c>
      <c r="O284" s="91">
        <f t="shared" ref="O284:T284" si="82">SUM(O263:O283)</f>
        <v>798</v>
      </c>
      <c r="P284" s="91">
        <f t="shared" si="82"/>
        <v>728</v>
      </c>
      <c r="Q284" s="91">
        <f t="shared" si="82"/>
        <v>51</v>
      </c>
      <c r="R284" s="91">
        <f t="shared" si="82"/>
        <v>17.5</v>
      </c>
      <c r="S284" s="91">
        <f t="shared" si="82"/>
        <v>1.5</v>
      </c>
      <c r="T284" s="91">
        <f t="shared" si="82"/>
        <v>0</v>
      </c>
      <c r="X284" s="89"/>
      <c r="Y284" s="96" t="s">
        <v>0</v>
      </c>
      <c r="Z284" s="91">
        <f t="shared" ref="Z284:AE284" si="83">SUM(Z263:Z283)</f>
        <v>8136</v>
      </c>
      <c r="AA284" s="91">
        <f t="shared" si="83"/>
        <v>6335</v>
      </c>
      <c r="AB284" s="91">
        <f t="shared" si="83"/>
        <v>1365</v>
      </c>
      <c r="AC284" s="91">
        <f t="shared" si="83"/>
        <v>406</v>
      </c>
      <c r="AD284" s="91">
        <f t="shared" si="83"/>
        <v>30</v>
      </c>
      <c r="AE284" s="91">
        <f t="shared" si="83"/>
        <v>0</v>
      </c>
      <c r="AF284" s="81"/>
      <c r="AI284" s="89"/>
      <c r="AJ284" s="96" t="s">
        <v>0</v>
      </c>
      <c r="AK284" s="91">
        <f t="shared" ref="AK284:AP284" si="84">SUM(AK263:AK283)</f>
        <v>1369</v>
      </c>
      <c r="AL284" s="91">
        <f t="shared" si="84"/>
        <v>907</v>
      </c>
      <c r="AM284" s="91">
        <f t="shared" si="84"/>
        <v>462</v>
      </c>
      <c r="AN284" s="91">
        <f t="shared" si="84"/>
        <v>0</v>
      </c>
      <c r="AO284" s="91">
        <f t="shared" si="84"/>
        <v>0</v>
      </c>
      <c r="AP284" s="91">
        <f t="shared" si="84"/>
        <v>0</v>
      </c>
      <c r="AS284" s="89"/>
      <c r="AT284" s="96" t="s">
        <v>0</v>
      </c>
      <c r="AU284" s="91">
        <f t="shared" ref="AU284:AZ284" si="85">SUM(AU263:AU283)</f>
        <v>821</v>
      </c>
      <c r="AV284" s="91">
        <f t="shared" si="85"/>
        <v>686</v>
      </c>
      <c r="AW284" s="91">
        <f t="shared" si="85"/>
        <v>126</v>
      </c>
      <c r="AX284" s="91">
        <f t="shared" si="85"/>
        <v>0</v>
      </c>
      <c r="AY284" s="91">
        <f t="shared" si="85"/>
        <v>0</v>
      </c>
      <c r="AZ284" s="91">
        <f t="shared" si="85"/>
        <v>0</v>
      </c>
    </row>
    <row r="285" spans="2:53" x14ac:dyDescent="0.2">
      <c r="B285" s="3949"/>
      <c r="M285" s="3949"/>
      <c r="X285" s="3949"/>
      <c r="Y285" s="81"/>
      <c r="Z285" s="81"/>
      <c r="AA285" s="81"/>
      <c r="AB285" s="81"/>
      <c r="AC285" s="81"/>
      <c r="AD285" s="81"/>
      <c r="AE285" s="81"/>
      <c r="AF285" s="81"/>
      <c r="AI285" s="3949"/>
      <c r="AJ285" s="81"/>
      <c r="AK285" s="81"/>
      <c r="AL285" s="81"/>
      <c r="AM285" s="81"/>
      <c r="AN285" s="81"/>
      <c r="AO285" s="81"/>
      <c r="AP285" s="81"/>
      <c r="AQ285" s="81"/>
      <c r="AS285" s="3949"/>
      <c r="AT285" s="81"/>
      <c r="AU285" s="81"/>
      <c r="AV285" s="81"/>
      <c r="AW285" s="81"/>
      <c r="AX285" s="81"/>
      <c r="AY285" s="81"/>
      <c r="AZ285" s="81"/>
      <c r="BA285" s="81"/>
    </row>
    <row r="286" spans="2:53" x14ac:dyDescent="0.2">
      <c r="B286" s="3949"/>
      <c r="M286" s="3949"/>
      <c r="X286" s="3949"/>
      <c r="Y286" s="81"/>
      <c r="Z286" s="81"/>
      <c r="AA286" s="81"/>
      <c r="AB286" s="81"/>
      <c r="AC286" s="81"/>
      <c r="AD286" s="81"/>
      <c r="AE286" s="81"/>
      <c r="AF286" s="81"/>
      <c r="AI286" s="3949"/>
      <c r="AJ286" s="81"/>
      <c r="AK286" s="81"/>
      <c r="AL286" s="81"/>
      <c r="AM286" s="81"/>
      <c r="AN286" s="81"/>
      <c r="AO286" s="81"/>
      <c r="AP286" s="81"/>
      <c r="AQ286" s="81"/>
      <c r="AS286" s="3949"/>
      <c r="AT286" s="81"/>
      <c r="AU286" s="81"/>
      <c r="AV286" s="81"/>
      <c r="AW286" s="81"/>
      <c r="AX286" s="81"/>
      <c r="AY286" s="81"/>
      <c r="AZ286" s="81"/>
      <c r="BA286" s="81"/>
    </row>
    <row r="287" spans="2:53" x14ac:dyDescent="0.2">
      <c r="B287" s="88" t="s">
        <v>764</v>
      </c>
      <c r="M287" s="88" t="s">
        <v>765</v>
      </c>
      <c r="X287" s="88" t="s">
        <v>480</v>
      </c>
      <c r="Y287" s="81"/>
      <c r="Z287" s="81"/>
      <c r="AA287" s="81"/>
      <c r="AB287" s="81"/>
      <c r="AC287" s="81"/>
      <c r="AD287" s="81"/>
      <c r="AE287" s="81"/>
      <c r="AF287" s="81"/>
      <c r="AI287" s="88" t="s">
        <v>1992</v>
      </c>
      <c r="AJ287" s="81"/>
      <c r="AK287" s="81"/>
      <c r="AL287" s="81"/>
      <c r="AM287" s="81"/>
      <c r="AN287" s="81"/>
      <c r="AO287" s="81"/>
      <c r="AP287" s="81"/>
      <c r="AQ287" s="81"/>
      <c r="AS287" s="88" t="s">
        <v>3638</v>
      </c>
      <c r="AT287" s="81"/>
      <c r="AU287" s="81"/>
      <c r="AV287" s="81"/>
      <c r="AW287" s="81"/>
      <c r="AX287" s="81"/>
      <c r="AY287" s="81"/>
      <c r="AZ287" s="81"/>
      <c r="BA287" s="81"/>
    </row>
    <row r="288" spans="2:53" ht="11.25" customHeight="1" x14ac:dyDescent="0.2">
      <c r="B288" s="4258" t="s">
        <v>161</v>
      </c>
      <c r="C288" s="4258" t="s">
        <v>778</v>
      </c>
      <c r="D288" s="4258" t="s">
        <v>0</v>
      </c>
      <c r="E288" s="4260" t="s">
        <v>186</v>
      </c>
      <c r="F288" s="4261"/>
      <c r="G288" s="4261"/>
      <c r="H288" s="4261"/>
      <c r="I288" s="4262"/>
      <c r="M288" s="4258" t="s">
        <v>161</v>
      </c>
      <c r="N288" s="4258" t="s">
        <v>778</v>
      </c>
      <c r="O288" s="4258" t="s">
        <v>0</v>
      </c>
      <c r="P288" s="4260" t="s">
        <v>186</v>
      </c>
      <c r="Q288" s="4261"/>
      <c r="R288" s="4261"/>
      <c r="S288" s="4261"/>
      <c r="T288" s="4262"/>
      <c r="X288" s="4258" t="s">
        <v>161</v>
      </c>
      <c r="Y288" s="4258" t="s">
        <v>778</v>
      </c>
      <c r="Z288" s="4258" t="s">
        <v>0</v>
      </c>
      <c r="AA288" s="4260" t="s">
        <v>186</v>
      </c>
      <c r="AB288" s="4261"/>
      <c r="AC288" s="4261"/>
      <c r="AD288" s="4261"/>
      <c r="AE288" s="4262"/>
      <c r="AF288" s="81"/>
      <c r="AI288" s="4258" t="s">
        <v>161</v>
      </c>
      <c r="AJ288" s="4258" t="s">
        <v>778</v>
      </c>
      <c r="AK288" s="4258" t="s">
        <v>0</v>
      </c>
      <c r="AL288" s="4260" t="s">
        <v>186</v>
      </c>
      <c r="AM288" s="4261"/>
      <c r="AN288" s="4261"/>
      <c r="AO288" s="4261"/>
      <c r="AP288" s="4262"/>
      <c r="AS288" s="4258" t="s">
        <v>161</v>
      </c>
      <c r="AT288" s="4258" t="s">
        <v>778</v>
      </c>
      <c r="AU288" s="4258" t="s">
        <v>0</v>
      </c>
      <c r="AV288" s="4260" t="s">
        <v>186</v>
      </c>
      <c r="AW288" s="4261"/>
      <c r="AX288" s="4261"/>
      <c r="AY288" s="4261"/>
      <c r="AZ288" s="4262"/>
    </row>
    <row r="289" spans="2:52" x14ac:dyDescent="0.2">
      <c r="B289" s="4259"/>
      <c r="C289" s="4259"/>
      <c r="D289" s="4259"/>
      <c r="E289" s="3948" t="s">
        <v>743</v>
      </c>
      <c r="F289" s="3948" t="s">
        <v>744</v>
      </c>
      <c r="G289" s="3948" t="s">
        <v>745</v>
      </c>
      <c r="H289" s="3948" t="s">
        <v>746</v>
      </c>
      <c r="I289" s="3948" t="s">
        <v>747</v>
      </c>
      <c r="M289" s="4259"/>
      <c r="N289" s="4259"/>
      <c r="O289" s="4259"/>
      <c r="P289" s="3948" t="s">
        <v>743</v>
      </c>
      <c r="Q289" s="3948" t="s">
        <v>744</v>
      </c>
      <c r="R289" s="3948" t="s">
        <v>745</v>
      </c>
      <c r="S289" s="3948" t="s">
        <v>746</v>
      </c>
      <c r="T289" s="3948" t="s">
        <v>747</v>
      </c>
      <c r="X289" s="4259"/>
      <c r="Y289" s="4259"/>
      <c r="Z289" s="4259"/>
      <c r="AA289" s="3948" t="s">
        <v>743</v>
      </c>
      <c r="AB289" s="3948" t="s">
        <v>744</v>
      </c>
      <c r="AC289" s="3948" t="s">
        <v>745</v>
      </c>
      <c r="AD289" s="3948" t="s">
        <v>746</v>
      </c>
      <c r="AE289" s="3948" t="s">
        <v>747</v>
      </c>
      <c r="AF289" s="81"/>
      <c r="AI289" s="4259"/>
      <c r="AJ289" s="4259"/>
      <c r="AK289" s="4259"/>
      <c r="AL289" s="3948" t="s">
        <v>743</v>
      </c>
      <c r="AM289" s="3948" t="s">
        <v>744</v>
      </c>
      <c r="AN289" s="3948" t="s">
        <v>745</v>
      </c>
      <c r="AO289" s="3948" t="s">
        <v>746</v>
      </c>
      <c r="AP289" s="3948" t="s">
        <v>747</v>
      </c>
      <c r="AS289" s="4259"/>
      <c r="AT289" s="4259"/>
      <c r="AU289" s="4259"/>
      <c r="AV289" s="3948" t="s">
        <v>743</v>
      </c>
      <c r="AW289" s="3948" t="s">
        <v>744</v>
      </c>
      <c r="AX289" s="3948" t="s">
        <v>745</v>
      </c>
      <c r="AY289" s="3948" t="s">
        <v>746</v>
      </c>
      <c r="AZ289" s="3948" t="s">
        <v>747</v>
      </c>
    </row>
    <row r="290" spans="2:52" x14ac:dyDescent="0.2">
      <c r="B290" s="89" t="s">
        <v>944</v>
      </c>
      <c r="C290" s="85" t="s">
        <v>1072</v>
      </c>
      <c r="D290" s="85">
        <f>SUM(E290:I290)</f>
        <v>13</v>
      </c>
      <c r="E290" s="85">
        <v>0</v>
      </c>
      <c r="F290" s="85">
        <v>1</v>
      </c>
      <c r="G290" s="85">
        <v>8</v>
      </c>
      <c r="H290" s="85">
        <v>4</v>
      </c>
      <c r="I290" s="85">
        <v>0</v>
      </c>
      <c r="M290" s="89" t="s">
        <v>944</v>
      </c>
      <c r="N290" s="85" t="s">
        <v>1072</v>
      </c>
      <c r="O290" s="85">
        <f>SUM(P290:T290)</f>
        <v>7</v>
      </c>
      <c r="P290" s="85">
        <v>0</v>
      </c>
      <c r="Q290" s="85">
        <v>1</v>
      </c>
      <c r="R290" s="85">
        <v>4</v>
      </c>
      <c r="S290" s="85">
        <v>2</v>
      </c>
      <c r="T290" s="85">
        <v>0</v>
      </c>
      <c r="X290" s="89" t="s">
        <v>944</v>
      </c>
      <c r="Y290" s="85" t="s">
        <v>1072</v>
      </c>
      <c r="Z290" s="85">
        <f>SUM(AA290:AE290)</f>
        <v>18772</v>
      </c>
      <c r="AA290" s="97">
        <v>0</v>
      </c>
      <c r="AB290" s="97">
        <v>1008</v>
      </c>
      <c r="AC290" s="97">
        <v>10331</v>
      </c>
      <c r="AD290" s="97">
        <v>7433</v>
      </c>
      <c r="AE290" s="97">
        <v>0</v>
      </c>
      <c r="AF290" s="81"/>
      <c r="AI290" s="89" t="s">
        <v>944</v>
      </c>
      <c r="AJ290" s="85" t="s">
        <v>1124</v>
      </c>
      <c r="AK290" s="85">
        <f>SUM(AL290:AP290)</f>
        <v>76</v>
      </c>
      <c r="AL290" s="85">
        <v>0</v>
      </c>
      <c r="AM290" s="85">
        <v>10</v>
      </c>
      <c r="AN290" s="85">
        <v>31</v>
      </c>
      <c r="AO290" s="85">
        <v>33</v>
      </c>
      <c r="AP290" s="85">
        <v>2</v>
      </c>
      <c r="AS290" s="89" t="s">
        <v>944</v>
      </c>
      <c r="AT290" s="85" t="s">
        <v>1124</v>
      </c>
      <c r="AU290" s="85">
        <f>SUM(AV290:AZ290)</f>
        <v>1</v>
      </c>
      <c r="AV290" s="85">
        <v>0</v>
      </c>
      <c r="AW290" s="85">
        <v>0</v>
      </c>
      <c r="AX290" s="85">
        <v>1</v>
      </c>
      <c r="AY290" s="85">
        <v>0</v>
      </c>
      <c r="AZ290" s="85">
        <v>0</v>
      </c>
    </row>
    <row r="291" spans="2:52" x14ac:dyDescent="0.2">
      <c r="B291" s="89" t="s">
        <v>929</v>
      </c>
      <c r="C291" s="85" t="s">
        <v>930</v>
      </c>
      <c r="D291" s="85">
        <f t="shared" ref="D291:D310" si="86">SUM(E291:I291)</f>
        <v>12</v>
      </c>
      <c r="E291" s="85">
        <v>0</v>
      </c>
      <c r="F291" s="85">
        <v>0</v>
      </c>
      <c r="G291" s="85">
        <v>8</v>
      </c>
      <c r="H291" s="85">
        <v>3</v>
      </c>
      <c r="I291" s="85">
        <v>1</v>
      </c>
      <c r="M291" s="89" t="s">
        <v>929</v>
      </c>
      <c r="N291" s="85" t="s">
        <v>930</v>
      </c>
      <c r="O291" s="85">
        <f t="shared" ref="O291:O310" si="87">SUM(P291:T291)</f>
        <v>7</v>
      </c>
      <c r="P291" s="85">
        <v>0</v>
      </c>
      <c r="Q291" s="85">
        <v>0</v>
      </c>
      <c r="R291" s="85">
        <v>4</v>
      </c>
      <c r="S291" s="85">
        <v>2</v>
      </c>
      <c r="T291" s="85">
        <v>1</v>
      </c>
      <c r="X291" s="89" t="s">
        <v>929</v>
      </c>
      <c r="Y291" s="85" t="s">
        <v>930</v>
      </c>
      <c r="Z291" s="85">
        <f t="shared" ref="Z291:Z310" si="88">SUM(AA291:AE291)</f>
        <v>11869</v>
      </c>
      <c r="AA291" s="97">
        <v>0</v>
      </c>
      <c r="AB291" s="97">
        <v>446</v>
      </c>
      <c r="AC291" s="97">
        <v>6575</v>
      </c>
      <c r="AD291" s="97">
        <v>4541</v>
      </c>
      <c r="AE291" s="97">
        <v>307</v>
      </c>
      <c r="AF291" s="81"/>
      <c r="AI291" s="89" t="s">
        <v>1125</v>
      </c>
      <c r="AJ291" s="85" t="s">
        <v>1126</v>
      </c>
      <c r="AK291" s="85">
        <f t="shared" ref="AK291:AK310" si="89">SUM(AL291:AP291)</f>
        <v>130</v>
      </c>
      <c r="AL291" s="85">
        <v>0</v>
      </c>
      <c r="AM291" s="85">
        <v>46</v>
      </c>
      <c r="AN291" s="85">
        <v>2</v>
      </c>
      <c r="AO291" s="85">
        <v>45</v>
      </c>
      <c r="AP291" s="85">
        <v>37</v>
      </c>
      <c r="AS291" s="89" t="s">
        <v>1125</v>
      </c>
      <c r="AT291" s="85" t="s">
        <v>1126</v>
      </c>
      <c r="AU291" s="85">
        <f t="shared" ref="AU291:AU310" si="90">SUM(AV291:AZ291)</f>
        <v>1</v>
      </c>
      <c r="AV291" s="85">
        <v>0</v>
      </c>
      <c r="AW291" s="85">
        <v>0</v>
      </c>
      <c r="AX291" s="85">
        <v>1</v>
      </c>
      <c r="AY291" s="85">
        <v>0</v>
      </c>
      <c r="AZ291" s="85">
        <v>0</v>
      </c>
    </row>
    <row r="292" spans="2:52" x14ac:dyDescent="0.2">
      <c r="B292" s="89" t="s">
        <v>1127</v>
      </c>
      <c r="C292" s="85" t="s">
        <v>1128</v>
      </c>
      <c r="D292" s="85">
        <f t="shared" si="86"/>
        <v>3</v>
      </c>
      <c r="E292" s="85">
        <v>0</v>
      </c>
      <c r="F292" s="85">
        <v>0</v>
      </c>
      <c r="G292" s="85">
        <v>0</v>
      </c>
      <c r="H292" s="85">
        <v>3</v>
      </c>
      <c r="I292" s="85">
        <v>0</v>
      </c>
      <c r="M292" s="89" t="s">
        <v>1127</v>
      </c>
      <c r="N292" s="85" t="s">
        <v>1128</v>
      </c>
      <c r="O292" s="85">
        <f t="shared" si="87"/>
        <v>2</v>
      </c>
      <c r="P292" s="85">
        <v>0</v>
      </c>
      <c r="Q292" s="85">
        <v>0</v>
      </c>
      <c r="R292" s="85">
        <v>0</v>
      </c>
      <c r="S292" s="85">
        <v>2</v>
      </c>
      <c r="T292" s="85">
        <v>0</v>
      </c>
      <c r="X292" s="89" t="s">
        <v>1127</v>
      </c>
      <c r="Y292" s="85" t="s">
        <v>1128</v>
      </c>
      <c r="Z292" s="85">
        <f t="shared" si="88"/>
        <v>8508</v>
      </c>
      <c r="AA292" s="97">
        <v>0</v>
      </c>
      <c r="AB292" s="97">
        <v>194</v>
      </c>
      <c r="AC292" s="97">
        <v>3622</v>
      </c>
      <c r="AD292" s="97">
        <v>4621</v>
      </c>
      <c r="AE292" s="97">
        <v>71</v>
      </c>
      <c r="AF292" s="81"/>
      <c r="AI292" s="89" t="s">
        <v>929</v>
      </c>
      <c r="AJ292" s="85" t="s">
        <v>1129</v>
      </c>
      <c r="AK292" s="85">
        <f t="shared" si="89"/>
        <v>54</v>
      </c>
      <c r="AL292" s="85">
        <v>0</v>
      </c>
      <c r="AM292" s="85">
        <v>5</v>
      </c>
      <c r="AN292" s="85">
        <v>22</v>
      </c>
      <c r="AO292" s="85">
        <v>21</v>
      </c>
      <c r="AP292" s="85">
        <v>6</v>
      </c>
      <c r="AS292" s="89" t="s">
        <v>929</v>
      </c>
      <c r="AT292" s="85" t="s">
        <v>1129</v>
      </c>
      <c r="AU292" s="85">
        <f t="shared" si="90"/>
        <v>24</v>
      </c>
      <c r="AV292" s="85">
        <v>0</v>
      </c>
      <c r="AW292" s="85">
        <v>1</v>
      </c>
      <c r="AX292" s="85">
        <v>11</v>
      </c>
      <c r="AY292" s="85">
        <v>12</v>
      </c>
      <c r="AZ292" s="85">
        <v>0</v>
      </c>
    </row>
    <row r="293" spans="2:52" x14ac:dyDescent="0.2">
      <c r="B293" s="89" t="s">
        <v>1130</v>
      </c>
      <c r="C293" s="85" t="s">
        <v>1131</v>
      </c>
      <c r="D293" s="85">
        <f t="shared" si="86"/>
        <v>3</v>
      </c>
      <c r="E293" s="85">
        <v>0</v>
      </c>
      <c r="F293" s="85">
        <v>0</v>
      </c>
      <c r="G293" s="85">
        <v>1</v>
      </c>
      <c r="H293" s="85">
        <v>2</v>
      </c>
      <c r="I293" s="85">
        <v>0</v>
      </c>
      <c r="M293" s="89" t="s">
        <v>1130</v>
      </c>
      <c r="N293" s="85" t="s">
        <v>1131</v>
      </c>
      <c r="O293" s="85">
        <f t="shared" si="87"/>
        <v>2</v>
      </c>
      <c r="P293" s="85">
        <v>0</v>
      </c>
      <c r="Q293" s="85">
        <v>0</v>
      </c>
      <c r="R293" s="85">
        <v>1</v>
      </c>
      <c r="S293" s="85">
        <v>1</v>
      </c>
      <c r="T293" s="85">
        <v>0</v>
      </c>
      <c r="X293" s="89" t="s">
        <v>1130</v>
      </c>
      <c r="Y293" s="85" t="s">
        <v>1131</v>
      </c>
      <c r="Z293" s="85">
        <f t="shared" si="88"/>
        <v>4679</v>
      </c>
      <c r="AA293" s="97">
        <v>0</v>
      </c>
      <c r="AB293" s="97">
        <v>289</v>
      </c>
      <c r="AC293" s="97">
        <v>2491</v>
      </c>
      <c r="AD293" s="97">
        <v>1839</v>
      </c>
      <c r="AE293" s="97">
        <v>60</v>
      </c>
      <c r="AF293" s="81"/>
      <c r="AI293" s="89" t="s">
        <v>949</v>
      </c>
      <c r="AJ293" s="85" t="s">
        <v>1132</v>
      </c>
      <c r="AK293" s="85">
        <f t="shared" si="89"/>
        <v>157</v>
      </c>
      <c r="AL293" s="85">
        <v>0</v>
      </c>
      <c r="AM293" s="85">
        <v>2</v>
      </c>
      <c r="AN293" s="85">
        <v>91</v>
      </c>
      <c r="AO293" s="85">
        <v>39</v>
      </c>
      <c r="AP293" s="85">
        <v>25</v>
      </c>
      <c r="AS293" s="89" t="s">
        <v>949</v>
      </c>
      <c r="AT293" s="85" t="s">
        <v>1132</v>
      </c>
      <c r="AU293" s="85">
        <f t="shared" si="90"/>
        <v>132</v>
      </c>
      <c r="AV293" s="85">
        <v>0</v>
      </c>
      <c r="AW293" s="85">
        <v>2</v>
      </c>
      <c r="AX293" s="85">
        <v>85</v>
      </c>
      <c r="AY293" s="85">
        <v>45</v>
      </c>
      <c r="AZ293" s="85">
        <v>0</v>
      </c>
    </row>
    <row r="294" spans="2:52" x14ac:dyDescent="0.2">
      <c r="B294" s="89" t="s">
        <v>335</v>
      </c>
      <c r="C294" s="85" t="s">
        <v>924</v>
      </c>
      <c r="D294" s="85">
        <f t="shared" si="86"/>
        <v>2</v>
      </c>
      <c r="E294" s="85">
        <v>0</v>
      </c>
      <c r="F294" s="85">
        <v>1</v>
      </c>
      <c r="G294" s="85">
        <v>1</v>
      </c>
      <c r="H294" s="85">
        <v>0</v>
      </c>
      <c r="I294" s="85">
        <v>0</v>
      </c>
      <c r="M294" s="89" t="s">
        <v>335</v>
      </c>
      <c r="N294" s="85" t="s">
        <v>924</v>
      </c>
      <c r="O294" s="85">
        <f t="shared" si="87"/>
        <v>2</v>
      </c>
      <c r="P294" s="85">
        <v>0</v>
      </c>
      <c r="Q294" s="85">
        <v>1</v>
      </c>
      <c r="R294" s="85">
        <v>1</v>
      </c>
      <c r="S294" s="85">
        <v>0</v>
      </c>
      <c r="T294" s="85">
        <v>0</v>
      </c>
      <c r="X294" s="89" t="s">
        <v>335</v>
      </c>
      <c r="Y294" s="85" t="s">
        <v>924</v>
      </c>
      <c r="Z294" s="85">
        <f t="shared" si="88"/>
        <v>3213</v>
      </c>
      <c r="AA294" s="97">
        <v>0</v>
      </c>
      <c r="AB294" s="97">
        <v>80</v>
      </c>
      <c r="AC294" s="97">
        <v>1573</v>
      </c>
      <c r="AD294" s="97">
        <v>1560</v>
      </c>
      <c r="AE294" s="97">
        <v>0</v>
      </c>
      <c r="AF294" s="81"/>
      <c r="AI294" s="89" t="s">
        <v>335</v>
      </c>
      <c r="AJ294" s="85" t="s">
        <v>336</v>
      </c>
      <c r="AK294" s="85">
        <f t="shared" si="89"/>
        <v>137</v>
      </c>
      <c r="AL294" s="85">
        <v>0</v>
      </c>
      <c r="AM294" s="85">
        <v>2</v>
      </c>
      <c r="AN294" s="85">
        <v>73</v>
      </c>
      <c r="AO294" s="85">
        <v>60</v>
      </c>
      <c r="AP294" s="85">
        <v>2</v>
      </c>
      <c r="AS294" s="89" t="s">
        <v>335</v>
      </c>
      <c r="AT294" s="85" t="s">
        <v>336</v>
      </c>
      <c r="AU294" s="85">
        <f t="shared" si="90"/>
        <v>19</v>
      </c>
      <c r="AV294" s="85">
        <v>0</v>
      </c>
      <c r="AW294" s="85">
        <v>1</v>
      </c>
      <c r="AX294" s="85">
        <v>7</v>
      </c>
      <c r="AY294" s="85">
        <v>11</v>
      </c>
      <c r="AZ294" s="85">
        <v>0</v>
      </c>
    </row>
    <row r="295" spans="2:52" x14ac:dyDescent="0.2">
      <c r="B295" s="89" t="s">
        <v>971</v>
      </c>
      <c r="C295" s="85" t="s">
        <v>1133</v>
      </c>
      <c r="D295" s="85">
        <f t="shared" si="86"/>
        <v>2</v>
      </c>
      <c r="E295" s="85">
        <v>0</v>
      </c>
      <c r="F295" s="85">
        <v>0</v>
      </c>
      <c r="G295" s="85">
        <v>2</v>
      </c>
      <c r="H295" s="85">
        <v>0</v>
      </c>
      <c r="I295" s="85">
        <v>0</v>
      </c>
      <c r="M295" s="89" t="s">
        <v>971</v>
      </c>
      <c r="N295" s="85" t="s">
        <v>1133</v>
      </c>
      <c r="O295" s="85">
        <f t="shared" si="87"/>
        <v>1</v>
      </c>
      <c r="P295" s="85">
        <v>0</v>
      </c>
      <c r="Q295" s="85">
        <v>0</v>
      </c>
      <c r="R295" s="85">
        <v>1</v>
      </c>
      <c r="S295" s="85">
        <v>0</v>
      </c>
      <c r="T295" s="85">
        <v>0</v>
      </c>
      <c r="X295" s="89" t="s">
        <v>971</v>
      </c>
      <c r="Y295" s="85" t="s">
        <v>1133</v>
      </c>
      <c r="Z295" s="85">
        <f t="shared" si="88"/>
        <v>2955</v>
      </c>
      <c r="AA295" s="97">
        <v>2</v>
      </c>
      <c r="AB295" s="97">
        <v>180</v>
      </c>
      <c r="AC295" s="97">
        <v>1309</v>
      </c>
      <c r="AD295" s="97">
        <v>1464</v>
      </c>
      <c r="AE295" s="97">
        <v>0</v>
      </c>
      <c r="AF295" s="81"/>
      <c r="AI295" s="89" t="s">
        <v>337</v>
      </c>
      <c r="AJ295" s="85" t="s">
        <v>1134</v>
      </c>
      <c r="AK295" s="85">
        <f t="shared" si="89"/>
        <v>104</v>
      </c>
      <c r="AL295" s="85">
        <v>2</v>
      </c>
      <c r="AM295" s="85">
        <v>25</v>
      </c>
      <c r="AN295" s="85">
        <v>30</v>
      </c>
      <c r="AO295" s="85">
        <v>46</v>
      </c>
      <c r="AP295" s="85">
        <v>1</v>
      </c>
      <c r="AS295" s="89" t="s">
        <v>337</v>
      </c>
      <c r="AT295" s="85" t="s">
        <v>1134</v>
      </c>
      <c r="AU295" s="85">
        <f t="shared" si="90"/>
        <v>12</v>
      </c>
      <c r="AV295" s="85">
        <v>0</v>
      </c>
      <c r="AW295" s="85">
        <v>1</v>
      </c>
      <c r="AX295" s="85">
        <v>7</v>
      </c>
      <c r="AY295" s="85">
        <v>4</v>
      </c>
      <c r="AZ295" s="85">
        <v>0</v>
      </c>
    </row>
    <row r="296" spans="2:52" x14ac:dyDescent="0.2">
      <c r="B296" s="89" t="s">
        <v>1135</v>
      </c>
      <c r="C296" s="85" t="s">
        <v>974</v>
      </c>
      <c r="D296" s="85">
        <f t="shared" si="86"/>
        <v>2</v>
      </c>
      <c r="E296" s="85">
        <v>0</v>
      </c>
      <c r="F296" s="85">
        <v>0</v>
      </c>
      <c r="G296" s="85">
        <v>1</v>
      </c>
      <c r="H296" s="85">
        <v>1</v>
      </c>
      <c r="I296" s="85">
        <v>0</v>
      </c>
      <c r="M296" s="89" t="s">
        <v>1135</v>
      </c>
      <c r="N296" s="85" t="s">
        <v>974</v>
      </c>
      <c r="O296" s="85">
        <f t="shared" si="87"/>
        <v>2</v>
      </c>
      <c r="P296" s="85">
        <v>0</v>
      </c>
      <c r="Q296" s="85">
        <v>0</v>
      </c>
      <c r="R296" s="85">
        <v>1</v>
      </c>
      <c r="S296" s="85">
        <v>1</v>
      </c>
      <c r="T296" s="85">
        <v>0</v>
      </c>
      <c r="X296" s="89" t="s">
        <v>1135</v>
      </c>
      <c r="Y296" s="85" t="s">
        <v>974</v>
      </c>
      <c r="Z296" s="85">
        <f t="shared" si="88"/>
        <v>2470</v>
      </c>
      <c r="AA296" s="97">
        <v>0</v>
      </c>
      <c r="AB296" s="97">
        <v>51</v>
      </c>
      <c r="AC296" s="97">
        <v>1268</v>
      </c>
      <c r="AD296" s="97">
        <v>1151</v>
      </c>
      <c r="AE296" s="97">
        <v>0</v>
      </c>
      <c r="AF296" s="81"/>
      <c r="AI296" s="89" t="s">
        <v>1136</v>
      </c>
      <c r="AJ296" s="85" t="s">
        <v>1137</v>
      </c>
      <c r="AK296" s="85">
        <f t="shared" si="89"/>
        <v>106</v>
      </c>
      <c r="AL296" s="85">
        <v>0</v>
      </c>
      <c r="AM296" s="85">
        <v>51</v>
      </c>
      <c r="AN296" s="85">
        <v>2</v>
      </c>
      <c r="AO296" s="85">
        <v>51</v>
      </c>
      <c r="AP296" s="85">
        <v>2</v>
      </c>
      <c r="AS296" s="89" t="s">
        <v>1136</v>
      </c>
      <c r="AT296" s="85" t="s">
        <v>1137</v>
      </c>
      <c r="AU296" s="85">
        <f t="shared" si="90"/>
        <v>1</v>
      </c>
      <c r="AV296" s="85">
        <v>0</v>
      </c>
      <c r="AW296" s="85">
        <v>0</v>
      </c>
      <c r="AX296" s="85">
        <v>1</v>
      </c>
      <c r="AY296" s="85">
        <v>0</v>
      </c>
      <c r="AZ296" s="85">
        <v>0</v>
      </c>
    </row>
    <row r="297" spans="2:52" x14ac:dyDescent="0.2">
      <c r="B297" s="89" t="s">
        <v>973</v>
      </c>
      <c r="C297" s="85" t="s">
        <v>1138</v>
      </c>
      <c r="D297" s="85">
        <f t="shared" si="86"/>
        <v>2</v>
      </c>
      <c r="E297" s="85">
        <v>0</v>
      </c>
      <c r="F297" s="85">
        <v>0</v>
      </c>
      <c r="G297" s="85">
        <v>1</v>
      </c>
      <c r="H297" s="85">
        <v>0</v>
      </c>
      <c r="I297" s="85">
        <v>1</v>
      </c>
      <c r="M297" s="89" t="s">
        <v>973</v>
      </c>
      <c r="N297" s="85" t="s">
        <v>1138</v>
      </c>
      <c r="O297" s="85">
        <f t="shared" si="87"/>
        <v>2</v>
      </c>
      <c r="P297" s="85">
        <v>0</v>
      </c>
      <c r="Q297" s="85">
        <v>0</v>
      </c>
      <c r="R297" s="85">
        <v>1</v>
      </c>
      <c r="S297" s="85">
        <v>0</v>
      </c>
      <c r="T297" s="85">
        <v>1</v>
      </c>
      <c r="X297" s="89" t="s">
        <v>973</v>
      </c>
      <c r="Y297" s="85" t="s">
        <v>1138</v>
      </c>
      <c r="Z297" s="85">
        <f t="shared" si="88"/>
        <v>2035</v>
      </c>
      <c r="AA297" s="97">
        <v>0</v>
      </c>
      <c r="AB297" s="97">
        <v>26</v>
      </c>
      <c r="AC297" s="97">
        <v>515</v>
      </c>
      <c r="AD297" s="97">
        <v>1305</v>
      </c>
      <c r="AE297" s="97">
        <v>189</v>
      </c>
      <c r="AF297" s="81"/>
      <c r="AI297" s="89" t="s">
        <v>1130</v>
      </c>
      <c r="AJ297" s="85" t="s">
        <v>1139</v>
      </c>
      <c r="AK297" s="85">
        <f t="shared" si="89"/>
        <v>160</v>
      </c>
      <c r="AL297" s="85">
        <v>0</v>
      </c>
      <c r="AM297" s="85">
        <v>26</v>
      </c>
      <c r="AN297" s="85">
        <v>15</v>
      </c>
      <c r="AO297" s="85">
        <v>30</v>
      </c>
      <c r="AP297" s="85">
        <v>89</v>
      </c>
      <c r="AS297" s="89" t="s">
        <v>1130</v>
      </c>
      <c r="AT297" s="85" t="s">
        <v>1139</v>
      </c>
      <c r="AU297" s="85">
        <f t="shared" si="90"/>
        <v>64</v>
      </c>
      <c r="AV297" s="85">
        <v>0</v>
      </c>
      <c r="AW297" s="85">
        <v>1</v>
      </c>
      <c r="AX297" s="85">
        <v>21</v>
      </c>
      <c r="AY297" s="85">
        <v>40</v>
      </c>
      <c r="AZ297" s="85">
        <v>2</v>
      </c>
    </row>
    <row r="298" spans="2:52" x14ac:dyDescent="0.2">
      <c r="B298" s="89" t="s">
        <v>1140</v>
      </c>
      <c r="C298" s="85" t="s">
        <v>943</v>
      </c>
      <c r="D298" s="85">
        <f t="shared" si="86"/>
        <v>2</v>
      </c>
      <c r="E298" s="85">
        <v>0</v>
      </c>
      <c r="F298" s="85">
        <v>0</v>
      </c>
      <c r="G298" s="85">
        <v>0</v>
      </c>
      <c r="H298" s="85">
        <v>2</v>
      </c>
      <c r="I298" s="85">
        <v>0</v>
      </c>
      <c r="M298" s="89" t="s">
        <v>1140</v>
      </c>
      <c r="N298" s="85" t="s">
        <v>943</v>
      </c>
      <c r="O298" s="85">
        <f t="shared" si="87"/>
        <v>1</v>
      </c>
      <c r="P298" s="85">
        <v>0</v>
      </c>
      <c r="Q298" s="85">
        <v>0</v>
      </c>
      <c r="R298" s="85">
        <v>0</v>
      </c>
      <c r="S298" s="85">
        <v>1</v>
      </c>
      <c r="T298" s="85">
        <v>0</v>
      </c>
      <c r="X298" s="89" t="s">
        <v>1140</v>
      </c>
      <c r="Y298" s="85" t="s">
        <v>943</v>
      </c>
      <c r="Z298" s="85">
        <f t="shared" si="88"/>
        <v>1809</v>
      </c>
      <c r="AA298" s="97">
        <v>0</v>
      </c>
      <c r="AB298" s="97">
        <v>64</v>
      </c>
      <c r="AC298" s="97">
        <v>829</v>
      </c>
      <c r="AD298" s="97">
        <v>916</v>
      </c>
      <c r="AE298" s="97">
        <v>0</v>
      </c>
      <c r="AF298" s="81"/>
      <c r="AI298" s="89" t="s">
        <v>947</v>
      </c>
      <c r="AJ298" s="85" t="s">
        <v>1141</v>
      </c>
      <c r="AK298" s="85">
        <f t="shared" si="89"/>
        <v>35</v>
      </c>
      <c r="AL298" s="85">
        <v>0</v>
      </c>
      <c r="AM298" s="85">
        <v>14</v>
      </c>
      <c r="AN298" s="85">
        <v>2</v>
      </c>
      <c r="AO298" s="85">
        <v>16</v>
      </c>
      <c r="AP298" s="85">
        <v>3</v>
      </c>
      <c r="AS298" s="89" t="s">
        <v>947</v>
      </c>
      <c r="AT298" s="85" t="s">
        <v>1141</v>
      </c>
      <c r="AU298" s="85">
        <f t="shared" si="90"/>
        <v>19</v>
      </c>
      <c r="AV298" s="85">
        <v>0</v>
      </c>
      <c r="AW298" s="85">
        <v>1</v>
      </c>
      <c r="AX298" s="85">
        <v>6</v>
      </c>
      <c r="AY298" s="85">
        <v>11</v>
      </c>
      <c r="AZ298" s="85">
        <v>1</v>
      </c>
    </row>
    <row r="299" spans="2:52" x14ac:dyDescent="0.2">
      <c r="B299" s="89" t="s">
        <v>941</v>
      </c>
      <c r="C299" s="85" t="s">
        <v>1142</v>
      </c>
      <c r="D299" s="85">
        <f t="shared" si="86"/>
        <v>2</v>
      </c>
      <c r="E299" s="85">
        <v>0</v>
      </c>
      <c r="F299" s="85">
        <v>0</v>
      </c>
      <c r="G299" s="85">
        <v>0</v>
      </c>
      <c r="H299" s="85">
        <v>2</v>
      </c>
      <c r="I299" s="85">
        <v>0</v>
      </c>
      <c r="M299" s="89" t="s">
        <v>941</v>
      </c>
      <c r="N299" s="85" t="s">
        <v>1142</v>
      </c>
      <c r="O299" s="85">
        <f t="shared" si="87"/>
        <v>1</v>
      </c>
      <c r="P299" s="85">
        <v>0</v>
      </c>
      <c r="Q299" s="85">
        <v>0</v>
      </c>
      <c r="R299" s="85">
        <v>0</v>
      </c>
      <c r="S299" s="85">
        <v>1</v>
      </c>
      <c r="T299" s="85">
        <v>0</v>
      </c>
      <c r="X299" s="89" t="s">
        <v>941</v>
      </c>
      <c r="Y299" s="85" t="s">
        <v>1142</v>
      </c>
      <c r="Z299" s="85">
        <f t="shared" si="88"/>
        <v>1598</v>
      </c>
      <c r="AA299" s="97">
        <v>0</v>
      </c>
      <c r="AB299" s="97">
        <v>49</v>
      </c>
      <c r="AC299" s="97">
        <v>657</v>
      </c>
      <c r="AD299" s="97">
        <v>892</v>
      </c>
      <c r="AE299" s="97">
        <v>0</v>
      </c>
      <c r="AF299" s="81"/>
      <c r="AI299" s="89" t="s">
        <v>931</v>
      </c>
      <c r="AJ299" s="85" t="s">
        <v>1143</v>
      </c>
      <c r="AK299" s="85">
        <f t="shared" si="89"/>
        <v>88</v>
      </c>
      <c r="AL299" s="85">
        <v>0</v>
      </c>
      <c r="AM299" s="85">
        <v>2</v>
      </c>
      <c r="AN299" s="85">
        <v>57</v>
      </c>
      <c r="AO299" s="85">
        <v>26</v>
      </c>
      <c r="AP299" s="85">
        <v>3</v>
      </c>
      <c r="AS299" s="89" t="s">
        <v>931</v>
      </c>
      <c r="AT299" s="85" t="s">
        <v>1143</v>
      </c>
      <c r="AU299" s="85">
        <f t="shared" si="90"/>
        <v>15</v>
      </c>
      <c r="AV299" s="85">
        <v>0</v>
      </c>
      <c r="AW299" s="85">
        <v>1</v>
      </c>
      <c r="AX299" s="85">
        <v>5</v>
      </c>
      <c r="AY299" s="85">
        <v>9</v>
      </c>
      <c r="AZ299" s="85">
        <v>0</v>
      </c>
    </row>
    <row r="300" spans="2:52" x14ac:dyDescent="0.2">
      <c r="B300" s="89" t="s">
        <v>1144</v>
      </c>
      <c r="C300" s="85" t="s">
        <v>1145</v>
      </c>
      <c r="D300" s="85">
        <f t="shared" si="86"/>
        <v>1</v>
      </c>
      <c r="E300" s="85">
        <v>0</v>
      </c>
      <c r="F300" s="85">
        <v>0</v>
      </c>
      <c r="G300" s="85">
        <v>1</v>
      </c>
      <c r="H300" s="85">
        <v>0</v>
      </c>
      <c r="I300" s="85">
        <v>0</v>
      </c>
      <c r="M300" s="89" t="s">
        <v>1144</v>
      </c>
      <c r="N300" s="85" t="s">
        <v>1145</v>
      </c>
      <c r="O300" s="85">
        <f t="shared" si="87"/>
        <v>1</v>
      </c>
      <c r="P300" s="85">
        <v>0</v>
      </c>
      <c r="Q300" s="85">
        <v>0</v>
      </c>
      <c r="R300" s="85">
        <v>1</v>
      </c>
      <c r="S300" s="85">
        <v>0</v>
      </c>
      <c r="T300" s="85">
        <v>0</v>
      </c>
      <c r="X300" s="89" t="s">
        <v>1144</v>
      </c>
      <c r="Y300" s="85" t="s">
        <v>1145</v>
      </c>
      <c r="Z300" s="85">
        <f t="shared" si="88"/>
        <v>1509</v>
      </c>
      <c r="AA300" s="97">
        <v>0</v>
      </c>
      <c r="AB300" s="97">
        <v>33</v>
      </c>
      <c r="AC300" s="97">
        <v>654</v>
      </c>
      <c r="AD300" s="97">
        <v>822</v>
      </c>
      <c r="AE300" s="97">
        <v>0</v>
      </c>
      <c r="AF300" s="81"/>
      <c r="AI300" s="89" t="s">
        <v>1146</v>
      </c>
      <c r="AJ300" s="85" t="s">
        <v>1147</v>
      </c>
      <c r="AK300" s="85">
        <f t="shared" si="89"/>
        <v>59</v>
      </c>
      <c r="AL300" s="85">
        <v>0</v>
      </c>
      <c r="AM300" s="85">
        <v>33</v>
      </c>
      <c r="AN300" s="85">
        <v>2</v>
      </c>
      <c r="AO300" s="85">
        <v>22</v>
      </c>
      <c r="AP300" s="85">
        <v>2</v>
      </c>
      <c r="AS300" s="89" t="s">
        <v>1146</v>
      </c>
      <c r="AT300" s="85" t="s">
        <v>1147</v>
      </c>
      <c r="AU300" s="85">
        <f t="shared" si="90"/>
        <v>324</v>
      </c>
      <c r="AV300" s="85">
        <v>1</v>
      </c>
      <c r="AW300" s="85">
        <v>4</v>
      </c>
      <c r="AX300" s="85">
        <v>170</v>
      </c>
      <c r="AY300" s="85">
        <v>149</v>
      </c>
      <c r="AZ300" s="85">
        <v>0</v>
      </c>
    </row>
    <row r="301" spans="2:52" x14ac:dyDescent="0.2">
      <c r="B301" s="89" t="s">
        <v>1148</v>
      </c>
      <c r="C301" s="85" t="s">
        <v>1149</v>
      </c>
      <c r="D301" s="85">
        <f t="shared" si="86"/>
        <v>1</v>
      </c>
      <c r="E301" s="85">
        <v>0</v>
      </c>
      <c r="F301" s="85">
        <v>0</v>
      </c>
      <c r="G301" s="85">
        <v>1</v>
      </c>
      <c r="H301" s="85">
        <v>0</v>
      </c>
      <c r="I301" s="85">
        <v>0</v>
      </c>
      <c r="M301" s="89" t="s">
        <v>1148</v>
      </c>
      <c r="N301" s="85" t="s">
        <v>1149</v>
      </c>
      <c r="O301" s="85">
        <f t="shared" si="87"/>
        <v>1</v>
      </c>
      <c r="P301" s="85">
        <v>0</v>
      </c>
      <c r="Q301" s="85">
        <v>0</v>
      </c>
      <c r="R301" s="85">
        <v>1</v>
      </c>
      <c r="S301" s="85">
        <v>0</v>
      </c>
      <c r="T301" s="85">
        <v>0</v>
      </c>
      <c r="X301" s="89" t="s">
        <v>1148</v>
      </c>
      <c r="Y301" s="85" t="s">
        <v>1149</v>
      </c>
      <c r="Z301" s="85">
        <f t="shared" si="88"/>
        <v>1509</v>
      </c>
      <c r="AA301" s="97">
        <v>0</v>
      </c>
      <c r="AB301" s="97">
        <v>64</v>
      </c>
      <c r="AC301" s="97">
        <v>747</v>
      </c>
      <c r="AD301" s="97">
        <v>698</v>
      </c>
      <c r="AE301" s="97">
        <v>0</v>
      </c>
      <c r="AF301" s="81"/>
      <c r="AI301" s="89" t="s">
        <v>975</v>
      </c>
      <c r="AJ301" s="85" t="s">
        <v>1150</v>
      </c>
      <c r="AK301" s="85">
        <f t="shared" si="89"/>
        <v>149</v>
      </c>
      <c r="AL301" s="85">
        <v>0</v>
      </c>
      <c r="AM301" s="85">
        <v>2</v>
      </c>
      <c r="AN301" s="85">
        <v>47</v>
      </c>
      <c r="AO301" s="85">
        <v>98</v>
      </c>
      <c r="AP301" s="85">
        <v>2</v>
      </c>
      <c r="AS301" s="89" t="s">
        <v>975</v>
      </c>
      <c r="AT301" s="85" t="s">
        <v>1150</v>
      </c>
      <c r="AU301" s="85">
        <f t="shared" si="90"/>
        <v>11</v>
      </c>
      <c r="AV301" s="85">
        <v>0</v>
      </c>
      <c r="AW301" s="85">
        <v>0</v>
      </c>
      <c r="AX301" s="85">
        <v>7</v>
      </c>
      <c r="AY301" s="85">
        <v>4</v>
      </c>
      <c r="AZ301" s="85">
        <v>0</v>
      </c>
    </row>
    <row r="302" spans="2:52" x14ac:dyDescent="0.2">
      <c r="B302" s="89" t="s">
        <v>1151</v>
      </c>
      <c r="C302" s="85" t="s">
        <v>1152</v>
      </c>
      <c r="D302" s="85">
        <f t="shared" si="86"/>
        <v>1</v>
      </c>
      <c r="E302" s="85">
        <v>0</v>
      </c>
      <c r="F302" s="85">
        <v>0</v>
      </c>
      <c r="G302" s="85">
        <v>0</v>
      </c>
      <c r="H302" s="85">
        <v>1</v>
      </c>
      <c r="I302" s="85">
        <v>0</v>
      </c>
      <c r="M302" s="89" t="s">
        <v>1151</v>
      </c>
      <c r="N302" s="85" t="s">
        <v>1152</v>
      </c>
      <c r="O302" s="85">
        <f t="shared" si="87"/>
        <v>1</v>
      </c>
      <c r="P302" s="85">
        <v>0</v>
      </c>
      <c r="Q302" s="85">
        <v>0</v>
      </c>
      <c r="R302" s="85">
        <v>0</v>
      </c>
      <c r="S302" s="85">
        <v>1</v>
      </c>
      <c r="T302" s="85">
        <v>0</v>
      </c>
      <c r="X302" s="89" t="s">
        <v>1151</v>
      </c>
      <c r="Y302" s="85" t="s">
        <v>1152</v>
      </c>
      <c r="Z302" s="85">
        <f t="shared" si="88"/>
        <v>1090</v>
      </c>
      <c r="AA302" s="97">
        <v>0</v>
      </c>
      <c r="AB302" s="97">
        <v>49</v>
      </c>
      <c r="AC302" s="97">
        <v>579</v>
      </c>
      <c r="AD302" s="97">
        <v>462</v>
      </c>
      <c r="AE302" s="97">
        <v>0</v>
      </c>
      <c r="AF302" s="81"/>
      <c r="AI302" s="89" t="s">
        <v>1153</v>
      </c>
      <c r="AJ302" s="85" t="s">
        <v>1154</v>
      </c>
      <c r="AK302" s="85">
        <f t="shared" si="89"/>
        <v>66</v>
      </c>
      <c r="AL302" s="85">
        <v>0</v>
      </c>
      <c r="AM302" s="85">
        <v>2</v>
      </c>
      <c r="AN302" s="85">
        <v>2</v>
      </c>
      <c r="AO302" s="85">
        <v>62</v>
      </c>
      <c r="AP302" s="85">
        <v>0</v>
      </c>
      <c r="AS302" s="89" t="s">
        <v>1153</v>
      </c>
      <c r="AT302" s="85" t="s">
        <v>1154</v>
      </c>
      <c r="AU302" s="85">
        <f t="shared" si="90"/>
        <v>76</v>
      </c>
      <c r="AV302" s="85">
        <v>0</v>
      </c>
      <c r="AW302" s="85">
        <v>1</v>
      </c>
      <c r="AX302" s="85">
        <v>5</v>
      </c>
      <c r="AY302" s="85">
        <v>70</v>
      </c>
      <c r="AZ302" s="85">
        <v>0</v>
      </c>
    </row>
    <row r="303" spans="2:52" x14ac:dyDescent="0.2">
      <c r="B303" s="89" t="s">
        <v>952</v>
      </c>
      <c r="C303" s="85" t="s">
        <v>1155</v>
      </c>
      <c r="D303" s="85">
        <f t="shared" si="86"/>
        <v>1</v>
      </c>
      <c r="E303" s="85">
        <v>0</v>
      </c>
      <c r="F303" s="85">
        <v>0</v>
      </c>
      <c r="G303" s="85">
        <v>1</v>
      </c>
      <c r="H303" s="85">
        <v>0</v>
      </c>
      <c r="I303" s="85">
        <v>0</v>
      </c>
      <c r="M303" s="89" t="s">
        <v>952</v>
      </c>
      <c r="N303" s="85" t="s">
        <v>1155</v>
      </c>
      <c r="O303" s="85">
        <f t="shared" si="87"/>
        <v>1</v>
      </c>
      <c r="P303" s="85">
        <v>0</v>
      </c>
      <c r="Q303" s="85">
        <v>0</v>
      </c>
      <c r="R303" s="85">
        <v>1</v>
      </c>
      <c r="S303" s="85">
        <v>0</v>
      </c>
      <c r="T303" s="85">
        <v>0</v>
      </c>
      <c r="X303" s="89" t="s">
        <v>952</v>
      </c>
      <c r="Y303" s="85" t="s">
        <v>1155</v>
      </c>
      <c r="Z303" s="85">
        <f t="shared" si="88"/>
        <v>1066</v>
      </c>
      <c r="AA303" s="97">
        <v>0</v>
      </c>
      <c r="AB303" s="97">
        <v>34</v>
      </c>
      <c r="AC303" s="97">
        <v>402</v>
      </c>
      <c r="AD303" s="97">
        <v>630</v>
      </c>
      <c r="AE303" s="97">
        <v>0</v>
      </c>
      <c r="AF303" s="81"/>
      <c r="AI303" s="89" t="s">
        <v>1151</v>
      </c>
      <c r="AJ303" s="85" t="s">
        <v>1156</v>
      </c>
      <c r="AK303" s="85">
        <f t="shared" si="89"/>
        <v>86</v>
      </c>
      <c r="AL303" s="85">
        <v>0</v>
      </c>
      <c r="AM303" s="85">
        <v>34</v>
      </c>
      <c r="AN303" s="85">
        <v>20</v>
      </c>
      <c r="AO303" s="85">
        <v>30</v>
      </c>
      <c r="AP303" s="85">
        <v>2</v>
      </c>
      <c r="AS303" s="89" t="s">
        <v>1151</v>
      </c>
      <c r="AT303" s="85" t="s">
        <v>1156</v>
      </c>
      <c r="AU303" s="85">
        <f t="shared" si="90"/>
        <v>3</v>
      </c>
      <c r="AV303" s="85">
        <v>0</v>
      </c>
      <c r="AW303" s="85">
        <v>0</v>
      </c>
      <c r="AX303" s="85">
        <v>3</v>
      </c>
      <c r="AY303" s="85">
        <v>0</v>
      </c>
      <c r="AZ303" s="85">
        <v>0</v>
      </c>
    </row>
    <row r="304" spans="2:52" x14ac:dyDescent="0.2">
      <c r="B304" s="89" t="s">
        <v>1157</v>
      </c>
      <c r="C304" s="85" t="s">
        <v>1158</v>
      </c>
      <c r="D304" s="85">
        <f t="shared" si="86"/>
        <v>1</v>
      </c>
      <c r="E304" s="85">
        <v>0</v>
      </c>
      <c r="F304" s="85">
        <v>0</v>
      </c>
      <c r="G304" s="85">
        <v>1</v>
      </c>
      <c r="H304" s="85">
        <v>0</v>
      </c>
      <c r="I304" s="85">
        <v>0</v>
      </c>
      <c r="M304" s="89" t="s">
        <v>1157</v>
      </c>
      <c r="N304" s="85" t="s">
        <v>1158</v>
      </c>
      <c r="O304" s="85">
        <f t="shared" si="87"/>
        <v>1</v>
      </c>
      <c r="P304" s="85">
        <v>0</v>
      </c>
      <c r="Q304" s="85">
        <v>0</v>
      </c>
      <c r="R304" s="85">
        <v>1</v>
      </c>
      <c r="S304" s="85">
        <v>0</v>
      </c>
      <c r="T304" s="85">
        <v>0</v>
      </c>
      <c r="X304" s="89" t="s">
        <v>1157</v>
      </c>
      <c r="Y304" s="85" t="s">
        <v>1158</v>
      </c>
      <c r="Z304" s="85">
        <f t="shared" si="88"/>
        <v>998</v>
      </c>
      <c r="AA304" s="97">
        <v>0</v>
      </c>
      <c r="AB304" s="97">
        <v>0</v>
      </c>
      <c r="AC304" s="97">
        <v>378</v>
      </c>
      <c r="AD304" s="97">
        <v>620</v>
      </c>
      <c r="AE304" s="97">
        <v>0</v>
      </c>
      <c r="AF304" s="81"/>
      <c r="AI304" s="89" t="s">
        <v>963</v>
      </c>
      <c r="AJ304" s="85" t="s">
        <v>1159</v>
      </c>
      <c r="AK304" s="85">
        <f t="shared" si="89"/>
        <v>23</v>
      </c>
      <c r="AL304" s="85">
        <v>0</v>
      </c>
      <c r="AM304" s="85">
        <v>0</v>
      </c>
      <c r="AN304" s="85">
        <v>2</v>
      </c>
      <c r="AO304" s="85">
        <v>20</v>
      </c>
      <c r="AP304" s="85">
        <v>1</v>
      </c>
      <c r="AS304" s="89" t="s">
        <v>963</v>
      </c>
      <c r="AT304" s="85" t="s">
        <v>1159</v>
      </c>
      <c r="AU304" s="85">
        <f t="shared" si="90"/>
        <v>3</v>
      </c>
      <c r="AV304" s="85">
        <v>0</v>
      </c>
      <c r="AW304" s="85">
        <v>0</v>
      </c>
      <c r="AX304" s="85">
        <v>0</v>
      </c>
      <c r="AY304" s="85">
        <v>3</v>
      </c>
      <c r="AZ304" s="85">
        <v>0</v>
      </c>
    </row>
    <row r="305" spans="2:53" x14ac:dyDescent="0.2">
      <c r="B305" s="89" t="s">
        <v>1160</v>
      </c>
      <c r="C305" s="85" t="s">
        <v>1161</v>
      </c>
      <c r="D305" s="85">
        <f t="shared" si="86"/>
        <v>1</v>
      </c>
      <c r="E305" s="85">
        <v>0</v>
      </c>
      <c r="F305" s="85">
        <v>0</v>
      </c>
      <c r="G305" s="85">
        <v>1</v>
      </c>
      <c r="H305" s="85">
        <v>0</v>
      </c>
      <c r="I305" s="85">
        <v>0</v>
      </c>
      <c r="M305" s="89" t="s">
        <v>1160</v>
      </c>
      <c r="N305" s="85" t="s">
        <v>1161</v>
      </c>
      <c r="O305" s="85">
        <f t="shared" si="87"/>
        <v>1</v>
      </c>
      <c r="P305" s="85">
        <v>0</v>
      </c>
      <c r="Q305" s="85">
        <v>0</v>
      </c>
      <c r="R305" s="85">
        <v>1</v>
      </c>
      <c r="S305" s="85">
        <v>0</v>
      </c>
      <c r="T305" s="85">
        <v>0</v>
      </c>
      <c r="X305" s="89" t="s">
        <v>1160</v>
      </c>
      <c r="Y305" s="85" t="s">
        <v>1161</v>
      </c>
      <c r="Z305" s="85">
        <f t="shared" si="88"/>
        <v>946</v>
      </c>
      <c r="AA305" s="97">
        <v>0</v>
      </c>
      <c r="AB305" s="97">
        <v>50</v>
      </c>
      <c r="AC305" s="97">
        <v>524</v>
      </c>
      <c r="AD305" s="97">
        <v>372</v>
      </c>
      <c r="AE305" s="97">
        <v>0</v>
      </c>
      <c r="AF305" s="81"/>
      <c r="AI305" s="89" t="s">
        <v>977</v>
      </c>
      <c r="AJ305" s="85" t="s">
        <v>1162</v>
      </c>
      <c r="AK305" s="85">
        <f t="shared" si="89"/>
        <v>99</v>
      </c>
      <c r="AL305" s="85">
        <v>0</v>
      </c>
      <c r="AM305" s="85">
        <v>2</v>
      </c>
      <c r="AN305" s="85">
        <v>24</v>
      </c>
      <c r="AO305" s="85">
        <v>72</v>
      </c>
      <c r="AP305" s="85">
        <v>1</v>
      </c>
      <c r="AS305" s="89" t="s">
        <v>977</v>
      </c>
      <c r="AT305" s="85" t="s">
        <v>1162</v>
      </c>
      <c r="AU305" s="85">
        <f t="shared" si="90"/>
        <v>67</v>
      </c>
      <c r="AV305" s="85">
        <v>0</v>
      </c>
      <c r="AW305" s="85">
        <v>17</v>
      </c>
      <c r="AX305" s="85">
        <v>37</v>
      </c>
      <c r="AY305" s="85">
        <v>13</v>
      </c>
      <c r="AZ305" s="85">
        <v>0</v>
      </c>
    </row>
    <row r="306" spans="2:53" x14ac:dyDescent="0.2">
      <c r="B306" s="89" t="s">
        <v>990</v>
      </c>
      <c r="C306" s="85" t="s">
        <v>1163</v>
      </c>
      <c r="D306" s="85">
        <f t="shared" si="86"/>
        <v>0</v>
      </c>
      <c r="E306" s="85">
        <v>0</v>
      </c>
      <c r="F306" s="85">
        <v>0</v>
      </c>
      <c r="G306" s="85">
        <v>0</v>
      </c>
      <c r="H306" s="85">
        <v>0</v>
      </c>
      <c r="I306" s="85">
        <v>0</v>
      </c>
      <c r="M306" s="89" t="s">
        <v>990</v>
      </c>
      <c r="N306" s="85" t="s">
        <v>1163</v>
      </c>
      <c r="O306" s="85">
        <f t="shared" si="87"/>
        <v>0</v>
      </c>
      <c r="P306" s="85">
        <v>0</v>
      </c>
      <c r="Q306" s="85">
        <v>0</v>
      </c>
      <c r="R306" s="85">
        <v>0</v>
      </c>
      <c r="S306" s="85">
        <v>0</v>
      </c>
      <c r="T306" s="85">
        <v>0</v>
      </c>
      <c r="X306" s="89" t="s">
        <v>990</v>
      </c>
      <c r="Y306" s="85" t="s">
        <v>1163</v>
      </c>
      <c r="Z306" s="85">
        <f t="shared" si="88"/>
        <v>883</v>
      </c>
      <c r="AA306" s="97">
        <v>0</v>
      </c>
      <c r="AB306" s="97">
        <v>14</v>
      </c>
      <c r="AC306" s="97">
        <v>354</v>
      </c>
      <c r="AD306" s="97">
        <v>515</v>
      </c>
      <c r="AE306" s="97">
        <v>0</v>
      </c>
      <c r="AF306" s="81"/>
      <c r="AI306" s="89" t="s">
        <v>927</v>
      </c>
      <c r="AJ306" s="85" t="s">
        <v>1164</v>
      </c>
      <c r="AK306" s="85">
        <f t="shared" si="89"/>
        <v>85</v>
      </c>
      <c r="AL306" s="85">
        <v>0</v>
      </c>
      <c r="AM306" s="85">
        <v>14</v>
      </c>
      <c r="AN306" s="85">
        <v>54</v>
      </c>
      <c r="AO306" s="85">
        <v>15</v>
      </c>
      <c r="AP306" s="85">
        <v>2</v>
      </c>
      <c r="AS306" s="89" t="s">
        <v>927</v>
      </c>
      <c r="AT306" s="85" t="s">
        <v>1164</v>
      </c>
      <c r="AU306" s="85">
        <f t="shared" si="90"/>
        <v>1</v>
      </c>
      <c r="AV306" s="85">
        <v>0</v>
      </c>
      <c r="AW306" s="85">
        <v>0</v>
      </c>
      <c r="AX306" s="85">
        <v>1</v>
      </c>
      <c r="AY306" s="85">
        <v>0</v>
      </c>
      <c r="AZ306" s="85">
        <v>0</v>
      </c>
    </row>
    <row r="307" spans="2:53" x14ac:dyDescent="0.2">
      <c r="B307" s="89" t="s">
        <v>1165</v>
      </c>
      <c r="C307" s="85" t="s">
        <v>1166</v>
      </c>
      <c r="D307" s="85">
        <f t="shared" si="86"/>
        <v>2</v>
      </c>
      <c r="E307" s="85">
        <v>0</v>
      </c>
      <c r="F307" s="85">
        <v>0</v>
      </c>
      <c r="G307" s="85">
        <v>1</v>
      </c>
      <c r="H307" s="85">
        <v>1</v>
      </c>
      <c r="I307" s="85">
        <v>0</v>
      </c>
      <c r="M307" s="89" t="s">
        <v>1165</v>
      </c>
      <c r="N307" s="85" t="s">
        <v>1166</v>
      </c>
      <c r="O307" s="85">
        <f t="shared" si="87"/>
        <v>2</v>
      </c>
      <c r="P307" s="85">
        <v>0</v>
      </c>
      <c r="Q307" s="85">
        <v>0</v>
      </c>
      <c r="R307" s="85">
        <v>1</v>
      </c>
      <c r="S307" s="85">
        <v>1</v>
      </c>
      <c r="T307" s="85">
        <v>0</v>
      </c>
      <c r="X307" s="89" t="s">
        <v>1165</v>
      </c>
      <c r="Y307" s="85" t="s">
        <v>1166</v>
      </c>
      <c r="Z307" s="85">
        <f t="shared" si="88"/>
        <v>694</v>
      </c>
      <c r="AA307" s="97">
        <v>0</v>
      </c>
      <c r="AB307" s="97">
        <v>32</v>
      </c>
      <c r="AC307" s="97">
        <v>450</v>
      </c>
      <c r="AD307" s="97">
        <v>212</v>
      </c>
      <c r="AE307" s="97">
        <v>0</v>
      </c>
      <c r="AF307" s="81"/>
      <c r="AI307" s="89" t="s">
        <v>941</v>
      </c>
      <c r="AJ307" s="85" t="s">
        <v>1167</v>
      </c>
      <c r="AK307" s="85">
        <f t="shared" si="89"/>
        <v>65</v>
      </c>
      <c r="AL307" s="85">
        <v>0</v>
      </c>
      <c r="AM307" s="85">
        <v>2</v>
      </c>
      <c r="AN307" s="85">
        <v>50</v>
      </c>
      <c r="AO307" s="85">
        <v>12</v>
      </c>
      <c r="AP307" s="85">
        <v>1</v>
      </c>
      <c r="AS307" s="89" t="s">
        <v>941</v>
      </c>
      <c r="AT307" s="85" t="s">
        <v>1167</v>
      </c>
      <c r="AU307" s="85">
        <f t="shared" si="90"/>
        <v>76</v>
      </c>
      <c r="AV307" s="85">
        <v>0</v>
      </c>
      <c r="AW307" s="85">
        <v>3</v>
      </c>
      <c r="AX307" s="85">
        <v>55</v>
      </c>
      <c r="AY307" s="85">
        <v>18</v>
      </c>
      <c r="AZ307" s="85">
        <v>0</v>
      </c>
    </row>
    <row r="308" spans="2:53" x14ac:dyDescent="0.2">
      <c r="B308" s="89" t="s">
        <v>901</v>
      </c>
      <c r="C308" s="85" t="s">
        <v>1168</v>
      </c>
      <c r="D308" s="85">
        <f t="shared" si="86"/>
        <v>1</v>
      </c>
      <c r="E308" s="85">
        <v>0</v>
      </c>
      <c r="F308" s="85">
        <v>0</v>
      </c>
      <c r="G308" s="85">
        <v>1</v>
      </c>
      <c r="H308" s="85">
        <v>0</v>
      </c>
      <c r="I308" s="85">
        <v>0</v>
      </c>
      <c r="M308" s="89" t="s">
        <v>901</v>
      </c>
      <c r="N308" s="85" t="s">
        <v>1168</v>
      </c>
      <c r="O308" s="85">
        <f t="shared" si="87"/>
        <v>1</v>
      </c>
      <c r="P308" s="85">
        <v>0</v>
      </c>
      <c r="Q308" s="85">
        <v>0</v>
      </c>
      <c r="R308" s="85">
        <v>1</v>
      </c>
      <c r="S308" s="85">
        <v>0</v>
      </c>
      <c r="T308" s="85">
        <v>0</v>
      </c>
      <c r="X308" s="89" t="s">
        <v>901</v>
      </c>
      <c r="Y308" s="85" t="s">
        <v>1168</v>
      </c>
      <c r="Z308" s="85">
        <f t="shared" si="88"/>
        <v>655</v>
      </c>
      <c r="AA308" s="97">
        <v>0</v>
      </c>
      <c r="AB308" s="97">
        <v>15</v>
      </c>
      <c r="AC308" s="97">
        <v>401</v>
      </c>
      <c r="AD308" s="97">
        <v>239</v>
      </c>
      <c r="AE308" s="97">
        <v>0</v>
      </c>
      <c r="AF308" s="81"/>
      <c r="AI308" s="89" t="s">
        <v>934</v>
      </c>
      <c r="AJ308" s="85" t="s">
        <v>1169</v>
      </c>
      <c r="AK308" s="85">
        <f t="shared" si="89"/>
        <v>18</v>
      </c>
      <c r="AL308" s="85">
        <v>0</v>
      </c>
      <c r="AM308" s="85">
        <v>15</v>
      </c>
      <c r="AN308" s="85">
        <v>0</v>
      </c>
      <c r="AO308" s="85">
        <v>1</v>
      </c>
      <c r="AP308" s="85">
        <v>2</v>
      </c>
      <c r="AS308" s="89" t="s">
        <v>934</v>
      </c>
      <c r="AT308" s="85" t="s">
        <v>1169</v>
      </c>
      <c r="AU308" s="85">
        <f t="shared" si="90"/>
        <v>1</v>
      </c>
      <c r="AV308" s="85">
        <v>0</v>
      </c>
      <c r="AW308" s="85">
        <v>0</v>
      </c>
      <c r="AX308" s="85">
        <v>1</v>
      </c>
      <c r="AY308" s="85">
        <v>0</v>
      </c>
      <c r="AZ308" s="85">
        <v>0</v>
      </c>
    </row>
    <row r="309" spans="2:53" x14ac:dyDescent="0.2">
      <c r="B309" s="89" t="s">
        <v>1170</v>
      </c>
      <c r="C309" s="85" t="s">
        <v>902</v>
      </c>
      <c r="D309" s="85">
        <f t="shared" si="86"/>
        <v>1</v>
      </c>
      <c r="E309" s="85">
        <v>0</v>
      </c>
      <c r="F309" s="85">
        <v>0</v>
      </c>
      <c r="G309" s="85">
        <v>0</v>
      </c>
      <c r="H309" s="85">
        <v>1</v>
      </c>
      <c r="I309" s="85">
        <v>0</v>
      </c>
      <c r="M309" s="89" t="s">
        <v>1170</v>
      </c>
      <c r="N309" s="85" t="s">
        <v>902</v>
      </c>
      <c r="O309" s="85">
        <f t="shared" si="87"/>
        <v>1</v>
      </c>
      <c r="P309" s="85">
        <v>0</v>
      </c>
      <c r="Q309" s="85">
        <v>0</v>
      </c>
      <c r="R309" s="85">
        <v>0</v>
      </c>
      <c r="S309" s="85">
        <v>1</v>
      </c>
      <c r="T309" s="85">
        <v>0</v>
      </c>
      <c r="X309" s="89" t="s">
        <v>1170</v>
      </c>
      <c r="Y309" s="85" t="s">
        <v>902</v>
      </c>
      <c r="Z309" s="85">
        <f t="shared" si="88"/>
        <v>597</v>
      </c>
      <c r="AA309" s="97">
        <v>0</v>
      </c>
      <c r="AB309" s="97">
        <v>34</v>
      </c>
      <c r="AC309" s="97">
        <v>236</v>
      </c>
      <c r="AD309" s="97">
        <v>203</v>
      </c>
      <c r="AE309" s="97">
        <v>124</v>
      </c>
      <c r="AF309" s="81"/>
      <c r="AI309" s="89" t="s">
        <v>985</v>
      </c>
      <c r="AJ309" s="85" t="s">
        <v>1171</v>
      </c>
      <c r="AK309" s="85">
        <f t="shared" si="89"/>
        <v>31</v>
      </c>
      <c r="AL309" s="85">
        <v>0</v>
      </c>
      <c r="AM309" s="85">
        <v>2</v>
      </c>
      <c r="AN309" s="85">
        <v>2</v>
      </c>
      <c r="AO309" s="85">
        <v>3</v>
      </c>
      <c r="AP309" s="85">
        <v>24</v>
      </c>
      <c r="AS309" s="89" t="s">
        <v>985</v>
      </c>
      <c r="AT309" s="85" t="s">
        <v>1171</v>
      </c>
      <c r="AU309" s="85">
        <f t="shared" si="90"/>
        <v>30</v>
      </c>
      <c r="AV309" s="85">
        <v>0</v>
      </c>
      <c r="AW309" s="85">
        <v>2</v>
      </c>
      <c r="AX309" s="85">
        <v>14</v>
      </c>
      <c r="AY309" s="85">
        <v>12</v>
      </c>
      <c r="AZ309" s="85">
        <v>2</v>
      </c>
    </row>
    <row r="310" spans="2:53" x14ac:dyDescent="0.2">
      <c r="B310" s="89"/>
      <c r="C310" s="85" t="s">
        <v>577</v>
      </c>
      <c r="D310" s="85">
        <f t="shared" si="86"/>
        <v>14</v>
      </c>
      <c r="E310" s="85">
        <v>0</v>
      </c>
      <c r="F310" s="85">
        <v>1</v>
      </c>
      <c r="G310" s="85">
        <v>6</v>
      </c>
      <c r="H310" s="85">
        <v>6</v>
      </c>
      <c r="I310" s="85">
        <v>1</v>
      </c>
      <c r="M310" s="89"/>
      <c r="N310" s="85" t="s">
        <v>577</v>
      </c>
      <c r="O310" s="85">
        <f t="shared" si="87"/>
        <v>8</v>
      </c>
      <c r="P310" s="85">
        <v>0</v>
      </c>
      <c r="Q310" s="85">
        <v>1</v>
      </c>
      <c r="R310" s="85">
        <v>3</v>
      </c>
      <c r="S310" s="85">
        <v>3</v>
      </c>
      <c r="T310" s="85">
        <v>1</v>
      </c>
      <c r="X310" s="89"/>
      <c r="Y310" s="85" t="s">
        <v>577</v>
      </c>
      <c r="Z310" s="85">
        <f t="shared" si="88"/>
        <v>17352</v>
      </c>
      <c r="AA310" s="97">
        <v>0</v>
      </c>
      <c r="AB310" s="97">
        <v>758</v>
      </c>
      <c r="AC310" s="97">
        <v>7928</v>
      </c>
      <c r="AD310" s="97">
        <v>8392</v>
      </c>
      <c r="AE310" s="97">
        <v>274</v>
      </c>
      <c r="AF310" s="81"/>
      <c r="AI310" s="89"/>
      <c r="AJ310" s="85" t="s">
        <v>187</v>
      </c>
      <c r="AK310" s="85">
        <f t="shared" si="89"/>
        <v>53</v>
      </c>
      <c r="AL310" s="85">
        <v>0</v>
      </c>
      <c r="AM310" s="85">
        <v>1</v>
      </c>
      <c r="AN310" s="85">
        <v>2</v>
      </c>
      <c r="AO310" s="85">
        <v>16</v>
      </c>
      <c r="AP310" s="85">
        <v>34</v>
      </c>
      <c r="AS310" s="89"/>
      <c r="AT310" s="85" t="s">
        <v>187</v>
      </c>
      <c r="AU310" s="85">
        <f t="shared" si="90"/>
        <v>68</v>
      </c>
      <c r="AV310" s="85">
        <v>0</v>
      </c>
      <c r="AW310" s="85">
        <v>2</v>
      </c>
      <c r="AX310" s="85">
        <v>3</v>
      </c>
      <c r="AY310" s="85">
        <v>18</v>
      </c>
      <c r="AZ310" s="85">
        <v>45</v>
      </c>
    </row>
    <row r="311" spans="2:53" x14ac:dyDescent="0.2">
      <c r="B311" s="89"/>
      <c r="C311" s="96" t="s">
        <v>0</v>
      </c>
      <c r="D311" s="91">
        <f t="shared" ref="D311:I311" si="91">SUM(D290:D310)</f>
        <v>67</v>
      </c>
      <c r="E311" s="91">
        <f t="shared" si="91"/>
        <v>0</v>
      </c>
      <c r="F311" s="91">
        <f t="shared" si="91"/>
        <v>3</v>
      </c>
      <c r="G311" s="91">
        <f t="shared" si="91"/>
        <v>35</v>
      </c>
      <c r="H311" s="91">
        <f t="shared" si="91"/>
        <v>26</v>
      </c>
      <c r="I311" s="91">
        <f t="shared" si="91"/>
        <v>3</v>
      </c>
      <c r="M311" s="89"/>
      <c r="N311" s="96" t="s">
        <v>0</v>
      </c>
      <c r="O311" s="91">
        <f t="shared" ref="O311:T311" si="92">SUM(O290:O310)</f>
        <v>45</v>
      </c>
      <c r="P311" s="91">
        <f t="shared" si="92"/>
        <v>0</v>
      </c>
      <c r="Q311" s="91">
        <f t="shared" si="92"/>
        <v>3</v>
      </c>
      <c r="R311" s="91">
        <f t="shared" si="92"/>
        <v>23</v>
      </c>
      <c r="S311" s="91">
        <f t="shared" si="92"/>
        <v>16</v>
      </c>
      <c r="T311" s="91">
        <f t="shared" si="92"/>
        <v>3</v>
      </c>
      <c r="X311" s="89"/>
      <c r="Y311" s="96" t="s">
        <v>0</v>
      </c>
      <c r="Z311" s="91">
        <f t="shared" ref="Z311:AE311" si="93">SUM(Z290:Z310)</f>
        <v>85207</v>
      </c>
      <c r="AA311" s="91">
        <f t="shared" si="93"/>
        <v>2</v>
      </c>
      <c r="AB311" s="91">
        <f t="shared" si="93"/>
        <v>3470</v>
      </c>
      <c r="AC311" s="91">
        <f t="shared" si="93"/>
        <v>41823</v>
      </c>
      <c r="AD311" s="91">
        <f t="shared" si="93"/>
        <v>38887</v>
      </c>
      <c r="AE311" s="91">
        <f t="shared" si="93"/>
        <v>1025</v>
      </c>
      <c r="AF311" s="81"/>
      <c r="AI311" s="89"/>
      <c r="AJ311" s="96" t="s">
        <v>0</v>
      </c>
      <c r="AK311" s="91">
        <f t="shared" ref="AK311:AP311" si="94">SUM(AK290:AK310)</f>
        <v>1781</v>
      </c>
      <c r="AL311" s="91">
        <f t="shared" si="94"/>
        <v>2</v>
      </c>
      <c r="AM311" s="91">
        <f t="shared" si="94"/>
        <v>290</v>
      </c>
      <c r="AN311" s="91">
        <f t="shared" si="94"/>
        <v>530</v>
      </c>
      <c r="AO311" s="91">
        <f t="shared" si="94"/>
        <v>718</v>
      </c>
      <c r="AP311" s="91">
        <f t="shared" si="94"/>
        <v>241</v>
      </c>
      <c r="AS311" s="89"/>
      <c r="AT311" s="96" t="s">
        <v>0</v>
      </c>
      <c r="AU311" s="91">
        <f t="shared" ref="AU311:AZ311" si="95">SUM(AU290:AU310)</f>
        <v>948</v>
      </c>
      <c r="AV311" s="91">
        <f t="shared" si="95"/>
        <v>1</v>
      </c>
      <c r="AW311" s="91">
        <f t="shared" si="95"/>
        <v>37</v>
      </c>
      <c r="AX311" s="91">
        <f t="shared" si="95"/>
        <v>441</v>
      </c>
      <c r="AY311" s="91">
        <f t="shared" si="95"/>
        <v>419</v>
      </c>
      <c r="AZ311" s="91">
        <f t="shared" si="95"/>
        <v>50</v>
      </c>
    </row>
    <row r="312" spans="2:53" x14ac:dyDescent="0.2">
      <c r="B312" s="3949"/>
      <c r="M312" s="3949"/>
      <c r="X312" s="3949"/>
      <c r="Y312" s="81"/>
      <c r="Z312" s="81"/>
      <c r="AA312" s="81"/>
      <c r="AB312" s="81"/>
      <c r="AC312" s="81"/>
      <c r="AD312" s="81"/>
      <c r="AE312" s="81"/>
      <c r="AF312" s="81"/>
      <c r="AI312" s="3949"/>
      <c r="AJ312" s="81"/>
      <c r="AK312" s="81"/>
      <c r="AL312" s="81"/>
      <c r="AM312" s="81"/>
      <c r="AN312" s="81"/>
      <c r="AO312" s="81"/>
      <c r="AP312" s="81"/>
      <c r="AQ312" s="81"/>
      <c r="AS312" s="3949"/>
      <c r="AT312" s="81"/>
      <c r="AU312" s="81"/>
      <c r="AV312" s="81"/>
      <c r="AW312" s="81"/>
      <c r="AX312" s="81"/>
      <c r="AY312" s="81"/>
      <c r="AZ312" s="81"/>
      <c r="BA312" s="81"/>
    </row>
    <row r="313" spans="2:53" x14ac:dyDescent="0.2">
      <c r="B313" s="3949"/>
      <c r="M313" s="3949"/>
      <c r="X313" s="3949"/>
      <c r="Y313" s="81"/>
      <c r="Z313" s="81"/>
      <c r="AA313" s="81"/>
      <c r="AB313" s="81"/>
      <c r="AC313" s="81"/>
      <c r="AD313" s="81"/>
      <c r="AE313" s="81"/>
      <c r="AF313" s="81"/>
      <c r="AI313" s="3949"/>
      <c r="AJ313" s="81"/>
      <c r="AK313" s="81"/>
      <c r="AL313" s="81"/>
      <c r="AM313" s="81"/>
      <c r="AN313" s="81"/>
      <c r="AO313" s="81"/>
      <c r="AP313" s="81"/>
      <c r="AQ313" s="81"/>
      <c r="AS313" s="3949"/>
      <c r="AT313" s="81"/>
      <c r="AU313" s="81"/>
      <c r="AV313" s="81"/>
      <c r="AW313" s="81"/>
      <c r="AX313" s="81"/>
      <c r="AY313" s="81"/>
      <c r="AZ313" s="81"/>
      <c r="BA313" s="81"/>
    </row>
    <row r="314" spans="2:53" x14ac:dyDescent="0.2">
      <c r="B314" s="88" t="s">
        <v>772</v>
      </c>
      <c r="M314" s="88" t="s">
        <v>773</v>
      </c>
      <c r="X314" s="88" t="s">
        <v>481</v>
      </c>
      <c r="Y314" s="81"/>
      <c r="Z314" s="81"/>
      <c r="AA314" s="81"/>
      <c r="AB314" s="81"/>
      <c r="AC314" s="81"/>
      <c r="AD314" s="81"/>
      <c r="AE314" s="81"/>
      <c r="AF314" s="81"/>
      <c r="AI314" s="88" t="s">
        <v>1994</v>
      </c>
      <c r="AJ314" s="81"/>
      <c r="AK314" s="81"/>
      <c r="AL314" s="81"/>
      <c r="AM314" s="81"/>
      <c r="AN314" s="81"/>
      <c r="AO314" s="81"/>
      <c r="AP314" s="81"/>
      <c r="AS314" s="88" t="s">
        <v>3639</v>
      </c>
      <c r="AT314" s="81"/>
      <c r="AU314" s="81"/>
      <c r="AV314" s="81"/>
      <c r="AW314" s="81"/>
      <c r="AX314" s="81"/>
      <c r="AY314" s="81"/>
      <c r="AZ314" s="81"/>
    </row>
    <row r="315" spans="2:53" ht="11.25" customHeight="1" x14ac:dyDescent="0.2">
      <c r="B315" s="4258" t="s">
        <v>161</v>
      </c>
      <c r="C315" s="4258" t="s">
        <v>778</v>
      </c>
      <c r="D315" s="4258" t="s">
        <v>0</v>
      </c>
      <c r="E315" s="4260" t="s">
        <v>186</v>
      </c>
      <c r="F315" s="4261"/>
      <c r="G315" s="4261"/>
      <c r="H315" s="4261"/>
      <c r="I315" s="4262"/>
      <c r="M315" s="4258" t="s">
        <v>161</v>
      </c>
      <c r="N315" s="4258" t="s">
        <v>778</v>
      </c>
      <c r="O315" s="4258" t="s">
        <v>0</v>
      </c>
      <c r="P315" s="4260" t="s">
        <v>186</v>
      </c>
      <c r="Q315" s="4261"/>
      <c r="R315" s="4261"/>
      <c r="S315" s="4261"/>
      <c r="T315" s="4262"/>
      <c r="X315" s="4258" t="s">
        <v>161</v>
      </c>
      <c r="Y315" s="4258" t="s">
        <v>778</v>
      </c>
      <c r="Z315" s="4258" t="s">
        <v>0</v>
      </c>
      <c r="AA315" s="4260" t="s">
        <v>186</v>
      </c>
      <c r="AB315" s="4261"/>
      <c r="AC315" s="4261"/>
      <c r="AD315" s="4261"/>
      <c r="AE315" s="4262"/>
      <c r="AI315" s="4258" t="s">
        <v>161</v>
      </c>
      <c r="AJ315" s="4258" t="s">
        <v>778</v>
      </c>
      <c r="AK315" s="4258" t="s">
        <v>0</v>
      </c>
      <c r="AL315" s="4260" t="s">
        <v>186</v>
      </c>
      <c r="AM315" s="4261"/>
      <c r="AN315" s="4261"/>
      <c r="AO315" s="4261"/>
      <c r="AP315" s="4262"/>
      <c r="AS315" s="4258" t="s">
        <v>161</v>
      </c>
      <c r="AT315" s="4258" t="s">
        <v>778</v>
      </c>
      <c r="AU315" s="4258" t="s">
        <v>0</v>
      </c>
      <c r="AV315" s="4260" t="s">
        <v>186</v>
      </c>
      <c r="AW315" s="4261"/>
      <c r="AX315" s="4261"/>
      <c r="AY315" s="4261"/>
      <c r="AZ315" s="4262"/>
    </row>
    <row r="316" spans="2:53" x14ac:dyDescent="0.2">
      <c r="B316" s="4259"/>
      <c r="C316" s="4259"/>
      <c r="D316" s="4259"/>
      <c r="E316" s="3948" t="s">
        <v>743</v>
      </c>
      <c r="F316" s="3948" t="s">
        <v>744</v>
      </c>
      <c r="G316" s="3948" t="s">
        <v>745</v>
      </c>
      <c r="H316" s="3948" t="s">
        <v>746</v>
      </c>
      <c r="I316" s="3948" t="s">
        <v>747</v>
      </c>
      <c r="M316" s="4259"/>
      <c r="N316" s="4259"/>
      <c r="O316" s="4259"/>
      <c r="P316" s="3948" t="s">
        <v>743</v>
      </c>
      <c r="Q316" s="3948" t="s">
        <v>744</v>
      </c>
      <c r="R316" s="3948" t="s">
        <v>745</v>
      </c>
      <c r="S316" s="3948" t="s">
        <v>746</v>
      </c>
      <c r="T316" s="3948" t="s">
        <v>747</v>
      </c>
      <c r="X316" s="4259"/>
      <c r="Y316" s="4259"/>
      <c r="Z316" s="4259"/>
      <c r="AA316" s="3948" t="s">
        <v>743</v>
      </c>
      <c r="AB316" s="3948" t="s">
        <v>744</v>
      </c>
      <c r="AC316" s="3948" t="s">
        <v>745</v>
      </c>
      <c r="AD316" s="3948" t="s">
        <v>746</v>
      </c>
      <c r="AE316" s="3948" t="s">
        <v>747</v>
      </c>
      <c r="AI316" s="4259"/>
      <c r="AJ316" s="4259"/>
      <c r="AK316" s="4259"/>
      <c r="AL316" s="3948" t="s">
        <v>743</v>
      </c>
      <c r="AM316" s="3948" t="s">
        <v>744</v>
      </c>
      <c r="AN316" s="3948" t="s">
        <v>745</v>
      </c>
      <c r="AO316" s="3948" t="s">
        <v>746</v>
      </c>
      <c r="AP316" s="3948" t="s">
        <v>747</v>
      </c>
      <c r="AS316" s="4259"/>
      <c r="AT316" s="4259"/>
      <c r="AU316" s="4259"/>
      <c r="AV316" s="3948" t="s">
        <v>743</v>
      </c>
      <c r="AW316" s="3948" t="s">
        <v>744</v>
      </c>
      <c r="AX316" s="3948" t="s">
        <v>745</v>
      </c>
      <c r="AY316" s="3948" t="s">
        <v>746</v>
      </c>
      <c r="AZ316" s="3948" t="s">
        <v>747</v>
      </c>
    </row>
    <row r="317" spans="2:53" x14ac:dyDescent="0.2">
      <c r="B317" s="89" t="s">
        <v>1043</v>
      </c>
      <c r="C317" s="85" t="s">
        <v>1044</v>
      </c>
      <c r="D317" s="85">
        <f>SUM(E317:I317)</f>
        <v>413</v>
      </c>
      <c r="E317" s="85">
        <v>96</v>
      </c>
      <c r="F317" s="85">
        <v>30</v>
      </c>
      <c r="G317" s="85">
        <v>104</v>
      </c>
      <c r="H317" s="85">
        <v>146</v>
      </c>
      <c r="I317" s="85">
        <v>37</v>
      </c>
      <c r="M317" s="89" t="s">
        <v>1043</v>
      </c>
      <c r="N317" s="85" t="s">
        <v>1044</v>
      </c>
      <c r="O317" s="85">
        <f>SUM(P317:T317)</f>
        <v>206.5</v>
      </c>
      <c r="P317" s="85">
        <v>48</v>
      </c>
      <c r="Q317" s="85">
        <v>15</v>
      </c>
      <c r="R317" s="85">
        <v>52</v>
      </c>
      <c r="S317" s="85">
        <v>73</v>
      </c>
      <c r="T317" s="85">
        <v>18.5</v>
      </c>
      <c r="X317" s="89" t="s">
        <v>1043</v>
      </c>
      <c r="Y317" s="85" t="s">
        <v>1044</v>
      </c>
      <c r="Z317" s="85">
        <f>SUM(AA317:AE317)</f>
        <v>10943</v>
      </c>
      <c r="AA317" s="97">
        <v>468</v>
      </c>
      <c r="AB317" s="97">
        <v>285</v>
      </c>
      <c r="AC317" s="97">
        <v>2600</v>
      </c>
      <c r="AD317" s="97">
        <v>4008</v>
      </c>
      <c r="AE317" s="97">
        <v>3582</v>
      </c>
      <c r="AI317" s="89" t="s">
        <v>1043</v>
      </c>
      <c r="AJ317" s="85" t="s">
        <v>1172</v>
      </c>
      <c r="AK317" s="85">
        <f>SUM(AL317:AP317)</f>
        <v>334</v>
      </c>
      <c r="AL317" s="85">
        <v>68</v>
      </c>
      <c r="AM317" s="85">
        <v>85</v>
      </c>
      <c r="AN317" s="85">
        <v>60</v>
      </c>
      <c r="AO317" s="85">
        <v>40</v>
      </c>
      <c r="AP317" s="85">
        <v>81</v>
      </c>
      <c r="AS317" s="89" t="s">
        <v>1043</v>
      </c>
      <c r="AT317" s="85" t="s">
        <v>1172</v>
      </c>
      <c r="AU317" s="85">
        <f>SUM(AV317:AZ317)</f>
        <v>10</v>
      </c>
      <c r="AV317" s="85">
        <v>2</v>
      </c>
      <c r="AW317" s="85">
        <v>1</v>
      </c>
      <c r="AX317" s="85">
        <v>1</v>
      </c>
      <c r="AY317" s="85">
        <v>4</v>
      </c>
      <c r="AZ317" s="85">
        <v>2</v>
      </c>
    </row>
    <row r="318" spans="2:53" x14ac:dyDescent="0.2">
      <c r="B318" s="89" t="s">
        <v>1173</v>
      </c>
      <c r="C318" s="85" t="s">
        <v>1174</v>
      </c>
      <c r="D318" s="85">
        <f t="shared" ref="D318:D337" si="96">SUM(E318:I318)</f>
        <v>141</v>
      </c>
      <c r="E318" s="85">
        <v>27</v>
      </c>
      <c r="F318" s="85">
        <v>8</v>
      </c>
      <c r="G318" s="85">
        <v>58</v>
      </c>
      <c r="H318" s="85">
        <v>38</v>
      </c>
      <c r="I318" s="85">
        <v>10</v>
      </c>
      <c r="M318" s="89" t="s">
        <v>1175</v>
      </c>
      <c r="N318" s="85" t="s">
        <v>1176</v>
      </c>
      <c r="O318" s="85">
        <f t="shared" ref="O318:O337" si="97">SUM(P318:T318)</f>
        <v>70.5</v>
      </c>
      <c r="P318" s="85">
        <v>13.5</v>
      </c>
      <c r="Q318" s="85">
        <v>4</v>
      </c>
      <c r="R318" s="85">
        <v>29</v>
      </c>
      <c r="S318" s="85">
        <v>19</v>
      </c>
      <c r="T318" s="85">
        <v>5</v>
      </c>
      <c r="X318" s="89" t="s">
        <v>1173</v>
      </c>
      <c r="Y318" s="85" t="s">
        <v>1174</v>
      </c>
      <c r="Z318" s="85">
        <f t="shared" ref="Z318:Z337" si="98">SUM(AA318:AE318)</f>
        <v>8743</v>
      </c>
      <c r="AA318" s="97">
        <v>135</v>
      </c>
      <c r="AB318" s="97">
        <v>232</v>
      </c>
      <c r="AC318" s="97">
        <v>1330</v>
      </c>
      <c r="AD318" s="97">
        <v>3102</v>
      </c>
      <c r="AE318" s="97">
        <v>3944</v>
      </c>
      <c r="AI318" s="89" t="s">
        <v>491</v>
      </c>
      <c r="AJ318" s="85" t="s">
        <v>510</v>
      </c>
      <c r="AK318" s="85">
        <f t="shared" ref="AK318:AK337" si="99">SUM(AL318:AP318)</f>
        <v>134</v>
      </c>
      <c r="AL318" s="85">
        <v>35</v>
      </c>
      <c r="AM318" s="85">
        <v>31</v>
      </c>
      <c r="AN318" s="85">
        <v>2</v>
      </c>
      <c r="AO318" s="85">
        <v>22</v>
      </c>
      <c r="AP318" s="85">
        <v>44</v>
      </c>
      <c r="AS318" s="89" t="s">
        <v>491</v>
      </c>
      <c r="AT318" s="85" t="s">
        <v>510</v>
      </c>
      <c r="AU318" s="85">
        <f t="shared" ref="AU318:AU337" si="100">SUM(AV318:AZ318)</f>
        <v>22</v>
      </c>
      <c r="AV318" s="85">
        <v>0</v>
      </c>
      <c r="AW318" s="85">
        <v>0</v>
      </c>
      <c r="AX318" s="85">
        <v>5</v>
      </c>
      <c r="AY318" s="85">
        <v>10</v>
      </c>
      <c r="AZ318" s="85">
        <v>7</v>
      </c>
    </row>
    <row r="319" spans="2:53" x14ac:dyDescent="0.2">
      <c r="B319" s="89" t="s">
        <v>1038</v>
      </c>
      <c r="C319" s="85" t="s">
        <v>1034</v>
      </c>
      <c r="D319" s="85">
        <f t="shared" si="96"/>
        <v>140</v>
      </c>
      <c r="E319" s="85">
        <v>11</v>
      </c>
      <c r="F319" s="85">
        <v>11</v>
      </c>
      <c r="G319" s="85">
        <v>32</v>
      </c>
      <c r="H319" s="85">
        <v>60</v>
      </c>
      <c r="I319" s="85">
        <v>26</v>
      </c>
      <c r="M319" s="89" t="s">
        <v>491</v>
      </c>
      <c r="N319" s="85" t="s">
        <v>844</v>
      </c>
      <c r="O319" s="85">
        <f t="shared" si="97"/>
        <v>70</v>
      </c>
      <c r="P319" s="85">
        <v>5.5</v>
      </c>
      <c r="Q319" s="85">
        <v>5.5</v>
      </c>
      <c r="R319" s="85">
        <v>16</v>
      </c>
      <c r="S319" s="85">
        <v>30</v>
      </c>
      <c r="T319" s="85">
        <v>13</v>
      </c>
      <c r="X319" s="89" t="s">
        <v>1038</v>
      </c>
      <c r="Y319" s="85" t="s">
        <v>1034</v>
      </c>
      <c r="Z319" s="85">
        <f t="shared" si="98"/>
        <v>5987</v>
      </c>
      <c r="AA319" s="97">
        <v>71</v>
      </c>
      <c r="AB319" s="97">
        <v>253</v>
      </c>
      <c r="AC319" s="97">
        <v>1149</v>
      </c>
      <c r="AD319" s="97">
        <v>2813</v>
      </c>
      <c r="AE319" s="97">
        <v>1701</v>
      </c>
      <c r="AI319" s="89" t="s">
        <v>999</v>
      </c>
      <c r="AJ319" s="85" t="s">
        <v>1086</v>
      </c>
      <c r="AK319" s="85">
        <f t="shared" si="99"/>
        <v>163</v>
      </c>
      <c r="AL319" s="85">
        <v>71</v>
      </c>
      <c r="AM319" s="85">
        <v>25</v>
      </c>
      <c r="AN319" s="85">
        <v>26</v>
      </c>
      <c r="AO319" s="85">
        <v>24</v>
      </c>
      <c r="AP319" s="85">
        <v>17</v>
      </c>
      <c r="AS319" s="89" t="s">
        <v>999</v>
      </c>
      <c r="AT319" s="85" t="s">
        <v>1086</v>
      </c>
      <c r="AU319" s="85">
        <f t="shared" si="100"/>
        <v>204</v>
      </c>
      <c r="AV319" s="85">
        <v>25</v>
      </c>
      <c r="AW319" s="85">
        <v>6</v>
      </c>
      <c r="AX319" s="85">
        <v>48</v>
      </c>
      <c r="AY319" s="85">
        <v>86</v>
      </c>
      <c r="AZ319" s="85">
        <v>39</v>
      </c>
    </row>
    <row r="320" spans="2:53" x14ac:dyDescent="0.2">
      <c r="B320" s="89" t="s">
        <v>491</v>
      </c>
      <c r="C320" s="85" t="s">
        <v>844</v>
      </c>
      <c r="D320" s="85">
        <f t="shared" si="96"/>
        <v>118</v>
      </c>
      <c r="E320" s="85">
        <v>22</v>
      </c>
      <c r="F320" s="85">
        <v>8</v>
      </c>
      <c r="G320" s="85">
        <v>43</v>
      </c>
      <c r="H320" s="85">
        <v>34</v>
      </c>
      <c r="I320" s="85">
        <v>11</v>
      </c>
      <c r="M320" s="89" t="s">
        <v>1048</v>
      </c>
      <c r="N320" s="85" t="s">
        <v>1049</v>
      </c>
      <c r="O320" s="85">
        <f t="shared" si="97"/>
        <v>59</v>
      </c>
      <c r="P320" s="85">
        <v>11</v>
      </c>
      <c r="Q320" s="85">
        <v>4</v>
      </c>
      <c r="R320" s="85">
        <v>21.5</v>
      </c>
      <c r="S320" s="85">
        <v>17</v>
      </c>
      <c r="T320" s="85">
        <v>5.5</v>
      </c>
      <c r="X320" s="89" t="s">
        <v>491</v>
      </c>
      <c r="Y320" s="85" t="s">
        <v>844</v>
      </c>
      <c r="Z320" s="85">
        <f t="shared" si="98"/>
        <v>4305</v>
      </c>
      <c r="AA320" s="97">
        <v>209</v>
      </c>
      <c r="AB320" s="97">
        <v>94</v>
      </c>
      <c r="AC320" s="97">
        <v>1474</v>
      </c>
      <c r="AD320" s="97">
        <v>1817</v>
      </c>
      <c r="AE320" s="97">
        <v>711</v>
      </c>
      <c r="AI320" s="89" t="s">
        <v>1175</v>
      </c>
      <c r="AJ320" s="85" t="s">
        <v>1177</v>
      </c>
      <c r="AK320" s="85">
        <f t="shared" si="99"/>
        <v>38</v>
      </c>
      <c r="AL320" s="85">
        <v>19</v>
      </c>
      <c r="AM320" s="85">
        <v>2</v>
      </c>
      <c r="AN320" s="85">
        <v>2</v>
      </c>
      <c r="AO320" s="85">
        <v>4</v>
      </c>
      <c r="AP320" s="85">
        <v>11</v>
      </c>
      <c r="AS320" s="89" t="s">
        <v>1175</v>
      </c>
      <c r="AT320" s="85" t="s">
        <v>1177</v>
      </c>
      <c r="AU320" s="85">
        <f t="shared" si="100"/>
        <v>7</v>
      </c>
      <c r="AV320" s="85">
        <v>2</v>
      </c>
      <c r="AW320" s="85">
        <v>0</v>
      </c>
      <c r="AX320" s="85">
        <v>2</v>
      </c>
      <c r="AY320" s="85">
        <v>2</v>
      </c>
      <c r="AZ320" s="85">
        <v>1</v>
      </c>
    </row>
    <row r="321" spans="2:52" x14ac:dyDescent="0.2">
      <c r="B321" s="89" t="s">
        <v>1048</v>
      </c>
      <c r="C321" s="85" t="s">
        <v>1049</v>
      </c>
      <c r="D321" s="85">
        <f t="shared" si="96"/>
        <v>111</v>
      </c>
      <c r="E321" s="85">
        <v>37</v>
      </c>
      <c r="F321" s="85">
        <v>13</v>
      </c>
      <c r="G321" s="85">
        <v>24</v>
      </c>
      <c r="H321" s="85">
        <v>24</v>
      </c>
      <c r="I321" s="85">
        <v>13</v>
      </c>
      <c r="M321" s="89" t="s">
        <v>1038</v>
      </c>
      <c r="N321" s="85" t="s">
        <v>1034</v>
      </c>
      <c r="O321" s="85">
        <f t="shared" si="97"/>
        <v>55.5</v>
      </c>
      <c r="P321" s="85">
        <v>18.5</v>
      </c>
      <c r="Q321" s="85">
        <v>6.5</v>
      </c>
      <c r="R321" s="85">
        <v>12</v>
      </c>
      <c r="S321" s="85">
        <v>12</v>
      </c>
      <c r="T321" s="85">
        <v>6.5</v>
      </c>
      <c r="X321" s="89" t="s">
        <v>1048</v>
      </c>
      <c r="Y321" s="85" t="s">
        <v>1049</v>
      </c>
      <c r="Z321" s="85">
        <f t="shared" si="98"/>
        <v>3094</v>
      </c>
      <c r="AA321" s="97">
        <v>177</v>
      </c>
      <c r="AB321" s="97">
        <v>129</v>
      </c>
      <c r="AC321" s="97">
        <v>603</v>
      </c>
      <c r="AD321" s="97">
        <v>1157</v>
      </c>
      <c r="AE321" s="97">
        <v>1028</v>
      </c>
      <c r="AI321" s="89" t="s">
        <v>1038</v>
      </c>
      <c r="AJ321" s="85" t="s">
        <v>1178</v>
      </c>
      <c r="AK321" s="85">
        <f t="shared" si="99"/>
        <v>54</v>
      </c>
      <c r="AL321" s="85">
        <v>12</v>
      </c>
      <c r="AM321" s="85">
        <v>2</v>
      </c>
      <c r="AN321" s="85">
        <v>8</v>
      </c>
      <c r="AO321" s="85">
        <v>5</v>
      </c>
      <c r="AP321" s="85">
        <v>27</v>
      </c>
      <c r="AS321" s="89" t="s">
        <v>1038</v>
      </c>
      <c r="AT321" s="85" t="s">
        <v>1178</v>
      </c>
      <c r="AU321" s="85">
        <f t="shared" si="100"/>
        <v>8</v>
      </c>
      <c r="AV321" s="85">
        <v>3</v>
      </c>
      <c r="AW321" s="85">
        <v>0</v>
      </c>
      <c r="AX321" s="85">
        <v>1</v>
      </c>
      <c r="AY321" s="85">
        <v>2</v>
      </c>
      <c r="AZ321" s="85">
        <v>2</v>
      </c>
    </row>
    <row r="322" spans="2:52" x14ac:dyDescent="0.2">
      <c r="B322" s="89" t="s">
        <v>1179</v>
      </c>
      <c r="C322" s="85" t="s">
        <v>1180</v>
      </c>
      <c r="D322" s="85">
        <f t="shared" si="96"/>
        <v>105</v>
      </c>
      <c r="E322" s="85">
        <v>32</v>
      </c>
      <c r="F322" s="85">
        <v>5</v>
      </c>
      <c r="G322" s="85">
        <v>32</v>
      </c>
      <c r="H322" s="85">
        <v>30</v>
      </c>
      <c r="I322" s="85">
        <v>6</v>
      </c>
      <c r="M322" s="89" t="s">
        <v>1173</v>
      </c>
      <c r="N322" s="85" t="s">
        <v>1174</v>
      </c>
      <c r="O322" s="85">
        <f t="shared" si="97"/>
        <v>52.5</v>
      </c>
      <c r="P322" s="85">
        <v>16</v>
      </c>
      <c r="Q322" s="85">
        <v>2.5</v>
      </c>
      <c r="R322" s="85">
        <v>16</v>
      </c>
      <c r="S322" s="85">
        <v>15</v>
      </c>
      <c r="T322" s="85">
        <v>3</v>
      </c>
      <c r="X322" s="89" t="s">
        <v>1179</v>
      </c>
      <c r="Y322" s="85" t="s">
        <v>1180</v>
      </c>
      <c r="Z322" s="85">
        <f t="shared" si="98"/>
        <v>3074</v>
      </c>
      <c r="AA322" s="97">
        <v>110</v>
      </c>
      <c r="AB322" s="97">
        <v>139</v>
      </c>
      <c r="AC322" s="97">
        <v>502</v>
      </c>
      <c r="AD322" s="97">
        <v>1315</v>
      </c>
      <c r="AE322" s="97">
        <v>1008</v>
      </c>
      <c r="AI322" s="89" t="s">
        <v>1181</v>
      </c>
      <c r="AJ322" s="85" t="s">
        <v>1182</v>
      </c>
      <c r="AK322" s="85">
        <f t="shared" si="99"/>
        <v>31</v>
      </c>
      <c r="AL322" s="85">
        <v>5</v>
      </c>
      <c r="AM322" s="85">
        <v>2</v>
      </c>
      <c r="AN322" s="85">
        <v>1</v>
      </c>
      <c r="AO322" s="85">
        <v>13</v>
      </c>
      <c r="AP322" s="85">
        <v>10</v>
      </c>
      <c r="AS322" s="89" t="s">
        <v>1181</v>
      </c>
      <c r="AT322" s="85" t="s">
        <v>1182</v>
      </c>
      <c r="AU322" s="85">
        <f t="shared" si="100"/>
        <v>1</v>
      </c>
      <c r="AV322" s="85">
        <v>0</v>
      </c>
      <c r="AW322" s="85">
        <v>0</v>
      </c>
      <c r="AX322" s="85">
        <v>0</v>
      </c>
      <c r="AY322" s="85">
        <v>1</v>
      </c>
      <c r="AZ322" s="85">
        <v>0</v>
      </c>
    </row>
    <row r="323" spans="2:52" x14ac:dyDescent="0.2">
      <c r="B323" s="89" t="s">
        <v>1183</v>
      </c>
      <c r="C323" s="85" t="s">
        <v>1184</v>
      </c>
      <c r="D323" s="85">
        <f t="shared" si="96"/>
        <v>87</v>
      </c>
      <c r="E323" s="85">
        <v>5</v>
      </c>
      <c r="F323" s="85">
        <v>4</v>
      </c>
      <c r="G323" s="85">
        <v>22</v>
      </c>
      <c r="H323" s="85">
        <v>43</v>
      </c>
      <c r="I323" s="85">
        <v>13</v>
      </c>
      <c r="M323" s="89" t="s">
        <v>997</v>
      </c>
      <c r="N323" s="85" t="s">
        <v>998</v>
      </c>
      <c r="O323" s="85">
        <f t="shared" si="97"/>
        <v>43.5</v>
      </c>
      <c r="P323" s="85">
        <v>2.5</v>
      </c>
      <c r="Q323" s="85">
        <v>2</v>
      </c>
      <c r="R323" s="85">
        <v>11</v>
      </c>
      <c r="S323" s="85">
        <v>21.5</v>
      </c>
      <c r="T323" s="85">
        <v>6.5</v>
      </c>
      <c r="X323" s="89" t="s">
        <v>1183</v>
      </c>
      <c r="Y323" s="85" t="s">
        <v>1184</v>
      </c>
      <c r="Z323" s="85">
        <f t="shared" si="98"/>
        <v>2859</v>
      </c>
      <c r="AA323" s="97">
        <v>69</v>
      </c>
      <c r="AB323" s="97">
        <v>82</v>
      </c>
      <c r="AC323" s="97">
        <v>840</v>
      </c>
      <c r="AD323" s="97">
        <v>1110</v>
      </c>
      <c r="AE323" s="97">
        <v>758</v>
      </c>
      <c r="AI323" s="89" t="s">
        <v>1050</v>
      </c>
      <c r="AJ323" s="85" t="s">
        <v>1185</v>
      </c>
      <c r="AK323" s="85">
        <f t="shared" si="99"/>
        <v>20</v>
      </c>
      <c r="AL323" s="85">
        <v>2</v>
      </c>
      <c r="AM323" s="85">
        <v>5</v>
      </c>
      <c r="AN323" s="85">
        <v>2</v>
      </c>
      <c r="AO323" s="85">
        <v>10</v>
      </c>
      <c r="AP323" s="85">
        <v>1</v>
      </c>
      <c r="AS323" s="89" t="s">
        <v>1050</v>
      </c>
      <c r="AT323" s="85" t="s">
        <v>1185</v>
      </c>
      <c r="AU323" s="85">
        <f t="shared" si="100"/>
        <v>7</v>
      </c>
      <c r="AV323" s="85">
        <v>1</v>
      </c>
      <c r="AW323" s="85">
        <v>0</v>
      </c>
      <c r="AX323" s="85">
        <v>2</v>
      </c>
      <c r="AY323" s="85">
        <v>0</v>
      </c>
      <c r="AZ323" s="85">
        <v>4</v>
      </c>
    </row>
    <row r="324" spans="2:52" x14ac:dyDescent="0.2">
      <c r="B324" s="89" t="s">
        <v>1181</v>
      </c>
      <c r="C324" s="85" t="s">
        <v>1186</v>
      </c>
      <c r="D324" s="85">
        <f t="shared" si="96"/>
        <v>87</v>
      </c>
      <c r="E324" s="85">
        <v>16</v>
      </c>
      <c r="F324" s="85">
        <v>7</v>
      </c>
      <c r="G324" s="85">
        <v>28</v>
      </c>
      <c r="H324" s="85">
        <v>32</v>
      </c>
      <c r="I324" s="85">
        <v>4</v>
      </c>
      <c r="M324" s="89" t="s">
        <v>1183</v>
      </c>
      <c r="N324" s="85" t="s">
        <v>1184</v>
      </c>
      <c r="O324" s="85">
        <f t="shared" si="97"/>
        <v>43.5</v>
      </c>
      <c r="P324" s="85">
        <v>8</v>
      </c>
      <c r="Q324" s="85">
        <v>3.5</v>
      </c>
      <c r="R324" s="85">
        <v>14</v>
      </c>
      <c r="S324" s="85">
        <v>16</v>
      </c>
      <c r="T324" s="85">
        <v>2</v>
      </c>
      <c r="X324" s="89" t="s">
        <v>1181</v>
      </c>
      <c r="Y324" s="85" t="s">
        <v>1186</v>
      </c>
      <c r="Z324" s="85">
        <f t="shared" si="98"/>
        <v>2827</v>
      </c>
      <c r="AA324" s="97">
        <v>9</v>
      </c>
      <c r="AB324" s="97">
        <v>107</v>
      </c>
      <c r="AC324" s="97">
        <v>559</v>
      </c>
      <c r="AD324" s="97">
        <v>1380</v>
      </c>
      <c r="AE324" s="97">
        <v>772</v>
      </c>
      <c r="AI324" s="89" t="s">
        <v>509</v>
      </c>
      <c r="AJ324" s="85" t="s">
        <v>1187</v>
      </c>
      <c r="AK324" s="85">
        <f t="shared" si="99"/>
        <v>19</v>
      </c>
      <c r="AL324" s="85">
        <v>9</v>
      </c>
      <c r="AM324" s="85">
        <v>2</v>
      </c>
      <c r="AN324" s="85">
        <v>1</v>
      </c>
      <c r="AO324" s="85">
        <v>5</v>
      </c>
      <c r="AP324" s="85">
        <v>2</v>
      </c>
      <c r="AS324" s="89" t="s">
        <v>509</v>
      </c>
      <c r="AT324" s="85" t="s">
        <v>1187</v>
      </c>
      <c r="AU324" s="85">
        <f t="shared" si="100"/>
        <v>8</v>
      </c>
      <c r="AV324" s="85">
        <v>0</v>
      </c>
      <c r="AW324" s="85">
        <v>1</v>
      </c>
      <c r="AX324" s="85">
        <v>1</v>
      </c>
      <c r="AY324" s="85">
        <v>6</v>
      </c>
      <c r="AZ324" s="85">
        <v>0</v>
      </c>
    </row>
    <row r="325" spans="2:52" x14ac:dyDescent="0.2">
      <c r="B325" s="89" t="s">
        <v>1175</v>
      </c>
      <c r="C325" s="85" t="s">
        <v>1176</v>
      </c>
      <c r="D325" s="85">
        <f t="shared" si="96"/>
        <v>87</v>
      </c>
      <c r="E325" s="85">
        <v>26</v>
      </c>
      <c r="F325" s="85">
        <v>5</v>
      </c>
      <c r="G325" s="85">
        <v>23</v>
      </c>
      <c r="H325" s="85">
        <v>23</v>
      </c>
      <c r="I325" s="85">
        <v>10</v>
      </c>
      <c r="M325" s="89" t="s">
        <v>1179</v>
      </c>
      <c r="N325" s="85" t="s">
        <v>1180</v>
      </c>
      <c r="O325" s="85">
        <f t="shared" si="97"/>
        <v>43.5</v>
      </c>
      <c r="P325" s="85">
        <v>13</v>
      </c>
      <c r="Q325" s="85">
        <v>2.5</v>
      </c>
      <c r="R325" s="85">
        <v>11.5</v>
      </c>
      <c r="S325" s="85">
        <v>11.5</v>
      </c>
      <c r="T325" s="85">
        <v>5</v>
      </c>
      <c r="X325" s="89" t="s">
        <v>1175</v>
      </c>
      <c r="Y325" s="85" t="s">
        <v>1176</v>
      </c>
      <c r="Z325" s="85">
        <f t="shared" si="98"/>
        <v>2790</v>
      </c>
      <c r="AA325" s="97">
        <v>0</v>
      </c>
      <c r="AB325" s="97">
        <v>17</v>
      </c>
      <c r="AC325" s="97">
        <v>350</v>
      </c>
      <c r="AD325" s="97">
        <v>1513</v>
      </c>
      <c r="AE325" s="97">
        <v>910</v>
      </c>
      <c r="AI325" s="89" t="s">
        <v>1001</v>
      </c>
      <c r="AJ325" s="85" t="s">
        <v>1091</v>
      </c>
      <c r="AK325" s="85">
        <f t="shared" si="99"/>
        <v>42</v>
      </c>
      <c r="AL325" s="85">
        <v>0</v>
      </c>
      <c r="AM325" s="85">
        <v>17</v>
      </c>
      <c r="AN325" s="85">
        <v>2</v>
      </c>
      <c r="AO325" s="85">
        <v>13</v>
      </c>
      <c r="AP325" s="85">
        <v>10</v>
      </c>
      <c r="AS325" s="89" t="s">
        <v>1001</v>
      </c>
      <c r="AT325" s="85" t="s">
        <v>1091</v>
      </c>
      <c r="AU325" s="85">
        <f t="shared" si="100"/>
        <v>63</v>
      </c>
      <c r="AV325" s="85">
        <v>0</v>
      </c>
      <c r="AW325" s="85">
        <v>1</v>
      </c>
      <c r="AX325" s="85">
        <v>9</v>
      </c>
      <c r="AY325" s="85">
        <v>42</v>
      </c>
      <c r="AZ325" s="85">
        <v>11</v>
      </c>
    </row>
    <row r="326" spans="2:52" x14ac:dyDescent="0.2">
      <c r="B326" s="89" t="s">
        <v>997</v>
      </c>
      <c r="C326" s="85" t="s">
        <v>998</v>
      </c>
      <c r="D326" s="85">
        <f t="shared" si="96"/>
        <v>65</v>
      </c>
      <c r="E326" s="85">
        <v>2</v>
      </c>
      <c r="F326" s="85">
        <v>4</v>
      </c>
      <c r="G326" s="85">
        <v>21</v>
      </c>
      <c r="H326" s="85">
        <v>24</v>
      </c>
      <c r="I326" s="85">
        <v>14</v>
      </c>
      <c r="M326" s="89" t="s">
        <v>509</v>
      </c>
      <c r="N326" s="85" t="s">
        <v>1010</v>
      </c>
      <c r="O326" s="85">
        <f t="shared" si="97"/>
        <v>32.5</v>
      </c>
      <c r="P326" s="85">
        <v>1</v>
      </c>
      <c r="Q326" s="85">
        <v>2</v>
      </c>
      <c r="R326" s="85">
        <v>10.5</v>
      </c>
      <c r="S326" s="85">
        <v>12</v>
      </c>
      <c r="T326" s="85">
        <v>7</v>
      </c>
      <c r="X326" s="89" t="s">
        <v>997</v>
      </c>
      <c r="Y326" s="85" t="s">
        <v>998</v>
      </c>
      <c r="Z326" s="85">
        <f t="shared" si="98"/>
        <v>2478</v>
      </c>
      <c r="AA326" s="97">
        <v>96</v>
      </c>
      <c r="AB326" s="97">
        <v>147</v>
      </c>
      <c r="AC326" s="97">
        <v>765</v>
      </c>
      <c r="AD326" s="97">
        <v>1067</v>
      </c>
      <c r="AE326" s="97">
        <v>403</v>
      </c>
      <c r="AI326" s="89" t="s">
        <v>1173</v>
      </c>
      <c r="AJ326" s="85" t="s">
        <v>1188</v>
      </c>
      <c r="AK326" s="85">
        <f t="shared" si="99"/>
        <v>133</v>
      </c>
      <c r="AL326" s="85">
        <v>3</v>
      </c>
      <c r="AM326" s="85">
        <v>45</v>
      </c>
      <c r="AN326" s="85">
        <v>52</v>
      </c>
      <c r="AO326" s="85">
        <v>10</v>
      </c>
      <c r="AP326" s="85">
        <v>23</v>
      </c>
      <c r="AS326" s="89" t="s">
        <v>1173</v>
      </c>
      <c r="AT326" s="85" t="s">
        <v>1188</v>
      </c>
      <c r="AU326" s="85">
        <f t="shared" si="100"/>
        <v>2</v>
      </c>
      <c r="AV326" s="85">
        <v>0</v>
      </c>
      <c r="AW326" s="85">
        <v>0</v>
      </c>
      <c r="AX326" s="85">
        <v>0</v>
      </c>
      <c r="AY326" s="85">
        <v>1</v>
      </c>
      <c r="AZ326" s="85">
        <v>1</v>
      </c>
    </row>
    <row r="327" spans="2:52" x14ac:dyDescent="0.2">
      <c r="B327" s="89" t="s">
        <v>1189</v>
      </c>
      <c r="C327" s="85" t="s">
        <v>1190</v>
      </c>
      <c r="D327" s="85">
        <f t="shared" si="96"/>
        <v>55</v>
      </c>
      <c r="E327" s="85">
        <v>0</v>
      </c>
      <c r="F327" s="85">
        <v>0</v>
      </c>
      <c r="G327" s="85">
        <v>13</v>
      </c>
      <c r="H327" s="85">
        <v>26</v>
      </c>
      <c r="I327" s="85">
        <v>16</v>
      </c>
      <c r="M327" s="89" t="s">
        <v>1001</v>
      </c>
      <c r="N327" s="85" t="s">
        <v>1002</v>
      </c>
      <c r="O327" s="85">
        <f t="shared" si="97"/>
        <v>27.5</v>
      </c>
      <c r="P327" s="85">
        <v>0</v>
      </c>
      <c r="Q327" s="85">
        <v>0</v>
      </c>
      <c r="R327" s="85">
        <v>6.5</v>
      </c>
      <c r="S327" s="85">
        <v>13</v>
      </c>
      <c r="T327" s="85">
        <v>8</v>
      </c>
      <c r="X327" s="89" t="s">
        <v>1189</v>
      </c>
      <c r="Y327" s="85" t="s">
        <v>1190</v>
      </c>
      <c r="Z327" s="85">
        <f t="shared" si="98"/>
        <v>2170</v>
      </c>
      <c r="AA327" s="97">
        <v>118</v>
      </c>
      <c r="AB327" s="97">
        <v>66</v>
      </c>
      <c r="AC327" s="97">
        <v>516</v>
      </c>
      <c r="AD327" s="97">
        <v>972</v>
      </c>
      <c r="AE327" s="97">
        <v>498</v>
      </c>
      <c r="AI327" s="89" t="s">
        <v>1179</v>
      </c>
      <c r="AJ327" s="85" t="s">
        <v>1191</v>
      </c>
      <c r="AK327" s="85">
        <f t="shared" si="99"/>
        <v>29</v>
      </c>
      <c r="AL327" s="85">
        <v>5</v>
      </c>
      <c r="AM327" s="85">
        <v>2</v>
      </c>
      <c r="AN327" s="85">
        <v>5</v>
      </c>
      <c r="AO327" s="85">
        <v>15</v>
      </c>
      <c r="AP327" s="85">
        <v>2</v>
      </c>
      <c r="AS327" s="89" t="s">
        <v>1179</v>
      </c>
      <c r="AT327" s="85" t="s">
        <v>1191</v>
      </c>
      <c r="AU327" s="85">
        <f t="shared" si="100"/>
        <v>7</v>
      </c>
      <c r="AV327" s="85">
        <v>3</v>
      </c>
      <c r="AW327" s="85">
        <v>0</v>
      </c>
      <c r="AX327" s="85">
        <v>0</v>
      </c>
      <c r="AY327" s="85">
        <v>1</v>
      </c>
      <c r="AZ327" s="85">
        <v>3</v>
      </c>
    </row>
    <row r="328" spans="2:52" x14ac:dyDescent="0.2">
      <c r="B328" s="89" t="s">
        <v>1001</v>
      </c>
      <c r="C328" s="85" t="s">
        <v>1002</v>
      </c>
      <c r="D328" s="85">
        <f t="shared" si="96"/>
        <v>42</v>
      </c>
      <c r="E328" s="85">
        <v>4</v>
      </c>
      <c r="F328" s="85">
        <v>1</v>
      </c>
      <c r="G328" s="85">
        <v>15</v>
      </c>
      <c r="H328" s="85">
        <v>21</v>
      </c>
      <c r="I328" s="85">
        <v>1</v>
      </c>
      <c r="M328" s="89" t="s">
        <v>1189</v>
      </c>
      <c r="N328" s="85" t="s">
        <v>1190</v>
      </c>
      <c r="O328" s="85">
        <f t="shared" si="97"/>
        <v>21</v>
      </c>
      <c r="P328" s="85">
        <v>2</v>
      </c>
      <c r="Q328" s="85">
        <v>0.5</v>
      </c>
      <c r="R328" s="85">
        <v>7.5</v>
      </c>
      <c r="S328" s="85">
        <v>10.5</v>
      </c>
      <c r="T328" s="85">
        <v>0.5</v>
      </c>
      <c r="X328" s="89" t="s">
        <v>1001</v>
      </c>
      <c r="Y328" s="85" t="s">
        <v>1002</v>
      </c>
      <c r="Z328" s="85">
        <f t="shared" si="98"/>
        <v>1901</v>
      </c>
      <c r="AA328" s="97">
        <v>74</v>
      </c>
      <c r="AB328" s="97">
        <v>72</v>
      </c>
      <c r="AC328" s="97">
        <v>522</v>
      </c>
      <c r="AD328" s="97">
        <v>1007</v>
      </c>
      <c r="AE328" s="97">
        <v>226</v>
      </c>
      <c r="AI328" s="89" t="s">
        <v>1183</v>
      </c>
      <c r="AJ328" s="85" t="s">
        <v>1192</v>
      </c>
      <c r="AK328" s="85">
        <f t="shared" si="99"/>
        <v>41</v>
      </c>
      <c r="AL328" s="85">
        <v>5</v>
      </c>
      <c r="AM328" s="85">
        <v>11</v>
      </c>
      <c r="AN328" s="85">
        <v>10</v>
      </c>
      <c r="AO328" s="85">
        <v>9</v>
      </c>
      <c r="AP328" s="85">
        <v>6</v>
      </c>
      <c r="AS328" s="89" t="s">
        <v>1183</v>
      </c>
      <c r="AT328" s="85" t="s">
        <v>1192</v>
      </c>
      <c r="AU328" s="85">
        <f t="shared" si="100"/>
        <v>6</v>
      </c>
      <c r="AV328" s="85">
        <v>1</v>
      </c>
      <c r="AW328" s="85">
        <v>0</v>
      </c>
      <c r="AX328" s="85">
        <v>0</v>
      </c>
      <c r="AY328" s="85">
        <v>1</v>
      </c>
      <c r="AZ328" s="85">
        <v>4</v>
      </c>
    </row>
    <row r="329" spans="2:52" x14ac:dyDescent="0.2">
      <c r="B329" s="89" t="s">
        <v>1193</v>
      </c>
      <c r="C329" s="85" t="s">
        <v>1194</v>
      </c>
      <c r="D329" s="85">
        <f t="shared" si="96"/>
        <v>35</v>
      </c>
      <c r="E329" s="85">
        <v>2</v>
      </c>
      <c r="F329" s="85">
        <v>3</v>
      </c>
      <c r="G329" s="85">
        <v>6</v>
      </c>
      <c r="H329" s="85">
        <v>18</v>
      </c>
      <c r="I329" s="85">
        <v>6</v>
      </c>
      <c r="M329" s="89" t="s">
        <v>497</v>
      </c>
      <c r="N329" s="85" t="s">
        <v>779</v>
      </c>
      <c r="O329" s="85">
        <f t="shared" si="97"/>
        <v>17.5</v>
      </c>
      <c r="P329" s="85">
        <v>1</v>
      </c>
      <c r="Q329" s="85">
        <v>1.5</v>
      </c>
      <c r="R329" s="85">
        <v>3</v>
      </c>
      <c r="S329" s="85">
        <v>9</v>
      </c>
      <c r="T329" s="85">
        <v>3</v>
      </c>
      <c r="X329" s="89" t="s">
        <v>1193</v>
      </c>
      <c r="Y329" s="85" t="s">
        <v>1194</v>
      </c>
      <c r="Z329" s="85">
        <f t="shared" si="98"/>
        <v>1868</v>
      </c>
      <c r="AA329" s="97">
        <v>44</v>
      </c>
      <c r="AB329" s="97">
        <v>62</v>
      </c>
      <c r="AC329" s="97">
        <v>113</v>
      </c>
      <c r="AD329" s="97">
        <v>967</v>
      </c>
      <c r="AE329" s="97">
        <v>682</v>
      </c>
      <c r="AI329" s="89" t="s">
        <v>1195</v>
      </c>
      <c r="AJ329" s="85" t="s">
        <v>1196</v>
      </c>
      <c r="AK329" s="85">
        <f t="shared" si="99"/>
        <v>51</v>
      </c>
      <c r="AL329" s="85">
        <v>5</v>
      </c>
      <c r="AM329" s="85">
        <v>2</v>
      </c>
      <c r="AN329" s="85">
        <v>23</v>
      </c>
      <c r="AO329" s="85">
        <v>19</v>
      </c>
      <c r="AP329" s="85">
        <v>2</v>
      </c>
      <c r="AS329" s="89" t="s">
        <v>1195</v>
      </c>
      <c r="AT329" s="85" t="s">
        <v>1196</v>
      </c>
      <c r="AU329" s="85">
        <f t="shared" si="100"/>
        <v>6</v>
      </c>
      <c r="AV329" s="85">
        <v>0</v>
      </c>
      <c r="AW329" s="85">
        <v>3</v>
      </c>
      <c r="AX329" s="85">
        <v>0</v>
      </c>
      <c r="AY329" s="85">
        <v>2</v>
      </c>
      <c r="AZ329" s="85">
        <v>1</v>
      </c>
    </row>
    <row r="330" spans="2:52" x14ac:dyDescent="0.2">
      <c r="B330" s="89" t="s">
        <v>1195</v>
      </c>
      <c r="C330" s="85" t="s">
        <v>1197</v>
      </c>
      <c r="D330" s="85">
        <f t="shared" si="96"/>
        <v>34</v>
      </c>
      <c r="E330" s="85">
        <v>2</v>
      </c>
      <c r="F330" s="85">
        <v>4</v>
      </c>
      <c r="G330" s="85">
        <v>7</v>
      </c>
      <c r="H330" s="85">
        <v>12</v>
      </c>
      <c r="I330" s="85">
        <v>9</v>
      </c>
      <c r="M330" s="89" t="s">
        <v>1195</v>
      </c>
      <c r="N330" s="85" t="s">
        <v>1198</v>
      </c>
      <c r="O330" s="85">
        <f t="shared" si="97"/>
        <v>17</v>
      </c>
      <c r="P330" s="85">
        <v>1</v>
      </c>
      <c r="Q330" s="85">
        <v>2</v>
      </c>
      <c r="R330" s="85">
        <v>3.5</v>
      </c>
      <c r="S330" s="85">
        <v>6</v>
      </c>
      <c r="T330" s="85">
        <v>4.5</v>
      </c>
      <c r="X330" s="89" t="s">
        <v>1195</v>
      </c>
      <c r="Y330" s="85" t="s">
        <v>1197</v>
      </c>
      <c r="Z330" s="85">
        <f t="shared" si="98"/>
        <v>1473</v>
      </c>
      <c r="AA330" s="97">
        <v>52</v>
      </c>
      <c r="AB330" s="97">
        <v>96</v>
      </c>
      <c r="AC330" s="97">
        <v>584</v>
      </c>
      <c r="AD330" s="97">
        <v>527</v>
      </c>
      <c r="AE330" s="97">
        <v>214</v>
      </c>
      <c r="AI330" s="89" t="s">
        <v>1048</v>
      </c>
      <c r="AJ330" s="85" t="s">
        <v>1199</v>
      </c>
      <c r="AK330" s="85">
        <f t="shared" si="99"/>
        <v>73</v>
      </c>
      <c r="AL330" s="85">
        <v>5</v>
      </c>
      <c r="AM330" s="85">
        <v>2</v>
      </c>
      <c r="AN330" s="85">
        <v>25</v>
      </c>
      <c r="AO330" s="85">
        <v>27</v>
      </c>
      <c r="AP330" s="85">
        <v>14</v>
      </c>
      <c r="AS330" s="89" t="s">
        <v>1048</v>
      </c>
      <c r="AT330" s="85" t="s">
        <v>1199</v>
      </c>
      <c r="AU330" s="85">
        <f t="shared" si="100"/>
        <v>82</v>
      </c>
      <c r="AV330" s="85">
        <v>5</v>
      </c>
      <c r="AW330" s="85">
        <v>3</v>
      </c>
      <c r="AX330" s="85">
        <v>21</v>
      </c>
      <c r="AY330" s="85">
        <v>35</v>
      </c>
      <c r="AZ330" s="85">
        <v>18</v>
      </c>
    </row>
    <row r="331" spans="2:52" x14ac:dyDescent="0.2">
      <c r="B331" s="89" t="s">
        <v>1025</v>
      </c>
      <c r="C331" s="85" t="s">
        <v>1198</v>
      </c>
      <c r="D331" s="85">
        <f t="shared" si="96"/>
        <v>29</v>
      </c>
      <c r="E331" s="85">
        <v>9</v>
      </c>
      <c r="F331" s="85">
        <v>3</v>
      </c>
      <c r="G331" s="85">
        <v>9</v>
      </c>
      <c r="H331" s="85">
        <v>6</v>
      </c>
      <c r="I331" s="85">
        <v>2</v>
      </c>
      <c r="M331" s="89" t="s">
        <v>1200</v>
      </c>
      <c r="N331" s="85" t="s">
        <v>1201</v>
      </c>
      <c r="O331" s="85">
        <f t="shared" si="97"/>
        <v>14.5</v>
      </c>
      <c r="P331" s="85">
        <v>4.5</v>
      </c>
      <c r="Q331" s="85">
        <v>1.5</v>
      </c>
      <c r="R331" s="85">
        <v>4.5</v>
      </c>
      <c r="S331" s="85">
        <v>3</v>
      </c>
      <c r="T331" s="85">
        <v>1</v>
      </c>
      <c r="X331" s="89" t="s">
        <v>1025</v>
      </c>
      <c r="Y331" s="85" t="s">
        <v>1198</v>
      </c>
      <c r="Z331" s="85">
        <f t="shared" si="98"/>
        <v>1388</v>
      </c>
      <c r="AA331" s="97">
        <v>4</v>
      </c>
      <c r="AB331" s="97">
        <v>0</v>
      </c>
      <c r="AC331" s="97">
        <v>0</v>
      </c>
      <c r="AD331" s="97">
        <v>732</v>
      </c>
      <c r="AE331" s="97">
        <v>652</v>
      </c>
      <c r="AI331" s="89" t="s">
        <v>1025</v>
      </c>
      <c r="AJ331" s="85" t="s">
        <v>1202</v>
      </c>
      <c r="AK331" s="85">
        <f t="shared" si="99"/>
        <v>27</v>
      </c>
      <c r="AL331" s="85">
        <v>4</v>
      </c>
      <c r="AM331" s="85">
        <v>0</v>
      </c>
      <c r="AN331" s="85">
        <v>1</v>
      </c>
      <c r="AO331" s="85">
        <v>21</v>
      </c>
      <c r="AP331" s="85">
        <v>1</v>
      </c>
      <c r="AS331" s="89" t="s">
        <v>1025</v>
      </c>
      <c r="AT331" s="85" t="s">
        <v>1202</v>
      </c>
      <c r="AU331" s="85">
        <f t="shared" si="100"/>
        <v>4</v>
      </c>
      <c r="AV331" s="85">
        <v>0</v>
      </c>
      <c r="AW331" s="85">
        <v>0</v>
      </c>
      <c r="AX331" s="85">
        <v>1</v>
      </c>
      <c r="AY331" s="85">
        <v>1</v>
      </c>
      <c r="AZ331" s="85">
        <v>2</v>
      </c>
    </row>
    <row r="332" spans="2:52" x14ac:dyDescent="0.2">
      <c r="B332" s="89" t="s">
        <v>1203</v>
      </c>
      <c r="C332" s="85" t="s">
        <v>1026</v>
      </c>
      <c r="D332" s="85">
        <f t="shared" si="96"/>
        <v>27</v>
      </c>
      <c r="E332" s="85">
        <v>2</v>
      </c>
      <c r="F332" s="85">
        <v>1</v>
      </c>
      <c r="G332" s="85">
        <v>14</v>
      </c>
      <c r="H332" s="85">
        <v>8</v>
      </c>
      <c r="I332" s="85">
        <v>2</v>
      </c>
      <c r="M332" s="89" t="s">
        <v>1204</v>
      </c>
      <c r="N332" s="85" t="s">
        <v>1197</v>
      </c>
      <c r="O332" s="85">
        <f t="shared" si="97"/>
        <v>13.5</v>
      </c>
      <c r="P332" s="85">
        <v>1</v>
      </c>
      <c r="Q332" s="85">
        <v>0.5</v>
      </c>
      <c r="R332" s="85">
        <v>7</v>
      </c>
      <c r="S332" s="85">
        <v>4</v>
      </c>
      <c r="T332" s="85">
        <v>1</v>
      </c>
      <c r="X332" s="89" t="s">
        <v>1203</v>
      </c>
      <c r="Y332" s="85" t="s">
        <v>1026</v>
      </c>
      <c r="Z332" s="85">
        <f t="shared" si="98"/>
        <v>1387</v>
      </c>
      <c r="AA332" s="97">
        <v>0</v>
      </c>
      <c r="AB332" s="97">
        <v>0</v>
      </c>
      <c r="AC332" s="97">
        <v>0</v>
      </c>
      <c r="AD332" s="97">
        <v>164</v>
      </c>
      <c r="AE332" s="97">
        <v>1223</v>
      </c>
      <c r="AI332" s="89" t="s">
        <v>1110</v>
      </c>
      <c r="AJ332" s="85" t="s">
        <v>1205</v>
      </c>
      <c r="AK332" s="85">
        <f t="shared" si="99"/>
        <v>38</v>
      </c>
      <c r="AL332" s="85">
        <v>1</v>
      </c>
      <c r="AM332" s="85">
        <v>1</v>
      </c>
      <c r="AN332" s="85">
        <v>0</v>
      </c>
      <c r="AO332" s="85">
        <v>24</v>
      </c>
      <c r="AP332" s="85">
        <v>12</v>
      </c>
      <c r="AS332" s="89" t="s">
        <v>1110</v>
      </c>
      <c r="AT332" s="85" t="s">
        <v>1205</v>
      </c>
      <c r="AU332" s="85">
        <f t="shared" si="100"/>
        <v>48</v>
      </c>
      <c r="AV332" s="85">
        <v>2</v>
      </c>
      <c r="AW332" s="85">
        <v>1</v>
      </c>
      <c r="AX332" s="85">
        <v>1</v>
      </c>
      <c r="AY332" s="85">
        <v>30</v>
      </c>
      <c r="AZ332" s="85">
        <v>14</v>
      </c>
    </row>
    <row r="333" spans="2:52" x14ac:dyDescent="0.2">
      <c r="B333" s="89" t="s">
        <v>1206</v>
      </c>
      <c r="C333" s="85" t="s">
        <v>1207</v>
      </c>
      <c r="D333" s="85">
        <f t="shared" si="96"/>
        <v>26</v>
      </c>
      <c r="E333" s="85">
        <v>2</v>
      </c>
      <c r="F333" s="85">
        <v>5</v>
      </c>
      <c r="G333" s="85">
        <v>11</v>
      </c>
      <c r="H333" s="85">
        <v>8</v>
      </c>
      <c r="I333" s="85">
        <v>0</v>
      </c>
      <c r="M333" s="89" t="s">
        <v>1208</v>
      </c>
      <c r="N333" s="85" t="s">
        <v>1209</v>
      </c>
      <c r="O333" s="85">
        <f t="shared" si="97"/>
        <v>13</v>
      </c>
      <c r="P333" s="85">
        <v>1</v>
      </c>
      <c r="Q333" s="85">
        <v>2.5</v>
      </c>
      <c r="R333" s="85">
        <v>5.5</v>
      </c>
      <c r="S333" s="85">
        <v>4</v>
      </c>
      <c r="T333" s="85">
        <v>0</v>
      </c>
      <c r="X333" s="89" t="s">
        <v>1206</v>
      </c>
      <c r="Y333" s="85" t="s">
        <v>1207</v>
      </c>
      <c r="Z333" s="85">
        <f t="shared" si="98"/>
        <v>1312</v>
      </c>
      <c r="AA333" s="97">
        <v>36</v>
      </c>
      <c r="AB333" s="97">
        <v>41</v>
      </c>
      <c r="AC333" s="97">
        <v>357</v>
      </c>
      <c r="AD333" s="97">
        <v>753</v>
      </c>
      <c r="AE333" s="97">
        <v>125</v>
      </c>
      <c r="AI333" s="89" t="s">
        <v>1189</v>
      </c>
      <c r="AJ333" s="85" t="s">
        <v>1210</v>
      </c>
      <c r="AK333" s="85">
        <f t="shared" si="99"/>
        <v>80</v>
      </c>
      <c r="AL333" s="85">
        <v>10</v>
      </c>
      <c r="AM333" s="85">
        <v>21</v>
      </c>
      <c r="AN333" s="85">
        <v>12</v>
      </c>
      <c r="AO333" s="85">
        <v>12</v>
      </c>
      <c r="AP333" s="85">
        <v>25</v>
      </c>
      <c r="AS333" s="89" t="s">
        <v>1189</v>
      </c>
      <c r="AT333" s="85" t="s">
        <v>1210</v>
      </c>
      <c r="AU333" s="85">
        <f t="shared" si="100"/>
        <v>4</v>
      </c>
      <c r="AV333" s="85">
        <v>0</v>
      </c>
      <c r="AW333" s="85">
        <v>1</v>
      </c>
      <c r="AX333" s="85">
        <v>2</v>
      </c>
      <c r="AY333" s="85">
        <v>1</v>
      </c>
      <c r="AZ333" s="85">
        <v>0</v>
      </c>
    </row>
    <row r="334" spans="2:52" x14ac:dyDescent="0.2">
      <c r="B334" s="89" t="s">
        <v>1200</v>
      </c>
      <c r="C334" s="85" t="s">
        <v>1211</v>
      </c>
      <c r="D334" s="85">
        <f t="shared" si="96"/>
        <v>25</v>
      </c>
      <c r="E334" s="85">
        <v>9</v>
      </c>
      <c r="F334" s="85">
        <v>1</v>
      </c>
      <c r="G334" s="85">
        <v>5</v>
      </c>
      <c r="H334" s="85">
        <v>8</v>
      </c>
      <c r="I334" s="85">
        <v>2</v>
      </c>
      <c r="M334" s="89" t="s">
        <v>1212</v>
      </c>
      <c r="N334" s="85" t="s">
        <v>1213</v>
      </c>
      <c r="O334" s="85">
        <f t="shared" si="97"/>
        <v>12.5</v>
      </c>
      <c r="P334" s="85">
        <v>4.5</v>
      </c>
      <c r="Q334" s="85">
        <v>0.5</v>
      </c>
      <c r="R334" s="85">
        <v>2.5</v>
      </c>
      <c r="S334" s="85">
        <v>4</v>
      </c>
      <c r="T334" s="85">
        <v>1</v>
      </c>
      <c r="X334" s="89" t="s">
        <v>1200</v>
      </c>
      <c r="Y334" s="85" t="s">
        <v>1211</v>
      </c>
      <c r="Z334" s="85">
        <f t="shared" si="98"/>
        <v>1007</v>
      </c>
      <c r="AA334" s="97">
        <v>8</v>
      </c>
      <c r="AB334" s="97">
        <v>30</v>
      </c>
      <c r="AC334" s="97">
        <v>25</v>
      </c>
      <c r="AD334" s="97">
        <v>464</v>
      </c>
      <c r="AE334" s="97">
        <v>480</v>
      </c>
      <c r="AI334" s="89" t="s">
        <v>1053</v>
      </c>
      <c r="AJ334" s="85" t="s">
        <v>1087</v>
      </c>
      <c r="AK334" s="85">
        <f t="shared" si="99"/>
        <v>35</v>
      </c>
      <c r="AL334" s="85">
        <v>8</v>
      </c>
      <c r="AM334" s="85">
        <v>5</v>
      </c>
      <c r="AN334" s="85">
        <v>11</v>
      </c>
      <c r="AO334" s="85">
        <v>5</v>
      </c>
      <c r="AP334" s="85">
        <v>6</v>
      </c>
      <c r="AS334" s="89" t="s">
        <v>1053</v>
      </c>
      <c r="AT334" s="85" t="s">
        <v>1087</v>
      </c>
      <c r="AU334" s="85">
        <f t="shared" si="100"/>
        <v>18</v>
      </c>
      <c r="AV334" s="85">
        <v>0</v>
      </c>
      <c r="AW334" s="85">
        <v>0</v>
      </c>
      <c r="AX334" s="85">
        <v>2</v>
      </c>
      <c r="AY334" s="85">
        <v>9</v>
      </c>
      <c r="AZ334" s="85">
        <v>7</v>
      </c>
    </row>
    <row r="335" spans="2:52" x14ac:dyDescent="0.2">
      <c r="B335" s="89" t="s">
        <v>1214</v>
      </c>
      <c r="C335" s="85" t="s">
        <v>1201</v>
      </c>
      <c r="D335" s="85">
        <f t="shared" si="96"/>
        <v>24</v>
      </c>
      <c r="E335" s="85">
        <v>7</v>
      </c>
      <c r="F335" s="85">
        <v>2</v>
      </c>
      <c r="G335" s="85">
        <v>10</v>
      </c>
      <c r="H335" s="85">
        <v>4</v>
      </c>
      <c r="I335" s="85">
        <v>1</v>
      </c>
      <c r="M335" s="89" t="s">
        <v>1215</v>
      </c>
      <c r="N335" s="85" t="s">
        <v>1216</v>
      </c>
      <c r="O335" s="85">
        <f t="shared" si="97"/>
        <v>12</v>
      </c>
      <c r="P335" s="85">
        <v>3.5</v>
      </c>
      <c r="Q335" s="85">
        <v>1</v>
      </c>
      <c r="R335" s="85">
        <v>5</v>
      </c>
      <c r="S335" s="85">
        <v>2</v>
      </c>
      <c r="T335" s="85">
        <v>0.5</v>
      </c>
      <c r="X335" s="89" t="s">
        <v>1214</v>
      </c>
      <c r="Y335" s="85" t="s">
        <v>1201</v>
      </c>
      <c r="Z335" s="85">
        <f t="shared" si="98"/>
        <v>894</v>
      </c>
      <c r="AA335" s="97">
        <v>0</v>
      </c>
      <c r="AB335" s="97">
        <v>61</v>
      </c>
      <c r="AC335" s="97">
        <v>94</v>
      </c>
      <c r="AD335" s="97">
        <v>192</v>
      </c>
      <c r="AE335" s="97">
        <v>547</v>
      </c>
      <c r="AI335" s="89" t="s">
        <v>497</v>
      </c>
      <c r="AJ335" s="85" t="s">
        <v>1071</v>
      </c>
      <c r="AK335" s="85">
        <f t="shared" si="99"/>
        <v>11</v>
      </c>
      <c r="AL335" s="85">
        <v>0</v>
      </c>
      <c r="AM335" s="85">
        <v>2</v>
      </c>
      <c r="AN335" s="85">
        <v>1</v>
      </c>
      <c r="AO335" s="85">
        <v>3</v>
      </c>
      <c r="AP335" s="85">
        <v>5</v>
      </c>
      <c r="AS335" s="89" t="s">
        <v>497</v>
      </c>
      <c r="AT335" s="85" t="s">
        <v>1071</v>
      </c>
      <c r="AU335" s="85">
        <f t="shared" si="100"/>
        <v>7</v>
      </c>
      <c r="AV335" s="85">
        <v>0</v>
      </c>
      <c r="AW335" s="85">
        <v>1</v>
      </c>
      <c r="AX335" s="85">
        <v>1</v>
      </c>
      <c r="AY335" s="85">
        <v>5</v>
      </c>
      <c r="AZ335" s="85">
        <v>0</v>
      </c>
    </row>
    <row r="336" spans="2:52" x14ac:dyDescent="0.2">
      <c r="B336" s="89" t="s">
        <v>1217</v>
      </c>
      <c r="C336" s="85" t="s">
        <v>1218</v>
      </c>
      <c r="D336" s="85">
        <f t="shared" si="96"/>
        <v>23</v>
      </c>
      <c r="E336" s="85">
        <v>5</v>
      </c>
      <c r="F336" s="85">
        <v>2</v>
      </c>
      <c r="G336" s="85">
        <v>7</v>
      </c>
      <c r="H336" s="85">
        <v>7</v>
      </c>
      <c r="I336" s="85">
        <v>2</v>
      </c>
      <c r="M336" s="89" t="s">
        <v>1181</v>
      </c>
      <c r="N336" s="85" t="s">
        <v>1186</v>
      </c>
      <c r="O336" s="85">
        <f t="shared" si="97"/>
        <v>11.5</v>
      </c>
      <c r="P336" s="85">
        <v>2.5</v>
      </c>
      <c r="Q336" s="85">
        <v>1</v>
      </c>
      <c r="R336" s="85">
        <v>3.5</v>
      </c>
      <c r="S336" s="85">
        <v>3.5</v>
      </c>
      <c r="T336" s="85">
        <v>1</v>
      </c>
      <c r="X336" s="89" t="s">
        <v>1217</v>
      </c>
      <c r="Y336" s="85" t="s">
        <v>1218</v>
      </c>
      <c r="Z336" s="85">
        <f t="shared" si="98"/>
        <v>803</v>
      </c>
      <c r="AA336" s="97">
        <v>34</v>
      </c>
      <c r="AB336" s="97">
        <v>64</v>
      </c>
      <c r="AC336" s="97">
        <v>290</v>
      </c>
      <c r="AD336" s="97">
        <v>352</v>
      </c>
      <c r="AE336" s="97">
        <v>63</v>
      </c>
      <c r="AI336" s="89" t="s">
        <v>1208</v>
      </c>
      <c r="AJ336" s="85" t="s">
        <v>1219</v>
      </c>
      <c r="AK336" s="85">
        <f t="shared" si="99"/>
        <v>86</v>
      </c>
      <c r="AL336" s="85">
        <v>24</v>
      </c>
      <c r="AM336" s="85">
        <v>2</v>
      </c>
      <c r="AN336" s="85">
        <v>28</v>
      </c>
      <c r="AO336" s="85">
        <v>12</v>
      </c>
      <c r="AP336" s="85">
        <v>20</v>
      </c>
      <c r="AS336" s="89" t="s">
        <v>1208</v>
      </c>
      <c r="AT336" s="85" t="s">
        <v>1219</v>
      </c>
      <c r="AU336" s="85">
        <f t="shared" si="100"/>
        <v>107</v>
      </c>
      <c r="AV336" s="85">
        <v>28</v>
      </c>
      <c r="AW336" s="85">
        <v>4</v>
      </c>
      <c r="AX336" s="85">
        <v>32</v>
      </c>
      <c r="AY336" s="85">
        <v>18</v>
      </c>
      <c r="AZ336" s="85">
        <v>25</v>
      </c>
    </row>
    <row r="337" spans="2:52" x14ac:dyDescent="0.2">
      <c r="B337" s="89"/>
      <c r="C337" s="85" t="s">
        <v>577</v>
      </c>
      <c r="D337" s="85">
        <f t="shared" si="96"/>
        <v>1315</v>
      </c>
      <c r="E337" s="85">
        <v>222</v>
      </c>
      <c r="F337" s="85">
        <v>100</v>
      </c>
      <c r="G337" s="85">
        <v>352</v>
      </c>
      <c r="H337" s="85">
        <v>434</v>
      </c>
      <c r="I337" s="85">
        <v>207</v>
      </c>
      <c r="M337" s="89"/>
      <c r="N337" s="85" t="s">
        <v>577</v>
      </c>
      <c r="O337" s="85">
        <f t="shared" si="97"/>
        <v>657.5</v>
      </c>
      <c r="P337" s="85">
        <v>111</v>
      </c>
      <c r="Q337" s="85">
        <v>50</v>
      </c>
      <c r="R337" s="85">
        <v>176</v>
      </c>
      <c r="S337" s="85">
        <v>217</v>
      </c>
      <c r="T337" s="85">
        <v>103.5</v>
      </c>
      <c r="X337" s="89"/>
      <c r="Y337" s="85" t="s">
        <v>577</v>
      </c>
      <c r="Z337" s="85">
        <f t="shared" si="98"/>
        <v>42836</v>
      </c>
      <c r="AA337" s="97">
        <v>1028</v>
      </c>
      <c r="AB337" s="97">
        <v>1578</v>
      </c>
      <c r="AC337" s="97">
        <v>8110</v>
      </c>
      <c r="AD337" s="97">
        <v>17293</v>
      </c>
      <c r="AE337" s="97">
        <v>14827</v>
      </c>
      <c r="AI337" s="89"/>
      <c r="AJ337" s="85" t="s">
        <v>187</v>
      </c>
      <c r="AK337" s="85">
        <f t="shared" si="99"/>
        <v>7</v>
      </c>
      <c r="AL337" s="85">
        <v>2</v>
      </c>
      <c r="AM337" s="85">
        <v>2</v>
      </c>
      <c r="AN337" s="85">
        <v>1</v>
      </c>
      <c r="AO337" s="85">
        <v>1</v>
      </c>
      <c r="AP337" s="85">
        <v>1</v>
      </c>
      <c r="AS337" s="89"/>
      <c r="AT337" s="85" t="s">
        <v>187</v>
      </c>
      <c r="AU337" s="85">
        <f t="shared" si="100"/>
        <v>19</v>
      </c>
      <c r="AV337" s="85">
        <v>5</v>
      </c>
      <c r="AW337" s="85">
        <v>5</v>
      </c>
      <c r="AX337" s="85">
        <v>2</v>
      </c>
      <c r="AY337" s="85">
        <v>3</v>
      </c>
      <c r="AZ337" s="85">
        <v>4</v>
      </c>
    </row>
    <row r="338" spans="2:52" x14ac:dyDescent="0.2">
      <c r="B338" s="89"/>
      <c r="C338" s="96" t="s">
        <v>0</v>
      </c>
      <c r="D338" s="91">
        <f t="shared" ref="D338:I338" si="101">SUM(D317:D337)</f>
        <v>2989</v>
      </c>
      <c r="E338" s="91">
        <f t="shared" si="101"/>
        <v>538</v>
      </c>
      <c r="F338" s="91">
        <f t="shared" si="101"/>
        <v>217</v>
      </c>
      <c r="G338" s="91">
        <f t="shared" si="101"/>
        <v>836</v>
      </c>
      <c r="H338" s="91">
        <f t="shared" si="101"/>
        <v>1006</v>
      </c>
      <c r="I338" s="91">
        <f t="shared" si="101"/>
        <v>392</v>
      </c>
      <c r="M338" s="89"/>
      <c r="N338" s="96" t="s">
        <v>0</v>
      </c>
      <c r="O338" s="91">
        <f t="shared" ref="O338:T338" si="102">SUM(O317:O337)</f>
        <v>1494.5</v>
      </c>
      <c r="P338" s="91">
        <f t="shared" si="102"/>
        <v>269</v>
      </c>
      <c r="Q338" s="91">
        <f t="shared" si="102"/>
        <v>108.5</v>
      </c>
      <c r="R338" s="91">
        <f t="shared" si="102"/>
        <v>418</v>
      </c>
      <c r="S338" s="91">
        <f t="shared" si="102"/>
        <v>503</v>
      </c>
      <c r="T338" s="91">
        <f t="shared" si="102"/>
        <v>196</v>
      </c>
      <c r="X338" s="89"/>
      <c r="Y338" s="96" t="s">
        <v>0</v>
      </c>
      <c r="Z338" s="91">
        <f t="shared" ref="Z338:AE338" si="103">SUM(Z317:Z337)</f>
        <v>104139</v>
      </c>
      <c r="AA338" s="91">
        <f t="shared" si="103"/>
        <v>2742</v>
      </c>
      <c r="AB338" s="91">
        <f t="shared" si="103"/>
        <v>3555</v>
      </c>
      <c r="AC338" s="91">
        <f t="shared" si="103"/>
        <v>20783</v>
      </c>
      <c r="AD338" s="91">
        <f t="shared" si="103"/>
        <v>42705</v>
      </c>
      <c r="AE338" s="91">
        <f t="shared" si="103"/>
        <v>34354</v>
      </c>
      <c r="AI338" s="89"/>
      <c r="AJ338" s="96" t="s">
        <v>0</v>
      </c>
      <c r="AK338" s="91">
        <f t="shared" ref="AK338:AP338" si="104">SUM(AK317:AK337)</f>
        <v>1446</v>
      </c>
      <c r="AL338" s="91">
        <f t="shared" si="104"/>
        <v>293</v>
      </c>
      <c r="AM338" s="91">
        <f t="shared" si="104"/>
        <v>266</v>
      </c>
      <c r="AN338" s="91">
        <f t="shared" si="104"/>
        <v>273</v>
      </c>
      <c r="AO338" s="91">
        <f t="shared" si="104"/>
        <v>294</v>
      </c>
      <c r="AP338" s="91">
        <f t="shared" si="104"/>
        <v>320</v>
      </c>
      <c r="AS338" s="89"/>
      <c r="AT338" s="96" t="s">
        <v>0</v>
      </c>
      <c r="AU338" s="91">
        <f t="shared" ref="AU338:AZ338" si="105">SUM(AU317:AU337)</f>
        <v>640</v>
      </c>
      <c r="AV338" s="91">
        <f t="shared" si="105"/>
        <v>77</v>
      </c>
      <c r="AW338" s="91">
        <f t="shared" si="105"/>
        <v>27</v>
      </c>
      <c r="AX338" s="91">
        <f t="shared" si="105"/>
        <v>131</v>
      </c>
      <c r="AY338" s="91">
        <f t="shared" si="105"/>
        <v>260</v>
      </c>
      <c r="AZ338" s="91">
        <f t="shared" si="105"/>
        <v>145</v>
      </c>
    </row>
    <row r="339" spans="2:52" x14ac:dyDescent="0.2">
      <c r="B339" s="3949"/>
      <c r="M339" s="3949"/>
      <c r="X339" s="3949"/>
      <c r="Y339" s="81"/>
      <c r="Z339" s="81"/>
      <c r="AA339" s="81"/>
      <c r="AB339" s="81"/>
      <c r="AC339" s="81"/>
      <c r="AD339" s="81"/>
      <c r="AE339" s="81"/>
    </row>
    <row r="340" spans="2:52" x14ac:dyDescent="0.2">
      <c r="B340" s="3949"/>
      <c r="M340" s="3949"/>
      <c r="X340" s="3949"/>
      <c r="Y340" s="81"/>
      <c r="Z340" s="81"/>
      <c r="AA340" s="81"/>
      <c r="AB340" s="81"/>
      <c r="AC340" s="81"/>
      <c r="AD340" s="81"/>
      <c r="AE340" s="81"/>
      <c r="AF340" s="81"/>
    </row>
    <row r="341" spans="2:52" x14ac:dyDescent="0.2">
      <c r="B341" s="3949"/>
      <c r="M341" s="3949"/>
      <c r="X341" s="3949"/>
      <c r="Y341" s="81"/>
      <c r="Z341" s="81"/>
      <c r="AA341" s="81"/>
      <c r="AB341" s="81"/>
      <c r="AC341" s="81"/>
      <c r="AD341" s="81"/>
      <c r="AE341" s="81"/>
      <c r="AF341" s="81"/>
    </row>
    <row r="342" spans="2:52" x14ac:dyDescent="0.2">
      <c r="B342" s="100"/>
      <c r="C342" s="26"/>
      <c r="D342" s="26"/>
      <c r="E342" s="26"/>
      <c r="F342" s="26"/>
      <c r="G342" s="26"/>
      <c r="H342" s="26"/>
      <c r="I342" s="26"/>
      <c r="J342" s="26"/>
      <c r="M342" s="100"/>
      <c r="N342" s="26"/>
      <c r="O342" s="26"/>
      <c r="P342" s="26"/>
      <c r="Q342" s="26"/>
      <c r="R342" s="26"/>
      <c r="S342" s="26"/>
      <c r="T342" s="26"/>
      <c r="U342" s="26"/>
    </row>
  </sheetData>
  <mergeCells count="271">
    <mergeCell ref="B315:B316"/>
    <mergeCell ref="E315:I315"/>
    <mergeCell ref="M315:M316"/>
    <mergeCell ref="P315:T315"/>
    <mergeCell ref="X315:X316"/>
    <mergeCell ref="AA315:AE315"/>
    <mergeCell ref="B261:B262"/>
    <mergeCell ref="E261:I261"/>
    <mergeCell ref="M261:M262"/>
    <mergeCell ref="P261:T261"/>
    <mergeCell ref="X261:X262"/>
    <mergeCell ref="AA261:AE261"/>
    <mergeCell ref="B288:B289"/>
    <mergeCell ref="E288:I288"/>
    <mergeCell ref="M288:M289"/>
    <mergeCell ref="P288:T288"/>
    <mergeCell ref="X288:X289"/>
    <mergeCell ref="AA288:AE288"/>
    <mergeCell ref="X230:AF230"/>
    <mergeCell ref="B231:J231"/>
    <mergeCell ref="M231:U231"/>
    <mergeCell ref="X231:AF231"/>
    <mergeCell ref="B234:B235"/>
    <mergeCell ref="E234:I234"/>
    <mergeCell ref="M234:M235"/>
    <mergeCell ref="P234:T234"/>
    <mergeCell ref="X234:X235"/>
    <mergeCell ref="AA234:AE234"/>
    <mergeCell ref="B177:B178"/>
    <mergeCell ref="E177:I177"/>
    <mergeCell ref="M177:M178"/>
    <mergeCell ref="P177:T177"/>
    <mergeCell ref="X177:X178"/>
    <mergeCell ref="AA177:AE177"/>
    <mergeCell ref="B204:B205"/>
    <mergeCell ref="E204:I204"/>
    <mergeCell ref="M204:M205"/>
    <mergeCell ref="P204:T204"/>
    <mergeCell ref="X204:X205"/>
    <mergeCell ref="AA204:AE204"/>
    <mergeCell ref="C204:C205"/>
    <mergeCell ref="D204:D205"/>
    <mergeCell ref="Y177:Y178"/>
    <mergeCell ref="N177:N178"/>
    <mergeCell ref="O177:O178"/>
    <mergeCell ref="B123:B124"/>
    <mergeCell ref="E123:I123"/>
    <mergeCell ref="M123:M124"/>
    <mergeCell ref="P123:T123"/>
    <mergeCell ref="X123:X124"/>
    <mergeCell ref="AA123:AE123"/>
    <mergeCell ref="B150:B151"/>
    <mergeCell ref="E150:I150"/>
    <mergeCell ref="M150:M151"/>
    <mergeCell ref="P150:T150"/>
    <mergeCell ref="X150:X151"/>
    <mergeCell ref="AA150:AE150"/>
    <mergeCell ref="C150:C151"/>
    <mergeCell ref="D150:D151"/>
    <mergeCell ref="Y123:Y124"/>
    <mergeCell ref="N123:N124"/>
    <mergeCell ref="O123:O124"/>
    <mergeCell ref="C123:C124"/>
    <mergeCell ref="D123:D124"/>
    <mergeCell ref="N150:N151"/>
    <mergeCell ref="O150:O151"/>
    <mergeCell ref="Y150:Y151"/>
    <mergeCell ref="Z150:Z151"/>
    <mergeCell ref="B93:B94"/>
    <mergeCell ref="E93:I93"/>
    <mergeCell ref="M93:M94"/>
    <mergeCell ref="P93:T93"/>
    <mergeCell ref="X93:X94"/>
    <mergeCell ref="AA93:AE93"/>
    <mergeCell ref="B119:J119"/>
    <mergeCell ref="M119:U119"/>
    <mergeCell ref="X119:AF119"/>
    <mergeCell ref="B67:B68"/>
    <mergeCell ref="E67:I67"/>
    <mergeCell ref="M67:M68"/>
    <mergeCell ref="P67:T67"/>
    <mergeCell ref="X67:X68"/>
    <mergeCell ref="AA67:AE67"/>
    <mergeCell ref="C41:C42"/>
    <mergeCell ref="D41:D42"/>
    <mergeCell ref="B41:B42"/>
    <mergeCell ref="AV261:AZ261"/>
    <mergeCell ref="AS288:AS289"/>
    <mergeCell ref="AT288:AT289"/>
    <mergeCell ref="AU288:AU289"/>
    <mergeCell ref="AV288:AZ288"/>
    <mergeCell ref="AS315:AS316"/>
    <mergeCell ref="AT315:AT316"/>
    <mergeCell ref="AU315:AU316"/>
    <mergeCell ref="AV315:AZ315"/>
    <mergeCell ref="AT261:AT262"/>
    <mergeCell ref="AU261:AU262"/>
    <mergeCell ref="AS204:AS205"/>
    <mergeCell ref="AT204:AT205"/>
    <mergeCell ref="AU204:AU205"/>
    <mergeCell ref="AV204:AZ204"/>
    <mergeCell ref="AS230:BA230"/>
    <mergeCell ref="AS231:BA231"/>
    <mergeCell ref="AS234:AS235"/>
    <mergeCell ref="AT234:AT235"/>
    <mergeCell ref="AU234:AU235"/>
    <mergeCell ref="AV234:AZ234"/>
    <mergeCell ref="AS123:AS124"/>
    <mergeCell ref="AT123:AT124"/>
    <mergeCell ref="AU123:AU124"/>
    <mergeCell ref="AV123:AZ123"/>
    <mergeCell ref="AS150:AS151"/>
    <mergeCell ref="AT150:AT151"/>
    <mergeCell ref="AU150:AU151"/>
    <mergeCell ref="AV150:AZ150"/>
    <mergeCell ref="AS177:AS178"/>
    <mergeCell ref="AT177:AT178"/>
    <mergeCell ref="AU177:AU178"/>
    <mergeCell ref="AV177:AZ177"/>
    <mergeCell ref="AS67:AS68"/>
    <mergeCell ref="AT67:AT68"/>
    <mergeCell ref="AU67:AU68"/>
    <mergeCell ref="AV67:AZ67"/>
    <mergeCell ref="AS93:AS94"/>
    <mergeCell ref="AT93:AT94"/>
    <mergeCell ref="AU93:AU94"/>
    <mergeCell ref="AV93:AZ93"/>
    <mergeCell ref="AS119:BA119"/>
    <mergeCell ref="AS10:BA10"/>
    <mergeCell ref="AS11:BA11"/>
    <mergeCell ref="AS14:AS15"/>
    <mergeCell ref="AT14:AT15"/>
    <mergeCell ref="AU14:AU15"/>
    <mergeCell ref="AV14:AZ14"/>
    <mergeCell ref="AS38:AU38"/>
    <mergeCell ref="AS41:AS42"/>
    <mergeCell ref="AT41:AT42"/>
    <mergeCell ref="AU41:AU42"/>
    <mergeCell ref="AV41:AZ41"/>
    <mergeCell ref="AI10:AQ10"/>
    <mergeCell ref="AI11:AQ11"/>
    <mergeCell ref="C14:C15"/>
    <mergeCell ref="AK14:AK15"/>
    <mergeCell ref="AL14:AP14"/>
    <mergeCell ref="O14:O15"/>
    <mergeCell ref="B2:O2"/>
    <mergeCell ref="B10:J10"/>
    <mergeCell ref="M10:U10"/>
    <mergeCell ref="X10:AF10"/>
    <mergeCell ref="B11:J11"/>
    <mergeCell ref="M11:U11"/>
    <mergeCell ref="X11:AF11"/>
    <mergeCell ref="B14:B15"/>
    <mergeCell ref="E14:I14"/>
    <mergeCell ref="M14:M15"/>
    <mergeCell ref="P14:T14"/>
    <mergeCell ref="AJ14:AJ15"/>
    <mergeCell ref="AI38:AK38"/>
    <mergeCell ref="Y14:Y15"/>
    <mergeCell ref="Z14:Z15"/>
    <mergeCell ref="AI14:AI15"/>
    <mergeCell ref="D14:D15"/>
    <mergeCell ref="N14:N15"/>
    <mergeCell ref="X14:X15"/>
    <mergeCell ref="AA14:AE14"/>
    <mergeCell ref="B38:D38"/>
    <mergeCell ref="M38:O38"/>
    <mergeCell ref="X38:Z38"/>
    <mergeCell ref="AK41:AK42"/>
    <mergeCell ref="AL41:AP41"/>
    <mergeCell ref="C67:C68"/>
    <mergeCell ref="D67:D68"/>
    <mergeCell ref="Y41:Y42"/>
    <mergeCell ref="Z41:Z42"/>
    <mergeCell ref="AI41:AI42"/>
    <mergeCell ref="AJ41:AJ42"/>
    <mergeCell ref="N41:N42"/>
    <mergeCell ref="O41:O42"/>
    <mergeCell ref="AI67:AI68"/>
    <mergeCell ref="AJ67:AJ68"/>
    <mergeCell ref="AK67:AK68"/>
    <mergeCell ref="AL67:AP67"/>
    <mergeCell ref="N67:N68"/>
    <mergeCell ref="O67:O68"/>
    <mergeCell ref="Y67:Y68"/>
    <mergeCell ref="Z67:Z68"/>
    <mergeCell ref="E41:I41"/>
    <mergeCell ref="M41:M42"/>
    <mergeCell ref="P41:T41"/>
    <mergeCell ref="X41:X42"/>
    <mergeCell ref="AA41:AE41"/>
    <mergeCell ref="AI119:AQ119"/>
    <mergeCell ref="Y93:Y94"/>
    <mergeCell ref="Z93:Z94"/>
    <mergeCell ref="AI93:AI94"/>
    <mergeCell ref="AJ93:AJ94"/>
    <mergeCell ref="N93:N94"/>
    <mergeCell ref="O93:O94"/>
    <mergeCell ref="C93:C94"/>
    <mergeCell ref="D93:D94"/>
    <mergeCell ref="AK93:AK94"/>
    <mergeCell ref="AL93:AP93"/>
    <mergeCell ref="AK123:AK124"/>
    <mergeCell ref="AL123:AP123"/>
    <mergeCell ref="Z123:Z124"/>
    <mergeCell ref="AI123:AI124"/>
    <mergeCell ref="AJ123:AJ124"/>
    <mergeCell ref="AI150:AI151"/>
    <mergeCell ref="AJ150:AJ151"/>
    <mergeCell ref="AK150:AK151"/>
    <mergeCell ref="AK177:AK178"/>
    <mergeCell ref="AL177:AP177"/>
    <mergeCell ref="AJ177:AJ178"/>
    <mergeCell ref="AL150:AP150"/>
    <mergeCell ref="Z177:Z178"/>
    <mergeCell ref="AI177:AI178"/>
    <mergeCell ref="AI204:AI205"/>
    <mergeCell ref="C177:C178"/>
    <mergeCell ref="D177:D178"/>
    <mergeCell ref="AJ204:AJ205"/>
    <mergeCell ref="AK204:AK205"/>
    <mergeCell ref="AL204:AP204"/>
    <mergeCell ref="N204:N205"/>
    <mergeCell ref="O204:O205"/>
    <mergeCell ref="Y204:Y205"/>
    <mergeCell ref="Z204:Z205"/>
    <mergeCell ref="AI230:AQ230"/>
    <mergeCell ref="AI231:AQ231"/>
    <mergeCell ref="C261:C262"/>
    <mergeCell ref="D261:D262"/>
    <mergeCell ref="Y234:Y235"/>
    <mergeCell ref="N234:N235"/>
    <mergeCell ref="O234:O235"/>
    <mergeCell ref="C234:C235"/>
    <mergeCell ref="D234:D235"/>
    <mergeCell ref="AL261:AP261"/>
    <mergeCell ref="N261:N262"/>
    <mergeCell ref="O261:O262"/>
    <mergeCell ref="Y261:Y262"/>
    <mergeCell ref="Z261:Z262"/>
    <mergeCell ref="AK234:AK235"/>
    <mergeCell ref="AL234:AP234"/>
    <mergeCell ref="Z234:Z235"/>
    <mergeCell ref="AI234:AI235"/>
    <mergeCell ref="AJ234:AJ235"/>
    <mergeCell ref="AI261:AI262"/>
    <mergeCell ref="AJ261:AJ262"/>
    <mergeCell ref="AK261:AK262"/>
    <mergeCell ref="B230:J230"/>
    <mergeCell ref="M230:U230"/>
    <mergeCell ref="AK288:AK289"/>
    <mergeCell ref="AS261:AS262"/>
    <mergeCell ref="AL288:AP288"/>
    <mergeCell ref="AJ288:AJ289"/>
    <mergeCell ref="C315:C316"/>
    <mergeCell ref="D315:D316"/>
    <mergeCell ref="Y288:Y289"/>
    <mergeCell ref="Z288:Z289"/>
    <mergeCell ref="AI288:AI289"/>
    <mergeCell ref="N288:N289"/>
    <mergeCell ref="O288:O289"/>
    <mergeCell ref="AI315:AI316"/>
    <mergeCell ref="C288:C289"/>
    <mergeCell ref="D288:D289"/>
    <mergeCell ref="AJ315:AJ316"/>
    <mergeCell ref="AK315:AK316"/>
    <mergeCell ref="AL315:AP315"/>
    <mergeCell ref="N315:N316"/>
    <mergeCell ref="O315:O316"/>
    <mergeCell ref="Y315:Y316"/>
    <mergeCell ref="Z315:Z31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R82"/>
  <sheetViews>
    <sheetView showGridLines="0" zoomScale="85" zoomScaleNormal="85" workbookViewId="0">
      <selection activeCell="F43" sqref="F43"/>
    </sheetView>
  </sheetViews>
  <sheetFormatPr baseColWidth="10" defaultColWidth="11.5703125" defaultRowHeight="13.5" x14ac:dyDescent="0.25"/>
  <cols>
    <col min="1" max="2" width="11.5703125" style="515"/>
    <col min="3" max="3" width="20.5703125" style="515" customWidth="1"/>
    <col min="4" max="6" width="11.5703125" style="515"/>
    <col min="7" max="7" width="12.140625" style="515" customWidth="1"/>
    <col min="8" max="8" width="11.5703125" style="515"/>
    <col min="9" max="9" width="5.28515625" style="515" bestFit="1" customWidth="1"/>
    <col min="10" max="11" width="11.5703125" style="515"/>
    <col min="12" max="12" width="10.28515625" style="515" customWidth="1"/>
    <col min="13" max="16384" width="11.5703125" style="515"/>
  </cols>
  <sheetData>
    <row r="2" spans="2:15" ht="14.25" thickBot="1" x14ac:dyDescent="0.3"/>
    <row r="3" spans="2:15" ht="14.25" thickBot="1" x14ac:dyDescent="0.3">
      <c r="B3" s="4274" t="s">
        <v>1363</v>
      </c>
      <c r="C3" s="4277" t="s">
        <v>3664</v>
      </c>
      <c r="D3" s="4011" t="s">
        <v>1364</v>
      </c>
      <c r="E3" s="4011"/>
      <c r="F3" s="4011"/>
      <c r="G3" s="4011"/>
      <c r="H3" s="4011"/>
      <c r="I3" s="4011"/>
      <c r="J3" s="4011"/>
      <c r="K3" s="4011"/>
      <c r="L3" s="4011"/>
      <c r="M3" s="4011"/>
      <c r="N3" s="4011"/>
      <c r="O3" s="4012"/>
    </row>
    <row r="4" spans="2:15" ht="15.75" customHeight="1" thickBot="1" x14ac:dyDescent="0.3">
      <c r="B4" s="4275"/>
      <c r="C4" s="4278"/>
      <c r="D4" s="4013" t="s">
        <v>1365</v>
      </c>
      <c r="E4" s="4013"/>
      <c r="F4" s="4013"/>
      <c r="G4" s="4013"/>
      <c r="H4" s="4013" t="s">
        <v>1366</v>
      </c>
      <c r="I4" s="4013"/>
      <c r="J4" s="4013"/>
      <c r="K4" s="4013"/>
      <c r="L4" s="4013" t="s">
        <v>1367</v>
      </c>
      <c r="M4" s="4013"/>
      <c r="N4" s="4013"/>
      <c r="O4" s="4272"/>
    </row>
    <row r="5" spans="2:15" ht="15.75" customHeight="1" thickBot="1" x14ac:dyDescent="0.3">
      <c r="B5" s="4276"/>
      <c r="C5" s="4279"/>
      <c r="D5" s="4273" t="s">
        <v>0</v>
      </c>
      <c r="E5" s="4273"/>
      <c r="F5" s="637" t="s">
        <v>1368</v>
      </c>
      <c r="G5" s="637" t="s">
        <v>1369</v>
      </c>
      <c r="H5" s="4273" t="s">
        <v>0</v>
      </c>
      <c r="I5" s="4273"/>
      <c r="J5" s="637" t="s">
        <v>1368</v>
      </c>
      <c r="K5" s="637" t="s">
        <v>1369</v>
      </c>
      <c r="L5" s="4273" t="s">
        <v>0</v>
      </c>
      <c r="M5" s="4273"/>
      <c r="N5" s="637" t="s">
        <v>1368</v>
      </c>
      <c r="O5" s="638" t="s">
        <v>1369</v>
      </c>
    </row>
    <row r="6" spans="2:15" x14ac:dyDescent="0.25">
      <c r="B6" s="639"/>
      <c r="C6" s="640"/>
      <c r="D6" s="640"/>
      <c r="E6" s="640"/>
      <c r="F6" s="640"/>
      <c r="G6" s="640"/>
      <c r="H6" s="640"/>
      <c r="I6" s="640"/>
      <c r="J6" s="640"/>
      <c r="K6" s="640"/>
      <c r="L6" s="640"/>
      <c r="M6" s="640"/>
      <c r="N6" s="640"/>
      <c r="O6" s="641"/>
    </row>
    <row r="7" spans="2:15" x14ac:dyDescent="0.25">
      <c r="B7" s="642"/>
      <c r="C7" s="643" t="s">
        <v>1370</v>
      </c>
      <c r="D7" s="644">
        <f>SUM(F7:G7)</f>
        <v>29381884</v>
      </c>
      <c r="E7" s="645">
        <f>SUM(I7,M7)</f>
        <v>1</v>
      </c>
      <c r="F7" s="646">
        <f>SUM(J7,N7)</f>
        <v>14450757</v>
      </c>
      <c r="G7" s="646">
        <f>SUM(K7,O7)</f>
        <v>14931127</v>
      </c>
      <c r="H7" s="646">
        <f>SUM(J7:K7)</f>
        <v>23311893</v>
      </c>
      <c r="I7" s="647">
        <f>H7/D7</f>
        <v>0.7934104225583356</v>
      </c>
      <c r="J7" s="648">
        <v>11377486</v>
      </c>
      <c r="K7" s="648">
        <v>11934407</v>
      </c>
      <c r="L7" s="646">
        <f>SUM(N7:O7)</f>
        <v>6069991</v>
      </c>
      <c r="M7" s="647">
        <f>L7/D7</f>
        <v>0.2065895774416644</v>
      </c>
      <c r="N7" s="648">
        <v>3073271</v>
      </c>
      <c r="O7" s="649">
        <v>2996720</v>
      </c>
    </row>
    <row r="8" spans="2:15" x14ac:dyDescent="0.25">
      <c r="B8" s="639"/>
      <c r="C8" s="640"/>
      <c r="D8" s="640"/>
      <c r="E8" s="640"/>
      <c r="F8" s="640"/>
      <c r="G8" s="640"/>
      <c r="H8" s="640"/>
      <c r="I8" s="640"/>
      <c r="J8" s="640"/>
      <c r="K8" s="640"/>
      <c r="L8" s="640"/>
      <c r="M8" s="640"/>
      <c r="N8" s="640"/>
      <c r="O8" s="641"/>
    </row>
    <row r="9" spans="2:15" x14ac:dyDescent="0.25">
      <c r="B9" s="642">
        <v>30000</v>
      </c>
      <c r="C9" s="643" t="s">
        <v>1371</v>
      </c>
      <c r="D9" s="644">
        <f>SUM(H9,L9)</f>
        <v>405759</v>
      </c>
      <c r="E9" s="645">
        <f>SUM(I9,M9)</f>
        <v>1</v>
      </c>
      <c r="F9" s="644">
        <f>SUM(J9,N9)</f>
        <v>200801</v>
      </c>
      <c r="G9" s="644">
        <f>SUM(K9,O9)</f>
        <v>204958</v>
      </c>
      <c r="H9" s="644">
        <f>SUM(J9:K9)</f>
        <v>185964</v>
      </c>
      <c r="I9" s="647">
        <f>H9/D9</f>
        <v>0.45831146074393914</v>
      </c>
      <c r="J9" s="650">
        <v>91059</v>
      </c>
      <c r="K9" s="650">
        <v>94905</v>
      </c>
      <c r="L9" s="651">
        <f>SUM(N9:O9)</f>
        <v>219795</v>
      </c>
      <c r="M9" s="652">
        <f>L9/D9</f>
        <v>0.54168853925606086</v>
      </c>
      <c r="N9" s="650">
        <v>109742</v>
      </c>
      <c r="O9" s="653">
        <v>110053</v>
      </c>
    </row>
    <row r="10" spans="2:15" x14ac:dyDescent="0.25">
      <c r="B10" s="639"/>
      <c r="C10" s="640"/>
      <c r="D10" s="640"/>
      <c r="E10" s="654"/>
      <c r="F10" s="640"/>
      <c r="G10" s="640"/>
      <c r="H10" s="640"/>
      <c r="I10" s="655"/>
      <c r="J10" s="640"/>
      <c r="K10" s="640"/>
      <c r="L10" s="640"/>
      <c r="M10" s="655"/>
      <c r="N10" s="640"/>
      <c r="O10" s="641"/>
    </row>
    <row r="11" spans="2:15" x14ac:dyDescent="0.25">
      <c r="B11" s="656">
        <v>30100</v>
      </c>
      <c r="C11" s="657" t="s">
        <v>3561</v>
      </c>
      <c r="D11" s="651">
        <f>SUM(H11,L11)</f>
        <v>149266.96761779778</v>
      </c>
      <c r="E11" s="658">
        <f>SUM(I11,M11)</f>
        <v>1</v>
      </c>
      <c r="F11" s="651">
        <f>SUM(J11,N11)</f>
        <v>72662.074498751099</v>
      </c>
      <c r="G11" s="651">
        <f>SUM(K11,O11)</f>
        <v>76604.893119046697</v>
      </c>
      <c r="H11" s="651">
        <f>SUM(J11:K11)</f>
        <v>83312.815551948093</v>
      </c>
      <c r="I11" s="652">
        <f>H11/D11</f>
        <v>0.55814636608196444</v>
      </c>
      <c r="J11" s="650">
        <v>40439.800218399803</v>
      </c>
      <c r="K11" s="650">
        <v>42873.015333548297</v>
      </c>
      <c r="L11" s="651">
        <f>SUM(N11:O11)</f>
        <v>65954.152065849703</v>
      </c>
      <c r="M11" s="652">
        <f>L11/D11</f>
        <v>0.44185363391803567</v>
      </c>
      <c r="N11" s="650">
        <v>32222.274280351299</v>
      </c>
      <c r="O11" s="653">
        <v>33731.8777854984</v>
      </c>
    </row>
    <row r="12" spans="2:15" x14ac:dyDescent="0.25">
      <c r="B12" s="659"/>
      <c r="C12" s="660"/>
      <c r="D12" s="661"/>
      <c r="E12" s="662"/>
      <c r="F12" s="661"/>
      <c r="G12" s="661"/>
      <c r="H12" s="661"/>
      <c r="I12" s="663"/>
      <c r="J12" s="664"/>
      <c r="K12" s="664"/>
      <c r="L12" s="661"/>
      <c r="M12" s="663"/>
      <c r="N12" s="664"/>
      <c r="O12" s="665"/>
    </row>
    <row r="13" spans="2:15" x14ac:dyDescent="0.25">
      <c r="B13" s="666">
        <v>30101</v>
      </c>
      <c r="C13" s="667" t="s">
        <v>596</v>
      </c>
      <c r="D13" s="668">
        <f>SUM(H13,L13)</f>
        <v>5453.9981834490009</v>
      </c>
      <c r="E13" s="669">
        <f>SUM(I13,M13)</f>
        <v>0.99999999999999989</v>
      </c>
      <c r="F13" s="668">
        <f>SUM(J13,N13)</f>
        <v>2590.9967043090001</v>
      </c>
      <c r="G13" s="668">
        <f>SUM(K13,O13)</f>
        <v>2863.0014791399999</v>
      </c>
      <c r="H13" s="668">
        <f>SUM(J13:K13)</f>
        <v>3054.9376172410002</v>
      </c>
      <c r="I13" s="652">
        <f>H13/D13</f>
        <v>0.56012809584566414</v>
      </c>
      <c r="J13" s="668">
        <v>1506.516280114</v>
      </c>
      <c r="K13" s="668">
        <v>1548.421337127</v>
      </c>
      <c r="L13" s="668">
        <f>SUM(N13:O13)</f>
        <v>2399.0605662080002</v>
      </c>
      <c r="M13" s="652">
        <f>L13/D13</f>
        <v>0.43987190415433575</v>
      </c>
      <c r="N13" s="668">
        <v>1084.4804241950001</v>
      </c>
      <c r="O13" s="670">
        <v>1314.5801420130001</v>
      </c>
    </row>
    <row r="14" spans="2:15" x14ac:dyDescent="0.25">
      <c r="B14" s="671"/>
      <c r="C14" s="672"/>
      <c r="D14" s="673"/>
      <c r="E14" s="674"/>
      <c r="F14" s="673"/>
      <c r="G14" s="673"/>
      <c r="H14" s="673"/>
      <c r="I14" s="663"/>
      <c r="J14" s="673"/>
      <c r="K14" s="673"/>
      <c r="L14" s="673"/>
      <c r="M14" s="663"/>
      <c r="N14" s="673"/>
      <c r="O14" s="675"/>
    </row>
    <row r="15" spans="2:15" ht="14.25" thickBot="1" x14ac:dyDescent="0.3">
      <c r="B15" s="676">
        <v>30105</v>
      </c>
      <c r="C15" s="677" t="s">
        <v>3560</v>
      </c>
      <c r="D15" s="678">
        <f>SUM(H15,L15)</f>
        <v>3618.0004805449998</v>
      </c>
      <c r="E15" s="679">
        <f>SUM(I15,M15)</f>
        <v>1</v>
      </c>
      <c r="F15" s="678">
        <f>SUM(J15,N15)</f>
        <v>1791.6397496730001</v>
      </c>
      <c r="G15" s="678">
        <f>SUM(K15,O15)</f>
        <v>1826.360730872</v>
      </c>
      <c r="H15" s="678">
        <f>SUM(J15:K15)</f>
        <v>487.50766682300002</v>
      </c>
      <c r="I15" s="680">
        <f>H15/D15</f>
        <v>0.13474505308787688</v>
      </c>
      <c r="J15" s="678">
        <v>272.28128647800003</v>
      </c>
      <c r="K15" s="678">
        <v>215.226380345</v>
      </c>
      <c r="L15" s="678">
        <f>SUM(N15:O15)</f>
        <v>3130.4928137219999</v>
      </c>
      <c r="M15" s="680">
        <f>L15/D15</f>
        <v>0.86525494691212312</v>
      </c>
      <c r="N15" s="678">
        <v>1519.358463195</v>
      </c>
      <c r="O15" s="681">
        <v>1611.1343505269999</v>
      </c>
    </row>
    <row r="16" spans="2:15" ht="33.75" customHeight="1" x14ac:dyDescent="0.25">
      <c r="B16" s="4271" t="s">
        <v>1372</v>
      </c>
      <c r="C16" s="4271"/>
      <c r="D16" s="4271"/>
      <c r="E16" s="4271"/>
      <c r="F16" s="4271"/>
      <c r="G16" s="4271"/>
      <c r="H16" s="4271"/>
      <c r="I16" s="4271"/>
      <c r="J16" s="4271"/>
      <c r="K16" s="4271"/>
      <c r="L16" s="4271"/>
      <c r="M16" s="4271"/>
      <c r="N16" s="4271"/>
      <c r="O16" s="4271"/>
    </row>
    <row r="18" spans="2:18" x14ac:dyDescent="0.25">
      <c r="H18" s="618"/>
      <c r="O18" s="617" t="s">
        <v>3661</v>
      </c>
      <c r="P18" s="618">
        <v>6093</v>
      </c>
    </row>
    <row r="19" spans="2:18" x14ac:dyDescent="0.25">
      <c r="I19" s="619"/>
      <c r="L19" s="620"/>
      <c r="O19" s="617" t="s">
        <v>3654</v>
      </c>
      <c r="P19" s="618">
        <v>4961</v>
      </c>
    </row>
    <row r="20" spans="2:18" x14ac:dyDescent="0.25">
      <c r="O20" s="617" t="s">
        <v>3655</v>
      </c>
      <c r="P20" s="618">
        <f>D15</f>
        <v>3618.0004805449998</v>
      </c>
    </row>
    <row r="22" spans="2:18" x14ac:dyDescent="0.25">
      <c r="O22" s="617" t="s">
        <v>3662</v>
      </c>
      <c r="P22" s="618">
        <v>7432</v>
      </c>
    </row>
    <row r="23" spans="2:18" x14ac:dyDescent="0.25">
      <c r="B23" s="518" t="s">
        <v>3517</v>
      </c>
      <c r="H23" s="618"/>
      <c r="O23" s="617" t="s">
        <v>3645</v>
      </c>
      <c r="P23" s="515">
        <v>7078</v>
      </c>
      <c r="R23" s="621"/>
    </row>
    <row r="24" spans="2:18" x14ac:dyDescent="0.25">
      <c r="B24" s="622" t="s">
        <v>1373</v>
      </c>
      <c r="C24" s="622" t="s">
        <v>3659</v>
      </c>
      <c r="D24" s="622"/>
      <c r="O24" s="617" t="s">
        <v>3646</v>
      </c>
      <c r="P24" s="623">
        <v>5453.99818344902</v>
      </c>
    </row>
    <row r="25" spans="2:18" x14ac:dyDescent="0.25">
      <c r="B25" s="622" t="s">
        <v>1374</v>
      </c>
      <c r="C25" s="622" t="s">
        <v>3660</v>
      </c>
      <c r="D25" s="622"/>
      <c r="O25" s="617"/>
    </row>
    <row r="26" spans="2:18" x14ac:dyDescent="0.25">
      <c r="B26" s="622"/>
      <c r="C26" s="622"/>
      <c r="D26" s="622"/>
      <c r="O26" s="617"/>
    </row>
    <row r="27" spans="2:18" x14ac:dyDescent="0.25">
      <c r="B27" s="622"/>
      <c r="C27" s="622"/>
      <c r="D27" s="622"/>
      <c r="O27" s="617" t="s">
        <v>3648</v>
      </c>
      <c r="P27" s="622">
        <v>245.9</v>
      </c>
      <c r="Q27" s="515" t="s">
        <v>1376</v>
      </c>
    </row>
    <row r="28" spans="2:18" x14ac:dyDescent="0.25">
      <c r="B28" s="622"/>
      <c r="C28" s="622"/>
      <c r="D28" s="622"/>
    </row>
    <row r="29" spans="2:18" x14ac:dyDescent="0.25">
      <c r="B29" s="684" t="s">
        <v>3665</v>
      </c>
      <c r="C29" s="685" t="s">
        <v>1375</v>
      </c>
      <c r="D29" s="686" t="s">
        <v>163</v>
      </c>
      <c r="O29" s="617" t="s">
        <v>3647</v>
      </c>
      <c r="P29" s="622">
        <v>153.03</v>
      </c>
      <c r="Q29" s="515" t="s">
        <v>1376</v>
      </c>
    </row>
    <row r="30" spans="2:18" x14ac:dyDescent="0.25">
      <c r="B30" s="682" t="s">
        <v>1377</v>
      </c>
      <c r="C30" s="683">
        <f>'3 Pob x Edad y EESS P1 P2'!E31</f>
        <v>872.7517599110771</v>
      </c>
      <c r="D30" s="687">
        <f>+C30/C31</f>
        <v>0.47923608097520481</v>
      </c>
    </row>
    <row r="31" spans="2:18" x14ac:dyDescent="0.25">
      <c r="B31" s="682" t="s">
        <v>1378</v>
      </c>
      <c r="C31" s="683">
        <f>'3 Pob x Edad y EESS P1 P2'!E32</f>
        <v>1821.1311596887722</v>
      </c>
      <c r="D31" s="687">
        <v>1</v>
      </c>
      <c r="G31" s="515" t="s">
        <v>3685</v>
      </c>
      <c r="O31" s="617" t="s">
        <v>3651</v>
      </c>
      <c r="P31" s="624">
        <f>P24/P29</f>
        <v>35.640058703842513</v>
      </c>
      <c r="Q31" s="515" t="s">
        <v>3663</v>
      </c>
    </row>
    <row r="32" spans="2:18" x14ac:dyDescent="0.25">
      <c r="F32" s="1182">
        <v>2019</v>
      </c>
      <c r="G32" s="1182">
        <v>2019</v>
      </c>
      <c r="O32" s="617" t="s">
        <v>3652</v>
      </c>
      <c r="P32" s="624">
        <f>P23/P29</f>
        <v>46.252368816571916</v>
      </c>
      <c r="Q32" s="515" t="s">
        <v>3663</v>
      </c>
    </row>
    <row r="33" spans="3:17" x14ac:dyDescent="0.25">
      <c r="O33" s="617" t="s">
        <v>3653</v>
      </c>
      <c r="P33" s="624">
        <f>P22/P29</f>
        <v>48.565640724041039</v>
      </c>
      <c r="Q33" s="515" t="s">
        <v>3663</v>
      </c>
    </row>
    <row r="34" spans="3:17" x14ac:dyDescent="0.25">
      <c r="C34" s="515" t="s">
        <v>1379</v>
      </c>
      <c r="G34" s="625">
        <f>SUM(G37:G41)</f>
        <v>9071.9986639939998</v>
      </c>
      <c r="P34" s="624"/>
    </row>
    <row r="35" spans="3:17" x14ac:dyDescent="0.25">
      <c r="C35" s="518" t="s">
        <v>1380</v>
      </c>
      <c r="F35" s="626">
        <f>C31</f>
        <v>1821.1311596887722</v>
      </c>
      <c r="G35" s="625"/>
      <c r="P35" s="624"/>
    </row>
    <row r="36" spans="3:17" x14ac:dyDescent="0.25">
      <c r="C36" s="518"/>
      <c r="F36" s="626"/>
      <c r="G36" s="625"/>
      <c r="O36" s="617" t="s">
        <v>3656</v>
      </c>
      <c r="P36" s="624">
        <f>P20/P27</f>
        <v>14.713300042883285</v>
      </c>
      <c r="Q36" s="515" t="s">
        <v>3663</v>
      </c>
    </row>
    <row r="37" spans="3:17" x14ac:dyDescent="0.25">
      <c r="C37" s="515" t="s">
        <v>1381</v>
      </c>
      <c r="F37" s="626"/>
      <c r="G37" s="627">
        <f>SUM(H13:H15)</f>
        <v>3542.4452840640001</v>
      </c>
      <c r="O37" s="617" t="s">
        <v>3657</v>
      </c>
      <c r="P37" s="624">
        <f>P19/P27</f>
        <v>20.174867832452215</v>
      </c>
      <c r="Q37" s="515" t="s">
        <v>3663</v>
      </c>
    </row>
    <row r="38" spans="3:17" x14ac:dyDescent="0.25">
      <c r="C38" s="518" t="s">
        <v>1382</v>
      </c>
      <c r="F38" s="628">
        <f>G37/G34</f>
        <v>0.39048123961081121</v>
      </c>
      <c r="G38" s="622"/>
      <c r="O38" s="617" t="s">
        <v>3658</v>
      </c>
      <c r="P38" s="624">
        <f>P18/P27</f>
        <v>24.778365189101262</v>
      </c>
      <c r="Q38" s="515" t="s">
        <v>3663</v>
      </c>
    </row>
    <row r="39" spans="3:17" x14ac:dyDescent="0.25">
      <c r="C39" s="518" t="s">
        <v>1383</v>
      </c>
      <c r="F39" s="626">
        <f>F35*F38</f>
        <v>711.11755272914593</v>
      </c>
      <c r="G39" s="622"/>
      <c r="P39" s="629"/>
    </row>
    <row r="40" spans="3:17" x14ac:dyDescent="0.25">
      <c r="C40" s="518"/>
      <c r="F40" s="628"/>
      <c r="G40" s="622"/>
    </row>
    <row r="41" spans="3:17" x14ac:dyDescent="0.25">
      <c r="C41" s="515" t="s">
        <v>1384</v>
      </c>
      <c r="F41" s="628"/>
      <c r="G41" s="627">
        <f>SUM(L13:L15)</f>
        <v>5529.5533799300001</v>
      </c>
    </row>
    <row r="42" spans="3:17" x14ac:dyDescent="0.25">
      <c r="C42" s="518" t="s">
        <v>1385</v>
      </c>
      <c r="F42" s="628">
        <f>G41/G34</f>
        <v>0.60951876038918884</v>
      </c>
      <c r="G42" s="622"/>
    </row>
    <row r="43" spans="3:17" x14ac:dyDescent="0.25">
      <c r="C43" s="518" t="s">
        <v>1386</v>
      </c>
      <c r="F43" s="626">
        <f>F35*F42</f>
        <v>1110.0136069596263</v>
      </c>
    </row>
    <row r="46" spans="3:17" x14ac:dyDescent="0.25">
      <c r="C46" s="518" t="s">
        <v>1387</v>
      </c>
      <c r="D46" s="518"/>
    </row>
    <row r="47" spans="3:17" x14ac:dyDescent="0.25">
      <c r="C47" s="518" t="s">
        <v>3649</v>
      </c>
      <c r="G47" s="630">
        <v>405759</v>
      </c>
    </row>
    <row r="48" spans="3:17" x14ac:dyDescent="0.25">
      <c r="C48" s="515" t="s">
        <v>3650</v>
      </c>
    </row>
    <row r="50" spans="3:7" x14ac:dyDescent="0.25">
      <c r="C50" s="518" t="s">
        <v>1392</v>
      </c>
      <c r="G50" s="631">
        <f>((G47/G52)^(1/10))-1</f>
        <v>3.8750734746773041E-4</v>
      </c>
    </row>
    <row r="51" spans="3:7" x14ac:dyDescent="0.25">
      <c r="C51" s="518"/>
      <c r="G51" s="631"/>
    </row>
    <row r="52" spans="3:7" x14ac:dyDescent="0.25">
      <c r="C52" s="518" t="s">
        <v>1388</v>
      </c>
      <c r="G52" s="630">
        <v>404190</v>
      </c>
    </row>
    <row r="53" spans="3:7" x14ac:dyDescent="0.25">
      <c r="C53" s="515" t="s">
        <v>1389</v>
      </c>
    </row>
    <row r="54" spans="3:7" x14ac:dyDescent="0.25">
      <c r="C54" s="518" t="s">
        <v>1390</v>
      </c>
      <c r="G54" s="632">
        <v>381997</v>
      </c>
    </row>
    <row r="55" spans="3:7" x14ac:dyDescent="0.25">
      <c r="C55" s="515" t="s">
        <v>1391</v>
      </c>
    </row>
    <row r="56" spans="3:7" x14ac:dyDescent="0.25">
      <c r="C56" s="518" t="s">
        <v>1392</v>
      </c>
      <c r="G56" s="631">
        <f>((G52/G54)^(1/14))-1</f>
        <v>4.0418828404036322E-3</v>
      </c>
    </row>
    <row r="57" spans="3:7" ht="14.25" thickBot="1" x14ac:dyDescent="0.3"/>
    <row r="58" spans="3:7" ht="14.25" thickBot="1" x14ac:dyDescent="0.3">
      <c r="C58" s="633">
        <v>1993</v>
      </c>
      <c r="D58" s="634"/>
      <c r="E58" s="634"/>
      <c r="F58" s="634"/>
      <c r="G58" s="635">
        <f>+G54</f>
        <v>381997</v>
      </c>
    </row>
    <row r="59" spans="3:7" x14ac:dyDescent="0.25">
      <c r="C59" s="515">
        <v>1994</v>
      </c>
      <c r="G59" s="618">
        <f>+G58*(1+$G$56)</f>
        <v>383540.98711938568</v>
      </c>
    </row>
    <row r="60" spans="3:7" x14ac:dyDescent="0.25">
      <c r="C60" s="515">
        <v>1995</v>
      </c>
      <c r="G60" s="618">
        <f t="shared" ref="G60:G72" si="0">+G59*(1+$G$56)</f>
        <v>385091.21485381498</v>
      </c>
    </row>
    <row r="61" spans="3:7" x14ac:dyDescent="0.25">
      <c r="C61" s="515">
        <v>1996</v>
      </c>
      <c r="G61" s="618">
        <f t="shared" si="0"/>
        <v>386647.70842712279</v>
      </c>
    </row>
    <row r="62" spans="3:7" x14ac:dyDescent="0.25">
      <c r="C62" s="515">
        <v>1997</v>
      </c>
      <c r="G62" s="618">
        <f t="shared" si="0"/>
        <v>388210.49316509574</v>
      </c>
    </row>
    <row r="63" spans="3:7" x14ac:dyDescent="0.25">
      <c r="C63" s="515">
        <v>1998</v>
      </c>
      <c r="G63" s="618">
        <f t="shared" si="0"/>
        <v>389779.59449588438</v>
      </c>
    </row>
    <row r="64" spans="3:7" x14ac:dyDescent="0.25">
      <c r="C64" s="515">
        <v>1999</v>
      </c>
      <c r="G64" s="618">
        <f t="shared" si="0"/>
        <v>391355.03795041679</v>
      </c>
    </row>
    <row r="65" spans="3:7" x14ac:dyDescent="0.25">
      <c r="C65" s="515">
        <v>2000</v>
      </c>
      <c r="G65" s="618">
        <f t="shared" si="0"/>
        <v>392936.84916281409</v>
      </c>
    </row>
    <row r="66" spans="3:7" x14ac:dyDescent="0.25">
      <c r="C66" s="515">
        <v>2001</v>
      </c>
      <c r="G66" s="618">
        <f t="shared" si="0"/>
        <v>394525.05387080752</v>
      </c>
    </row>
    <row r="67" spans="3:7" x14ac:dyDescent="0.25">
      <c r="C67" s="515">
        <v>2002</v>
      </c>
      <c r="G67" s="618">
        <f t="shared" si="0"/>
        <v>396119.67791615723</v>
      </c>
    </row>
    <row r="68" spans="3:7" x14ac:dyDescent="0.25">
      <c r="C68" s="515">
        <v>2003</v>
      </c>
      <c r="G68" s="618">
        <f t="shared" si="0"/>
        <v>397720.74724507274</v>
      </c>
    </row>
    <row r="69" spans="3:7" x14ac:dyDescent="0.25">
      <c r="C69" s="515">
        <v>2004</v>
      </c>
      <c r="G69" s="618">
        <f t="shared" si="0"/>
        <v>399328.2879086351</v>
      </c>
    </row>
    <row r="70" spans="3:7" x14ac:dyDescent="0.25">
      <c r="C70" s="515">
        <v>2005</v>
      </c>
      <c r="G70" s="618">
        <f t="shared" si="0"/>
        <v>400942.3260632208</v>
      </c>
    </row>
    <row r="71" spans="3:7" ht="14.25" thickBot="1" x14ac:dyDescent="0.3">
      <c r="C71" s="515">
        <v>2006</v>
      </c>
      <c r="G71" s="618">
        <f t="shared" si="0"/>
        <v>402562.88797092723</v>
      </c>
    </row>
    <row r="72" spans="3:7" ht="14.25" thickBot="1" x14ac:dyDescent="0.3">
      <c r="C72" s="633">
        <v>2007</v>
      </c>
      <c r="D72" s="634"/>
      <c r="E72" s="634"/>
      <c r="F72" s="634"/>
      <c r="G72" s="635">
        <f t="shared" si="0"/>
        <v>404190.00000000023</v>
      </c>
    </row>
    <row r="73" spans="3:7" x14ac:dyDescent="0.25">
      <c r="C73" s="516">
        <v>2008</v>
      </c>
      <c r="G73" s="618">
        <f t="shared" ref="G73:G82" si="1">+G72*(1+$G$50)</f>
        <v>404346.6265947732</v>
      </c>
    </row>
    <row r="74" spans="3:7" x14ac:dyDescent="0.25">
      <c r="C74" s="516">
        <v>2009</v>
      </c>
      <c r="G74" s="618">
        <f t="shared" si="1"/>
        <v>404503.31388350244</v>
      </c>
    </row>
    <row r="75" spans="3:7" x14ac:dyDescent="0.25">
      <c r="C75" s="516">
        <v>2010</v>
      </c>
      <c r="G75" s="618">
        <f t="shared" si="1"/>
        <v>404660.06188970734</v>
      </c>
    </row>
    <row r="76" spans="3:7" x14ac:dyDescent="0.25">
      <c r="C76" s="516">
        <v>2011</v>
      </c>
      <c r="G76" s="618">
        <f t="shared" si="1"/>
        <v>404816.87063691637</v>
      </c>
    </row>
    <row r="77" spans="3:7" x14ac:dyDescent="0.25">
      <c r="C77" s="516">
        <v>2012</v>
      </c>
      <c r="G77" s="618">
        <f t="shared" si="1"/>
        <v>404973.74014866707</v>
      </c>
    </row>
    <row r="78" spans="3:7" x14ac:dyDescent="0.25">
      <c r="C78" s="516">
        <v>2013</v>
      </c>
      <c r="G78" s="618">
        <f t="shared" si="1"/>
        <v>405130.67044850619</v>
      </c>
    </row>
    <row r="79" spans="3:7" x14ac:dyDescent="0.25">
      <c r="C79" s="516">
        <v>2014</v>
      </c>
      <c r="G79" s="618">
        <f t="shared" si="1"/>
        <v>405287.6615599895</v>
      </c>
    </row>
    <row r="80" spans="3:7" x14ac:dyDescent="0.25">
      <c r="C80" s="516">
        <v>2015</v>
      </c>
      <c r="G80" s="618">
        <f t="shared" si="1"/>
        <v>405444.71350668202</v>
      </c>
    </row>
    <row r="81" spans="3:7" ht="14.25" thickBot="1" x14ac:dyDescent="0.3">
      <c r="C81" s="516">
        <v>2016</v>
      </c>
      <c r="G81" s="618">
        <f t="shared" si="1"/>
        <v>405601.82631215779</v>
      </c>
    </row>
    <row r="82" spans="3:7" ht="14.25" thickBot="1" x14ac:dyDescent="0.3">
      <c r="C82" s="633">
        <v>2017</v>
      </c>
      <c r="D82" s="634"/>
      <c r="E82" s="634"/>
      <c r="F82" s="634"/>
      <c r="G82" s="635">
        <f t="shared" si="1"/>
        <v>405759.00000000006</v>
      </c>
    </row>
  </sheetData>
  <mergeCells count="10">
    <mergeCell ref="B16:O16"/>
    <mergeCell ref="D3:O3"/>
    <mergeCell ref="D4:G4"/>
    <mergeCell ref="H4:K4"/>
    <mergeCell ref="L4:O4"/>
    <mergeCell ref="D5:E5"/>
    <mergeCell ref="H5:I5"/>
    <mergeCell ref="L5:M5"/>
    <mergeCell ref="B3:B5"/>
    <mergeCell ref="C3:C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00"/>
  <sheetViews>
    <sheetView zoomScale="70" zoomScaleNormal="70" workbookViewId="0">
      <selection activeCell="O64" sqref="O64"/>
    </sheetView>
  </sheetViews>
  <sheetFormatPr baseColWidth="10" defaultColWidth="11.42578125" defaultRowHeight="15" x14ac:dyDescent="0.25"/>
  <cols>
    <col min="1" max="1" width="14.28515625" customWidth="1"/>
    <col min="15" max="15" width="20.140625" customWidth="1"/>
    <col min="16" max="16" width="14.7109375" customWidth="1"/>
    <col min="20" max="20" width="13.42578125" customWidth="1"/>
  </cols>
  <sheetData>
    <row r="1" spans="1:16" x14ac:dyDescent="0.25">
      <c r="A1" s="117" t="s">
        <v>1393</v>
      </c>
    </row>
    <row r="3" spans="1:16" x14ac:dyDescent="0.25">
      <c r="A3" s="118" t="s">
        <v>1394</v>
      </c>
      <c r="B3" s="118">
        <v>2004</v>
      </c>
      <c r="C3" s="118">
        <v>2005</v>
      </c>
      <c r="D3" s="118">
        <v>2006</v>
      </c>
      <c r="E3" s="118">
        <v>2007</v>
      </c>
      <c r="F3" s="118">
        <v>2008</v>
      </c>
      <c r="G3" s="118">
        <v>2009</v>
      </c>
      <c r="H3" s="118">
        <v>2010</v>
      </c>
      <c r="I3" s="118">
        <v>2011</v>
      </c>
      <c r="J3" s="118">
        <v>2012</v>
      </c>
      <c r="K3" s="118">
        <v>2013</v>
      </c>
      <c r="L3" s="118">
        <v>2014</v>
      </c>
      <c r="M3" s="118">
        <v>2015</v>
      </c>
      <c r="N3" s="118">
        <v>2016</v>
      </c>
      <c r="P3" t="s">
        <v>1395</v>
      </c>
    </row>
    <row r="4" spans="1:16" x14ac:dyDescent="0.25">
      <c r="A4" s="119" t="s">
        <v>1396</v>
      </c>
      <c r="B4" s="120">
        <v>0.63142784275618946</v>
      </c>
      <c r="C4" s="120">
        <v>0.70758932493947779</v>
      </c>
      <c r="D4" s="120">
        <v>0.7459862214048858</v>
      </c>
      <c r="E4" s="120">
        <v>0.71579383477645975</v>
      </c>
      <c r="F4" s="120">
        <v>0.6654471349442993</v>
      </c>
      <c r="G4" s="120">
        <v>0.63801067821534474</v>
      </c>
      <c r="H4" s="120">
        <v>0.69626102919405453</v>
      </c>
      <c r="I4" s="120">
        <v>0.67509440877372917</v>
      </c>
      <c r="J4" s="120">
        <v>0.66557139849601854</v>
      </c>
      <c r="K4" s="120">
        <v>0.61030641667571173</v>
      </c>
      <c r="L4" s="120">
        <v>0.67399626114249656</v>
      </c>
      <c r="M4" s="120">
        <v>0.6081890041221808</v>
      </c>
      <c r="N4" s="120">
        <v>0.64730820265883315</v>
      </c>
      <c r="P4" s="121">
        <f t="shared" ref="P4:P28" si="0">((L4/B4)^(1/14))-1</f>
        <v>4.6709386701313527E-3</v>
      </c>
    </row>
    <row r="5" spans="1:16" x14ac:dyDescent="0.25">
      <c r="A5" s="119" t="s">
        <v>1397</v>
      </c>
      <c r="B5" s="120">
        <v>0.66652835482694184</v>
      </c>
      <c r="C5" s="120">
        <v>0.65299385089263551</v>
      </c>
      <c r="D5" s="120">
        <v>0.6527699578879842</v>
      </c>
      <c r="E5" s="120">
        <v>0.73412340020732569</v>
      </c>
      <c r="F5" s="120">
        <v>0.73641328709274068</v>
      </c>
      <c r="G5" s="120">
        <v>0.73857338652231841</v>
      </c>
      <c r="H5" s="120">
        <v>0.6600087194516433</v>
      </c>
      <c r="I5" s="120">
        <v>0.69462535317656215</v>
      </c>
      <c r="J5" s="120">
        <v>0.69738474679897133</v>
      </c>
      <c r="K5" s="120">
        <v>0.72431755047565838</v>
      </c>
      <c r="L5" s="120">
        <v>0.71366748076705777</v>
      </c>
      <c r="M5" s="120">
        <v>0.72068526637471331</v>
      </c>
      <c r="N5" s="120">
        <v>0.71067828512668696</v>
      </c>
      <c r="P5" s="121">
        <f t="shared" si="0"/>
        <v>4.89296443557663E-3</v>
      </c>
    </row>
    <row r="6" spans="1:16" x14ac:dyDescent="0.25">
      <c r="A6" s="119" t="s">
        <v>1398</v>
      </c>
      <c r="B6" s="120">
        <v>0.63883947178629796</v>
      </c>
      <c r="C6" s="120">
        <v>0.73409462342454646</v>
      </c>
      <c r="D6" s="120">
        <v>0.65268440988030485</v>
      </c>
      <c r="E6" s="120">
        <v>0.58416738143295788</v>
      </c>
      <c r="F6" s="120">
        <v>0.66590207175964355</v>
      </c>
      <c r="G6" s="120">
        <v>0.6509326371214792</v>
      </c>
      <c r="H6" s="120">
        <v>0.6667340007692264</v>
      </c>
      <c r="I6" s="120">
        <v>0.61954637943884372</v>
      </c>
      <c r="J6" s="120">
        <v>0.63839721282784556</v>
      </c>
      <c r="K6" s="120">
        <v>0.58735306015390754</v>
      </c>
      <c r="L6" s="120">
        <v>0.66161402485975906</v>
      </c>
      <c r="M6" s="120">
        <v>0.70184308873409229</v>
      </c>
      <c r="N6" s="120">
        <v>0.70046720740821511</v>
      </c>
      <c r="O6" s="122">
        <f>(B6-N6)/(13-1)</f>
        <v>-5.1356446351597624E-3</v>
      </c>
      <c r="P6" s="121">
        <f t="shared" si="0"/>
        <v>2.5052140265720002E-3</v>
      </c>
    </row>
    <row r="7" spans="1:16" x14ac:dyDescent="0.25">
      <c r="A7" s="119" t="s">
        <v>1399</v>
      </c>
      <c r="B7" s="120">
        <v>0.67774642446063227</v>
      </c>
      <c r="C7" s="120">
        <v>0.67867302321273848</v>
      </c>
      <c r="D7" s="120">
        <v>0.67484533492157939</v>
      </c>
      <c r="E7" s="120">
        <v>0.6768178430493087</v>
      </c>
      <c r="F7" s="120">
        <v>0.65188307364858034</v>
      </c>
      <c r="G7" s="120">
        <v>0.59980484777448795</v>
      </c>
      <c r="H7" s="120">
        <v>0.65014720061120934</v>
      </c>
      <c r="I7" s="120">
        <v>0.66355102576201985</v>
      </c>
      <c r="J7" s="120">
        <v>0.62438885101699526</v>
      </c>
      <c r="K7" s="120">
        <v>0.59429128082775451</v>
      </c>
      <c r="L7" s="120">
        <v>0.62033099043440632</v>
      </c>
      <c r="M7" s="120">
        <v>0.63351767436825712</v>
      </c>
      <c r="N7" s="120">
        <v>0.63331833578104701</v>
      </c>
      <c r="P7" s="121">
        <f t="shared" si="0"/>
        <v>-6.3029114804410424E-3</v>
      </c>
    </row>
    <row r="8" spans="1:16" x14ac:dyDescent="0.25">
      <c r="A8" s="119" t="s">
        <v>1400</v>
      </c>
      <c r="B8" s="120">
        <v>0.63300306404751749</v>
      </c>
      <c r="C8" s="120">
        <v>0.76997779633151853</v>
      </c>
      <c r="D8" s="120">
        <v>0.69058116015333693</v>
      </c>
      <c r="E8" s="120">
        <v>0.69659059006778701</v>
      </c>
      <c r="F8" s="120">
        <v>0.6654187429665851</v>
      </c>
      <c r="G8" s="120">
        <v>0.66397361784588993</v>
      </c>
      <c r="H8" s="120">
        <v>0.67952809369429223</v>
      </c>
      <c r="I8" s="120">
        <v>0.68816689307035184</v>
      </c>
      <c r="J8" s="120">
        <v>0.66596399723055622</v>
      </c>
      <c r="K8" s="120">
        <v>0.62550178154475145</v>
      </c>
      <c r="L8" s="120">
        <v>0.65898151431280094</v>
      </c>
      <c r="M8" s="120">
        <v>0.60579872722745021</v>
      </c>
      <c r="N8" s="120">
        <v>0.62818718031248422</v>
      </c>
      <c r="P8" s="121">
        <f t="shared" si="0"/>
        <v>2.8770035354308554E-3</v>
      </c>
    </row>
    <row r="9" spans="1:16" x14ac:dyDescent="0.25">
      <c r="A9" s="119" t="s">
        <v>1401</v>
      </c>
      <c r="B9" s="120">
        <v>0.72663859040536338</v>
      </c>
      <c r="C9" s="120">
        <v>0.72333892481624462</v>
      </c>
      <c r="D9" s="120">
        <v>0.77887243003911166</v>
      </c>
      <c r="E9" s="120">
        <v>0.72373301240292554</v>
      </c>
      <c r="F9" s="120">
        <v>0.77551673827477186</v>
      </c>
      <c r="G9" s="120">
        <v>0.72870909309228149</v>
      </c>
      <c r="H9" s="120">
        <v>0.76371518354938717</v>
      </c>
      <c r="I9" s="120">
        <v>0.73589506812580896</v>
      </c>
      <c r="J9" s="120">
        <v>0.73258314157890692</v>
      </c>
      <c r="K9" s="120">
        <v>0.6706890417073692</v>
      </c>
      <c r="L9" s="120">
        <v>0.69724017004301986</v>
      </c>
      <c r="M9" s="120">
        <v>0.70080326459069242</v>
      </c>
      <c r="N9" s="120">
        <v>0.71403114876112184</v>
      </c>
      <c r="P9" s="121">
        <f t="shared" si="0"/>
        <v>-2.9456032501240514E-3</v>
      </c>
    </row>
    <row r="10" spans="1:16" x14ac:dyDescent="0.25">
      <c r="A10" s="119" t="s">
        <v>1402</v>
      </c>
      <c r="B10" s="120">
        <v>0.56848480344579289</v>
      </c>
      <c r="C10" s="120">
        <v>0.62848529034438305</v>
      </c>
      <c r="D10" s="120">
        <v>0.58760642810433605</v>
      </c>
      <c r="E10" s="120">
        <v>0.62468790117758555</v>
      </c>
      <c r="F10" s="120">
        <v>0.62043114423801926</v>
      </c>
      <c r="G10" s="120">
        <v>0.57127218798974966</v>
      </c>
      <c r="H10" s="120">
        <v>0.61539849517114775</v>
      </c>
      <c r="I10" s="120">
        <v>0.61119196324778835</v>
      </c>
      <c r="J10" s="120">
        <v>0.62513407875981752</v>
      </c>
      <c r="K10" s="120">
        <v>0.57079684133950881</v>
      </c>
      <c r="L10" s="120">
        <v>0.55148336635690975</v>
      </c>
      <c r="M10" s="120">
        <v>0.55544224400330999</v>
      </c>
      <c r="N10" s="120">
        <v>0.57019535351178674</v>
      </c>
      <c r="P10" s="121">
        <f t="shared" si="0"/>
        <v>-2.1664287811526961E-3</v>
      </c>
    </row>
    <row r="11" spans="1:16" x14ac:dyDescent="0.25">
      <c r="A11" s="119" t="s">
        <v>1403</v>
      </c>
      <c r="B11" s="120">
        <v>0.72961949929104275</v>
      </c>
      <c r="C11" s="120">
        <v>0.72760042283902449</v>
      </c>
      <c r="D11" s="120">
        <v>0.70566035911737535</v>
      </c>
      <c r="E11" s="120">
        <v>0.68654685266897553</v>
      </c>
      <c r="F11" s="120">
        <v>0.67968646334830074</v>
      </c>
      <c r="G11" s="120">
        <v>0.68228007279048719</v>
      </c>
      <c r="H11" s="120">
        <v>0.65821796382533149</v>
      </c>
      <c r="I11" s="120">
        <v>0.65902523052746498</v>
      </c>
      <c r="J11" s="120">
        <v>0.62557563332543498</v>
      </c>
      <c r="K11" s="120">
        <v>0.67361487544824106</v>
      </c>
      <c r="L11" s="120">
        <v>0.72155082604143628</v>
      </c>
      <c r="M11" s="120">
        <v>0.69272655890178414</v>
      </c>
      <c r="N11" s="120">
        <v>0.73196427238975281</v>
      </c>
      <c r="P11" s="121">
        <f t="shared" si="0"/>
        <v>-7.9399488398868012E-4</v>
      </c>
    </row>
    <row r="12" spans="1:16" x14ac:dyDescent="0.25">
      <c r="A12" s="119" t="s">
        <v>1404</v>
      </c>
      <c r="B12" s="120">
        <v>0.7037702418292241</v>
      </c>
      <c r="C12" s="120">
        <v>0.80182943674611007</v>
      </c>
      <c r="D12" s="120">
        <v>0.77503394912548307</v>
      </c>
      <c r="E12" s="120">
        <v>0.81747256935991319</v>
      </c>
      <c r="F12" s="120">
        <v>0.82894854821107433</v>
      </c>
      <c r="G12" s="120">
        <v>0.78649235762315284</v>
      </c>
      <c r="H12" s="120">
        <v>0.68100073527142801</v>
      </c>
      <c r="I12" s="120">
        <v>0.68973823267042866</v>
      </c>
      <c r="J12" s="120">
        <v>0.69962597638086399</v>
      </c>
      <c r="K12" s="120">
        <v>0.66849301940839312</v>
      </c>
      <c r="L12" s="120">
        <v>0.73885410349621705</v>
      </c>
      <c r="M12" s="120">
        <v>0.73640642728510441</v>
      </c>
      <c r="N12" s="120">
        <v>0.67037297247762473</v>
      </c>
      <c r="P12" s="121">
        <f t="shared" si="0"/>
        <v>3.4809398323394358E-3</v>
      </c>
    </row>
    <row r="13" spans="1:16" x14ac:dyDescent="0.25">
      <c r="A13" s="119" t="s">
        <v>1405</v>
      </c>
      <c r="B13" s="120">
        <v>0.76891875920515307</v>
      </c>
      <c r="C13" s="120">
        <v>0.77056764582387216</v>
      </c>
      <c r="D13" s="120">
        <v>0.78136989588586214</v>
      </c>
      <c r="E13" s="120">
        <v>0.73308266105128328</v>
      </c>
      <c r="F13" s="120">
        <v>0.6936310605336139</v>
      </c>
      <c r="G13" s="120">
        <v>0.69862690795199778</v>
      </c>
      <c r="H13" s="120">
        <v>0.70323180176715006</v>
      </c>
      <c r="I13" s="120">
        <v>0.67637312751682177</v>
      </c>
      <c r="J13" s="120">
        <v>0.63166748087706981</v>
      </c>
      <c r="K13" s="120">
        <v>0.63408001867351105</v>
      </c>
      <c r="L13" s="120">
        <v>0.65443694792987983</v>
      </c>
      <c r="M13" s="120">
        <v>0.67471429575847508</v>
      </c>
      <c r="N13" s="120">
        <v>0.67823663963401959</v>
      </c>
      <c r="P13" s="121">
        <f t="shared" si="0"/>
        <v>-1.1448961405729818E-2</v>
      </c>
    </row>
    <row r="14" spans="1:16" x14ac:dyDescent="0.25">
      <c r="A14" s="119" t="s">
        <v>1406</v>
      </c>
      <c r="B14" s="120">
        <v>0.6723010788791397</v>
      </c>
      <c r="C14" s="120">
        <v>0.6980255716437217</v>
      </c>
      <c r="D14" s="120">
        <v>0.70823190367548339</v>
      </c>
      <c r="E14" s="120">
        <v>0.7185417349391704</v>
      </c>
      <c r="F14" s="120">
        <v>0.69142362897079424</v>
      </c>
      <c r="G14" s="120">
        <v>0.67203631654135765</v>
      </c>
      <c r="H14" s="120">
        <v>0.6867923708445246</v>
      </c>
      <c r="I14" s="120">
        <v>0.67882955571738257</v>
      </c>
      <c r="J14" s="120">
        <v>0.66364909094557489</v>
      </c>
      <c r="K14" s="120">
        <v>0.64723278085588665</v>
      </c>
      <c r="L14" s="120">
        <v>0.7051628450016415</v>
      </c>
      <c r="M14" s="120">
        <v>0.69650822607413432</v>
      </c>
      <c r="N14" s="120">
        <v>0.68474666930810757</v>
      </c>
      <c r="P14" s="121">
        <f t="shared" si="0"/>
        <v>3.414565515494461E-3</v>
      </c>
    </row>
    <row r="15" spans="1:16" x14ac:dyDescent="0.25">
      <c r="A15" s="119" t="s">
        <v>1407</v>
      </c>
      <c r="B15" s="120">
        <v>0.70622821467261909</v>
      </c>
      <c r="C15" s="120">
        <v>0.77022368068403391</v>
      </c>
      <c r="D15" s="120">
        <v>0.75025641376136543</v>
      </c>
      <c r="E15" s="120">
        <v>0.74473042326090189</v>
      </c>
      <c r="F15" s="120">
        <v>0.75946971259787599</v>
      </c>
      <c r="G15" s="120">
        <v>0.76056192431025693</v>
      </c>
      <c r="H15" s="120">
        <v>0.78235103221763413</v>
      </c>
      <c r="I15" s="120">
        <v>0.76589656597804678</v>
      </c>
      <c r="J15" s="120">
        <v>0.7261332737055104</v>
      </c>
      <c r="K15" s="120">
        <v>0.74951114086995541</v>
      </c>
      <c r="L15" s="120">
        <v>0.73827530395744156</v>
      </c>
      <c r="M15" s="120">
        <v>0.76269949648650581</v>
      </c>
      <c r="N15" s="120">
        <v>0.76246556008107791</v>
      </c>
      <c r="P15" s="121">
        <f t="shared" si="0"/>
        <v>3.1749122577131583E-3</v>
      </c>
    </row>
    <row r="16" spans="1:16" x14ac:dyDescent="0.25">
      <c r="A16" s="119" t="s">
        <v>1408</v>
      </c>
      <c r="B16" s="120">
        <v>0.70561012699220116</v>
      </c>
      <c r="C16" s="120">
        <v>0.70710498659372933</v>
      </c>
      <c r="D16" s="120">
        <v>0.68871928300126928</v>
      </c>
      <c r="E16" s="120">
        <v>0.70020441952473089</v>
      </c>
      <c r="F16" s="120">
        <v>0.69737511801383745</v>
      </c>
      <c r="G16" s="120">
        <v>0.65925774415106675</v>
      </c>
      <c r="H16" s="120">
        <v>0.69032883249605259</v>
      </c>
      <c r="I16" s="120">
        <v>0.69523933480711408</v>
      </c>
      <c r="J16" s="120">
        <v>0.65947636415582156</v>
      </c>
      <c r="K16" s="120">
        <v>0.66778135673063532</v>
      </c>
      <c r="L16" s="120">
        <v>0.69117673527522383</v>
      </c>
      <c r="M16" s="120">
        <v>0.68884636780885777</v>
      </c>
      <c r="N16" s="120">
        <v>0.68559564267943029</v>
      </c>
      <c r="P16" s="121">
        <f t="shared" si="0"/>
        <v>-1.4751465027397215E-3</v>
      </c>
    </row>
    <row r="17" spans="1:16" x14ac:dyDescent="0.25">
      <c r="A17" s="119" t="s">
        <v>1409</v>
      </c>
      <c r="B17" s="120">
        <v>0.65351615647424</v>
      </c>
      <c r="C17" s="120">
        <v>0.68988092439637538</v>
      </c>
      <c r="D17" s="120">
        <v>0.68789778013387459</v>
      </c>
      <c r="E17" s="120">
        <v>0.71533466483128794</v>
      </c>
      <c r="F17" s="120">
        <v>0.62598683917096387</v>
      </c>
      <c r="G17" s="120">
        <v>0.59404719459762001</v>
      </c>
      <c r="H17" s="120">
        <v>0.63220240370354519</v>
      </c>
      <c r="I17" s="120">
        <v>0.67400304969542058</v>
      </c>
      <c r="J17" s="120">
        <v>0.6543567851124853</v>
      </c>
      <c r="K17" s="120">
        <v>0.61324385180762109</v>
      </c>
      <c r="L17" s="120">
        <v>0.63101558388785761</v>
      </c>
      <c r="M17" s="120">
        <v>0.61824814037558873</v>
      </c>
      <c r="N17" s="120">
        <v>0.65692156286770254</v>
      </c>
      <c r="P17" s="121">
        <f t="shared" si="0"/>
        <v>-2.4994922247075779E-3</v>
      </c>
    </row>
    <row r="18" spans="1:16" x14ac:dyDescent="0.25">
      <c r="A18" s="119" t="s">
        <v>1410</v>
      </c>
      <c r="B18" s="120">
        <v>0.62638172042664186</v>
      </c>
      <c r="C18" s="120">
        <v>0.62217596116387353</v>
      </c>
      <c r="D18" s="120">
        <v>0.64636684885321039</v>
      </c>
      <c r="E18" s="120">
        <v>0.63550994286409102</v>
      </c>
      <c r="F18" s="120">
        <v>0.63231603340330012</v>
      </c>
      <c r="G18" s="120">
        <v>0.60932260616423528</v>
      </c>
      <c r="H18" s="120">
        <v>0.63021572349084465</v>
      </c>
      <c r="I18" s="120">
        <v>0.64299951337102923</v>
      </c>
      <c r="J18" s="120">
        <v>0.62091752154115532</v>
      </c>
      <c r="K18" s="120">
        <v>0.59958302222361481</v>
      </c>
      <c r="L18" s="120">
        <v>0.58238789861951235</v>
      </c>
      <c r="M18" s="120">
        <v>0.57229462502941664</v>
      </c>
      <c r="N18" s="120">
        <v>0.60904923027588398</v>
      </c>
      <c r="P18" s="121">
        <f t="shared" si="0"/>
        <v>-5.188155084862589E-3</v>
      </c>
    </row>
    <row r="19" spans="1:16" x14ac:dyDescent="0.25">
      <c r="A19" s="119" t="s">
        <v>1411</v>
      </c>
      <c r="B19" s="120">
        <v>0.57937450113082856</v>
      </c>
      <c r="C19" s="120">
        <v>0.6650485531369541</v>
      </c>
      <c r="D19" s="120">
        <v>0.68072914889301372</v>
      </c>
      <c r="E19" s="120">
        <v>0.6668428264789994</v>
      </c>
      <c r="F19" s="120">
        <v>0.70365097028588897</v>
      </c>
      <c r="G19" s="120">
        <v>0.66582011324013168</v>
      </c>
      <c r="H19" s="120">
        <v>0.69227243013999873</v>
      </c>
      <c r="I19" s="120">
        <v>0.67787922028015246</v>
      </c>
      <c r="J19" s="120">
        <v>0.71692333342812042</v>
      </c>
      <c r="K19" s="120">
        <v>0.68028331455029079</v>
      </c>
      <c r="L19" s="120">
        <v>0.67383574778944977</v>
      </c>
      <c r="M19" s="120">
        <v>0.65981555190194785</v>
      </c>
      <c r="N19" s="120">
        <v>0.70109970874726557</v>
      </c>
      <c r="P19" s="121">
        <f t="shared" si="0"/>
        <v>1.0846783567352469E-2</v>
      </c>
    </row>
    <row r="20" spans="1:16" x14ac:dyDescent="0.25">
      <c r="A20" s="119" t="s">
        <v>1412</v>
      </c>
      <c r="B20" s="120">
        <v>0.57257822435897876</v>
      </c>
      <c r="C20" s="120">
        <v>0.66976933798058147</v>
      </c>
      <c r="D20" s="120">
        <v>0.6869569405846665</v>
      </c>
      <c r="E20" s="120">
        <v>0.70346885628447553</v>
      </c>
      <c r="F20" s="120">
        <v>0.74621022439506213</v>
      </c>
      <c r="G20" s="120">
        <v>0.72983280022165375</v>
      </c>
      <c r="H20" s="120">
        <v>0.72346430772985704</v>
      </c>
      <c r="I20" s="120">
        <v>0.71353145437367327</v>
      </c>
      <c r="J20" s="120">
        <v>0.66348247099400182</v>
      </c>
      <c r="K20" s="120">
        <v>0.66302589177985638</v>
      </c>
      <c r="L20" s="120">
        <v>0.74482053125544356</v>
      </c>
      <c r="M20" s="120">
        <v>0.68944004384195701</v>
      </c>
      <c r="N20" s="120">
        <v>0.67423361477661492</v>
      </c>
      <c r="P20" s="121">
        <f t="shared" si="0"/>
        <v>1.8962834095239911E-2</v>
      </c>
    </row>
    <row r="21" spans="1:16" x14ac:dyDescent="0.25">
      <c r="A21" s="119" t="s">
        <v>1413</v>
      </c>
      <c r="B21" s="120">
        <v>0.61694748113382414</v>
      </c>
      <c r="C21" s="120">
        <v>0.66201246807407965</v>
      </c>
      <c r="D21" s="120">
        <v>0.65207178578529146</v>
      </c>
      <c r="E21" s="120">
        <v>0.62484739185578675</v>
      </c>
      <c r="F21" s="120">
        <v>0.68912712069091386</v>
      </c>
      <c r="G21" s="120">
        <v>0.628011671211957</v>
      </c>
      <c r="H21" s="120">
        <v>0.64362738578524814</v>
      </c>
      <c r="I21" s="120">
        <v>0.71642517790575233</v>
      </c>
      <c r="J21" s="120">
        <v>0.65523730300455529</v>
      </c>
      <c r="K21" s="120">
        <v>0.65446054641987794</v>
      </c>
      <c r="L21" s="120">
        <v>0.6358461174274358</v>
      </c>
      <c r="M21" s="120">
        <v>0.65981187566364763</v>
      </c>
      <c r="N21" s="120">
        <v>0.69364317679409071</v>
      </c>
      <c r="P21" s="121">
        <f t="shared" si="0"/>
        <v>2.1575155064719187E-3</v>
      </c>
    </row>
    <row r="22" spans="1:16" x14ac:dyDescent="0.25">
      <c r="A22" s="119" t="s">
        <v>1414</v>
      </c>
      <c r="B22" s="120">
        <v>0.70649019221881049</v>
      </c>
      <c r="C22" s="120">
        <v>0.7175635311918801</v>
      </c>
      <c r="D22" s="120">
        <v>0.77641648934962337</v>
      </c>
      <c r="E22" s="120">
        <v>0.74831177456321218</v>
      </c>
      <c r="F22" s="120">
        <v>0.73040452251752597</v>
      </c>
      <c r="G22" s="120">
        <v>0.69179601558675496</v>
      </c>
      <c r="H22" s="120">
        <v>0.68541005821773771</v>
      </c>
      <c r="I22" s="120">
        <v>0.72816883433907698</v>
      </c>
      <c r="J22" s="120">
        <v>0.66943062441144252</v>
      </c>
      <c r="K22" s="120">
        <v>0.66544122642849635</v>
      </c>
      <c r="L22" s="120">
        <v>0.66080656849570474</v>
      </c>
      <c r="M22" s="120">
        <v>0.66989476523293789</v>
      </c>
      <c r="N22" s="120">
        <v>0.63127343572772521</v>
      </c>
      <c r="P22" s="121">
        <f t="shared" si="0"/>
        <v>-4.7634868271246855E-3</v>
      </c>
    </row>
    <row r="23" spans="1:16" x14ac:dyDescent="0.25">
      <c r="A23" s="119" t="s">
        <v>1415</v>
      </c>
      <c r="B23" s="120">
        <v>0.69119739614775855</v>
      </c>
      <c r="C23" s="120">
        <v>0.73502516052835543</v>
      </c>
      <c r="D23" s="120">
        <v>0.69533462614254893</v>
      </c>
      <c r="E23" s="120">
        <v>0.7468334453958958</v>
      </c>
      <c r="F23" s="120">
        <v>0.70277326983759292</v>
      </c>
      <c r="G23" s="120">
        <v>0.68349286046823943</v>
      </c>
      <c r="H23" s="120">
        <v>0.7291245832581027</v>
      </c>
      <c r="I23" s="120">
        <v>0.72562470797201784</v>
      </c>
      <c r="J23" s="120">
        <v>0.7116699600445282</v>
      </c>
      <c r="K23" s="120">
        <v>0.72112047024797077</v>
      </c>
      <c r="L23" s="120">
        <v>0.68644524344895985</v>
      </c>
      <c r="M23" s="120">
        <v>0.67017619377764381</v>
      </c>
      <c r="N23" s="120">
        <v>0.69458921166501397</v>
      </c>
      <c r="P23" s="121">
        <f t="shared" si="0"/>
        <v>-4.9266361699762395E-4</v>
      </c>
    </row>
    <row r="24" spans="1:16" x14ac:dyDescent="0.25">
      <c r="A24" s="119" t="s">
        <v>1416</v>
      </c>
      <c r="B24" s="120">
        <v>0.79714575045000835</v>
      </c>
      <c r="C24" s="120">
        <v>0.80496055626712326</v>
      </c>
      <c r="D24" s="120">
        <v>0.80403986659031224</v>
      </c>
      <c r="E24" s="120">
        <v>0.77529096658029528</v>
      </c>
      <c r="F24" s="120">
        <v>0.7765341556193095</v>
      </c>
      <c r="G24" s="120">
        <v>0.81536856652355916</v>
      </c>
      <c r="H24" s="120">
        <v>0.80429343020486532</v>
      </c>
      <c r="I24" s="120">
        <v>0.84848843398321705</v>
      </c>
      <c r="J24" s="120">
        <v>0.80712357572854987</v>
      </c>
      <c r="K24" s="120">
        <v>0.77007830114306453</v>
      </c>
      <c r="L24" s="120">
        <v>0.81546200390128343</v>
      </c>
      <c r="M24" s="120">
        <v>0.81178542887279193</v>
      </c>
      <c r="N24" s="120">
        <v>0.80400243233129598</v>
      </c>
      <c r="P24" s="121">
        <f t="shared" si="0"/>
        <v>1.6239809933376037E-3</v>
      </c>
    </row>
    <row r="25" spans="1:16" x14ac:dyDescent="0.25">
      <c r="A25" s="119" t="s">
        <v>1417</v>
      </c>
      <c r="B25" s="120">
        <v>0.68413296718879479</v>
      </c>
      <c r="C25" s="120">
        <v>0.70349239536008101</v>
      </c>
      <c r="D25" s="120">
        <v>0.78996865481412981</v>
      </c>
      <c r="E25" s="120">
        <v>0.7176999281854759</v>
      </c>
      <c r="F25" s="120">
        <v>0.70578187674470128</v>
      </c>
      <c r="G25" s="120">
        <v>0.69783741044368297</v>
      </c>
      <c r="H25" s="120">
        <v>0.68043689234597016</v>
      </c>
      <c r="I25" s="120">
        <v>0.7076437082161382</v>
      </c>
      <c r="J25" s="120">
        <v>0.6919855783044313</v>
      </c>
      <c r="K25" s="120">
        <v>0.68018932797442022</v>
      </c>
      <c r="L25" s="120">
        <v>0.69685415069793488</v>
      </c>
      <c r="M25" s="120">
        <v>0.67762716524325428</v>
      </c>
      <c r="N25" s="120">
        <v>0.70025579687833073</v>
      </c>
      <c r="P25" s="121">
        <f t="shared" si="0"/>
        <v>1.3168549155020415E-3</v>
      </c>
    </row>
    <row r="26" spans="1:16" x14ac:dyDescent="0.25">
      <c r="A26" s="119" t="s">
        <v>1418</v>
      </c>
      <c r="B26" s="120">
        <v>0.73945357033741366</v>
      </c>
      <c r="C26" s="120">
        <v>0.77502223356610445</v>
      </c>
      <c r="D26" s="120">
        <v>0.77996878666712233</v>
      </c>
      <c r="E26" s="120">
        <v>0.75935622022170624</v>
      </c>
      <c r="F26" s="120">
        <v>0.77217644682071829</v>
      </c>
      <c r="G26" s="120">
        <v>0.71394661508591828</v>
      </c>
      <c r="H26" s="120">
        <v>0.72733740496340715</v>
      </c>
      <c r="I26" s="120">
        <v>0.75920063637396706</v>
      </c>
      <c r="J26" s="120">
        <v>0.67764426403431888</v>
      </c>
      <c r="K26" s="120">
        <v>0.63951539169624716</v>
      </c>
      <c r="L26" s="120">
        <v>0.70484987275980615</v>
      </c>
      <c r="M26" s="120">
        <v>0.68362402770465702</v>
      </c>
      <c r="N26" s="120">
        <v>0.72072416302765652</v>
      </c>
      <c r="P26" s="121">
        <f t="shared" si="0"/>
        <v>-3.4174800246530301E-3</v>
      </c>
    </row>
    <row r="27" spans="1:16" x14ac:dyDescent="0.25">
      <c r="A27" s="119" t="s">
        <v>1419</v>
      </c>
      <c r="B27" s="120">
        <v>0.64227577973314753</v>
      </c>
      <c r="C27" s="120">
        <v>0.66122299488000225</v>
      </c>
      <c r="D27" s="120">
        <v>0.66181467588359788</v>
      </c>
      <c r="E27" s="120">
        <v>0.72417786707418452</v>
      </c>
      <c r="F27" s="120">
        <v>0.63985240592305781</v>
      </c>
      <c r="G27" s="120">
        <v>0.58077610508159749</v>
      </c>
      <c r="H27" s="120">
        <v>0.60189428624655583</v>
      </c>
      <c r="I27" s="120">
        <v>0.67272294346175598</v>
      </c>
      <c r="J27" s="120">
        <v>0.66603191134129913</v>
      </c>
      <c r="K27" s="120">
        <v>0.5893496440398508</v>
      </c>
      <c r="L27" s="120">
        <v>0.61099577266849037</v>
      </c>
      <c r="M27" s="120">
        <v>0.6095117309618141</v>
      </c>
      <c r="N27" s="120">
        <v>0.65918284240532099</v>
      </c>
      <c r="P27" s="121">
        <f t="shared" si="0"/>
        <v>-3.5599151708241017E-3</v>
      </c>
    </row>
    <row r="28" spans="1:16" x14ac:dyDescent="0.25">
      <c r="A28" s="119" t="s">
        <v>1420</v>
      </c>
      <c r="B28" s="120">
        <v>0.70050039211561455</v>
      </c>
      <c r="C28" s="120">
        <v>0.70900093192084679</v>
      </c>
      <c r="D28" s="120">
        <v>0.72794419303155278</v>
      </c>
      <c r="E28" s="120">
        <v>0.70743495892655306</v>
      </c>
      <c r="F28" s="120">
        <v>0.71906098414762221</v>
      </c>
      <c r="G28" s="120">
        <v>0.66306841484215506</v>
      </c>
      <c r="H28" s="120">
        <v>0.72158791930204624</v>
      </c>
      <c r="I28" s="120">
        <v>0.74244680467637025</v>
      </c>
      <c r="J28" s="120">
        <v>0.75927453986062643</v>
      </c>
      <c r="K28" s="120">
        <v>0.72895014221376708</v>
      </c>
      <c r="L28" s="120">
        <v>0.76134389682759696</v>
      </c>
      <c r="M28" s="120">
        <v>0.70926989466261403</v>
      </c>
      <c r="N28" s="120">
        <v>0.72414899704604152</v>
      </c>
      <c r="P28" s="121">
        <f t="shared" si="0"/>
        <v>5.9670344932729602E-3</v>
      </c>
    </row>
    <row r="29" spans="1:16" x14ac:dyDescent="0.25">
      <c r="A29" s="119" t="s">
        <v>1421</v>
      </c>
      <c r="B29" s="123">
        <v>0.62003365169946523</v>
      </c>
      <c r="C29" s="123">
        <v>0.62505677528710046</v>
      </c>
      <c r="D29" s="123">
        <v>0.63881640965418252</v>
      </c>
      <c r="E29" s="123">
        <v>0.6355786157144645</v>
      </c>
      <c r="F29" s="123">
        <v>0.63167266533705002</v>
      </c>
      <c r="G29" s="123">
        <v>0.60571123134247185</v>
      </c>
      <c r="H29" s="123">
        <v>0.62978656115448273</v>
      </c>
      <c r="I29" s="123">
        <v>0.6384782546692731</v>
      </c>
      <c r="J29" s="123">
        <v>0.61948538319996826</v>
      </c>
      <c r="K29" s="123">
        <v>0.59735038394687645</v>
      </c>
      <c r="L29" s="123">
        <v>0.58016889190570642</v>
      </c>
      <c r="M29" s="123">
        <v>0.57269431890478284</v>
      </c>
      <c r="N29" s="123">
        <v>0.60432617100926711</v>
      </c>
      <c r="P29" s="121"/>
    </row>
    <row r="30" spans="1:16" x14ac:dyDescent="0.25">
      <c r="A30" s="124" t="s">
        <v>150</v>
      </c>
      <c r="B30" s="125">
        <v>0.66250571922218005</v>
      </c>
      <c r="C30" s="125">
        <v>0.68343870373119786</v>
      </c>
      <c r="D30" s="125">
        <v>0.68469696816167303</v>
      </c>
      <c r="E30" s="125">
        <v>0.68290261724774126</v>
      </c>
      <c r="F30" s="125">
        <v>0.67469931023375995</v>
      </c>
      <c r="G30" s="125">
        <v>0.64996055296495525</v>
      </c>
      <c r="H30" s="125">
        <v>0.66826242539212377</v>
      </c>
      <c r="I30" s="125">
        <v>0.67908720469224182</v>
      </c>
      <c r="J30" s="125">
        <v>0.65954202334743151</v>
      </c>
      <c r="K30" s="125">
        <v>0.64337574509439432</v>
      </c>
      <c r="L30" s="125">
        <v>0.64877625774139835</v>
      </c>
      <c r="M30" s="125">
        <v>0.64304138125446098</v>
      </c>
      <c r="N30" s="125">
        <v>0.66254799332406</v>
      </c>
      <c r="O30" s="126">
        <f>(B30-N30)/(12-1)</f>
        <v>-3.8431001709052479E-6</v>
      </c>
      <c r="P30" s="121">
        <f>((L30/B30)^(1/14))-1</f>
        <v>-1.4946877392093549E-3</v>
      </c>
    </row>
    <row r="31" spans="1:16" x14ac:dyDescent="0.25">
      <c r="A31" s="127" t="s">
        <v>1422</v>
      </c>
      <c r="B31" s="128"/>
      <c r="O31" s="121"/>
    </row>
    <row r="32" spans="1:16" x14ac:dyDescent="0.25">
      <c r="A32" s="127" t="s">
        <v>1423</v>
      </c>
      <c r="O32" s="121"/>
    </row>
    <row r="33" spans="1:16" x14ac:dyDescent="0.25">
      <c r="O33" s="121"/>
    </row>
    <row r="34" spans="1:16" x14ac:dyDescent="0.25">
      <c r="O34" s="121"/>
    </row>
    <row r="35" spans="1:16" x14ac:dyDescent="0.25">
      <c r="A35" s="117" t="s">
        <v>1424</v>
      </c>
      <c r="O35" s="121"/>
    </row>
    <row r="36" spans="1:16" x14ac:dyDescent="0.25">
      <c r="O36" s="121"/>
    </row>
    <row r="37" spans="1:16" x14ac:dyDescent="0.25">
      <c r="A37" s="118" t="s">
        <v>1394</v>
      </c>
      <c r="B37" s="118">
        <v>2004</v>
      </c>
      <c r="C37" s="118">
        <v>2005</v>
      </c>
      <c r="D37" s="118">
        <v>2006</v>
      </c>
      <c r="E37" s="118">
        <v>2007</v>
      </c>
      <c r="F37" s="118">
        <v>2008</v>
      </c>
      <c r="G37" s="118">
        <v>2009</v>
      </c>
      <c r="H37" s="118">
        <v>2010</v>
      </c>
      <c r="I37" s="118">
        <v>2011</v>
      </c>
      <c r="J37" s="118">
        <v>2012</v>
      </c>
      <c r="K37" s="118">
        <v>2013</v>
      </c>
      <c r="L37" s="118">
        <v>2014</v>
      </c>
      <c r="M37" s="118">
        <v>2015</v>
      </c>
      <c r="N37" s="118">
        <v>2016</v>
      </c>
      <c r="O37" s="121"/>
    </row>
    <row r="38" spans="1:16" x14ac:dyDescent="0.25">
      <c r="A38" s="119" t="s">
        <v>1396</v>
      </c>
      <c r="B38" s="120">
        <v>0.73249037169416409</v>
      </c>
      <c r="C38" s="120">
        <v>0.73004148322825801</v>
      </c>
      <c r="D38" s="120">
        <v>0.69136482902248764</v>
      </c>
      <c r="E38" s="120">
        <v>0.6896031646567099</v>
      </c>
      <c r="F38" s="120">
        <v>0.62752626475140094</v>
      </c>
      <c r="G38" s="120">
        <v>0.6116176478084423</v>
      </c>
      <c r="H38" s="120">
        <v>0.54789990541927436</v>
      </c>
      <c r="I38" s="120">
        <v>0.60790657566559037</v>
      </c>
      <c r="J38" s="120">
        <v>0.60950302033134063</v>
      </c>
      <c r="K38" s="120">
        <v>0.6008892619631262</v>
      </c>
      <c r="L38" s="120">
        <v>0.56305444036682184</v>
      </c>
      <c r="M38" s="120">
        <v>0.58508408299162684</v>
      </c>
      <c r="N38" s="120">
        <v>0.58029461663216264</v>
      </c>
      <c r="P38" s="121">
        <f t="shared" ref="P38:P43" si="1">((L38/B38)^(1/14))-1</f>
        <v>-1.8615541145433623E-2</v>
      </c>
    </row>
    <row r="39" spans="1:16" x14ac:dyDescent="0.25">
      <c r="A39" s="119" t="s">
        <v>1397</v>
      </c>
      <c r="B39" s="120">
        <v>0.74781658013700381</v>
      </c>
      <c r="C39" s="120">
        <v>0.71121325220024745</v>
      </c>
      <c r="D39" s="120">
        <v>0.67983346227300079</v>
      </c>
      <c r="E39" s="120">
        <v>0.70438665461142735</v>
      </c>
      <c r="F39" s="120">
        <v>0.65404889772831687</v>
      </c>
      <c r="G39" s="120">
        <v>0.66656542653973305</v>
      </c>
      <c r="H39" s="120">
        <v>0.66500541255955126</v>
      </c>
      <c r="I39" s="120">
        <v>0.68417462028939202</v>
      </c>
      <c r="J39" s="120">
        <v>0.66571242382821927</v>
      </c>
      <c r="K39" s="120">
        <v>0.68444093539215289</v>
      </c>
      <c r="L39" s="120">
        <v>0.72067308357443083</v>
      </c>
      <c r="M39" s="120">
        <v>0.73587590693635663</v>
      </c>
      <c r="N39" s="120">
        <v>0.66058880335855774</v>
      </c>
      <c r="P39" s="121">
        <f t="shared" si="1"/>
        <v>-2.6373817363178897E-3</v>
      </c>
    </row>
    <row r="40" spans="1:16" x14ac:dyDescent="0.25">
      <c r="A40" s="119" t="s">
        <v>1398</v>
      </c>
      <c r="B40" s="120">
        <v>0.63195968771127276</v>
      </c>
      <c r="C40" s="120">
        <v>0.70111860519242164</v>
      </c>
      <c r="D40" s="120">
        <v>0.62411475865476673</v>
      </c>
      <c r="E40" s="120">
        <v>0.53862407965220627</v>
      </c>
      <c r="F40" s="120">
        <v>0.60700318506236295</v>
      </c>
      <c r="G40" s="120">
        <v>0.61580283708332029</v>
      </c>
      <c r="H40" s="120">
        <v>0.58405311539752625</v>
      </c>
      <c r="I40" s="120">
        <v>0.61332834687102733</v>
      </c>
      <c r="J40" s="120">
        <v>0.6379929979878155</v>
      </c>
      <c r="K40" s="120">
        <v>0.55015501775546172</v>
      </c>
      <c r="L40" s="120">
        <v>0.67655202731103625</v>
      </c>
      <c r="M40" s="120">
        <v>0.60868365078634834</v>
      </c>
      <c r="N40" s="120">
        <v>0.56578584584165081</v>
      </c>
      <c r="O40" s="126">
        <f>(B40-N40)/(13-1)</f>
        <v>5.5144868224684951E-3</v>
      </c>
      <c r="P40" s="121">
        <f t="shared" si="1"/>
        <v>4.8821464867250253E-3</v>
      </c>
    </row>
    <row r="41" spans="1:16" x14ac:dyDescent="0.25">
      <c r="A41" s="119" t="s">
        <v>1399</v>
      </c>
      <c r="B41" s="120">
        <v>0.66502406793367164</v>
      </c>
      <c r="C41" s="120">
        <v>0.67168063507763576</v>
      </c>
      <c r="D41" s="120">
        <v>0.61197199104202771</v>
      </c>
      <c r="E41" s="120">
        <v>0.63099629836591298</v>
      </c>
      <c r="F41" s="120">
        <v>0.65385168579884367</v>
      </c>
      <c r="G41" s="120">
        <v>0.54840202170882624</v>
      </c>
      <c r="H41" s="120">
        <v>0.65380512062634366</v>
      </c>
      <c r="I41" s="120">
        <v>0.66595730417701848</v>
      </c>
      <c r="J41" s="120">
        <v>0.61754023321458007</v>
      </c>
      <c r="K41" s="120">
        <v>0.63060061875259299</v>
      </c>
      <c r="L41" s="120">
        <v>0.66713857032166857</v>
      </c>
      <c r="M41" s="120">
        <v>0.65039352999932909</v>
      </c>
      <c r="N41" s="120">
        <v>0.62347470721598863</v>
      </c>
      <c r="P41" s="121">
        <f t="shared" si="1"/>
        <v>2.267788220415845E-4</v>
      </c>
    </row>
    <row r="42" spans="1:16" x14ac:dyDescent="0.25">
      <c r="A42" s="119" t="s">
        <v>1400</v>
      </c>
      <c r="B42" s="120">
        <v>0.71652480485099368</v>
      </c>
      <c r="C42" s="120">
        <v>0.78341166216680436</v>
      </c>
      <c r="D42" s="120">
        <v>0.72328816635911386</v>
      </c>
      <c r="E42" s="120">
        <v>0.63400638688425659</v>
      </c>
      <c r="F42" s="120">
        <v>0.58681604594536207</v>
      </c>
      <c r="G42" s="120">
        <v>0.62607940718420518</v>
      </c>
      <c r="H42" s="120">
        <v>0.6332703019391327</v>
      </c>
      <c r="I42" s="120">
        <v>0.62590338111679589</v>
      </c>
      <c r="J42" s="120">
        <v>0.59921941832278591</v>
      </c>
      <c r="K42" s="120">
        <v>0.53139222444845902</v>
      </c>
      <c r="L42" s="120">
        <v>0.58070882224820686</v>
      </c>
      <c r="M42" s="120">
        <v>0.55984565957356469</v>
      </c>
      <c r="N42" s="120">
        <v>0.55138358049227942</v>
      </c>
      <c r="P42" s="121">
        <f t="shared" si="1"/>
        <v>-1.4899558094827459E-2</v>
      </c>
    </row>
    <row r="43" spans="1:16" x14ac:dyDescent="0.25">
      <c r="A43" s="119" t="s">
        <v>1401</v>
      </c>
      <c r="B43" s="120">
        <v>0.81918234090932973</v>
      </c>
      <c r="C43" s="120">
        <v>0.78425899331526072</v>
      </c>
      <c r="D43" s="120">
        <v>0.76775377544717327</v>
      </c>
      <c r="E43" s="120">
        <v>0.73346386853538115</v>
      </c>
      <c r="F43" s="120">
        <v>0.74281260781535008</v>
      </c>
      <c r="G43" s="120">
        <v>0.73869050356288479</v>
      </c>
      <c r="H43" s="120">
        <v>0.73112907146666617</v>
      </c>
      <c r="I43" s="120">
        <v>0.69526925910646598</v>
      </c>
      <c r="J43" s="120">
        <v>0.68486283747072629</v>
      </c>
      <c r="K43" s="120">
        <v>0.61900800628305797</v>
      </c>
      <c r="L43" s="120">
        <v>0.65654947499182947</v>
      </c>
      <c r="M43" s="120">
        <v>0.69283784555010586</v>
      </c>
      <c r="N43" s="120">
        <v>0.65119932118526103</v>
      </c>
      <c r="P43" s="121">
        <f t="shared" si="1"/>
        <v>-1.5683473466392983E-2</v>
      </c>
    </row>
    <row r="44" spans="1:16" x14ac:dyDescent="0.25">
      <c r="A44" s="119" t="s">
        <v>1425</v>
      </c>
      <c r="B44" s="120" t="s">
        <v>1426</v>
      </c>
      <c r="C44" s="120" t="s">
        <v>1426</v>
      </c>
      <c r="D44" s="120" t="s">
        <v>1426</v>
      </c>
      <c r="E44" s="120" t="s">
        <v>1426</v>
      </c>
      <c r="F44" s="120" t="s">
        <v>1426</v>
      </c>
      <c r="G44" s="120" t="s">
        <v>1426</v>
      </c>
      <c r="H44" s="120" t="s">
        <v>1426</v>
      </c>
      <c r="I44" s="120" t="s">
        <v>1426</v>
      </c>
      <c r="J44" s="120" t="s">
        <v>1426</v>
      </c>
      <c r="K44" s="120" t="s">
        <v>1426</v>
      </c>
      <c r="L44" s="120" t="s">
        <v>1426</v>
      </c>
      <c r="M44" s="120" t="s">
        <v>1426</v>
      </c>
      <c r="N44" s="120" t="s">
        <v>1426</v>
      </c>
      <c r="P44" s="121"/>
    </row>
    <row r="45" spans="1:16" x14ac:dyDescent="0.25">
      <c r="A45" s="119" t="s">
        <v>1403</v>
      </c>
      <c r="B45" s="120">
        <v>0.76332191130257387</v>
      </c>
      <c r="C45" s="120">
        <v>0.7226473715289623</v>
      </c>
      <c r="D45" s="120">
        <v>0.74244082697746905</v>
      </c>
      <c r="E45" s="120">
        <v>0.73291523332270125</v>
      </c>
      <c r="F45" s="120">
        <v>0.71342928324697974</v>
      </c>
      <c r="G45" s="120">
        <v>0.74070142813630035</v>
      </c>
      <c r="H45" s="120">
        <v>0.71127411423625198</v>
      </c>
      <c r="I45" s="120">
        <v>0.65277133798669151</v>
      </c>
      <c r="J45" s="120">
        <v>0.66495739923318053</v>
      </c>
      <c r="K45" s="120">
        <v>0.67314422119046791</v>
      </c>
      <c r="L45" s="120">
        <v>0.69947421815758448</v>
      </c>
      <c r="M45" s="120">
        <v>0.66900850232245934</v>
      </c>
      <c r="N45" s="120">
        <v>0.70848991544565931</v>
      </c>
      <c r="P45" s="121">
        <f t="shared" ref="P45:P64" si="2">((L45/B45)^(1/14))-1</f>
        <v>-6.2199262794703225E-3</v>
      </c>
    </row>
    <row r="46" spans="1:16" x14ac:dyDescent="0.25">
      <c r="A46" s="119" t="s">
        <v>1404</v>
      </c>
      <c r="B46" s="120">
        <v>0.77963813403341931</v>
      </c>
      <c r="C46" s="120">
        <v>0.81896708566198895</v>
      </c>
      <c r="D46" s="120">
        <v>0.81460888953837296</v>
      </c>
      <c r="E46" s="120">
        <v>0.7589811387457418</v>
      </c>
      <c r="F46" s="120">
        <v>0.75223566973139322</v>
      </c>
      <c r="G46" s="120">
        <v>0.73350448653306155</v>
      </c>
      <c r="H46" s="120">
        <v>0.67445011076784467</v>
      </c>
      <c r="I46" s="120">
        <v>0.63140613014789326</v>
      </c>
      <c r="J46" s="120">
        <v>0.69144108711331043</v>
      </c>
      <c r="K46" s="120">
        <v>0.64175550649484003</v>
      </c>
      <c r="L46" s="120">
        <v>0.64757037779189675</v>
      </c>
      <c r="M46" s="120">
        <v>0.59926029390629487</v>
      </c>
      <c r="N46" s="120">
        <v>0.5853782491927676</v>
      </c>
      <c r="P46" s="121">
        <f t="shared" si="2"/>
        <v>-1.3169823299859384E-2</v>
      </c>
    </row>
    <row r="47" spans="1:16" x14ac:dyDescent="0.25">
      <c r="A47" s="119" t="s">
        <v>1405</v>
      </c>
      <c r="B47" s="120">
        <v>0.74630391984992006</v>
      </c>
      <c r="C47" s="120">
        <v>0.815025289245357</v>
      </c>
      <c r="D47" s="120">
        <v>0.7388008409039718</v>
      </c>
      <c r="E47" s="120">
        <v>0.7206202105259929</v>
      </c>
      <c r="F47" s="120">
        <v>0.61392980197701974</v>
      </c>
      <c r="G47" s="120">
        <v>0.62720116357441535</v>
      </c>
      <c r="H47" s="120">
        <v>0.65203766244113515</v>
      </c>
      <c r="I47" s="120">
        <v>0.67157139549575129</v>
      </c>
      <c r="J47" s="120">
        <v>0.64787094781360577</v>
      </c>
      <c r="K47" s="120">
        <v>0.60006342844733607</v>
      </c>
      <c r="L47" s="120">
        <v>0.63439034021977014</v>
      </c>
      <c r="M47" s="120">
        <v>0.63390152736192351</v>
      </c>
      <c r="N47" s="120">
        <v>0.6459251948504332</v>
      </c>
      <c r="P47" s="121">
        <f t="shared" si="2"/>
        <v>-1.153781390195785E-2</v>
      </c>
    </row>
    <row r="48" spans="1:16" x14ac:dyDescent="0.25">
      <c r="A48" s="119" t="s">
        <v>1406</v>
      </c>
      <c r="B48" s="120">
        <v>0.63551777297235257</v>
      </c>
      <c r="C48" s="120">
        <v>0.65867247101194371</v>
      </c>
      <c r="D48" s="120">
        <v>0.65457376189386318</v>
      </c>
      <c r="E48" s="120">
        <v>0.6584103594781241</v>
      </c>
      <c r="F48" s="120">
        <v>0.65501386159119079</v>
      </c>
      <c r="G48" s="120">
        <v>0.65024591904302231</v>
      </c>
      <c r="H48" s="120">
        <v>0.66927469480962354</v>
      </c>
      <c r="I48" s="120">
        <v>0.66319834790669363</v>
      </c>
      <c r="J48" s="120">
        <v>0.62169269941687777</v>
      </c>
      <c r="K48" s="120">
        <v>0.64597047995858536</v>
      </c>
      <c r="L48" s="120">
        <v>0.68922859997102526</v>
      </c>
      <c r="M48" s="120">
        <v>0.66617052623625861</v>
      </c>
      <c r="N48" s="120">
        <v>0.62732698412698418</v>
      </c>
      <c r="P48" s="121">
        <f t="shared" si="2"/>
        <v>5.8120350012678124E-3</v>
      </c>
    </row>
    <row r="49" spans="1:16" x14ac:dyDescent="0.25">
      <c r="A49" s="119" t="s">
        <v>1407</v>
      </c>
      <c r="B49" s="120">
        <v>0.71359454155801616</v>
      </c>
      <c r="C49" s="120">
        <v>0.74360454984983038</v>
      </c>
      <c r="D49" s="120">
        <v>0.7791266208170794</v>
      </c>
      <c r="E49" s="120">
        <v>0.71301133946538653</v>
      </c>
      <c r="F49" s="120">
        <v>0.64935889332376695</v>
      </c>
      <c r="G49" s="120">
        <v>0.69368524856284308</v>
      </c>
      <c r="H49" s="120">
        <v>0.7213775941047349</v>
      </c>
      <c r="I49" s="120">
        <v>0.70807837648424743</v>
      </c>
      <c r="J49" s="120">
        <v>0.74403210427165201</v>
      </c>
      <c r="K49" s="120">
        <v>0.68151413309438791</v>
      </c>
      <c r="L49" s="120">
        <v>0.70908528587460884</v>
      </c>
      <c r="M49" s="120">
        <v>0.73902513234049605</v>
      </c>
      <c r="N49" s="120">
        <v>0.68721227804306184</v>
      </c>
      <c r="P49" s="121">
        <f t="shared" si="2"/>
        <v>-4.5269196145558688E-4</v>
      </c>
    </row>
    <row r="50" spans="1:16" x14ac:dyDescent="0.25">
      <c r="A50" s="119" t="s">
        <v>1408</v>
      </c>
      <c r="B50" s="120">
        <v>0.78695537601859289</v>
      </c>
      <c r="C50" s="120">
        <v>0.80041729099608083</v>
      </c>
      <c r="D50" s="120">
        <v>0.79119896847461113</v>
      </c>
      <c r="E50" s="120">
        <v>0.73896850730391783</v>
      </c>
      <c r="F50" s="120">
        <v>0.70091935253859183</v>
      </c>
      <c r="G50" s="120">
        <v>0.75081766268293559</v>
      </c>
      <c r="H50" s="120">
        <v>0.76028287795422766</v>
      </c>
      <c r="I50" s="120">
        <v>0.67231717414551262</v>
      </c>
      <c r="J50" s="120">
        <v>0.7278427766277209</v>
      </c>
      <c r="K50" s="120">
        <v>0.7009819298494514</v>
      </c>
      <c r="L50" s="120">
        <v>0.66674415233396267</v>
      </c>
      <c r="M50" s="120">
        <v>0.66017481170724879</v>
      </c>
      <c r="N50" s="120">
        <v>0.70149034758475659</v>
      </c>
      <c r="P50" s="121">
        <f t="shared" si="2"/>
        <v>-1.1770546742041477E-2</v>
      </c>
    </row>
    <row r="51" spans="1:16" x14ac:dyDescent="0.25">
      <c r="A51" s="119" t="s">
        <v>1409</v>
      </c>
      <c r="B51" s="120">
        <v>0.66154499132386568</v>
      </c>
      <c r="C51" s="120">
        <v>0.69493345921494099</v>
      </c>
      <c r="D51" s="120">
        <v>0.6962013818814391</v>
      </c>
      <c r="E51" s="120">
        <v>0.73776408100220481</v>
      </c>
      <c r="F51" s="120">
        <v>0.56017081240145972</v>
      </c>
      <c r="G51" s="120">
        <v>0.57617929678281854</v>
      </c>
      <c r="H51" s="120">
        <v>0.61926792861857449</v>
      </c>
      <c r="I51" s="120">
        <v>0.66556413313059926</v>
      </c>
      <c r="J51" s="120">
        <v>0.69561301359360739</v>
      </c>
      <c r="K51" s="120">
        <v>0.68762764775998342</v>
      </c>
      <c r="L51" s="120">
        <v>0.62425884677238264</v>
      </c>
      <c r="M51" s="120">
        <v>0.60297753563220902</v>
      </c>
      <c r="N51" s="120">
        <v>0.63674781532517322</v>
      </c>
      <c r="P51" s="121">
        <f t="shared" si="2"/>
        <v>-4.1352045716583907E-3</v>
      </c>
    </row>
    <row r="52" spans="1:16" x14ac:dyDescent="0.25">
      <c r="A52" s="119" t="s">
        <v>1410</v>
      </c>
      <c r="B52" s="120">
        <v>0.60636062801774193</v>
      </c>
      <c r="C52" s="120">
        <v>0.64494335812438308</v>
      </c>
      <c r="D52" s="120">
        <v>0.74747816901706798</v>
      </c>
      <c r="E52" s="120">
        <v>0.62954688824068328</v>
      </c>
      <c r="F52" s="120">
        <v>0.66371985370960451</v>
      </c>
      <c r="G52" s="120">
        <v>0.63635174605839939</v>
      </c>
      <c r="H52" s="120">
        <v>0.67044342906064869</v>
      </c>
      <c r="I52" s="120">
        <v>0.62213964966673818</v>
      </c>
      <c r="J52" s="120">
        <v>0.60661498541134695</v>
      </c>
      <c r="K52" s="120">
        <v>0.60081140337358707</v>
      </c>
      <c r="L52" s="120">
        <v>0.57526425418262983</v>
      </c>
      <c r="M52" s="120">
        <v>0.53317832449424185</v>
      </c>
      <c r="N52" s="120">
        <v>0.54368198857226047</v>
      </c>
      <c r="P52" s="121">
        <f t="shared" si="2"/>
        <v>-3.7533241108929083E-3</v>
      </c>
    </row>
    <row r="53" spans="1:16" x14ac:dyDescent="0.25">
      <c r="A53" s="119" t="s">
        <v>1411</v>
      </c>
      <c r="B53" s="120">
        <v>0.63822310363346046</v>
      </c>
      <c r="C53" s="120">
        <v>0.71614080090061116</v>
      </c>
      <c r="D53" s="120">
        <v>0.69756500017104828</v>
      </c>
      <c r="E53" s="120">
        <v>0.60748962456368893</v>
      </c>
      <c r="F53" s="120">
        <v>0.66509725465785663</v>
      </c>
      <c r="G53" s="120">
        <v>0.56415321098399207</v>
      </c>
      <c r="H53" s="120">
        <v>0.6770508091142543</v>
      </c>
      <c r="I53" s="120">
        <v>0.6664826670897156</v>
      </c>
      <c r="J53" s="120">
        <v>0.71520324702646676</v>
      </c>
      <c r="K53" s="120">
        <v>0.6800449565353851</v>
      </c>
      <c r="L53" s="120">
        <v>0.59942646566887159</v>
      </c>
      <c r="M53" s="120">
        <v>0.57603883885435314</v>
      </c>
      <c r="N53" s="120">
        <v>0.6161952407220711</v>
      </c>
      <c r="P53" s="121">
        <f t="shared" si="2"/>
        <v>-4.4695962711682746E-3</v>
      </c>
    </row>
    <row r="54" spans="1:16" x14ac:dyDescent="0.25">
      <c r="A54" s="119" t="s">
        <v>1412</v>
      </c>
      <c r="B54" s="120">
        <v>0.5380814904547585</v>
      </c>
      <c r="C54" s="120">
        <v>0.61368948221349051</v>
      </c>
      <c r="D54" s="120">
        <v>0.59535798474049073</v>
      </c>
      <c r="E54" s="120">
        <v>0.57944583751035372</v>
      </c>
      <c r="F54" s="120">
        <v>0.56217154221612731</v>
      </c>
      <c r="G54" s="120">
        <v>0.60173572124897967</v>
      </c>
      <c r="H54" s="120">
        <v>0.60667745816850327</v>
      </c>
      <c r="I54" s="120">
        <v>0.64775539188748121</v>
      </c>
      <c r="J54" s="120">
        <v>0.59482405123969817</v>
      </c>
      <c r="K54" s="120">
        <v>0.64289406445157815</v>
      </c>
      <c r="L54" s="120">
        <v>0.69860261810025126</v>
      </c>
      <c r="M54" s="120">
        <v>0.58022214515383219</v>
      </c>
      <c r="N54" s="120">
        <v>0.58293226061346171</v>
      </c>
      <c r="P54" s="121">
        <f t="shared" si="2"/>
        <v>1.8822964326759006E-2</v>
      </c>
    </row>
    <row r="55" spans="1:16" x14ac:dyDescent="0.25">
      <c r="A55" s="119" t="s">
        <v>1413</v>
      </c>
      <c r="B55" s="120">
        <v>0.64469033904362938</v>
      </c>
      <c r="C55" s="120">
        <v>0.70670808199963786</v>
      </c>
      <c r="D55" s="120">
        <v>0.73072029542914596</v>
      </c>
      <c r="E55" s="120">
        <v>0.7210428919421622</v>
      </c>
      <c r="F55" s="120">
        <v>0.7014598111285727</v>
      </c>
      <c r="G55" s="120">
        <v>0.61448029220874822</v>
      </c>
      <c r="H55" s="120">
        <v>0.63494165345301123</v>
      </c>
      <c r="I55" s="120">
        <v>0.66512261175839726</v>
      </c>
      <c r="J55" s="120">
        <v>0.63237214800915165</v>
      </c>
      <c r="K55" s="120">
        <v>0.59900878004441604</v>
      </c>
      <c r="L55" s="120">
        <v>0.65006635129594448</v>
      </c>
      <c r="M55" s="120">
        <v>0.64764421846650633</v>
      </c>
      <c r="N55" s="120">
        <v>0.61555482707752829</v>
      </c>
      <c r="P55" s="121">
        <f t="shared" si="2"/>
        <v>5.9334235721464346E-4</v>
      </c>
    </row>
    <row r="56" spans="1:16" x14ac:dyDescent="0.25">
      <c r="A56" s="119" t="s">
        <v>1414</v>
      </c>
      <c r="B56" s="120">
        <v>0.70467264007680563</v>
      </c>
      <c r="C56" s="120">
        <v>0.70667837409591905</v>
      </c>
      <c r="D56" s="120">
        <v>0.79119002529489524</v>
      </c>
      <c r="E56" s="120">
        <v>0.76711465911507681</v>
      </c>
      <c r="F56" s="120">
        <v>0.69057466526376132</v>
      </c>
      <c r="G56" s="120">
        <v>0.66532087716330268</v>
      </c>
      <c r="H56" s="120">
        <v>0.66600213880982695</v>
      </c>
      <c r="I56" s="120">
        <v>0.67744893712286347</v>
      </c>
      <c r="J56" s="120">
        <v>0.71783542816859724</v>
      </c>
      <c r="K56" s="120">
        <v>0.63978807913109259</v>
      </c>
      <c r="L56" s="120">
        <v>0.67332589218562999</v>
      </c>
      <c r="M56" s="120">
        <v>0.61643314780530722</v>
      </c>
      <c r="N56" s="120">
        <v>0.57870676360431816</v>
      </c>
      <c r="P56" s="121">
        <f t="shared" si="2"/>
        <v>-3.2450024332172367E-3</v>
      </c>
    </row>
    <row r="57" spans="1:16" x14ac:dyDescent="0.25">
      <c r="A57" s="119" t="s">
        <v>1415</v>
      </c>
      <c r="B57" s="120">
        <v>0.7695107184043849</v>
      </c>
      <c r="C57" s="120">
        <v>0.77875898994539761</v>
      </c>
      <c r="D57" s="120">
        <v>0.77658837964369842</v>
      </c>
      <c r="E57" s="120">
        <v>0.7964413932145884</v>
      </c>
      <c r="F57" s="120">
        <v>0.73703926602776693</v>
      </c>
      <c r="G57" s="120">
        <v>0.72541296881935435</v>
      </c>
      <c r="H57" s="120">
        <v>0.78221487253929822</v>
      </c>
      <c r="I57" s="120">
        <v>0.75677624127023568</v>
      </c>
      <c r="J57" s="120">
        <v>0.78736976459326202</v>
      </c>
      <c r="K57" s="120">
        <v>0.7626072315474508</v>
      </c>
      <c r="L57" s="120">
        <v>0.75143405495118687</v>
      </c>
      <c r="M57" s="120">
        <v>0.71771784909533498</v>
      </c>
      <c r="N57" s="120">
        <v>0.71494731910615728</v>
      </c>
      <c r="P57" s="121">
        <f t="shared" si="2"/>
        <v>-1.696518434264993E-3</v>
      </c>
    </row>
    <row r="58" spans="1:16" x14ac:dyDescent="0.25">
      <c r="A58" s="119" t="s">
        <v>1416</v>
      </c>
      <c r="B58" s="120">
        <v>0.84811326364074346</v>
      </c>
      <c r="C58" s="120">
        <v>0.88150646884432349</v>
      </c>
      <c r="D58" s="120">
        <v>0.83470980666411831</v>
      </c>
      <c r="E58" s="120">
        <v>0.83658858681645798</v>
      </c>
      <c r="F58" s="120">
        <v>0.83174903767090891</v>
      </c>
      <c r="G58" s="120">
        <v>0.84091073790242221</v>
      </c>
      <c r="H58" s="120">
        <v>0.79343628646805675</v>
      </c>
      <c r="I58" s="120">
        <v>0.80729629238354628</v>
      </c>
      <c r="J58" s="120">
        <v>0.84007807128560985</v>
      </c>
      <c r="K58" s="120">
        <v>0.74339577641819488</v>
      </c>
      <c r="L58" s="120">
        <v>0.807462656003336</v>
      </c>
      <c r="M58" s="120">
        <v>0.79912953655563601</v>
      </c>
      <c r="N58" s="120">
        <v>0.76684221987434364</v>
      </c>
      <c r="P58" s="121">
        <f t="shared" si="2"/>
        <v>-3.5022374449849014E-3</v>
      </c>
    </row>
    <row r="59" spans="1:16" x14ac:dyDescent="0.25">
      <c r="A59" s="119" t="s">
        <v>1417</v>
      </c>
      <c r="B59" s="120">
        <v>0.7025112439680512</v>
      </c>
      <c r="C59" s="120">
        <v>0.72542246288861911</v>
      </c>
      <c r="D59" s="120">
        <v>0.72600059875482803</v>
      </c>
      <c r="E59" s="120">
        <v>0.69181567045188008</v>
      </c>
      <c r="F59" s="120">
        <v>0.61016059325300953</v>
      </c>
      <c r="G59" s="120">
        <v>0.63113283486307725</v>
      </c>
      <c r="H59" s="120">
        <v>0.64963865320713088</v>
      </c>
      <c r="I59" s="120">
        <v>0.70954590042669863</v>
      </c>
      <c r="J59" s="120">
        <v>0.73585296576247272</v>
      </c>
      <c r="K59" s="120">
        <v>0.66236688860870341</v>
      </c>
      <c r="L59" s="120">
        <v>0.60892444047408689</v>
      </c>
      <c r="M59" s="120">
        <v>0.64453920818325061</v>
      </c>
      <c r="N59" s="120">
        <v>0.64003286870777287</v>
      </c>
      <c r="P59" s="121">
        <f t="shared" si="2"/>
        <v>-1.0159979292347243E-2</v>
      </c>
    </row>
    <row r="60" spans="1:16" x14ac:dyDescent="0.25">
      <c r="A60" s="119" t="s">
        <v>1418</v>
      </c>
      <c r="B60" s="120">
        <v>0.72964964329486415</v>
      </c>
      <c r="C60" s="120">
        <v>0.73704168290627048</v>
      </c>
      <c r="D60" s="120">
        <v>0.66296721907649081</v>
      </c>
      <c r="E60" s="120">
        <v>0.7454572074971344</v>
      </c>
      <c r="F60" s="120">
        <v>0.79609972745721047</v>
      </c>
      <c r="G60" s="120">
        <v>0.7340019026706367</v>
      </c>
      <c r="H60" s="120">
        <v>0.70077485030638365</v>
      </c>
      <c r="I60" s="120">
        <v>0.68833754649266554</v>
      </c>
      <c r="J60" s="120">
        <v>0.6320696326716515</v>
      </c>
      <c r="K60" s="120">
        <v>0.63396070559795314</v>
      </c>
      <c r="L60" s="120">
        <v>0.61356488018851385</v>
      </c>
      <c r="M60" s="120">
        <v>0.5988622191067593</v>
      </c>
      <c r="N60" s="120">
        <v>0.57878286449715022</v>
      </c>
      <c r="P60" s="121">
        <f t="shared" si="2"/>
        <v>-1.2300752807114512E-2</v>
      </c>
    </row>
    <row r="61" spans="1:16" x14ac:dyDescent="0.25">
      <c r="A61" s="119" t="s">
        <v>1419</v>
      </c>
      <c r="B61" s="120">
        <v>0.61572559224709122</v>
      </c>
      <c r="C61" s="120">
        <v>0.70187183356074057</v>
      </c>
      <c r="D61" s="120">
        <v>0.69312977363743689</v>
      </c>
      <c r="E61" s="120">
        <v>0.68034514883628217</v>
      </c>
      <c r="F61" s="120">
        <v>0.62311045216431793</v>
      </c>
      <c r="G61" s="120">
        <v>0.67067774983186379</v>
      </c>
      <c r="H61" s="120">
        <v>0.64045798039268509</v>
      </c>
      <c r="I61" s="120">
        <v>0.63079945000982129</v>
      </c>
      <c r="J61" s="120">
        <v>0.6153345233173334</v>
      </c>
      <c r="K61" s="120">
        <v>0.57358539765319427</v>
      </c>
      <c r="L61" s="120">
        <v>0.57185491173990821</v>
      </c>
      <c r="M61" s="120">
        <v>0.55629585569873907</v>
      </c>
      <c r="N61" s="120">
        <v>0.61091716915264993</v>
      </c>
      <c r="P61" s="121">
        <f t="shared" si="2"/>
        <v>-5.2658073969286123E-3</v>
      </c>
    </row>
    <row r="62" spans="1:16" x14ac:dyDescent="0.25">
      <c r="A62" s="119" t="s">
        <v>1420</v>
      </c>
      <c r="B62" s="120">
        <v>0.67153416750933592</v>
      </c>
      <c r="C62" s="120">
        <v>0.58549666285057678</v>
      </c>
      <c r="D62" s="120">
        <v>0.63994286145132007</v>
      </c>
      <c r="E62" s="120">
        <v>0.66907567752196329</v>
      </c>
      <c r="F62" s="120">
        <v>0.50564826743887326</v>
      </c>
      <c r="G62" s="120">
        <v>0.5145560093516377</v>
      </c>
      <c r="H62" s="120">
        <v>0.57055834807781947</v>
      </c>
      <c r="I62" s="120">
        <v>0.66586442082503627</v>
      </c>
      <c r="J62" s="120">
        <v>0.61495595936038405</v>
      </c>
      <c r="K62" s="120">
        <v>0.63082519318837948</v>
      </c>
      <c r="L62" s="120">
        <v>0.63814508862105879</v>
      </c>
      <c r="M62" s="120">
        <v>0.63881518290883665</v>
      </c>
      <c r="N62" s="120">
        <v>0.57293888701770146</v>
      </c>
      <c r="P62" s="121">
        <f t="shared" si="2"/>
        <v>-3.6361750399551696E-3</v>
      </c>
    </row>
    <row r="63" spans="1:16" x14ac:dyDescent="0.25">
      <c r="A63" s="119" t="s">
        <v>1421</v>
      </c>
      <c r="B63" s="120"/>
      <c r="C63" s="120"/>
      <c r="D63" s="120"/>
      <c r="E63" s="120"/>
      <c r="F63" s="120"/>
      <c r="G63" s="120"/>
      <c r="H63" s="120"/>
      <c r="I63" s="120"/>
      <c r="J63" s="120"/>
      <c r="K63" s="120"/>
      <c r="L63" s="120"/>
      <c r="M63" s="120"/>
      <c r="N63" s="120" t="s">
        <v>1426</v>
      </c>
      <c r="P63" s="121"/>
    </row>
    <row r="64" spans="1:16" x14ac:dyDescent="0.25">
      <c r="A64" s="124" t="s">
        <v>150</v>
      </c>
      <c r="B64" s="125">
        <v>0.75171762824564836</v>
      </c>
      <c r="C64" s="125">
        <v>0.76649361167587149</v>
      </c>
      <c r="D64" s="125">
        <v>0.74822113319183203</v>
      </c>
      <c r="E64" s="125">
        <v>0.72117231730519871</v>
      </c>
      <c r="F64" s="125">
        <v>0.69192384377586347</v>
      </c>
      <c r="G64" s="125">
        <v>0.69474101162750024</v>
      </c>
      <c r="H64" s="125">
        <v>0.69567622894014369</v>
      </c>
      <c r="I64" s="125">
        <v>0.68698223864533559</v>
      </c>
      <c r="J64" s="125">
        <v>0.69954658801623315</v>
      </c>
      <c r="K64" s="125">
        <v>0.65608415963168565</v>
      </c>
      <c r="L64" s="125">
        <v>0.67749219374511038</v>
      </c>
      <c r="M64" s="125">
        <v>0.67159640910169449</v>
      </c>
      <c r="N64" s="125">
        <v>0.65565727224669212</v>
      </c>
      <c r="P64" s="121">
        <f t="shared" si="2"/>
        <v>-7.3984052405381417E-3</v>
      </c>
    </row>
    <row r="65" spans="1:15" x14ac:dyDescent="0.25">
      <c r="A65" s="127" t="s">
        <v>1427</v>
      </c>
      <c r="O65" s="121"/>
    </row>
    <row r="66" spans="1:15" x14ac:dyDescent="0.25">
      <c r="A66" s="127" t="s">
        <v>1422</v>
      </c>
      <c r="O66" s="121"/>
    </row>
    <row r="67" spans="1:15" x14ac:dyDescent="0.25">
      <c r="A67" s="127" t="s">
        <v>1423</v>
      </c>
      <c r="O67" s="121"/>
    </row>
    <row r="68" spans="1:15" x14ac:dyDescent="0.25">
      <c r="O68" s="121"/>
    </row>
    <row r="69" spans="1:15" x14ac:dyDescent="0.25">
      <c r="A69" s="117" t="s">
        <v>1428</v>
      </c>
      <c r="O69" s="121"/>
    </row>
    <row r="70" spans="1:15" x14ac:dyDescent="0.25">
      <c r="O70" s="121"/>
    </row>
    <row r="71" spans="1:15" x14ac:dyDescent="0.25">
      <c r="A71" s="118" t="s">
        <v>1394</v>
      </c>
      <c r="B71" s="118">
        <v>2004</v>
      </c>
      <c r="C71" s="118">
        <v>2005</v>
      </c>
      <c r="D71" s="118">
        <v>2006</v>
      </c>
      <c r="E71" s="118">
        <v>2007</v>
      </c>
      <c r="F71" s="118">
        <v>2008</v>
      </c>
      <c r="G71" s="118">
        <v>2009</v>
      </c>
      <c r="H71" s="118">
        <v>2010</v>
      </c>
      <c r="I71" s="118">
        <v>2011</v>
      </c>
      <c r="J71" s="118">
        <v>2012</v>
      </c>
      <c r="K71" s="118">
        <v>2013</v>
      </c>
      <c r="L71" s="118">
        <v>2014</v>
      </c>
      <c r="M71" s="118">
        <v>2015</v>
      </c>
      <c r="N71" s="118">
        <v>2016</v>
      </c>
      <c r="O71" s="121"/>
    </row>
    <row r="72" spans="1:15" x14ac:dyDescent="0.25">
      <c r="A72" s="119" t="s">
        <v>1396</v>
      </c>
      <c r="B72" s="120">
        <v>0.6995478814551338</v>
      </c>
      <c r="C72" s="120">
        <v>0.7226850760667719</v>
      </c>
      <c r="D72" s="120">
        <v>0.71119830973672271</v>
      </c>
      <c r="E72" s="120">
        <v>0.69910519510098579</v>
      </c>
      <c r="F72" s="120">
        <v>0.64249598927907781</v>
      </c>
      <c r="G72" s="120">
        <v>0.62200036398846548</v>
      </c>
      <c r="H72" s="120">
        <v>0.60914828850551894</v>
      </c>
      <c r="I72" s="120">
        <v>0.63681115417411216</v>
      </c>
      <c r="J72" s="120">
        <v>0.63516024328977316</v>
      </c>
      <c r="K72" s="120">
        <v>0.60523170371226598</v>
      </c>
      <c r="L72" s="120">
        <v>0.61470499578123505</v>
      </c>
      <c r="M72" s="120">
        <v>0.59600593461737783</v>
      </c>
      <c r="N72" s="120">
        <v>0.61195530461936376</v>
      </c>
      <c r="O72" s="121">
        <f t="shared" ref="O72:O98" si="3">((L72/B72)^(1/14))-1</f>
        <v>-9.1926137376753259E-3</v>
      </c>
    </row>
    <row r="73" spans="1:15" x14ac:dyDescent="0.25">
      <c r="A73" s="119" t="s">
        <v>1397</v>
      </c>
      <c r="B73" s="120">
        <v>0.70611279111060987</v>
      </c>
      <c r="C73" s="120">
        <v>0.67982680147155283</v>
      </c>
      <c r="D73" s="120">
        <v>0.66484333230949477</v>
      </c>
      <c r="E73" s="120">
        <v>0.72034094129940607</v>
      </c>
      <c r="F73" s="120">
        <v>0.69942303774510017</v>
      </c>
      <c r="G73" s="120">
        <v>0.70671898299051494</v>
      </c>
      <c r="H73" s="120">
        <v>0.6622028238837756</v>
      </c>
      <c r="I73" s="120">
        <v>0.69040096159266917</v>
      </c>
      <c r="J73" s="120">
        <v>0.68426814974400663</v>
      </c>
      <c r="K73" s="120">
        <v>0.7083065676092033</v>
      </c>
      <c r="L73" s="120">
        <v>0.71654508440169629</v>
      </c>
      <c r="M73" s="120">
        <v>0.72655603193936102</v>
      </c>
      <c r="N73" s="120">
        <v>0.69243341246888213</v>
      </c>
      <c r="O73" s="121">
        <f t="shared" si="3"/>
        <v>1.0481333994827313E-3</v>
      </c>
    </row>
    <row r="74" spans="1:15" x14ac:dyDescent="0.25">
      <c r="A74" s="119" t="s">
        <v>1398</v>
      </c>
      <c r="B74" s="120">
        <v>0.6340107760905328</v>
      </c>
      <c r="C74" s="120">
        <v>0.71111338956827075</v>
      </c>
      <c r="D74" s="120">
        <v>0.63388763343615806</v>
      </c>
      <c r="E74" s="120">
        <v>0.5513690546037483</v>
      </c>
      <c r="F74" s="120">
        <v>0.62609582294269384</v>
      </c>
      <c r="G74" s="120">
        <v>0.62746934183386471</v>
      </c>
      <c r="H74" s="120">
        <v>0.61346209969630394</v>
      </c>
      <c r="I74" s="120">
        <v>0.61574213750024542</v>
      </c>
      <c r="J74" s="120">
        <v>0.63813967225767665</v>
      </c>
      <c r="K74" s="120">
        <v>0.56406463399265216</v>
      </c>
      <c r="L74" s="120">
        <v>0.67111256269774144</v>
      </c>
      <c r="M74" s="120">
        <v>0.6442613458983425</v>
      </c>
      <c r="N74" s="120">
        <v>0.61920715984895114</v>
      </c>
      <c r="O74" s="121">
        <f>((L74/B74)^(1/14))-1</f>
        <v>4.0704709020635832E-3</v>
      </c>
    </row>
    <row r="75" spans="1:15" x14ac:dyDescent="0.25">
      <c r="A75" s="119" t="s">
        <v>1399</v>
      </c>
      <c r="B75" s="120">
        <v>0.67603735518745112</v>
      </c>
      <c r="C75" s="120">
        <v>0.67775236910268821</v>
      </c>
      <c r="D75" s="120">
        <v>0.66678225528205393</v>
      </c>
      <c r="E75" s="120">
        <v>0.67013037187193547</v>
      </c>
      <c r="F75" s="120">
        <v>0.65214705906384107</v>
      </c>
      <c r="G75" s="120">
        <v>0.59327939532639407</v>
      </c>
      <c r="H75" s="120">
        <v>0.65060218649031387</v>
      </c>
      <c r="I75" s="120">
        <v>0.66381969546771147</v>
      </c>
      <c r="J75" s="120">
        <v>0.62370058484418422</v>
      </c>
      <c r="K75" s="120">
        <v>0.59802002379277996</v>
      </c>
      <c r="L75" s="120">
        <v>0.62523748710148175</v>
      </c>
      <c r="M75" s="120">
        <v>0.63519173558064701</v>
      </c>
      <c r="N75" s="120">
        <v>0.63228274443435006</v>
      </c>
      <c r="O75" s="121">
        <f t="shared" si="3"/>
        <v>-5.5642317650508311E-3</v>
      </c>
    </row>
    <row r="76" spans="1:15" x14ac:dyDescent="0.25">
      <c r="A76" s="119" t="s">
        <v>1400</v>
      </c>
      <c r="B76" s="120">
        <v>0.67945846861638159</v>
      </c>
      <c r="C76" s="120">
        <v>0.77703905815835173</v>
      </c>
      <c r="D76" s="120">
        <v>0.70859340215732958</v>
      </c>
      <c r="E76" s="120">
        <v>0.66481098111854142</v>
      </c>
      <c r="F76" s="120">
        <v>0.62503281911562247</v>
      </c>
      <c r="G76" s="120">
        <v>0.64467225538821071</v>
      </c>
      <c r="H76" s="120">
        <v>0.65688196757121353</v>
      </c>
      <c r="I76" s="120">
        <v>0.6607507491265725</v>
      </c>
      <c r="J76" s="120">
        <v>0.63443781321362047</v>
      </c>
      <c r="K76" s="120">
        <v>0.58218380893947608</v>
      </c>
      <c r="L76" s="120">
        <v>0.62268092323501645</v>
      </c>
      <c r="M76" s="120">
        <v>0.5857044593938675</v>
      </c>
      <c r="N76" s="120">
        <v>0.59499800704251715</v>
      </c>
      <c r="O76" s="121">
        <f t="shared" si="3"/>
        <v>-6.2136070147745803E-3</v>
      </c>
    </row>
    <row r="77" spans="1:15" x14ac:dyDescent="0.25">
      <c r="A77" s="119" t="s">
        <v>1401</v>
      </c>
      <c r="B77" s="120">
        <v>0.79484941101479156</v>
      </c>
      <c r="C77" s="120">
        <v>0.76735757423100903</v>
      </c>
      <c r="D77" s="120">
        <v>0.77126557875637081</v>
      </c>
      <c r="E77" s="120">
        <v>0.7305604334643091</v>
      </c>
      <c r="F77" s="120">
        <v>0.75218145346015219</v>
      </c>
      <c r="G77" s="120">
        <v>0.73588928623912098</v>
      </c>
      <c r="H77" s="120">
        <v>0.74078673628650749</v>
      </c>
      <c r="I77" s="120">
        <v>0.70790552082860148</v>
      </c>
      <c r="J77" s="120">
        <v>0.69967863837826694</v>
      </c>
      <c r="K77" s="120">
        <v>0.63629215970042274</v>
      </c>
      <c r="L77" s="120">
        <v>0.67042080111319313</v>
      </c>
      <c r="M77" s="120">
        <v>0.69568801473266795</v>
      </c>
      <c r="N77" s="120">
        <v>0.67395133341608826</v>
      </c>
      <c r="O77" s="121">
        <f t="shared" si="3"/>
        <v>-1.208686697904604E-2</v>
      </c>
    </row>
    <row r="78" spans="1:15" x14ac:dyDescent="0.25">
      <c r="A78" s="119" t="s">
        <v>1402</v>
      </c>
      <c r="B78" s="120">
        <v>0.56848480344579289</v>
      </c>
      <c r="C78" s="120">
        <v>0.62848529034438305</v>
      </c>
      <c r="D78" s="120">
        <v>0.58760642810433605</v>
      </c>
      <c r="E78" s="120">
        <v>0.62468790117758555</v>
      </c>
      <c r="F78" s="120">
        <v>0.62043114423801926</v>
      </c>
      <c r="G78" s="120">
        <v>0.57127218798974966</v>
      </c>
      <c r="H78" s="120">
        <v>0.61539849517114775</v>
      </c>
      <c r="I78" s="120">
        <v>0.61119196324778835</v>
      </c>
      <c r="J78" s="120">
        <v>0.62513407875981752</v>
      </c>
      <c r="K78" s="120">
        <v>0.57079684133950881</v>
      </c>
      <c r="L78" s="120">
        <v>0.55148336635690975</v>
      </c>
      <c r="M78" s="120">
        <v>0.55544224400330999</v>
      </c>
      <c r="N78" s="120">
        <v>0.57019535351178674</v>
      </c>
      <c r="O78" s="121">
        <f t="shared" si="3"/>
        <v>-2.1664287811526961E-3</v>
      </c>
    </row>
    <row r="79" spans="1:15" x14ac:dyDescent="0.25">
      <c r="A79" s="119" t="s">
        <v>1403</v>
      </c>
      <c r="B79" s="120">
        <v>0.74708234158540732</v>
      </c>
      <c r="C79" s="120">
        <v>0.72506068153015368</v>
      </c>
      <c r="D79" s="120">
        <v>0.72385925362326931</v>
      </c>
      <c r="E79" s="120">
        <v>0.70991854064483839</v>
      </c>
      <c r="F79" s="120">
        <v>0.69628653527922968</v>
      </c>
      <c r="G79" s="120">
        <v>0.71054753101803991</v>
      </c>
      <c r="H79" s="120">
        <v>0.68260838787737099</v>
      </c>
      <c r="I79" s="120">
        <v>0.65613147877378253</v>
      </c>
      <c r="J79" s="120">
        <v>0.64345649273236238</v>
      </c>
      <c r="K79" s="120">
        <v>0.67340308647080194</v>
      </c>
      <c r="L79" s="120">
        <v>0.71164718948429417</v>
      </c>
      <c r="M79" s="120">
        <v>0.68223162677311533</v>
      </c>
      <c r="N79" s="120">
        <v>0.72147991415935431</v>
      </c>
      <c r="O79" s="121">
        <f t="shared" si="3"/>
        <v>-3.4649218660849357E-3</v>
      </c>
    </row>
    <row r="80" spans="1:15" x14ac:dyDescent="0.25">
      <c r="A80" s="119" t="s">
        <v>1404</v>
      </c>
      <c r="B80" s="120">
        <v>0.76462690399476529</v>
      </c>
      <c r="C80" s="120">
        <v>0.81568926200475178</v>
      </c>
      <c r="D80" s="120">
        <v>0.80748242186248942</v>
      </c>
      <c r="E80" s="120">
        <v>0.77098478330444609</v>
      </c>
      <c r="F80" s="120">
        <v>0.76631671922213462</v>
      </c>
      <c r="G80" s="120">
        <v>0.74321441059814375</v>
      </c>
      <c r="H80" s="120">
        <v>0.67570529534162804</v>
      </c>
      <c r="I80" s="120">
        <v>0.64345888449733801</v>
      </c>
      <c r="J80" s="120">
        <v>0.69318763658266835</v>
      </c>
      <c r="K80" s="120">
        <v>0.64770654974536013</v>
      </c>
      <c r="L80" s="120">
        <v>0.66707760741216793</v>
      </c>
      <c r="M80" s="120">
        <v>0.6309193249408076</v>
      </c>
      <c r="N80" s="120">
        <v>0.60432448259074023</v>
      </c>
      <c r="O80" s="121">
        <f t="shared" si="3"/>
        <v>-9.7013224178011948E-3</v>
      </c>
    </row>
    <row r="81" spans="1:15" x14ac:dyDescent="0.25">
      <c r="A81" s="119" t="s">
        <v>1405</v>
      </c>
      <c r="B81" s="120">
        <v>0.75459221567345514</v>
      </c>
      <c r="C81" s="120">
        <v>0.79974138828889718</v>
      </c>
      <c r="D81" s="120">
        <v>0.7540412217926169</v>
      </c>
      <c r="E81" s="120">
        <v>0.72509736649922574</v>
      </c>
      <c r="F81" s="120">
        <v>0.64378187916489849</v>
      </c>
      <c r="G81" s="120">
        <v>0.65435115955095724</v>
      </c>
      <c r="H81" s="120">
        <v>0.67161405292774656</v>
      </c>
      <c r="I81" s="120">
        <v>0.67346492911673561</v>
      </c>
      <c r="J81" s="120">
        <v>0.64156606428201113</v>
      </c>
      <c r="K81" s="120">
        <v>0.61336556797012542</v>
      </c>
      <c r="L81" s="120">
        <v>0.64254564465127317</v>
      </c>
      <c r="M81" s="120">
        <v>0.65059007055039153</v>
      </c>
      <c r="N81" s="120">
        <v>0.65920727589773398</v>
      </c>
      <c r="O81" s="121">
        <f t="shared" si="3"/>
        <v>-1.1415742737248213E-2</v>
      </c>
    </row>
    <row r="82" spans="1:15" x14ac:dyDescent="0.25">
      <c r="A82" s="119" t="s">
        <v>1406</v>
      </c>
      <c r="B82" s="120">
        <v>0.66752625942190091</v>
      </c>
      <c r="C82" s="120">
        <v>0.69317798365042982</v>
      </c>
      <c r="D82" s="120">
        <v>0.70196790476678617</v>
      </c>
      <c r="E82" s="120">
        <v>0.71095244923616652</v>
      </c>
      <c r="F82" s="120">
        <v>0.68733640955412989</v>
      </c>
      <c r="G82" s="120">
        <v>0.66987971538559432</v>
      </c>
      <c r="H82" s="120">
        <v>0.68498915876921573</v>
      </c>
      <c r="I82" s="120">
        <v>0.67730073474283448</v>
      </c>
      <c r="J82" s="120">
        <v>0.6595394641967377</v>
      </c>
      <c r="K82" s="120">
        <v>0.64712048637802944</v>
      </c>
      <c r="L82" s="120">
        <v>0.70373534708409158</v>
      </c>
      <c r="M82" s="120">
        <v>0.69408983825290016</v>
      </c>
      <c r="N82" s="120">
        <v>0.68059174859873195</v>
      </c>
      <c r="O82" s="121">
        <f t="shared" si="3"/>
        <v>3.7802434918734473E-3</v>
      </c>
    </row>
    <row r="83" spans="1:15" x14ac:dyDescent="0.25">
      <c r="A83" s="119" t="s">
        <v>1407</v>
      </c>
      <c r="B83" s="120">
        <v>0.70905386136936532</v>
      </c>
      <c r="C83" s="120">
        <v>0.76034024762324959</v>
      </c>
      <c r="D83" s="120">
        <v>0.76161966927570901</v>
      </c>
      <c r="E83" s="120">
        <v>0.73239741449602458</v>
      </c>
      <c r="F83" s="120">
        <v>0.71966249031140961</v>
      </c>
      <c r="G83" s="120">
        <v>0.73548108944704282</v>
      </c>
      <c r="H83" s="120">
        <v>0.76028284600775031</v>
      </c>
      <c r="I83" s="120">
        <v>0.74561439811350316</v>
      </c>
      <c r="J83" s="120">
        <v>0.73210269732892008</v>
      </c>
      <c r="K83" s="120">
        <v>0.72611158596975689</v>
      </c>
      <c r="L83" s="120">
        <v>0.72829286476489885</v>
      </c>
      <c r="M83" s="120">
        <v>0.7548349709900708</v>
      </c>
      <c r="N83" s="120">
        <v>0.73788372155472248</v>
      </c>
      <c r="O83" s="121">
        <f t="shared" si="3"/>
        <v>1.9140982903351755E-3</v>
      </c>
    </row>
    <row r="84" spans="1:15" x14ac:dyDescent="0.25">
      <c r="A84" s="119" t="s">
        <v>1408</v>
      </c>
      <c r="B84" s="120">
        <v>0.72958940523481608</v>
      </c>
      <c r="C84" s="120">
        <v>0.73035580887250739</v>
      </c>
      <c r="D84" s="120">
        <v>0.71645224967811283</v>
      </c>
      <c r="E84" s="120">
        <v>0.70975506111439579</v>
      </c>
      <c r="F84" s="120">
        <v>0.69819837953533459</v>
      </c>
      <c r="G84" s="120">
        <v>0.68104448900312009</v>
      </c>
      <c r="H84" s="120">
        <v>0.70640536750493166</v>
      </c>
      <c r="I84" s="120">
        <v>0.6899879723692236</v>
      </c>
      <c r="J84" s="120">
        <v>0.67405900306930944</v>
      </c>
      <c r="K84" s="120">
        <v>0.67480374920831299</v>
      </c>
      <c r="L84" s="120">
        <v>0.68622265333464827</v>
      </c>
      <c r="M84" s="120">
        <v>0.68293572040306305</v>
      </c>
      <c r="N84" s="120">
        <v>0.68897966408165601</v>
      </c>
      <c r="O84" s="121">
        <f t="shared" si="3"/>
        <v>-4.3675611075982834E-3</v>
      </c>
    </row>
    <row r="85" spans="1:15" x14ac:dyDescent="0.25">
      <c r="A85" s="119" t="s">
        <v>1409</v>
      </c>
      <c r="B85" s="120">
        <v>0.65511510725663968</v>
      </c>
      <c r="C85" s="120">
        <v>0.69082573511588441</v>
      </c>
      <c r="D85" s="120">
        <v>0.68958407618875672</v>
      </c>
      <c r="E85" s="120">
        <v>0.71976647114557391</v>
      </c>
      <c r="F85" s="120">
        <v>0.61292340208816409</v>
      </c>
      <c r="G85" s="120">
        <v>0.59028767338789023</v>
      </c>
      <c r="H85" s="120">
        <v>0.62966774284024685</v>
      </c>
      <c r="I85" s="120">
        <v>0.67222088706506922</v>
      </c>
      <c r="J85" s="120">
        <v>0.66220066031990765</v>
      </c>
      <c r="K85" s="120">
        <v>0.62723985837895557</v>
      </c>
      <c r="L85" s="120">
        <v>0.62978556781836448</v>
      </c>
      <c r="M85" s="120">
        <v>0.61508278733024246</v>
      </c>
      <c r="N85" s="120">
        <v>0.65328477579777788</v>
      </c>
      <c r="O85" s="121">
        <f t="shared" si="3"/>
        <v>-2.8125775260755548E-3</v>
      </c>
    </row>
    <row r="86" spans="1:15" x14ac:dyDescent="0.25">
      <c r="A86" s="119" t="s">
        <v>1410</v>
      </c>
      <c r="B86" s="120">
        <v>0.62585605330586824</v>
      </c>
      <c r="C86" s="120">
        <v>0.62271574707986677</v>
      </c>
      <c r="D86" s="120">
        <v>0.64914022111882985</v>
      </c>
      <c r="E86" s="120">
        <v>0.63535103817483929</v>
      </c>
      <c r="F86" s="120">
        <v>0.63310680578302914</v>
      </c>
      <c r="G86" s="120">
        <v>0.61000777506020332</v>
      </c>
      <c r="H86" s="120">
        <v>0.63112695335778635</v>
      </c>
      <c r="I86" s="120">
        <v>0.64251995737209033</v>
      </c>
      <c r="J86" s="120">
        <v>0.62060048907890242</v>
      </c>
      <c r="K86" s="120">
        <v>0.59961303781821562</v>
      </c>
      <c r="L86" s="120">
        <v>0.58222286548846613</v>
      </c>
      <c r="M86" s="120">
        <v>0.57144245778774216</v>
      </c>
      <c r="N86" s="120">
        <v>0.60760139826035642</v>
      </c>
      <c r="O86" s="121">
        <f t="shared" si="3"/>
        <v>-5.148635323621753E-3</v>
      </c>
    </row>
    <row r="87" spans="1:15" x14ac:dyDescent="0.25">
      <c r="A87" s="119" t="s">
        <v>1411</v>
      </c>
      <c r="B87" s="120">
        <v>0.59589004387888433</v>
      </c>
      <c r="C87" s="120">
        <v>0.68430925218726146</v>
      </c>
      <c r="D87" s="120">
        <v>0.68653813361286431</v>
      </c>
      <c r="E87" s="120">
        <v>0.6459716846206377</v>
      </c>
      <c r="F87" s="120">
        <v>0.69110719776257967</v>
      </c>
      <c r="G87" s="120">
        <v>0.63168965745896688</v>
      </c>
      <c r="H87" s="120">
        <v>0.68736693273715255</v>
      </c>
      <c r="I87" s="120">
        <v>0.67418969923731153</v>
      </c>
      <c r="J87" s="120">
        <v>0.71637046848279473</v>
      </c>
      <c r="K87" s="120">
        <v>0.68021123504560765</v>
      </c>
      <c r="L87" s="120">
        <v>0.65076223169474456</v>
      </c>
      <c r="M87" s="120">
        <v>0.63458118955493159</v>
      </c>
      <c r="N87" s="120">
        <v>0.67720748818818965</v>
      </c>
      <c r="O87" s="121">
        <f t="shared" si="3"/>
        <v>6.3118491583116221E-3</v>
      </c>
    </row>
    <row r="88" spans="1:15" x14ac:dyDescent="0.25">
      <c r="A88" s="119" t="s">
        <v>1412</v>
      </c>
      <c r="B88" s="120">
        <v>0.56157661051346275</v>
      </c>
      <c r="C88" s="120">
        <v>0.64977795798260707</v>
      </c>
      <c r="D88" s="120">
        <v>0.65723024622567228</v>
      </c>
      <c r="E88" s="120">
        <v>0.6689248558166524</v>
      </c>
      <c r="F88" s="120">
        <v>0.69689718808486512</v>
      </c>
      <c r="G88" s="120">
        <v>0.69270907824116246</v>
      </c>
      <c r="H88" s="120">
        <v>0.69390393871905931</v>
      </c>
      <c r="I88" s="120">
        <v>0.69698175393524575</v>
      </c>
      <c r="J88" s="120">
        <v>0.64741825848267809</v>
      </c>
      <c r="K88" s="120">
        <v>0.65847866653064635</v>
      </c>
      <c r="L88" s="120">
        <v>0.73481402923142891</v>
      </c>
      <c r="M88" s="120">
        <v>0.6655096156579029</v>
      </c>
      <c r="N88" s="120">
        <v>0.65688388981408175</v>
      </c>
      <c r="O88" s="121">
        <f t="shared" si="3"/>
        <v>1.9390547068423247E-2</v>
      </c>
    </row>
    <row r="89" spans="1:15" x14ac:dyDescent="0.25">
      <c r="A89" s="119" t="s">
        <v>1413</v>
      </c>
      <c r="B89" s="120">
        <v>0.62406653146854341</v>
      </c>
      <c r="C89" s="120">
        <v>0.6736079827651974</v>
      </c>
      <c r="D89" s="120">
        <v>0.67311622404906835</v>
      </c>
      <c r="E89" s="120">
        <v>0.64818978801641536</v>
      </c>
      <c r="F89" s="120">
        <v>0.69191607182314696</v>
      </c>
      <c r="G89" s="120">
        <v>0.62475483051761105</v>
      </c>
      <c r="H89" s="120">
        <v>0.64180734728962252</v>
      </c>
      <c r="I89" s="120">
        <v>0.70583329952625007</v>
      </c>
      <c r="J89" s="120">
        <v>0.65036786079425857</v>
      </c>
      <c r="K89" s="120">
        <v>0.64196063828821059</v>
      </c>
      <c r="L89" s="120">
        <v>0.63892081324640826</v>
      </c>
      <c r="M89" s="120">
        <v>0.65724705159890673</v>
      </c>
      <c r="N89" s="120">
        <v>0.67737474282689791</v>
      </c>
      <c r="O89" s="121">
        <f t="shared" si="3"/>
        <v>1.6816652827658096E-3</v>
      </c>
    </row>
    <row r="90" spans="1:15" x14ac:dyDescent="0.25">
      <c r="A90" s="119" t="s">
        <v>1414</v>
      </c>
      <c r="B90" s="120">
        <v>0.705640962267022</v>
      </c>
      <c r="C90" s="120">
        <v>0.71315327578279308</v>
      </c>
      <c r="D90" s="120">
        <v>0.78263144394766448</v>
      </c>
      <c r="E90" s="120">
        <v>0.75544032267359218</v>
      </c>
      <c r="F90" s="120">
        <v>0.71506240628091089</v>
      </c>
      <c r="G90" s="120">
        <v>0.68163024820612139</v>
      </c>
      <c r="H90" s="120">
        <v>0.67801123829122267</v>
      </c>
      <c r="I90" s="120">
        <v>0.70986967259026612</v>
      </c>
      <c r="J90" s="120">
        <v>0.68760660545353114</v>
      </c>
      <c r="K90" s="120">
        <v>0.65591125635215242</v>
      </c>
      <c r="L90" s="120">
        <v>0.66524669302662243</v>
      </c>
      <c r="M90" s="120">
        <v>0.65161091650610659</v>
      </c>
      <c r="N90" s="120">
        <v>0.61411582817233101</v>
      </c>
      <c r="O90" s="121">
        <f t="shared" si="3"/>
        <v>-4.2017633076163463E-3</v>
      </c>
    </row>
    <row r="91" spans="1:15" x14ac:dyDescent="0.25">
      <c r="A91" s="119" t="s">
        <v>1415</v>
      </c>
      <c r="B91" s="120">
        <v>0.71524351870328007</v>
      </c>
      <c r="C91" s="120">
        <v>0.74726841816497425</v>
      </c>
      <c r="D91" s="120">
        <v>0.71734338029073519</v>
      </c>
      <c r="E91" s="120">
        <v>0.76096926461243353</v>
      </c>
      <c r="F91" s="120">
        <v>0.71215194994499831</v>
      </c>
      <c r="G91" s="120">
        <v>0.69424504713438184</v>
      </c>
      <c r="H91" s="120">
        <v>0.74286310108787701</v>
      </c>
      <c r="I91" s="120">
        <v>0.7331251239954002</v>
      </c>
      <c r="J91" s="120">
        <v>0.73158012945360218</v>
      </c>
      <c r="K91" s="120">
        <v>0.73154373141269136</v>
      </c>
      <c r="L91" s="120">
        <v>0.7019143755400804</v>
      </c>
      <c r="M91" s="120">
        <v>0.68217491362251959</v>
      </c>
      <c r="N91" s="120">
        <v>0.69914905477857392</v>
      </c>
      <c r="O91" s="121">
        <f t="shared" si="3"/>
        <v>-1.3427866459647664E-3</v>
      </c>
    </row>
    <row r="92" spans="1:15" x14ac:dyDescent="0.25">
      <c r="A92" s="119" t="s">
        <v>1416</v>
      </c>
      <c r="B92" s="120">
        <v>0.82785224473689623</v>
      </c>
      <c r="C92" s="120">
        <v>0.85011205256653999</v>
      </c>
      <c r="D92" s="120">
        <v>0.8216858752071432</v>
      </c>
      <c r="E92" s="120">
        <v>0.80972922650746626</v>
      </c>
      <c r="F92" s="120">
        <v>0.80642011066996899</v>
      </c>
      <c r="G92" s="120">
        <v>0.82936226907143606</v>
      </c>
      <c r="H92" s="120">
        <v>0.79862855697342838</v>
      </c>
      <c r="I92" s="120">
        <v>0.82790300875114753</v>
      </c>
      <c r="J92" s="120">
        <v>0.8228982662457861</v>
      </c>
      <c r="K92" s="120">
        <v>0.75740420850391044</v>
      </c>
      <c r="L92" s="120">
        <v>0.81169540561116149</v>
      </c>
      <c r="M92" s="120">
        <v>0.80599319350383336</v>
      </c>
      <c r="N92" s="120">
        <v>0.78779776245124489</v>
      </c>
      <c r="O92" s="121">
        <f t="shared" si="3"/>
        <v>-1.4068335185116743E-3</v>
      </c>
    </row>
    <row r="93" spans="1:15" x14ac:dyDescent="0.25">
      <c r="A93" s="119" t="s">
        <v>1417</v>
      </c>
      <c r="B93" s="120">
        <v>0.69181516800499143</v>
      </c>
      <c r="C93" s="120">
        <v>0.71249756992828739</v>
      </c>
      <c r="D93" s="120">
        <v>0.76381034697580619</v>
      </c>
      <c r="E93" s="120">
        <v>0.70655302702767508</v>
      </c>
      <c r="F93" s="120">
        <v>0.67097393262564531</v>
      </c>
      <c r="G93" s="120">
        <v>0.67250073737030269</v>
      </c>
      <c r="H93" s="120">
        <v>0.66913348017808627</v>
      </c>
      <c r="I93" s="120">
        <v>0.70829828009567675</v>
      </c>
      <c r="J93" s="120">
        <v>0.70771819481120868</v>
      </c>
      <c r="K93" s="120">
        <v>0.67395875370361458</v>
      </c>
      <c r="L93" s="120">
        <v>0.6658169319014825</v>
      </c>
      <c r="M93" s="120">
        <v>0.66614764684772143</v>
      </c>
      <c r="N93" s="120">
        <v>0.68054886088858257</v>
      </c>
      <c r="O93" s="121">
        <f t="shared" si="3"/>
        <v>-2.7322652611239118E-3</v>
      </c>
    </row>
    <row r="94" spans="1:15" x14ac:dyDescent="0.25">
      <c r="A94" s="119" t="s">
        <v>1418</v>
      </c>
      <c r="B94" s="120">
        <v>0.73795598503592585</v>
      </c>
      <c r="C94" s="120">
        <v>0.77007082613925582</v>
      </c>
      <c r="D94" s="120">
        <v>0.76391594208428804</v>
      </c>
      <c r="E94" s="120">
        <v>0.75721675034326297</v>
      </c>
      <c r="F94" s="120">
        <v>0.77603712770476507</v>
      </c>
      <c r="G94" s="120">
        <v>0.71683478950110546</v>
      </c>
      <c r="H94" s="120">
        <v>0.72381184292935508</v>
      </c>
      <c r="I94" s="120">
        <v>0.74869250852196545</v>
      </c>
      <c r="J94" s="120">
        <v>0.67164309127439292</v>
      </c>
      <c r="K94" s="120">
        <v>0.63878452185806367</v>
      </c>
      <c r="L94" s="120">
        <v>0.692603121423498</v>
      </c>
      <c r="M94" s="120">
        <v>0.67230163730715042</v>
      </c>
      <c r="N94" s="120">
        <v>0.70062735910451646</v>
      </c>
      <c r="O94" s="121">
        <f t="shared" si="3"/>
        <v>-4.5202558354541233E-3</v>
      </c>
    </row>
    <row r="95" spans="1:15" x14ac:dyDescent="0.25">
      <c r="A95" s="119" t="s">
        <v>1419</v>
      </c>
      <c r="B95" s="120">
        <v>0.63886165032828124</v>
      </c>
      <c r="C95" s="120">
        <v>0.66665589077660781</v>
      </c>
      <c r="D95" s="120">
        <v>0.66533022847365086</v>
      </c>
      <c r="E95" s="120">
        <v>0.71969614528318837</v>
      </c>
      <c r="F95" s="120">
        <v>0.63833354661779007</v>
      </c>
      <c r="G95" s="120">
        <v>0.58813863518902054</v>
      </c>
      <c r="H95" s="120">
        <v>0.60452525638721299</v>
      </c>
      <c r="I95" s="120">
        <v>0.66999778529014797</v>
      </c>
      <c r="J95" s="120">
        <v>0.66313702839587618</v>
      </c>
      <c r="K95" s="120">
        <v>0.58843820530342139</v>
      </c>
      <c r="L95" s="120">
        <v>0.60899478030776588</v>
      </c>
      <c r="M95" s="120">
        <v>0.60654026848964926</v>
      </c>
      <c r="N95" s="120">
        <v>0.65720310852501274</v>
      </c>
      <c r="O95" s="121">
        <f t="shared" si="3"/>
        <v>-3.4140320747665376E-3</v>
      </c>
    </row>
    <row r="96" spans="1:15" x14ac:dyDescent="0.25">
      <c r="A96" s="119" t="s">
        <v>1420</v>
      </c>
      <c r="B96" s="120">
        <v>0.69485796232451769</v>
      </c>
      <c r="C96" s="120">
        <v>0.68612168689909037</v>
      </c>
      <c r="D96" s="120">
        <v>0.70939184849045989</v>
      </c>
      <c r="E96" s="120">
        <v>0.69835648990865518</v>
      </c>
      <c r="F96" s="120">
        <v>0.66961925894071683</v>
      </c>
      <c r="G96" s="120">
        <v>0.62951613600598466</v>
      </c>
      <c r="H96" s="120">
        <v>0.68954951841311873</v>
      </c>
      <c r="I96" s="120">
        <v>0.72451504471175276</v>
      </c>
      <c r="J96" s="120">
        <v>0.73086203951008355</v>
      </c>
      <c r="K96" s="120">
        <v>0.70956239839945834</v>
      </c>
      <c r="L96" s="120">
        <v>0.73935440935255847</v>
      </c>
      <c r="M96" s="120">
        <v>0.69608401899710481</v>
      </c>
      <c r="N96" s="120">
        <v>0.69825492344862505</v>
      </c>
      <c r="O96" s="121">
        <f t="shared" si="3"/>
        <v>4.443409347218541E-3</v>
      </c>
    </row>
    <row r="97" spans="1:15" x14ac:dyDescent="0.25">
      <c r="A97" s="119" t="s">
        <v>1421</v>
      </c>
      <c r="B97" s="123">
        <v>0.62003365169946523</v>
      </c>
      <c r="C97" s="123">
        <v>0.62505677528710046</v>
      </c>
      <c r="D97" s="123">
        <v>0.63881640965418252</v>
      </c>
      <c r="E97" s="123">
        <v>0.6355786157144645</v>
      </c>
      <c r="F97" s="123">
        <v>0.63167266533705002</v>
      </c>
      <c r="G97" s="123">
        <v>0.60571123134247185</v>
      </c>
      <c r="H97" s="123">
        <v>0.62978656115448273</v>
      </c>
      <c r="I97" s="123">
        <v>0.6384782546692731</v>
      </c>
      <c r="J97" s="123">
        <v>0.61948538319996826</v>
      </c>
      <c r="K97" s="123">
        <v>0.59735038394687645</v>
      </c>
      <c r="L97" s="123">
        <v>0.58016889190570642</v>
      </c>
      <c r="M97" s="123">
        <v>0.57269431890478284</v>
      </c>
      <c r="N97" s="123">
        <v>0.60432617100926711</v>
      </c>
      <c r="O97" s="121">
        <f t="shared" si="3"/>
        <v>-4.7355019443344748E-3</v>
      </c>
    </row>
    <row r="98" spans="1:15" x14ac:dyDescent="0.25">
      <c r="A98" s="124" t="s">
        <v>150</v>
      </c>
      <c r="B98" s="125">
        <v>0.68990261399676034</v>
      </c>
      <c r="C98" s="125">
        <v>0.70887972837057711</v>
      </c>
      <c r="D98" s="125">
        <v>0.70329975345068985</v>
      </c>
      <c r="E98" s="125">
        <v>0.69387752941579406</v>
      </c>
      <c r="F98" s="125">
        <v>0.6796295554031706</v>
      </c>
      <c r="G98" s="125">
        <v>0.66239157517758129</v>
      </c>
      <c r="H98" s="125">
        <v>0.67541423040398951</v>
      </c>
      <c r="I98" s="125">
        <v>0.68110669542445545</v>
      </c>
      <c r="J98" s="125">
        <v>0.66974412465537803</v>
      </c>
      <c r="K98" s="125">
        <v>0.64664220272425421</v>
      </c>
      <c r="L98" s="125">
        <v>0.65614077898416623</v>
      </c>
      <c r="M98" s="125">
        <v>0.65032481629672667</v>
      </c>
      <c r="N98" s="125">
        <v>0.66085535626483682</v>
      </c>
      <c r="O98" s="121">
        <f t="shared" si="3"/>
        <v>-3.5775196917985363E-3</v>
      </c>
    </row>
    <row r="99" spans="1:15" x14ac:dyDescent="0.25">
      <c r="A99" s="127" t="s">
        <v>1422</v>
      </c>
    </row>
    <row r="100" spans="1:15" x14ac:dyDescent="0.25">
      <c r="A100" s="127" t="s">
        <v>1423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254"/>
  <sheetViews>
    <sheetView topLeftCell="D13" zoomScale="70" zoomScaleNormal="70" workbookViewId="0">
      <selection activeCell="V25" sqref="V25"/>
    </sheetView>
  </sheetViews>
  <sheetFormatPr baseColWidth="10" defaultColWidth="11.42578125" defaultRowHeight="16.5" x14ac:dyDescent="0.3"/>
  <cols>
    <col min="1" max="1" width="4.7109375" style="1" customWidth="1"/>
    <col min="2" max="2" width="12.140625" style="1" customWidth="1"/>
    <col min="3" max="3" width="90" style="1" bestFit="1" customWidth="1"/>
    <col min="4" max="4" width="14.42578125" style="1" bestFit="1" customWidth="1"/>
    <col min="5" max="5" width="3.7109375" style="1" customWidth="1"/>
    <col min="6" max="6" width="14.7109375" style="1" customWidth="1"/>
    <col min="7" max="7" width="13.7109375" style="1" bestFit="1" customWidth="1"/>
    <col min="8" max="8" width="3.7109375" style="1" customWidth="1"/>
    <col min="9" max="9" width="18.140625" style="1" bestFit="1" customWidth="1"/>
    <col min="10" max="10" width="3.7109375" style="1" customWidth="1"/>
    <col min="11" max="11" width="14.7109375" style="1" customWidth="1"/>
    <col min="12" max="12" width="16" style="1" bestFit="1" customWidth="1"/>
    <col min="13" max="13" width="3.7109375" style="1" customWidth="1"/>
    <col min="14" max="14" width="17.140625" style="1" customWidth="1"/>
    <col min="15" max="15" width="3.7109375" style="1" customWidth="1"/>
    <col min="16" max="16384" width="11.42578125" style="1"/>
  </cols>
  <sheetData>
    <row r="1" spans="1:30" ht="18" x14ac:dyDescent="0.3">
      <c r="A1" s="4285" t="s">
        <v>2222</v>
      </c>
      <c r="B1" s="4285"/>
      <c r="C1" s="4285"/>
      <c r="D1" s="4285"/>
      <c r="E1" s="4285"/>
      <c r="F1" s="4285"/>
      <c r="G1" s="4285"/>
      <c r="H1" s="4285"/>
      <c r="I1" s="4285"/>
      <c r="J1" s="4285"/>
      <c r="K1" s="4285"/>
      <c r="L1" s="4285"/>
      <c r="M1" s="4285"/>
      <c r="N1" s="4285"/>
      <c r="P1" s="143"/>
      <c r="Q1" s="143"/>
      <c r="R1" s="143"/>
      <c r="S1" s="143"/>
      <c r="T1" s="143"/>
      <c r="U1" s="143"/>
      <c r="V1" s="143"/>
      <c r="W1" s="143"/>
      <c r="X1" s="143"/>
      <c r="Y1" s="143"/>
      <c r="Z1" s="143"/>
      <c r="AA1" s="143"/>
      <c r="AB1" s="143"/>
      <c r="AC1" s="143"/>
      <c r="AD1" s="143"/>
    </row>
    <row r="2" spans="1:30" x14ac:dyDescent="0.3">
      <c r="A2" s="4286"/>
      <c r="B2" s="4286"/>
      <c r="C2" s="4286"/>
      <c r="D2" s="4286"/>
      <c r="E2" s="4286"/>
      <c r="F2" s="4286"/>
      <c r="G2" s="4286"/>
      <c r="H2" s="4286"/>
      <c r="I2" s="4286"/>
      <c r="J2" s="4286"/>
      <c r="K2" s="4286"/>
      <c r="L2" s="4286"/>
      <c r="M2" s="4286"/>
      <c r="N2" s="4286"/>
      <c r="P2" s="143"/>
      <c r="Q2" s="143"/>
      <c r="R2" s="143"/>
      <c r="S2" s="143"/>
      <c r="T2" s="143"/>
      <c r="U2" s="143"/>
      <c r="V2" s="143"/>
      <c r="W2" s="143"/>
      <c r="X2" s="143"/>
      <c r="Y2" s="143"/>
      <c r="Z2" s="143"/>
      <c r="AA2" s="143"/>
      <c r="AB2" s="143"/>
      <c r="AC2" s="143"/>
      <c r="AD2" s="143"/>
    </row>
    <row r="3" spans="1:30" ht="17.25" x14ac:dyDescent="0.3">
      <c r="A3" s="4287" t="s">
        <v>2221</v>
      </c>
      <c r="B3" s="4287"/>
      <c r="C3" s="4287"/>
      <c r="D3" s="4287"/>
      <c r="E3" s="4287"/>
      <c r="F3" s="4287"/>
      <c r="G3" s="4287"/>
      <c r="H3" s="4287"/>
      <c r="I3" s="4287"/>
      <c r="J3" s="4287"/>
      <c r="K3" s="4287"/>
      <c r="L3" s="4287"/>
      <c r="M3" s="4287"/>
      <c r="N3" s="4287"/>
      <c r="O3" s="4287"/>
      <c r="P3" s="143"/>
      <c r="Q3" s="143"/>
      <c r="R3" s="143"/>
      <c r="S3" s="143"/>
      <c r="T3" s="143"/>
      <c r="U3" s="143"/>
      <c r="V3" s="143"/>
      <c r="W3" s="143"/>
      <c r="X3" s="143"/>
      <c r="Y3" s="143"/>
      <c r="Z3" s="143"/>
      <c r="AA3" s="143"/>
      <c r="AB3" s="143"/>
      <c r="AC3" s="143"/>
      <c r="AD3" s="143"/>
    </row>
    <row r="4" spans="1:30" ht="24.75" customHeight="1" x14ac:dyDescent="0.3">
      <c r="A4" s="4287" t="s">
        <v>2223</v>
      </c>
      <c r="B4" s="4287"/>
      <c r="C4" s="4287"/>
      <c r="D4" s="4287"/>
      <c r="E4" s="4287"/>
      <c r="F4" s="4287"/>
      <c r="G4" s="4287"/>
      <c r="H4" s="4287"/>
      <c r="I4" s="4287"/>
      <c r="J4" s="4287"/>
      <c r="K4" s="4287"/>
      <c r="L4" s="4287"/>
      <c r="M4" s="4287"/>
      <c r="N4" s="4287"/>
      <c r="O4" s="4287"/>
      <c r="P4" s="143"/>
      <c r="Q4" s="143"/>
      <c r="R4" s="143"/>
      <c r="S4" s="143"/>
      <c r="T4" s="143"/>
      <c r="U4" s="143"/>
      <c r="V4" s="143"/>
      <c r="W4" s="143"/>
      <c r="X4" s="143"/>
      <c r="Y4" s="143"/>
      <c r="Z4" s="143"/>
      <c r="AA4" s="143"/>
      <c r="AB4" s="143"/>
      <c r="AC4" s="143"/>
      <c r="AD4" s="143"/>
    </row>
    <row r="5" spans="1:30" x14ac:dyDescent="0.3">
      <c r="A5" s="4288"/>
      <c r="B5" s="4288"/>
      <c r="C5" s="4288"/>
      <c r="D5" s="4288"/>
      <c r="E5" s="4288"/>
      <c r="F5" s="4288"/>
      <c r="G5" s="4288"/>
      <c r="H5" s="4288"/>
      <c r="I5" s="4288"/>
      <c r="J5" s="4288"/>
      <c r="K5" s="4288"/>
      <c r="L5" s="4288"/>
      <c r="M5" s="4288"/>
      <c r="N5" s="4288"/>
      <c r="P5" s="143"/>
      <c r="Q5" s="143"/>
      <c r="R5" s="143"/>
      <c r="S5" s="143"/>
      <c r="T5" s="143"/>
      <c r="U5" s="143"/>
      <c r="V5" s="143"/>
      <c r="W5" s="143"/>
      <c r="X5" s="143"/>
      <c r="Y5" s="143"/>
      <c r="Z5" s="143"/>
      <c r="AA5" s="143"/>
      <c r="AB5" s="143"/>
      <c r="AC5" s="143"/>
      <c r="AD5" s="143"/>
    </row>
    <row r="6" spans="1:30" ht="13.5" customHeight="1" x14ac:dyDescent="0.3">
      <c r="A6" s="4289" t="s">
        <v>2224</v>
      </c>
      <c r="B6" s="4290"/>
      <c r="C6" s="4295" t="s">
        <v>2225</v>
      </c>
      <c r="D6" s="4298" t="s">
        <v>150</v>
      </c>
      <c r="E6" s="144"/>
      <c r="F6" s="4283" t="s">
        <v>2226</v>
      </c>
      <c r="G6" s="4283"/>
      <c r="H6" s="145"/>
      <c r="I6" s="4283" t="s">
        <v>2227</v>
      </c>
      <c r="J6" s="145"/>
      <c r="K6" s="4283" t="s">
        <v>2228</v>
      </c>
      <c r="L6" s="4283"/>
      <c r="M6" s="145"/>
      <c r="N6" s="4283" t="s">
        <v>1229</v>
      </c>
      <c r="O6" s="146"/>
    </row>
    <row r="7" spans="1:30" ht="19.5" customHeight="1" x14ac:dyDescent="0.3">
      <c r="A7" s="4291"/>
      <c r="B7" s="4292"/>
      <c r="C7" s="4296"/>
      <c r="D7" s="4299"/>
      <c r="E7" s="147"/>
      <c r="F7" s="4284"/>
      <c r="G7" s="4284"/>
      <c r="H7" s="148"/>
      <c r="I7" s="4284"/>
      <c r="J7" s="148"/>
      <c r="K7" s="4284"/>
      <c r="L7" s="4284"/>
      <c r="M7" s="148"/>
      <c r="N7" s="4284"/>
      <c r="O7" s="149"/>
    </row>
    <row r="8" spans="1:30" ht="25.5" customHeight="1" x14ac:dyDescent="0.3">
      <c r="A8" s="4293"/>
      <c r="B8" s="4294"/>
      <c r="C8" s="4297"/>
      <c r="D8" s="4300"/>
      <c r="E8" s="150"/>
      <c r="F8" s="151" t="s">
        <v>2229</v>
      </c>
      <c r="G8" s="151" t="s">
        <v>2230</v>
      </c>
      <c r="H8" s="152"/>
      <c r="I8" s="151" t="s">
        <v>2231</v>
      </c>
      <c r="J8" s="152"/>
      <c r="K8" s="151" t="s">
        <v>2232</v>
      </c>
      <c r="L8" s="151" t="s">
        <v>2233</v>
      </c>
      <c r="M8" s="152"/>
      <c r="N8" s="151" t="s">
        <v>2234</v>
      </c>
      <c r="O8" s="153"/>
    </row>
    <row r="9" spans="1:30" x14ac:dyDescent="0.3">
      <c r="A9" s="154"/>
      <c r="B9" s="155" t="s">
        <v>150</v>
      </c>
      <c r="C9" s="156"/>
      <c r="D9" s="157">
        <f>SUM(F9,G9,I9,K9,L9,N9)</f>
        <v>5364621</v>
      </c>
      <c r="E9" s="158"/>
      <c r="F9" s="159">
        <f>'[9]Data Cap04001'!D241</f>
        <v>1261278</v>
      </c>
      <c r="G9" s="159">
        <f>'[9]Data Cap04001'!E241</f>
        <v>804430</v>
      </c>
      <c r="H9" s="159"/>
      <c r="I9" s="159">
        <f>'[9]Data Cap04001'!F241</f>
        <v>480041</v>
      </c>
      <c r="J9" s="159"/>
      <c r="K9" s="159">
        <f>'[9]Data Cap04001'!G241</f>
        <v>891774</v>
      </c>
      <c r="L9" s="159">
        <f>'[9]Data Cap04001'!H241</f>
        <v>1374394</v>
      </c>
      <c r="M9" s="159"/>
      <c r="N9" s="159">
        <f>'[9]Data Cap04001'!I241</f>
        <v>552704</v>
      </c>
      <c r="O9" s="160"/>
      <c r="P9" s="161"/>
    </row>
    <row r="10" spans="1:30" x14ac:dyDescent="0.3">
      <c r="A10" s="162" t="s">
        <v>1396</v>
      </c>
      <c r="B10" s="163"/>
      <c r="C10" s="164"/>
      <c r="D10" s="165">
        <f t="shared" ref="D10:D18" si="0">SUM(F10:N10)</f>
        <v>147148</v>
      </c>
      <c r="E10" s="166"/>
      <c r="F10" s="167">
        <f>'[9]Data Cap04001'!D8</f>
        <v>35020</v>
      </c>
      <c r="G10" s="167">
        <f>'[9]Data Cap04001'!E8</f>
        <v>24060</v>
      </c>
      <c r="H10" s="167"/>
      <c r="I10" s="167">
        <f>'[9]Data Cap04001'!F8</f>
        <v>15101</v>
      </c>
      <c r="J10" s="167"/>
      <c r="K10" s="167">
        <f>'[9]Data Cap04001'!G8</f>
        <v>22576</v>
      </c>
      <c r="L10" s="167">
        <f>'[9]Data Cap04001'!H8</f>
        <v>37580</v>
      </c>
      <c r="M10" s="167"/>
      <c r="N10" s="167">
        <f>'[9]Data Cap04001'!I8</f>
        <v>12811</v>
      </c>
      <c r="O10" s="168"/>
      <c r="P10" s="161"/>
    </row>
    <row r="11" spans="1:30" x14ac:dyDescent="0.3">
      <c r="A11" s="169"/>
      <c r="B11" s="170" t="s">
        <v>2235</v>
      </c>
      <c r="C11" s="171" t="s">
        <v>2236</v>
      </c>
      <c r="D11" s="172">
        <f t="shared" si="0"/>
        <v>54202</v>
      </c>
      <c r="E11" s="173"/>
      <c r="F11" s="174">
        <f>'[9]Data Cap04001'!D2</f>
        <v>10321</v>
      </c>
      <c r="G11" s="174">
        <f>'[9]Data Cap04001'!E2</f>
        <v>9239</v>
      </c>
      <c r="H11" s="175"/>
      <c r="I11" s="175">
        <f>'[9]Data Cap04001'!F2</f>
        <v>5772</v>
      </c>
      <c r="J11" s="175"/>
      <c r="K11" s="175">
        <f>'[9]Data Cap04001'!G2</f>
        <v>7602</v>
      </c>
      <c r="L11" s="175">
        <f>'[9]Data Cap04001'!H2</f>
        <v>14974</v>
      </c>
      <c r="M11" s="175"/>
      <c r="N11" s="175">
        <f>'[9]Data Cap04001'!I2</f>
        <v>6294</v>
      </c>
      <c r="O11" s="176"/>
      <c r="P11" s="161"/>
      <c r="Q11" s="177"/>
      <c r="R11" s="178"/>
    </row>
    <row r="12" spans="1:30" x14ac:dyDescent="0.3">
      <c r="A12" s="179"/>
      <c r="B12" s="170" t="s">
        <v>2237</v>
      </c>
      <c r="C12" s="171" t="s">
        <v>2238</v>
      </c>
      <c r="D12" s="172">
        <f t="shared" si="0"/>
        <v>30050</v>
      </c>
      <c r="E12" s="173"/>
      <c r="F12" s="174">
        <f>'[9]Data Cap04001'!D3</f>
        <v>6969</v>
      </c>
      <c r="G12" s="174">
        <f>'[9]Data Cap04001'!E3</f>
        <v>4557</v>
      </c>
      <c r="H12" s="175"/>
      <c r="I12" s="175">
        <f>'[9]Data Cap04001'!F3</f>
        <v>3071</v>
      </c>
      <c r="J12" s="175"/>
      <c r="K12" s="175">
        <f>'[9]Data Cap04001'!G3</f>
        <v>4948</v>
      </c>
      <c r="L12" s="175">
        <f>'[9]Data Cap04001'!H3</f>
        <v>8144</v>
      </c>
      <c r="M12" s="175"/>
      <c r="N12" s="175">
        <f>'[9]Data Cap04001'!I3</f>
        <v>2361</v>
      </c>
      <c r="O12" s="176"/>
      <c r="P12" s="161" t="s">
        <v>1639</v>
      </c>
      <c r="Q12" s="177"/>
    </row>
    <row r="13" spans="1:30" x14ac:dyDescent="0.3">
      <c r="A13" s="179"/>
      <c r="B13" s="170" t="s">
        <v>2239</v>
      </c>
      <c r="C13" s="171" t="s">
        <v>2240</v>
      </c>
      <c r="D13" s="172">
        <f t="shared" si="0"/>
        <v>5263</v>
      </c>
      <c r="E13" s="173"/>
      <c r="F13" s="174">
        <f>'[9]Data Cap04001'!D4</f>
        <v>1120</v>
      </c>
      <c r="G13" s="174">
        <f>'[9]Data Cap04001'!E4</f>
        <v>375</v>
      </c>
      <c r="H13" s="175"/>
      <c r="I13" s="175">
        <f>'[9]Data Cap04001'!F4</f>
        <v>369</v>
      </c>
      <c r="J13" s="175"/>
      <c r="K13" s="175">
        <f>'[9]Data Cap04001'!G4</f>
        <v>1174</v>
      </c>
      <c r="L13" s="175">
        <f>'[9]Data Cap04001'!H4</f>
        <v>1451</v>
      </c>
      <c r="M13" s="175"/>
      <c r="N13" s="175">
        <f>'[9]Data Cap04001'!I4</f>
        <v>774</v>
      </c>
      <c r="O13" s="176"/>
      <c r="P13" s="161"/>
      <c r="Q13" s="177"/>
    </row>
    <row r="14" spans="1:30" x14ac:dyDescent="0.3">
      <c r="A14" s="179"/>
      <c r="B14" s="180" t="s">
        <v>2241</v>
      </c>
      <c r="C14" s="171" t="s">
        <v>2242</v>
      </c>
      <c r="D14" s="172">
        <f t="shared" si="0"/>
        <v>21664</v>
      </c>
      <c r="E14" s="173"/>
      <c r="F14" s="174">
        <f>'[9]Data Cap04001'!D5</f>
        <v>7616</v>
      </c>
      <c r="G14" s="174">
        <f>'[9]Data Cap04001'!E5</f>
        <v>3384</v>
      </c>
      <c r="H14" s="175"/>
      <c r="I14" s="175">
        <f>'[9]Data Cap04001'!F5</f>
        <v>2270</v>
      </c>
      <c r="J14" s="175"/>
      <c r="K14" s="175">
        <f>'[9]Data Cap04001'!G5</f>
        <v>3724</v>
      </c>
      <c r="L14" s="175">
        <f>'[9]Data Cap04001'!H5</f>
        <v>4155</v>
      </c>
      <c r="M14" s="175"/>
      <c r="N14" s="175">
        <f>'[9]Data Cap04001'!I5</f>
        <v>515</v>
      </c>
      <c r="O14" s="176"/>
      <c r="P14" s="161"/>
      <c r="Q14" s="177"/>
    </row>
    <row r="15" spans="1:30" x14ac:dyDescent="0.3">
      <c r="A15" s="179"/>
      <c r="B15" s="170" t="s">
        <v>2243</v>
      </c>
      <c r="C15" s="171" t="s">
        <v>2244</v>
      </c>
      <c r="D15" s="172">
        <f t="shared" si="0"/>
        <v>4520</v>
      </c>
      <c r="E15" s="173"/>
      <c r="F15" s="174">
        <f>'[9]Data Cap04001'!D6</f>
        <v>1180</v>
      </c>
      <c r="G15" s="174">
        <f>'[9]Data Cap04001'!E6</f>
        <v>506</v>
      </c>
      <c r="H15" s="175"/>
      <c r="I15" s="175">
        <f>'[9]Data Cap04001'!F6</f>
        <v>296</v>
      </c>
      <c r="J15" s="175"/>
      <c r="K15" s="175">
        <f>'[9]Data Cap04001'!G6</f>
        <v>903</v>
      </c>
      <c r="L15" s="175">
        <f>'[9]Data Cap04001'!H6</f>
        <v>1146</v>
      </c>
      <c r="M15" s="175"/>
      <c r="N15" s="175">
        <f>'[9]Data Cap04001'!I6</f>
        <v>489</v>
      </c>
      <c r="O15" s="176"/>
      <c r="P15" s="161"/>
      <c r="Q15" s="177"/>
    </row>
    <row r="16" spans="1:30" x14ac:dyDescent="0.3">
      <c r="A16" s="181"/>
      <c r="B16" s="182" t="s">
        <v>2245</v>
      </c>
      <c r="C16" s="183" t="s">
        <v>2246</v>
      </c>
      <c r="D16" s="172">
        <f t="shared" si="0"/>
        <v>34944</v>
      </c>
      <c r="E16" s="184"/>
      <c r="F16" s="174">
        <f>'[9]Data Cap04001'!D7</f>
        <v>8696</v>
      </c>
      <c r="G16" s="174">
        <f>'[9]Data Cap04001'!E7</f>
        <v>6197</v>
      </c>
      <c r="H16" s="185"/>
      <c r="I16" s="175">
        <f>'[9]Data Cap04001'!F7</f>
        <v>3568</v>
      </c>
      <c r="J16" s="185"/>
      <c r="K16" s="175">
        <f>'[9]Data Cap04001'!G7</f>
        <v>4989</v>
      </c>
      <c r="L16" s="175">
        <f>'[9]Data Cap04001'!H7</f>
        <v>8661</v>
      </c>
      <c r="M16" s="185"/>
      <c r="N16" s="175">
        <f>'[9]Data Cap04001'!I7</f>
        <v>2833</v>
      </c>
      <c r="O16" s="186"/>
      <c r="P16" s="161"/>
      <c r="Q16" s="177"/>
    </row>
    <row r="17" spans="1:22" x14ac:dyDescent="0.3">
      <c r="A17" s="187" t="s">
        <v>1397</v>
      </c>
      <c r="C17" s="177" t="s">
        <v>2247</v>
      </c>
      <c r="D17" s="165">
        <f t="shared" si="0"/>
        <v>281362</v>
      </c>
      <c r="E17" s="166"/>
      <c r="F17" s="167">
        <f>'[9]Data Cap04001'!D19</f>
        <v>55277</v>
      </c>
      <c r="G17" s="167">
        <f>'[9]Data Cap04001'!E19</f>
        <v>45701</v>
      </c>
      <c r="H17" s="167"/>
      <c r="I17" s="167">
        <f>'[9]Data Cap04001'!F19</f>
        <v>28129</v>
      </c>
      <c r="J17" s="167"/>
      <c r="K17" s="167">
        <f>'[9]Data Cap04001'!G19</f>
        <v>43754</v>
      </c>
      <c r="L17" s="167">
        <f>'[9]Data Cap04001'!H19</f>
        <v>76523</v>
      </c>
      <c r="M17" s="167"/>
      <c r="N17" s="167">
        <f>'[9]Data Cap04001'!I19</f>
        <v>31978</v>
      </c>
      <c r="O17" s="168"/>
      <c r="P17" s="161"/>
      <c r="Q17" s="177"/>
    </row>
    <row r="18" spans="1:22" x14ac:dyDescent="0.3">
      <c r="A18" s="188"/>
      <c r="B18" s="189" t="s">
        <v>2248</v>
      </c>
      <c r="C18" s="177" t="s">
        <v>2249</v>
      </c>
      <c r="D18" s="172">
        <f t="shared" si="0"/>
        <v>68017</v>
      </c>
      <c r="E18" s="173"/>
      <c r="F18" s="174">
        <f>'[9]Data Cap04001'!D9</f>
        <v>13865</v>
      </c>
      <c r="G18" s="175">
        <f>'[9]Data Cap04001'!E9</f>
        <v>9613</v>
      </c>
      <c r="H18" s="175"/>
      <c r="I18" s="175">
        <f>'[9]Data Cap04001'!F9</f>
        <v>5514</v>
      </c>
      <c r="J18" s="175"/>
      <c r="K18" s="175">
        <f>'[9]Data Cap04001'!G9</f>
        <v>10678</v>
      </c>
      <c r="L18" s="175">
        <f>'[9]Data Cap04001'!H9</f>
        <v>18779</v>
      </c>
      <c r="M18" s="175"/>
      <c r="N18" s="175">
        <f>'[9]Data Cap04001'!I9</f>
        <v>9568</v>
      </c>
      <c r="O18" s="176"/>
      <c r="P18" s="161"/>
      <c r="Q18" s="177"/>
    </row>
    <row r="19" spans="1:22" x14ac:dyDescent="0.3">
      <c r="A19" s="190"/>
      <c r="B19" s="189" t="s">
        <v>2250</v>
      </c>
      <c r="C19" s="177" t="s">
        <v>2251</v>
      </c>
      <c r="D19" s="172">
        <f t="shared" ref="D19:D25" si="1">SUM(F19:N19)</f>
        <v>10316</v>
      </c>
      <c r="E19" s="173"/>
      <c r="F19" s="174">
        <f>'[9]Data Cap04001'!D10</f>
        <v>1932</v>
      </c>
      <c r="G19" s="175">
        <f>'[9]Data Cap04001'!E10</f>
        <v>632</v>
      </c>
      <c r="H19" s="175"/>
      <c r="I19" s="175">
        <f>'[9]Data Cap04001'!F10</f>
        <v>570</v>
      </c>
      <c r="J19" s="175"/>
      <c r="K19" s="175">
        <f>'[9]Data Cap04001'!G10</f>
        <v>2254</v>
      </c>
      <c r="L19" s="175">
        <f>'[9]Data Cap04001'!H10</f>
        <v>3189</v>
      </c>
      <c r="M19" s="175"/>
      <c r="N19" s="175">
        <f>'[9]Data Cap04001'!I10</f>
        <v>1739</v>
      </c>
      <c r="O19" s="176"/>
      <c r="P19" s="161"/>
      <c r="Q19" s="177"/>
    </row>
    <row r="20" spans="1:22" x14ac:dyDescent="0.3">
      <c r="A20" s="190"/>
      <c r="B20" s="189" t="s">
        <v>2252</v>
      </c>
      <c r="C20" s="177" t="s">
        <v>2253</v>
      </c>
      <c r="D20" s="172">
        <f t="shared" si="1"/>
        <v>9664</v>
      </c>
      <c r="E20" s="173"/>
      <c r="F20" s="174">
        <f>'[9]Data Cap04001'!D11</f>
        <v>2106</v>
      </c>
      <c r="G20" s="175">
        <f>'[9]Data Cap04001'!E11</f>
        <v>727</v>
      </c>
      <c r="H20" s="175"/>
      <c r="I20" s="175">
        <f>'[9]Data Cap04001'!F11</f>
        <v>438</v>
      </c>
      <c r="J20" s="175"/>
      <c r="K20" s="175">
        <f>'[9]Data Cap04001'!G11</f>
        <v>1774</v>
      </c>
      <c r="L20" s="175">
        <f>'[9]Data Cap04001'!H11</f>
        <v>3093</v>
      </c>
      <c r="M20" s="175"/>
      <c r="N20" s="175">
        <f>'[9]Data Cap04001'!I11</f>
        <v>1526</v>
      </c>
      <c r="O20" s="176"/>
      <c r="P20" s="161"/>
      <c r="Q20" s="177"/>
    </row>
    <row r="21" spans="1:22" x14ac:dyDescent="0.3">
      <c r="A21" s="190"/>
      <c r="B21" s="189" t="s">
        <v>2254</v>
      </c>
      <c r="C21" s="177" t="s">
        <v>2255</v>
      </c>
      <c r="D21" s="172">
        <f t="shared" si="1"/>
        <v>11064</v>
      </c>
      <c r="E21" s="173"/>
      <c r="F21" s="174">
        <f>'[9]Data Cap04001'!D12</f>
        <v>1743</v>
      </c>
      <c r="G21" s="175">
        <f>'[9]Data Cap04001'!E12</f>
        <v>800</v>
      </c>
      <c r="H21" s="175"/>
      <c r="I21" s="175">
        <f>'[9]Data Cap04001'!F12</f>
        <v>503</v>
      </c>
      <c r="J21" s="175"/>
      <c r="K21" s="175">
        <f>'[9]Data Cap04001'!G12</f>
        <v>2095</v>
      </c>
      <c r="L21" s="175">
        <f>'[9]Data Cap04001'!H12</f>
        <v>3881</v>
      </c>
      <c r="M21" s="175"/>
      <c r="N21" s="175">
        <f>'[9]Data Cap04001'!I12</f>
        <v>2042</v>
      </c>
      <c r="O21" s="176"/>
      <c r="P21" s="161"/>
      <c r="Q21" s="177"/>
    </row>
    <row r="22" spans="1:22" x14ac:dyDescent="0.3">
      <c r="A22" s="190"/>
      <c r="B22" s="189" t="s">
        <v>2256</v>
      </c>
      <c r="C22" s="177" t="s">
        <v>2257</v>
      </c>
      <c r="D22" s="172">
        <f t="shared" si="1"/>
        <v>38958</v>
      </c>
      <c r="E22" s="173"/>
      <c r="F22" s="174">
        <f>'[9]Data Cap04001'!D13</f>
        <v>7826</v>
      </c>
      <c r="G22" s="175">
        <f>'[9]Data Cap04001'!E13</f>
        <v>6389</v>
      </c>
      <c r="H22" s="175"/>
      <c r="I22" s="175">
        <f>'[9]Data Cap04001'!F13</f>
        <v>4302</v>
      </c>
      <c r="J22" s="175"/>
      <c r="K22" s="175">
        <f>'[9]Data Cap04001'!G13</f>
        <v>5673</v>
      </c>
      <c r="L22" s="175">
        <f>'[9]Data Cap04001'!H13</f>
        <v>10377</v>
      </c>
      <c r="M22" s="175"/>
      <c r="N22" s="175">
        <f>'[9]Data Cap04001'!I13</f>
        <v>4391</v>
      </c>
      <c r="O22" s="176"/>
      <c r="P22" s="161"/>
      <c r="Q22" s="177"/>
    </row>
    <row r="23" spans="1:22" x14ac:dyDescent="0.3">
      <c r="A23" s="190"/>
      <c r="B23" s="189" t="s">
        <v>2258</v>
      </c>
      <c r="C23" s="177" t="s">
        <v>2259</v>
      </c>
      <c r="D23" s="172">
        <f t="shared" si="1"/>
        <v>33732</v>
      </c>
      <c r="E23" s="173"/>
      <c r="F23" s="174">
        <f>'[9]Data Cap04001'!D14</f>
        <v>5450</v>
      </c>
      <c r="G23" s="175">
        <f>'[9]Data Cap04001'!E14</f>
        <v>6898</v>
      </c>
      <c r="H23" s="175"/>
      <c r="I23" s="175">
        <f>'[9]Data Cap04001'!F14</f>
        <v>4901</v>
      </c>
      <c r="J23" s="175"/>
      <c r="K23" s="175">
        <f>'[9]Data Cap04001'!G14</f>
        <v>4153</v>
      </c>
      <c r="L23" s="175">
        <f>'[9]Data Cap04001'!H14</f>
        <v>8935</v>
      </c>
      <c r="M23" s="175"/>
      <c r="N23" s="175">
        <f>'[9]Data Cap04001'!I14</f>
        <v>3395</v>
      </c>
      <c r="O23" s="176"/>
      <c r="P23" s="161"/>
      <c r="Q23" s="177"/>
    </row>
    <row r="24" spans="1:22" x14ac:dyDescent="0.3">
      <c r="A24" s="190"/>
      <c r="B24" s="189" t="s">
        <v>2260</v>
      </c>
      <c r="C24" s="177" t="s">
        <v>2261</v>
      </c>
      <c r="D24" s="172">
        <f t="shared" si="1"/>
        <v>36453</v>
      </c>
      <c r="E24" s="173"/>
      <c r="F24" s="174">
        <f>'[9]Data Cap04001'!D15</f>
        <v>7057</v>
      </c>
      <c r="G24" s="175">
        <f>'[9]Data Cap04001'!E15</f>
        <v>7100</v>
      </c>
      <c r="H24" s="175"/>
      <c r="I24" s="175">
        <f>'[9]Data Cap04001'!F15</f>
        <v>4704</v>
      </c>
      <c r="J24" s="175"/>
      <c r="K24" s="175">
        <f>'[9]Data Cap04001'!G15</f>
        <v>4724</v>
      </c>
      <c r="L24" s="175">
        <f>'[9]Data Cap04001'!H15</f>
        <v>9111</v>
      </c>
      <c r="M24" s="175"/>
      <c r="N24" s="175">
        <f>'[9]Data Cap04001'!I15</f>
        <v>3757</v>
      </c>
      <c r="O24" s="176"/>
      <c r="P24" s="161"/>
      <c r="Q24" s="177"/>
    </row>
    <row r="25" spans="1:22" x14ac:dyDescent="0.3">
      <c r="A25" s="190"/>
      <c r="B25" s="189" t="s">
        <v>2262</v>
      </c>
      <c r="C25" s="177" t="s">
        <v>2263</v>
      </c>
      <c r="D25" s="172">
        <f t="shared" si="1"/>
        <v>41228</v>
      </c>
      <c r="E25" s="173"/>
      <c r="F25" s="174">
        <f>'[9]Data Cap04001'!D16</f>
        <v>8236</v>
      </c>
      <c r="G25" s="175">
        <f>'[9]Data Cap04001'!E16</f>
        <v>6467</v>
      </c>
      <c r="H25" s="175"/>
      <c r="I25" s="175">
        <f>'[9]Data Cap04001'!F16</f>
        <v>3684</v>
      </c>
      <c r="J25" s="175"/>
      <c r="K25" s="175">
        <f>'[9]Data Cap04001'!G16</f>
        <v>7563</v>
      </c>
      <c r="L25" s="175">
        <f>'[9]Data Cap04001'!H16</f>
        <v>11593</v>
      </c>
      <c r="M25" s="175"/>
      <c r="N25" s="175">
        <f>'[9]Data Cap04001'!I16</f>
        <v>3685</v>
      </c>
      <c r="O25" s="176"/>
      <c r="P25" s="161"/>
      <c r="Q25" s="177"/>
    </row>
    <row r="26" spans="1:22" x14ac:dyDescent="0.3">
      <c r="A26" s="188"/>
      <c r="B26" s="177" t="s">
        <v>2264</v>
      </c>
      <c r="C26" s="177" t="s">
        <v>2265</v>
      </c>
      <c r="D26" s="172">
        <f>SUM(F26:N26)</f>
        <v>52002</v>
      </c>
      <c r="E26" s="173"/>
      <c r="F26" s="174">
        <f>'[9]Data Cap04001'!D17</f>
        <v>10931</v>
      </c>
      <c r="G26" s="175">
        <f>'[9]Data Cap04001'!E17</f>
        <v>8340</v>
      </c>
      <c r="H26" s="175"/>
      <c r="I26" s="175">
        <f>'[9]Data Cap04001'!F17</f>
        <v>4465</v>
      </c>
      <c r="J26" s="175"/>
      <c r="K26" s="175">
        <f>'[9]Data Cap04001'!G17</f>
        <v>8817</v>
      </c>
      <c r="L26" s="175">
        <f>'[9]Data Cap04001'!H17</f>
        <v>14282</v>
      </c>
      <c r="M26" s="175"/>
      <c r="N26" s="175">
        <f>'[9]Data Cap04001'!I17</f>
        <v>5167</v>
      </c>
      <c r="O26" s="176"/>
      <c r="P26" s="161"/>
      <c r="Q26" s="177"/>
    </row>
    <row r="27" spans="1:22" x14ac:dyDescent="0.3">
      <c r="A27" s="177"/>
      <c r="B27" s="177"/>
      <c r="C27" s="177" t="s">
        <v>2266</v>
      </c>
      <c r="D27" s="191">
        <f>SUM(F27:N27)</f>
        <v>0</v>
      </c>
      <c r="E27" s="184"/>
      <c r="F27" s="192"/>
      <c r="G27" s="185"/>
      <c r="H27" s="185"/>
      <c r="I27" s="185"/>
      <c r="J27" s="185"/>
      <c r="K27" s="185"/>
      <c r="L27" s="185"/>
      <c r="M27" s="185"/>
      <c r="N27" s="185"/>
      <c r="O27" s="186"/>
      <c r="P27" s="161"/>
      <c r="Q27" s="177"/>
    </row>
    <row r="28" spans="1:22" x14ac:dyDescent="0.3">
      <c r="A28" s="162" t="s">
        <v>2267</v>
      </c>
      <c r="B28" s="163"/>
      <c r="C28" s="193" t="s">
        <v>2247</v>
      </c>
      <c r="D28" s="194">
        <f>SUM(F28:N28)</f>
        <v>136348</v>
      </c>
      <c r="E28" s="195"/>
      <c r="F28" s="196">
        <f>'[9]Data Cap04001'!D30</f>
        <v>28431</v>
      </c>
      <c r="G28" s="196">
        <f>'[9]Data Cap04001'!E30</f>
        <v>21006</v>
      </c>
      <c r="H28" s="196"/>
      <c r="I28" s="196">
        <f>'[9]Data Cap04001'!F30</f>
        <v>13473</v>
      </c>
      <c r="J28" s="196"/>
      <c r="K28" s="196">
        <f>'[9]Data Cap04001'!G30</f>
        <v>19699</v>
      </c>
      <c r="L28" s="196">
        <f>'[9]Data Cap04001'!H30</f>
        <v>34939</v>
      </c>
      <c r="M28" s="196"/>
      <c r="N28" s="196">
        <f>'[9]Data Cap04001'!I30</f>
        <v>18800</v>
      </c>
      <c r="O28" s="176"/>
      <c r="P28" s="161"/>
      <c r="Q28" s="177"/>
    </row>
    <row r="29" spans="1:22" x14ac:dyDescent="0.3">
      <c r="A29" s="169"/>
      <c r="B29" s="189" t="s">
        <v>2268</v>
      </c>
      <c r="C29" s="171" t="s">
        <v>2269</v>
      </c>
      <c r="D29" s="172">
        <f>SUM(F29:N29)</f>
        <v>44756</v>
      </c>
      <c r="E29" s="173"/>
      <c r="F29" s="174">
        <f>'[9]Data Cap04001'!D20</f>
        <v>10183</v>
      </c>
      <c r="G29" s="174">
        <f>'[9]Data Cap04001'!E20</f>
        <v>7264</v>
      </c>
      <c r="H29" s="175"/>
      <c r="I29" s="175">
        <f>'[9]Data Cap04001'!F20</f>
        <v>4208</v>
      </c>
      <c r="J29" s="175"/>
      <c r="K29" s="175">
        <f>'[9]Data Cap04001'!G20</f>
        <v>6534</v>
      </c>
      <c r="L29" s="175">
        <f>'[9]Data Cap04001'!H20</f>
        <v>10816</v>
      </c>
      <c r="M29" s="175"/>
      <c r="N29" s="175">
        <f>'[9]Data Cap04001'!I20</f>
        <v>5751</v>
      </c>
      <c r="O29" s="176"/>
      <c r="P29" s="161"/>
      <c r="Q29" s="177"/>
      <c r="U29" s="4283" t="s">
        <v>2226</v>
      </c>
      <c r="V29" s="4283"/>
    </row>
    <row r="30" spans="1:22" x14ac:dyDescent="0.3">
      <c r="A30" s="179"/>
      <c r="B30" s="189" t="s">
        <v>2270</v>
      </c>
      <c r="C30" s="171" t="s">
        <v>2271</v>
      </c>
      <c r="D30" s="172">
        <f t="shared" ref="D30:D36" si="2">SUM(F30:N30)</f>
        <v>4853</v>
      </c>
      <c r="E30" s="173"/>
      <c r="F30" s="174">
        <f>'[9]Data Cap04001'!D21</f>
        <v>805</v>
      </c>
      <c r="G30" s="174">
        <f>'[9]Data Cap04001'!E21</f>
        <v>295</v>
      </c>
      <c r="H30" s="175"/>
      <c r="I30" s="175">
        <f>'[9]Data Cap04001'!F21</f>
        <v>265</v>
      </c>
      <c r="J30" s="175"/>
      <c r="K30" s="175">
        <f>'[9]Data Cap04001'!G21</f>
        <v>1055</v>
      </c>
      <c r="L30" s="175">
        <f>'[9]Data Cap04001'!H21</f>
        <v>1537</v>
      </c>
      <c r="M30" s="175"/>
      <c r="N30" s="175">
        <f>'[9]Data Cap04001'!I21</f>
        <v>896</v>
      </c>
      <c r="O30" s="176"/>
      <c r="P30" s="161"/>
      <c r="Q30" s="177"/>
      <c r="U30" s="4284"/>
      <c r="V30" s="4284"/>
    </row>
    <row r="31" spans="1:22" x14ac:dyDescent="0.3">
      <c r="A31" s="179"/>
      <c r="B31" s="189" t="s">
        <v>2272</v>
      </c>
      <c r="C31" s="171" t="s">
        <v>2273</v>
      </c>
      <c r="D31" s="172">
        <f t="shared" si="2"/>
        <v>3365</v>
      </c>
      <c r="E31" s="173"/>
      <c r="F31" s="174">
        <f>'[9]Data Cap04001'!D22</f>
        <v>739</v>
      </c>
      <c r="G31" s="174">
        <f>'[9]Data Cap04001'!E22</f>
        <v>180</v>
      </c>
      <c r="H31" s="175"/>
      <c r="I31" s="175">
        <f>'[9]Data Cap04001'!F22</f>
        <v>230</v>
      </c>
      <c r="J31" s="175"/>
      <c r="K31" s="175">
        <f>'[9]Data Cap04001'!G22</f>
        <v>754</v>
      </c>
      <c r="L31" s="175">
        <f>'[9]Data Cap04001'!H22</f>
        <v>985</v>
      </c>
      <c r="M31" s="175"/>
      <c r="N31" s="175">
        <f>'[9]Data Cap04001'!I22</f>
        <v>477</v>
      </c>
      <c r="O31" s="176"/>
      <c r="P31" s="161"/>
      <c r="Q31" s="177"/>
      <c r="U31" s="151" t="s">
        <v>2229</v>
      </c>
      <c r="V31" s="151" t="s">
        <v>2230</v>
      </c>
    </row>
    <row r="32" spans="1:22" x14ac:dyDescent="0.3">
      <c r="A32" s="169"/>
      <c r="B32" s="189" t="s">
        <v>2274</v>
      </c>
      <c r="C32" s="171" t="s">
        <v>2275</v>
      </c>
      <c r="D32" s="172">
        <f t="shared" si="2"/>
        <v>17347</v>
      </c>
      <c r="E32" s="173"/>
      <c r="F32" s="174">
        <f>'[9]Data Cap04001'!D23</f>
        <v>3566</v>
      </c>
      <c r="G32" s="174">
        <f>'[9]Data Cap04001'!E23</f>
        <v>2917</v>
      </c>
      <c r="H32" s="175"/>
      <c r="I32" s="175">
        <f>'[9]Data Cap04001'!F23</f>
        <v>1855</v>
      </c>
      <c r="J32" s="175"/>
      <c r="K32" s="175">
        <f>'[9]Data Cap04001'!G23</f>
        <v>1964</v>
      </c>
      <c r="L32" s="175">
        <f>'[9]Data Cap04001'!H23</f>
        <v>4110</v>
      </c>
      <c r="M32" s="175"/>
      <c r="N32" s="175">
        <f>'[9]Data Cap04001'!I23</f>
        <v>2935</v>
      </c>
      <c r="O32" s="176"/>
      <c r="P32" s="161"/>
      <c r="Q32" s="177"/>
      <c r="R32" s="225" t="s">
        <v>2663</v>
      </c>
      <c r="S32" s="225"/>
      <c r="T32" s="225"/>
      <c r="U32" s="225"/>
    </row>
    <row r="33" spans="1:22" s="224" customFormat="1" x14ac:dyDescent="0.3">
      <c r="A33" s="214"/>
      <c r="B33" s="215" t="s">
        <v>2276</v>
      </c>
      <c r="C33" s="216" t="s">
        <v>2277</v>
      </c>
      <c r="D33" s="217">
        <f t="shared" si="2"/>
        <v>34425</v>
      </c>
      <c r="E33" s="218"/>
      <c r="F33" s="219">
        <f>'[9]Data Cap04001'!D24</f>
        <v>7246</v>
      </c>
      <c r="G33" s="219">
        <f>'[9]Data Cap04001'!E24</f>
        <v>5085</v>
      </c>
      <c r="H33" s="220"/>
      <c r="I33" s="220">
        <f>'[9]Data Cap04001'!F24</f>
        <v>2962</v>
      </c>
      <c r="J33" s="220"/>
      <c r="K33" s="220">
        <f>'[9]Data Cap04001'!G24</f>
        <v>5933</v>
      </c>
      <c r="L33" s="220">
        <f>'[9]Data Cap04001'!H24</f>
        <v>9007</v>
      </c>
      <c r="M33" s="220"/>
      <c r="N33" s="220">
        <f>'[9]Data Cap04001'!I24</f>
        <v>4192</v>
      </c>
      <c r="O33" s="221"/>
      <c r="P33" s="222"/>
      <c r="Q33" s="223"/>
      <c r="R33" s="226"/>
      <c r="S33" s="1482">
        <v>112404</v>
      </c>
      <c r="T33" s="1482"/>
      <c r="U33" s="1482">
        <v>9717</v>
      </c>
      <c r="V33" s="1483">
        <v>14787</v>
      </c>
    </row>
    <row r="34" spans="1:22" x14ac:dyDescent="0.3">
      <c r="A34" s="169"/>
      <c r="B34" s="189" t="s">
        <v>2278</v>
      </c>
      <c r="C34" s="171" t="s">
        <v>2279</v>
      </c>
      <c r="D34" s="172">
        <f t="shared" si="2"/>
        <v>9169</v>
      </c>
      <c r="E34" s="173"/>
      <c r="F34" s="174">
        <f>'[9]Data Cap04001'!D25</f>
        <v>1532</v>
      </c>
      <c r="G34" s="174">
        <f>'[9]Data Cap04001'!E25</f>
        <v>1585</v>
      </c>
      <c r="H34" s="175"/>
      <c r="I34" s="175">
        <f>'[9]Data Cap04001'!F25</f>
        <v>875</v>
      </c>
      <c r="J34" s="175"/>
      <c r="K34" s="175">
        <f>'[9]Data Cap04001'!G25</f>
        <v>1184</v>
      </c>
      <c r="L34" s="175">
        <f>'[9]Data Cap04001'!H25</f>
        <v>2632</v>
      </c>
      <c r="M34" s="175"/>
      <c r="N34" s="175">
        <f>'[9]Data Cap04001'!I25</f>
        <v>1361</v>
      </c>
      <c r="O34" s="176"/>
      <c r="P34" s="161"/>
      <c r="Q34" s="177"/>
      <c r="S34" s="227">
        <f>D33/S33</f>
        <v>0.30626134301270419</v>
      </c>
      <c r="U34" s="227">
        <f>F33/U33</f>
        <v>0.74570340640115262</v>
      </c>
      <c r="V34" s="227">
        <f>G33/V33</f>
        <v>0.34388314059646985</v>
      </c>
    </row>
    <row r="35" spans="1:22" x14ac:dyDescent="0.3">
      <c r="A35" s="169"/>
      <c r="B35" s="189" t="s">
        <v>2280</v>
      </c>
      <c r="C35" s="171" t="s">
        <v>2281</v>
      </c>
      <c r="D35" s="172">
        <f t="shared" si="2"/>
        <v>13140</v>
      </c>
      <c r="E35" s="173"/>
      <c r="F35" s="174">
        <f>'[9]Data Cap04001'!D26</f>
        <v>3568</v>
      </c>
      <c r="G35" s="174">
        <f>'[9]Data Cap04001'!E26</f>
        <v>1865</v>
      </c>
      <c r="H35" s="175"/>
      <c r="I35" s="175">
        <f>'[9]Data Cap04001'!F26</f>
        <v>1434</v>
      </c>
      <c r="J35" s="175"/>
      <c r="K35" s="175">
        <f>'[9]Data Cap04001'!G26</f>
        <v>1961</v>
      </c>
      <c r="L35" s="175">
        <f>'[9]Data Cap04001'!H26</f>
        <v>3149</v>
      </c>
      <c r="M35" s="175"/>
      <c r="N35" s="175">
        <f>'[9]Data Cap04001'!I26</f>
        <v>1163</v>
      </c>
      <c r="O35" s="176"/>
      <c r="P35" s="161"/>
      <c r="Q35" s="177"/>
    </row>
    <row r="36" spans="1:22" x14ac:dyDescent="0.3">
      <c r="A36" s="169"/>
      <c r="B36" s="189" t="s">
        <v>2282</v>
      </c>
      <c r="C36" s="171" t="s">
        <v>2283</v>
      </c>
      <c r="D36" s="172">
        <f t="shared" si="2"/>
        <v>4799</v>
      </c>
      <c r="E36" s="173"/>
      <c r="F36" s="174">
        <f>'[9]Data Cap04001'!D27</f>
        <v>572</v>
      </c>
      <c r="G36" s="174">
        <f>'[9]Data Cap04001'!E27</f>
        <v>862</v>
      </c>
      <c r="H36" s="175"/>
      <c r="I36" s="175">
        <f>'[9]Data Cap04001'!F27</f>
        <v>580</v>
      </c>
      <c r="J36" s="175"/>
      <c r="K36" s="175">
        <f>'[9]Data Cap04001'!G27</f>
        <v>514</v>
      </c>
      <c r="L36" s="175">
        <f>'[9]Data Cap04001'!H27</f>
        <v>1438</v>
      </c>
      <c r="M36" s="175"/>
      <c r="N36" s="175">
        <f>'[9]Data Cap04001'!I27</f>
        <v>833</v>
      </c>
      <c r="O36" s="176"/>
      <c r="P36" s="161"/>
      <c r="Q36" s="177"/>
      <c r="S36" s="1482">
        <v>111691.37695052676</v>
      </c>
      <c r="U36" s="1482">
        <v>9262.0379975098895</v>
      </c>
      <c r="V36" s="1483">
        <v>15708.225370141796</v>
      </c>
    </row>
    <row r="37" spans="1:22" x14ac:dyDescent="0.3">
      <c r="A37" s="169"/>
      <c r="B37" s="189" t="s">
        <v>2284</v>
      </c>
      <c r="C37" s="171" t="s">
        <v>2285</v>
      </c>
      <c r="D37" s="172">
        <f t="shared" ref="D37:D57" si="3">SUM(F37:N37)</f>
        <v>10633</v>
      </c>
      <c r="E37" s="173"/>
      <c r="F37" s="174">
        <f>'[9]Data Cap04001'!D28</f>
        <v>1639</v>
      </c>
      <c r="G37" s="174">
        <f>'[9]Data Cap04001'!E28</f>
        <v>1261</v>
      </c>
      <c r="H37" s="175"/>
      <c r="I37" s="175">
        <f>'[9]Data Cap04001'!F28</f>
        <v>1370</v>
      </c>
      <c r="J37" s="175"/>
      <c r="K37" s="175">
        <f>'[9]Data Cap04001'!G28</f>
        <v>1183</v>
      </c>
      <c r="L37" s="175">
        <f>'[9]Data Cap04001'!H28</f>
        <v>3092</v>
      </c>
      <c r="M37" s="175"/>
      <c r="N37" s="175">
        <f>'[9]Data Cap04001'!I28</f>
        <v>2088</v>
      </c>
      <c r="O37" s="176"/>
      <c r="P37" s="161"/>
      <c r="Q37" s="177"/>
      <c r="S37" s="1484">
        <f>D33/S36</f>
        <v>0.30821537830309331</v>
      </c>
      <c r="T37" s="1484"/>
      <c r="U37" s="1484">
        <f>F33/U36</f>
        <v>0.78233321888207497</v>
      </c>
      <c r="V37" s="1484">
        <f>G33/V36</f>
        <v>0.32371575274604675</v>
      </c>
    </row>
    <row r="38" spans="1:22" x14ac:dyDescent="0.3">
      <c r="A38" s="181"/>
      <c r="B38" s="197"/>
      <c r="C38" s="183" t="s">
        <v>2286</v>
      </c>
      <c r="D38" s="191">
        <f t="shared" si="3"/>
        <v>0</v>
      </c>
      <c r="E38" s="173"/>
      <c r="F38" s="174"/>
      <c r="G38" s="174"/>
      <c r="H38" s="175"/>
      <c r="I38" s="175"/>
      <c r="J38" s="175"/>
      <c r="K38" s="175"/>
      <c r="L38" s="175"/>
      <c r="M38" s="175"/>
      <c r="N38" s="175"/>
      <c r="O38" s="176"/>
      <c r="P38" s="161"/>
      <c r="Q38" s="177"/>
    </row>
    <row r="39" spans="1:22" x14ac:dyDescent="0.3">
      <c r="A39" s="187" t="s">
        <v>1399</v>
      </c>
      <c r="C39" s="177" t="s">
        <v>2247</v>
      </c>
      <c r="D39" s="194">
        <f t="shared" si="3"/>
        <v>154196</v>
      </c>
      <c r="E39" s="166"/>
      <c r="F39" s="167">
        <f>'[9]Data Cap04001'!D38</f>
        <v>40730</v>
      </c>
      <c r="G39" s="167">
        <f>'[9]Data Cap04001'!E38</f>
        <v>19288</v>
      </c>
      <c r="H39" s="167"/>
      <c r="I39" s="167">
        <f>'[9]Data Cap04001'!F38</f>
        <v>9695</v>
      </c>
      <c r="J39" s="167"/>
      <c r="K39" s="167">
        <f>'[9]Data Cap04001'!G38</f>
        <v>26865</v>
      </c>
      <c r="L39" s="167">
        <f>'[9]Data Cap04001'!H38</f>
        <v>38810</v>
      </c>
      <c r="M39" s="167"/>
      <c r="N39" s="167">
        <f>'[9]Data Cap04001'!I38</f>
        <v>18808</v>
      </c>
      <c r="O39" s="168"/>
      <c r="Q39" s="177"/>
    </row>
    <row r="40" spans="1:22" x14ac:dyDescent="0.3">
      <c r="A40" s="188"/>
      <c r="B40" s="189" t="s">
        <v>2287</v>
      </c>
      <c r="C40" s="177" t="s">
        <v>2288</v>
      </c>
      <c r="D40" s="172">
        <f t="shared" si="3"/>
        <v>6996</v>
      </c>
      <c r="E40" s="173"/>
      <c r="F40" s="174">
        <f>'[9]Data Cap04001'!D31</f>
        <v>1806</v>
      </c>
      <c r="G40" s="174">
        <f>'[9]Data Cap04001'!E31</f>
        <v>872</v>
      </c>
      <c r="H40" s="175"/>
      <c r="I40" s="175">
        <f>'[9]Data Cap04001'!F31</f>
        <v>505</v>
      </c>
      <c r="J40" s="175"/>
      <c r="K40" s="175">
        <f>'[9]Data Cap04001'!G31</f>
        <v>1194</v>
      </c>
      <c r="L40" s="175">
        <f>'[9]Data Cap04001'!H31</f>
        <v>1754</v>
      </c>
      <c r="M40" s="175"/>
      <c r="N40" s="175">
        <f>'[9]Data Cap04001'!I31</f>
        <v>865</v>
      </c>
      <c r="O40" s="176"/>
      <c r="Q40" s="177"/>
    </row>
    <row r="41" spans="1:22" x14ac:dyDescent="0.3">
      <c r="A41" s="188"/>
      <c r="B41" s="189" t="s">
        <v>2289</v>
      </c>
      <c r="C41" s="177" t="s">
        <v>2290</v>
      </c>
      <c r="D41" s="172">
        <f t="shared" si="3"/>
        <v>8493</v>
      </c>
      <c r="E41" s="173"/>
      <c r="F41" s="174">
        <f>'[9]Data Cap04001'!D32</f>
        <v>1698</v>
      </c>
      <c r="G41" s="174">
        <f>'[9]Data Cap04001'!E32</f>
        <v>399</v>
      </c>
      <c r="H41" s="175"/>
      <c r="I41" s="175">
        <f>'[9]Data Cap04001'!F32</f>
        <v>322</v>
      </c>
      <c r="J41" s="175"/>
      <c r="K41" s="175">
        <f>'[9]Data Cap04001'!G32</f>
        <v>1634</v>
      </c>
      <c r="L41" s="175">
        <f>'[9]Data Cap04001'!H32</f>
        <v>2638</v>
      </c>
      <c r="M41" s="175"/>
      <c r="N41" s="175">
        <f>'[9]Data Cap04001'!I32</f>
        <v>1802</v>
      </c>
      <c r="O41" s="176"/>
      <c r="Q41" s="177"/>
    </row>
    <row r="42" spans="1:22" x14ac:dyDescent="0.3">
      <c r="A42" s="188"/>
      <c r="B42" s="189" t="s">
        <v>2291</v>
      </c>
      <c r="C42" s="177" t="s">
        <v>2292</v>
      </c>
      <c r="D42" s="172">
        <f t="shared" si="3"/>
        <v>11345</v>
      </c>
      <c r="E42" s="173"/>
      <c r="F42" s="174">
        <f>'[9]Data Cap04001'!D33</f>
        <v>1922</v>
      </c>
      <c r="G42" s="174">
        <f>'[9]Data Cap04001'!E33</f>
        <v>663</v>
      </c>
      <c r="H42" s="175"/>
      <c r="I42" s="175">
        <f>'[9]Data Cap04001'!F33</f>
        <v>540</v>
      </c>
      <c r="J42" s="175"/>
      <c r="K42" s="175">
        <f>'[9]Data Cap04001'!G33</f>
        <v>2217</v>
      </c>
      <c r="L42" s="175">
        <f>'[9]Data Cap04001'!H33</f>
        <v>3880</v>
      </c>
      <c r="M42" s="175"/>
      <c r="N42" s="175">
        <f>'[9]Data Cap04001'!I33</f>
        <v>2123</v>
      </c>
      <c r="O42" s="176"/>
      <c r="Q42" s="177"/>
    </row>
    <row r="43" spans="1:22" s="3" customFormat="1" x14ac:dyDescent="0.3">
      <c r="A43" s="190"/>
      <c r="B43" s="189" t="s">
        <v>2293</v>
      </c>
      <c r="C43" s="177" t="s">
        <v>2294</v>
      </c>
      <c r="D43" s="172">
        <f t="shared" si="3"/>
        <v>15756</v>
      </c>
      <c r="E43" s="173"/>
      <c r="F43" s="174">
        <f>'[9]Data Cap04001'!D34</f>
        <v>4362</v>
      </c>
      <c r="G43" s="174">
        <f>'[9]Data Cap04001'!E34</f>
        <v>2215</v>
      </c>
      <c r="H43" s="175"/>
      <c r="I43" s="175">
        <f>'[9]Data Cap04001'!F34</f>
        <v>943</v>
      </c>
      <c r="J43" s="175"/>
      <c r="K43" s="175">
        <f>'[9]Data Cap04001'!G34</f>
        <v>2649</v>
      </c>
      <c r="L43" s="175">
        <f>'[9]Data Cap04001'!H34</f>
        <v>4035</v>
      </c>
      <c r="M43" s="175"/>
      <c r="N43" s="175">
        <f>'[9]Data Cap04001'!I34</f>
        <v>1552</v>
      </c>
      <c r="O43" s="198"/>
      <c r="Q43" s="177"/>
    </row>
    <row r="44" spans="1:22" x14ac:dyDescent="0.3">
      <c r="A44" s="190"/>
      <c r="B44" s="189" t="s">
        <v>2295</v>
      </c>
      <c r="C44" s="177" t="s">
        <v>2296</v>
      </c>
      <c r="D44" s="172">
        <f t="shared" si="3"/>
        <v>15899</v>
      </c>
      <c r="E44" s="173"/>
      <c r="F44" s="174">
        <f>'[9]Data Cap04001'!D35</f>
        <v>2707</v>
      </c>
      <c r="G44" s="174">
        <f>'[9]Data Cap04001'!E35</f>
        <v>3102</v>
      </c>
      <c r="H44" s="175"/>
      <c r="I44" s="175">
        <f>'[9]Data Cap04001'!F35</f>
        <v>1534</v>
      </c>
      <c r="J44" s="175"/>
      <c r="K44" s="175">
        <f>'[9]Data Cap04001'!G35</f>
        <v>1847</v>
      </c>
      <c r="L44" s="175">
        <f>'[9]Data Cap04001'!H35</f>
        <v>4090</v>
      </c>
      <c r="M44" s="175"/>
      <c r="N44" s="175">
        <f>'[9]Data Cap04001'!I35</f>
        <v>2619</v>
      </c>
      <c r="O44" s="176"/>
      <c r="Q44" s="177"/>
    </row>
    <row r="45" spans="1:22" x14ac:dyDescent="0.3">
      <c r="A45" s="190"/>
      <c r="B45" s="189" t="s">
        <v>2297</v>
      </c>
      <c r="C45" s="177" t="s">
        <v>2298</v>
      </c>
      <c r="D45" s="172">
        <f t="shared" si="3"/>
        <v>107637</v>
      </c>
      <c r="E45" s="173"/>
      <c r="F45" s="174">
        <f>'[9]Data Cap04001'!D36</f>
        <v>30780</v>
      </c>
      <c r="G45" s="174">
        <f>'[9]Data Cap04001'!E36</f>
        <v>12656</v>
      </c>
      <c r="H45" s="175"/>
      <c r="I45" s="175">
        <f>'[9]Data Cap04001'!F36</f>
        <v>6341</v>
      </c>
      <c r="J45" s="175"/>
      <c r="K45" s="175">
        <f>'[9]Data Cap04001'!G36</f>
        <v>19906</v>
      </c>
      <c r="L45" s="175">
        <f>'[9]Data Cap04001'!H36</f>
        <v>26157</v>
      </c>
      <c r="M45" s="175"/>
      <c r="N45" s="175">
        <f>'[9]Data Cap04001'!I36</f>
        <v>11797</v>
      </c>
      <c r="O45" s="176"/>
      <c r="Q45" s="177"/>
    </row>
    <row r="46" spans="1:22" x14ac:dyDescent="0.3">
      <c r="A46" s="177"/>
      <c r="B46" s="189" t="s">
        <v>2299</v>
      </c>
      <c r="C46" s="177" t="s">
        <v>2300</v>
      </c>
      <c r="D46" s="191">
        <f t="shared" si="3"/>
        <v>1229</v>
      </c>
      <c r="E46" s="184"/>
      <c r="F46" s="192">
        <f>'[9]Data Cap04001'!D37</f>
        <v>21</v>
      </c>
      <c r="G46" s="192">
        <f>'[9]Data Cap04001'!E37</f>
        <v>26</v>
      </c>
      <c r="H46" s="185"/>
      <c r="I46" s="185">
        <f>'[9]Data Cap04001'!F37</f>
        <v>32</v>
      </c>
      <c r="J46" s="185"/>
      <c r="K46" s="185">
        <f>'[9]Data Cap04001'!G37</f>
        <v>107</v>
      </c>
      <c r="L46" s="185">
        <f>'[9]Data Cap04001'!H37</f>
        <v>631</v>
      </c>
      <c r="M46" s="185"/>
      <c r="N46" s="185">
        <f>'[9]Data Cap04001'!I37</f>
        <v>412</v>
      </c>
      <c r="O46" s="186"/>
      <c r="Q46" s="177"/>
    </row>
    <row r="47" spans="1:22" x14ac:dyDescent="0.3">
      <c r="A47" s="162" t="s">
        <v>1400</v>
      </c>
      <c r="B47" s="163"/>
      <c r="C47" s="193" t="s">
        <v>2247</v>
      </c>
      <c r="D47" s="194">
        <f t="shared" si="3"/>
        <v>223699</v>
      </c>
      <c r="E47" s="195"/>
      <c r="F47" s="196">
        <f>'[9]Data Cap04001'!D47</f>
        <v>44649</v>
      </c>
      <c r="G47" s="196">
        <f>'[9]Data Cap04001'!E47</f>
        <v>31381</v>
      </c>
      <c r="H47" s="196"/>
      <c r="I47" s="196">
        <f>'[9]Data Cap04001'!F47</f>
        <v>24870</v>
      </c>
      <c r="J47" s="196"/>
      <c r="K47" s="196">
        <f>'[9]Data Cap04001'!G47</f>
        <v>36869</v>
      </c>
      <c r="L47" s="196">
        <f>'[9]Data Cap04001'!H47</f>
        <v>59542</v>
      </c>
      <c r="M47" s="196"/>
      <c r="N47" s="196">
        <f>'[9]Data Cap04001'!I47</f>
        <v>26388</v>
      </c>
      <c r="O47" s="176"/>
      <c r="Q47" s="177"/>
    </row>
    <row r="48" spans="1:22" x14ac:dyDescent="0.3">
      <c r="A48" s="199"/>
      <c r="B48" s="189">
        <v>1024</v>
      </c>
      <c r="C48" s="171" t="s">
        <v>2301</v>
      </c>
      <c r="D48" s="172">
        <f t="shared" si="3"/>
        <v>10854</v>
      </c>
      <c r="E48" s="173"/>
      <c r="F48" s="174">
        <f>'[9]Data Cap04001'!D39</f>
        <v>2014</v>
      </c>
      <c r="G48" s="174">
        <f>'[9]Data Cap04001'!E39</f>
        <v>670</v>
      </c>
      <c r="H48" s="174"/>
      <c r="I48" s="174">
        <f>'[9]Data Cap04001'!F39</f>
        <v>644</v>
      </c>
      <c r="J48" s="174"/>
      <c r="K48" s="174">
        <f>'[9]Data Cap04001'!G39</f>
        <v>2249</v>
      </c>
      <c r="L48" s="174">
        <f>'[9]Data Cap04001'!H39</f>
        <v>3462</v>
      </c>
      <c r="M48" s="174"/>
      <c r="N48" s="174">
        <f>'[9]Data Cap04001'!I39</f>
        <v>1815</v>
      </c>
      <c r="O48" s="176"/>
      <c r="Q48" s="177"/>
    </row>
    <row r="49" spans="1:17" x14ac:dyDescent="0.3">
      <c r="A49" s="169"/>
      <c r="B49" s="189" t="s">
        <v>2302</v>
      </c>
      <c r="C49" s="171" t="s">
        <v>2303</v>
      </c>
      <c r="D49" s="172">
        <f t="shared" si="3"/>
        <v>17662</v>
      </c>
      <c r="E49" s="173"/>
      <c r="F49" s="174">
        <f>'[9]Data Cap04001'!D40</f>
        <v>3057</v>
      </c>
      <c r="G49" s="174">
        <f>'[9]Data Cap04001'!E40</f>
        <v>2485</v>
      </c>
      <c r="H49" s="175"/>
      <c r="I49" s="174">
        <f>'[9]Data Cap04001'!F40</f>
        <v>1534</v>
      </c>
      <c r="J49" s="175"/>
      <c r="K49" s="174">
        <f>'[9]Data Cap04001'!G40</f>
        <v>2567</v>
      </c>
      <c r="L49" s="174">
        <f>'[9]Data Cap04001'!H40</f>
        <v>5127</v>
      </c>
      <c r="M49" s="175"/>
      <c r="N49" s="174">
        <f>'[9]Data Cap04001'!I40</f>
        <v>2892</v>
      </c>
      <c r="O49" s="176"/>
      <c r="Q49" s="177"/>
    </row>
    <row r="50" spans="1:17" x14ac:dyDescent="0.3">
      <c r="A50" s="179"/>
      <c r="B50" s="189" t="s">
        <v>2304</v>
      </c>
      <c r="C50" s="171" t="s">
        <v>2305</v>
      </c>
      <c r="D50" s="172">
        <f t="shared" si="3"/>
        <v>34533</v>
      </c>
      <c r="E50" s="173"/>
      <c r="F50" s="174">
        <f>'[9]Data Cap04001'!D41</f>
        <v>5023</v>
      </c>
      <c r="G50" s="174">
        <f>'[9]Data Cap04001'!E41</f>
        <v>4888</v>
      </c>
      <c r="H50" s="174"/>
      <c r="I50" s="174">
        <f>'[9]Data Cap04001'!F41</f>
        <v>4033</v>
      </c>
      <c r="J50" s="174"/>
      <c r="K50" s="174">
        <f>'[9]Data Cap04001'!G41</f>
        <v>4058</v>
      </c>
      <c r="L50" s="174">
        <f>'[9]Data Cap04001'!H41</f>
        <v>10121</v>
      </c>
      <c r="M50" s="174"/>
      <c r="N50" s="174">
        <f>'[9]Data Cap04001'!I41</f>
        <v>6410</v>
      </c>
      <c r="O50" s="176"/>
      <c r="Q50" s="177"/>
    </row>
    <row r="51" spans="1:17" x14ac:dyDescent="0.3">
      <c r="A51" s="179"/>
      <c r="B51" s="189" t="s">
        <v>2306</v>
      </c>
      <c r="C51" s="171" t="s">
        <v>2307</v>
      </c>
      <c r="D51" s="172">
        <f t="shared" si="3"/>
        <v>15296</v>
      </c>
      <c r="E51" s="173"/>
      <c r="F51" s="174">
        <f>'[9]Data Cap04001'!D42</f>
        <v>2822</v>
      </c>
      <c r="G51" s="174">
        <f>'[9]Data Cap04001'!E42</f>
        <v>1976</v>
      </c>
      <c r="H51" s="174"/>
      <c r="I51" s="174">
        <f>'[9]Data Cap04001'!F42</f>
        <v>1809</v>
      </c>
      <c r="J51" s="174"/>
      <c r="K51" s="174">
        <f>'[9]Data Cap04001'!G42</f>
        <v>2275</v>
      </c>
      <c r="L51" s="174">
        <f>'[9]Data Cap04001'!H42</f>
        <v>4139</v>
      </c>
      <c r="M51" s="174"/>
      <c r="N51" s="174">
        <f>'[9]Data Cap04001'!I42</f>
        <v>2275</v>
      </c>
      <c r="O51" s="176"/>
      <c r="Q51" s="177"/>
    </row>
    <row r="52" spans="1:17" x14ac:dyDescent="0.3">
      <c r="A52" s="179"/>
      <c r="B52" s="189" t="s">
        <v>2308</v>
      </c>
      <c r="C52" s="171" t="s">
        <v>2309</v>
      </c>
      <c r="D52" s="172">
        <f t="shared" si="3"/>
        <v>24612</v>
      </c>
      <c r="E52" s="173"/>
      <c r="F52" s="174">
        <f>'[9]Data Cap04001'!D43</f>
        <v>5033</v>
      </c>
      <c r="G52" s="174">
        <f>'[9]Data Cap04001'!E43</f>
        <v>3385</v>
      </c>
      <c r="H52" s="174"/>
      <c r="I52" s="174">
        <f>'[9]Data Cap04001'!F43</f>
        <v>3113</v>
      </c>
      <c r="J52" s="174"/>
      <c r="K52" s="174">
        <f>'[9]Data Cap04001'!G43</f>
        <v>4145</v>
      </c>
      <c r="L52" s="174">
        <f>'[9]Data Cap04001'!H43</f>
        <v>6414</v>
      </c>
      <c r="M52" s="174"/>
      <c r="N52" s="174">
        <f>'[9]Data Cap04001'!I43</f>
        <v>2522</v>
      </c>
      <c r="O52" s="176"/>
      <c r="Q52" s="177"/>
    </row>
    <row r="53" spans="1:17" x14ac:dyDescent="0.3">
      <c r="A53" s="169"/>
      <c r="B53" s="189" t="s">
        <v>2310</v>
      </c>
      <c r="C53" s="171" t="s">
        <v>2311</v>
      </c>
      <c r="D53" s="172">
        <f t="shared" si="3"/>
        <v>82278</v>
      </c>
      <c r="E53" s="173"/>
      <c r="F53" s="174">
        <f>'[9]Data Cap04001'!D44</f>
        <v>18372</v>
      </c>
      <c r="G53" s="174">
        <f>'[9]Data Cap04001'!E44</f>
        <v>10655</v>
      </c>
      <c r="H53" s="174"/>
      <c r="I53" s="174">
        <f>'[9]Data Cap04001'!F44</f>
        <v>8769</v>
      </c>
      <c r="J53" s="174"/>
      <c r="K53" s="174">
        <f>'[9]Data Cap04001'!G44</f>
        <v>15624</v>
      </c>
      <c r="L53" s="174">
        <f>'[9]Data Cap04001'!H44</f>
        <v>20859</v>
      </c>
      <c r="M53" s="174"/>
      <c r="N53" s="174">
        <f>'[9]Data Cap04001'!I44</f>
        <v>7999</v>
      </c>
      <c r="O53" s="176"/>
      <c r="Q53" s="177"/>
    </row>
    <row r="54" spans="1:17" x14ac:dyDescent="0.3">
      <c r="A54" s="169"/>
      <c r="B54" s="189" t="s">
        <v>2312</v>
      </c>
      <c r="C54" s="171" t="s">
        <v>2313</v>
      </c>
      <c r="D54" s="172">
        <f t="shared" si="3"/>
        <v>17318</v>
      </c>
      <c r="E54" s="173"/>
      <c r="F54" s="174">
        <f>'[9]Data Cap04001'!D45</f>
        <v>2949</v>
      </c>
      <c r="G54" s="174">
        <f>'[9]Data Cap04001'!E45</f>
        <v>2949</v>
      </c>
      <c r="H54" s="174"/>
      <c r="I54" s="174">
        <f>'[9]Data Cap04001'!F45</f>
        <v>2374</v>
      </c>
      <c r="J54" s="174"/>
      <c r="K54" s="174">
        <f>'[9]Data Cap04001'!G45</f>
        <v>2398</v>
      </c>
      <c r="L54" s="174">
        <f>'[9]Data Cap04001'!H45</f>
        <v>4524</v>
      </c>
      <c r="M54" s="174"/>
      <c r="N54" s="174">
        <f>'[9]Data Cap04001'!I45</f>
        <v>2124</v>
      </c>
      <c r="O54" s="176"/>
      <c r="Q54" s="177"/>
    </row>
    <row r="55" spans="1:17" x14ac:dyDescent="0.3">
      <c r="A55" s="181"/>
      <c r="B55" s="197" t="s">
        <v>2314</v>
      </c>
      <c r="C55" s="183" t="s">
        <v>2315</v>
      </c>
      <c r="D55" s="172">
        <f t="shared" si="3"/>
        <v>29449</v>
      </c>
      <c r="E55" s="184"/>
      <c r="F55" s="174">
        <f>'[9]Data Cap04001'!D46</f>
        <v>7042</v>
      </c>
      <c r="G55" s="174">
        <f>'[9]Data Cap04001'!E46</f>
        <v>4850</v>
      </c>
      <c r="H55" s="192"/>
      <c r="I55" s="174">
        <f>'[9]Data Cap04001'!F46</f>
        <v>3137</v>
      </c>
      <c r="J55" s="192"/>
      <c r="K55" s="174">
        <f>'[9]Data Cap04001'!G46</f>
        <v>5446</v>
      </c>
      <c r="L55" s="174">
        <f>'[9]Data Cap04001'!H46</f>
        <v>7373</v>
      </c>
      <c r="M55" s="192"/>
      <c r="N55" s="174">
        <f>'[9]Data Cap04001'!I46</f>
        <v>1601</v>
      </c>
      <c r="O55" s="186"/>
      <c r="Q55" s="177"/>
    </row>
    <row r="56" spans="1:17" x14ac:dyDescent="0.3">
      <c r="A56" s="199" t="s">
        <v>1401</v>
      </c>
      <c r="B56" s="200"/>
      <c r="C56" s="177" t="s">
        <v>2247</v>
      </c>
      <c r="D56" s="165">
        <f t="shared" si="3"/>
        <v>469401</v>
      </c>
      <c r="E56" s="166"/>
      <c r="F56" s="167">
        <f>'[9]Data Cap04001'!D57</f>
        <v>100655</v>
      </c>
      <c r="G56" s="167">
        <f>'[9]Data Cap04001'!E57</f>
        <v>84388</v>
      </c>
      <c r="H56" s="167"/>
      <c r="I56" s="167">
        <f>'[9]Data Cap04001'!F57</f>
        <v>53537</v>
      </c>
      <c r="J56" s="167"/>
      <c r="K56" s="167">
        <f>'[9]Data Cap04001'!G57</f>
        <v>66766</v>
      </c>
      <c r="L56" s="167">
        <f>'[9]Data Cap04001'!H57</f>
        <v>120218</v>
      </c>
      <c r="M56" s="167"/>
      <c r="N56" s="167">
        <f>'[9]Data Cap04001'!I57</f>
        <v>43837</v>
      </c>
      <c r="O56" s="168"/>
      <c r="Q56" s="177"/>
    </row>
    <row r="57" spans="1:17" x14ac:dyDescent="0.3">
      <c r="A57" s="169"/>
      <c r="B57" s="189" t="s">
        <v>2316</v>
      </c>
      <c r="C57" s="177" t="s">
        <v>2317</v>
      </c>
      <c r="D57" s="172">
        <f t="shared" si="3"/>
        <v>195812</v>
      </c>
      <c r="E57" s="173"/>
      <c r="F57" s="174">
        <f>'[9]Data Cap04001'!D48</f>
        <v>44448</v>
      </c>
      <c r="G57" s="174">
        <f>'[9]Data Cap04001'!E48</f>
        <v>34498</v>
      </c>
      <c r="H57" s="174"/>
      <c r="I57" s="174">
        <f>'[9]Data Cap04001'!F48</f>
        <v>19931</v>
      </c>
      <c r="J57" s="174"/>
      <c r="K57" s="174">
        <f>'[9]Data Cap04001'!G48</f>
        <v>30292</v>
      </c>
      <c r="L57" s="174">
        <f>'[9]Data Cap04001'!H48</f>
        <v>48265</v>
      </c>
      <c r="M57" s="174"/>
      <c r="N57" s="174">
        <f>'[9]Data Cap04001'!I48</f>
        <v>18378</v>
      </c>
      <c r="O57" s="176"/>
      <c r="Q57" s="177"/>
    </row>
    <row r="58" spans="1:17" x14ac:dyDescent="0.3">
      <c r="A58" s="179"/>
      <c r="B58" s="189" t="s">
        <v>2318</v>
      </c>
      <c r="C58" s="177" t="s">
        <v>2319</v>
      </c>
      <c r="D58" s="172">
        <f t="shared" ref="D58:D63" si="4">SUM(F58:N58)</f>
        <v>101791</v>
      </c>
      <c r="E58" s="173"/>
      <c r="F58" s="174">
        <f>'[9]Data Cap04001'!D49</f>
        <v>18591</v>
      </c>
      <c r="G58" s="174">
        <f>'[9]Data Cap04001'!E49</f>
        <v>18011</v>
      </c>
      <c r="H58" s="174"/>
      <c r="I58" s="174">
        <f>'[9]Data Cap04001'!F49</f>
        <v>11826</v>
      </c>
      <c r="J58" s="174"/>
      <c r="K58" s="174">
        <f>'[9]Data Cap04001'!G49</f>
        <v>12871</v>
      </c>
      <c r="L58" s="174">
        <f>'[9]Data Cap04001'!H49</f>
        <v>29322</v>
      </c>
      <c r="M58" s="174"/>
      <c r="N58" s="174">
        <f>'[9]Data Cap04001'!I49</f>
        <v>11170</v>
      </c>
      <c r="O58" s="176"/>
      <c r="Q58" s="177"/>
    </row>
    <row r="59" spans="1:17" x14ac:dyDescent="0.3">
      <c r="A59" s="179"/>
      <c r="B59" s="189" t="s">
        <v>2320</v>
      </c>
      <c r="C59" s="177" t="s">
        <v>2321</v>
      </c>
      <c r="D59" s="172">
        <f t="shared" si="4"/>
        <v>63958</v>
      </c>
      <c r="E59" s="173"/>
      <c r="F59" s="174">
        <f>'[9]Data Cap04001'!D50</f>
        <v>9488</v>
      </c>
      <c r="G59" s="174">
        <f>'[9]Data Cap04001'!E50</f>
        <v>11972</v>
      </c>
      <c r="H59" s="174"/>
      <c r="I59" s="174">
        <f>'[9]Data Cap04001'!F50</f>
        <v>8931</v>
      </c>
      <c r="J59" s="174"/>
      <c r="K59" s="174">
        <f>'[9]Data Cap04001'!G50</f>
        <v>8815</v>
      </c>
      <c r="L59" s="174">
        <f>'[9]Data Cap04001'!H50</f>
        <v>18506</v>
      </c>
      <c r="M59" s="174"/>
      <c r="N59" s="174">
        <f>'[9]Data Cap04001'!I50</f>
        <v>6246</v>
      </c>
      <c r="O59" s="176"/>
      <c r="Q59" s="177"/>
    </row>
    <row r="60" spans="1:17" x14ac:dyDescent="0.3">
      <c r="A60" s="179"/>
      <c r="B60" s="189" t="s">
        <v>2322</v>
      </c>
      <c r="C60" s="177" t="s">
        <v>2323</v>
      </c>
      <c r="D60" s="172">
        <f t="shared" si="4"/>
        <v>50471</v>
      </c>
      <c r="E60" s="173"/>
      <c r="F60" s="174">
        <f>'[9]Data Cap04001'!D51</f>
        <v>12019</v>
      </c>
      <c r="G60" s="174">
        <f>'[9]Data Cap04001'!E51</f>
        <v>9371</v>
      </c>
      <c r="H60" s="174"/>
      <c r="I60" s="174">
        <f>'[9]Data Cap04001'!F51</f>
        <v>6195</v>
      </c>
      <c r="J60" s="174"/>
      <c r="K60" s="174">
        <f>'[9]Data Cap04001'!G51</f>
        <v>7134</v>
      </c>
      <c r="L60" s="174">
        <f>'[9]Data Cap04001'!H51</f>
        <v>12124</v>
      </c>
      <c r="M60" s="174"/>
      <c r="N60" s="174">
        <f>'[9]Data Cap04001'!I51</f>
        <v>3628</v>
      </c>
      <c r="O60" s="176"/>
      <c r="Q60" s="177"/>
    </row>
    <row r="61" spans="1:17" x14ac:dyDescent="0.3">
      <c r="A61" s="179"/>
      <c r="B61" s="189" t="s">
        <v>2324</v>
      </c>
      <c r="C61" s="177" t="s">
        <v>2325</v>
      </c>
      <c r="D61" s="172">
        <f t="shared" si="4"/>
        <v>10655</v>
      </c>
      <c r="E61" s="173"/>
      <c r="F61" s="174">
        <f>'[9]Data Cap04001'!D52</f>
        <v>1712</v>
      </c>
      <c r="G61" s="174">
        <f>'[9]Data Cap04001'!E52</f>
        <v>555</v>
      </c>
      <c r="H61" s="174"/>
      <c r="I61" s="174">
        <f>'[9]Data Cap04001'!F52</f>
        <v>593</v>
      </c>
      <c r="J61" s="174"/>
      <c r="K61" s="174">
        <f>'[9]Data Cap04001'!G52</f>
        <v>1961</v>
      </c>
      <c r="L61" s="174">
        <f>'[9]Data Cap04001'!H52</f>
        <v>3563</v>
      </c>
      <c r="M61" s="174"/>
      <c r="N61" s="174">
        <f>'[9]Data Cap04001'!I52</f>
        <v>2271</v>
      </c>
      <c r="O61" s="176"/>
      <c r="Q61" s="177"/>
    </row>
    <row r="62" spans="1:17" x14ac:dyDescent="0.3">
      <c r="A62" s="179"/>
      <c r="B62" s="189" t="s">
        <v>2326</v>
      </c>
      <c r="C62" s="177" t="s">
        <v>2327</v>
      </c>
      <c r="D62" s="172">
        <f t="shared" si="4"/>
        <v>8695</v>
      </c>
      <c r="E62" s="173"/>
      <c r="F62" s="174">
        <f>'[9]Data Cap04001'!D53</f>
        <v>2744</v>
      </c>
      <c r="G62" s="174">
        <f>'[9]Data Cap04001'!E53</f>
        <v>829</v>
      </c>
      <c r="H62" s="174"/>
      <c r="I62" s="174">
        <f>'[9]Data Cap04001'!F53</f>
        <v>668</v>
      </c>
      <c r="J62" s="174"/>
      <c r="K62" s="174">
        <f>'[9]Data Cap04001'!G53</f>
        <v>1449</v>
      </c>
      <c r="L62" s="174">
        <f>'[9]Data Cap04001'!H53</f>
        <v>2045</v>
      </c>
      <c r="M62" s="174"/>
      <c r="N62" s="174">
        <f>'[9]Data Cap04001'!I53</f>
        <v>960</v>
      </c>
      <c r="O62" s="176"/>
      <c r="Q62" s="177"/>
    </row>
    <row r="63" spans="1:17" x14ac:dyDescent="0.3">
      <c r="A63" s="169"/>
      <c r="B63" s="189" t="s">
        <v>2328</v>
      </c>
      <c r="C63" s="177" t="s">
        <v>2329</v>
      </c>
      <c r="D63" s="172">
        <f t="shared" si="4"/>
        <v>5555</v>
      </c>
      <c r="E63" s="173"/>
      <c r="F63" s="174">
        <f>'[9]Data Cap04001'!D54</f>
        <v>1386</v>
      </c>
      <c r="G63" s="174">
        <f>'[9]Data Cap04001'!E54</f>
        <v>438</v>
      </c>
      <c r="H63" s="174"/>
      <c r="I63" s="174">
        <f>'[9]Data Cap04001'!F54</f>
        <v>291</v>
      </c>
      <c r="J63" s="174"/>
      <c r="K63" s="174">
        <f>'[9]Data Cap04001'!G54</f>
        <v>1228</v>
      </c>
      <c r="L63" s="174">
        <f>'[9]Data Cap04001'!H54</f>
        <v>1593</v>
      </c>
      <c r="M63" s="174"/>
      <c r="N63" s="174">
        <f>'[9]Data Cap04001'!I54</f>
        <v>619</v>
      </c>
      <c r="O63" s="176"/>
      <c r="Q63" s="177"/>
    </row>
    <row r="64" spans="1:17" x14ac:dyDescent="0.3">
      <c r="A64" s="169"/>
      <c r="B64" s="189" t="s">
        <v>2330</v>
      </c>
      <c r="C64" s="177" t="s">
        <v>2331</v>
      </c>
      <c r="D64" s="172">
        <f>SUM(F64:N64)</f>
        <v>43694</v>
      </c>
      <c r="E64" s="174"/>
      <c r="F64" s="174">
        <f>'[9]Data Cap04001'!D55</f>
        <v>12378</v>
      </c>
      <c r="G64" s="174">
        <f>'[9]Data Cap04001'!E55</f>
        <v>9282</v>
      </c>
      <c r="H64" s="174"/>
      <c r="I64" s="174">
        <f>'[9]Data Cap04001'!F55</f>
        <v>5770</v>
      </c>
      <c r="J64" s="174"/>
      <c r="K64" s="174">
        <f>'[9]Data Cap04001'!G55</f>
        <v>5422</v>
      </c>
      <c r="L64" s="174">
        <f>'[9]Data Cap04001'!H55</f>
        <v>8491</v>
      </c>
      <c r="M64" s="174"/>
      <c r="N64" s="174">
        <f>'[9]Data Cap04001'!I55</f>
        <v>2351</v>
      </c>
      <c r="O64" s="176"/>
      <c r="Q64" s="177"/>
    </row>
    <row r="65" spans="1:17" x14ac:dyDescent="0.3">
      <c r="A65" s="169"/>
      <c r="B65" s="189"/>
      <c r="C65" s="177" t="s">
        <v>2332</v>
      </c>
      <c r="D65" s="172">
        <f>SUM(F65:N65)</f>
        <v>0</v>
      </c>
      <c r="E65" s="173"/>
      <c r="F65" s="174"/>
      <c r="G65" s="174"/>
      <c r="H65" s="174"/>
      <c r="I65" s="174"/>
      <c r="J65" s="174"/>
      <c r="K65" s="174"/>
      <c r="L65" s="174"/>
      <c r="M65" s="174"/>
      <c r="N65" s="174"/>
      <c r="O65" s="176"/>
      <c r="Q65" s="177"/>
    </row>
    <row r="66" spans="1:17" x14ac:dyDescent="0.3">
      <c r="A66" s="162" t="s">
        <v>1402</v>
      </c>
      <c r="B66" s="201"/>
      <c r="C66" s="193" t="s">
        <v>2247</v>
      </c>
      <c r="D66" s="165">
        <f>SUM(F66:N66)</f>
        <v>157342</v>
      </c>
      <c r="E66" s="166"/>
      <c r="F66" s="167">
        <f>'[9]Data Cap04001'!D63</f>
        <v>33241</v>
      </c>
      <c r="G66" s="167">
        <f>'[9]Data Cap04001'!E63</f>
        <v>19163</v>
      </c>
      <c r="H66" s="167"/>
      <c r="I66" s="167">
        <f>'[9]Data Cap04001'!F63</f>
        <v>11032</v>
      </c>
      <c r="J66" s="167"/>
      <c r="K66" s="167">
        <f>'[9]Data Cap04001'!G63</f>
        <v>27929</v>
      </c>
      <c r="L66" s="167">
        <f>'[9]Data Cap04001'!H63</f>
        <v>46249</v>
      </c>
      <c r="M66" s="167"/>
      <c r="N66" s="167">
        <f>'[9]Data Cap04001'!I63</f>
        <v>19728</v>
      </c>
      <c r="O66" s="168"/>
      <c r="Q66" s="177"/>
    </row>
    <row r="67" spans="1:17" x14ac:dyDescent="0.3">
      <c r="A67" s="169"/>
      <c r="B67" s="189" t="s">
        <v>2333</v>
      </c>
      <c r="C67" s="171" t="s">
        <v>2334</v>
      </c>
      <c r="D67" s="172">
        <f>SUM(F67:N67)</f>
        <v>121346</v>
      </c>
      <c r="E67" s="173"/>
      <c r="F67" s="174">
        <f>'[9]Data Cap04001'!D58</f>
        <v>28834</v>
      </c>
      <c r="G67" s="174">
        <f>'[9]Data Cap04001'!E58</f>
        <v>15775</v>
      </c>
      <c r="H67" s="174"/>
      <c r="I67" s="174">
        <f>'[9]Data Cap04001'!F58</f>
        <v>8698</v>
      </c>
      <c r="J67" s="174"/>
      <c r="K67" s="174">
        <f>'[9]Data Cap04001'!G58</f>
        <v>21802</v>
      </c>
      <c r="L67" s="174">
        <f>'[9]Data Cap04001'!H58</f>
        <v>33412</v>
      </c>
      <c r="M67" s="174"/>
      <c r="N67" s="174">
        <f>'[9]Data Cap04001'!I58</f>
        <v>12825</v>
      </c>
      <c r="O67" s="176"/>
      <c r="Q67" s="177"/>
    </row>
    <row r="68" spans="1:17" x14ac:dyDescent="0.3">
      <c r="A68" s="169"/>
      <c r="B68" s="189" t="s">
        <v>2335</v>
      </c>
      <c r="C68" s="171" t="s">
        <v>2336</v>
      </c>
      <c r="D68" s="172">
        <f t="shared" ref="D68:D81" si="5">SUM(F68:N68)</f>
        <v>37523</v>
      </c>
      <c r="E68" s="173"/>
      <c r="F68" s="174">
        <f>'[9]Data Cap04001'!D59</f>
        <v>5239</v>
      </c>
      <c r="G68" s="174">
        <f>'[9]Data Cap04001'!E59</f>
        <v>3079</v>
      </c>
      <c r="H68" s="174"/>
      <c r="I68" s="174">
        <f>'[9]Data Cap04001'!F59</f>
        <v>1953</v>
      </c>
      <c r="J68" s="174"/>
      <c r="K68" s="174">
        <f>'[9]Data Cap04001'!G59</f>
        <v>5631</v>
      </c>
      <c r="L68" s="174">
        <f>'[9]Data Cap04001'!H59</f>
        <v>13248</v>
      </c>
      <c r="M68" s="174"/>
      <c r="N68" s="174">
        <f>'[9]Data Cap04001'!I59</f>
        <v>8373</v>
      </c>
      <c r="O68" s="176"/>
      <c r="Q68" s="177"/>
    </row>
    <row r="69" spans="1:17" x14ac:dyDescent="0.3">
      <c r="A69" s="169"/>
      <c r="B69" s="189" t="s">
        <v>2337</v>
      </c>
      <c r="C69" s="171" t="s">
        <v>2338</v>
      </c>
      <c r="D69" s="172">
        <f t="shared" si="5"/>
        <v>19905</v>
      </c>
      <c r="E69" s="173"/>
      <c r="F69" s="174">
        <f>'[9]Data Cap04001'!D60</f>
        <v>2654</v>
      </c>
      <c r="G69" s="174">
        <f>'[9]Data Cap04001'!E60</f>
        <v>1466</v>
      </c>
      <c r="H69" s="174"/>
      <c r="I69" s="174">
        <f>'[9]Data Cap04001'!F60</f>
        <v>1154</v>
      </c>
      <c r="J69" s="174"/>
      <c r="K69" s="174">
        <f>'[9]Data Cap04001'!G60</f>
        <v>3534</v>
      </c>
      <c r="L69" s="174">
        <f>'[9]Data Cap04001'!H60</f>
        <v>7410</v>
      </c>
      <c r="M69" s="174"/>
      <c r="N69" s="174">
        <f>'[9]Data Cap04001'!I60</f>
        <v>3687</v>
      </c>
      <c r="O69" s="176"/>
      <c r="Q69" s="177"/>
    </row>
    <row r="70" spans="1:17" x14ac:dyDescent="0.3">
      <c r="A70" s="169"/>
      <c r="B70" s="189" t="s">
        <v>2339</v>
      </c>
      <c r="C70" s="171" t="s">
        <v>2340</v>
      </c>
      <c r="D70" s="172">
        <f t="shared" si="5"/>
        <v>18448</v>
      </c>
      <c r="E70" s="173"/>
      <c r="F70" s="174">
        <f>'[9]Data Cap04001'!D61</f>
        <v>4587</v>
      </c>
      <c r="G70" s="174">
        <f>'[9]Data Cap04001'!E61</f>
        <v>1803</v>
      </c>
      <c r="H70" s="174"/>
      <c r="I70" s="174">
        <f>'[9]Data Cap04001'!F61</f>
        <v>1108</v>
      </c>
      <c r="J70" s="174"/>
      <c r="K70" s="174">
        <f>'[9]Data Cap04001'!G61</f>
        <v>3771</v>
      </c>
      <c r="L70" s="174">
        <f>'[9]Data Cap04001'!H61</f>
        <v>5208</v>
      </c>
      <c r="M70" s="174"/>
      <c r="N70" s="174">
        <f>'[9]Data Cap04001'!I61</f>
        <v>1971</v>
      </c>
      <c r="O70" s="176"/>
      <c r="Q70" s="177"/>
    </row>
    <row r="71" spans="1:17" x14ac:dyDescent="0.3">
      <c r="A71" s="181"/>
      <c r="B71" s="197" t="s">
        <v>2339</v>
      </c>
      <c r="C71" s="183" t="s">
        <v>2341</v>
      </c>
      <c r="D71" s="191">
        <f t="shared" si="5"/>
        <v>0</v>
      </c>
      <c r="E71" s="184"/>
      <c r="F71" s="192"/>
      <c r="G71" s="192"/>
      <c r="H71" s="192"/>
      <c r="I71" s="192"/>
      <c r="J71" s="192"/>
      <c r="K71" s="192"/>
      <c r="L71" s="192"/>
      <c r="M71" s="192"/>
      <c r="N71" s="192"/>
      <c r="O71" s="186"/>
      <c r="Q71" s="177"/>
    </row>
    <row r="72" spans="1:17" x14ac:dyDescent="0.3">
      <c r="A72" s="199" t="s">
        <v>1403</v>
      </c>
      <c r="B72" s="200"/>
      <c r="C72" s="177" t="s">
        <v>2247</v>
      </c>
      <c r="D72" s="194">
        <f>SUM(F72:N72)</f>
        <v>279717</v>
      </c>
      <c r="E72" s="195"/>
      <c r="F72" s="196">
        <f>'[9]Data Cap04001'!D74</f>
        <v>70320</v>
      </c>
      <c r="G72" s="196">
        <f>'[9]Data Cap04001'!E74</f>
        <v>44273</v>
      </c>
      <c r="H72" s="196"/>
      <c r="I72" s="196">
        <f>'[9]Data Cap04001'!F74</f>
        <v>23748</v>
      </c>
      <c r="J72" s="196"/>
      <c r="K72" s="196">
        <f>'[9]Data Cap04001'!G74</f>
        <v>43367</v>
      </c>
      <c r="L72" s="196">
        <f>'[9]Data Cap04001'!H74</f>
        <v>70003</v>
      </c>
      <c r="M72" s="196"/>
      <c r="N72" s="196">
        <f>'[9]Data Cap04001'!I74</f>
        <v>28006</v>
      </c>
      <c r="O72" s="176"/>
      <c r="Q72" s="177"/>
    </row>
    <row r="73" spans="1:17" x14ac:dyDescent="0.3">
      <c r="A73" s="169"/>
      <c r="B73" s="189" t="s">
        <v>2342</v>
      </c>
      <c r="C73" s="177" t="s">
        <v>2343</v>
      </c>
      <c r="D73" s="172">
        <f t="shared" si="5"/>
        <v>37326</v>
      </c>
      <c r="E73" s="173"/>
      <c r="F73" s="174">
        <f>'[9]Data Cap04001'!D64</f>
        <v>9193</v>
      </c>
      <c r="G73" s="174">
        <f>'[9]Data Cap04001'!E64</f>
        <v>6342</v>
      </c>
      <c r="H73" s="174"/>
      <c r="I73" s="174">
        <f>'[9]Data Cap04001'!F64</f>
        <v>3718</v>
      </c>
      <c r="J73" s="174"/>
      <c r="K73" s="174">
        <f>'[9]Data Cap04001'!G64</f>
        <v>5144</v>
      </c>
      <c r="L73" s="174">
        <f>'[9]Data Cap04001'!H64</f>
        <v>8574</v>
      </c>
      <c r="M73" s="174"/>
      <c r="N73" s="174">
        <f>'[9]Data Cap04001'!I64</f>
        <v>4355</v>
      </c>
      <c r="O73" s="176"/>
      <c r="Q73" s="177"/>
    </row>
    <row r="74" spans="1:17" x14ac:dyDescent="0.3">
      <c r="A74" s="169"/>
      <c r="B74" s="189" t="s">
        <v>2344</v>
      </c>
      <c r="C74" s="177" t="s">
        <v>2345</v>
      </c>
      <c r="D74" s="172">
        <f t="shared" si="5"/>
        <v>11004</v>
      </c>
      <c r="E74" s="173"/>
      <c r="F74" s="174">
        <f>'[9]Data Cap04001'!D65</f>
        <v>2218</v>
      </c>
      <c r="G74" s="174">
        <f>'[9]Data Cap04001'!E65</f>
        <v>673</v>
      </c>
      <c r="H74" s="174"/>
      <c r="I74" s="174">
        <f>'[9]Data Cap04001'!F65</f>
        <v>633</v>
      </c>
      <c r="J74" s="174"/>
      <c r="K74" s="174">
        <f>'[9]Data Cap04001'!G65</f>
        <v>2069</v>
      </c>
      <c r="L74" s="174">
        <f>'[9]Data Cap04001'!H65</f>
        <v>3460</v>
      </c>
      <c r="M74" s="174"/>
      <c r="N74" s="174">
        <f>'[9]Data Cap04001'!I65</f>
        <v>1951</v>
      </c>
      <c r="O74" s="176"/>
      <c r="Q74" s="177"/>
    </row>
    <row r="75" spans="1:17" x14ac:dyDescent="0.3">
      <c r="A75" s="169"/>
      <c r="B75" s="189" t="s">
        <v>2346</v>
      </c>
      <c r="C75" s="177" t="s">
        <v>2347</v>
      </c>
      <c r="D75" s="172">
        <f t="shared" si="5"/>
        <v>8834</v>
      </c>
      <c r="E75" s="173"/>
      <c r="F75" s="174">
        <f>'[9]Data Cap04001'!D66</f>
        <v>1689</v>
      </c>
      <c r="G75" s="174">
        <f>'[9]Data Cap04001'!E66</f>
        <v>441</v>
      </c>
      <c r="H75" s="174"/>
      <c r="I75" s="174">
        <f>'[9]Data Cap04001'!F66</f>
        <v>466</v>
      </c>
      <c r="J75" s="174"/>
      <c r="K75" s="174">
        <f>'[9]Data Cap04001'!G66</f>
        <v>1839</v>
      </c>
      <c r="L75" s="174">
        <f>'[9]Data Cap04001'!H66</f>
        <v>2740</v>
      </c>
      <c r="M75" s="174"/>
      <c r="N75" s="174">
        <f>'[9]Data Cap04001'!I66</f>
        <v>1659</v>
      </c>
      <c r="O75" s="176"/>
      <c r="Q75" s="177"/>
    </row>
    <row r="76" spans="1:17" x14ac:dyDescent="0.3">
      <c r="A76" s="179"/>
      <c r="B76" s="189" t="s">
        <v>2348</v>
      </c>
      <c r="C76" s="177" t="s">
        <v>2349</v>
      </c>
      <c r="D76" s="172">
        <f t="shared" si="5"/>
        <v>43720</v>
      </c>
      <c r="E76" s="173"/>
      <c r="F76" s="174">
        <f>'[9]Data Cap04001'!D67</f>
        <v>7274</v>
      </c>
      <c r="G76" s="174">
        <f>'[9]Data Cap04001'!E67</f>
        <v>11789</v>
      </c>
      <c r="H76" s="174"/>
      <c r="I76" s="174">
        <f>'[9]Data Cap04001'!F67</f>
        <v>4317</v>
      </c>
      <c r="J76" s="174"/>
      <c r="K76" s="174">
        <f>'[9]Data Cap04001'!G67</f>
        <v>5481</v>
      </c>
      <c r="L76" s="174">
        <f>'[9]Data Cap04001'!H67</f>
        <v>10609</v>
      </c>
      <c r="M76" s="174"/>
      <c r="N76" s="174">
        <f>'[9]Data Cap04001'!I67</f>
        <v>4250</v>
      </c>
      <c r="O76" s="176"/>
      <c r="Q76" s="177"/>
    </row>
    <row r="77" spans="1:17" x14ac:dyDescent="0.3">
      <c r="A77" s="179"/>
      <c r="B77" s="189" t="s">
        <v>2350</v>
      </c>
      <c r="C77" s="177" t="s">
        <v>2351</v>
      </c>
      <c r="D77" s="172">
        <f t="shared" si="5"/>
        <v>85875</v>
      </c>
      <c r="E77" s="173"/>
      <c r="F77" s="174">
        <f>'[9]Data Cap04001'!D68</f>
        <v>22894</v>
      </c>
      <c r="G77" s="174">
        <f>'[9]Data Cap04001'!E68</f>
        <v>12680</v>
      </c>
      <c r="H77" s="174"/>
      <c r="I77" s="174">
        <f>'[9]Data Cap04001'!F68</f>
        <v>6945</v>
      </c>
      <c r="J77" s="174"/>
      <c r="K77" s="174">
        <f>'[9]Data Cap04001'!G68</f>
        <v>13041</v>
      </c>
      <c r="L77" s="174">
        <f>'[9]Data Cap04001'!H68</f>
        <v>22012</v>
      </c>
      <c r="M77" s="174"/>
      <c r="N77" s="174">
        <f>'[9]Data Cap04001'!I68</f>
        <v>8303</v>
      </c>
      <c r="O77" s="176"/>
      <c r="Q77" s="177"/>
    </row>
    <row r="78" spans="1:17" x14ac:dyDescent="0.3">
      <c r="A78" s="179"/>
      <c r="B78" s="189" t="s">
        <v>2352</v>
      </c>
      <c r="C78" s="177" t="s">
        <v>2353</v>
      </c>
      <c r="D78" s="172">
        <f t="shared" si="5"/>
        <v>16939</v>
      </c>
      <c r="E78" s="173"/>
      <c r="F78" s="174">
        <f>'[9]Data Cap04001'!D69</f>
        <v>4564</v>
      </c>
      <c r="G78" s="174">
        <f>'[9]Data Cap04001'!E69</f>
        <v>2489</v>
      </c>
      <c r="H78" s="174"/>
      <c r="I78" s="174">
        <f>'[9]Data Cap04001'!F69</f>
        <v>1554</v>
      </c>
      <c r="J78" s="174"/>
      <c r="K78" s="174">
        <f>'[9]Data Cap04001'!G69</f>
        <v>3451</v>
      </c>
      <c r="L78" s="174">
        <f>'[9]Data Cap04001'!H69</f>
        <v>4143</v>
      </c>
      <c r="M78" s="174"/>
      <c r="N78" s="174">
        <f>'[9]Data Cap04001'!I69</f>
        <v>738</v>
      </c>
      <c r="O78" s="176"/>
      <c r="Q78" s="177"/>
    </row>
    <row r="79" spans="1:17" x14ac:dyDescent="0.3">
      <c r="A79" s="179"/>
      <c r="B79" s="189" t="s">
        <v>2354</v>
      </c>
      <c r="C79" s="177" t="s">
        <v>2355</v>
      </c>
      <c r="D79" s="172">
        <f t="shared" si="5"/>
        <v>78533</v>
      </c>
      <c r="E79" s="173"/>
      <c r="F79" s="174">
        <f>'[9]Data Cap04001'!D70</f>
        <v>22071</v>
      </c>
      <c r="G79" s="174">
        <f>'[9]Data Cap04001'!E70</f>
        <v>9386</v>
      </c>
      <c r="H79" s="174"/>
      <c r="I79" s="174">
        <f>'[9]Data Cap04001'!F70</f>
        <v>6076</v>
      </c>
      <c r="J79" s="174"/>
      <c r="K79" s="174">
        <f>'[9]Data Cap04001'!G70</f>
        <v>13338</v>
      </c>
      <c r="L79" s="174">
        <f>'[9]Data Cap04001'!H70</f>
        <v>20034</v>
      </c>
      <c r="M79" s="174"/>
      <c r="N79" s="174">
        <f>'[9]Data Cap04001'!I70</f>
        <v>7628</v>
      </c>
      <c r="O79" s="176"/>
      <c r="Q79" s="177"/>
    </row>
    <row r="80" spans="1:17" x14ac:dyDescent="0.3">
      <c r="A80" s="169"/>
      <c r="B80" s="189" t="s">
        <v>2356</v>
      </c>
      <c r="C80" s="177" t="s">
        <v>2357</v>
      </c>
      <c r="D80" s="172">
        <f t="shared" si="5"/>
        <v>3010</v>
      </c>
      <c r="E80" s="173"/>
      <c r="F80" s="174">
        <f>'[9]Data Cap04001'!D71</f>
        <v>923</v>
      </c>
      <c r="G80" s="174">
        <f>'[9]Data Cap04001'!E71</f>
        <v>337</v>
      </c>
      <c r="H80" s="174"/>
      <c r="I80" s="174">
        <f>'[9]Data Cap04001'!F71</f>
        <v>200</v>
      </c>
      <c r="J80" s="174"/>
      <c r="K80" s="174">
        <f>'[9]Data Cap04001'!G71</f>
        <v>592</v>
      </c>
      <c r="L80" s="174">
        <f>'[9]Data Cap04001'!H71</f>
        <v>646</v>
      </c>
      <c r="M80" s="174"/>
      <c r="N80" s="174">
        <f>'[9]Data Cap04001'!I71</f>
        <v>312</v>
      </c>
      <c r="O80" s="176"/>
      <c r="Q80" s="177"/>
    </row>
    <row r="81" spans="1:17" x14ac:dyDescent="0.3">
      <c r="A81" s="169"/>
      <c r="B81" s="189" t="s">
        <v>2358</v>
      </c>
      <c r="C81" s="177" t="s">
        <v>2359</v>
      </c>
      <c r="D81" s="172">
        <f t="shared" si="5"/>
        <v>5897</v>
      </c>
      <c r="E81" s="173"/>
      <c r="F81" s="174">
        <f>'[9]Data Cap04001'!D72</f>
        <v>1525</v>
      </c>
      <c r="G81" s="174">
        <f>'[9]Data Cap04001'!E72</f>
        <v>687</v>
      </c>
      <c r="H81" s="174"/>
      <c r="I81" s="174">
        <f>'[9]Data Cap04001'!F72</f>
        <v>397</v>
      </c>
      <c r="J81" s="174"/>
      <c r="K81" s="174">
        <f>'[9]Data Cap04001'!G72</f>
        <v>1061</v>
      </c>
      <c r="L81" s="174">
        <f>'[9]Data Cap04001'!H72</f>
        <v>1475</v>
      </c>
      <c r="M81" s="174"/>
      <c r="N81" s="174">
        <f>'[9]Data Cap04001'!I72</f>
        <v>752</v>
      </c>
      <c r="O81" s="176"/>
      <c r="Q81" s="177"/>
    </row>
    <row r="82" spans="1:17" x14ac:dyDescent="0.3">
      <c r="A82" s="169"/>
      <c r="B82" s="189" t="s">
        <v>2360</v>
      </c>
      <c r="C82" s="177" t="s">
        <v>2361</v>
      </c>
      <c r="D82" s="172">
        <f>SUM(F82:N82)</f>
        <v>4917</v>
      </c>
      <c r="E82" s="184"/>
      <c r="F82" s="174">
        <f>'[9]Data Cap04001'!D73</f>
        <v>1247</v>
      </c>
      <c r="G82" s="174">
        <f>'[9]Data Cap04001'!E73</f>
        <v>361</v>
      </c>
      <c r="H82" s="192"/>
      <c r="I82" s="174">
        <f>'[9]Data Cap04001'!F73</f>
        <v>299</v>
      </c>
      <c r="J82" s="174"/>
      <c r="K82" s="174">
        <f>'[9]Data Cap04001'!G73</f>
        <v>936</v>
      </c>
      <c r="L82" s="174">
        <f>'[9]Data Cap04001'!H73</f>
        <v>1358</v>
      </c>
      <c r="M82" s="174"/>
      <c r="N82" s="174">
        <f>'[9]Data Cap04001'!I73</f>
        <v>716</v>
      </c>
      <c r="O82" s="186"/>
      <c r="Q82" s="177"/>
    </row>
    <row r="83" spans="1:17" x14ac:dyDescent="0.3">
      <c r="A83" s="162" t="s">
        <v>1404</v>
      </c>
      <c r="B83" s="201"/>
      <c r="C83" s="193" t="s">
        <v>2247</v>
      </c>
      <c r="D83" s="165">
        <f>SUM(F83:N83)</f>
        <v>131206</v>
      </c>
      <c r="E83" s="166"/>
      <c r="F83" s="167">
        <f>'[9]Data Cap04001'!D85</f>
        <v>27104</v>
      </c>
      <c r="G83" s="167">
        <f>'[9]Data Cap04001'!E85</f>
        <v>20710</v>
      </c>
      <c r="H83" s="167"/>
      <c r="I83" s="167">
        <f>'[9]Data Cap04001'!F85</f>
        <v>15734</v>
      </c>
      <c r="J83" s="167"/>
      <c r="K83" s="167">
        <f>'[9]Data Cap04001'!G85</f>
        <v>18653</v>
      </c>
      <c r="L83" s="167">
        <f>'[9]Data Cap04001'!H85</f>
        <v>32812</v>
      </c>
      <c r="M83" s="167"/>
      <c r="N83" s="167">
        <f>'[9]Data Cap04001'!I85</f>
        <v>16193</v>
      </c>
      <c r="O83" s="168"/>
      <c r="Q83" s="177"/>
    </row>
    <row r="84" spans="1:17" x14ac:dyDescent="0.3">
      <c r="A84" s="169"/>
      <c r="B84" s="189" t="s">
        <v>2362</v>
      </c>
      <c r="C84" s="171" t="s">
        <v>2363</v>
      </c>
      <c r="D84" s="172">
        <f t="shared" ref="D84:D92" si="6">SUM(F84:N84)</f>
        <v>4634</v>
      </c>
      <c r="E84" s="173"/>
      <c r="F84" s="174">
        <f>'[9]Data Cap04001'!D75</f>
        <v>779</v>
      </c>
      <c r="G84" s="174">
        <f>'[9]Data Cap04001'!E75</f>
        <v>357</v>
      </c>
      <c r="H84" s="174"/>
      <c r="I84" s="174">
        <f>'[9]Data Cap04001'!F75</f>
        <v>316</v>
      </c>
      <c r="J84" s="174"/>
      <c r="K84" s="174">
        <f>'[9]Data Cap04001'!G75</f>
        <v>1221</v>
      </c>
      <c r="L84" s="174">
        <f>'[9]Data Cap04001'!H75</f>
        <v>1333</v>
      </c>
      <c r="M84" s="174"/>
      <c r="N84" s="174">
        <f>'[9]Data Cap04001'!I75</f>
        <v>628</v>
      </c>
      <c r="O84" s="176"/>
      <c r="Q84" s="177"/>
    </row>
    <row r="85" spans="1:17" x14ac:dyDescent="0.3">
      <c r="A85" s="169"/>
      <c r="B85" s="189" t="s">
        <v>2364</v>
      </c>
      <c r="C85" s="171" t="s">
        <v>2365</v>
      </c>
      <c r="D85" s="172">
        <f t="shared" si="6"/>
        <v>1</v>
      </c>
      <c r="E85" s="173"/>
      <c r="F85" s="174">
        <f>'[9]Data Cap04001'!D76</f>
        <v>0</v>
      </c>
      <c r="G85" s="174">
        <f>'[9]Data Cap04001'!E76</f>
        <v>0</v>
      </c>
      <c r="H85" s="174"/>
      <c r="I85" s="174">
        <f>'[9]Data Cap04001'!F76</f>
        <v>0</v>
      </c>
      <c r="J85" s="174"/>
      <c r="K85" s="174">
        <f>'[9]Data Cap04001'!G76</f>
        <v>1</v>
      </c>
      <c r="L85" s="174">
        <f>'[9]Data Cap04001'!H76</f>
        <v>0</v>
      </c>
      <c r="M85" s="174"/>
      <c r="N85" s="174">
        <f>'[9]Data Cap04001'!I76</f>
        <v>0</v>
      </c>
      <c r="O85" s="176"/>
      <c r="Q85" s="177"/>
    </row>
    <row r="86" spans="1:17" x14ac:dyDescent="0.3">
      <c r="A86" s="169"/>
      <c r="B86" s="189" t="s">
        <v>2366</v>
      </c>
      <c r="C86" s="171" t="s">
        <v>2367</v>
      </c>
      <c r="D86" s="172">
        <f t="shared" si="6"/>
        <v>10958</v>
      </c>
      <c r="E86" s="173"/>
      <c r="F86" s="174">
        <f>'[9]Data Cap04001'!D77</f>
        <v>2487</v>
      </c>
      <c r="G86" s="174">
        <f>'[9]Data Cap04001'!E77</f>
        <v>1447</v>
      </c>
      <c r="H86" s="174"/>
      <c r="I86" s="174">
        <f>'[9]Data Cap04001'!F77</f>
        <v>1147</v>
      </c>
      <c r="J86" s="174"/>
      <c r="K86" s="174">
        <f>'[9]Data Cap04001'!G77</f>
        <v>1495</v>
      </c>
      <c r="L86" s="174">
        <f>'[9]Data Cap04001'!H77</f>
        <v>2962</v>
      </c>
      <c r="M86" s="174"/>
      <c r="N86" s="174">
        <f>'[9]Data Cap04001'!I77</f>
        <v>1420</v>
      </c>
      <c r="O86" s="176"/>
      <c r="Q86" s="177"/>
    </row>
    <row r="87" spans="1:17" x14ac:dyDescent="0.3">
      <c r="A87" s="169"/>
      <c r="B87" s="189" t="s">
        <v>2368</v>
      </c>
      <c r="C87" s="171" t="s">
        <v>2369</v>
      </c>
      <c r="D87" s="172">
        <f t="shared" si="6"/>
        <v>6527</v>
      </c>
      <c r="E87" s="173"/>
      <c r="F87" s="174">
        <f>'[9]Data Cap04001'!D78</f>
        <v>1088</v>
      </c>
      <c r="G87" s="174">
        <f>'[9]Data Cap04001'!E78</f>
        <v>1079</v>
      </c>
      <c r="H87" s="174"/>
      <c r="I87" s="174">
        <f>'[9]Data Cap04001'!F78</f>
        <v>733</v>
      </c>
      <c r="J87" s="174"/>
      <c r="K87" s="174">
        <f>'[9]Data Cap04001'!G78</f>
        <v>754</v>
      </c>
      <c r="L87" s="174">
        <f>'[9]Data Cap04001'!H78</f>
        <v>1846</v>
      </c>
      <c r="M87" s="174"/>
      <c r="N87" s="174">
        <f>'[9]Data Cap04001'!I78</f>
        <v>1027</v>
      </c>
      <c r="O87" s="176"/>
      <c r="Q87" s="177"/>
    </row>
    <row r="88" spans="1:17" x14ac:dyDescent="0.3">
      <c r="A88" s="169"/>
      <c r="B88" s="189" t="s">
        <v>2370</v>
      </c>
      <c r="C88" s="171" t="s">
        <v>2371</v>
      </c>
      <c r="D88" s="172">
        <f t="shared" si="6"/>
        <v>7799</v>
      </c>
      <c r="E88" s="173"/>
      <c r="F88" s="174">
        <f>'[9]Data Cap04001'!D79</f>
        <v>1401</v>
      </c>
      <c r="G88" s="174">
        <f>'[9]Data Cap04001'!E79</f>
        <v>1222</v>
      </c>
      <c r="H88" s="174"/>
      <c r="I88" s="174">
        <f>'[9]Data Cap04001'!F79</f>
        <v>803</v>
      </c>
      <c r="J88" s="174"/>
      <c r="K88" s="174">
        <f>'[9]Data Cap04001'!G79</f>
        <v>847</v>
      </c>
      <c r="L88" s="174">
        <f>'[9]Data Cap04001'!H79</f>
        <v>2031</v>
      </c>
      <c r="M88" s="174"/>
      <c r="N88" s="174">
        <f>'[9]Data Cap04001'!I79</f>
        <v>1495</v>
      </c>
      <c r="O88" s="176"/>
      <c r="Q88" s="177"/>
    </row>
    <row r="89" spans="1:17" x14ac:dyDescent="0.3">
      <c r="A89" s="169"/>
      <c r="B89" s="189" t="s">
        <v>2372</v>
      </c>
      <c r="C89" s="171" t="s">
        <v>2373</v>
      </c>
      <c r="D89" s="172">
        <f t="shared" si="6"/>
        <v>5395</v>
      </c>
      <c r="E89" s="173"/>
      <c r="F89" s="174">
        <f>'[9]Data Cap04001'!D80</f>
        <v>1026</v>
      </c>
      <c r="G89" s="174">
        <f>'[9]Data Cap04001'!E80</f>
        <v>485</v>
      </c>
      <c r="H89" s="174"/>
      <c r="I89" s="174">
        <f>'[9]Data Cap04001'!F80</f>
        <v>426</v>
      </c>
      <c r="J89" s="174"/>
      <c r="K89" s="174">
        <f>'[9]Data Cap04001'!G80</f>
        <v>1204</v>
      </c>
      <c r="L89" s="174">
        <f>'[9]Data Cap04001'!H80</f>
        <v>1522</v>
      </c>
      <c r="M89" s="174"/>
      <c r="N89" s="174">
        <f>'[9]Data Cap04001'!I80</f>
        <v>732</v>
      </c>
      <c r="O89" s="176"/>
      <c r="Q89" s="177"/>
    </row>
    <row r="90" spans="1:17" x14ac:dyDescent="0.3">
      <c r="A90" s="169"/>
      <c r="B90" s="189" t="s">
        <v>2374</v>
      </c>
      <c r="C90" s="171" t="s">
        <v>2375</v>
      </c>
      <c r="D90" s="172">
        <f t="shared" si="6"/>
        <v>33936</v>
      </c>
      <c r="E90" s="173"/>
      <c r="F90" s="174">
        <f>'[9]Data Cap04001'!D81</f>
        <v>6491</v>
      </c>
      <c r="G90" s="174">
        <f>'[9]Data Cap04001'!E81</f>
        <v>5008</v>
      </c>
      <c r="H90" s="174"/>
      <c r="I90" s="174">
        <f>'[9]Data Cap04001'!F81</f>
        <v>4058</v>
      </c>
      <c r="J90" s="174"/>
      <c r="K90" s="174">
        <f>'[9]Data Cap04001'!G81</f>
        <v>4597</v>
      </c>
      <c r="L90" s="174">
        <f>'[9]Data Cap04001'!H81</f>
        <v>9488</v>
      </c>
      <c r="M90" s="174"/>
      <c r="N90" s="174">
        <f>'[9]Data Cap04001'!I81</f>
        <v>4294</v>
      </c>
      <c r="O90" s="176"/>
      <c r="Q90" s="177"/>
    </row>
    <row r="91" spans="1:17" x14ac:dyDescent="0.3">
      <c r="A91" s="169"/>
      <c r="B91" s="189" t="s">
        <v>2376</v>
      </c>
      <c r="C91" s="171" t="s">
        <v>2377</v>
      </c>
      <c r="D91" s="172">
        <f t="shared" si="6"/>
        <v>15237</v>
      </c>
      <c r="E91" s="173"/>
      <c r="F91" s="174">
        <f>'[9]Data Cap04001'!D82</f>
        <v>3387</v>
      </c>
      <c r="G91" s="174">
        <f>'[9]Data Cap04001'!E82</f>
        <v>2354</v>
      </c>
      <c r="H91" s="174"/>
      <c r="I91" s="174">
        <f>'[9]Data Cap04001'!F82</f>
        <v>2266</v>
      </c>
      <c r="J91" s="174"/>
      <c r="K91" s="174">
        <f>'[9]Data Cap04001'!G82</f>
        <v>2027</v>
      </c>
      <c r="L91" s="174">
        <f>'[9]Data Cap04001'!H82</f>
        <v>3591</v>
      </c>
      <c r="M91" s="174"/>
      <c r="N91" s="174">
        <f>'[9]Data Cap04001'!I82</f>
        <v>1612</v>
      </c>
      <c r="O91" s="176"/>
      <c r="Q91" s="177"/>
    </row>
    <row r="92" spans="1:17" x14ac:dyDescent="0.3">
      <c r="A92" s="169"/>
      <c r="B92" s="189" t="s">
        <v>2378</v>
      </c>
      <c r="C92" s="171" t="s">
        <v>2379</v>
      </c>
      <c r="D92" s="172">
        <f t="shared" si="6"/>
        <v>15231</v>
      </c>
      <c r="E92" s="173"/>
      <c r="F92" s="174">
        <f>'[9]Data Cap04001'!D83</f>
        <v>3617</v>
      </c>
      <c r="G92" s="174">
        <f>'[9]Data Cap04001'!E83</f>
        <v>2207</v>
      </c>
      <c r="H92" s="174"/>
      <c r="I92" s="174">
        <f>'[9]Data Cap04001'!F83</f>
        <v>2004</v>
      </c>
      <c r="J92" s="174"/>
      <c r="K92" s="174">
        <f>'[9]Data Cap04001'!G83</f>
        <v>2192</v>
      </c>
      <c r="L92" s="174">
        <f>'[9]Data Cap04001'!H83</f>
        <v>3490</v>
      </c>
      <c r="M92" s="174"/>
      <c r="N92" s="174">
        <f>'[9]Data Cap04001'!I83</f>
        <v>1721</v>
      </c>
      <c r="O92" s="176"/>
      <c r="Q92" s="177"/>
    </row>
    <row r="93" spans="1:17" x14ac:dyDescent="0.3">
      <c r="A93" s="181"/>
      <c r="B93" s="197" t="s">
        <v>2380</v>
      </c>
      <c r="C93" s="183" t="s">
        <v>2381</v>
      </c>
      <c r="D93" s="172">
        <f t="shared" ref="D93:D103" si="7">SUM(F93:N93)</f>
        <v>36675</v>
      </c>
      <c r="E93" s="184"/>
      <c r="F93" s="174">
        <f>'[9]Data Cap04001'!D84</f>
        <v>7754</v>
      </c>
      <c r="G93" s="174">
        <f>'[9]Data Cap04001'!E84</f>
        <v>6893</v>
      </c>
      <c r="H93" s="192"/>
      <c r="I93" s="174">
        <f>'[9]Data Cap04001'!F84</f>
        <v>4338</v>
      </c>
      <c r="J93" s="174"/>
      <c r="K93" s="174">
        <f>'[9]Data Cap04001'!G84</f>
        <v>5596</v>
      </c>
      <c r="L93" s="174">
        <f>'[9]Data Cap04001'!H84</f>
        <v>8124</v>
      </c>
      <c r="M93" s="174"/>
      <c r="N93" s="174">
        <f>'[9]Data Cap04001'!I84</f>
        <v>3970</v>
      </c>
      <c r="O93" s="186"/>
      <c r="Q93" s="177"/>
    </row>
    <row r="94" spans="1:17" x14ac:dyDescent="0.3">
      <c r="A94" s="199" t="s">
        <v>2382</v>
      </c>
      <c r="B94" s="202"/>
      <c r="C94" s="177" t="s">
        <v>2247</v>
      </c>
      <c r="D94" s="165">
        <f t="shared" si="7"/>
        <v>251796</v>
      </c>
      <c r="E94" s="166"/>
      <c r="F94" s="167">
        <f>'[9]Data Cap04001'!D92</f>
        <v>52132</v>
      </c>
      <c r="G94" s="167">
        <f>'[9]Data Cap04001'!E92</f>
        <v>44447</v>
      </c>
      <c r="H94" s="167"/>
      <c r="I94" s="167">
        <f>'[9]Data Cap04001'!F92</f>
        <v>31371</v>
      </c>
      <c r="J94" s="167"/>
      <c r="K94" s="167">
        <f>'[9]Data Cap04001'!G92</f>
        <v>40236</v>
      </c>
      <c r="L94" s="167">
        <f>'[9]Data Cap04001'!H92</f>
        <v>63348</v>
      </c>
      <c r="M94" s="167"/>
      <c r="N94" s="167">
        <f>'[9]Data Cap04001'!I92</f>
        <v>20262</v>
      </c>
      <c r="O94" s="168"/>
      <c r="Q94" s="177"/>
    </row>
    <row r="95" spans="1:17" x14ac:dyDescent="0.3">
      <c r="A95" s="169"/>
      <c r="B95" s="189" t="s">
        <v>2383</v>
      </c>
      <c r="C95" s="177" t="s">
        <v>2384</v>
      </c>
      <c r="D95" s="172">
        <f t="shared" si="7"/>
        <v>8663</v>
      </c>
      <c r="E95" s="173"/>
      <c r="F95" s="174">
        <f>'[9]Data Cap04001'!D86</f>
        <v>2300</v>
      </c>
      <c r="G95" s="174">
        <f>'[9]Data Cap04001'!E86</f>
        <v>773</v>
      </c>
      <c r="H95" s="174"/>
      <c r="I95" s="174">
        <f>'[9]Data Cap04001'!F86</f>
        <v>606</v>
      </c>
      <c r="J95" s="174"/>
      <c r="K95" s="174">
        <f>'[9]Data Cap04001'!G86</f>
        <v>1800</v>
      </c>
      <c r="L95" s="174">
        <f>'[9]Data Cap04001'!H86</f>
        <v>2224</v>
      </c>
      <c r="M95" s="174"/>
      <c r="N95" s="174">
        <f>'[9]Data Cap04001'!I86</f>
        <v>960</v>
      </c>
      <c r="O95" s="176"/>
      <c r="Q95" s="177"/>
    </row>
    <row r="96" spans="1:17" x14ac:dyDescent="0.3">
      <c r="A96" s="179"/>
      <c r="B96" s="189" t="s">
        <v>2385</v>
      </c>
      <c r="C96" s="177" t="s">
        <v>2386</v>
      </c>
      <c r="D96" s="172">
        <f t="shared" si="7"/>
        <v>6880</v>
      </c>
      <c r="E96" s="173"/>
      <c r="F96" s="174">
        <f>'[9]Data Cap04001'!D87</f>
        <v>1201</v>
      </c>
      <c r="G96" s="174">
        <f>'[9]Data Cap04001'!E87</f>
        <v>382</v>
      </c>
      <c r="H96" s="174"/>
      <c r="I96" s="174">
        <f>'[9]Data Cap04001'!F87</f>
        <v>442</v>
      </c>
      <c r="J96" s="174"/>
      <c r="K96" s="174">
        <f>'[9]Data Cap04001'!G87</f>
        <v>1500</v>
      </c>
      <c r="L96" s="174">
        <f>'[9]Data Cap04001'!H87</f>
        <v>2124</v>
      </c>
      <c r="M96" s="174"/>
      <c r="N96" s="174">
        <f>'[9]Data Cap04001'!I87</f>
        <v>1231</v>
      </c>
      <c r="O96" s="176"/>
      <c r="Q96" s="177"/>
    </row>
    <row r="97" spans="1:17" x14ac:dyDescent="0.3">
      <c r="A97" s="179"/>
      <c r="B97" s="189" t="s">
        <v>2387</v>
      </c>
      <c r="C97" s="177" t="s">
        <v>2388</v>
      </c>
      <c r="D97" s="172">
        <f t="shared" si="7"/>
        <v>71440</v>
      </c>
      <c r="E97" s="173"/>
      <c r="F97" s="174">
        <f>'[9]Data Cap04001'!D88</f>
        <v>13671</v>
      </c>
      <c r="G97" s="174">
        <f>'[9]Data Cap04001'!E88</f>
        <v>12943</v>
      </c>
      <c r="H97" s="174"/>
      <c r="I97" s="174">
        <f>'[9]Data Cap04001'!F88</f>
        <v>9385</v>
      </c>
      <c r="J97" s="174"/>
      <c r="K97" s="174">
        <f>'[9]Data Cap04001'!G88</f>
        <v>11619</v>
      </c>
      <c r="L97" s="174">
        <f>'[9]Data Cap04001'!H88</f>
        <v>19145</v>
      </c>
      <c r="M97" s="174"/>
      <c r="N97" s="174">
        <f>'[9]Data Cap04001'!I88</f>
        <v>4677</v>
      </c>
      <c r="O97" s="176"/>
      <c r="Q97" s="177"/>
    </row>
    <row r="98" spans="1:17" x14ac:dyDescent="0.3">
      <c r="A98" s="179"/>
      <c r="B98" s="189" t="s">
        <v>2389</v>
      </c>
      <c r="C98" s="177" t="s">
        <v>2390</v>
      </c>
      <c r="D98" s="172">
        <f t="shared" si="7"/>
        <v>118331</v>
      </c>
      <c r="E98" s="173"/>
      <c r="F98" s="174">
        <f>'[9]Data Cap04001'!D89</f>
        <v>26302</v>
      </c>
      <c r="G98" s="174">
        <f>'[9]Data Cap04001'!E89</f>
        <v>20378</v>
      </c>
      <c r="H98" s="174"/>
      <c r="I98" s="174">
        <f>'[9]Data Cap04001'!F89</f>
        <v>13524</v>
      </c>
      <c r="J98" s="174"/>
      <c r="K98" s="174">
        <f>'[9]Data Cap04001'!G89</f>
        <v>20415</v>
      </c>
      <c r="L98" s="174">
        <f>'[9]Data Cap04001'!H89</f>
        <v>28663</v>
      </c>
      <c r="M98" s="174"/>
      <c r="N98" s="174">
        <f>'[9]Data Cap04001'!I89</f>
        <v>9049</v>
      </c>
      <c r="O98" s="176"/>
      <c r="Q98" s="177"/>
    </row>
    <row r="99" spans="1:17" x14ac:dyDescent="0.3">
      <c r="A99" s="169"/>
      <c r="B99" s="189" t="s">
        <v>2391</v>
      </c>
      <c r="C99" s="177" t="s">
        <v>2392</v>
      </c>
      <c r="D99" s="172">
        <f t="shared" si="7"/>
        <v>24583</v>
      </c>
      <c r="E99" s="173"/>
      <c r="F99" s="174">
        <f>'[9]Data Cap04001'!D90</f>
        <v>4762</v>
      </c>
      <c r="G99" s="174">
        <f>'[9]Data Cap04001'!E90</f>
        <v>4788</v>
      </c>
      <c r="H99" s="174"/>
      <c r="I99" s="174">
        <f>'[9]Data Cap04001'!F90</f>
        <v>3461</v>
      </c>
      <c r="J99" s="174"/>
      <c r="K99" s="174">
        <f>'[9]Data Cap04001'!G90</f>
        <v>2970</v>
      </c>
      <c r="L99" s="174">
        <f>'[9]Data Cap04001'!H90</f>
        <v>6219</v>
      </c>
      <c r="M99" s="174"/>
      <c r="N99" s="174">
        <f>'[9]Data Cap04001'!I90</f>
        <v>2383</v>
      </c>
      <c r="O99" s="176"/>
      <c r="Q99" s="177"/>
    </row>
    <row r="100" spans="1:17" x14ac:dyDescent="0.3">
      <c r="A100" s="169"/>
      <c r="B100" s="189" t="s">
        <v>2393</v>
      </c>
      <c r="C100" s="177" t="s">
        <v>2394</v>
      </c>
      <c r="D100" s="172">
        <f t="shared" si="7"/>
        <v>29865</v>
      </c>
      <c r="E100" s="184"/>
      <c r="F100" s="174">
        <f>'[9]Data Cap04001'!D91</f>
        <v>5695</v>
      </c>
      <c r="G100" s="174">
        <f>'[9]Data Cap04001'!E91</f>
        <v>5642</v>
      </c>
      <c r="H100" s="192"/>
      <c r="I100" s="174">
        <f>'[9]Data Cap04001'!F91</f>
        <v>4461</v>
      </c>
      <c r="J100" s="174"/>
      <c r="K100" s="174">
        <f>'[9]Data Cap04001'!G91</f>
        <v>3700</v>
      </c>
      <c r="L100" s="174">
        <f>'[9]Data Cap04001'!H91</f>
        <v>7295</v>
      </c>
      <c r="M100" s="174"/>
      <c r="N100" s="174">
        <f>'[9]Data Cap04001'!I91</f>
        <v>3072</v>
      </c>
      <c r="O100" s="186"/>
      <c r="Q100" s="177"/>
    </row>
    <row r="101" spans="1:17" x14ac:dyDescent="0.3">
      <c r="A101" s="162" t="s">
        <v>1406</v>
      </c>
      <c r="B101" s="201"/>
      <c r="C101" s="193" t="s">
        <v>2247</v>
      </c>
      <c r="D101" s="165">
        <f t="shared" si="7"/>
        <v>106697</v>
      </c>
      <c r="E101" s="166"/>
      <c r="F101" s="167">
        <f>'[9]Data Cap04001'!D100</f>
        <v>28028</v>
      </c>
      <c r="G101" s="167">
        <f>'[9]Data Cap04001'!E100</f>
        <v>18264</v>
      </c>
      <c r="H101" s="167"/>
      <c r="I101" s="167">
        <f>'[9]Data Cap04001'!F100</f>
        <v>6607</v>
      </c>
      <c r="J101" s="167"/>
      <c r="K101" s="167">
        <f>'[9]Data Cap04001'!G100</f>
        <v>19527</v>
      </c>
      <c r="L101" s="167">
        <f>'[9]Data Cap04001'!H100</f>
        <v>23799</v>
      </c>
      <c r="M101" s="167"/>
      <c r="N101" s="167">
        <f>'[9]Data Cap04001'!I100</f>
        <v>10472</v>
      </c>
      <c r="O101" s="168"/>
      <c r="Q101" s="177"/>
    </row>
    <row r="102" spans="1:17" x14ac:dyDescent="0.3">
      <c r="A102" s="169"/>
      <c r="B102" s="189" t="s">
        <v>2395</v>
      </c>
      <c r="C102" s="171" t="s">
        <v>2396</v>
      </c>
      <c r="D102" s="172">
        <f t="shared" si="7"/>
        <v>21747</v>
      </c>
      <c r="E102" s="173"/>
      <c r="F102" s="174">
        <f>'[9]Data Cap04001'!D93</f>
        <v>6045</v>
      </c>
      <c r="G102" s="174">
        <f>'[9]Data Cap04001'!E93</f>
        <v>2238</v>
      </c>
      <c r="H102" s="174"/>
      <c r="I102" s="174">
        <f>'[9]Data Cap04001'!F93</f>
        <v>1181</v>
      </c>
      <c r="J102" s="174"/>
      <c r="K102" s="174">
        <f>'[9]Data Cap04001'!G93</f>
        <v>4512</v>
      </c>
      <c r="L102" s="174">
        <f>'[9]Data Cap04001'!H93</f>
        <v>5447</v>
      </c>
      <c r="M102" s="174"/>
      <c r="N102" s="174">
        <f>'[9]Data Cap04001'!I93</f>
        <v>2324</v>
      </c>
      <c r="O102" s="176"/>
      <c r="Q102" s="177"/>
    </row>
    <row r="103" spans="1:17" x14ac:dyDescent="0.3">
      <c r="A103" s="179"/>
      <c r="B103" s="189" t="s">
        <v>2397</v>
      </c>
      <c r="C103" s="171" t="s">
        <v>2398</v>
      </c>
      <c r="D103" s="172">
        <f t="shared" si="7"/>
        <v>14454</v>
      </c>
      <c r="E103" s="173"/>
      <c r="F103" s="174">
        <f>'[9]Data Cap04001'!D94</f>
        <v>3719</v>
      </c>
      <c r="G103" s="174">
        <f>'[9]Data Cap04001'!E94</f>
        <v>2826</v>
      </c>
      <c r="H103" s="174"/>
      <c r="I103" s="174">
        <f>'[9]Data Cap04001'!F94</f>
        <v>961</v>
      </c>
      <c r="J103" s="174"/>
      <c r="K103" s="174">
        <f>'[9]Data Cap04001'!G94</f>
        <v>2388</v>
      </c>
      <c r="L103" s="174">
        <f>'[9]Data Cap04001'!H94</f>
        <v>3291</v>
      </c>
      <c r="M103" s="174"/>
      <c r="N103" s="174">
        <f>'[9]Data Cap04001'!I94</f>
        <v>1269</v>
      </c>
      <c r="O103" s="176"/>
      <c r="Q103" s="177"/>
    </row>
    <row r="104" spans="1:17" x14ac:dyDescent="0.3">
      <c r="A104" s="179"/>
      <c r="B104" s="189" t="s">
        <v>2399</v>
      </c>
      <c r="C104" s="171" t="s">
        <v>2400</v>
      </c>
      <c r="D104" s="172"/>
      <c r="E104" s="173"/>
      <c r="F104" s="174">
        <f>'[9]Data Cap04001'!D95</f>
        <v>1707</v>
      </c>
      <c r="G104" s="174">
        <f>'[9]Data Cap04001'!E95</f>
        <v>628</v>
      </c>
      <c r="H104" s="174"/>
      <c r="I104" s="174">
        <f>'[9]Data Cap04001'!F95</f>
        <v>455</v>
      </c>
      <c r="J104" s="174"/>
      <c r="K104" s="174">
        <f>'[9]Data Cap04001'!G95</f>
        <v>2007</v>
      </c>
      <c r="L104" s="174">
        <f>'[9]Data Cap04001'!H95</f>
        <v>2974</v>
      </c>
      <c r="M104" s="174"/>
      <c r="N104" s="174">
        <f>'[9]Data Cap04001'!I95</f>
        <v>1941</v>
      </c>
      <c r="O104" s="176"/>
      <c r="Q104" s="177"/>
    </row>
    <row r="105" spans="1:17" x14ac:dyDescent="0.3">
      <c r="A105" s="179"/>
      <c r="B105" s="189" t="s">
        <v>2401</v>
      </c>
      <c r="C105" s="171" t="s">
        <v>2402</v>
      </c>
      <c r="D105" s="172">
        <f t="shared" ref="D105:D110" si="8">SUM(F105:N105)</f>
        <v>21429</v>
      </c>
      <c r="E105" s="173"/>
      <c r="F105" s="174">
        <f>'[9]Data Cap04001'!D96</f>
        <v>5933</v>
      </c>
      <c r="G105" s="174">
        <f>'[9]Data Cap04001'!E96</f>
        <v>4057</v>
      </c>
      <c r="H105" s="174"/>
      <c r="I105" s="174">
        <f>'[9]Data Cap04001'!F96</f>
        <v>1371</v>
      </c>
      <c r="J105" s="174"/>
      <c r="K105" s="174">
        <f>'[9]Data Cap04001'!G96</f>
        <v>3631</v>
      </c>
      <c r="L105" s="174">
        <f>'[9]Data Cap04001'!H96</f>
        <v>4500</v>
      </c>
      <c r="M105" s="174"/>
      <c r="N105" s="174">
        <f>'[9]Data Cap04001'!I96</f>
        <v>1937</v>
      </c>
      <c r="O105" s="176"/>
      <c r="Q105" s="177"/>
    </row>
    <row r="106" spans="1:17" x14ac:dyDescent="0.3">
      <c r="A106" s="179"/>
      <c r="B106" s="189" t="s">
        <v>2403</v>
      </c>
      <c r="C106" s="171" t="s">
        <v>2404</v>
      </c>
      <c r="D106" s="172">
        <f t="shared" si="8"/>
        <v>4725</v>
      </c>
      <c r="E106" s="173"/>
      <c r="F106" s="174">
        <f>'[9]Data Cap04001'!D97</f>
        <v>1352</v>
      </c>
      <c r="G106" s="174">
        <f>'[9]Data Cap04001'!E97</f>
        <v>433</v>
      </c>
      <c r="H106" s="174"/>
      <c r="I106" s="174">
        <f>'[9]Data Cap04001'!F97</f>
        <v>261</v>
      </c>
      <c r="J106" s="174"/>
      <c r="K106" s="174">
        <f>'[9]Data Cap04001'!G97</f>
        <v>976</v>
      </c>
      <c r="L106" s="174">
        <f>'[9]Data Cap04001'!H97</f>
        <v>1070</v>
      </c>
      <c r="M106" s="174"/>
      <c r="N106" s="174">
        <f>'[9]Data Cap04001'!I97</f>
        <v>633</v>
      </c>
      <c r="O106" s="176"/>
      <c r="Q106" s="177"/>
    </row>
    <row r="107" spans="1:17" x14ac:dyDescent="0.3">
      <c r="A107" s="179"/>
      <c r="B107" s="189" t="s">
        <v>2405</v>
      </c>
      <c r="C107" s="171" t="s">
        <v>2406</v>
      </c>
      <c r="D107" s="172">
        <f t="shared" si="8"/>
        <v>36699</v>
      </c>
      <c r="E107" s="173"/>
      <c r="F107" s="174">
        <f>'[9]Data Cap04001'!D98</f>
        <v>10169</v>
      </c>
      <c r="G107" s="174">
        <f>'[9]Data Cap04001'!E98</f>
        <v>7926</v>
      </c>
      <c r="H107" s="174"/>
      <c r="I107" s="174">
        <f>'[9]Data Cap04001'!F98</f>
        <v>2281</v>
      </c>
      <c r="J107" s="174"/>
      <c r="K107" s="174">
        <f>'[9]Data Cap04001'!G98</f>
        <v>6564</v>
      </c>
      <c r="L107" s="174">
        <f>'[9]Data Cap04001'!H98</f>
        <v>6838</v>
      </c>
      <c r="M107" s="174"/>
      <c r="N107" s="174">
        <f>'[9]Data Cap04001'!I98</f>
        <v>2921</v>
      </c>
      <c r="O107" s="176"/>
      <c r="Q107" s="177"/>
    </row>
    <row r="108" spans="1:17" x14ac:dyDescent="0.3">
      <c r="A108" s="181"/>
      <c r="B108" s="197" t="s">
        <v>2407</v>
      </c>
      <c r="C108" s="183" t="s">
        <v>2408</v>
      </c>
      <c r="D108" s="172">
        <f t="shared" si="8"/>
        <v>4378</v>
      </c>
      <c r="E108" s="184"/>
      <c r="F108" s="174">
        <f>'[9]Data Cap04001'!D99</f>
        <v>787</v>
      </c>
      <c r="G108" s="174">
        <f>'[9]Data Cap04001'!E99</f>
        <v>620</v>
      </c>
      <c r="H108" s="192"/>
      <c r="I108" s="174">
        <f>'[9]Data Cap04001'!F99</f>
        <v>344</v>
      </c>
      <c r="J108" s="192"/>
      <c r="K108" s="174">
        <f>'[9]Data Cap04001'!G99</f>
        <v>795</v>
      </c>
      <c r="L108" s="174">
        <f>'[9]Data Cap04001'!H99</f>
        <v>1340</v>
      </c>
      <c r="M108" s="174"/>
      <c r="N108" s="174">
        <f>'[9]Data Cap04001'!I99</f>
        <v>492</v>
      </c>
      <c r="O108" s="186"/>
      <c r="Q108" s="177"/>
    </row>
    <row r="109" spans="1:17" x14ac:dyDescent="0.3">
      <c r="A109" s="199" t="s">
        <v>2409</v>
      </c>
      <c r="B109" s="200"/>
      <c r="C109" s="177" t="s">
        <v>2247</v>
      </c>
      <c r="D109" s="165">
        <f t="shared" si="8"/>
        <v>226865</v>
      </c>
      <c r="E109" s="166"/>
      <c r="F109" s="167">
        <f>'[9]Data Cap04001'!D113</f>
        <v>60796</v>
      </c>
      <c r="G109" s="167">
        <f>'[9]Data Cap04001'!E113</f>
        <v>36893</v>
      </c>
      <c r="H109" s="167"/>
      <c r="I109" s="167">
        <f>'[9]Data Cap04001'!F113</f>
        <v>18999</v>
      </c>
      <c r="J109" s="167"/>
      <c r="K109" s="167">
        <f>'[9]Data Cap04001'!G113</f>
        <v>38083</v>
      </c>
      <c r="L109" s="167">
        <f>'[9]Data Cap04001'!H113</f>
        <v>51956</v>
      </c>
      <c r="M109" s="167"/>
      <c r="N109" s="167">
        <f>'[9]Data Cap04001'!I113</f>
        <v>20138</v>
      </c>
      <c r="O109" s="168"/>
      <c r="Q109" s="177"/>
    </row>
    <row r="110" spans="1:17" x14ac:dyDescent="0.3">
      <c r="A110" s="169"/>
      <c r="B110" s="189" t="s">
        <v>2410</v>
      </c>
      <c r="C110" s="177" t="s">
        <v>2411</v>
      </c>
      <c r="D110" s="172">
        <f t="shared" si="8"/>
        <v>144</v>
      </c>
      <c r="E110" s="173"/>
      <c r="F110" s="174">
        <f>'[9]Data Cap04001'!D101</f>
        <v>1</v>
      </c>
      <c r="G110" s="174">
        <f>'[9]Data Cap04001'!E101</f>
        <v>0</v>
      </c>
      <c r="H110" s="174"/>
      <c r="I110" s="174">
        <f>'[9]Data Cap04001'!F101</f>
        <v>2</v>
      </c>
      <c r="J110" s="174"/>
      <c r="K110" s="174">
        <f>'[9]Data Cap04001'!G101</f>
        <v>22</v>
      </c>
      <c r="L110" s="174">
        <f>'[9]Data Cap04001'!H101</f>
        <v>66</v>
      </c>
      <c r="M110" s="174"/>
      <c r="N110" s="174">
        <f>'[9]Data Cap04001'!I101</f>
        <v>53</v>
      </c>
      <c r="O110" s="176"/>
      <c r="Q110" s="177"/>
    </row>
    <row r="111" spans="1:17" x14ac:dyDescent="0.3">
      <c r="A111" s="169"/>
      <c r="B111" s="189" t="s">
        <v>2412</v>
      </c>
      <c r="C111" s="177" t="s">
        <v>2413</v>
      </c>
      <c r="D111" s="172">
        <f t="shared" ref="D111:D119" si="9">SUM(F111:N111)</f>
        <v>8066</v>
      </c>
      <c r="E111" s="173"/>
      <c r="F111" s="174">
        <f>'[9]Data Cap04001'!D102</f>
        <v>165</v>
      </c>
      <c r="G111" s="174">
        <f>'[9]Data Cap04001'!E102</f>
        <v>343</v>
      </c>
      <c r="H111" s="174"/>
      <c r="I111" s="174">
        <f>'[9]Data Cap04001'!F102</f>
        <v>442</v>
      </c>
      <c r="J111" s="174"/>
      <c r="K111" s="174">
        <f>'[9]Data Cap04001'!G102</f>
        <v>1357</v>
      </c>
      <c r="L111" s="174">
        <f>'[9]Data Cap04001'!H102</f>
        <v>3335</v>
      </c>
      <c r="M111" s="174"/>
      <c r="N111" s="174">
        <f>'[9]Data Cap04001'!I102</f>
        <v>2424</v>
      </c>
      <c r="O111" s="176"/>
      <c r="Q111" s="177"/>
    </row>
    <row r="112" spans="1:17" x14ac:dyDescent="0.3">
      <c r="A112" s="169"/>
      <c r="B112" s="189" t="s">
        <v>2414</v>
      </c>
      <c r="C112" s="177" t="s">
        <v>2415</v>
      </c>
      <c r="D112" s="172">
        <f t="shared" si="9"/>
        <v>7842</v>
      </c>
      <c r="E112" s="173"/>
      <c r="F112" s="174">
        <f>'[9]Data Cap04001'!D103</f>
        <v>3097</v>
      </c>
      <c r="G112" s="174">
        <f>'[9]Data Cap04001'!E103</f>
        <v>665</v>
      </c>
      <c r="H112" s="174"/>
      <c r="I112" s="174">
        <f>'[9]Data Cap04001'!F103</f>
        <v>353</v>
      </c>
      <c r="J112" s="174"/>
      <c r="K112" s="174">
        <f>'[9]Data Cap04001'!G103</f>
        <v>2019</v>
      </c>
      <c r="L112" s="174">
        <f>'[9]Data Cap04001'!H103</f>
        <v>1558</v>
      </c>
      <c r="M112" s="174"/>
      <c r="N112" s="174">
        <f>'[9]Data Cap04001'!I103</f>
        <v>150</v>
      </c>
      <c r="O112" s="176"/>
      <c r="Q112" s="177"/>
    </row>
    <row r="113" spans="1:17" x14ac:dyDescent="0.3">
      <c r="A113" s="179"/>
      <c r="B113" s="189" t="s">
        <v>2416</v>
      </c>
      <c r="C113" s="177" t="s">
        <v>2417</v>
      </c>
      <c r="D113" s="172">
        <f t="shared" si="9"/>
        <v>20797</v>
      </c>
      <c r="E113" s="173"/>
      <c r="F113" s="174">
        <f>'[9]Data Cap04001'!D104</f>
        <v>4906</v>
      </c>
      <c r="G113" s="174">
        <f>'[9]Data Cap04001'!E104</f>
        <v>3522</v>
      </c>
      <c r="H113" s="174"/>
      <c r="I113" s="174">
        <f>'[9]Data Cap04001'!F104</f>
        <v>1892</v>
      </c>
      <c r="J113" s="174"/>
      <c r="K113" s="174">
        <f>'[9]Data Cap04001'!G104</f>
        <v>3094</v>
      </c>
      <c r="L113" s="174">
        <f>'[9]Data Cap04001'!H104</f>
        <v>4842</v>
      </c>
      <c r="M113" s="174"/>
      <c r="N113" s="174">
        <f>'[9]Data Cap04001'!I104</f>
        <v>2541</v>
      </c>
      <c r="O113" s="176"/>
      <c r="Q113" s="177"/>
    </row>
    <row r="114" spans="1:17" x14ac:dyDescent="0.3">
      <c r="A114" s="179"/>
      <c r="B114" s="189" t="s">
        <v>2418</v>
      </c>
      <c r="C114" s="177" t="s">
        <v>2419</v>
      </c>
      <c r="D114" s="172">
        <f t="shared" si="9"/>
        <v>19805</v>
      </c>
      <c r="E114" s="173"/>
      <c r="F114" s="174">
        <f>'[9]Data Cap04001'!D105</f>
        <v>4833</v>
      </c>
      <c r="G114" s="174">
        <f>'[9]Data Cap04001'!E105</f>
        <v>2461</v>
      </c>
      <c r="H114" s="174"/>
      <c r="I114" s="174">
        <f>'[9]Data Cap04001'!F105</f>
        <v>1402</v>
      </c>
      <c r="J114" s="174"/>
      <c r="K114" s="174">
        <f>'[9]Data Cap04001'!G105</f>
        <v>3500</v>
      </c>
      <c r="L114" s="174">
        <f>'[9]Data Cap04001'!H105</f>
        <v>5061</v>
      </c>
      <c r="M114" s="174"/>
      <c r="N114" s="174">
        <f>'[9]Data Cap04001'!I105</f>
        <v>2548</v>
      </c>
      <c r="O114" s="176"/>
      <c r="Q114" s="177"/>
    </row>
    <row r="115" spans="1:17" x14ac:dyDescent="0.3">
      <c r="A115" s="179"/>
      <c r="B115" s="189" t="s">
        <v>2420</v>
      </c>
      <c r="C115" s="177" t="s">
        <v>2421</v>
      </c>
      <c r="D115" s="172">
        <f t="shared" si="9"/>
        <v>21456</v>
      </c>
      <c r="E115" s="173"/>
      <c r="F115" s="174">
        <f>'[9]Data Cap04001'!D106</f>
        <v>5155</v>
      </c>
      <c r="G115" s="174">
        <f>'[9]Data Cap04001'!E106</f>
        <v>2789</v>
      </c>
      <c r="H115" s="174"/>
      <c r="I115" s="174">
        <f>'[9]Data Cap04001'!F106</f>
        <v>1788</v>
      </c>
      <c r="J115" s="174"/>
      <c r="K115" s="174">
        <f>'[9]Data Cap04001'!G106</f>
        <v>3684</v>
      </c>
      <c r="L115" s="174">
        <f>'[9]Data Cap04001'!H106</f>
        <v>5729</v>
      </c>
      <c r="M115" s="174"/>
      <c r="N115" s="174">
        <f>'[9]Data Cap04001'!I106</f>
        <v>2311</v>
      </c>
      <c r="O115" s="176"/>
      <c r="Q115" s="177"/>
    </row>
    <row r="116" spans="1:17" x14ac:dyDescent="0.3">
      <c r="A116" s="179"/>
      <c r="B116" s="189" t="s">
        <v>2422</v>
      </c>
      <c r="C116" s="177" t="s">
        <v>2423</v>
      </c>
      <c r="D116" s="172">
        <f t="shared" si="9"/>
        <v>37691</v>
      </c>
      <c r="E116" s="173"/>
      <c r="F116" s="174">
        <f>'[9]Data Cap04001'!D107</f>
        <v>10445</v>
      </c>
      <c r="G116" s="174">
        <f>'[9]Data Cap04001'!E107</f>
        <v>6888</v>
      </c>
      <c r="H116" s="174"/>
      <c r="I116" s="174">
        <f>'[9]Data Cap04001'!F107</f>
        <v>3650</v>
      </c>
      <c r="J116" s="174"/>
      <c r="K116" s="174">
        <f>'[9]Data Cap04001'!G107</f>
        <v>6456</v>
      </c>
      <c r="L116" s="174">
        <f>'[9]Data Cap04001'!H107</f>
        <v>8475</v>
      </c>
      <c r="M116" s="174"/>
      <c r="N116" s="174">
        <f>'[9]Data Cap04001'!I107</f>
        <v>1777</v>
      </c>
      <c r="O116" s="176"/>
      <c r="Q116" s="177"/>
    </row>
    <row r="117" spans="1:17" x14ac:dyDescent="0.3">
      <c r="A117" s="179"/>
      <c r="B117" s="189" t="s">
        <v>2424</v>
      </c>
      <c r="C117" s="177" t="s">
        <v>2425</v>
      </c>
      <c r="D117" s="172">
        <f t="shared" si="9"/>
        <v>6857</v>
      </c>
      <c r="E117" s="173"/>
      <c r="F117" s="174">
        <f>'[9]Data Cap04001'!D108</f>
        <v>1566</v>
      </c>
      <c r="G117" s="174">
        <f>'[9]Data Cap04001'!E108</f>
        <v>1336</v>
      </c>
      <c r="H117" s="174"/>
      <c r="I117" s="174">
        <f>'[9]Data Cap04001'!F108</f>
        <v>670</v>
      </c>
      <c r="J117" s="174"/>
      <c r="K117" s="174">
        <f>'[9]Data Cap04001'!G108</f>
        <v>952</v>
      </c>
      <c r="L117" s="174">
        <f>'[9]Data Cap04001'!H108</f>
        <v>1557</v>
      </c>
      <c r="M117" s="174"/>
      <c r="N117" s="174">
        <f>'[9]Data Cap04001'!I108</f>
        <v>776</v>
      </c>
      <c r="O117" s="176"/>
      <c r="Q117" s="177"/>
    </row>
    <row r="118" spans="1:17" x14ac:dyDescent="0.3">
      <c r="A118" s="179"/>
      <c r="B118" s="189" t="s">
        <v>2426</v>
      </c>
      <c r="C118" s="177" t="s">
        <v>2427</v>
      </c>
      <c r="D118" s="172">
        <f t="shared" si="9"/>
        <v>76183</v>
      </c>
      <c r="E118" s="173"/>
      <c r="F118" s="174">
        <f>'[9]Data Cap04001'!D109</f>
        <v>21788</v>
      </c>
      <c r="G118" s="174">
        <f>'[9]Data Cap04001'!E109</f>
        <v>13137</v>
      </c>
      <c r="H118" s="174"/>
      <c r="I118" s="174">
        <f>'[9]Data Cap04001'!F109</f>
        <v>6259</v>
      </c>
      <c r="J118" s="174"/>
      <c r="K118" s="174">
        <f>'[9]Data Cap04001'!G109</f>
        <v>13312</v>
      </c>
      <c r="L118" s="174">
        <f>'[9]Data Cap04001'!H109</f>
        <v>16002</v>
      </c>
      <c r="M118" s="174"/>
      <c r="N118" s="174">
        <f>'[9]Data Cap04001'!I109</f>
        <v>5685</v>
      </c>
      <c r="O118" s="176"/>
      <c r="Q118" s="177"/>
    </row>
    <row r="119" spans="1:17" x14ac:dyDescent="0.3">
      <c r="A119" s="179"/>
      <c r="B119" s="189" t="s">
        <v>2428</v>
      </c>
      <c r="C119" s="177" t="s">
        <v>2429</v>
      </c>
      <c r="D119" s="172">
        <f t="shared" si="9"/>
        <v>13629</v>
      </c>
      <c r="E119" s="173"/>
      <c r="F119" s="174">
        <f>'[9]Data Cap04001'!D110</f>
        <v>4354</v>
      </c>
      <c r="G119" s="174">
        <f>'[9]Data Cap04001'!E110</f>
        <v>2126</v>
      </c>
      <c r="H119" s="174"/>
      <c r="I119" s="174">
        <f>'[9]Data Cap04001'!F110</f>
        <v>988</v>
      </c>
      <c r="J119" s="174"/>
      <c r="K119" s="174">
        <f>'[9]Data Cap04001'!G110</f>
        <v>2294</v>
      </c>
      <c r="L119" s="174">
        <f>'[9]Data Cap04001'!H110</f>
        <v>3069</v>
      </c>
      <c r="M119" s="174"/>
      <c r="N119" s="174">
        <f>'[9]Data Cap04001'!I110</f>
        <v>798</v>
      </c>
      <c r="O119" s="176"/>
      <c r="Q119" s="177"/>
    </row>
    <row r="120" spans="1:17" x14ac:dyDescent="0.3">
      <c r="A120" s="179"/>
      <c r="B120" s="189" t="s">
        <v>2430</v>
      </c>
      <c r="C120" s="177" t="s">
        <v>2431</v>
      </c>
      <c r="D120" s="172">
        <f>SUM(F120:N120)</f>
        <v>13151</v>
      </c>
      <c r="E120" s="173"/>
      <c r="F120" s="174">
        <f>'[9]Data Cap04001'!D111</f>
        <v>3898</v>
      </c>
      <c r="G120" s="174">
        <f>'[9]Data Cap04001'!E111</f>
        <v>2408</v>
      </c>
      <c r="H120" s="174"/>
      <c r="I120" s="174">
        <f>'[9]Data Cap04001'!F111</f>
        <v>1113</v>
      </c>
      <c r="J120" s="174"/>
      <c r="K120" s="174">
        <f>'[9]Data Cap04001'!G111</f>
        <v>2178</v>
      </c>
      <c r="L120" s="174">
        <f>'[9]Data Cap04001'!H111</f>
        <v>2900</v>
      </c>
      <c r="M120" s="174"/>
      <c r="N120" s="174">
        <f>'[9]Data Cap04001'!I111</f>
        <v>654</v>
      </c>
      <c r="O120" s="176"/>
      <c r="Q120" s="177"/>
    </row>
    <row r="121" spans="1:17" x14ac:dyDescent="0.3">
      <c r="A121" s="169"/>
      <c r="B121" s="189" t="s">
        <v>2432</v>
      </c>
      <c r="C121" s="177" t="s">
        <v>2433</v>
      </c>
      <c r="D121" s="172">
        <f>SUM(F121:N121)</f>
        <v>12651</v>
      </c>
      <c r="E121" s="184"/>
      <c r="F121" s="174">
        <f>'[9]Data Cap04001'!D112</f>
        <v>3388</v>
      </c>
      <c r="G121" s="174">
        <f>'[9]Data Cap04001'!E112</f>
        <v>1934</v>
      </c>
      <c r="H121" s="174"/>
      <c r="I121" s="174">
        <f>'[9]Data Cap04001'!F112</f>
        <v>974</v>
      </c>
      <c r="J121" s="174"/>
      <c r="K121" s="174">
        <f>'[9]Data Cap04001'!G112</f>
        <v>1816</v>
      </c>
      <c r="L121" s="174">
        <f>'[9]Data Cap04001'!H112</f>
        <v>2635</v>
      </c>
      <c r="M121" s="174"/>
      <c r="N121" s="174">
        <f>'[9]Data Cap04001'!I112</f>
        <v>1904</v>
      </c>
      <c r="O121" s="186"/>
      <c r="Q121" s="177"/>
    </row>
    <row r="122" spans="1:17" x14ac:dyDescent="0.3">
      <c r="A122" s="162" t="s">
        <v>1408</v>
      </c>
      <c r="B122" s="201"/>
      <c r="C122" s="193" t="s">
        <v>2247</v>
      </c>
      <c r="D122" s="165">
        <f>SUM(F122:N122)</f>
        <v>305788</v>
      </c>
      <c r="E122" s="166"/>
      <c r="F122" s="167">
        <f>'[9]Data Cap04001'!D129</f>
        <v>68810</v>
      </c>
      <c r="G122" s="167">
        <f>'[9]Data Cap04001'!E129</f>
        <v>50015</v>
      </c>
      <c r="H122" s="167"/>
      <c r="I122" s="167">
        <f>'[9]Data Cap04001'!F129</f>
        <v>30596</v>
      </c>
      <c r="J122" s="167"/>
      <c r="K122" s="167">
        <f>'[9]Data Cap04001'!G129</f>
        <v>48294</v>
      </c>
      <c r="L122" s="167">
        <f>'[9]Data Cap04001'!H129</f>
        <v>73904</v>
      </c>
      <c r="M122" s="167"/>
      <c r="N122" s="167">
        <f>'[9]Data Cap04001'!I129</f>
        <v>34169</v>
      </c>
      <c r="O122" s="168"/>
      <c r="Q122" s="177"/>
    </row>
    <row r="123" spans="1:17" x14ac:dyDescent="0.3">
      <c r="A123" s="169"/>
      <c r="B123" s="189" t="s">
        <v>2434</v>
      </c>
      <c r="C123" s="171" t="s">
        <v>2435</v>
      </c>
      <c r="D123" s="172">
        <f>SUM(F123:N123)</f>
        <v>24970</v>
      </c>
      <c r="E123" s="173"/>
      <c r="F123" s="174">
        <f>'[9]Data Cap04001'!D114</f>
        <v>6029</v>
      </c>
      <c r="G123" s="174">
        <f>'[9]Data Cap04001'!E114</f>
        <v>4918</v>
      </c>
      <c r="H123" s="174"/>
      <c r="I123" s="174">
        <f>'[9]Data Cap04001'!F114</f>
        <v>3099</v>
      </c>
      <c r="J123" s="174"/>
      <c r="K123" s="174">
        <f>'[9]Data Cap04001'!G114</f>
        <v>3315</v>
      </c>
      <c r="L123" s="174">
        <f>'[9]Data Cap04001'!H114</f>
        <v>5628</v>
      </c>
      <c r="M123" s="174"/>
      <c r="N123" s="174">
        <f>'[9]Data Cap04001'!I114</f>
        <v>1981</v>
      </c>
      <c r="O123" s="176"/>
      <c r="Q123" s="177"/>
    </row>
    <row r="124" spans="1:17" x14ac:dyDescent="0.3">
      <c r="A124" s="169"/>
      <c r="B124" s="189" t="s">
        <v>2436</v>
      </c>
      <c r="C124" s="171" t="s">
        <v>2437</v>
      </c>
      <c r="D124" s="172"/>
      <c r="E124" s="173"/>
      <c r="F124" s="174">
        <f>'[9]Data Cap04001'!D115</f>
        <v>344</v>
      </c>
      <c r="G124" s="174">
        <f>'[9]Data Cap04001'!E115</f>
        <v>538</v>
      </c>
      <c r="H124" s="174"/>
      <c r="I124" s="174">
        <f>'[9]Data Cap04001'!F115</f>
        <v>373</v>
      </c>
      <c r="J124" s="174"/>
      <c r="K124" s="174">
        <f>'[9]Data Cap04001'!G115</f>
        <v>471</v>
      </c>
      <c r="L124" s="174">
        <f>'[9]Data Cap04001'!H115</f>
        <v>2269</v>
      </c>
      <c r="M124" s="174"/>
      <c r="N124" s="174">
        <f>'[9]Data Cap04001'!I115</f>
        <v>2757</v>
      </c>
      <c r="O124" s="176"/>
      <c r="Q124" s="177"/>
    </row>
    <row r="125" spans="1:17" x14ac:dyDescent="0.3">
      <c r="A125" s="169"/>
      <c r="B125" s="189" t="s">
        <v>2438</v>
      </c>
      <c r="C125" s="171" t="s">
        <v>2439</v>
      </c>
      <c r="D125" s="172">
        <f t="shared" ref="D125:D136" si="10">SUM(F125:N125)</f>
        <v>7260</v>
      </c>
      <c r="E125" s="173"/>
      <c r="F125" s="174">
        <f>'[9]Data Cap04001'!D116</f>
        <v>1056</v>
      </c>
      <c r="G125" s="174">
        <f>'[9]Data Cap04001'!E116</f>
        <v>398</v>
      </c>
      <c r="H125" s="174"/>
      <c r="I125" s="174">
        <f>'[9]Data Cap04001'!F116</f>
        <v>311</v>
      </c>
      <c r="J125" s="174"/>
      <c r="K125" s="174">
        <f>'[9]Data Cap04001'!G116</f>
        <v>1125</v>
      </c>
      <c r="L125" s="174">
        <f>'[9]Data Cap04001'!H116</f>
        <v>2545</v>
      </c>
      <c r="M125" s="174"/>
      <c r="N125" s="174">
        <f>'[9]Data Cap04001'!I116</f>
        <v>1825</v>
      </c>
      <c r="O125" s="176"/>
      <c r="Q125" s="177"/>
    </row>
    <row r="126" spans="1:17" x14ac:dyDescent="0.3">
      <c r="A126" s="169"/>
      <c r="B126" s="189" t="s">
        <v>2440</v>
      </c>
      <c r="C126" s="171" t="s">
        <v>2441</v>
      </c>
      <c r="D126" s="172">
        <f t="shared" si="10"/>
        <v>12007</v>
      </c>
      <c r="E126" s="173"/>
      <c r="F126" s="174">
        <f>'[9]Data Cap04001'!D117</f>
        <v>1958</v>
      </c>
      <c r="G126" s="174">
        <f>'[9]Data Cap04001'!E117</f>
        <v>738</v>
      </c>
      <c r="H126" s="174"/>
      <c r="I126" s="174">
        <f>'[9]Data Cap04001'!F117</f>
        <v>557</v>
      </c>
      <c r="J126" s="174"/>
      <c r="K126" s="174">
        <f>'[9]Data Cap04001'!G117</f>
        <v>2057</v>
      </c>
      <c r="L126" s="174">
        <f>'[9]Data Cap04001'!H117</f>
        <v>3892</v>
      </c>
      <c r="M126" s="174"/>
      <c r="N126" s="174">
        <f>'[9]Data Cap04001'!I117</f>
        <v>2805</v>
      </c>
      <c r="O126" s="176"/>
      <c r="Q126" s="177"/>
    </row>
    <row r="127" spans="1:17" x14ac:dyDescent="0.3">
      <c r="A127" s="179"/>
      <c r="B127" s="189" t="s">
        <v>2442</v>
      </c>
      <c r="C127" s="171" t="s">
        <v>2443</v>
      </c>
      <c r="D127" s="172">
        <f t="shared" si="10"/>
        <v>12818</v>
      </c>
      <c r="E127" s="173"/>
      <c r="F127" s="174">
        <f>'[9]Data Cap04001'!D118</f>
        <v>3057</v>
      </c>
      <c r="G127" s="174">
        <f>'[9]Data Cap04001'!E118</f>
        <v>1864</v>
      </c>
      <c r="H127" s="174"/>
      <c r="I127" s="174">
        <f>'[9]Data Cap04001'!F118</f>
        <v>1103</v>
      </c>
      <c r="J127" s="174"/>
      <c r="K127" s="174">
        <f>'[9]Data Cap04001'!G118</f>
        <v>2186</v>
      </c>
      <c r="L127" s="174">
        <f>'[9]Data Cap04001'!H118</f>
        <v>3215</v>
      </c>
      <c r="M127" s="174"/>
      <c r="N127" s="174">
        <f>'[9]Data Cap04001'!I118</f>
        <v>1393</v>
      </c>
      <c r="O127" s="176"/>
      <c r="Q127" s="177"/>
    </row>
    <row r="128" spans="1:17" x14ac:dyDescent="0.3">
      <c r="A128" s="179"/>
      <c r="B128" s="189" t="s">
        <v>2444</v>
      </c>
      <c r="C128" s="171" t="s">
        <v>2445</v>
      </c>
      <c r="D128" s="172">
        <f t="shared" si="10"/>
        <v>15029</v>
      </c>
      <c r="E128" s="173"/>
      <c r="F128" s="174">
        <f>'[9]Data Cap04001'!D119</f>
        <v>3485</v>
      </c>
      <c r="G128" s="174">
        <f>'[9]Data Cap04001'!E119</f>
        <v>2223</v>
      </c>
      <c r="H128" s="174"/>
      <c r="I128" s="174">
        <f>'[9]Data Cap04001'!F119</f>
        <v>1199</v>
      </c>
      <c r="J128" s="174"/>
      <c r="K128" s="174">
        <f>'[9]Data Cap04001'!G119</f>
        <v>2712</v>
      </c>
      <c r="L128" s="174">
        <f>'[9]Data Cap04001'!H119</f>
        <v>3784</v>
      </c>
      <c r="M128" s="174"/>
      <c r="N128" s="174">
        <f>'[9]Data Cap04001'!I119</f>
        <v>1626</v>
      </c>
      <c r="O128" s="176"/>
      <c r="Q128" s="177"/>
    </row>
    <row r="129" spans="1:17" x14ac:dyDescent="0.3">
      <c r="A129" s="179"/>
      <c r="B129" s="189" t="s">
        <v>2446</v>
      </c>
      <c r="C129" s="171" t="s">
        <v>2447</v>
      </c>
      <c r="D129" s="172">
        <f t="shared" si="10"/>
        <v>51110</v>
      </c>
      <c r="E129" s="173"/>
      <c r="F129" s="174">
        <f>'[9]Data Cap04001'!D120</f>
        <v>12024</v>
      </c>
      <c r="G129" s="174">
        <f>'[9]Data Cap04001'!E120</f>
        <v>9837</v>
      </c>
      <c r="H129" s="174"/>
      <c r="I129" s="174">
        <f>'[9]Data Cap04001'!F120</f>
        <v>7774</v>
      </c>
      <c r="J129" s="174"/>
      <c r="K129" s="174">
        <f>'[9]Data Cap04001'!G120</f>
        <v>7483</v>
      </c>
      <c r="L129" s="174">
        <f>'[9]Data Cap04001'!H120</f>
        <v>10480</v>
      </c>
      <c r="M129" s="174"/>
      <c r="N129" s="174">
        <f>'[9]Data Cap04001'!I120</f>
        <v>3512</v>
      </c>
      <c r="O129" s="176"/>
      <c r="Q129" s="177"/>
    </row>
    <row r="130" spans="1:17" x14ac:dyDescent="0.3">
      <c r="A130" s="179"/>
      <c r="B130" s="189" t="s">
        <v>2448</v>
      </c>
      <c r="C130" s="171" t="s">
        <v>2449</v>
      </c>
      <c r="D130" s="172">
        <f t="shared" si="10"/>
        <v>19209</v>
      </c>
      <c r="E130" s="173"/>
      <c r="F130" s="174">
        <f>'[9]Data Cap04001'!D121</f>
        <v>3774</v>
      </c>
      <c r="G130" s="174">
        <f>'[9]Data Cap04001'!E121</f>
        <v>4100</v>
      </c>
      <c r="H130" s="174"/>
      <c r="I130" s="174">
        <f>'[9]Data Cap04001'!F121</f>
        <v>2988</v>
      </c>
      <c r="J130" s="174"/>
      <c r="K130" s="174">
        <f>'[9]Data Cap04001'!G121</f>
        <v>2331</v>
      </c>
      <c r="L130" s="174">
        <f>'[9]Data Cap04001'!H121</f>
        <v>4070</v>
      </c>
      <c r="M130" s="174"/>
      <c r="N130" s="174">
        <f>'[9]Data Cap04001'!I121</f>
        <v>1946</v>
      </c>
      <c r="O130" s="176"/>
      <c r="Q130" s="177"/>
    </row>
    <row r="131" spans="1:17" x14ac:dyDescent="0.3">
      <c r="A131" s="179"/>
      <c r="B131" s="189" t="s">
        <v>2450</v>
      </c>
      <c r="C131" s="171" t="s">
        <v>2451</v>
      </c>
      <c r="D131" s="172">
        <f t="shared" si="10"/>
        <v>28181</v>
      </c>
      <c r="E131" s="173"/>
      <c r="F131" s="174">
        <f>'[9]Data Cap04001'!D122</f>
        <v>5326</v>
      </c>
      <c r="G131" s="174">
        <f>'[9]Data Cap04001'!E122</f>
        <v>5403</v>
      </c>
      <c r="H131" s="174"/>
      <c r="I131" s="174">
        <f>'[9]Data Cap04001'!F122</f>
        <v>3157</v>
      </c>
      <c r="J131" s="174"/>
      <c r="K131" s="174">
        <f>'[9]Data Cap04001'!G122</f>
        <v>3877</v>
      </c>
      <c r="L131" s="174">
        <f>'[9]Data Cap04001'!H122</f>
        <v>7093</v>
      </c>
      <c r="M131" s="174"/>
      <c r="N131" s="174">
        <f>'[9]Data Cap04001'!I122</f>
        <v>3325</v>
      </c>
      <c r="O131" s="176"/>
      <c r="Q131" s="177"/>
    </row>
    <row r="132" spans="1:17" x14ac:dyDescent="0.3">
      <c r="A132" s="179"/>
      <c r="B132" s="189" t="s">
        <v>2452</v>
      </c>
      <c r="C132" s="171" t="s">
        <v>2453</v>
      </c>
      <c r="D132" s="172">
        <f t="shared" si="10"/>
        <v>93555</v>
      </c>
      <c r="E132" s="173"/>
      <c r="F132" s="174">
        <f>'[9]Data Cap04001'!D123</f>
        <v>24301</v>
      </c>
      <c r="G132" s="174">
        <f>'[9]Data Cap04001'!E123</f>
        <v>12063</v>
      </c>
      <c r="H132" s="174"/>
      <c r="I132" s="174">
        <f>'[9]Data Cap04001'!F123</f>
        <v>5584</v>
      </c>
      <c r="J132" s="174"/>
      <c r="K132" s="174">
        <f>'[9]Data Cap04001'!G123</f>
        <v>17561</v>
      </c>
      <c r="L132" s="174">
        <f>'[9]Data Cap04001'!H123</f>
        <v>23296</v>
      </c>
      <c r="M132" s="174"/>
      <c r="N132" s="174">
        <f>'[9]Data Cap04001'!I123</f>
        <v>10750</v>
      </c>
      <c r="O132" s="176"/>
      <c r="Q132" s="177"/>
    </row>
    <row r="133" spans="1:17" x14ac:dyDescent="0.3">
      <c r="A133" s="169"/>
      <c r="B133" s="189" t="s">
        <v>2454</v>
      </c>
      <c r="C133" s="171" t="s">
        <v>2455</v>
      </c>
      <c r="D133" s="172"/>
      <c r="E133" s="173"/>
      <c r="F133" s="174">
        <f>'[9]Data Cap04001'!D124</f>
        <v>1</v>
      </c>
      <c r="G133" s="174">
        <f>'[9]Data Cap04001'!E124</f>
        <v>4</v>
      </c>
      <c r="H133" s="174"/>
      <c r="I133" s="174">
        <f>'[9]Data Cap04001'!F124</f>
        <v>16</v>
      </c>
      <c r="J133" s="174"/>
      <c r="K133" s="174">
        <f>'[9]Data Cap04001'!G124</f>
        <v>267</v>
      </c>
      <c r="L133" s="174">
        <f>'[9]Data Cap04001'!H124</f>
        <v>2021</v>
      </c>
      <c r="M133" s="174"/>
      <c r="N133" s="174">
        <f>'[9]Data Cap04001'!I124</f>
        <v>1457</v>
      </c>
      <c r="O133" s="176"/>
      <c r="Q133" s="177"/>
    </row>
    <row r="134" spans="1:17" x14ac:dyDescent="0.3">
      <c r="A134" s="169"/>
      <c r="B134" s="189" t="s">
        <v>2456</v>
      </c>
      <c r="C134" s="171" t="s">
        <v>2457</v>
      </c>
      <c r="D134" s="172">
        <f t="shared" si="10"/>
        <v>13286</v>
      </c>
      <c r="E134" s="173"/>
      <c r="F134" s="174">
        <f>'[9]Data Cap04001'!D125</f>
        <v>2240</v>
      </c>
      <c r="G134" s="174">
        <f>'[9]Data Cap04001'!E125</f>
        <v>2834</v>
      </c>
      <c r="H134" s="174"/>
      <c r="I134" s="174">
        <f>'[9]Data Cap04001'!F125</f>
        <v>2038</v>
      </c>
      <c r="J134" s="174"/>
      <c r="K134" s="174">
        <f>'[9]Data Cap04001'!G125</f>
        <v>1567</v>
      </c>
      <c r="L134" s="174">
        <f>'[9]Data Cap04001'!H125</f>
        <v>2933</v>
      </c>
      <c r="M134" s="174"/>
      <c r="N134" s="174">
        <f>'[9]Data Cap04001'!I125</f>
        <v>1674</v>
      </c>
      <c r="O134" s="176"/>
      <c r="Q134" s="177"/>
    </row>
    <row r="135" spans="1:17" x14ac:dyDescent="0.3">
      <c r="A135" s="169"/>
      <c r="B135" s="189" t="s">
        <v>2458</v>
      </c>
      <c r="C135" s="171" t="s">
        <v>2459</v>
      </c>
      <c r="D135" s="172">
        <f t="shared" si="10"/>
        <v>12028</v>
      </c>
      <c r="E135" s="173"/>
      <c r="F135" s="174">
        <f>'[9]Data Cap04001'!D126</f>
        <v>2833</v>
      </c>
      <c r="G135" s="174">
        <f>'[9]Data Cap04001'!E126</f>
        <v>2338</v>
      </c>
      <c r="H135" s="174"/>
      <c r="I135" s="174">
        <f>'[9]Data Cap04001'!F126</f>
        <v>1062</v>
      </c>
      <c r="J135" s="174"/>
      <c r="K135" s="174">
        <f>'[9]Data Cap04001'!G126</f>
        <v>1916</v>
      </c>
      <c r="L135" s="174">
        <f>'[9]Data Cap04001'!H126</f>
        <v>2463</v>
      </c>
      <c r="M135" s="174"/>
      <c r="N135" s="174">
        <f>'[9]Data Cap04001'!I126</f>
        <v>1416</v>
      </c>
      <c r="O135" s="176"/>
      <c r="Q135" s="177"/>
    </row>
    <row r="136" spans="1:17" x14ac:dyDescent="0.3">
      <c r="A136" s="169"/>
      <c r="B136" s="189" t="s">
        <v>2460</v>
      </c>
      <c r="C136" s="171" t="s">
        <v>2461</v>
      </c>
      <c r="D136" s="172">
        <f t="shared" si="10"/>
        <v>14493</v>
      </c>
      <c r="E136" s="173"/>
      <c r="F136" s="174">
        <f>'[9]Data Cap04001'!D127</f>
        <v>3226</v>
      </c>
      <c r="G136" s="174">
        <f>'[9]Data Cap04001'!E127</f>
        <v>1945</v>
      </c>
      <c r="H136" s="174"/>
      <c r="I136" s="174">
        <f>'[9]Data Cap04001'!F127</f>
        <v>1013</v>
      </c>
      <c r="J136" s="174"/>
      <c r="K136" s="174">
        <f>'[9]Data Cap04001'!G127</f>
        <v>2700</v>
      </c>
      <c r="L136" s="174">
        <f>'[9]Data Cap04001'!H127</f>
        <v>3967</v>
      </c>
      <c r="M136" s="174"/>
      <c r="N136" s="174">
        <f>'[9]Data Cap04001'!I127</f>
        <v>1642</v>
      </c>
      <c r="O136" s="176"/>
      <c r="Q136" s="177"/>
    </row>
    <row r="137" spans="1:17" x14ac:dyDescent="0.3">
      <c r="A137" s="181"/>
      <c r="B137" s="197" t="s">
        <v>2462</v>
      </c>
      <c r="C137" s="183" t="s">
        <v>2463</v>
      </c>
      <c r="D137" s="172">
        <f>SUM(F137:N137)</f>
        <v>9969</v>
      </c>
      <c r="E137" s="184"/>
      <c r="F137" s="174">
        <f>'[9]Data Cap04001'!D128</f>
        <v>1577</v>
      </c>
      <c r="G137" s="174">
        <f>'[9]Data Cap04001'!E128</f>
        <v>1862</v>
      </c>
      <c r="H137" s="192"/>
      <c r="I137" s="174">
        <f>'[9]Data Cap04001'!F128</f>
        <v>1127</v>
      </c>
      <c r="J137" s="174"/>
      <c r="K137" s="174">
        <f>'[9]Data Cap04001'!G128</f>
        <v>1474</v>
      </c>
      <c r="L137" s="174">
        <f>'[9]Data Cap04001'!H128</f>
        <v>2831</v>
      </c>
      <c r="M137" s="174"/>
      <c r="N137" s="174">
        <f>'[9]Data Cap04001'!I128</f>
        <v>1098</v>
      </c>
      <c r="O137" s="186"/>
      <c r="Q137" s="177"/>
    </row>
    <row r="138" spans="1:17" x14ac:dyDescent="0.3">
      <c r="A138" s="199" t="s">
        <v>1409</v>
      </c>
      <c r="B138" s="200"/>
      <c r="C138" s="177" t="s">
        <v>2247</v>
      </c>
      <c r="D138" s="165">
        <f>SUM(F138:N138)</f>
        <v>209426</v>
      </c>
      <c r="E138" s="166"/>
      <c r="F138" s="167">
        <f>'[9]Data Cap04001'!D134</f>
        <v>52372</v>
      </c>
      <c r="G138" s="167">
        <f>'[9]Data Cap04001'!E134</f>
        <v>27444</v>
      </c>
      <c r="H138" s="167"/>
      <c r="I138" s="167">
        <f>'[9]Data Cap04001'!F134</f>
        <v>16991</v>
      </c>
      <c r="J138" s="167"/>
      <c r="K138" s="167">
        <f>'[9]Data Cap04001'!G134</f>
        <v>38876</v>
      </c>
      <c r="L138" s="167">
        <f>'[9]Data Cap04001'!H134</f>
        <v>54414</v>
      </c>
      <c r="M138" s="167"/>
      <c r="N138" s="167">
        <f>'[9]Data Cap04001'!I134</f>
        <v>19329</v>
      </c>
      <c r="O138" s="168"/>
      <c r="Q138" s="177"/>
    </row>
    <row r="139" spans="1:17" x14ac:dyDescent="0.3">
      <c r="A139" s="169"/>
      <c r="B139" s="189" t="s">
        <v>2464</v>
      </c>
      <c r="C139" s="177" t="s">
        <v>2465</v>
      </c>
      <c r="D139" s="172">
        <f>SUM(F139:N139)</f>
        <v>191626</v>
      </c>
      <c r="E139" s="173"/>
      <c r="F139" s="174">
        <f>'[9]Data Cap04001'!D130</f>
        <v>50781</v>
      </c>
      <c r="G139" s="174">
        <f>'[9]Data Cap04001'!E130</f>
        <v>26265</v>
      </c>
      <c r="H139" s="174"/>
      <c r="I139" s="174">
        <f>'[9]Data Cap04001'!F130</f>
        <v>15955</v>
      </c>
      <c r="J139" s="174"/>
      <c r="K139" s="174">
        <f>'[9]Data Cap04001'!G130</f>
        <v>35879</v>
      </c>
      <c r="L139" s="174">
        <f>'[9]Data Cap04001'!H130</f>
        <v>47663</v>
      </c>
      <c r="M139" s="174"/>
      <c r="N139" s="174">
        <f>'[9]Data Cap04001'!I130</f>
        <v>15083</v>
      </c>
      <c r="O139" s="176"/>
      <c r="Q139" s="177"/>
    </row>
    <row r="140" spans="1:17" x14ac:dyDescent="0.3">
      <c r="A140" s="169"/>
      <c r="B140" s="189" t="s">
        <v>2466</v>
      </c>
      <c r="C140" s="177" t="s">
        <v>2467</v>
      </c>
      <c r="D140" s="172"/>
      <c r="E140" s="173"/>
      <c r="F140" s="174">
        <f>'[9]Data Cap04001'!D131</f>
        <v>2275</v>
      </c>
      <c r="G140" s="174">
        <f>'[9]Data Cap04001'!E131</f>
        <v>872</v>
      </c>
      <c r="H140" s="174"/>
      <c r="I140" s="174">
        <f>'[9]Data Cap04001'!F131</f>
        <v>917</v>
      </c>
      <c r="J140" s="174"/>
      <c r="K140" s="174">
        <f>'[9]Data Cap04001'!G131</f>
        <v>3014</v>
      </c>
      <c r="L140" s="174">
        <f>'[9]Data Cap04001'!H131</f>
        <v>6041</v>
      </c>
      <c r="M140" s="174"/>
      <c r="N140" s="174">
        <f>'[9]Data Cap04001'!I131</f>
        <v>3075</v>
      </c>
      <c r="O140" s="176"/>
      <c r="Q140" s="177"/>
    </row>
    <row r="141" spans="1:17" x14ac:dyDescent="0.3">
      <c r="A141" s="179"/>
      <c r="B141" s="189" t="s">
        <v>2468</v>
      </c>
      <c r="C141" s="177" t="s">
        <v>2469</v>
      </c>
      <c r="D141" s="172">
        <f>SUM(F141:N141)</f>
        <v>6476</v>
      </c>
      <c r="E141" s="173"/>
      <c r="F141" s="174">
        <f>'[9]Data Cap04001'!D132</f>
        <v>1391</v>
      </c>
      <c r="G141" s="174">
        <f>'[9]Data Cap04001'!E132</f>
        <v>359</v>
      </c>
      <c r="H141" s="174"/>
      <c r="I141" s="174">
        <f>'[9]Data Cap04001'!F132</f>
        <v>391</v>
      </c>
      <c r="J141" s="174"/>
      <c r="K141" s="174">
        <f>'[9]Data Cap04001'!G132</f>
        <v>1487</v>
      </c>
      <c r="L141" s="174">
        <f>'[9]Data Cap04001'!H132</f>
        <v>1902</v>
      </c>
      <c r="M141" s="174"/>
      <c r="N141" s="174">
        <f>'[9]Data Cap04001'!I132</f>
        <v>946</v>
      </c>
      <c r="O141" s="176"/>
      <c r="Q141" s="177"/>
    </row>
    <row r="142" spans="1:17" x14ac:dyDescent="0.3">
      <c r="A142" s="179"/>
      <c r="B142" s="189" t="s">
        <v>2470</v>
      </c>
      <c r="C142" s="177" t="s">
        <v>2471</v>
      </c>
      <c r="D142" s="172">
        <f>SUM(F142:N142)</f>
        <v>14631</v>
      </c>
      <c r="E142" s="184"/>
      <c r="F142" s="174">
        <f>'[9]Data Cap04001'!D133</f>
        <v>1673</v>
      </c>
      <c r="G142" s="174">
        <f>'[9]Data Cap04001'!E133</f>
        <v>842</v>
      </c>
      <c r="H142" s="192"/>
      <c r="I142" s="174">
        <f>'[9]Data Cap04001'!F133</f>
        <v>728</v>
      </c>
      <c r="J142" s="174"/>
      <c r="K142" s="174">
        <f>'[9]Data Cap04001'!G133</f>
        <v>2434</v>
      </c>
      <c r="L142" s="174">
        <f>'[9]Data Cap04001'!H133</f>
        <v>5203</v>
      </c>
      <c r="M142" s="174"/>
      <c r="N142" s="174">
        <f>'[9]Data Cap04001'!I133</f>
        <v>3751</v>
      </c>
      <c r="O142" s="186"/>
      <c r="Q142" s="177"/>
    </row>
    <row r="143" spans="1:17" x14ac:dyDescent="0.3">
      <c r="A143" s="162" t="s">
        <v>2472</v>
      </c>
      <c r="B143" s="201"/>
      <c r="C143" s="193" t="s">
        <v>2247</v>
      </c>
      <c r="D143" s="165">
        <f>SUM(F143:N143)</f>
        <v>172437</v>
      </c>
      <c r="E143" s="166"/>
      <c r="F143" s="167">
        <f>'[9]Data Cap04001'!D180</f>
        <v>40662</v>
      </c>
      <c r="G143" s="167">
        <f>'[9]Data Cap04001'!E180</f>
        <v>20047</v>
      </c>
      <c r="H143" s="167"/>
      <c r="I143" s="167">
        <f>'[9]Data Cap04001'!F180</f>
        <v>11693</v>
      </c>
      <c r="J143" s="167"/>
      <c r="K143" s="167">
        <f>'[9]Data Cap04001'!G180</f>
        <v>33171</v>
      </c>
      <c r="L143" s="167">
        <f>'[9]Data Cap04001'!H180</f>
        <v>46812</v>
      </c>
      <c r="M143" s="167"/>
      <c r="N143" s="167">
        <f>'[9]Data Cap04001'!I180</f>
        <v>20052</v>
      </c>
      <c r="O143" s="168"/>
      <c r="Q143" s="177"/>
    </row>
    <row r="144" spans="1:17" x14ac:dyDescent="0.3">
      <c r="A144" s="169"/>
      <c r="B144" s="189" t="s">
        <v>2473</v>
      </c>
      <c r="C144" s="171" t="s">
        <v>2474</v>
      </c>
      <c r="D144" s="172">
        <f>SUM(F144:N144)</f>
        <v>15308</v>
      </c>
      <c r="E144" s="173"/>
      <c r="F144" s="174">
        <f>'[9]Data Cap04001'!D171</f>
        <v>868</v>
      </c>
      <c r="G144" s="174">
        <f>'[9]Data Cap04001'!E171</f>
        <v>623</v>
      </c>
      <c r="H144" s="174"/>
      <c r="I144" s="174">
        <f>'[9]Data Cap04001'!F171</f>
        <v>341</v>
      </c>
      <c r="J144" s="174"/>
      <c r="K144" s="174">
        <f>'[9]Data Cap04001'!G135</f>
        <v>1498</v>
      </c>
      <c r="L144" s="174">
        <f>'[9]Data Cap04001'!H135</f>
        <v>7454</v>
      </c>
      <c r="M144" s="174"/>
      <c r="N144" s="174">
        <f>'[9]Data Cap04001'!I135</f>
        <v>4524</v>
      </c>
      <c r="O144" s="176"/>
      <c r="Q144" s="177"/>
    </row>
    <row r="145" spans="1:17" x14ac:dyDescent="0.3">
      <c r="A145" s="179"/>
      <c r="B145" s="189" t="s">
        <v>2475</v>
      </c>
      <c r="C145" s="171" t="s">
        <v>2476</v>
      </c>
      <c r="D145" s="172">
        <f t="shared" ref="D145:D151" si="11">SUM(F145:N145)</f>
        <v>53625</v>
      </c>
      <c r="E145" s="173"/>
      <c r="F145" s="174">
        <f>'[9]Data Cap04001'!D172</f>
        <v>9950</v>
      </c>
      <c r="G145" s="174">
        <f>'[9]Data Cap04001'!E136</f>
        <v>1003</v>
      </c>
      <c r="H145" s="174"/>
      <c r="I145" s="174">
        <f>'[9]Data Cap04001'!F136</f>
        <v>1350</v>
      </c>
      <c r="J145" s="174"/>
      <c r="K145" s="174">
        <f>'[9]Data Cap04001'!G136</f>
        <v>6926</v>
      </c>
      <c r="L145" s="174">
        <f>'[9]Data Cap04001'!H136</f>
        <v>20290</v>
      </c>
      <c r="M145" s="174"/>
      <c r="N145" s="174">
        <f>'[9]Data Cap04001'!I136</f>
        <v>14106</v>
      </c>
      <c r="O145" s="176"/>
      <c r="Q145" s="177"/>
    </row>
    <row r="146" spans="1:17" x14ac:dyDescent="0.3">
      <c r="A146" s="179"/>
      <c r="B146" s="189" t="s">
        <v>2477</v>
      </c>
      <c r="C146" s="171" t="s">
        <v>2478</v>
      </c>
      <c r="D146" s="172">
        <f t="shared" si="11"/>
        <v>29355</v>
      </c>
      <c r="E146" s="173"/>
      <c r="F146" s="174">
        <f>'[9]Data Cap04001'!D173</f>
        <v>7031</v>
      </c>
      <c r="G146" s="174">
        <f>'[9]Data Cap04001'!E137</f>
        <v>1233</v>
      </c>
      <c r="H146" s="174"/>
      <c r="I146" s="174">
        <f>'[9]Data Cap04001'!F137</f>
        <v>994</v>
      </c>
      <c r="J146" s="174"/>
      <c r="K146" s="174">
        <f>'[9]Data Cap04001'!G137</f>
        <v>3758</v>
      </c>
      <c r="L146" s="174">
        <f>'[9]Data Cap04001'!H137</f>
        <v>9290</v>
      </c>
      <c r="M146" s="174"/>
      <c r="N146" s="174">
        <f>'[9]Data Cap04001'!I137</f>
        <v>7049</v>
      </c>
      <c r="O146" s="176"/>
      <c r="Q146" s="177"/>
    </row>
    <row r="147" spans="1:17" x14ac:dyDescent="0.3">
      <c r="A147" s="179"/>
      <c r="B147" s="189" t="s">
        <v>2479</v>
      </c>
      <c r="C147" s="171" t="s">
        <v>2480</v>
      </c>
      <c r="D147" s="172">
        <f t="shared" si="11"/>
        <v>38397</v>
      </c>
      <c r="E147" s="173"/>
      <c r="F147" s="174">
        <f>'[9]Data Cap04001'!D174</f>
        <v>1496</v>
      </c>
      <c r="G147" s="174">
        <f>'[9]Data Cap04001'!E138</f>
        <v>2623</v>
      </c>
      <c r="H147" s="174"/>
      <c r="I147" s="174">
        <f>'[9]Data Cap04001'!F138</f>
        <v>1983</v>
      </c>
      <c r="J147" s="174"/>
      <c r="K147" s="174">
        <f>'[9]Data Cap04001'!G138</f>
        <v>6300</v>
      </c>
      <c r="L147" s="174">
        <f>'[9]Data Cap04001'!H138</f>
        <v>15075</v>
      </c>
      <c r="M147" s="174"/>
      <c r="N147" s="174">
        <f>'[9]Data Cap04001'!I138</f>
        <v>10920</v>
      </c>
      <c r="O147" s="176"/>
      <c r="Q147" s="177"/>
    </row>
    <row r="148" spans="1:17" x14ac:dyDescent="0.3">
      <c r="A148" s="179"/>
      <c r="B148" s="189" t="s">
        <v>2481</v>
      </c>
      <c r="C148" s="171" t="s">
        <v>2482</v>
      </c>
      <c r="D148" s="172">
        <f t="shared" si="11"/>
        <v>30676</v>
      </c>
      <c r="E148" s="173"/>
      <c r="F148" s="174">
        <f>'[9]Data Cap04001'!D175</f>
        <v>7327</v>
      </c>
      <c r="G148" s="174">
        <f>'[9]Data Cap04001'!E139</f>
        <v>2438</v>
      </c>
      <c r="H148" s="174"/>
      <c r="I148" s="174">
        <f>'[9]Data Cap04001'!F139</f>
        <v>1632</v>
      </c>
      <c r="J148" s="174"/>
      <c r="K148" s="174">
        <f>'[9]Data Cap04001'!G139</f>
        <v>5089</v>
      </c>
      <c r="L148" s="174">
        <f>'[9]Data Cap04001'!H139</f>
        <v>9067</v>
      </c>
      <c r="M148" s="174"/>
      <c r="N148" s="174">
        <f>'[9]Data Cap04001'!I139</f>
        <v>5123</v>
      </c>
      <c r="O148" s="176"/>
      <c r="Q148" s="177"/>
    </row>
    <row r="149" spans="1:17" x14ac:dyDescent="0.3">
      <c r="A149" s="179"/>
      <c r="B149" s="189" t="s">
        <v>2483</v>
      </c>
      <c r="C149" s="171" t="s">
        <v>2484</v>
      </c>
      <c r="D149" s="172">
        <f t="shared" si="11"/>
        <v>8553</v>
      </c>
      <c r="E149" s="173"/>
      <c r="F149" s="174">
        <f>'[9]Data Cap04001'!D176</f>
        <v>1908</v>
      </c>
      <c r="G149" s="174">
        <f>'[9]Data Cap04001'!E140</f>
        <v>464</v>
      </c>
      <c r="H149" s="174"/>
      <c r="I149" s="174">
        <f>'[9]Data Cap04001'!F140</f>
        <v>732</v>
      </c>
      <c r="J149" s="174"/>
      <c r="K149" s="174">
        <f>'[9]Data Cap04001'!G140</f>
        <v>2061</v>
      </c>
      <c r="L149" s="174">
        <f>'[9]Data Cap04001'!H140</f>
        <v>2819</v>
      </c>
      <c r="M149" s="174"/>
      <c r="N149" s="174">
        <f>'[9]Data Cap04001'!I140</f>
        <v>569</v>
      </c>
      <c r="O149" s="176"/>
      <c r="Q149" s="177"/>
    </row>
    <row r="150" spans="1:17" x14ac:dyDescent="0.3">
      <c r="A150" s="179"/>
      <c r="B150" s="189" t="s">
        <v>2485</v>
      </c>
      <c r="C150" s="171" t="s">
        <v>2486</v>
      </c>
      <c r="D150" s="172">
        <f t="shared" si="11"/>
        <v>11934</v>
      </c>
      <c r="E150" s="173"/>
      <c r="F150" s="174">
        <f>'[9]Data Cap04001'!D177</f>
        <v>2706</v>
      </c>
      <c r="G150" s="174">
        <f>'[9]Data Cap04001'!E141</f>
        <v>529</v>
      </c>
      <c r="H150" s="174"/>
      <c r="I150" s="174">
        <f>'[9]Data Cap04001'!F141</f>
        <v>499</v>
      </c>
      <c r="J150" s="174"/>
      <c r="K150" s="174">
        <f>'[9]Data Cap04001'!G141</f>
        <v>1586</v>
      </c>
      <c r="L150" s="174">
        <f>'[9]Data Cap04001'!H141</f>
        <v>3927</v>
      </c>
      <c r="M150" s="174"/>
      <c r="N150" s="174">
        <f>'[9]Data Cap04001'!I141</f>
        <v>2687</v>
      </c>
      <c r="O150" s="176"/>
      <c r="Q150" s="177"/>
    </row>
    <row r="151" spans="1:17" x14ac:dyDescent="0.3">
      <c r="A151" s="179"/>
      <c r="B151" s="189" t="s">
        <v>2487</v>
      </c>
      <c r="C151" s="171" t="s">
        <v>2488</v>
      </c>
      <c r="D151" s="172">
        <f t="shared" si="11"/>
        <v>19898</v>
      </c>
      <c r="E151" s="173"/>
      <c r="F151" s="174">
        <f>'[9]Data Cap04001'!D178</f>
        <v>6924</v>
      </c>
      <c r="G151" s="174">
        <f>'[9]Data Cap04001'!E142</f>
        <v>1202</v>
      </c>
      <c r="H151" s="174"/>
      <c r="I151" s="174">
        <f>'[9]Data Cap04001'!F142</f>
        <v>585</v>
      </c>
      <c r="J151" s="174"/>
      <c r="K151" s="174">
        <f>'[9]Data Cap04001'!G142</f>
        <v>1147</v>
      </c>
      <c r="L151" s="174">
        <f>'[9]Data Cap04001'!H142</f>
        <v>3977</v>
      </c>
      <c r="M151" s="174"/>
      <c r="N151" s="174">
        <f>'[9]Data Cap04001'!I142</f>
        <v>6063</v>
      </c>
      <c r="O151" s="176"/>
      <c r="Q151" s="177"/>
    </row>
    <row r="152" spans="1:17" x14ac:dyDescent="0.3">
      <c r="A152" s="203"/>
      <c r="B152" s="197" t="s">
        <v>2489</v>
      </c>
      <c r="C152" s="183" t="s">
        <v>2490</v>
      </c>
      <c r="D152" s="172">
        <f>SUM(F152:N152)</f>
        <v>7978</v>
      </c>
      <c r="E152" s="184"/>
      <c r="F152" s="174">
        <f>'[9]Data Cap04001'!D179</f>
        <v>4142</v>
      </c>
      <c r="G152" s="174">
        <f>'[9]Data Cap04001'!E143</f>
        <v>1281</v>
      </c>
      <c r="H152" s="174"/>
      <c r="I152" s="174">
        <f>'[9]Data Cap04001'!F143</f>
        <v>382</v>
      </c>
      <c r="J152" s="174"/>
      <c r="K152" s="174">
        <f>'[9]Data Cap04001'!G143</f>
        <v>386</v>
      </c>
      <c r="L152" s="174">
        <f>'[9]Data Cap04001'!H143</f>
        <v>997</v>
      </c>
      <c r="M152" s="174"/>
      <c r="N152" s="174">
        <f>'[9]Data Cap04001'!I143</f>
        <v>790</v>
      </c>
      <c r="O152" s="186"/>
      <c r="Q152" s="177"/>
    </row>
    <row r="153" spans="1:17" x14ac:dyDescent="0.3">
      <c r="A153" s="199" t="s">
        <v>2491</v>
      </c>
      <c r="B153" s="200"/>
      <c r="C153" s="177" t="s">
        <v>2247</v>
      </c>
      <c r="D153" s="165">
        <f>SUM(F153:N153)</f>
        <v>885346</v>
      </c>
      <c r="E153" s="166"/>
      <c r="F153" s="167">
        <f>'[9]Data Cap04001'!D170</f>
        <v>215738</v>
      </c>
      <c r="G153" s="167">
        <f>'[9]Data Cap04001'!E170</f>
        <v>93711</v>
      </c>
      <c r="H153" s="167"/>
      <c r="I153" s="167">
        <f>'[9]Data Cap04001'!F170</f>
        <v>54011</v>
      </c>
      <c r="J153" s="167"/>
      <c r="K153" s="167">
        <f>'[9]Data Cap04001'!G170</f>
        <v>160589</v>
      </c>
      <c r="L153" s="167">
        <f>'[9]Data Cap04001'!H170</f>
        <v>249693</v>
      </c>
      <c r="M153" s="167"/>
      <c r="N153" s="167">
        <f>'[9]Data Cap04001'!I170</f>
        <v>111604</v>
      </c>
      <c r="O153" s="168"/>
      <c r="Q153" s="177"/>
    </row>
    <row r="154" spans="1:17" x14ac:dyDescent="0.3">
      <c r="A154" s="199"/>
      <c r="B154" s="200" t="s">
        <v>2492</v>
      </c>
      <c r="C154" s="177" t="s">
        <v>2493</v>
      </c>
      <c r="D154" s="172">
        <f>SUM(F154:N154)</f>
        <v>14443</v>
      </c>
      <c r="E154" s="173"/>
      <c r="F154" s="175">
        <f>'[9]Data Cap04001'!D135</f>
        <v>300</v>
      </c>
      <c r="G154" s="174">
        <f>'[9]Data Cap04001'!E135</f>
        <v>345</v>
      </c>
      <c r="H154" s="174"/>
      <c r="I154" s="174">
        <f>'[9]Data Cap04001'!F135</f>
        <v>322</v>
      </c>
      <c r="J154" s="174"/>
      <c r="K154" s="174">
        <f>'[9]Data Cap04001'!G135</f>
        <v>1498</v>
      </c>
      <c r="L154" s="174">
        <f>'[9]Data Cap04001'!H135</f>
        <v>7454</v>
      </c>
      <c r="M154" s="174"/>
      <c r="N154" s="174">
        <f>'[9]Data Cap04001'!I135</f>
        <v>4524</v>
      </c>
      <c r="O154" s="176"/>
      <c r="Q154" s="177"/>
    </row>
    <row r="155" spans="1:17" x14ac:dyDescent="0.3">
      <c r="A155" s="169"/>
      <c r="B155" s="189" t="s">
        <v>2494</v>
      </c>
      <c r="C155" s="177" t="s">
        <v>2495</v>
      </c>
      <c r="D155" s="172">
        <f>SUM(F155:N155)</f>
        <v>46133</v>
      </c>
      <c r="E155" s="173"/>
      <c r="F155" s="175">
        <f>'[9]Data Cap04001'!D136</f>
        <v>2458</v>
      </c>
      <c r="G155" s="174">
        <f>'[9]Data Cap04001'!E136</f>
        <v>1003</v>
      </c>
      <c r="H155" s="174"/>
      <c r="I155" s="174">
        <f>'[9]Data Cap04001'!F136</f>
        <v>1350</v>
      </c>
      <c r="J155" s="174"/>
      <c r="K155" s="174">
        <f>'[9]Data Cap04001'!G136</f>
        <v>6926</v>
      </c>
      <c r="L155" s="174">
        <f>'[9]Data Cap04001'!H136</f>
        <v>20290</v>
      </c>
      <c r="M155" s="174"/>
      <c r="N155" s="174">
        <f>'[9]Data Cap04001'!I136</f>
        <v>14106</v>
      </c>
      <c r="O155" s="176"/>
      <c r="Q155" s="177"/>
    </row>
    <row r="156" spans="1:17" x14ac:dyDescent="0.3">
      <c r="A156" s="179"/>
      <c r="B156" s="189" t="s">
        <v>2496</v>
      </c>
      <c r="C156" s="177" t="s">
        <v>2497</v>
      </c>
      <c r="D156" s="172">
        <f t="shared" ref="D156:D188" si="12">SUM(F156:N156)</f>
        <v>25023</v>
      </c>
      <c r="E156" s="173"/>
      <c r="F156" s="175">
        <f>'[9]Data Cap04001'!D137</f>
        <v>2699</v>
      </c>
      <c r="G156" s="174">
        <f>'[9]Data Cap04001'!E137</f>
        <v>1233</v>
      </c>
      <c r="H156" s="174"/>
      <c r="I156" s="174">
        <f>'[9]Data Cap04001'!F137</f>
        <v>994</v>
      </c>
      <c r="J156" s="174"/>
      <c r="K156" s="174">
        <f>'[9]Data Cap04001'!G137</f>
        <v>3758</v>
      </c>
      <c r="L156" s="174">
        <f>'[9]Data Cap04001'!H137</f>
        <v>9290</v>
      </c>
      <c r="M156" s="174"/>
      <c r="N156" s="174">
        <f>'[9]Data Cap04001'!I137</f>
        <v>7049</v>
      </c>
      <c r="O156" s="176"/>
      <c r="Q156" s="177"/>
    </row>
    <row r="157" spans="1:17" x14ac:dyDescent="0.3">
      <c r="A157" s="179"/>
      <c r="B157" s="189" t="s">
        <v>2498</v>
      </c>
      <c r="C157" s="177" t="s">
        <v>2499</v>
      </c>
      <c r="D157" s="172">
        <f t="shared" si="12"/>
        <v>41123</v>
      </c>
      <c r="E157" s="173"/>
      <c r="F157" s="175">
        <f>'[9]Data Cap04001'!D138</f>
        <v>4222</v>
      </c>
      <c r="G157" s="174">
        <f>'[9]Data Cap04001'!E138</f>
        <v>2623</v>
      </c>
      <c r="H157" s="174"/>
      <c r="I157" s="174">
        <f>'[9]Data Cap04001'!F138</f>
        <v>1983</v>
      </c>
      <c r="J157" s="174"/>
      <c r="K157" s="174">
        <f>'[9]Data Cap04001'!G138</f>
        <v>6300</v>
      </c>
      <c r="L157" s="174">
        <f>'[9]Data Cap04001'!H138</f>
        <v>15075</v>
      </c>
      <c r="M157" s="174"/>
      <c r="N157" s="174">
        <f>'[9]Data Cap04001'!I138</f>
        <v>10920</v>
      </c>
      <c r="O157" s="176"/>
      <c r="Q157" s="177"/>
    </row>
    <row r="158" spans="1:17" x14ac:dyDescent="0.3">
      <c r="A158" s="179"/>
      <c r="B158" s="189" t="s">
        <v>2500</v>
      </c>
      <c r="C158" s="177" t="s">
        <v>2501</v>
      </c>
      <c r="D158" s="172">
        <f t="shared" si="12"/>
        <v>28641</v>
      </c>
      <c r="E158" s="173"/>
      <c r="F158" s="175">
        <f>'[9]Data Cap04001'!D139</f>
        <v>5292</v>
      </c>
      <c r="G158" s="174">
        <f>'[9]Data Cap04001'!E139</f>
        <v>2438</v>
      </c>
      <c r="H158" s="174"/>
      <c r="I158" s="174">
        <f>'[9]Data Cap04001'!F139</f>
        <v>1632</v>
      </c>
      <c r="J158" s="174"/>
      <c r="K158" s="174">
        <f>'[9]Data Cap04001'!G139</f>
        <v>5089</v>
      </c>
      <c r="L158" s="174">
        <f>'[9]Data Cap04001'!H139</f>
        <v>9067</v>
      </c>
      <c r="M158" s="174"/>
      <c r="N158" s="174">
        <f>'[9]Data Cap04001'!I139</f>
        <v>5123</v>
      </c>
      <c r="O158" s="176"/>
      <c r="Q158" s="177"/>
    </row>
    <row r="159" spans="1:17" x14ac:dyDescent="0.3">
      <c r="A159" s="179"/>
      <c r="B159" s="189" t="s">
        <v>2502</v>
      </c>
      <c r="C159" s="177" t="s">
        <v>2503</v>
      </c>
      <c r="D159" s="172">
        <f t="shared" si="12"/>
        <v>6739</v>
      </c>
      <c r="E159" s="173"/>
      <c r="F159" s="175">
        <f>'[9]Data Cap04001'!D140</f>
        <v>94</v>
      </c>
      <c r="G159" s="174">
        <f>'[9]Data Cap04001'!E140</f>
        <v>464</v>
      </c>
      <c r="H159" s="174"/>
      <c r="I159" s="174">
        <f>'[9]Data Cap04001'!F140</f>
        <v>732</v>
      </c>
      <c r="J159" s="174"/>
      <c r="K159" s="174">
        <f>'[9]Data Cap04001'!G140</f>
        <v>2061</v>
      </c>
      <c r="L159" s="174">
        <f>'[9]Data Cap04001'!H140</f>
        <v>2819</v>
      </c>
      <c r="M159" s="174"/>
      <c r="N159" s="174">
        <f>'[9]Data Cap04001'!I140</f>
        <v>569</v>
      </c>
      <c r="O159" s="176"/>
      <c r="Q159" s="177"/>
    </row>
    <row r="160" spans="1:17" x14ac:dyDescent="0.3">
      <c r="A160" s="179"/>
      <c r="B160" s="189" t="s">
        <v>2504</v>
      </c>
      <c r="C160" s="177" t="s">
        <v>2505</v>
      </c>
      <c r="D160" s="172">
        <f t="shared" si="12"/>
        <v>9511</v>
      </c>
      <c r="E160" s="173"/>
      <c r="F160" s="175">
        <f>'[9]Data Cap04001'!D141</f>
        <v>283</v>
      </c>
      <c r="G160" s="174">
        <f>'[9]Data Cap04001'!E141</f>
        <v>529</v>
      </c>
      <c r="H160" s="174"/>
      <c r="I160" s="174">
        <f>'[9]Data Cap04001'!F141</f>
        <v>499</v>
      </c>
      <c r="J160" s="174"/>
      <c r="K160" s="174">
        <f>'[9]Data Cap04001'!G141</f>
        <v>1586</v>
      </c>
      <c r="L160" s="174">
        <f>'[9]Data Cap04001'!H141</f>
        <v>3927</v>
      </c>
      <c r="M160" s="174"/>
      <c r="N160" s="174">
        <f>'[9]Data Cap04001'!I141</f>
        <v>2687</v>
      </c>
      <c r="O160" s="176"/>
      <c r="Q160" s="177"/>
    </row>
    <row r="161" spans="1:17" x14ac:dyDescent="0.3">
      <c r="A161" s="179"/>
      <c r="B161" s="189" t="s">
        <v>2506</v>
      </c>
      <c r="C161" s="177" t="s">
        <v>2507</v>
      </c>
      <c r="D161" s="172">
        <f t="shared" si="12"/>
        <v>13903</v>
      </c>
      <c r="E161" s="173"/>
      <c r="F161" s="175">
        <f>'[9]Data Cap04001'!D142</f>
        <v>929</v>
      </c>
      <c r="G161" s="174">
        <f>'[9]Data Cap04001'!E142</f>
        <v>1202</v>
      </c>
      <c r="H161" s="174"/>
      <c r="I161" s="174">
        <f>'[9]Data Cap04001'!F142</f>
        <v>585</v>
      </c>
      <c r="J161" s="174"/>
      <c r="K161" s="174">
        <f>'[9]Data Cap04001'!G142</f>
        <v>1147</v>
      </c>
      <c r="L161" s="174">
        <f>'[9]Data Cap04001'!H142</f>
        <v>3977</v>
      </c>
      <c r="M161" s="174"/>
      <c r="N161" s="174">
        <f>'[9]Data Cap04001'!I142</f>
        <v>6063</v>
      </c>
      <c r="O161" s="176"/>
      <c r="Q161" s="177"/>
    </row>
    <row r="162" spans="1:17" x14ac:dyDescent="0.3">
      <c r="A162" s="179"/>
      <c r="B162" s="189" t="s">
        <v>2508</v>
      </c>
      <c r="C162" s="177" t="s">
        <v>2509</v>
      </c>
      <c r="D162" s="172">
        <f t="shared" si="12"/>
        <v>4549</v>
      </c>
      <c r="E162" s="173"/>
      <c r="F162" s="175">
        <f>'[9]Data Cap04001'!D143</f>
        <v>713</v>
      </c>
      <c r="G162" s="174">
        <f>'[9]Data Cap04001'!E143</f>
        <v>1281</v>
      </c>
      <c r="H162" s="174"/>
      <c r="I162" s="174">
        <f>'[9]Data Cap04001'!F143</f>
        <v>382</v>
      </c>
      <c r="J162" s="174"/>
      <c r="K162" s="174">
        <f>'[9]Data Cap04001'!G143</f>
        <v>386</v>
      </c>
      <c r="L162" s="174">
        <f>'[9]Data Cap04001'!H143</f>
        <v>997</v>
      </c>
      <c r="M162" s="174"/>
      <c r="N162" s="174">
        <f>'[9]Data Cap04001'!I143</f>
        <v>790</v>
      </c>
      <c r="O162" s="176"/>
      <c r="Q162" s="177"/>
    </row>
    <row r="163" spans="1:17" x14ac:dyDescent="0.3">
      <c r="A163" s="179"/>
      <c r="B163" s="189" t="s">
        <v>2510</v>
      </c>
      <c r="C163" s="177" t="s">
        <v>2511</v>
      </c>
      <c r="D163" s="172">
        <f t="shared" si="12"/>
        <v>16767</v>
      </c>
      <c r="E163" s="173"/>
      <c r="F163" s="175">
        <f>'[9]Data Cap04001'!D144</f>
        <v>9013</v>
      </c>
      <c r="G163" s="174">
        <f>'[9]Data Cap04001'!E144</f>
        <v>5537</v>
      </c>
      <c r="H163" s="174"/>
      <c r="I163" s="174">
        <f>'[9]Data Cap04001'!F144</f>
        <v>2213</v>
      </c>
      <c r="J163" s="174"/>
      <c r="K163" s="174">
        <f>'[9]Data Cap04001'!G144</f>
        <v>4</v>
      </c>
      <c r="L163" s="174">
        <f>'[9]Data Cap04001'!H144</f>
        <v>0</v>
      </c>
      <c r="M163" s="174"/>
      <c r="N163" s="174">
        <f>'[9]Data Cap04001'!I144</f>
        <v>0</v>
      </c>
      <c r="O163" s="176"/>
      <c r="Q163" s="177"/>
    </row>
    <row r="164" spans="1:17" x14ac:dyDescent="0.3">
      <c r="A164" s="179"/>
      <c r="B164" s="189" t="s">
        <v>2512</v>
      </c>
      <c r="C164" s="177" t="s">
        <v>2513</v>
      </c>
      <c r="D164" s="172">
        <f t="shared" si="12"/>
        <v>21518</v>
      </c>
      <c r="E164" s="173"/>
      <c r="F164" s="175">
        <f>'[9]Data Cap04001'!D145</f>
        <v>8875</v>
      </c>
      <c r="G164" s="174">
        <f>'[9]Data Cap04001'!E145</f>
        <v>51</v>
      </c>
      <c r="H164" s="174"/>
      <c r="I164" s="174">
        <f>'[9]Data Cap04001'!F145</f>
        <v>573</v>
      </c>
      <c r="J164" s="174"/>
      <c r="K164" s="174">
        <f>'[9]Data Cap04001'!G145</f>
        <v>6640</v>
      </c>
      <c r="L164" s="174">
        <f>'[9]Data Cap04001'!H145</f>
        <v>5188</v>
      </c>
      <c r="M164" s="174"/>
      <c r="N164" s="174">
        <f>'[9]Data Cap04001'!I145</f>
        <v>191</v>
      </c>
      <c r="O164" s="176"/>
      <c r="Q164" s="177"/>
    </row>
    <row r="165" spans="1:17" x14ac:dyDescent="0.3">
      <c r="A165" s="179"/>
      <c r="B165" s="189" t="s">
        <v>2514</v>
      </c>
      <c r="C165" s="177" t="s">
        <v>2515</v>
      </c>
      <c r="D165" s="172">
        <f t="shared" si="12"/>
        <v>27490</v>
      </c>
      <c r="E165" s="173"/>
      <c r="F165" s="175">
        <f>'[9]Data Cap04001'!D146</f>
        <v>3940</v>
      </c>
      <c r="G165" s="174">
        <f>'[9]Data Cap04001'!E146</f>
        <v>1614</v>
      </c>
      <c r="H165" s="174"/>
      <c r="I165" s="174">
        <f>'[9]Data Cap04001'!F146</f>
        <v>1240</v>
      </c>
      <c r="J165" s="174"/>
      <c r="K165" s="174">
        <f>'[9]Data Cap04001'!G146</f>
        <v>4775</v>
      </c>
      <c r="L165" s="174">
        <f>'[9]Data Cap04001'!H146</f>
        <v>9684</v>
      </c>
      <c r="M165" s="174"/>
      <c r="N165" s="174">
        <f>'[9]Data Cap04001'!I146</f>
        <v>6237</v>
      </c>
      <c r="O165" s="176"/>
      <c r="Q165" s="177"/>
    </row>
    <row r="166" spans="1:17" x14ac:dyDescent="0.3">
      <c r="A166" s="179"/>
      <c r="B166" s="189" t="s">
        <v>2516</v>
      </c>
      <c r="C166" s="177" t="s">
        <v>2517</v>
      </c>
      <c r="D166" s="172">
        <f t="shared" si="12"/>
        <v>9115</v>
      </c>
      <c r="E166" s="173"/>
      <c r="F166" s="175">
        <f>'[9]Data Cap04001'!D147</f>
        <v>58</v>
      </c>
      <c r="G166" s="174">
        <f>'[9]Data Cap04001'!E147</f>
        <v>546</v>
      </c>
      <c r="H166" s="174"/>
      <c r="I166" s="174">
        <f>'[9]Data Cap04001'!F147</f>
        <v>697</v>
      </c>
      <c r="J166" s="174"/>
      <c r="K166" s="174">
        <f>'[9]Data Cap04001'!G147</f>
        <v>2525</v>
      </c>
      <c r="L166" s="174">
        <f>'[9]Data Cap04001'!H147</f>
        <v>4494</v>
      </c>
      <c r="M166" s="174"/>
      <c r="N166" s="174">
        <f>'[9]Data Cap04001'!I147</f>
        <v>795</v>
      </c>
      <c r="O166" s="176"/>
      <c r="Q166" s="177"/>
    </row>
    <row r="167" spans="1:17" x14ac:dyDescent="0.3">
      <c r="A167" s="179"/>
      <c r="B167" s="189" t="s">
        <v>2518</v>
      </c>
      <c r="C167" s="177" t="s">
        <v>2519</v>
      </c>
      <c r="D167" s="172">
        <f t="shared" si="12"/>
        <v>43387</v>
      </c>
      <c r="E167" s="173"/>
      <c r="F167" s="175">
        <f>'[9]Data Cap04001'!D148</f>
        <v>6171</v>
      </c>
      <c r="G167" s="174">
        <f>'[9]Data Cap04001'!E148</f>
        <v>2550</v>
      </c>
      <c r="H167" s="174"/>
      <c r="I167" s="174">
        <f>'[9]Data Cap04001'!F148</f>
        <v>2087</v>
      </c>
      <c r="J167" s="174"/>
      <c r="K167" s="174">
        <f>'[9]Data Cap04001'!G148</f>
        <v>7010</v>
      </c>
      <c r="L167" s="174">
        <f>'[9]Data Cap04001'!H148</f>
        <v>15547</v>
      </c>
      <c r="M167" s="174"/>
      <c r="N167" s="174">
        <f>'[9]Data Cap04001'!I148</f>
        <v>10022</v>
      </c>
      <c r="O167" s="176"/>
      <c r="Q167" s="177"/>
    </row>
    <row r="168" spans="1:17" x14ac:dyDescent="0.3">
      <c r="A168" s="179"/>
      <c r="B168" s="189" t="s">
        <v>2520</v>
      </c>
      <c r="C168" s="177" t="s">
        <v>2521</v>
      </c>
      <c r="D168" s="172">
        <f t="shared" si="12"/>
        <v>10508</v>
      </c>
      <c r="E168" s="173"/>
      <c r="F168" s="175">
        <f>'[9]Data Cap04001'!D149</f>
        <v>1275</v>
      </c>
      <c r="G168" s="174">
        <f>'[9]Data Cap04001'!E149</f>
        <v>528</v>
      </c>
      <c r="H168" s="174"/>
      <c r="I168" s="174">
        <f>'[9]Data Cap04001'!F149</f>
        <v>365</v>
      </c>
      <c r="J168" s="174"/>
      <c r="K168" s="174">
        <f>'[9]Data Cap04001'!G149</f>
        <v>1646</v>
      </c>
      <c r="L168" s="174">
        <f>'[9]Data Cap04001'!H149</f>
        <v>3755</v>
      </c>
      <c r="M168" s="174"/>
      <c r="N168" s="174">
        <f>'[9]Data Cap04001'!I149</f>
        <v>2939</v>
      </c>
      <c r="O168" s="176"/>
      <c r="Q168" s="177"/>
    </row>
    <row r="169" spans="1:17" x14ac:dyDescent="0.3">
      <c r="A169" s="179"/>
      <c r="B169" s="189" t="s">
        <v>2522</v>
      </c>
      <c r="C169" s="177" t="s">
        <v>2523</v>
      </c>
      <c r="D169" s="172">
        <f t="shared" si="12"/>
        <v>4618</v>
      </c>
      <c r="E169" s="173"/>
      <c r="F169" s="175">
        <f>'[9]Data Cap04001'!D150</f>
        <v>526</v>
      </c>
      <c r="G169" s="174">
        <f>'[9]Data Cap04001'!E150</f>
        <v>282</v>
      </c>
      <c r="H169" s="174"/>
      <c r="I169" s="174">
        <f>'[9]Data Cap04001'!F150</f>
        <v>253</v>
      </c>
      <c r="J169" s="174"/>
      <c r="K169" s="174">
        <f>'[9]Data Cap04001'!G150</f>
        <v>868</v>
      </c>
      <c r="L169" s="174">
        <f>'[9]Data Cap04001'!H150</f>
        <v>1691</v>
      </c>
      <c r="M169" s="174"/>
      <c r="N169" s="174">
        <f>'[9]Data Cap04001'!I150</f>
        <v>998</v>
      </c>
      <c r="O169" s="176"/>
      <c r="Q169" s="177"/>
    </row>
    <row r="170" spans="1:17" x14ac:dyDescent="0.3">
      <c r="A170" s="179"/>
      <c r="B170" s="189" t="s">
        <v>2524</v>
      </c>
      <c r="C170" s="177" t="s">
        <v>2525</v>
      </c>
      <c r="D170" s="172">
        <f t="shared" si="12"/>
        <v>6829</v>
      </c>
      <c r="E170" s="173"/>
      <c r="F170" s="175">
        <f>'[9]Data Cap04001'!D151</f>
        <v>4964</v>
      </c>
      <c r="G170" s="174">
        <f>'[9]Data Cap04001'!E151</f>
        <v>1527</v>
      </c>
      <c r="H170" s="174"/>
      <c r="I170" s="174">
        <f>'[9]Data Cap04001'!F151</f>
        <v>332</v>
      </c>
      <c r="J170" s="174"/>
      <c r="K170" s="174">
        <f>'[9]Data Cap04001'!G151</f>
        <v>5</v>
      </c>
      <c r="L170" s="174">
        <f>'[9]Data Cap04001'!H151</f>
        <v>1</v>
      </c>
      <c r="M170" s="174"/>
      <c r="N170" s="174">
        <f>'[9]Data Cap04001'!I151</f>
        <v>0</v>
      </c>
      <c r="O170" s="176"/>
      <c r="Q170" s="177"/>
    </row>
    <row r="171" spans="1:17" x14ac:dyDescent="0.3">
      <c r="A171" s="179"/>
      <c r="B171" s="189" t="s">
        <v>2526</v>
      </c>
      <c r="C171" s="177" t="s">
        <v>2527</v>
      </c>
      <c r="D171" s="172">
        <f t="shared" si="12"/>
        <v>4813</v>
      </c>
      <c r="E171" s="173"/>
      <c r="F171" s="175">
        <f>'[9]Data Cap04001'!D152</f>
        <v>18</v>
      </c>
      <c r="G171" s="174">
        <f>'[9]Data Cap04001'!E152</f>
        <v>302</v>
      </c>
      <c r="H171" s="174"/>
      <c r="I171" s="174">
        <f>'[9]Data Cap04001'!F152</f>
        <v>370</v>
      </c>
      <c r="J171" s="174"/>
      <c r="K171" s="174">
        <f>'[9]Data Cap04001'!G152</f>
        <v>1113</v>
      </c>
      <c r="L171" s="174">
        <f>'[9]Data Cap04001'!H152</f>
        <v>2518</v>
      </c>
      <c r="M171" s="174"/>
      <c r="N171" s="174">
        <f>'[9]Data Cap04001'!I152</f>
        <v>492</v>
      </c>
      <c r="O171" s="176"/>
      <c r="Q171" s="177"/>
    </row>
    <row r="172" spans="1:17" x14ac:dyDescent="0.3">
      <c r="A172" s="179"/>
      <c r="B172" s="189" t="s">
        <v>2528</v>
      </c>
      <c r="C172" s="177" t="s">
        <v>2529</v>
      </c>
      <c r="D172" s="172">
        <f t="shared" si="12"/>
        <v>30798</v>
      </c>
      <c r="E172" s="173"/>
      <c r="F172" s="175">
        <f>'[9]Data Cap04001'!D153</f>
        <v>22386</v>
      </c>
      <c r="G172" s="174">
        <f>'[9]Data Cap04001'!E153</f>
        <v>2091</v>
      </c>
      <c r="H172" s="174"/>
      <c r="I172" s="174">
        <f>'[9]Data Cap04001'!F153</f>
        <v>974</v>
      </c>
      <c r="J172" s="174"/>
      <c r="K172" s="174">
        <f>'[9]Data Cap04001'!G153</f>
        <v>2491</v>
      </c>
      <c r="L172" s="174">
        <f>'[9]Data Cap04001'!H153</f>
        <v>2674</v>
      </c>
      <c r="M172" s="174"/>
      <c r="N172" s="174">
        <f>'[9]Data Cap04001'!I153</f>
        <v>182</v>
      </c>
      <c r="O172" s="176"/>
      <c r="Q172" s="177"/>
    </row>
    <row r="173" spans="1:17" x14ac:dyDescent="0.3">
      <c r="A173" s="179"/>
      <c r="B173" s="189" t="s">
        <v>2530</v>
      </c>
      <c r="C173" s="177" t="s">
        <v>2531</v>
      </c>
      <c r="D173" s="172">
        <f t="shared" si="12"/>
        <v>12621</v>
      </c>
      <c r="E173" s="173"/>
      <c r="F173" s="175">
        <f>'[9]Data Cap04001'!D154</f>
        <v>2358</v>
      </c>
      <c r="G173" s="174">
        <f>'[9]Data Cap04001'!E154</f>
        <v>891</v>
      </c>
      <c r="H173" s="174"/>
      <c r="I173" s="174">
        <f>'[9]Data Cap04001'!F154</f>
        <v>701</v>
      </c>
      <c r="J173" s="174"/>
      <c r="K173" s="174">
        <f>'[9]Data Cap04001'!G154</f>
        <v>2601</v>
      </c>
      <c r="L173" s="174">
        <f>'[9]Data Cap04001'!H154</f>
        <v>4078</v>
      </c>
      <c r="M173" s="174"/>
      <c r="N173" s="174">
        <f>'[9]Data Cap04001'!I154</f>
        <v>1992</v>
      </c>
      <c r="O173" s="176"/>
      <c r="Q173" s="177"/>
    </row>
    <row r="174" spans="1:17" x14ac:dyDescent="0.3">
      <c r="A174" s="169"/>
      <c r="B174" s="189" t="s">
        <v>2532</v>
      </c>
      <c r="C174" s="177" t="s">
        <v>2533</v>
      </c>
      <c r="D174" s="172">
        <f t="shared" si="12"/>
        <v>12124</v>
      </c>
      <c r="E174" s="173"/>
      <c r="F174" s="175">
        <f>'[9]Data Cap04001'!D155</f>
        <v>2246</v>
      </c>
      <c r="G174" s="174">
        <f>'[9]Data Cap04001'!E155</f>
        <v>1218</v>
      </c>
      <c r="H174" s="174"/>
      <c r="I174" s="174">
        <f>'[9]Data Cap04001'!F155</f>
        <v>737</v>
      </c>
      <c r="J174" s="174"/>
      <c r="K174" s="174">
        <f>'[9]Data Cap04001'!G155</f>
        <v>2178</v>
      </c>
      <c r="L174" s="174">
        <f>'[9]Data Cap04001'!H155</f>
        <v>3795</v>
      </c>
      <c r="M174" s="174"/>
      <c r="N174" s="174">
        <f>'[9]Data Cap04001'!I155</f>
        <v>1950</v>
      </c>
      <c r="O174" s="176"/>
      <c r="Q174" s="177"/>
    </row>
    <row r="175" spans="1:17" x14ac:dyDescent="0.3">
      <c r="A175" s="169"/>
      <c r="B175" s="189" t="s">
        <v>2534</v>
      </c>
      <c r="C175" s="177" t="s">
        <v>2535</v>
      </c>
      <c r="D175" s="172">
        <f t="shared" si="12"/>
        <v>101160</v>
      </c>
      <c r="E175" s="173"/>
      <c r="F175" s="175">
        <f>'[9]Data Cap04001'!D156</f>
        <v>28220</v>
      </c>
      <c r="G175" s="174">
        <f>'[9]Data Cap04001'!E156</f>
        <v>14496</v>
      </c>
      <c r="H175" s="174"/>
      <c r="I175" s="174">
        <f>'[9]Data Cap04001'!F156</f>
        <v>6614</v>
      </c>
      <c r="J175" s="174"/>
      <c r="K175" s="174">
        <f>'[9]Data Cap04001'!G156</f>
        <v>17910</v>
      </c>
      <c r="L175" s="174">
        <f>'[9]Data Cap04001'!H156</f>
        <v>25278</v>
      </c>
      <c r="M175" s="174"/>
      <c r="N175" s="174">
        <f>'[9]Data Cap04001'!I156</f>
        <v>8642</v>
      </c>
      <c r="O175" s="176"/>
      <c r="Q175" s="177"/>
    </row>
    <row r="176" spans="1:17" x14ac:dyDescent="0.3">
      <c r="A176" s="169"/>
      <c r="B176" s="189" t="s">
        <v>2536</v>
      </c>
      <c r="C176" s="177" t="s">
        <v>2537</v>
      </c>
      <c r="D176" s="172">
        <f t="shared" si="12"/>
        <v>71123</v>
      </c>
      <c r="E176" s="173"/>
      <c r="F176" s="175">
        <f>'[9]Data Cap04001'!D157</f>
        <v>18790</v>
      </c>
      <c r="G176" s="174">
        <f>'[9]Data Cap04001'!E157</f>
        <v>7208</v>
      </c>
      <c r="H176" s="174"/>
      <c r="I176" s="174">
        <f>'[9]Data Cap04001'!F157</f>
        <v>4322</v>
      </c>
      <c r="J176" s="174"/>
      <c r="K176" s="174">
        <f>'[9]Data Cap04001'!G157</f>
        <v>14082</v>
      </c>
      <c r="L176" s="174">
        <f>'[9]Data Cap04001'!H157</f>
        <v>19593</v>
      </c>
      <c r="M176" s="174"/>
      <c r="N176" s="174">
        <f>'[9]Data Cap04001'!I157</f>
        <v>7128</v>
      </c>
      <c r="O176" s="176"/>
      <c r="Q176" s="177"/>
    </row>
    <row r="177" spans="1:17" x14ac:dyDescent="0.3">
      <c r="A177" s="169"/>
      <c r="B177" s="189" t="s">
        <v>2538</v>
      </c>
      <c r="C177" s="177" t="s">
        <v>2539</v>
      </c>
      <c r="D177" s="172">
        <f t="shared" si="12"/>
        <v>87957</v>
      </c>
      <c r="E177" s="173"/>
      <c r="F177" s="175">
        <f>'[9]Data Cap04001'!D158</f>
        <v>23141</v>
      </c>
      <c r="G177" s="174">
        <f>'[9]Data Cap04001'!E158</f>
        <v>11389</v>
      </c>
      <c r="H177" s="174"/>
      <c r="I177" s="174">
        <f>'[9]Data Cap04001'!F158</f>
        <v>6002</v>
      </c>
      <c r="J177" s="174"/>
      <c r="K177" s="174">
        <f>'[9]Data Cap04001'!G158</f>
        <v>16835</v>
      </c>
      <c r="L177" s="174">
        <f>'[9]Data Cap04001'!H158</f>
        <v>22668</v>
      </c>
      <c r="M177" s="174"/>
      <c r="N177" s="174">
        <f>'[9]Data Cap04001'!I158</f>
        <v>7922</v>
      </c>
      <c r="O177" s="176"/>
      <c r="Q177" s="177"/>
    </row>
    <row r="178" spans="1:17" x14ac:dyDescent="0.3">
      <c r="A178" s="169"/>
      <c r="B178" s="189" t="s">
        <v>2540</v>
      </c>
      <c r="C178" s="177" t="s">
        <v>2541</v>
      </c>
      <c r="D178" s="172">
        <f t="shared" si="12"/>
        <v>32904</v>
      </c>
      <c r="E178" s="173"/>
      <c r="F178" s="175">
        <f>'[9]Data Cap04001'!D159</f>
        <v>8678</v>
      </c>
      <c r="G178" s="174">
        <f>'[9]Data Cap04001'!E159</f>
        <v>3467</v>
      </c>
      <c r="H178" s="174"/>
      <c r="I178" s="174">
        <f>'[9]Data Cap04001'!F159</f>
        <v>1926</v>
      </c>
      <c r="J178" s="174"/>
      <c r="K178" s="174">
        <f>'[9]Data Cap04001'!G159</f>
        <v>6598</v>
      </c>
      <c r="L178" s="174">
        <f>'[9]Data Cap04001'!H159</f>
        <v>8792</v>
      </c>
      <c r="M178" s="174"/>
      <c r="N178" s="174">
        <f>'[9]Data Cap04001'!I159</f>
        <v>3443</v>
      </c>
      <c r="O178" s="176"/>
      <c r="Q178" s="177"/>
    </row>
    <row r="179" spans="1:17" x14ac:dyDescent="0.3">
      <c r="A179" s="169"/>
      <c r="B179" s="189" t="s">
        <v>2542</v>
      </c>
      <c r="C179" s="177" t="s">
        <v>2543</v>
      </c>
      <c r="D179" s="172">
        <f t="shared" si="12"/>
        <v>70676</v>
      </c>
      <c r="E179" s="173"/>
      <c r="F179" s="175">
        <f>'[9]Data Cap04001'!D160</f>
        <v>16674</v>
      </c>
      <c r="G179" s="174">
        <f>'[9]Data Cap04001'!E160</f>
        <v>8698</v>
      </c>
      <c r="H179" s="174"/>
      <c r="I179" s="174">
        <f>'[9]Data Cap04001'!F160</f>
        <v>4833</v>
      </c>
      <c r="J179" s="174"/>
      <c r="K179" s="174">
        <f>'[9]Data Cap04001'!G160</f>
        <v>13858</v>
      </c>
      <c r="L179" s="174">
        <f>'[9]Data Cap04001'!H160</f>
        <v>19050</v>
      </c>
      <c r="M179" s="174"/>
      <c r="N179" s="174">
        <f>'[9]Data Cap04001'!I160</f>
        <v>7563</v>
      </c>
      <c r="O179" s="176"/>
      <c r="Q179" s="177"/>
    </row>
    <row r="180" spans="1:17" x14ac:dyDescent="0.3">
      <c r="A180" s="169"/>
      <c r="B180" s="189" t="s">
        <v>2544</v>
      </c>
      <c r="C180" s="177" t="s">
        <v>2545</v>
      </c>
      <c r="D180" s="172">
        <f t="shared" si="12"/>
        <v>65542</v>
      </c>
      <c r="E180" s="173"/>
      <c r="F180" s="175">
        <f>'[9]Data Cap04001'!D161</f>
        <v>18594</v>
      </c>
      <c r="G180" s="174">
        <f>'[9]Data Cap04001'!E161</f>
        <v>7019</v>
      </c>
      <c r="H180" s="174"/>
      <c r="I180" s="174">
        <f>'[9]Data Cap04001'!F161</f>
        <v>3931</v>
      </c>
      <c r="J180" s="174"/>
      <c r="K180" s="174">
        <f>'[9]Data Cap04001'!G161</f>
        <v>13160</v>
      </c>
      <c r="L180" s="174">
        <f>'[9]Data Cap04001'!H161</f>
        <v>17199</v>
      </c>
      <c r="M180" s="174"/>
      <c r="N180" s="174">
        <f>'[9]Data Cap04001'!I161</f>
        <v>5639</v>
      </c>
      <c r="O180" s="176"/>
      <c r="Q180" s="177"/>
    </row>
    <row r="181" spans="1:17" x14ac:dyDescent="0.3">
      <c r="A181" s="169"/>
      <c r="B181" s="189" t="s">
        <v>2546</v>
      </c>
      <c r="C181" s="177" t="s">
        <v>2547</v>
      </c>
      <c r="D181" s="172">
        <f t="shared" si="12"/>
        <v>29262</v>
      </c>
      <c r="E181" s="173"/>
      <c r="F181" s="175">
        <f>'[9]Data Cap04001'!D162</f>
        <v>5413</v>
      </c>
      <c r="G181" s="174">
        <f>'[9]Data Cap04001'!E162</f>
        <v>2498</v>
      </c>
      <c r="H181" s="174"/>
      <c r="I181" s="174">
        <f>'[9]Data Cap04001'!F162</f>
        <v>1548</v>
      </c>
      <c r="J181" s="174"/>
      <c r="K181" s="174">
        <f>'[9]Data Cap04001'!G162</f>
        <v>5141</v>
      </c>
      <c r="L181" s="174">
        <f>'[9]Data Cap04001'!H162</f>
        <v>9819</v>
      </c>
      <c r="M181" s="174"/>
      <c r="N181" s="174">
        <f>'[9]Data Cap04001'!I162</f>
        <v>4843</v>
      </c>
      <c r="O181" s="176"/>
      <c r="Q181" s="177"/>
    </row>
    <row r="182" spans="1:17" x14ac:dyDescent="0.3">
      <c r="A182" s="169"/>
      <c r="B182" s="189" t="s">
        <v>2548</v>
      </c>
      <c r="C182" s="177" t="s">
        <v>2549</v>
      </c>
      <c r="D182" s="172">
        <f t="shared" si="12"/>
        <v>22367</v>
      </c>
      <c r="E182" s="173"/>
      <c r="F182" s="175">
        <f>'[9]Data Cap04001'!D163</f>
        <v>3842</v>
      </c>
      <c r="G182" s="174">
        <f>'[9]Data Cap04001'!E163</f>
        <v>1799</v>
      </c>
      <c r="H182" s="174"/>
      <c r="I182" s="174">
        <f>'[9]Data Cap04001'!F163</f>
        <v>1297</v>
      </c>
      <c r="J182" s="174"/>
      <c r="K182" s="174">
        <f>'[9]Data Cap04001'!G163</f>
        <v>4977</v>
      </c>
      <c r="L182" s="174">
        <f>'[9]Data Cap04001'!H163</f>
        <v>7244</v>
      </c>
      <c r="M182" s="174"/>
      <c r="N182" s="174">
        <f>'[9]Data Cap04001'!I163</f>
        <v>3208</v>
      </c>
      <c r="O182" s="176"/>
      <c r="Q182" s="177"/>
    </row>
    <row r="183" spans="1:17" x14ac:dyDescent="0.3">
      <c r="A183" s="169"/>
      <c r="B183" s="189" t="s">
        <v>2550</v>
      </c>
      <c r="C183" s="177" t="s">
        <v>2551</v>
      </c>
      <c r="D183" s="172">
        <f t="shared" si="12"/>
        <v>53799</v>
      </c>
      <c r="E183" s="173"/>
      <c r="F183" s="175">
        <f>'[9]Data Cap04001'!D164</f>
        <v>11569</v>
      </c>
      <c r="G183" s="174">
        <f>'[9]Data Cap04001'!E164</f>
        <v>5394</v>
      </c>
      <c r="H183" s="174"/>
      <c r="I183" s="174">
        <f>'[9]Data Cap04001'!F164</f>
        <v>3420</v>
      </c>
      <c r="J183" s="174"/>
      <c r="K183" s="174">
        <f>'[9]Data Cap04001'!G164</f>
        <v>10380</v>
      </c>
      <c r="L183" s="174">
        <f>'[9]Data Cap04001'!H164</f>
        <v>15388</v>
      </c>
      <c r="M183" s="174"/>
      <c r="N183" s="174">
        <f>'[9]Data Cap04001'!I164</f>
        <v>7648</v>
      </c>
      <c r="O183" s="176"/>
      <c r="Q183" s="177"/>
    </row>
    <row r="184" spans="1:17" x14ac:dyDescent="0.3">
      <c r="A184" s="169"/>
      <c r="B184" s="189" t="s">
        <v>2552</v>
      </c>
      <c r="C184" s="177" t="s">
        <v>2553</v>
      </c>
      <c r="D184" s="172">
        <f t="shared" si="12"/>
        <v>6433</v>
      </c>
      <c r="E184" s="173"/>
      <c r="F184" s="175">
        <f>'[9]Data Cap04001'!D165</f>
        <v>3657</v>
      </c>
      <c r="G184" s="174">
        <f>'[9]Data Cap04001'!E165</f>
        <v>1937</v>
      </c>
      <c r="H184" s="174"/>
      <c r="I184" s="174">
        <f>'[9]Data Cap04001'!F165</f>
        <v>834</v>
      </c>
      <c r="J184" s="174"/>
      <c r="K184" s="174">
        <f>'[9]Data Cap04001'!G165</f>
        <v>4</v>
      </c>
      <c r="L184" s="174">
        <f>'[9]Data Cap04001'!H165</f>
        <v>0</v>
      </c>
      <c r="M184" s="174"/>
      <c r="N184" s="174">
        <f>'[9]Data Cap04001'!I165</f>
        <v>1</v>
      </c>
      <c r="O184" s="176"/>
      <c r="Q184" s="177"/>
    </row>
    <row r="185" spans="1:17" x14ac:dyDescent="0.3">
      <c r="A185" s="169"/>
      <c r="B185" s="189" t="s">
        <v>2554</v>
      </c>
      <c r="C185" s="177" t="s">
        <v>2555</v>
      </c>
      <c r="D185" s="172">
        <f t="shared" si="12"/>
        <v>15238</v>
      </c>
      <c r="E185" s="173"/>
      <c r="F185" s="175">
        <f>'[9]Data Cap04001'!D166</f>
        <v>3897</v>
      </c>
      <c r="G185" s="174">
        <f>'[9]Data Cap04001'!E166</f>
        <v>1600</v>
      </c>
      <c r="H185" s="174"/>
      <c r="I185" s="174">
        <f>'[9]Data Cap04001'!F166</f>
        <v>1015</v>
      </c>
      <c r="J185" s="174"/>
      <c r="K185" s="174">
        <f>'[9]Data Cap04001'!G166</f>
        <v>3370</v>
      </c>
      <c r="L185" s="174">
        <f>'[9]Data Cap04001'!H166</f>
        <v>4144</v>
      </c>
      <c r="M185" s="174"/>
      <c r="N185" s="174">
        <f>'[9]Data Cap04001'!I166</f>
        <v>1212</v>
      </c>
      <c r="O185" s="176"/>
      <c r="Q185" s="177"/>
    </row>
    <row r="186" spans="1:17" x14ac:dyDescent="0.3">
      <c r="A186" s="169"/>
      <c r="B186" s="189" t="s">
        <v>2556</v>
      </c>
      <c r="C186" s="177" t="s">
        <v>2557</v>
      </c>
      <c r="D186" s="172">
        <f t="shared" si="12"/>
        <v>43569</v>
      </c>
      <c r="E186" s="173"/>
      <c r="F186" s="175">
        <f>'[9]Data Cap04001'!D167</f>
        <v>12468</v>
      </c>
      <c r="G186" s="174">
        <f>'[9]Data Cap04001'!E167</f>
        <v>5432</v>
      </c>
      <c r="H186" s="174"/>
      <c r="I186" s="174">
        <f>'[9]Data Cap04001'!F167</f>
        <v>2825</v>
      </c>
      <c r="J186" s="174"/>
      <c r="K186" s="174">
        <f>'[9]Data Cap04001'!G167</f>
        <v>8905</v>
      </c>
      <c r="L186" s="174">
        <f>'[9]Data Cap04001'!H167</f>
        <v>10868</v>
      </c>
      <c r="M186" s="174"/>
      <c r="N186" s="174">
        <f>'[9]Data Cap04001'!I167</f>
        <v>3071</v>
      </c>
      <c r="O186" s="176"/>
      <c r="Q186" s="177"/>
    </row>
    <row r="187" spans="1:17" x14ac:dyDescent="0.3">
      <c r="A187" s="169"/>
      <c r="B187" s="189" t="s">
        <v>2558</v>
      </c>
      <c r="C187" s="177" t="s">
        <v>2559</v>
      </c>
      <c r="D187" s="172">
        <f t="shared" si="12"/>
        <v>79673</v>
      </c>
      <c r="E187" s="173"/>
      <c r="F187" s="175">
        <f>'[9]Data Cap04001'!D168</f>
        <v>24263</v>
      </c>
      <c r="G187" s="174">
        <f>'[9]Data Cap04001'!E168</f>
        <v>7767</v>
      </c>
      <c r="H187" s="174"/>
      <c r="I187" s="174">
        <f>'[9]Data Cap04001'!F168</f>
        <v>4835</v>
      </c>
      <c r="J187" s="174"/>
      <c r="K187" s="174">
        <f>'[9]Data Cap04001'!G168</f>
        <v>16552</v>
      </c>
      <c r="L187" s="174">
        <f>'[9]Data Cap04001'!H168</f>
        <v>20481</v>
      </c>
      <c r="M187" s="174"/>
      <c r="N187" s="174">
        <f>'[9]Data Cap04001'!I168</f>
        <v>5775</v>
      </c>
      <c r="O187" s="176"/>
      <c r="Q187" s="177"/>
    </row>
    <row r="188" spans="1:17" x14ac:dyDescent="0.3">
      <c r="A188" s="169"/>
      <c r="B188" s="189"/>
      <c r="C188" s="177" t="s">
        <v>2560</v>
      </c>
      <c r="D188" s="172">
        <f t="shared" si="12"/>
        <v>0</v>
      </c>
      <c r="E188" s="184"/>
      <c r="F188" s="175"/>
      <c r="G188" s="174"/>
      <c r="H188" s="174"/>
      <c r="I188" s="174"/>
      <c r="J188" s="174"/>
      <c r="K188" s="174"/>
      <c r="L188" s="174"/>
      <c r="M188" s="174"/>
      <c r="N188" s="174"/>
      <c r="O188" s="176"/>
      <c r="Q188" s="177"/>
    </row>
    <row r="189" spans="1:17" x14ac:dyDescent="0.3">
      <c r="A189" s="162" t="s">
        <v>1411</v>
      </c>
      <c r="B189" s="201"/>
      <c r="C189" s="193" t="s">
        <v>2247</v>
      </c>
      <c r="D189" s="165">
        <f>SUM(F189:N189)</f>
        <v>243350</v>
      </c>
      <c r="E189" s="166"/>
      <c r="F189" s="167">
        <f>'[9]Data Cap04001'!D187</f>
        <v>65443</v>
      </c>
      <c r="G189" s="167">
        <f>'[9]Data Cap04001'!E187</f>
        <v>43187</v>
      </c>
      <c r="H189" s="167"/>
      <c r="I189" s="167">
        <f>'[9]Data Cap04001'!F187</f>
        <v>23657</v>
      </c>
      <c r="J189" s="167"/>
      <c r="K189" s="167">
        <f>'[9]Data Cap04001'!G187</f>
        <v>40336</v>
      </c>
      <c r="L189" s="167">
        <f>'[9]Data Cap04001'!H187</f>
        <v>54791</v>
      </c>
      <c r="M189" s="167"/>
      <c r="N189" s="167">
        <f>'[9]Data Cap04001'!I187</f>
        <v>15936</v>
      </c>
      <c r="O189" s="168"/>
      <c r="Q189" s="177"/>
    </row>
    <row r="190" spans="1:17" x14ac:dyDescent="0.3">
      <c r="A190" s="169"/>
      <c r="B190" s="189" t="s">
        <v>2561</v>
      </c>
      <c r="C190" s="171" t="s">
        <v>2562</v>
      </c>
      <c r="D190" s="172">
        <f>SUM(F190:N190)</f>
        <v>160044</v>
      </c>
      <c r="E190" s="173"/>
      <c r="F190" s="174">
        <f>'[9]Data Cap04001'!D181</f>
        <v>44728</v>
      </c>
      <c r="G190" s="174">
        <f>'[9]Data Cap04001'!E181</f>
        <v>28641</v>
      </c>
      <c r="H190" s="174"/>
      <c r="I190" s="174">
        <f>'[9]Data Cap04001'!F181</f>
        <v>14646</v>
      </c>
      <c r="J190" s="174"/>
      <c r="K190" s="174">
        <f>'[9]Data Cap04001'!G181</f>
        <v>26267</v>
      </c>
      <c r="L190" s="174">
        <f>'[9]Data Cap04001'!H181</f>
        <v>35427</v>
      </c>
      <c r="M190" s="174"/>
      <c r="N190" s="174">
        <f>'[9]Data Cap04001'!I181</f>
        <v>10335</v>
      </c>
      <c r="O190" s="176"/>
      <c r="Q190" s="177"/>
    </row>
    <row r="191" spans="1:17" x14ac:dyDescent="0.3">
      <c r="A191" s="179"/>
      <c r="B191" s="189" t="s">
        <v>2563</v>
      </c>
      <c r="C191" s="171" t="s">
        <v>2564</v>
      </c>
      <c r="D191" s="172">
        <f t="shared" ref="D191:D202" si="13">SUM(F191:N191)</f>
        <v>36423</v>
      </c>
      <c r="E191" s="173"/>
      <c r="F191" s="174">
        <f>'[9]Data Cap04001'!D182</f>
        <v>11066</v>
      </c>
      <c r="G191" s="174">
        <f>'[9]Data Cap04001'!E182</f>
        <v>6853</v>
      </c>
      <c r="H191" s="174"/>
      <c r="I191" s="174">
        <f>'[9]Data Cap04001'!F182</f>
        <v>3561</v>
      </c>
      <c r="J191" s="174"/>
      <c r="K191" s="174">
        <f>'[9]Data Cap04001'!G182</f>
        <v>5711</v>
      </c>
      <c r="L191" s="174">
        <f>'[9]Data Cap04001'!H182</f>
        <v>7357</v>
      </c>
      <c r="M191" s="174"/>
      <c r="N191" s="174">
        <f>'[9]Data Cap04001'!I182</f>
        <v>1875</v>
      </c>
      <c r="O191" s="176"/>
      <c r="Q191" s="177"/>
    </row>
    <row r="192" spans="1:17" x14ac:dyDescent="0.3">
      <c r="A192" s="169"/>
      <c r="B192" s="177" t="s">
        <v>2565</v>
      </c>
      <c r="C192" s="171" t="s">
        <v>2566</v>
      </c>
      <c r="D192" s="172">
        <f t="shared" si="13"/>
        <v>14975</v>
      </c>
      <c r="E192" s="173"/>
      <c r="F192" s="174">
        <f>'[9]Data Cap04001'!D183</f>
        <v>3853</v>
      </c>
      <c r="G192" s="174">
        <f>'[9]Data Cap04001'!E183</f>
        <v>1436</v>
      </c>
      <c r="H192" s="174"/>
      <c r="I192" s="174">
        <f>'[9]Data Cap04001'!F183</f>
        <v>1117</v>
      </c>
      <c r="J192" s="174"/>
      <c r="K192" s="174">
        <f>'[9]Data Cap04001'!G183</f>
        <v>3129</v>
      </c>
      <c r="L192" s="174">
        <f>'[9]Data Cap04001'!H183</f>
        <v>3911</v>
      </c>
      <c r="M192" s="174"/>
      <c r="N192" s="174">
        <f>'[9]Data Cap04001'!I183</f>
        <v>1529</v>
      </c>
      <c r="O192" s="176"/>
      <c r="Q192" s="177"/>
    </row>
    <row r="193" spans="1:17" x14ac:dyDescent="0.3">
      <c r="A193" s="169"/>
      <c r="B193" s="189" t="s">
        <v>2567</v>
      </c>
      <c r="C193" s="171" t="s">
        <v>2568</v>
      </c>
      <c r="D193" s="172">
        <f t="shared" si="13"/>
        <v>16895</v>
      </c>
      <c r="E193" s="173"/>
      <c r="F193" s="174">
        <f>'[9]Data Cap04001'!D184</f>
        <v>3305</v>
      </c>
      <c r="G193" s="174">
        <f>'[9]Data Cap04001'!E184</f>
        <v>1525</v>
      </c>
      <c r="H193" s="174"/>
      <c r="I193" s="174">
        <f>'[9]Data Cap04001'!F184</f>
        <v>1281</v>
      </c>
      <c r="J193" s="174"/>
      <c r="K193" s="174">
        <f>'[9]Data Cap04001'!G184</f>
        <v>3144</v>
      </c>
      <c r="L193" s="174">
        <f>'[9]Data Cap04001'!H184</f>
        <v>5067</v>
      </c>
      <c r="M193" s="174"/>
      <c r="N193" s="174">
        <f>'[9]Data Cap04001'!I184</f>
        <v>2573</v>
      </c>
      <c r="O193" s="176"/>
      <c r="Q193" s="177"/>
    </row>
    <row r="194" spans="1:17" x14ac:dyDescent="0.3">
      <c r="A194" s="169"/>
      <c r="B194" s="189" t="s">
        <v>2569</v>
      </c>
      <c r="C194" s="171" t="s">
        <v>2570</v>
      </c>
      <c r="D194" s="172">
        <f t="shared" si="13"/>
        <v>26705</v>
      </c>
      <c r="E194" s="173"/>
      <c r="F194" s="174">
        <f>'[9]Data Cap04001'!D185</f>
        <v>6374</v>
      </c>
      <c r="G194" s="174">
        <f>'[9]Data Cap04001'!E185</f>
        <v>5402</v>
      </c>
      <c r="H194" s="174"/>
      <c r="I194" s="174">
        <f>'[9]Data Cap04001'!F185</f>
        <v>3648</v>
      </c>
      <c r="J194" s="174"/>
      <c r="K194" s="174">
        <f>'[9]Data Cap04001'!G185</f>
        <v>4284</v>
      </c>
      <c r="L194" s="174">
        <f>'[9]Data Cap04001'!H185</f>
        <v>5991</v>
      </c>
      <c r="M194" s="174"/>
      <c r="N194" s="174">
        <f>'[9]Data Cap04001'!I185</f>
        <v>1006</v>
      </c>
      <c r="O194" s="176"/>
      <c r="Q194" s="177"/>
    </row>
    <row r="195" spans="1:17" x14ac:dyDescent="0.3">
      <c r="A195" s="181"/>
      <c r="B195" s="197" t="s">
        <v>2571</v>
      </c>
      <c r="C195" s="183" t="s">
        <v>2572</v>
      </c>
      <c r="D195" s="172">
        <f t="shared" si="13"/>
        <v>6936</v>
      </c>
      <c r="E195" s="184"/>
      <c r="F195" s="174">
        <f>'[9]Data Cap04001'!D186</f>
        <v>1624</v>
      </c>
      <c r="G195" s="174">
        <f>'[9]Data Cap04001'!E186</f>
        <v>566</v>
      </c>
      <c r="H195" s="192"/>
      <c r="I195" s="174">
        <f>'[9]Data Cap04001'!F186</f>
        <v>588</v>
      </c>
      <c r="J195" s="174"/>
      <c r="K195" s="174">
        <f>'[9]Data Cap04001'!G186</f>
        <v>1530</v>
      </c>
      <c r="L195" s="174">
        <f>'[9]Data Cap04001'!H186</f>
        <v>1920</v>
      </c>
      <c r="M195" s="174"/>
      <c r="N195" s="174">
        <f>'[9]Data Cap04001'!I186</f>
        <v>708</v>
      </c>
      <c r="O195" s="186"/>
      <c r="Q195" s="177"/>
    </row>
    <row r="196" spans="1:17" x14ac:dyDescent="0.3">
      <c r="A196" s="199" t="s">
        <v>1412</v>
      </c>
      <c r="B196" s="200"/>
      <c r="C196" s="177" t="s">
        <v>2247</v>
      </c>
      <c r="D196" s="165">
        <f t="shared" si="13"/>
        <v>36031</v>
      </c>
      <c r="E196" s="166"/>
      <c r="F196" s="167">
        <f>'[9]Data Cap04001'!D191</f>
        <v>9414</v>
      </c>
      <c r="G196" s="167">
        <f>'[9]Data Cap04001'!E191</f>
        <v>6255</v>
      </c>
      <c r="H196" s="167"/>
      <c r="I196" s="167">
        <f>'[9]Data Cap04001'!F191</f>
        <v>2388</v>
      </c>
      <c r="J196" s="167"/>
      <c r="K196" s="167">
        <f>'[9]Data Cap04001'!G191</f>
        <v>7284</v>
      </c>
      <c r="L196" s="167">
        <f>'[9]Data Cap04001'!H191</f>
        <v>8497</v>
      </c>
      <c r="M196" s="167"/>
      <c r="N196" s="167">
        <f>'[9]Data Cap04001'!I191</f>
        <v>2193</v>
      </c>
      <c r="O196" s="168"/>
      <c r="Q196" s="177"/>
    </row>
    <row r="197" spans="1:17" x14ac:dyDescent="0.3">
      <c r="A197" s="199"/>
      <c r="B197" s="200" t="s">
        <v>2573</v>
      </c>
      <c r="C197" s="177" t="s">
        <v>2574</v>
      </c>
      <c r="D197" s="172">
        <f t="shared" si="13"/>
        <v>32298</v>
      </c>
      <c r="E197" s="173"/>
      <c r="F197" s="174">
        <f>'[9]Data Cap04001'!D188</f>
        <v>8761</v>
      </c>
      <c r="G197" s="174">
        <f>'[9]Data Cap04001'!E188</f>
        <v>5966</v>
      </c>
      <c r="H197" s="174"/>
      <c r="I197" s="174">
        <f>'[9]Data Cap04001'!F188</f>
        <v>2167</v>
      </c>
      <c r="J197" s="174"/>
      <c r="K197" s="174">
        <f>'[9]Data Cap04001'!G188</f>
        <v>6312</v>
      </c>
      <c r="L197" s="174">
        <f>'[9]Data Cap04001'!H188</f>
        <v>7309</v>
      </c>
      <c r="M197" s="174"/>
      <c r="N197" s="174">
        <f>'[9]Data Cap04001'!I188</f>
        <v>1783</v>
      </c>
      <c r="O197" s="176"/>
      <c r="Q197" s="177"/>
    </row>
    <row r="198" spans="1:17" x14ac:dyDescent="0.3">
      <c r="A198" s="199"/>
      <c r="B198" s="200" t="s">
        <v>2575</v>
      </c>
      <c r="C198" s="177" t="s">
        <v>2576</v>
      </c>
      <c r="D198" s="172">
        <f t="shared" si="13"/>
        <v>7224</v>
      </c>
      <c r="E198" s="173"/>
      <c r="F198" s="174">
        <f>'[9]Data Cap04001'!D189</f>
        <v>1486</v>
      </c>
      <c r="G198" s="174">
        <f>'[9]Data Cap04001'!E189</f>
        <v>498</v>
      </c>
      <c r="H198" s="174"/>
      <c r="I198" s="174">
        <f>'[9]Data Cap04001'!F189</f>
        <v>413</v>
      </c>
      <c r="J198" s="174"/>
      <c r="K198" s="174">
        <f>'[9]Data Cap04001'!G189</f>
        <v>1873</v>
      </c>
      <c r="L198" s="174">
        <f>'[9]Data Cap04001'!H189</f>
        <v>2191</v>
      </c>
      <c r="M198" s="174"/>
      <c r="N198" s="174">
        <f>'[9]Data Cap04001'!I189</f>
        <v>763</v>
      </c>
      <c r="O198" s="176"/>
      <c r="Q198" s="177"/>
    </row>
    <row r="199" spans="1:17" x14ac:dyDescent="0.3">
      <c r="A199" s="169"/>
      <c r="B199" s="189"/>
      <c r="C199" s="177" t="s">
        <v>2577</v>
      </c>
      <c r="D199" s="172">
        <f t="shared" si="13"/>
        <v>0</v>
      </c>
      <c r="E199" s="184"/>
      <c r="F199" s="174"/>
      <c r="G199" s="174"/>
      <c r="H199" s="174"/>
      <c r="I199" s="174"/>
      <c r="J199" s="174"/>
      <c r="K199" s="174"/>
      <c r="L199" s="174"/>
      <c r="M199" s="174"/>
      <c r="N199" s="174"/>
      <c r="O199" s="186"/>
      <c r="Q199" s="177"/>
    </row>
    <row r="200" spans="1:17" x14ac:dyDescent="0.3">
      <c r="A200" s="162" t="s">
        <v>1413</v>
      </c>
      <c r="B200" s="201"/>
      <c r="C200" s="193" t="s">
        <v>2247</v>
      </c>
      <c r="D200" s="165">
        <f t="shared" si="13"/>
        <v>28108</v>
      </c>
      <c r="E200" s="166"/>
      <c r="F200" s="167">
        <f>'[9]Data Cap04001'!D196</f>
        <v>5939</v>
      </c>
      <c r="G200" s="167">
        <f>'[9]Data Cap04001'!E196</f>
        <v>3420</v>
      </c>
      <c r="H200" s="167"/>
      <c r="I200" s="167">
        <f>'[9]Data Cap04001'!F196</f>
        <v>1907</v>
      </c>
      <c r="J200" s="167"/>
      <c r="K200" s="167">
        <f>'[9]Data Cap04001'!G196</f>
        <v>5261</v>
      </c>
      <c r="L200" s="167">
        <f>'[9]Data Cap04001'!H196</f>
        <v>7360</v>
      </c>
      <c r="M200" s="167"/>
      <c r="N200" s="167">
        <f>'[9]Data Cap04001'!I196</f>
        <v>4221</v>
      </c>
      <c r="O200" s="168"/>
      <c r="Q200" s="177"/>
    </row>
    <row r="201" spans="1:17" x14ac:dyDescent="0.3">
      <c r="A201" s="169"/>
      <c r="B201" s="189" t="s">
        <v>2578</v>
      </c>
      <c r="C201" s="171" t="s">
        <v>2579</v>
      </c>
      <c r="D201" s="172">
        <f t="shared" si="13"/>
        <v>15398</v>
      </c>
      <c r="E201" s="173"/>
      <c r="F201" s="174">
        <f>'[9]Data Cap04001'!D192</f>
        <v>3097</v>
      </c>
      <c r="G201" s="174">
        <f>'[9]Data Cap04001'!E192</f>
        <v>1909</v>
      </c>
      <c r="H201" s="174"/>
      <c r="I201" s="174">
        <f>'[9]Data Cap04001'!F192</f>
        <v>931</v>
      </c>
      <c r="J201" s="174"/>
      <c r="K201" s="174">
        <f>'[9]Data Cap04001'!G192</f>
        <v>2635</v>
      </c>
      <c r="L201" s="174">
        <f>'[9]Data Cap04001'!H192</f>
        <v>3924</v>
      </c>
      <c r="M201" s="174"/>
      <c r="N201" s="174">
        <f>'[9]Data Cap04001'!I192</f>
        <v>2902</v>
      </c>
      <c r="O201" s="176"/>
      <c r="Q201" s="177"/>
    </row>
    <row r="202" spans="1:17" x14ac:dyDescent="0.3">
      <c r="A202" s="179"/>
      <c r="B202" s="189" t="s">
        <v>2580</v>
      </c>
      <c r="C202" s="171" t="s">
        <v>2581</v>
      </c>
      <c r="D202" s="172">
        <f t="shared" si="13"/>
        <v>10966</v>
      </c>
      <c r="E202" s="173"/>
      <c r="F202" s="174">
        <f>'[9]Data Cap04001'!D193</f>
        <v>2681</v>
      </c>
      <c r="G202" s="174">
        <f>'[9]Data Cap04001'!E193</f>
        <v>1401</v>
      </c>
      <c r="H202" s="174"/>
      <c r="I202" s="174">
        <f>'[9]Data Cap04001'!F193</f>
        <v>889</v>
      </c>
      <c r="J202" s="174"/>
      <c r="K202" s="174">
        <f>'[9]Data Cap04001'!G193</f>
        <v>2211</v>
      </c>
      <c r="L202" s="174">
        <f>'[9]Data Cap04001'!H193</f>
        <v>2753</v>
      </c>
      <c r="M202" s="174"/>
      <c r="N202" s="174">
        <f>'[9]Data Cap04001'!I193</f>
        <v>1031</v>
      </c>
      <c r="O202" s="176"/>
      <c r="Q202" s="177"/>
    </row>
    <row r="203" spans="1:17" x14ac:dyDescent="0.3">
      <c r="A203" s="169"/>
      <c r="B203" s="189" t="s">
        <v>2582</v>
      </c>
      <c r="C203" s="171" t="s">
        <v>2583</v>
      </c>
      <c r="D203" s="172"/>
      <c r="E203" s="173"/>
      <c r="F203" s="174">
        <f>'[9]Data Cap04001'!D194</f>
        <v>632</v>
      </c>
      <c r="G203" s="174">
        <f>'[9]Data Cap04001'!E194</f>
        <v>193</v>
      </c>
      <c r="H203" s="174"/>
      <c r="I203" s="174">
        <f>'[9]Data Cap04001'!F194</f>
        <v>147</v>
      </c>
      <c r="J203" s="174"/>
      <c r="K203" s="174">
        <f>'[9]Data Cap04001'!G194</f>
        <v>1007</v>
      </c>
      <c r="L203" s="174">
        <f>'[9]Data Cap04001'!H194</f>
        <v>1583</v>
      </c>
      <c r="M203" s="174"/>
      <c r="N203" s="174">
        <f>'[9]Data Cap04001'!I194</f>
        <v>607</v>
      </c>
      <c r="O203" s="176"/>
      <c r="Q203" s="177"/>
    </row>
    <row r="204" spans="1:17" x14ac:dyDescent="0.3">
      <c r="A204" s="181"/>
      <c r="B204" s="197"/>
      <c r="C204" s="183" t="s">
        <v>2584</v>
      </c>
      <c r="D204" s="172"/>
      <c r="E204" s="173"/>
      <c r="F204" s="174"/>
      <c r="G204" s="174"/>
      <c r="H204" s="174"/>
      <c r="I204" s="174"/>
      <c r="J204" s="174"/>
      <c r="K204" s="174"/>
      <c r="L204" s="174"/>
      <c r="M204" s="174"/>
      <c r="N204" s="174"/>
      <c r="O204" s="176"/>
      <c r="Q204" s="177"/>
    </row>
    <row r="205" spans="1:17" x14ac:dyDescent="0.3">
      <c r="A205" s="199" t="s">
        <v>1414</v>
      </c>
      <c r="B205" s="200"/>
      <c r="C205" s="177" t="s">
        <v>2247</v>
      </c>
      <c r="D205" s="165">
        <f t="shared" ref="D205:D215" si="14">SUM(F205:N205)</f>
        <v>64621</v>
      </c>
      <c r="E205" s="166"/>
      <c r="F205" s="167">
        <f>'[9]Data Cap04001'!D200</f>
        <v>13955</v>
      </c>
      <c r="G205" s="167">
        <f>'[9]Data Cap04001'!E200</f>
        <v>9976</v>
      </c>
      <c r="H205" s="167"/>
      <c r="I205" s="167">
        <f>'[9]Data Cap04001'!F200</f>
        <v>5978</v>
      </c>
      <c r="J205" s="167"/>
      <c r="K205" s="167">
        <f>'[9]Data Cap04001'!G200</f>
        <v>11620</v>
      </c>
      <c r="L205" s="167">
        <f>'[9]Data Cap04001'!H200</f>
        <v>16321</v>
      </c>
      <c r="M205" s="167"/>
      <c r="N205" s="167">
        <f>'[9]Data Cap04001'!I200</f>
        <v>6771</v>
      </c>
      <c r="O205" s="168"/>
      <c r="Q205" s="177"/>
    </row>
    <row r="206" spans="1:17" x14ac:dyDescent="0.3">
      <c r="A206" s="169"/>
      <c r="B206" s="189" t="s">
        <v>2585</v>
      </c>
      <c r="C206" s="177" t="s">
        <v>2586</v>
      </c>
      <c r="D206" s="172">
        <f t="shared" si="14"/>
        <v>29999</v>
      </c>
      <c r="E206" s="173"/>
      <c r="F206" s="174">
        <f>'[9]Data Cap04001'!D197</f>
        <v>6324</v>
      </c>
      <c r="G206" s="174">
        <f>'[9]Data Cap04001'!E197</f>
        <v>4166</v>
      </c>
      <c r="H206" s="174"/>
      <c r="I206" s="174">
        <f>'[9]Data Cap04001'!F197</f>
        <v>2517</v>
      </c>
      <c r="J206" s="174"/>
      <c r="K206" s="174">
        <f>'[9]Data Cap04001'!G197</f>
        <v>5315</v>
      </c>
      <c r="L206" s="174">
        <f>'[9]Data Cap04001'!H197</f>
        <v>7729</v>
      </c>
      <c r="M206" s="174"/>
      <c r="N206" s="174">
        <f>'[9]Data Cap04001'!I197</f>
        <v>3948</v>
      </c>
      <c r="O206" s="176"/>
      <c r="Q206" s="177"/>
    </row>
    <row r="207" spans="1:17" x14ac:dyDescent="0.3">
      <c r="A207" s="179"/>
      <c r="B207" s="189" t="s">
        <v>2587</v>
      </c>
      <c r="C207" s="177" t="s">
        <v>2588</v>
      </c>
      <c r="D207" s="172">
        <f t="shared" si="14"/>
        <v>6078</v>
      </c>
      <c r="E207" s="173"/>
      <c r="F207" s="174">
        <f>'[9]Data Cap04001'!D198</f>
        <v>1108</v>
      </c>
      <c r="G207" s="174">
        <f>'[9]Data Cap04001'!E198</f>
        <v>328</v>
      </c>
      <c r="H207" s="174"/>
      <c r="I207" s="174">
        <f>'[9]Data Cap04001'!F198</f>
        <v>324</v>
      </c>
      <c r="J207" s="174"/>
      <c r="K207" s="174">
        <f>'[9]Data Cap04001'!G198</f>
        <v>1800</v>
      </c>
      <c r="L207" s="174">
        <f>'[9]Data Cap04001'!H198</f>
        <v>1787</v>
      </c>
      <c r="M207" s="174"/>
      <c r="N207" s="174">
        <f>'[9]Data Cap04001'!I198</f>
        <v>731</v>
      </c>
      <c r="O207" s="176"/>
      <c r="Q207" s="177"/>
    </row>
    <row r="208" spans="1:17" x14ac:dyDescent="0.3">
      <c r="A208" s="179"/>
      <c r="B208" s="189" t="s">
        <v>2589</v>
      </c>
      <c r="C208" s="177" t="s">
        <v>2590</v>
      </c>
      <c r="D208" s="172">
        <f t="shared" si="14"/>
        <v>32028</v>
      </c>
      <c r="E208" s="184"/>
      <c r="F208" s="174">
        <f>'[9]Data Cap04001'!D199</f>
        <v>7322</v>
      </c>
      <c r="G208" s="174">
        <f>'[9]Data Cap04001'!E199</f>
        <v>5639</v>
      </c>
      <c r="H208" s="192"/>
      <c r="I208" s="174">
        <f>'[9]Data Cap04001'!F199</f>
        <v>3301</v>
      </c>
      <c r="J208" s="174"/>
      <c r="K208" s="174">
        <f>'[9]Data Cap04001'!G199</f>
        <v>5545</v>
      </c>
      <c r="L208" s="174">
        <f>'[9]Data Cap04001'!H199</f>
        <v>7753</v>
      </c>
      <c r="M208" s="174"/>
      <c r="N208" s="174">
        <f>'[9]Data Cap04001'!I199</f>
        <v>2468</v>
      </c>
      <c r="O208" s="186"/>
      <c r="Q208" s="177"/>
    </row>
    <row r="209" spans="1:17" x14ac:dyDescent="0.3">
      <c r="A209" s="162" t="s">
        <v>1415</v>
      </c>
      <c r="B209" s="201"/>
      <c r="C209" s="193" t="s">
        <v>2247</v>
      </c>
      <c r="D209" s="165">
        <f t="shared" si="14"/>
        <v>305454</v>
      </c>
      <c r="E209" s="166"/>
      <c r="F209" s="167">
        <f>'[9]Data Cap04001'!D208</f>
        <v>89399</v>
      </c>
      <c r="G209" s="167">
        <f>'[9]Data Cap04001'!E208</f>
        <v>48949</v>
      </c>
      <c r="H209" s="167"/>
      <c r="I209" s="167">
        <f>'[9]Data Cap04001'!F208</f>
        <v>26902</v>
      </c>
      <c r="J209" s="167"/>
      <c r="K209" s="167">
        <f>'[9]Data Cap04001'!G208</f>
        <v>47957</v>
      </c>
      <c r="L209" s="167">
        <f>'[9]Data Cap04001'!H208</f>
        <v>69568</v>
      </c>
      <c r="M209" s="167"/>
      <c r="N209" s="167">
        <f>'[9]Data Cap04001'!I208</f>
        <v>22679</v>
      </c>
      <c r="O209" s="168"/>
      <c r="Q209" s="177"/>
    </row>
    <row r="210" spans="1:17" x14ac:dyDescent="0.3">
      <c r="A210" s="169"/>
      <c r="B210" s="189" t="s">
        <v>2591</v>
      </c>
      <c r="C210" s="171" t="s">
        <v>2592</v>
      </c>
      <c r="D210" s="172">
        <f t="shared" si="14"/>
        <v>111725</v>
      </c>
      <c r="E210" s="173"/>
      <c r="F210" s="174">
        <f>'[9]Data Cap04001'!D201</f>
        <v>36800</v>
      </c>
      <c r="G210" s="174">
        <f>'[9]Data Cap04001'!E201</f>
        <v>18365</v>
      </c>
      <c r="H210" s="174"/>
      <c r="I210" s="174">
        <f>'[9]Data Cap04001'!F201</f>
        <v>9052</v>
      </c>
      <c r="J210" s="174"/>
      <c r="K210" s="174">
        <f>'[9]Data Cap04001'!G201</f>
        <v>18265</v>
      </c>
      <c r="L210" s="174">
        <f>'[9]Data Cap04001'!H201</f>
        <v>22702</v>
      </c>
      <c r="M210" s="174"/>
      <c r="N210" s="174">
        <f>'[9]Data Cap04001'!I201</f>
        <v>6541</v>
      </c>
      <c r="O210" s="176"/>
      <c r="Q210" s="177"/>
    </row>
    <row r="211" spans="1:17" x14ac:dyDescent="0.3">
      <c r="A211" s="179"/>
      <c r="B211" s="189" t="s">
        <v>2593</v>
      </c>
      <c r="C211" s="171" t="s">
        <v>2594</v>
      </c>
      <c r="D211" s="172">
        <f t="shared" si="14"/>
        <v>117867</v>
      </c>
      <c r="E211" s="173"/>
      <c r="F211" s="174">
        <f>'[9]Data Cap04001'!D202</f>
        <v>32954</v>
      </c>
      <c r="G211" s="174">
        <f>'[9]Data Cap04001'!E202</f>
        <v>18775</v>
      </c>
      <c r="H211" s="174"/>
      <c r="I211" s="174">
        <f>'[9]Data Cap04001'!F202</f>
        <v>10434</v>
      </c>
      <c r="J211" s="174"/>
      <c r="K211" s="174">
        <f>'[9]Data Cap04001'!G202</f>
        <v>19550</v>
      </c>
      <c r="L211" s="174">
        <f>'[9]Data Cap04001'!H202</f>
        <v>27965</v>
      </c>
      <c r="M211" s="174"/>
      <c r="N211" s="174">
        <f>'[9]Data Cap04001'!I202</f>
        <v>8189</v>
      </c>
      <c r="O211" s="176"/>
      <c r="Q211" s="177"/>
    </row>
    <row r="212" spans="1:17" x14ac:dyDescent="0.3">
      <c r="A212" s="179"/>
      <c r="B212" s="189" t="s">
        <v>2595</v>
      </c>
      <c r="C212" s="171" t="s">
        <v>2596</v>
      </c>
      <c r="D212" s="172">
        <f t="shared" si="14"/>
        <v>9166</v>
      </c>
      <c r="E212" s="173"/>
      <c r="F212" s="174">
        <f>'[9]Data Cap04001'!D203</f>
        <v>1849</v>
      </c>
      <c r="G212" s="174">
        <f>'[9]Data Cap04001'!E203</f>
        <v>511</v>
      </c>
      <c r="H212" s="174"/>
      <c r="I212" s="174">
        <f>'[9]Data Cap04001'!F203</f>
        <v>528</v>
      </c>
      <c r="J212" s="174"/>
      <c r="K212" s="174">
        <f>'[9]Data Cap04001'!G203</f>
        <v>1828</v>
      </c>
      <c r="L212" s="174">
        <f>'[9]Data Cap04001'!H203</f>
        <v>2860</v>
      </c>
      <c r="M212" s="174"/>
      <c r="N212" s="174">
        <f>'[9]Data Cap04001'!I203</f>
        <v>1590</v>
      </c>
      <c r="O212" s="176"/>
      <c r="Q212" s="177"/>
    </row>
    <row r="213" spans="1:17" x14ac:dyDescent="0.3">
      <c r="A213" s="179"/>
      <c r="B213" s="189" t="s">
        <v>2597</v>
      </c>
      <c r="C213" s="171" t="s">
        <v>2598</v>
      </c>
      <c r="D213" s="172">
        <f t="shared" si="14"/>
        <v>50171</v>
      </c>
      <c r="E213" s="173"/>
      <c r="F213" s="174">
        <f>'[9]Data Cap04001'!D204</f>
        <v>13418</v>
      </c>
      <c r="G213" s="174">
        <f>'[9]Data Cap04001'!E204</f>
        <v>9261</v>
      </c>
      <c r="H213" s="174"/>
      <c r="I213" s="174">
        <f>'[9]Data Cap04001'!F204</f>
        <v>5850</v>
      </c>
      <c r="J213" s="174"/>
      <c r="K213" s="174">
        <f>'[9]Data Cap04001'!G204</f>
        <v>5578</v>
      </c>
      <c r="L213" s="174">
        <f>'[9]Data Cap04001'!H204</f>
        <v>11591</v>
      </c>
      <c r="M213" s="174"/>
      <c r="N213" s="174">
        <f>'[9]Data Cap04001'!I204</f>
        <v>4473</v>
      </c>
      <c r="O213" s="176"/>
      <c r="Q213" s="177"/>
    </row>
    <row r="214" spans="1:17" x14ac:dyDescent="0.3">
      <c r="A214" s="179"/>
      <c r="B214" s="189" t="s">
        <v>2599</v>
      </c>
      <c r="C214" s="171" t="s">
        <v>2600</v>
      </c>
      <c r="D214" s="172">
        <f t="shared" si="14"/>
        <v>8250</v>
      </c>
      <c r="E214" s="173"/>
      <c r="F214" s="174">
        <f>'[9]Data Cap04001'!D205</f>
        <v>2347</v>
      </c>
      <c r="G214" s="174">
        <f>'[9]Data Cap04001'!E205</f>
        <v>828</v>
      </c>
      <c r="H214" s="174"/>
      <c r="I214" s="174">
        <f>'[9]Data Cap04001'!F205</f>
        <v>461</v>
      </c>
      <c r="J214" s="174"/>
      <c r="K214" s="174">
        <f>'[9]Data Cap04001'!G205</f>
        <v>1594</v>
      </c>
      <c r="L214" s="174">
        <f>'[9]Data Cap04001'!H205</f>
        <v>2075</v>
      </c>
      <c r="M214" s="174"/>
      <c r="N214" s="174">
        <f>'[9]Data Cap04001'!I205</f>
        <v>945</v>
      </c>
      <c r="O214" s="176"/>
      <c r="Q214" s="177"/>
    </row>
    <row r="215" spans="1:17" x14ac:dyDescent="0.3">
      <c r="A215" s="179"/>
      <c r="B215" s="189" t="s">
        <v>2601</v>
      </c>
      <c r="C215" s="171" t="s">
        <v>2602</v>
      </c>
      <c r="D215" s="172">
        <f t="shared" si="14"/>
        <v>10187</v>
      </c>
      <c r="E215" s="173"/>
      <c r="F215" s="174">
        <f>'[9]Data Cap04001'!D206</f>
        <v>2952</v>
      </c>
      <c r="G215" s="174">
        <f>'[9]Data Cap04001'!E206</f>
        <v>1069</v>
      </c>
      <c r="H215" s="174"/>
      <c r="I215" s="174">
        <f>'[9]Data Cap04001'!F206</f>
        <v>628</v>
      </c>
      <c r="J215" s="174"/>
      <c r="K215" s="174">
        <f>'[9]Data Cap04001'!G206</f>
        <v>2095</v>
      </c>
      <c r="L215" s="174">
        <f>'[9]Data Cap04001'!H206</f>
        <v>2661</v>
      </c>
      <c r="M215" s="174"/>
      <c r="N215" s="174">
        <f>'[9]Data Cap04001'!I206</f>
        <v>782</v>
      </c>
      <c r="O215" s="176"/>
      <c r="Q215" s="177"/>
    </row>
    <row r="216" spans="1:17" x14ac:dyDescent="0.3">
      <c r="A216" s="203"/>
      <c r="B216" s="197" t="s">
        <v>2603</v>
      </c>
      <c r="C216" s="183" t="s">
        <v>2604</v>
      </c>
      <c r="D216" s="172">
        <f>SUM(F216:N216)</f>
        <v>12196</v>
      </c>
      <c r="E216" s="184"/>
      <c r="F216" s="174">
        <f>'[9]Data Cap04001'!D207</f>
        <v>2282</v>
      </c>
      <c r="G216" s="174">
        <f>'[9]Data Cap04001'!E207</f>
        <v>884</v>
      </c>
      <c r="H216" s="192"/>
      <c r="I216" s="174">
        <f>'[9]Data Cap04001'!F207</f>
        <v>738</v>
      </c>
      <c r="J216" s="174"/>
      <c r="K216" s="174">
        <f>'[9]Data Cap04001'!G207</f>
        <v>2291</v>
      </c>
      <c r="L216" s="174">
        <f>'[9]Data Cap04001'!H207</f>
        <v>3848</v>
      </c>
      <c r="M216" s="174"/>
      <c r="N216" s="174">
        <f>'[9]Data Cap04001'!I207</f>
        <v>2153</v>
      </c>
      <c r="O216" s="186"/>
      <c r="Q216" s="177"/>
    </row>
    <row r="217" spans="1:17" x14ac:dyDescent="0.3">
      <c r="A217" s="199" t="s">
        <v>1416</v>
      </c>
      <c r="B217" s="200"/>
      <c r="C217" s="177" t="s">
        <v>2247</v>
      </c>
      <c r="D217" s="165">
        <f>SUM(F217:N217)</f>
        <v>204978</v>
      </c>
      <c r="E217" s="166"/>
      <c r="F217" s="167">
        <f>'[9]Data Cap04001'!D221</f>
        <v>51954</v>
      </c>
      <c r="G217" s="167">
        <f>'[9]Data Cap04001'!E221</f>
        <v>35861</v>
      </c>
      <c r="H217" s="167"/>
      <c r="I217" s="167">
        <f>'[9]Data Cap04001'!F221</f>
        <v>20770</v>
      </c>
      <c r="J217" s="167"/>
      <c r="K217" s="167">
        <f>'[9]Data Cap04001'!G221</f>
        <v>28267</v>
      </c>
      <c r="L217" s="167">
        <f>'[9]Data Cap04001'!H221</f>
        <v>43273</v>
      </c>
      <c r="M217" s="167"/>
      <c r="N217" s="167">
        <f>'[9]Data Cap04001'!I221</f>
        <v>24853</v>
      </c>
      <c r="O217" s="168"/>
      <c r="Q217" s="177"/>
    </row>
    <row r="218" spans="1:17" x14ac:dyDescent="0.3">
      <c r="A218" s="169"/>
      <c r="B218" s="189" t="s">
        <v>2605</v>
      </c>
      <c r="C218" s="177" t="s">
        <v>2606</v>
      </c>
      <c r="D218" s="172">
        <f>SUM(F218:N218)</f>
        <v>25488</v>
      </c>
      <c r="E218" s="173"/>
      <c r="F218" s="174">
        <f>'[9]Data Cap04001'!D209</f>
        <v>6260</v>
      </c>
      <c r="G218" s="174">
        <f>'[9]Data Cap04001'!E209</f>
        <v>4545</v>
      </c>
      <c r="H218" s="174"/>
      <c r="I218" s="174">
        <f>'[9]Data Cap04001'!F209</f>
        <v>2510</v>
      </c>
      <c r="J218" s="174"/>
      <c r="K218" s="174">
        <f>'[9]Data Cap04001'!G209</f>
        <v>3455</v>
      </c>
      <c r="L218" s="174">
        <f>'[9]Data Cap04001'!H209</f>
        <v>6007</v>
      </c>
      <c r="M218" s="174"/>
      <c r="N218" s="174">
        <f>'[9]Data Cap04001'!I209</f>
        <v>2711</v>
      </c>
      <c r="O218" s="176"/>
      <c r="Q218" s="177"/>
    </row>
    <row r="219" spans="1:17" x14ac:dyDescent="0.3">
      <c r="A219" s="179"/>
      <c r="B219" s="189" t="s">
        <v>2607</v>
      </c>
      <c r="C219" s="177" t="s">
        <v>2608</v>
      </c>
      <c r="D219" s="172">
        <f t="shared" ref="D219:D228" si="15">SUM(F219:N219)</f>
        <v>22463</v>
      </c>
      <c r="E219" s="173"/>
      <c r="F219" s="174">
        <f>'[9]Data Cap04001'!D210</f>
        <v>5534</v>
      </c>
      <c r="G219" s="174">
        <f>'[9]Data Cap04001'!E210</f>
        <v>3896</v>
      </c>
      <c r="H219" s="174"/>
      <c r="I219" s="174">
        <f>'[9]Data Cap04001'!F210</f>
        <v>3300</v>
      </c>
      <c r="J219" s="174"/>
      <c r="K219" s="174">
        <f>'[9]Data Cap04001'!G210</f>
        <v>2922</v>
      </c>
      <c r="L219" s="174">
        <f>'[9]Data Cap04001'!H210</f>
        <v>4197</v>
      </c>
      <c r="M219" s="174"/>
      <c r="N219" s="174">
        <f>'[9]Data Cap04001'!I210</f>
        <v>2614</v>
      </c>
      <c r="O219" s="176"/>
      <c r="Q219" s="177"/>
    </row>
    <row r="220" spans="1:17" x14ac:dyDescent="0.3">
      <c r="A220" s="179"/>
      <c r="B220" s="189" t="s">
        <v>2609</v>
      </c>
      <c r="C220" s="177" t="s">
        <v>2610</v>
      </c>
      <c r="D220" s="172">
        <f t="shared" si="15"/>
        <v>40564</v>
      </c>
      <c r="E220" s="173"/>
      <c r="F220" s="174">
        <f>'[9]Data Cap04001'!D211</f>
        <v>13280</v>
      </c>
      <c r="G220" s="174">
        <f>'[9]Data Cap04001'!E211</f>
        <v>7036</v>
      </c>
      <c r="H220" s="174"/>
      <c r="I220" s="174">
        <f>'[9]Data Cap04001'!F211</f>
        <v>2618</v>
      </c>
      <c r="J220" s="174"/>
      <c r="K220" s="174">
        <f>'[9]Data Cap04001'!G211</f>
        <v>6217</v>
      </c>
      <c r="L220" s="174">
        <f>'[9]Data Cap04001'!H211</f>
        <v>8071</v>
      </c>
      <c r="M220" s="174"/>
      <c r="N220" s="174">
        <f>'[9]Data Cap04001'!I211</f>
        <v>3342</v>
      </c>
      <c r="O220" s="176"/>
      <c r="Q220" s="177"/>
    </row>
    <row r="221" spans="1:17" x14ac:dyDescent="0.3">
      <c r="A221" s="179"/>
      <c r="B221" s="189" t="s">
        <v>2611</v>
      </c>
      <c r="C221" s="177" t="s">
        <v>2612</v>
      </c>
      <c r="D221" s="172">
        <f t="shared" si="15"/>
        <v>19358</v>
      </c>
      <c r="E221" s="173"/>
      <c r="F221" s="174">
        <f>'[9]Data Cap04001'!D212</f>
        <v>4346</v>
      </c>
      <c r="G221" s="174">
        <f>'[9]Data Cap04001'!E212</f>
        <v>3677</v>
      </c>
      <c r="H221" s="174"/>
      <c r="I221" s="174">
        <f>'[9]Data Cap04001'!F212</f>
        <v>2063</v>
      </c>
      <c r="J221" s="174"/>
      <c r="K221" s="174">
        <f>'[9]Data Cap04001'!G212</f>
        <v>2298</v>
      </c>
      <c r="L221" s="174">
        <f>'[9]Data Cap04001'!H212</f>
        <v>4074</v>
      </c>
      <c r="M221" s="174"/>
      <c r="N221" s="174">
        <f>'[9]Data Cap04001'!I212</f>
        <v>2900</v>
      </c>
      <c r="O221" s="176"/>
      <c r="Q221" s="177"/>
    </row>
    <row r="222" spans="1:17" x14ac:dyDescent="0.3">
      <c r="A222" s="179"/>
      <c r="B222" s="189" t="s">
        <v>2613</v>
      </c>
      <c r="C222" s="177" t="s">
        <v>2614</v>
      </c>
      <c r="D222" s="172">
        <f t="shared" si="15"/>
        <v>33497</v>
      </c>
      <c r="E222" s="173"/>
      <c r="F222" s="174">
        <f>'[9]Data Cap04001'!D213</f>
        <v>8505</v>
      </c>
      <c r="G222" s="174">
        <f>'[9]Data Cap04001'!E213</f>
        <v>4941</v>
      </c>
      <c r="H222" s="174"/>
      <c r="I222" s="174">
        <f>'[9]Data Cap04001'!F213</f>
        <v>3199</v>
      </c>
      <c r="J222" s="174"/>
      <c r="K222" s="174">
        <f>'[9]Data Cap04001'!G213</f>
        <v>5044</v>
      </c>
      <c r="L222" s="174">
        <f>'[9]Data Cap04001'!H213</f>
        <v>7232</v>
      </c>
      <c r="M222" s="174"/>
      <c r="N222" s="174">
        <f>'[9]Data Cap04001'!I213</f>
        <v>4576</v>
      </c>
      <c r="O222" s="176"/>
      <c r="Q222" s="177"/>
    </row>
    <row r="223" spans="1:17" x14ac:dyDescent="0.3">
      <c r="A223" s="179"/>
      <c r="B223" s="189" t="s">
        <v>2615</v>
      </c>
      <c r="C223" s="177" t="s">
        <v>2616</v>
      </c>
      <c r="D223" s="172">
        <f t="shared" si="15"/>
        <v>15199</v>
      </c>
      <c r="E223" s="173"/>
      <c r="F223" s="174">
        <f>'[9]Data Cap04001'!D214</f>
        <v>3320</v>
      </c>
      <c r="G223" s="174">
        <f>'[9]Data Cap04001'!E214</f>
        <v>2836</v>
      </c>
      <c r="H223" s="174"/>
      <c r="I223" s="174">
        <f>'[9]Data Cap04001'!F214</f>
        <v>1616</v>
      </c>
      <c r="J223" s="174"/>
      <c r="K223" s="174">
        <f>'[9]Data Cap04001'!G214</f>
        <v>1979</v>
      </c>
      <c r="L223" s="174">
        <f>'[9]Data Cap04001'!H214</f>
        <v>3182</v>
      </c>
      <c r="M223" s="174"/>
      <c r="N223" s="174">
        <f>'[9]Data Cap04001'!I214</f>
        <v>2266</v>
      </c>
      <c r="O223" s="176"/>
      <c r="Q223" s="177"/>
    </row>
    <row r="224" spans="1:17" x14ac:dyDescent="0.3">
      <c r="A224" s="179"/>
      <c r="B224" s="189" t="s">
        <v>2617</v>
      </c>
      <c r="C224" s="177" t="s">
        <v>2618</v>
      </c>
      <c r="D224" s="172">
        <f t="shared" si="15"/>
        <v>7241</v>
      </c>
      <c r="E224" s="173"/>
      <c r="F224" s="174">
        <f>'[9]Data Cap04001'!D215</f>
        <v>1637</v>
      </c>
      <c r="G224" s="174">
        <f>'[9]Data Cap04001'!E215</f>
        <v>1890</v>
      </c>
      <c r="H224" s="174"/>
      <c r="I224" s="174">
        <f>'[9]Data Cap04001'!F215</f>
        <v>648</v>
      </c>
      <c r="J224" s="174"/>
      <c r="K224" s="174">
        <f>'[9]Data Cap04001'!G215</f>
        <v>593</v>
      </c>
      <c r="L224" s="174">
        <f>'[9]Data Cap04001'!H215</f>
        <v>1072</v>
      </c>
      <c r="M224" s="174"/>
      <c r="N224" s="174">
        <f>'[9]Data Cap04001'!I215</f>
        <v>1401</v>
      </c>
      <c r="O224" s="176"/>
      <c r="Q224" s="177"/>
    </row>
    <row r="225" spans="1:17" x14ac:dyDescent="0.3">
      <c r="A225" s="179"/>
      <c r="B225" s="189" t="s">
        <v>2619</v>
      </c>
      <c r="C225" s="177" t="s">
        <v>2620</v>
      </c>
      <c r="D225" s="172">
        <f t="shared" si="15"/>
        <v>14027</v>
      </c>
      <c r="E225" s="173"/>
      <c r="F225" s="174">
        <f>'[9]Data Cap04001'!D216</f>
        <v>3177</v>
      </c>
      <c r="G225" s="174">
        <f>'[9]Data Cap04001'!E216</f>
        <v>1630</v>
      </c>
      <c r="H225" s="174"/>
      <c r="I225" s="174">
        <f>'[9]Data Cap04001'!F216</f>
        <v>1660</v>
      </c>
      <c r="J225" s="174"/>
      <c r="K225" s="174">
        <f>'[9]Data Cap04001'!G216</f>
        <v>1958</v>
      </c>
      <c r="L225" s="174">
        <f>'[9]Data Cap04001'!H216</f>
        <v>3308</v>
      </c>
      <c r="M225" s="174"/>
      <c r="N225" s="174">
        <f>'[9]Data Cap04001'!I216</f>
        <v>2294</v>
      </c>
      <c r="O225" s="176"/>
      <c r="Q225" s="177"/>
    </row>
    <row r="226" spans="1:17" x14ac:dyDescent="0.3">
      <c r="A226" s="179"/>
      <c r="B226" s="189" t="s">
        <v>2621</v>
      </c>
      <c r="C226" s="177" t="s">
        <v>2622</v>
      </c>
      <c r="D226" s="172">
        <f t="shared" si="15"/>
        <v>11318</v>
      </c>
      <c r="E226" s="173"/>
      <c r="F226" s="174">
        <f>'[9]Data Cap04001'!D217</f>
        <v>2839</v>
      </c>
      <c r="G226" s="174">
        <f>'[9]Data Cap04001'!E217</f>
        <v>2641</v>
      </c>
      <c r="H226" s="174"/>
      <c r="I226" s="174">
        <f>'[9]Data Cap04001'!F217</f>
        <v>1374</v>
      </c>
      <c r="J226" s="174"/>
      <c r="K226" s="174">
        <f>'[9]Data Cap04001'!G217</f>
        <v>1454</v>
      </c>
      <c r="L226" s="174">
        <f>'[9]Data Cap04001'!H217</f>
        <v>2200</v>
      </c>
      <c r="M226" s="174"/>
      <c r="N226" s="174">
        <f>'[9]Data Cap04001'!I217</f>
        <v>810</v>
      </c>
      <c r="O226" s="176"/>
      <c r="Q226" s="177"/>
    </row>
    <row r="227" spans="1:17" x14ac:dyDescent="0.3">
      <c r="A227" s="179"/>
      <c r="B227" s="189" t="s">
        <v>2623</v>
      </c>
      <c r="C227" s="177" t="s">
        <v>2624</v>
      </c>
      <c r="D227" s="172">
        <f t="shared" si="15"/>
        <v>8223</v>
      </c>
      <c r="E227" s="173"/>
      <c r="F227" s="174">
        <f>'[9]Data Cap04001'!D218</f>
        <v>1665</v>
      </c>
      <c r="G227" s="174">
        <f>'[9]Data Cap04001'!E218</f>
        <v>1303</v>
      </c>
      <c r="H227" s="174"/>
      <c r="I227" s="174">
        <f>'[9]Data Cap04001'!F218</f>
        <v>981</v>
      </c>
      <c r="J227" s="174"/>
      <c r="K227" s="174">
        <f>'[9]Data Cap04001'!G218</f>
        <v>1278</v>
      </c>
      <c r="L227" s="174">
        <f>'[9]Data Cap04001'!H218</f>
        <v>2020</v>
      </c>
      <c r="M227" s="174"/>
      <c r="N227" s="174">
        <f>'[9]Data Cap04001'!I218</f>
        <v>976</v>
      </c>
      <c r="O227" s="176"/>
      <c r="Q227" s="177"/>
    </row>
    <row r="228" spans="1:17" x14ac:dyDescent="0.3">
      <c r="A228" s="169"/>
      <c r="B228" s="189" t="s">
        <v>2625</v>
      </c>
      <c r="C228" s="177" t="s">
        <v>2626</v>
      </c>
      <c r="D228" s="172">
        <f t="shared" si="15"/>
        <v>4747</v>
      </c>
      <c r="E228" s="173"/>
      <c r="F228" s="174">
        <f>'[9]Data Cap04001'!D219</f>
        <v>991</v>
      </c>
      <c r="G228" s="174">
        <f>'[9]Data Cap04001'!E219</f>
        <v>228</v>
      </c>
      <c r="H228" s="174"/>
      <c r="I228" s="174">
        <f>'[9]Data Cap04001'!F219</f>
        <v>278</v>
      </c>
      <c r="J228" s="174"/>
      <c r="K228" s="174">
        <f>'[9]Data Cap04001'!G219</f>
        <v>1246</v>
      </c>
      <c r="L228" s="174">
        <f>'[9]Data Cap04001'!H219</f>
        <v>1273</v>
      </c>
      <c r="M228" s="174"/>
      <c r="N228" s="174">
        <f>'[9]Data Cap04001'!I219</f>
        <v>731</v>
      </c>
      <c r="O228" s="176"/>
      <c r="Q228" s="177"/>
    </row>
    <row r="229" spans="1:17" x14ac:dyDescent="0.3">
      <c r="A229" s="169"/>
      <c r="B229" s="189" t="s">
        <v>2627</v>
      </c>
      <c r="C229" s="177" t="s">
        <v>2628</v>
      </c>
      <c r="D229" s="172">
        <f t="shared" ref="D229:D236" si="16">SUM(F229:N229)</f>
        <v>7857</v>
      </c>
      <c r="E229" s="184"/>
      <c r="F229" s="174">
        <f>'[9]Data Cap04001'!D220</f>
        <v>1692</v>
      </c>
      <c r="G229" s="174">
        <f>'[9]Data Cap04001'!E220</f>
        <v>1529</v>
      </c>
      <c r="H229" s="174"/>
      <c r="I229" s="174">
        <f>'[9]Data Cap04001'!F220</f>
        <v>796</v>
      </c>
      <c r="J229" s="174"/>
      <c r="K229" s="174">
        <f>'[9]Data Cap04001'!G220</f>
        <v>1108</v>
      </c>
      <c r="L229" s="174">
        <f>'[9]Data Cap04001'!H220</f>
        <v>1853</v>
      </c>
      <c r="M229" s="174"/>
      <c r="N229" s="174">
        <f>'[9]Data Cap04001'!I220</f>
        <v>879</v>
      </c>
      <c r="O229" s="186"/>
      <c r="Q229" s="177"/>
    </row>
    <row r="230" spans="1:17" x14ac:dyDescent="0.3">
      <c r="A230" s="162" t="s">
        <v>2629</v>
      </c>
      <c r="B230" s="201"/>
      <c r="C230" s="193" t="s">
        <v>2247</v>
      </c>
      <c r="D230" s="204">
        <f t="shared" si="16"/>
        <v>222638</v>
      </c>
      <c r="E230" s="166"/>
      <c r="F230" s="167">
        <f>'[9]Data Cap04001'!D227</f>
        <v>54202</v>
      </c>
      <c r="G230" s="167">
        <f>'[9]Data Cap04001'!E227</f>
        <v>33270</v>
      </c>
      <c r="H230" s="167"/>
      <c r="I230" s="167">
        <f>'[9]Data Cap04001'!F227</f>
        <v>21334</v>
      </c>
      <c r="J230" s="167"/>
      <c r="K230" s="167">
        <f>'[9]Data Cap04001'!G227</f>
        <v>39001</v>
      </c>
      <c r="L230" s="167">
        <f>'[9]Data Cap04001'!H227</f>
        <v>58678</v>
      </c>
      <c r="M230" s="167"/>
      <c r="N230" s="167">
        <f>'[9]Data Cap04001'!I227</f>
        <v>16153</v>
      </c>
      <c r="O230" s="168"/>
      <c r="Q230" s="177"/>
    </row>
    <row r="231" spans="1:17" x14ac:dyDescent="0.3">
      <c r="A231" s="169"/>
      <c r="B231" s="189" t="s">
        <v>2630</v>
      </c>
      <c r="C231" s="171" t="s">
        <v>2631</v>
      </c>
      <c r="D231" s="172">
        <f t="shared" si="16"/>
        <v>82159</v>
      </c>
      <c r="E231" s="173"/>
      <c r="F231" s="174">
        <f>'[9]Data Cap04001'!D222</f>
        <v>20120</v>
      </c>
      <c r="G231" s="174">
        <f>'[9]Data Cap04001'!E222</f>
        <v>12840</v>
      </c>
      <c r="H231" s="174"/>
      <c r="I231" s="174">
        <f>'[9]Data Cap04001'!F222</f>
        <v>7101</v>
      </c>
      <c r="J231" s="174"/>
      <c r="K231" s="174">
        <f>'[9]Data Cap04001'!G222</f>
        <v>13913</v>
      </c>
      <c r="L231" s="174">
        <f>'[9]Data Cap04001'!H222</f>
        <v>21898</v>
      </c>
      <c r="M231" s="174"/>
      <c r="N231" s="174">
        <f>'[9]Data Cap04001'!I222</f>
        <v>6287</v>
      </c>
      <c r="O231" s="176"/>
      <c r="Q231" s="177"/>
    </row>
    <row r="232" spans="1:17" x14ac:dyDescent="0.3">
      <c r="A232" s="179"/>
      <c r="B232" s="189" t="s">
        <v>2632</v>
      </c>
      <c r="C232" s="171" t="s">
        <v>2633</v>
      </c>
      <c r="D232" s="172">
        <f t="shared" si="16"/>
        <v>69938</v>
      </c>
      <c r="E232" s="173"/>
      <c r="F232" s="174">
        <f>'[9]Data Cap04001'!D223</f>
        <v>18391</v>
      </c>
      <c r="G232" s="174">
        <f>'[9]Data Cap04001'!E223</f>
        <v>9821</v>
      </c>
      <c r="H232" s="174"/>
      <c r="I232" s="174">
        <f>'[9]Data Cap04001'!F223</f>
        <v>7393</v>
      </c>
      <c r="J232" s="174"/>
      <c r="K232" s="174">
        <f>'[9]Data Cap04001'!G223</f>
        <v>12749</v>
      </c>
      <c r="L232" s="174">
        <f>'[9]Data Cap04001'!H223</f>
        <v>17190</v>
      </c>
      <c r="M232" s="174"/>
      <c r="N232" s="174">
        <f>'[9]Data Cap04001'!I223</f>
        <v>4394</v>
      </c>
      <c r="O232" s="176"/>
      <c r="Q232" s="177"/>
    </row>
    <row r="233" spans="1:17" x14ac:dyDescent="0.3">
      <c r="A233" s="179"/>
      <c r="B233" s="189" t="s">
        <v>2634</v>
      </c>
      <c r="C233" s="171" t="s">
        <v>2635</v>
      </c>
      <c r="D233" s="172">
        <f t="shared" si="16"/>
        <v>48367</v>
      </c>
      <c r="E233" s="173"/>
      <c r="F233" s="174">
        <f>'[9]Data Cap04001'!D224</f>
        <v>10861</v>
      </c>
      <c r="G233" s="174">
        <f>'[9]Data Cap04001'!E224</f>
        <v>7474</v>
      </c>
      <c r="H233" s="174"/>
      <c r="I233" s="174">
        <f>'[9]Data Cap04001'!F224</f>
        <v>4836</v>
      </c>
      <c r="J233" s="174"/>
      <c r="K233" s="174">
        <f>'[9]Data Cap04001'!G224</f>
        <v>8409</v>
      </c>
      <c r="L233" s="174">
        <f>'[9]Data Cap04001'!H224</f>
        <v>13313</v>
      </c>
      <c r="M233" s="174"/>
      <c r="N233" s="174">
        <f>'[9]Data Cap04001'!I224</f>
        <v>3474</v>
      </c>
      <c r="O233" s="176"/>
      <c r="Q233" s="177"/>
    </row>
    <row r="234" spans="1:17" x14ac:dyDescent="0.3">
      <c r="A234" s="179"/>
      <c r="B234" s="189" t="s">
        <v>2636</v>
      </c>
      <c r="C234" s="171" t="s">
        <v>2637</v>
      </c>
      <c r="D234" s="172">
        <f t="shared" si="16"/>
        <v>19184</v>
      </c>
      <c r="E234" s="173"/>
      <c r="F234" s="174">
        <f>'[9]Data Cap04001'!D225</f>
        <v>4588</v>
      </c>
      <c r="G234" s="174">
        <f>'[9]Data Cap04001'!E225</f>
        <v>2850</v>
      </c>
      <c r="H234" s="174"/>
      <c r="I234" s="174">
        <f>'[9]Data Cap04001'!F225</f>
        <v>1826</v>
      </c>
      <c r="J234" s="174"/>
      <c r="K234" s="174">
        <f>'[9]Data Cap04001'!G225</f>
        <v>3378</v>
      </c>
      <c r="L234" s="174">
        <f>'[9]Data Cap04001'!H225</f>
        <v>5204</v>
      </c>
      <c r="M234" s="174"/>
      <c r="N234" s="174">
        <f>'[9]Data Cap04001'!I225</f>
        <v>1338</v>
      </c>
      <c r="O234" s="176"/>
      <c r="Q234" s="177"/>
    </row>
    <row r="235" spans="1:17" x14ac:dyDescent="0.3">
      <c r="A235" s="181"/>
      <c r="B235" s="197" t="s">
        <v>2638</v>
      </c>
      <c r="C235" s="183" t="s">
        <v>2639</v>
      </c>
      <c r="D235" s="205">
        <f t="shared" si="16"/>
        <v>9851</v>
      </c>
      <c r="E235" s="184"/>
      <c r="F235" s="174">
        <f>'[9]Data Cap04001'!D226</f>
        <v>1889</v>
      </c>
      <c r="G235" s="174">
        <f>'[9]Data Cap04001'!E226</f>
        <v>599</v>
      </c>
      <c r="H235" s="174"/>
      <c r="I235" s="174">
        <f>'[9]Data Cap04001'!F226</f>
        <v>581</v>
      </c>
      <c r="J235" s="174"/>
      <c r="K235" s="174">
        <f>'[9]Data Cap04001'!G226</f>
        <v>2150</v>
      </c>
      <c r="L235" s="174">
        <f>'[9]Data Cap04001'!H226</f>
        <v>3130</v>
      </c>
      <c r="M235" s="174"/>
      <c r="N235" s="174">
        <f>'[9]Data Cap04001'!I226</f>
        <v>1502</v>
      </c>
      <c r="O235" s="186"/>
      <c r="Q235" s="177"/>
    </row>
    <row r="236" spans="1:17" x14ac:dyDescent="0.3">
      <c r="A236" s="199" t="s">
        <v>1418</v>
      </c>
      <c r="B236" s="200"/>
      <c r="C236" s="177" t="s">
        <v>2247</v>
      </c>
      <c r="D236" s="194">
        <f t="shared" si="16"/>
        <v>44580</v>
      </c>
      <c r="E236" s="166"/>
      <c r="F236" s="167">
        <f>'[9]Data Cap04001'!D231</f>
        <v>11702</v>
      </c>
      <c r="G236" s="167">
        <f>'[9]Data Cap04001'!E231</f>
        <v>5179</v>
      </c>
      <c r="H236" s="167"/>
      <c r="I236" s="167">
        <f>'[9]Data Cap04001'!F231</f>
        <v>2633</v>
      </c>
      <c r="J236" s="167"/>
      <c r="K236" s="167">
        <f>'[9]Data Cap04001'!G231</f>
        <v>7882</v>
      </c>
      <c r="L236" s="167">
        <f>'[9]Data Cap04001'!H231</f>
        <v>11874</v>
      </c>
      <c r="M236" s="167"/>
      <c r="N236" s="167">
        <f>'[9]Data Cap04001'!I231</f>
        <v>5310</v>
      </c>
      <c r="O236" s="168"/>
      <c r="Q236" s="177"/>
    </row>
    <row r="237" spans="1:17" x14ac:dyDescent="0.3">
      <c r="A237" s="199"/>
      <c r="B237" s="200" t="s">
        <v>2640</v>
      </c>
      <c r="C237" s="177" t="s">
        <v>2641</v>
      </c>
      <c r="D237" s="172">
        <f t="shared" ref="D237:D247" si="17">SUM(F237:N237)</f>
        <v>41546</v>
      </c>
      <c r="E237" s="173"/>
      <c r="F237" s="174">
        <f>'[9]Data Cap04001'!D228</f>
        <v>11324</v>
      </c>
      <c r="G237" s="174">
        <f>'[9]Data Cap04001'!E228</f>
        <v>4963</v>
      </c>
      <c r="H237" s="174"/>
      <c r="I237" s="174">
        <f>'[9]Data Cap04001'!F228</f>
        <v>2474</v>
      </c>
      <c r="J237" s="174"/>
      <c r="K237" s="174">
        <f>'[9]Data Cap04001'!G228</f>
        <v>7300</v>
      </c>
      <c r="L237" s="174">
        <f>'[9]Data Cap04001'!H228</f>
        <v>10803</v>
      </c>
      <c r="M237" s="174"/>
      <c r="N237" s="174">
        <f>'[9]Data Cap04001'!I228</f>
        <v>4682</v>
      </c>
      <c r="O237" s="176"/>
      <c r="Q237" s="177"/>
    </row>
    <row r="238" spans="1:17" x14ac:dyDescent="0.3">
      <c r="A238" s="199"/>
      <c r="B238" s="200" t="s">
        <v>2642</v>
      </c>
      <c r="C238" s="177" t="s">
        <v>2643</v>
      </c>
      <c r="D238" s="172">
        <f t="shared" si="17"/>
        <v>7849</v>
      </c>
      <c r="E238" s="173"/>
      <c r="F238" s="174">
        <f>'[9]Data Cap04001'!D229</f>
        <v>1676</v>
      </c>
      <c r="G238" s="174">
        <f>'[9]Data Cap04001'!E229</f>
        <v>407</v>
      </c>
      <c r="H238" s="174"/>
      <c r="I238" s="174">
        <f>'[9]Data Cap04001'!F229</f>
        <v>346</v>
      </c>
      <c r="J238" s="174"/>
      <c r="K238" s="174">
        <f>'[9]Data Cap04001'!G229</f>
        <v>1590</v>
      </c>
      <c r="L238" s="174">
        <f>'[9]Data Cap04001'!H229</f>
        <v>2441</v>
      </c>
      <c r="M238" s="174"/>
      <c r="N238" s="174">
        <f>'[9]Data Cap04001'!I229</f>
        <v>1389</v>
      </c>
      <c r="O238" s="176"/>
      <c r="Q238" s="177"/>
    </row>
    <row r="239" spans="1:17" x14ac:dyDescent="0.3">
      <c r="A239" s="169"/>
      <c r="B239" s="189"/>
      <c r="C239" s="177" t="s">
        <v>2644</v>
      </c>
      <c r="D239" s="172">
        <f t="shared" si="17"/>
        <v>0</v>
      </c>
      <c r="E239" s="184"/>
      <c r="F239" s="174"/>
      <c r="G239" s="174"/>
      <c r="H239" s="174"/>
      <c r="I239" s="174"/>
      <c r="J239" s="174"/>
      <c r="K239" s="174"/>
      <c r="L239" s="174"/>
      <c r="M239" s="174"/>
      <c r="N239" s="174"/>
      <c r="O239" s="186"/>
      <c r="Q239" s="177"/>
    </row>
    <row r="240" spans="1:17" x14ac:dyDescent="0.3">
      <c r="A240" s="162" t="s">
        <v>1419</v>
      </c>
      <c r="B240" s="201"/>
      <c r="C240" s="193" t="s">
        <v>2247</v>
      </c>
      <c r="D240" s="165">
        <f>SUM(F240:N240)</f>
        <v>54081</v>
      </c>
      <c r="E240" s="166"/>
      <c r="F240" s="167">
        <f>'[9]Data Cap04001'!D234</f>
        <v>11641</v>
      </c>
      <c r="G240" s="167">
        <f>'[9]Data Cap04001'!E234</f>
        <v>6640</v>
      </c>
      <c r="H240" s="167"/>
      <c r="I240" s="167">
        <f>'[9]Data Cap04001'!F234</f>
        <v>3841</v>
      </c>
      <c r="J240" s="167"/>
      <c r="K240" s="167">
        <f>'[9]Data Cap04001'!G234</f>
        <v>10864</v>
      </c>
      <c r="L240" s="167">
        <f>'[9]Data Cap04001'!H234</f>
        <v>15969</v>
      </c>
      <c r="M240" s="167"/>
      <c r="N240" s="167">
        <f>'[9]Data Cap04001'!I234</f>
        <v>5126</v>
      </c>
      <c r="O240" s="168"/>
      <c r="Q240" s="177"/>
    </row>
    <row r="241" spans="1:17" x14ac:dyDescent="0.3">
      <c r="A241" s="169"/>
      <c r="B241" s="189" t="s">
        <v>2645</v>
      </c>
      <c r="C241" s="171" t="s">
        <v>2646</v>
      </c>
      <c r="D241" s="172">
        <f t="shared" si="17"/>
        <v>50838</v>
      </c>
      <c r="E241" s="173"/>
      <c r="F241" s="174">
        <f>'[9]Data Cap04001'!D232</f>
        <v>11240</v>
      </c>
      <c r="G241" s="174">
        <f>'[9]Data Cap04001'!E232</f>
        <v>6265</v>
      </c>
      <c r="H241" s="174"/>
      <c r="I241" s="174">
        <f>'[9]Data Cap04001'!F232</f>
        <v>3605</v>
      </c>
      <c r="J241" s="174"/>
      <c r="K241" s="174">
        <f>'[9]Data Cap04001'!G232</f>
        <v>10251</v>
      </c>
      <c r="L241" s="174">
        <f>'[9]Data Cap04001'!H232</f>
        <v>14939</v>
      </c>
      <c r="M241" s="174"/>
      <c r="N241" s="174">
        <f>'[9]Data Cap04001'!I232</f>
        <v>4538</v>
      </c>
      <c r="O241" s="176"/>
      <c r="Q241" s="177"/>
    </row>
    <row r="242" spans="1:17" x14ac:dyDescent="0.3">
      <c r="A242" s="181"/>
      <c r="B242" s="197" t="s">
        <v>2647</v>
      </c>
      <c r="C242" s="183" t="s">
        <v>2648</v>
      </c>
      <c r="D242" s="172">
        <f t="shared" si="17"/>
        <v>10997</v>
      </c>
      <c r="E242" s="184"/>
      <c r="F242" s="174">
        <f>'[9]Data Cap04001'!D233</f>
        <v>1939</v>
      </c>
      <c r="G242" s="174">
        <f>'[9]Data Cap04001'!E233</f>
        <v>944</v>
      </c>
      <c r="H242" s="192"/>
      <c r="I242" s="174">
        <f>'[9]Data Cap04001'!F233</f>
        <v>699</v>
      </c>
      <c r="J242" s="174"/>
      <c r="K242" s="174">
        <f>'[9]Data Cap04001'!G233</f>
        <v>2088</v>
      </c>
      <c r="L242" s="174">
        <f>'[9]Data Cap04001'!H233</f>
        <v>3528</v>
      </c>
      <c r="M242" s="174"/>
      <c r="N242" s="174">
        <f>'[9]Data Cap04001'!I233</f>
        <v>1799</v>
      </c>
      <c r="O242" s="186"/>
      <c r="Q242" s="177"/>
    </row>
    <row r="243" spans="1:17" x14ac:dyDescent="0.3">
      <c r="A243" s="162" t="s">
        <v>1420</v>
      </c>
      <c r="B243" s="201"/>
      <c r="C243" s="206" t="s">
        <v>2247</v>
      </c>
      <c r="D243" s="165">
        <f>SUM(F243:N243)</f>
        <v>109449</v>
      </c>
      <c r="E243" s="166"/>
      <c r="F243" s="167">
        <f>'[9]Data Cap04001'!D240</f>
        <v>29597</v>
      </c>
      <c r="G243" s="167">
        <f>'[9]Data Cap04001'!E240</f>
        <v>16377</v>
      </c>
      <c r="H243" s="167"/>
      <c r="I243" s="167">
        <f>'[9]Data Cap04001'!F240</f>
        <v>9392</v>
      </c>
      <c r="J243" s="167"/>
      <c r="K243" s="167">
        <f>'[9]Data Cap04001'!G240</f>
        <v>21130</v>
      </c>
      <c r="L243" s="167">
        <f>'[9]Data Cap04001'!H240</f>
        <v>25185</v>
      </c>
      <c r="M243" s="167"/>
      <c r="N243" s="167">
        <f>'[9]Data Cap04001'!I240</f>
        <v>7768</v>
      </c>
      <c r="O243" s="168"/>
      <c r="Q243" s="177"/>
    </row>
    <row r="244" spans="1:17" x14ac:dyDescent="0.3">
      <c r="A244" s="169"/>
      <c r="B244" s="189" t="s">
        <v>2649</v>
      </c>
      <c r="C244" s="177" t="s">
        <v>2650</v>
      </c>
      <c r="D244" s="172">
        <f t="shared" si="17"/>
        <v>75665</v>
      </c>
      <c r="E244" s="173"/>
      <c r="F244" s="174">
        <f>'[9]Data Cap04001'!D235</f>
        <v>21591</v>
      </c>
      <c r="G244" s="174">
        <f>'[9]Data Cap04001'!E235</f>
        <v>11011</v>
      </c>
      <c r="H244" s="174"/>
      <c r="I244" s="174">
        <f>'[9]Data Cap04001'!F235</f>
        <v>6283</v>
      </c>
      <c r="J244" s="174"/>
      <c r="K244" s="174">
        <f>'[9]Data Cap04001'!G235</f>
        <v>14628</v>
      </c>
      <c r="L244" s="174">
        <f>'[9]Data Cap04001'!H235</f>
        <v>16916</v>
      </c>
      <c r="M244" s="174"/>
      <c r="N244" s="174">
        <f>'[9]Data Cap04001'!I235</f>
        <v>5236</v>
      </c>
      <c r="O244" s="176"/>
      <c r="Q244" s="177"/>
    </row>
    <row r="245" spans="1:17" x14ac:dyDescent="0.3">
      <c r="A245" s="169"/>
      <c r="B245" s="189" t="s">
        <v>2651</v>
      </c>
      <c r="C245" s="177" t="s">
        <v>2652</v>
      </c>
      <c r="D245" s="172">
        <f t="shared" si="17"/>
        <v>9019</v>
      </c>
      <c r="E245" s="173"/>
      <c r="F245" s="174">
        <f>'[9]Data Cap04001'!D236</f>
        <v>2121</v>
      </c>
      <c r="G245" s="174">
        <f>'[9]Data Cap04001'!E236</f>
        <v>548</v>
      </c>
      <c r="H245" s="174"/>
      <c r="I245" s="174">
        <f>'[9]Data Cap04001'!F236</f>
        <v>586</v>
      </c>
      <c r="J245" s="174"/>
      <c r="K245" s="174">
        <f>'[9]Data Cap04001'!G236</f>
        <v>2017</v>
      </c>
      <c r="L245" s="174">
        <f>'[9]Data Cap04001'!H236</f>
        <v>2457</v>
      </c>
      <c r="M245" s="174"/>
      <c r="N245" s="174">
        <f>'[9]Data Cap04001'!I236</f>
        <v>1290</v>
      </c>
      <c r="O245" s="176"/>
      <c r="Q245" s="177"/>
    </row>
    <row r="246" spans="1:17" x14ac:dyDescent="0.3">
      <c r="A246" s="169"/>
      <c r="B246" s="189" t="s">
        <v>2653</v>
      </c>
      <c r="C246" s="177" t="s">
        <v>2654</v>
      </c>
      <c r="D246" s="172">
        <f t="shared" si="17"/>
        <v>9059</v>
      </c>
      <c r="E246" s="173"/>
      <c r="F246" s="174">
        <f>'[9]Data Cap04001'!D237</f>
        <v>2255</v>
      </c>
      <c r="G246" s="174">
        <f>'[9]Data Cap04001'!E237</f>
        <v>567</v>
      </c>
      <c r="H246" s="174"/>
      <c r="I246" s="174">
        <f>'[9]Data Cap04001'!F237</f>
        <v>606</v>
      </c>
      <c r="J246" s="174"/>
      <c r="K246" s="174">
        <f>'[9]Data Cap04001'!G237</f>
        <v>1955</v>
      </c>
      <c r="L246" s="174">
        <f>'[9]Data Cap04001'!H237</f>
        <v>2451</v>
      </c>
      <c r="M246" s="174"/>
      <c r="N246" s="174">
        <f>'[9]Data Cap04001'!I237</f>
        <v>1225</v>
      </c>
      <c r="O246" s="176"/>
      <c r="Q246" s="177"/>
    </row>
    <row r="247" spans="1:17" x14ac:dyDescent="0.3">
      <c r="A247" s="179"/>
      <c r="B247" s="189" t="s">
        <v>2655</v>
      </c>
      <c r="C247" s="177" t="s">
        <v>2656</v>
      </c>
      <c r="D247" s="172">
        <f t="shared" si="17"/>
        <v>14616</v>
      </c>
      <c r="E247" s="173"/>
      <c r="F247" s="174">
        <f>'[9]Data Cap04001'!D238</f>
        <v>3613</v>
      </c>
      <c r="G247" s="174">
        <f>'[9]Data Cap04001'!E238</f>
        <v>3016</v>
      </c>
      <c r="H247" s="174"/>
      <c r="I247" s="174">
        <f>'[9]Data Cap04001'!F238</f>
        <v>1602</v>
      </c>
      <c r="J247" s="174"/>
      <c r="K247" s="174">
        <f>'[9]Data Cap04001'!G238</f>
        <v>2569</v>
      </c>
      <c r="L247" s="174">
        <f>'[9]Data Cap04001'!H238</f>
        <v>3080</v>
      </c>
      <c r="M247" s="174"/>
      <c r="N247" s="174">
        <f>'[9]Data Cap04001'!I238</f>
        <v>736</v>
      </c>
      <c r="O247" s="176"/>
      <c r="Q247" s="177"/>
    </row>
    <row r="248" spans="1:17" x14ac:dyDescent="0.3">
      <c r="A248" s="181"/>
      <c r="B248" s="197" t="s">
        <v>2657</v>
      </c>
      <c r="C248" s="207" t="s">
        <v>2658</v>
      </c>
      <c r="D248" s="191">
        <f>SUM(F248:N248)</f>
        <v>11352</v>
      </c>
      <c r="E248" s="184"/>
      <c r="F248" s="192">
        <f>'[9]Data Cap04001'!D239</f>
        <v>2800</v>
      </c>
      <c r="G248" s="192">
        <f>'[9]Data Cap04001'!E239</f>
        <v>1695</v>
      </c>
      <c r="H248" s="192"/>
      <c r="I248" s="192">
        <f>'[9]Data Cap04001'!F239</f>
        <v>984</v>
      </c>
      <c r="J248" s="192"/>
      <c r="K248" s="192">
        <f>'[9]Data Cap04001'!G239</f>
        <v>2369</v>
      </c>
      <c r="L248" s="192">
        <f>'[9]Data Cap04001'!H239</f>
        <v>2946</v>
      </c>
      <c r="M248" s="192"/>
      <c r="N248" s="192">
        <f>'[9]Data Cap04001'!I239</f>
        <v>558</v>
      </c>
      <c r="O248" s="186"/>
      <c r="Q248" s="177"/>
    </row>
    <row r="250" spans="1:17" x14ac:dyDescent="0.3">
      <c r="A250" s="4280" t="s">
        <v>2659</v>
      </c>
      <c r="B250" s="4280"/>
      <c r="C250" s="4280"/>
      <c r="D250" s="4280"/>
      <c r="E250" s="4280"/>
      <c r="F250" s="4280"/>
      <c r="G250" s="4280"/>
      <c r="H250" s="4280"/>
      <c r="I250" s="4280"/>
      <c r="J250" s="4280"/>
      <c r="K250" s="4280"/>
      <c r="L250" s="4280"/>
      <c r="M250" s="4280"/>
      <c r="N250" s="4280"/>
      <c r="O250" s="208"/>
    </row>
    <row r="251" spans="1:17" x14ac:dyDescent="0.3">
      <c r="A251" s="209" t="s">
        <v>2660</v>
      </c>
      <c r="B251" s="161"/>
      <c r="C251" s="210"/>
      <c r="D251" s="211"/>
      <c r="E251" s="211"/>
      <c r="F251" s="211"/>
      <c r="G251" s="212"/>
      <c r="H251" s="212"/>
      <c r="I251" s="212"/>
      <c r="J251" s="212"/>
      <c r="K251" s="212"/>
      <c r="L251" s="210"/>
      <c r="M251" s="210"/>
      <c r="N251" s="210"/>
      <c r="O251" s="210"/>
    </row>
    <row r="252" spans="1:17" x14ac:dyDescent="0.3">
      <c r="A252" s="4281" t="s">
        <v>2661</v>
      </c>
      <c r="B252" s="4281"/>
      <c r="C252" s="4281"/>
      <c r="D252" s="4281"/>
      <c r="E252" s="4281"/>
      <c r="F252" s="4281"/>
      <c r="G252" s="4281"/>
      <c r="H252" s="4281"/>
      <c r="I252" s="4281"/>
      <c r="J252" s="4281"/>
      <c r="K252" s="4281"/>
      <c r="L252" s="4281"/>
      <c r="M252" s="4281"/>
      <c r="N252" s="4281"/>
      <c r="O252" s="4281"/>
    </row>
    <row r="253" spans="1:17" x14ac:dyDescent="0.3">
      <c r="A253" s="4282" t="s">
        <v>2662</v>
      </c>
      <c r="B253" s="4282"/>
      <c r="C253" s="4282"/>
      <c r="D253" s="4282"/>
      <c r="E253" s="4282"/>
      <c r="F253" s="4282"/>
      <c r="G253" s="4282"/>
      <c r="H253" s="4282"/>
      <c r="I253" s="4282"/>
      <c r="J253" s="4282"/>
      <c r="K253" s="4282"/>
      <c r="L253" s="4282"/>
      <c r="M253" s="4282"/>
      <c r="N253" s="4282"/>
      <c r="O253" s="4282"/>
    </row>
    <row r="254" spans="1:17" x14ac:dyDescent="0.3">
      <c r="A254" s="213"/>
      <c r="B254" s="213"/>
      <c r="C254" s="210"/>
      <c r="D254" s="210"/>
      <c r="E254" s="210"/>
      <c r="F254" s="210"/>
      <c r="G254" s="210"/>
      <c r="H254" s="210"/>
      <c r="I254" s="210"/>
      <c r="J254" s="210"/>
      <c r="K254" s="210"/>
      <c r="L254" s="210"/>
      <c r="M254" s="210"/>
      <c r="N254" s="210"/>
      <c r="O254" s="210"/>
    </row>
  </sheetData>
  <mergeCells count="16">
    <mergeCell ref="A250:N250"/>
    <mergeCell ref="A252:O252"/>
    <mergeCell ref="A253:O253"/>
    <mergeCell ref="U29:V30"/>
    <mergeCell ref="A1:N1"/>
    <mergeCell ref="A2:N2"/>
    <mergeCell ref="A3:O3"/>
    <mergeCell ref="A4:O4"/>
    <mergeCell ref="A5:N5"/>
    <mergeCell ref="A6:B8"/>
    <mergeCell ref="C6:C8"/>
    <mergeCell ref="D6:D8"/>
    <mergeCell ref="F6:G7"/>
    <mergeCell ref="I6:I7"/>
    <mergeCell ref="K6:L7"/>
    <mergeCell ref="N6:N7"/>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4BEAE2B9-A945-4185-8FFD-86C3B773B2EF}">
            <xm:f>MATCH('C:\Users\ORPI_752\Downloads\[BoletinEstadistico_2017_05.xlsx]Data Cap04001'!#REF!,$B$11:$B$248,0)&gt;0</xm:f>
            <x14:dxf/>
          </x14:cfRule>
          <x14:cfRule type="expression" priority="2" id="{3DC900BE-8EEA-46A2-A1A6-6E578A7E4A51}">
            <xm:f>MATCH('C:\Users\ORPI_752\Downloads\[BoletinEstadistico_2017_05.xlsx]Data Cap04001'!#REF!,$B$11:$B$248,0)&gt;0</xm:f>
            <x14:dxf/>
          </x14:cfRule>
          <xm:sqref>A105:A111 A72:A74</xm:sqref>
        </x14:conditionalFormatting>
        <x14:conditionalFormatting xmlns:xm="http://schemas.microsoft.com/office/excel/2006/main">
          <x14:cfRule type="expression" priority="3" id="{9E9D1778-C597-4D46-92F1-DEFB038130DC}">
            <xm:f>MATCH('C:\Users\ORPI_752\Downloads\[BoletinEstadistico_2017_05.xlsx]Data Cap04001'!#REF!,$B$11:$B$248,0)&gt;0</xm:f>
            <x14:dxf/>
          </x14:cfRule>
          <x14:cfRule type="expression" priority="4" id="{7BD2AB55-E23A-4E8C-99DA-AB27F39E65DF}">
            <xm:f>MATCH('C:\Users\ORPI_752\Downloads\[BoletinEstadistico_2017_05.xlsx]Data Cap04001'!#REF!,$B$11:$B$248,0)&gt;0</xm:f>
            <x14:dxf/>
          </x14:cfRule>
          <xm:sqref>A112 A75 A84:A88</xm:sqref>
        </x14:conditionalFormatting>
        <x14:conditionalFormatting xmlns:xm="http://schemas.microsoft.com/office/excel/2006/main">
          <x14:cfRule type="expression" priority="5" id="{87EB12F6-4366-4949-A117-2FC0EA193E73}">
            <xm:f>MATCH('C:\Users\ORPI_752\Downloads\[BoletinEstadistico_2017_05.xlsx]Data Cap04001'!#REF!,$B$11:$B$248,0)&gt;0</xm:f>
            <x14:dxf/>
          </x14:cfRule>
          <x14:cfRule type="expression" priority="6" id="{C09DED31-59CE-4A04-99B9-C847E98A6CC5}">
            <xm:f>MATCH('C:\Users\ORPI_752\Downloads\[BoletinEstadistico_2017_05.xlsx]Data Cap04001'!#REF!,$B$11:$B$248,0)&gt;0</xm:f>
            <x14:dxf/>
          </x14:cfRule>
          <xm:sqref>A113:A121 A76:A83</xm:sqref>
        </x14:conditionalFormatting>
        <x14:conditionalFormatting xmlns:xm="http://schemas.microsoft.com/office/excel/2006/main">
          <x14:cfRule type="expression" priority="7" id="{BD097F6A-0AF8-48EA-8411-206CDCF6AD4D}">
            <xm:f>MATCH('C:\Users\ORPI_752\Downloads\[BoletinEstadistico_2017_05.xlsx]Data Cap04001'!#REF!,$B$11:$B$248,0)&gt;0</xm:f>
            <x14:dxf/>
          </x14:cfRule>
          <x14:cfRule type="expression" priority="8" id="{825EC8EC-9B14-476C-92BC-1CE663032AF1}">
            <xm:f>MATCH('C:\Users\ORPI_752\Downloads\[BoletinEstadistico_2017_05.xlsx]Data Cap04001'!#REF!,$B$11:$B$248,0)&gt;0</xm:f>
            <x14:dxf/>
          </x14:cfRule>
          <xm:sqref>A122:A124</xm:sqref>
        </x14:conditionalFormatting>
        <x14:conditionalFormatting xmlns:xm="http://schemas.microsoft.com/office/excel/2006/main">
          <x14:cfRule type="expression" priority="9" id="{76FE5394-F8D1-4E8C-96AB-735AF4EA93BD}">
            <xm:f>MATCH('C:\Users\ORPI_752\Downloads\[BoletinEstadistico_2017_05.xlsx]Data Cap04001'!#REF!,$B$11:$B$248,0)&gt;0</xm:f>
            <x14:dxf/>
          </x14:cfRule>
          <x14:cfRule type="expression" priority="10" id="{FC120FFA-46B9-46FA-84A1-12536BECFAC6}">
            <xm:f>MATCH('C:\Users\ORPI_752\Downloads\[BoletinEstadistico_2017_05.xlsx]Data Cap04001'!#REF!,$B$11:$B$248,0)&gt;0</xm:f>
            <x14:dxf/>
          </x14:cfRule>
          <xm:sqref>A125:A133</xm:sqref>
        </x14:conditionalFormatting>
        <x14:conditionalFormatting xmlns:xm="http://schemas.microsoft.com/office/excel/2006/main">
          <x14:cfRule type="expression" priority="11" id="{3ED9A843-ACC8-4062-9875-680D77096EFC}">
            <xm:f>MATCH('C:\Users\ORPI_752\Downloads\[BoletinEstadistico_2017_05.xlsx]Data Cap04001'!#REF!,$B$11:$B$248,0)&gt;0</xm:f>
            <x14:dxf/>
          </x14:cfRule>
          <x14:cfRule type="expression" priority="12" id="{CA9F9564-AE9D-4CC4-AD37-0F522E93A4D4}">
            <xm:f>MATCH('C:\Users\ORPI_752\Downloads\[BoletinEstadistico_2017_05.xlsx]Data Cap04001'!#REF!,$B$11:$B$248,0)&gt;0</xm:f>
            <x14:dxf/>
          </x14:cfRule>
          <xm:sqref>A134:A140</xm:sqref>
        </x14:conditionalFormatting>
        <x14:conditionalFormatting xmlns:xm="http://schemas.microsoft.com/office/excel/2006/main">
          <x14:cfRule type="expression" priority="13" id="{EF14CC47-9629-4063-8536-F4F468A55CA5}">
            <xm:f>MATCH('C:\Users\ORPI_752\Downloads\[BoletinEstadistico_2017_05.xlsx]Data Cap04001'!#REF!,$B$11:$B$248,0)&gt;0</xm:f>
            <x14:dxf/>
          </x14:cfRule>
          <x14:cfRule type="expression" priority="14" id="{C6CBC8D4-59E8-418D-A75D-A5310DF5160B}">
            <xm:f>MATCH('C:\Users\ORPI_752\Downloads\[BoletinEstadistico_2017_05.xlsx]Data Cap04001'!#REF!,$B$11:$B$248,0)&gt;0</xm:f>
            <x14:dxf/>
          </x14:cfRule>
          <xm:sqref>A141:A154</xm:sqref>
        </x14:conditionalFormatting>
        <x14:conditionalFormatting xmlns:xm="http://schemas.microsoft.com/office/excel/2006/main">
          <x14:cfRule type="expression" priority="15" id="{7EAC6E69-E37E-46D8-AF54-E0208B691A8A}">
            <xm:f>MATCH('C:\Users\ORPI_752\Downloads\[BoletinEstadistico_2017_05.xlsx]Data Cap04001'!#REF!,$B$11:$B$248,0)&gt;0</xm:f>
            <x14:dxf/>
          </x14:cfRule>
          <x14:cfRule type="expression" priority="16" id="{56C19CFD-45D5-4669-8188-4737E3FACCC4}">
            <xm:f>MATCH('C:\Users\ORPI_752\Downloads\[BoletinEstadistico_2017_05.xlsx]Data Cap04001'!#REF!,$B$11:$B$248,0)&gt;0</xm:f>
            <x14:dxf/>
          </x14:cfRule>
          <xm:sqref>A163</xm:sqref>
        </x14:conditionalFormatting>
        <x14:conditionalFormatting xmlns:xm="http://schemas.microsoft.com/office/excel/2006/main">
          <x14:cfRule type="expression" priority="17" id="{7CC871C2-519F-4233-9066-74A782A87E99}">
            <xm:f>MATCH('C:\Users\ORPI_752\Downloads\[BoletinEstadistico_2017_05.xlsx]Data Cap04001'!#REF!,$B$11:$B$248,0)&gt;0</xm:f>
            <x14:dxf/>
          </x14:cfRule>
          <x14:cfRule type="expression" priority="18" id="{A7497102-3014-4A01-908E-AEABD5B7BD3F}">
            <xm:f>MATCH('C:\Users\ORPI_752\Downloads\[BoletinEstadistico_2017_05.xlsx]Data Cap04001'!#REF!,$B$11:$B$248,0)&gt;0</xm:f>
            <x14:dxf/>
          </x14:cfRule>
          <xm:sqref>A162</xm:sqref>
        </x14:conditionalFormatting>
        <x14:conditionalFormatting xmlns:xm="http://schemas.microsoft.com/office/excel/2006/main">
          <x14:cfRule type="expression" priority="19" id="{6182B4BF-79AB-430A-946E-9962E682C0A2}">
            <xm:f>MATCH('C:\Users\ORPI_752\Downloads\[BoletinEstadistico_2017_05.xlsx]Data Cap04001'!#REF!,$B$11:$B$248,0)&gt;0</xm:f>
            <x14:dxf/>
          </x14:cfRule>
          <x14:cfRule type="expression" priority="20" id="{7BF62456-5A39-49BA-BCEA-5EA96B849F3D}">
            <xm:f>MATCH('C:\Users\ORPI_752\Downloads\[BoletinEstadistico_2017_05.xlsx]Data Cap04001'!#REF!,$B$11:$B$248,0)&gt;0</xm:f>
            <x14:dxf/>
          </x14:cfRule>
          <xm:sqref>A161</xm:sqref>
        </x14:conditionalFormatting>
        <x14:conditionalFormatting xmlns:xm="http://schemas.microsoft.com/office/excel/2006/main">
          <x14:cfRule type="expression" priority="21" id="{A138CB15-5A74-43B7-AC04-C680413AB2B4}">
            <xm:f>MATCH('C:\Users\ORPI_752\Downloads\[BoletinEstadistico_2017_05.xlsx]Data Cap04001'!#REF!,$B$11:$B$248,0)&gt;0</xm:f>
            <x14:dxf/>
          </x14:cfRule>
          <x14:cfRule type="expression" priority="22" id="{290AEA5D-4A6D-44D6-A1FF-36A24D57EEE9}">
            <xm:f>MATCH('C:\Users\ORPI_752\Downloads\[BoletinEstadistico_2017_05.xlsx]Data Cap04001'!#REF!,$B$11:$B$248,0)&gt;0</xm:f>
            <x14:dxf/>
          </x14:cfRule>
          <xm:sqref>A160</xm:sqref>
        </x14:conditionalFormatting>
        <x14:conditionalFormatting xmlns:xm="http://schemas.microsoft.com/office/excel/2006/main">
          <x14:cfRule type="expression" priority="23" id="{EF4972D3-42D2-4736-B43A-7ED873B1A79A}">
            <xm:f>MATCH('C:\Users\ORPI_752\Downloads\[BoletinEstadistico_2017_05.xlsx]Data Cap04001'!#REF!,$B$11:$B$248,0)&gt;0</xm:f>
            <x14:dxf/>
          </x14:cfRule>
          <x14:cfRule type="expression" priority="24" id="{CDE82781-868D-4CE4-91C7-8FFD3F702026}">
            <xm:f>MATCH('C:\Users\ORPI_752\Downloads\[BoletinEstadistico_2017_05.xlsx]Data Cap04001'!#REF!,$B$11:$B$248,0)&gt;0</xm:f>
            <x14:dxf/>
          </x14:cfRule>
          <xm:sqref>A159</xm:sqref>
        </x14:conditionalFormatting>
        <x14:conditionalFormatting xmlns:xm="http://schemas.microsoft.com/office/excel/2006/main">
          <x14:cfRule type="expression" priority="25" id="{F72254FC-0A24-4AC4-AA28-F11C7C040869}">
            <xm:f>MATCH('C:\Users\ORPI_752\Downloads\[BoletinEstadistico_2017_05.xlsx]Data Cap04001'!#REF!,$B$11:$B$248,0)&gt;0</xm:f>
            <x14:dxf/>
          </x14:cfRule>
          <x14:cfRule type="expression" priority="26" id="{AF99C55C-40D1-4A10-A5B6-A2F744B999B3}">
            <xm:f>MATCH('C:\Users\ORPI_752\Downloads\[BoletinEstadistico_2017_05.xlsx]Data Cap04001'!#REF!,$B$11:$B$248,0)&gt;0</xm:f>
            <x14:dxf/>
          </x14:cfRule>
          <xm:sqref>A155:A157</xm:sqref>
        </x14:conditionalFormatting>
        <x14:conditionalFormatting xmlns:xm="http://schemas.microsoft.com/office/excel/2006/main">
          <x14:cfRule type="expression" priority="27" id="{55727785-1EA4-428B-8730-D8A8B30DFAD6}">
            <xm:f>MATCH('C:\Users\ORPI_752\Downloads\[BoletinEstadistico_2017_05.xlsx]Data Cap04001'!#REF!,$B$11:$B$248,0)&gt;0</xm:f>
            <x14:dxf/>
          </x14:cfRule>
          <x14:cfRule type="expression" priority="28" id="{8F6BDA0A-8C87-40E8-9B5A-134A07989282}">
            <xm:f>MATCH('C:\Users\ORPI_752\Downloads\[BoletinEstadistico_2017_05.xlsx]Data Cap04001'!#REF!,$B$11:$B$248,0)&gt;0</xm:f>
            <x14:dxf/>
          </x14:cfRule>
          <xm:sqref>A158</xm:sqref>
        </x14:conditionalFormatting>
        <x14:conditionalFormatting xmlns:xm="http://schemas.microsoft.com/office/excel/2006/main">
          <x14:cfRule type="expression" priority="29" id="{251B7861-CCAC-4A4E-8782-202FF760DD1C}">
            <xm:f>MATCH('C:\Users\ORPI_752\Downloads\[BoletinEstadistico_2017_05.xlsx]Data Cap04001'!#REF!,$B$11:$B$248,0)&gt;0</xm:f>
            <x14:dxf/>
          </x14:cfRule>
          <x14:cfRule type="expression" priority="30" id="{D4D4B2DE-11FC-495E-8D43-448EEB9F4EC9}">
            <xm:f>MATCH('C:\Users\ORPI_752\Downloads\[BoletinEstadistico_2017_05.xlsx]Data Cap04001'!#REF!,$B$11:$B$248,0)&gt;0</xm:f>
            <x14:dxf/>
          </x14:cfRule>
          <xm:sqref>A164:A165</xm:sqref>
        </x14:conditionalFormatting>
        <x14:conditionalFormatting xmlns:xm="http://schemas.microsoft.com/office/excel/2006/main">
          <x14:cfRule type="expression" priority="31" id="{C3591391-9139-4411-969E-2DA8292A383D}">
            <xm:f>MATCH('C:\Users\ORPI_752\Downloads\[BoletinEstadistico_2017_05.xlsx]Data Cap04001'!#REF!,$B$11:$B$248,0)&gt;0</xm:f>
            <x14:dxf/>
          </x14:cfRule>
          <x14:cfRule type="expression" priority="32" id="{4BB7A7D1-84BE-42DE-9789-044B266FBA01}">
            <xm:f>MATCH('C:\Users\ORPI_752\Downloads\[BoletinEstadistico_2017_05.xlsx]Data Cap04001'!#REF!,$B$11:$B$248,0)&gt;0</xm:f>
            <x14:dxf/>
          </x14:cfRule>
          <xm:sqref>A172</xm:sqref>
        </x14:conditionalFormatting>
        <x14:conditionalFormatting xmlns:xm="http://schemas.microsoft.com/office/excel/2006/main">
          <x14:cfRule type="expression" priority="33" id="{8CD4A98E-F31A-4E3B-8462-F45F89E0A78D}">
            <xm:f>MATCH('C:\Users\ORPI_752\Downloads\[BoletinEstadistico_2017_05.xlsx]Data Cap04001'!#REF!,$B$11:$B$248,0)&gt;0</xm:f>
            <x14:dxf/>
          </x14:cfRule>
          <x14:cfRule type="expression" priority="34" id="{9926A29C-3A43-4D05-8975-1430D2EF15DD}">
            <xm:f>MATCH('C:\Users\ORPI_752\Downloads\[BoletinEstadistico_2017_05.xlsx]Data Cap04001'!#REF!,$B$11:$B$248,0)&gt;0</xm:f>
            <x14:dxf/>
          </x14:cfRule>
          <xm:sqref>A171</xm:sqref>
        </x14:conditionalFormatting>
        <x14:conditionalFormatting xmlns:xm="http://schemas.microsoft.com/office/excel/2006/main">
          <x14:cfRule type="expression" priority="35" id="{7E6E0148-090D-4CEF-A429-290755EF2A03}">
            <xm:f>MATCH('C:\Users\ORPI_752\Downloads\[BoletinEstadistico_2017_05.xlsx]Data Cap04001'!#REF!,$B$11:$B$248,0)&gt;0</xm:f>
            <x14:dxf/>
          </x14:cfRule>
          <x14:cfRule type="expression" priority="36" id="{1C9E158F-FDD6-43F4-907C-B9B59C7F27BA}">
            <xm:f>MATCH('C:\Users\ORPI_752\Downloads\[BoletinEstadistico_2017_05.xlsx]Data Cap04001'!#REF!,$B$11:$B$248,0)&gt;0</xm:f>
            <x14:dxf/>
          </x14:cfRule>
          <xm:sqref>A170</xm:sqref>
        </x14:conditionalFormatting>
        <x14:conditionalFormatting xmlns:xm="http://schemas.microsoft.com/office/excel/2006/main">
          <x14:cfRule type="expression" priority="37" id="{5118A7C4-862E-4B8D-BBE4-7D9EF2C96EEC}">
            <xm:f>MATCH('C:\Users\ORPI_752\Downloads\[BoletinEstadistico_2017_05.xlsx]Data Cap04001'!#REF!,$B$11:$B$248,0)&gt;0</xm:f>
            <x14:dxf/>
          </x14:cfRule>
          <x14:cfRule type="expression" priority="38" id="{8E533B11-2BE5-47A3-8FB8-45FBEA290597}">
            <xm:f>MATCH('C:\Users\ORPI_752\Downloads\[BoletinEstadistico_2017_05.xlsx]Data Cap04001'!#REF!,$B$11:$B$248,0)&gt;0</xm:f>
            <x14:dxf/>
          </x14:cfRule>
          <xm:sqref>A166:A168</xm:sqref>
        </x14:conditionalFormatting>
        <x14:conditionalFormatting xmlns:xm="http://schemas.microsoft.com/office/excel/2006/main">
          <x14:cfRule type="expression" priority="39" id="{D56D1203-8CFC-453A-8F18-5E8DAC5B89D9}">
            <xm:f>MATCH('C:\Users\ORPI_752\Downloads\[BoletinEstadistico_2017_05.xlsx]Data Cap04001'!#REF!,$B$11:$B$248,0)&gt;0</xm:f>
            <x14:dxf/>
          </x14:cfRule>
          <x14:cfRule type="expression" priority="40" id="{7EAC8EF6-D3FD-4F57-8A44-9444782689EB}">
            <xm:f>MATCH('C:\Users\ORPI_752\Downloads\[BoletinEstadistico_2017_05.xlsx]Data Cap04001'!#REF!,$B$11:$B$248,0)&gt;0</xm:f>
            <x14:dxf/>
          </x14:cfRule>
          <xm:sqref>A169</xm:sqref>
        </x14:conditionalFormatting>
        <x14:conditionalFormatting xmlns:xm="http://schemas.microsoft.com/office/excel/2006/main">
          <x14:cfRule type="expression" priority="41" id="{DBF2850B-8526-4040-80B7-F6DA619B960A}">
            <xm:f>MATCH('C:\Users\ORPI_752\Downloads\[BoletinEstadistico_2017_05.xlsx]Data Cap04001'!#REF!,$B$11:$B$248,0)&gt;0</xm:f>
            <x14:dxf/>
          </x14:cfRule>
          <x14:cfRule type="expression" priority="42" id="{2226BBC3-9D3B-4BAC-A9BF-F137939372E3}">
            <xm:f>MATCH('C:\Users\ORPI_752\Downloads\[BoletinEstadistico_2017_05.xlsx]Data Cap04001'!#REF!,$B$11:$B$248,0)&gt;0</xm:f>
            <x14:dxf/>
          </x14:cfRule>
          <xm:sqref>A173:A174</xm:sqref>
        </x14:conditionalFormatting>
        <x14:conditionalFormatting xmlns:xm="http://schemas.microsoft.com/office/excel/2006/main">
          <x14:cfRule type="expression" priority="43" id="{67FB5955-500E-4089-A74A-70437E16BE4A}">
            <xm:f>MATCH('C:\Users\ORPI_752\Downloads\[BoletinEstadistico_2017_05.xlsx]Data Cap04001'!#REF!,$B$11:$B$248,0)&gt;0</xm:f>
            <x14:dxf/>
          </x14:cfRule>
          <x14:cfRule type="expression" priority="44" id="{88D262B9-E690-4D47-9E4D-8FD5138121CC}">
            <xm:f>MATCH('C:\Users\ORPI_752\Downloads\[BoletinEstadistico_2017_05.xlsx]Data Cap04001'!#REF!,$B$11:$B$248,0)&gt;0</xm:f>
            <x14:dxf/>
          </x14:cfRule>
          <xm:sqref>A175:A181</xm:sqref>
        </x14:conditionalFormatting>
        <x14:conditionalFormatting xmlns:xm="http://schemas.microsoft.com/office/excel/2006/main">
          <x14:cfRule type="expression" priority="45" id="{8EF7555A-2560-45B8-8031-801B2B30FC1F}">
            <xm:f>MATCH('C:\Users\ORPI_752\Downloads\[BoletinEstadistico_2017_05.xlsx]Data Cap04001'!#REF!,$B$11:$B$248,0)&gt;0</xm:f>
            <x14:dxf/>
          </x14:cfRule>
          <x14:cfRule type="expression" priority="46" id="{2F8FC20B-AF6B-41EA-AD10-F5A7E29103EA}">
            <xm:f>MATCH('C:\Users\ORPI_752\Downloads\[BoletinEstadistico_2017_05.xlsx]Data Cap04001'!#REF!,$B$11:$B$248,0)&gt;0</xm:f>
            <x14:dxf/>
          </x14:cfRule>
          <xm:sqref>A182:A184</xm:sqref>
        </x14:conditionalFormatting>
        <x14:conditionalFormatting xmlns:xm="http://schemas.microsoft.com/office/excel/2006/main">
          <x14:cfRule type="expression" priority="47" id="{AEE060CE-3F68-4B3E-A0AC-B0E3BB34D8AF}">
            <xm:f>MATCH('C:\Users\ORPI_752\Downloads\[BoletinEstadistico_2017_05.xlsx]Data Cap04001'!#REF!,$B$11:$B$248,0)&gt;0</xm:f>
            <x14:dxf/>
          </x14:cfRule>
          <x14:cfRule type="expression" priority="48" id="{8DB837CA-017D-4846-8336-FD6E4C591860}">
            <xm:f>MATCH('C:\Users\ORPI_752\Downloads\[BoletinEstadistico_2017_05.xlsx]Data Cap04001'!#REF!,$B$11:$B$248,0)&gt;0</xm:f>
            <x14:dxf/>
          </x14:cfRule>
          <xm:sqref>A185:A188</xm:sqref>
        </x14:conditionalFormatting>
        <x14:conditionalFormatting xmlns:xm="http://schemas.microsoft.com/office/excel/2006/main">
          <x14:cfRule type="expression" priority="49" id="{98FEA5D2-BD0F-4F37-9BEC-0A129FB57049}">
            <xm:f>MATCH('C:\Users\ORPI_752\Downloads\[BoletinEstadistico_2017_05.xlsx]Data Cap04001'!#REF!,$B$11:$B$248,0)&gt;0</xm:f>
            <x14:dxf/>
          </x14:cfRule>
          <x14:cfRule type="expression" priority="50" id="{54911AEE-508A-4101-BF3B-5687CC16A093}">
            <xm:f>MATCH('C:\Users\ORPI_752\Downloads\[BoletinEstadistico_2017_05.xlsx]Data Cap04001'!#REF!,$B$11:$B$248,0)&gt;0</xm:f>
            <x14:dxf/>
          </x14:cfRule>
          <xm:sqref>A189:A198</xm:sqref>
        </x14:conditionalFormatting>
        <x14:conditionalFormatting xmlns:xm="http://schemas.microsoft.com/office/excel/2006/main">
          <x14:cfRule type="expression" priority="51" id="{1631B82D-53D0-40FC-836B-53A9EB2598A0}">
            <xm:f>MATCH('C:\Users\ORPI_752\Downloads\[BoletinEstadistico_2017_05.xlsx]Data Cap04001'!#REF!,$B$11:$B$248,0)&gt;0</xm:f>
            <x14:dxf/>
          </x14:cfRule>
          <x14:cfRule type="expression" priority="52" id="{11632336-929C-460B-A229-761FEF3A4583}">
            <xm:f>MATCH('C:\Users\ORPI_752\Downloads\[BoletinEstadistico_2017_05.xlsx]Data Cap04001'!#REF!,$B$11:$B$248,0)&gt;0</xm:f>
            <x14:dxf/>
          </x14:cfRule>
          <xm:sqref>A199:A203</xm:sqref>
        </x14:conditionalFormatting>
        <x14:conditionalFormatting xmlns:xm="http://schemas.microsoft.com/office/excel/2006/main">
          <x14:cfRule type="expression" priority="53" id="{15649D8F-851C-4219-A97F-3E9BDB28394D}">
            <xm:f>MATCH('C:\Users\ORPI_752\Downloads\[BoletinEstadistico_2017_05.xlsx]Data Cap04001'!#REF!,$B$11:$B$248,0)&gt;0</xm:f>
            <x14:dxf/>
          </x14:cfRule>
          <x14:cfRule type="expression" priority="54" id="{14DC9C02-F4CF-4EC9-A25C-6BEF3C830B0F}">
            <xm:f>MATCH('C:\Users\ORPI_752\Downloads\[BoletinEstadistico_2017_05.xlsx]Data Cap04001'!#REF!,$B$11:$B$248,0)&gt;0</xm:f>
            <x14:dxf/>
          </x14:cfRule>
          <xm:sqref>A204</xm:sqref>
        </x14:conditionalFormatting>
        <x14:conditionalFormatting xmlns:xm="http://schemas.microsoft.com/office/excel/2006/main">
          <x14:cfRule type="expression" priority="55" id="{1C8B4657-9033-4730-B855-6620BDCC2510}">
            <xm:f>MATCH('C:\Users\ORPI_752\Downloads\[BoletinEstadistico_2017_05.xlsx]Data Cap04001'!#REF!,$B$11:$B$248,0)&gt;0</xm:f>
            <x14:dxf/>
          </x14:cfRule>
          <x14:cfRule type="expression" priority="56" id="{EE75BA65-F849-4CCF-982D-149CB4DB083C}">
            <xm:f>MATCH('C:\Users\ORPI_752\Downloads\[BoletinEstadistico_2017_05.xlsx]Data Cap04001'!#REF!,$B$11:$B$248,0)&gt;0</xm:f>
            <x14:dxf/>
          </x14:cfRule>
          <xm:sqref>A2:A21</xm:sqref>
        </x14:conditionalFormatting>
        <x14:conditionalFormatting xmlns:xm="http://schemas.microsoft.com/office/excel/2006/main">
          <x14:cfRule type="expression" priority="57" id="{9B7866CC-4C28-4437-9D41-0143285806F6}">
            <xm:f>MATCH('C:\Users\ORPI_752\Downloads\[BoletinEstadistico_2017_05.xlsx]Data Cap04001'!#REF!,$B$11:$B$248,0)&gt;0</xm:f>
            <x14:dxf/>
          </x14:cfRule>
          <x14:cfRule type="expression" priority="58" id="{30D55478-99EE-4BC6-B4C3-DE64C392ABE7}">
            <xm:f>MATCH('C:\Users\ORPI_752\Downloads\[BoletinEstadistico_2017_05.xlsx]Data Cap04001'!#REF!,$B$11:$B$248,0)&gt;0</xm:f>
            <x14:dxf/>
          </x14:cfRule>
          <xm:sqref>A22:A27</xm:sqref>
        </x14:conditionalFormatting>
        <x14:conditionalFormatting xmlns:xm="http://schemas.microsoft.com/office/excel/2006/main">
          <x14:cfRule type="expression" priority="59" id="{8E0BE8D9-B6B0-4072-81A7-D94F390065EA}">
            <xm:f>MATCH('C:\Users\ORPI_752\Downloads\[BoletinEstadistico_2017_05.xlsx]Data Cap04001'!#REF!,$B$11:$B$248,0)&gt;0</xm:f>
            <x14:dxf/>
          </x14:cfRule>
          <x14:cfRule type="expression" priority="60" id="{D1EC30E3-C761-45CF-824D-A30676F49B1E}">
            <xm:f>MATCH('C:\Users\ORPI_752\Downloads\[BoletinEstadistico_2017_05.xlsx]Data Cap04001'!#REF!,$B$11:$B$248,0)&gt;0</xm:f>
            <x14:dxf/>
          </x14:cfRule>
          <xm:sqref>A28:A38</xm:sqref>
        </x14:conditionalFormatting>
        <x14:conditionalFormatting xmlns:xm="http://schemas.microsoft.com/office/excel/2006/main">
          <x14:cfRule type="expression" priority="61" id="{C29AB74E-B7F6-481F-AD6B-C9BB21102D52}">
            <xm:f>MATCH('C:\Users\ORPI_752\Downloads\[BoletinEstadistico_2017_05.xlsx]Data Cap04001'!#REF!,$B$11:$B$248,0)&gt;0</xm:f>
            <x14:dxf/>
          </x14:cfRule>
          <x14:cfRule type="expression" priority="62" id="{6D3666CF-3C83-4566-88AC-4A4F1530CFDD}">
            <xm:f>MATCH('C:\Users\ORPI_752\Downloads\[BoletinEstadistico_2017_05.xlsx]Data Cap04001'!#REF!,$B$11:$B$248,0)&gt;0</xm:f>
            <x14:dxf/>
          </x14:cfRule>
          <xm:sqref>A39:A41</xm:sqref>
        </x14:conditionalFormatting>
        <x14:conditionalFormatting xmlns:xm="http://schemas.microsoft.com/office/excel/2006/main">
          <x14:cfRule type="expression" priority="63" id="{D8910276-910F-4E29-AFF5-895952B45809}">
            <xm:f>MATCH('C:\Users\ORPI_752\Downloads\[BoletinEstadistico_2017_05.xlsx]Data Cap04001'!#REF!,$B$11:$B$248,0)&gt;0</xm:f>
            <x14:dxf/>
          </x14:cfRule>
          <x14:cfRule type="expression" priority="64" id="{C2EE0270-1FFF-4569-97C9-246A513061D4}">
            <xm:f>MATCH('C:\Users\ORPI_752\Downloads\[BoletinEstadistico_2017_05.xlsx]Data Cap04001'!#REF!,$B$11:$B$248,0)&gt;0</xm:f>
            <x14:dxf/>
          </x14:cfRule>
          <xm:sqref>A42</xm:sqref>
        </x14:conditionalFormatting>
        <x14:conditionalFormatting xmlns:xm="http://schemas.microsoft.com/office/excel/2006/main">
          <x14:cfRule type="expression" priority="65" id="{288CA80A-C15A-4B03-B755-DEEED4EE7F22}">
            <xm:f>MATCH('C:\Users\ORPI_752\Downloads\[BoletinEstadistico_2017_05.xlsx]Data Cap04001'!#REF!,$B$11:$B$248,0)&gt;0</xm:f>
            <x14:dxf/>
          </x14:cfRule>
          <x14:cfRule type="expression" priority="66" id="{5DD64C3E-B62E-4DE1-822F-5FA4F83F6EBE}">
            <xm:f>MATCH('C:\Users\ORPI_752\Downloads\[BoletinEstadistico_2017_05.xlsx]Data Cap04001'!#REF!,$B$11:$B$248,0)&gt;0</xm:f>
            <x14:dxf/>
          </x14:cfRule>
          <xm:sqref>A43:A46</xm:sqref>
        </x14:conditionalFormatting>
        <x14:conditionalFormatting xmlns:xm="http://schemas.microsoft.com/office/excel/2006/main">
          <x14:cfRule type="expression" priority="67" id="{3485EC8D-CBF0-425D-A3D2-918FE9CB364C}">
            <xm:f>MATCH('C:\Users\ORPI_752\Downloads\[BoletinEstadistico_2017_05.xlsx]Data Cap04001'!#REF!,$B$11:$B$248,0)&gt;0</xm:f>
            <x14:dxf/>
          </x14:cfRule>
          <x14:cfRule type="expression" priority="68" id="{83CA842E-EEA0-4257-AF80-5716C86CA9C9}">
            <xm:f>MATCH('C:\Users\ORPI_752\Downloads\[BoletinEstadistico_2017_05.xlsx]Data Cap04001'!#REF!,$B$11:$B$248,0)&gt;0</xm:f>
            <x14:dxf/>
          </x14:cfRule>
          <xm:sqref>A89:A104 A66:A71</xm:sqref>
        </x14:conditionalFormatting>
        <x14:conditionalFormatting xmlns:xm="http://schemas.microsoft.com/office/excel/2006/main">
          <x14:cfRule type="expression" priority="69" id="{D750C8AF-F265-4D0B-B366-71038CFEE32D}">
            <xm:f>MATCH('C:\Users\ORPI_752\Downloads\[BoletinEstadistico_2017_05.xlsx]Data Cap04001'!#REF!,$B$11:$B$248,0)&gt;0</xm:f>
            <x14:dxf/>
          </x14:cfRule>
          <x14:cfRule type="expression" priority="70" id="{57BD6011-1D8F-4FFC-9ACF-438C7FEAB618}">
            <xm:f>MATCH('C:\Users\ORPI_752\Downloads\[BoletinEstadistico_2017_05.xlsx]Data Cap04001'!#REF!,$B$11:$B$248,0)&gt;0</xm:f>
            <x14:dxf/>
          </x14:cfRule>
          <xm:sqref>A47:A48</xm:sqref>
        </x14:conditionalFormatting>
        <x14:conditionalFormatting xmlns:xm="http://schemas.microsoft.com/office/excel/2006/main">
          <x14:cfRule type="expression" priority="71" id="{62055B96-55F4-493F-8F46-3216C065F2B6}">
            <xm:f>MATCH('C:\Users\ORPI_752\Downloads\[BoletinEstadistico_2017_05.xlsx]Data Cap04001'!#REF!,$B$11:$B$248,0)&gt;0</xm:f>
            <x14:dxf/>
          </x14:cfRule>
          <x14:cfRule type="expression" priority="72" id="{52C3F6CA-BD45-45DB-8F4C-AA5483F6E86D}">
            <xm:f>MATCH('C:\Users\ORPI_752\Downloads\[BoletinEstadistico_2017_05.xlsx]Data Cap04001'!#REF!,$B$11:$B$248,0)&gt;0</xm:f>
            <x14:dxf/>
          </x14:cfRule>
          <xm:sqref>A49:A65</xm:sqref>
        </x14:conditionalFormatting>
        <x14:conditionalFormatting xmlns:xm="http://schemas.microsoft.com/office/excel/2006/main">
          <x14:cfRule type="expression" priority="73" id="{7ED052E7-FDF3-4EDD-8942-3612239808D9}">
            <xm:f>MATCH('C:\Users\ORPI_752\Downloads\[BoletinEstadistico_2017_05.xlsx]Data Cap04001'!#REF!,$B$11:$B$248,0)&gt;0</xm:f>
            <x14:dxf/>
          </x14:cfRule>
          <x14:cfRule type="expression" priority="74" id="{47F5AB7C-BCCE-4F22-98A8-E85983FDB8A5}">
            <xm:f>MATCH('C:\Users\ORPI_752\Downloads\[BoletinEstadistico_2017_05.xlsx]Data Cap04001'!#REF!,$B$11:$B$248,0)&gt;0</xm:f>
            <x14:dxf/>
          </x14:cfRule>
          <xm:sqref>A205:A228</xm:sqref>
        </x14:conditionalFormatting>
        <x14:conditionalFormatting xmlns:xm="http://schemas.microsoft.com/office/excel/2006/main">
          <x14:cfRule type="expression" priority="75" id="{441E20EF-D951-4F8C-BCD8-3E0AA186295F}">
            <xm:f>MATCH('C:\Users\ORPI_752\Downloads\[BoletinEstadistico_2017_05.xlsx]Data Cap04001'!#REF!,$B$11:$B$248,0)&gt;0</xm:f>
            <x14:dxf/>
          </x14:cfRule>
          <x14:cfRule type="expression" priority="76" id="{F87DBD99-5054-42B0-90C4-9BB7B2C047D0}">
            <xm:f>MATCH('C:\Users\ORPI_752\Downloads\[BoletinEstadistico_2017_05.xlsx]Data Cap04001'!#REF!,$B$11:$B$248,0)&gt;0</xm:f>
            <x14:dxf/>
          </x14:cfRule>
          <xm:sqref>A229:A238</xm:sqref>
        </x14:conditionalFormatting>
        <x14:conditionalFormatting xmlns:xm="http://schemas.microsoft.com/office/excel/2006/main">
          <x14:cfRule type="expression" priority="77" id="{D922A89C-7930-4307-BCFF-CBAFBAE78357}">
            <xm:f>MATCH('C:\Users\ORPI_752\Downloads\[BoletinEstadistico_2017_05.xlsx]Data Cap04001'!#REF!,$B$11:$B$248,0)&gt;0</xm:f>
            <x14:dxf/>
          </x14:cfRule>
          <x14:cfRule type="expression" priority="78" id="{35909D73-E8AD-4B30-9E88-0141F7A414E8}">
            <xm:f>MATCH('C:\Users\ORPI_752\Downloads\[BoletinEstadistico_2017_05.xlsx]Data Cap04001'!#REF!,$B$11:$B$248,0)&gt;0</xm:f>
            <x14:dxf/>
          </x14:cfRule>
          <xm:sqref>A239:A246 A249:A280</xm:sqref>
        </x14:conditionalFormatting>
        <x14:conditionalFormatting xmlns:xm="http://schemas.microsoft.com/office/excel/2006/main">
          <x14:cfRule type="expression" priority="79" id="{76867887-F7B8-481A-960B-A400047716FB}">
            <xm:f>MATCH('C:\Users\ORPI_752\Downloads\[BoletinEstadistico_2017_05.xlsx]Data Cap04001'!#REF!,$B$11:$B$248,0)&gt;0</xm:f>
            <x14:dxf/>
          </x14:cfRule>
          <x14:cfRule type="expression" priority="80" id="{19E91307-FACD-4A96-8442-B4CAA4F2E8A4}">
            <xm:f>MATCH('C:\Users\ORPI_752\Downloads\[BoletinEstadistico_2017_05.xlsx]Data Cap04001'!#REF!,$B$11:$B$248,0)&gt;0</xm:f>
            <x14:dxf/>
          </x14:cfRule>
          <xm:sqref>A247:A248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sheetPr>
  <dimension ref="A1:AI118"/>
  <sheetViews>
    <sheetView zoomScale="55" zoomScaleNormal="55" workbookViewId="0">
      <selection activeCell="O51" sqref="O51"/>
    </sheetView>
  </sheetViews>
  <sheetFormatPr baseColWidth="10" defaultColWidth="11.42578125" defaultRowHeight="16.5" x14ac:dyDescent="0.25"/>
  <cols>
    <col min="1" max="1" width="16.5703125" style="614" customWidth="1"/>
    <col min="2" max="2" width="15.85546875" style="614" customWidth="1"/>
    <col min="3" max="3" width="16.42578125" style="21" customWidth="1"/>
    <col min="4" max="4" width="15.28515625" style="21" customWidth="1"/>
    <col min="5" max="5" width="14.7109375" style="21" customWidth="1"/>
    <col min="6" max="6" width="15.42578125" style="21" customWidth="1"/>
    <col min="7" max="7" width="20" style="21" customWidth="1"/>
    <col min="8" max="8" width="15.28515625" style="21" customWidth="1"/>
    <col min="9" max="9" width="16.28515625" style="21" customWidth="1"/>
    <col min="10" max="12" width="11.42578125" style="21"/>
    <col min="13" max="13" width="18.85546875" style="21" customWidth="1"/>
    <col min="14" max="14" width="16.7109375" style="21" customWidth="1"/>
    <col min="15" max="15" width="16.85546875" style="21" customWidth="1"/>
    <col min="16" max="17" width="19.28515625" style="21" customWidth="1"/>
    <col min="18" max="18" width="16.28515625" style="21" customWidth="1"/>
    <col min="19" max="19" width="21" style="21" customWidth="1"/>
    <col min="20" max="20" width="16.5703125" style="21" customWidth="1"/>
    <col min="21" max="21" width="16" style="21" customWidth="1"/>
    <col min="22" max="24" width="11.42578125" style="21"/>
    <col min="25" max="25" width="16.7109375" style="21" customWidth="1"/>
    <col min="26" max="26" width="16.42578125" style="21" customWidth="1"/>
    <col min="27" max="27" width="16.85546875" style="21" customWidth="1"/>
    <col min="28" max="29" width="17.5703125" style="21" customWidth="1"/>
    <col min="30" max="30" width="16.5703125" style="21" customWidth="1"/>
    <col min="31" max="31" width="21.28515625" style="21" customWidth="1"/>
    <col min="32" max="32" width="17" style="21" customWidth="1"/>
    <col min="33" max="33" width="17.140625" style="21" customWidth="1"/>
    <col min="34" max="16384" width="11.42578125" style="21"/>
  </cols>
  <sheetData>
    <row r="1" spans="1:35" x14ac:dyDescent="0.25">
      <c r="A1" s="21"/>
      <c r="B1" s="21"/>
    </row>
    <row r="2" spans="1:35" ht="33" customHeight="1" x14ac:dyDescent="0.25">
      <c r="A2" s="4303" t="s">
        <v>1429</v>
      </c>
      <c r="B2" s="4303"/>
      <c r="C2" s="4304" t="s">
        <v>3666</v>
      </c>
      <c r="D2" s="4304"/>
      <c r="E2" s="4304"/>
      <c r="O2" s="696"/>
    </row>
    <row r="3" spans="1:35" ht="22.5" customHeight="1" thickBot="1" x14ac:dyDescent="0.3">
      <c r="A3" s="688"/>
    </row>
    <row r="4" spans="1:35" ht="10.5" customHeight="1" x14ac:dyDescent="0.25">
      <c r="A4" s="739"/>
      <c r="B4" s="740"/>
      <c r="C4" s="722"/>
      <c r="D4" s="722"/>
      <c r="E4" s="721"/>
      <c r="F4" s="721"/>
      <c r="G4" s="721"/>
      <c r="H4" s="721"/>
      <c r="I4" s="721"/>
      <c r="J4" s="721"/>
      <c r="K4" s="721"/>
      <c r="L4" s="741"/>
      <c r="M4" s="722"/>
      <c r="N4" s="722"/>
      <c r="O4" s="722"/>
      <c r="P4" s="722"/>
      <c r="Q4" s="722"/>
      <c r="R4" s="722"/>
      <c r="S4" s="722"/>
      <c r="T4" s="722"/>
      <c r="U4" s="722"/>
      <c r="V4" s="722"/>
      <c r="W4" s="722"/>
      <c r="X4" s="741"/>
      <c r="Y4" s="722"/>
      <c r="Z4" s="722"/>
      <c r="AA4" s="722"/>
      <c r="AB4" s="722"/>
      <c r="AC4" s="722"/>
      <c r="AD4" s="722"/>
      <c r="AE4" s="722"/>
      <c r="AF4" s="722"/>
      <c r="AG4" s="722"/>
      <c r="AH4" s="722"/>
      <c r="AI4" s="723"/>
    </row>
    <row r="5" spans="1:35" ht="24.75" customHeight="1" x14ac:dyDescent="0.25">
      <c r="A5" s="4305" t="s">
        <v>1430</v>
      </c>
      <c r="B5" s="4306"/>
      <c r="C5" s="4306"/>
      <c r="D5" s="697">
        <f>+B8</f>
        <v>1821.1311596887722</v>
      </c>
      <c r="E5" s="4307" t="s">
        <v>1431</v>
      </c>
      <c r="F5" s="4307"/>
      <c r="G5" s="4307"/>
      <c r="H5" s="698"/>
      <c r="I5" s="698"/>
      <c r="J5" s="743"/>
      <c r="K5" s="735"/>
      <c r="L5" s="4308" t="s">
        <v>1432</v>
      </c>
      <c r="M5" s="4309"/>
      <c r="N5" s="4309"/>
      <c r="O5" s="699">
        <f>'8.1 Pob Urbana y Rural'!F39</f>
        <v>711.11755272914593</v>
      </c>
      <c r="P5" s="700" t="s">
        <v>3668</v>
      </c>
      <c r="Q5" s="701"/>
      <c r="R5" s="701"/>
      <c r="S5" s="701"/>
      <c r="T5" s="701"/>
      <c r="U5" s="701"/>
      <c r="V5" s="702"/>
      <c r="W5" s="711"/>
      <c r="X5" s="4308" t="s">
        <v>1433</v>
      </c>
      <c r="Y5" s="4309"/>
      <c r="Z5" s="4309"/>
      <c r="AA5" s="757">
        <f>'8.1 Pob Urbana y Rural'!F43</f>
        <v>1110.0136069596263</v>
      </c>
      <c r="AB5" s="700" t="s">
        <v>3668</v>
      </c>
      <c r="AC5" s="700"/>
      <c r="AD5" s="700"/>
      <c r="AE5" s="700"/>
      <c r="AF5" s="700"/>
      <c r="AG5" s="700"/>
      <c r="AH5" s="702"/>
      <c r="AI5" s="724"/>
    </row>
    <row r="6" spans="1:35" ht="26.25" customHeight="1" x14ac:dyDescent="0.25">
      <c r="A6" s="4321" t="s">
        <v>1434</v>
      </c>
      <c r="B6" s="4322"/>
      <c r="C6" s="4322"/>
      <c r="D6" s="703">
        <f>'8.1 Pob Urbana y Rural'!D9</f>
        <v>405759</v>
      </c>
      <c r="E6" s="704" t="s">
        <v>1435</v>
      </c>
      <c r="F6" s="705"/>
      <c r="G6" s="705"/>
      <c r="H6" s="705"/>
      <c r="I6" s="705"/>
      <c r="J6" s="744"/>
      <c r="K6" s="735"/>
      <c r="L6" s="749"/>
      <c r="M6" s="750"/>
      <c r="N6" s="750"/>
      <c r="O6" s="708"/>
      <c r="P6" s="709"/>
      <c r="Q6" s="710"/>
      <c r="R6" s="710"/>
      <c r="S6" s="710"/>
      <c r="T6" s="710"/>
      <c r="U6" s="710"/>
      <c r="V6" s="713"/>
      <c r="W6" s="724"/>
      <c r="X6" s="749"/>
      <c r="Y6" s="750"/>
      <c r="Z6" s="750"/>
      <c r="AA6" s="708"/>
      <c r="AB6" s="712"/>
      <c r="AC6" s="711"/>
      <c r="AD6" s="711"/>
      <c r="AE6" s="711"/>
      <c r="AF6" s="711"/>
      <c r="AG6" s="711"/>
      <c r="AH6" s="713"/>
      <c r="AI6" s="724"/>
    </row>
    <row r="7" spans="1:35" ht="22.5" customHeight="1" x14ac:dyDescent="0.25">
      <c r="A7" s="730" t="s">
        <v>1436</v>
      </c>
      <c r="B7" s="703">
        <f>'3 Pob x Edad y EESS P1 P2'!M31</f>
        <v>872.7517599110771</v>
      </c>
      <c r="C7" s="732">
        <f>+B7/B8</f>
        <v>0.47923608097520481</v>
      </c>
      <c r="D7" s="711"/>
      <c r="E7" s="706"/>
      <c r="F7" s="706"/>
      <c r="G7" s="708"/>
      <c r="H7" s="708"/>
      <c r="I7" s="708"/>
      <c r="J7" s="745"/>
      <c r="K7" s="735"/>
      <c r="L7" s="4328" t="s">
        <v>1437</v>
      </c>
      <c r="M7" s="4329"/>
      <c r="N7" s="4329"/>
      <c r="O7" s="1501">
        <v>0.61579522770138273</v>
      </c>
      <c r="P7" s="706" t="s">
        <v>3690</v>
      </c>
      <c r="Q7" s="711">
        <f>O7*O5</f>
        <v>437.90279530529443</v>
      </c>
      <c r="R7" s="711"/>
      <c r="S7" s="711"/>
      <c r="T7" s="711"/>
      <c r="U7" s="711"/>
      <c r="V7" s="713"/>
      <c r="W7" s="724"/>
      <c r="X7" s="4328" t="s">
        <v>1438</v>
      </c>
      <c r="Y7" s="4329"/>
      <c r="Z7" s="4329"/>
      <c r="AA7" s="715">
        <v>0.69258300578404097</v>
      </c>
      <c r="AB7" s="706" t="s">
        <v>3690</v>
      </c>
      <c r="AC7" s="711"/>
      <c r="AD7" s="711"/>
      <c r="AE7" s="711"/>
      <c r="AF7" s="711"/>
      <c r="AG7" s="711"/>
      <c r="AH7" s="713"/>
      <c r="AI7" s="724"/>
    </row>
    <row r="8" spans="1:35" ht="30.75" customHeight="1" x14ac:dyDescent="0.25">
      <c r="A8" s="730" t="s">
        <v>1439</v>
      </c>
      <c r="B8" s="703">
        <f>'3 Pob x Edad y EESS P1 P2'!M32</f>
        <v>1821.1311596887722</v>
      </c>
      <c r="C8" s="732">
        <v>1</v>
      </c>
      <c r="D8" s="711"/>
      <c r="E8" s="706"/>
      <c r="F8" s="706"/>
      <c r="G8" s="714"/>
      <c r="H8" s="714"/>
      <c r="I8" s="714"/>
      <c r="J8" s="746"/>
      <c r="K8" s="735"/>
      <c r="L8" s="4321" t="s">
        <v>1440</v>
      </c>
      <c r="M8" s="4322"/>
      <c r="N8" s="4322"/>
      <c r="O8" s="1501">
        <v>0.299532792591785</v>
      </c>
      <c r="P8" s="706" t="s">
        <v>3690</v>
      </c>
      <c r="Q8" s="706"/>
      <c r="R8" s="706"/>
      <c r="S8" s="706"/>
      <c r="T8" s="706"/>
      <c r="U8" s="706"/>
      <c r="V8" s="747"/>
      <c r="W8" s="735"/>
      <c r="X8" s="4321" t="s">
        <v>1441</v>
      </c>
      <c r="Y8" s="4322"/>
      <c r="Z8" s="4322"/>
      <c r="AA8" s="715">
        <v>0.43421415415834902</v>
      </c>
      <c r="AB8" s="706" t="s">
        <v>3690</v>
      </c>
      <c r="AC8" s="711"/>
      <c r="AD8" s="711"/>
      <c r="AE8" s="711"/>
      <c r="AF8" s="711"/>
      <c r="AG8" s="711"/>
      <c r="AH8" s="713"/>
      <c r="AI8" s="724"/>
    </row>
    <row r="9" spans="1:35" ht="22.5" customHeight="1" x14ac:dyDescent="0.25">
      <c r="A9" s="730"/>
      <c r="B9" s="731"/>
      <c r="C9" s="733"/>
      <c r="D9" s="711"/>
      <c r="E9" s="706"/>
      <c r="F9" s="706"/>
      <c r="G9" s="706"/>
      <c r="H9" s="706"/>
      <c r="I9" s="706"/>
      <c r="J9" s="747"/>
      <c r="K9" s="735"/>
      <c r="L9" s="4321" t="s">
        <v>1442</v>
      </c>
      <c r="M9" s="4322"/>
      <c r="N9" s="4322"/>
      <c r="O9" s="4325">
        <v>0.73741248949874005</v>
      </c>
      <c r="P9" s="4327" t="s">
        <v>3690</v>
      </c>
      <c r="Q9" s="706"/>
      <c r="R9" s="706"/>
      <c r="S9" s="706"/>
      <c r="T9" s="706"/>
      <c r="U9" s="706"/>
      <c r="V9" s="747"/>
      <c r="W9" s="735"/>
      <c r="X9" s="4321" t="s">
        <v>1443</v>
      </c>
      <c r="Y9" s="4322"/>
      <c r="Z9" s="4322"/>
      <c r="AA9" s="4317">
        <v>0.93800809758232595</v>
      </c>
      <c r="AB9" s="4302" t="s">
        <v>3690</v>
      </c>
      <c r="AC9" s="711"/>
      <c r="AD9" s="711"/>
      <c r="AE9" s="711"/>
      <c r="AF9" s="711"/>
      <c r="AG9" s="711"/>
      <c r="AH9" s="713"/>
      <c r="AI9" s="724"/>
    </row>
    <row r="10" spans="1:35" ht="54.75" customHeight="1" x14ac:dyDescent="0.25">
      <c r="A10" s="4321" t="s">
        <v>1444</v>
      </c>
      <c r="B10" s="4322"/>
      <c r="C10" s="4322"/>
      <c r="D10" s="1501">
        <v>6.7089974372130004E-2</v>
      </c>
      <c r="E10" s="1502" t="s">
        <v>3690</v>
      </c>
      <c r="F10" s="711"/>
      <c r="G10" s="711"/>
      <c r="H10" s="711"/>
      <c r="I10" s="711"/>
      <c r="J10" s="713"/>
      <c r="K10" s="735"/>
      <c r="L10" s="4321"/>
      <c r="M10" s="4322"/>
      <c r="N10" s="4322"/>
      <c r="O10" s="4325"/>
      <c r="P10" s="4327"/>
      <c r="Q10" s="706"/>
      <c r="R10" s="706"/>
      <c r="S10" s="706"/>
      <c r="T10" s="706"/>
      <c r="U10" s="706"/>
      <c r="V10" s="747"/>
      <c r="W10" s="735"/>
      <c r="X10" s="4321"/>
      <c r="Y10" s="4322"/>
      <c r="Z10" s="4322"/>
      <c r="AA10" s="4317"/>
      <c r="AB10" s="4302"/>
      <c r="AC10" s="711"/>
      <c r="AD10" s="711"/>
      <c r="AE10" s="711"/>
      <c r="AF10" s="711"/>
      <c r="AG10" s="711"/>
      <c r="AH10" s="713"/>
      <c r="AI10" s="724"/>
    </row>
    <row r="11" spans="1:35" ht="35.25" customHeight="1" x14ac:dyDescent="0.25">
      <c r="A11" s="4321" t="s">
        <v>1445</v>
      </c>
      <c r="B11" s="4322"/>
      <c r="C11" s="4322"/>
      <c r="D11" s="4332">
        <f>'8.1 Pob Urbana y Rural'!G50</f>
        <v>3.8750734746773041E-4</v>
      </c>
      <c r="E11" s="4334" t="s">
        <v>3667</v>
      </c>
      <c r="F11" s="4334"/>
      <c r="G11" s="706"/>
      <c r="H11" s="706"/>
      <c r="I11" s="706"/>
      <c r="J11" s="747"/>
      <c r="K11" s="735"/>
      <c r="L11" s="4321" t="s">
        <v>1446</v>
      </c>
      <c r="M11" s="4322"/>
      <c r="N11" s="4322"/>
      <c r="O11" s="1497">
        <v>0.95</v>
      </c>
      <c r="P11" s="711" t="s">
        <v>1447</v>
      </c>
      <c r="Q11" s="711"/>
      <c r="R11" s="711"/>
      <c r="S11" s="711"/>
      <c r="T11" s="711"/>
      <c r="U11" s="711"/>
      <c r="V11" s="713"/>
      <c r="W11" s="724"/>
      <c r="X11" s="4321" t="s">
        <v>1446</v>
      </c>
      <c r="Y11" s="4322"/>
      <c r="Z11" s="4322"/>
      <c r="AA11" s="1498">
        <v>1</v>
      </c>
      <c r="AB11" s="711" t="s">
        <v>1447</v>
      </c>
      <c r="AC11" s="711"/>
      <c r="AD11" s="711"/>
      <c r="AE11" s="711"/>
      <c r="AF11" s="711"/>
      <c r="AG11" s="711"/>
      <c r="AH11" s="713"/>
      <c r="AI11" s="724"/>
    </row>
    <row r="12" spans="1:35" ht="22.5" customHeight="1" x14ac:dyDescent="0.25">
      <c r="A12" s="4330"/>
      <c r="B12" s="4331"/>
      <c r="C12" s="4331"/>
      <c r="D12" s="4333"/>
      <c r="E12" s="4335"/>
      <c r="F12" s="4335"/>
      <c r="G12" s="742"/>
      <c r="H12" s="742"/>
      <c r="I12" s="742"/>
      <c r="J12" s="748"/>
      <c r="K12" s="735"/>
      <c r="L12" s="751"/>
      <c r="M12" s="752"/>
      <c r="N12" s="752"/>
      <c r="O12" s="753"/>
      <c r="P12" s="754"/>
      <c r="Q12" s="719"/>
      <c r="R12" s="4323"/>
      <c r="S12" s="4323"/>
      <c r="T12" s="4323"/>
      <c r="U12" s="4323"/>
      <c r="V12" s="4324"/>
      <c r="W12" s="734"/>
      <c r="X12" s="755"/>
      <c r="Y12" s="756"/>
      <c r="Z12" s="756"/>
      <c r="AA12" s="753"/>
      <c r="AB12" s="719"/>
      <c r="AC12" s="719"/>
      <c r="AD12" s="719"/>
      <c r="AE12" s="719"/>
      <c r="AF12" s="719"/>
      <c r="AG12" s="719"/>
      <c r="AH12" s="720"/>
      <c r="AI12" s="724"/>
    </row>
    <row r="13" spans="1:35" ht="11.25" customHeight="1" thickBot="1" x14ac:dyDescent="0.3">
      <c r="A13" s="726"/>
      <c r="B13" s="727"/>
      <c r="C13" s="728"/>
      <c r="D13" s="728"/>
      <c r="E13" s="728"/>
      <c r="F13" s="728"/>
      <c r="G13" s="728"/>
      <c r="H13" s="728"/>
      <c r="I13" s="728"/>
      <c r="J13" s="728"/>
      <c r="K13" s="729"/>
      <c r="L13" s="738"/>
      <c r="M13" s="728"/>
      <c r="N13" s="728"/>
      <c r="O13" s="728"/>
      <c r="P13" s="728"/>
      <c r="Q13" s="728"/>
      <c r="R13" s="728"/>
      <c r="S13" s="728"/>
      <c r="T13" s="728"/>
      <c r="U13" s="728"/>
      <c r="V13" s="728"/>
      <c r="W13" s="729"/>
      <c r="X13" s="728"/>
      <c r="Y13" s="728"/>
      <c r="Z13" s="728"/>
      <c r="AA13" s="728"/>
      <c r="AB13" s="728"/>
      <c r="AC13" s="728"/>
      <c r="AD13" s="728"/>
      <c r="AE13" s="728"/>
      <c r="AF13" s="728"/>
      <c r="AG13" s="728"/>
      <c r="AH13" s="728"/>
      <c r="AI13" s="729"/>
    </row>
    <row r="14" spans="1:35" ht="11.25" customHeight="1" x14ac:dyDescent="0.25">
      <c r="A14" s="688"/>
    </row>
    <row r="15" spans="1:35" ht="17.25" thickBot="1" x14ac:dyDescent="0.3"/>
    <row r="16" spans="1:35" ht="17.25" thickBot="1" x14ac:dyDescent="0.3">
      <c r="A16" s="4338" t="s">
        <v>0</v>
      </c>
      <c r="B16" s="4318"/>
      <c r="C16" s="4318"/>
      <c r="D16" s="4318"/>
      <c r="E16" s="4318"/>
      <c r="F16" s="4318"/>
      <c r="G16" s="4318"/>
      <c r="H16" s="4318"/>
      <c r="I16" s="4318"/>
      <c r="J16" s="4318"/>
      <c r="K16" s="4318"/>
      <c r="L16" s="4318" t="s">
        <v>1448</v>
      </c>
      <c r="M16" s="4318"/>
      <c r="N16" s="4318"/>
      <c r="O16" s="4318"/>
      <c r="P16" s="4318"/>
      <c r="Q16" s="4318"/>
      <c r="R16" s="4318"/>
      <c r="S16" s="4318"/>
      <c r="T16" s="4318"/>
      <c r="U16" s="4318"/>
      <c r="V16" s="4318"/>
      <c r="W16" s="4318"/>
      <c r="X16" s="4318" t="s">
        <v>1449</v>
      </c>
      <c r="Y16" s="4318"/>
      <c r="Z16" s="4318"/>
      <c r="AA16" s="4318"/>
      <c r="AB16" s="4318"/>
      <c r="AC16" s="4318"/>
      <c r="AD16" s="4318"/>
      <c r="AE16" s="4318"/>
      <c r="AF16" s="4318"/>
      <c r="AG16" s="4318"/>
      <c r="AH16" s="4318"/>
      <c r="AI16" s="4319"/>
    </row>
    <row r="17" spans="1:35" x14ac:dyDescent="0.25">
      <c r="A17" s="4336" t="s">
        <v>1450</v>
      </c>
      <c r="B17" s="4311"/>
      <c r="C17" s="4311"/>
      <c r="D17" s="4311"/>
      <c r="E17" s="4311"/>
      <c r="F17" s="4311"/>
      <c r="G17" s="4311"/>
      <c r="H17" s="4311"/>
      <c r="I17" s="4311"/>
      <c r="J17" s="4311"/>
      <c r="K17" s="4312"/>
      <c r="L17" s="4310" t="s">
        <v>1450</v>
      </c>
      <c r="M17" s="4311"/>
      <c r="N17" s="4311"/>
      <c r="O17" s="4311"/>
      <c r="P17" s="4311"/>
      <c r="Q17" s="4311"/>
      <c r="R17" s="4311"/>
      <c r="S17" s="4311"/>
      <c r="T17" s="4311"/>
      <c r="U17" s="4311"/>
      <c r="V17" s="4311"/>
      <c r="W17" s="4312"/>
      <c r="X17" s="4310" t="s">
        <v>1450</v>
      </c>
      <c r="Y17" s="4311"/>
      <c r="Z17" s="4311"/>
      <c r="AA17" s="4311"/>
      <c r="AB17" s="4311"/>
      <c r="AC17" s="4311"/>
      <c r="AD17" s="4311"/>
      <c r="AE17" s="4311"/>
      <c r="AF17" s="4311"/>
      <c r="AG17" s="4311"/>
      <c r="AH17" s="4311"/>
      <c r="AI17" s="4326"/>
    </row>
    <row r="18" spans="1:35" x14ac:dyDescent="0.25">
      <c r="A18" s="725"/>
      <c r="B18" s="716"/>
      <c r="C18" s="711"/>
      <c r="D18" s="711"/>
      <c r="E18" s="711"/>
      <c r="F18" s="711"/>
      <c r="G18" s="711"/>
      <c r="H18" s="711"/>
      <c r="I18" s="711"/>
      <c r="J18" s="711"/>
      <c r="K18" s="724"/>
      <c r="L18" s="737"/>
      <c r="M18" s="774"/>
      <c r="N18" s="711"/>
      <c r="O18" s="711"/>
      <c r="P18" s="711"/>
      <c r="Q18" s="711"/>
      <c r="R18" s="711"/>
      <c r="S18" s="711"/>
      <c r="T18" s="711"/>
      <c r="U18" s="711"/>
      <c r="V18" s="711"/>
      <c r="W18" s="724"/>
      <c r="X18" s="737"/>
      <c r="Y18" s="774"/>
      <c r="Z18" s="711"/>
      <c r="AA18" s="711"/>
      <c r="AB18" s="711"/>
      <c r="AC18" s="711"/>
      <c r="AD18" s="711"/>
      <c r="AE18" s="711"/>
      <c r="AF18" s="711"/>
      <c r="AG18" s="711"/>
      <c r="AH18" s="711"/>
      <c r="AI18" s="724"/>
    </row>
    <row r="19" spans="1:35" x14ac:dyDescent="0.25">
      <c r="A19" s="759" t="s">
        <v>1451</v>
      </c>
      <c r="B19" s="716"/>
      <c r="C19" s="711"/>
      <c r="D19" s="711"/>
      <c r="E19" s="711"/>
      <c r="F19" s="711"/>
      <c r="G19" s="711"/>
      <c r="H19" s="711"/>
      <c r="I19" s="711"/>
      <c r="J19" s="711"/>
      <c r="K19" s="724"/>
      <c r="L19" s="737"/>
      <c r="M19" s="774" t="s">
        <v>1451</v>
      </c>
      <c r="N19" s="711"/>
      <c r="O19" s="711"/>
      <c r="P19" s="711"/>
      <c r="Q19" s="711"/>
      <c r="R19" s="711"/>
      <c r="S19" s="711"/>
      <c r="T19" s="711"/>
      <c r="U19" s="711"/>
      <c r="V19" s="711"/>
      <c r="W19" s="724"/>
      <c r="X19" s="737"/>
      <c r="Y19" s="774" t="s">
        <v>1451</v>
      </c>
      <c r="Z19" s="711"/>
      <c r="AA19" s="711"/>
      <c r="AB19" s="711"/>
      <c r="AC19" s="711"/>
      <c r="AD19" s="711"/>
      <c r="AE19" s="711"/>
      <c r="AF19" s="711"/>
      <c r="AG19" s="711"/>
      <c r="AH19" s="711"/>
      <c r="AI19" s="724"/>
    </row>
    <row r="20" spans="1:35" ht="33" customHeight="1" x14ac:dyDescent="0.25">
      <c r="A20" s="4339" t="s">
        <v>1452</v>
      </c>
      <c r="B20" s="4340"/>
      <c r="C20" s="760">
        <f>+O20+AA20</f>
        <v>1821.1311596887722</v>
      </c>
      <c r="D20" s="761"/>
      <c r="E20" s="4341" t="s">
        <v>1431</v>
      </c>
      <c r="F20" s="4341"/>
      <c r="G20" s="4341"/>
      <c r="H20" s="718"/>
      <c r="I20" s="718"/>
      <c r="J20" s="718"/>
      <c r="K20" s="724"/>
      <c r="L20" s="737"/>
      <c r="M20" s="4316" t="s">
        <v>1453</v>
      </c>
      <c r="N20" s="4316"/>
      <c r="O20" s="760">
        <f>+O5</f>
        <v>711.11755272914593</v>
      </c>
      <c r="P20" s="711"/>
      <c r="Q20" s="4320" t="s">
        <v>1431</v>
      </c>
      <c r="R20" s="4320"/>
      <c r="S20" s="4320"/>
      <c r="T20" s="4320"/>
      <c r="U20" s="711"/>
      <c r="V20" s="711"/>
      <c r="W20" s="724"/>
      <c r="X20" s="737"/>
      <c r="Y20" s="4316" t="s">
        <v>1454</v>
      </c>
      <c r="Z20" s="4316"/>
      <c r="AA20" s="760">
        <f>+AA5</f>
        <v>1110.0136069596263</v>
      </c>
      <c r="AB20" s="711"/>
      <c r="AC20" s="4320" t="s">
        <v>1431</v>
      </c>
      <c r="AD20" s="4320"/>
      <c r="AE20" s="4320"/>
      <c r="AF20" s="4320"/>
      <c r="AG20" s="711"/>
      <c r="AH20" s="711"/>
      <c r="AI20" s="724"/>
    </row>
    <row r="21" spans="1:35" x14ac:dyDescent="0.25">
      <c r="A21" s="725"/>
      <c r="B21" s="716"/>
      <c r="C21" s="711"/>
      <c r="D21" s="711"/>
      <c r="E21" s="711"/>
      <c r="F21" s="711"/>
      <c r="G21" s="711"/>
      <c r="H21" s="711"/>
      <c r="I21" s="711"/>
      <c r="J21" s="711"/>
      <c r="K21" s="724"/>
      <c r="L21" s="737"/>
      <c r="M21" s="711"/>
      <c r="N21" s="711"/>
      <c r="O21" s="711"/>
      <c r="P21" s="711"/>
      <c r="Q21" s="711"/>
      <c r="R21" s="711"/>
      <c r="S21" s="711"/>
      <c r="T21" s="711"/>
      <c r="U21" s="711"/>
      <c r="V21" s="711"/>
      <c r="W21" s="724"/>
      <c r="X21" s="737"/>
      <c r="Y21" s="711"/>
      <c r="Z21" s="711"/>
      <c r="AA21" s="711"/>
      <c r="AB21" s="711"/>
      <c r="AC21" s="711"/>
      <c r="AD21" s="711"/>
      <c r="AE21" s="711"/>
      <c r="AF21" s="711"/>
      <c r="AG21" s="711"/>
      <c r="AH21" s="711"/>
      <c r="AI21" s="724"/>
    </row>
    <row r="22" spans="1:35" x14ac:dyDescent="0.25">
      <c r="A22" s="759" t="s">
        <v>1455</v>
      </c>
      <c r="B22" s="716"/>
      <c r="C22" s="711"/>
      <c r="D22" s="711"/>
      <c r="E22" s="711"/>
      <c r="F22" s="711"/>
      <c r="G22" s="711"/>
      <c r="H22" s="711"/>
      <c r="I22" s="711"/>
      <c r="J22" s="711"/>
      <c r="K22" s="724"/>
      <c r="L22" s="737"/>
      <c r="M22" s="774" t="s">
        <v>1455</v>
      </c>
      <c r="N22" s="711"/>
      <c r="O22" s="711"/>
      <c r="P22" s="711"/>
      <c r="Q22" s="711"/>
      <c r="R22" s="711"/>
      <c r="S22" s="711"/>
      <c r="T22" s="711"/>
      <c r="U22" s="711"/>
      <c r="V22" s="711"/>
      <c r="W22" s="724"/>
      <c r="X22" s="737"/>
      <c r="Y22" s="774" t="s">
        <v>1455</v>
      </c>
      <c r="Z22" s="711"/>
      <c r="AA22" s="711"/>
      <c r="AB22" s="711"/>
      <c r="AC22" s="711"/>
      <c r="AD22" s="711"/>
      <c r="AE22" s="711"/>
      <c r="AF22" s="711"/>
      <c r="AG22" s="711"/>
      <c r="AH22" s="711"/>
      <c r="AI22" s="724"/>
    </row>
    <row r="23" spans="1:35" ht="36.75" customHeight="1" x14ac:dyDescent="0.25">
      <c r="A23" s="762" t="s">
        <v>1456</v>
      </c>
      <c r="B23" s="717">
        <f>+C23/C20</f>
        <v>0.66259881901136464</v>
      </c>
      <c r="C23" s="763">
        <f>+O23+AA23</f>
        <v>1206.6793556745774</v>
      </c>
      <c r="D23" s="764"/>
      <c r="E23" s="765"/>
      <c r="F23" s="711"/>
      <c r="G23" s="711"/>
      <c r="H23" s="711"/>
      <c r="I23" s="711"/>
      <c r="J23" s="711"/>
      <c r="K23" s="724"/>
      <c r="L23" s="737"/>
      <c r="M23" s="775" t="s">
        <v>1457</v>
      </c>
      <c r="N23" s="776">
        <f>+O7</f>
        <v>0.61579522770138273</v>
      </c>
      <c r="O23" s="777">
        <f>+N23*O20</f>
        <v>437.90279530529443</v>
      </c>
      <c r="P23" s="711"/>
      <c r="Q23" s="712" t="s">
        <v>1458</v>
      </c>
      <c r="R23" s="711"/>
      <c r="S23" s="711"/>
      <c r="T23" s="711"/>
      <c r="U23" s="711"/>
      <c r="V23" s="711"/>
      <c r="W23" s="724"/>
      <c r="X23" s="737"/>
      <c r="Y23" s="775" t="s">
        <v>1459</v>
      </c>
      <c r="Z23" s="776">
        <f>+AA7</f>
        <v>0.69258300578404097</v>
      </c>
      <c r="AA23" s="764">
        <f>+Z23*AA20</f>
        <v>768.77656036928306</v>
      </c>
      <c r="AB23" s="711"/>
      <c r="AC23" s="712" t="s">
        <v>1460</v>
      </c>
      <c r="AD23" s="711"/>
      <c r="AE23" s="711"/>
      <c r="AF23" s="711"/>
      <c r="AG23" s="711"/>
      <c r="AH23" s="711"/>
      <c r="AI23" s="724"/>
    </row>
    <row r="24" spans="1:35" ht="16.5" customHeight="1" x14ac:dyDescent="0.25">
      <c r="A24" s="4337"/>
      <c r="B24" s="4316"/>
      <c r="C24" s="766"/>
      <c r="D24" s="764"/>
      <c r="E24" s="765"/>
      <c r="F24" s="711"/>
      <c r="G24" s="711"/>
      <c r="H24" s="711"/>
      <c r="I24" s="711"/>
      <c r="J24" s="711"/>
      <c r="K24" s="724"/>
      <c r="L24" s="737"/>
      <c r="M24" s="4316"/>
      <c r="N24" s="4316"/>
      <c r="O24" s="764"/>
      <c r="P24" s="711"/>
      <c r="Q24" s="712"/>
      <c r="R24" s="711"/>
      <c r="S24" s="711"/>
      <c r="T24" s="711"/>
      <c r="U24" s="711"/>
      <c r="V24" s="711"/>
      <c r="W24" s="724"/>
      <c r="X24" s="737"/>
      <c r="Y24" s="4316"/>
      <c r="Z24" s="4316"/>
      <c r="AA24" s="764"/>
      <c r="AB24" s="711"/>
      <c r="AC24" s="712"/>
      <c r="AD24" s="711"/>
      <c r="AE24" s="711"/>
      <c r="AF24" s="711"/>
      <c r="AG24" s="711"/>
      <c r="AH24" s="711"/>
      <c r="AI24" s="724"/>
    </row>
    <row r="25" spans="1:35" ht="27" customHeight="1" x14ac:dyDescent="0.25">
      <c r="A25" s="767" t="s">
        <v>1461</v>
      </c>
      <c r="B25" s="758"/>
      <c r="C25" s="766"/>
      <c r="D25" s="764"/>
      <c r="E25" s="765"/>
      <c r="F25" s="711"/>
      <c r="G25" s="711"/>
      <c r="H25" s="711"/>
      <c r="I25" s="711"/>
      <c r="J25" s="711"/>
      <c r="K25" s="724"/>
      <c r="L25" s="737"/>
      <c r="M25" s="774" t="s">
        <v>1461</v>
      </c>
      <c r="N25" s="711"/>
      <c r="O25" s="711"/>
      <c r="P25" s="711"/>
      <c r="Q25" s="712"/>
      <c r="R25" s="711"/>
      <c r="S25" s="711"/>
      <c r="T25" s="711"/>
      <c r="U25" s="711"/>
      <c r="V25" s="711"/>
      <c r="W25" s="724"/>
      <c r="X25" s="737"/>
      <c r="Y25" s="774" t="s">
        <v>1461</v>
      </c>
      <c r="Z25" s="711"/>
      <c r="AA25" s="711"/>
      <c r="AB25" s="711"/>
      <c r="AC25" s="712"/>
      <c r="AD25" s="711"/>
      <c r="AE25" s="711"/>
      <c r="AF25" s="711"/>
      <c r="AG25" s="711"/>
      <c r="AH25" s="711"/>
      <c r="AI25" s="724"/>
    </row>
    <row r="26" spans="1:35" ht="30.75" customHeight="1" x14ac:dyDescent="0.25">
      <c r="A26" s="762" t="s">
        <v>1462</v>
      </c>
      <c r="B26" s="717">
        <f>+C26/C23</f>
        <v>0.38533841560512672</v>
      </c>
      <c r="C26" s="766">
        <f>+O26+AA26</f>
        <v>464.97991105905686</v>
      </c>
      <c r="D26" s="764"/>
      <c r="E26" s="765"/>
      <c r="F26" s="711"/>
      <c r="G26" s="711"/>
      <c r="H26" s="711"/>
      <c r="I26" s="711"/>
      <c r="J26" s="711"/>
      <c r="K26" s="724"/>
      <c r="L26" s="737"/>
      <c r="M26" s="775" t="s">
        <v>1463</v>
      </c>
      <c r="N26" s="1514">
        <f>O8</f>
        <v>0.299532792591785</v>
      </c>
      <c r="O26" s="772">
        <f>+N26*O23</f>
        <v>131.16624716154365</v>
      </c>
      <c r="P26" s="711"/>
      <c r="Q26" s="712" t="s">
        <v>1458</v>
      </c>
      <c r="R26" s="711"/>
      <c r="S26" s="711"/>
      <c r="T26" s="711"/>
      <c r="U26" s="711"/>
      <c r="V26" s="711"/>
      <c r="W26" s="724"/>
      <c r="X26" s="737"/>
      <c r="Y26" s="775" t="s">
        <v>1464</v>
      </c>
      <c r="Z26" s="776">
        <f>AA8</f>
        <v>0.43421415415834902</v>
      </c>
      <c r="AA26" s="772">
        <f>+Z26*AA23</f>
        <v>333.81366389751321</v>
      </c>
      <c r="AB26" s="711"/>
      <c r="AC26" s="712" t="s">
        <v>1460</v>
      </c>
      <c r="AD26" s="711"/>
      <c r="AE26" s="711"/>
      <c r="AF26" s="711"/>
      <c r="AG26" s="711"/>
      <c r="AH26" s="711"/>
      <c r="AI26" s="724"/>
    </row>
    <row r="27" spans="1:35" ht="45" customHeight="1" x14ac:dyDescent="0.25">
      <c r="A27" s="762" t="s">
        <v>1465</v>
      </c>
      <c r="B27" s="717">
        <f>+C27/C26</f>
        <v>0.98589549311250946</v>
      </c>
      <c r="C27" s="766">
        <f>+O27+AA27</f>
        <v>458.42159870097964</v>
      </c>
      <c r="D27" s="711"/>
      <c r="E27" s="761"/>
      <c r="F27" s="711"/>
      <c r="G27" s="711"/>
      <c r="H27" s="711"/>
      <c r="I27" s="711"/>
      <c r="J27" s="711"/>
      <c r="K27" s="724"/>
      <c r="L27" s="737"/>
      <c r="M27" s="775" t="s">
        <v>1466</v>
      </c>
      <c r="N27" s="717">
        <f>+O11</f>
        <v>0.95</v>
      </c>
      <c r="O27" s="772">
        <f>+O26*N27</f>
        <v>124.60793480346646</v>
      </c>
      <c r="P27" s="711"/>
      <c r="Q27" s="712" t="s">
        <v>1458</v>
      </c>
      <c r="R27" s="711"/>
      <c r="S27" s="711"/>
      <c r="T27" s="711"/>
      <c r="U27" s="711"/>
      <c r="V27" s="711"/>
      <c r="W27" s="724"/>
      <c r="X27" s="737"/>
      <c r="Y27" s="775" t="s">
        <v>1467</v>
      </c>
      <c r="Z27" s="1496">
        <f>+AA11</f>
        <v>1</v>
      </c>
      <c r="AA27" s="772">
        <f>+AA26*Z27</f>
        <v>333.81366389751321</v>
      </c>
      <c r="AB27" s="711"/>
      <c r="AC27" s="712" t="s">
        <v>1460</v>
      </c>
      <c r="AD27" s="711"/>
      <c r="AE27" s="711"/>
      <c r="AF27" s="711"/>
      <c r="AG27" s="711"/>
      <c r="AH27" s="711"/>
      <c r="AI27" s="724"/>
    </row>
    <row r="28" spans="1:35" ht="24.75" customHeight="1" x14ac:dyDescent="0.25">
      <c r="A28" s="762"/>
      <c r="B28" s="717"/>
      <c r="C28" s="760"/>
      <c r="D28" s="711"/>
      <c r="E28" s="711"/>
      <c r="F28" s="711"/>
      <c r="G28" s="711"/>
      <c r="H28" s="711"/>
      <c r="I28" s="711"/>
      <c r="J28" s="711"/>
      <c r="K28" s="724"/>
      <c r="L28" s="737"/>
      <c r="M28" s="775"/>
      <c r="N28" s="717"/>
      <c r="O28" s="772"/>
      <c r="P28" s="711"/>
      <c r="Q28" s="711"/>
      <c r="R28" s="711"/>
      <c r="S28" s="711"/>
      <c r="T28" s="711"/>
      <c r="U28" s="711"/>
      <c r="V28" s="711"/>
      <c r="W28" s="724"/>
      <c r="X28" s="737"/>
      <c r="Y28" s="775"/>
      <c r="Z28" s="717"/>
      <c r="AA28" s="772"/>
      <c r="AB28" s="711"/>
      <c r="AC28" s="711"/>
      <c r="AD28" s="711"/>
      <c r="AE28" s="711"/>
      <c r="AF28" s="711"/>
      <c r="AG28" s="711"/>
      <c r="AH28" s="711"/>
      <c r="AI28" s="724"/>
    </row>
    <row r="29" spans="1:35" x14ac:dyDescent="0.25">
      <c r="A29" s="782" t="s">
        <v>1468</v>
      </c>
      <c r="B29" s="783"/>
      <c r="C29" s="733"/>
      <c r="D29" s="733"/>
      <c r="E29" s="733"/>
      <c r="F29" s="733"/>
      <c r="G29" s="733"/>
      <c r="H29" s="733"/>
      <c r="I29" s="733"/>
      <c r="J29" s="733"/>
      <c r="K29" s="784"/>
      <c r="L29" s="4313" t="s">
        <v>1468</v>
      </c>
      <c r="M29" s="4314"/>
      <c r="N29" s="4314"/>
      <c r="O29" s="4314"/>
      <c r="P29" s="4314"/>
      <c r="Q29" s="4314"/>
      <c r="R29" s="4314"/>
      <c r="S29" s="4314"/>
      <c r="T29" s="4314"/>
      <c r="U29" s="4314"/>
      <c r="V29" s="4314"/>
      <c r="W29" s="4315"/>
      <c r="X29" s="4313" t="s">
        <v>1468</v>
      </c>
      <c r="Y29" s="4314"/>
      <c r="Z29" s="4314"/>
      <c r="AA29" s="4314"/>
      <c r="AB29" s="4314"/>
      <c r="AC29" s="4314"/>
      <c r="AD29" s="4314"/>
      <c r="AE29" s="4314"/>
      <c r="AF29" s="4314"/>
      <c r="AG29" s="4314"/>
      <c r="AH29" s="4314"/>
      <c r="AI29" s="4315"/>
    </row>
    <row r="30" spans="1:35" x14ac:dyDescent="0.25">
      <c r="A30" s="759"/>
      <c r="B30" s="716"/>
      <c r="C30" s="711"/>
      <c r="D30" s="711"/>
      <c r="E30" s="711"/>
      <c r="F30" s="711"/>
      <c r="G30" s="711"/>
      <c r="H30" s="711"/>
      <c r="I30" s="711"/>
      <c r="J30" s="711"/>
      <c r="K30" s="724"/>
      <c r="L30" s="737"/>
      <c r="M30" s="774"/>
      <c r="N30" s="711"/>
      <c r="O30" s="711"/>
      <c r="P30" s="711"/>
      <c r="Q30" s="711"/>
      <c r="R30" s="711"/>
      <c r="S30" s="711"/>
      <c r="T30" s="711"/>
      <c r="U30" s="711"/>
      <c r="V30" s="711"/>
      <c r="W30" s="724"/>
      <c r="X30" s="737"/>
      <c r="Y30" s="774"/>
      <c r="Z30" s="711"/>
      <c r="AA30" s="711"/>
      <c r="AB30" s="711"/>
      <c r="AC30" s="711"/>
      <c r="AD30" s="711"/>
      <c r="AE30" s="711"/>
      <c r="AF30" s="711"/>
      <c r="AG30" s="711"/>
      <c r="AH30" s="711"/>
      <c r="AI30" s="724"/>
    </row>
    <row r="31" spans="1:35" x14ac:dyDescent="0.25">
      <c r="A31" s="737" t="s">
        <v>1469</v>
      </c>
      <c r="B31" s="716"/>
      <c r="C31" s="711"/>
      <c r="D31" s="711"/>
      <c r="E31" s="711"/>
      <c r="F31" s="711"/>
      <c r="G31" s="711"/>
      <c r="H31" s="711"/>
      <c r="I31" s="711"/>
      <c r="J31" s="711"/>
      <c r="K31" s="724"/>
      <c r="L31" s="737"/>
      <c r="M31" s="711" t="s">
        <v>1469</v>
      </c>
      <c r="N31" s="711"/>
      <c r="O31" s="711"/>
      <c r="P31" s="711"/>
      <c r="Q31" s="711"/>
      <c r="R31" s="711"/>
      <c r="S31" s="711"/>
      <c r="T31" s="711"/>
      <c r="U31" s="711"/>
      <c r="V31" s="711"/>
      <c r="W31" s="724"/>
      <c r="X31" s="737"/>
      <c r="Y31" s="711" t="s">
        <v>1469</v>
      </c>
      <c r="Z31" s="711"/>
      <c r="AA31" s="711"/>
      <c r="AB31" s="711"/>
      <c r="AC31" s="711"/>
      <c r="AD31" s="711"/>
      <c r="AE31" s="711"/>
      <c r="AF31" s="711"/>
      <c r="AG31" s="711"/>
      <c r="AH31" s="711"/>
      <c r="AI31" s="724"/>
    </row>
    <row r="32" spans="1:35" ht="76.5" customHeight="1" x14ac:dyDescent="0.25">
      <c r="A32" s="762" t="s">
        <v>1470</v>
      </c>
      <c r="B32" s="768">
        <f>+C32/C23</f>
        <v>0.61466158439487328</v>
      </c>
      <c r="C32" s="769">
        <f>+O32+AA32</f>
        <v>741.69944461552063</v>
      </c>
      <c r="D32" s="711"/>
      <c r="E32" s="711"/>
      <c r="F32" s="711"/>
      <c r="G32" s="711"/>
      <c r="H32" s="711"/>
      <c r="I32" s="711"/>
      <c r="J32" s="711"/>
      <c r="K32" s="724"/>
      <c r="L32" s="737"/>
      <c r="M32" s="775" t="s">
        <v>1470</v>
      </c>
      <c r="N32" s="778">
        <f>100%-N26</f>
        <v>0.700467207408215</v>
      </c>
      <c r="O32" s="769">
        <f>+N32*O23</f>
        <v>306.73654814375078</v>
      </c>
      <c r="P32" s="770"/>
      <c r="Q32" s="711"/>
      <c r="R32" s="711"/>
      <c r="S32" s="711"/>
      <c r="T32" s="711"/>
      <c r="U32" s="711"/>
      <c r="V32" s="711"/>
      <c r="W32" s="724"/>
      <c r="X32" s="737"/>
      <c r="Y32" s="775" t="s">
        <v>1470</v>
      </c>
      <c r="Z32" s="778">
        <f>100%-Z26</f>
        <v>0.56578584584165093</v>
      </c>
      <c r="AA32" s="769">
        <f>+Z32*AA23</f>
        <v>434.96289647176985</v>
      </c>
      <c r="AB32" s="770"/>
      <c r="AC32" s="711"/>
      <c r="AD32" s="711"/>
      <c r="AE32" s="711"/>
      <c r="AF32" s="711"/>
      <c r="AG32" s="711"/>
      <c r="AH32" s="711"/>
      <c r="AI32" s="724"/>
    </row>
    <row r="33" spans="1:35" ht="35.25" customHeight="1" x14ac:dyDescent="0.25">
      <c r="A33" s="762" t="s">
        <v>1471</v>
      </c>
      <c r="B33" s="768">
        <f>+C33/C32</f>
        <v>0.9793220454477517</v>
      </c>
      <c r="C33" s="769">
        <f>+O33+AA33</f>
        <v>726.36261720833306</v>
      </c>
      <c r="D33" s="711"/>
      <c r="E33" s="711"/>
      <c r="F33" s="711"/>
      <c r="G33" s="711"/>
      <c r="H33" s="711"/>
      <c r="I33" s="711"/>
      <c r="J33" s="711"/>
      <c r="K33" s="724"/>
      <c r="L33" s="737"/>
      <c r="M33" s="775" t="s">
        <v>1471</v>
      </c>
      <c r="N33" s="768">
        <f>+O11</f>
        <v>0.95</v>
      </c>
      <c r="O33" s="766">
        <f>+O32*N33</f>
        <v>291.39972073656321</v>
      </c>
      <c r="P33" s="711"/>
      <c r="Q33" s="712"/>
      <c r="R33" s="711"/>
      <c r="S33" s="711"/>
      <c r="T33" s="711"/>
      <c r="U33" s="711"/>
      <c r="V33" s="711"/>
      <c r="W33" s="724"/>
      <c r="X33" s="737"/>
      <c r="Y33" s="775" t="s">
        <v>1471</v>
      </c>
      <c r="Z33" s="768">
        <f>+AA11</f>
        <v>1</v>
      </c>
      <c r="AA33" s="766">
        <f>+AA32*Z33</f>
        <v>434.96289647176985</v>
      </c>
      <c r="AB33" s="711"/>
      <c r="AC33" s="712"/>
      <c r="AD33" s="711"/>
      <c r="AE33" s="711"/>
      <c r="AF33" s="711"/>
      <c r="AG33" s="711"/>
      <c r="AH33" s="711"/>
      <c r="AI33" s="724"/>
    </row>
    <row r="34" spans="1:35" ht="48.75" customHeight="1" x14ac:dyDescent="0.25">
      <c r="A34" s="762" t="s">
        <v>1472</v>
      </c>
      <c r="B34" s="768">
        <f>+C34/C33</f>
        <v>0</v>
      </c>
      <c r="C34" s="769">
        <f>+O34+AA34</f>
        <v>0</v>
      </c>
      <c r="D34" s="711"/>
      <c r="E34" s="711"/>
      <c r="F34" s="711"/>
      <c r="G34" s="711"/>
      <c r="H34" s="711"/>
      <c r="I34" s="711"/>
      <c r="J34" s="711"/>
      <c r="K34" s="724"/>
      <c r="L34" s="737"/>
      <c r="M34" s="775" t="s">
        <v>1472</v>
      </c>
      <c r="N34" s="768">
        <v>0</v>
      </c>
      <c r="O34" s="779">
        <f>+O33*N34</f>
        <v>0</v>
      </c>
      <c r="P34" s="711"/>
      <c r="Q34" s="712"/>
      <c r="R34" s="711"/>
      <c r="S34" s="711"/>
      <c r="T34" s="711"/>
      <c r="U34" s="711"/>
      <c r="V34" s="711"/>
      <c r="W34" s="724"/>
      <c r="X34" s="737"/>
      <c r="Y34" s="775" t="s">
        <v>1472</v>
      </c>
      <c r="Z34" s="768">
        <v>0</v>
      </c>
      <c r="AA34" s="779">
        <f>+AA33*Z34</f>
        <v>0</v>
      </c>
      <c r="AB34" s="711"/>
      <c r="AC34" s="712"/>
      <c r="AD34" s="711"/>
      <c r="AE34" s="711"/>
      <c r="AF34" s="711"/>
      <c r="AG34" s="711"/>
      <c r="AH34" s="711"/>
      <c r="AI34" s="724"/>
    </row>
    <row r="35" spans="1:35" x14ac:dyDescent="0.25">
      <c r="A35" s="759"/>
      <c r="B35" s="716"/>
      <c r="C35" s="711"/>
      <c r="D35" s="711"/>
      <c r="E35" s="711"/>
      <c r="F35" s="711"/>
      <c r="G35" s="711"/>
      <c r="H35" s="711"/>
      <c r="I35" s="711"/>
      <c r="J35" s="711"/>
      <c r="K35" s="724"/>
      <c r="L35" s="737"/>
      <c r="M35" s="4301"/>
      <c r="N35" s="4301"/>
      <c r="O35" s="711"/>
      <c r="P35" s="711"/>
      <c r="Q35" s="711"/>
      <c r="R35" s="711"/>
      <c r="S35" s="711"/>
      <c r="T35" s="711"/>
      <c r="U35" s="711"/>
      <c r="V35" s="711"/>
      <c r="W35" s="724"/>
      <c r="X35" s="737"/>
      <c r="Y35" s="4301"/>
      <c r="Z35" s="4301"/>
      <c r="AA35" s="711"/>
      <c r="AB35" s="711"/>
      <c r="AC35" s="711"/>
      <c r="AD35" s="711"/>
      <c r="AE35" s="711"/>
      <c r="AF35" s="711"/>
      <c r="AG35" s="711"/>
      <c r="AH35" s="711"/>
      <c r="AI35" s="724"/>
    </row>
    <row r="36" spans="1:35" x14ac:dyDescent="0.25">
      <c r="A36" s="736" t="s">
        <v>1473</v>
      </c>
      <c r="B36" s="716"/>
      <c r="C36" s="711"/>
      <c r="D36" s="711"/>
      <c r="E36" s="711"/>
      <c r="F36" s="711"/>
      <c r="G36" s="711"/>
      <c r="H36" s="711"/>
      <c r="I36" s="711"/>
      <c r="J36" s="711"/>
      <c r="K36" s="724"/>
      <c r="L36" s="737"/>
      <c r="M36" s="707" t="s">
        <v>1473</v>
      </c>
      <c r="N36" s="716"/>
      <c r="O36" s="711"/>
      <c r="P36" s="711"/>
      <c r="Q36" s="711"/>
      <c r="R36" s="711"/>
      <c r="S36" s="711"/>
      <c r="T36" s="711"/>
      <c r="U36" s="711"/>
      <c r="V36" s="711"/>
      <c r="W36" s="724"/>
      <c r="X36" s="737"/>
      <c r="Y36" s="707" t="s">
        <v>1473</v>
      </c>
      <c r="Z36" s="716"/>
      <c r="AA36" s="711"/>
      <c r="AB36" s="711"/>
      <c r="AC36" s="711"/>
      <c r="AD36" s="711"/>
      <c r="AE36" s="711"/>
      <c r="AF36" s="711"/>
      <c r="AG36" s="711"/>
      <c r="AH36" s="711"/>
      <c r="AI36" s="724"/>
    </row>
    <row r="37" spans="1:35" ht="47.25" customHeight="1" x14ac:dyDescent="0.25">
      <c r="A37" s="4337" t="s">
        <v>1474</v>
      </c>
      <c r="B37" s="4316"/>
      <c r="C37" s="764">
        <f>+O37+AA37</f>
        <v>122.17964283180712</v>
      </c>
      <c r="D37" s="711"/>
      <c r="E37" s="711"/>
      <c r="F37" s="711"/>
      <c r="G37" s="711"/>
      <c r="H37" s="711"/>
      <c r="I37" s="711"/>
      <c r="J37" s="711"/>
      <c r="K37" s="724"/>
      <c r="L37" s="737"/>
      <c r="M37" s="4316" t="s">
        <v>1475</v>
      </c>
      <c r="N37" s="4316"/>
      <c r="O37" s="764">
        <f>+O5*D10</f>
        <v>47.708858388170206</v>
      </c>
      <c r="P37" s="712"/>
      <c r="Q37" s="712" t="s">
        <v>1476</v>
      </c>
      <c r="R37" s="711"/>
      <c r="S37" s="711"/>
      <c r="T37" s="711"/>
      <c r="U37" s="711"/>
      <c r="V37" s="711"/>
      <c r="W37" s="724"/>
      <c r="X37" s="737"/>
      <c r="Y37" s="4316" t="s">
        <v>1477</v>
      </c>
      <c r="Z37" s="4316"/>
      <c r="AA37" s="764">
        <f>+AA5*D10</f>
        <v>74.470784443636916</v>
      </c>
      <c r="AB37" s="712"/>
      <c r="AC37" s="712" t="s">
        <v>1476</v>
      </c>
      <c r="AD37" s="711"/>
      <c r="AE37" s="711"/>
      <c r="AF37" s="711"/>
      <c r="AG37" s="711"/>
      <c r="AH37" s="711"/>
      <c r="AI37" s="724"/>
    </row>
    <row r="38" spans="1:35" ht="33" x14ac:dyDescent="0.25">
      <c r="A38" s="762" t="s">
        <v>1471</v>
      </c>
      <c r="B38" s="768">
        <f>+C38/C37</f>
        <v>0.98047593801945954</v>
      </c>
      <c r="C38" s="764">
        <f>+O38+AA38</f>
        <v>119.79419991239861</v>
      </c>
      <c r="D38" s="711"/>
      <c r="E38" s="711"/>
      <c r="F38" s="711"/>
      <c r="G38" s="711"/>
      <c r="H38" s="711"/>
      <c r="I38" s="711"/>
      <c r="J38" s="711"/>
      <c r="K38" s="724"/>
      <c r="L38" s="737"/>
      <c r="M38" s="775" t="s">
        <v>1471</v>
      </c>
      <c r="N38" s="768">
        <f>+N33</f>
        <v>0.95</v>
      </c>
      <c r="O38" s="1500">
        <f>+O37*N38</f>
        <v>45.323415468761695</v>
      </c>
      <c r="P38" s="711"/>
      <c r="Q38" s="711"/>
      <c r="R38" s="711"/>
      <c r="S38" s="711"/>
      <c r="T38" s="711"/>
      <c r="U38" s="711"/>
      <c r="V38" s="711"/>
      <c r="W38" s="724"/>
      <c r="X38" s="737"/>
      <c r="Y38" s="775" t="s">
        <v>1471</v>
      </c>
      <c r="Z38" s="768">
        <f>+Z33</f>
        <v>1</v>
      </c>
      <c r="AA38" s="1500">
        <f>+AA37*Z38</f>
        <v>74.470784443636916</v>
      </c>
      <c r="AB38" s="711"/>
      <c r="AC38" s="711"/>
      <c r="AD38" s="711"/>
      <c r="AE38" s="711"/>
      <c r="AF38" s="711"/>
      <c r="AG38" s="711"/>
      <c r="AH38" s="711"/>
      <c r="AI38" s="724"/>
    </row>
    <row r="39" spans="1:35" x14ac:dyDescent="0.25">
      <c r="A39" s="737"/>
      <c r="B39" s="711"/>
      <c r="C39" s="711"/>
      <c r="D39" s="711"/>
      <c r="E39" s="711"/>
      <c r="F39" s="711"/>
      <c r="G39" s="711"/>
      <c r="H39" s="711"/>
      <c r="I39" s="711"/>
      <c r="J39" s="711"/>
      <c r="K39" s="724"/>
      <c r="L39" s="737"/>
      <c r="M39" s="711"/>
      <c r="N39" s="711"/>
      <c r="O39" s="711"/>
      <c r="P39" s="711"/>
      <c r="Q39" s="711"/>
      <c r="R39" s="711"/>
      <c r="S39" s="711"/>
      <c r="T39" s="711"/>
      <c r="U39" s="711"/>
      <c r="V39" s="711"/>
      <c r="W39" s="724"/>
      <c r="X39" s="737"/>
      <c r="Y39" s="711"/>
      <c r="Z39" s="711"/>
      <c r="AA39" s="711"/>
      <c r="AB39" s="711"/>
      <c r="AC39" s="711"/>
      <c r="AD39" s="711"/>
      <c r="AE39" s="711"/>
      <c r="AF39" s="711"/>
      <c r="AG39" s="711"/>
      <c r="AH39" s="711"/>
      <c r="AI39" s="724"/>
    </row>
    <row r="40" spans="1:35" ht="29.25" customHeight="1" x14ac:dyDescent="0.25">
      <c r="A40" s="4342" t="s">
        <v>1478</v>
      </c>
      <c r="B40" s="4343"/>
      <c r="C40" s="764">
        <f>+O40+AA40</f>
        <v>119.79419991239861</v>
      </c>
      <c r="D40" s="711"/>
      <c r="E40" s="711"/>
      <c r="F40" s="711"/>
      <c r="G40" s="711"/>
      <c r="H40" s="711"/>
      <c r="I40" s="711"/>
      <c r="J40" s="711"/>
      <c r="K40" s="724"/>
      <c r="L40" s="737"/>
      <c r="M40" s="4316" t="s">
        <v>1478</v>
      </c>
      <c r="N40" s="4316"/>
      <c r="O40" s="764">
        <f>+O34+O38</f>
        <v>45.323415468761695</v>
      </c>
      <c r="P40" s="711"/>
      <c r="Q40" s="711"/>
      <c r="R40" s="711"/>
      <c r="S40" s="711"/>
      <c r="T40" s="711"/>
      <c r="U40" s="711"/>
      <c r="V40" s="711"/>
      <c r="W40" s="724"/>
      <c r="X40" s="737"/>
      <c r="Y40" s="4316" t="s">
        <v>1478</v>
      </c>
      <c r="Z40" s="4316"/>
      <c r="AA40" s="764">
        <f>+AA34+AA38</f>
        <v>74.470784443636916</v>
      </c>
      <c r="AB40" s="711"/>
      <c r="AC40" s="711"/>
      <c r="AD40" s="711"/>
      <c r="AE40" s="711"/>
      <c r="AF40" s="711"/>
      <c r="AG40" s="711"/>
      <c r="AH40" s="711"/>
      <c r="AI40" s="724"/>
    </row>
    <row r="41" spans="1:35" ht="29.25" customHeight="1" x14ac:dyDescent="0.25">
      <c r="A41" s="759"/>
      <c r="B41" s="716"/>
      <c r="C41" s="711"/>
      <c r="D41" s="711"/>
      <c r="E41" s="711"/>
      <c r="F41" s="711"/>
      <c r="G41" s="711"/>
      <c r="H41" s="711"/>
      <c r="I41" s="711"/>
      <c r="J41" s="711"/>
      <c r="K41" s="724"/>
      <c r="L41" s="737"/>
      <c r="M41" s="775"/>
      <c r="N41" s="775"/>
      <c r="O41" s="764"/>
      <c r="P41" s="711"/>
      <c r="Q41" s="711"/>
      <c r="R41" s="711"/>
      <c r="S41" s="711"/>
      <c r="T41" s="711"/>
      <c r="U41" s="711"/>
      <c r="V41" s="711"/>
      <c r="W41" s="724"/>
      <c r="X41" s="737"/>
      <c r="Y41" s="775"/>
      <c r="Z41" s="775"/>
      <c r="AA41" s="764"/>
      <c r="AB41" s="711"/>
      <c r="AC41" s="711"/>
      <c r="AD41" s="711"/>
      <c r="AE41" s="711"/>
      <c r="AF41" s="711"/>
      <c r="AG41" s="711"/>
      <c r="AH41" s="711"/>
      <c r="AI41" s="724"/>
    </row>
    <row r="42" spans="1:35" x14ac:dyDescent="0.25">
      <c r="A42" s="782" t="s">
        <v>1479</v>
      </c>
      <c r="B42" s="733"/>
      <c r="C42" s="733"/>
      <c r="D42" s="733"/>
      <c r="E42" s="733"/>
      <c r="F42" s="733"/>
      <c r="G42" s="733"/>
      <c r="H42" s="733"/>
      <c r="I42" s="733"/>
      <c r="J42" s="733"/>
      <c r="K42" s="784"/>
      <c r="L42" s="4313" t="s">
        <v>1479</v>
      </c>
      <c r="M42" s="4314"/>
      <c r="N42" s="4314"/>
      <c r="O42" s="4314"/>
      <c r="P42" s="4314"/>
      <c r="Q42" s="4314"/>
      <c r="R42" s="4314"/>
      <c r="S42" s="4314"/>
      <c r="T42" s="4314"/>
      <c r="U42" s="4314"/>
      <c r="V42" s="4314"/>
      <c r="W42" s="4315"/>
      <c r="X42" s="4313" t="s">
        <v>1479</v>
      </c>
      <c r="Y42" s="4314"/>
      <c r="Z42" s="4314"/>
      <c r="AA42" s="4314"/>
      <c r="AB42" s="4314"/>
      <c r="AC42" s="4314"/>
      <c r="AD42" s="4314"/>
      <c r="AE42" s="4314"/>
      <c r="AF42" s="4314"/>
      <c r="AG42" s="4314"/>
      <c r="AH42" s="4314"/>
      <c r="AI42" s="4315"/>
    </row>
    <row r="43" spans="1:35" x14ac:dyDescent="0.25">
      <c r="A43" s="759"/>
      <c r="B43" s="711"/>
      <c r="C43" s="711"/>
      <c r="D43" s="711"/>
      <c r="E43" s="711"/>
      <c r="F43" s="711"/>
      <c r="G43" s="711"/>
      <c r="H43" s="711"/>
      <c r="J43" s="711"/>
      <c r="K43" s="724"/>
      <c r="L43" s="737"/>
      <c r="M43" s="774"/>
      <c r="N43" s="711"/>
      <c r="O43" s="711"/>
      <c r="P43" s="711"/>
      <c r="Q43" s="711"/>
      <c r="R43" s="711"/>
      <c r="S43" s="711"/>
      <c r="T43" s="711"/>
      <c r="U43" s="711"/>
      <c r="V43" s="711"/>
      <c r="W43" s="724"/>
      <c r="X43" s="737"/>
      <c r="Y43" s="774"/>
      <c r="Z43" s="711"/>
      <c r="AA43" s="711"/>
      <c r="AB43" s="711"/>
      <c r="AC43" s="711"/>
      <c r="AD43" s="711"/>
      <c r="AE43" s="711"/>
      <c r="AF43" s="711"/>
      <c r="AG43" s="711"/>
      <c r="AH43" s="711"/>
      <c r="AI43" s="724"/>
    </row>
    <row r="44" spans="1:35" ht="31.5" customHeight="1" x14ac:dyDescent="0.25">
      <c r="A44" s="4339" t="s">
        <v>1480</v>
      </c>
      <c r="B44" s="4340"/>
      <c r="C44" s="764">
        <f>+O44+AA44</f>
        <v>458.42159870097964</v>
      </c>
      <c r="D44" s="711"/>
      <c r="E44" s="711"/>
      <c r="F44" s="711"/>
      <c r="G44" s="711"/>
      <c r="H44" s="711"/>
      <c r="I44" s="786">
        <v>0.68</v>
      </c>
      <c r="J44" s="711"/>
      <c r="K44" s="724"/>
      <c r="L44" s="737"/>
      <c r="M44" s="4340" t="s">
        <v>1480</v>
      </c>
      <c r="N44" s="4340"/>
      <c r="O44" s="1500">
        <f>+O27</f>
        <v>124.60793480346646</v>
      </c>
      <c r="P44" s="711"/>
      <c r="Q44" s="711"/>
      <c r="R44" s="711"/>
      <c r="S44" s="711"/>
      <c r="T44" s="711"/>
      <c r="U44" s="711"/>
      <c r="V44" s="711"/>
      <c r="W44" s="724"/>
      <c r="X44" s="737"/>
      <c r="Y44" s="4340" t="s">
        <v>1480</v>
      </c>
      <c r="Z44" s="4340"/>
      <c r="AA44" s="1500">
        <f>+AA27</f>
        <v>333.81366389751321</v>
      </c>
      <c r="AB44" s="711"/>
      <c r="AC44" s="711"/>
      <c r="AD44" s="711"/>
      <c r="AE44" s="711"/>
      <c r="AF44" s="711"/>
      <c r="AG44" s="711"/>
      <c r="AH44" s="711"/>
      <c r="AI44" s="724"/>
    </row>
    <row r="45" spans="1:35" ht="34.5" customHeight="1" x14ac:dyDescent="0.25">
      <c r="A45" s="4339" t="s">
        <v>1481</v>
      </c>
      <c r="B45" s="4340"/>
      <c r="C45" s="764">
        <f>+O45+AA45</f>
        <v>119.79419991239861</v>
      </c>
      <c r="D45" s="711"/>
      <c r="E45" s="711"/>
      <c r="F45" s="711"/>
      <c r="G45" s="711"/>
      <c r="H45" s="711"/>
      <c r="I45" s="785">
        <v>0.69</v>
      </c>
      <c r="J45" s="711"/>
      <c r="K45" s="724"/>
      <c r="L45" s="737"/>
      <c r="M45" s="4340" t="s">
        <v>1481</v>
      </c>
      <c r="N45" s="4340"/>
      <c r="O45" s="764">
        <f>+O40</f>
        <v>45.323415468761695</v>
      </c>
      <c r="P45" s="711"/>
      <c r="Q45" s="711"/>
      <c r="R45" s="711"/>
      <c r="S45" s="711"/>
      <c r="T45" s="711"/>
      <c r="U45" s="711"/>
      <c r="V45" s="711"/>
      <c r="W45" s="724"/>
      <c r="X45" s="737"/>
      <c r="Y45" s="4340" t="s">
        <v>1481</v>
      </c>
      <c r="Z45" s="4340"/>
      <c r="AA45" s="764">
        <f>+AA40</f>
        <v>74.470784443636916</v>
      </c>
      <c r="AB45" s="711"/>
      <c r="AC45" s="711"/>
      <c r="AD45" s="711"/>
      <c r="AE45" s="711"/>
      <c r="AF45" s="711"/>
      <c r="AG45" s="711"/>
      <c r="AH45" s="711"/>
      <c r="AI45" s="724"/>
    </row>
    <row r="46" spans="1:35" ht="30" customHeight="1" x14ac:dyDescent="0.25">
      <c r="A46" s="4339" t="s">
        <v>1482</v>
      </c>
      <c r="B46" s="4340"/>
      <c r="C46" s="764">
        <f>+O46+AA46</f>
        <v>578.21579861337818</v>
      </c>
      <c r="D46" s="711"/>
      <c r="E46" s="711"/>
      <c r="F46" s="711"/>
      <c r="G46" s="711"/>
      <c r="H46" s="711"/>
      <c r="I46" s="785">
        <v>0.75</v>
      </c>
      <c r="J46" s="711"/>
      <c r="K46" s="724"/>
      <c r="L46" s="737"/>
      <c r="M46" s="4340" t="s">
        <v>1482</v>
      </c>
      <c r="N46" s="4340"/>
      <c r="O46" s="764">
        <f>+O44+O45</f>
        <v>169.93135027222814</v>
      </c>
      <c r="P46" s="711"/>
      <c r="Q46" s="711"/>
      <c r="R46" s="711"/>
      <c r="S46" s="711"/>
      <c r="T46" s="711"/>
      <c r="U46" s="711"/>
      <c r="V46" s="711"/>
      <c r="W46" s="724"/>
      <c r="X46" s="737"/>
      <c r="Y46" s="4340" t="s">
        <v>1482</v>
      </c>
      <c r="Z46" s="4340"/>
      <c r="AA46" s="764">
        <f>+AA44+AA45</f>
        <v>408.2844483411501</v>
      </c>
      <c r="AB46" s="711"/>
      <c r="AC46" s="711"/>
      <c r="AD46" s="711"/>
      <c r="AE46" s="711"/>
      <c r="AF46" s="711"/>
      <c r="AG46" s="711"/>
      <c r="AH46" s="711"/>
      <c r="AI46" s="724"/>
    </row>
    <row r="47" spans="1:35" ht="24.75" customHeight="1" x14ac:dyDescent="0.25">
      <c r="A47" s="725"/>
      <c r="B47" s="716"/>
      <c r="C47" s="711"/>
      <c r="D47" s="711"/>
      <c r="E47" s="711"/>
      <c r="F47" s="711"/>
      <c r="G47" s="711"/>
      <c r="H47" s="711"/>
      <c r="I47" s="711"/>
      <c r="J47" s="711"/>
      <c r="K47" s="724"/>
      <c r="L47" s="737"/>
      <c r="M47" s="711"/>
      <c r="N47" s="716"/>
      <c r="O47" s="711"/>
      <c r="P47" s="711"/>
      <c r="Q47" s="711"/>
      <c r="R47" s="711"/>
      <c r="S47" s="711"/>
      <c r="T47" s="711"/>
      <c r="U47" s="711"/>
      <c r="V47" s="711"/>
      <c r="W47" s="724"/>
      <c r="X47" s="737"/>
      <c r="Y47" s="711"/>
      <c r="Z47" s="716"/>
      <c r="AA47" s="711"/>
      <c r="AB47" s="711"/>
      <c r="AC47" s="711"/>
      <c r="AD47" s="711"/>
      <c r="AE47" s="711"/>
      <c r="AF47" s="711"/>
      <c r="AG47" s="711"/>
      <c r="AH47" s="711"/>
      <c r="AI47" s="724"/>
    </row>
    <row r="48" spans="1:35" x14ac:dyDescent="0.25">
      <c r="A48" s="782" t="s">
        <v>1483</v>
      </c>
      <c r="B48" s="783"/>
      <c r="C48" s="733"/>
      <c r="D48" s="733"/>
      <c r="E48" s="733"/>
      <c r="F48" s="733"/>
      <c r="G48" s="733"/>
      <c r="H48" s="733"/>
      <c r="I48" s="733"/>
      <c r="J48" s="733"/>
      <c r="K48" s="784"/>
      <c r="L48" s="4313" t="s">
        <v>1483</v>
      </c>
      <c r="M48" s="4314"/>
      <c r="N48" s="4314"/>
      <c r="O48" s="4314"/>
      <c r="P48" s="4314"/>
      <c r="Q48" s="4314"/>
      <c r="R48" s="4314"/>
      <c r="S48" s="4314"/>
      <c r="T48" s="4314"/>
      <c r="U48" s="4314"/>
      <c r="V48" s="4314"/>
      <c r="W48" s="4315"/>
      <c r="X48" s="4313" t="s">
        <v>1483</v>
      </c>
      <c r="Y48" s="4314"/>
      <c r="Z48" s="4314"/>
      <c r="AA48" s="4314"/>
      <c r="AB48" s="4314"/>
      <c r="AC48" s="4314"/>
      <c r="AD48" s="4314"/>
      <c r="AE48" s="4314"/>
      <c r="AF48" s="4314"/>
      <c r="AG48" s="4314"/>
      <c r="AH48" s="4314"/>
      <c r="AI48" s="4315"/>
    </row>
    <row r="49" spans="1:35" x14ac:dyDescent="0.25">
      <c r="A49" s="725"/>
      <c r="B49" s="711"/>
      <c r="C49" s="711"/>
      <c r="D49" s="711"/>
      <c r="E49" s="711"/>
      <c r="F49" s="711"/>
      <c r="G49" s="711"/>
      <c r="H49" s="711"/>
      <c r="I49" s="711"/>
      <c r="J49" s="711"/>
      <c r="K49" s="724"/>
      <c r="L49" s="737"/>
      <c r="M49" s="711"/>
      <c r="N49" s="711"/>
      <c r="O49" s="711"/>
      <c r="P49" s="711"/>
      <c r="Q49" s="711"/>
      <c r="R49" s="711"/>
      <c r="S49" s="711"/>
      <c r="T49" s="711"/>
      <c r="U49" s="711"/>
      <c r="V49" s="711"/>
      <c r="W49" s="724"/>
      <c r="X49" s="737"/>
      <c r="Y49" s="711"/>
      <c r="Z49" s="711"/>
      <c r="AA49" s="711"/>
      <c r="AB49" s="711"/>
      <c r="AC49" s="711"/>
      <c r="AD49" s="711"/>
      <c r="AE49" s="711"/>
      <c r="AF49" s="711"/>
      <c r="AG49" s="711"/>
      <c r="AH49" s="711"/>
      <c r="AI49" s="724"/>
    </row>
    <row r="50" spans="1:35" ht="87" customHeight="1" x14ac:dyDescent="0.25">
      <c r="A50" s="789" t="s">
        <v>1484</v>
      </c>
      <c r="B50" s="787">
        <f>D11</f>
        <v>3.8750734746773041E-4</v>
      </c>
      <c r="C50" s="711"/>
      <c r="D50" s="711"/>
      <c r="E50" s="711"/>
      <c r="F50" s="711"/>
      <c r="G50" s="711"/>
      <c r="H50" s="711"/>
      <c r="I50" s="711"/>
      <c r="J50" s="711"/>
      <c r="K50" s="724"/>
      <c r="L50" s="737"/>
      <c r="M50" s="789" t="s">
        <v>1484</v>
      </c>
      <c r="N50" s="787">
        <f>+D11</f>
        <v>3.8750734746773041E-4</v>
      </c>
      <c r="O50" s="711"/>
      <c r="P50" s="4344" t="s">
        <v>1393</v>
      </c>
      <c r="Q50" s="4344"/>
      <c r="R50" s="788">
        <f>'No busq ATC'!O30</f>
        <v>-3.8431001709052479E-6</v>
      </c>
      <c r="S50" s="711"/>
      <c r="T50" s="711"/>
      <c r="U50" s="711"/>
      <c r="V50" s="711"/>
      <c r="W50" s="724"/>
      <c r="X50" s="737"/>
      <c r="Y50" s="789" t="s">
        <v>1484</v>
      </c>
      <c r="Z50" s="787">
        <f>+D11</f>
        <v>3.8750734746773041E-4</v>
      </c>
      <c r="AA50" s="711"/>
      <c r="AB50" s="4344" t="s">
        <v>1424</v>
      </c>
      <c r="AC50" s="4344"/>
      <c r="AD50" s="788">
        <f>'No busq ATC'!O40</f>
        <v>5.5144868224684951E-3</v>
      </c>
      <c r="AE50" s="711"/>
      <c r="AF50" s="711"/>
      <c r="AG50" s="711"/>
      <c r="AH50" s="711"/>
      <c r="AI50" s="724"/>
    </row>
    <row r="51" spans="1:35" ht="17.25" thickBot="1" x14ac:dyDescent="0.3">
      <c r="A51" s="725"/>
      <c r="B51" s="716"/>
      <c r="C51" s="711"/>
      <c r="D51" s="711"/>
      <c r="E51" s="711"/>
      <c r="F51" s="711"/>
      <c r="G51" s="711"/>
      <c r="H51" s="711"/>
      <c r="I51" s="711"/>
      <c r="J51" s="711"/>
      <c r="K51" s="724"/>
      <c r="L51" s="737"/>
      <c r="M51" s="711"/>
      <c r="N51" s="711"/>
      <c r="O51" s="711"/>
      <c r="P51" s="711"/>
      <c r="Q51" s="711"/>
      <c r="R51" s="711"/>
      <c r="S51" s="711"/>
      <c r="T51" s="711"/>
      <c r="U51" s="711"/>
      <c r="V51" s="711"/>
      <c r="W51" s="724"/>
      <c r="X51" s="737"/>
      <c r="Y51" s="711"/>
      <c r="Z51" s="711"/>
      <c r="AA51" s="711"/>
      <c r="AB51" s="711"/>
      <c r="AC51" s="711"/>
      <c r="AD51" s="711"/>
      <c r="AE51" s="711"/>
      <c r="AF51" s="711"/>
      <c r="AG51" s="711"/>
      <c r="AH51" s="711"/>
      <c r="AI51" s="724"/>
    </row>
    <row r="52" spans="1:35" ht="50.25" customHeight="1" thickBot="1" x14ac:dyDescent="0.3">
      <c r="A52" s="791" t="s">
        <v>1485</v>
      </c>
      <c r="B52" s="792" t="s">
        <v>1486</v>
      </c>
      <c r="C52" s="792" t="s">
        <v>1456</v>
      </c>
      <c r="D52" s="793" t="s">
        <v>1487</v>
      </c>
      <c r="E52" s="792" t="s">
        <v>1488</v>
      </c>
      <c r="F52" s="793" t="s">
        <v>1489</v>
      </c>
      <c r="G52" s="793" t="s">
        <v>1490</v>
      </c>
      <c r="H52" s="792" t="s">
        <v>1491</v>
      </c>
      <c r="I52" s="794" t="s">
        <v>1492</v>
      </c>
      <c r="J52" s="711"/>
      <c r="K52" s="724"/>
      <c r="L52" s="737"/>
      <c r="M52" s="791" t="s">
        <v>1485</v>
      </c>
      <c r="N52" s="792" t="s">
        <v>1486</v>
      </c>
      <c r="O52" s="792" t="s">
        <v>1456</v>
      </c>
      <c r="P52" s="793" t="s">
        <v>1487</v>
      </c>
      <c r="Q52" s="792" t="s">
        <v>1488</v>
      </c>
      <c r="R52" s="793" t="s">
        <v>1489</v>
      </c>
      <c r="S52" s="793" t="s">
        <v>1490</v>
      </c>
      <c r="T52" s="792" t="s">
        <v>1491</v>
      </c>
      <c r="U52" s="794" t="s">
        <v>1492</v>
      </c>
      <c r="V52" s="711"/>
      <c r="W52" s="724"/>
      <c r="X52" s="737"/>
      <c r="Y52" s="791" t="s">
        <v>1485</v>
      </c>
      <c r="Z52" s="792" t="s">
        <v>1486</v>
      </c>
      <c r="AA52" s="792" t="s">
        <v>1456</v>
      </c>
      <c r="AB52" s="793" t="s">
        <v>1487</v>
      </c>
      <c r="AC52" s="792" t="s">
        <v>1488</v>
      </c>
      <c r="AD52" s="793" t="s">
        <v>1489</v>
      </c>
      <c r="AE52" s="793" t="s">
        <v>1490</v>
      </c>
      <c r="AF52" s="792" t="s">
        <v>1491</v>
      </c>
      <c r="AG52" s="794" t="s">
        <v>1492</v>
      </c>
      <c r="AH52" s="711"/>
      <c r="AI52" s="724"/>
    </row>
    <row r="53" spans="1:35" ht="17.25" thickBot="1" x14ac:dyDescent="0.3">
      <c r="A53" s="790">
        <v>2018</v>
      </c>
      <c r="B53" s="797">
        <f>+N53+Z53</f>
        <v>1821.1311596887722</v>
      </c>
      <c r="C53" s="797">
        <f>+O53+AA53</f>
        <v>1206.6793556745774</v>
      </c>
      <c r="D53" s="797">
        <f>+P53+AB53</f>
        <v>741.69944461552063</v>
      </c>
      <c r="E53" s="796">
        <f>+D53/C53</f>
        <v>0.61466158439487328</v>
      </c>
      <c r="F53" s="796">
        <f>+G53/C53</f>
        <v>0.61466158439487328</v>
      </c>
      <c r="G53" s="796">
        <f>+S53+AE53</f>
        <v>741.69944461552063</v>
      </c>
      <c r="H53" s="796">
        <f t="shared" ref="H53:H69" si="0">+T53+AF53</f>
        <v>0</v>
      </c>
      <c r="I53" s="798">
        <f t="shared" ref="I53:I69" si="1">+H53/D53</f>
        <v>0</v>
      </c>
      <c r="J53" s="711"/>
      <c r="K53" s="724"/>
      <c r="L53" s="737"/>
      <c r="M53" s="790">
        <v>2018</v>
      </c>
      <c r="N53" s="797">
        <f>+O5</f>
        <v>711.11755272914593</v>
      </c>
      <c r="O53" s="797">
        <f>+N53*O$7</f>
        <v>437.90279530529443</v>
      </c>
      <c r="P53" s="797">
        <f>+O53*N32</f>
        <v>306.73654814375078</v>
      </c>
      <c r="Q53" s="796">
        <f>+P53/O53</f>
        <v>0.700467207408215</v>
      </c>
      <c r="R53" s="796">
        <f>+Q53</f>
        <v>0.700467207408215</v>
      </c>
      <c r="S53" s="796">
        <f>+O53*R53</f>
        <v>306.73654814375078</v>
      </c>
      <c r="T53" s="796">
        <f>+P53-S53</f>
        <v>0</v>
      </c>
      <c r="U53" s="798">
        <f>+T53/P53</f>
        <v>0</v>
      </c>
      <c r="V53" s="711"/>
      <c r="W53" s="724"/>
      <c r="X53" s="737"/>
      <c r="Y53" s="790">
        <v>2018</v>
      </c>
      <c r="Z53" s="797">
        <f>+AA5</f>
        <v>1110.0136069596263</v>
      </c>
      <c r="AA53" s="797">
        <f>+Z53*AA$7</f>
        <v>768.77656036928306</v>
      </c>
      <c r="AB53" s="797">
        <f>+AA53*Z32</f>
        <v>434.96289647176985</v>
      </c>
      <c r="AC53" s="796">
        <f>+AB53/AA53</f>
        <v>0.56578584584165093</v>
      </c>
      <c r="AD53" s="796">
        <f>+AC53</f>
        <v>0.56578584584165093</v>
      </c>
      <c r="AE53" s="796">
        <f>+AA53*AD53</f>
        <v>434.96289647176985</v>
      </c>
      <c r="AF53" s="796">
        <f>+AB53-AE53</f>
        <v>0</v>
      </c>
      <c r="AG53" s="798">
        <f>+AF53/AB53</f>
        <v>0</v>
      </c>
      <c r="AH53" s="711"/>
      <c r="AI53" s="724"/>
    </row>
    <row r="54" spans="1:35" ht="17.25" thickBot="1" x14ac:dyDescent="0.3">
      <c r="A54" s="790">
        <f>A53+1</f>
        <v>2019</v>
      </c>
      <c r="B54" s="797">
        <f t="shared" ref="B54:D69" si="2">+N54+Z54</f>
        <v>1821.8368613938542</v>
      </c>
      <c r="C54" s="797">
        <f t="shared" si="2"/>
        <v>1207.1469527909392</v>
      </c>
      <c r="D54" s="797">
        <f t="shared" si="2"/>
        <v>741.9868585999219</v>
      </c>
      <c r="E54" s="796">
        <f t="shared" ref="E54:E69" si="3">+D54/C54</f>
        <v>0.61466158439487317</v>
      </c>
      <c r="F54" s="796">
        <f>+G54/C54</f>
        <v>0.61114969427481514</v>
      </c>
      <c r="G54" s="796">
        <f t="shared" ref="G54:G69" si="4">+S54+AE54</f>
        <v>737.74749114295719</v>
      </c>
      <c r="H54" s="796">
        <f t="shared" si="0"/>
        <v>4.2393674569647146</v>
      </c>
      <c r="I54" s="798">
        <f t="shared" si="1"/>
        <v>5.7135344215719789E-3</v>
      </c>
      <c r="J54" s="711"/>
      <c r="K54" s="724"/>
      <c r="L54" s="737"/>
      <c r="M54" s="790">
        <f>M53+1</f>
        <v>2019</v>
      </c>
      <c r="N54" s="797">
        <f t="shared" ref="N54:N69" si="5">+N53*(1+$Z$50)</f>
        <v>711.39311600574172</v>
      </c>
      <c r="O54" s="797">
        <f t="shared" ref="O54:O69" si="6">+N54*O$7</f>
        <v>438.07248585595192</v>
      </c>
      <c r="P54" s="797">
        <f>+P53*(1+$Z$50)</f>
        <v>306.85541080989339</v>
      </c>
      <c r="Q54" s="796">
        <f t="shared" ref="Q54:Q69" si="7">+P54/O54</f>
        <v>0.700467207408215</v>
      </c>
      <c r="R54" s="796">
        <f>+R53-R$50</f>
        <v>0.70047105050838587</v>
      </c>
      <c r="S54" s="796">
        <f t="shared" ref="S54:S69" si="8">+O54*R54</f>
        <v>306.85709436633863</v>
      </c>
      <c r="T54" s="796">
        <f>+P54-S54</f>
        <v>-1.6835564452435392E-3</v>
      </c>
      <c r="U54" s="798">
        <f>+T54/P54</f>
        <v>-5.4864812088536241E-6</v>
      </c>
      <c r="V54" s="711"/>
      <c r="W54" s="724"/>
      <c r="X54" s="737"/>
      <c r="Y54" s="796">
        <f>Y53+1</f>
        <v>2019</v>
      </c>
      <c r="Z54" s="797">
        <f t="shared" ref="Z54:Z69" si="9">+Z53*(1+$Z$50)</f>
        <v>1110.4437453881123</v>
      </c>
      <c r="AA54" s="797">
        <f t="shared" ref="AA54:AA69" si="10">+Z54*AA$7</f>
        <v>769.07446693498719</v>
      </c>
      <c r="AB54" s="797">
        <f t="shared" ref="AB54:AB69" si="11">+AB53*(1+$Z$50)</f>
        <v>435.13144779002852</v>
      </c>
      <c r="AC54" s="796">
        <f t="shared" ref="AC54:AC69" si="12">+AB54/AA54</f>
        <v>0.56578584584165093</v>
      </c>
      <c r="AD54" s="796">
        <f>+AD53-AD$50</f>
        <v>0.56027135901918246</v>
      </c>
      <c r="AE54" s="796">
        <f t="shared" ref="AE54:AE69" si="13">+AA54*AD54</f>
        <v>430.89039677661856</v>
      </c>
      <c r="AF54" s="796">
        <f>+AB54-AE54</f>
        <v>4.2410510134099582</v>
      </c>
      <c r="AG54" s="798">
        <f>+AF54/AB54</f>
        <v>9.7465973442040568E-3</v>
      </c>
      <c r="AH54" s="711"/>
      <c r="AI54" s="724"/>
    </row>
    <row r="55" spans="1:35" ht="17.25" thickBot="1" x14ac:dyDescent="0.3">
      <c r="A55" s="795">
        <f t="shared" ref="A55:A69" si="14">A54+1</f>
        <v>2020</v>
      </c>
      <c r="B55" s="799">
        <f t="shared" si="2"/>
        <v>1822.5428365635316</v>
      </c>
      <c r="C55" s="799">
        <f t="shared" si="2"/>
        <v>1207.6147311046188</v>
      </c>
      <c r="D55" s="799">
        <f t="shared" si="2"/>
        <v>742.27438395935383</v>
      </c>
      <c r="E55" s="811">
        <f t="shared" si="3"/>
        <v>0.61466158439487328</v>
      </c>
      <c r="F55" s="811">
        <f>+G55/C55</f>
        <v>0.60763780415475721</v>
      </c>
      <c r="G55" s="811">
        <f t="shared" si="4"/>
        <v>733.79236347334813</v>
      </c>
      <c r="H55" s="811">
        <f t="shared" si="0"/>
        <v>8.4820204860057515</v>
      </c>
      <c r="I55" s="812">
        <f t="shared" si="1"/>
        <v>1.1427068843143883E-2</v>
      </c>
      <c r="J55" s="711"/>
      <c r="K55" s="724"/>
      <c r="L55" s="737">
        <v>1</v>
      </c>
      <c r="M55" s="795">
        <f t="shared" ref="M55:M69" si="15">M54+1</f>
        <v>2020</v>
      </c>
      <c r="N55" s="799">
        <f t="shared" si="5"/>
        <v>711.66878606513194</v>
      </c>
      <c r="O55" s="799">
        <f t="shared" si="6"/>
        <v>438.24224216294454</v>
      </c>
      <c r="P55" s="799">
        <f t="shared" ref="P55:P69" si="16">+P54*(1+$Z$50)</f>
        <v>306.97431953619247</v>
      </c>
      <c r="Q55" s="811">
        <f t="shared" si="7"/>
        <v>0.700467207408215</v>
      </c>
      <c r="R55" s="811">
        <f>+R54-R$50</f>
        <v>0.70047489360855675</v>
      </c>
      <c r="S55" s="811">
        <f t="shared" si="8"/>
        <v>306.97768795386395</v>
      </c>
      <c r="T55" s="811">
        <f>+P55-S55</f>
        <v>-3.3684176714814384E-3</v>
      </c>
      <c r="U55" s="812">
        <f>+T55/P55</f>
        <v>-1.0972962417738334E-5</v>
      </c>
      <c r="V55" s="711"/>
      <c r="W55" s="724"/>
      <c r="X55" s="737"/>
      <c r="Y55" s="811">
        <f t="shared" ref="Y55:Y69" si="17">Y54+1</f>
        <v>2020</v>
      </c>
      <c r="Z55" s="799">
        <f t="shared" si="9"/>
        <v>1110.8740504983998</v>
      </c>
      <c r="AA55" s="799">
        <f t="shared" si="10"/>
        <v>769.37248894167431</v>
      </c>
      <c r="AB55" s="799">
        <f t="shared" si="11"/>
        <v>435.30006442316142</v>
      </c>
      <c r="AC55" s="811">
        <f t="shared" si="12"/>
        <v>0.56578584584165093</v>
      </c>
      <c r="AD55" s="811">
        <f>+AD54-AD$50</f>
        <v>0.55475687219671399</v>
      </c>
      <c r="AE55" s="811">
        <f t="shared" si="13"/>
        <v>426.81467551948418</v>
      </c>
      <c r="AF55" s="811">
        <f>+AB55-AE55</f>
        <v>8.485388903677233</v>
      </c>
      <c r="AG55" s="812">
        <f>+AF55/AB55</f>
        <v>1.9493194688408006E-2</v>
      </c>
      <c r="AH55" s="711"/>
      <c r="AI55" s="724"/>
    </row>
    <row r="56" spans="1:35" ht="17.25" thickBot="1" x14ac:dyDescent="0.3">
      <c r="A56" s="795">
        <f t="shared" si="14"/>
        <v>2021</v>
      </c>
      <c r="B56" s="799">
        <f t="shared" si="2"/>
        <v>1823.2490853037748</v>
      </c>
      <c r="C56" s="799">
        <f t="shared" si="2"/>
        <v>1208.0826906858322</v>
      </c>
      <c r="D56" s="799">
        <f t="shared" si="2"/>
        <v>742.56202073697523</v>
      </c>
      <c r="E56" s="811">
        <f t="shared" si="3"/>
        <v>0.61466158439487328</v>
      </c>
      <c r="F56" s="811">
        <f>+G56/C56</f>
        <v>0.60412591403469906</v>
      </c>
      <c r="G56" s="811">
        <f t="shared" si="4"/>
        <v>729.83405974007701</v>
      </c>
      <c r="H56" s="811">
        <f t="shared" si="0"/>
        <v>12.727960996898219</v>
      </c>
      <c r="I56" s="812">
        <f t="shared" si="1"/>
        <v>1.7140603264715878E-2</v>
      </c>
      <c r="J56" s="711"/>
      <c r="K56" s="724"/>
      <c r="L56" s="737">
        <v>2</v>
      </c>
      <c r="M56" s="795">
        <f t="shared" si="15"/>
        <v>2021</v>
      </c>
      <c r="N56" s="799">
        <f t="shared" si="5"/>
        <v>711.94456294869565</v>
      </c>
      <c r="O56" s="799">
        <f t="shared" si="6"/>
        <v>438.41206425175346</v>
      </c>
      <c r="P56" s="799">
        <f t="shared" si="16"/>
        <v>307.09327434049663</v>
      </c>
      <c r="Q56" s="811">
        <f t="shared" si="7"/>
        <v>0.70046720740821489</v>
      </c>
      <c r="R56" s="811">
        <f t="shared" ref="R56:R69" si="18">+R55-R$50</f>
        <v>0.70047873670872762</v>
      </c>
      <c r="S56" s="811">
        <f t="shared" si="8"/>
        <v>307.09832892493381</v>
      </c>
      <c r="T56" s="811">
        <f>+P56-S56</f>
        <v>-5.0545844371754356E-3</v>
      </c>
      <c r="U56" s="812">
        <f>+T56/P56</f>
        <v>-1.6459443626795455E-5</v>
      </c>
      <c r="V56" s="711"/>
      <c r="W56" s="724"/>
      <c r="X56" s="737"/>
      <c r="Y56" s="811">
        <f t="shared" si="17"/>
        <v>2021</v>
      </c>
      <c r="Z56" s="799">
        <f t="shared" si="9"/>
        <v>1111.3045223550791</v>
      </c>
      <c r="AA56" s="799">
        <f t="shared" si="10"/>
        <v>769.67062643407871</v>
      </c>
      <c r="AB56" s="799">
        <f t="shared" si="11"/>
        <v>435.46874639647859</v>
      </c>
      <c r="AC56" s="811">
        <f t="shared" si="12"/>
        <v>0.56578584584165093</v>
      </c>
      <c r="AD56" s="811">
        <f>+AD55-AD$50</f>
        <v>0.54924238537424552</v>
      </c>
      <c r="AE56" s="811">
        <f t="shared" si="13"/>
        <v>422.7357308151432</v>
      </c>
      <c r="AF56" s="811">
        <f>+AB56-AE56</f>
        <v>12.733015581335394</v>
      </c>
      <c r="AG56" s="812">
        <f>+AF56/AB56</f>
        <v>2.9239792032612236E-2</v>
      </c>
      <c r="AH56" s="711"/>
      <c r="AI56" s="724"/>
    </row>
    <row r="57" spans="1:35" ht="17.25" thickBot="1" x14ac:dyDescent="0.3">
      <c r="A57" s="795">
        <f t="shared" si="14"/>
        <v>2022</v>
      </c>
      <c r="B57" s="799">
        <f t="shared" si="2"/>
        <v>1823.9556077205939</v>
      </c>
      <c r="C57" s="799">
        <f t="shared" si="2"/>
        <v>1208.5508316048215</v>
      </c>
      <c r="D57" s="799">
        <f t="shared" si="2"/>
        <v>742.8497689759613</v>
      </c>
      <c r="E57" s="811">
        <f t="shared" si="3"/>
        <v>0.61466158439487328</v>
      </c>
      <c r="F57" s="811">
        <f t="shared" ref="F57:F69" si="19">+G57/C57</f>
        <v>0.60061402391464103</v>
      </c>
      <c r="G57" s="811">
        <f t="shared" si="4"/>
        <v>725.8725780755575</v>
      </c>
      <c r="H57" s="811">
        <f t="shared" si="0"/>
        <v>16.977190900403798</v>
      </c>
      <c r="I57" s="812">
        <f t="shared" si="1"/>
        <v>2.2854137686287929E-2</v>
      </c>
      <c r="J57" s="711"/>
      <c r="K57" s="724"/>
      <c r="L57" s="737">
        <v>3</v>
      </c>
      <c r="M57" s="795">
        <f t="shared" si="15"/>
        <v>2022</v>
      </c>
      <c r="N57" s="799">
        <f t="shared" si="5"/>
        <v>712.22044669782792</v>
      </c>
      <c r="O57" s="799">
        <f t="shared" si="6"/>
        <v>438.58195214786946</v>
      </c>
      <c r="P57" s="799">
        <f t="shared" si="16"/>
        <v>307.21227524066148</v>
      </c>
      <c r="Q57" s="811">
        <f t="shared" si="7"/>
        <v>0.700467207408215</v>
      </c>
      <c r="R57" s="811">
        <f t="shared" si="18"/>
        <v>0.7004825798088985</v>
      </c>
      <c r="S57" s="811">
        <f t="shared" si="8"/>
        <v>307.21901729816244</v>
      </c>
      <c r="T57" s="811">
        <f t="shared" ref="T57:T69" si="20">+P57-S57</f>
        <v>-6.7420575009577988E-3</v>
      </c>
      <c r="U57" s="812">
        <f t="shared" ref="U57:U69" si="21">+T57/P57</f>
        <v>-2.1945924835445653E-5</v>
      </c>
      <c r="V57" s="711"/>
      <c r="W57" s="724"/>
      <c r="X57" s="737"/>
      <c r="Y57" s="811">
        <f t="shared" si="17"/>
        <v>2022</v>
      </c>
      <c r="Z57" s="799">
        <f>+Z56*(1+$Z$50)</f>
        <v>1111.7351610227659</v>
      </c>
      <c r="AA57" s="799">
        <f t="shared" si="10"/>
        <v>769.96887945695198</v>
      </c>
      <c r="AB57" s="799">
        <f t="shared" si="11"/>
        <v>435.63749373529981</v>
      </c>
      <c r="AC57" s="811">
        <f t="shared" si="12"/>
        <v>0.56578584584165104</v>
      </c>
      <c r="AD57" s="811">
        <f>+AD56-AD$50</f>
        <v>0.54372789855177706</v>
      </c>
      <c r="AE57" s="811">
        <f t="shared" si="13"/>
        <v>418.65356077739506</v>
      </c>
      <c r="AF57" s="811">
        <f t="shared" ref="AF57:AF69" si="22">+AB57-AE57</f>
        <v>16.983932957904756</v>
      </c>
      <c r="AG57" s="812">
        <f t="shared" ref="AG57:AG69" si="23">+AF57/AB57</f>
        <v>3.8986389376816269E-2</v>
      </c>
      <c r="AH57" s="711"/>
      <c r="AI57" s="724"/>
    </row>
    <row r="58" spans="1:35" ht="17.25" thickBot="1" x14ac:dyDescent="0.3">
      <c r="A58" s="790">
        <f t="shared" si="14"/>
        <v>2023</v>
      </c>
      <c r="B58" s="797">
        <f t="shared" si="2"/>
        <v>1824.6624039200406</v>
      </c>
      <c r="C58" s="797">
        <f t="shared" si="2"/>
        <v>1209.0191539318566</v>
      </c>
      <c r="D58" s="797">
        <f t="shared" si="2"/>
        <v>743.13762871950416</v>
      </c>
      <c r="E58" s="796">
        <f t="shared" si="3"/>
        <v>0.61466158439487328</v>
      </c>
      <c r="F58" s="796">
        <f t="shared" si="19"/>
        <v>0.59710213379458288</v>
      </c>
      <c r="G58" s="796">
        <f t="shared" si="4"/>
        <v>721.90791661123285</v>
      </c>
      <c r="H58" s="796">
        <f t="shared" si="0"/>
        <v>21.229712108271258</v>
      </c>
      <c r="I58" s="798">
        <f t="shared" si="1"/>
        <v>2.856767210785981E-2</v>
      </c>
      <c r="J58" s="711"/>
      <c r="K58" s="724"/>
      <c r="L58" s="737">
        <v>4</v>
      </c>
      <c r="M58" s="790">
        <f t="shared" si="15"/>
        <v>2023</v>
      </c>
      <c r="N58" s="797">
        <f t="shared" si="5"/>
        <v>712.49643735394011</v>
      </c>
      <c r="O58" s="797">
        <f t="shared" si="6"/>
        <v>438.7519058767935</v>
      </c>
      <c r="P58" s="797">
        <f t="shared" si="16"/>
        <v>307.33132225454949</v>
      </c>
      <c r="Q58" s="796">
        <f t="shared" si="7"/>
        <v>0.70046720740821489</v>
      </c>
      <c r="R58" s="796">
        <f t="shared" si="18"/>
        <v>0.70048642290906937</v>
      </c>
      <c r="S58" s="796">
        <f t="shared" si="8"/>
        <v>307.33975309217175</v>
      </c>
      <c r="T58" s="796">
        <f t="shared" si="20"/>
        <v>-8.4308376222566039E-3</v>
      </c>
      <c r="U58" s="798">
        <f t="shared" si="21"/>
        <v>-2.7432406044424261E-5</v>
      </c>
      <c r="V58" s="711"/>
      <c r="W58" s="724"/>
      <c r="X58" s="737"/>
      <c r="Y58" s="796">
        <f t="shared" si="17"/>
        <v>2023</v>
      </c>
      <c r="Z58" s="797">
        <f t="shared" si="9"/>
        <v>1112.1659665661005</v>
      </c>
      <c r="AA58" s="797">
        <f t="shared" si="10"/>
        <v>770.26724805506308</v>
      </c>
      <c r="AB58" s="797">
        <f t="shared" si="11"/>
        <v>435.80630646495467</v>
      </c>
      <c r="AC58" s="796">
        <f t="shared" si="12"/>
        <v>0.56578584584165104</v>
      </c>
      <c r="AD58" s="796">
        <f t="shared" ref="AD58:AD69" si="24">+AD57-AD$50</f>
        <v>0.53821341172930859</v>
      </c>
      <c r="AE58" s="796">
        <f t="shared" si="13"/>
        <v>414.56816351906116</v>
      </c>
      <c r="AF58" s="796">
        <f t="shared" si="22"/>
        <v>21.238142945893514</v>
      </c>
      <c r="AG58" s="798">
        <f t="shared" si="23"/>
        <v>4.8732986721020242E-2</v>
      </c>
      <c r="AH58" s="711"/>
      <c r="AI58" s="724"/>
    </row>
    <row r="59" spans="1:35" ht="17.25" thickBot="1" x14ac:dyDescent="0.3">
      <c r="A59" s="790">
        <f t="shared" si="14"/>
        <v>2024</v>
      </c>
      <c r="B59" s="797">
        <f t="shared" si="2"/>
        <v>1825.3694740082078</v>
      </c>
      <c r="C59" s="797">
        <f t="shared" si="2"/>
        <v>1209.4876577372345</v>
      </c>
      <c r="D59" s="797">
        <f t="shared" si="2"/>
        <v>743.42560001081279</v>
      </c>
      <c r="E59" s="796">
        <f t="shared" si="3"/>
        <v>0.61466158439487328</v>
      </c>
      <c r="F59" s="796">
        <f t="shared" si="19"/>
        <v>0.59359024367452495</v>
      </c>
      <c r="G59" s="796">
        <f t="shared" si="4"/>
        <v>717.94007347757542</v>
      </c>
      <c r="H59" s="796">
        <f t="shared" si="0"/>
        <v>25.485526533237362</v>
      </c>
      <c r="I59" s="798">
        <f t="shared" si="1"/>
        <v>3.4281206529431708E-2</v>
      </c>
      <c r="J59" s="711"/>
      <c r="K59" s="724"/>
      <c r="L59" s="737">
        <v>5</v>
      </c>
      <c r="M59" s="790">
        <f t="shared" si="15"/>
        <v>2024</v>
      </c>
      <c r="N59" s="797">
        <f t="shared" si="5"/>
        <v>712.77253495845935</v>
      </c>
      <c r="O59" s="797">
        <f t="shared" si="6"/>
        <v>438.92192546403624</v>
      </c>
      <c r="P59" s="797">
        <f t="shared" si="16"/>
        <v>307.45041540003012</v>
      </c>
      <c r="Q59" s="796">
        <f t="shared" si="7"/>
        <v>0.70046720740821489</v>
      </c>
      <c r="R59" s="796">
        <f t="shared" si="18"/>
        <v>0.70049026600924025</v>
      </c>
      <c r="S59" s="796">
        <f t="shared" si="8"/>
        <v>307.46053632559068</v>
      </c>
      <c r="T59" s="796">
        <f t="shared" si="20"/>
        <v>-1.0120925560556771E-2</v>
      </c>
      <c r="U59" s="798">
        <f t="shared" si="21"/>
        <v>-3.2918887253374577E-5</v>
      </c>
      <c r="V59" s="711"/>
      <c r="W59" s="724"/>
      <c r="X59" s="737"/>
      <c r="Y59" s="796">
        <f t="shared" si="17"/>
        <v>2024</v>
      </c>
      <c r="Z59" s="797">
        <f t="shared" si="9"/>
        <v>1112.5969390497485</v>
      </c>
      <c r="AA59" s="797">
        <f t="shared" si="10"/>
        <v>770.56573227319825</v>
      </c>
      <c r="AB59" s="797">
        <f t="shared" si="11"/>
        <v>435.97518461078261</v>
      </c>
      <c r="AC59" s="796">
        <f t="shared" si="12"/>
        <v>0.56578584584165093</v>
      </c>
      <c r="AD59" s="796">
        <f t="shared" si="24"/>
        <v>0.53269892490684012</v>
      </c>
      <c r="AE59" s="796">
        <f t="shared" si="13"/>
        <v>410.47953715198469</v>
      </c>
      <c r="AF59" s="796">
        <f t="shared" si="22"/>
        <v>25.495647458797919</v>
      </c>
      <c r="AG59" s="798">
        <f t="shared" si="23"/>
        <v>5.8479584065224237E-2</v>
      </c>
      <c r="AH59" s="711"/>
      <c r="AI59" s="724"/>
    </row>
    <row r="60" spans="1:35" ht="17.25" thickBot="1" x14ac:dyDescent="0.3">
      <c r="A60" s="790">
        <f t="shared" si="14"/>
        <v>2025</v>
      </c>
      <c r="B60" s="797">
        <f t="shared" si="2"/>
        <v>1826.0768180912294</v>
      </c>
      <c r="C60" s="797">
        <f t="shared" si="2"/>
        <v>1209.9563430912792</v>
      </c>
      <c r="D60" s="797">
        <f t="shared" si="2"/>
        <v>743.71368289311249</v>
      </c>
      <c r="E60" s="796">
        <f t="shared" si="3"/>
        <v>0.61466158439487317</v>
      </c>
      <c r="F60" s="796">
        <f t="shared" si="19"/>
        <v>0.59007835355446681</v>
      </c>
      <c r="G60" s="796">
        <f t="shared" si="4"/>
        <v>713.96904680408556</v>
      </c>
      <c r="H60" s="796">
        <f t="shared" si="0"/>
        <v>29.744636089026869</v>
      </c>
      <c r="I60" s="798">
        <f t="shared" si="1"/>
        <v>3.9994740951003596E-2</v>
      </c>
      <c r="J60" s="711"/>
      <c r="K60" s="724"/>
      <c r="L60" s="737">
        <v>6</v>
      </c>
      <c r="M60" s="790">
        <f t="shared" si="15"/>
        <v>2025</v>
      </c>
      <c r="N60" s="797">
        <f t="shared" si="5"/>
        <v>713.04873955282892</v>
      </c>
      <c r="O60" s="797">
        <f t="shared" si="6"/>
        <v>439.09201093511825</v>
      </c>
      <c r="P60" s="797">
        <f t="shared" si="16"/>
        <v>307.56955469497962</v>
      </c>
      <c r="Q60" s="796">
        <f t="shared" si="7"/>
        <v>0.70046720740821489</v>
      </c>
      <c r="R60" s="796">
        <f t="shared" si="18"/>
        <v>0.70049410910941112</v>
      </c>
      <c r="S60" s="796">
        <f t="shared" si="8"/>
        <v>307.58136701705547</v>
      </c>
      <c r="T60" s="796">
        <f t="shared" si="20"/>
        <v>-1.1812322075854809E-2</v>
      </c>
      <c r="U60" s="798">
        <f t="shared" si="21"/>
        <v>-3.8405368462327905E-5</v>
      </c>
      <c r="V60" s="711"/>
      <c r="W60" s="724"/>
      <c r="X60" s="737"/>
      <c r="Y60" s="796">
        <f t="shared" si="17"/>
        <v>2025</v>
      </c>
      <c r="Z60" s="797">
        <f t="shared" si="9"/>
        <v>1113.0280785384005</v>
      </c>
      <c r="AA60" s="797">
        <f t="shared" si="10"/>
        <v>770.86433215616103</v>
      </c>
      <c r="AB60" s="797">
        <f t="shared" si="11"/>
        <v>436.14412819813288</v>
      </c>
      <c r="AC60" s="796">
        <f t="shared" si="12"/>
        <v>0.56578584584165093</v>
      </c>
      <c r="AD60" s="796">
        <f t="shared" si="24"/>
        <v>0.52718443808437165</v>
      </c>
      <c r="AE60" s="796">
        <f t="shared" si="13"/>
        <v>406.38767978703015</v>
      </c>
      <c r="AF60" s="796">
        <f t="shared" si="22"/>
        <v>29.756448411102724</v>
      </c>
      <c r="AG60" s="798">
        <f t="shared" si="23"/>
        <v>6.8226181409428197E-2</v>
      </c>
      <c r="AH60" s="711"/>
      <c r="AI60" s="724"/>
    </row>
    <row r="61" spans="1:35" ht="17.25" thickBot="1" x14ac:dyDescent="0.3">
      <c r="A61" s="790">
        <f t="shared" si="14"/>
        <v>2026</v>
      </c>
      <c r="B61" s="797">
        <f t="shared" si="2"/>
        <v>1826.7844362752803</v>
      </c>
      <c r="C61" s="797">
        <f t="shared" si="2"/>
        <v>1210.4252100643423</v>
      </c>
      <c r="D61" s="797">
        <f t="shared" si="2"/>
        <v>744.00187740964589</v>
      </c>
      <c r="E61" s="796">
        <f t="shared" si="3"/>
        <v>0.61466158439487317</v>
      </c>
      <c r="F61" s="796">
        <f t="shared" si="19"/>
        <v>0.58656646343440877</v>
      </c>
      <c r="G61" s="796">
        <f t="shared" si="4"/>
        <v>709.99483471929261</v>
      </c>
      <c r="H61" s="796">
        <f t="shared" si="0"/>
        <v>34.00704269035333</v>
      </c>
      <c r="I61" s="798">
        <f t="shared" si="1"/>
        <v>4.5708275372575602E-2</v>
      </c>
      <c r="J61" s="711"/>
      <c r="K61" s="724"/>
      <c r="L61" s="737">
        <v>7</v>
      </c>
      <c r="M61" s="790">
        <f t="shared" si="15"/>
        <v>2026</v>
      </c>
      <c r="N61" s="797">
        <f t="shared" si="5"/>
        <v>713.32505117850826</v>
      </c>
      <c r="O61" s="797">
        <f t="shared" si="6"/>
        <v>439.26216231556998</v>
      </c>
      <c r="P61" s="797">
        <f t="shared" si="16"/>
        <v>307.6887401572813</v>
      </c>
      <c r="Q61" s="796">
        <f t="shared" si="7"/>
        <v>0.70046720740821489</v>
      </c>
      <c r="R61" s="796">
        <f t="shared" si="18"/>
        <v>0.700497952209582</v>
      </c>
      <c r="S61" s="796">
        <f t="shared" si="8"/>
        <v>307.70224518520979</v>
      </c>
      <c r="T61" s="796">
        <f t="shared" si="20"/>
        <v>-1.3505027928488289E-2</v>
      </c>
      <c r="U61" s="798">
        <f t="shared" si="21"/>
        <v>-4.3891849671147931E-5</v>
      </c>
      <c r="V61" s="711"/>
      <c r="W61" s="724"/>
      <c r="X61" s="737"/>
      <c r="Y61" s="796">
        <f t="shared" si="17"/>
        <v>2026</v>
      </c>
      <c r="Z61" s="797">
        <f t="shared" si="9"/>
        <v>1113.4593850967719</v>
      </c>
      <c r="AA61" s="797">
        <f t="shared" si="10"/>
        <v>771.16304774877233</v>
      </c>
      <c r="AB61" s="797">
        <f t="shared" si="11"/>
        <v>436.31313725236458</v>
      </c>
      <c r="AC61" s="796">
        <f t="shared" si="12"/>
        <v>0.56578584584165093</v>
      </c>
      <c r="AD61" s="796">
        <f t="shared" si="24"/>
        <v>0.52166995126190319</v>
      </c>
      <c r="AE61" s="796">
        <f t="shared" si="13"/>
        <v>402.29258953408277</v>
      </c>
      <c r="AF61" s="796">
        <f t="shared" si="22"/>
        <v>34.020547718281819</v>
      </c>
      <c r="AG61" s="798">
        <f t="shared" si="23"/>
        <v>7.7972778753632274E-2</v>
      </c>
      <c r="AH61" s="711"/>
      <c r="AI61" s="724"/>
    </row>
    <row r="62" spans="1:35" ht="17.25" thickBot="1" x14ac:dyDescent="0.3">
      <c r="A62" s="790">
        <f t="shared" si="14"/>
        <v>2027</v>
      </c>
      <c r="B62" s="797">
        <f t="shared" si="2"/>
        <v>1827.4923286665764</v>
      </c>
      <c r="C62" s="797">
        <f t="shared" si="2"/>
        <v>1210.8942587268023</v>
      </c>
      <c r="D62" s="797">
        <f t="shared" si="2"/>
        <v>744.29018360367195</v>
      </c>
      <c r="E62" s="796">
        <f t="shared" si="3"/>
        <v>0.61466158439487328</v>
      </c>
      <c r="F62" s="796">
        <f t="shared" si="19"/>
        <v>0.58305457331435073</v>
      </c>
      <c r="G62" s="796">
        <f t="shared" si="4"/>
        <v>706.01743535075275</v>
      </c>
      <c r="H62" s="796">
        <f t="shared" si="0"/>
        <v>38.2727482529192</v>
      </c>
      <c r="I62" s="798">
        <f t="shared" si="1"/>
        <v>5.142180979414758E-2</v>
      </c>
      <c r="J62" s="711"/>
      <c r="K62" s="724"/>
      <c r="L62" s="737">
        <v>8</v>
      </c>
      <c r="M62" s="790">
        <f t="shared" si="15"/>
        <v>2027</v>
      </c>
      <c r="N62" s="797">
        <f t="shared" si="5"/>
        <v>713.60146987697271</v>
      </c>
      <c r="O62" s="797">
        <f t="shared" si="6"/>
        <v>439.43237963093185</v>
      </c>
      <c r="P62" s="797">
        <f t="shared" si="16"/>
        <v>307.80797180482534</v>
      </c>
      <c r="Q62" s="796">
        <f t="shared" si="7"/>
        <v>0.70046720740821489</v>
      </c>
      <c r="R62" s="796">
        <f t="shared" si="18"/>
        <v>0.70050179530975287</v>
      </c>
      <c r="S62" s="796">
        <f t="shared" si="8"/>
        <v>307.82317084870465</v>
      </c>
      <c r="T62" s="796">
        <f t="shared" si="20"/>
        <v>-1.5199043879306373E-2</v>
      </c>
      <c r="U62" s="798">
        <f t="shared" si="21"/>
        <v>-4.9378330880084454E-5</v>
      </c>
      <c r="V62" s="711"/>
      <c r="W62" s="724"/>
      <c r="X62" s="737"/>
      <c r="Y62" s="796">
        <f t="shared" si="17"/>
        <v>2027</v>
      </c>
      <c r="Z62" s="797">
        <f t="shared" si="9"/>
        <v>1113.8908587896037</v>
      </c>
      <c r="AA62" s="797">
        <f t="shared" si="10"/>
        <v>771.46187909587047</v>
      </c>
      <c r="AB62" s="797">
        <f t="shared" si="11"/>
        <v>436.48221179884655</v>
      </c>
      <c r="AC62" s="796">
        <f t="shared" si="12"/>
        <v>0.56578584584165093</v>
      </c>
      <c r="AD62" s="796">
        <f t="shared" si="24"/>
        <v>0.51615546443943472</v>
      </c>
      <c r="AE62" s="796">
        <f t="shared" si="13"/>
        <v>398.19426450204804</v>
      </c>
      <c r="AF62" s="796">
        <f t="shared" si="22"/>
        <v>38.287947296798507</v>
      </c>
      <c r="AG62" s="798">
        <f t="shared" si="23"/>
        <v>8.7719376097836407E-2</v>
      </c>
      <c r="AH62" s="711"/>
      <c r="AI62" s="724"/>
    </row>
    <row r="63" spans="1:35" ht="17.25" thickBot="1" x14ac:dyDescent="0.3">
      <c r="A63" s="790">
        <f t="shared" si="14"/>
        <v>2028</v>
      </c>
      <c r="B63" s="797">
        <f t="shared" si="2"/>
        <v>1828.2004953713756</v>
      </c>
      <c r="C63" s="797">
        <f t="shared" si="2"/>
        <v>1211.3634891490653</v>
      </c>
      <c r="D63" s="797">
        <f t="shared" si="2"/>
        <v>744.57860151846637</v>
      </c>
      <c r="E63" s="796">
        <f t="shared" si="3"/>
        <v>0.61466158439487328</v>
      </c>
      <c r="F63" s="796">
        <f t="shared" si="19"/>
        <v>0.57954268319429258</v>
      </c>
      <c r="G63" s="796">
        <f t="shared" si="4"/>
        <v>702.03684682504968</v>
      </c>
      <c r="H63" s="796">
        <f t="shared" si="0"/>
        <v>42.541754693416635</v>
      </c>
      <c r="I63" s="798">
        <f t="shared" si="1"/>
        <v>5.7135344215719516E-2</v>
      </c>
      <c r="J63" s="711"/>
      <c r="K63" s="724"/>
      <c r="L63" s="737">
        <v>9</v>
      </c>
      <c r="M63" s="790">
        <f t="shared" si="15"/>
        <v>2028</v>
      </c>
      <c r="N63" s="797">
        <f t="shared" si="5"/>
        <v>713.87799568971377</v>
      </c>
      <c r="O63" s="797">
        <f t="shared" si="6"/>
        <v>439.60266290675401</v>
      </c>
      <c r="P63" s="797">
        <f t="shared" si="16"/>
        <v>307.92724965550883</v>
      </c>
      <c r="Q63" s="796">
        <f t="shared" si="7"/>
        <v>0.70046720740821489</v>
      </c>
      <c r="R63" s="796">
        <f t="shared" si="18"/>
        <v>0.70050563840992375</v>
      </c>
      <c r="S63" s="796">
        <f t="shared" si="8"/>
        <v>307.94414402619822</v>
      </c>
      <c r="T63" s="796">
        <f t="shared" si="20"/>
        <v>-1.6894370689385596E-2</v>
      </c>
      <c r="U63" s="798">
        <f t="shared" si="21"/>
        <v>-5.4864812088849036E-5</v>
      </c>
      <c r="V63" s="711"/>
      <c r="W63" s="724"/>
      <c r="X63" s="737"/>
      <c r="Y63" s="796">
        <f t="shared" si="17"/>
        <v>2028</v>
      </c>
      <c r="Z63" s="797">
        <f t="shared" si="9"/>
        <v>1114.3224996816618</v>
      </c>
      <c r="AA63" s="797">
        <f t="shared" si="10"/>
        <v>771.7608262423114</v>
      </c>
      <c r="AB63" s="797">
        <f t="shared" si="11"/>
        <v>436.65135186295754</v>
      </c>
      <c r="AC63" s="796">
        <f t="shared" si="12"/>
        <v>0.56578584584165093</v>
      </c>
      <c r="AD63" s="796">
        <f t="shared" si="24"/>
        <v>0.51064097761696625</v>
      </c>
      <c r="AE63" s="796">
        <f t="shared" si="13"/>
        <v>394.09270279885152</v>
      </c>
      <c r="AF63" s="796">
        <f t="shared" si="22"/>
        <v>42.558649064106021</v>
      </c>
      <c r="AG63" s="798">
        <f t="shared" si="23"/>
        <v>9.7465973442040318E-2</v>
      </c>
      <c r="AH63" s="711"/>
      <c r="AI63" s="724"/>
    </row>
    <row r="64" spans="1:35" ht="17.25" thickBot="1" x14ac:dyDescent="0.3">
      <c r="A64" s="790">
        <f t="shared" si="14"/>
        <v>2029</v>
      </c>
      <c r="B64" s="797">
        <f t="shared" si="2"/>
        <v>1828.9089364959761</v>
      </c>
      <c r="C64" s="797">
        <f t="shared" si="2"/>
        <v>1211.8329014015649</v>
      </c>
      <c r="D64" s="797">
        <f t="shared" si="2"/>
        <v>744.86713119732201</v>
      </c>
      <c r="E64" s="796">
        <f t="shared" si="3"/>
        <v>0.61466158439487317</v>
      </c>
      <c r="F64" s="796">
        <f t="shared" si="19"/>
        <v>0.57603079307423466</v>
      </c>
      <c r="G64" s="796">
        <f t="shared" si="4"/>
        <v>698.05306726779418</v>
      </c>
      <c r="H64" s="796">
        <f t="shared" si="0"/>
        <v>46.81406392952789</v>
      </c>
      <c r="I64" s="798">
        <f t="shared" si="1"/>
        <v>6.2848878637291383E-2</v>
      </c>
      <c r="J64" s="711"/>
      <c r="K64" s="724"/>
      <c r="L64" s="737">
        <v>10</v>
      </c>
      <c r="M64" s="790">
        <f t="shared" si="15"/>
        <v>2029</v>
      </c>
      <c r="N64" s="797">
        <f t="shared" si="5"/>
        <v>714.15462865823906</v>
      </c>
      <c r="O64" s="797">
        <f t="shared" si="6"/>
        <v>439.77301216859678</v>
      </c>
      <c r="P64" s="797">
        <f t="shared" si="16"/>
        <v>308.04657372723585</v>
      </c>
      <c r="Q64" s="796">
        <f t="shared" si="7"/>
        <v>0.70046720740821478</v>
      </c>
      <c r="R64" s="796">
        <f t="shared" si="18"/>
        <v>0.70050948151009462</v>
      </c>
      <c r="S64" s="796">
        <f t="shared" si="8"/>
        <v>308.06516473635628</v>
      </c>
      <c r="T64" s="796">
        <f t="shared" si="20"/>
        <v>-1.8591009120427771E-2</v>
      </c>
      <c r="U64" s="798">
        <f t="shared" si="21"/>
        <v>-6.0351293297907085E-5</v>
      </c>
      <c r="V64" s="711"/>
      <c r="W64" s="724"/>
      <c r="X64" s="737"/>
      <c r="Y64" s="796">
        <f t="shared" si="17"/>
        <v>2029</v>
      </c>
      <c r="Z64" s="797">
        <f t="shared" si="9"/>
        <v>1114.7543078377371</v>
      </c>
      <c r="AA64" s="797">
        <f t="shared" si="10"/>
        <v>772.05988923296809</v>
      </c>
      <c r="AB64" s="797">
        <f t="shared" si="11"/>
        <v>436.82055747008616</v>
      </c>
      <c r="AC64" s="796">
        <f t="shared" si="12"/>
        <v>0.56578584584165093</v>
      </c>
      <c r="AD64" s="796">
        <f t="shared" si="24"/>
        <v>0.50512649079449778</v>
      </c>
      <c r="AE64" s="796">
        <f t="shared" si="13"/>
        <v>389.98790253143784</v>
      </c>
      <c r="AF64" s="796">
        <f t="shared" si="22"/>
        <v>46.832654938648318</v>
      </c>
      <c r="AG64" s="798">
        <f t="shared" si="23"/>
        <v>0.10721257078624433</v>
      </c>
      <c r="AH64" s="711"/>
      <c r="AI64" s="724"/>
    </row>
    <row r="65" spans="1:35" ht="17.25" thickBot="1" x14ac:dyDescent="0.3">
      <c r="A65" s="790">
        <f t="shared" si="14"/>
        <v>2030</v>
      </c>
      <c r="B65" s="797">
        <f t="shared" si="2"/>
        <v>1829.6176521467178</v>
      </c>
      <c r="C65" s="797">
        <f t="shared" si="2"/>
        <v>1212.302495554761</v>
      </c>
      <c r="D65" s="797">
        <f t="shared" si="2"/>
        <v>745.15577268354821</v>
      </c>
      <c r="E65" s="796">
        <f t="shared" si="3"/>
        <v>0.61466158439487328</v>
      </c>
      <c r="F65" s="796">
        <f t="shared" si="19"/>
        <v>0.57251890295417651</v>
      </c>
      <c r="G65" s="796">
        <f t="shared" si="4"/>
        <v>694.06609480362226</v>
      </c>
      <c r="H65" s="796">
        <f t="shared" si="0"/>
        <v>51.089677879926001</v>
      </c>
      <c r="I65" s="798">
        <f t="shared" si="1"/>
        <v>6.8562413058863458E-2</v>
      </c>
      <c r="J65" s="711"/>
      <c r="K65" s="724"/>
      <c r="L65" s="737">
        <v>11</v>
      </c>
      <c r="M65" s="790">
        <f t="shared" si="15"/>
        <v>2030</v>
      </c>
      <c r="N65" s="797">
        <f t="shared" si="5"/>
        <v>714.43136882407225</v>
      </c>
      <c r="O65" s="797">
        <f t="shared" si="6"/>
        <v>439.9434274420301</v>
      </c>
      <c r="P65" s="797">
        <f t="shared" si="16"/>
        <v>308.16594403791743</v>
      </c>
      <c r="Q65" s="796">
        <f t="shared" si="7"/>
        <v>0.70046720740821489</v>
      </c>
      <c r="R65" s="796">
        <f t="shared" si="18"/>
        <v>0.7005133246102655</v>
      </c>
      <c r="S65" s="796">
        <f t="shared" si="8"/>
        <v>308.18623299785162</v>
      </c>
      <c r="T65" s="796">
        <f t="shared" si="20"/>
        <v>-2.0288959934191553E-2</v>
      </c>
      <c r="U65" s="798">
        <f t="shared" si="21"/>
        <v>-6.5837774506631247E-5</v>
      </c>
      <c r="V65" s="711"/>
      <c r="W65" s="724"/>
      <c r="X65" s="737"/>
      <c r="Y65" s="796">
        <f t="shared" si="17"/>
        <v>2030</v>
      </c>
      <c r="Z65" s="797">
        <f t="shared" si="9"/>
        <v>1115.1862833226455</v>
      </c>
      <c r="AA65" s="797">
        <f t="shared" si="10"/>
        <v>772.35906811273094</v>
      </c>
      <c r="AB65" s="797">
        <f t="shared" si="11"/>
        <v>436.98982864563078</v>
      </c>
      <c r="AC65" s="796">
        <f t="shared" si="12"/>
        <v>0.56578584584165093</v>
      </c>
      <c r="AD65" s="796">
        <f t="shared" si="24"/>
        <v>0.49961200397202932</v>
      </c>
      <c r="AE65" s="796">
        <f t="shared" si="13"/>
        <v>385.87986180577059</v>
      </c>
      <c r="AF65" s="796">
        <f t="shared" si="22"/>
        <v>51.109966839860192</v>
      </c>
      <c r="AG65" s="798">
        <f t="shared" si="23"/>
        <v>0.11695916813044846</v>
      </c>
      <c r="AH65" s="711"/>
      <c r="AI65" s="724"/>
    </row>
    <row r="66" spans="1:35" ht="17.25" thickBot="1" x14ac:dyDescent="0.3">
      <c r="A66" s="790">
        <f t="shared" si="14"/>
        <v>2031</v>
      </c>
      <c r="B66" s="797">
        <f t="shared" si="2"/>
        <v>1830.3266424299813</v>
      </c>
      <c r="C66" s="797">
        <f t="shared" si="2"/>
        <v>1212.772271679142</v>
      </c>
      <c r="D66" s="797">
        <f t="shared" si="2"/>
        <v>745.44452602047113</v>
      </c>
      <c r="E66" s="796">
        <f>+D66/C66</f>
        <v>0.61466158439487328</v>
      </c>
      <c r="F66" s="796">
        <f t="shared" si="19"/>
        <v>0.56900701283411848</v>
      </c>
      <c r="G66" s="796">
        <f t="shared" si="4"/>
        <v>690.07592755619658</v>
      </c>
      <c r="H66" s="796">
        <f t="shared" si="0"/>
        <v>55.368598464274555</v>
      </c>
      <c r="I66" s="798">
        <f t="shared" si="1"/>
        <v>7.4275947480435381E-2</v>
      </c>
      <c r="J66" s="711"/>
      <c r="K66" s="724"/>
      <c r="L66" s="737">
        <v>12</v>
      </c>
      <c r="M66" s="790">
        <f t="shared" si="15"/>
        <v>2031</v>
      </c>
      <c r="N66" s="797">
        <f t="shared" si="5"/>
        <v>714.70821622875303</v>
      </c>
      <c r="O66" s="797">
        <f t="shared" si="6"/>
        <v>440.11390875263407</v>
      </c>
      <c r="P66" s="797">
        <f t="shared" si="16"/>
        <v>308.28536060547145</v>
      </c>
      <c r="Q66" s="796">
        <f t="shared" si="7"/>
        <v>0.70046720740821478</v>
      </c>
      <c r="R66" s="796">
        <f t="shared" si="18"/>
        <v>0.70051716771043637</v>
      </c>
      <c r="S66" s="796">
        <f t="shared" si="8"/>
        <v>308.30734882936463</v>
      </c>
      <c r="T66" s="796">
        <f t="shared" si="20"/>
        <v>-2.1988223893174563E-2</v>
      </c>
      <c r="U66" s="798">
        <f t="shared" si="21"/>
        <v>-7.1324255715515532E-5</v>
      </c>
      <c r="V66" s="711"/>
      <c r="W66" s="724"/>
      <c r="X66" s="737"/>
      <c r="Y66" s="796">
        <f t="shared" si="17"/>
        <v>2031</v>
      </c>
      <c r="Z66" s="797">
        <f t="shared" si="9"/>
        <v>1115.6184262012282</v>
      </c>
      <c r="AA66" s="797">
        <f t="shared" si="10"/>
        <v>772.65836292650795</v>
      </c>
      <c r="AB66" s="797">
        <f t="shared" si="11"/>
        <v>437.15916541499962</v>
      </c>
      <c r="AC66" s="796">
        <f t="shared" si="12"/>
        <v>0.56578584584165093</v>
      </c>
      <c r="AD66" s="796">
        <f t="shared" si="24"/>
        <v>0.49409751714956085</v>
      </c>
      <c r="AE66" s="796">
        <f t="shared" si="13"/>
        <v>381.76857872683189</v>
      </c>
      <c r="AF66" s="796">
        <f t="shared" si="22"/>
        <v>55.39058668816773</v>
      </c>
      <c r="AG66" s="798">
        <f t="shared" si="23"/>
        <v>0.12670576547465243</v>
      </c>
      <c r="AH66" s="711"/>
      <c r="AI66" s="724"/>
    </row>
    <row r="67" spans="1:35" ht="17.25" thickBot="1" x14ac:dyDescent="0.3">
      <c r="A67" s="790">
        <f t="shared" si="14"/>
        <v>2032</v>
      </c>
      <c r="B67" s="797">
        <f t="shared" si="2"/>
        <v>1831.0359074521889</v>
      </c>
      <c r="C67" s="797">
        <f t="shared" si="2"/>
        <v>1213.2422298452229</v>
      </c>
      <c r="D67" s="797">
        <f t="shared" si="2"/>
        <v>745.73339125143366</v>
      </c>
      <c r="E67" s="796">
        <f t="shared" si="3"/>
        <v>0.61466158439487317</v>
      </c>
      <c r="F67" s="796">
        <f>+G67/C67</f>
        <v>0.56549512271406033</v>
      </c>
      <c r="G67" s="796">
        <f t="shared" si="4"/>
        <v>686.08256364820454</v>
      </c>
      <c r="H67" s="796">
        <f t="shared" si="0"/>
        <v>59.650827603229061</v>
      </c>
      <c r="I67" s="798">
        <f t="shared" si="1"/>
        <v>7.9989481902007276E-2</v>
      </c>
      <c r="J67" s="711"/>
      <c r="K67" s="724"/>
      <c r="L67" s="737">
        <v>13</v>
      </c>
      <c r="M67" s="790">
        <f t="shared" si="15"/>
        <v>2032</v>
      </c>
      <c r="N67" s="797">
        <f t="shared" si="5"/>
        <v>714.98517091383724</v>
      </c>
      <c r="O67" s="797">
        <f t="shared" si="6"/>
        <v>440.28445612599847</v>
      </c>
      <c r="P67" s="797">
        <f t="shared" si="16"/>
        <v>308.40482344782282</v>
      </c>
      <c r="Q67" s="796">
        <f t="shared" si="7"/>
        <v>0.70046720740821478</v>
      </c>
      <c r="R67" s="796">
        <f t="shared" si="18"/>
        <v>0.70052101081060725</v>
      </c>
      <c r="S67" s="796">
        <f t="shared" si="8"/>
        <v>308.42851224958292</v>
      </c>
      <c r="T67" s="796">
        <f t="shared" si="20"/>
        <v>-2.3688801760101796E-2</v>
      </c>
      <c r="U67" s="798">
        <f t="shared" si="21"/>
        <v>-7.6810736924513644E-5</v>
      </c>
      <c r="V67" s="711"/>
      <c r="W67" s="724"/>
      <c r="X67" s="737"/>
      <c r="Y67" s="796">
        <f t="shared" si="17"/>
        <v>2032</v>
      </c>
      <c r="Z67" s="797">
        <f t="shared" si="9"/>
        <v>1116.0507365383517</v>
      </c>
      <c r="AA67" s="797">
        <f t="shared" si="10"/>
        <v>772.95777371922441</v>
      </c>
      <c r="AB67" s="797">
        <f t="shared" si="11"/>
        <v>437.32856780361078</v>
      </c>
      <c r="AC67" s="796">
        <f t="shared" si="12"/>
        <v>0.56578584584165093</v>
      </c>
      <c r="AD67" s="796">
        <f t="shared" si="24"/>
        <v>0.48858303032709238</v>
      </c>
      <c r="AE67" s="796">
        <f t="shared" si="13"/>
        <v>377.65405139862162</v>
      </c>
      <c r="AF67" s="796">
        <f t="shared" si="22"/>
        <v>59.674516404989163</v>
      </c>
      <c r="AG67" s="798">
        <f t="shared" si="23"/>
        <v>0.13645236281885645</v>
      </c>
      <c r="AH67" s="711"/>
      <c r="AI67" s="724"/>
    </row>
    <row r="68" spans="1:35" ht="17.25" thickBot="1" x14ac:dyDescent="0.3">
      <c r="A68" s="790">
        <f t="shared" si="14"/>
        <v>2033</v>
      </c>
      <c r="B68" s="797">
        <f t="shared" si="2"/>
        <v>1831.7454473198038</v>
      </c>
      <c r="C68" s="797">
        <f t="shared" si="2"/>
        <v>1213.712370123546</v>
      </c>
      <c r="D68" s="797">
        <f t="shared" si="2"/>
        <v>746.02236841979561</v>
      </c>
      <c r="E68" s="796">
        <f t="shared" si="3"/>
        <v>0.61466158439487328</v>
      </c>
      <c r="F68" s="796">
        <f t="shared" si="19"/>
        <v>0.5619832325940024</v>
      </c>
      <c r="G68" s="796">
        <f>+S68+AE68</f>
        <v>682.08600120135861</v>
      </c>
      <c r="H68" s="796">
        <f t="shared" si="0"/>
        <v>63.936367218436999</v>
      </c>
      <c r="I68" s="798">
        <f t="shared" si="1"/>
        <v>8.5703016323579254E-2</v>
      </c>
      <c r="J68" s="711"/>
      <c r="K68" s="724"/>
      <c r="L68" s="737">
        <v>14</v>
      </c>
      <c r="M68" s="790">
        <f t="shared" si="15"/>
        <v>2033</v>
      </c>
      <c r="N68" s="797">
        <f t="shared" si="5"/>
        <v>715.26223292089685</v>
      </c>
      <c r="O68" s="797">
        <f t="shared" si="6"/>
        <v>440.45506958772313</v>
      </c>
      <c r="P68" s="797">
        <f t="shared" si="16"/>
        <v>308.52433258290336</v>
      </c>
      <c r="Q68" s="796">
        <f t="shared" si="7"/>
        <v>0.70046720740821489</v>
      </c>
      <c r="R68" s="796">
        <f t="shared" si="18"/>
        <v>0.70052485391077812</v>
      </c>
      <c r="S68" s="796">
        <f t="shared" si="8"/>
        <v>308.54972327720134</v>
      </c>
      <c r="T68" s="796">
        <f t="shared" si="20"/>
        <v>-2.5390694297982463E-2</v>
      </c>
      <c r="U68" s="798">
        <f t="shared" si="21"/>
        <v>-8.2297218133223739E-5</v>
      </c>
      <c r="V68" s="711"/>
      <c r="W68" s="724"/>
      <c r="X68" s="737"/>
      <c r="Y68" s="796">
        <f t="shared" si="17"/>
        <v>2033</v>
      </c>
      <c r="Z68" s="797">
        <f t="shared" si="9"/>
        <v>1116.483214398907</v>
      </c>
      <c r="AA68" s="797">
        <f t="shared" si="10"/>
        <v>773.25730053582288</v>
      </c>
      <c r="AB68" s="797">
        <f t="shared" si="11"/>
        <v>437.4980358368922</v>
      </c>
      <c r="AC68" s="796">
        <f t="shared" si="12"/>
        <v>0.56578584584165093</v>
      </c>
      <c r="AD68" s="796">
        <f t="shared" si="24"/>
        <v>0.48306854350462392</v>
      </c>
      <c r="AE68" s="796">
        <f t="shared" si="13"/>
        <v>373.53627792415722</v>
      </c>
      <c r="AF68" s="796">
        <f t="shared" si="22"/>
        <v>63.961757912734981</v>
      </c>
      <c r="AG68" s="798">
        <f t="shared" si="23"/>
        <v>0.14619896016306042</v>
      </c>
      <c r="AH68" s="711"/>
      <c r="AI68" s="724"/>
    </row>
    <row r="69" spans="1:35" ht="17.25" thickBot="1" x14ac:dyDescent="0.3">
      <c r="A69" s="790">
        <f t="shared" si="14"/>
        <v>2034</v>
      </c>
      <c r="B69" s="797">
        <f>+N69+Z69</f>
        <v>1832.4552621393309</v>
      </c>
      <c r="C69" s="797">
        <f t="shared" si="2"/>
        <v>1214.1826925846813</v>
      </c>
      <c r="D69" s="797">
        <f t="shared" si="2"/>
        <v>746.31145756893352</v>
      </c>
      <c r="E69" s="796">
        <f t="shared" si="3"/>
        <v>0.61466158439487328</v>
      </c>
      <c r="F69" s="796">
        <f t="shared" si="19"/>
        <v>0.55847134247394425</v>
      </c>
      <c r="G69" s="796">
        <f t="shared" si="4"/>
        <v>678.08623833639535</v>
      </c>
      <c r="H69" s="796">
        <f t="shared" si="0"/>
        <v>68.225219232538166</v>
      </c>
      <c r="I69" s="798">
        <f t="shared" si="1"/>
        <v>9.1416550745151204E-2</v>
      </c>
      <c r="J69" s="711"/>
      <c r="K69" s="724"/>
      <c r="L69" s="737">
        <v>15</v>
      </c>
      <c r="M69" s="790">
        <f t="shared" si="15"/>
        <v>2034</v>
      </c>
      <c r="N69" s="797">
        <f t="shared" si="5"/>
        <v>715.53940229151988</v>
      </c>
      <c r="O69" s="797">
        <f t="shared" si="6"/>
        <v>440.62574916341777</v>
      </c>
      <c r="P69" s="797">
        <f t="shared" si="16"/>
        <v>308.64388802865182</v>
      </c>
      <c r="Q69" s="796">
        <f t="shared" si="7"/>
        <v>0.70046720740821489</v>
      </c>
      <c r="R69" s="796">
        <f t="shared" si="18"/>
        <v>0.700528697010949</v>
      </c>
      <c r="S69" s="796">
        <f t="shared" si="8"/>
        <v>308.67098193092232</v>
      </c>
      <c r="T69" s="796">
        <f t="shared" si="20"/>
        <v>-2.7093902270507897E-2</v>
      </c>
      <c r="U69" s="798">
        <f t="shared" si="21"/>
        <v>-8.7783699342177589E-5</v>
      </c>
      <c r="V69" s="711"/>
      <c r="W69" s="724"/>
      <c r="X69" s="737"/>
      <c r="Y69" s="796">
        <f t="shared" si="17"/>
        <v>2034</v>
      </c>
      <c r="Z69" s="797">
        <f t="shared" si="9"/>
        <v>1116.9158598478109</v>
      </c>
      <c r="AA69" s="797">
        <f t="shared" si="10"/>
        <v>773.55694342126355</v>
      </c>
      <c r="AB69" s="797">
        <f t="shared" si="11"/>
        <v>437.6675695402817</v>
      </c>
      <c r="AC69" s="796">
        <f t="shared" si="12"/>
        <v>0.56578584584165093</v>
      </c>
      <c r="AD69" s="796">
        <f t="shared" si="24"/>
        <v>0.47755405668215545</v>
      </c>
      <c r="AE69" s="796">
        <f t="shared" si="13"/>
        <v>369.41525640547303</v>
      </c>
      <c r="AF69" s="796">
        <f t="shared" si="22"/>
        <v>68.252313134808674</v>
      </c>
      <c r="AG69" s="798">
        <f t="shared" si="23"/>
        <v>0.15594555750726447</v>
      </c>
      <c r="AH69" s="711"/>
      <c r="AI69" s="724"/>
    </row>
    <row r="70" spans="1:35" x14ac:dyDescent="0.25">
      <c r="A70" s="725"/>
      <c r="B70" s="766"/>
      <c r="C70" s="766"/>
      <c r="D70" s="766"/>
      <c r="E70" s="770"/>
      <c r="F70" s="770"/>
      <c r="G70" s="764"/>
      <c r="H70" s="764"/>
      <c r="I70" s="761"/>
      <c r="J70" s="711"/>
      <c r="K70" s="724"/>
      <c r="L70" s="737"/>
      <c r="M70" s="716"/>
      <c r="N70" s="760"/>
      <c r="O70" s="766"/>
      <c r="P70" s="760"/>
      <c r="Q70" s="770"/>
      <c r="R70" s="770"/>
      <c r="S70" s="764"/>
      <c r="T70" s="764"/>
      <c r="U70" s="761"/>
      <c r="V70" s="711"/>
      <c r="W70" s="724"/>
      <c r="X70" s="737"/>
      <c r="Y70" s="716"/>
      <c r="Z70" s="760"/>
      <c r="AA70" s="766"/>
      <c r="AB70" s="760"/>
      <c r="AC70" s="770"/>
      <c r="AD70" s="770"/>
      <c r="AE70" s="764"/>
      <c r="AF70" s="764"/>
      <c r="AG70" s="761"/>
      <c r="AH70" s="711"/>
      <c r="AI70" s="724"/>
    </row>
    <row r="71" spans="1:35" x14ac:dyDescent="0.25">
      <c r="A71" s="725"/>
      <c r="B71" s="716"/>
      <c r="C71" s="711"/>
      <c r="D71" s="711"/>
      <c r="E71" s="711"/>
      <c r="F71" s="711"/>
      <c r="G71" s="764"/>
      <c r="H71" s="711"/>
      <c r="I71" s="711"/>
      <c r="J71" s="711"/>
      <c r="K71" s="724"/>
      <c r="L71" s="737"/>
      <c r="M71" s="711"/>
      <c r="N71" s="711"/>
      <c r="O71" s="711"/>
      <c r="P71" s="711"/>
      <c r="Q71" s="711"/>
      <c r="R71" s="711"/>
      <c r="S71" s="711"/>
      <c r="T71" s="711"/>
      <c r="U71" s="711"/>
      <c r="V71" s="711"/>
      <c r="W71" s="724"/>
      <c r="X71" s="737"/>
      <c r="Y71" s="711"/>
      <c r="Z71" s="711"/>
      <c r="AA71" s="711"/>
      <c r="AB71" s="711"/>
      <c r="AC71" s="711"/>
      <c r="AD71" s="711"/>
      <c r="AE71" s="711"/>
      <c r="AF71" s="711"/>
      <c r="AG71" s="711"/>
      <c r="AH71" s="711"/>
      <c r="AI71" s="724"/>
    </row>
    <row r="72" spans="1:35" ht="17.25" thickBot="1" x14ac:dyDescent="0.3">
      <c r="A72" s="737"/>
      <c r="B72" s="711"/>
      <c r="C72" s="711"/>
      <c r="D72" s="711"/>
      <c r="E72" s="711"/>
      <c r="F72" s="711"/>
      <c r="G72" s="711"/>
      <c r="H72" s="711"/>
      <c r="I72" s="711"/>
      <c r="J72" s="711"/>
      <c r="K72" s="724"/>
      <c r="L72" s="737"/>
      <c r="M72" s="711"/>
      <c r="N72" s="711"/>
      <c r="O72" s="711"/>
      <c r="P72" s="711"/>
      <c r="Q72" s="780"/>
      <c r="R72" s="711"/>
      <c r="S72" s="711"/>
      <c r="T72" s="717"/>
      <c r="U72" s="717"/>
      <c r="V72" s="711"/>
      <c r="W72" s="724"/>
      <c r="X72" s="737"/>
      <c r="Y72" s="711"/>
      <c r="Z72" s="711"/>
      <c r="AA72" s="711"/>
      <c r="AB72" s="711"/>
      <c r="AC72" s="780"/>
      <c r="AD72" s="711"/>
      <c r="AE72" s="711"/>
      <c r="AF72" s="717"/>
      <c r="AG72" s="717"/>
      <c r="AH72" s="711"/>
      <c r="AI72" s="724"/>
    </row>
    <row r="73" spans="1:35" s="688" customFormat="1" ht="75.75" customHeight="1" thickBot="1" x14ac:dyDescent="0.3">
      <c r="A73" s="791" t="s">
        <v>1485</v>
      </c>
      <c r="B73" s="793" t="s">
        <v>1493</v>
      </c>
      <c r="C73" s="793" t="s">
        <v>1494</v>
      </c>
      <c r="D73" s="793" t="s">
        <v>1495</v>
      </c>
      <c r="E73" s="793" t="s">
        <v>1492</v>
      </c>
      <c r="F73" s="793" t="s">
        <v>1496</v>
      </c>
      <c r="G73" s="793" t="s">
        <v>1497</v>
      </c>
      <c r="H73" s="793" t="s">
        <v>1498</v>
      </c>
      <c r="I73" s="793" t="s">
        <v>1498</v>
      </c>
      <c r="J73" s="794" t="s">
        <v>1499</v>
      </c>
      <c r="K73" s="771"/>
      <c r="L73" s="767"/>
      <c r="M73" s="791" t="s">
        <v>1485</v>
      </c>
      <c r="N73" s="793" t="s">
        <v>1493</v>
      </c>
      <c r="O73" s="793" t="s">
        <v>1494</v>
      </c>
      <c r="P73" s="793" t="s">
        <v>1495</v>
      </c>
      <c r="Q73" s="793" t="s">
        <v>1492</v>
      </c>
      <c r="R73" s="793" t="s">
        <v>1496</v>
      </c>
      <c r="S73" s="793" t="s">
        <v>1497</v>
      </c>
      <c r="T73" s="793" t="s">
        <v>1498</v>
      </c>
      <c r="U73" s="793" t="s">
        <v>1498</v>
      </c>
      <c r="V73" s="794" t="s">
        <v>1499</v>
      </c>
      <c r="W73" s="771"/>
      <c r="X73" s="767"/>
      <c r="Y73" s="791" t="s">
        <v>1485</v>
      </c>
      <c r="Z73" s="793" t="s">
        <v>1493</v>
      </c>
      <c r="AA73" s="793" t="s">
        <v>1494</v>
      </c>
      <c r="AB73" s="793" t="s">
        <v>1495</v>
      </c>
      <c r="AC73" s="793" t="s">
        <v>1492</v>
      </c>
      <c r="AD73" s="793" t="s">
        <v>1496</v>
      </c>
      <c r="AE73" s="793" t="s">
        <v>1497</v>
      </c>
      <c r="AF73" s="793" t="s">
        <v>1498</v>
      </c>
      <c r="AG73" s="793" t="s">
        <v>1498</v>
      </c>
      <c r="AH73" s="794" t="s">
        <v>1499</v>
      </c>
      <c r="AI73" s="771"/>
    </row>
    <row r="74" spans="1:35" ht="17.25" thickBot="1" x14ac:dyDescent="0.3">
      <c r="A74" s="790">
        <v>2018</v>
      </c>
      <c r="B74" s="797">
        <f t="shared" ref="B74:D89" si="25">+N74+Z74</f>
        <v>458.42159870097964</v>
      </c>
      <c r="C74" s="796">
        <f>+O74+AA74</f>
        <v>119.79419991239861</v>
      </c>
      <c r="D74" s="796">
        <f>+P74+AB74</f>
        <v>726.36261720833306</v>
      </c>
      <c r="E74" s="796">
        <f>+F74/D74</f>
        <v>0</v>
      </c>
      <c r="F74" s="797">
        <f>+R74+AD74</f>
        <v>0</v>
      </c>
      <c r="G74" s="797">
        <f>+S74+AE74</f>
        <v>119.79419991239861</v>
      </c>
      <c r="H74" s="797">
        <f>+T74+AF74</f>
        <v>578.21579861337818</v>
      </c>
      <c r="I74" s="797">
        <f>+U74+AG74</f>
        <v>578.21579861337818</v>
      </c>
      <c r="J74" s="797">
        <f>+V74+AH74</f>
        <v>277.10187328542361</v>
      </c>
      <c r="K74" s="724"/>
      <c r="L74" s="737"/>
      <c r="M74" s="790">
        <v>2018</v>
      </c>
      <c r="N74" s="796">
        <f>+O44</f>
        <v>124.60793480346646</v>
      </c>
      <c r="O74" s="796">
        <f>+O38</f>
        <v>45.323415468761695</v>
      </c>
      <c r="P74" s="796">
        <f>+O33</f>
        <v>291.39972073656321</v>
      </c>
      <c r="Q74" s="796">
        <f t="shared" ref="Q74:Q90" si="26">+U53</f>
        <v>0</v>
      </c>
      <c r="R74" s="797">
        <f t="shared" ref="R74:R90" si="27">+P74*Q74</f>
        <v>0</v>
      </c>
      <c r="S74" s="797">
        <f t="shared" ref="S74:S90" si="28">+O74+R74</f>
        <v>45.323415468761695</v>
      </c>
      <c r="T74" s="1448">
        <f>+S74+N74</f>
        <v>169.93135027222814</v>
      </c>
      <c r="U74" s="1448">
        <f t="shared" ref="U74:U90" si="29">+T74*$C$8</f>
        <v>169.93135027222814</v>
      </c>
      <c r="V74" s="1448">
        <f t="shared" ref="V74:V90" si="30">+T74*$C$7</f>
        <v>81.437234339287414</v>
      </c>
      <c r="W74" s="724"/>
      <c r="X74" s="737"/>
      <c r="Y74" s="790">
        <v>2018</v>
      </c>
      <c r="Z74" s="796">
        <f>+AA44</f>
        <v>333.81366389751321</v>
      </c>
      <c r="AA74" s="796">
        <f>+AA38</f>
        <v>74.470784443636916</v>
      </c>
      <c r="AB74" s="796">
        <f>+AA33</f>
        <v>434.96289647176985</v>
      </c>
      <c r="AC74" s="796">
        <f t="shared" ref="AC74:AC90" si="31">+AG53</f>
        <v>0</v>
      </c>
      <c r="AD74" s="797">
        <f t="shared" ref="AD74:AD90" si="32">+AB74*AC74</f>
        <v>0</v>
      </c>
      <c r="AE74" s="797">
        <f>+AA74+AD74</f>
        <v>74.470784443636916</v>
      </c>
      <c r="AF74" s="797">
        <f>+AE74+Z74</f>
        <v>408.2844483411501</v>
      </c>
      <c r="AG74" s="797">
        <f t="shared" ref="AG74:AG90" si="33">AF74*$C$8</f>
        <v>408.2844483411501</v>
      </c>
      <c r="AH74" s="797">
        <f t="shared" ref="AH74:AH90" si="34">+AF74*$C$7</f>
        <v>195.66463894613622</v>
      </c>
      <c r="AI74" s="724"/>
    </row>
    <row r="75" spans="1:35" ht="17.25" thickBot="1" x14ac:dyDescent="0.3">
      <c r="A75" s="790">
        <f>A74+1</f>
        <v>2019</v>
      </c>
      <c r="B75" s="797">
        <f t="shared" si="25"/>
        <v>458.59924043871422</v>
      </c>
      <c r="C75" s="796">
        <f t="shared" si="25"/>
        <v>119.84062104504869</v>
      </c>
      <c r="D75" s="796">
        <f t="shared" si="25"/>
        <v>726.64408805942719</v>
      </c>
      <c r="E75" s="796">
        <f>+F75/D75</f>
        <v>5.8342890342765177E-3</v>
      </c>
      <c r="F75" s="797">
        <f t="shared" ref="F75:J90" si="35">+R75+AD75</f>
        <v>4.2394516347869766</v>
      </c>
      <c r="G75" s="797">
        <f t="shared" si="35"/>
        <v>124.08007267983567</v>
      </c>
      <c r="H75" s="797">
        <f>+T75+AF75</f>
        <v>582.67931311854989</v>
      </c>
      <c r="I75" s="797">
        <f>+U75+AG75</f>
        <v>582.67931311854989</v>
      </c>
      <c r="J75" s="797">
        <f t="shared" si="35"/>
        <v>279.24095048425806</v>
      </c>
      <c r="K75" s="724"/>
      <c r="L75" s="737"/>
      <c r="M75" s="790">
        <f>M74+1</f>
        <v>2019</v>
      </c>
      <c r="N75" s="797">
        <f t="shared" ref="N75:P90" si="36">+N74*(1+$Z$50)</f>
        <v>124.65622129375559</v>
      </c>
      <c r="O75" s="797">
        <f t="shared" si="36"/>
        <v>45.340978625268171</v>
      </c>
      <c r="P75" s="797">
        <f t="shared" si="36"/>
        <v>291.51264026939867</v>
      </c>
      <c r="Q75" s="796">
        <f t="shared" si="26"/>
        <v>-5.4864812088536241E-6</v>
      </c>
      <c r="R75" s="797">
        <f t="shared" si="27"/>
        <v>-1.5993786229813621E-3</v>
      </c>
      <c r="S75" s="797">
        <f t="shared" si="28"/>
        <v>45.339379246645187</v>
      </c>
      <c r="T75" s="797">
        <f t="shared" ref="T75:T88" si="37">+S75+N75</f>
        <v>169.99560054040077</v>
      </c>
      <c r="U75" s="797">
        <f t="shared" si="29"/>
        <v>169.99560054040077</v>
      </c>
      <c r="V75" s="797">
        <f t="shared" si="30"/>
        <v>81.46802538600808</v>
      </c>
      <c r="W75" s="724"/>
      <c r="X75" s="737"/>
      <c r="Y75" s="790">
        <f>Y74+1</f>
        <v>2019</v>
      </c>
      <c r="Z75" s="797">
        <f t="shared" ref="Z75:AB90" si="38">+Z74*(1+$Z$50)</f>
        <v>333.94301914495861</v>
      </c>
      <c r="AA75" s="797">
        <f t="shared" si="38"/>
        <v>74.499642419780514</v>
      </c>
      <c r="AB75" s="797">
        <f t="shared" si="38"/>
        <v>435.13144779002852</v>
      </c>
      <c r="AC75" s="796">
        <f t="shared" si="31"/>
        <v>9.7465973442040568E-3</v>
      </c>
      <c r="AD75" s="797">
        <f t="shared" si="32"/>
        <v>4.2410510134099582</v>
      </c>
      <c r="AE75" s="797">
        <f t="shared" ref="AE75:AE90" si="39">+AA75+AD75</f>
        <v>78.740693433190472</v>
      </c>
      <c r="AF75" s="797">
        <f t="shared" ref="AF75:AF88" si="40">+AE75+Z75</f>
        <v>412.68371257814908</v>
      </c>
      <c r="AG75" s="797">
        <f t="shared" si="33"/>
        <v>412.68371257814908</v>
      </c>
      <c r="AH75" s="797">
        <f t="shared" si="34"/>
        <v>197.77292509825</v>
      </c>
      <c r="AI75" s="724"/>
    </row>
    <row r="76" spans="1:35" ht="17.25" thickBot="1" x14ac:dyDescent="0.3">
      <c r="A76" s="790">
        <f t="shared" ref="A76:A90" si="41">A75+1</f>
        <v>2020</v>
      </c>
      <c r="B76" s="797">
        <f t="shared" si="25"/>
        <v>458.77695101392732</v>
      </c>
      <c r="C76" s="796">
        <f t="shared" si="25"/>
        <v>119.88706016622874</v>
      </c>
      <c r="D76" s="796">
        <f t="shared" si="25"/>
        <v>726.92566798254416</v>
      </c>
      <c r="E76" s="796">
        <f>+F76/D76</f>
        <v>1.1668578068552959E-2</v>
      </c>
      <c r="F76" s="797">
        <f t="shared" si="35"/>
        <v>8.4821889068893253</v>
      </c>
      <c r="G76" s="797">
        <f t="shared" si="35"/>
        <v>128.36924907311806</v>
      </c>
      <c r="H76" s="797">
        <f t="shared" si="35"/>
        <v>587.14620008704537</v>
      </c>
      <c r="I76" s="797">
        <f t="shared" si="35"/>
        <v>587.14620008704537</v>
      </c>
      <c r="J76" s="797">
        <f t="shared" si="35"/>
        <v>281.38164388919904</v>
      </c>
      <c r="K76" s="724"/>
      <c r="L76" s="737"/>
      <c r="M76" s="790">
        <f t="shared" ref="M76:M90" si="42">M75+1</f>
        <v>2020</v>
      </c>
      <c r="N76" s="797">
        <f t="shared" si="36"/>
        <v>124.70452649541448</v>
      </c>
      <c r="O76" s="797">
        <f t="shared" si="36"/>
        <v>45.358548587626842</v>
      </c>
      <c r="P76" s="797">
        <f t="shared" si="36"/>
        <v>291.6256035593828</v>
      </c>
      <c r="Q76" s="796">
        <f t="shared" si="26"/>
        <v>-1.0972962417738334E-5</v>
      </c>
      <c r="R76" s="797">
        <f t="shared" si="27"/>
        <v>-3.1999967879073662E-3</v>
      </c>
      <c r="S76" s="797">
        <f t="shared" si="28"/>
        <v>45.355348590838936</v>
      </c>
      <c r="T76" s="797">
        <f t="shared" si="37"/>
        <v>170.05987508625341</v>
      </c>
      <c r="U76" s="797">
        <f t="shared" si="29"/>
        <v>170.05987508625341</v>
      </c>
      <c r="V76" s="797">
        <f t="shared" si="30"/>
        <v>81.498828067468963</v>
      </c>
      <c r="W76" s="724"/>
      <c r="X76" s="737"/>
      <c r="Y76" s="790">
        <f t="shared" ref="Y76:Y90" si="43">Y75+1</f>
        <v>2020</v>
      </c>
      <c r="Z76" s="797">
        <f t="shared" si="38"/>
        <v>334.07242451851283</v>
      </c>
      <c r="AA76" s="797">
        <f t="shared" si="38"/>
        <v>74.528511578601893</v>
      </c>
      <c r="AB76" s="797">
        <f t="shared" si="38"/>
        <v>435.30006442316142</v>
      </c>
      <c r="AC76" s="796">
        <f t="shared" si="31"/>
        <v>1.9493194688408006E-2</v>
      </c>
      <c r="AD76" s="797">
        <f t="shared" si="32"/>
        <v>8.485388903677233</v>
      </c>
      <c r="AE76" s="797">
        <f t="shared" si="39"/>
        <v>83.013900482279126</v>
      </c>
      <c r="AF76" s="797">
        <f t="shared" si="40"/>
        <v>417.08632500079193</v>
      </c>
      <c r="AG76" s="797">
        <f t="shared" si="33"/>
        <v>417.08632500079193</v>
      </c>
      <c r="AH76" s="797">
        <f t="shared" si="34"/>
        <v>199.88281582173011</v>
      </c>
      <c r="AI76" s="724"/>
    </row>
    <row r="77" spans="1:35" ht="17.25" thickBot="1" x14ac:dyDescent="0.3">
      <c r="A77" s="790">
        <f t="shared" si="41"/>
        <v>2021</v>
      </c>
      <c r="B77" s="797">
        <f t="shared" si="25"/>
        <v>458.95473045329408</v>
      </c>
      <c r="C77" s="796">
        <f t="shared" si="25"/>
        <v>119.93351728290946</v>
      </c>
      <c r="D77" s="796">
        <f t="shared" si="25"/>
        <v>727.20735701995034</v>
      </c>
      <c r="E77" s="796">
        <f>+F77/D77</f>
        <v>1.7502867102829504E-2</v>
      </c>
      <c r="F77" s="797">
        <f t="shared" si="35"/>
        <v>12.728213726120078</v>
      </c>
      <c r="G77" s="797">
        <f t="shared" si="35"/>
        <v>132.66173100902955</v>
      </c>
      <c r="H77" s="797">
        <f t="shared" si="35"/>
        <v>591.61646146232363</v>
      </c>
      <c r="I77" s="797">
        <f t="shared" si="35"/>
        <v>591.61646146232363</v>
      </c>
      <c r="J77" s="797">
        <f t="shared" si="35"/>
        <v>283.52395443162226</v>
      </c>
      <c r="K77" s="724"/>
      <c r="L77" s="737"/>
      <c r="M77" s="790">
        <f t="shared" si="42"/>
        <v>2021</v>
      </c>
      <c r="N77" s="797">
        <f t="shared" si="36"/>
        <v>124.75285041569394</v>
      </c>
      <c r="O77" s="797">
        <f t="shared" si="36"/>
        <v>45.376125358475022</v>
      </c>
      <c r="P77" s="797">
        <f t="shared" si="36"/>
        <v>291.73861062347174</v>
      </c>
      <c r="Q77" s="796">
        <f t="shared" si="26"/>
        <v>-1.6459443626795455E-5</v>
      </c>
      <c r="R77" s="797">
        <f t="shared" si="27"/>
        <v>-4.8018552153166628E-3</v>
      </c>
      <c r="S77" s="797">
        <f t="shared" si="28"/>
        <v>45.371323503259703</v>
      </c>
      <c r="T77" s="797">
        <f t="shared" si="37"/>
        <v>170.12417391895366</v>
      </c>
      <c r="U77" s="797">
        <f t="shared" si="29"/>
        <v>170.12417391895366</v>
      </c>
      <c r="V77" s="797">
        <f t="shared" si="30"/>
        <v>81.529642388063507</v>
      </c>
      <c r="W77" s="724"/>
      <c r="X77" s="737"/>
      <c r="Y77" s="790">
        <f t="shared" si="43"/>
        <v>2021</v>
      </c>
      <c r="Z77" s="797">
        <f t="shared" si="38"/>
        <v>334.20188003760012</v>
      </c>
      <c r="AA77" s="797">
        <f t="shared" si="38"/>
        <v>74.557391924434441</v>
      </c>
      <c r="AB77" s="797">
        <f t="shared" si="38"/>
        <v>435.46874639647859</v>
      </c>
      <c r="AC77" s="796">
        <f t="shared" si="31"/>
        <v>2.9239792032612236E-2</v>
      </c>
      <c r="AD77" s="797">
        <f t="shared" si="32"/>
        <v>12.733015581335394</v>
      </c>
      <c r="AE77" s="797">
        <f t="shared" si="39"/>
        <v>87.290407505769835</v>
      </c>
      <c r="AF77" s="797">
        <f t="shared" si="40"/>
        <v>421.49228754336997</v>
      </c>
      <c r="AG77" s="797">
        <f t="shared" si="33"/>
        <v>421.49228754336997</v>
      </c>
      <c r="AH77" s="797">
        <f t="shared" si="34"/>
        <v>201.99431204355875</v>
      </c>
      <c r="AI77" s="724"/>
    </row>
    <row r="78" spans="1:35" ht="17.25" thickBot="1" x14ac:dyDescent="0.3">
      <c r="A78" s="790">
        <f t="shared" si="41"/>
        <v>2022</v>
      </c>
      <c r="B78" s="797">
        <f t="shared" si="25"/>
        <v>459.13257878349981</v>
      </c>
      <c r="C78" s="796">
        <f t="shared" si="25"/>
        <v>119.97999240206424</v>
      </c>
      <c r="D78" s="796">
        <f t="shared" si="25"/>
        <v>727.48915521392814</v>
      </c>
      <c r="E78" s="796">
        <f t="shared" ref="E78:E90" si="44">+F78/D78</f>
        <v>2.3337156137106085E-2</v>
      </c>
      <c r="F78" s="797">
        <f t="shared" si="35"/>
        <v>16.977528003278845</v>
      </c>
      <c r="G78" s="797">
        <f t="shared" si="35"/>
        <v>136.95752040534308</v>
      </c>
      <c r="H78" s="797">
        <f t="shared" si="35"/>
        <v>596.09009918884294</v>
      </c>
      <c r="I78" s="797">
        <f t="shared" si="35"/>
        <v>596.09009918884294</v>
      </c>
      <c r="J78" s="797">
        <f t="shared" si="35"/>
        <v>285.66788304338218</v>
      </c>
      <c r="K78" s="724"/>
      <c r="L78" s="737"/>
      <c r="M78" s="790">
        <f t="shared" si="42"/>
        <v>2022</v>
      </c>
      <c r="N78" s="797">
        <f t="shared" si="36"/>
        <v>124.80119306184757</v>
      </c>
      <c r="O78" s="797">
        <f t="shared" si="36"/>
        <v>45.393708940451049</v>
      </c>
      <c r="P78" s="797">
        <f t="shared" si="36"/>
        <v>291.85166147862839</v>
      </c>
      <c r="Q78" s="796">
        <f t="shared" si="26"/>
        <v>-2.1945924835445653E-5</v>
      </c>
      <c r="R78" s="797">
        <f t="shared" si="27"/>
        <v>-6.4049546259099081E-3</v>
      </c>
      <c r="S78" s="797">
        <f t="shared" si="28"/>
        <v>45.387303985825142</v>
      </c>
      <c r="T78" s="797">
        <f t="shared" si="37"/>
        <v>170.18849704767271</v>
      </c>
      <c r="U78" s="797">
        <f t="shared" si="29"/>
        <v>170.18849704767271</v>
      </c>
      <c r="V78" s="797">
        <f t="shared" si="30"/>
        <v>81.560468352186888</v>
      </c>
      <c r="W78" s="724"/>
      <c r="X78" s="737"/>
      <c r="Y78" s="790">
        <f t="shared" si="43"/>
        <v>2022</v>
      </c>
      <c r="Z78" s="797">
        <f t="shared" si="38"/>
        <v>334.33138572165223</v>
      </c>
      <c r="AA78" s="797">
        <f t="shared" si="38"/>
        <v>74.586283461613192</v>
      </c>
      <c r="AB78" s="797">
        <f t="shared" si="38"/>
        <v>435.63749373529981</v>
      </c>
      <c r="AC78" s="796">
        <f t="shared" si="31"/>
        <v>3.8986389376816269E-2</v>
      </c>
      <c r="AD78" s="797">
        <f t="shared" si="32"/>
        <v>16.983932957904756</v>
      </c>
      <c r="AE78" s="797">
        <f t="shared" si="39"/>
        <v>91.570216419517948</v>
      </c>
      <c r="AF78" s="797">
        <f t="shared" si="40"/>
        <v>425.9016021411702</v>
      </c>
      <c r="AG78" s="797">
        <f t="shared" si="33"/>
        <v>425.9016021411702</v>
      </c>
      <c r="AH78" s="797">
        <f t="shared" si="34"/>
        <v>204.10741469119532</v>
      </c>
      <c r="AI78" s="724"/>
    </row>
    <row r="79" spans="1:35" ht="17.25" thickBot="1" x14ac:dyDescent="0.3">
      <c r="A79" s="790">
        <f t="shared" si="41"/>
        <v>2023</v>
      </c>
      <c r="B79" s="797">
        <f t="shared" si="25"/>
        <v>459.31049603124018</v>
      </c>
      <c r="C79" s="796">
        <f t="shared" si="25"/>
        <v>120.02648553066916</v>
      </c>
      <c r="D79" s="796">
        <f t="shared" si="25"/>
        <v>727.7710626067767</v>
      </c>
      <c r="E79" s="796">
        <f t="shared" si="44"/>
        <v>2.9171445171382506E-2</v>
      </c>
      <c r="F79" s="797">
        <f t="shared" si="35"/>
        <v>21.230133650152371</v>
      </c>
      <c r="G79" s="797">
        <f t="shared" si="35"/>
        <v>141.25661918082153</v>
      </c>
      <c r="H79" s="797">
        <f t="shared" si="35"/>
        <v>600.56711521206171</v>
      </c>
      <c r="I79" s="797">
        <f t="shared" si="35"/>
        <v>600.56711521206171</v>
      </c>
      <c r="J79" s="797">
        <f t="shared" si="35"/>
        <v>287.81343065681278</v>
      </c>
      <c r="K79" s="724"/>
      <c r="L79" s="737"/>
      <c r="M79" s="790">
        <f t="shared" si="42"/>
        <v>2023</v>
      </c>
      <c r="N79" s="797">
        <f t="shared" si="36"/>
        <v>124.84955444113177</v>
      </c>
      <c r="O79" s="797">
        <f t="shared" si="36"/>
        <v>45.411299336194283</v>
      </c>
      <c r="P79" s="797">
        <f t="shared" si="36"/>
        <v>291.96475614182202</v>
      </c>
      <c r="Q79" s="796">
        <f t="shared" si="26"/>
        <v>-2.7432406044424261E-5</v>
      </c>
      <c r="R79" s="797">
        <f t="shared" si="27"/>
        <v>-8.0092957411437744E-3</v>
      </c>
      <c r="S79" s="797">
        <f t="shared" si="28"/>
        <v>45.403290040453136</v>
      </c>
      <c r="T79" s="797">
        <f t="shared" si="37"/>
        <v>170.2528444815849</v>
      </c>
      <c r="U79" s="797">
        <f t="shared" si="29"/>
        <v>170.2528444815849</v>
      </c>
      <c r="V79" s="797">
        <f t="shared" si="30"/>
        <v>81.591305964235772</v>
      </c>
      <c r="W79" s="724"/>
      <c r="X79" s="737"/>
      <c r="Y79" s="790">
        <f t="shared" si="43"/>
        <v>2023</v>
      </c>
      <c r="Z79" s="797">
        <f t="shared" si="38"/>
        <v>334.4609415901084</v>
      </c>
      <c r="AA79" s="797">
        <f t="shared" si="38"/>
        <v>74.615186194474873</v>
      </c>
      <c r="AB79" s="797">
        <f t="shared" si="38"/>
        <v>435.80630646495467</v>
      </c>
      <c r="AC79" s="796">
        <f t="shared" si="31"/>
        <v>4.8732986721020242E-2</v>
      </c>
      <c r="AD79" s="797">
        <f t="shared" si="32"/>
        <v>21.238142945893514</v>
      </c>
      <c r="AE79" s="797">
        <f t="shared" si="39"/>
        <v>95.853329140368388</v>
      </c>
      <c r="AF79" s="797">
        <f t="shared" si="40"/>
        <v>430.31427073047678</v>
      </c>
      <c r="AG79" s="797">
        <f t="shared" si="33"/>
        <v>430.31427073047678</v>
      </c>
      <c r="AH79" s="797">
        <f t="shared" si="34"/>
        <v>206.22212469257698</v>
      </c>
      <c r="AI79" s="724"/>
    </row>
    <row r="80" spans="1:35" ht="17.25" thickBot="1" x14ac:dyDescent="0.3">
      <c r="A80" s="790">
        <f t="shared" si="41"/>
        <v>2024</v>
      </c>
      <c r="B80" s="797">
        <f t="shared" si="25"/>
        <v>459.4884822232213</v>
      </c>
      <c r="C80" s="796">
        <f t="shared" si="25"/>
        <v>120.07299667570302</v>
      </c>
      <c r="D80" s="796">
        <f t="shared" si="25"/>
        <v>728.05307924081126</v>
      </c>
      <c r="E80" s="796">
        <f t="shared" si="44"/>
        <v>3.5005734205658945E-2</v>
      </c>
      <c r="F80" s="797">
        <f t="shared" si="35"/>
        <v>25.486032579515388</v>
      </c>
      <c r="G80" s="797">
        <f t="shared" si="35"/>
        <v>145.55902925521841</v>
      </c>
      <c r="H80" s="797">
        <f t="shared" si="35"/>
        <v>605.04751147843967</v>
      </c>
      <c r="I80" s="797">
        <f t="shared" si="35"/>
        <v>605.04751147843967</v>
      </c>
      <c r="J80" s="797">
        <f t="shared" si="35"/>
        <v>289.96059820472772</v>
      </c>
      <c r="K80" s="724"/>
      <c r="L80" s="737"/>
      <c r="M80" s="790">
        <f t="shared" si="42"/>
        <v>2024</v>
      </c>
      <c r="N80" s="797">
        <f t="shared" si="36"/>
        <v>124.89793456080578</v>
      </c>
      <c r="O80" s="797">
        <f t="shared" si="36"/>
        <v>45.428896548345115</v>
      </c>
      <c r="P80" s="797">
        <f t="shared" si="36"/>
        <v>292.0778946300286</v>
      </c>
      <c r="Q80" s="796">
        <f t="shared" si="26"/>
        <v>-3.2918887253374577E-5</v>
      </c>
      <c r="R80" s="797">
        <f t="shared" si="27"/>
        <v>-9.6148792825289306E-3</v>
      </c>
      <c r="S80" s="797">
        <f t="shared" si="28"/>
        <v>45.419281669062585</v>
      </c>
      <c r="T80" s="797">
        <f t="shared" si="37"/>
        <v>170.31721622986836</v>
      </c>
      <c r="U80" s="797">
        <f t="shared" si="29"/>
        <v>170.31721622986836</v>
      </c>
      <c r="V80" s="797">
        <f t="shared" si="30"/>
        <v>81.622155228608662</v>
      </c>
      <c r="W80" s="724"/>
      <c r="X80" s="737"/>
      <c r="Y80" s="790">
        <f t="shared" si="43"/>
        <v>2024</v>
      </c>
      <c r="Z80" s="797">
        <f t="shared" si="38"/>
        <v>334.59054766241553</v>
      </c>
      <c r="AA80" s="797">
        <f t="shared" si="38"/>
        <v>74.644100127357902</v>
      </c>
      <c r="AB80" s="797">
        <f t="shared" si="38"/>
        <v>435.97518461078261</v>
      </c>
      <c r="AC80" s="796">
        <f t="shared" si="31"/>
        <v>5.8479584065224237E-2</v>
      </c>
      <c r="AD80" s="797">
        <f t="shared" si="32"/>
        <v>25.495647458797919</v>
      </c>
      <c r="AE80" s="797">
        <f t="shared" si="39"/>
        <v>100.13974758615582</v>
      </c>
      <c r="AF80" s="797">
        <f t="shared" si="40"/>
        <v>434.73029524857134</v>
      </c>
      <c r="AG80" s="797">
        <f t="shared" si="33"/>
        <v>434.73029524857134</v>
      </c>
      <c r="AH80" s="797">
        <f t="shared" si="34"/>
        <v>208.33844297611904</v>
      </c>
      <c r="AI80" s="724"/>
    </row>
    <row r="81" spans="1:35" ht="17.25" thickBot="1" x14ac:dyDescent="0.3">
      <c r="A81" s="790">
        <f t="shared" si="41"/>
        <v>2025</v>
      </c>
      <c r="B81" s="797">
        <f t="shared" si="25"/>
        <v>459.66653738615963</v>
      </c>
      <c r="C81" s="796">
        <f t="shared" si="25"/>
        <v>120.11952584414732</v>
      </c>
      <c r="D81" s="796">
        <f t="shared" si="25"/>
        <v>728.33520515836358</v>
      </c>
      <c r="E81" s="796">
        <f t="shared" si="44"/>
        <v>4.0840023239935359E-2</v>
      </c>
      <c r="F81" s="797">
        <f t="shared" si="35"/>
        <v>29.745226705130658</v>
      </c>
      <c r="G81" s="797">
        <f t="shared" si="35"/>
        <v>149.86475254927799</v>
      </c>
      <c r="H81" s="797">
        <f t="shared" si="35"/>
        <v>609.5312899354376</v>
      </c>
      <c r="I81" s="797">
        <f t="shared" si="35"/>
        <v>609.5312899354376</v>
      </c>
      <c r="J81" s="797">
        <f t="shared" si="35"/>
        <v>292.10938662042042</v>
      </c>
      <c r="K81" s="724"/>
      <c r="L81" s="737"/>
      <c r="M81" s="790">
        <f t="shared" si="42"/>
        <v>2025</v>
      </c>
      <c r="N81" s="797">
        <f t="shared" si="36"/>
        <v>124.94633342813164</v>
      </c>
      <c r="O81" s="797">
        <f t="shared" si="36"/>
        <v>45.446500579544953</v>
      </c>
      <c r="P81" s="797">
        <f t="shared" si="36"/>
        <v>292.19107696023065</v>
      </c>
      <c r="Q81" s="796">
        <f t="shared" si="26"/>
        <v>-3.8405368462327905E-5</v>
      </c>
      <c r="R81" s="797">
        <f t="shared" si="27"/>
        <v>-1.1221705972062068E-2</v>
      </c>
      <c r="S81" s="797">
        <f t="shared" si="28"/>
        <v>45.435278873572891</v>
      </c>
      <c r="T81" s="797">
        <f t="shared" si="37"/>
        <v>170.38161230170454</v>
      </c>
      <c r="U81" s="797">
        <f t="shared" si="29"/>
        <v>170.38161230170454</v>
      </c>
      <c r="V81" s="797">
        <f t="shared" si="30"/>
        <v>81.653016149705621</v>
      </c>
      <c r="W81" s="724"/>
      <c r="X81" s="737"/>
      <c r="Y81" s="790">
        <f t="shared" si="43"/>
        <v>2025</v>
      </c>
      <c r="Z81" s="797">
        <f t="shared" si="38"/>
        <v>334.72020395802798</v>
      </c>
      <c r="AA81" s="797">
        <f t="shared" si="38"/>
        <v>74.673025264602373</v>
      </c>
      <c r="AB81" s="797">
        <f t="shared" si="38"/>
        <v>436.14412819813288</v>
      </c>
      <c r="AC81" s="796">
        <f t="shared" si="31"/>
        <v>6.8226181409428197E-2</v>
      </c>
      <c r="AD81" s="797">
        <f t="shared" si="32"/>
        <v>29.756448411102721</v>
      </c>
      <c r="AE81" s="797">
        <f t="shared" si="39"/>
        <v>104.4294736757051</v>
      </c>
      <c r="AF81" s="797">
        <f t="shared" si="40"/>
        <v>439.14967763373306</v>
      </c>
      <c r="AG81" s="797">
        <f t="shared" si="33"/>
        <v>439.14967763373306</v>
      </c>
      <c r="AH81" s="797">
        <f t="shared" si="34"/>
        <v>210.4563704707148</v>
      </c>
      <c r="AI81" s="724"/>
    </row>
    <row r="82" spans="1:35" ht="17.25" thickBot="1" x14ac:dyDescent="0.3">
      <c r="A82" s="790">
        <f t="shared" si="41"/>
        <v>2026</v>
      </c>
      <c r="B82" s="797">
        <f t="shared" si="25"/>
        <v>459.84466154678182</v>
      </c>
      <c r="C82" s="796">
        <f t="shared" si="25"/>
        <v>120.16607304298627</v>
      </c>
      <c r="D82" s="796">
        <f t="shared" si="25"/>
        <v>728.61744040178178</v>
      </c>
      <c r="E82" s="796">
        <f t="shared" si="44"/>
        <v>4.667431227421192E-2</v>
      </c>
      <c r="F82" s="797">
        <f t="shared" si="35"/>
        <v>34.007717941749753</v>
      </c>
      <c r="G82" s="797">
        <f t="shared" si="35"/>
        <v>154.17379098473603</v>
      </c>
      <c r="H82" s="797">
        <f t="shared" si="35"/>
        <v>614.01845253151782</v>
      </c>
      <c r="I82" s="797">
        <f t="shared" si="35"/>
        <v>614.01845253151782</v>
      </c>
      <c r="J82" s="797">
        <f t="shared" si="35"/>
        <v>294.25979683766445</v>
      </c>
      <c r="K82" s="724"/>
      <c r="L82" s="737"/>
      <c r="M82" s="790">
        <f t="shared" si="42"/>
        <v>2026</v>
      </c>
      <c r="N82" s="797">
        <f t="shared" si="36"/>
        <v>124.99475105037419</v>
      </c>
      <c r="O82" s="797">
        <f t="shared" si="36"/>
        <v>45.464111432436226</v>
      </c>
      <c r="P82" s="797">
        <f t="shared" si="36"/>
        <v>292.30430314941725</v>
      </c>
      <c r="Q82" s="796">
        <f t="shared" si="26"/>
        <v>-4.3891849671147931E-5</v>
      </c>
      <c r="R82" s="797">
        <f t="shared" si="27"/>
        <v>-1.2829776532063875E-2</v>
      </c>
      <c r="S82" s="797">
        <f t="shared" si="28"/>
        <v>45.451281655904161</v>
      </c>
      <c r="T82" s="797">
        <f t="shared" si="37"/>
        <v>170.44603270627834</v>
      </c>
      <c r="U82" s="797">
        <f t="shared" si="29"/>
        <v>170.44603270627834</v>
      </c>
      <c r="V82" s="797">
        <f t="shared" si="30"/>
        <v>81.68388873192842</v>
      </c>
      <c r="W82" s="724"/>
      <c r="X82" s="737"/>
      <c r="Y82" s="790">
        <f t="shared" si="43"/>
        <v>2026</v>
      </c>
      <c r="Z82" s="797">
        <f t="shared" si="38"/>
        <v>334.84991049640763</v>
      </c>
      <c r="AA82" s="797">
        <f t="shared" si="38"/>
        <v>74.701961610550043</v>
      </c>
      <c r="AB82" s="797">
        <f t="shared" si="38"/>
        <v>436.31313725236458</v>
      </c>
      <c r="AC82" s="796">
        <f t="shared" si="31"/>
        <v>7.7972778753632274E-2</v>
      </c>
      <c r="AD82" s="797">
        <f t="shared" si="32"/>
        <v>34.020547718281819</v>
      </c>
      <c r="AE82" s="797">
        <f t="shared" si="39"/>
        <v>108.72250932883186</v>
      </c>
      <c r="AF82" s="797">
        <f t="shared" si="40"/>
        <v>443.57241982523948</v>
      </c>
      <c r="AG82" s="797">
        <f t="shared" si="33"/>
        <v>443.57241982523948</v>
      </c>
      <c r="AH82" s="797">
        <f t="shared" si="34"/>
        <v>212.575908105736</v>
      </c>
      <c r="AI82" s="724"/>
    </row>
    <row r="83" spans="1:35" ht="17.25" thickBot="1" x14ac:dyDescent="0.3">
      <c r="A83" s="790">
        <f t="shared" si="41"/>
        <v>2027</v>
      </c>
      <c r="B83" s="797">
        <f t="shared" si="25"/>
        <v>460.02285473182502</v>
      </c>
      <c r="C83" s="796">
        <f t="shared" si="25"/>
        <v>120.21263827920677</v>
      </c>
      <c r="D83" s="796">
        <f t="shared" si="25"/>
        <v>728.89978501343057</v>
      </c>
      <c r="E83" s="796">
        <f t="shared" si="44"/>
        <v>5.2508601308488445E-2</v>
      </c>
      <c r="F83" s="797">
        <f t="shared" si="35"/>
        <v>38.273508205113167</v>
      </c>
      <c r="G83" s="797">
        <f t="shared" si="35"/>
        <v>158.48614648431993</v>
      </c>
      <c r="H83" s="797">
        <f t="shared" si="35"/>
        <v>618.50900121614495</v>
      </c>
      <c r="I83" s="797">
        <f t="shared" si="35"/>
        <v>618.50900121614495</v>
      </c>
      <c r="J83" s="797">
        <f t="shared" si="35"/>
        <v>296.41182979071351</v>
      </c>
      <c r="K83" s="724"/>
      <c r="L83" s="737"/>
      <c r="M83" s="790">
        <f t="shared" si="42"/>
        <v>2027</v>
      </c>
      <c r="N83" s="797">
        <f t="shared" si="36"/>
        <v>125.04318743480111</v>
      </c>
      <c r="O83" s="797">
        <f t="shared" si="36"/>
        <v>45.481729109662389</v>
      </c>
      <c r="P83" s="797">
        <f t="shared" si="36"/>
        <v>292.41757321458408</v>
      </c>
      <c r="Q83" s="796">
        <f t="shared" si="26"/>
        <v>-4.9378330880084454E-5</v>
      </c>
      <c r="R83" s="797">
        <f t="shared" si="27"/>
        <v>-1.4439091685341054E-2</v>
      </c>
      <c r="S83" s="797">
        <f t="shared" si="28"/>
        <v>45.467290017977049</v>
      </c>
      <c r="T83" s="797">
        <f t="shared" si="37"/>
        <v>170.51047745277816</v>
      </c>
      <c r="U83" s="797">
        <f t="shared" si="29"/>
        <v>170.51047745277816</v>
      </c>
      <c r="V83" s="797">
        <f t="shared" si="30"/>
        <v>81.714772979680433</v>
      </c>
      <c r="W83" s="724"/>
      <c r="X83" s="737"/>
      <c r="Y83" s="790">
        <f t="shared" si="43"/>
        <v>2027</v>
      </c>
      <c r="Z83" s="797">
        <f t="shared" si="38"/>
        <v>334.97966729702392</v>
      </c>
      <c r="AA83" s="797">
        <f t="shared" si="38"/>
        <v>74.73090916954439</v>
      </c>
      <c r="AB83" s="797">
        <f t="shared" si="38"/>
        <v>436.48221179884655</v>
      </c>
      <c r="AC83" s="796">
        <f t="shared" si="31"/>
        <v>8.7719376097836407E-2</v>
      </c>
      <c r="AD83" s="797">
        <f t="shared" si="32"/>
        <v>38.287947296798507</v>
      </c>
      <c r="AE83" s="797">
        <f t="shared" si="39"/>
        <v>113.0188564663429</v>
      </c>
      <c r="AF83" s="797">
        <f t="shared" si="40"/>
        <v>447.99852376336685</v>
      </c>
      <c r="AG83" s="797">
        <f t="shared" si="33"/>
        <v>447.99852376336685</v>
      </c>
      <c r="AH83" s="797">
        <f t="shared" si="34"/>
        <v>214.69705681103309</v>
      </c>
      <c r="AI83" s="724"/>
    </row>
    <row r="84" spans="1:35" ht="17.25" thickBot="1" x14ac:dyDescent="0.3">
      <c r="A84" s="790">
        <f t="shared" si="41"/>
        <v>2028</v>
      </c>
      <c r="B84" s="797">
        <f t="shared" si="25"/>
        <v>460.20111696803667</v>
      </c>
      <c r="C84" s="796">
        <f t="shared" si="25"/>
        <v>120.25922155979845</v>
      </c>
      <c r="D84" s="796">
        <f t="shared" si="25"/>
        <v>729.18223903569094</v>
      </c>
      <c r="E84" s="796">
        <f t="shared" si="44"/>
        <v>5.8342890342764901E-2</v>
      </c>
      <c r="F84" s="797">
        <f t="shared" si="35"/>
        <v>42.542599411951102</v>
      </c>
      <c r="G84" s="797">
        <f t="shared" si="35"/>
        <v>162.80182097174955</v>
      </c>
      <c r="H84" s="797">
        <f t="shared" si="35"/>
        <v>623.00293793978619</v>
      </c>
      <c r="I84" s="797">
        <f t="shared" si="35"/>
        <v>623.00293793978619</v>
      </c>
      <c r="J84" s="797">
        <f t="shared" si="35"/>
        <v>298.56548641430186</v>
      </c>
      <c r="K84" s="724"/>
      <c r="L84" s="737"/>
      <c r="M84" s="790">
        <f t="shared" si="42"/>
        <v>2028</v>
      </c>
      <c r="N84" s="797">
        <f t="shared" si="36"/>
        <v>125.09164258868289</v>
      </c>
      <c r="O84" s="797">
        <f t="shared" si="36"/>
        <v>45.499353613867918</v>
      </c>
      <c r="P84" s="797">
        <f t="shared" si="36"/>
        <v>292.5308871727334</v>
      </c>
      <c r="Q84" s="796">
        <f t="shared" si="26"/>
        <v>-5.4864812088849036E-5</v>
      </c>
      <c r="R84" s="797">
        <f t="shared" si="27"/>
        <v>-1.6049652154916317E-2</v>
      </c>
      <c r="S84" s="797">
        <f t="shared" si="28"/>
        <v>45.483303961712998</v>
      </c>
      <c r="T84" s="797">
        <f t="shared" si="37"/>
        <v>170.57494655039588</v>
      </c>
      <c r="U84" s="797">
        <f t="shared" si="29"/>
        <v>170.57494655039588</v>
      </c>
      <c r="V84" s="797">
        <f t="shared" si="30"/>
        <v>81.745668897366755</v>
      </c>
      <c r="W84" s="724"/>
      <c r="X84" s="737"/>
      <c r="Y84" s="790">
        <f t="shared" si="43"/>
        <v>2028</v>
      </c>
      <c r="Z84" s="797">
        <f t="shared" si="38"/>
        <v>335.1094743793538</v>
      </c>
      <c r="AA84" s="797">
        <f t="shared" si="38"/>
        <v>74.759867945930537</v>
      </c>
      <c r="AB84" s="797">
        <f t="shared" si="38"/>
        <v>436.65135186295754</v>
      </c>
      <c r="AC84" s="796">
        <f t="shared" si="31"/>
        <v>9.7465973442040318E-2</v>
      </c>
      <c r="AD84" s="797">
        <f t="shared" si="32"/>
        <v>42.558649064106021</v>
      </c>
      <c r="AE84" s="797">
        <f t="shared" si="39"/>
        <v>117.31851701003656</v>
      </c>
      <c r="AF84" s="797">
        <f t="shared" si="40"/>
        <v>452.42799138939034</v>
      </c>
      <c r="AG84" s="797">
        <f t="shared" si="33"/>
        <v>452.42799138939034</v>
      </c>
      <c r="AH84" s="797">
        <f t="shared" si="34"/>
        <v>216.81981751693513</v>
      </c>
      <c r="AI84" s="724"/>
    </row>
    <row r="85" spans="1:35" ht="17.25" thickBot="1" x14ac:dyDescent="0.3">
      <c r="A85" s="790">
        <f t="shared" si="41"/>
        <v>2029</v>
      </c>
      <c r="B85" s="797">
        <f t="shared" si="25"/>
        <v>460.37944828217468</v>
      </c>
      <c r="C85" s="796">
        <f t="shared" si="25"/>
        <v>120.30582289175362</v>
      </c>
      <c r="D85" s="796">
        <f t="shared" si="25"/>
        <v>729.46480251096023</v>
      </c>
      <c r="E85" s="796">
        <f t="shared" si="44"/>
        <v>6.4177179377041316E-2</v>
      </c>
      <c r="F85" s="797">
        <f t="shared" si="35"/>
        <v>46.814993479983912</v>
      </c>
      <c r="G85" s="797">
        <f t="shared" si="35"/>
        <v>167.12081637173753</v>
      </c>
      <c r="H85" s="797">
        <f t="shared" si="35"/>
        <v>627.50026465391215</v>
      </c>
      <c r="I85" s="797">
        <f t="shared" si="35"/>
        <v>627.50026465391215</v>
      </c>
      <c r="J85" s="797">
        <f t="shared" si="35"/>
        <v>300.72076764364471</v>
      </c>
      <c r="K85" s="724"/>
      <c r="L85" s="737"/>
      <c r="M85" s="790">
        <f t="shared" si="42"/>
        <v>2029</v>
      </c>
      <c r="N85" s="797">
        <f t="shared" si="36"/>
        <v>125.1401165192928</v>
      </c>
      <c r="O85" s="797">
        <f t="shared" si="36"/>
        <v>45.516984947698326</v>
      </c>
      <c r="P85" s="797">
        <f t="shared" si="36"/>
        <v>292.64424504087407</v>
      </c>
      <c r="Q85" s="796">
        <f t="shared" si="26"/>
        <v>-6.0351293297907085E-5</v>
      </c>
      <c r="R85" s="797">
        <f t="shared" si="27"/>
        <v>-1.7661458664406382E-2</v>
      </c>
      <c r="S85" s="797">
        <f t="shared" si="28"/>
        <v>45.49932348903392</v>
      </c>
      <c r="T85" s="797">
        <f t="shared" si="37"/>
        <v>170.63944000832672</v>
      </c>
      <c r="U85" s="797">
        <f t="shared" si="29"/>
        <v>170.63944000832672</v>
      </c>
      <c r="V85" s="797">
        <f t="shared" si="30"/>
        <v>81.77657648939406</v>
      </c>
      <c r="W85" s="724"/>
      <c r="X85" s="737"/>
      <c r="Y85" s="790">
        <f t="shared" si="43"/>
        <v>2029</v>
      </c>
      <c r="Z85" s="797">
        <f t="shared" si="38"/>
        <v>335.23933176288187</v>
      </c>
      <c r="AA85" s="797">
        <f t="shared" si="38"/>
        <v>74.788837944055302</v>
      </c>
      <c r="AB85" s="797">
        <f t="shared" si="38"/>
        <v>436.82055747008616</v>
      </c>
      <c r="AC85" s="796">
        <f t="shared" si="31"/>
        <v>0.10721257078624433</v>
      </c>
      <c r="AD85" s="797">
        <f t="shared" si="32"/>
        <v>46.832654938648318</v>
      </c>
      <c r="AE85" s="797">
        <f t="shared" si="39"/>
        <v>121.62149288270362</v>
      </c>
      <c r="AF85" s="797">
        <f t="shared" si="40"/>
        <v>456.86082464558547</v>
      </c>
      <c r="AG85" s="797">
        <f t="shared" si="33"/>
        <v>456.86082464558547</v>
      </c>
      <c r="AH85" s="797">
        <f t="shared" si="34"/>
        <v>218.94419115425063</v>
      </c>
      <c r="AI85" s="724"/>
    </row>
    <row r="86" spans="1:35" ht="17.25" thickBot="1" x14ac:dyDescent="0.3">
      <c r="A86" s="790">
        <f t="shared" si="41"/>
        <v>2030</v>
      </c>
      <c r="B86" s="797">
        <f t="shared" si="25"/>
        <v>460.55784870100717</v>
      </c>
      <c r="C86" s="796">
        <f t="shared" si="25"/>
        <v>120.35244228206733</v>
      </c>
      <c r="D86" s="796">
        <f t="shared" si="25"/>
        <v>729.74747548165237</v>
      </c>
      <c r="E86" s="796">
        <f t="shared" si="44"/>
        <v>7.0011468411317931E-2</v>
      </c>
      <c r="F86" s="797">
        <f t="shared" si="35"/>
        <v>51.09069232792271</v>
      </c>
      <c r="G86" s="797">
        <f t="shared" si="35"/>
        <v>171.44313460999004</v>
      </c>
      <c r="H86" s="797">
        <f t="shared" si="35"/>
        <v>632.00098331099719</v>
      </c>
      <c r="I86" s="797">
        <f t="shared" si="35"/>
        <v>632.00098331099719</v>
      </c>
      <c r="J86" s="797">
        <f t="shared" si="35"/>
        <v>302.8776744144381</v>
      </c>
      <c r="K86" s="724"/>
      <c r="L86" s="737"/>
      <c r="M86" s="790">
        <f t="shared" si="42"/>
        <v>2030</v>
      </c>
      <c r="N86" s="797">
        <f t="shared" si="36"/>
        <v>125.188609233907</v>
      </c>
      <c r="O86" s="797">
        <f t="shared" si="36"/>
        <v>45.534623113800137</v>
      </c>
      <c r="P86" s="797">
        <f t="shared" si="36"/>
        <v>292.75764683602154</v>
      </c>
      <c r="Q86" s="796">
        <f t="shared" si="26"/>
        <v>-6.5837774506631247E-5</v>
      </c>
      <c r="R86" s="797">
        <f t="shared" si="27"/>
        <v>-1.9274511937481972E-2</v>
      </c>
      <c r="S86" s="797">
        <f t="shared" si="28"/>
        <v>45.515348601862655</v>
      </c>
      <c r="T86" s="797">
        <f t="shared" si="37"/>
        <v>170.70395783576964</v>
      </c>
      <c r="U86" s="797">
        <f t="shared" si="29"/>
        <v>170.70395783576964</v>
      </c>
      <c r="V86" s="797">
        <f t="shared" si="30"/>
        <v>81.807495760170852</v>
      </c>
      <c r="W86" s="724"/>
      <c r="X86" s="737"/>
      <c r="Y86" s="790">
        <f t="shared" si="43"/>
        <v>2030</v>
      </c>
      <c r="Z86" s="797">
        <f t="shared" si="38"/>
        <v>335.36923946710016</v>
      </c>
      <c r="AA86" s="797">
        <f t="shared" si="38"/>
        <v>74.817819168267192</v>
      </c>
      <c r="AB86" s="797">
        <f t="shared" si="38"/>
        <v>436.98982864563078</v>
      </c>
      <c r="AC86" s="796">
        <f t="shared" si="31"/>
        <v>0.11695916813044846</v>
      </c>
      <c r="AD86" s="797">
        <f t="shared" si="32"/>
        <v>51.109966839860192</v>
      </c>
      <c r="AE86" s="797">
        <f t="shared" si="39"/>
        <v>125.92778600812738</v>
      </c>
      <c r="AF86" s="797">
        <f t="shared" si="40"/>
        <v>461.29702547522754</v>
      </c>
      <c r="AG86" s="797">
        <f t="shared" si="33"/>
        <v>461.29702547522754</v>
      </c>
      <c r="AH86" s="797">
        <f t="shared" si="34"/>
        <v>221.07017865426727</v>
      </c>
      <c r="AI86" s="724"/>
    </row>
    <row r="87" spans="1:35" ht="17.25" thickBot="1" x14ac:dyDescent="0.3">
      <c r="A87" s="790">
        <f t="shared" si="41"/>
        <v>2031</v>
      </c>
      <c r="B87" s="797">
        <f t="shared" si="25"/>
        <v>460.73631825131275</v>
      </c>
      <c r="C87" s="796">
        <f t="shared" si="25"/>
        <v>120.39907973773731</v>
      </c>
      <c r="D87" s="796">
        <f t="shared" si="25"/>
        <v>730.03025799019747</v>
      </c>
      <c r="E87" s="796">
        <f t="shared" si="44"/>
        <v>7.5845757445594394E-2</v>
      </c>
      <c r="F87" s="797">
        <f t="shared" si="35"/>
        <v>55.369697875469214</v>
      </c>
      <c r="G87" s="797">
        <f t="shared" si="35"/>
        <v>175.76877761320651</v>
      </c>
      <c r="H87" s="797">
        <f t="shared" si="35"/>
        <v>636.50509586451926</v>
      </c>
      <c r="I87" s="797">
        <f t="shared" si="35"/>
        <v>636.50509586451926</v>
      </c>
      <c r="J87" s="797">
        <f t="shared" si="35"/>
        <v>305.03620766285928</v>
      </c>
      <c r="K87" s="724"/>
      <c r="L87" s="737"/>
      <c r="M87" s="790">
        <f t="shared" si="42"/>
        <v>2031</v>
      </c>
      <c r="N87" s="797">
        <f t="shared" si="36"/>
        <v>125.23712073980441</v>
      </c>
      <c r="O87" s="797">
        <f t="shared" si="36"/>
        <v>45.552268114820912</v>
      </c>
      <c r="P87" s="797">
        <f t="shared" si="36"/>
        <v>292.87109257519785</v>
      </c>
      <c r="Q87" s="796">
        <f t="shared" si="26"/>
        <v>-7.1324255715515532E-5</v>
      </c>
      <c r="R87" s="797">
        <f t="shared" si="27"/>
        <v>-2.0888812698515835E-2</v>
      </c>
      <c r="S87" s="797">
        <f t="shared" si="28"/>
        <v>45.531379302122396</v>
      </c>
      <c r="T87" s="797">
        <f t="shared" si="37"/>
        <v>170.76850004192681</v>
      </c>
      <c r="U87" s="797">
        <f t="shared" si="29"/>
        <v>170.76850004192681</v>
      </c>
      <c r="V87" s="797">
        <f t="shared" si="30"/>
        <v>81.838426714107101</v>
      </c>
      <c r="W87" s="724"/>
      <c r="X87" s="737"/>
      <c r="Y87" s="790">
        <f t="shared" si="43"/>
        <v>2031</v>
      </c>
      <c r="Z87" s="797">
        <f t="shared" si="38"/>
        <v>335.49919751150833</v>
      </c>
      <c r="AA87" s="797">
        <f t="shared" si="38"/>
        <v>74.846811622916405</v>
      </c>
      <c r="AB87" s="797">
        <f t="shared" si="38"/>
        <v>437.15916541499962</v>
      </c>
      <c r="AC87" s="796">
        <f t="shared" si="31"/>
        <v>0.12670576547465243</v>
      </c>
      <c r="AD87" s="797">
        <f t="shared" si="32"/>
        <v>55.39058668816773</v>
      </c>
      <c r="AE87" s="797">
        <f t="shared" si="39"/>
        <v>130.23739831108412</v>
      </c>
      <c r="AF87" s="797">
        <f t="shared" si="40"/>
        <v>465.73659582259245</v>
      </c>
      <c r="AG87" s="797">
        <f t="shared" si="33"/>
        <v>465.73659582259245</v>
      </c>
      <c r="AH87" s="797">
        <f t="shared" si="34"/>
        <v>223.19778094875215</v>
      </c>
      <c r="AI87" s="724"/>
    </row>
    <row r="88" spans="1:35" ht="17.25" thickBot="1" x14ac:dyDescent="0.3">
      <c r="A88" s="790">
        <f t="shared" si="41"/>
        <v>2032</v>
      </c>
      <c r="B88" s="797">
        <f t="shared" si="25"/>
        <v>460.91485695988035</v>
      </c>
      <c r="C88" s="796">
        <f t="shared" si="25"/>
        <v>120.44573526576404</v>
      </c>
      <c r="D88" s="796">
        <f t="shared" si="25"/>
        <v>730.31315007904243</v>
      </c>
      <c r="E88" s="796">
        <f t="shared" si="44"/>
        <v>8.168004647987083E-2</v>
      </c>
      <c r="F88" s="797">
        <f t="shared" si="35"/>
        <v>59.652012043317065</v>
      </c>
      <c r="G88" s="797">
        <f t="shared" si="35"/>
        <v>180.09774730908109</v>
      </c>
      <c r="H88" s="797">
        <f t="shared" si="35"/>
        <v>641.01260426896147</v>
      </c>
      <c r="I88" s="797">
        <f t="shared" si="35"/>
        <v>641.01260426896147</v>
      </c>
      <c r="J88" s="797">
        <f t="shared" si="35"/>
        <v>307.19636832556694</v>
      </c>
      <c r="K88" s="724"/>
      <c r="L88" s="737"/>
      <c r="M88" s="790">
        <f t="shared" si="42"/>
        <v>2032</v>
      </c>
      <c r="N88" s="797">
        <f t="shared" si="36"/>
        <v>125.28565104426679</v>
      </c>
      <c r="O88" s="797">
        <f t="shared" si="36"/>
        <v>45.569919953409226</v>
      </c>
      <c r="P88" s="797">
        <f t="shared" si="36"/>
        <v>292.98458227543165</v>
      </c>
      <c r="Q88" s="796">
        <f t="shared" si="26"/>
        <v>-7.6810736924513644E-5</v>
      </c>
      <c r="R88" s="797">
        <f t="shared" si="27"/>
        <v>-2.2504361672096705E-2</v>
      </c>
      <c r="S88" s="797">
        <f t="shared" si="28"/>
        <v>45.547415591737128</v>
      </c>
      <c r="T88" s="797">
        <f t="shared" si="37"/>
        <v>170.83306663600391</v>
      </c>
      <c r="U88" s="797">
        <f t="shared" si="29"/>
        <v>170.83306663600391</v>
      </c>
      <c r="V88" s="797">
        <f t="shared" si="30"/>
        <v>81.869369355614523</v>
      </c>
      <c r="W88" s="724"/>
      <c r="X88" s="737"/>
      <c r="Y88" s="790">
        <f t="shared" si="43"/>
        <v>2032</v>
      </c>
      <c r="Z88" s="797">
        <f t="shared" si="38"/>
        <v>335.62920591561357</v>
      </c>
      <c r="AA88" s="797">
        <f t="shared" si="38"/>
        <v>74.875815312354817</v>
      </c>
      <c r="AB88" s="797">
        <f t="shared" si="38"/>
        <v>437.32856780361078</v>
      </c>
      <c r="AC88" s="796">
        <f t="shared" si="31"/>
        <v>0.13645236281885645</v>
      </c>
      <c r="AD88" s="797">
        <f t="shared" si="32"/>
        <v>59.674516404989163</v>
      </c>
      <c r="AE88" s="797">
        <f t="shared" si="39"/>
        <v>134.55033171734397</v>
      </c>
      <c r="AF88" s="797">
        <f t="shared" si="40"/>
        <v>470.17953763295753</v>
      </c>
      <c r="AG88" s="797">
        <f t="shared" si="33"/>
        <v>470.17953763295753</v>
      </c>
      <c r="AH88" s="797">
        <f t="shared" si="34"/>
        <v>225.3269989699524</v>
      </c>
      <c r="AI88" s="724"/>
    </row>
    <row r="89" spans="1:35" ht="17.25" thickBot="1" x14ac:dyDescent="0.3">
      <c r="A89" s="790">
        <f t="shared" si="41"/>
        <v>2033</v>
      </c>
      <c r="B89" s="797">
        <f>+N89+Z89</f>
        <v>461.09346485350932</v>
      </c>
      <c r="C89" s="796">
        <f t="shared" si="25"/>
        <v>120.49240887315068</v>
      </c>
      <c r="D89" s="796">
        <f t="shared" si="25"/>
        <v>730.59615179065031</v>
      </c>
      <c r="E89" s="796">
        <f t="shared" si="44"/>
        <v>8.7514335514147348E-2</v>
      </c>
      <c r="F89" s="797">
        <f t="shared" si="35"/>
        <v>63.937636753151899</v>
      </c>
      <c r="G89" s="797">
        <f>+S89+AE89</f>
        <v>184.43004562630259</v>
      </c>
      <c r="H89" s="797">
        <f t="shared" si="35"/>
        <v>645.52351047981188</v>
      </c>
      <c r="I89" s="797">
        <f t="shared" si="35"/>
        <v>645.52351047981188</v>
      </c>
      <c r="J89" s="797">
        <f t="shared" si="35"/>
        <v>309.35815733970162</v>
      </c>
      <c r="K89" s="724"/>
      <c r="L89" s="737"/>
      <c r="M89" s="790">
        <f t="shared" si="42"/>
        <v>2033</v>
      </c>
      <c r="N89" s="797">
        <f t="shared" si="36"/>
        <v>125.33420015457871</v>
      </c>
      <c r="O89" s="797">
        <f t="shared" si="36"/>
        <v>45.587578632214687</v>
      </c>
      <c r="P89" s="797">
        <f t="shared" si="36"/>
        <v>293.09811595375817</v>
      </c>
      <c r="Q89" s="796">
        <f t="shared" si="26"/>
        <v>-8.2297218133223739E-5</v>
      </c>
      <c r="R89" s="797">
        <f t="shared" si="27"/>
        <v>-2.4121159583083342E-2</v>
      </c>
      <c r="S89" s="797">
        <f t="shared" si="28"/>
        <v>45.563457472631605</v>
      </c>
      <c r="T89" s="797">
        <f>+S89+N89</f>
        <v>170.89765762721032</v>
      </c>
      <c r="U89" s="797">
        <f t="shared" si="29"/>
        <v>170.89765762721032</v>
      </c>
      <c r="V89" s="797">
        <f t="shared" si="30"/>
        <v>81.9003236891066</v>
      </c>
      <c r="W89" s="724"/>
      <c r="X89" s="737"/>
      <c r="Y89" s="790">
        <f t="shared" si="43"/>
        <v>2033</v>
      </c>
      <c r="Z89" s="797">
        <f t="shared" si="38"/>
        <v>335.75926469893062</v>
      </c>
      <c r="AA89" s="797">
        <f t="shared" si="38"/>
        <v>74.904830240935993</v>
      </c>
      <c r="AB89" s="797">
        <f t="shared" si="38"/>
        <v>437.4980358368922</v>
      </c>
      <c r="AC89" s="796">
        <f t="shared" si="31"/>
        <v>0.14619896016306042</v>
      </c>
      <c r="AD89" s="797">
        <f t="shared" si="32"/>
        <v>63.961757912734981</v>
      </c>
      <c r="AE89" s="797">
        <f t="shared" si="39"/>
        <v>138.86658815367099</v>
      </c>
      <c r="AF89" s="797">
        <f>+AE89+Z89</f>
        <v>474.62585285260161</v>
      </c>
      <c r="AG89" s="797">
        <f t="shared" si="33"/>
        <v>474.62585285260161</v>
      </c>
      <c r="AH89" s="797">
        <f t="shared" si="34"/>
        <v>227.45783365059503</v>
      </c>
      <c r="AI89" s="724"/>
    </row>
    <row r="90" spans="1:35" ht="17.25" thickBot="1" x14ac:dyDescent="0.3">
      <c r="A90" s="790">
        <f t="shared" si="41"/>
        <v>2034</v>
      </c>
      <c r="B90" s="797">
        <f>+N90+Z90</f>
        <v>461.27214195900939</v>
      </c>
      <c r="C90" s="796">
        <f>+O90+AA90</f>
        <v>120.5391005669031</v>
      </c>
      <c r="D90" s="796">
        <f>+P90+AB90</f>
        <v>730.87926316750088</v>
      </c>
      <c r="E90" s="796">
        <f t="shared" si="44"/>
        <v>9.3348624548423825E-2</v>
      </c>
      <c r="F90" s="797">
        <f t="shared" si="35"/>
        <v>68.226573927651685</v>
      </c>
      <c r="G90" s="797">
        <f>+S90+AE90</f>
        <v>188.76567449455479</v>
      </c>
      <c r="H90" s="797">
        <f t="shared" si="35"/>
        <v>650.03781645356412</v>
      </c>
      <c r="I90" s="797">
        <f t="shared" si="35"/>
        <v>650.03781645356412</v>
      </c>
      <c r="J90" s="797">
        <f t="shared" si="35"/>
        <v>311.52157564288564</v>
      </c>
      <c r="K90" s="724"/>
      <c r="L90" s="737"/>
      <c r="M90" s="790">
        <f t="shared" si="42"/>
        <v>2034</v>
      </c>
      <c r="N90" s="797">
        <f t="shared" si="36"/>
        <v>125.3827680780276</v>
      </c>
      <c r="O90" s="797">
        <f t="shared" si="36"/>
        <v>45.605244153887931</v>
      </c>
      <c r="P90" s="797">
        <f t="shared" si="36"/>
        <v>293.21169362721918</v>
      </c>
      <c r="Q90" s="796">
        <f t="shared" si="26"/>
        <v>-8.7783699342177589E-5</v>
      </c>
      <c r="R90" s="797">
        <f t="shared" si="27"/>
        <v>-2.5739207156982497E-2</v>
      </c>
      <c r="S90" s="797">
        <f t="shared" si="28"/>
        <v>45.57950494673095</v>
      </c>
      <c r="T90" s="797">
        <f>+S90+N90</f>
        <v>170.96227302475853</v>
      </c>
      <c r="U90" s="797">
        <f t="shared" si="29"/>
        <v>170.96227302475853</v>
      </c>
      <c r="V90" s="797">
        <f t="shared" si="30"/>
        <v>81.931289718998258</v>
      </c>
      <c r="W90" s="724"/>
      <c r="X90" s="737"/>
      <c r="Y90" s="790">
        <f t="shared" si="43"/>
        <v>2034</v>
      </c>
      <c r="Z90" s="797">
        <f t="shared" si="38"/>
        <v>335.88937388098179</v>
      </c>
      <c r="AA90" s="797">
        <f t="shared" si="38"/>
        <v>74.933856413015178</v>
      </c>
      <c r="AB90" s="797">
        <f t="shared" si="38"/>
        <v>437.6675695402817</v>
      </c>
      <c r="AC90" s="796">
        <f t="shared" si="31"/>
        <v>0.15594555750726447</v>
      </c>
      <c r="AD90" s="797">
        <f t="shared" si="32"/>
        <v>68.252313134808674</v>
      </c>
      <c r="AE90" s="797">
        <f t="shared" si="39"/>
        <v>143.18616954782385</v>
      </c>
      <c r="AF90" s="797">
        <f>+AE90+Z90</f>
        <v>479.07554342880564</v>
      </c>
      <c r="AG90" s="797">
        <f t="shared" si="33"/>
        <v>479.07554342880564</v>
      </c>
      <c r="AH90" s="797">
        <f t="shared" si="34"/>
        <v>229.59028592388736</v>
      </c>
      <c r="AI90" s="724"/>
    </row>
    <row r="91" spans="1:35" x14ac:dyDescent="0.25">
      <c r="A91" s="725"/>
      <c r="B91" s="760"/>
      <c r="C91" s="772"/>
      <c r="D91" s="772"/>
      <c r="E91" s="717"/>
      <c r="F91" s="760"/>
      <c r="G91" s="760"/>
      <c r="H91" s="760"/>
      <c r="I91" s="760"/>
      <c r="J91" s="760"/>
      <c r="K91" s="724"/>
      <c r="L91" s="737"/>
      <c r="M91" s="716"/>
      <c r="N91" s="760"/>
      <c r="O91" s="760"/>
      <c r="P91" s="760"/>
      <c r="Q91" s="717"/>
      <c r="R91" s="760"/>
      <c r="S91" s="760"/>
      <c r="T91" s="760"/>
      <c r="U91" s="760"/>
      <c r="V91" s="760"/>
      <c r="W91" s="724"/>
      <c r="X91" s="737"/>
      <c r="Y91" s="716"/>
      <c r="Z91" s="760"/>
      <c r="AA91" s="760"/>
      <c r="AB91" s="760"/>
      <c r="AC91" s="717"/>
      <c r="AD91" s="760"/>
      <c r="AE91" s="760"/>
      <c r="AF91" s="760"/>
      <c r="AG91" s="781"/>
      <c r="AH91" s="760"/>
      <c r="AI91" s="724"/>
    </row>
    <row r="92" spans="1:35" ht="17.25" thickBot="1" x14ac:dyDescent="0.3">
      <c r="A92" s="773"/>
      <c r="B92" s="727"/>
      <c r="C92" s="728"/>
      <c r="D92" s="728"/>
      <c r="E92" s="728"/>
      <c r="F92" s="728"/>
      <c r="G92" s="728"/>
      <c r="H92" s="728"/>
      <c r="I92" s="728"/>
      <c r="J92" s="728"/>
      <c r="K92" s="729"/>
      <c r="L92" s="738"/>
      <c r="M92" s="728"/>
      <c r="N92" s="728"/>
      <c r="O92" s="728"/>
      <c r="P92" s="728"/>
      <c r="Q92" s="728"/>
      <c r="R92" s="728"/>
      <c r="S92" s="728"/>
      <c r="T92" s="728"/>
      <c r="U92" s="728"/>
      <c r="V92" s="728"/>
      <c r="W92" s="729"/>
      <c r="X92" s="738"/>
      <c r="Y92" s="728"/>
      <c r="Z92" s="728"/>
      <c r="AA92" s="728"/>
      <c r="AB92" s="728"/>
      <c r="AC92" s="728"/>
      <c r="AD92" s="728"/>
      <c r="AE92" s="728"/>
      <c r="AF92" s="728"/>
      <c r="AG92" s="728"/>
      <c r="AH92" s="728"/>
      <c r="AI92" s="729"/>
    </row>
    <row r="96" spans="1:35" ht="72" customHeight="1" x14ac:dyDescent="0.25">
      <c r="A96" s="4110"/>
      <c r="B96" s="4345" t="s">
        <v>1500</v>
      </c>
      <c r="C96" s="4348" t="s">
        <v>1501</v>
      </c>
      <c r="D96" s="4350" t="s">
        <v>1502</v>
      </c>
      <c r="F96" s="4352" t="s">
        <v>1485</v>
      </c>
      <c r="G96" s="801" t="s">
        <v>1503</v>
      </c>
      <c r="H96" s="802" t="s">
        <v>1378</v>
      </c>
      <c r="I96" s="803" t="s">
        <v>1377</v>
      </c>
    </row>
    <row r="97" spans="1:20" ht="54.75" customHeight="1" x14ac:dyDescent="0.25">
      <c r="A97" s="4110"/>
      <c r="B97" s="4346"/>
      <c r="C97" s="4349"/>
      <c r="D97" s="4351"/>
      <c r="F97" s="4353"/>
      <c r="G97" s="804" t="s">
        <v>1504</v>
      </c>
      <c r="H97" s="804" t="s">
        <v>1504</v>
      </c>
      <c r="I97" s="805" t="s">
        <v>1505</v>
      </c>
      <c r="T97" s="1449">
        <f>U74+V74+AG74+AH74</f>
        <v>855.31767189880179</v>
      </c>
    </row>
    <row r="98" spans="1:20" x14ac:dyDescent="0.25">
      <c r="B98" s="4346"/>
      <c r="C98" s="809" t="s">
        <v>1378</v>
      </c>
      <c r="D98" s="809" t="s">
        <v>1377</v>
      </c>
      <c r="F98" s="806"/>
      <c r="G98" s="808">
        <f>AG10</f>
        <v>0</v>
      </c>
      <c r="H98" s="808">
        <v>0.2</v>
      </c>
      <c r="I98" s="808">
        <v>0.75</v>
      </c>
    </row>
    <row r="99" spans="1:20" ht="16.149999999999999" customHeight="1" x14ac:dyDescent="0.25">
      <c r="B99" s="4347"/>
      <c r="C99" s="810">
        <v>0.2</v>
      </c>
      <c r="D99" s="810">
        <v>0.75</v>
      </c>
      <c r="F99" s="800">
        <f t="shared" ref="F99:F115" si="45">A74</f>
        <v>2018</v>
      </c>
      <c r="G99" s="807">
        <f t="shared" ref="G99:G115" si="46">H74*$G$98</f>
        <v>0</v>
      </c>
      <c r="H99" s="807">
        <f t="shared" ref="H99:H115" si="47">I74*$H$98</f>
        <v>115.64315972267565</v>
      </c>
      <c r="I99" s="1499">
        <f t="shared" ref="I99:I115" si="48">J74*$I$98</f>
        <v>207.82640496406771</v>
      </c>
      <c r="T99" s="1450">
        <f>T97/D5</f>
        <v>0.46966286164966498</v>
      </c>
    </row>
    <row r="100" spans="1:20" x14ac:dyDescent="0.25">
      <c r="B100" s="800">
        <f>F99</f>
        <v>2018</v>
      </c>
      <c r="C100" s="807">
        <f>H99</f>
        <v>115.64315972267565</v>
      </c>
      <c r="D100" s="807">
        <f>I99</f>
        <v>207.82640496406771</v>
      </c>
      <c r="F100" s="800">
        <f t="shared" si="45"/>
        <v>2019</v>
      </c>
      <c r="G100" s="807">
        <f t="shared" si="46"/>
        <v>0</v>
      </c>
      <c r="H100" s="807">
        <f t="shared" si="47"/>
        <v>116.53586262370999</v>
      </c>
      <c r="I100" s="1499">
        <f t="shared" si="48"/>
        <v>209.43071286319355</v>
      </c>
    </row>
    <row r="101" spans="1:20" x14ac:dyDescent="0.25">
      <c r="B101" s="800">
        <f t="shared" ref="B101:B116" si="49">F100</f>
        <v>2019</v>
      </c>
      <c r="C101" s="807">
        <f>H100</f>
        <v>116.53586262370999</v>
      </c>
      <c r="D101" s="807">
        <f t="shared" ref="C101:D116" si="50">I100</f>
        <v>209.43071286319355</v>
      </c>
      <c r="F101" s="800">
        <f t="shared" si="45"/>
        <v>2020</v>
      </c>
      <c r="G101" s="807">
        <f t="shared" si="46"/>
        <v>0</v>
      </c>
      <c r="H101" s="807">
        <f t="shared" si="47"/>
        <v>117.42924001740909</v>
      </c>
      <c r="I101" s="1499">
        <f t="shared" si="48"/>
        <v>211.03623291689928</v>
      </c>
    </row>
    <row r="102" spans="1:20" x14ac:dyDescent="0.25">
      <c r="B102" s="800">
        <f t="shared" si="49"/>
        <v>2020</v>
      </c>
      <c r="C102" s="807">
        <f t="shared" si="50"/>
        <v>117.42924001740909</v>
      </c>
      <c r="D102" s="807">
        <f t="shared" si="50"/>
        <v>211.03623291689928</v>
      </c>
      <c r="F102" s="800">
        <f t="shared" si="45"/>
        <v>2021</v>
      </c>
      <c r="G102" s="807">
        <f t="shared" si="46"/>
        <v>0</v>
      </c>
      <c r="H102" s="807">
        <f t="shared" si="47"/>
        <v>118.32329229246473</v>
      </c>
      <c r="I102" s="1499">
        <f t="shared" si="48"/>
        <v>212.64296582371668</v>
      </c>
    </row>
    <row r="103" spans="1:20" x14ac:dyDescent="0.25">
      <c r="B103" s="800">
        <f t="shared" si="49"/>
        <v>2021</v>
      </c>
      <c r="C103" s="807">
        <f t="shared" si="50"/>
        <v>118.32329229246473</v>
      </c>
      <c r="D103" s="807">
        <f t="shared" si="50"/>
        <v>212.64296582371668</v>
      </c>
      <c r="F103" s="800">
        <f t="shared" si="45"/>
        <v>2022</v>
      </c>
      <c r="G103" s="807">
        <f t="shared" si="46"/>
        <v>0</v>
      </c>
      <c r="H103" s="807">
        <f t="shared" si="47"/>
        <v>119.21801983776859</v>
      </c>
      <c r="I103" s="1499">
        <f t="shared" si="48"/>
        <v>214.25091228253663</v>
      </c>
    </row>
    <row r="104" spans="1:20" x14ac:dyDescent="0.25">
      <c r="B104" s="800">
        <f t="shared" si="49"/>
        <v>2022</v>
      </c>
      <c r="C104" s="807">
        <f t="shared" si="50"/>
        <v>119.21801983776859</v>
      </c>
      <c r="D104" s="807">
        <f t="shared" si="50"/>
        <v>214.25091228253663</v>
      </c>
      <c r="F104" s="800">
        <f t="shared" si="45"/>
        <v>2023</v>
      </c>
      <c r="G104" s="807">
        <f t="shared" si="46"/>
        <v>0</v>
      </c>
      <c r="H104" s="807">
        <f t="shared" si="47"/>
        <v>120.11342304241235</v>
      </c>
      <c r="I104" s="1499">
        <f t="shared" si="48"/>
        <v>215.86007299260959</v>
      </c>
    </row>
    <row r="105" spans="1:20" x14ac:dyDescent="0.25">
      <c r="B105" s="800">
        <f t="shared" si="49"/>
        <v>2023</v>
      </c>
      <c r="C105" s="807">
        <f t="shared" si="50"/>
        <v>120.11342304241235</v>
      </c>
      <c r="D105" s="807">
        <f t="shared" si="50"/>
        <v>215.86007299260959</v>
      </c>
      <c r="F105" s="800">
        <f t="shared" si="45"/>
        <v>2024</v>
      </c>
      <c r="G105" s="807">
        <f t="shared" si="46"/>
        <v>0</v>
      </c>
      <c r="H105" s="807">
        <f t="shared" si="47"/>
        <v>121.00950229568794</v>
      </c>
      <c r="I105" s="1499">
        <f t="shared" si="48"/>
        <v>217.47044865354579</v>
      </c>
    </row>
    <row r="106" spans="1:20" x14ac:dyDescent="0.25">
      <c r="B106" s="800">
        <f t="shared" si="49"/>
        <v>2024</v>
      </c>
      <c r="C106" s="807">
        <f t="shared" si="50"/>
        <v>121.00950229568794</v>
      </c>
      <c r="D106" s="807">
        <f t="shared" si="50"/>
        <v>217.47044865354579</v>
      </c>
      <c r="F106" s="800">
        <f t="shared" si="45"/>
        <v>2025</v>
      </c>
      <c r="G106" s="807">
        <f t="shared" si="46"/>
        <v>0</v>
      </c>
      <c r="H106" s="807">
        <f t="shared" si="47"/>
        <v>121.90625798708753</v>
      </c>
      <c r="I106" s="1499">
        <f t="shared" si="48"/>
        <v>219.08203996531532</v>
      </c>
    </row>
    <row r="107" spans="1:20" x14ac:dyDescent="0.25">
      <c r="B107" s="800">
        <f t="shared" si="49"/>
        <v>2025</v>
      </c>
      <c r="C107" s="807">
        <f t="shared" si="50"/>
        <v>121.90625798708753</v>
      </c>
      <c r="D107" s="807">
        <f t="shared" si="50"/>
        <v>219.08203996531532</v>
      </c>
      <c r="F107" s="800">
        <f t="shared" si="45"/>
        <v>2026</v>
      </c>
      <c r="G107" s="807">
        <f t="shared" si="46"/>
        <v>0</v>
      </c>
      <c r="H107" s="807">
        <f t="shared" si="47"/>
        <v>122.80369050630357</v>
      </c>
      <c r="I107" s="1499">
        <f t="shared" si="48"/>
        <v>220.69484762824834</v>
      </c>
    </row>
    <row r="108" spans="1:20" x14ac:dyDescent="0.25">
      <c r="B108" s="800">
        <f t="shared" si="49"/>
        <v>2026</v>
      </c>
      <c r="C108" s="807">
        <f t="shared" si="50"/>
        <v>122.80369050630357</v>
      </c>
      <c r="D108" s="807">
        <f t="shared" si="50"/>
        <v>220.69484762824834</v>
      </c>
      <c r="F108" s="800">
        <f t="shared" si="45"/>
        <v>2027</v>
      </c>
      <c r="G108" s="807">
        <f t="shared" si="46"/>
        <v>0</v>
      </c>
      <c r="H108" s="807">
        <f t="shared" si="47"/>
        <v>123.701800243229</v>
      </c>
      <c r="I108" s="1499">
        <f t="shared" si="48"/>
        <v>222.30887234303515</v>
      </c>
    </row>
    <row r="109" spans="1:20" x14ac:dyDescent="0.25">
      <c r="B109" s="800">
        <f t="shared" si="49"/>
        <v>2027</v>
      </c>
      <c r="C109" s="807">
        <f t="shared" si="50"/>
        <v>123.701800243229</v>
      </c>
      <c r="D109" s="807">
        <f t="shared" si="50"/>
        <v>222.30887234303515</v>
      </c>
      <c r="F109" s="800">
        <f t="shared" si="45"/>
        <v>2028</v>
      </c>
      <c r="G109" s="807">
        <f t="shared" si="46"/>
        <v>0</v>
      </c>
      <c r="H109" s="807">
        <f t="shared" si="47"/>
        <v>124.60058758795725</v>
      </c>
      <c r="I109" s="1499">
        <f t="shared" si="48"/>
        <v>223.92411481072639</v>
      </c>
    </row>
    <row r="110" spans="1:20" x14ac:dyDescent="0.25">
      <c r="B110" s="800">
        <f t="shared" si="49"/>
        <v>2028</v>
      </c>
      <c r="C110" s="807">
        <f t="shared" si="50"/>
        <v>124.60058758795725</v>
      </c>
      <c r="D110" s="807">
        <f t="shared" si="50"/>
        <v>223.92411481072639</v>
      </c>
      <c r="F110" s="800">
        <f t="shared" si="45"/>
        <v>2029</v>
      </c>
      <c r="G110" s="807">
        <f t="shared" si="46"/>
        <v>0</v>
      </c>
      <c r="H110" s="807">
        <f t="shared" si="47"/>
        <v>125.50005293078243</v>
      </c>
      <c r="I110" s="1499">
        <f t="shared" si="48"/>
        <v>225.54057573273354</v>
      </c>
    </row>
    <row r="111" spans="1:20" x14ac:dyDescent="0.25">
      <c r="B111" s="800">
        <f t="shared" si="49"/>
        <v>2029</v>
      </c>
      <c r="C111" s="807">
        <f t="shared" si="50"/>
        <v>125.50005293078243</v>
      </c>
      <c r="D111" s="807">
        <f t="shared" si="50"/>
        <v>225.54057573273354</v>
      </c>
      <c r="F111" s="800">
        <f t="shared" si="45"/>
        <v>2030</v>
      </c>
      <c r="G111" s="807">
        <f t="shared" si="46"/>
        <v>0</v>
      </c>
      <c r="H111" s="807">
        <f t="shared" si="47"/>
        <v>126.40019666219945</v>
      </c>
      <c r="I111" s="1499">
        <f t="shared" si="48"/>
        <v>227.15825581082856</v>
      </c>
    </row>
    <row r="112" spans="1:20" x14ac:dyDescent="0.25">
      <c r="B112" s="800">
        <f t="shared" si="49"/>
        <v>2030</v>
      </c>
      <c r="C112" s="807">
        <f t="shared" si="50"/>
        <v>126.40019666219945</v>
      </c>
      <c r="D112" s="807">
        <f t="shared" si="50"/>
        <v>227.15825581082856</v>
      </c>
      <c r="F112" s="800">
        <f t="shared" si="45"/>
        <v>2031</v>
      </c>
      <c r="G112" s="807">
        <f t="shared" si="46"/>
        <v>0</v>
      </c>
      <c r="H112" s="807">
        <f t="shared" si="47"/>
        <v>127.30101917290386</v>
      </c>
      <c r="I112" s="1499">
        <f t="shared" si="48"/>
        <v>228.77715574714446</v>
      </c>
    </row>
    <row r="113" spans="2:9" x14ac:dyDescent="0.25">
      <c r="B113" s="800">
        <f t="shared" si="49"/>
        <v>2031</v>
      </c>
      <c r="C113" s="807">
        <f t="shared" si="50"/>
        <v>127.30101917290386</v>
      </c>
      <c r="D113" s="807">
        <f t="shared" si="50"/>
        <v>228.77715574714446</v>
      </c>
      <c r="F113" s="800">
        <f t="shared" si="45"/>
        <v>2032</v>
      </c>
      <c r="G113" s="807">
        <f t="shared" si="46"/>
        <v>0</v>
      </c>
      <c r="H113" s="807">
        <f t="shared" si="47"/>
        <v>128.20252085379229</v>
      </c>
      <c r="I113" s="1499">
        <f t="shared" si="48"/>
        <v>230.3972762441752</v>
      </c>
    </row>
    <row r="114" spans="2:9" x14ac:dyDescent="0.25">
      <c r="B114" s="800">
        <f t="shared" si="49"/>
        <v>2032</v>
      </c>
      <c r="C114" s="807">
        <f t="shared" si="50"/>
        <v>128.20252085379229</v>
      </c>
      <c r="D114" s="807">
        <f t="shared" si="50"/>
        <v>230.3972762441752</v>
      </c>
      <c r="F114" s="800">
        <f t="shared" si="45"/>
        <v>2033</v>
      </c>
      <c r="G114" s="807">
        <f t="shared" si="46"/>
        <v>0</v>
      </c>
      <c r="H114" s="807">
        <f t="shared" si="47"/>
        <v>129.10470209596238</v>
      </c>
      <c r="I114" s="1499">
        <f t="shared" si="48"/>
        <v>232.01861800477622</v>
      </c>
    </row>
    <row r="115" spans="2:9" x14ac:dyDescent="0.25">
      <c r="B115" s="800">
        <f t="shared" si="49"/>
        <v>2033</v>
      </c>
      <c r="C115" s="807">
        <f t="shared" si="50"/>
        <v>129.10470209596238</v>
      </c>
      <c r="D115" s="807">
        <f t="shared" si="50"/>
        <v>232.01861800477622</v>
      </c>
      <c r="F115" s="800">
        <f t="shared" si="45"/>
        <v>2034</v>
      </c>
      <c r="G115" s="807">
        <f t="shared" si="46"/>
        <v>0</v>
      </c>
      <c r="H115" s="807">
        <f t="shared" si="47"/>
        <v>130.00756329071282</v>
      </c>
      <c r="I115" s="1499">
        <f t="shared" si="48"/>
        <v>233.64118173216423</v>
      </c>
    </row>
    <row r="116" spans="2:9" x14ac:dyDescent="0.25">
      <c r="B116" s="800">
        <f t="shared" si="49"/>
        <v>2034</v>
      </c>
      <c r="C116" s="807">
        <f t="shared" si="50"/>
        <v>130.00756329071282</v>
      </c>
      <c r="D116" s="807">
        <f t="shared" si="50"/>
        <v>233.64118173216423</v>
      </c>
    </row>
    <row r="117" spans="2:9" x14ac:dyDescent="0.25">
      <c r="C117" s="614"/>
      <c r="D117" s="614"/>
      <c r="E117" s="614"/>
    </row>
    <row r="118" spans="2:9" x14ac:dyDescent="0.25">
      <c r="C118" s="614"/>
      <c r="D118" s="614"/>
      <c r="E118" s="614"/>
    </row>
  </sheetData>
  <mergeCells count="69">
    <mergeCell ref="A96:A97"/>
    <mergeCell ref="B96:B99"/>
    <mergeCell ref="C96:C97"/>
    <mergeCell ref="D96:D97"/>
    <mergeCell ref="F96:F97"/>
    <mergeCell ref="A46:B46"/>
    <mergeCell ref="M46:N46"/>
    <mergeCell ref="Y46:Z46"/>
    <mergeCell ref="P50:Q50"/>
    <mergeCell ref="AB50:AC50"/>
    <mergeCell ref="L48:W48"/>
    <mergeCell ref="X48:AI48"/>
    <mergeCell ref="Y37:Z37"/>
    <mergeCell ref="A45:B45"/>
    <mergeCell ref="M45:N45"/>
    <mergeCell ref="Y45:Z45"/>
    <mergeCell ref="A40:B40"/>
    <mergeCell ref="M40:N40"/>
    <mergeCell ref="Y40:Z40"/>
    <mergeCell ref="A44:B44"/>
    <mergeCell ref="M44:N44"/>
    <mergeCell ref="Y44:Z44"/>
    <mergeCell ref="X42:AI42"/>
    <mergeCell ref="L42:W42"/>
    <mergeCell ref="A37:B37"/>
    <mergeCell ref="M37:N37"/>
    <mergeCell ref="A17:K17"/>
    <mergeCell ref="A24:B24"/>
    <mergeCell ref="M35:N35"/>
    <mergeCell ref="A16:K16"/>
    <mergeCell ref="L16:W16"/>
    <mergeCell ref="A20:B20"/>
    <mergeCell ref="E20:G20"/>
    <mergeCell ref="A10:C10"/>
    <mergeCell ref="A11:C12"/>
    <mergeCell ref="D11:D12"/>
    <mergeCell ref="E11:F12"/>
    <mergeCell ref="L11:N11"/>
    <mergeCell ref="X5:Z5"/>
    <mergeCell ref="A6:C6"/>
    <mergeCell ref="L7:N7"/>
    <mergeCell ref="X7:Z7"/>
    <mergeCell ref="L8:N8"/>
    <mergeCell ref="X8:Z8"/>
    <mergeCell ref="X11:Z11"/>
    <mergeCell ref="R12:V12"/>
    <mergeCell ref="L9:N10"/>
    <mergeCell ref="O9:O10"/>
    <mergeCell ref="X29:AI29"/>
    <mergeCell ref="X17:AI17"/>
    <mergeCell ref="Q20:T20"/>
    <mergeCell ref="P9:P10"/>
    <mergeCell ref="X9:Z10"/>
    <mergeCell ref="Y35:Z35"/>
    <mergeCell ref="AB9:AB10"/>
    <mergeCell ref="A2:B2"/>
    <mergeCell ref="C2:E2"/>
    <mergeCell ref="A5:C5"/>
    <mergeCell ref="E5:G5"/>
    <mergeCell ref="L5:N5"/>
    <mergeCell ref="L17:W17"/>
    <mergeCell ref="L29:W29"/>
    <mergeCell ref="M24:N24"/>
    <mergeCell ref="Y24:Z24"/>
    <mergeCell ref="AA9:AA10"/>
    <mergeCell ref="X16:AI16"/>
    <mergeCell ref="Y20:Z20"/>
    <mergeCell ref="AC20:AF20"/>
    <mergeCell ref="M20:N20"/>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249977111117893"/>
  </sheetPr>
  <dimension ref="A2:S191"/>
  <sheetViews>
    <sheetView showGridLines="0" topLeftCell="A46" zoomScale="85" zoomScaleNormal="85" workbookViewId="0">
      <selection activeCell="H67" sqref="H67"/>
    </sheetView>
  </sheetViews>
  <sheetFormatPr baseColWidth="10" defaultColWidth="11.42578125" defaultRowHeight="13.5" x14ac:dyDescent="0.25"/>
  <cols>
    <col min="1" max="1" width="7.140625" style="515" customWidth="1"/>
    <col min="2" max="2" width="13.5703125" style="515" customWidth="1"/>
    <col min="3" max="3" width="16.28515625" style="515" customWidth="1"/>
    <col min="4" max="5" width="17.42578125" style="515" customWidth="1"/>
    <col min="6" max="6" width="13.28515625" style="515" customWidth="1"/>
    <col min="7" max="7" width="15.85546875" style="515" customWidth="1"/>
    <col min="8" max="8" width="16.5703125" style="515" customWidth="1"/>
    <col min="9" max="9" width="18.5703125" style="515" customWidth="1"/>
    <col min="10" max="10" width="16.28515625" style="515" customWidth="1"/>
    <col min="11" max="11" width="13.7109375" style="515" customWidth="1"/>
    <col min="12" max="12" width="13.28515625" style="515" customWidth="1"/>
    <col min="13" max="13" width="16.28515625" style="515" customWidth="1"/>
    <col min="14" max="14" width="16.5703125" style="515" customWidth="1"/>
    <col min="15" max="15" width="14.42578125" style="515" customWidth="1"/>
    <col min="16" max="16" width="25.42578125" style="515" customWidth="1"/>
    <col min="17" max="17" width="11.42578125" style="515" customWidth="1"/>
    <col min="18" max="18" width="11.42578125" style="515"/>
    <col min="19" max="19" width="13.28515625" style="515" customWidth="1"/>
    <col min="20" max="20" width="19.140625" style="515" customWidth="1"/>
    <col min="21" max="21" width="15.5703125" style="515" customWidth="1"/>
    <col min="22" max="22" width="11.42578125" style="515"/>
    <col min="23" max="23" width="32.85546875" style="515" customWidth="1"/>
    <col min="24" max="16384" width="11.42578125" style="515"/>
  </cols>
  <sheetData>
    <row r="2" spans="1:12" x14ac:dyDescent="0.25">
      <c r="B2" s="842" t="s">
        <v>1557</v>
      </c>
      <c r="C2" s="843"/>
      <c r="D2" s="843"/>
      <c r="E2" s="843"/>
      <c r="F2" s="844"/>
      <c r="G2" s="844"/>
      <c r="H2" s="844"/>
      <c r="I2" s="844"/>
      <c r="J2" s="844"/>
      <c r="K2" s="844"/>
      <c r="L2" s="844"/>
    </row>
    <row r="3" spans="1:12" ht="14.25" thickBot="1" x14ac:dyDescent="0.3">
      <c r="B3" s="845"/>
      <c r="C3" s="845"/>
      <c r="D3" s="845"/>
      <c r="E3" s="845"/>
      <c r="F3" s="846"/>
      <c r="G3" s="846"/>
      <c r="H3" s="846"/>
      <c r="I3" s="846"/>
      <c r="J3" s="846"/>
      <c r="K3" s="846"/>
      <c r="L3" s="846"/>
    </row>
    <row r="4" spans="1:12" ht="27.75" thickBot="1" x14ac:dyDescent="0.3">
      <c r="A4" s="847"/>
      <c r="B4" s="916" t="s">
        <v>1558</v>
      </c>
      <c r="C4" s="4359" t="s">
        <v>1559</v>
      </c>
      <c r="D4" s="4359"/>
      <c r="E4" s="4360"/>
      <c r="F4" s="845"/>
      <c r="H4" s="917" t="s">
        <v>1560</v>
      </c>
      <c r="I4" s="918" t="s">
        <v>1561</v>
      </c>
      <c r="J4" s="848"/>
      <c r="K4" s="848"/>
      <c r="L4" s="846"/>
    </row>
    <row r="5" spans="1:12" ht="14.25" thickBot="1" x14ac:dyDescent="0.3">
      <c r="B5" s="887" t="s">
        <v>1377</v>
      </c>
      <c r="C5" s="4358" t="s">
        <v>1562</v>
      </c>
      <c r="D5" s="4358"/>
      <c r="E5" s="4358"/>
      <c r="F5" s="849"/>
      <c r="H5" s="914" t="s">
        <v>1563</v>
      </c>
      <c r="I5" s="915">
        <v>3.5</v>
      </c>
      <c r="J5" s="848"/>
      <c r="K5" s="848"/>
      <c r="L5" s="846"/>
    </row>
    <row r="6" spans="1:12" ht="14.25" thickBot="1" x14ac:dyDescent="0.3">
      <c r="B6" s="887" t="s">
        <v>1377</v>
      </c>
      <c r="C6" s="4358" t="s">
        <v>1564</v>
      </c>
      <c r="D6" s="4358"/>
      <c r="E6" s="4358"/>
      <c r="F6" s="849"/>
      <c r="H6" s="914" t="s">
        <v>1565</v>
      </c>
      <c r="I6" s="915">
        <v>3.5</v>
      </c>
      <c r="J6" s="848"/>
      <c r="K6" s="848"/>
      <c r="L6" s="846"/>
    </row>
    <row r="7" spans="1:12" ht="14.25" thickBot="1" x14ac:dyDescent="0.3">
      <c r="B7" s="887" t="s">
        <v>1377</v>
      </c>
      <c r="C7" s="4358" t="s">
        <v>1566</v>
      </c>
      <c r="D7" s="4358"/>
      <c r="E7" s="4358"/>
      <c r="F7" s="849"/>
      <c r="H7" s="914" t="s">
        <v>1567</v>
      </c>
      <c r="I7" s="915" t="s">
        <v>1568</v>
      </c>
      <c r="J7" s="848"/>
      <c r="K7" s="848"/>
      <c r="L7" s="846"/>
    </row>
    <row r="8" spans="1:12" ht="14.25" thickBot="1" x14ac:dyDescent="0.3">
      <c r="B8" s="887" t="s">
        <v>1377</v>
      </c>
      <c r="C8" s="4358" t="s">
        <v>1569</v>
      </c>
      <c r="D8" s="4358"/>
      <c r="E8" s="4358"/>
      <c r="F8" s="849"/>
      <c r="H8" s="850" t="s">
        <v>1570</v>
      </c>
      <c r="I8" s="850"/>
      <c r="J8" s="848"/>
      <c r="K8" s="848"/>
      <c r="L8" s="846"/>
    </row>
    <row r="9" spans="1:12" ht="14.25" thickBot="1" x14ac:dyDescent="0.3">
      <c r="B9" s="887" t="s">
        <v>1377</v>
      </c>
      <c r="C9" s="4358" t="s">
        <v>1571</v>
      </c>
      <c r="D9" s="4358"/>
      <c r="E9" s="4358"/>
      <c r="F9" s="849"/>
      <c r="G9" s="850"/>
      <c r="H9" s="850"/>
      <c r="I9" s="813"/>
      <c r="J9" s="848"/>
      <c r="K9" s="848"/>
      <c r="L9" s="846"/>
    </row>
    <row r="10" spans="1:12" ht="14.25" thickBot="1" x14ac:dyDescent="0.3">
      <c r="B10" s="887" t="s">
        <v>1377</v>
      </c>
      <c r="C10" s="4358" t="s">
        <v>1572</v>
      </c>
      <c r="D10" s="4358"/>
      <c r="E10" s="4358"/>
      <c r="F10" s="849"/>
      <c r="G10" s="850"/>
      <c r="H10" s="850"/>
      <c r="I10" s="813"/>
      <c r="J10" s="848"/>
      <c r="K10" s="848"/>
      <c r="L10" s="846"/>
    </row>
    <row r="11" spans="1:12" ht="14.25" thickBot="1" x14ac:dyDescent="0.3">
      <c r="B11" s="887" t="s">
        <v>1377</v>
      </c>
      <c r="C11" s="4358" t="s">
        <v>1573</v>
      </c>
      <c r="D11" s="4358"/>
      <c r="E11" s="4358"/>
      <c r="F11" s="849"/>
      <c r="G11" s="850"/>
      <c r="H11" s="850"/>
      <c r="I11" s="813"/>
      <c r="J11" s="848"/>
      <c r="K11" s="848"/>
      <c r="L11" s="846"/>
    </row>
    <row r="12" spans="1:12" ht="14.25" thickBot="1" x14ac:dyDescent="0.3">
      <c r="B12" s="887" t="s">
        <v>1377</v>
      </c>
      <c r="C12" s="4358" t="s">
        <v>1574</v>
      </c>
      <c r="D12" s="4358"/>
      <c r="E12" s="4358"/>
      <c r="F12" s="849"/>
      <c r="G12" s="850"/>
      <c r="H12" s="850"/>
      <c r="I12" s="813"/>
      <c r="J12" s="848"/>
      <c r="K12" s="848"/>
      <c r="L12" s="846"/>
    </row>
    <row r="13" spans="1:12" x14ac:dyDescent="0.25">
      <c r="B13" s="851"/>
      <c r="C13" s="852"/>
      <c r="D13" s="852"/>
      <c r="E13" s="852"/>
      <c r="F13" s="849"/>
      <c r="G13" s="850"/>
      <c r="H13" s="850"/>
      <c r="I13" s="813"/>
      <c r="J13" s="848"/>
      <c r="K13" s="848"/>
      <c r="L13" s="846"/>
    </row>
    <row r="14" spans="1:12" x14ac:dyDescent="0.25">
      <c r="B14" s="851"/>
      <c r="C14" s="852"/>
      <c r="D14" s="852"/>
      <c r="E14" s="852"/>
      <c r="F14" s="849"/>
      <c r="G14" s="850"/>
      <c r="H14" s="850"/>
      <c r="I14" s="813"/>
      <c r="J14" s="848"/>
      <c r="K14" s="848"/>
      <c r="L14" s="846"/>
    </row>
    <row r="15" spans="1:12" x14ac:dyDescent="0.25">
      <c r="B15" s="851"/>
      <c r="C15" s="852"/>
      <c r="D15" s="852"/>
      <c r="E15" s="852"/>
      <c r="F15" s="849"/>
      <c r="G15" s="850"/>
      <c r="H15" s="850"/>
      <c r="I15" s="813"/>
      <c r="J15" s="848"/>
      <c r="K15" s="848"/>
      <c r="L15" s="846"/>
    </row>
    <row r="16" spans="1:12" x14ac:dyDescent="0.25">
      <c r="B16" s="842" t="s">
        <v>1575</v>
      </c>
      <c r="C16" s="850"/>
      <c r="D16" s="850"/>
      <c r="E16" s="850"/>
      <c r="F16" s="849"/>
      <c r="G16" s="850"/>
      <c r="H16" s="850"/>
      <c r="I16" s="813"/>
      <c r="J16" s="848"/>
      <c r="K16" s="848"/>
      <c r="L16" s="846"/>
    </row>
    <row r="17" spans="1:12" ht="14.25" thickBot="1" x14ac:dyDescent="0.3">
      <c r="B17" s="850"/>
      <c r="C17" s="850"/>
      <c r="D17" s="848"/>
      <c r="E17" s="848"/>
      <c r="F17" s="849"/>
      <c r="G17" s="850"/>
      <c r="H17" s="850"/>
      <c r="I17" s="813"/>
      <c r="J17" s="848"/>
      <c r="K17" s="848"/>
      <c r="L17" s="846"/>
    </row>
    <row r="18" spans="1:12" ht="14.25" thickBot="1" x14ac:dyDescent="0.3">
      <c r="B18" s="850"/>
      <c r="C18" s="850"/>
      <c r="E18" s="888" t="s">
        <v>1576</v>
      </c>
      <c r="F18" s="849"/>
      <c r="G18" s="850"/>
      <c r="H18" s="850"/>
      <c r="I18" s="813"/>
      <c r="J18" s="848"/>
      <c r="K18" s="848"/>
      <c r="L18" s="846"/>
    </row>
    <row r="19" spans="1:12" ht="76.5" customHeight="1" x14ac:dyDescent="0.25">
      <c r="A19" s="847"/>
      <c r="B19" s="4361" t="s">
        <v>1485</v>
      </c>
      <c r="C19" s="4363" t="s">
        <v>1577</v>
      </c>
      <c r="D19" s="919" t="s">
        <v>1578</v>
      </c>
      <c r="E19" s="920" t="s">
        <v>1579</v>
      </c>
      <c r="F19" s="849"/>
      <c r="G19" s="850"/>
      <c r="H19" s="850"/>
      <c r="I19" s="813"/>
      <c r="J19" s="848"/>
      <c r="K19" s="848"/>
      <c r="L19" s="846"/>
    </row>
    <row r="20" spans="1:12" ht="21.6" customHeight="1" thickBot="1" x14ac:dyDescent="0.3">
      <c r="B20" s="4362"/>
      <c r="C20" s="4364"/>
      <c r="D20" s="921">
        <f>'3 Pob x Edad y EESS P1 P2'!I46</f>
        <v>0.52076391902479502</v>
      </c>
      <c r="E20" s="922">
        <f>I5</f>
        <v>3.5</v>
      </c>
      <c r="F20" s="849"/>
      <c r="G20" s="850"/>
      <c r="H20" s="850"/>
      <c r="I20" s="813"/>
      <c r="J20" s="848"/>
      <c r="K20" s="848"/>
      <c r="L20" s="846"/>
    </row>
    <row r="21" spans="1:12" ht="14.25" thickBot="1" x14ac:dyDescent="0.3">
      <c r="B21" s="945">
        <v>2018</v>
      </c>
      <c r="C21" s="946">
        <f>'8.2 Pob Ddte'!D100</f>
        <v>207.82640496406771</v>
      </c>
      <c r="D21" s="946">
        <f>'8.2 Pob Ddte'!C100*D$20</f>
        <v>60.222785065590898</v>
      </c>
      <c r="E21" s="947">
        <f>(C21)*E$20</f>
        <v>727.39241737423697</v>
      </c>
      <c r="F21" s="849"/>
      <c r="G21" s="850"/>
      <c r="H21" s="850"/>
      <c r="I21" s="813"/>
      <c r="J21" s="848"/>
      <c r="K21" s="848"/>
      <c r="L21" s="846"/>
    </row>
    <row r="22" spans="1:12" ht="14.25" thickBot="1" x14ac:dyDescent="0.3">
      <c r="B22" s="945">
        <f>B21+1</f>
        <v>2019</v>
      </c>
      <c r="C22" s="946">
        <f>'8.2 Pob Ddte'!D101</f>
        <v>209.43071286319355</v>
      </c>
      <c r="D22" s="946">
        <f>'8.2 Pob Ddte'!C101*D$20</f>
        <v>60.687672526858343</v>
      </c>
      <c r="E22" s="947">
        <f t="shared" ref="E22:E37" si="0">(C22)*E$20</f>
        <v>733.00749502117742</v>
      </c>
      <c r="F22" s="849"/>
      <c r="G22" s="850"/>
      <c r="H22" s="850"/>
      <c r="I22" s="813"/>
      <c r="J22" s="848"/>
      <c r="K22" s="848"/>
      <c r="L22" s="846"/>
    </row>
    <row r="23" spans="1:12" ht="14.25" thickBot="1" x14ac:dyDescent="0.3">
      <c r="B23" s="948">
        <f>B22+1</f>
        <v>2020</v>
      </c>
      <c r="C23" s="949">
        <f>'8.2 Pob Ddte'!D102</f>
        <v>211.03623291689928</v>
      </c>
      <c r="D23" s="949">
        <f>'8.2 Pob Ddte'!C102*D$20</f>
        <v>61.152911239569242</v>
      </c>
      <c r="E23" s="947">
        <f t="shared" si="0"/>
        <v>738.62681520914748</v>
      </c>
      <c r="F23" s="849"/>
      <c r="G23" s="850"/>
      <c r="H23" s="850"/>
      <c r="I23" s="813"/>
      <c r="J23" s="848"/>
      <c r="K23" s="848"/>
      <c r="L23" s="846"/>
    </row>
    <row r="24" spans="1:12" ht="14.25" thickBot="1" x14ac:dyDescent="0.3">
      <c r="B24" s="948">
        <f t="shared" ref="B24:B37" si="1">B23+1</f>
        <v>2021</v>
      </c>
      <c r="C24" s="949">
        <f>'8.2 Pob Ddte'!D103</f>
        <v>212.64296582371668</v>
      </c>
      <c r="D24" s="949">
        <f>'8.2 Pob Ddte'!C103*D$20</f>
        <v>61.618501406140254</v>
      </c>
      <c r="E24" s="947">
        <f t="shared" si="0"/>
        <v>744.25038038300841</v>
      </c>
      <c r="F24" s="849"/>
      <c r="G24" s="850"/>
      <c r="H24" s="850"/>
      <c r="I24" s="813"/>
      <c r="J24" s="848"/>
      <c r="K24" s="848"/>
      <c r="L24" s="846"/>
    </row>
    <row r="25" spans="1:12" ht="14.25" thickBot="1" x14ac:dyDescent="0.3">
      <c r="B25" s="948">
        <f t="shared" si="1"/>
        <v>2022</v>
      </c>
      <c r="C25" s="949">
        <f>'8.2 Pob Ddte'!D104</f>
        <v>214.25091228253663</v>
      </c>
      <c r="D25" s="949">
        <f>'8.2 Pob Ddte'!C104*D$20</f>
        <v>62.08444322909213</v>
      </c>
      <c r="E25" s="947">
        <f t="shared" si="0"/>
        <v>749.87819298887825</v>
      </c>
      <c r="F25" s="849"/>
      <c r="G25" s="850"/>
      <c r="H25" s="850"/>
      <c r="I25" s="813"/>
      <c r="J25" s="848"/>
      <c r="K25" s="848"/>
      <c r="L25" s="846"/>
    </row>
    <row r="26" spans="1:12" ht="14.25" thickBot="1" x14ac:dyDescent="0.3">
      <c r="B26" s="889">
        <f t="shared" si="1"/>
        <v>2023</v>
      </c>
      <c r="C26" s="890">
        <f>'8.2 Pob Ddte'!D105</f>
        <v>215.86007299260959</v>
      </c>
      <c r="D26" s="890">
        <f>'8.2 Pob Ddte'!C105*D$20</f>
        <v>62.550736911049775</v>
      </c>
      <c r="E26" s="947">
        <f t="shared" si="0"/>
        <v>755.5102554741336</v>
      </c>
      <c r="F26" s="849"/>
      <c r="G26" s="850"/>
      <c r="H26" s="850"/>
      <c r="I26" s="813"/>
      <c r="J26" s="848"/>
      <c r="K26" s="848"/>
      <c r="L26" s="846"/>
    </row>
    <row r="27" spans="1:12" ht="14.25" thickBot="1" x14ac:dyDescent="0.3">
      <c r="B27" s="889">
        <f t="shared" si="1"/>
        <v>2024</v>
      </c>
      <c r="C27" s="890">
        <f>'8.2 Pob Ddte'!D106</f>
        <v>217.47044865354579</v>
      </c>
      <c r="D27" s="890">
        <f>'8.2 Pob Ddte'!C106*D$20</f>
        <v>63.017382654742377</v>
      </c>
      <c r="E27" s="947">
        <f t="shared" si="0"/>
        <v>761.14657028741021</v>
      </c>
      <c r="F27" s="849"/>
      <c r="G27" s="850"/>
      <c r="H27" s="850"/>
      <c r="I27" s="813"/>
      <c r="J27" s="848"/>
      <c r="K27" s="848"/>
      <c r="L27" s="846"/>
    </row>
    <row r="28" spans="1:12" ht="14.25" thickBot="1" x14ac:dyDescent="0.3">
      <c r="B28" s="889">
        <f t="shared" si="1"/>
        <v>2025</v>
      </c>
      <c r="C28" s="890">
        <f>'8.2 Pob Ddte'!D107</f>
        <v>219.08203996531532</v>
      </c>
      <c r="D28" s="890">
        <f>'8.2 Pob Ddte'!C107*D$20</f>
        <v>63.484380663003421</v>
      </c>
      <c r="E28" s="947">
        <f t="shared" si="0"/>
        <v>766.78713987860363</v>
      </c>
      <c r="F28" s="849"/>
      <c r="G28" s="850"/>
      <c r="H28" s="850"/>
      <c r="I28" s="813"/>
      <c r="J28" s="848"/>
      <c r="K28" s="848"/>
      <c r="L28" s="846"/>
    </row>
    <row r="29" spans="1:12" ht="14.25" thickBot="1" x14ac:dyDescent="0.3">
      <c r="B29" s="889">
        <f t="shared" si="1"/>
        <v>2026</v>
      </c>
      <c r="C29" s="890">
        <f>'8.2 Pob Ddte'!D108</f>
        <v>220.69484762824834</v>
      </c>
      <c r="D29" s="890">
        <f>'8.2 Pob Ddte'!C108*D$20</f>
        <v>63.951731138770661</v>
      </c>
      <c r="E29" s="947">
        <f t="shared" si="0"/>
        <v>772.43196669886925</v>
      </c>
      <c r="F29" s="849"/>
      <c r="G29" s="850"/>
      <c r="H29" s="850"/>
      <c r="I29" s="813"/>
      <c r="J29" s="848"/>
      <c r="K29" s="848"/>
      <c r="L29" s="846"/>
    </row>
    <row r="30" spans="1:12" ht="14.25" thickBot="1" x14ac:dyDescent="0.3">
      <c r="B30" s="889">
        <f t="shared" si="1"/>
        <v>2027</v>
      </c>
      <c r="C30" s="890">
        <f>'8.2 Pob Ddte'!D109</f>
        <v>222.30887234303515</v>
      </c>
      <c r="D30" s="890">
        <f>'8.2 Pob Ddte'!C109*D$20</f>
        <v>64.419434285086282</v>
      </c>
      <c r="E30" s="947">
        <f t="shared" si="0"/>
        <v>778.08105320062305</v>
      </c>
      <c r="F30" s="849"/>
      <c r="G30" s="850"/>
      <c r="H30" s="850"/>
      <c r="I30" s="813"/>
      <c r="J30" s="848"/>
      <c r="K30" s="848"/>
      <c r="L30" s="846"/>
    </row>
    <row r="31" spans="1:12" ht="14.25" thickBot="1" x14ac:dyDescent="0.3">
      <c r="B31" s="889">
        <f t="shared" si="1"/>
        <v>2028</v>
      </c>
      <c r="C31" s="890">
        <f>'8.2 Pob Ddte'!D110</f>
        <v>223.92411481072639</v>
      </c>
      <c r="D31" s="890">
        <f>'8.2 Pob Ddte'!C110*D$20</f>
        <v>64.887490305096847</v>
      </c>
      <c r="E31" s="947">
        <f t="shared" si="0"/>
        <v>783.73440183754235</v>
      </c>
      <c r="F31" s="849"/>
      <c r="G31" s="850"/>
      <c r="H31" s="850"/>
      <c r="I31" s="813"/>
      <c r="J31" s="848"/>
      <c r="K31" s="848"/>
      <c r="L31" s="846"/>
    </row>
    <row r="32" spans="1:12" ht="14.25" thickBot="1" x14ac:dyDescent="0.3">
      <c r="B32" s="889">
        <f t="shared" si="1"/>
        <v>2029</v>
      </c>
      <c r="C32" s="890">
        <f>'8.2 Pob Ddte'!D111</f>
        <v>225.54057573273354</v>
      </c>
      <c r="D32" s="890">
        <f>'8.2 Pob Ddte'!C111*D$20</f>
        <v>65.355899402053467</v>
      </c>
      <c r="E32" s="947">
        <f t="shared" si="0"/>
        <v>789.39201506456743</v>
      </c>
      <c r="F32" s="849"/>
      <c r="G32" s="850"/>
      <c r="H32" s="850"/>
      <c r="I32" s="813"/>
      <c r="J32" s="848"/>
      <c r="K32" s="848"/>
      <c r="L32" s="846"/>
    </row>
    <row r="33" spans="1:14" ht="14.25" thickBot="1" x14ac:dyDescent="0.3">
      <c r="B33" s="889">
        <f t="shared" si="1"/>
        <v>2030</v>
      </c>
      <c r="C33" s="890">
        <f>'8.2 Pob Ddte'!D112</f>
        <v>227.15825581082856</v>
      </c>
      <c r="D33" s="890">
        <f>'8.2 Pob Ddte'!C112*D$20</f>
        <v>65.824661779311796</v>
      </c>
      <c r="E33" s="947">
        <f t="shared" si="0"/>
        <v>795.05389533790003</v>
      </c>
      <c r="F33" s="849"/>
      <c r="G33" s="850"/>
      <c r="H33" s="850"/>
      <c r="I33" s="813"/>
      <c r="J33" s="848"/>
      <c r="K33" s="848"/>
      <c r="L33" s="846"/>
    </row>
    <row r="34" spans="1:14" ht="14.25" thickBot="1" x14ac:dyDescent="0.3">
      <c r="B34" s="889">
        <f t="shared" si="1"/>
        <v>2031</v>
      </c>
      <c r="C34" s="890">
        <f>'8.2 Pob Ddte'!D113</f>
        <v>228.77715574714446</v>
      </c>
      <c r="D34" s="890">
        <f>'8.2 Pob Ddte'!C113*D$20</f>
        <v>66.293777640331982</v>
      </c>
      <c r="E34" s="947">
        <f t="shared" si="0"/>
        <v>800.72004511500563</v>
      </c>
      <c r="F34" s="849"/>
      <c r="G34" s="850"/>
      <c r="H34" s="850"/>
      <c r="I34" s="813"/>
      <c r="J34" s="848"/>
      <c r="K34" s="848"/>
      <c r="L34" s="846"/>
    </row>
    <row r="35" spans="1:14" ht="14.25" thickBot="1" x14ac:dyDescent="0.3">
      <c r="B35" s="889">
        <f t="shared" si="1"/>
        <v>2032</v>
      </c>
      <c r="C35" s="890">
        <f>'8.2 Pob Ddte'!D114</f>
        <v>230.3972762441752</v>
      </c>
      <c r="D35" s="890">
        <f>'8.2 Pob Ddte'!C114*D$20</f>
        <v>66.763247188678889</v>
      </c>
      <c r="E35" s="947">
        <f t="shared" si="0"/>
        <v>806.39046685461324</v>
      </c>
      <c r="F35" s="849"/>
      <c r="G35" s="850"/>
      <c r="H35" s="850"/>
      <c r="I35" s="813"/>
      <c r="J35" s="848"/>
      <c r="K35" s="848"/>
      <c r="L35" s="846"/>
    </row>
    <row r="36" spans="1:14" ht="14.25" thickBot="1" x14ac:dyDescent="0.3">
      <c r="B36" s="889">
        <f t="shared" si="1"/>
        <v>2033</v>
      </c>
      <c r="C36" s="890">
        <f>'8.2 Pob Ddte'!D115</f>
        <v>232.01861800477622</v>
      </c>
      <c r="D36" s="890">
        <f>'8.2 Pob Ddte'!C115*D$20</f>
        <v>67.233070628022034</v>
      </c>
      <c r="E36" s="947">
        <f t="shared" si="0"/>
        <v>812.06516301671672</v>
      </c>
      <c r="F36" s="849"/>
      <c r="G36" s="850"/>
      <c r="H36" s="850"/>
      <c r="I36" s="813"/>
      <c r="J36" s="848"/>
      <c r="K36" s="848"/>
      <c r="L36" s="846"/>
    </row>
    <row r="37" spans="1:14" ht="14.25" thickBot="1" x14ac:dyDescent="0.3">
      <c r="B37" s="889">
        <f t="shared" si="1"/>
        <v>2034</v>
      </c>
      <c r="C37" s="890">
        <f>'8.2 Pob Ddte'!D116</f>
        <v>233.64118173216423</v>
      </c>
      <c r="D37" s="890">
        <f>'8.2 Pob Ddte'!C116*D$20</f>
        <v>67.703248162135679</v>
      </c>
      <c r="E37" s="947">
        <f t="shared" si="0"/>
        <v>817.74413606257485</v>
      </c>
      <c r="F37" s="849"/>
      <c r="G37" s="850"/>
      <c r="H37" s="850"/>
      <c r="I37" s="813"/>
      <c r="J37" s="848"/>
      <c r="K37" s="848"/>
      <c r="L37" s="846"/>
    </row>
    <row r="38" spans="1:14" x14ac:dyDescent="0.25">
      <c r="F38" s="849"/>
      <c r="G38" s="850"/>
      <c r="H38" s="850"/>
      <c r="I38" s="813"/>
      <c r="J38" s="848"/>
      <c r="K38" s="848"/>
      <c r="L38" s="846"/>
    </row>
    <row r="39" spans="1:14" x14ac:dyDescent="0.25">
      <c r="F39" s="849"/>
      <c r="G39" s="850"/>
      <c r="H39" s="850"/>
      <c r="I39" s="813"/>
      <c r="J39" s="848"/>
      <c r="K39" s="848"/>
      <c r="L39" s="846"/>
    </row>
    <row r="40" spans="1:14" x14ac:dyDescent="0.25">
      <c r="B40" s="853"/>
      <c r="C40" s="814"/>
      <c r="D40" s="814"/>
      <c r="E40" s="815"/>
      <c r="F40" s="849"/>
      <c r="G40" s="850"/>
      <c r="H40" s="850"/>
      <c r="I40" s="813"/>
      <c r="J40" s="848"/>
      <c r="K40" s="848"/>
      <c r="L40" s="846"/>
    </row>
    <row r="41" spans="1:14" x14ac:dyDescent="0.25">
      <c r="B41" s="854"/>
      <c r="C41" s="850"/>
      <c r="D41" s="855"/>
      <c r="E41" s="855"/>
      <c r="F41" s="846"/>
      <c r="G41" s="848"/>
      <c r="H41" s="848"/>
      <c r="I41" s="813"/>
      <c r="J41" s="848"/>
      <c r="K41" s="848"/>
      <c r="L41" s="846"/>
    </row>
    <row r="42" spans="1:14" x14ac:dyDescent="0.25">
      <c r="A42" s="850"/>
      <c r="B42" s="850"/>
      <c r="C42" s="850"/>
      <c r="D42" s="850"/>
      <c r="E42" s="848"/>
      <c r="F42" s="856"/>
      <c r="G42" s="848"/>
      <c r="H42" s="847"/>
      <c r="I42" s="848"/>
      <c r="J42" s="848"/>
      <c r="K42" s="848"/>
      <c r="L42" s="848"/>
    </row>
    <row r="43" spans="1:14" x14ac:dyDescent="0.25">
      <c r="A43" s="850"/>
      <c r="B43" s="857" t="s">
        <v>1580</v>
      </c>
      <c r="F43" s="618"/>
      <c r="G43" s="848"/>
      <c r="H43" s="848"/>
      <c r="I43" s="848"/>
      <c r="J43" s="848"/>
      <c r="K43" s="848"/>
      <c r="L43" s="848"/>
    </row>
    <row r="44" spans="1:14" ht="14.25" thickBot="1" x14ac:dyDescent="0.3">
      <c r="A44" s="850"/>
      <c r="B44" s="858" t="s">
        <v>43</v>
      </c>
      <c r="C44" s="518"/>
      <c r="D44" s="518"/>
      <c r="E44" s="518"/>
      <c r="F44" s="859"/>
      <c r="G44" s="848"/>
      <c r="H44" s="860" t="s">
        <v>1581</v>
      </c>
      <c r="K44" s="848"/>
      <c r="L44" s="860" t="s">
        <v>3794</v>
      </c>
    </row>
    <row r="45" spans="1:14" ht="27" customHeight="1" x14ac:dyDescent="0.25">
      <c r="A45" s="847"/>
      <c r="B45" s="4354" t="s">
        <v>1582</v>
      </c>
      <c r="C45" s="4355"/>
      <c r="D45" s="4355" t="s">
        <v>1583</v>
      </c>
      <c r="E45" s="4355" t="s">
        <v>1584</v>
      </c>
      <c r="F45" s="923" t="s">
        <v>1584</v>
      </c>
      <c r="G45" s="848"/>
      <c r="H45" s="4354" t="s">
        <v>1585</v>
      </c>
      <c r="I45" s="925" t="s">
        <v>1586</v>
      </c>
      <c r="J45" s="926">
        <v>0.05</v>
      </c>
      <c r="K45" s="848"/>
      <c r="L45" s="4354" t="s">
        <v>1585</v>
      </c>
      <c r="M45" s="1570" t="s">
        <v>1586</v>
      </c>
      <c r="N45" s="4376" t="s">
        <v>1588</v>
      </c>
    </row>
    <row r="46" spans="1:14" ht="14.25" thickBot="1" x14ac:dyDescent="0.3">
      <c r="A46" s="850"/>
      <c r="B46" s="4356"/>
      <c r="C46" s="4357"/>
      <c r="D46" s="4357"/>
      <c r="E46" s="4357"/>
      <c r="F46" s="924">
        <v>1</v>
      </c>
      <c r="G46" s="848"/>
      <c r="H46" s="4356"/>
      <c r="I46" s="927" t="s">
        <v>1587</v>
      </c>
      <c r="J46" s="924" t="s">
        <v>1588</v>
      </c>
      <c r="K46" s="848"/>
      <c r="L46" s="4356"/>
      <c r="M46" s="1571" t="s">
        <v>1587</v>
      </c>
      <c r="N46" s="4377"/>
    </row>
    <row r="47" spans="1:14" ht="14.25" thickBot="1" x14ac:dyDescent="0.3">
      <c r="A47" s="850"/>
      <c r="B47" s="4365" t="s">
        <v>1589</v>
      </c>
      <c r="C47" s="4365"/>
      <c r="D47" s="893">
        <v>4</v>
      </c>
      <c r="E47" s="894">
        <f>'3 Pob x Edad y EESS P1 P2'!AV31</f>
        <v>2</v>
      </c>
      <c r="F47" s="894">
        <f t="shared" ref="F47:F53" si="2">E47*$F$46</f>
        <v>2</v>
      </c>
      <c r="G47" s="848"/>
      <c r="H47" s="897" t="s">
        <v>1590</v>
      </c>
      <c r="I47" s="898">
        <v>6</v>
      </c>
      <c r="J47" s="899">
        <f>+E47+E48</f>
        <v>10</v>
      </c>
      <c r="K47" s="848"/>
      <c r="L47" s="897" t="s">
        <v>1590</v>
      </c>
      <c r="M47" s="898">
        <v>1</v>
      </c>
      <c r="N47" s="899">
        <f>F48+F47</f>
        <v>10</v>
      </c>
    </row>
    <row r="48" spans="1:14" ht="14.25" thickBot="1" x14ac:dyDescent="0.3">
      <c r="A48" s="850"/>
      <c r="B48" s="4366" t="s">
        <v>1590</v>
      </c>
      <c r="C48" s="4366"/>
      <c r="D48" s="895">
        <v>11</v>
      </c>
      <c r="E48" s="896">
        <f>'3 Pob x Edad y EESS P1 P2'!N31</f>
        <v>8</v>
      </c>
      <c r="F48" s="896">
        <f t="shared" si="2"/>
        <v>8</v>
      </c>
      <c r="G48" s="848"/>
      <c r="H48" s="900" t="s">
        <v>1591</v>
      </c>
      <c r="I48" s="898">
        <v>4</v>
      </c>
      <c r="J48" s="899">
        <f>+E49</f>
        <v>14.687291589477576</v>
      </c>
      <c r="K48" s="848"/>
      <c r="L48" s="900" t="s">
        <v>1591</v>
      </c>
      <c r="M48" s="898">
        <v>1</v>
      </c>
      <c r="N48" s="899">
        <f>E49</f>
        <v>14.687291589477576</v>
      </c>
    </row>
    <row r="49" spans="1:18" ht="14.25" thickBot="1" x14ac:dyDescent="0.3">
      <c r="A49" s="850"/>
      <c r="B49" s="4366" t="s">
        <v>1592</v>
      </c>
      <c r="C49" s="4366"/>
      <c r="D49" s="895">
        <v>6</v>
      </c>
      <c r="E49" s="896">
        <f>'3 Pob x Edad y EESS P1 P2'!O31</f>
        <v>14.687291589477576</v>
      </c>
      <c r="F49" s="896">
        <f t="shared" si="2"/>
        <v>14.687291589477576</v>
      </c>
      <c r="G49" s="848"/>
      <c r="H49" s="900" t="s">
        <v>1593</v>
      </c>
      <c r="I49" s="898">
        <v>1</v>
      </c>
      <c r="J49" s="899">
        <f>E50*J45</f>
        <v>0.43462393479066286</v>
      </c>
      <c r="K49" s="848"/>
      <c r="L49" s="900" t="s">
        <v>1593</v>
      </c>
      <c r="M49" s="898">
        <v>1</v>
      </c>
      <c r="N49" s="899">
        <f>E50</f>
        <v>8.6924786958132572</v>
      </c>
    </row>
    <row r="50" spans="1:18" ht="14.25" thickBot="1" x14ac:dyDescent="0.3">
      <c r="A50" s="850"/>
      <c r="B50" s="4366" t="s">
        <v>1594</v>
      </c>
      <c r="C50" s="4366"/>
      <c r="D50" s="895">
        <v>4</v>
      </c>
      <c r="E50" s="896">
        <f>'3 Pob x Edad y EESS P1 P2'!P31</f>
        <v>8.6924786958132572</v>
      </c>
      <c r="F50" s="896">
        <f t="shared" si="2"/>
        <v>8.6924786958132572</v>
      </c>
      <c r="G50" s="848"/>
      <c r="H50" s="900" t="s">
        <v>1595</v>
      </c>
      <c r="I50" s="898">
        <v>1</v>
      </c>
      <c r="J50" s="899">
        <f>E51*J45</f>
        <v>0.49457206372730611</v>
      </c>
      <c r="K50" s="848"/>
      <c r="L50" s="900" t="s">
        <v>3795</v>
      </c>
      <c r="M50" s="898">
        <v>1</v>
      </c>
      <c r="N50" s="899">
        <f>SUM('3 Pob x Edad y EESS P1 P2'!AP31:AT31)</f>
        <v>90.821415339014337</v>
      </c>
    </row>
    <row r="51" spans="1:18" ht="14.25" thickBot="1" x14ac:dyDescent="0.3">
      <c r="A51" s="850"/>
      <c r="B51" s="4366" t="s">
        <v>1595</v>
      </c>
      <c r="C51" s="4366"/>
      <c r="D51" s="895">
        <v>4</v>
      </c>
      <c r="E51" s="896">
        <f>'3 Pob x Edad y EESS P1 P2'!Q31</f>
        <v>9.8914412745461213</v>
      </c>
      <c r="F51" s="896">
        <f t="shared" si="2"/>
        <v>9.8914412745461213</v>
      </c>
      <c r="G51" s="848"/>
      <c r="H51" s="900" t="s">
        <v>1596</v>
      </c>
      <c r="I51" s="898">
        <v>1</v>
      </c>
      <c r="J51" s="901">
        <f>+E52</f>
        <v>10.790663208595769</v>
      </c>
      <c r="K51" s="848"/>
      <c r="L51" s="902" t="s">
        <v>1599</v>
      </c>
      <c r="M51" s="903">
        <v>1</v>
      </c>
      <c r="N51" s="899">
        <f>'3 Pob x Edad y EESS P1 P2'!BA31</f>
        <v>38</v>
      </c>
    </row>
    <row r="52" spans="1:18" ht="14.25" thickBot="1" x14ac:dyDescent="0.3">
      <c r="A52" s="850"/>
      <c r="B52" s="4366" t="s">
        <v>1597</v>
      </c>
      <c r="C52" s="4366"/>
      <c r="D52" s="895">
        <v>4</v>
      </c>
      <c r="E52" s="896">
        <f>'3 Pob x Edad y EESS P1 P2'!R31</f>
        <v>10.790663208595769</v>
      </c>
      <c r="F52" s="896">
        <f t="shared" si="2"/>
        <v>10.790663208595769</v>
      </c>
      <c r="G52" s="848"/>
      <c r="H52" s="900" t="s">
        <v>1596</v>
      </c>
      <c r="I52" s="898">
        <v>1</v>
      </c>
      <c r="J52" s="899">
        <f>+E52*J45</f>
        <v>0.53953316042978849</v>
      </c>
      <c r="K52" s="848"/>
      <c r="L52" s="902" t="s">
        <v>5852</v>
      </c>
      <c r="M52" s="903">
        <v>1</v>
      </c>
      <c r="N52" s="899">
        <f>SUM('3 Pob x Edad y EESS P1 P2'!Q31:AO31)</f>
        <v>750.55057428677196</v>
      </c>
    </row>
    <row r="53" spans="1:18" ht="14.25" thickBot="1" x14ac:dyDescent="0.3">
      <c r="B53" s="4366" t="s">
        <v>1598</v>
      </c>
      <c r="C53" s="4366"/>
      <c r="D53" s="895">
        <v>1</v>
      </c>
      <c r="E53" s="896">
        <f>SUM('3 Pob x Edad y EESS P1 P2'!S31:Y31)</f>
        <v>141.47758429047781</v>
      </c>
      <c r="F53" s="896">
        <f t="shared" si="2"/>
        <v>141.47758429047781</v>
      </c>
      <c r="G53" s="848"/>
      <c r="H53" s="902" t="s">
        <v>1599</v>
      </c>
      <c r="I53" s="903">
        <v>2</v>
      </c>
      <c r="J53" s="899">
        <f>'3 Pob x Edad y EESS P1 P2'!BA31</f>
        <v>38</v>
      </c>
      <c r="K53" s="848"/>
    </row>
    <row r="54" spans="1:18" ht="14.25" thickBot="1" x14ac:dyDescent="0.3">
      <c r="A54" s="850"/>
      <c r="B54" s="4387" t="s">
        <v>1600</v>
      </c>
      <c r="C54" s="4387"/>
      <c r="D54" s="4387"/>
      <c r="E54" s="4387"/>
      <c r="F54" s="4387"/>
      <c r="G54" s="848"/>
      <c r="H54" s="902" t="s">
        <v>1601</v>
      </c>
      <c r="I54" s="903">
        <v>3</v>
      </c>
      <c r="J54" s="901">
        <f>'3 Pob x Edad y EESS P1 P2'!X31*'3 Pob x Edad y EESS P1 P2'!AW37</f>
        <v>11.819940676451475</v>
      </c>
      <c r="K54" s="848"/>
    </row>
    <row r="55" spans="1:18" x14ac:dyDescent="0.25">
      <c r="A55" s="850"/>
      <c r="B55" s="615" t="s">
        <v>1602</v>
      </c>
      <c r="C55" s="616"/>
      <c r="D55" s="816"/>
      <c r="E55" s="861"/>
      <c r="F55" s="862"/>
      <c r="G55" s="848"/>
      <c r="H55" s="515" t="s">
        <v>1603</v>
      </c>
      <c r="K55" s="848"/>
      <c r="L55" s="848"/>
    </row>
    <row r="56" spans="1:18" x14ac:dyDescent="0.25">
      <c r="A56" s="850"/>
      <c r="B56" s="850"/>
      <c r="C56" s="850"/>
      <c r="D56" s="850"/>
      <c r="E56" s="848"/>
      <c r="F56" s="856"/>
      <c r="G56" s="848"/>
      <c r="K56" s="848"/>
      <c r="L56" s="848"/>
    </row>
    <row r="57" spans="1:18" ht="14.25" thickBot="1" x14ac:dyDescent="0.3">
      <c r="A57" s="847"/>
      <c r="B57" s="860" t="s">
        <v>1580</v>
      </c>
      <c r="C57" s="850"/>
      <c r="D57" s="850"/>
      <c r="E57" s="850"/>
      <c r="F57" s="863"/>
    </row>
    <row r="58" spans="1:18" ht="14.25" thickBot="1" x14ac:dyDescent="0.3">
      <c r="A58" s="850"/>
      <c r="B58" s="850"/>
      <c r="C58" s="850"/>
      <c r="D58" s="850"/>
      <c r="E58" s="904" t="s">
        <v>1604</v>
      </c>
      <c r="F58" s="864"/>
      <c r="G58" s="865"/>
      <c r="H58" s="817"/>
      <c r="I58" s="817"/>
      <c r="J58" s="817"/>
      <c r="K58" s="817"/>
      <c r="M58" s="866"/>
    </row>
    <row r="59" spans="1:18" x14ac:dyDescent="0.25">
      <c r="A59" s="850"/>
      <c r="B59" s="4354" t="s">
        <v>1485</v>
      </c>
      <c r="C59" s="4355" t="s">
        <v>1605</v>
      </c>
      <c r="D59" s="4355" t="s">
        <v>1606</v>
      </c>
      <c r="E59" s="4373" t="s">
        <v>1607</v>
      </c>
      <c r="F59" s="864"/>
      <c r="G59" s="818"/>
      <c r="M59" s="866"/>
      <c r="P59" s="4367"/>
      <c r="Q59" s="4367"/>
      <c r="R59" s="4367"/>
    </row>
    <row r="60" spans="1:18" ht="14.25" thickBot="1" x14ac:dyDescent="0.3">
      <c r="A60" s="819"/>
      <c r="B60" s="4356"/>
      <c r="C60" s="4357"/>
      <c r="D60" s="4357"/>
      <c r="E60" s="4374"/>
      <c r="F60" s="864"/>
      <c r="G60" s="818"/>
      <c r="H60" s="818"/>
      <c r="I60" s="818"/>
      <c r="M60" s="819"/>
      <c r="P60" s="867"/>
      <c r="Q60" s="868"/>
      <c r="R60" s="869"/>
    </row>
    <row r="61" spans="1:18" ht="14.25" thickBot="1" x14ac:dyDescent="0.3">
      <c r="A61" s="819"/>
      <c r="B61" s="945">
        <v>2018</v>
      </c>
      <c r="C61" s="906">
        <f>+SUMPRODUCT(D47:D53,F47:F53)</f>
        <v>443.09966654316389</v>
      </c>
      <c r="D61" s="906">
        <f>+SUMPRODUCT(I47:I54,J47:J54)+SUM(N47:N52)</f>
        <v>1155.2201406658853</v>
      </c>
      <c r="E61" s="907">
        <f>+C61+D61</f>
        <v>1598.3198072090493</v>
      </c>
      <c r="F61" s="864"/>
      <c r="G61" s="820"/>
      <c r="M61" s="819"/>
      <c r="P61" s="867"/>
      <c r="Q61" s="868"/>
      <c r="R61" s="869"/>
    </row>
    <row r="62" spans="1:18" ht="14.25" thickBot="1" x14ac:dyDescent="0.3">
      <c r="A62" s="850"/>
      <c r="B62" s="905">
        <f>B61+1</f>
        <v>2019</v>
      </c>
      <c r="C62" s="1463">
        <f>C61*(1+'8.1 Pob Urbana y Rural'!G$50)</f>
        <v>443.27137091960986</v>
      </c>
      <c r="D62" s="1463">
        <f>D61*(1+'8.1 Pob Urbana y Rural'!G$50)</f>
        <v>1155.6677969583361</v>
      </c>
      <c r="E62" s="907">
        <f>+C62+D62</f>
        <v>1598.9391678779459</v>
      </c>
      <c r="F62" s="864"/>
      <c r="G62" s="616"/>
      <c r="M62" s="864"/>
      <c r="P62" s="867"/>
      <c r="Q62" s="868"/>
      <c r="R62" s="869"/>
    </row>
    <row r="63" spans="1:18" ht="14.25" thickBot="1" x14ac:dyDescent="0.3">
      <c r="A63" s="850"/>
      <c r="B63" s="948">
        <f t="shared" ref="B63:B77" si="3">B62+1</f>
        <v>2020</v>
      </c>
      <c r="C63" s="1458">
        <f>C62*(1+'8.1 Pob Urbana y Rural'!G$50)</f>
        <v>443.44314183276333</v>
      </c>
      <c r="D63" s="1458">
        <f>D62*(1+'8.1 Pob Urbana y Rural'!G$50)</f>
        <v>1156.1156267208894</v>
      </c>
      <c r="E63" s="954">
        <f>+C63+D63</f>
        <v>1599.5587685536527</v>
      </c>
      <c r="F63" s="864"/>
      <c r="G63" s="616"/>
      <c r="M63" s="864"/>
      <c r="P63" s="867"/>
      <c r="Q63" s="868"/>
      <c r="R63" s="869"/>
    </row>
    <row r="64" spans="1:18" ht="14.25" thickBot="1" x14ac:dyDescent="0.3">
      <c r="A64" s="850"/>
      <c r="B64" s="948">
        <f t="shared" si="3"/>
        <v>2021</v>
      </c>
      <c r="C64" s="1458">
        <f>C63*(1+'8.1 Pob Urbana y Rural'!G$50)</f>
        <v>443.61497930840773</v>
      </c>
      <c r="D64" s="1458">
        <f>D63*(1+'8.1 Pob Urbana y Rural'!G$50)</f>
        <v>1156.5636300207659</v>
      </c>
      <c r="E64" s="954">
        <f>+C64+D64</f>
        <v>1600.1786093291737</v>
      </c>
      <c r="F64" s="864"/>
      <c r="G64" s="616"/>
      <c r="M64" s="864"/>
      <c r="P64" s="867"/>
      <c r="Q64" s="868"/>
      <c r="R64" s="869"/>
    </row>
    <row r="65" spans="1:18" ht="14.25" thickBot="1" x14ac:dyDescent="0.3">
      <c r="A65" s="850"/>
      <c r="B65" s="948">
        <f t="shared" si="3"/>
        <v>2022</v>
      </c>
      <c r="C65" s="1458">
        <f>C64*(1+'8.1 Pob Urbana y Rural'!G$50)</f>
        <v>443.78688337233649</v>
      </c>
      <c r="D65" s="1458">
        <f>D64*(1+'8.1 Pob Urbana y Rural'!G$50)</f>
        <v>1157.011806925213</v>
      </c>
      <c r="E65" s="954">
        <f t="shared" ref="E65:E75" si="4">+C65+D65</f>
        <v>1600.7986902975495</v>
      </c>
      <c r="F65" s="864"/>
      <c r="G65" s="616"/>
      <c r="M65" s="864"/>
      <c r="P65" s="867"/>
      <c r="Q65" s="868"/>
      <c r="R65" s="869"/>
    </row>
    <row r="66" spans="1:18" ht="14.25" thickBot="1" x14ac:dyDescent="0.3">
      <c r="A66" s="850"/>
      <c r="B66" s="889">
        <f t="shared" si="3"/>
        <v>2023</v>
      </c>
      <c r="C66" s="1462">
        <f>C65*(1+'8.1 Pob Urbana y Rural'!G$50)</f>
        <v>443.95885405035307</v>
      </c>
      <c r="D66" s="1462">
        <f>D65*(1+'8.1 Pob Urbana y Rural'!G$50)</f>
        <v>1157.4601575015035</v>
      </c>
      <c r="E66" s="908">
        <f>+C66+D66</f>
        <v>1601.4190115518566</v>
      </c>
      <c r="F66" s="864"/>
      <c r="G66" s="616"/>
      <c r="M66" s="864"/>
      <c r="P66" s="867"/>
      <c r="Q66" s="868"/>
      <c r="R66" s="869"/>
    </row>
    <row r="67" spans="1:18" ht="14.25" thickBot="1" x14ac:dyDescent="0.3">
      <c r="A67" s="850"/>
      <c r="B67" s="889">
        <f t="shared" si="3"/>
        <v>2024</v>
      </c>
      <c r="C67" s="1462">
        <f>C66*(1+'8.1 Pob Urbana y Rural'!G$50)</f>
        <v>444.13089136827091</v>
      </c>
      <c r="D67" s="1462">
        <f>D66*(1+'8.1 Pob Urbana y Rural'!G$50)</f>
        <v>1157.9086818169365</v>
      </c>
      <c r="E67" s="908">
        <f t="shared" si="4"/>
        <v>1602.0395731852072</v>
      </c>
      <c r="F67" s="864"/>
      <c r="G67" s="820"/>
      <c r="H67" s="820"/>
      <c r="I67" s="820"/>
      <c r="J67" s="820"/>
      <c r="M67" s="864"/>
      <c r="P67" s="867"/>
      <c r="Q67" s="868"/>
      <c r="R67" s="869"/>
    </row>
    <row r="68" spans="1:18" ht="14.25" thickBot="1" x14ac:dyDescent="0.3">
      <c r="A68" s="850"/>
      <c r="B68" s="889">
        <f t="shared" si="3"/>
        <v>2025</v>
      </c>
      <c r="C68" s="1462">
        <f>C67*(1+'8.1 Pob Urbana y Rural'!G$50)</f>
        <v>444.30299535191352</v>
      </c>
      <c r="D68" s="1462">
        <f>D67*(1+'8.1 Pob Urbana y Rural'!G$50)</f>
        <v>1158.3573799388371</v>
      </c>
      <c r="E68" s="908">
        <f>+C68+D68</f>
        <v>1602.6603752907506</v>
      </c>
      <c r="F68" s="864"/>
      <c r="G68" s="616"/>
      <c r="H68" s="816"/>
      <c r="I68" s="861"/>
      <c r="J68" s="861"/>
      <c r="M68" s="864"/>
      <c r="P68" s="867"/>
      <c r="Q68" s="868"/>
      <c r="R68" s="869"/>
    </row>
    <row r="69" spans="1:18" ht="14.25" thickBot="1" x14ac:dyDescent="0.3">
      <c r="A69" s="850"/>
      <c r="B69" s="889">
        <f t="shared" si="3"/>
        <v>2026</v>
      </c>
      <c r="C69" s="1462">
        <f>C68*(1+'8.1 Pob Urbana y Rural'!G$50)</f>
        <v>444.47516602711431</v>
      </c>
      <c r="D69" s="1462">
        <f>D68*(1+'8.1 Pob Urbana y Rural'!G$50)</f>
        <v>1158.8062519345569</v>
      </c>
      <c r="E69" s="908">
        <f t="shared" si="4"/>
        <v>1603.2814179616712</v>
      </c>
      <c r="F69" s="864"/>
      <c r="M69" s="864"/>
    </row>
    <row r="70" spans="1:18" ht="14.25" thickBot="1" x14ac:dyDescent="0.3">
      <c r="A70" s="850"/>
      <c r="B70" s="889">
        <f t="shared" si="3"/>
        <v>2027</v>
      </c>
      <c r="C70" s="1462">
        <f>C69*(1+'8.1 Pob Urbana y Rural'!G$50)</f>
        <v>444.64740341971674</v>
      </c>
      <c r="D70" s="1462">
        <f>D69*(1+'8.1 Pob Urbana y Rural'!G$50)</f>
        <v>1159.2552978714732</v>
      </c>
      <c r="E70" s="908">
        <f>+C70+D70</f>
        <v>1603.9027012911899</v>
      </c>
      <c r="F70" s="864"/>
      <c r="M70" s="864"/>
    </row>
    <row r="71" spans="1:18" ht="14.25" thickBot="1" x14ac:dyDescent="0.3">
      <c r="A71" s="850"/>
      <c r="B71" s="889">
        <f t="shared" si="3"/>
        <v>2028</v>
      </c>
      <c r="C71" s="1462">
        <f>C70*(1+'8.1 Pob Urbana y Rural'!G$50)</f>
        <v>444.81970755557433</v>
      </c>
      <c r="D71" s="1462">
        <f>D70*(1+'8.1 Pob Urbana y Rural'!G$50)</f>
        <v>1159.7045178169892</v>
      </c>
      <c r="E71" s="908">
        <f>+C71+D71</f>
        <v>1604.5242253725635</v>
      </c>
      <c r="F71" s="864"/>
      <c r="M71" s="864"/>
    </row>
    <row r="72" spans="1:18" ht="14.25" thickBot="1" x14ac:dyDescent="0.3">
      <c r="A72" s="850"/>
      <c r="B72" s="889">
        <f t="shared" si="3"/>
        <v>2029</v>
      </c>
      <c r="C72" s="1462">
        <f>C71*(1+'8.1 Pob Urbana y Rural'!G$50)</f>
        <v>444.99207846055054</v>
      </c>
      <c r="D72" s="1462">
        <f>D71*(1+'8.1 Pob Urbana y Rural'!G$50)</f>
        <v>1160.1539118385349</v>
      </c>
      <c r="E72" s="908">
        <f t="shared" si="4"/>
        <v>1605.1459902990855</v>
      </c>
      <c r="F72" s="864"/>
      <c r="M72" s="864"/>
      <c r="N72" s="870"/>
    </row>
    <row r="73" spans="1:18" ht="14.25" thickBot="1" x14ac:dyDescent="0.3">
      <c r="A73" s="850"/>
      <c r="B73" s="889">
        <f t="shared" si="3"/>
        <v>2030</v>
      </c>
      <c r="C73" s="1462">
        <f>C72*(1+'8.1 Pob Urbana y Rural'!G$50)</f>
        <v>445.16451616051893</v>
      </c>
      <c r="D73" s="1462">
        <f>D72*(1+'8.1 Pob Urbana y Rural'!G$50)</f>
        <v>1160.6034800035657</v>
      </c>
      <c r="E73" s="908">
        <f t="shared" si="4"/>
        <v>1605.7679961640847</v>
      </c>
      <c r="F73" s="864"/>
      <c r="M73" s="864"/>
    </row>
    <row r="74" spans="1:18" ht="14.25" thickBot="1" x14ac:dyDescent="0.3">
      <c r="A74" s="850"/>
      <c r="B74" s="889">
        <f t="shared" si="3"/>
        <v>2031</v>
      </c>
      <c r="C74" s="1462">
        <f>C73*(1+'8.1 Pob Urbana y Rural'!G$50)</f>
        <v>445.33702068136307</v>
      </c>
      <c r="D74" s="1462">
        <f>D73*(1+'8.1 Pob Urbana y Rural'!G$50)</f>
        <v>1161.0532223795637</v>
      </c>
      <c r="E74" s="908">
        <f t="shared" si="4"/>
        <v>1606.3902430609269</v>
      </c>
      <c r="F74" s="864"/>
      <c r="G74" s="848"/>
      <c r="H74" s="848"/>
      <c r="I74" s="848"/>
      <c r="J74" s="848"/>
      <c r="K74" s="848"/>
      <c r="L74" s="848"/>
      <c r="M74" s="864"/>
    </row>
    <row r="75" spans="1:18" ht="14.25" thickBot="1" x14ac:dyDescent="0.3">
      <c r="A75" s="850"/>
      <c r="B75" s="889">
        <f t="shared" si="3"/>
        <v>2032</v>
      </c>
      <c r="C75" s="1462">
        <f>C74*(1+'8.1 Pob Urbana y Rural'!G$50)</f>
        <v>445.50959204897651</v>
      </c>
      <c r="D75" s="1462">
        <f>D74*(1+'8.1 Pob Urbana y Rural'!G$50)</f>
        <v>1161.5031390340368</v>
      </c>
      <c r="E75" s="908">
        <f t="shared" si="4"/>
        <v>1607.0127310830135</v>
      </c>
      <c r="F75" s="864"/>
      <c r="G75" s="848"/>
      <c r="H75" s="848"/>
      <c r="I75" s="848"/>
      <c r="J75" s="848"/>
      <c r="K75" s="848"/>
      <c r="L75" s="848"/>
      <c r="M75" s="864"/>
    </row>
    <row r="76" spans="1:18" ht="14.25" thickBot="1" x14ac:dyDescent="0.3">
      <c r="A76" s="850"/>
      <c r="B76" s="889">
        <f t="shared" si="3"/>
        <v>2033</v>
      </c>
      <c r="C76" s="1462">
        <f>C75*(1+'8.1 Pob Urbana y Rural'!G$50)</f>
        <v>445.68223028926286</v>
      </c>
      <c r="D76" s="1462">
        <f>D75*(1+'8.1 Pob Urbana y Rural'!G$50)</f>
        <v>1161.9532300345193</v>
      </c>
      <c r="E76" s="908">
        <f>+C76+D76</f>
        <v>1607.6354603237821</v>
      </c>
      <c r="F76" s="864"/>
      <c r="G76" s="848"/>
      <c r="H76" s="848"/>
      <c r="I76" s="848"/>
      <c r="J76" s="848"/>
      <c r="K76" s="848"/>
      <c r="L76" s="848"/>
      <c r="M76" s="864"/>
    </row>
    <row r="77" spans="1:18" ht="14.25" thickBot="1" x14ac:dyDescent="0.3">
      <c r="A77" s="821"/>
      <c r="B77" s="889">
        <f t="shared" si="3"/>
        <v>2034</v>
      </c>
      <c r="C77" s="1462">
        <f>C76*(1+'8.1 Pob Urbana y Rural'!G$50)</f>
        <v>445.85493542813578</v>
      </c>
      <c r="D77" s="1462">
        <f>D76*(1+'8.1 Pob Urbana y Rural'!G$50)</f>
        <v>1162.4034954485714</v>
      </c>
      <c r="E77" s="908">
        <f>+C77+D77</f>
        <v>1608.2584308767073</v>
      </c>
      <c r="F77" s="864"/>
      <c r="G77" s="848"/>
      <c r="H77" s="848"/>
      <c r="I77" s="848"/>
      <c r="J77" s="848"/>
      <c r="K77" s="848"/>
      <c r="L77" s="848"/>
      <c r="M77" s="864"/>
    </row>
    <row r="78" spans="1:18" x14ac:dyDescent="0.25">
      <c r="A78" s="821"/>
      <c r="B78" s="515" t="s">
        <v>1608</v>
      </c>
      <c r="C78" s="821"/>
      <c r="D78" s="821"/>
      <c r="E78" s="821"/>
      <c r="F78" s="864"/>
      <c r="G78" s="848"/>
      <c r="H78" s="848"/>
      <c r="I78" s="848"/>
      <c r="J78" s="848"/>
      <c r="K78" s="848"/>
      <c r="L78" s="848"/>
      <c r="M78" s="864"/>
    </row>
    <row r="79" spans="1:18" x14ac:dyDescent="0.25">
      <c r="A79" s="821"/>
      <c r="B79" s="821"/>
      <c r="C79" s="821"/>
      <c r="D79" s="821"/>
      <c r="E79" s="821"/>
      <c r="F79" s="821"/>
      <c r="G79" s="848"/>
      <c r="H79" s="848"/>
      <c r="I79" s="848"/>
      <c r="J79" s="848"/>
      <c r="K79" s="848"/>
      <c r="L79" s="848"/>
      <c r="M79" s="864"/>
    </row>
    <row r="80" spans="1:18" x14ac:dyDescent="0.25">
      <c r="A80" s="821"/>
      <c r="F80" s="864"/>
      <c r="G80" s="848"/>
      <c r="H80" s="848"/>
      <c r="I80" s="848"/>
      <c r="J80" s="848"/>
      <c r="K80" s="848"/>
      <c r="L80" s="848"/>
      <c r="Q80" s="847"/>
    </row>
    <row r="81" spans="1:19" x14ac:dyDescent="0.25">
      <c r="A81" s="821"/>
      <c r="B81" s="871"/>
      <c r="C81" s="822"/>
      <c r="D81" s="814"/>
      <c r="E81" s="872"/>
      <c r="F81" s="848"/>
      <c r="G81" s="848"/>
      <c r="H81" s="848"/>
      <c r="I81" s="848"/>
      <c r="J81" s="823"/>
      <c r="K81" s="848"/>
      <c r="L81" s="824"/>
    </row>
    <row r="82" spans="1:19" ht="14.25" thickBot="1" x14ac:dyDescent="0.3">
      <c r="A82" s="847"/>
      <c r="B82" s="860" t="s">
        <v>1609</v>
      </c>
      <c r="C82" s="850"/>
      <c r="D82" s="848"/>
      <c r="E82" s="848"/>
      <c r="F82" s="848"/>
      <c r="G82" s="848"/>
      <c r="H82" s="848"/>
      <c r="I82" s="848"/>
      <c r="J82" s="824"/>
      <c r="K82" s="825"/>
      <c r="L82" s="848"/>
      <c r="Q82" s="858" t="s">
        <v>330</v>
      </c>
    </row>
    <row r="83" spans="1:19" ht="14.25" thickBot="1" x14ac:dyDescent="0.3">
      <c r="A83" s="850"/>
      <c r="B83" s="850"/>
      <c r="C83" s="850"/>
      <c r="D83" s="848"/>
      <c r="E83" s="848"/>
      <c r="F83" s="848"/>
      <c r="I83" s="848"/>
      <c r="J83" s="848"/>
      <c r="K83" s="848"/>
      <c r="L83" s="848"/>
      <c r="O83" s="888" t="s">
        <v>1610</v>
      </c>
      <c r="S83" s="888" t="s">
        <v>1611</v>
      </c>
    </row>
    <row r="84" spans="1:19" ht="21" customHeight="1" x14ac:dyDescent="0.25">
      <c r="A84" s="850"/>
      <c r="B84" s="4354" t="s">
        <v>1485</v>
      </c>
      <c r="C84" s="4363" t="s">
        <v>1612</v>
      </c>
      <c r="D84" s="4363" t="s">
        <v>1613</v>
      </c>
      <c r="E84" s="4363" t="s">
        <v>1614</v>
      </c>
      <c r="F84" s="4363"/>
      <c r="G84" s="4363" t="s">
        <v>1615</v>
      </c>
      <c r="H84" s="4363" t="s">
        <v>1616</v>
      </c>
      <c r="I84" s="4363" t="s">
        <v>1617</v>
      </c>
      <c r="J84" s="4363"/>
      <c r="K84" s="4363"/>
      <c r="L84" s="4363"/>
      <c r="M84" s="4363"/>
      <c r="N84" s="4363" t="s">
        <v>1618</v>
      </c>
      <c r="O84" s="4370" t="s">
        <v>1619</v>
      </c>
      <c r="Q84" s="4361" t="s">
        <v>1485</v>
      </c>
      <c r="R84" s="4363" t="s">
        <v>1612</v>
      </c>
      <c r="S84" s="4370" t="s">
        <v>1620</v>
      </c>
    </row>
    <row r="85" spans="1:19" ht="21" customHeight="1" x14ac:dyDescent="0.25">
      <c r="A85" s="850"/>
      <c r="B85" s="4368"/>
      <c r="C85" s="4369"/>
      <c r="D85" s="4369"/>
      <c r="E85" s="4369"/>
      <c r="F85" s="4369"/>
      <c r="G85" s="4369"/>
      <c r="H85" s="4369"/>
      <c r="I85" s="4369" t="s">
        <v>1621</v>
      </c>
      <c r="J85" s="4369" t="s">
        <v>1622</v>
      </c>
      <c r="K85" s="4369" t="s">
        <v>1623</v>
      </c>
      <c r="L85" s="4369" t="s">
        <v>1624</v>
      </c>
      <c r="M85" s="4369" t="s">
        <v>1625</v>
      </c>
      <c r="N85" s="4369"/>
      <c r="O85" s="4371"/>
      <c r="Q85" s="4375"/>
      <c r="R85" s="4369"/>
      <c r="S85" s="4371"/>
    </row>
    <row r="86" spans="1:19" ht="21" customHeight="1" x14ac:dyDescent="0.25">
      <c r="A86" s="850"/>
      <c r="B86" s="4368"/>
      <c r="C86" s="4369"/>
      <c r="D86" s="4369"/>
      <c r="E86" s="4369"/>
      <c r="F86" s="4369"/>
      <c r="G86" s="4369"/>
      <c r="H86" s="4369"/>
      <c r="I86" s="4369"/>
      <c r="J86" s="4369"/>
      <c r="K86" s="4369"/>
      <c r="L86" s="4369"/>
      <c r="M86" s="4369"/>
      <c r="N86" s="4369"/>
      <c r="O86" s="4371"/>
      <c r="Q86" s="4375"/>
      <c r="R86" s="4369"/>
      <c r="S86" s="4371"/>
    </row>
    <row r="87" spans="1:19" ht="21" customHeight="1" x14ac:dyDescent="0.25">
      <c r="A87" s="850"/>
      <c r="B87" s="4368"/>
      <c r="C87" s="4369"/>
      <c r="D87" s="4369"/>
      <c r="E87" s="4369"/>
      <c r="F87" s="4369"/>
      <c r="G87" s="4369"/>
      <c r="H87" s="4369"/>
      <c r="I87" s="4369"/>
      <c r="J87" s="4369"/>
      <c r="K87" s="4369"/>
      <c r="L87" s="4369"/>
      <c r="M87" s="4369"/>
      <c r="N87" s="4369"/>
      <c r="O87" s="4371"/>
      <c r="Q87" s="4375"/>
      <c r="R87" s="4369"/>
      <c r="S87" s="936" t="s">
        <v>1626</v>
      </c>
    </row>
    <row r="88" spans="1:19" x14ac:dyDescent="0.25">
      <c r="A88" s="850"/>
      <c r="B88" s="4368"/>
      <c r="C88" s="928" t="s">
        <v>1627</v>
      </c>
      <c r="D88" s="929" t="s">
        <v>1626</v>
      </c>
      <c r="E88" s="4369" t="s">
        <v>1612</v>
      </c>
      <c r="F88" s="929" t="s">
        <v>1626</v>
      </c>
      <c r="G88" s="930">
        <v>1</v>
      </c>
      <c r="H88" s="4369"/>
      <c r="I88" s="4369"/>
      <c r="J88" s="4369"/>
      <c r="K88" s="4369"/>
      <c r="L88" s="931">
        <v>0.60799999999999998</v>
      </c>
      <c r="M88" s="4369"/>
      <c r="N88" s="4369"/>
      <c r="O88" s="4371"/>
      <c r="Q88" s="4375"/>
      <c r="R88" s="4369"/>
      <c r="S88" s="4371">
        <v>6</v>
      </c>
    </row>
    <row r="89" spans="1:19" ht="14.25" thickBot="1" x14ac:dyDescent="0.3">
      <c r="A89" s="850"/>
      <c r="B89" s="4356"/>
      <c r="C89" s="932">
        <v>1</v>
      </c>
      <c r="D89" s="933">
        <v>6</v>
      </c>
      <c r="E89" s="4364"/>
      <c r="F89" s="934">
        <v>2</v>
      </c>
      <c r="G89" s="934">
        <v>1</v>
      </c>
      <c r="H89" s="4364"/>
      <c r="I89" s="4364"/>
      <c r="J89" s="1457">
        <f>SUM('3 Pob x Edad y EESS P1 P2'!AX37:AZ37)</f>
        <v>0.32082433156998574</v>
      </c>
      <c r="K89" s="935">
        <v>0.60799999999999998</v>
      </c>
      <c r="L89" s="934">
        <v>4</v>
      </c>
      <c r="M89" s="934">
        <v>2</v>
      </c>
      <c r="N89" s="4364"/>
      <c r="O89" s="4372"/>
      <c r="Q89" s="4362"/>
      <c r="R89" s="4364"/>
      <c r="S89" s="4372"/>
    </row>
    <row r="90" spans="1:19" ht="14.25" thickBot="1" x14ac:dyDescent="0.3">
      <c r="A90" s="850"/>
      <c r="B90" s="945">
        <v>2018</v>
      </c>
      <c r="C90" s="952">
        <f>'3 Pob x Edad y EESS P1 P2'!BA31</f>
        <v>38</v>
      </c>
      <c r="D90" s="953">
        <f>+C90*$D$89</f>
        <v>228</v>
      </c>
      <c r="E90" s="953">
        <f>+C90</f>
        <v>38</v>
      </c>
      <c r="F90" s="953">
        <f>E90*F89</f>
        <v>76</v>
      </c>
      <c r="G90" s="953">
        <f>'3 Pob x Edad y EESS P1 P2'!BA31*G89</f>
        <v>38</v>
      </c>
      <c r="H90" s="953">
        <f>SUM(D90,F90,G90)</f>
        <v>342</v>
      </c>
      <c r="I90" s="943">
        <f>'3 Pob x Edad y EESS P1 P2'!M31</f>
        <v>872.7517599110771</v>
      </c>
      <c r="J90" s="953">
        <f>+I90*$J$89</f>
        <v>280</v>
      </c>
      <c r="K90" s="953">
        <f>+J90*$K$89</f>
        <v>170.24</v>
      </c>
      <c r="L90" s="953">
        <f>+K90*$L$88*$L$89</f>
        <v>414.02368000000001</v>
      </c>
      <c r="M90" s="953">
        <f>J90*M$89</f>
        <v>560</v>
      </c>
      <c r="N90" s="953">
        <f>SUM(L90,M90)</f>
        <v>974.02368000000001</v>
      </c>
      <c r="O90" s="944">
        <f>+D90+F90+L90+M90</f>
        <v>1278.02368</v>
      </c>
      <c r="Q90" s="945">
        <v>2018</v>
      </c>
      <c r="R90" s="943">
        <f t="shared" ref="R90:R106" si="5">+C90</f>
        <v>38</v>
      </c>
      <c r="S90" s="944">
        <f>+R90*$S$88</f>
        <v>228</v>
      </c>
    </row>
    <row r="91" spans="1:19" ht="14.25" thickBot="1" x14ac:dyDescent="0.3">
      <c r="A91" s="826"/>
      <c r="B91" s="942">
        <f>B90+1</f>
        <v>2019</v>
      </c>
      <c r="C91" s="1464">
        <f>C90*(1+'8.1 Pob Urbana y Rural'!G$50)</f>
        <v>38.014725279203773</v>
      </c>
      <c r="D91" s="953">
        <f>+C91*$D$89</f>
        <v>228.08835167522264</v>
      </c>
      <c r="E91" s="1464">
        <f>E90*(1+'8.1 Pob Urbana y Rural'!G$50)</f>
        <v>38.014725279203773</v>
      </c>
      <c r="F91" s="953">
        <f>E91*F89</f>
        <v>76.029450558407547</v>
      </c>
      <c r="G91" s="1465">
        <f>G90*(1+'8.1 Pob Urbana y Rural'!G$50)</f>
        <v>38.014725279203773</v>
      </c>
      <c r="H91" s="953">
        <f t="shared" ref="H91:H106" si="6">SUM(D91,F91,G91)</f>
        <v>342.13252751283397</v>
      </c>
      <c r="I91" s="1456">
        <f>I90*(1+'8.1 Pob Urbana y Rural'!$G$50)</f>
        <v>873.08995763055805</v>
      </c>
      <c r="J91" s="953">
        <f t="shared" ref="J91:J106" si="7">+I91*$J$89</f>
        <v>280.10850205729093</v>
      </c>
      <c r="K91" s="953">
        <f t="shared" ref="K91:K106" si="8">+J91*$K$89</f>
        <v>170.30596925083287</v>
      </c>
      <c r="L91" s="953">
        <f t="shared" ref="L91:L106" si="9">+K91*$L$88*$L$89</f>
        <v>414.18411721802556</v>
      </c>
      <c r="M91" s="953">
        <f t="shared" ref="M91:M106" si="10">J91*M$89</f>
        <v>560.21700411458187</v>
      </c>
      <c r="N91" s="953">
        <f t="shared" ref="N91:N106" si="11">SUM(L91,M91)</f>
        <v>974.40112133260743</v>
      </c>
      <c r="O91" s="944">
        <f t="shared" ref="O91:O106" si="12">+D91+F91+L91+M91</f>
        <v>1278.5189235662376</v>
      </c>
      <c r="Q91" s="942">
        <f t="shared" ref="Q91:Q106" si="13">Q90+1</f>
        <v>2019</v>
      </c>
      <c r="R91" s="943">
        <f t="shared" si="5"/>
        <v>38.014725279203773</v>
      </c>
      <c r="S91" s="944">
        <f t="shared" ref="S91:S106" si="14">+R91*$S$88</f>
        <v>228.08835167522264</v>
      </c>
    </row>
    <row r="92" spans="1:19" ht="14.25" thickBot="1" x14ac:dyDescent="0.3">
      <c r="A92" s="826"/>
      <c r="B92" s="948">
        <f t="shared" ref="B92:B106" si="15">B91+1</f>
        <v>2020</v>
      </c>
      <c r="C92" s="1466">
        <f>C91*(1+'8.1 Pob Urbana y Rural'!G$50)</f>
        <v>38.029456264561432</v>
      </c>
      <c r="D92" s="1069">
        <f>+C92*$D$89</f>
        <v>228.17673758736859</v>
      </c>
      <c r="E92" s="1466">
        <f>E91*(1+'8.1 Pob Urbana y Rural'!G$50)</f>
        <v>38.029456264561432</v>
      </c>
      <c r="F92" s="1069">
        <f>E92*F$89</f>
        <v>76.058912529122864</v>
      </c>
      <c r="G92" s="1467">
        <f>G91*(1+'8.1 Pob Urbana y Rural'!G$50)</f>
        <v>38.029456264561432</v>
      </c>
      <c r="H92" s="1069">
        <f t="shared" si="6"/>
        <v>342.26510638105287</v>
      </c>
      <c r="I92" s="1458">
        <f>I91*(1+'8.1 Pob Urbana y Rural'!$G$50)</f>
        <v>873.42828640414018</v>
      </c>
      <c r="J92" s="1069">
        <f t="shared" si="7"/>
        <v>280.21704615992633</v>
      </c>
      <c r="K92" s="1069">
        <f t="shared" si="8"/>
        <v>170.3719640652352</v>
      </c>
      <c r="L92" s="1069">
        <f t="shared" si="9"/>
        <v>414.34461660665198</v>
      </c>
      <c r="M92" s="1069">
        <f t="shared" si="10"/>
        <v>560.43409231985265</v>
      </c>
      <c r="N92" s="1069">
        <f t="shared" si="11"/>
        <v>974.77870892650458</v>
      </c>
      <c r="O92" s="950">
        <f t="shared" si="12"/>
        <v>1279.0143590429961</v>
      </c>
      <c r="Q92" s="948">
        <f t="shared" si="13"/>
        <v>2020</v>
      </c>
      <c r="R92" s="949">
        <f t="shared" si="5"/>
        <v>38.029456264561432</v>
      </c>
      <c r="S92" s="950">
        <f t="shared" si="14"/>
        <v>228.17673758736859</v>
      </c>
    </row>
    <row r="93" spans="1:19" ht="14.25" thickBot="1" x14ac:dyDescent="0.3">
      <c r="A93" s="826"/>
      <c r="B93" s="948">
        <f t="shared" si="15"/>
        <v>2021</v>
      </c>
      <c r="C93" s="1466">
        <f>C92*(1+'8.1 Pob Urbana y Rural'!G$50)</f>
        <v>38.04419295828415</v>
      </c>
      <c r="D93" s="1069">
        <f>+C93*$D$89</f>
        <v>228.26515774970488</v>
      </c>
      <c r="E93" s="1466">
        <f>E92*(1+'8.1 Pob Urbana y Rural'!G$50)</f>
        <v>38.04419295828415</v>
      </c>
      <c r="F93" s="1069">
        <f t="shared" ref="F93:F106" si="16">E93*F$89</f>
        <v>76.088385916568299</v>
      </c>
      <c r="G93" s="1467">
        <f>G92*(1+'8.1 Pob Urbana y Rural'!G$50)</f>
        <v>38.04419295828415</v>
      </c>
      <c r="H93" s="1069">
        <f t="shared" si="6"/>
        <v>342.39773662455735</v>
      </c>
      <c r="I93" s="1458">
        <f>I92*(1+'8.1 Pob Urbana y Rural'!$G$50)</f>
        <v>873.76674628260798</v>
      </c>
      <c r="J93" s="1069">
        <f t="shared" si="7"/>
        <v>280.32563232419903</v>
      </c>
      <c r="K93" s="1069">
        <f t="shared" si="8"/>
        <v>170.43798445311302</v>
      </c>
      <c r="L93" s="1069">
        <f t="shared" si="9"/>
        <v>414.50517818997082</v>
      </c>
      <c r="M93" s="1069">
        <f t="shared" si="10"/>
        <v>560.65126464839807</v>
      </c>
      <c r="N93" s="1069">
        <f t="shared" si="11"/>
        <v>975.15644283836889</v>
      </c>
      <c r="O93" s="950">
        <f t="shared" si="12"/>
        <v>1279.5099865046423</v>
      </c>
      <c r="Q93" s="948">
        <f t="shared" si="13"/>
        <v>2021</v>
      </c>
      <c r="R93" s="949">
        <f t="shared" si="5"/>
        <v>38.04419295828415</v>
      </c>
      <c r="S93" s="950">
        <f t="shared" si="14"/>
        <v>228.26515774970488</v>
      </c>
    </row>
    <row r="94" spans="1:19" ht="14.25" thickBot="1" x14ac:dyDescent="0.3">
      <c r="A94" s="826"/>
      <c r="B94" s="948">
        <f t="shared" si="15"/>
        <v>2022</v>
      </c>
      <c r="C94" s="1466">
        <f>C93*(1+'8.1 Pob Urbana y Rural'!G$50)</f>
        <v>38.058935362583966</v>
      </c>
      <c r="D94" s="1069">
        <f t="shared" ref="D94:D106" si="17">+C94*$D$89</f>
        <v>228.3536121755038</v>
      </c>
      <c r="E94" s="1466">
        <f>E93*(1+'8.1 Pob Urbana y Rural'!G$50)</f>
        <v>38.058935362583966</v>
      </c>
      <c r="F94" s="1069">
        <f t="shared" si="16"/>
        <v>76.117870725167933</v>
      </c>
      <c r="G94" s="1467">
        <f>G93*(1+'8.1 Pob Urbana y Rural'!G$50)</f>
        <v>38.058935362583966</v>
      </c>
      <c r="H94" s="1069">
        <f t="shared" si="6"/>
        <v>342.53041826325568</v>
      </c>
      <c r="I94" s="1458">
        <f>I93*(1+'8.1 Pob Urbana y Rural'!$G$50)</f>
        <v>874.10533731676549</v>
      </c>
      <c r="J94" s="1069">
        <f t="shared" si="7"/>
        <v>280.43426056640823</v>
      </c>
      <c r="K94" s="1069">
        <f t="shared" si="8"/>
        <v>170.5040304243762</v>
      </c>
      <c r="L94" s="1069">
        <f t="shared" si="9"/>
        <v>414.66580199208289</v>
      </c>
      <c r="M94" s="1069">
        <f t="shared" si="10"/>
        <v>560.86852113281645</v>
      </c>
      <c r="N94" s="1069">
        <f t="shared" si="11"/>
        <v>975.5343231248994</v>
      </c>
      <c r="O94" s="950">
        <f t="shared" si="12"/>
        <v>1280.005806025571</v>
      </c>
      <c r="Q94" s="948">
        <f t="shared" si="13"/>
        <v>2022</v>
      </c>
      <c r="R94" s="949">
        <f t="shared" si="5"/>
        <v>38.058935362583966</v>
      </c>
      <c r="S94" s="950">
        <f t="shared" si="14"/>
        <v>228.3536121755038</v>
      </c>
    </row>
    <row r="95" spans="1:19" ht="14.25" thickBot="1" x14ac:dyDescent="0.3">
      <c r="A95" s="826"/>
      <c r="B95" s="1468">
        <f t="shared" si="15"/>
        <v>2023</v>
      </c>
      <c r="C95" s="1469">
        <f>C94*(1+'8.1 Pob Urbana y Rural'!G$50)</f>
        <v>38.073683479673768</v>
      </c>
      <c r="D95" s="1470">
        <f t="shared" si="17"/>
        <v>228.4421008780426</v>
      </c>
      <c r="E95" s="1469">
        <f>E94*(1+'8.1 Pob Urbana y Rural'!G$50)</f>
        <v>38.073683479673768</v>
      </c>
      <c r="F95" s="1470">
        <f t="shared" si="16"/>
        <v>76.147366959347536</v>
      </c>
      <c r="G95" s="1471">
        <f>G94*(1+'8.1 Pob Urbana y Rural'!G$50)</f>
        <v>38.073683479673768</v>
      </c>
      <c r="H95" s="1470">
        <f t="shared" si="6"/>
        <v>342.66315131706392</v>
      </c>
      <c r="I95" s="1462">
        <f>I94*(1+'8.1 Pob Urbana y Rural'!$G$50)</f>
        <v>874.4440595574365</v>
      </c>
      <c r="J95" s="1470">
        <f t="shared" si="7"/>
        <v>280.54293090285938</v>
      </c>
      <c r="K95" s="1470">
        <f t="shared" si="8"/>
        <v>170.57010198893849</v>
      </c>
      <c r="L95" s="1470">
        <f t="shared" si="9"/>
        <v>414.82648803709839</v>
      </c>
      <c r="M95" s="1470">
        <f t="shared" si="10"/>
        <v>561.08586180571876</v>
      </c>
      <c r="N95" s="1470">
        <f t="shared" si="11"/>
        <v>975.91234984281709</v>
      </c>
      <c r="O95" s="1472">
        <f t="shared" si="12"/>
        <v>1280.5018176802073</v>
      </c>
      <c r="Q95" s="889">
        <f t="shared" si="13"/>
        <v>2023</v>
      </c>
      <c r="R95" s="890">
        <f t="shared" si="5"/>
        <v>38.073683479673768</v>
      </c>
      <c r="S95" s="891">
        <f t="shared" si="14"/>
        <v>228.4421008780426</v>
      </c>
    </row>
    <row r="96" spans="1:19" ht="14.25" thickBot="1" x14ac:dyDescent="0.3">
      <c r="A96" s="826"/>
      <c r="B96" s="1468">
        <f t="shared" si="15"/>
        <v>2024</v>
      </c>
      <c r="C96" s="1469">
        <f>C95*(1+'8.1 Pob Urbana y Rural'!G$50)</f>
        <v>38.088437311767301</v>
      </c>
      <c r="D96" s="1470">
        <f t="shared" si="17"/>
        <v>228.53062387060379</v>
      </c>
      <c r="E96" s="1469">
        <f>E95*(1+'8.1 Pob Urbana y Rural'!G$50)</f>
        <v>38.088437311767301</v>
      </c>
      <c r="F96" s="1470">
        <f t="shared" si="16"/>
        <v>76.176874623534601</v>
      </c>
      <c r="G96" s="1471">
        <f>G95*(1+'8.1 Pob Urbana y Rural'!G$50)</f>
        <v>38.088437311767301</v>
      </c>
      <c r="H96" s="1470">
        <f t="shared" si="6"/>
        <v>342.79593580590569</v>
      </c>
      <c r="I96" s="1462">
        <f>I95*(1+'8.1 Pob Urbana y Rural'!$G$50)</f>
        <v>874.78291305546452</v>
      </c>
      <c r="J96" s="1470">
        <f t="shared" si="7"/>
        <v>280.65164334986434</v>
      </c>
      <c r="K96" s="1470">
        <f t="shared" si="8"/>
        <v>170.63619915671751</v>
      </c>
      <c r="L96" s="1470">
        <f t="shared" si="9"/>
        <v>414.98723634913699</v>
      </c>
      <c r="M96" s="1470">
        <f t="shared" si="10"/>
        <v>561.30328669972869</v>
      </c>
      <c r="N96" s="1470">
        <f t="shared" si="11"/>
        <v>976.29052304886568</v>
      </c>
      <c r="O96" s="1472">
        <f t="shared" si="12"/>
        <v>1280.9980215430041</v>
      </c>
      <c r="Q96" s="889">
        <f t="shared" si="13"/>
        <v>2024</v>
      </c>
      <c r="R96" s="890">
        <f t="shared" si="5"/>
        <v>38.088437311767301</v>
      </c>
      <c r="S96" s="891">
        <f t="shared" si="14"/>
        <v>228.53062387060379</v>
      </c>
    </row>
    <row r="97" spans="1:19" ht="14.25" thickBot="1" x14ac:dyDescent="0.3">
      <c r="A97" s="826"/>
      <c r="B97" s="1468">
        <f t="shared" si="15"/>
        <v>2025</v>
      </c>
      <c r="C97" s="1469">
        <f>C96*(1+'8.1 Pob Urbana y Rural'!G$50)</f>
        <v>38.103196861079176</v>
      </c>
      <c r="D97" s="1470">
        <f t="shared" si="17"/>
        <v>228.61918116647507</v>
      </c>
      <c r="E97" s="1469">
        <f>E96*(1+'8.1 Pob Urbana y Rural'!G$50)</f>
        <v>38.103196861079176</v>
      </c>
      <c r="F97" s="1470">
        <f t="shared" si="16"/>
        <v>76.206393722158353</v>
      </c>
      <c r="G97" s="1471">
        <f>G96*(1+'8.1 Pob Urbana y Rural'!G$50)</f>
        <v>38.103196861079176</v>
      </c>
      <c r="H97" s="1470">
        <f t="shared" si="6"/>
        <v>342.92877174971261</v>
      </c>
      <c r="I97" s="1462">
        <f>I96*(1+'8.1 Pob Urbana y Rural'!$G$50)</f>
        <v>875.12189786171268</v>
      </c>
      <c r="J97" s="1470">
        <f t="shared" si="7"/>
        <v>280.76039792374132</v>
      </c>
      <c r="K97" s="1470">
        <f t="shared" si="8"/>
        <v>170.70232193763471</v>
      </c>
      <c r="L97" s="1470">
        <f t="shared" si="9"/>
        <v>415.1480469523276</v>
      </c>
      <c r="M97" s="1470">
        <f t="shared" si="10"/>
        <v>561.52079584748265</v>
      </c>
      <c r="N97" s="1470">
        <f t="shared" si="11"/>
        <v>976.66884279981025</v>
      </c>
      <c r="O97" s="1472">
        <f t="shared" si="12"/>
        <v>1281.4944176884437</v>
      </c>
      <c r="Q97" s="889">
        <f t="shared" si="13"/>
        <v>2025</v>
      </c>
      <c r="R97" s="890">
        <f t="shared" si="5"/>
        <v>38.103196861079176</v>
      </c>
      <c r="S97" s="891">
        <f t="shared" si="14"/>
        <v>228.61918116647507</v>
      </c>
    </row>
    <row r="98" spans="1:19" ht="14.25" thickBot="1" x14ac:dyDescent="0.3">
      <c r="A98" s="826"/>
      <c r="B98" s="1468">
        <f t="shared" si="15"/>
        <v>2026</v>
      </c>
      <c r="C98" s="1469">
        <f>C97*(1+'8.1 Pob Urbana y Rural'!G$50)</f>
        <v>38.117962129824853</v>
      </c>
      <c r="D98" s="1470">
        <f t="shared" si="17"/>
        <v>228.70777277894911</v>
      </c>
      <c r="E98" s="1469">
        <f>E97*(1+'8.1 Pob Urbana y Rural'!G$50)</f>
        <v>38.117962129824853</v>
      </c>
      <c r="F98" s="1470">
        <f t="shared" si="16"/>
        <v>76.235924259649707</v>
      </c>
      <c r="G98" s="1471">
        <f>G97*(1+'8.1 Pob Urbana y Rural'!G$50)</f>
        <v>38.117962129824853</v>
      </c>
      <c r="H98" s="1470">
        <f t="shared" si="6"/>
        <v>343.06165916842366</v>
      </c>
      <c r="I98" s="1462">
        <f>I97*(1+'8.1 Pob Urbana y Rural'!$G$50)</f>
        <v>875.46101402706404</v>
      </c>
      <c r="J98" s="1470">
        <f t="shared" si="7"/>
        <v>280.86919464081473</v>
      </c>
      <c r="K98" s="1470">
        <f t="shared" si="8"/>
        <v>170.76847034161534</v>
      </c>
      <c r="L98" s="1470">
        <f t="shared" si="9"/>
        <v>415.3089198708085</v>
      </c>
      <c r="M98" s="1470">
        <f t="shared" si="10"/>
        <v>561.73838928162945</v>
      </c>
      <c r="N98" s="1470">
        <f t="shared" si="11"/>
        <v>977.04730915243795</v>
      </c>
      <c r="O98" s="1472">
        <f t="shared" si="12"/>
        <v>1281.9910061910368</v>
      </c>
      <c r="Q98" s="889">
        <f t="shared" si="13"/>
        <v>2026</v>
      </c>
      <c r="R98" s="890">
        <f t="shared" si="5"/>
        <v>38.117962129824853</v>
      </c>
      <c r="S98" s="891">
        <f t="shared" si="14"/>
        <v>228.70777277894911</v>
      </c>
    </row>
    <row r="99" spans="1:19" ht="14.25" thickBot="1" x14ac:dyDescent="0.3">
      <c r="A99" s="826"/>
      <c r="B99" s="1468">
        <f t="shared" si="15"/>
        <v>2027</v>
      </c>
      <c r="C99" s="1469">
        <f>C98*(1+'8.1 Pob Urbana y Rural'!G$50)</f>
        <v>38.132733120220657</v>
      </c>
      <c r="D99" s="1470">
        <f t="shared" si="17"/>
        <v>228.79639872132395</v>
      </c>
      <c r="E99" s="1469">
        <f>E98*(1+'8.1 Pob Urbana y Rural'!G$50)</f>
        <v>38.132733120220657</v>
      </c>
      <c r="F99" s="1470">
        <f t="shared" si="16"/>
        <v>76.265466240441313</v>
      </c>
      <c r="G99" s="1471">
        <f>G98*(1+'8.1 Pob Urbana y Rural'!G$50)</f>
        <v>38.132733120220657</v>
      </c>
      <c r="H99" s="1470">
        <f t="shared" si="6"/>
        <v>343.19459808198593</v>
      </c>
      <c r="I99" s="1462">
        <f>I98*(1+'8.1 Pob Urbana y Rural'!$G$50)</f>
        <v>875.80026160242107</v>
      </c>
      <c r="J99" s="1470">
        <f t="shared" si="7"/>
        <v>280.97803351741538</v>
      </c>
      <c r="K99" s="1470">
        <f t="shared" si="8"/>
        <v>170.83464437858854</v>
      </c>
      <c r="L99" s="1470">
        <f t="shared" si="9"/>
        <v>415.46985512872732</v>
      </c>
      <c r="M99" s="1470">
        <f t="shared" si="10"/>
        <v>561.95606703483077</v>
      </c>
      <c r="N99" s="1470">
        <f t="shared" si="11"/>
        <v>977.42592216355808</v>
      </c>
      <c r="O99" s="1472">
        <f t="shared" si="12"/>
        <v>1282.4877871253234</v>
      </c>
      <c r="Q99" s="889">
        <f t="shared" si="13"/>
        <v>2027</v>
      </c>
      <c r="R99" s="890">
        <f t="shared" si="5"/>
        <v>38.132733120220657</v>
      </c>
      <c r="S99" s="891">
        <f t="shared" si="14"/>
        <v>228.79639872132395</v>
      </c>
    </row>
    <row r="100" spans="1:19" ht="14.25" thickBot="1" x14ac:dyDescent="0.3">
      <c r="A100" s="826"/>
      <c r="B100" s="1468">
        <f t="shared" si="15"/>
        <v>2028</v>
      </c>
      <c r="C100" s="1469">
        <f>C99*(1+'8.1 Pob Urbana y Rural'!G$50)</f>
        <v>38.14750983448377</v>
      </c>
      <c r="D100" s="1470">
        <f t="shared" si="17"/>
        <v>228.88505900690262</v>
      </c>
      <c r="E100" s="1469">
        <f>E99*(1+'8.1 Pob Urbana y Rural'!G$50)</f>
        <v>38.14750983448377</v>
      </c>
      <c r="F100" s="1470">
        <f t="shared" si="16"/>
        <v>76.295019668967541</v>
      </c>
      <c r="G100" s="1471">
        <f>G99*(1+'8.1 Pob Urbana y Rural'!G$50)</f>
        <v>38.14750983448377</v>
      </c>
      <c r="H100" s="1470">
        <f t="shared" si="6"/>
        <v>343.32758851035396</v>
      </c>
      <c r="I100" s="1462">
        <f>I99*(1+'8.1 Pob Urbana y Rural'!$G$50)</f>
        <v>876.13964063870617</v>
      </c>
      <c r="J100" s="1470">
        <f t="shared" si="7"/>
        <v>281.08691456988043</v>
      </c>
      <c r="K100" s="1470">
        <f t="shared" si="8"/>
        <v>170.90084405848731</v>
      </c>
      <c r="L100" s="1470">
        <f t="shared" si="9"/>
        <v>415.6308527502411</v>
      </c>
      <c r="M100" s="1470">
        <f t="shared" si="10"/>
        <v>562.17382913976087</v>
      </c>
      <c r="N100" s="1470">
        <f t="shared" si="11"/>
        <v>977.80468189000203</v>
      </c>
      <c r="O100" s="1472">
        <f t="shared" si="12"/>
        <v>1282.984760565872</v>
      </c>
      <c r="Q100" s="889">
        <f t="shared" si="13"/>
        <v>2028</v>
      </c>
      <c r="R100" s="890">
        <f t="shared" si="5"/>
        <v>38.14750983448377</v>
      </c>
      <c r="S100" s="891">
        <f t="shared" si="14"/>
        <v>228.88505900690262</v>
      </c>
    </row>
    <row r="101" spans="1:19" ht="14.25" thickBot="1" x14ac:dyDescent="0.3">
      <c r="A101" s="826"/>
      <c r="B101" s="1468">
        <f t="shared" si="15"/>
        <v>2029</v>
      </c>
      <c r="C101" s="1469">
        <f>C100*(1+'8.1 Pob Urbana y Rural'!G$50)</f>
        <v>38.162292274832232</v>
      </c>
      <c r="D101" s="1470">
        <f t="shared" si="17"/>
        <v>228.97375364899341</v>
      </c>
      <c r="E101" s="1469">
        <f>E100*(1+'8.1 Pob Urbana y Rural'!G$50)</f>
        <v>38.162292274832232</v>
      </c>
      <c r="F101" s="1470">
        <f>E101*F$89</f>
        <v>76.324584549664465</v>
      </c>
      <c r="G101" s="1471">
        <f>G100*(1+'8.1 Pob Urbana y Rural'!G$50)</f>
        <v>38.162292274832232</v>
      </c>
      <c r="H101" s="1470">
        <f t="shared" si="6"/>
        <v>343.46063047349008</v>
      </c>
      <c r="I101" s="1462">
        <f>I100*(1+'8.1 Pob Urbana y Rural'!$G$50)</f>
        <v>876.47915118686137</v>
      </c>
      <c r="J101" s="1470">
        <f t="shared" si="7"/>
        <v>281.19583781455327</v>
      </c>
      <c r="K101" s="1470">
        <f t="shared" si="8"/>
        <v>170.96706939124837</v>
      </c>
      <c r="L101" s="1470">
        <f t="shared" si="9"/>
        <v>415.79191275951604</v>
      </c>
      <c r="M101" s="1470">
        <f t="shared" si="10"/>
        <v>562.39167562910654</v>
      </c>
      <c r="N101" s="1470">
        <f t="shared" si="11"/>
        <v>978.18358838862264</v>
      </c>
      <c r="O101" s="1472">
        <f t="shared" si="12"/>
        <v>1283.4819265872804</v>
      </c>
      <c r="Q101" s="889">
        <f t="shared" si="13"/>
        <v>2029</v>
      </c>
      <c r="R101" s="890">
        <f t="shared" si="5"/>
        <v>38.162292274832232</v>
      </c>
      <c r="S101" s="891">
        <f t="shared" si="14"/>
        <v>228.97375364899341</v>
      </c>
    </row>
    <row r="102" spans="1:19" ht="14.25" thickBot="1" x14ac:dyDescent="0.3">
      <c r="A102" s="826"/>
      <c r="B102" s="1468">
        <f t="shared" si="15"/>
        <v>2030</v>
      </c>
      <c r="C102" s="1469">
        <f>C101*(1+'8.1 Pob Urbana y Rural'!G$50)</f>
        <v>38.17708044348494</v>
      </c>
      <c r="D102" s="1470">
        <f t="shared" si="17"/>
        <v>229.06248266090964</v>
      </c>
      <c r="E102" s="1469">
        <f>E101*(1+'8.1 Pob Urbana y Rural'!G$50)</f>
        <v>38.17708044348494</v>
      </c>
      <c r="F102" s="1470">
        <f t="shared" si="16"/>
        <v>76.354160886969879</v>
      </c>
      <c r="G102" s="1471">
        <f>G101*(1+'8.1 Pob Urbana y Rural'!G$50)</f>
        <v>38.17708044348494</v>
      </c>
      <c r="H102" s="1470">
        <f t="shared" si="6"/>
        <v>343.59372399136447</v>
      </c>
      <c r="I102" s="1462">
        <f>I101*(1+'8.1 Pob Urbana y Rural'!$G$50)</f>
        <v>876.81879329784852</v>
      </c>
      <c r="J102" s="1470">
        <f t="shared" si="7"/>
        <v>281.30480326778377</v>
      </c>
      <c r="K102" s="1470">
        <f t="shared" si="8"/>
        <v>171.03332038681253</v>
      </c>
      <c r="L102" s="1470">
        <f t="shared" si="9"/>
        <v>415.95303518072808</v>
      </c>
      <c r="M102" s="1470">
        <f t="shared" si="10"/>
        <v>562.60960653556754</v>
      </c>
      <c r="N102" s="1470">
        <f t="shared" si="11"/>
        <v>978.56264171629562</v>
      </c>
      <c r="O102" s="1472">
        <f t="shared" si="12"/>
        <v>1283.9792852641751</v>
      </c>
      <c r="Q102" s="889">
        <f t="shared" si="13"/>
        <v>2030</v>
      </c>
      <c r="R102" s="890">
        <f t="shared" si="5"/>
        <v>38.17708044348494</v>
      </c>
      <c r="S102" s="891">
        <f t="shared" si="14"/>
        <v>229.06248266090964</v>
      </c>
    </row>
    <row r="103" spans="1:19" ht="14.25" thickBot="1" x14ac:dyDescent="0.3">
      <c r="A103" s="826"/>
      <c r="B103" s="1468">
        <f t="shared" si="15"/>
        <v>2031</v>
      </c>
      <c r="C103" s="1469">
        <f>C102*(1+'8.1 Pob Urbana y Rural'!G$50)</f>
        <v>38.191874342661656</v>
      </c>
      <c r="D103" s="1470">
        <f>+C103*$D$89</f>
        <v>229.15124605596992</v>
      </c>
      <c r="E103" s="1469">
        <f>E102*(1+'8.1 Pob Urbana y Rural'!G$50)</f>
        <v>38.191874342661656</v>
      </c>
      <c r="F103" s="1470">
        <f t="shared" si="16"/>
        <v>76.383748685323312</v>
      </c>
      <c r="G103" s="1471">
        <f>G102*(1+'8.1 Pob Urbana y Rural'!G$50)</f>
        <v>38.191874342661656</v>
      </c>
      <c r="H103" s="1470">
        <f t="shared" si="6"/>
        <v>343.72686908395491</v>
      </c>
      <c r="I103" s="1462">
        <f>I102*(1+'8.1 Pob Urbana y Rural'!$G$50)</f>
        <v>877.15856702264921</v>
      </c>
      <c r="J103" s="1470">
        <f t="shared" si="7"/>
        <v>281.41381094592799</v>
      </c>
      <c r="K103" s="1470">
        <f t="shared" si="8"/>
        <v>171.09959705512421</v>
      </c>
      <c r="L103" s="1470">
        <f t="shared" si="9"/>
        <v>416.11422003806206</v>
      </c>
      <c r="M103" s="1470">
        <f t="shared" si="10"/>
        <v>562.82762189185598</v>
      </c>
      <c r="N103" s="1470">
        <f t="shared" si="11"/>
        <v>978.94184192991804</v>
      </c>
      <c r="O103" s="1472">
        <f t="shared" si="12"/>
        <v>1284.4768366712115</v>
      </c>
      <c r="Q103" s="889">
        <f t="shared" si="13"/>
        <v>2031</v>
      </c>
      <c r="R103" s="890">
        <f t="shared" si="5"/>
        <v>38.191874342661656</v>
      </c>
      <c r="S103" s="891">
        <f t="shared" si="14"/>
        <v>229.15124605596992</v>
      </c>
    </row>
    <row r="104" spans="1:19" ht="14.25" thickBot="1" x14ac:dyDescent="0.3">
      <c r="A104" s="826"/>
      <c r="B104" s="1468">
        <f t="shared" si="15"/>
        <v>2032</v>
      </c>
      <c r="C104" s="1469">
        <f>C103*(1+'8.1 Pob Urbana y Rural'!G$50)</f>
        <v>38.206673974583005</v>
      </c>
      <c r="D104" s="1470">
        <f t="shared" si="17"/>
        <v>229.24004384749804</v>
      </c>
      <c r="E104" s="1469">
        <f>E103*(1+'8.1 Pob Urbana y Rural'!G$50)</f>
        <v>38.206673974583005</v>
      </c>
      <c r="F104" s="1470">
        <f t="shared" si="16"/>
        <v>76.41334794916601</v>
      </c>
      <c r="G104" s="1471">
        <f>G103*(1+'8.1 Pob Urbana y Rural'!G$50)</f>
        <v>38.206673974583005</v>
      </c>
      <c r="H104" s="1470">
        <f t="shared" si="6"/>
        <v>343.86006577124704</v>
      </c>
      <c r="I104" s="1462">
        <f>I103*(1+'8.1 Pob Urbana y Rural'!$G$50)</f>
        <v>877.49847241226473</v>
      </c>
      <c r="J104" s="1470">
        <f t="shared" si="7"/>
        <v>281.52286086534843</v>
      </c>
      <c r="K104" s="1470">
        <f t="shared" si="8"/>
        <v>171.16589940613184</v>
      </c>
      <c r="L104" s="1470">
        <f t="shared" si="9"/>
        <v>416.27546735571264</v>
      </c>
      <c r="M104" s="1470">
        <f t="shared" si="10"/>
        <v>563.04572173069687</v>
      </c>
      <c r="N104" s="1470">
        <f t="shared" si="11"/>
        <v>979.3211890864095</v>
      </c>
      <c r="O104" s="1472">
        <f t="shared" si="12"/>
        <v>1284.9745808830735</v>
      </c>
      <c r="Q104" s="889">
        <f t="shared" si="13"/>
        <v>2032</v>
      </c>
      <c r="R104" s="890">
        <f t="shared" si="5"/>
        <v>38.206673974583005</v>
      </c>
      <c r="S104" s="891">
        <f t="shared" si="14"/>
        <v>229.24004384749804</v>
      </c>
    </row>
    <row r="105" spans="1:19" ht="14.25" thickBot="1" x14ac:dyDescent="0.3">
      <c r="A105" s="826"/>
      <c r="B105" s="1468">
        <f t="shared" si="15"/>
        <v>2033</v>
      </c>
      <c r="C105" s="1469">
        <f>C104*(1+'8.1 Pob Urbana y Rural'!G$50)</f>
        <v>38.221479341470463</v>
      </c>
      <c r="D105" s="1470">
        <f t="shared" si="17"/>
        <v>229.32887604882279</v>
      </c>
      <c r="E105" s="1469">
        <f>E104*(1+'8.1 Pob Urbana y Rural'!G$50)</f>
        <v>38.221479341470463</v>
      </c>
      <c r="F105" s="1470">
        <f t="shared" si="16"/>
        <v>76.442958682940926</v>
      </c>
      <c r="G105" s="1471">
        <f>G104*(1+'8.1 Pob Urbana y Rural'!G$50)</f>
        <v>38.221479341470463</v>
      </c>
      <c r="H105" s="1470">
        <f t="shared" si="6"/>
        <v>343.99331407323416</v>
      </c>
      <c r="I105" s="1462">
        <f>I104*(1+'8.1 Pob Urbana y Rural'!$G$50)</f>
        <v>877.83850951771615</v>
      </c>
      <c r="J105" s="1470">
        <f t="shared" si="7"/>
        <v>281.63195304241384</v>
      </c>
      <c r="K105" s="1470">
        <f t="shared" si="8"/>
        <v>171.23222744978762</v>
      </c>
      <c r="L105" s="1470">
        <f t="shared" si="9"/>
        <v>416.43677715788345</v>
      </c>
      <c r="M105" s="1470">
        <f t="shared" si="10"/>
        <v>563.26390608482768</v>
      </c>
      <c r="N105" s="1470">
        <f t="shared" si="11"/>
        <v>979.70068324271119</v>
      </c>
      <c r="O105" s="1472">
        <f t="shared" si="12"/>
        <v>1285.4725179744748</v>
      </c>
      <c r="Q105" s="889">
        <f t="shared" si="13"/>
        <v>2033</v>
      </c>
      <c r="R105" s="890">
        <f t="shared" si="5"/>
        <v>38.221479341470463</v>
      </c>
      <c r="S105" s="891">
        <f t="shared" si="14"/>
        <v>229.32887604882279</v>
      </c>
    </row>
    <row r="106" spans="1:19" ht="14.25" thickBot="1" x14ac:dyDescent="0.3">
      <c r="A106" s="850"/>
      <c r="B106" s="1468">
        <f t="shared" si="15"/>
        <v>2034</v>
      </c>
      <c r="C106" s="1469">
        <f>C105*(1+'8.1 Pob Urbana y Rural'!G$50)</f>
        <v>38.236290445546366</v>
      </c>
      <c r="D106" s="1470">
        <f t="shared" si="17"/>
        <v>229.41774267327821</v>
      </c>
      <c r="E106" s="1469">
        <f>E105*(1+'8.1 Pob Urbana y Rural'!G$50)</f>
        <v>38.236290445546366</v>
      </c>
      <c r="F106" s="1470">
        <f t="shared" si="16"/>
        <v>76.472580891092733</v>
      </c>
      <c r="G106" s="1471">
        <f>G105*(1+'8.1 Pob Urbana y Rural'!G$50)</f>
        <v>38.236290445546366</v>
      </c>
      <c r="H106" s="1470">
        <f t="shared" si="6"/>
        <v>344.12661400991732</v>
      </c>
      <c r="I106" s="1462">
        <f>I105*(1+'8.1 Pob Urbana y Rural'!$G$50)</f>
        <v>878.17867839004441</v>
      </c>
      <c r="J106" s="1470">
        <f t="shared" si="7"/>
        <v>281.74108749349949</v>
      </c>
      <c r="K106" s="1470">
        <f t="shared" si="8"/>
        <v>171.29858119604768</v>
      </c>
      <c r="L106" s="1470">
        <f t="shared" si="9"/>
        <v>416.59814946878794</v>
      </c>
      <c r="M106" s="1470">
        <f t="shared" si="10"/>
        <v>563.48217498699898</v>
      </c>
      <c r="N106" s="1470">
        <f t="shared" si="11"/>
        <v>980.08032445578692</v>
      </c>
      <c r="O106" s="1472">
        <f t="shared" si="12"/>
        <v>1285.970648020158</v>
      </c>
      <c r="Q106" s="889">
        <f t="shared" si="13"/>
        <v>2034</v>
      </c>
      <c r="R106" s="890">
        <f t="shared" si="5"/>
        <v>38.236290445546366</v>
      </c>
      <c r="S106" s="891">
        <f t="shared" si="14"/>
        <v>229.41774267327821</v>
      </c>
    </row>
    <row r="107" spans="1:19" x14ac:dyDescent="0.25">
      <c r="A107" s="850"/>
      <c r="B107" s="850" t="s">
        <v>1628</v>
      </c>
      <c r="C107" s="850"/>
      <c r="D107" s="850"/>
      <c r="E107" s="850"/>
      <c r="F107" s="850"/>
      <c r="G107" s="850"/>
      <c r="H107" s="850"/>
      <c r="I107" s="850"/>
      <c r="J107" s="850"/>
      <c r="K107" s="850"/>
      <c r="L107" s="850"/>
      <c r="M107" s="850"/>
      <c r="N107" s="850"/>
      <c r="O107" s="850"/>
      <c r="Q107" s="873" t="s">
        <v>1629</v>
      </c>
    </row>
    <row r="108" spans="1:19" x14ac:dyDescent="0.25">
      <c r="A108" s="850"/>
      <c r="C108" s="850"/>
      <c r="D108" s="850"/>
      <c r="E108" s="850"/>
      <c r="F108" s="850"/>
      <c r="I108" s="850"/>
      <c r="J108" s="850"/>
      <c r="K108" s="850"/>
      <c r="L108" s="848"/>
      <c r="M108" s="848"/>
      <c r="N108" s="848"/>
      <c r="R108" s="850"/>
      <c r="S108" s="850"/>
    </row>
    <row r="109" spans="1:19" x14ac:dyDescent="0.25">
      <c r="A109" s="850"/>
      <c r="B109" s="850"/>
      <c r="C109" s="850"/>
      <c r="D109" s="850">
        <v>1</v>
      </c>
      <c r="E109" s="850"/>
      <c r="F109" s="850">
        <v>2</v>
      </c>
      <c r="I109" s="850"/>
      <c r="J109" s="850"/>
      <c r="K109" s="850"/>
      <c r="L109" s="848">
        <v>3</v>
      </c>
      <c r="M109" s="848">
        <v>4</v>
      </c>
      <c r="N109" s="848"/>
      <c r="O109" s="873"/>
    </row>
    <row r="110" spans="1:19" x14ac:dyDescent="0.25">
      <c r="A110" s="850"/>
      <c r="C110" s="848"/>
      <c r="D110" s="827"/>
      <c r="E110" s="850"/>
      <c r="F110" s="850"/>
      <c r="G110" s="850"/>
      <c r="H110" s="850"/>
      <c r="I110" s="850"/>
      <c r="J110" s="848"/>
      <c r="K110" s="848"/>
      <c r="L110" s="848"/>
    </row>
    <row r="111" spans="1:19" x14ac:dyDescent="0.25">
      <c r="A111" s="850"/>
      <c r="B111" s="850"/>
      <c r="C111" s="850"/>
      <c r="D111" s="850"/>
      <c r="E111" s="850"/>
      <c r="F111" s="850"/>
      <c r="G111" s="850"/>
      <c r="H111" s="850"/>
      <c r="I111" s="850"/>
      <c r="J111" s="848"/>
      <c r="K111" s="848"/>
      <c r="L111" s="848"/>
    </row>
    <row r="112" spans="1:19" ht="14.25" thickBot="1" x14ac:dyDescent="0.3">
      <c r="A112" s="874"/>
      <c r="B112" s="860" t="s">
        <v>1630</v>
      </c>
      <c r="C112" s="850"/>
      <c r="D112" s="850"/>
      <c r="E112" s="850"/>
      <c r="F112" s="850"/>
      <c r="G112" s="850"/>
      <c r="H112" s="850"/>
      <c r="I112" s="848"/>
      <c r="J112" s="848"/>
      <c r="K112" s="848"/>
      <c r="L112" s="848"/>
    </row>
    <row r="113" spans="1:12" ht="14.25" thickBot="1" x14ac:dyDescent="0.3">
      <c r="A113" s="850"/>
      <c r="B113" s="850"/>
      <c r="C113" s="850"/>
      <c r="D113" s="850"/>
      <c r="E113" s="850"/>
      <c r="F113" s="850"/>
      <c r="G113" s="850"/>
      <c r="H113" s="888" t="s">
        <v>1631</v>
      </c>
      <c r="J113" s="848"/>
      <c r="K113" s="848"/>
      <c r="L113" s="848"/>
    </row>
    <row r="114" spans="1:12" x14ac:dyDescent="0.25">
      <c r="A114" s="850"/>
      <c r="B114" s="4361" t="s">
        <v>1485</v>
      </c>
      <c r="C114" s="4363" t="s">
        <v>1632</v>
      </c>
      <c r="D114" s="4363"/>
      <c r="E114" s="4363"/>
      <c r="F114" s="4363"/>
      <c r="G114" s="4363"/>
      <c r="H114" s="4370" t="s">
        <v>1574</v>
      </c>
      <c r="J114" s="848"/>
      <c r="K114" s="848"/>
      <c r="L114" s="848"/>
    </row>
    <row r="115" spans="1:12" ht="47.25" customHeight="1" x14ac:dyDescent="0.25">
      <c r="A115" s="850"/>
      <c r="B115" s="4375"/>
      <c r="C115" s="929" t="s">
        <v>42</v>
      </c>
      <c r="D115" s="929" t="s">
        <v>1612</v>
      </c>
      <c r="E115" s="929" t="s">
        <v>1633</v>
      </c>
      <c r="F115" s="929" t="s">
        <v>1634</v>
      </c>
      <c r="G115" s="929" t="s">
        <v>1229</v>
      </c>
      <c r="H115" s="4371"/>
      <c r="J115" s="848"/>
      <c r="K115" s="848"/>
      <c r="L115" s="848"/>
    </row>
    <row r="116" spans="1:12" x14ac:dyDescent="0.25">
      <c r="A116" s="850"/>
      <c r="B116" s="4375"/>
      <c r="C116" s="929" t="s">
        <v>1626</v>
      </c>
      <c r="D116" s="929" t="s">
        <v>1626</v>
      </c>
      <c r="E116" s="929" t="s">
        <v>1626</v>
      </c>
      <c r="F116" s="929" t="s">
        <v>1626</v>
      </c>
      <c r="G116" s="929" t="s">
        <v>1626</v>
      </c>
      <c r="H116" s="4371"/>
      <c r="J116" s="848"/>
      <c r="K116" s="848"/>
      <c r="L116" s="848"/>
    </row>
    <row r="117" spans="1:12" ht="14.25" thickBot="1" x14ac:dyDescent="0.3">
      <c r="A117" s="850"/>
      <c r="B117" s="4362"/>
      <c r="C117" s="933">
        <v>1</v>
      </c>
      <c r="D117" s="933">
        <v>4</v>
      </c>
      <c r="E117" s="933">
        <v>1</v>
      </c>
      <c r="F117" s="933">
        <v>4</v>
      </c>
      <c r="G117" s="933">
        <v>1</v>
      </c>
      <c r="H117" s="4372"/>
      <c r="J117" s="848"/>
      <c r="K117" s="848"/>
      <c r="L117" s="848"/>
    </row>
    <row r="118" spans="1:12" ht="14.25" thickBot="1" x14ac:dyDescent="0.3">
      <c r="A118" s="850"/>
      <c r="B118" s="945">
        <v>2018</v>
      </c>
      <c r="C118" s="943">
        <v>0.7182759977269747</v>
      </c>
      <c r="D118" s="943">
        <f t="shared" ref="D118:D134" si="18">+C90*$D$117</f>
        <v>152</v>
      </c>
      <c r="E118" s="943">
        <f>'3 Pob x Edad y EESS P1 P2'!AU31*E117</f>
        <v>28</v>
      </c>
      <c r="F118" s="943" t="e">
        <f>(SUM(E47:E50))*$E$140*$F$117</f>
        <v>#REF!</v>
      </c>
      <c r="G118" s="1460">
        <f>(SUM('3 Pob x Edad y EESS P1 P2'!AP31:AT31))*G117*F140</f>
        <v>39.598137087810251</v>
      </c>
      <c r="H118" s="944" t="e">
        <f>SUM(C118:G118)</f>
        <v>#REF!</v>
      </c>
      <c r="J118" s="848"/>
      <c r="K118" s="848"/>
      <c r="L118" s="848"/>
    </row>
    <row r="119" spans="1:12" ht="14.25" thickBot="1" x14ac:dyDescent="0.3">
      <c r="A119" s="821"/>
      <c r="B119" s="942">
        <f>B118+1</f>
        <v>2019</v>
      </c>
      <c r="C119" s="943">
        <v>0.72117918515686119</v>
      </c>
      <c r="D119" s="943">
        <f t="shared" si="18"/>
        <v>152.05890111681509</v>
      </c>
      <c r="E119" s="1456">
        <f>E118*(1+'8.1 Pob Urbana y Rural'!$G$50)</f>
        <v>28.010850205729096</v>
      </c>
      <c r="F119" s="1456" t="e">
        <f>F118*(1+'8.1 Pob Urbana y Rural'!$G$50)</f>
        <v>#REF!</v>
      </c>
      <c r="G119" s="1456">
        <f>G118*(1+'8.2 Pob Ddte'!$B$50)</f>
        <v>39.613481656877809</v>
      </c>
      <c r="H119" s="944" t="e">
        <f>SUM(C119:G119)</f>
        <v>#REF!</v>
      </c>
      <c r="J119" s="848"/>
      <c r="K119" s="848"/>
      <c r="L119" s="848"/>
    </row>
    <row r="120" spans="1:12" ht="14.25" thickBot="1" x14ac:dyDescent="0.3">
      <c r="A120" s="821"/>
      <c r="B120" s="948">
        <f t="shared" ref="B120:B134" si="19">B119+1</f>
        <v>2020</v>
      </c>
      <c r="C120" s="949">
        <v>0.72409410693020293</v>
      </c>
      <c r="D120" s="949">
        <f t="shared" si="18"/>
        <v>152.11782505824573</v>
      </c>
      <c r="E120" s="1458">
        <f>E119*(1+'8.1 Pob Urbana y Rural'!$G$50)</f>
        <v>28.021704615992633</v>
      </c>
      <c r="F120" s="1458" t="e">
        <f>F119*(1+'8.1 Pob Urbana y Rural'!$G$50)</f>
        <v>#REF!</v>
      </c>
      <c r="G120" s="1458">
        <f>G119*(1+'8.2 Pob Ddte'!$B$50)</f>
        <v>39.628832172078624</v>
      </c>
      <c r="H120" s="950" t="e">
        <f>SUM(C120:G120)</f>
        <v>#REF!</v>
      </c>
      <c r="J120" s="848"/>
      <c r="K120" s="848"/>
      <c r="L120" s="848"/>
    </row>
    <row r="121" spans="1:12" ht="14.25" thickBot="1" x14ac:dyDescent="0.3">
      <c r="A121" s="821"/>
      <c r="B121" s="948">
        <f t="shared" si="19"/>
        <v>2021</v>
      </c>
      <c r="C121" s="949">
        <v>0.72702081047584155</v>
      </c>
      <c r="D121" s="949">
        <f t="shared" si="18"/>
        <v>152.1767718331366</v>
      </c>
      <c r="E121" s="1458">
        <f>E120*(1+'8.1 Pob Urbana y Rural'!$G$50)</f>
        <v>28.0325632324199</v>
      </c>
      <c r="F121" s="1458" t="e">
        <f>F120*(1+'8.1 Pob Urbana y Rural'!$G$50)</f>
        <v>#REF!</v>
      </c>
      <c r="G121" s="1458">
        <f>G120*(1+'8.2 Pob Ddte'!$B$50)</f>
        <v>39.644188635716873</v>
      </c>
      <c r="H121" s="950" t="e">
        <f t="shared" ref="H121:H134" si="20">SUM(C121:G121)</f>
        <v>#REF!</v>
      </c>
      <c r="J121" s="848"/>
      <c r="K121" s="848"/>
      <c r="L121" s="848"/>
    </row>
    <row r="122" spans="1:12" ht="14.25" thickBot="1" x14ac:dyDescent="0.3">
      <c r="A122" s="821"/>
      <c r="B122" s="948">
        <f t="shared" si="19"/>
        <v>2022</v>
      </c>
      <c r="C122" s="949">
        <v>0.72995934341432023</v>
      </c>
      <c r="D122" s="949">
        <f t="shared" si="18"/>
        <v>152.23574145033587</v>
      </c>
      <c r="E122" s="1458">
        <f>E121*(1+'8.1 Pob Urbana y Rural'!$G$50)</f>
        <v>28.043426056640815</v>
      </c>
      <c r="F122" s="1458" t="e">
        <f>F121*(1+'8.1 Pob Urbana y Rural'!$G$50)</f>
        <v>#REF!</v>
      </c>
      <c r="G122" s="1458">
        <f>G121*(1+'8.2 Pob Ddte'!$B$50)</f>
        <v>39.659551050097612</v>
      </c>
      <c r="H122" s="950" t="e">
        <f>SUM(C122:G122)</f>
        <v>#REF!</v>
      </c>
      <c r="J122" s="848"/>
      <c r="K122" s="848"/>
      <c r="L122" s="848"/>
    </row>
    <row r="123" spans="1:12" ht="14.25" thickBot="1" x14ac:dyDescent="0.3">
      <c r="A123" s="821"/>
      <c r="B123" s="889">
        <f t="shared" si="19"/>
        <v>2023</v>
      </c>
      <c r="C123" s="890">
        <v>0.73290975355865884</v>
      </c>
      <c r="D123" s="890">
        <f t="shared" si="18"/>
        <v>152.29473391869507</v>
      </c>
      <c r="E123" s="1459">
        <f>E122*(1+'8.1 Pob Urbana y Rural'!G$50)</f>
        <v>28.054293090285931</v>
      </c>
      <c r="F123" s="1459" t="e">
        <f>F122*(1+'8.1 Pob Urbana y Rural'!G$50)</f>
        <v>#REF!</v>
      </c>
      <c r="G123" s="1459">
        <f>G122*(1+'8.2 Pob Ddte'!$B$50)</f>
        <v>39.674919417526795</v>
      </c>
      <c r="H123" s="891" t="e">
        <f t="shared" si="20"/>
        <v>#REF!</v>
      </c>
      <c r="J123" s="848"/>
      <c r="K123" s="848"/>
      <c r="L123" s="848"/>
    </row>
    <row r="124" spans="1:12" ht="14.25" thickBot="1" x14ac:dyDescent="0.3">
      <c r="A124" s="821"/>
      <c r="B124" s="889">
        <f t="shared" si="19"/>
        <v>2024</v>
      </c>
      <c r="C124" s="890">
        <v>0.73587208891513201</v>
      </c>
      <c r="D124" s="890">
        <f t="shared" si="18"/>
        <v>152.3537492470692</v>
      </c>
      <c r="E124" s="1459">
        <f>E123*(1+'8.1 Pob Urbana y Rural'!G$50)</f>
        <v>28.065164334986431</v>
      </c>
      <c r="F124" s="1459" t="e">
        <f>F123*(1+'8.1 Pob Urbana y Rural'!G$50)</f>
        <v>#REF!</v>
      </c>
      <c r="G124" s="1459">
        <f>G123*(1+'8.2 Pob Ddte'!$B$50)</f>
        <v>39.690293740311276</v>
      </c>
      <c r="H124" s="891" t="e">
        <f>SUM(C124:G124)</f>
        <v>#REF!</v>
      </c>
      <c r="J124" s="848"/>
      <c r="K124" s="848"/>
      <c r="L124" s="848"/>
    </row>
    <row r="125" spans="1:12" ht="14.25" thickBot="1" x14ac:dyDescent="0.3">
      <c r="A125" s="821"/>
      <c r="B125" s="889">
        <f t="shared" si="19"/>
        <v>2025</v>
      </c>
      <c r="C125" s="890">
        <v>0.73884639768405003</v>
      </c>
      <c r="D125" s="890">
        <f t="shared" si="18"/>
        <v>152.41278744431671</v>
      </c>
      <c r="E125" s="1459">
        <f>E124*(1+'8.1 Pob Urbana y Rural'!G$50)</f>
        <v>28.076039792374129</v>
      </c>
      <c r="F125" s="1459" t="e">
        <f>F124*(1+'8.1 Pob Urbana y Rural'!G$50)</f>
        <v>#REF!</v>
      </c>
      <c r="G125" s="1459">
        <f>G124*(1+'8.2 Pob Ddte'!$B$50)</f>
        <v>39.705674020758799</v>
      </c>
      <c r="H125" s="891" t="e">
        <f t="shared" si="20"/>
        <v>#REF!</v>
      </c>
      <c r="J125" s="848"/>
      <c r="K125" s="848"/>
      <c r="L125" s="848"/>
    </row>
    <row r="126" spans="1:12" ht="14.25" thickBot="1" x14ac:dyDescent="0.3">
      <c r="A126" s="821"/>
      <c r="B126" s="889">
        <f t="shared" si="19"/>
        <v>2026</v>
      </c>
      <c r="C126" s="890">
        <v>0.74183272826054325</v>
      </c>
      <c r="D126" s="890">
        <f t="shared" si="18"/>
        <v>152.47184851929941</v>
      </c>
      <c r="E126" s="1459">
        <f>E125*(1+'8.1 Pob Urbana y Rural'!G$50)</f>
        <v>28.086919464081468</v>
      </c>
      <c r="F126" s="1459" t="e">
        <f>F125*(1+'8.1 Pob Urbana y Rural'!G$50)</f>
        <v>#REF!</v>
      </c>
      <c r="G126" s="1459">
        <f>G125*(1+'8.2 Pob Ddte'!$B$50)</f>
        <v>39.721060261178003</v>
      </c>
      <c r="H126" s="891" t="e">
        <f t="shared" si="20"/>
        <v>#REF!</v>
      </c>
      <c r="J126" s="848"/>
      <c r="K126" s="848"/>
      <c r="L126" s="848"/>
    </row>
    <row r="127" spans="1:12" ht="14.25" thickBot="1" x14ac:dyDescent="0.3">
      <c r="A127" s="821"/>
      <c r="B127" s="889">
        <f t="shared" si="19"/>
        <v>2027</v>
      </c>
      <c r="C127" s="890">
        <v>0.74483112923534933</v>
      </c>
      <c r="D127" s="890">
        <f t="shared" si="18"/>
        <v>152.53093248088263</v>
      </c>
      <c r="E127" s="1459">
        <f>E126*(1+'8.1 Pob Urbana y Rural'!G$50)</f>
        <v>28.097803351741533</v>
      </c>
      <c r="F127" s="1459" t="e">
        <f>F126*(1+'8.1 Pob Urbana y Rural'!G$50)</f>
        <v>#REF!</v>
      </c>
      <c r="G127" s="1459">
        <f>G126*(1+'8.2 Pob Ddte'!$B$50)</f>
        <v>39.736452463878415</v>
      </c>
      <c r="H127" s="891" t="e">
        <f t="shared" si="20"/>
        <v>#REF!</v>
      </c>
      <c r="K127" s="848"/>
      <c r="L127" s="848"/>
    </row>
    <row r="128" spans="1:12" ht="14.25" thickBot="1" x14ac:dyDescent="0.3">
      <c r="A128" s="821"/>
      <c r="B128" s="889">
        <f t="shared" si="19"/>
        <v>2028</v>
      </c>
      <c r="C128" s="890">
        <v>0.74784164939560416</v>
      </c>
      <c r="D128" s="890">
        <f t="shared" si="18"/>
        <v>152.59003933793508</v>
      </c>
      <c r="E128" s="1459">
        <f>E127*(1+'8.1 Pob Urbana y Rural'!G$50)</f>
        <v>28.108691456988037</v>
      </c>
      <c r="F128" s="1459" t="e">
        <f>F127*(1+'8.1 Pob Urbana y Rural'!G$50)</f>
        <v>#REF!</v>
      </c>
      <c r="G128" s="1459">
        <f>G127*(1+'8.2 Pob Ddte'!$B$50)</f>
        <v>39.75185063117047</v>
      </c>
      <c r="H128" s="891" t="e">
        <f t="shared" si="20"/>
        <v>#REF!</v>
      </c>
      <c r="J128" s="848"/>
      <c r="K128" s="848"/>
      <c r="L128" s="848"/>
    </row>
    <row r="129" spans="1:12" ht="14.25" thickBot="1" x14ac:dyDescent="0.3">
      <c r="A129" s="821"/>
      <c r="B129" s="889">
        <f t="shared" si="19"/>
        <v>2029</v>
      </c>
      <c r="C129" s="890">
        <v>0.75086433772563543</v>
      </c>
      <c r="D129" s="890">
        <f t="shared" si="18"/>
        <v>152.64916909932893</v>
      </c>
      <c r="E129" s="1459">
        <f>E128*(1+'8.1 Pob Urbana y Rural'!G$50)</f>
        <v>28.119583781455322</v>
      </c>
      <c r="F129" s="1459" t="e">
        <f>F128*(1+'8.1 Pob Urbana y Rural'!G$50)</f>
        <v>#REF!</v>
      </c>
      <c r="G129" s="1459">
        <f>G128*(1+'8.2 Pob Ddte'!$B$50)</f>
        <v>39.767254765365486</v>
      </c>
      <c r="H129" s="891" t="e">
        <f t="shared" si="20"/>
        <v>#REF!</v>
      </c>
      <c r="J129" s="848"/>
      <c r="K129" s="848"/>
      <c r="L129" s="848"/>
    </row>
    <row r="130" spans="1:12" ht="14.25" thickBot="1" x14ac:dyDescent="0.3">
      <c r="A130" s="821"/>
      <c r="B130" s="889">
        <f t="shared" si="19"/>
        <v>2030</v>
      </c>
      <c r="C130" s="890">
        <v>0.75389924340775971</v>
      </c>
      <c r="D130" s="890">
        <f t="shared" si="18"/>
        <v>152.70832177393976</v>
      </c>
      <c r="E130" s="1459">
        <f>E129*(1+'8.1 Pob Urbana y Rural'!G$50)</f>
        <v>28.130480326778372</v>
      </c>
      <c r="F130" s="1459" t="e">
        <f>F129*(1+'8.1 Pob Urbana y Rural'!G$50)</f>
        <v>#REF!</v>
      </c>
      <c r="G130" s="1459">
        <f>G129*(1+'8.2 Pob Ddte'!$B$50)</f>
        <v>39.782664868775683</v>
      </c>
      <c r="H130" s="891" t="e">
        <f t="shared" si="20"/>
        <v>#REF!</v>
      </c>
      <c r="J130" s="848"/>
      <c r="K130" s="848"/>
      <c r="L130" s="848"/>
    </row>
    <row r="131" spans="1:12" ht="14.25" thickBot="1" x14ac:dyDescent="0.3">
      <c r="A131" s="821"/>
      <c r="B131" s="889">
        <f t="shared" si="19"/>
        <v>2031</v>
      </c>
      <c r="C131" s="890">
        <v>0.75694641582308286</v>
      </c>
      <c r="D131" s="890">
        <f t="shared" si="18"/>
        <v>152.76749737064662</v>
      </c>
      <c r="E131" s="1459">
        <f>E130*(1+'8.1 Pob Urbana y Rural'!G$50)</f>
        <v>28.141381094592795</v>
      </c>
      <c r="F131" s="1459" t="e">
        <f>F130*(1+'8.1 Pob Urbana y Rural'!G$50)</f>
        <v>#REF!</v>
      </c>
      <c r="G131" s="1459">
        <f>G130*(1+'8.2 Pob Ddte'!$B$50)</f>
        <v>39.798080943714183</v>
      </c>
      <c r="H131" s="891" t="e">
        <f t="shared" si="20"/>
        <v>#REF!</v>
      </c>
      <c r="J131" s="848"/>
      <c r="K131" s="848"/>
      <c r="L131" s="848"/>
    </row>
    <row r="132" spans="1:12" ht="14.25" thickBot="1" x14ac:dyDescent="0.3">
      <c r="A132" s="821"/>
      <c r="B132" s="889">
        <f t="shared" si="19"/>
        <v>2032</v>
      </c>
      <c r="C132" s="890">
        <v>0.76000590455230321</v>
      </c>
      <c r="D132" s="890">
        <f t="shared" si="18"/>
        <v>152.82669589833202</v>
      </c>
      <c r="E132" s="1459">
        <f>E131*(1+'8.1 Pob Urbana y Rural'!G$50)</f>
        <v>28.15228608653484</v>
      </c>
      <c r="F132" s="1459" t="e">
        <f>F131*(1+'8.1 Pob Urbana y Rural'!G$50)</f>
        <v>#REF!</v>
      </c>
      <c r="G132" s="1459">
        <f>G131*(1+'8.2 Pob Ddte'!$B$50)</f>
        <v>39.813502992494989</v>
      </c>
      <c r="H132" s="891" t="e">
        <f t="shared" si="20"/>
        <v>#REF!</v>
      </c>
      <c r="J132" s="848"/>
      <c r="K132" s="848"/>
      <c r="L132" s="848"/>
    </row>
    <row r="133" spans="1:12" ht="14.25" thickBot="1" x14ac:dyDescent="0.3">
      <c r="A133" s="821"/>
      <c r="B133" s="889">
        <f t="shared" si="19"/>
        <v>2033</v>
      </c>
      <c r="C133" s="890">
        <v>0.76307775937651856</v>
      </c>
      <c r="D133" s="890">
        <f t="shared" si="18"/>
        <v>152.88591736588185</v>
      </c>
      <c r="E133" s="1459">
        <f>E132*(1+'8.1 Pob Urbana y Rural'!G$50)</f>
        <v>28.163195304241384</v>
      </c>
      <c r="F133" s="1459" t="e">
        <f>F132*(1+'8.1 Pob Urbana y Rural'!G$50)</f>
        <v>#REF!</v>
      </c>
      <c r="G133" s="1459">
        <f>G132*(1+'8.2 Pob Ddte'!$B$50)</f>
        <v>39.828931017433007</v>
      </c>
      <c r="H133" s="891" t="e">
        <f t="shared" si="20"/>
        <v>#REF!</v>
      </c>
      <c r="J133" s="848"/>
      <c r="K133" s="848"/>
      <c r="L133" s="848"/>
    </row>
    <row r="134" spans="1:12" ht="14.25" thickBot="1" x14ac:dyDescent="0.3">
      <c r="A134" s="821"/>
      <c r="B134" s="889">
        <f t="shared" si="19"/>
        <v>2034</v>
      </c>
      <c r="C134" s="890">
        <v>0.7661620302780362</v>
      </c>
      <c r="D134" s="890">
        <f t="shared" si="18"/>
        <v>152.94516178218547</v>
      </c>
      <c r="E134" s="1459">
        <f>E133*(1+'8.1 Pob Urbana y Rural'!G$50)</f>
        <v>28.174108749349948</v>
      </c>
      <c r="F134" s="1459" t="e">
        <f>F133*(1+'8.1 Pob Urbana y Rural'!G$50)</f>
        <v>#REF!</v>
      </c>
      <c r="G134" s="1459">
        <f>G133*(1+'8.2 Pob Ddte'!$B$50)</f>
        <v>39.844365020844045</v>
      </c>
      <c r="H134" s="891" t="e">
        <f t="shared" si="20"/>
        <v>#REF!</v>
      </c>
      <c r="J134" s="848"/>
      <c r="K134" s="848"/>
      <c r="L134" s="848"/>
    </row>
    <row r="135" spans="1:12" x14ac:dyDescent="0.25">
      <c r="A135" s="821"/>
      <c r="B135" s="873" t="s">
        <v>1653</v>
      </c>
      <c r="C135" s="821"/>
      <c r="D135" s="821"/>
      <c r="E135" s="821"/>
      <c r="F135" s="821"/>
      <c r="G135" s="821"/>
      <c r="H135" s="821"/>
      <c r="J135" s="848"/>
      <c r="K135" s="848"/>
      <c r="L135" s="848"/>
    </row>
    <row r="136" spans="1:12" x14ac:dyDescent="0.25">
      <c r="A136" s="850"/>
      <c r="C136" s="850"/>
      <c r="D136" s="850"/>
      <c r="E136" s="850"/>
      <c r="F136" s="850"/>
      <c r="G136" s="850"/>
      <c r="H136" s="850"/>
      <c r="I136" s="850"/>
      <c r="J136" s="848"/>
      <c r="K136" s="848"/>
      <c r="L136" s="848"/>
    </row>
    <row r="137" spans="1:12" x14ac:dyDescent="0.25">
      <c r="A137" s="850"/>
      <c r="B137" s="850"/>
      <c r="C137" s="850"/>
      <c r="D137" s="850"/>
      <c r="E137" s="850"/>
      <c r="F137" s="850"/>
      <c r="G137" s="850"/>
      <c r="H137" s="850"/>
      <c r="I137" s="850"/>
      <c r="J137" s="848"/>
      <c r="K137" s="848"/>
      <c r="L137" s="848"/>
    </row>
    <row r="138" spans="1:12" x14ac:dyDescent="0.25">
      <c r="H138" s="850"/>
      <c r="I138" s="850"/>
    </row>
    <row r="139" spans="1:12" ht="57" customHeight="1" x14ac:dyDescent="0.25">
      <c r="C139" s="937" t="s">
        <v>1654</v>
      </c>
      <c r="D139" s="850"/>
      <c r="E139" s="940" t="s">
        <v>1635</v>
      </c>
      <c r="F139" s="941" t="s">
        <v>1636</v>
      </c>
      <c r="H139" s="850"/>
      <c r="I139" s="850"/>
      <c r="J139" s="875" t="e">
        <f>'5.3 PERFIL Epi 1 MR'!#REF!</f>
        <v>#REF!</v>
      </c>
      <c r="K139" s="864" t="s">
        <v>1637</v>
      </c>
    </row>
    <row r="140" spans="1:12" x14ac:dyDescent="0.25">
      <c r="C140" s="938" t="e">
        <f>'5.3 PERFIL Epi 1 MR'!#REF!/'3 Pob x Edad y EESS P1 P2'!M32</f>
        <v>#REF!</v>
      </c>
      <c r="D140" s="850"/>
      <c r="E140" s="939" t="e">
        <f>J139/J140</f>
        <v>#REF!</v>
      </c>
      <c r="F140" s="939">
        <v>0.436</v>
      </c>
      <c r="H140" s="876"/>
      <c r="J140" s="875">
        <f>SUM('3 Pob x Edad y EESS P1 P2'!N32:S32)</f>
        <v>202.53167839940716</v>
      </c>
      <c r="K140" s="864" t="s">
        <v>1638</v>
      </c>
    </row>
    <row r="141" spans="1:12" x14ac:dyDescent="0.25">
      <c r="B141" s="4378"/>
      <c r="C141" s="4378"/>
      <c r="D141" s="4378"/>
      <c r="E141" s="877" t="s">
        <v>3686</v>
      </c>
      <c r="F141" s="515" t="s">
        <v>1655</v>
      </c>
      <c r="G141" s="878"/>
      <c r="H141" s="878"/>
    </row>
    <row r="142" spans="1:12" x14ac:dyDescent="0.25">
      <c r="D142" s="850"/>
    </row>
    <row r="143" spans="1:12" x14ac:dyDescent="0.25">
      <c r="H143" s="854"/>
    </row>
    <row r="146" spans="1:9" x14ac:dyDescent="0.25">
      <c r="A146" s="879"/>
      <c r="B146" s="842" t="s">
        <v>1640</v>
      </c>
      <c r="C146" s="689"/>
      <c r="D146" s="689"/>
      <c r="E146" s="880"/>
      <c r="F146" s="880"/>
    </row>
    <row r="147" spans="1:9" ht="14.25" thickBot="1" x14ac:dyDescent="0.3">
      <c r="A147" s="880"/>
      <c r="B147" s="881"/>
      <c r="C147" s="514"/>
      <c r="D147" s="882"/>
      <c r="F147" s="880"/>
    </row>
    <row r="148" spans="1:9" ht="14.25" thickBot="1" x14ac:dyDescent="0.3">
      <c r="A148" s="880"/>
      <c r="B148" s="881"/>
      <c r="C148" s="514"/>
      <c r="D148" s="910" t="s">
        <v>1641</v>
      </c>
      <c r="F148" s="880"/>
      <c r="G148" s="518" t="s">
        <v>1642</v>
      </c>
    </row>
    <row r="149" spans="1:9" x14ac:dyDescent="0.25">
      <c r="A149" s="880"/>
      <c r="B149" s="4361" t="s">
        <v>1485</v>
      </c>
      <c r="C149" s="4363" t="s">
        <v>1643</v>
      </c>
      <c r="D149" s="4370" t="s">
        <v>1644</v>
      </c>
      <c r="F149" s="880"/>
      <c r="G149" s="4383" t="s">
        <v>1645</v>
      </c>
      <c r="H149" s="4385" t="s">
        <v>1646</v>
      </c>
      <c r="I149" s="4379" t="s">
        <v>1377</v>
      </c>
    </row>
    <row r="150" spans="1:9" ht="14.25" thickBot="1" x14ac:dyDescent="0.3">
      <c r="A150" s="880"/>
      <c r="B150" s="4375"/>
      <c r="C150" s="4369"/>
      <c r="D150" s="4371"/>
      <c r="F150" s="880"/>
      <c r="G150" s="4384"/>
      <c r="H150" s="4386"/>
      <c r="I150" s="4380"/>
    </row>
    <row r="151" spans="1:9" ht="14.25" thickBot="1" x14ac:dyDescent="0.3">
      <c r="A151" s="880"/>
      <c r="B151" s="4362"/>
      <c r="C151" s="4364"/>
      <c r="D151" s="4372"/>
      <c r="F151" s="880"/>
      <c r="G151" s="911" t="s">
        <v>1647</v>
      </c>
      <c r="H151" s="912">
        <v>1</v>
      </c>
      <c r="I151" s="913">
        <f>F47</f>
        <v>2</v>
      </c>
    </row>
    <row r="152" spans="1:9" ht="14.25" thickBot="1" x14ac:dyDescent="0.3">
      <c r="A152" s="880"/>
      <c r="B152" s="945">
        <v>2018</v>
      </c>
      <c r="C152" s="943">
        <f>+SUMPRODUCT(I151:I155,H151:H155)</f>
        <v>136.02556502408294</v>
      </c>
      <c r="D152" s="944">
        <f>C152</f>
        <v>136.02556502408294</v>
      </c>
      <c r="F152" s="880"/>
      <c r="G152" s="911" t="s">
        <v>1648</v>
      </c>
      <c r="H152" s="912">
        <v>6</v>
      </c>
      <c r="I152" s="913">
        <f>F48</f>
        <v>8</v>
      </c>
    </row>
    <row r="153" spans="1:9" ht="14.25" thickBot="1" x14ac:dyDescent="0.3">
      <c r="A153" s="880"/>
      <c r="B153" s="942">
        <f t="shared" ref="B153:B168" si="21">B152+1</f>
        <v>2019</v>
      </c>
      <c r="C153" s="1456">
        <f>C152*(1+'8.1 Pob Urbana y Rural'!G$50)</f>
        <v>136.07827592997322</v>
      </c>
      <c r="D153" s="944">
        <f t="shared" ref="D153:D168" si="22">C153</f>
        <v>136.07827592997322</v>
      </c>
      <c r="F153" s="880"/>
      <c r="G153" s="911" t="s">
        <v>1649</v>
      </c>
      <c r="H153" s="912">
        <v>4</v>
      </c>
      <c r="I153" s="913">
        <f>F49</f>
        <v>14.687291589477576</v>
      </c>
    </row>
    <row r="154" spans="1:9" ht="14.25" thickBot="1" x14ac:dyDescent="0.3">
      <c r="A154" s="880"/>
      <c r="B154" s="948">
        <f t="shared" si="21"/>
        <v>2020</v>
      </c>
      <c r="C154" s="1458">
        <f>C153*(1+'8.1 Pob Urbana y Rural'!G$50)</f>
        <v>136.13100726172684</v>
      </c>
      <c r="D154" s="950">
        <f t="shared" si="22"/>
        <v>136.13100726172684</v>
      </c>
      <c r="F154" s="880"/>
      <c r="G154" s="911" t="s">
        <v>1650</v>
      </c>
      <c r="H154" s="912">
        <v>2</v>
      </c>
      <c r="I154" s="913">
        <f>F50</f>
        <v>8.6924786958132572</v>
      </c>
    </row>
    <row r="155" spans="1:9" ht="14.25" thickBot="1" x14ac:dyDescent="0.3">
      <c r="A155" s="880"/>
      <c r="B155" s="948">
        <f t="shared" si="21"/>
        <v>2021</v>
      </c>
      <c r="C155" s="1458">
        <f>C154*(1+'8.1 Pob Urbana y Rural'!G$50)</f>
        <v>136.18375902725893</v>
      </c>
      <c r="D155" s="950">
        <f t="shared" si="22"/>
        <v>136.18375902725893</v>
      </c>
      <c r="F155" s="880"/>
      <c r="G155" s="911" t="s">
        <v>1651</v>
      </c>
      <c r="H155" s="912">
        <v>1</v>
      </c>
      <c r="I155" s="913">
        <f>F51</f>
        <v>9.8914412745461213</v>
      </c>
    </row>
    <row r="156" spans="1:9" ht="14.25" thickBot="1" x14ac:dyDescent="0.3">
      <c r="A156" s="880"/>
      <c r="B156" s="948">
        <f t="shared" si="21"/>
        <v>2022</v>
      </c>
      <c r="C156" s="1458">
        <f>C155*(1+'8.1 Pob Urbana y Rural'!G$50)</f>
        <v>136.23653123448776</v>
      </c>
      <c r="D156" s="950">
        <f t="shared" si="22"/>
        <v>136.23653123448776</v>
      </c>
      <c r="F156" s="880"/>
      <c r="G156" s="883" t="s">
        <v>1652</v>
      </c>
      <c r="H156" s="690"/>
      <c r="I156" s="884"/>
    </row>
    <row r="157" spans="1:9" ht="14.25" thickBot="1" x14ac:dyDescent="0.3">
      <c r="A157" s="880"/>
      <c r="B157" s="889">
        <f t="shared" si="21"/>
        <v>2023</v>
      </c>
      <c r="C157" s="1459">
        <f>C156*(1+'8.1 Pob Urbana y Rural'!G$50)</f>
        <v>136.28932389133465</v>
      </c>
      <c r="D157" s="891">
        <f t="shared" si="22"/>
        <v>136.28932389133465</v>
      </c>
      <c r="F157" s="880"/>
      <c r="H157" s="883"/>
      <c r="I157" s="883"/>
    </row>
    <row r="158" spans="1:9" ht="14.25" thickBot="1" x14ac:dyDescent="0.3">
      <c r="A158" s="880"/>
      <c r="B158" s="889">
        <f t="shared" si="21"/>
        <v>2024</v>
      </c>
      <c r="C158" s="1459">
        <f>C157*(1+'8.1 Pob Urbana y Rural'!G$50)</f>
        <v>136.34213700572394</v>
      </c>
      <c r="D158" s="891">
        <f t="shared" si="22"/>
        <v>136.34213700572394</v>
      </c>
      <c r="F158" s="880"/>
      <c r="G158" s="4381"/>
      <c r="H158" s="4381"/>
      <c r="I158" s="4382"/>
    </row>
    <row r="159" spans="1:9" ht="14.25" thickBot="1" x14ac:dyDescent="0.3">
      <c r="A159" s="880"/>
      <c r="B159" s="889">
        <f t="shared" si="21"/>
        <v>2025</v>
      </c>
      <c r="C159" s="1459">
        <f>C158*(1+'8.1 Pob Urbana y Rural'!G$50)</f>
        <v>136.39497058558311</v>
      </c>
      <c r="D159" s="891">
        <f t="shared" si="22"/>
        <v>136.39497058558311</v>
      </c>
      <c r="F159" s="880"/>
      <c r="G159" s="4381"/>
      <c r="H159" s="4381"/>
      <c r="I159" s="4382"/>
    </row>
    <row r="160" spans="1:9" ht="14.25" thickBot="1" x14ac:dyDescent="0.3">
      <c r="A160" s="880"/>
      <c r="B160" s="889">
        <f t="shared" si="21"/>
        <v>2026</v>
      </c>
      <c r="C160" s="1459">
        <f>C159*(1+'8.1 Pob Urbana y Rural'!G$50)</f>
        <v>136.44782463884266</v>
      </c>
      <c r="D160" s="891">
        <f t="shared" si="22"/>
        <v>136.44782463884266</v>
      </c>
      <c r="F160" s="880"/>
      <c r="G160" s="885"/>
      <c r="H160" s="885"/>
      <c r="I160" s="884"/>
    </row>
    <row r="161" spans="1:16" ht="14.25" thickBot="1" x14ac:dyDescent="0.3">
      <c r="A161" s="880"/>
      <c r="B161" s="889">
        <f t="shared" si="21"/>
        <v>2027</v>
      </c>
      <c r="C161" s="1459">
        <f>C160*(1+'8.1 Pob Urbana y Rural'!G$50)</f>
        <v>136.5006991734362</v>
      </c>
      <c r="D161" s="891">
        <f t="shared" si="22"/>
        <v>136.5006991734362</v>
      </c>
      <c r="F161" s="880"/>
      <c r="G161" s="885"/>
      <c r="H161" s="885"/>
      <c r="I161" s="884"/>
    </row>
    <row r="162" spans="1:16" ht="14.25" thickBot="1" x14ac:dyDescent="0.3">
      <c r="A162" s="880"/>
      <c r="B162" s="889">
        <f t="shared" si="21"/>
        <v>2028</v>
      </c>
      <c r="C162" s="1459">
        <f>C161*(1+'8.1 Pob Urbana y Rural'!G$50)</f>
        <v>136.55359419730038</v>
      </c>
      <c r="D162" s="891">
        <f t="shared" si="22"/>
        <v>136.55359419730038</v>
      </c>
      <c r="F162" s="880"/>
      <c r="G162" s="885"/>
      <c r="H162" s="885"/>
      <c r="I162" s="884"/>
    </row>
    <row r="163" spans="1:16" ht="14.25" thickBot="1" x14ac:dyDescent="0.3">
      <c r="A163" s="880"/>
      <c r="B163" s="889">
        <f t="shared" si="21"/>
        <v>2029</v>
      </c>
      <c r="C163" s="1459">
        <f>C162*(1+'8.1 Pob Urbana y Rural'!G$50)</f>
        <v>136.60650971837495</v>
      </c>
      <c r="D163" s="891">
        <f t="shared" si="22"/>
        <v>136.60650971837495</v>
      </c>
      <c r="F163" s="880"/>
      <c r="G163" s="885"/>
      <c r="H163" s="885"/>
      <c r="I163" s="884"/>
    </row>
    <row r="164" spans="1:16" ht="14.25" thickBot="1" x14ac:dyDescent="0.3">
      <c r="A164" s="880"/>
      <c r="B164" s="889">
        <f t="shared" si="21"/>
        <v>2030</v>
      </c>
      <c r="C164" s="1459">
        <f>C163*(1+'8.1 Pob Urbana y Rural'!G$50)</f>
        <v>136.65944574460275</v>
      </c>
      <c r="D164" s="891">
        <f t="shared" si="22"/>
        <v>136.65944574460275</v>
      </c>
      <c r="F164" s="880"/>
      <c r="G164" s="885"/>
      <c r="H164" s="885"/>
      <c r="I164" s="884"/>
    </row>
    <row r="165" spans="1:16" ht="14.25" thickBot="1" x14ac:dyDescent="0.3">
      <c r="A165" s="880"/>
      <c r="B165" s="889">
        <f t="shared" si="21"/>
        <v>2031</v>
      </c>
      <c r="C165" s="1459">
        <f>C164*(1+'8.1 Pob Urbana y Rural'!G$50)</f>
        <v>136.71240228392966</v>
      </c>
      <c r="D165" s="891">
        <f t="shared" si="22"/>
        <v>136.71240228392966</v>
      </c>
      <c r="F165" s="880"/>
      <c r="G165" s="883"/>
      <c r="H165" s="514"/>
      <c r="I165" s="884"/>
    </row>
    <row r="166" spans="1:16" ht="14.25" thickBot="1" x14ac:dyDescent="0.3">
      <c r="A166" s="880"/>
      <c r="B166" s="889">
        <f t="shared" si="21"/>
        <v>2032</v>
      </c>
      <c r="C166" s="1459">
        <f>C165*(1+'8.1 Pob Urbana y Rural'!G$50)</f>
        <v>136.76537934430465</v>
      </c>
      <c r="D166" s="891">
        <f t="shared" si="22"/>
        <v>136.76537934430465</v>
      </c>
      <c r="F166" s="880"/>
    </row>
    <row r="167" spans="1:16" ht="14.25" thickBot="1" x14ac:dyDescent="0.3">
      <c r="A167" s="880"/>
      <c r="B167" s="889">
        <f t="shared" si="21"/>
        <v>2033</v>
      </c>
      <c r="C167" s="1459">
        <f>C166*(1+'8.1 Pob Urbana y Rural'!G$50)</f>
        <v>136.81837693367979</v>
      </c>
      <c r="D167" s="891">
        <f t="shared" si="22"/>
        <v>136.81837693367979</v>
      </c>
      <c r="F167" s="880"/>
    </row>
    <row r="168" spans="1:16" ht="14.25" thickBot="1" x14ac:dyDescent="0.3">
      <c r="A168" s="880"/>
      <c r="B168" s="889">
        <f t="shared" si="21"/>
        <v>2034</v>
      </c>
      <c r="C168" s="1459">
        <f>C167*(1+'8.1 Pob Urbana y Rural'!G$50)</f>
        <v>136.8713950600102</v>
      </c>
      <c r="D168" s="891">
        <f t="shared" si="22"/>
        <v>136.8713950600102</v>
      </c>
      <c r="F168" s="880"/>
    </row>
    <row r="171" spans="1:16" x14ac:dyDescent="0.25">
      <c r="B171" s="886"/>
    </row>
    <row r="173" spans="1:16" x14ac:dyDescent="0.25">
      <c r="C173" s="828"/>
      <c r="D173" s="828"/>
      <c r="E173" s="829"/>
      <c r="F173" s="830"/>
    </row>
    <row r="174" spans="1:16" x14ac:dyDescent="0.25">
      <c r="B174" s="831"/>
      <c r="C174" s="832"/>
      <c r="D174" s="832"/>
      <c r="E174" s="832"/>
      <c r="F174" s="832"/>
      <c r="I174" s="828"/>
      <c r="J174" s="828"/>
      <c r="K174" s="828"/>
      <c r="M174" s="833"/>
      <c r="N174" s="833"/>
      <c r="O174" s="833"/>
      <c r="P174" s="833"/>
    </row>
    <row r="175" spans="1:16" x14ac:dyDescent="0.25">
      <c r="B175" s="853"/>
      <c r="C175" s="814"/>
      <c r="D175" s="814"/>
      <c r="E175" s="814"/>
      <c r="F175" s="814"/>
      <c r="I175" s="834"/>
      <c r="J175" s="834"/>
      <c r="K175" s="834"/>
      <c r="M175" s="835"/>
      <c r="N175" s="836"/>
      <c r="O175" s="837"/>
      <c r="P175" s="838"/>
    </row>
    <row r="176" spans="1:16" x14ac:dyDescent="0.25">
      <c r="B176" s="853"/>
      <c r="C176" s="814"/>
      <c r="D176" s="814"/>
      <c r="E176" s="814"/>
      <c r="F176" s="814"/>
      <c r="I176" s="834"/>
      <c r="J176" s="834"/>
      <c r="K176" s="834"/>
      <c r="M176" s="835"/>
      <c r="N176" s="836"/>
      <c r="O176" s="837"/>
      <c r="P176" s="838"/>
    </row>
    <row r="177" spans="2:16" x14ac:dyDescent="0.25">
      <c r="B177" s="853"/>
      <c r="C177" s="814"/>
      <c r="D177" s="814"/>
      <c r="E177" s="814"/>
      <c r="F177" s="814"/>
      <c r="I177" s="834"/>
      <c r="J177" s="834"/>
      <c r="K177" s="834"/>
      <c r="M177" s="835"/>
      <c r="N177" s="839"/>
      <c r="O177" s="837"/>
      <c r="P177" s="838"/>
    </row>
    <row r="178" spans="2:16" x14ac:dyDescent="0.25">
      <c r="B178" s="853"/>
      <c r="C178" s="814"/>
      <c r="D178" s="814"/>
      <c r="E178" s="814"/>
      <c r="F178" s="814"/>
      <c r="I178" s="834"/>
      <c r="J178" s="834"/>
      <c r="K178" s="834"/>
      <c r="M178" s="835"/>
      <c r="N178" s="839"/>
      <c r="O178" s="837"/>
      <c r="P178" s="838"/>
    </row>
    <row r="179" spans="2:16" x14ac:dyDescent="0.25">
      <c r="B179" s="853"/>
      <c r="C179" s="814"/>
      <c r="D179" s="814"/>
      <c r="E179" s="814"/>
      <c r="F179" s="814"/>
      <c r="I179" s="834"/>
      <c r="J179" s="834"/>
      <c r="K179" s="834"/>
      <c r="M179" s="835"/>
      <c r="N179" s="839"/>
      <c r="O179" s="837"/>
      <c r="P179" s="838"/>
    </row>
    <row r="180" spans="2:16" x14ac:dyDescent="0.25">
      <c r="B180" s="853"/>
      <c r="C180" s="814"/>
      <c r="D180" s="814"/>
      <c r="E180" s="814"/>
      <c r="F180" s="814"/>
      <c r="I180" s="840"/>
      <c r="J180" s="840"/>
      <c r="K180" s="840"/>
      <c r="M180" s="835"/>
      <c r="N180" s="839"/>
      <c r="O180" s="841"/>
      <c r="P180" s="838"/>
    </row>
    <row r="181" spans="2:16" x14ac:dyDescent="0.25">
      <c r="B181" s="853"/>
      <c r="C181" s="814"/>
      <c r="D181" s="814"/>
      <c r="E181" s="814"/>
      <c r="F181" s="814"/>
      <c r="I181" s="814"/>
      <c r="J181" s="814"/>
      <c r="K181" s="814"/>
    </row>
    <row r="182" spans="2:16" x14ac:dyDescent="0.25">
      <c r="B182" s="853"/>
      <c r="C182" s="814"/>
      <c r="D182" s="814"/>
      <c r="E182" s="814"/>
      <c r="F182" s="814"/>
    </row>
    <row r="183" spans="2:16" x14ac:dyDescent="0.25">
      <c r="B183" s="853"/>
      <c r="C183" s="814"/>
      <c r="D183" s="814"/>
      <c r="E183" s="814"/>
      <c r="F183" s="814"/>
    </row>
    <row r="184" spans="2:16" x14ac:dyDescent="0.25">
      <c r="B184" s="853"/>
      <c r="C184" s="814"/>
      <c r="D184" s="814"/>
      <c r="E184" s="814"/>
      <c r="F184" s="814"/>
    </row>
    <row r="185" spans="2:16" x14ac:dyDescent="0.25">
      <c r="B185" s="853"/>
      <c r="C185" s="814"/>
      <c r="D185" s="814"/>
      <c r="E185" s="814"/>
      <c r="F185" s="814"/>
    </row>
    <row r="186" spans="2:16" x14ac:dyDescent="0.25">
      <c r="B186" s="853"/>
      <c r="C186" s="814"/>
      <c r="D186" s="814"/>
      <c r="E186" s="814"/>
      <c r="F186" s="814"/>
    </row>
    <row r="187" spans="2:16" x14ac:dyDescent="0.25">
      <c r="B187" s="853"/>
      <c r="C187" s="814"/>
      <c r="D187" s="814"/>
      <c r="E187" s="814"/>
      <c r="F187" s="814"/>
    </row>
    <row r="188" spans="2:16" x14ac:dyDescent="0.25">
      <c r="B188" s="853"/>
      <c r="C188" s="814"/>
      <c r="D188" s="814"/>
      <c r="E188" s="814"/>
      <c r="F188" s="814"/>
    </row>
    <row r="189" spans="2:16" x14ac:dyDescent="0.25">
      <c r="B189" s="853"/>
      <c r="C189" s="814"/>
      <c r="D189" s="814"/>
      <c r="E189" s="814"/>
      <c r="F189" s="814"/>
    </row>
    <row r="190" spans="2:16" x14ac:dyDescent="0.25">
      <c r="B190" s="853"/>
      <c r="C190" s="814"/>
      <c r="D190" s="814"/>
      <c r="E190" s="814"/>
      <c r="F190" s="814"/>
    </row>
    <row r="191" spans="2:16" x14ac:dyDescent="0.25">
      <c r="B191" s="853"/>
      <c r="C191" s="814"/>
      <c r="D191" s="814"/>
      <c r="E191" s="814"/>
      <c r="F191" s="814"/>
    </row>
  </sheetData>
  <mergeCells count="62">
    <mergeCell ref="L45:L46"/>
    <mergeCell ref="N45:N46"/>
    <mergeCell ref="B141:D141"/>
    <mergeCell ref="I149:I150"/>
    <mergeCell ref="G158:G159"/>
    <mergeCell ref="H158:H159"/>
    <mergeCell ref="I158:I159"/>
    <mergeCell ref="B149:B151"/>
    <mergeCell ref="C149:C151"/>
    <mergeCell ref="D149:D151"/>
    <mergeCell ref="G149:G150"/>
    <mergeCell ref="H149:H150"/>
    <mergeCell ref="B52:C52"/>
    <mergeCell ref="B53:C53"/>
    <mergeCell ref="B54:F54"/>
    <mergeCell ref="H45:H46"/>
    <mergeCell ref="S88:S89"/>
    <mergeCell ref="B114:B117"/>
    <mergeCell ref="C114:G114"/>
    <mergeCell ref="H114:H117"/>
    <mergeCell ref="Q84:Q89"/>
    <mergeCell ref="R84:R89"/>
    <mergeCell ref="S84:S86"/>
    <mergeCell ref="I85:I89"/>
    <mergeCell ref="J85:J88"/>
    <mergeCell ref="K85:K88"/>
    <mergeCell ref="L85:L87"/>
    <mergeCell ref="M85:M88"/>
    <mergeCell ref="P59:R59"/>
    <mergeCell ref="B84:B89"/>
    <mergeCell ref="C84:C87"/>
    <mergeCell ref="D84:D87"/>
    <mergeCell ref="E84:F87"/>
    <mergeCell ref="G84:G87"/>
    <mergeCell ref="H84:H89"/>
    <mergeCell ref="I84:M84"/>
    <mergeCell ref="N84:N89"/>
    <mergeCell ref="O84:O89"/>
    <mergeCell ref="E88:E89"/>
    <mergeCell ref="B59:B60"/>
    <mergeCell ref="C59:C60"/>
    <mergeCell ref="D59:D60"/>
    <mergeCell ref="E59:E60"/>
    <mergeCell ref="B47:C47"/>
    <mergeCell ref="B48:C48"/>
    <mergeCell ref="B49:C49"/>
    <mergeCell ref="B50:C50"/>
    <mergeCell ref="B51:C51"/>
    <mergeCell ref="B45:C46"/>
    <mergeCell ref="D45:D46"/>
    <mergeCell ref="E45:E46"/>
    <mergeCell ref="C9:E9"/>
    <mergeCell ref="C4:E4"/>
    <mergeCell ref="C5:E5"/>
    <mergeCell ref="C6:E6"/>
    <mergeCell ref="C7:E7"/>
    <mergeCell ref="C8:E8"/>
    <mergeCell ref="C10:E10"/>
    <mergeCell ref="C11:E11"/>
    <mergeCell ref="C12:E12"/>
    <mergeCell ref="B19:B20"/>
    <mergeCell ref="C19:C20"/>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249977111117893"/>
  </sheetPr>
  <dimension ref="A1:AL310"/>
  <sheetViews>
    <sheetView showGridLines="0" topLeftCell="A284" zoomScale="85" zoomScaleNormal="85" workbookViewId="0">
      <selection activeCell="B310" sqref="B310"/>
    </sheetView>
  </sheetViews>
  <sheetFormatPr baseColWidth="10" defaultColWidth="11.42578125" defaultRowHeight="13.5" x14ac:dyDescent="0.25"/>
  <cols>
    <col min="1" max="1" width="3" style="515" customWidth="1"/>
    <col min="2" max="2" width="18.7109375" style="515" customWidth="1"/>
    <col min="3" max="3" width="19.85546875" style="515" customWidth="1"/>
    <col min="4" max="4" width="18" style="515" customWidth="1"/>
    <col min="5" max="5" width="17.7109375" style="515" customWidth="1"/>
    <col min="6" max="7" width="17" style="515" customWidth="1"/>
    <col min="8" max="8" width="12.28515625" style="515" customWidth="1"/>
    <col min="9" max="9" width="15.85546875" style="515" customWidth="1"/>
    <col min="10" max="10" width="15" style="515" customWidth="1"/>
    <col min="11" max="13" width="14.7109375" style="515" customWidth="1"/>
    <col min="14" max="14" width="15" style="515" customWidth="1"/>
    <col min="15" max="15" width="12.28515625" style="515" customWidth="1"/>
    <col min="16" max="16" width="15.7109375" style="515" customWidth="1"/>
    <col min="17" max="17" width="15.42578125" style="515" customWidth="1"/>
    <col min="18" max="19" width="14.5703125" style="515" customWidth="1"/>
    <col min="20" max="20" width="17.140625" style="515" customWidth="1"/>
    <col min="21" max="22" width="12.85546875" style="515" customWidth="1"/>
    <col min="23" max="23" width="15.140625" style="515" customWidth="1"/>
    <col min="24" max="24" width="14.7109375" style="515" customWidth="1"/>
    <col min="25" max="28" width="12.85546875" style="515" customWidth="1"/>
    <col min="29" max="29" width="13" style="515" customWidth="1"/>
    <col min="30" max="30" width="19.140625" style="515" customWidth="1"/>
    <col min="31" max="31" width="12.85546875" style="515" customWidth="1"/>
    <col min="32" max="32" width="15.7109375" style="515" customWidth="1"/>
    <col min="33" max="33" width="13.28515625" style="515" customWidth="1"/>
    <col min="34" max="34" width="12.7109375" style="515" customWidth="1"/>
    <col min="35" max="35" width="14.28515625" style="515" customWidth="1"/>
    <col min="36" max="37" width="12.7109375" style="515" customWidth="1"/>
    <col min="38" max="16384" width="11.42578125" style="515"/>
  </cols>
  <sheetData>
    <row r="1" spans="2:29" ht="21" customHeight="1" x14ac:dyDescent="0.25">
      <c r="P1" s="4388"/>
      <c r="Q1" s="4388"/>
      <c r="R1" s="4388"/>
    </row>
    <row r="2" spans="2:29" x14ac:dyDescent="0.25">
      <c r="P2" s="4388"/>
      <c r="Q2" s="4388"/>
      <c r="R2" s="4388"/>
    </row>
    <row r="3" spans="2:29" x14ac:dyDescent="0.25">
      <c r="B3" s="4404" t="s">
        <v>1656</v>
      </c>
      <c r="C3" s="4404"/>
      <c r="D3" s="4404"/>
      <c r="E3" s="4404"/>
      <c r="F3" s="4404"/>
      <c r="G3" s="4404"/>
      <c r="H3" s="4404"/>
      <c r="I3" s="4404"/>
      <c r="J3" s="4404"/>
      <c r="K3" s="4404"/>
      <c r="L3" s="4404"/>
      <c r="M3" s="4404"/>
      <c r="N3" s="979"/>
      <c r="O3" s="848"/>
      <c r="P3" s="4388"/>
      <c r="Q3" s="4388"/>
      <c r="R3" s="4388"/>
      <c r="S3" s="848"/>
      <c r="T3" s="848"/>
      <c r="U3" s="848"/>
      <c r="V3" s="848"/>
      <c r="W3" s="848"/>
      <c r="X3" s="848"/>
      <c r="Y3" s="848"/>
      <c r="Z3" s="848"/>
      <c r="AA3" s="848"/>
      <c r="AB3" s="848"/>
      <c r="AC3" s="848"/>
    </row>
    <row r="4" spans="2:29" ht="14.25" thickBot="1" x14ac:dyDescent="0.3">
      <c r="B4" s="980"/>
      <c r="C4" s="980"/>
      <c r="D4" s="980"/>
      <c r="E4" s="980"/>
      <c r="F4" s="980"/>
      <c r="G4" s="980"/>
      <c r="H4" s="980"/>
      <c r="I4" s="980"/>
      <c r="J4" s="980"/>
      <c r="K4" s="980"/>
      <c r="L4" s="980"/>
      <c r="M4" s="980"/>
      <c r="N4" s="979"/>
      <c r="O4" s="848"/>
      <c r="P4" s="4388"/>
      <c r="Q4" s="4388"/>
      <c r="R4" s="4388"/>
      <c r="S4" s="848"/>
      <c r="T4" s="848"/>
      <c r="U4" s="848"/>
      <c r="V4" s="848"/>
      <c r="W4" s="848"/>
      <c r="X4" s="848"/>
      <c r="Y4" s="848"/>
      <c r="Z4" s="848"/>
      <c r="AA4" s="848"/>
      <c r="AB4" s="848"/>
      <c r="AC4" s="848"/>
    </row>
    <row r="5" spans="2:29" ht="27.75" thickBot="1" x14ac:dyDescent="0.3">
      <c r="B5" s="980"/>
      <c r="C5" s="1034" t="s">
        <v>1558</v>
      </c>
      <c r="D5" s="4405" t="s">
        <v>1559</v>
      </c>
      <c r="E5" s="4405"/>
      <c r="F5" s="4406"/>
      <c r="G5" s="849"/>
      <c r="H5" s="1035" t="s">
        <v>1560</v>
      </c>
      <c r="I5" s="1036" t="s">
        <v>1561</v>
      </c>
      <c r="J5" s="848"/>
      <c r="K5" s="848"/>
      <c r="L5" s="846"/>
      <c r="M5" s="955"/>
      <c r="N5" s="836"/>
      <c r="O5" s="848"/>
      <c r="P5" s="4388"/>
      <c r="Q5" s="4388"/>
      <c r="R5" s="4388"/>
      <c r="S5" s="848"/>
      <c r="T5" s="848"/>
      <c r="U5" s="848"/>
      <c r="V5" s="848"/>
      <c r="W5" s="848"/>
      <c r="X5" s="848"/>
      <c r="Y5" s="848"/>
      <c r="Z5" s="848"/>
      <c r="AA5" s="848"/>
      <c r="AB5" s="848"/>
      <c r="AC5" s="848"/>
    </row>
    <row r="6" spans="2:29" ht="14.25" thickBot="1" x14ac:dyDescent="0.3">
      <c r="B6" s="980"/>
      <c r="C6" s="887" t="s">
        <v>1378</v>
      </c>
      <c r="D6" s="4403" t="s">
        <v>1805</v>
      </c>
      <c r="E6" s="4403"/>
      <c r="F6" s="4403"/>
      <c r="G6" s="849"/>
      <c r="H6" s="1022" t="s">
        <v>1563</v>
      </c>
      <c r="I6" s="1023">
        <v>3.5</v>
      </c>
      <c r="J6" s="848"/>
      <c r="K6" s="848"/>
      <c r="L6" s="846"/>
      <c r="M6" s="4407"/>
      <c r="N6" s="4407"/>
      <c r="O6" s="4407"/>
      <c r="P6" s="4388"/>
      <c r="Q6" s="4388"/>
      <c r="R6" s="4388"/>
      <c r="S6" s="848"/>
      <c r="T6" s="848"/>
      <c r="U6" s="848"/>
      <c r="V6" s="848"/>
      <c r="W6" s="848"/>
      <c r="X6" s="848"/>
      <c r="Y6" s="848"/>
      <c r="Z6" s="848"/>
      <c r="AA6" s="848"/>
      <c r="AB6" s="848"/>
      <c r="AC6" s="848"/>
    </row>
    <row r="7" spans="2:29" ht="14.25" thickBot="1" x14ac:dyDescent="0.3">
      <c r="B7" s="980"/>
      <c r="C7" s="887" t="s">
        <v>1378</v>
      </c>
      <c r="D7" s="4403" t="s">
        <v>1657</v>
      </c>
      <c r="E7" s="4403"/>
      <c r="F7" s="4403"/>
      <c r="G7" s="849"/>
      <c r="H7" s="1022" t="s">
        <v>1565</v>
      </c>
      <c r="I7" s="1023">
        <v>3.5</v>
      </c>
      <c r="J7" s="848"/>
      <c r="K7" s="848"/>
      <c r="L7" s="846"/>
      <c r="M7" s="981"/>
      <c r="N7" s="981"/>
      <c r="O7" s="981"/>
      <c r="P7" s="4388"/>
      <c r="Q7" s="4388"/>
      <c r="R7" s="4388"/>
      <c r="S7" s="848"/>
      <c r="T7" s="848"/>
      <c r="U7" s="848"/>
      <c r="V7" s="848"/>
      <c r="W7" s="848"/>
      <c r="X7" s="848"/>
      <c r="Y7" s="848"/>
      <c r="Z7" s="848"/>
      <c r="AA7" s="848"/>
      <c r="AB7" s="848"/>
      <c r="AC7" s="848"/>
    </row>
    <row r="8" spans="2:29" ht="14.25" thickBot="1" x14ac:dyDescent="0.3">
      <c r="B8" s="980"/>
      <c r="C8" s="887" t="s">
        <v>1378</v>
      </c>
      <c r="D8" s="4403" t="s">
        <v>1658</v>
      </c>
      <c r="E8" s="4403"/>
      <c r="F8" s="4403"/>
      <c r="G8" s="849"/>
      <c r="H8" s="1022" t="s">
        <v>1567</v>
      </c>
      <c r="I8" s="1023" t="s">
        <v>1568</v>
      </c>
      <c r="J8" s="848"/>
      <c r="K8" s="848"/>
      <c r="L8" s="846"/>
      <c r="M8" s="981"/>
      <c r="N8" s="981"/>
      <c r="O8" s="981"/>
      <c r="P8" s="4388"/>
      <c r="Q8" s="4388"/>
      <c r="R8" s="4388"/>
      <c r="S8" s="848"/>
      <c r="T8" s="848"/>
      <c r="U8" s="848"/>
      <c r="V8" s="848"/>
      <c r="W8" s="848"/>
      <c r="X8" s="848"/>
      <c r="Y8" s="848"/>
      <c r="Z8" s="848"/>
      <c r="AA8" s="848"/>
      <c r="AB8" s="848"/>
      <c r="AC8" s="848"/>
    </row>
    <row r="9" spans="2:29" ht="14.25" thickBot="1" x14ac:dyDescent="0.3">
      <c r="B9" s="980"/>
      <c r="C9" s="887" t="s">
        <v>1378</v>
      </c>
      <c r="D9" s="4403" t="s">
        <v>1659</v>
      </c>
      <c r="E9" s="4403"/>
      <c r="F9" s="4403"/>
      <c r="G9" s="849"/>
      <c r="H9" s="850" t="s">
        <v>1570</v>
      </c>
      <c r="I9" s="850"/>
      <c r="J9" s="848"/>
      <c r="K9" s="848"/>
      <c r="L9" s="846"/>
      <c r="M9" s="981"/>
      <c r="N9" s="981"/>
      <c r="O9" s="981"/>
      <c r="P9" s="4388"/>
      <c r="Q9" s="4388"/>
      <c r="R9" s="4388"/>
      <c r="S9" s="848"/>
      <c r="T9" s="848"/>
      <c r="U9" s="848"/>
      <c r="V9" s="848"/>
      <c r="W9" s="848"/>
      <c r="X9" s="848"/>
      <c r="Y9" s="848"/>
      <c r="Z9" s="848"/>
      <c r="AA9" s="848"/>
      <c r="AB9" s="848"/>
      <c r="AC9" s="848"/>
    </row>
    <row r="10" spans="2:29" ht="14.25" thickBot="1" x14ac:dyDescent="0.3">
      <c r="B10" s="980"/>
      <c r="C10" s="887" t="s">
        <v>1378</v>
      </c>
      <c r="D10" s="4403" t="s">
        <v>1660</v>
      </c>
      <c r="E10" s="4403"/>
      <c r="F10" s="4403"/>
      <c r="G10" s="849"/>
      <c r="H10" s="980"/>
      <c r="I10" s="980"/>
      <c r="J10" s="980"/>
      <c r="K10" s="956"/>
      <c r="L10" s="957"/>
      <c r="M10" s="981"/>
      <c r="N10" s="981"/>
      <c r="O10" s="981"/>
      <c r="P10" s="4388"/>
      <c r="Q10" s="4388"/>
      <c r="R10" s="4388"/>
      <c r="S10" s="848"/>
      <c r="T10" s="848"/>
      <c r="U10" s="848"/>
      <c r="V10" s="848"/>
      <c r="W10" s="848"/>
      <c r="X10" s="848"/>
      <c r="Y10" s="848"/>
      <c r="Z10" s="848"/>
      <c r="AA10" s="848"/>
      <c r="AB10" s="848"/>
      <c r="AC10" s="848"/>
    </row>
    <row r="11" spans="2:29" ht="14.25" thickBot="1" x14ac:dyDescent="0.3">
      <c r="B11" s="980"/>
      <c r="C11" s="887" t="s">
        <v>1378</v>
      </c>
      <c r="D11" s="4403" t="s">
        <v>1661</v>
      </c>
      <c r="E11" s="4403"/>
      <c r="F11" s="4403"/>
      <c r="G11" s="849"/>
      <c r="H11" s="980"/>
      <c r="I11" s="980"/>
      <c r="J11" s="980"/>
      <c r="K11" s="956"/>
      <c r="L11" s="957"/>
      <c r="M11" s="981"/>
      <c r="N11" s="981"/>
      <c r="O11" s="981"/>
      <c r="P11" s="4388"/>
      <c r="Q11" s="4388"/>
      <c r="R11" s="4388"/>
      <c r="S11" s="848"/>
      <c r="T11" s="848"/>
      <c r="U11" s="848"/>
      <c r="V11" s="848"/>
      <c r="W11" s="848"/>
      <c r="X11" s="848"/>
      <c r="Y11" s="848"/>
      <c r="Z11" s="848"/>
      <c r="AA11" s="848"/>
      <c r="AB11" s="848"/>
      <c r="AC11" s="848"/>
    </row>
    <row r="12" spans="2:29" ht="14.25" thickBot="1" x14ac:dyDescent="0.3">
      <c r="B12" s="980"/>
      <c r="C12" s="887" t="s">
        <v>1378</v>
      </c>
      <c r="D12" s="4403" t="s">
        <v>1662</v>
      </c>
      <c r="E12" s="4403"/>
      <c r="F12" s="4403"/>
      <c r="G12" s="849"/>
      <c r="H12" s="980"/>
      <c r="I12" s="982"/>
      <c r="J12" s="980"/>
      <c r="K12" s="956"/>
      <c r="L12" s="957"/>
      <c r="M12" s="4407"/>
      <c r="N12" s="4407"/>
      <c r="O12" s="4407"/>
      <c r="P12" s="4388"/>
      <c r="Q12" s="4388"/>
      <c r="R12" s="4388"/>
      <c r="S12" s="848"/>
      <c r="T12" s="848"/>
      <c r="U12" s="848"/>
      <c r="V12" s="848"/>
      <c r="W12" s="848"/>
      <c r="X12" s="848"/>
      <c r="Y12" s="848"/>
      <c r="Z12" s="848"/>
      <c r="AA12" s="848"/>
      <c r="AB12" s="848"/>
      <c r="AC12" s="848"/>
    </row>
    <row r="13" spans="2:29" ht="14.25" thickBot="1" x14ac:dyDescent="0.3">
      <c r="B13" s="980"/>
      <c r="C13" s="887" t="s">
        <v>1378</v>
      </c>
      <c r="D13" s="4403" t="s">
        <v>1663</v>
      </c>
      <c r="E13" s="4403"/>
      <c r="F13" s="4403"/>
      <c r="G13" s="849"/>
      <c r="H13" s="980"/>
      <c r="I13" s="980"/>
      <c r="J13" s="980"/>
      <c r="K13" s="956"/>
      <c r="L13" s="957"/>
      <c r="M13" s="4407"/>
      <c r="N13" s="4407"/>
      <c r="O13" s="4407"/>
      <c r="P13" s="4388"/>
      <c r="Q13" s="4388"/>
      <c r="R13" s="4388"/>
      <c r="S13" s="848"/>
      <c r="T13" s="848"/>
      <c r="U13" s="848"/>
      <c r="V13" s="848"/>
      <c r="W13" s="848"/>
      <c r="X13" s="848"/>
      <c r="Y13" s="848"/>
      <c r="Z13" s="848"/>
      <c r="AA13" s="848"/>
      <c r="AB13" s="848"/>
      <c r="AC13" s="848"/>
    </row>
    <row r="14" spans="2:29" ht="14.25" thickBot="1" x14ac:dyDescent="0.3">
      <c r="B14" s="980"/>
      <c r="C14" s="887" t="s">
        <v>1378</v>
      </c>
      <c r="D14" s="4403" t="s">
        <v>1664</v>
      </c>
      <c r="E14" s="4403"/>
      <c r="F14" s="4403"/>
      <c r="G14" s="849"/>
      <c r="H14" s="980"/>
      <c r="I14" s="980"/>
      <c r="J14" s="980"/>
      <c r="K14" s="956"/>
      <c r="L14" s="980"/>
      <c r="M14" s="981"/>
      <c r="N14" s="981"/>
      <c r="O14" s="981"/>
      <c r="P14" s="4388"/>
      <c r="Q14" s="4388"/>
      <c r="R14" s="4388"/>
      <c r="S14" s="848"/>
      <c r="T14" s="848"/>
      <c r="U14" s="848"/>
      <c r="V14" s="848"/>
      <c r="W14" s="848"/>
      <c r="X14" s="848"/>
      <c r="Y14" s="848"/>
      <c r="Z14" s="848"/>
      <c r="AA14" s="848"/>
      <c r="AB14" s="848"/>
      <c r="AC14" s="848"/>
    </row>
    <row r="15" spans="2:29" ht="14.25" thickBot="1" x14ac:dyDescent="0.3">
      <c r="B15" s="980"/>
      <c r="C15" s="887" t="s">
        <v>1378</v>
      </c>
      <c r="D15" s="4403" t="s">
        <v>1665</v>
      </c>
      <c r="E15" s="4403"/>
      <c r="F15" s="4403"/>
      <c r="G15" s="849"/>
      <c r="H15" s="980"/>
      <c r="I15" s="980"/>
      <c r="J15" s="980"/>
      <c r="K15" s="956"/>
      <c r="L15" s="980"/>
      <c r="M15" s="981"/>
      <c r="N15" s="981"/>
      <c r="O15" s="981"/>
      <c r="P15" s="4388"/>
      <c r="Q15" s="4388"/>
      <c r="R15" s="4388"/>
      <c r="S15" s="848"/>
      <c r="T15" s="848"/>
      <c r="U15" s="848"/>
      <c r="V15" s="848"/>
      <c r="W15" s="848"/>
      <c r="X15" s="848"/>
      <c r="Y15" s="848"/>
      <c r="Z15" s="848"/>
      <c r="AA15" s="848"/>
      <c r="AB15" s="848"/>
      <c r="AC15" s="848"/>
    </row>
    <row r="16" spans="2:29" ht="12" customHeight="1" thickBot="1" x14ac:dyDescent="0.3">
      <c r="B16" s="980"/>
      <c r="C16" s="887" t="s">
        <v>1378</v>
      </c>
      <c r="D16" s="4403" t="s">
        <v>1787</v>
      </c>
      <c r="E16" s="4403"/>
      <c r="F16" s="4403"/>
      <c r="G16" s="849"/>
      <c r="H16" s="980"/>
      <c r="I16" s="980"/>
      <c r="J16" s="980"/>
      <c r="K16" s="956"/>
      <c r="L16" s="980"/>
      <c r="M16" s="981"/>
      <c r="N16" s="981"/>
      <c r="O16" s="981"/>
      <c r="P16" s="958"/>
      <c r="Q16" s="958"/>
      <c r="R16" s="958"/>
      <c r="S16" s="848"/>
      <c r="T16" s="848"/>
      <c r="U16" s="848"/>
      <c r="V16" s="848"/>
      <c r="W16" s="848"/>
      <c r="X16" s="848"/>
      <c r="Y16" s="848"/>
      <c r="Z16" s="848"/>
      <c r="AA16" s="848"/>
      <c r="AB16" s="848"/>
      <c r="AC16" s="848"/>
    </row>
    <row r="17" spans="1:37" ht="12" customHeight="1" thickBot="1" x14ac:dyDescent="0.3">
      <c r="B17" s="980"/>
      <c r="C17" s="887" t="s">
        <v>1378</v>
      </c>
      <c r="D17" s="4403" t="s">
        <v>1788</v>
      </c>
      <c r="E17" s="4403"/>
      <c r="F17" s="4403"/>
      <c r="G17" s="849"/>
      <c r="H17" s="980"/>
      <c r="I17" s="980"/>
      <c r="J17" s="980"/>
      <c r="K17" s="956"/>
      <c r="L17" s="980"/>
      <c r="M17" s="981"/>
      <c r="N17" s="981"/>
      <c r="O17" s="981"/>
      <c r="P17" s="4388"/>
      <c r="Q17" s="4388"/>
      <c r="R17" s="4388"/>
      <c r="S17" s="848"/>
      <c r="T17" s="848"/>
      <c r="U17" s="848"/>
      <c r="V17" s="848"/>
      <c r="W17" s="848"/>
      <c r="X17" s="848"/>
      <c r="Y17" s="848"/>
      <c r="Z17" s="848"/>
      <c r="AA17" s="848"/>
      <c r="AB17" s="848"/>
      <c r="AC17" s="848"/>
    </row>
    <row r="18" spans="1:37" ht="12.75" customHeight="1" thickBot="1" x14ac:dyDescent="0.3">
      <c r="B18" s="980"/>
      <c r="C18" s="1021" t="s">
        <v>1378</v>
      </c>
      <c r="D18" s="4403" t="s">
        <v>1666</v>
      </c>
      <c r="E18" s="4403"/>
      <c r="F18" s="4403"/>
      <c r="G18" s="849"/>
      <c r="H18" s="980"/>
      <c r="I18" s="980"/>
      <c r="J18" s="980"/>
      <c r="K18" s="956"/>
      <c r="L18" s="980"/>
      <c r="M18" s="981"/>
      <c r="N18" s="981"/>
      <c r="O18" s="981"/>
      <c r="P18" s="4388"/>
      <c r="Q18" s="4388"/>
      <c r="R18" s="4388"/>
      <c r="S18" s="848"/>
      <c r="T18" s="848"/>
      <c r="U18" s="848"/>
      <c r="V18" s="848"/>
      <c r="W18" s="848"/>
      <c r="X18" s="848"/>
      <c r="Y18" s="848"/>
      <c r="Z18" s="848"/>
      <c r="AA18" s="848"/>
      <c r="AB18" s="848"/>
      <c r="AC18" s="848"/>
    </row>
    <row r="19" spans="1:37" ht="12.75" customHeight="1" thickBot="1" x14ac:dyDescent="0.3">
      <c r="B19" s="980"/>
      <c r="C19" s="1021" t="s">
        <v>1378</v>
      </c>
      <c r="D19" s="4403" t="s">
        <v>1667</v>
      </c>
      <c r="E19" s="4403"/>
      <c r="F19" s="4403"/>
      <c r="G19" s="849"/>
      <c r="H19" s="980"/>
      <c r="I19" s="980"/>
      <c r="J19" s="980"/>
      <c r="K19" s="956"/>
      <c r="L19" s="980"/>
      <c r="M19" s="981"/>
      <c r="N19" s="981"/>
      <c r="O19" s="981"/>
      <c r="P19" s="4388"/>
      <c r="Q19" s="4388"/>
      <c r="R19" s="4388"/>
      <c r="S19" s="848"/>
      <c r="T19" s="848"/>
      <c r="U19" s="848"/>
      <c r="V19" s="848"/>
      <c r="W19" s="848"/>
      <c r="X19" s="848"/>
      <c r="Y19" s="848"/>
      <c r="Z19" s="848"/>
      <c r="AA19" s="848"/>
      <c r="AB19" s="848"/>
      <c r="AC19" s="848"/>
    </row>
    <row r="20" spans="1:37" ht="14.25" thickBot="1" x14ac:dyDescent="0.3">
      <c r="B20" s="980"/>
      <c r="C20" s="1021" t="s">
        <v>1378</v>
      </c>
      <c r="D20" s="4403" t="s">
        <v>1668</v>
      </c>
      <c r="E20" s="4403"/>
      <c r="F20" s="4403"/>
      <c r="G20" s="980"/>
      <c r="H20" s="980"/>
      <c r="I20" s="980"/>
      <c r="J20" s="980"/>
      <c r="K20" s="956"/>
      <c r="L20" s="980"/>
      <c r="M20" s="981"/>
      <c r="N20" s="981"/>
      <c r="O20" s="981"/>
      <c r="P20" s="4388"/>
      <c r="Q20" s="4388"/>
      <c r="R20" s="4388"/>
      <c r="S20" s="848"/>
      <c r="T20" s="848"/>
      <c r="U20" s="848"/>
      <c r="V20" s="848"/>
      <c r="W20" s="848"/>
      <c r="X20" s="848"/>
      <c r="Y20" s="848"/>
      <c r="Z20" s="848"/>
      <c r="AA20" s="848"/>
      <c r="AB20" s="848"/>
      <c r="AC20" s="848"/>
    </row>
    <row r="21" spans="1:37" ht="14.25" thickBot="1" x14ac:dyDescent="0.3">
      <c r="B21" s="980"/>
      <c r="C21" s="1021" t="s">
        <v>1378</v>
      </c>
      <c r="D21" s="4403" t="s">
        <v>1792</v>
      </c>
      <c r="E21" s="4403"/>
      <c r="F21" s="4403"/>
      <c r="G21" s="980"/>
      <c r="H21" s="980"/>
      <c r="I21" s="980"/>
      <c r="J21" s="980"/>
      <c r="K21" s="956"/>
      <c r="L21" s="980"/>
      <c r="M21" s="981"/>
      <c r="N21" s="981"/>
      <c r="O21" s="981"/>
      <c r="P21" s="4388"/>
      <c r="Q21" s="4388"/>
      <c r="R21" s="4388"/>
      <c r="S21" s="848"/>
      <c r="T21" s="848"/>
      <c r="U21" s="848"/>
      <c r="V21" s="848"/>
      <c r="W21" s="848"/>
      <c r="X21" s="848"/>
      <c r="Y21" s="848"/>
      <c r="Z21" s="848"/>
      <c r="AA21" s="848"/>
      <c r="AB21" s="848"/>
      <c r="AC21" s="848"/>
    </row>
    <row r="22" spans="1:37" ht="14.25" thickBot="1" x14ac:dyDescent="0.3">
      <c r="B22" s="980"/>
      <c r="C22" s="1021" t="s">
        <v>1378</v>
      </c>
      <c r="D22" s="4403" t="s">
        <v>1670</v>
      </c>
      <c r="E22" s="4403"/>
      <c r="F22" s="4403"/>
      <c r="G22" s="980"/>
      <c r="H22" s="980"/>
      <c r="I22" s="980"/>
      <c r="J22" s="980"/>
      <c r="K22" s="956"/>
      <c r="L22" s="980"/>
      <c r="M22" s="981"/>
      <c r="N22" s="981"/>
      <c r="O22" s="981"/>
      <c r="P22" s="4388"/>
      <c r="Q22" s="4388"/>
      <c r="R22" s="4388"/>
      <c r="S22" s="848"/>
      <c r="T22" s="848"/>
      <c r="U22" s="848"/>
      <c r="V22" s="848"/>
      <c r="W22" s="848"/>
      <c r="X22" s="848"/>
      <c r="Y22" s="848"/>
      <c r="Z22" s="848"/>
      <c r="AA22" s="848"/>
      <c r="AB22" s="848"/>
      <c r="AC22" s="848"/>
    </row>
    <row r="23" spans="1:37" ht="14.25" thickBot="1" x14ac:dyDescent="0.3">
      <c r="B23" s="980"/>
      <c r="C23" s="1021" t="s">
        <v>1378</v>
      </c>
      <c r="D23" s="4403" t="s">
        <v>1804</v>
      </c>
      <c r="E23" s="4403"/>
      <c r="F23" s="4403"/>
      <c r="G23" s="980"/>
      <c r="H23" s="980"/>
      <c r="I23" s="980"/>
      <c r="J23" s="980"/>
      <c r="K23" s="956"/>
      <c r="L23" s="980"/>
      <c r="M23" s="981"/>
      <c r="N23" s="981"/>
      <c r="O23" s="981"/>
      <c r="P23" s="958"/>
      <c r="Q23" s="958"/>
      <c r="R23" s="958"/>
      <c r="S23" s="848"/>
      <c r="T23" s="848"/>
      <c r="U23" s="848"/>
      <c r="V23" s="848"/>
      <c r="W23" s="848"/>
      <c r="X23" s="848"/>
      <c r="Y23" s="848"/>
      <c r="Z23" s="848"/>
      <c r="AA23" s="848"/>
      <c r="AB23" s="848"/>
      <c r="AC23" s="848"/>
    </row>
    <row r="24" spans="1:37" x14ac:dyDescent="0.25">
      <c r="B24" s="980"/>
      <c r="C24" s="851"/>
      <c r="D24" s="852"/>
      <c r="E24" s="852"/>
      <c r="F24" s="852"/>
      <c r="G24" s="980"/>
      <c r="H24" s="980"/>
      <c r="I24" s="980"/>
      <c r="J24" s="980"/>
      <c r="K24" s="956"/>
      <c r="L24" s="980"/>
      <c r="M24" s="981"/>
      <c r="N24" s="981"/>
      <c r="O24" s="981"/>
      <c r="P24" s="4388"/>
      <c r="Q24" s="4388"/>
      <c r="R24" s="4388"/>
      <c r="S24" s="848"/>
      <c r="T24" s="848"/>
      <c r="U24" s="848"/>
      <c r="V24" s="848"/>
      <c r="W24" s="848"/>
      <c r="X24" s="848"/>
      <c r="Y24" s="848"/>
      <c r="Z24" s="848"/>
      <c r="AA24" s="848"/>
      <c r="AB24" s="848"/>
      <c r="AC24" s="848"/>
    </row>
    <row r="25" spans="1:37" x14ac:dyDescent="0.25">
      <c r="B25" s="980"/>
      <c r="C25" s="851"/>
      <c r="D25" s="852"/>
      <c r="E25" s="852"/>
      <c r="F25" s="852"/>
      <c r="G25" s="980"/>
      <c r="H25" s="980"/>
      <c r="I25" s="983"/>
      <c r="J25" s="980"/>
      <c r="K25" s="956"/>
      <c r="L25" s="980"/>
      <c r="M25" s="981"/>
      <c r="N25" s="981"/>
      <c r="O25" s="984"/>
      <c r="P25" s="848"/>
      <c r="Q25" s="848"/>
      <c r="R25" s="848"/>
      <c r="S25" s="848"/>
      <c r="T25" s="848"/>
      <c r="U25" s="848"/>
      <c r="V25" s="874"/>
      <c r="W25" s="848"/>
      <c r="X25" s="848"/>
      <c r="Y25" s="848"/>
      <c r="Z25" s="848"/>
      <c r="AA25" s="848"/>
      <c r="AB25" s="848"/>
      <c r="AC25" s="848"/>
      <c r="AF25" s="847"/>
    </row>
    <row r="26" spans="1:37" x14ac:dyDescent="0.25">
      <c r="A26" s="850"/>
      <c r="B26" s="842"/>
      <c r="C26" s="842" t="s">
        <v>1575</v>
      </c>
      <c r="D26" s="850"/>
      <c r="E26" s="850"/>
      <c r="F26" s="850"/>
      <c r="G26" s="848"/>
      <c r="H26" s="848"/>
      <c r="I26" s="842" t="s">
        <v>1671</v>
      </c>
      <c r="J26" s="848"/>
      <c r="K26" s="848"/>
      <c r="L26" s="848"/>
      <c r="O26" s="842" t="s">
        <v>1672</v>
      </c>
      <c r="P26" s="848"/>
      <c r="Q26" s="848"/>
      <c r="R26" s="848"/>
      <c r="S26" s="848"/>
      <c r="V26" s="842" t="s">
        <v>1673</v>
      </c>
      <c r="W26" s="848"/>
      <c r="X26" s="848"/>
      <c r="Y26" s="848"/>
      <c r="Z26" s="848"/>
      <c r="AA26" s="848"/>
      <c r="AB26" s="848"/>
      <c r="AF26" s="842" t="s">
        <v>1674</v>
      </c>
      <c r="AG26" s="848"/>
      <c r="AH26" s="848"/>
      <c r="AI26" s="848"/>
    </row>
    <row r="27" spans="1:37" ht="14.25" thickBot="1" x14ac:dyDescent="0.3">
      <c r="A27" s="850"/>
      <c r="B27" s="842"/>
      <c r="C27" s="850"/>
      <c r="D27" s="850"/>
      <c r="E27" s="848"/>
      <c r="F27" s="848"/>
      <c r="G27" s="848"/>
      <c r="H27" s="848"/>
      <c r="I27" s="959"/>
      <c r="J27" s="959"/>
      <c r="K27" s="825"/>
      <c r="L27" s="825"/>
      <c r="O27" s="959"/>
      <c r="P27" s="959"/>
      <c r="Q27" s="825"/>
      <c r="R27" s="825"/>
      <c r="S27" s="848"/>
      <c r="V27" s="959"/>
      <c r="W27" s="959"/>
      <c r="X27" s="825"/>
      <c r="Y27" s="825"/>
      <c r="Z27" s="825"/>
      <c r="AA27" s="825"/>
      <c r="AB27" s="825"/>
      <c r="AF27" s="959"/>
      <c r="AG27" s="959"/>
      <c r="AH27" s="825"/>
      <c r="AI27" s="825"/>
    </row>
    <row r="28" spans="1:37" ht="14.25" thickBot="1" x14ac:dyDescent="0.3">
      <c r="A28" s="850"/>
      <c r="B28" s="842"/>
      <c r="C28" s="850"/>
      <c r="D28" s="850"/>
      <c r="F28" s="888" t="s">
        <v>1576</v>
      </c>
      <c r="G28" s="960"/>
      <c r="H28" s="960"/>
      <c r="I28" s="850"/>
      <c r="J28" s="850"/>
      <c r="M28" s="888" t="s">
        <v>1675</v>
      </c>
      <c r="O28" s="850"/>
      <c r="P28" s="850"/>
      <c r="R28" s="888" t="s">
        <v>2072</v>
      </c>
      <c r="V28" s="850"/>
      <c r="W28" s="850"/>
      <c r="AF28" s="850"/>
      <c r="AG28" s="850"/>
      <c r="AI28" s="888" t="s">
        <v>1675</v>
      </c>
    </row>
    <row r="29" spans="1:37" ht="81" customHeight="1" thickBot="1" x14ac:dyDescent="0.3">
      <c r="A29" s="985"/>
      <c r="B29" s="842"/>
      <c r="C29" s="4390" t="s">
        <v>1485</v>
      </c>
      <c r="D29" s="4392" t="s">
        <v>1577</v>
      </c>
      <c r="E29" s="1037" t="s">
        <v>1578</v>
      </c>
      <c r="F29" s="1038" t="s">
        <v>1579</v>
      </c>
      <c r="I29" s="4390" t="s">
        <v>1485</v>
      </c>
      <c r="J29" s="4392" t="s">
        <v>1578</v>
      </c>
      <c r="K29" s="1037" t="s">
        <v>1807</v>
      </c>
      <c r="L29" s="4392" t="s">
        <v>1808</v>
      </c>
      <c r="M29" s="1038" t="s">
        <v>1676</v>
      </c>
      <c r="O29" s="4390" t="s">
        <v>1485</v>
      </c>
      <c r="P29" s="4392" t="s">
        <v>1578</v>
      </c>
      <c r="Q29" s="1455" t="s">
        <v>1900</v>
      </c>
      <c r="R29" s="1038" t="s">
        <v>1677</v>
      </c>
      <c r="V29" s="4390" t="s">
        <v>1485</v>
      </c>
      <c r="W29" s="4392" t="s">
        <v>1578</v>
      </c>
      <c r="X29" s="1038" t="s">
        <v>1678</v>
      </c>
      <c r="AC29" s="4394" t="s">
        <v>1679</v>
      </c>
      <c r="AD29" s="4396" t="s">
        <v>1680</v>
      </c>
      <c r="AF29" s="4390" t="s">
        <v>1485</v>
      </c>
      <c r="AG29" s="1037" t="s">
        <v>1680</v>
      </c>
      <c r="AH29" s="1037" t="s">
        <v>1681</v>
      </c>
      <c r="AI29" s="1038" t="s">
        <v>1682</v>
      </c>
    </row>
    <row r="30" spans="1:37" ht="17.25" customHeight="1" thickBot="1" x14ac:dyDescent="0.3">
      <c r="A30" s="985"/>
      <c r="B30" s="842"/>
      <c r="C30" s="4391"/>
      <c r="D30" s="4393"/>
      <c r="E30" s="1039">
        <f>'9 Dda Efect SS Salud P1'!D20</f>
        <v>0.52076391902479502</v>
      </c>
      <c r="F30" s="1040">
        <v>3.5</v>
      </c>
      <c r="I30" s="4391"/>
      <c r="J30" s="4393"/>
      <c r="K30" s="1039" t="e">
        <f>'5.1 Prod 2 MORBI ESTRAG'!BB140</f>
        <v>#DIV/0!</v>
      </c>
      <c r="L30" s="4393"/>
      <c r="M30" s="1040">
        <f>I6</f>
        <v>3.5</v>
      </c>
      <c r="O30" s="4391"/>
      <c r="P30" s="4393"/>
      <c r="Q30" s="1495">
        <f>'5.1 Prod 2 MORBI ESTRAG'!BB158</f>
        <v>0</v>
      </c>
      <c r="R30" s="1040">
        <f>I6</f>
        <v>3.5</v>
      </c>
      <c r="V30" s="4391"/>
      <c r="W30" s="4393"/>
      <c r="X30" s="1040">
        <f>I6</f>
        <v>3.5</v>
      </c>
      <c r="AC30" s="4395"/>
      <c r="AD30" s="4397"/>
      <c r="AF30" s="4391"/>
      <c r="AG30" s="1041"/>
      <c r="AH30" s="1039">
        <f>'4 Estadis ESTRATEG Prod3'!K194</f>
        <v>0</v>
      </c>
      <c r="AI30" s="1040">
        <v>1</v>
      </c>
    </row>
    <row r="31" spans="1:37" ht="14.25" thickBot="1" x14ac:dyDescent="0.3">
      <c r="A31" s="985"/>
      <c r="B31" s="842"/>
      <c r="C31" s="942">
        <v>2018</v>
      </c>
      <c r="D31" s="943">
        <f>'9 Dda Efect SS Salud P1'!C21</f>
        <v>207.82640496406771</v>
      </c>
      <c r="E31" s="943">
        <f>'9 Dda Efect SS Salud P1'!D21</f>
        <v>60.222785065590898</v>
      </c>
      <c r="F31" s="944">
        <f>(D31+E31)*F$30</f>
        <v>938.17216510380501</v>
      </c>
      <c r="I31" s="942">
        <v>2018</v>
      </c>
      <c r="J31" s="943">
        <f>'8.2 Pob Ddte'!C100</f>
        <v>115.64315972267565</v>
      </c>
      <c r="K31" s="943" t="e">
        <f>J31*K$30</f>
        <v>#DIV/0!</v>
      </c>
      <c r="L31" s="1456" t="e">
        <f>'8.2 Pob Ddte'!D100*$K$30</f>
        <v>#DIV/0!</v>
      </c>
      <c r="M31" s="944" t="e">
        <f>K31*M$30+L31</f>
        <v>#DIV/0!</v>
      </c>
      <c r="O31" s="942">
        <v>2018</v>
      </c>
      <c r="P31" s="943">
        <f>'8.2 Pob Ddte'!C100</f>
        <v>115.64315972267565</v>
      </c>
      <c r="Q31" s="943">
        <f>P31*Q$30</f>
        <v>0</v>
      </c>
      <c r="R31" s="944">
        <f>Q31*R$30</f>
        <v>0</v>
      </c>
      <c r="V31" s="942">
        <v>2018</v>
      </c>
      <c r="W31" s="943">
        <f>'8.2 Pob Ddte'!C100</f>
        <v>115.64315972267565</v>
      </c>
      <c r="X31" s="944">
        <f t="shared" ref="X31:X47" si="0">W31*X$30</f>
        <v>404.7510590293648</v>
      </c>
      <c r="AC31" s="944">
        <f>SUM('8.2 Pob Ddte'!C100:D100)</f>
        <v>323.46956468674335</v>
      </c>
      <c r="AD31" s="944" t="e">
        <f>SUM(F31,M31,R31,X31)</f>
        <v>#DIV/0!</v>
      </c>
      <c r="AE31" s="618"/>
      <c r="AF31" s="942">
        <v>2018</v>
      </c>
      <c r="AG31" s="943" t="e">
        <f t="shared" ref="AG31:AG47" si="1">AD31</f>
        <v>#DIV/0!</v>
      </c>
      <c r="AH31" s="943" t="e">
        <f>AG31*AH$30</f>
        <v>#DIV/0!</v>
      </c>
      <c r="AI31" s="944" t="e">
        <f t="shared" ref="AH31:AI47" si="2">AH31*AI$30</f>
        <v>#DIV/0!</v>
      </c>
      <c r="AK31" s="618"/>
    </row>
    <row r="32" spans="1:37" ht="14.25" thickBot="1" x14ac:dyDescent="0.3">
      <c r="A32" s="821"/>
      <c r="B32" s="842"/>
      <c r="C32" s="942">
        <f>C31+1</f>
        <v>2019</v>
      </c>
      <c r="D32" s="943">
        <f>'9 Dda Efect SS Salud P1'!C22</f>
        <v>209.43071286319355</v>
      </c>
      <c r="E32" s="943">
        <f>'9 Dda Efect SS Salud P1'!D22</f>
        <v>60.687672526858343</v>
      </c>
      <c r="F32" s="944">
        <f t="shared" ref="F32:F47" si="3">(D32+E32)*F$30</f>
        <v>945.41434886518164</v>
      </c>
      <c r="I32" s="942">
        <f>I31+1</f>
        <v>2019</v>
      </c>
      <c r="J32" s="943">
        <f>'8.2 Pob Ddte'!C101</f>
        <v>116.53586262370999</v>
      </c>
      <c r="K32" s="943" t="e">
        <f t="shared" ref="K32:K47" si="4">J32*K$30</f>
        <v>#DIV/0!</v>
      </c>
      <c r="L32" s="1456" t="e">
        <f>'8.2 Pob Ddte'!D101*$K$30</f>
        <v>#DIV/0!</v>
      </c>
      <c r="M32" s="944" t="e">
        <f t="shared" ref="M32:M47" si="5">K32*M$30+L32</f>
        <v>#DIV/0!</v>
      </c>
      <c r="O32" s="942">
        <f>O31+1</f>
        <v>2019</v>
      </c>
      <c r="P32" s="943">
        <f>'8.2 Pob Ddte'!C101</f>
        <v>116.53586262370999</v>
      </c>
      <c r="Q32" s="943">
        <f t="shared" ref="Q32:Q47" si="6">P32*Q$30</f>
        <v>0</v>
      </c>
      <c r="R32" s="944">
        <f t="shared" ref="R32:R47" si="7">Q32*R$30</f>
        <v>0</v>
      </c>
      <c r="S32" s="623"/>
      <c r="V32" s="942">
        <f>V31+1</f>
        <v>2019</v>
      </c>
      <c r="W32" s="943">
        <f>'8.2 Pob Ddte'!C101</f>
        <v>116.53586262370999</v>
      </c>
      <c r="X32" s="944">
        <f t="shared" si="0"/>
        <v>407.87551918298493</v>
      </c>
      <c r="AC32" s="944">
        <f>SUM('8.2 Pob Ddte'!C101:D101)</f>
        <v>325.96657548690354</v>
      </c>
      <c r="AD32" s="944" t="e">
        <f t="shared" ref="AD32:AD47" si="8">SUM(F32,M32,R32,X32)</f>
        <v>#DIV/0!</v>
      </c>
      <c r="AF32" s="942">
        <f>AF31+1</f>
        <v>2019</v>
      </c>
      <c r="AG32" s="943" t="e">
        <f t="shared" si="1"/>
        <v>#DIV/0!</v>
      </c>
      <c r="AH32" s="943" t="e">
        <f t="shared" si="2"/>
        <v>#DIV/0!</v>
      </c>
      <c r="AI32" s="944" t="e">
        <f t="shared" si="2"/>
        <v>#DIV/0!</v>
      </c>
      <c r="AK32" s="618"/>
    </row>
    <row r="33" spans="1:37" ht="14.25" thickBot="1" x14ac:dyDescent="0.3">
      <c r="A33" s="821"/>
      <c r="B33" s="842"/>
      <c r="C33" s="948">
        <f>C32+1</f>
        <v>2020</v>
      </c>
      <c r="D33" s="949">
        <f>'9 Dda Efect SS Salud P1'!C23</f>
        <v>211.03623291689928</v>
      </c>
      <c r="E33" s="949">
        <f>'9 Dda Efect SS Salud P1'!D23</f>
        <v>61.152911239569242</v>
      </c>
      <c r="F33" s="950">
        <f t="shared" si="3"/>
        <v>952.66200454763975</v>
      </c>
      <c r="I33" s="948">
        <f>I32+1</f>
        <v>2020</v>
      </c>
      <c r="J33" s="949">
        <f>'8.2 Pob Ddte'!C102</f>
        <v>117.42924001740909</v>
      </c>
      <c r="K33" s="949" t="e">
        <f t="shared" si="4"/>
        <v>#DIV/0!</v>
      </c>
      <c r="L33" s="1458" t="e">
        <f>'8.2 Pob Ddte'!D102*$K$30</f>
        <v>#DIV/0!</v>
      </c>
      <c r="M33" s="950" t="e">
        <f>K33*M$30+L33</f>
        <v>#DIV/0!</v>
      </c>
      <c r="O33" s="948">
        <f>O32+1</f>
        <v>2020</v>
      </c>
      <c r="P33" s="949">
        <f>'8.2 Pob Ddte'!C102</f>
        <v>117.42924001740909</v>
      </c>
      <c r="Q33" s="949">
        <f t="shared" si="6"/>
        <v>0</v>
      </c>
      <c r="R33" s="950">
        <f t="shared" si="7"/>
        <v>0</v>
      </c>
      <c r="S33" s="623"/>
      <c r="V33" s="948">
        <f>V32+1</f>
        <v>2020</v>
      </c>
      <c r="W33" s="949">
        <f>'8.2 Pob Ddte'!C102</f>
        <v>117.42924001740909</v>
      </c>
      <c r="X33" s="950">
        <f t="shared" si="0"/>
        <v>411.00234006093183</v>
      </c>
      <c r="AC33" s="950">
        <f>SUM('8.2 Pob Ddte'!C102:D102)</f>
        <v>328.46547293430837</v>
      </c>
      <c r="AD33" s="950" t="e">
        <f t="shared" si="8"/>
        <v>#DIV/0!</v>
      </c>
      <c r="AF33" s="948">
        <f>AF32+1</f>
        <v>2020</v>
      </c>
      <c r="AG33" s="949" t="e">
        <f t="shared" si="1"/>
        <v>#DIV/0!</v>
      </c>
      <c r="AH33" s="949" t="e">
        <f t="shared" si="2"/>
        <v>#DIV/0!</v>
      </c>
      <c r="AI33" s="950" t="e">
        <f t="shared" si="2"/>
        <v>#DIV/0!</v>
      </c>
      <c r="AK33" s="618"/>
    </row>
    <row r="34" spans="1:37" ht="14.25" thickBot="1" x14ac:dyDescent="0.3">
      <c r="A34" s="821"/>
      <c r="B34" s="842"/>
      <c r="C34" s="948">
        <f t="shared" ref="C34:C47" si="9">C33+1</f>
        <v>2021</v>
      </c>
      <c r="D34" s="949">
        <f>'9 Dda Efect SS Salud P1'!C24</f>
        <v>212.64296582371668</v>
      </c>
      <c r="E34" s="949">
        <f>'9 Dda Efect SS Salud P1'!D24</f>
        <v>61.618501406140254</v>
      </c>
      <c r="F34" s="950">
        <f t="shared" si="3"/>
        <v>959.91513530449924</v>
      </c>
      <c r="I34" s="948">
        <f t="shared" ref="I34:I47" si="10">I33+1</f>
        <v>2021</v>
      </c>
      <c r="J34" s="949">
        <f>'8.2 Pob Ddte'!C103</f>
        <v>118.32329229246473</v>
      </c>
      <c r="K34" s="949" t="e">
        <f t="shared" si="4"/>
        <v>#DIV/0!</v>
      </c>
      <c r="L34" s="1458" t="e">
        <f>'8.2 Pob Ddte'!D103*$K$30</f>
        <v>#DIV/0!</v>
      </c>
      <c r="M34" s="950" t="e">
        <f t="shared" si="5"/>
        <v>#DIV/0!</v>
      </c>
      <c r="O34" s="948">
        <f t="shared" ref="O34:O47" si="11">O33+1</f>
        <v>2021</v>
      </c>
      <c r="P34" s="949">
        <f>'8.2 Pob Ddte'!C103</f>
        <v>118.32329229246473</v>
      </c>
      <c r="Q34" s="949">
        <f t="shared" si="6"/>
        <v>0</v>
      </c>
      <c r="R34" s="950">
        <f t="shared" si="7"/>
        <v>0</v>
      </c>
      <c r="S34" s="623"/>
      <c r="V34" s="948">
        <f t="shared" ref="V34:V47" si="12">V33+1</f>
        <v>2021</v>
      </c>
      <c r="W34" s="949">
        <f>'8.2 Pob Ddte'!C103</f>
        <v>118.32329229246473</v>
      </c>
      <c r="X34" s="950">
        <f t="shared" si="0"/>
        <v>414.13152302362653</v>
      </c>
      <c r="AC34" s="950">
        <f>SUM('8.2 Pob Ddte'!C103:D103)</f>
        <v>330.96625811618139</v>
      </c>
      <c r="AD34" s="950" t="e">
        <f t="shared" si="8"/>
        <v>#DIV/0!</v>
      </c>
      <c r="AF34" s="948">
        <f t="shared" ref="AF34:AF47" si="13">AF33+1</f>
        <v>2021</v>
      </c>
      <c r="AG34" s="949" t="e">
        <f t="shared" si="1"/>
        <v>#DIV/0!</v>
      </c>
      <c r="AH34" s="949" t="e">
        <f t="shared" si="2"/>
        <v>#DIV/0!</v>
      </c>
      <c r="AI34" s="950" t="e">
        <f t="shared" si="2"/>
        <v>#DIV/0!</v>
      </c>
      <c r="AK34" s="618"/>
    </row>
    <row r="35" spans="1:37" ht="14.25" thickBot="1" x14ac:dyDescent="0.3">
      <c r="A35" s="821"/>
      <c r="B35" s="842"/>
      <c r="C35" s="948">
        <f t="shared" si="9"/>
        <v>2022</v>
      </c>
      <c r="D35" s="949">
        <f>'9 Dda Efect SS Salud P1'!C25</f>
        <v>214.25091228253663</v>
      </c>
      <c r="E35" s="949">
        <f>'9 Dda Efect SS Salud P1'!D25</f>
        <v>62.08444322909213</v>
      </c>
      <c r="F35" s="950">
        <f t="shared" si="3"/>
        <v>967.17374429070082</v>
      </c>
      <c r="G35" s="814"/>
      <c r="H35" s="814"/>
      <c r="I35" s="948">
        <f t="shared" si="10"/>
        <v>2022</v>
      </c>
      <c r="J35" s="949">
        <f>'8.2 Pob Ddte'!C104</f>
        <v>119.21801983776859</v>
      </c>
      <c r="K35" s="949" t="e">
        <f t="shared" si="4"/>
        <v>#DIV/0!</v>
      </c>
      <c r="L35" s="1458" t="e">
        <f>'8.2 Pob Ddte'!D104*$K$30</f>
        <v>#DIV/0!</v>
      </c>
      <c r="M35" s="950" t="e">
        <f t="shared" si="5"/>
        <v>#DIV/0!</v>
      </c>
      <c r="O35" s="948">
        <f t="shared" si="11"/>
        <v>2022</v>
      </c>
      <c r="P35" s="949">
        <f>'8.2 Pob Ddte'!C104</f>
        <v>119.21801983776859</v>
      </c>
      <c r="Q35" s="949">
        <f t="shared" si="6"/>
        <v>0</v>
      </c>
      <c r="R35" s="950">
        <f t="shared" si="7"/>
        <v>0</v>
      </c>
      <c r="S35" s="623"/>
      <c r="V35" s="948">
        <f t="shared" si="12"/>
        <v>2022</v>
      </c>
      <c r="W35" s="949">
        <f>'8.2 Pob Ddte'!C104</f>
        <v>119.21801983776859</v>
      </c>
      <c r="X35" s="950">
        <f t="shared" si="0"/>
        <v>417.26306943219009</v>
      </c>
      <c r="AC35" s="950">
        <f>SUM('8.2 Pob Ddte'!C104:D104)</f>
        <v>333.46893212030523</v>
      </c>
      <c r="AD35" s="950" t="e">
        <f t="shared" si="8"/>
        <v>#DIV/0!</v>
      </c>
      <c r="AF35" s="948">
        <f t="shared" si="13"/>
        <v>2022</v>
      </c>
      <c r="AG35" s="949" t="e">
        <f t="shared" si="1"/>
        <v>#DIV/0!</v>
      </c>
      <c r="AH35" s="949" t="e">
        <f t="shared" si="2"/>
        <v>#DIV/0!</v>
      </c>
      <c r="AI35" s="950" t="e">
        <f t="shared" si="2"/>
        <v>#DIV/0!</v>
      </c>
      <c r="AK35" s="618"/>
    </row>
    <row r="36" spans="1:37" ht="14.25" thickBot="1" x14ac:dyDescent="0.3">
      <c r="A36" s="821"/>
      <c r="B36" s="842"/>
      <c r="C36" s="889">
        <f t="shared" si="9"/>
        <v>2023</v>
      </c>
      <c r="D36" s="890">
        <f>'9 Dda Efect SS Salud P1'!C26</f>
        <v>215.86007299260959</v>
      </c>
      <c r="E36" s="890">
        <f>'9 Dda Efect SS Salud P1'!D26</f>
        <v>62.550736911049775</v>
      </c>
      <c r="F36" s="891">
        <f t="shared" si="3"/>
        <v>974.43783466280775</v>
      </c>
      <c r="G36" s="814"/>
      <c r="H36" s="814"/>
      <c r="I36" s="889">
        <f t="shared" si="10"/>
        <v>2023</v>
      </c>
      <c r="J36" s="890">
        <f>'8.2 Pob Ddte'!C105</f>
        <v>120.11342304241235</v>
      </c>
      <c r="K36" s="890" t="e">
        <f>J36*K$30</f>
        <v>#DIV/0!</v>
      </c>
      <c r="L36" s="1462" t="e">
        <f>'8.2 Pob Ddte'!D105*$K$30</f>
        <v>#DIV/0!</v>
      </c>
      <c r="M36" s="891" t="e">
        <f t="shared" si="5"/>
        <v>#DIV/0!</v>
      </c>
      <c r="O36" s="889">
        <f t="shared" si="11"/>
        <v>2023</v>
      </c>
      <c r="P36" s="890">
        <f>'8.2 Pob Ddte'!C105</f>
        <v>120.11342304241235</v>
      </c>
      <c r="Q36" s="890">
        <f t="shared" si="6"/>
        <v>0</v>
      </c>
      <c r="R36" s="891">
        <f t="shared" si="7"/>
        <v>0</v>
      </c>
      <c r="S36" s="623"/>
      <c r="V36" s="889">
        <f t="shared" si="12"/>
        <v>2023</v>
      </c>
      <c r="W36" s="890">
        <f>'8.2 Pob Ddte'!C105</f>
        <v>120.11342304241235</v>
      </c>
      <c r="X36" s="891">
        <f t="shared" si="0"/>
        <v>420.39698064844322</v>
      </c>
      <c r="AC36" s="891">
        <f>SUM('8.2 Pob Ddte'!C105:D105)</f>
        <v>335.97349603502192</v>
      </c>
      <c r="AD36" s="891" t="e">
        <f t="shared" si="8"/>
        <v>#DIV/0!</v>
      </c>
      <c r="AF36" s="889">
        <f t="shared" si="13"/>
        <v>2023</v>
      </c>
      <c r="AG36" s="890" t="e">
        <f t="shared" si="1"/>
        <v>#DIV/0!</v>
      </c>
      <c r="AH36" s="890" t="e">
        <f t="shared" si="2"/>
        <v>#DIV/0!</v>
      </c>
      <c r="AI36" s="891" t="e">
        <f t="shared" si="2"/>
        <v>#DIV/0!</v>
      </c>
      <c r="AK36" s="618"/>
    </row>
    <row r="37" spans="1:37" ht="14.25" thickBot="1" x14ac:dyDescent="0.3">
      <c r="A37" s="821"/>
      <c r="B37" s="842"/>
      <c r="C37" s="889">
        <f t="shared" si="9"/>
        <v>2024</v>
      </c>
      <c r="D37" s="890">
        <f>'9 Dda Efect SS Salud P1'!C27</f>
        <v>217.47044865354579</v>
      </c>
      <c r="E37" s="890">
        <f>'9 Dda Efect SS Salud P1'!D27</f>
        <v>63.017382654742377</v>
      </c>
      <c r="F37" s="891">
        <f t="shared" si="3"/>
        <v>981.70740957900853</v>
      </c>
      <c r="G37" s="814"/>
      <c r="H37" s="814"/>
      <c r="I37" s="889">
        <f t="shared" si="10"/>
        <v>2024</v>
      </c>
      <c r="J37" s="890">
        <f>'8.2 Pob Ddte'!C106</f>
        <v>121.00950229568794</v>
      </c>
      <c r="K37" s="890" t="e">
        <f t="shared" si="4"/>
        <v>#DIV/0!</v>
      </c>
      <c r="L37" s="1462" t="e">
        <f>'8.2 Pob Ddte'!D106*$K$30</f>
        <v>#DIV/0!</v>
      </c>
      <c r="M37" s="891" t="e">
        <f t="shared" si="5"/>
        <v>#DIV/0!</v>
      </c>
      <c r="O37" s="889">
        <f t="shared" si="11"/>
        <v>2024</v>
      </c>
      <c r="P37" s="890">
        <f>'8.2 Pob Ddte'!C106</f>
        <v>121.00950229568794</v>
      </c>
      <c r="Q37" s="890">
        <f t="shared" si="6"/>
        <v>0</v>
      </c>
      <c r="R37" s="891">
        <f t="shared" si="7"/>
        <v>0</v>
      </c>
      <c r="S37" s="623"/>
      <c r="V37" s="889">
        <f t="shared" si="12"/>
        <v>2024</v>
      </c>
      <c r="W37" s="890">
        <f>'8.2 Pob Ddte'!C106</f>
        <v>121.00950229568794</v>
      </c>
      <c r="X37" s="891">
        <f t="shared" si="0"/>
        <v>423.53325803490776</v>
      </c>
      <c r="AC37" s="891">
        <f>SUM('8.2 Pob Ddte'!C106:D106)</f>
        <v>338.47995094923374</v>
      </c>
      <c r="AD37" s="891" t="e">
        <f t="shared" si="8"/>
        <v>#DIV/0!</v>
      </c>
      <c r="AF37" s="889">
        <f t="shared" si="13"/>
        <v>2024</v>
      </c>
      <c r="AG37" s="890" t="e">
        <f t="shared" si="1"/>
        <v>#DIV/0!</v>
      </c>
      <c r="AH37" s="890" t="e">
        <f t="shared" si="2"/>
        <v>#DIV/0!</v>
      </c>
      <c r="AI37" s="891" t="e">
        <f t="shared" si="2"/>
        <v>#DIV/0!</v>
      </c>
      <c r="AK37" s="618"/>
    </row>
    <row r="38" spans="1:37" ht="14.25" thickBot="1" x14ac:dyDescent="0.3">
      <c r="A38" s="821"/>
      <c r="B38" s="842"/>
      <c r="C38" s="889">
        <f t="shared" si="9"/>
        <v>2025</v>
      </c>
      <c r="D38" s="890">
        <f>'9 Dda Efect SS Salud P1'!C28</f>
        <v>219.08203996531532</v>
      </c>
      <c r="E38" s="890">
        <f>'9 Dda Efect SS Salud P1'!D28</f>
        <v>63.484380663003421</v>
      </c>
      <c r="F38" s="891">
        <f t="shared" si="3"/>
        <v>988.98247219911559</v>
      </c>
      <c r="G38" s="814"/>
      <c r="H38" s="814"/>
      <c r="I38" s="889">
        <f t="shared" si="10"/>
        <v>2025</v>
      </c>
      <c r="J38" s="890">
        <f>'8.2 Pob Ddte'!C107</f>
        <v>121.90625798708753</v>
      </c>
      <c r="K38" s="890" t="e">
        <f t="shared" si="4"/>
        <v>#DIV/0!</v>
      </c>
      <c r="L38" s="1462" t="e">
        <f>'8.2 Pob Ddte'!D107*$K$30</f>
        <v>#DIV/0!</v>
      </c>
      <c r="M38" s="891" t="e">
        <f t="shared" si="5"/>
        <v>#DIV/0!</v>
      </c>
      <c r="O38" s="889">
        <f t="shared" si="11"/>
        <v>2025</v>
      </c>
      <c r="P38" s="890">
        <f>'8.2 Pob Ddte'!C107</f>
        <v>121.90625798708753</v>
      </c>
      <c r="Q38" s="890">
        <f t="shared" si="6"/>
        <v>0</v>
      </c>
      <c r="R38" s="891">
        <f t="shared" si="7"/>
        <v>0</v>
      </c>
      <c r="S38" s="623"/>
      <c r="V38" s="889">
        <f t="shared" si="12"/>
        <v>2025</v>
      </c>
      <c r="W38" s="890">
        <f>'8.2 Pob Ddte'!C107</f>
        <v>121.90625798708753</v>
      </c>
      <c r="X38" s="891">
        <f t="shared" si="0"/>
        <v>426.67190295480634</v>
      </c>
      <c r="AC38" s="891">
        <f>SUM('8.2 Pob Ddte'!C107:D107)</f>
        <v>340.98829795240283</v>
      </c>
      <c r="AD38" s="891" t="e">
        <f t="shared" si="8"/>
        <v>#DIV/0!</v>
      </c>
      <c r="AF38" s="889">
        <f t="shared" si="13"/>
        <v>2025</v>
      </c>
      <c r="AG38" s="890" t="e">
        <f t="shared" si="1"/>
        <v>#DIV/0!</v>
      </c>
      <c r="AH38" s="890" t="e">
        <f t="shared" si="2"/>
        <v>#DIV/0!</v>
      </c>
      <c r="AI38" s="891" t="e">
        <f t="shared" si="2"/>
        <v>#DIV/0!</v>
      </c>
      <c r="AK38" s="618"/>
    </row>
    <row r="39" spans="1:37" ht="14.25" thickBot="1" x14ac:dyDescent="0.3">
      <c r="A39" s="821"/>
      <c r="B39" s="842"/>
      <c r="C39" s="889">
        <f t="shared" si="9"/>
        <v>2026</v>
      </c>
      <c r="D39" s="890">
        <f>'9 Dda Efect SS Salud P1'!C29</f>
        <v>220.69484762824834</v>
      </c>
      <c r="E39" s="890">
        <f>'9 Dda Efect SS Salud P1'!D29</f>
        <v>63.951731138770661</v>
      </c>
      <c r="F39" s="891">
        <f t="shared" si="3"/>
        <v>996.2630256845664</v>
      </c>
      <c r="G39" s="814"/>
      <c r="H39" s="814"/>
      <c r="I39" s="889">
        <f t="shared" si="10"/>
        <v>2026</v>
      </c>
      <c r="J39" s="890">
        <f>'8.2 Pob Ddte'!C108</f>
        <v>122.80369050630357</v>
      </c>
      <c r="K39" s="890" t="e">
        <f t="shared" si="4"/>
        <v>#DIV/0!</v>
      </c>
      <c r="L39" s="1462" t="e">
        <f>'8.2 Pob Ddte'!D108*$K$30</f>
        <v>#DIV/0!</v>
      </c>
      <c r="M39" s="891" t="e">
        <f t="shared" si="5"/>
        <v>#DIV/0!</v>
      </c>
      <c r="O39" s="889">
        <f t="shared" si="11"/>
        <v>2026</v>
      </c>
      <c r="P39" s="890">
        <f>'8.2 Pob Ddte'!C108</f>
        <v>122.80369050630357</v>
      </c>
      <c r="Q39" s="890">
        <f t="shared" si="6"/>
        <v>0</v>
      </c>
      <c r="R39" s="891">
        <f t="shared" si="7"/>
        <v>0</v>
      </c>
      <c r="S39" s="623"/>
      <c r="V39" s="889">
        <f t="shared" si="12"/>
        <v>2026</v>
      </c>
      <c r="W39" s="890">
        <f>'8.2 Pob Ddte'!C108</f>
        <v>122.80369050630357</v>
      </c>
      <c r="X39" s="891">
        <f t="shared" si="0"/>
        <v>429.81291677206247</v>
      </c>
      <c r="AC39" s="891">
        <f>SUM('8.2 Pob Ddte'!C108:D108)</f>
        <v>343.49853813455189</v>
      </c>
      <c r="AD39" s="891" t="e">
        <f t="shared" si="8"/>
        <v>#DIV/0!</v>
      </c>
      <c r="AF39" s="889">
        <f t="shared" si="13"/>
        <v>2026</v>
      </c>
      <c r="AG39" s="890" t="e">
        <f t="shared" si="1"/>
        <v>#DIV/0!</v>
      </c>
      <c r="AH39" s="890" t="e">
        <f t="shared" si="2"/>
        <v>#DIV/0!</v>
      </c>
      <c r="AI39" s="891" t="e">
        <f>AH39*AI$30</f>
        <v>#DIV/0!</v>
      </c>
      <c r="AK39" s="618"/>
    </row>
    <row r="40" spans="1:37" ht="14.25" thickBot="1" x14ac:dyDescent="0.3">
      <c r="A40" s="821"/>
      <c r="B40" s="842"/>
      <c r="C40" s="889">
        <f t="shared" si="9"/>
        <v>2027</v>
      </c>
      <c r="D40" s="890">
        <f>'9 Dda Efect SS Salud P1'!C30</f>
        <v>222.30887234303515</v>
      </c>
      <c r="E40" s="890">
        <f>'9 Dda Efect SS Salud P1'!D30</f>
        <v>64.419434285086282</v>
      </c>
      <c r="F40" s="891">
        <f t="shared" si="3"/>
        <v>1003.549073198425</v>
      </c>
      <c r="G40" s="814"/>
      <c r="H40" s="814"/>
      <c r="I40" s="889">
        <f t="shared" si="10"/>
        <v>2027</v>
      </c>
      <c r="J40" s="890">
        <f>'8.2 Pob Ddte'!C109</f>
        <v>123.701800243229</v>
      </c>
      <c r="K40" s="890" t="e">
        <f t="shared" si="4"/>
        <v>#DIV/0!</v>
      </c>
      <c r="L40" s="1462" t="e">
        <f>'8.2 Pob Ddte'!D109*$K$30</f>
        <v>#DIV/0!</v>
      </c>
      <c r="M40" s="891" t="e">
        <f t="shared" si="5"/>
        <v>#DIV/0!</v>
      </c>
      <c r="O40" s="889">
        <f t="shared" si="11"/>
        <v>2027</v>
      </c>
      <c r="P40" s="890">
        <f>'8.2 Pob Ddte'!C109</f>
        <v>123.701800243229</v>
      </c>
      <c r="Q40" s="890">
        <f t="shared" si="6"/>
        <v>0</v>
      </c>
      <c r="R40" s="891">
        <f t="shared" si="7"/>
        <v>0</v>
      </c>
      <c r="S40" s="623"/>
      <c r="V40" s="889">
        <f t="shared" si="12"/>
        <v>2027</v>
      </c>
      <c r="W40" s="890">
        <f>'8.2 Pob Ddte'!C109</f>
        <v>123.701800243229</v>
      </c>
      <c r="X40" s="891">
        <f t="shared" si="0"/>
        <v>432.95630085130153</v>
      </c>
      <c r="AC40" s="891">
        <f>SUM('8.2 Pob Ddte'!C109:D109)</f>
        <v>346.01067258626415</v>
      </c>
      <c r="AD40" s="891" t="e">
        <f t="shared" si="8"/>
        <v>#DIV/0!</v>
      </c>
      <c r="AF40" s="889">
        <f t="shared" si="13"/>
        <v>2027</v>
      </c>
      <c r="AG40" s="890" t="e">
        <f t="shared" si="1"/>
        <v>#DIV/0!</v>
      </c>
      <c r="AH40" s="890" t="e">
        <f>AG40*AH$30</f>
        <v>#DIV/0!</v>
      </c>
      <c r="AI40" s="891" t="e">
        <f t="shared" si="2"/>
        <v>#DIV/0!</v>
      </c>
      <c r="AK40" s="618"/>
    </row>
    <row r="41" spans="1:37" ht="14.25" thickBot="1" x14ac:dyDescent="0.3">
      <c r="A41" s="821"/>
      <c r="B41" s="842"/>
      <c r="C41" s="889">
        <f t="shared" si="9"/>
        <v>2028</v>
      </c>
      <c r="D41" s="890">
        <f>'9 Dda Efect SS Salud P1'!C31</f>
        <v>223.92411481072639</v>
      </c>
      <c r="E41" s="890">
        <f>'9 Dda Efect SS Salud P1'!D31</f>
        <v>64.887490305096847</v>
      </c>
      <c r="F41" s="891">
        <f t="shared" si="3"/>
        <v>1010.8406179053814</v>
      </c>
      <c r="G41" s="814"/>
      <c r="H41" s="814"/>
      <c r="I41" s="889">
        <f t="shared" si="10"/>
        <v>2028</v>
      </c>
      <c r="J41" s="890">
        <f>'8.2 Pob Ddte'!C110</f>
        <v>124.60058758795725</v>
      </c>
      <c r="K41" s="890" t="e">
        <f t="shared" si="4"/>
        <v>#DIV/0!</v>
      </c>
      <c r="L41" s="1462" t="e">
        <f>'8.2 Pob Ddte'!D110*$K$30</f>
        <v>#DIV/0!</v>
      </c>
      <c r="M41" s="891" t="e">
        <f t="shared" si="5"/>
        <v>#DIV/0!</v>
      </c>
      <c r="O41" s="889">
        <f t="shared" si="11"/>
        <v>2028</v>
      </c>
      <c r="P41" s="890">
        <f>'8.2 Pob Ddte'!C110</f>
        <v>124.60058758795725</v>
      </c>
      <c r="Q41" s="890">
        <f t="shared" si="6"/>
        <v>0</v>
      </c>
      <c r="R41" s="891">
        <f t="shared" si="7"/>
        <v>0</v>
      </c>
      <c r="S41" s="623"/>
      <c r="V41" s="889">
        <f t="shared" si="12"/>
        <v>2028</v>
      </c>
      <c r="W41" s="890">
        <f>'8.2 Pob Ddte'!C110</f>
        <v>124.60058758795725</v>
      </c>
      <c r="X41" s="891">
        <f t="shared" si="0"/>
        <v>436.10205655785035</v>
      </c>
      <c r="AC41" s="891">
        <f>SUM('8.2 Pob Ddte'!C110:D110)</f>
        <v>348.52470239868364</v>
      </c>
      <c r="AD41" s="891" t="e">
        <f t="shared" si="8"/>
        <v>#DIV/0!</v>
      </c>
      <c r="AF41" s="889">
        <f t="shared" si="13"/>
        <v>2028</v>
      </c>
      <c r="AG41" s="890" t="e">
        <f t="shared" si="1"/>
        <v>#DIV/0!</v>
      </c>
      <c r="AH41" s="890" t="e">
        <f t="shared" si="2"/>
        <v>#DIV/0!</v>
      </c>
      <c r="AI41" s="891" t="e">
        <f t="shared" si="2"/>
        <v>#DIV/0!</v>
      </c>
      <c r="AK41" s="618"/>
    </row>
    <row r="42" spans="1:37" ht="14.25" thickBot="1" x14ac:dyDescent="0.3">
      <c r="A42" s="821"/>
      <c r="B42" s="842"/>
      <c r="C42" s="889">
        <f t="shared" si="9"/>
        <v>2029</v>
      </c>
      <c r="D42" s="890">
        <f>'9 Dda Efect SS Salud P1'!C32</f>
        <v>225.54057573273354</v>
      </c>
      <c r="E42" s="890">
        <f>'9 Dda Efect SS Salud P1'!D32</f>
        <v>65.355899402053467</v>
      </c>
      <c r="F42" s="891">
        <f t="shared" si="3"/>
        <v>1018.1376629717545</v>
      </c>
      <c r="G42" s="814"/>
      <c r="H42" s="814"/>
      <c r="I42" s="889">
        <f t="shared" si="10"/>
        <v>2029</v>
      </c>
      <c r="J42" s="890">
        <f>'8.2 Pob Ddte'!C111</f>
        <v>125.50005293078243</v>
      </c>
      <c r="K42" s="890" t="e">
        <f t="shared" si="4"/>
        <v>#DIV/0!</v>
      </c>
      <c r="L42" s="1462" t="e">
        <f>'8.2 Pob Ddte'!D111*$K$30</f>
        <v>#DIV/0!</v>
      </c>
      <c r="M42" s="891" t="e">
        <f t="shared" si="5"/>
        <v>#DIV/0!</v>
      </c>
      <c r="O42" s="889">
        <f t="shared" si="11"/>
        <v>2029</v>
      </c>
      <c r="P42" s="890">
        <f>'8.2 Pob Ddte'!C111</f>
        <v>125.50005293078243</v>
      </c>
      <c r="Q42" s="890">
        <f t="shared" si="6"/>
        <v>0</v>
      </c>
      <c r="R42" s="891">
        <f t="shared" si="7"/>
        <v>0</v>
      </c>
      <c r="S42" s="623"/>
      <c r="V42" s="889">
        <f t="shared" si="12"/>
        <v>2029</v>
      </c>
      <c r="W42" s="890">
        <f>'8.2 Pob Ddte'!C111</f>
        <v>125.50005293078243</v>
      </c>
      <c r="X42" s="891">
        <f t="shared" si="0"/>
        <v>439.25018525773851</v>
      </c>
      <c r="AC42" s="891">
        <f>SUM('8.2 Pob Ddte'!C111:D111)</f>
        <v>351.04062866351597</v>
      </c>
      <c r="AD42" s="891" t="e">
        <f t="shared" si="8"/>
        <v>#DIV/0!</v>
      </c>
      <c r="AF42" s="889">
        <f t="shared" si="13"/>
        <v>2029</v>
      </c>
      <c r="AG42" s="890" t="e">
        <f t="shared" si="1"/>
        <v>#DIV/0!</v>
      </c>
      <c r="AH42" s="890" t="e">
        <f t="shared" si="2"/>
        <v>#DIV/0!</v>
      </c>
      <c r="AI42" s="891" t="e">
        <f t="shared" si="2"/>
        <v>#DIV/0!</v>
      </c>
      <c r="AK42" s="618"/>
    </row>
    <row r="43" spans="1:37" ht="14.25" thickBot="1" x14ac:dyDescent="0.3">
      <c r="A43" s="821"/>
      <c r="B43" s="842"/>
      <c r="C43" s="889">
        <f t="shared" si="9"/>
        <v>2030</v>
      </c>
      <c r="D43" s="890">
        <f>'9 Dda Efect SS Salud P1'!C33</f>
        <v>227.15825581082856</v>
      </c>
      <c r="E43" s="890">
        <f>'9 Dda Efect SS Salud P1'!D33</f>
        <v>65.824661779311796</v>
      </c>
      <c r="F43" s="891">
        <f t="shared" si="3"/>
        <v>1025.4402115654912</v>
      </c>
      <c r="G43" s="814"/>
      <c r="H43" s="814"/>
      <c r="I43" s="889">
        <f t="shared" si="10"/>
        <v>2030</v>
      </c>
      <c r="J43" s="890">
        <f>'8.2 Pob Ddte'!C112</f>
        <v>126.40019666219945</v>
      </c>
      <c r="K43" s="890" t="e">
        <f>J43*K$30</f>
        <v>#DIV/0!</v>
      </c>
      <c r="L43" s="1462" t="e">
        <f>'8.2 Pob Ddte'!D112*$K$30</f>
        <v>#DIV/0!</v>
      </c>
      <c r="M43" s="891" t="e">
        <f t="shared" si="5"/>
        <v>#DIV/0!</v>
      </c>
      <c r="O43" s="889">
        <f t="shared" si="11"/>
        <v>2030</v>
      </c>
      <c r="P43" s="890">
        <f>'8.2 Pob Ddte'!C112</f>
        <v>126.40019666219945</v>
      </c>
      <c r="Q43" s="890">
        <f t="shared" si="6"/>
        <v>0</v>
      </c>
      <c r="R43" s="891">
        <f t="shared" si="7"/>
        <v>0</v>
      </c>
      <c r="S43" s="623"/>
      <c r="V43" s="889">
        <f t="shared" si="12"/>
        <v>2030</v>
      </c>
      <c r="W43" s="890">
        <f>'8.2 Pob Ddte'!C112</f>
        <v>126.40019666219945</v>
      </c>
      <c r="X43" s="891">
        <f t="shared" si="0"/>
        <v>442.40068831769804</v>
      </c>
      <c r="AC43" s="891">
        <f>SUM('8.2 Pob Ddte'!C112:D112)</f>
        <v>353.55845247302801</v>
      </c>
      <c r="AD43" s="891" t="e">
        <f t="shared" si="8"/>
        <v>#DIV/0!</v>
      </c>
      <c r="AF43" s="889">
        <f t="shared" si="13"/>
        <v>2030</v>
      </c>
      <c r="AG43" s="890" t="e">
        <f t="shared" si="1"/>
        <v>#DIV/0!</v>
      </c>
      <c r="AH43" s="890" t="e">
        <f>AG43*AH$30</f>
        <v>#DIV/0!</v>
      </c>
      <c r="AI43" s="891" t="e">
        <f t="shared" si="2"/>
        <v>#DIV/0!</v>
      </c>
      <c r="AK43" s="618"/>
    </row>
    <row r="44" spans="1:37" ht="14.25" thickBot="1" x14ac:dyDescent="0.3">
      <c r="A44" s="821"/>
      <c r="B44" s="842"/>
      <c r="C44" s="889">
        <f t="shared" si="9"/>
        <v>2031</v>
      </c>
      <c r="D44" s="890">
        <f>'9 Dda Efect SS Salud P1'!C34</f>
        <v>228.77715574714446</v>
      </c>
      <c r="E44" s="890">
        <f>'9 Dda Efect SS Salud P1'!D34</f>
        <v>66.293777640331982</v>
      </c>
      <c r="F44" s="891">
        <f t="shared" si="3"/>
        <v>1032.7482668561674</v>
      </c>
      <c r="G44" s="814"/>
      <c r="H44" s="814"/>
      <c r="I44" s="889">
        <f t="shared" si="10"/>
        <v>2031</v>
      </c>
      <c r="J44" s="890">
        <f>'8.2 Pob Ddte'!C113</f>
        <v>127.30101917290386</v>
      </c>
      <c r="K44" s="890" t="e">
        <f t="shared" si="4"/>
        <v>#DIV/0!</v>
      </c>
      <c r="L44" s="1462" t="e">
        <f>'8.2 Pob Ddte'!D113*$K$30</f>
        <v>#DIV/0!</v>
      </c>
      <c r="M44" s="891" t="e">
        <f t="shared" si="5"/>
        <v>#DIV/0!</v>
      </c>
      <c r="O44" s="889">
        <f t="shared" si="11"/>
        <v>2031</v>
      </c>
      <c r="P44" s="890">
        <f>'8.2 Pob Ddte'!C113</f>
        <v>127.30101917290386</v>
      </c>
      <c r="Q44" s="890">
        <f t="shared" si="6"/>
        <v>0</v>
      </c>
      <c r="R44" s="891">
        <f t="shared" si="7"/>
        <v>0</v>
      </c>
      <c r="S44" s="623"/>
      <c r="V44" s="889">
        <f t="shared" si="12"/>
        <v>2031</v>
      </c>
      <c r="W44" s="890">
        <f>'8.2 Pob Ddte'!C113</f>
        <v>127.30101917290386</v>
      </c>
      <c r="X44" s="891">
        <f t="shared" si="0"/>
        <v>445.55356710516355</v>
      </c>
      <c r="AC44" s="891">
        <f>SUM('8.2 Pob Ddte'!C113:D113)</f>
        <v>356.07817492004835</v>
      </c>
      <c r="AD44" s="891" t="e">
        <f t="shared" si="8"/>
        <v>#DIV/0!</v>
      </c>
      <c r="AF44" s="889">
        <f t="shared" si="13"/>
        <v>2031</v>
      </c>
      <c r="AG44" s="890" t="e">
        <f t="shared" si="1"/>
        <v>#DIV/0!</v>
      </c>
      <c r="AH44" s="890" t="e">
        <f t="shared" si="2"/>
        <v>#DIV/0!</v>
      </c>
      <c r="AI44" s="891" t="e">
        <f t="shared" si="2"/>
        <v>#DIV/0!</v>
      </c>
      <c r="AK44" s="618"/>
    </row>
    <row r="45" spans="1:37" ht="14.25" thickBot="1" x14ac:dyDescent="0.3">
      <c r="A45" s="821"/>
      <c r="B45" s="842"/>
      <c r="C45" s="889">
        <f t="shared" si="9"/>
        <v>2032</v>
      </c>
      <c r="D45" s="890">
        <f>'9 Dda Efect SS Salud P1'!C35</f>
        <v>230.3972762441752</v>
      </c>
      <c r="E45" s="890">
        <f>'9 Dda Efect SS Salud P1'!D35</f>
        <v>66.763247188678889</v>
      </c>
      <c r="F45" s="891">
        <f t="shared" si="3"/>
        <v>1040.0618320149895</v>
      </c>
      <c r="G45" s="814"/>
      <c r="H45" s="814"/>
      <c r="I45" s="889">
        <f t="shared" si="10"/>
        <v>2032</v>
      </c>
      <c r="J45" s="890">
        <f>'8.2 Pob Ddte'!C114</f>
        <v>128.20252085379229</v>
      </c>
      <c r="K45" s="890" t="e">
        <f t="shared" si="4"/>
        <v>#DIV/0!</v>
      </c>
      <c r="L45" s="1462" t="e">
        <f>'8.2 Pob Ddte'!D114*$K$30</f>
        <v>#DIV/0!</v>
      </c>
      <c r="M45" s="891" t="e">
        <f t="shared" si="5"/>
        <v>#DIV/0!</v>
      </c>
      <c r="O45" s="889">
        <f t="shared" si="11"/>
        <v>2032</v>
      </c>
      <c r="P45" s="890">
        <f>'8.2 Pob Ddte'!C114</f>
        <v>128.20252085379229</v>
      </c>
      <c r="Q45" s="890">
        <f t="shared" si="6"/>
        <v>0</v>
      </c>
      <c r="R45" s="891">
        <f t="shared" si="7"/>
        <v>0</v>
      </c>
      <c r="S45" s="623"/>
      <c r="V45" s="889">
        <f t="shared" si="12"/>
        <v>2032</v>
      </c>
      <c r="W45" s="890">
        <f>'8.2 Pob Ddte'!C114</f>
        <v>128.20252085379229</v>
      </c>
      <c r="X45" s="891">
        <f t="shared" si="0"/>
        <v>448.70882298827303</v>
      </c>
      <c r="AC45" s="891">
        <f>SUM('8.2 Pob Ddte'!C114:D114)</f>
        <v>358.5997970979675</v>
      </c>
      <c r="AD45" s="891" t="e">
        <f t="shared" si="8"/>
        <v>#DIV/0!</v>
      </c>
      <c r="AF45" s="889">
        <f t="shared" si="13"/>
        <v>2032</v>
      </c>
      <c r="AG45" s="890" t="e">
        <f t="shared" si="1"/>
        <v>#DIV/0!</v>
      </c>
      <c r="AH45" s="890" t="e">
        <f t="shared" si="2"/>
        <v>#DIV/0!</v>
      </c>
      <c r="AI45" s="891" t="e">
        <f t="shared" si="2"/>
        <v>#DIV/0!</v>
      </c>
      <c r="AK45" s="618"/>
    </row>
    <row r="46" spans="1:37" ht="14.25" thickBot="1" x14ac:dyDescent="0.3">
      <c r="A46" s="821"/>
      <c r="B46" s="842"/>
      <c r="C46" s="889">
        <f t="shared" si="9"/>
        <v>2033</v>
      </c>
      <c r="D46" s="890">
        <f>'9 Dda Efect SS Salud P1'!C36</f>
        <v>232.01861800477622</v>
      </c>
      <c r="E46" s="890">
        <f>'9 Dda Efect SS Salud P1'!D36</f>
        <v>67.233070628022034</v>
      </c>
      <c r="F46" s="891">
        <f t="shared" si="3"/>
        <v>1047.3809102147939</v>
      </c>
      <c r="G46" s="814"/>
      <c r="H46" s="814"/>
      <c r="I46" s="889">
        <f t="shared" si="10"/>
        <v>2033</v>
      </c>
      <c r="J46" s="890">
        <f>'8.2 Pob Ddte'!C115</f>
        <v>129.10470209596238</v>
      </c>
      <c r="K46" s="890" t="e">
        <f t="shared" si="4"/>
        <v>#DIV/0!</v>
      </c>
      <c r="L46" s="1462" t="e">
        <f>'8.2 Pob Ddte'!D115*$K$30</f>
        <v>#DIV/0!</v>
      </c>
      <c r="M46" s="891" t="e">
        <f t="shared" si="5"/>
        <v>#DIV/0!</v>
      </c>
      <c r="O46" s="889">
        <f t="shared" si="11"/>
        <v>2033</v>
      </c>
      <c r="P46" s="890">
        <f>'8.2 Pob Ddte'!C115</f>
        <v>129.10470209596238</v>
      </c>
      <c r="Q46" s="890">
        <f t="shared" si="6"/>
        <v>0</v>
      </c>
      <c r="R46" s="891">
        <f t="shared" si="7"/>
        <v>0</v>
      </c>
      <c r="S46" s="623"/>
      <c r="V46" s="889">
        <f t="shared" si="12"/>
        <v>2033</v>
      </c>
      <c r="W46" s="890">
        <f>'8.2 Pob Ddte'!C115</f>
        <v>129.10470209596238</v>
      </c>
      <c r="X46" s="891">
        <f t="shared" si="0"/>
        <v>451.86645733586835</v>
      </c>
      <c r="AC46" s="891">
        <f>SUM('8.2 Pob Ddte'!C115:D115)</f>
        <v>361.12332010073862</v>
      </c>
      <c r="AD46" s="891" t="e">
        <f t="shared" si="8"/>
        <v>#DIV/0!</v>
      </c>
      <c r="AF46" s="889">
        <f t="shared" si="13"/>
        <v>2033</v>
      </c>
      <c r="AG46" s="890" t="e">
        <f t="shared" si="1"/>
        <v>#DIV/0!</v>
      </c>
      <c r="AH46" s="890" t="e">
        <f t="shared" si="2"/>
        <v>#DIV/0!</v>
      </c>
      <c r="AI46" s="891" t="e">
        <f t="shared" si="2"/>
        <v>#DIV/0!</v>
      </c>
      <c r="AK46" s="618"/>
    </row>
    <row r="47" spans="1:37" ht="14.25" thickBot="1" x14ac:dyDescent="0.3">
      <c r="A47" s="821"/>
      <c r="B47" s="842"/>
      <c r="C47" s="889">
        <f t="shared" si="9"/>
        <v>2034</v>
      </c>
      <c r="D47" s="890">
        <f>'9 Dda Efect SS Salud P1'!C37</f>
        <v>233.64118173216423</v>
      </c>
      <c r="E47" s="890">
        <f>'9 Dda Efect SS Salud P1'!D37</f>
        <v>67.703248162135679</v>
      </c>
      <c r="F47" s="891">
        <f t="shared" si="3"/>
        <v>1054.7055046300495</v>
      </c>
      <c r="G47" s="814"/>
      <c r="H47" s="814"/>
      <c r="I47" s="889">
        <f t="shared" si="10"/>
        <v>2034</v>
      </c>
      <c r="J47" s="890">
        <f>'8.2 Pob Ddte'!C116</f>
        <v>130.00756329071282</v>
      </c>
      <c r="K47" s="890" t="e">
        <f t="shared" si="4"/>
        <v>#DIV/0!</v>
      </c>
      <c r="L47" s="1462" t="e">
        <f>'8.2 Pob Ddte'!D116*$K$30</f>
        <v>#DIV/0!</v>
      </c>
      <c r="M47" s="891" t="e">
        <f t="shared" si="5"/>
        <v>#DIV/0!</v>
      </c>
      <c r="O47" s="889">
        <f t="shared" si="11"/>
        <v>2034</v>
      </c>
      <c r="P47" s="890">
        <f>'8.2 Pob Ddte'!C116</f>
        <v>130.00756329071282</v>
      </c>
      <c r="Q47" s="890">
        <f t="shared" si="6"/>
        <v>0</v>
      </c>
      <c r="R47" s="891">
        <f t="shared" si="7"/>
        <v>0</v>
      </c>
      <c r="S47" s="623"/>
      <c r="V47" s="889">
        <f t="shared" si="12"/>
        <v>2034</v>
      </c>
      <c r="W47" s="890">
        <f>'8.2 Pob Ddte'!C116</f>
        <v>130.00756329071282</v>
      </c>
      <c r="X47" s="891">
        <f t="shared" si="0"/>
        <v>455.02647151749488</v>
      </c>
      <c r="AC47" s="891">
        <f>SUM('8.2 Pob Ddte'!C116:D116)</f>
        <v>363.64874502287705</v>
      </c>
      <c r="AD47" s="891" t="e">
        <f t="shared" si="8"/>
        <v>#DIV/0!</v>
      </c>
      <c r="AF47" s="889">
        <f t="shared" si="13"/>
        <v>2034</v>
      </c>
      <c r="AG47" s="890" t="e">
        <f t="shared" si="1"/>
        <v>#DIV/0!</v>
      </c>
      <c r="AH47" s="890" t="e">
        <f t="shared" si="2"/>
        <v>#DIV/0!</v>
      </c>
      <c r="AI47" s="891" t="e">
        <f t="shared" si="2"/>
        <v>#DIV/0!</v>
      </c>
      <c r="AK47" s="618"/>
    </row>
    <row r="48" spans="1:37" x14ac:dyDescent="0.25">
      <c r="B48" s="980"/>
      <c r="C48" s="851"/>
      <c r="D48" s="852"/>
      <c r="E48" s="852"/>
      <c r="F48" s="852"/>
      <c r="G48" s="980"/>
      <c r="H48" s="980"/>
      <c r="I48" s="980"/>
      <c r="J48" s="980"/>
      <c r="K48" s="956"/>
      <c r="L48" s="980"/>
      <c r="M48" s="981"/>
      <c r="N48" s="981"/>
      <c r="O48" s="981"/>
      <c r="P48" s="848"/>
      <c r="Q48" s="848"/>
      <c r="R48" s="848"/>
      <c r="T48" s="848"/>
      <c r="U48" s="848"/>
      <c r="V48" s="848"/>
      <c r="W48" s="848"/>
      <c r="X48" s="848"/>
      <c r="Y48" s="848"/>
      <c r="Z48" s="848"/>
      <c r="AA48" s="848"/>
      <c r="AB48" s="848"/>
      <c r="AC48" s="848"/>
    </row>
    <row r="49" spans="2:38" x14ac:dyDescent="0.25">
      <c r="B49" s="864"/>
      <c r="C49" s="986"/>
      <c r="D49" s="986"/>
      <c r="E49" s="986"/>
      <c r="F49" s="986"/>
      <c r="G49" s="986"/>
      <c r="H49" s="980"/>
      <c r="I49" s="980"/>
      <c r="J49" s="980"/>
      <c r="K49" s="983"/>
      <c r="L49" s="980"/>
      <c r="P49" s="850"/>
      <c r="Q49" s="850"/>
      <c r="R49" s="850"/>
      <c r="T49" s="850"/>
      <c r="U49" s="874"/>
      <c r="V49" s="850"/>
      <c r="W49" s="850"/>
      <c r="X49" s="850"/>
      <c r="Y49" s="850"/>
      <c r="Z49" s="850"/>
      <c r="AA49" s="850"/>
      <c r="AB49" s="850"/>
      <c r="AC49" s="850"/>
      <c r="AD49" s="847"/>
    </row>
    <row r="50" spans="2:38" ht="14.25" thickBot="1" x14ac:dyDescent="0.3">
      <c r="B50" s="987"/>
      <c r="C50" s="822"/>
      <c r="D50" s="822"/>
      <c r="E50" s="822"/>
      <c r="F50" s="980"/>
      <c r="G50" s="980"/>
      <c r="H50" s="980"/>
      <c r="I50" s="980"/>
      <c r="J50" s="980"/>
      <c r="K50" s="842" t="s">
        <v>1683</v>
      </c>
      <c r="O50" s="850"/>
      <c r="P50" s="850"/>
      <c r="Q50" s="850"/>
      <c r="R50" s="850"/>
      <c r="T50" s="850"/>
      <c r="U50" s="842" t="s">
        <v>1684</v>
      </c>
      <c r="V50" s="850"/>
      <c r="W50" s="850"/>
      <c r="X50" s="850"/>
      <c r="Y50" s="850"/>
      <c r="Z50" s="850"/>
      <c r="AA50" s="850"/>
      <c r="AB50" s="850"/>
      <c r="AD50" s="842" t="s">
        <v>1685</v>
      </c>
    </row>
    <row r="51" spans="2:38" ht="14.25" thickBot="1" x14ac:dyDescent="0.3">
      <c r="B51" s="842" t="s">
        <v>1806</v>
      </c>
      <c r="C51" s="822"/>
      <c r="D51" s="822"/>
      <c r="E51" s="822"/>
      <c r="F51" s="980"/>
      <c r="G51" s="980"/>
      <c r="H51" s="980"/>
      <c r="I51" s="988"/>
      <c r="J51" s="980"/>
      <c r="N51" s="1479"/>
      <c r="O51" s="990"/>
      <c r="P51" s="1478"/>
      <c r="S51" s="904" t="s">
        <v>1686</v>
      </c>
      <c r="T51" s="850"/>
      <c r="U51" s="858"/>
      <c r="Z51" s="850"/>
      <c r="AA51" s="904" t="s">
        <v>1687</v>
      </c>
      <c r="AK51" s="904" t="s">
        <v>1688</v>
      </c>
    </row>
    <row r="52" spans="2:38" ht="27.75" customHeight="1" thickBot="1" x14ac:dyDescent="0.3">
      <c r="B52" s="871"/>
      <c r="C52" s="822"/>
      <c r="D52" s="822"/>
      <c r="E52" s="980"/>
      <c r="F52" s="980"/>
      <c r="G52" s="904" t="s">
        <v>1689</v>
      </c>
      <c r="J52" s="980"/>
      <c r="K52" s="3990" t="s">
        <v>1485</v>
      </c>
      <c r="L52" s="3987" t="s">
        <v>1377</v>
      </c>
      <c r="M52" s="1451" t="s">
        <v>1690</v>
      </c>
      <c r="N52" s="1451" t="s">
        <v>1691</v>
      </c>
      <c r="O52" s="1451" t="s">
        <v>1692</v>
      </c>
      <c r="P52" s="1451" t="s">
        <v>1693</v>
      </c>
      <c r="Q52" s="1451" t="s">
        <v>1694</v>
      </c>
      <c r="R52" s="1451" t="s">
        <v>1694</v>
      </c>
      <c r="S52" s="3993" t="s">
        <v>0</v>
      </c>
      <c r="T52" s="850"/>
      <c r="U52" s="3990" t="s">
        <v>1485</v>
      </c>
      <c r="V52" s="3987" t="s">
        <v>1695</v>
      </c>
      <c r="W52" s="3987" t="s">
        <v>1696</v>
      </c>
      <c r="X52" s="3987" t="s">
        <v>1697</v>
      </c>
      <c r="Y52" s="3987" t="s">
        <v>1698</v>
      </c>
      <c r="Z52" s="3987" t="s">
        <v>1699</v>
      </c>
      <c r="AA52" s="3993" t="s">
        <v>1700</v>
      </c>
      <c r="AD52" s="3990" t="s">
        <v>1485</v>
      </c>
      <c r="AE52" s="3987" t="s">
        <v>1701</v>
      </c>
      <c r="AF52" s="1047" t="s">
        <v>1702</v>
      </c>
      <c r="AG52" s="1047" t="s">
        <v>1703</v>
      </c>
      <c r="AH52" s="3987" t="s">
        <v>1704</v>
      </c>
      <c r="AI52" s="1047" t="s">
        <v>1705</v>
      </c>
      <c r="AJ52" s="3987" t="s">
        <v>1706</v>
      </c>
      <c r="AK52" s="3993" t="s">
        <v>1707</v>
      </c>
    </row>
    <row r="53" spans="2:38" ht="29.25" customHeight="1" thickBot="1" x14ac:dyDescent="0.3">
      <c r="B53" s="3990" t="s">
        <v>1485</v>
      </c>
      <c r="C53" s="3987" t="s">
        <v>1708</v>
      </c>
      <c r="D53" s="3987"/>
      <c r="E53" s="3987"/>
      <c r="F53" s="3987" t="s">
        <v>1709</v>
      </c>
      <c r="G53" s="3993" t="s">
        <v>1710</v>
      </c>
      <c r="I53" s="980"/>
      <c r="J53" s="980"/>
      <c r="K53" s="3991"/>
      <c r="L53" s="3988"/>
      <c r="M53" s="1452" t="s">
        <v>1711</v>
      </c>
      <c r="N53" s="1452" t="s">
        <v>1711</v>
      </c>
      <c r="O53" s="1452" t="s">
        <v>1711</v>
      </c>
      <c r="P53" s="1452" t="s">
        <v>2214</v>
      </c>
      <c r="Q53" s="1452" t="s">
        <v>2215</v>
      </c>
      <c r="R53" s="1452" t="s">
        <v>2216</v>
      </c>
      <c r="S53" s="3994"/>
      <c r="T53" s="850"/>
      <c r="U53" s="3991"/>
      <c r="V53" s="3988"/>
      <c r="W53" s="3988"/>
      <c r="X53" s="3988"/>
      <c r="Y53" s="3988"/>
      <c r="Z53" s="3988"/>
      <c r="AA53" s="3994"/>
      <c r="AD53" s="3991"/>
      <c r="AE53" s="3988"/>
      <c r="AF53" s="1043">
        <f>(1-('8.2 Pob Ddte'!C53/'8.2 Pob Ddte'!B53))</f>
        <v>0.33740118098863536</v>
      </c>
      <c r="AG53" s="1043">
        <f>('8.2 Pob Ddte'!C53/'8.2 Pob Ddte'!B53)</f>
        <v>0.66259881901136464</v>
      </c>
      <c r="AH53" s="3988"/>
      <c r="AI53" s="1043">
        <f>AG53</f>
        <v>0.66259881901136464</v>
      </c>
      <c r="AJ53" s="3988"/>
      <c r="AK53" s="3994"/>
    </row>
    <row r="54" spans="2:38" ht="32.25" customHeight="1" thickBot="1" x14ac:dyDescent="0.3">
      <c r="B54" s="3991"/>
      <c r="C54" s="3988" t="s">
        <v>1712</v>
      </c>
      <c r="D54" s="1042" t="s">
        <v>1713</v>
      </c>
      <c r="E54" s="3988" t="s">
        <v>42</v>
      </c>
      <c r="F54" s="3988"/>
      <c r="G54" s="3994"/>
      <c r="I54" s="848"/>
      <c r="J54" s="961"/>
      <c r="K54" s="3991"/>
      <c r="L54" s="3988"/>
      <c r="M54" s="1049">
        <f>SUM('3 Pob x Edad y EESS P1 P2'!AF37:AP37)*'3 Pob x Edad y EESS P1 P2'!AW37</f>
        <v>0.32447494432495116</v>
      </c>
      <c r="N54" s="1049">
        <f>SUM('3 Pob x Edad y EESS P1 P2'!AF37:AP37)*'3 Pob x Edad y EESS P1 P2'!AW37</f>
        <v>0.32447494432495116</v>
      </c>
      <c r="O54" s="1049">
        <f>SUM('3 Pob x Edad y EESS P1 P2'!AF37:AP37)</f>
        <v>0.59243949520219641</v>
      </c>
      <c r="P54" s="1049">
        <f>SUM('3 Pob x Edad y EESS P1 P2'!AF37:AQ37)*(1-'3 Pob x Edad y EESS P1 P2'!AW37)</f>
        <v>0.27852779114371057</v>
      </c>
      <c r="Q54" s="1049">
        <f>SUM('3 Pob x Edad y EESS P1 P2'!Z37:AE37)</f>
        <v>0.11436658081294578</v>
      </c>
      <c r="R54" s="1049">
        <f>SUM('3 Pob x Edad y EESS P1 P2'!AF37:AT37)</f>
        <v>0.66387567781208445</v>
      </c>
      <c r="S54" s="3994"/>
      <c r="T54" s="850"/>
      <c r="U54" s="3991"/>
      <c r="V54" s="3988"/>
      <c r="W54" s="3988"/>
      <c r="X54" s="3988"/>
      <c r="Y54" s="3988"/>
      <c r="Z54" s="3988"/>
      <c r="AA54" s="3994"/>
      <c r="AD54" s="3992"/>
      <c r="AE54" s="3989"/>
      <c r="AF54" s="1046">
        <v>1</v>
      </c>
      <c r="AG54" s="1046">
        <v>1</v>
      </c>
      <c r="AH54" s="1046">
        <v>2</v>
      </c>
      <c r="AI54" s="1046">
        <v>1</v>
      </c>
      <c r="AJ54" s="1046">
        <v>2</v>
      </c>
      <c r="AK54" s="4389"/>
      <c r="AL54" s="990"/>
    </row>
    <row r="55" spans="2:38" ht="14.25" thickBot="1" x14ac:dyDescent="0.3">
      <c r="B55" s="3991"/>
      <c r="C55" s="3988"/>
      <c r="D55" s="1043">
        <f>C81</f>
        <v>0.3498296629423514</v>
      </c>
      <c r="E55" s="3988"/>
      <c r="F55" s="1042" t="s">
        <v>1714</v>
      </c>
      <c r="G55" s="3994"/>
      <c r="I55" s="848"/>
      <c r="J55" s="961" t="s">
        <v>1715</v>
      </c>
      <c r="K55" s="3991"/>
      <c r="L55" s="3988"/>
      <c r="M55" s="1043">
        <v>0.25</v>
      </c>
      <c r="N55" s="1043">
        <v>0.25</v>
      </c>
      <c r="O55" s="1043">
        <v>0.15</v>
      </c>
      <c r="P55" s="1043">
        <v>0.25</v>
      </c>
      <c r="Q55" s="1043">
        <v>0.15</v>
      </c>
      <c r="R55" s="1043">
        <v>0.15</v>
      </c>
      <c r="S55" s="3994"/>
      <c r="T55" s="850"/>
      <c r="U55" s="3991"/>
      <c r="V55" s="3988"/>
      <c r="W55" s="3988"/>
      <c r="X55" s="3988"/>
      <c r="Y55" s="3988"/>
      <c r="Z55" s="3988"/>
      <c r="AA55" s="3994"/>
      <c r="AD55" s="942">
        <v>2018</v>
      </c>
      <c r="AE55" s="943">
        <f>SUM('3 Pob x Edad y EESS P1 P2'!AP31:AS31)</f>
        <v>79.131530196368928</v>
      </c>
      <c r="AF55" s="943">
        <f>AE55*AF$53*AF$54</f>
        <v>26.699071741692737</v>
      </c>
      <c r="AG55" s="943">
        <f>AE55*AG$53*AG$54</f>
        <v>52.432458454676194</v>
      </c>
      <c r="AH55" s="943">
        <f>'3 Pob x Edad y EESS P1 P2'!AT31</f>
        <v>11.689885142645412</v>
      </c>
      <c r="AI55" s="943">
        <f>SUM('3 Pob x Edad y EESS P1 P2'!AT32)*AI53</f>
        <v>15.491408179790701</v>
      </c>
      <c r="AJ55" s="943">
        <f>SUM('3 Pob x Edad y EESS P1 P2'!AT32)*AJ54</f>
        <v>46.759540570581663</v>
      </c>
      <c r="AK55" s="944">
        <f>SUM(AF55:AJ55)</f>
        <v>153.0723640893867</v>
      </c>
    </row>
    <row r="56" spans="2:38" ht="14.25" thickBot="1" x14ac:dyDescent="0.3">
      <c r="B56" s="3991"/>
      <c r="C56" s="3988"/>
      <c r="D56" s="1044">
        <v>0.2</v>
      </c>
      <c r="E56" s="1044">
        <v>1</v>
      </c>
      <c r="F56" s="1045">
        <f>'4 Estadis ESTRATEG Prod3'!J440/'3 Pob x Edad y EESS P1 P2'!M31</f>
        <v>1.0312210657606685E-2</v>
      </c>
      <c r="G56" s="3994"/>
      <c r="I56" s="848"/>
      <c r="J56" s="832"/>
      <c r="K56" s="3992"/>
      <c r="L56" s="3989"/>
      <c r="M56" s="1453">
        <v>2</v>
      </c>
      <c r="N56" s="1453">
        <v>2</v>
      </c>
      <c r="O56" s="1453">
        <v>2</v>
      </c>
      <c r="P56" s="1453">
        <v>2</v>
      </c>
      <c r="Q56" s="1453">
        <v>2</v>
      </c>
      <c r="R56" s="1453">
        <v>2</v>
      </c>
      <c r="S56" s="4389"/>
      <c r="T56" s="850"/>
      <c r="U56" s="3991"/>
      <c r="V56" s="3988"/>
      <c r="W56" s="1051">
        <v>0.2</v>
      </c>
      <c r="X56" s="1051">
        <v>0.2</v>
      </c>
      <c r="Y56" s="1051">
        <v>0.6</v>
      </c>
      <c r="Z56" s="1051">
        <f>SUM('3 Pob x Edad y EESS P1 P2'!Z38:AE38)</f>
        <v>0.1096171839666604</v>
      </c>
      <c r="AA56" s="3994"/>
      <c r="AD56" s="951">
        <f>AD55+1</f>
        <v>2019</v>
      </c>
      <c r="AE56" s="1456">
        <f>AE55*(1+'8.1 Pob Urbana y Rural'!G$50)</f>
        <v>79.162194245736387</v>
      </c>
      <c r="AF56" s="943">
        <f t="shared" ref="AF56:AF71" si="14">AE56*AF$53*AF$54</f>
        <v>26.709417828163211</v>
      </c>
      <c r="AG56" s="943">
        <f t="shared" ref="AG56:AG71" si="15">AE56*AG$53*AG$54</f>
        <v>52.452776417573176</v>
      </c>
      <c r="AH56" s="1456">
        <f>AH55*(1+'8.1 Pob Urbana y Rural'!G$50)</f>
        <v>11.694415059029241</v>
      </c>
      <c r="AI56" s="1456">
        <f>AI55*(1+'8.1 Pob Urbana y Rural'!G$50)</f>
        <v>15.497411214282993</v>
      </c>
      <c r="AJ56" s="1456">
        <f>AJ55*(1+'8.1 Pob Urbana y Rural'!G$50)</f>
        <v>46.777660236116979</v>
      </c>
      <c r="AK56" s="944">
        <f t="shared" ref="AK56:AK71" si="16">SUM(AF56:AJ56)</f>
        <v>153.1316807551656</v>
      </c>
    </row>
    <row r="57" spans="2:38" ht="14.25" thickBot="1" x14ac:dyDescent="0.3">
      <c r="B57" s="3992"/>
      <c r="C57" s="3989"/>
      <c r="D57" s="1046">
        <v>2</v>
      </c>
      <c r="E57" s="1046">
        <v>2</v>
      </c>
      <c r="F57" s="1046">
        <v>2</v>
      </c>
      <c r="G57" s="4389"/>
      <c r="I57" s="848"/>
      <c r="J57" s="514"/>
      <c r="K57" s="942">
        <v>2018</v>
      </c>
      <c r="L57" s="953">
        <f>'3 Pob x Edad y EESS P1 P2'!M31</f>
        <v>872.7517599110771</v>
      </c>
      <c r="M57" s="943">
        <f>+$L57*M$54*M$56*M55</f>
        <v>141.59303935332494</v>
      </c>
      <c r="N57" s="943">
        <f t="shared" ref="M57:R72" si="17">+$L57*N$54*N$55*N$56</f>
        <v>141.59303935332494</v>
      </c>
      <c r="O57" s="943">
        <f>+$L57*O$54*O$55*O$56</f>
        <v>155.11578362356408</v>
      </c>
      <c r="P57" s="943">
        <f t="shared" si="17"/>
        <v>121.54280995240916</v>
      </c>
      <c r="Q57" s="943">
        <f>+$L57*Q$54*Q$55*Q$56</f>
        <v>29.944090403853256</v>
      </c>
      <c r="R57" s="943">
        <f>+$L57*R$54*R$55*R$56</f>
        <v>173.81959985179677</v>
      </c>
      <c r="S57" s="944">
        <f>SUM(M57:R57)</f>
        <v>763.60836253827313</v>
      </c>
      <c r="T57" s="850"/>
      <c r="U57" s="3992"/>
      <c r="V57" s="1052">
        <f>SUM('3 Pob x Edad y EESS P1 P2'!Z37:AE37)</f>
        <v>0.11436658081294578</v>
      </c>
      <c r="W57" s="1046">
        <v>3</v>
      </c>
      <c r="X57" s="1046">
        <v>1</v>
      </c>
      <c r="Y57" s="1046">
        <v>1</v>
      </c>
      <c r="Z57" s="1046">
        <v>3</v>
      </c>
      <c r="AA57" s="4389"/>
      <c r="AD57" s="1070">
        <f t="shared" ref="AD57:AD71" si="18">AD56+1</f>
        <v>2020</v>
      </c>
      <c r="AE57" s="1458">
        <f>AE56*(1+'8.1 Pob Urbana y Rural'!G$50)</f>
        <v>79.192870177648274</v>
      </c>
      <c r="AF57" s="949">
        <f t="shared" si="14"/>
        <v>26.71976792381821</v>
      </c>
      <c r="AG57" s="949">
        <f t="shared" si="15"/>
        <v>52.473102253830064</v>
      </c>
      <c r="AH57" s="1458">
        <f>AH56*(1+'8.1 Pob Urbana y Rural'!G$50)</f>
        <v>11.698946730788952</v>
      </c>
      <c r="AI57" s="1458">
        <f>AI56*(1+'8.1 Pob Urbana y Rural'!G$50)</f>
        <v>15.503416574995256</v>
      </c>
      <c r="AJ57" s="1458">
        <f>AJ56*(1+'8.1 Pob Urbana y Rural'!G$50)</f>
        <v>46.795786923155823</v>
      </c>
      <c r="AK57" s="950">
        <f t="shared" si="16"/>
        <v>153.19102040658831</v>
      </c>
    </row>
    <row r="58" spans="2:38" ht="14.25" thickBot="1" x14ac:dyDescent="0.3">
      <c r="B58" s="942">
        <v>2018</v>
      </c>
      <c r="C58" s="953">
        <f>'3 Pob x Edad y EESS P1 P2'!M31</f>
        <v>872.7517599110771</v>
      </c>
      <c r="D58" s="943">
        <f>C58*D55*D56*D57</f>
        <v>122.12578160081443</v>
      </c>
      <c r="E58" s="943" t="e">
        <f>C58*F81*E57*E56</f>
        <v>#REF!</v>
      </c>
      <c r="F58" s="943">
        <f>C58*F56*F57</f>
        <v>18</v>
      </c>
      <c r="G58" s="944" t="e">
        <f>+D58+E58+F58</f>
        <v>#REF!</v>
      </c>
      <c r="I58" s="850"/>
      <c r="J58" s="514"/>
      <c r="K58" s="942">
        <f>+K57+1</f>
        <v>2019</v>
      </c>
      <c r="L58" s="1465">
        <f>L57*(1+'8.1 Pob Urbana y Rural'!G$50)</f>
        <v>873.08995763055805</v>
      </c>
      <c r="M58" s="943">
        <f>+$L58*M$54*M$55*M$56</f>
        <v>141.64790769642465</v>
      </c>
      <c r="N58" s="943">
        <f>+$L58*N$54*N$55*N$56</f>
        <v>141.64790769642465</v>
      </c>
      <c r="O58" s="943">
        <f t="shared" si="17"/>
        <v>155.17589212942644</v>
      </c>
      <c r="P58" s="943">
        <f t="shared" si="17"/>
        <v>121.58990868429758</v>
      </c>
      <c r="Q58" s="943">
        <f t="shared" si="17"/>
        <v>29.955693958897985</v>
      </c>
      <c r="R58" s="943">
        <f>+$L58*R$54*R$55*R$56</f>
        <v>173.88695622387326</v>
      </c>
      <c r="S58" s="944">
        <f t="shared" ref="S58:S73" si="19">SUM(M58:R58)</f>
        <v>763.90426638934468</v>
      </c>
      <c r="T58" s="850"/>
      <c r="U58" s="942">
        <v>2018</v>
      </c>
      <c r="V58" s="943">
        <f>'3 Pob x Edad y EESS P1 P2'!M31*$V$57</f>
        <v>99.813634679510855</v>
      </c>
      <c r="W58" s="943">
        <f>V58*W$56*W$57</f>
        <v>59.888180807706519</v>
      </c>
      <c r="X58" s="943">
        <f>V58*X$56*X$57</f>
        <v>19.962726935902172</v>
      </c>
      <c r="Y58" s="943">
        <f>SUM('3 Pob x Edad y EESS P1 P2'!P31:AE31)*Y56</f>
        <v>162.39948128936626</v>
      </c>
      <c r="Z58" s="943">
        <f>'8.2 Pob Ddte'!C100*$Z$56*$Z$57</f>
        <v>38.029432541419283</v>
      </c>
      <c r="AA58" s="943">
        <f>SUM(W58:Z58)</f>
        <v>280.27982157439425</v>
      </c>
      <c r="AD58" s="1070">
        <f t="shared" si="18"/>
        <v>2021</v>
      </c>
      <c r="AE58" s="1458">
        <f>AE57*(1+'8.1 Pob Urbana y Rural'!G$50)</f>
        <v>79.223557996709175</v>
      </c>
      <c r="AF58" s="949">
        <f t="shared" si="14"/>
        <v>26.730122030211323</v>
      </c>
      <c r="AG58" s="949">
        <f t="shared" si="15"/>
        <v>52.493435966497856</v>
      </c>
      <c r="AH58" s="1458">
        <f>AH57*(1+'8.1 Pob Urbana y Rural'!G$50)</f>
        <v>11.703480158604767</v>
      </c>
      <c r="AI58" s="1458">
        <f>AI57*(1+'8.1 Pob Urbana y Rural'!G$50)</f>
        <v>15.509424262828921</v>
      </c>
      <c r="AJ58" s="1458">
        <f>AJ57*(1+'8.1 Pob Urbana y Rural'!G$50)</f>
        <v>46.813920634419084</v>
      </c>
      <c r="AK58" s="950">
        <f t="shared" si="16"/>
        <v>153.25038305256194</v>
      </c>
    </row>
    <row r="59" spans="2:38" ht="14.25" thickBot="1" x14ac:dyDescent="0.3">
      <c r="B59" s="942">
        <f>B58+1</f>
        <v>2019</v>
      </c>
      <c r="C59" s="1465">
        <f>C58*(1+'8.1 Pob Urbana y Rural'!G$50)</f>
        <v>873.08995763055805</v>
      </c>
      <c r="D59" s="943">
        <f>C59*$D$55*$D$56*$D$57</f>
        <v>122.1731062385</v>
      </c>
      <c r="E59" s="1456" t="e">
        <f>+E58*(1+'8.1 Pob Urbana y Rural'!G$50)</f>
        <v>#REF!</v>
      </c>
      <c r="F59" s="1456">
        <f>F58*(1+'8.1 Pob Urbana y Rural'!G$50)</f>
        <v>18.006975132254418</v>
      </c>
      <c r="G59" s="944" t="e">
        <f t="shared" ref="G59:G73" si="20">+D59+E59+F59</f>
        <v>#REF!</v>
      </c>
      <c r="I59" s="850"/>
      <c r="J59" s="514"/>
      <c r="K59" s="948">
        <f>+K58+1</f>
        <v>2020</v>
      </c>
      <c r="L59" s="1467">
        <f>L58*(1+'8.1 Pob Urbana y Rural'!G$50)</f>
        <v>873.42828640414018</v>
      </c>
      <c r="M59" s="949">
        <f>+$L59*M$54*M$55*M$56</f>
        <v>141.70279730141044</v>
      </c>
      <c r="N59" s="949">
        <f t="shared" si="17"/>
        <v>141.70279730141044</v>
      </c>
      <c r="O59" s="949">
        <f t="shared" si="17"/>
        <v>155.23602392777647</v>
      </c>
      <c r="P59" s="949">
        <f t="shared" si="17"/>
        <v>121.63702566729069</v>
      </c>
      <c r="Q59" s="949">
        <f t="shared" si="17"/>
        <v>29.96730201040555</v>
      </c>
      <c r="R59" s="949">
        <f t="shared" si="17"/>
        <v>173.95433869703876</v>
      </c>
      <c r="S59" s="950">
        <f t="shared" si="19"/>
        <v>764.20028490533241</v>
      </c>
      <c r="T59" s="850"/>
      <c r="U59" s="951">
        <f>+U58+1</f>
        <v>2019</v>
      </c>
      <c r="V59" s="1456">
        <f>V58*(1+'8.1 Pob Urbana y Rural'!G$50)</f>
        <v>99.85231319632662</v>
      </c>
      <c r="W59" s="943">
        <f t="shared" ref="W59:W74" si="21">V59*W$56*W$57</f>
        <v>59.911387917795977</v>
      </c>
      <c r="X59" s="943">
        <f t="shared" ref="X59:X74" si="22">V59*X$56*X$57</f>
        <v>19.970462639265325</v>
      </c>
      <c r="Y59" s="1456">
        <f>Y58*(1+'8.1 Pob Urbana y Rural'!G$50)</f>
        <v>162.46241228159084</v>
      </c>
      <c r="Z59" s="1456">
        <f>'8.2 Pob Ddte'!C101*$Z$56*$Z$57</f>
        <v>38.322999275810041</v>
      </c>
      <c r="AA59" s="943">
        <f t="shared" ref="AA59:AA74" si="23">SUM(W59:Z59)</f>
        <v>280.66726211446218</v>
      </c>
      <c r="AD59" s="1070">
        <f t="shared" si="18"/>
        <v>2022</v>
      </c>
      <c r="AE59" s="1458">
        <f>AE58*(1+'8.1 Pob Urbana y Rural'!G$50)</f>
        <v>79.25425770752544</v>
      </c>
      <c r="AF59" s="949">
        <f t="shared" si="14"/>
        <v>26.74048014889674</v>
      </c>
      <c r="AG59" s="949">
        <f t="shared" si="15"/>
        <v>52.513777558628696</v>
      </c>
      <c r="AH59" s="1458">
        <f>AH58*(1+'8.1 Pob Urbana y Rural'!G$50)</f>
        <v>11.70801534315717</v>
      </c>
      <c r="AI59" s="1458">
        <f>AI58*(1+'8.1 Pob Urbana y Rural'!G$50)</f>
        <v>15.515434278685762</v>
      </c>
      <c r="AJ59" s="1458">
        <f>AJ58*(1+'8.1 Pob Urbana y Rural'!G$50)</f>
        <v>46.832061372628694</v>
      </c>
      <c r="AK59" s="950">
        <f t="shared" si="16"/>
        <v>153.30976870199706</v>
      </c>
    </row>
    <row r="60" spans="2:38" ht="14.25" thickBot="1" x14ac:dyDescent="0.3">
      <c r="B60" s="948">
        <f>B59+1</f>
        <v>2020</v>
      </c>
      <c r="C60" s="1467">
        <f>C59*(1+'8.1 Pob Urbana y Rural'!G$50)</f>
        <v>873.42828640414018</v>
      </c>
      <c r="D60" s="949">
        <f>C60*$D$55*$D$56*$D$57</f>
        <v>122.22044921483037</v>
      </c>
      <c r="E60" s="1458" t="e">
        <f>+E59*(1+'8.1 Pob Urbana y Rural'!G$50)</f>
        <v>#REF!</v>
      </c>
      <c r="F60" s="1458">
        <f>F59*(1+'8.1 Pob Urbana y Rural'!G$50)</f>
        <v>18.013952967423837</v>
      </c>
      <c r="G60" s="950" t="e">
        <f t="shared" si="20"/>
        <v>#REF!</v>
      </c>
      <c r="I60" s="850"/>
      <c r="J60" s="514"/>
      <c r="K60" s="948">
        <f t="shared" ref="K60:K72" si="24">+K59+1</f>
        <v>2021</v>
      </c>
      <c r="L60" s="1467">
        <f>L59*(1+'8.1 Pob Urbana y Rural'!G$50)</f>
        <v>873.76674628260798</v>
      </c>
      <c r="M60" s="1069">
        <f t="shared" si="17"/>
        <v>141.75770817652148</v>
      </c>
      <c r="N60" s="1069">
        <f t="shared" si="17"/>
        <v>141.75770817652148</v>
      </c>
      <c r="O60" s="1069">
        <f t="shared" si="17"/>
        <v>155.29617902764016</v>
      </c>
      <c r="P60" s="1069">
        <f t="shared" si="17"/>
        <v>121.6841609084609</v>
      </c>
      <c r="Q60" s="1069">
        <f t="shared" si="17"/>
        <v>29.978914560118369</v>
      </c>
      <c r="R60" s="1069">
        <f t="shared" si="17"/>
        <v>174.02174728140781</v>
      </c>
      <c r="S60" s="950">
        <f t="shared" si="19"/>
        <v>764.49641813067012</v>
      </c>
      <c r="T60" s="848"/>
      <c r="U60" s="1070">
        <f>+U59+1</f>
        <v>2020</v>
      </c>
      <c r="V60" s="1458">
        <f>V59*(1+'8.1 Pob Urbana y Rural'!G$50)</f>
        <v>99.891006701351841</v>
      </c>
      <c r="W60" s="949">
        <f t="shared" si="21"/>
        <v>59.934604020811108</v>
      </c>
      <c r="X60" s="949">
        <f t="shared" si="22"/>
        <v>19.97820134027037</v>
      </c>
      <c r="Y60" s="1458">
        <f>Y59*(1+'8.1 Pob Urbana y Rural'!G$50)</f>
        <v>162.52536766003729</v>
      </c>
      <c r="Z60" s="1458">
        <f>'8.2 Pob Ddte'!C102*$Z$56*$Z$57</f>
        <v>38.616787818160347</v>
      </c>
      <c r="AA60" s="949">
        <f t="shared" si="23"/>
        <v>281.05496083927909</v>
      </c>
      <c r="AD60" s="1025">
        <f t="shared" si="18"/>
        <v>2023</v>
      </c>
      <c r="AE60" s="1459">
        <f>AE59*(1+'8.1 Pob Urbana y Rural'!G$50)</f>
        <v>79.284969314705208</v>
      </c>
      <c r="AF60" s="890">
        <f t="shared" si="14"/>
        <v>26.750842281429254</v>
      </c>
      <c r="AG60" s="890">
        <f t="shared" si="15"/>
        <v>52.534127033275958</v>
      </c>
      <c r="AH60" s="1459">
        <f>AH59*(1+'8.1 Pob Urbana y Rural'!G$50)</f>
        <v>11.712552285126907</v>
      </c>
      <c r="AI60" s="1459">
        <f>AI59*(1+'8.1 Pob Urbana y Rural'!G$50)</f>
        <v>15.521446623467906</v>
      </c>
      <c r="AJ60" s="1459">
        <f>AJ59*(1+'8.1 Pob Urbana y Rural'!G$50)</f>
        <v>46.850209140507644</v>
      </c>
      <c r="AK60" s="891">
        <f>SUM(AF60:AJ60)</f>
        <v>153.36917736380767</v>
      </c>
    </row>
    <row r="61" spans="2:38" ht="14.25" thickBot="1" x14ac:dyDescent="0.3">
      <c r="B61" s="948">
        <f t="shared" ref="B61:B74" si="25">B60+1</f>
        <v>2021</v>
      </c>
      <c r="C61" s="1467">
        <f>C60*(1+'8.1 Pob Urbana y Rural'!G$50)</f>
        <v>873.76674628260798</v>
      </c>
      <c r="D61" s="949">
        <f t="shared" ref="D61:D74" si="26">C61*$D$55*$D$56*$D$57</f>
        <v>122.26781053691194</v>
      </c>
      <c r="E61" s="1458" t="e">
        <f>+E60*(1+'8.1 Pob Urbana y Rural'!G$50)</f>
        <v>#REF!</v>
      </c>
      <c r="F61" s="1458">
        <f>F60*(1+'8.1 Pob Urbana y Rural'!G$50)</f>
        <v>18.02093350655565</v>
      </c>
      <c r="G61" s="950" t="e">
        <f>+D61+E61+F61</f>
        <v>#REF!</v>
      </c>
      <c r="I61" s="850"/>
      <c r="J61" s="514"/>
      <c r="K61" s="948">
        <f t="shared" si="24"/>
        <v>2022</v>
      </c>
      <c r="L61" s="1467">
        <f>L60*(1+'8.1 Pob Urbana y Rural'!G$50)</f>
        <v>874.10533731676549</v>
      </c>
      <c r="M61" s="949">
        <f t="shared" si="17"/>
        <v>141.81264033000008</v>
      </c>
      <c r="N61" s="949">
        <f t="shared" si="17"/>
        <v>141.81264033000008</v>
      </c>
      <c r="O61" s="949">
        <f t="shared" si="17"/>
        <v>155.35635743804707</v>
      </c>
      <c r="P61" s="949">
        <f t="shared" si="17"/>
        <v>121.73131441488337</v>
      </c>
      <c r="Q61" s="949">
        <f t="shared" si="17"/>
        <v>29.990531609779527</v>
      </c>
      <c r="R61" s="949">
        <f t="shared" si="17"/>
        <v>174.0891819870985</v>
      </c>
      <c r="S61" s="950">
        <f t="shared" si="19"/>
        <v>764.79266610980869</v>
      </c>
      <c r="T61" s="848"/>
      <c r="U61" s="1070">
        <f t="shared" ref="U61:U74" si="27">+U60+1</f>
        <v>2021</v>
      </c>
      <c r="V61" s="1458">
        <f>V60*(1+'8.1 Pob Urbana y Rural'!G$50)</f>
        <v>99.929715200394568</v>
      </c>
      <c r="W61" s="949">
        <f>V61*W$56*W$57</f>
        <v>59.957829120236745</v>
      </c>
      <c r="X61" s="949">
        <f t="shared" si="22"/>
        <v>19.985943040078915</v>
      </c>
      <c r="Y61" s="1458">
        <f>Y60*(1+'8.1 Pob Urbana y Rural'!G$50)</f>
        <v>162.58834743415545</v>
      </c>
      <c r="Z61" s="1458">
        <f>'8.2 Pob Ddte'!C103*$Z$56*$Z$57</f>
        <v>38.910798296292107</v>
      </c>
      <c r="AA61" s="949">
        <f t="shared" si="23"/>
        <v>281.44291789076323</v>
      </c>
      <c r="AD61" s="1025">
        <f t="shared" si="18"/>
        <v>2024</v>
      </c>
      <c r="AE61" s="1459">
        <f>AE60*(1+'8.1 Pob Urbana y Rural'!G$50)</f>
        <v>79.315692822858409</v>
      </c>
      <c r="AF61" s="890">
        <f t="shared" si="14"/>
        <v>26.761208429364256</v>
      </c>
      <c r="AG61" s="890">
        <f t="shared" si="15"/>
        <v>52.55448439349415</v>
      </c>
      <c r="AH61" s="1459">
        <f>AH60*(1+'8.1 Pob Urbana y Rural'!G$50)</f>
        <v>11.717090985194995</v>
      </c>
      <c r="AI61" s="1459">
        <f>AI60*(1+'8.1 Pob Urbana y Rural'!G$50)</f>
        <v>15.527461298077828</v>
      </c>
      <c r="AJ61" s="1459">
        <f>AJ60*(1+'8.1 Pob Urbana y Rural'!G$50)</f>
        <v>46.868363940779993</v>
      </c>
      <c r="AK61" s="891">
        <f t="shared" si="16"/>
        <v>153.42860904691122</v>
      </c>
    </row>
    <row r="62" spans="2:38" ht="14.25" thickBot="1" x14ac:dyDescent="0.3">
      <c r="B62" s="948">
        <f t="shared" si="25"/>
        <v>2022</v>
      </c>
      <c r="C62" s="1467">
        <f>C61*(1+'8.1 Pob Urbana y Rural'!G$50)</f>
        <v>874.10533731676549</v>
      </c>
      <c r="D62" s="949">
        <f t="shared" si="26"/>
        <v>122.31519021185377</v>
      </c>
      <c r="E62" s="1458" t="e">
        <f>+E61*(1+'8.1 Pob Urbana y Rural'!G$50)</f>
        <v>#REF!</v>
      </c>
      <c r="F62" s="1458">
        <f>F61*(1+'8.1 Pob Urbana y Rural'!G$50)</f>
        <v>18.027916750697667</v>
      </c>
      <c r="G62" s="950" t="e">
        <f t="shared" si="20"/>
        <v>#REF!</v>
      </c>
      <c r="I62" s="850"/>
      <c r="J62" s="514"/>
      <c r="K62" s="889">
        <f t="shared" si="24"/>
        <v>2023</v>
      </c>
      <c r="L62" s="1473">
        <f>L61*(1+'8.1 Pob Urbana y Rural'!G$50)</f>
        <v>874.4440595574365</v>
      </c>
      <c r="M62" s="1024">
        <f>+$L62*M$54*M$55*M$56</f>
        <v>141.86759377009176</v>
      </c>
      <c r="N62" s="1024">
        <f>+$L62*N$54*N$55*N$56</f>
        <v>141.86759377009176</v>
      </c>
      <c r="O62" s="1024">
        <f t="shared" si="17"/>
        <v>155.41655916803012</v>
      </c>
      <c r="P62" s="1024">
        <f t="shared" si="17"/>
        <v>121.77848619363604</v>
      </c>
      <c r="Q62" s="1024">
        <f t="shared" si="17"/>
        <v>30.002153161132775</v>
      </c>
      <c r="R62" s="1024">
        <f t="shared" si="17"/>
        <v>174.15664282423316</v>
      </c>
      <c r="S62" s="891">
        <f t="shared" si="19"/>
        <v>765.08902888721559</v>
      </c>
      <c r="T62" s="848"/>
      <c r="U62" s="1070">
        <f t="shared" si="27"/>
        <v>2022</v>
      </c>
      <c r="V62" s="1458">
        <f>V61*(1+'8.1 Pob Urbana y Rural'!G$50)</f>
        <v>99.968438699265079</v>
      </c>
      <c r="W62" s="949">
        <f>V62*W$56*W$57</f>
        <v>59.981063219559047</v>
      </c>
      <c r="X62" s="949">
        <f t="shared" si="22"/>
        <v>19.993687739853016</v>
      </c>
      <c r="Y62" s="1458">
        <f>Y61*(1+'8.1 Pob Urbana y Rural'!G$50)</f>
        <v>162.65135161339882</v>
      </c>
      <c r="Z62" s="1458">
        <f>'8.2 Pob Ddte'!C104*$Z$56*$Z$57</f>
        <v>39.205030838092952</v>
      </c>
      <c r="AA62" s="949">
        <f t="shared" si="23"/>
        <v>281.83113341090382</v>
      </c>
      <c r="AD62" s="1025">
        <f t="shared" si="18"/>
        <v>2025</v>
      </c>
      <c r="AE62" s="1459">
        <f>AE61*(1+'8.1 Pob Urbana y Rural'!G$50)</f>
        <v>79.346428236596765</v>
      </c>
      <c r="AF62" s="890">
        <f t="shared" si="14"/>
        <v>26.771578594257754</v>
      </c>
      <c r="AG62" s="890">
        <f t="shared" si="15"/>
        <v>52.574849642339011</v>
      </c>
      <c r="AH62" s="1459">
        <f>AH61*(1+'8.1 Pob Urbana y Rural'!G$50)</f>
        <v>11.721631444042705</v>
      </c>
      <c r="AI62" s="1459">
        <f>AI61*(1+'8.1 Pob Urbana y Rural'!G$50)</f>
        <v>15.533478303418354</v>
      </c>
      <c r="AJ62" s="1459">
        <f>AJ61*(1+'8.1 Pob Urbana y Rural'!G$50)</f>
        <v>46.886525776170835</v>
      </c>
      <c r="AK62" s="891">
        <f t="shared" si="16"/>
        <v>153.48806376022864</v>
      </c>
    </row>
    <row r="63" spans="2:38" ht="14.25" thickBot="1" x14ac:dyDescent="0.3">
      <c r="B63" s="889">
        <f t="shared" si="25"/>
        <v>2023</v>
      </c>
      <c r="C63" s="1473">
        <f>C62*(1+'8.1 Pob Urbana y Rural'!G$50)</f>
        <v>874.4440595574365</v>
      </c>
      <c r="D63" s="1024">
        <f t="shared" si="26"/>
        <v>122.3625882467678</v>
      </c>
      <c r="E63" s="1459" t="e">
        <f>+E62*(1+'8.1 Pob Urbana y Rural'!G$50)</f>
        <v>#REF!</v>
      </c>
      <c r="F63" s="1459">
        <f>F62*(1+'8.1 Pob Urbana y Rural'!G$50)</f>
        <v>18.034902700898098</v>
      </c>
      <c r="G63" s="891" t="e">
        <f>+D63+E63+F63</f>
        <v>#REF!</v>
      </c>
      <c r="I63" s="850"/>
      <c r="J63" s="1480"/>
      <c r="K63" s="889">
        <f t="shared" si="24"/>
        <v>2024</v>
      </c>
      <c r="L63" s="1473">
        <f>L62*(1+'8.1 Pob Urbana y Rural'!G$50)</f>
        <v>874.78291305546452</v>
      </c>
      <c r="M63" s="1024">
        <f>+$L63*M$54*M$55*M$56</f>
        <v>141.92256850504523</v>
      </c>
      <c r="N63" s="1024">
        <f>+$L63*N$54*N$55*N$56</f>
        <v>141.92256850504523</v>
      </c>
      <c r="O63" s="1024">
        <f t="shared" si="17"/>
        <v>155.47678422662588</v>
      </c>
      <c r="P63" s="1024">
        <f t="shared" si="17"/>
        <v>121.82567625179958</v>
      </c>
      <c r="Q63" s="1024">
        <f t="shared" si="17"/>
        <v>30.013779215922568</v>
      </c>
      <c r="R63" s="1024">
        <f>+$L63*R$54*R$55*R$56</f>
        <v>174.22412980293788</v>
      </c>
      <c r="S63" s="891">
        <f t="shared" si="19"/>
        <v>765.38550650737636</v>
      </c>
      <c r="T63" s="848"/>
      <c r="U63" s="1025">
        <f t="shared" si="27"/>
        <v>2023</v>
      </c>
      <c r="V63" s="1459">
        <f>V62*(1+'8.1 Pob Urbana y Rural'!G$50)</f>
        <v>100.00717720377592</v>
      </c>
      <c r="W63" s="890">
        <f t="shared" si="21"/>
        <v>60.004306322265563</v>
      </c>
      <c r="X63" s="890">
        <f t="shared" si="22"/>
        <v>20.001435440755188</v>
      </c>
      <c r="Y63" s="1459">
        <f>Y62*(1+'8.1 Pob Urbana y Rural'!G$50)</f>
        <v>162.71438020722456</v>
      </c>
      <c r="Z63" s="1462">
        <f>'8.2 Pob Ddte'!C105*$Z$56*$Z$57</f>
        <v>39.49948557151626</v>
      </c>
      <c r="AA63" s="890">
        <f t="shared" si="23"/>
        <v>282.21960754176155</v>
      </c>
      <c r="AD63" s="1025">
        <f t="shared" si="18"/>
        <v>2026</v>
      </c>
      <c r="AE63" s="1459">
        <f>AE62*(1+'8.1 Pob Urbana y Rural'!G$50)</f>
        <v>79.377175560533772</v>
      </c>
      <c r="AF63" s="890">
        <f t="shared" si="14"/>
        <v>26.781952777666337</v>
      </c>
      <c r="AG63" s="890">
        <f t="shared" si="15"/>
        <v>52.595222782867431</v>
      </c>
      <c r="AH63" s="1459">
        <f>AH62*(1+'8.1 Pob Urbana y Rural'!G$50)</f>
        <v>11.726173662351581</v>
      </c>
      <c r="AI63" s="1459">
        <f>AI62*(1+'8.1 Pob Urbana y Rural'!G$50)</f>
        <v>15.539497640392659</v>
      </c>
      <c r="AJ63" s="1459">
        <f>AJ62*(1+'8.1 Pob Urbana y Rural'!G$50)</f>
        <v>46.904694649406338</v>
      </c>
      <c r="AK63" s="891">
        <f t="shared" si="16"/>
        <v>153.54754151268435</v>
      </c>
    </row>
    <row r="64" spans="2:38" ht="14.25" thickBot="1" x14ac:dyDescent="0.3">
      <c r="B64" s="889">
        <f t="shared" si="25"/>
        <v>2024</v>
      </c>
      <c r="C64" s="1473">
        <f>C63*(1+'8.1 Pob Urbana y Rural'!G$50)</f>
        <v>874.78291305546452</v>
      </c>
      <c r="D64" s="1024">
        <f t="shared" si="26"/>
        <v>122.41000464876859</v>
      </c>
      <c r="E64" s="1459" t="e">
        <f>+E63*(1+'8.1 Pob Urbana y Rural'!G$50)</f>
        <v>#REF!</v>
      </c>
      <c r="F64" s="1459">
        <f>F63*(1+'8.1 Pob Urbana y Rural'!G$50)</f>
        <v>18.041891358205561</v>
      </c>
      <c r="G64" s="891" t="e">
        <f t="shared" si="20"/>
        <v>#REF!</v>
      </c>
      <c r="I64" s="850"/>
      <c r="J64" s="1480"/>
      <c r="K64" s="889">
        <f t="shared" si="24"/>
        <v>2025</v>
      </c>
      <c r="L64" s="1473">
        <f>L63*(1+'8.1 Pob Urbana y Rural'!G$50)</f>
        <v>875.12189786171268</v>
      </c>
      <c r="M64" s="1024">
        <f t="shared" si="17"/>
        <v>141.97756454311241</v>
      </c>
      <c r="N64" s="1024">
        <f t="shared" si="17"/>
        <v>141.97756454311241</v>
      </c>
      <c r="O64" s="1024">
        <f t="shared" si="17"/>
        <v>155.53703262287434</v>
      </c>
      <c r="P64" s="1024">
        <f t="shared" si="17"/>
        <v>121.87288459645737</v>
      </c>
      <c r="Q64" s="1024">
        <f t="shared" si="17"/>
        <v>30.025409775894012</v>
      </c>
      <c r="R64" s="1024">
        <f>+$L64*R$54*R$55*R$56</f>
        <v>174.29164293334267</v>
      </c>
      <c r="S64" s="891">
        <f t="shared" si="19"/>
        <v>765.68209901479315</v>
      </c>
      <c r="T64" s="848"/>
      <c r="U64" s="1025">
        <f t="shared" si="27"/>
        <v>2024</v>
      </c>
      <c r="V64" s="1459">
        <f>V63*(1+'8.1 Pob Urbana y Rural'!G$50)</f>
        <v>100.04593071974189</v>
      </c>
      <c r="W64" s="890">
        <f t="shared" si="21"/>
        <v>60.027558431845137</v>
      </c>
      <c r="X64" s="890">
        <f t="shared" si="22"/>
        <v>20.00918614394838</v>
      </c>
      <c r="Y64" s="1459">
        <f>Y63*(1+'8.1 Pob Urbana y Rural'!G$50)</f>
        <v>162.77743322509352</v>
      </c>
      <c r="Z64" s="1462">
        <f>'8.2 Pob Ddte'!C106*$Z$56*$Z$57</f>
        <v>39.794162624581318</v>
      </c>
      <c r="AA64" s="890">
        <f t="shared" si="23"/>
        <v>282.60834042546833</v>
      </c>
      <c r="AD64" s="1025">
        <f t="shared" si="18"/>
        <v>2027</v>
      </c>
      <c r="AE64" s="1459">
        <f>AE63*(1+'8.1 Pob Urbana y Rural'!G$50)</f>
        <v>79.407934799284718</v>
      </c>
      <c r="AF64" s="890">
        <f t="shared" si="14"/>
        <v>26.79233098114722</v>
      </c>
      <c r="AG64" s="890">
        <f t="shared" si="15"/>
        <v>52.615603818137501</v>
      </c>
      <c r="AH64" s="1459">
        <f>AH63*(1+'8.1 Pob Urbana y Rural'!G$50)</f>
        <v>11.730717640803425</v>
      </c>
      <c r="AI64" s="1459">
        <f>AI63*(1+'8.1 Pob Urbana y Rural'!G$50)</f>
        <v>15.545519309904268</v>
      </c>
      <c r="AJ64" s="1459">
        <f>AJ63*(1+'8.1 Pob Urbana y Rural'!G$50)</f>
        <v>46.922870563213714</v>
      </c>
      <c r="AK64" s="891">
        <f t="shared" si="16"/>
        <v>153.60704231320611</v>
      </c>
    </row>
    <row r="65" spans="2:37" ht="14.25" thickBot="1" x14ac:dyDescent="0.3">
      <c r="B65" s="889">
        <f t="shared" si="25"/>
        <v>2025</v>
      </c>
      <c r="C65" s="1473">
        <f>C64*(1+'8.1 Pob Urbana y Rural'!G$50)</f>
        <v>875.12189786171268</v>
      </c>
      <c r="D65" s="1024">
        <f t="shared" si="26"/>
        <v>122.45743942497353</v>
      </c>
      <c r="E65" s="1459" t="e">
        <f>+E64*(1+'8.1 Pob Urbana y Rural'!G$50)</f>
        <v>#REF!</v>
      </c>
      <c r="F65" s="1459">
        <f>F64*(1+'8.1 Pob Urbana y Rural'!G$50)</f>
        <v>18.048882723669081</v>
      </c>
      <c r="G65" s="891" t="e">
        <f t="shared" si="20"/>
        <v>#REF!</v>
      </c>
      <c r="I65" s="850"/>
      <c r="J65" s="514"/>
      <c r="K65" s="889">
        <f t="shared" si="24"/>
        <v>2026</v>
      </c>
      <c r="L65" s="1473">
        <f>L64*(1+'8.1 Pob Urbana y Rural'!G$50)</f>
        <v>875.46101402706404</v>
      </c>
      <c r="M65" s="1024">
        <f t="shared" si="17"/>
        <v>142.03258189254845</v>
      </c>
      <c r="N65" s="1024">
        <f t="shared" si="17"/>
        <v>142.03258189254845</v>
      </c>
      <c r="O65" s="1024">
        <f t="shared" si="17"/>
        <v>155.59730436581904</v>
      </c>
      <c r="P65" s="1024">
        <f t="shared" si="17"/>
        <v>121.92011123469558</v>
      </c>
      <c r="Q65" s="1024">
        <f t="shared" si="17"/>
        <v>30.037044842792902</v>
      </c>
      <c r="R65" s="1024">
        <f t="shared" si="17"/>
        <v>174.35918222558158</v>
      </c>
      <c r="S65" s="891">
        <f t="shared" si="19"/>
        <v>765.97880645398595</v>
      </c>
      <c r="T65" s="850"/>
      <c r="U65" s="1025">
        <f t="shared" si="27"/>
        <v>2025</v>
      </c>
      <c r="V65" s="1459">
        <f>V64*(1+'8.1 Pob Urbana y Rural'!G$50)</f>
        <v>100.08469925298003</v>
      </c>
      <c r="W65" s="890">
        <f t="shared" si="21"/>
        <v>60.050819551788024</v>
      </c>
      <c r="X65" s="890">
        <f t="shared" si="22"/>
        <v>20.016939850596007</v>
      </c>
      <c r="Y65" s="1459">
        <f>Y64*(1+'8.1 Pob Urbana y Rural'!G$50)</f>
        <v>162.84051067647019</v>
      </c>
      <c r="Z65" s="1462">
        <f>'8.2 Pob Ddte'!C107*$Z$56*$Z$57</f>
        <v>40.089062125373211</v>
      </c>
      <c r="AA65" s="890">
        <f t="shared" si="23"/>
        <v>282.99733220422746</v>
      </c>
      <c r="AD65" s="1025">
        <f t="shared" si="18"/>
        <v>2028</v>
      </c>
      <c r="AE65" s="1459">
        <f>AE64*(1+'8.1 Pob Urbana y Rural'!G$50)</f>
        <v>79.438705957466681</v>
      </c>
      <c r="AF65" s="890">
        <f t="shared" si="14"/>
        <v>26.802713206258201</v>
      </c>
      <c r="AG65" s="890">
        <f t="shared" si="15"/>
        <v>52.635992751208477</v>
      </c>
      <c r="AH65" s="1459">
        <f>AH64*(1+'8.1 Pob Urbana y Rural'!G$50)</f>
        <v>11.735263380080305</v>
      </c>
      <c r="AI65" s="1459">
        <f>AI64*(1+'8.1 Pob Urbana y Rural'!G$50)</f>
        <v>15.551543312857058</v>
      </c>
      <c r="AJ65" s="1459">
        <f>AJ64*(1+'8.1 Pob Urbana y Rural'!G$50)</f>
        <v>46.941053520321233</v>
      </c>
      <c r="AK65" s="891">
        <f t="shared" si="16"/>
        <v>153.66656617072528</v>
      </c>
    </row>
    <row r="66" spans="2:37" ht="14.25" thickBot="1" x14ac:dyDescent="0.3">
      <c r="B66" s="889">
        <f t="shared" si="25"/>
        <v>2026</v>
      </c>
      <c r="C66" s="1473">
        <f>C65*(1+'8.1 Pob Urbana y Rural'!G$50)</f>
        <v>875.46101402706404</v>
      </c>
      <c r="D66" s="1024">
        <f>C66*$D$55*$D$56*$D$57</f>
        <v>122.5048925825028</v>
      </c>
      <c r="E66" s="1459" t="e">
        <f>+E65*(1+'8.1 Pob Urbana y Rural'!G$50)</f>
        <v>#REF!</v>
      </c>
      <c r="F66" s="1459">
        <f>F65*(1+'8.1 Pob Urbana y Rural'!G$50)</f>
        <v>18.055876798338087</v>
      </c>
      <c r="G66" s="891" t="e">
        <f t="shared" si="20"/>
        <v>#REF!</v>
      </c>
      <c r="I66" s="850"/>
      <c r="J66" s="1481"/>
      <c r="K66" s="889">
        <f t="shared" si="24"/>
        <v>2027</v>
      </c>
      <c r="L66" s="1473">
        <f>L65*(1+'8.1 Pob Urbana y Rural'!G$50)</f>
        <v>875.80026160242107</v>
      </c>
      <c r="M66" s="1024">
        <f t="shared" si="17"/>
        <v>142.08762056161163</v>
      </c>
      <c r="N66" s="1024">
        <f t="shared" si="17"/>
        <v>142.08762056161163</v>
      </c>
      <c r="O66" s="1024">
        <f t="shared" si="17"/>
        <v>155.65759946450697</v>
      </c>
      <c r="P66" s="1024">
        <f t="shared" si="17"/>
        <v>121.96735617360311</v>
      </c>
      <c r="Q66" s="1024">
        <f t="shared" si="17"/>
        <v>30.048684418365699</v>
      </c>
      <c r="R66" s="1024">
        <f t="shared" si="17"/>
        <v>174.42674768979245</v>
      </c>
      <c r="S66" s="891">
        <f>SUM(M66:R66)</f>
        <v>766.27562886949158</v>
      </c>
      <c r="T66" s="850"/>
      <c r="U66" s="1025">
        <f t="shared" si="27"/>
        <v>2026</v>
      </c>
      <c r="V66" s="1459">
        <f>V65*(1+'8.1 Pob Urbana y Rural'!G$50)</f>
        <v>100.12348280930966</v>
      </c>
      <c r="W66" s="890">
        <f t="shared" si="21"/>
        <v>60.074089685585804</v>
      </c>
      <c r="X66" s="890">
        <f t="shared" si="22"/>
        <v>20.024696561861933</v>
      </c>
      <c r="Y66" s="1459">
        <f>Y65*(1+'8.1 Pob Urbana y Rural'!G$50)</f>
        <v>162.90361257082273</v>
      </c>
      <c r="Z66" s="1462">
        <f>'8.2 Pob Ddte'!C108*$Z$56*$Z$57</f>
        <v>40.384184202042917</v>
      </c>
      <c r="AA66" s="890">
        <f t="shared" si="23"/>
        <v>283.38658302031342</v>
      </c>
      <c r="AD66" s="1025">
        <f t="shared" si="18"/>
        <v>2029</v>
      </c>
      <c r="AE66" s="1459">
        <f>AE65*(1+'8.1 Pob Urbana y Rural'!G$50)</f>
        <v>79.46948903969853</v>
      </c>
      <c r="AF66" s="890">
        <f t="shared" si="14"/>
        <v>26.813099454557697</v>
      </c>
      <c r="AG66" s="890">
        <f t="shared" si="15"/>
        <v>52.656389585140829</v>
      </c>
      <c r="AH66" s="1459">
        <f>AH65*(1+'8.1 Pob Urbana y Rural'!G$50)</f>
        <v>11.739810880864555</v>
      </c>
      <c r="AI66" s="1459">
        <f>AI65*(1+'8.1 Pob Urbana y Rural'!G$50)</f>
        <v>15.557569650155253</v>
      </c>
      <c r="AJ66" s="1459">
        <f>AJ65*(1+'8.1 Pob Urbana y Rural'!G$50)</f>
        <v>46.959243523458234</v>
      </c>
      <c r="AK66" s="891">
        <f t="shared" si="16"/>
        <v>153.72611309417658</v>
      </c>
    </row>
    <row r="67" spans="2:37" ht="14.25" thickBot="1" x14ac:dyDescent="0.3">
      <c r="B67" s="889">
        <f t="shared" si="25"/>
        <v>2027</v>
      </c>
      <c r="C67" s="1473">
        <f>C66*(1+'8.1 Pob Urbana y Rural'!G$50)</f>
        <v>875.80026160242107</v>
      </c>
      <c r="D67" s="1024">
        <f t="shared" si="26"/>
        <v>122.55236412847927</v>
      </c>
      <c r="E67" s="1459" t="e">
        <f>+E66*(1+'8.1 Pob Urbana y Rural'!G$50)</f>
        <v>#REF!</v>
      </c>
      <c r="F67" s="1459">
        <f>F66*(1+'8.1 Pob Urbana y Rural'!G$50)</f>
        <v>18.062873583262416</v>
      </c>
      <c r="G67" s="891" t="e">
        <f t="shared" si="20"/>
        <v>#REF!</v>
      </c>
      <c r="I67" s="850"/>
      <c r="J67" s="514"/>
      <c r="K67" s="889">
        <f t="shared" si="24"/>
        <v>2028</v>
      </c>
      <c r="L67" s="1473">
        <f>L66*(1+'8.1 Pob Urbana y Rural'!G$50)</f>
        <v>876.13964063870617</v>
      </c>
      <c r="M67" s="1024">
        <f t="shared" si="17"/>
        <v>142.14268055856346</v>
      </c>
      <c r="N67" s="1024">
        <f t="shared" si="17"/>
        <v>142.14268055856346</v>
      </c>
      <c r="O67" s="1024">
        <f t="shared" si="17"/>
        <v>155.71791792798862</v>
      </c>
      <c r="P67" s="1024">
        <f t="shared" si="17"/>
        <v>122.01461942027159</v>
      </c>
      <c r="Q67" s="1024">
        <f t="shared" si="17"/>
        <v>30.060328504359557</v>
      </c>
      <c r="R67" s="1024">
        <f t="shared" si="17"/>
        <v>174.49433933611712</v>
      </c>
      <c r="S67" s="891">
        <f t="shared" si="19"/>
        <v>766.5725663058638</v>
      </c>
      <c r="T67" s="850"/>
      <c r="U67" s="1025">
        <f t="shared" si="27"/>
        <v>2027</v>
      </c>
      <c r="V67" s="1459">
        <f>V66*(1+'8.1 Pob Urbana y Rural'!G$50)</f>
        <v>100.16228139455232</v>
      </c>
      <c r="W67" s="890">
        <f t="shared" si="21"/>
        <v>60.097368836731398</v>
      </c>
      <c r="X67" s="890">
        <f t="shared" si="22"/>
        <v>20.032456278910466</v>
      </c>
      <c r="Y67" s="1459">
        <f>Y66*(1+'8.1 Pob Urbana y Rural'!G$50)</f>
        <v>162.96673891762296</v>
      </c>
      <c r="Z67" s="1462">
        <f>'8.2 Pob Ddte'!C109*$Z$56*$Z$57</f>
        <v>40.679528982807327</v>
      </c>
      <c r="AA67" s="890">
        <f t="shared" si="23"/>
        <v>283.77609301607214</v>
      </c>
      <c r="AD67" s="1025">
        <f t="shared" si="18"/>
        <v>2030</v>
      </c>
      <c r="AE67" s="1459">
        <f>AE66*(1+'8.1 Pob Urbana y Rural'!G$50)</f>
        <v>79.500284050600925</v>
      </c>
      <c r="AF67" s="890">
        <f t="shared" si="14"/>
        <v>26.823489727604723</v>
      </c>
      <c r="AG67" s="890">
        <f t="shared" si="15"/>
        <v>52.676794322996201</v>
      </c>
      <c r="AH67" s="1459">
        <f>AH66*(1+'8.1 Pob Urbana y Rural'!G$50)</f>
        <v>11.744360143838772</v>
      </c>
      <c r="AI67" s="1459">
        <f>AI66*(1+'8.1 Pob Urbana y Rural'!G$50)</f>
        <v>15.563598322703429</v>
      </c>
      <c r="AJ67" s="1459">
        <f>AJ66*(1+'8.1 Pob Urbana y Rural'!G$50)</f>
        <v>46.977440575355104</v>
      </c>
      <c r="AK67" s="891">
        <f t="shared" si="16"/>
        <v>153.78568309249823</v>
      </c>
    </row>
    <row r="68" spans="2:37" ht="14.25" thickBot="1" x14ac:dyDescent="0.3">
      <c r="B68" s="889">
        <f t="shared" si="25"/>
        <v>2028</v>
      </c>
      <c r="C68" s="1473">
        <f>C67*(1+'8.1 Pob Urbana y Rural'!G$50)</f>
        <v>876.13964063870617</v>
      </c>
      <c r="D68" s="1024">
        <f t="shared" si="26"/>
        <v>122.5998540700286</v>
      </c>
      <c r="E68" s="1459" t="e">
        <f>+E67*(1+'8.1 Pob Urbana y Rural'!G$50)</f>
        <v>#REF!</v>
      </c>
      <c r="F68" s="1459">
        <f>F67*(1+'8.1 Pob Urbana y Rural'!G$50)</f>
        <v>18.069873079492311</v>
      </c>
      <c r="G68" s="891" t="e">
        <f t="shared" si="20"/>
        <v>#REF!</v>
      </c>
      <c r="I68" s="850"/>
      <c r="J68" s="514"/>
      <c r="K68" s="889">
        <f t="shared" si="24"/>
        <v>2029</v>
      </c>
      <c r="L68" s="1473">
        <f>L67*(1+'8.1 Pob Urbana y Rural'!G$50)</f>
        <v>876.47915118686137</v>
      </c>
      <c r="M68" s="1024">
        <f t="shared" si="17"/>
        <v>142.19776189166865</v>
      </c>
      <c r="N68" s="1024">
        <f t="shared" si="17"/>
        <v>142.19776189166865</v>
      </c>
      <c r="O68" s="1024">
        <f t="shared" si="17"/>
        <v>155.77825976531813</v>
      </c>
      <c r="P68" s="1024">
        <f t="shared" si="17"/>
        <v>122.06190098179542</v>
      </c>
      <c r="Q68" s="1024">
        <f t="shared" si="17"/>
        <v>30.071977102522286</v>
      </c>
      <c r="R68" s="1024">
        <f t="shared" si="17"/>
        <v>174.5619571747014</v>
      </c>
      <c r="S68" s="891">
        <f t="shared" si="19"/>
        <v>766.86961880767456</v>
      </c>
      <c r="T68" s="850"/>
      <c r="U68" s="1025">
        <f t="shared" si="27"/>
        <v>2028</v>
      </c>
      <c r="V68" s="1459">
        <f>V67*(1+'8.1 Pob Urbana y Rural'!G$50)</f>
        <v>100.20109501453184</v>
      </c>
      <c r="W68" s="890">
        <f t="shared" si="21"/>
        <v>60.120657008719107</v>
      </c>
      <c r="X68" s="890">
        <f t="shared" si="22"/>
        <v>20.040219002906369</v>
      </c>
      <c r="Y68" s="1459">
        <f>Y67*(1+'8.1 Pob Urbana y Rural'!G$50)</f>
        <v>163.0298897263464</v>
      </c>
      <c r="Z68" s="1462">
        <f>'8.2 Pob Ddte'!C110*$Z$56*$Z$57</f>
        <v>40.975096595949275</v>
      </c>
      <c r="AA68" s="890">
        <f t="shared" si="23"/>
        <v>284.16586233392115</v>
      </c>
      <c r="AD68" s="1025">
        <f t="shared" si="18"/>
        <v>2031</v>
      </c>
      <c r="AE68" s="1459">
        <f>AE67*(1+'8.1 Pob Urbana y Rural'!G$50)</f>
        <v>79.531090994796301</v>
      </c>
      <c r="AF68" s="890">
        <f t="shared" si="14"/>
        <v>26.833884026958895</v>
      </c>
      <c r="AG68" s="890">
        <f t="shared" si="15"/>
        <v>52.69720696783741</v>
      </c>
      <c r="AH68" s="1459">
        <f>AH67*(1+'8.1 Pob Urbana y Rural'!G$50)</f>
        <v>11.748911169685817</v>
      </c>
      <c r="AI68" s="1459">
        <f>AI67*(1+'8.1 Pob Urbana y Rural'!G$50)</f>
        <v>15.569629331406514</v>
      </c>
      <c r="AJ68" s="1459">
        <f>AJ67*(1+'8.1 Pob Urbana y Rural'!G$50)</f>
        <v>46.995644678743282</v>
      </c>
      <c r="AK68" s="891">
        <f t="shared" si="16"/>
        <v>153.84527617463192</v>
      </c>
    </row>
    <row r="69" spans="2:37" ht="14.25" thickBot="1" x14ac:dyDescent="0.3">
      <c r="B69" s="889">
        <f t="shared" si="25"/>
        <v>2029</v>
      </c>
      <c r="C69" s="1473">
        <f>C68*(1+'8.1 Pob Urbana y Rural'!G$50)</f>
        <v>876.47915118686137</v>
      </c>
      <c r="D69" s="1024">
        <f t="shared" si="26"/>
        <v>122.64736241427919</v>
      </c>
      <c r="E69" s="1459" t="e">
        <f>+E68*(1+'8.1 Pob Urbana y Rural'!G$50)</f>
        <v>#REF!</v>
      </c>
      <c r="F69" s="1459">
        <f>F68*(1+'8.1 Pob Urbana y Rural'!G$50)</f>
        <v>18.076875288078423</v>
      </c>
      <c r="G69" s="891" t="e">
        <f t="shared" si="20"/>
        <v>#REF!</v>
      </c>
      <c r="I69" s="850"/>
      <c r="J69" s="514"/>
      <c r="K69" s="889">
        <f t="shared" si="24"/>
        <v>2030</v>
      </c>
      <c r="L69" s="1473">
        <f>L68*(1+'8.1 Pob Urbana y Rural'!G$50)</f>
        <v>876.81879329784852</v>
      </c>
      <c r="M69" s="1024">
        <f t="shared" si="17"/>
        <v>142.25286456919514</v>
      </c>
      <c r="N69" s="1024">
        <f t="shared" si="17"/>
        <v>142.25286456919514</v>
      </c>
      <c r="O69" s="1024">
        <f t="shared" si="17"/>
        <v>155.83862498555291</v>
      </c>
      <c r="P69" s="1024">
        <f t="shared" si="17"/>
        <v>122.10920086527175</v>
      </c>
      <c r="Q69" s="1024">
        <f t="shared" si="17"/>
        <v>30.083630214602394</v>
      </c>
      <c r="R69" s="1024">
        <f t="shared" si="17"/>
        <v>174.62960121569495</v>
      </c>
      <c r="S69" s="891">
        <f t="shared" si="19"/>
        <v>767.16678641951228</v>
      </c>
      <c r="T69" s="850"/>
      <c r="U69" s="1025">
        <f t="shared" si="27"/>
        <v>2029</v>
      </c>
      <c r="V69" s="1459">
        <f>V68*(1+'8.1 Pob Urbana y Rural'!G$50)</f>
        <v>100.23992367507429</v>
      </c>
      <c r="W69" s="890">
        <f t="shared" si="21"/>
        <v>60.143954205044579</v>
      </c>
      <c r="X69" s="890">
        <f t="shared" si="22"/>
        <v>20.047984735014861</v>
      </c>
      <c r="Y69" s="1459">
        <f>Y68*(1+'8.1 Pob Urbana y Rural'!G$50)</f>
        <v>163.09306500647222</v>
      </c>
      <c r="Z69" s="1462">
        <f>'8.2 Pob Ddte'!C111*$Z$56*$Z$57</f>
        <v>41.270887169817584</v>
      </c>
      <c r="AA69" s="890">
        <f t="shared" si="23"/>
        <v>284.55589111634924</v>
      </c>
      <c r="AD69" s="1025">
        <f t="shared" si="18"/>
        <v>2032</v>
      </c>
      <c r="AE69" s="1459">
        <f>AE68*(1+'8.1 Pob Urbana y Rural'!G$50)</f>
        <v>79.561909876908913</v>
      </c>
      <c r="AF69" s="890">
        <f t="shared" si="14"/>
        <v>26.844282354180439</v>
      </c>
      <c r="AG69" s="890">
        <f t="shared" si="15"/>
        <v>52.717627522728471</v>
      </c>
      <c r="AH69" s="1459">
        <f>AH68*(1+'8.1 Pob Urbana y Rural'!G$50)</f>
        <v>11.753463959088815</v>
      </c>
      <c r="AI69" s="1459">
        <f>AI68*(1+'8.1 Pob Urbana y Rural'!G$50)</f>
        <v>15.575662677169783</v>
      </c>
      <c r="AJ69" s="1459">
        <f>AJ68*(1+'8.1 Pob Urbana y Rural'!G$50)</f>
        <v>47.013855836355276</v>
      </c>
      <c r="AK69" s="891">
        <f t="shared" si="16"/>
        <v>153.90489234952281</v>
      </c>
    </row>
    <row r="70" spans="2:37" ht="14.25" thickBot="1" x14ac:dyDescent="0.3">
      <c r="B70" s="889">
        <f t="shared" si="25"/>
        <v>2030</v>
      </c>
      <c r="C70" s="1473">
        <f>C69*(1+'8.1 Pob Urbana y Rural'!G$50)</f>
        <v>876.81879329784852</v>
      </c>
      <c r="D70" s="1024">
        <f t="shared" si="26"/>
        <v>122.69488916836227</v>
      </c>
      <c r="E70" s="1459" t="e">
        <f>+E69*(1+'8.1 Pob Urbana y Rural'!G$50)</f>
        <v>#REF!</v>
      </c>
      <c r="F70" s="1459">
        <f>F69*(1+'8.1 Pob Urbana y Rural'!G$50)</f>
        <v>18.083880210071811</v>
      </c>
      <c r="G70" s="891" t="e">
        <f>+D70+E70+F70</f>
        <v>#REF!</v>
      </c>
      <c r="I70" s="850"/>
      <c r="J70" s="514"/>
      <c r="K70" s="889">
        <f t="shared" si="24"/>
        <v>2031</v>
      </c>
      <c r="L70" s="1473">
        <f>L69*(1+'8.1 Pob Urbana y Rural'!G$50)</f>
        <v>877.15856702264921</v>
      </c>
      <c r="M70" s="1024">
        <f>+$L70*M$54*M$55*M$56</f>
        <v>142.30798859941402</v>
      </c>
      <c r="N70" s="1024">
        <f t="shared" si="17"/>
        <v>142.30798859941402</v>
      </c>
      <c r="O70" s="1024">
        <f t="shared" si="17"/>
        <v>155.89901359775408</v>
      </c>
      <c r="P70" s="1024">
        <f t="shared" si="17"/>
        <v>122.15651907780044</v>
      </c>
      <c r="Q70" s="1024">
        <f t="shared" si="17"/>
        <v>30.095287842349059</v>
      </c>
      <c r="R70" s="1024">
        <f t="shared" si="17"/>
        <v>174.69727146925138</v>
      </c>
      <c r="S70" s="891">
        <f>SUM(M70:R70)</f>
        <v>767.46406918598302</v>
      </c>
      <c r="T70" s="850"/>
      <c r="U70" s="1025">
        <f t="shared" si="27"/>
        <v>2030</v>
      </c>
      <c r="V70" s="1459">
        <f>V69*(1+'8.1 Pob Urbana y Rural'!G$50)</f>
        <v>100.27876738200798</v>
      </c>
      <c r="W70" s="890">
        <f t="shared" si="21"/>
        <v>60.167260429204795</v>
      </c>
      <c r="X70" s="890">
        <f t="shared" si="22"/>
        <v>20.055753476401598</v>
      </c>
      <c r="Y70" s="1459">
        <f>Y69*(1+'8.1 Pob Urbana y Rural'!G$50)</f>
        <v>163.15626476748326</v>
      </c>
      <c r="Z70" s="1462">
        <f>'8.2 Pob Ddte'!C112*$Z$56*$Z$57</f>
        <v>41.566900832827109</v>
      </c>
      <c r="AA70" s="890">
        <f t="shared" si="23"/>
        <v>284.94617950591675</v>
      </c>
      <c r="AD70" s="1025">
        <f t="shared" si="18"/>
        <v>2033</v>
      </c>
      <c r="AE70" s="1459">
        <f>AE69*(1+'8.1 Pob Urbana y Rural'!G$50)</f>
        <v>79.592740701564779</v>
      </c>
      <c r="AF70" s="890">
        <f t="shared" si="14"/>
        <v>26.854684710830181</v>
      </c>
      <c r="AG70" s="890">
        <f t="shared" si="15"/>
        <v>52.738055990734594</v>
      </c>
      <c r="AH70" s="1459">
        <f>AH69*(1+'8.1 Pob Urbana y Rural'!G$50)</f>
        <v>11.758018512731159</v>
      </c>
      <c r="AI70" s="1459">
        <f>AI69*(1+'8.1 Pob Urbana y Rural'!G$50)</f>
        <v>15.581698360898866</v>
      </c>
      <c r="AJ70" s="1459">
        <f>AJ69*(1+'8.1 Pob Urbana y Rural'!G$50)</f>
        <v>47.032074050924649</v>
      </c>
      <c r="AK70" s="891">
        <f t="shared" si="16"/>
        <v>153.96453162611945</v>
      </c>
    </row>
    <row r="71" spans="2:37" ht="14.25" thickBot="1" x14ac:dyDescent="0.3">
      <c r="B71" s="889">
        <f t="shared" si="25"/>
        <v>2031</v>
      </c>
      <c r="C71" s="1473">
        <f>C70*(1+'8.1 Pob Urbana y Rural'!G$50)</f>
        <v>877.15856702264921</v>
      </c>
      <c r="D71" s="1024">
        <f t="shared" si="26"/>
        <v>122.74243433941174</v>
      </c>
      <c r="E71" s="1459" t="e">
        <f>+E70*(1+'8.1 Pob Urbana y Rural'!G$50)</f>
        <v>#REF!</v>
      </c>
      <c r="F71" s="1459">
        <f>F70*(1+'8.1 Pob Urbana y Rural'!G$50)</f>
        <v>18.090887846523941</v>
      </c>
      <c r="G71" s="891" t="e">
        <f t="shared" si="20"/>
        <v>#REF!</v>
      </c>
      <c r="I71" s="850"/>
      <c r="J71" s="514"/>
      <c r="K71" s="889">
        <f t="shared" si="24"/>
        <v>2032</v>
      </c>
      <c r="L71" s="1473">
        <f>L70*(1+'8.1 Pob Urbana y Rural'!G$50)</f>
        <v>877.49847241226473</v>
      </c>
      <c r="M71" s="1024">
        <f t="shared" si="17"/>
        <v>142.36313399059964</v>
      </c>
      <c r="N71" s="1024">
        <f t="shared" si="17"/>
        <v>142.36313399059964</v>
      </c>
      <c r="O71" s="1024">
        <f t="shared" si="17"/>
        <v>155.95942561098619</v>
      </c>
      <c r="P71" s="1024">
        <f t="shared" si="17"/>
        <v>122.20385562648417</v>
      </c>
      <c r="Q71" s="1024">
        <f t="shared" si="17"/>
        <v>30.106949987512124</v>
      </c>
      <c r="R71" s="1024">
        <f t="shared" si="17"/>
        <v>174.76496794552827</v>
      </c>
      <c r="S71" s="891">
        <f t="shared" si="19"/>
        <v>767.76146715171001</v>
      </c>
      <c r="T71" s="850"/>
      <c r="U71" s="1025">
        <f t="shared" si="27"/>
        <v>2031</v>
      </c>
      <c r="V71" s="1459">
        <f>V70*(1+'8.1 Pob Urbana y Rural'!G$50)</f>
        <v>100.31762614116352</v>
      </c>
      <c r="W71" s="890">
        <f t="shared" si="21"/>
        <v>60.190575684698118</v>
      </c>
      <c r="X71" s="890">
        <f t="shared" si="22"/>
        <v>20.063525228232706</v>
      </c>
      <c r="Y71" s="1459">
        <f>Y70*(1+'8.1 Pob Urbana y Rural'!G$50)</f>
        <v>163.21948901886606</v>
      </c>
      <c r="Z71" s="1462">
        <f>'8.2 Pob Ddte'!C113*$Z$56*$Z$57</f>
        <v>41.863137713458698</v>
      </c>
      <c r="AA71" s="890">
        <f t="shared" si="23"/>
        <v>285.33672764525556</v>
      </c>
      <c r="AD71" s="1025">
        <f t="shared" si="18"/>
        <v>2034</v>
      </c>
      <c r="AE71" s="1459">
        <f>AE70*(1+'8.1 Pob Urbana y Rural'!G$50)</f>
        <v>79.623583473391733</v>
      </c>
      <c r="AF71" s="890">
        <f t="shared" si="14"/>
        <v>26.865091098469559</v>
      </c>
      <c r="AG71" s="890">
        <f t="shared" si="15"/>
        <v>52.75849237492217</v>
      </c>
      <c r="AH71" s="1459">
        <f>AH70*(1+'8.1 Pob Urbana y Rural'!G$50)</f>
        <v>11.762574831296504</v>
      </c>
      <c r="AI71" s="1459">
        <f>AI70*(1+'8.1 Pob Urbana y Rural'!G$50)</f>
        <v>15.58773638349974</v>
      </c>
      <c r="AJ71" s="1459">
        <f>AJ70*(1+'8.1 Pob Urbana y Rural'!G$50)</f>
        <v>47.050299325186032</v>
      </c>
      <c r="AK71" s="891">
        <f t="shared" si="16"/>
        <v>154.02419401337403</v>
      </c>
    </row>
    <row r="72" spans="2:37" ht="14.25" thickBot="1" x14ac:dyDescent="0.3">
      <c r="B72" s="889">
        <f t="shared" si="25"/>
        <v>2032</v>
      </c>
      <c r="C72" s="1473">
        <f>C71*(1+'8.1 Pob Urbana y Rural'!G$50)</f>
        <v>877.49847241226473</v>
      </c>
      <c r="D72" s="1024">
        <f t="shared" si="26"/>
        <v>122.78999793456433</v>
      </c>
      <c r="E72" s="1459" t="e">
        <f>+E71*(1+'8.1 Pob Urbana y Rural'!G$50)</f>
        <v>#REF!</v>
      </c>
      <c r="F72" s="1459">
        <f>F71*(1+'8.1 Pob Urbana y Rural'!G$50)</f>
        <v>18.097898198486686</v>
      </c>
      <c r="G72" s="891" t="e">
        <f t="shared" si="20"/>
        <v>#REF!</v>
      </c>
      <c r="I72" s="850"/>
      <c r="J72" s="514"/>
      <c r="K72" s="889">
        <f t="shared" si="24"/>
        <v>2033</v>
      </c>
      <c r="L72" s="1473">
        <f>L71*(1+'8.1 Pob Urbana y Rural'!G$50)</f>
        <v>877.83850951771615</v>
      </c>
      <c r="M72" s="1024">
        <f t="shared" si="17"/>
        <v>142.41830075102953</v>
      </c>
      <c r="N72" s="1024">
        <f t="shared" si="17"/>
        <v>142.41830075102953</v>
      </c>
      <c r="O72" s="1024">
        <f t="shared" si="17"/>
        <v>156.01986103431724</v>
      </c>
      <c r="P72" s="1024">
        <f t="shared" si="17"/>
        <v>122.25121051842831</v>
      </c>
      <c r="Q72" s="1024">
        <f t="shared" si="17"/>
        <v>30.118616651842125</v>
      </c>
      <c r="R72" s="1024">
        <f t="shared" si="17"/>
        <v>174.83269065468713</v>
      </c>
      <c r="S72" s="891">
        <f t="shared" si="19"/>
        <v>768.05898036133374</v>
      </c>
      <c r="T72" s="850"/>
      <c r="U72" s="1025">
        <f t="shared" si="27"/>
        <v>2032</v>
      </c>
      <c r="V72" s="1459">
        <f>V71*(1+'8.1 Pob Urbana y Rural'!G$50)</f>
        <v>100.35649995837373</v>
      </c>
      <c r="W72" s="890">
        <f t="shared" si="21"/>
        <v>60.213899975024248</v>
      </c>
      <c r="X72" s="890">
        <f t="shared" si="22"/>
        <v>20.071299991674749</v>
      </c>
      <c r="Y72" s="1459">
        <f>Y71*(1+'8.1 Pob Urbana y Rural'!G$50)</f>
        <v>163.2827377701108</v>
      </c>
      <c r="Z72" s="1462">
        <f>'8.2 Pob Ddte'!C114*$Z$56*$Z$57</f>
        <v>42.159597940259296</v>
      </c>
      <c r="AA72" s="890">
        <f t="shared" si="23"/>
        <v>285.72753567706911</v>
      </c>
      <c r="AD72" s="850" t="s">
        <v>1716</v>
      </c>
    </row>
    <row r="73" spans="2:37" ht="14.25" thickBot="1" x14ac:dyDescent="0.3">
      <c r="B73" s="889">
        <f t="shared" si="25"/>
        <v>2033</v>
      </c>
      <c r="C73" s="1473">
        <f>C72*(1+'8.1 Pob Urbana y Rural'!G$50)</f>
        <v>877.83850951771615</v>
      </c>
      <c r="D73" s="1024">
        <f t="shared" si="26"/>
        <v>122.83757996095952</v>
      </c>
      <c r="E73" s="1459" t="e">
        <f>+E72*(1+'8.1 Pob Urbana y Rural'!G$50)</f>
        <v>#REF!</v>
      </c>
      <c r="F73" s="1459">
        <f>F72*(1+'8.1 Pob Urbana y Rural'!G$50)</f>
        <v>18.104911267012323</v>
      </c>
      <c r="G73" s="891" t="e">
        <f t="shared" si="20"/>
        <v>#REF!</v>
      </c>
      <c r="I73" s="850"/>
      <c r="J73" s="514"/>
      <c r="K73" s="889">
        <f>+K72+1</f>
        <v>2034</v>
      </c>
      <c r="L73" s="1473">
        <f>L72*(1+'8.1 Pob Urbana y Rural'!G$50)</f>
        <v>878.17867839004441</v>
      </c>
      <c r="M73" s="1024">
        <f t="shared" ref="M73:R73" si="28">+$L73*M$54*M$55*M$56</f>
        <v>142.47348888898443</v>
      </c>
      <c r="N73" s="1024">
        <f t="shared" si="28"/>
        <v>142.47348888898443</v>
      </c>
      <c r="O73" s="1024">
        <f t="shared" si="28"/>
        <v>156.08031987681898</v>
      </c>
      <c r="P73" s="1024">
        <f t="shared" si="28"/>
        <v>122.29858376074102</v>
      </c>
      <c r="Q73" s="1024">
        <f t="shared" si="28"/>
        <v>30.130287837090279</v>
      </c>
      <c r="R73" s="1024">
        <f t="shared" si="28"/>
        <v>174.90043960689334</v>
      </c>
      <c r="S73" s="891">
        <f t="shared" si="19"/>
        <v>768.35660885951245</v>
      </c>
      <c r="T73" s="850"/>
      <c r="U73" s="1025">
        <f t="shared" si="27"/>
        <v>2033</v>
      </c>
      <c r="V73" s="1459">
        <f>V72*(1+'8.1 Pob Urbana y Rural'!G$50)</f>
        <v>100.39538883947375</v>
      </c>
      <c r="W73" s="890">
        <f t="shared" si="21"/>
        <v>60.237233303684256</v>
      </c>
      <c r="X73" s="890">
        <f t="shared" si="22"/>
        <v>20.079077767894752</v>
      </c>
      <c r="Y73" s="1459">
        <f>Y72*(1+'8.1 Pob Urbana y Rural'!G$50)</f>
        <v>163.34601103071137</v>
      </c>
      <c r="Z73" s="1462">
        <f>'8.2 Pob Ddte'!C115*$Z$56*$Z$57</f>
        <v>42.456281641841983</v>
      </c>
      <c r="AA73" s="890">
        <f t="shared" si="23"/>
        <v>286.11860374413237</v>
      </c>
    </row>
    <row r="74" spans="2:37" ht="14.25" thickBot="1" x14ac:dyDescent="0.3">
      <c r="B74" s="889">
        <f t="shared" si="25"/>
        <v>2034</v>
      </c>
      <c r="C74" s="1473">
        <f>C73*(1+'8.1 Pob Urbana y Rural'!G$50)</f>
        <v>878.17867839004441</v>
      </c>
      <c r="D74" s="1024">
        <f t="shared" si="26"/>
        <v>122.88518042573953</v>
      </c>
      <c r="E74" s="1459" t="e">
        <f>+E73*(1+'8.1 Pob Urbana y Rural'!G$50)</f>
        <v>#REF!</v>
      </c>
      <c r="F74" s="1459">
        <f>F73*(1+'8.1 Pob Urbana y Rural'!G$50)</f>
        <v>18.11192705315354</v>
      </c>
      <c r="G74" s="891" t="e">
        <f>+D74+E74+F74</f>
        <v>#REF!</v>
      </c>
      <c r="I74" s="850"/>
      <c r="J74" s="853"/>
      <c r="K74" s="962" t="s">
        <v>2217</v>
      </c>
      <c r="L74" s="853"/>
      <c r="M74" s="853"/>
      <c r="N74" s="853"/>
      <c r="O74" s="853"/>
      <c r="P74" s="853"/>
      <c r="Q74" s="853"/>
      <c r="R74" s="853"/>
      <c r="S74" s="853"/>
      <c r="T74" s="850"/>
      <c r="U74" s="1025">
        <f t="shared" si="27"/>
        <v>2034</v>
      </c>
      <c r="V74" s="1459">
        <f>V73*(1+'8.1 Pob Urbana y Rural'!G$50)</f>
        <v>100.43429279030093</v>
      </c>
      <c r="W74" s="890">
        <f t="shared" si="21"/>
        <v>60.260575674180558</v>
      </c>
      <c r="X74" s="890">
        <f t="shared" si="22"/>
        <v>20.086858558060186</v>
      </c>
      <c r="Y74" s="1459">
        <f>Y73*(1+'8.1 Pob Urbana y Rural'!G$50)</f>
        <v>163.4093088101653</v>
      </c>
      <c r="Z74" s="1462">
        <f>'8.2 Pob Ddte'!C116*$Z$56*$Z$57</f>
        <v>42.753188946885942</v>
      </c>
      <c r="AA74" s="890">
        <f t="shared" si="23"/>
        <v>286.509931989292</v>
      </c>
    </row>
    <row r="75" spans="2:37" ht="11.45" customHeight="1" x14ac:dyDescent="0.25">
      <c r="B75" s="864" t="s">
        <v>1717</v>
      </c>
      <c r="I75" s="850"/>
      <c r="J75" s="853"/>
      <c r="K75" s="853"/>
      <c r="L75" s="853"/>
      <c r="M75" s="853"/>
      <c r="N75" s="853"/>
      <c r="O75" s="853"/>
      <c r="P75" s="853"/>
      <c r="Q75" s="853"/>
      <c r="R75" s="853"/>
      <c r="S75" s="853"/>
      <c r="T75" s="850"/>
      <c r="U75" s="4411" t="s">
        <v>1716</v>
      </c>
      <c r="V75" s="4411"/>
      <c r="W75" s="4411"/>
      <c r="X75" s="4411"/>
      <c r="Y75" s="4411"/>
      <c r="Z75" s="4411"/>
      <c r="AA75" s="4411"/>
      <c r="AB75" s="850"/>
    </row>
    <row r="76" spans="2:37" x14ac:dyDescent="0.25">
      <c r="I76" s="850"/>
      <c r="J76" s="853"/>
      <c r="L76" s="853"/>
      <c r="M76" s="853"/>
      <c r="N76" s="853"/>
      <c r="O76" s="853"/>
      <c r="P76" s="853"/>
      <c r="Q76" s="853"/>
      <c r="R76" s="853"/>
      <c r="S76" s="853"/>
      <c r="T76" s="850"/>
      <c r="U76" s="4412"/>
      <c r="V76" s="4412"/>
      <c r="W76" s="4412"/>
      <c r="X76" s="4412"/>
      <c r="Y76" s="4412"/>
      <c r="Z76" s="4412"/>
      <c r="AA76" s="4412"/>
      <c r="AB76" s="850"/>
    </row>
    <row r="77" spans="2:37" ht="40.15" customHeight="1" x14ac:dyDescent="0.25">
      <c r="I77" s="850"/>
      <c r="J77" s="853"/>
      <c r="L77" s="814"/>
      <c r="M77" s="814"/>
      <c r="N77" s="814"/>
      <c r="O77" s="814"/>
      <c r="P77" s="814"/>
      <c r="Q77" s="848"/>
      <c r="R77" s="850"/>
      <c r="S77" s="850"/>
      <c r="T77" s="850"/>
      <c r="AB77" s="850"/>
    </row>
    <row r="78" spans="2:37" ht="11.45" customHeight="1" x14ac:dyDescent="0.25">
      <c r="C78" s="986"/>
      <c r="D78" s="986"/>
      <c r="E78" s="986"/>
      <c r="F78" s="822"/>
      <c r="G78" s="822"/>
      <c r="H78" s="822"/>
      <c r="I78" s="963"/>
      <c r="J78" s="850"/>
      <c r="K78" s="853"/>
      <c r="L78" s="814"/>
      <c r="M78" s="814"/>
      <c r="N78" s="814"/>
      <c r="O78" s="814"/>
      <c r="P78" s="814"/>
      <c r="Q78" s="814"/>
      <c r="R78" s="848"/>
      <c r="S78" s="848"/>
      <c r="T78" s="850"/>
      <c r="U78" s="991"/>
      <c r="V78" s="991"/>
      <c r="W78" s="991"/>
      <c r="X78" s="991"/>
      <c r="Y78" s="991"/>
      <c r="Z78" s="992"/>
      <c r="AA78" s="992"/>
      <c r="AB78" s="992"/>
    </row>
    <row r="79" spans="2:37" ht="14.25" thickBot="1" x14ac:dyDescent="0.3">
      <c r="B79" s="871"/>
      <c r="C79" s="822"/>
      <c r="D79" s="822"/>
      <c r="E79" s="822"/>
      <c r="F79" s="980"/>
      <c r="G79" s="980"/>
      <c r="H79" s="980"/>
      <c r="I79" s="980"/>
      <c r="J79" s="980"/>
      <c r="K79" s="980"/>
      <c r="L79" s="988"/>
      <c r="M79" s="988"/>
      <c r="N79" s="988"/>
      <c r="O79" s="988"/>
      <c r="P79" s="848"/>
      <c r="Q79" s="848"/>
      <c r="R79" s="848"/>
      <c r="S79" s="848"/>
      <c r="T79" s="848"/>
      <c r="Z79" s="992"/>
      <c r="AA79" s="992"/>
      <c r="AB79" s="992"/>
      <c r="AC79" s="850"/>
    </row>
    <row r="80" spans="2:37" ht="27.75" thickBot="1" x14ac:dyDescent="0.3">
      <c r="B80" s="1474"/>
      <c r="C80" s="1032" t="s">
        <v>1718</v>
      </c>
      <c r="E80" s="1053" t="s">
        <v>1719</v>
      </c>
      <c r="F80" s="1054" t="s">
        <v>1720</v>
      </c>
      <c r="G80" s="980"/>
      <c r="H80" s="1053" t="s">
        <v>1721</v>
      </c>
      <c r="I80" s="1054" t="s">
        <v>3518</v>
      </c>
      <c r="J80" s="980"/>
      <c r="K80" s="980"/>
      <c r="L80" s="988"/>
      <c r="M80" s="988"/>
      <c r="N80" s="988"/>
      <c r="O80" s="988"/>
      <c r="P80" s="848"/>
      <c r="Q80" s="848"/>
      <c r="R80" s="848"/>
      <c r="S80" s="848"/>
      <c r="T80" s="848"/>
      <c r="U80" s="850"/>
      <c r="V80" s="850"/>
      <c r="W80" s="850"/>
      <c r="X80" s="850"/>
      <c r="Y80" s="850"/>
      <c r="Z80" s="850"/>
      <c r="AA80" s="850"/>
      <c r="AB80" s="850"/>
      <c r="AC80" s="850"/>
    </row>
    <row r="81" spans="1:29" ht="14.25" thickBot="1" x14ac:dyDescent="0.3">
      <c r="B81" s="1475"/>
      <c r="C81" s="1027">
        <f>(SUM('3 Pob x Edad y EESS P1 P2'!V37:AO37))*(1-'3 Pob x Edad y EESS P1 P2'!AW37)</f>
        <v>0.3498296629423514</v>
      </c>
      <c r="E81" s="1028" t="e">
        <f>'5.3 PERFIL Epi 1 MR'!#REF!/'3 Pob x Edad y EESS P1 P2'!M32</f>
        <v>#REF!</v>
      </c>
      <c r="F81" s="1028" t="e">
        <f>'5.3 PERFIL Epi 1 MR'!#REF!/'3 Pob x Edad y EESS P1 P2'!M32</f>
        <v>#REF!</v>
      </c>
      <c r="G81" s="980"/>
      <c r="H81" s="1029">
        <v>0</v>
      </c>
      <c r="I81" s="1030" t="e">
        <f>'5.3 PERFIL Epi 1 MR'!#REF!/'3 Pob x Edad y EESS P1 P2'!M32</f>
        <v>#REF!</v>
      </c>
      <c r="J81" s="993"/>
      <c r="K81" s="980"/>
      <c r="L81" s="988"/>
      <c r="M81" s="988"/>
      <c r="N81" s="988"/>
      <c r="O81" s="988"/>
      <c r="P81" s="848"/>
      <c r="Q81" s="848"/>
      <c r="R81" s="848"/>
      <c r="S81" s="848"/>
      <c r="T81" s="848"/>
      <c r="U81" s="850"/>
      <c r="V81" s="850"/>
      <c r="W81" s="850"/>
      <c r="X81" s="850"/>
      <c r="Y81" s="850"/>
      <c r="Z81" s="850"/>
      <c r="AA81" s="850"/>
      <c r="AB81" s="850"/>
      <c r="AC81" s="850"/>
    </row>
    <row r="82" spans="1:29" x14ac:dyDescent="0.25">
      <c r="B82" s="1476"/>
      <c r="C82" s="994"/>
      <c r="D82" s="1477"/>
      <c r="E82" s="964" t="s">
        <v>1722</v>
      </c>
      <c r="F82" s="854"/>
      <c r="G82" s="980"/>
      <c r="H82" s="980"/>
      <c r="I82" s="980"/>
      <c r="J82" s="980"/>
      <c r="K82" s="980"/>
      <c r="L82" s="988"/>
      <c r="M82" s="988"/>
      <c r="N82" s="988"/>
      <c r="O82" s="988"/>
      <c r="P82" s="848"/>
      <c r="Q82" s="848"/>
      <c r="R82" s="848"/>
      <c r="S82" s="848"/>
      <c r="T82" s="848"/>
      <c r="U82" s="850"/>
      <c r="V82" s="850"/>
      <c r="W82" s="850"/>
      <c r="X82" s="850"/>
      <c r="Y82" s="850"/>
      <c r="Z82" s="850"/>
      <c r="AA82" s="850"/>
      <c r="AB82" s="850"/>
      <c r="AC82" s="850"/>
    </row>
    <row r="83" spans="1:29" x14ac:dyDescent="0.25">
      <c r="B83" s="987"/>
      <c r="C83" s="878"/>
      <c r="D83" s="878"/>
      <c r="E83" s="822"/>
      <c r="F83" s="854"/>
      <c r="G83" s="980"/>
      <c r="H83" s="980"/>
      <c r="I83" s="980"/>
      <c r="J83" s="980"/>
      <c r="K83" s="980"/>
      <c r="L83" s="988"/>
      <c r="M83" s="988"/>
      <c r="N83" s="988"/>
      <c r="O83" s="988"/>
      <c r="P83" s="848"/>
      <c r="Q83" s="848"/>
      <c r="R83" s="848"/>
      <c r="S83" s="848"/>
      <c r="T83" s="848"/>
      <c r="U83" s="850"/>
      <c r="V83" s="850"/>
      <c r="W83" s="850"/>
      <c r="X83" s="850"/>
      <c r="Y83" s="850"/>
      <c r="Z83" s="850"/>
      <c r="AA83" s="850"/>
      <c r="AB83" s="850"/>
      <c r="AC83" s="850"/>
    </row>
    <row r="84" spans="1:29" x14ac:dyDescent="0.25">
      <c r="B84" s="995" t="s">
        <v>1723</v>
      </c>
      <c r="C84" s="878"/>
      <c r="D84" s="878"/>
      <c r="E84" s="822"/>
      <c r="F84" s="854"/>
      <c r="G84" s="980"/>
      <c r="H84" s="980"/>
      <c r="I84" s="980"/>
      <c r="J84" s="980"/>
      <c r="K84" s="980"/>
      <c r="L84" s="988"/>
      <c r="M84" s="988"/>
      <c r="N84" s="988"/>
      <c r="O84" s="848"/>
      <c r="P84" s="848"/>
      <c r="Q84" s="848"/>
      <c r="R84" s="848"/>
      <c r="S84" s="848"/>
      <c r="T84" s="848"/>
      <c r="U84" s="850"/>
      <c r="V84" s="850"/>
      <c r="W84" s="850"/>
      <c r="X84" s="850"/>
      <c r="Y84" s="850"/>
      <c r="Z84" s="850"/>
      <c r="AA84" s="850"/>
      <c r="AB84" s="850"/>
      <c r="AC84" s="850"/>
    </row>
    <row r="85" spans="1:29" ht="14.25" thickBot="1" x14ac:dyDescent="0.3">
      <c r="B85" s="850"/>
      <c r="C85" s="965"/>
      <c r="D85" s="822"/>
      <c r="E85" s="822"/>
      <c r="F85" s="980"/>
      <c r="G85" s="988"/>
      <c r="H85" s="980"/>
      <c r="I85" s="980"/>
      <c r="J85" s="980"/>
      <c r="K85" s="980"/>
      <c r="L85" s="988"/>
      <c r="M85" s="988"/>
      <c r="N85" s="988"/>
      <c r="O85" s="848"/>
      <c r="P85" s="848"/>
      <c r="Q85" s="848"/>
      <c r="R85" s="848"/>
      <c r="S85" s="848"/>
      <c r="T85" s="848"/>
      <c r="U85" s="850"/>
      <c r="V85" s="850"/>
      <c r="W85" s="850"/>
      <c r="X85" s="850"/>
      <c r="Y85" s="850"/>
      <c r="Z85" s="850"/>
      <c r="AA85" s="850"/>
      <c r="AB85" s="850"/>
      <c r="AC85" s="850"/>
    </row>
    <row r="86" spans="1:29" ht="14.25" thickBot="1" x14ac:dyDescent="0.3">
      <c r="A86" s="862"/>
      <c r="B86" s="996"/>
      <c r="C86" s="962"/>
      <c r="D86" s="822"/>
      <c r="E86" s="822"/>
      <c r="G86" s="980"/>
      <c r="I86" s="904" t="s">
        <v>1724</v>
      </c>
      <c r="J86" s="980"/>
      <c r="K86" s="980"/>
      <c r="L86" s="988"/>
      <c r="M86" s="988"/>
      <c r="N86" s="988"/>
      <c r="O86" s="848"/>
      <c r="P86" s="848"/>
      <c r="Q86" s="848"/>
      <c r="R86" s="848"/>
      <c r="S86" s="848"/>
      <c r="T86" s="848"/>
      <c r="U86" s="850"/>
      <c r="V86" s="850"/>
      <c r="W86" s="850"/>
      <c r="X86" s="850"/>
      <c r="Y86" s="850"/>
      <c r="Z86" s="850"/>
      <c r="AA86" s="850"/>
      <c r="AB86" s="850"/>
      <c r="AC86" s="850"/>
    </row>
    <row r="87" spans="1:29" ht="27.75" thickBot="1" x14ac:dyDescent="0.3">
      <c r="B87" s="3990" t="s">
        <v>1485</v>
      </c>
      <c r="C87" s="3987" t="s">
        <v>3669</v>
      </c>
      <c r="D87" s="1047" t="s">
        <v>1725</v>
      </c>
      <c r="E87" s="3987" t="s">
        <v>1726</v>
      </c>
      <c r="F87" s="3987"/>
      <c r="G87" s="3987" t="s">
        <v>1727</v>
      </c>
      <c r="H87" s="3987"/>
      <c r="I87" s="3993" t="s">
        <v>1728</v>
      </c>
      <c r="J87" s="4408"/>
      <c r="K87" s="980"/>
      <c r="L87" s="988"/>
      <c r="M87" s="988"/>
      <c r="N87" s="988"/>
      <c r="O87" s="848"/>
      <c r="P87" s="848"/>
      <c r="Q87" s="848"/>
      <c r="R87" s="848"/>
      <c r="S87" s="848"/>
      <c r="T87" s="848"/>
      <c r="U87" s="850"/>
      <c r="V87" s="850"/>
      <c r="W87" s="850"/>
      <c r="X87" s="850"/>
      <c r="Y87" s="850"/>
      <c r="Z87" s="850"/>
      <c r="AA87" s="850"/>
      <c r="AB87" s="850"/>
      <c r="AC87" s="850"/>
    </row>
    <row r="88" spans="1:29" ht="33" customHeight="1" thickBot="1" x14ac:dyDescent="0.3">
      <c r="B88" s="3991"/>
      <c r="C88" s="3988"/>
      <c r="D88" s="1042" t="s">
        <v>1626</v>
      </c>
      <c r="E88" s="1042" t="s">
        <v>1729</v>
      </c>
      <c r="F88" s="4013" t="s">
        <v>1626</v>
      </c>
      <c r="G88" s="3988"/>
      <c r="H88" s="3988"/>
      <c r="I88" s="3994"/>
      <c r="J88" s="4409"/>
      <c r="K88" s="980"/>
      <c r="L88" s="988"/>
      <c r="M88" s="988"/>
      <c r="N88" s="988"/>
      <c r="O88" s="848"/>
      <c r="P88" s="848"/>
      <c r="Q88" s="848"/>
      <c r="R88" s="848"/>
      <c r="S88" s="848"/>
      <c r="T88" s="848"/>
      <c r="U88" s="850"/>
      <c r="V88" s="850"/>
      <c r="W88" s="850"/>
      <c r="X88" s="850"/>
      <c r="Y88" s="850"/>
      <c r="Z88" s="850"/>
      <c r="AA88" s="850"/>
      <c r="AB88" s="850"/>
      <c r="AC88" s="850"/>
    </row>
    <row r="89" spans="1:29" ht="14.25" thickBot="1" x14ac:dyDescent="0.3">
      <c r="B89" s="3991"/>
      <c r="C89" s="3988"/>
      <c r="D89" s="636">
        <v>2</v>
      </c>
      <c r="E89" s="1055" t="e">
        <f>E81</f>
        <v>#REF!</v>
      </c>
      <c r="F89" s="4013"/>
      <c r="G89" s="3988"/>
      <c r="H89" s="3988"/>
      <c r="I89" s="3994"/>
      <c r="J89" s="4409"/>
      <c r="K89" s="980"/>
      <c r="L89" s="988"/>
      <c r="M89" s="988"/>
      <c r="N89" s="988"/>
      <c r="O89" s="848"/>
      <c r="P89" s="848"/>
      <c r="Q89" s="848"/>
      <c r="R89" s="848"/>
      <c r="S89" s="848"/>
      <c r="T89" s="848"/>
      <c r="U89" s="850"/>
      <c r="V89" s="850"/>
      <c r="W89" s="850"/>
      <c r="X89" s="850"/>
      <c r="Y89" s="850"/>
      <c r="Z89" s="850"/>
      <c r="AA89" s="850"/>
      <c r="AB89" s="850"/>
      <c r="AC89" s="850"/>
    </row>
    <row r="90" spans="1:29" ht="27.75" thickBot="1" x14ac:dyDescent="0.3">
      <c r="B90" s="3991"/>
      <c r="C90" s="3988"/>
      <c r="D90" s="1042" t="s">
        <v>1730</v>
      </c>
      <c r="E90" s="3988" t="s">
        <v>1731</v>
      </c>
      <c r="F90" s="4013"/>
      <c r="G90" s="1042" t="s">
        <v>1732</v>
      </c>
      <c r="H90" s="1042" t="s">
        <v>1733</v>
      </c>
      <c r="I90" s="3994"/>
      <c r="J90" s="4409"/>
      <c r="K90" s="980"/>
      <c r="L90" s="988"/>
      <c r="M90" s="988"/>
      <c r="N90" s="988"/>
      <c r="O90" s="848"/>
      <c r="P90" s="848"/>
      <c r="Q90" s="848"/>
      <c r="R90" s="848"/>
      <c r="S90" s="848"/>
      <c r="T90" s="848"/>
      <c r="U90" s="850"/>
      <c r="V90" s="850"/>
      <c r="W90" s="850"/>
      <c r="X90" s="850"/>
      <c r="Y90" s="850"/>
      <c r="Z90" s="850"/>
      <c r="AA90" s="850"/>
      <c r="AB90" s="850"/>
      <c r="AC90" s="850"/>
    </row>
    <row r="91" spans="1:29" ht="14.25" thickBot="1" x14ac:dyDescent="0.3">
      <c r="B91" s="3992"/>
      <c r="C91" s="3989"/>
      <c r="D91" s="1056">
        <v>0.05</v>
      </c>
      <c r="E91" s="3989"/>
      <c r="F91" s="1057">
        <v>104</v>
      </c>
      <c r="G91" s="637">
        <v>4</v>
      </c>
      <c r="H91" s="637">
        <v>2</v>
      </c>
      <c r="I91" s="4389"/>
      <c r="J91" s="4410"/>
      <c r="K91" s="980"/>
      <c r="L91" s="988"/>
      <c r="M91" s="988"/>
      <c r="N91" s="988"/>
      <c r="O91" s="848"/>
      <c r="P91" s="848"/>
      <c r="Q91" s="848"/>
      <c r="R91" s="848"/>
      <c r="S91" s="848"/>
      <c r="T91" s="848"/>
      <c r="U91" s="850"/>
      <c r="V91" s="850"/>
      <c r="W91" s="850"/>
      <c r="X91" s="850"/>
      <c r="Y91" s="850"/>
      <c r="Z91" s="850"/>
      <c r="AA91" s="850"/>
      <c r="AB91" s="850"/>
      <c r="AC91" s="850"/>
    </row>
    <row r="92" spans="1:29" ht="14.25" thickBot="1" x14ac:dyDescent="0.3">
      <c r="B92" s="942">
        <v>2018</v>
      </c>
      <c r="C92" s="943" t="e">
        <f t="shared" ref="C92:C108" si="29">AD31*E$113</f>
        <v>#DIV/0!</v>
      </c>
      <c r="D92" s="943" t="e">
        <f>+C92*D$91*D$89</f>
        <v>#DIV/0!</v>
      </c>
      <c r="E92" s="943" t="e">
        <f>'3 Pob x Edad y EESS P1 P2'!M31*E89</f>
        <v>#REF!</v>
      </c>
      <c r="F92" s="943" t="e">
        <f>+E92*$F$91</f>
        <v>#REF!</v>
      </c>
      <c r="G92" s="943" t="e">
        <f>E92*G$91</f>
        <v>#REF!</v>
      </c>
      <c r="H92" s="943" t="e">
        <f>+G92*$H$91</f>
        <v>#REF!</v>
      </c>
      <c r="I92" s="944" t="e">
        <f>D92+F92+H92</f>
        <v>#DIV/0!</v>
      </c>
      <c r="J92" s="980"/>
      <c r="K92" s="980"/>
      <c r="L92" s="988"/>
      <c r="M92" s="988"/>
      <c r="N92" s="988"/>
      <c r="O92" s="848"/>
      <c r="P92" s="848"/>
      <c r="Q92" s="848"/>
      <c r="R92" s="848"/>
      <c r="S92" s="848"/>
      <c r="T92" s="848"/>
      <c r="U92" s="850"/>
      <c r="V92" s="850"/>
      <c r="W92" s="850"/>
      <c r="X92" s="850"/>
      <c r="Y92" s="850"/>
      <c r="Z92" s="850"/>
      <c r="AA92" s="850"/>
      <c r="AB92" s="850"/>
      <c r="AC92" s="850"/>
    </row>
    <row r="93" spans="1:29" ht="14.25" thickBot="1" x14ac:dyDescent="0.3">
      <c r="B93" s="942">
        <f>B92+1</f>
        <v>2019</v>
      </c>
      <c r="C93" s="943" t="e">
        <f t="shared" si="29"/>
        <v>#DIV/0!</v>
      </c>
      <c r="D93" s="943" t="e">
        <f t="shared" ref="D93:D108" si="30">+C93*D$91*D$89</f>
        <v>#DIV/0!</v>
      </c>
      <c r="E93" s="1456" t="e">
        <f>E92*(1+'8.1 Pob Urbana y Rural'!G$50)</f>
        <v>#REF!</v>
      </c>
      <c r="F93" s="943" t="e">
        <f>+E93*$F$91</f>
        <v>#REF!</v>
      </c>
      <c r="G93" s="943" t="e">
        <f t="shared" ref="G93:G108" si="31">E93*G$91</f>
        <v>#REF!</v>
      </c>
      <c r="H93" s="943" t="e">
        <f>+G93*$H$91</f>
        <v>#REF!</v>
      </c>
      <c r="I93" s="944" t="e">
        <f t="shared" ref="I93:I108" si="32">D93+F93+H93</f>
        <v>#DIV/0!</v>
      </c>
      <c r="J93" s="980"/>
      <c r="K93" s="980"/>
      <c r="L93" s="988"/>
      <c r="M93" s="988"/>
      <c r="N93" s="988"/>
      <c r="O93" s="848"/>
      <c r="P93" s="848"/>
      <c r="Q93" s="848"/>
      <c r="R93" s="848"/>
      <c r="S93" s="848"/>
      <c r="T93" s="848"/>
      <c r="U93" s="850"/>
      <c r="V93" s="850"/>
      <c r="W93" s="850"/>
      <c r="X93" s="850"/>
      <c r="Y93" s="850"/>
      <c r="Z93" s="850"/>
      <c r="AA93" s="850"/>
      <c r="AB93" s="850"/>
      <c r="AC93" s="850"/>
    </row>
    <row r="94" spans="1:29" ht="14.25" thickBot="1" x14ac:dyDescent="0.3">
      <c r="B94" s="948">
        <f>B93+1</f>
        <v>2020</v>
      </c>
      <c r="C94" s="949" t="e">
        <f t="shared" si="29"/>
        <v>#DIV/0!</v>
      </c>
      <c r="D94" s="949" t="e">
        <f t="shared" si="30"/>
        <v>#DIV/0!</v>
      </c>
      <c r="E94" s="1458" t="e">
        <f>E93*(1+'8.1 Pob Urbana y Rural'!G$50)</f>
        <v>#REF!</v>
      </c>
      <c r="F94" s="949" t="e">
        <f>+E94*$F$91</f>
        <v>#REF!</v>
      </c>
      <c r="G94" s="949" t="e">
        <f t="shared" si="31"/>
        <v>#REF!</v>
      </c>
      <c r="H94" s="949" t="e">
        <f t="shared" ref="H94:H108" si="33">+G94*$H$91</f>
        <v>#REF!</v>
      </c>
      <c r="I94" s="950" t="e">
        <f t="shared" si="32"/>
        <v>#DIV/0!</v>
      </c>
      <c r="J94" s="988"/>
      <c r="K94" s="980"/>
      <c r="L94" s="988"/>
      <c r="M94" s="988"/>
      <c r="N94" s="988"/>
      <c r="O94" s="848"/>
      <c r="P94" s="848"/>
      <c r="Q94" s="848"/>
      <c r="R94" s="848"/>
      <c r="S94" s="848"/>
      <c r="T94" s="848"/>
      <c r="U94" s="850"/>
      <c r="V94" s="850"/>
      <c r="W94" s="850"/>
      <c r="X94" s="850"/>
      <c r="Y94" s="850"/>
      <c r="Z94" s="850"/>
      <c r="AA94" s="850"/>
      <c r="AB94" s="850"/>
      <c r="AC94" s="850"/>
    </row>
    <row r="95" spans="1:29" ht="14.25" thickBot="1" x14ac:dyDescent="0.3">
      <c r="B95" s="948">
        <f t="shared" ref="B95:B108" si="34">B94+1</f>
        <v>2021</v>
      </c>
      <c r="C95" s="949" t="e">
        <f t="shared" si="29"/>
        <v>#DIV/0!</v>
      </c>
      <c r="D95" s="949" t="e">
        <f t="shared" si="30"/>
        <v>#DIV/0!</v>
      </c>
      <c r="E95" s="1458" t="e">
        <f>E94*(1+'8.1 Pob Urbana y Rural'!G$50)</f>
        <v>#REF!</v>
      </c>
      <c r="F95" s="949" t="e">
        <f t="shared" ref="F95:F108" si="35">+E95*$F$91</f>
        <v>#REF!</v>
      </c>
      <c r="G95" s="949" t="e">
        <f t="shared" si="31"/>
        <v>#REF!</v>
      </c>
      <c r="H95" s="949" t="e">
        <f>+G95*$H$91</f>
        <v>#REF!</v>
      </c>
      <c r="I95" s="950" t="e">
        <f t="shared" si="32"/>
        <v>#DIV/0!</v>
      </c>
      <c r="J95" s="988"/>
      <c r="K95" s="980"/>
      <c r="L95" s="988"/>
      <c r="M95" s="988"/>
      <c r="N95" s="988"/>
      <c r="O95" s="848"/>
      <c r="P95" s="848"/>
      <c r="Q95" s="848"/>
      <c r="R95" s="848"/>
      <c r="S95" s="848"/>
      <c r="T95" s="848"/>
      <c r="U95" s="850"/>
      <c r="V95" s="850"/>
      <c r="W95" s="850"/>
      <c r="X95" s="850"/>
      <c r="Y95" s="850"/>
      <c r="Z95" s="850"/>
      <c r="AA95" s="850"/>
      <c r="AB95" s="850"/>
      <c r="AC95" s="850"/>
    </row>
    <row r="96" spans="1:29" ht="14.25" thickBot="1" x14ac:dyDescent="0.3">
      <c r="B96" s="948">
        <f t="shared" si="34"/>
        <v>2022</v>
      </c>
      <c r="C96" s="949" t="e">
        <f t="shared" si="29"/>
        <v>#DIV/0!</v>
      </c>
      <c r="D96" s="949" t="e">
        <f t="shared" si="30"/>
        <v>#DIV/0!</v>
      </c>
      <c r="E96" s="1458" t="e">
        <f>E95*(1+'8.1 Pob Urbana y Rural'!G$50)</f>
        <v>#REF!</v>
      </c>
      <c r="F96" s="949" t="e">
        <f t="shared" si="35"/>
        <v>#REF!</v>
      </c>
      <c r="G96" s="949" t="e">
        <f t="shared" si="31"/>
        <v>#REF!</v>
      </c>
      <c r="H96" s="949" t="e">
        <f t="shared" si="33"/>
        <v>#REF!</v>
      </c>
      <c r="I96" s="950" t="e">
        <f t="shared" si="32"/>
        <v>#DIV/0!</v>
      </c>
      <c r="J96" s="988"/>
      <c r="K96" s="980"/>
      <c r="L96" s="988"/>
      <c r="M96" s="988"/>
      <c r="N96" s="988"/>
      <c r="O96" s="848"/>
      <c r="P96" s="848"/>
      <c r="Q96" s="848"/>
      <c r="R96" s="848"/>
      <c r="S96" s="848"/>
      <c r="T96" s="848"/>
      <c r="U96" s="850"/>
      <c r="V96" s="850"/>
      <c r="W96" s="850"/>
      <c r="X96" s="850"/>
      <c r="Y96" s="850"/>
      <c r="Z96" s="850"/>
      <c r="AA96" s="850"/>
      <c r="AB96" s="850"/>
      <c r="AC96" s="850"/>
    </row>
    <row r="97" spans="2:29" ht="14.25" thickBot="1" x14ac:dyDescent="0.3">
      <c r="B97" s="889">
        <f t="shared" si="34"/>
        <v>2023</v>
      </c>
      <c r="C97" s="890" t="e">
        <f t="shared" si="29"/>
        <v>#DIV/0!</v>
      </c>
      <c r="D97" s="890" t="e">
        <f t="shared" si="30"/>
        <v>#DIV/0!</v>
      </c>
      <c r="E97" s="1459" t="e">
        <f>E96*(1+'8.1 Pob Urbana y Rural'!G$50)</f>
        <v>#REF!</v>
      </c>
      <c r="F97" s="890" t="e">
        <f t="shared" si="35"/>
        <v>#REF!</v>
      </c>
      <c r="G97" s="890" t="e">
        <f t="shared" si="31"/>
        <v>#REF!</v>
      </c>
      <c r="H97" s="890" t="e">
        <f t="shared" si="33"/>
        <v>#REF!</v>
      </c>
      <c r="I97" s="891" t="e">
        <f t="shared" si="32"/>
        <v>#DIV/0!</v>
      </c>
      <c r="J97" s="980"/>
      <c r="K97" s="980"/>
      <c r="L97" s="988"/>
      <c r="M97" s="988"/>
      <c r="N97" s="988"/>
      <c r="O97" s="848"/>
      <c r="P97" s="848"/>
      <c r="Q97" s="848"/>
      <c r="R97" s="848"/>
      <c r="S97" s="848"/>
      <c r="T97" s="848"/>
      <c r="U97" s="848"/>
      <c r="V97" s="848"/>
      <c r="W97" s="848"/>
      <c r="X97" s="848"/>
      <c r="Y97" s="848"/>
      <c r="Z97" s="848"/>
      <c r="AA97" s="848"/>
      <c r="AB97" s="848"/>
      <c r="AC97" s="848"/>
    </row>
    <row r="98" spans="2:29" ht="14.25" thickBot="1" x14ac:dyDescent="0.3">
      <c r="B98" s="889">
        <f t="shared" si="34"/>
        <v>2024</v>
      </c>
      <c r="C98" s="890" t="e">
        <f t="shared" si="29"/>
        <v>#DIV/0!</v>
      </c>
      <c r="D98" s="890" t="e">
        <f t="shared" si="30"/>
        <v>#DIV/0!</v>
      </c>
      <c r="E98" s="1459" t="e">
        <f>E97*(1+'8.1 Pob Urbana y Rural'!G$50)</f>
        <v>#REF!</v>
      </c>
      <c r="F98" s="890" t="e">
        <f>+E98*$F$91</f>
        <v>#REF!</v>
      </c>
      <c r="G98" s="890" t="e">
        <f t="shared" si="31"/>
        <v>#REF!</v>
      </c>
      <c r="H98" s="890" t="e">
        <f t="shared" si="33"/>
        <v>#REF!</v>
      </c>
      <c r="I98" s="891" t="e">
        <f t="shared" si="32"/>
        <v>#DIV/0!</v>
      </c>
      <c r="J98" s="980"/>
      <c r="K98" s="980"/>
      <c r="L98" s="988"/>
      <c r="M98" s="988"/>
      <c r="N98" s="988"/>
      <c r="O98" s="848"/>
      <c r="P98" s="848"/>
      <c r="Q98" s="848"/>
      <c r="R98" s="848"/>
      <c r="S98" s="848"/>
      <c r="T98" s="848"/>
      <c r="U98" s="848"/>
      <c r="V98" s="848"/>
      <c r="W98" s="848"/>
      <c r="X98" s="848"/>
      <c r="Y98" s="848"/>
      <c r="Z98" s="848"/>
      <c r="AA98" s="848"/>
      <c r="AB98" s="848"/>
      <c r="AC98" s="848"/>
    </row>
    <row r="99" spans="2:29" ht="14.25" thickBot="1" x14ac:dyDescent="0.3">
      <c r="B99" s="889">
        <f t="shared" si="34"/>
        <v>2025</v>
      </c>
      <c r="C99" s="890" t="e">
        <f t="shared" si="29"/>
        <v>#DIV/0!</v>
      </c>
      <c r="D99" s="890" t="e">
        <f t="shared" si="30"/>
        <v>#DIV/0!</v>
      </c>
      <c r="E99" s="1459" t="e">
        <f>E98*(1+'8.1 Pob Urbana y Rural'!G$50)</f>
        <v>#REF!</v>
      </c>
      <c r="F99" s="890" t="e">
        <f t="shared" si="35"/>
        <v>#REF!</v>
      </c>
      <c r="G99" s="890" t="e">
        <f t="shared" si="31"/>
        <v>#REF!</v>
      </c>
      <c r="H99" s="890" t="e">
        <f t="shared" si="33"/>
        <v>#REF!</v>
      </c>
      <c r="I99" s="891" t="e">
        <f t="shared" si="32"/>
        <v>#DIV/0!</v>
      </c>
      <c r="J99" s="980"/>
      <c r="K99" s="980"/>
      <c r="L99" s="988"/>
      <c r="M99" s="988"/>
      <c r="N99" s="988"/>
      <c r="O99" s="848"/>
      <c r="P99" s="848"/>
      <c r="Q99" s="848"/>
      <c r="R99" s="848"/>
      <c r="S99" s="848"/>
      <c r="T99" s="848"/>
      <c r="U99" s="848"/>
      <c r="V99" s="848"/>
      <c r="W99" s="848"/>
      <c r="X99" s="848"/>
      <c r="Y99" s="848"/>
      <c r="Z99" s="848"/>
      <c r="AA99" s="848"/>
      <c r="AB99" s="848"/>
      <c r="AC99" s="848"/>
    </row>
    <row r="100" spans="2:29" ht="14.25" thickBot="1" x14ac:dyDescent="0.3">
      <c r="B100" s="889">
        <f t="shared" si="34"/>
        <v>2026</v>
      </c>
      <c r="C100" s="890" t="e">
        <f t="shared" si="29"/>
        <v>#DIV/0!</v>
      </c>
      <c r="D100" s="890" t="e">
        <f t="shared" si="30"/>
        <v>#DIV/0!</v>
      </c>
      <c r="E100" s="1459" t="e">
        <f>E99*(1+'8.1 Pob Urbana y Rural'!G$50)</f>
        <v>#REF!</v>
      </c>
      <c r="F100" s="890" t="e">
        <f t="shared" si="35"/>
        <v>#REF!</v>
      </c>
      <c r="G100" s="890" t="e">
        <f t="shared" si="31"/>
        <v>#REF!</v>
      </c>
      <c r="H100" s="890" t="e">
        <f t="shared" si="33"/>
        <v>#REF!</v>
      </c>
      <c r="I100" s="891" t="e">
        <f t="shared" si="32"/>
        <v>#DIV/0!</v>
      </c>
      <c r="J100" s="980"/>
      <c r="K100" s="980"/>
      <c r="L100" s="988"/>
      <c r="M100" s="988"/>
      <c r="N100" s="988"/>
      <c r="O100" s="848"/>
      <c r="P100" s="848"/>
      <c r="Q100" s="848"/>
      <c r="R100" s="848"/>
      <c r="S100" s="848"/>
      <c r="T100" s="848"/>
      <c r="U100" s="848"/>
      <c r="V100" s="848"/>
      <c r="W100" s="848"/>
      <c r="X100" s="848"/>
      <c r="Y100" s="848"/>
      <c r="Z100" s="848"/>
      <c r="AA100" s="848"/>
      <c r="AB100" s="848"/>
      <c r="AC100" s="848"/>
    </row>
    <row r="101" spans="2:29" ht="14.25" thickBot="1" x14ac:dyDescent="0.3">
      <c r="B101" s="889">
        <f t="shared" si="34"/>
        <v>2027</v>
      </c>
      <c r="C101" s="890" t="e">
        <f t="shared" si="29"/>
        <v>#DIV/0!</v>
      </c>
      <c r="D101" s="890" t="e">
        <f t="shared" si="30"/>
        <v>#DIV/0!</v>
      </c>
      <c r="E101" s="1459" t="e">
        <f>E100*(1+'8.1 Pob Urbana y Rural'!G$50)</f>
        <v>#REF!</v>
      </c>
      <c r="F101" s="890" t="e">
        <f>+E101*$F$91</f>
        <v>#REF!</v>
      </c>
      <c r="G101" s="890" t="e">
        <f t="shared" si="31"/>
        <v>#REF!</v>
      </c>
      <c r="H101" s="890" t="e">
        <f t="shared" si="33"/>
        <v>#REF!</v>
      </c>
      <c r="I101" s="891" t="e">
        <f t="shared" si="32"/>
        <v>#DIV/0!</v>
      </c>
      <c r="J101" s="980"/>
      <c r="K101" s="980"/>
      <c r="L101" s="988"/>
      <c r="M101" s="988"/>
      <c r="N101" s="988"/>
      <c r="O101" s="848"/>
      <c r="P101" s="848"/>
      <c r="Q101" s="848"/>
      <c r="R101" s="848"/>
      <c r="S101" s="848"/>
      <c r="T101" s="848"/>
      <c r="U101" s="848"/>
      <c r="V101" s="848"/>
      <c r="W101" s="848"/>
      <c r="X101" s="848"/>
      <c r="Y101" s="848"/>
      <c r="Z101" s="848"/>
      <c r="AA101" s="848"/>
      <c r="AB101" s="848"/>
      <c r="AC101" s="848"/>
    </row>
    <row r="102" spans="2:29" ht="14.25" thickBot="1" x14ac:dyDescent="0.3">
      <c r="B102" s="889">
        <f t="shared" si="34"/>
        <v>2028</v>
      </c>
      <c r="C102" s="890" t="e">
        <f t="shared" si="29"/>
        <v>#DIV/0!</v>
      </c>
      <c r="D102" s="890" t="e">
        <f t="shared" si="30"/>
        <v>#DIV/0!</v>
      </c>
      <c r="E102" s="1459" t="e">
        <f>E101*(1+'8.1 Pob Urbana y Rural'!G$50)</f>
        <v>#REF!</v>
      </c>
      <c r="F102" s="890" t="e">
        <f t="shared" si="35"/>
        <v>#REF!</v>
      </c>
      <c r="G102" s="890" t="e">
        <f t="shared" si="31"/>
        <v>#REF!</v>
      </c>
      <c r="H102" s="890" t="e">
        <f t="shared" si="33"/>
        <v>#REF!</v>
      </c>
      <c r="I102" s="891" t="e">
        <f t="shared" si="32"/>
        <v>#DIV/0!</v>
      </c>
      <c r="J102" s="980"/>
      <c r="K102" s="980"/>
      <c r="L102" s="988"/>
      <c r="M102" s="988"/>
      <c r="N102" s="988"/>
      <c r="O102" s="848"/>
      <c r="P102" s="848"/>
      <c r="Q102" s="848"/>
      <c r="R102" s="848"/>
      <c r="S102" s="848"/>
      <c r="T102" s="848"/>
      <c r="U102" s="848"/>
      <c r="V102" s="848"/>
      <c r="W102" s="848"/>
      <c r="X102" s="848"/>
      <c r="Y102" s="848"/>
      <c r="Z102" s="848"/>
      <c r="AA102" s="848"/>
      <c r="AB102" s="848"/>
      <c r="AC102" s="848"/>
    </row>
    <row r="103" spans="2:29" ht="14.25" thickBot="1" x14ac:dyDescent="0.3">
      <c r="B103" s="889">
        <f t="shared" si="34"/>
        <v>2029</v>
      </c>
      <c r="C103" s="890" t="e">
        <f t="shared" si="29"/>
        <v>#DIV/0!</v>
      </c>
      <c r="D103" s="890" t="e">
        <f t="shared" si="30"/>
        <v>#DIV/0!</v>
      </c>
      <c r="E103" s="1459" t="e">
        <f>E102*(1+'8.1 Pob Urbana y Rural'!G$50)</f>
        <v>#REF!</v>
      </c>
      <c r="F103" s="890" t="e">
        <f t="shared" si="35"/>
        <v>#REF!</v>
      </c>
      <c r="G103" s="890" t="e">
        <f t="shared" si="31"/>
        <v>#REF!</v>
      </c>
      <c r="H103" s="890" t="e">
        <f t="shared" si="33"/>
        <v>#REF!</v>
      </c>
      <c r="I103" s="891" t="e">
        <f t="shared" si="32"/>
        <v>#DIV/0!</v>
      </c>
      <c r="J103" s="980"/>
      <c r="K103" s="980"/>
      <c r="L103" s="988"/>
      <c r="M103" s="988"/>
      <c r="N103" s="988"/>
      <c r="O103" s="848"/>
      <c r="P103" s="848"/>
      <c r="Q103" s="848"/>
      <c r="R103" s="848"/>
      <c r="S103" s="848"/>
      <c r="T103" s="848"/>
      <c r="U103" s="848"/>
      <c r="V103" s="848"/>
      <c r="W103" s="848"/>
      <c r="X103" s="848"/>
      <c r="Y103" s="848"/>
      <c r="Z103" s="848"/>
      <c r="AA103" s="848"/>
      <c r="AB103" s="848"/>
      <c r="AC103" s="848"/>
    </row>
    <row r="104" spans="2:29" ht="14.25" thickBot="1" x14ac:dyDescent="0.3">
      <c r="B104" s="889">
        <f t="shared" si="34"/>
        <v>2030</v>
      </c>
      <c r="C104" s="890" t="e">
        <f t="shared" si="29"/>
        <v>#DIV/0!</v>
      </c>
      <c r="D104" s="890" t="e">
        <f t="shared" si="30"/>
        <v>#DIV/0!</v>
      </c>
      <c r="E104" s="1459" t="e">
        <f>E103*(1+'8.1 Pob Urbana y Rural'!G$50)</f>
        <v>#REF!</v>
      </c>
      <c r="F104" s="890" t="e">
        <f t="shared" si="35"/>
        <v>#REF!</v>
      </c>
      <c r="G104" s="890" t="e">
        <f t="shared" si="31"/>
        <v>#REF!</v>
      </c>
      <c r="H104" s="890" t="e">
        <f t="shared" si="33"/>
        <v>#REF!</v>
      </c>
      <c r="I104" s="891" t="e">
        <f t="shared" si="32"/>
        <v>#DIV/0!</v>
      </c>
      <c r="J104" s="980"/>
      <c r="K104" s="980"/>
      <c r="L104" s="988"/>
      <c r="M104" s="988"/>
      <c r="N104" s="988"/>
      <c r="O104" s="848"/>
      <c r="P104" s="848"/>
      <c r="Q104" s="848"/>
      <c r="R104" s="848"/>
      <c r="S104" s="848"/>
      <c r="T104" s="848"/>
      <c r="U104" s="848"/>
      <c r="V104" s="848"/>
      <c r="W104" s="848"/>
      <c r="X104" s="848"/>
      <c r="Y104" s="848"/>
      <c r="Z104" s="848"/>
      <c r="AA104" s="848"/>
      <c r="AB104" s="848"/>
      <c r="AC104" s="848"/>
    </row>
    <row r="105" spans="2:29" ht="14.25" thickBot="1" x14ac:dyDescent="0.3">
      <c r="B105" s="889">
        <f t="shared" si="34"/>
        <v>2031</v>
      </c>
      <c r="C105" s="890" t="e">
        <f t="shared" si="29"/>
        <v>#DIV/0!</v>
      </c>
      <c r="D105" s="890" t="e">
        <f t="shared" si="30"/>
        <v>#DIV/0!</v>
      </c>
      <c r="E105" s="1459" t="e">
        <f>E104*(1+'8.1 Pob Urbana y Rural'!G$50)</f>
        <v>#REF!</v>
      </c>
      <c r="F105" s="890" t="e">
        <f t="shared" si="35"/>
        <v>#REF!</v>
      </c>
      <c r="G105" s="890" t="e">
        <f t="shared" si="31"/>
        <v>#REF!</v>
      </c>
      <c r="H105" s="890" t="e">
        <f t="shared" si="33"/>
        <v>#REF!</v>
      </c>
      <c r="I105" s="891" t="e">
        <f t="shared" si="32"/>
        <v>#DIV/0!</v>
      </c>
      <c r="J105" s="980"/>
      <c r="K105" s="980"/>
      <c r="L105" s="988"/>
      <c r="M105" s="988"/>
      <c r="N105" s="988"/>
      <c r="O105" s="848"/>
      <c r="P105" s="848"/>
      <c r="Q105" s="848"/>
      <c r="R105" s="848"/>
      <c r="S105" s="848"/>
      <c r="T105" s="848"/>
      <c r="U105" s="848"/>
      <c r="V105" s="848"/>
      <c r="W105" s="848"/>
      <c r="X105" s="848"/>
      <c r="Y105" s="848"/>
      <c r="Z105" s="848"/>
      <c r="AA105" s="848"/>
      <c r="AB105" s="848"/>
      <c r="AC105" s="848"/>
    </row>
    <row r="106" spans="2:29" ht="14.25" thickBot="1" x14ac:dyDescent="0.3">
      <c r="B106" s="889">
        <f t="shared" si="34"/>
        <v>2032</v>
      </c>
      <c r="C106" s="890" t="e">
        <f t="shared" si="29"/>
        <v>#DIV/0!</v>
      </c>
      <c r="D106" s="890" t="e">
        <f t="shared" si="30"/>
        <v>#DIV/0!</v>
      </c>
      <c r="E106" s="1459" t="e">
        <f>E105*(1+'8.1 Pob Urbana y Rural'!G$50)</f>
        <v>#REF!</v>
      </c>
      <c r="F106" s="890" t="e">
        <f t="shared" si="35"/>
        <v>#REF!</v>
      </c>
      <c r="G106" s="890" t="e">
        <f t="shared" si="31"/>
        <v>#REF!</v>
      </c>
      <c r="H106" s="890" t="e">
        <f t="shared" si="33"/>
        <v>#REF!</v>
      </c>
      <c r="I106" s="891" t="e">
        <f t="shared" si="32"/>
        <v>#DIV/0!</v>
      </c>
      <c r="J106" s="980"/>
      <c r="K106" s="980"/>
      <c r="L106" s="988"/>
      <c r="M106" s="988"/>
      <c r="N106" s="988"/>
      <c r="O106" s="848"/>
      <c r="P106" s="848"/>
      <c r="Q106" s="848"/>
      <c r="R106" s="848"/>
      <c r="S106" s="848"/>
      <c r="T106" s="848"/>
      <c r="U106" s="848"/>
      <c r="V106" s="848"/>
      <c r="W106" s="848"/>
      <c r="X106" s="848"/>
      <c r="Y106" s="848"/>
      <c r="Z106" s="848"/>
      <c r="AA106" s="848"/>
      <c r="AB106" s="848"/>
      <c r="AC106" s="848"/>
    </row>
    <row r="107" spans="2:29" ht="14.25" thickBot="1" x14ac:dyDescent="0.3">
      <c r="B107" s="889">
        <f t="shared" si="34"/>
        <v>2033</v>
      </c>
      <c r="C107" s="890" t="e">
        <f t="shared" si="29"/>
        <v>#DIV/0!</v>
      </c>
      <c r="D107" s="890" t="e">
        <f t="shared" si="30"/>
        <v>#DIV/0!</v>
      </c>
      <c r="E107" s="1459" t="e">
        <f>E106*(1+'8.1 Pob Urbana y Rural'!G$50)</f>
        <v>#REF!</v>
      </c>
      <c r="F107" s="890" t="e">
        <f t="shared" si="35"/>
        <v>#REF!</v>
      </c>
      <c r="G107" s="890" t="e">
        <f t="shared" si="31"/>
        <v>#REF!</v>
      </c>
      <c r="H107" s="890" t="e">
        <f t="shared" si="33"/>
        <v>#REF!</v>
      </c>
      <c r="I107" s="891" t="e">
        <f t="shared" si="32"/>
        <v>#DIV/0!</v>
      </c>
      <c r="J107" s="980"/>
      <c r="K107" s="980"/>
      <c r="L107" s="988"/>
      <c r="M107" s="988"/>
      <c r="N107" s="988"/>
      <c r="O107" s="848"/>
      <c r="P107" s="848"/>
      <c r="Q107" s="848"/>
      <c r="R107" s="848"/>
      <c r="S107" s="848"/>
      <c r="T107" s="848"/>
      <c r="U107" s="848"/>
      <c r="V107" s="848"/>
      <c r="W107" s="848"/>
      <c r="X107" s="848"/>
      <c r="Y107" s="848"/>
      <c r="Z107" s="848"/>
      <c r="AA107" s="848"/>
      <c r="AB107" s="848"/>
      <c r="AC107" s="848"/>
    </row>
    <row r="108" spans="2:29" ht="14.25" thickBot="1" x14ac:dyDescent="0.3">
      <c r="B108" s="889">
        <f t="shared" si="34"/>
        <v>2034</v>
      </c>
      <c r="C108" s="890" t="e">
        <f t="shared" si="29"/>
        <v>#DIV/0!</v>
      </c>
      <c r="D108" s="890" t="e">
        <f t="shared" si="30"/>
        <v>#DIV/0!</v>
      </c>
      <c r="E108" s="1459" t="e">
        <f>E107*(1+'8.1 Pob Urbana y Rural'!G$50)</f>
        <v>#REF!</v>
      </c>
      <c r="F108" s="890" t="e">
        <f t="shared" si="35"/>
        <v>#REF!</v>
      </c>
      <c r="G108" s="890" t="e">
        <f t="shared" si="31"/>
        <v>#REF!</v>
      </c>
      <c r="H108" s="890" t="e">
        <f t="shared" si="33"/>
        <v>#REF!</v>
      </c>
      <c r="I108" s="891" t="e">
        <f t="shared" si="32"/>
        <v>#DIV/0!</v>
      </c>
      <c r="J108" s="980"/>
      <c r="K108" s="980"/>
      <c r="L108" s="988"/>
      <c r="M108" s="988"/>
      <c r="N108" s="988"/>
      <c r="O108" s="848"/>
      <c r="P108" s="848"/>
      <c r="Q108" s="848"/>
      <c r="R108" s="848"/>
      <c r="S108" s="848"/>
      <c r="T108" s="848"/>
      <c r="U108" s="848"/>
      <c r="V108" s="848"/>
      <c r="W108" s="848"/>
      <c r="X108" s="848"/>
      <c r="Y108" s="848"/>
      <c r="Z108" s="848"/>
      <c r="AA108" s="848"/>
      <c r="AB108" s="848"/>
      <c r="AC108" s="848"/>
    </row>
    <row r="109" spans="2:29" x14ac:dyDescent="0.25">
      <c r="B109" s="864" t="s">
        <v>1734</v>
      </c>
      <c r="L109" s="988"/>
      <c r="M109" s="988"/>
      <c r="N109" s="988"/>
      <c r="O109" s="848"/>
      <c r="P109" s="848"/>
      <c r="Q109" s="848"/>
      <c r="R109" s="848"/>
      <c r="S109" s="848"/>
      <c r="T109" s="848"/>
      <c r="U109" s="848"/>
      <c r="V109" s="848"/>
      <c r="W109" s="848"/>
      <c r="X109" s="848"/>
      <c r="Y109" s="848"/>
      <c r="Z109" s="848"/>
      <c r="AA109" s="848"/>
      <c r="AB109" s="848"/>
      <c r="AC109" s="848"/>
    </row>
    <row r="110" spans="2:29" x14ac:dyDescent="0.25">
      <c r="L110" s="988"/>
      <c r="M110" s="988"/>
      <c r="N110" s="988"/>
      <c r="O110" s="848"/>
      <c r="P110" s="848"/>
      <c r="Q110" s="848"/>
      <c r="R110" s="848"/>
      <c r="S110" s="848"/>
      <c r="T110" s="848"/>
      <c r="U110" s="848"/>
      <c r="V110" s="848"/>
      <c r="W110" s="848"/>
      <c r="X110" s="848"/>
      <c r="Y110" s="848"/>
      <c r="Z110" s="848"/>
      <c r="AA110" s="848"/>
      <c r="AB110" s="848"/>
      <c r="AC110" s="848"/>
    </row>
    <row r="111" spans="2:29" x14ac:dyDescent="0.25">
      <c r="C111" s="986"/>
      <c r="D111" s="986"/>
      <c r="E111" s="986"/>
      <c r="F111" s="986"/>
      <c r="G111" s="986"/>
      <c r="H111" s="980"/>
      <c r="I111" s="980"/>
      <c r="J111" s="980"/>
      <c r="K111" s="980"/>
      <c r="L111" s="988"/>
      <c r="M111" s="988"/>
      <c r="N111" s="988"/>
      <c r="O111" s="850"/>
      <c r="P111" s="850"/>
      <c r="Q111" s="850"/>
      <c r="R111" s="850"/>
      <c r="S111" s="850"/>
      <c r="T111" s="848"/>
      <c r="U111" s="848"/>
      <c r="V111" s="848"/>
      <c r="W111" s="848"/>
      <c r="X111" s="848"/>
      <c r="Y111" s="848"/>
      <c r="Z111" s="848"/>
      <c r="AA111" s="848"/>
      <c r="AB111" s="848"/>
      <c r="AC111" s="848"/>
    </row>
    <row r="112" spans="2:29" ht="14.25" thickBot="1" x14ac:dyDescent="0.3">
      <c r="B112" s="864"/>
      <c r="C112" s="986"/>
      <c r="D112" s="986"/>
      <c r="E112" s="986"/>
      <c r="F112" s="986"/>
      <c r="G112" s="986"/>
      <c r="H112" s="980"/>
      <c r="I112" s="980"/>
      <c r="J112" s="980"/>
      <c r="K112" s="980"/>
      <c r="L112" s="988"/>
      <c r="M112" s="988"/>
      <c r="N112" s="988"/>
      <c r="O112" s="850"/>
      <c r="P112" s="850"/>
      <c r="Q112" s="850"/>
      <c r="R112" s="850"/>
      <c r="S112" s="850"/>
      <c r="T112" s="848"/>
      <c r="U112" s="848"/>
      <c r="V112" s="848"/>
      <c r="W112" s="848"/>
      <c r="X112" s="848"/>
      <c r="Y112" s="848"/>
      <c r="Z112" s="848"/>
      <c r="AA112" s="848"/>
      <c r="AB112" s="848"/>
      <c r="AC112" s="848"/>
    </row>
    <row r="113" spans="2:29" ht="27.75" thickBot="1" x14ac:dyDescent="0.3">
      <c r="B113" s="853"/>
      <c r="D113" s="1033" t="s">
        <v>1735</v>
      </c>
      <c r="E113" s="1031">
        <f>SUM('3 Pob x Edad y EESS P1 P2'!AC38:AT38)</f>
        <v>0.6820624780147756</v>
      </c>
      <c r="F113" s="980"/>
      <c r="G113" s="980"/>
      <c r="H113" s="980"/>
      <c r="I113" s="980"/>
      <c r="J113" s="980"/>
      <c r="K113" s="980"/>
      <c r="L113" s="988"/>
      <c r="M113" s="988"/>
      <c r="N113" s="988"/>
      <c r="O113" s="850"/>
      <c r="P113" s="850"/>
      <c r="Q113" s="850"/>
      <c r="R113" s="850"/>
      <c r="S113" s="850"/>
      <c r="T113" s="848"/>
      <c r="U113" s="848"/>
      <c r="V113" s="848"/>
      <c r="W113" s="848"/>
      <c r="X113" s="848"/>
      <c r="Y113" s="848"/>
      <c r="Z113" s="848"/>
      <c r="AA113" s="848"/>
      <c r="AB113" s="848"/>
      <c r="AC113" s="848"/>
    </row>
    <row r="114" spans="2:29" x14ac:dyDescent="0.25">
      <c r="B114" s="853"/>
      <c r="G114" s="980"/>
      <c r="H114" s="980"/>
      <c r="I114" s="980"/>
      <c r="J114" s="980"/>
      <c r="K114" s="980"/>
      <c r="L114" s="988"/>
      <c r="M114" s="988"/>
      <c r="N114" s="988"/>
      <c r="O114" s="850"/>
      <c r="P114" s="850"/>
      <c r="Q114" s="850"/>
      <c r="R114" s="850"/>
      <c r="S114" s="850"/>
      <c r="T114" s="848"/>
      <c r="U114" s="848"/>
      <c r="V114" s="848"/>
      <c r="W114" s="848"/>
      <c r="X114" s="848"/>
      <c r="Y114" s="848"/>
      <c r="Z114" s="848"/>
      <c r="AA114" s="848"/>
      <c r="AB114" s="848"/>
      <c r="AC114" s="848"/>
    </row>
    <row r="115" spans="2:29" x14ac:dyDescent="0.25">
      <c r="B115" s="987"/>
      <c r="O115" s="850"/>
      <c r="P115" s="850"/>
      <c r="Q115" s="850"/>
      <c r="R115" s="850"/>
      <c r="S115" s="850"/>
      <c r="T115" s="848"/>
      <c r="U115" s="848"/>
      <c r="V115" s="848"/>
      <c r="W115" s="848"/>
      <c r="X115" s="848"/>
      <c r="Y115" s="848"/>
      <c r="Z115" s="848"/>
      <c r="AA115" s="848"/>
      <c r="AB115" s="848"/>
      <c r="AC115" s="848"/>
    </row>
    <row r="116" spans="2:29" ht="14.25" thickBot="1" x14ac:dyDescent="0.3">
      <c r="B116" s="995" t="s">
        <v>1736</v>
      </c>
      <c r="O116" s="850"/>
      <c r="P116" s="850"/>
      <c r="Q116" s="850"/>
      <c r="R116" s="850"/>
      <c r="S116" s="850"/>
      <c r="T116" s="848"/>
      <c r="U116" s="848"/>
      <c r="V116" s="848"/>
      <c r="W116" s="848"/>
      <c r="X116" s="848"/>
      <c r="Y116" s="848"/>
      <c r="Z116" s="848"/>
      <c r="AA116" s="848"/>
      <c r="AB116" s="848"/>
      <c r="AC116" s="848"/>
    </row>
    <row r="117" spans="2:29" ht="14.25" thickBot="1" x14ac:dyDescent="0.3">
      <c r="E117" s="989"/>
      <c r="F117" s="990"/>
      <c r="G117" s="904" t="s">
        <v>1686</v>
      </c>
      <c r="K117" s="980"/>
      <c r="L117" s="988"/>
      <c r="M117" s="988"/>
      <c r="N117" s="988"/>
      <c r="O117" s="850"/>
      <c r="P117" s="850"/>
      <c r="Q117" s="850"/>
      <c r="R117" s="850"/>
      <c r="S117" s="850"/>
      <c r="T117" s="848"/>
      <c r="U117" s="848"/>
      <c r="V117" s="848"/>
      <c r="W117" s="848"/>
      <c r="X117" s="848"/>
      <c r="Y117" s="848"/>
      <c r="Z117" s="848"/>
      <c r="AA117" s="848"/>
      <c r="AB117" s="848"/>
      <c r="AC117" s="848"/>
    </row>
    <row r="118" spans="2:29" ht="14.25" thickBot="1" x14ac:dyDescent="0.3">
      <c r="B118" s="3990" t="s">
        <v>1485</v>
      </c>
      <c r="C118" s="3987" t="s">
        <v>1737</v>
      </c>
      <c r="D118" s="3987" t="s">
        <v>1738</v>
      </c>
      <c r="E118" s="3987" t="s">
        <v>1739</v>
      </c>
      <c r="F118" s="3987" t="s">
        <v>1738</v>
      </c>
      <c r="G118" s="3993" t="s">
        <v>0</v>
      </c>
      <c r="K118" s="980"/>
      <c r="L118" s="988"/>
      <c r="M118" s="988"/>
      <c r="N118" s="988"/>
      <c r="O118" s="850"/>
      <c r="P118" s="850"/>
      <c r="Q118" s="850"/>
      <c r="R118" s="850"/>
      <c r="S118" s="850"/>
      <c r="T118" s="848"/>
      <c r="U118" s="848"/>
      <c r="V118" s="848"/>
      <c r="W118" s="848"/>
      <c r="X118" s="848"/>
      <c r="Y118" s="848"/>
      <c r="Z118" s="848"/>
      <c r="AA118" s="848"/>
      <c r="AB118" s="848"/>
      <c r="AC118" s="848"/>
    </row>
    <row r="119" spans="2:29" ht="14.25" thickBot="1" x14ac:dyDescent="0.3">
      <c r="B119" s="3991"/>
      <c r="C119" s="3988"/>
      <c r="D119" s="3988"/>
      <c r="E119" s="3988"/>
      <c r="F119" s="3988"/>
      <c r="G119" s="3994"/>
      <c r="K119" s="980"/>
      <c r="L119" s="988"/>
      <c r="M119" s="988"/>
      <c r="N119" s="988"/>
      <c r="O119" s="850"/>
      <c r="P119" s="850"/>
      <c r="Q119" s="850"/>
      <c r="R119" s="850"/>
      <c r="S119" s="850"/>
      <c r="T119" s="848"/>
      <c r="U119" s="848"/>
      <c r="V119" s="848"/>
      <c r="W119" s="848"/>
      <c r="X119" s="848"/>
      <c r="Y119" s="848"/>
      <c r="Z119" s="848"/>
      <c r="AA119" s="848"/>
      <c r="AB119" s="848"/>
      <c r="AC119" s="848"/>
    </row>
    <row r="120" spans="2:29" ht="14.25" thickBot="1" x14ac:dyDescent="0.3">
      <c r="B120" s="3991"/>
      <c r="C120" s="1042" t="s">
        <v>1740</v>
      </c>
      <c r="D120" s="1043">
        <f>'5.1 Prod 2 MORBI ESTRAG'!BC112</f>
        <v>0</v>
      </c>
      <c r="E120" s="1042" t="s">
        <v>1740</v>
      </c>
      <c r="F120" s="1043">
        <f>D120</f>
        <v>0</v>
      </c>
      <c r="G120" s="3994"/>
      <c r="K120" s="980"/>
      <c r="L120" s="988"/>
      <c r="M120" s="988"/>
      <c r="N120" s="988"/>
      <c r="O120" s="850"/>
      <c r="P120" s="850"/>
      <c r="Q120" s="850"/>
      <c r="R120" s="850"/>
      <c r="S120" s="850"/>
      <c r="T120" s="848"/>
      <c r="U120" s="848"/>
      <c r="V120" s="848"/>
      <c r="W120" s="848"/>
      <c r="X120" s="848"/>
      <c r="Y120" s="848"/>
      <c r="Z120" s="848"/>
      <c r="AA120" s="848"/>
      <c r="AB120" s="848"/>
      <c r="AC120" s="848"/>
    </row>
    <row r="121" spans="2:29" ht="14.25" thickBot="1" x14ac:dyDescent="0.3">
      <c r="B121" s="3992"/>
      <c r="C121" s="1052">
        <f>SUM('3 Pob x Edad y EESS P1 P2'!T37:AT37)</f>
        <v>0.92729660118604651</v>
      </c>
      <c r="D121" s="1046">
        <v>2</v>
      </c>
      <c r="E121" s="1052">
        <f>SUM('3 Pob x Edad y EESS P1 P2'!T38:AT38)</f>
        <v>0.88878797810805732</v>
      </c>
      <c r="F121" s="1046">
        <v>2</v>
      </c>
      <c r="G121" s="4389"/>
      <c r="K121" s="980"/>
      <c r="L121" s="988"/>
      <c r="M121" s="988"/>
      <c r="N121" s="988"/>
      <c r="O121" s="850"/>
      <c r="P121" s="850"/>
      <c r="Q121" s="850"/>
      <c r="R121" s="850"/>
      <c r="S121" s="850"/>
      <c r="T121" s="848"/>
      <c r="U121" s="848"/>
      <c r="V121" s="848"/>
      <c r="W121" s="848"/>
      <c r="X121" s="848"/>
      <c r="Y121" s="848"/>
      <c r="Z121" s="848"/>
      <c r="AA121" s="848"/>
      <c r="AB121" s="848"/>
      <c r="AC121" s="848"/>
    </row>
    <row r="122" spans="2:29" ht="14.25" thickBot="1" x14ac:dyDescent="0.3">
      <c r="B122" s="942">
        <v>2018</v>
      </c>
      <c r="C122" s="953">
        <f>'3 Pob x Edad y EESS P1 P2'!M31*C121</f>
        <v>809.29974064468229</v>
      </c>
      <c r="D122" s="943">
        <f>C122*$D$120*$D$121</f>
        <v>0</v>
      </c>
      <c r="E122" s="943">
        <f>'8.2 Pob Ddte'!C100*$E$121</f>
        <v>102.78225011194402</v>
      </c>
      <c r="F122" s="1456">
        <f>$F$120*$F$121*E122</f>
        <v>0</v>
      </c>
      <c r="G122" s="944">
        <f>SUM(D122,F122)</f>
        <v>0</v>
      </c>
      <c r="K122" s="980"/>
      <c r="L122" s="988"/>
      <c r="M122" s="988"/>
      <c r="N122" s="988"/>
      <c r="O122" s="850"/>
      <c r="P122" s="850"/>
      <c r="Q122" s="850"/>
      <c r="R122" s="850"/>
      <c r="S122" s="850"/>
      <c r="T122" s="848"/>
      <c r="U122" s="848"/>
      <c r="V122" s="848"/>
      <c r="W122" s="848"/>
      <c r="X122" s="848"/>
      <c r="Y122" s="848"/>
      <c r="Z122" s="848"/>
      <c r="AA122" s="848"/>
      <c r="AB122" s="848"/>
      <c r="AC122" s="848"/>
    </row>
    <row r="123" spans="2:29" ht="14.25" thickBot="1" x14ac:dyDescent="0.3">
      <c r="B123" s="942">
        <f>+B122+1</f>
        <v>2019</v>
      </c>
      <c r="C123" s="1465">
        <f>C122*(1+'8.1 Pob Urbana y Rural'!G$50)</f>
        <v>809.61335024048583</v>
      </c>
      <c r="D123" s="1456">
        <f>D122*(1+'8.1 Pob Urbana y Rural'!G$50)</f>
        <v>0</v>
      </c>
      <c r="E123" s="1456">
        <f>'8.2 Pob Ddte'!C101*$E$121</f>
        <v>103.57567371840553</v>
      </c>
      <c r="F123" s="1456">
        <f t="shared" ref="F123:F138" si="36">$F$120*$F$121*E123</f>
        <v>0</v>
      </c>
      <c r="G123" s="944">
        <f t="shared" ref="G123:G138" si="37">SUM(D123,F123)</f>
        <v>0</v>
      </c>
      <c r="K123" s="980"/>
      <c r="L123" s="988"/>
      <c r="M123" s="988"/>
      <c r="N123" s="988"/>
      <c r="O123" s="850"/>
      <c r="P123" s="850"/>
      <c r="Q123" s="850"/>
      <c r="R123" s="850"/>
      <c r="S123" s="850"/>
      <c r="T123" s="848"/>
      <c r="U123" s="848"/>
      <c r="V123" s="848"/>
      <c r="W123" s="848"/>
      <c r="X123" s="848"/>
      <c r="Y123" s="848"/>
      <c r="Z123" s="848"/>
      <c r="AA123" s="848"/>
      <c r="AB123" s="848"/>
      <c r="AC123" s="848"/>
    </row>
    <row r="124" spans="2:29" ht="14.25" thickBot="1" x14ac:dyDescent="0.3">
      <c r="B124" s="948">
        <f>+B123+1</f>
        <v>2020</v>
      </c>
      <c r="C124" s="1467">
        <f>C123*(1+'8.1 Pob Urbana y Rural'!G$50)</f>
        <v>809.92708136231204</v>
      </c>
      <c r="D124" s="1458">
        <f>D123*(1+'8.1 Pob Urbana y Rural'!G$50)</f>
        <v>0</v>
      </c>
      <c r="E124" s="1458">
        <f>'8.2 Pob Ddte'!C102*$E$121</f>
        <v>104.3696968058388</v>
      </c>
      <c r="F124" s="1458">
        <f t="shared" si="36"/>
        <v>0</v>
      </c>
      <c r="G124" s="950">
        <f t="shared" si="37"/>
        <v>0</v>
      </c>
      <c r="K124" s="980"/>
      <c r="L124" s="988"/>
      <c r="M124" s="988"/>
      <c r="N124" s="988"/>
      <c r="O124" s="850"/>
      <c r="P124" s="850"/>
      <c r="Q124" s="850"/>
      <c r="R124" s="850"/>
      <c r="S124" s="850"/>
      <c r="T124" s="848"/>
      <c r="U124" s="848"/>
      <c r="V124" s="848"/>
      <c r="W124" s="848"/>
      <c r="X124" s="848"/>
      <c r="Y124" s="848"/>
      <c r="Z124" s="848"/>
      <c r="AA124" s="848"/>
      <c r="AB124" s="848"/>
      <c r="AC124" s="848"/>
    </row>
    <row r="125" spans="2:29" ht="14.25" thickBot="1" x14ac:dyDescent="0.3">
      <c r="B125" s="948">
        <f t="shared" ref="B125:B137" si="38">+B124+1</f>
        <v>2021</v>
      </c>
      <c r="C125" s="1467">
        <f>C124*(1+'8.1 Pob Urbana y Rural'!G$50)</f>
        <v>810.24093405725307</v>
      </c>
      <c r="D125" s="1458">
        <f>D124*(1+'8.1 Pob Urbana y Rural'!G$50)</f>
        <v>0</v>
      </c>
      <c r="E125" s="1458">
        <f>'8.2 Pob Ddte'!C103*$E$121</f>
        <v>105.1643197197084</v>
      </c>
      <c r="F125" s="1458">
        <f t="shared" si="36"/>
        <v>0</v>
      </c>
      <c r="G125" s="950">
        <f t="shared" si="37"/>
        <v>0</v>
      </c>
      <c r="K125" s="980"/>
      <c r="L125" s="988"/>
      <c r="M125" s="988"/>
      <c r="N125" s="988"/>
      <c r="O125" s="850"/>
      <c r="P125" s="850"/>
      <c r="Q125" s="850"/>
      <c r="R125" s="850"/>
      <c r="S125" s="850"/>
      <c r="T125" s="848"/>
      <c r="U125" s="848"/>
      <c r="V125" s="848"/>
      <c r="W125" s="848"/>
      <c r="X125" s="848"/>
      <c r="Y125" s="848"/>
      <c r="Z125" s="848"/>
      <c r="AA125" s="848"/>
      <c r="AB125" s="848"/>
      <c r="AC125" s="848"/>
    </row>
    <row r="126" spans="2:29" ht="14.25" thickBot="1" x14ac:dyDescent="0.3">
      <c r="B126" s="948">
        <f t="shared" si="38"/>
        <v>2022</v>
      </c>
      <c r="C126" s="1467">
        <f>C125*(1+'8.1 Pob Urbana y Rural'!G$50)</f>
        <v>810.55490837241939</v>
      </c>
      <c r="D126" s="1458">
        <f>D125*(1+'8.1 Pob Urbana y Rural'!G$50)</f>
        <v>0</v>
      </c>
      <c r="E126" s="1458">
        <f>'8.2 Pob Ddte'!C104*$E$121</f>
        <v>105.95954280565661</v>
      </c>
      <c r="F126" s="1458">
        <f t="shared" si="36"/>
        <v>0</v>
      </c>
      <c r="G126" s="950">
        <f t="shared" si="37"/>
        <v>0</v>
      </c>
      <c r="K126" s="980"/>
      <c r="L126" s="988"/>
      <c r="M126" s="988"/>
      <c r="N126" s="988"/>
      <c r="O126" s="850"/>
      <c r="P126" s="850"/>
      <c r="Q126" s="850"/>
      <c r="R126" s="850"/>
      <c r="S126" s="850"/>
      <c r="T126" s="848"/>
      <c r="U126" s="848"/>
      <c r="V126" s="848"/>
      <c r="W126" s="848"/>
      <c r="X126" s="848"/>
      <c r="Y126" s="848"/>
      <c r="Z126" s="848"/>
      <c r="AA126" s="848"/>
      <c r="AB126" s="848"/>
      <c r="AC126" s="848"/>
    </row>
    <row r="127" spans="2:29" ht="14.25" thickBot="1" x14ac:dyDescent="0.3">
      <c r="B127" s="889">
        <f t="shared" si="38"/>
        <v>2023</v>
      </c>
      <c r="C127" s="1473">
        <f>C126*(1+'8.1 Pob Urbana y Rural'!G$50)</f>
        <v>810.86900435493976</v>
      </c>
      <c r="D127" s="1459">
        <f>D126*(1+'8.1 Pob Urbana y Rural'!G$50)</f>
        <v>0</v>
      </c>
      <c r="E127" s="1462">
        <f>'8.2 Pob Ddte'!C105*$E$121</f>
        <v>106.75536640950341</v>
      </c>
      <c r="F127" s="1462">
        <f t="shared" si="36"/>
        <v>0</v>
      </c>
      <c r="G127" s="891">
        <f t="shared" si="37"/>
        <v>0</v>
      </c>
      <c r="K127" s="980"/>
      <c r="L127" s="988"/>
      <c r="M127" s="988"/>
      <c r="N127" s="988"/>
      <c r="O127" s="850"/>
      <c r="P127" s="850"/>
      <c r="Q127" s="850"/>
      <c r="R127" s="850"/>
      <c r="S127" s="850"/>
      <c r="T127" s="848"/>
      <c r="U127" s="848"/>
      <c r="V127" s="848"/>
      <c r="W127" s="848"/>
      <c r="X127" s="848"/>
      <c r="Y127" s="848"/>
      <c r="Z127" s="848"/>
      <c r="AA127" s="848"/>
      <c r="AB127" s="848"/>
      <c r="AC127" s="848"/>
    </row>
    <row r="128" spans="2:29" ht="14.25" thickBot="1" x14ac:dyDescent="0.3">
      <c r="B128" s="889">
        <f t="shared" si="38"/>
        <v>2024</v>
      </c>
      <c r="C128" s="1473">
        <f>C127*(1+'8.1 Pob Urbana y Rural'!G$50)</f>
        <v>811.18322205196114</v>
      </c>
      <c r="D128" s="1459">
        <f>D127*(1+'8.1 Pob Urbana y Rural'!G$50)</f>
        <v>0</v>
      </c>
      <c r="E128" s="1462">
        <f>'8.2 Pob Ddte'!C106*$E$121</f>
        <v>107.5517908772468</v>
      </c>
      <c r="F128" s="1462">
        <f t="shared" si="36"/>
        <v>0</v>
      </c>
      <c r="G128" s="891">
        <f t="shared" si="37"/>
        <v>0</v>
      </c>
      <c r="K128" s="980"/>
      <c r="L128" s="988"/>
      <c r="M128" s="988"/>
      <c r="N128" s="988"/>
      <c r="O128" s="850"/>
      <c r="P128" s="850"/>
      <c r="Q128" s="850"/>
      <c r="R128" s="850"/>
      <c r="S128" s="850"/>
      <c r="T128" s="848"/>
      <c r="U128" s="848"/>
      <c r="V128" s="848"/>
      <c r="W128" s="848"/>
      <c r="X128" s="848"/>
      <c r="Y128" s="848"/>
      <c r="Z128" s="848"/>
      <c r="AA128" s="848"/>
      <c r="AB128" s="848"/>
      <c r="AC128" s="848"/>
    </row>
    <row r="129" spans="2:29" ht="14.25" thickBot="1" x14ac:dyDescent="0.3">
      <c r="B129" s="889">
        <f t="shared" si="38"/>
        <v>2025</v>
      </c>
      <c r="C129" s="1473">
        <f>C128*(1+'8.1 Pob Urbana y Rural'!G$50)</f>
        <v>811.49756151064878</v>
      </c>
      <c r="D129" s="1459">
        <f>D128*(1+'8.1 Pob Urbana y Rural'!G$50)</f>
        <v>0</v>
      </c>
      <c r="E129" s="1462">
        <f>'8.2 Pob Ddte'!C107*$E$121</f>
        <v>108.34881655506274</v>
      </c>
      <c r="F129" s="1462">
        <f t="shared" si="36"/>
        <v>0</v>
      </c>
      <c r="G129" s="891">
        <f t="shared" si="37"/>
        <v>0</v>
      </c>
      <c r="K129" s="980"/>
      <c r="L129" s="988"/>
      <c r="M129" s="988"/>
      <c r="N129" s="988"/>
      <c r="O129" s="850"/>
      <c r="P129" s="850"/>
      <c r="Q129" s="850"/>
      <c r="R129" s="850"/>
      <c r="S129" s="850"/>
      <c r="T129" s="848"/>
      <c r="U129" s="848"/>
      <c r="V129" s="848"/>
      <c r="W129" s="848"/>
      <c r="X129" s="848"/>
      <c r="Y129" s="848"/>
      <c r="Z129" s="848"/>
      <c r="AA129" s="848"/>
      <c r="AB129" s="848"/>
      <c r="AC129" s="848"/>
    </row>
    <row r="130" spans="2:29" ht="14.25" thickBot="1" x14ac:dyDescent="0.3">
      <c r="B130" s="889">
        <f t="shared" si="38"/>
        <v>2026</v>
      </c>
      <c r="C130" s="1473">
        <f>C129*(1+'8.1 Pob Urbana y Rural'!G$50)</f>
        <v>811.81202277818625</v>
      </c>
      <c r="D130" s="1459">
        <f>D129*(1+'8.1 Pob Urbana y Rural'!G$50)</f>
        <v>0</v>
      </c>
      <c r="E130" s="1462">
        <f>'8.2 Pob Ddte'!C108*$E$121</f>
        <v>109.14644378930518</v>
      </c>
      <c r="F130" s="1462">
        <f t="shared" si="36"/>
        <v>0</v>
      </c>
      <c r="G130" s="891">
        <f t="shared" si="37"/>
        <v>0</v>
      </c>
      <c r="K130" s="980"/>
      <c r="L130" s="988"/>
      <c r="M130" s="988"/>
      <c r="N130" s="988"/>
      <c r="O130" s="850"/>
      <c r="P130" s="850"/>
      <c r="Q130" s="850"/>
      <c r="R130" s="850"/>
      <c r="S130" s="850"/>
      <c r="T130" s="848"/>
      <c r="U130" s="848"/>
      <c r="V130" s="848"/>
      <c r="W130" s="848"/>
      <c r="X130" s="848"/>
      <c r="Y130" s="848"/>
      <c r="Z130" s="848"/>
      <c r="AA130" s="848"/>
      <c r="AB130" s="848"/>
      <c r="AC130" s="848"/>
    </row>
    <row r="131" spans="2:29" ht="14.25" thickBot="1" x14ac:dyDescent="0.3">
      <c r="B131" s="889">
        <f t="shared" si="38"/>
        <v>2027</v>
      </c>
      <c r="C131" s="1473">
        <f>C130*(1+'8.1 Pob Urbana y Rural'!G$50)</f>
        <v>812.12660590177541</v>
      </c>
      <c r="D131" s="1459">
        <f>D130*(1+'8.1 Pob Urbana y Rural'!G$50)</f>
        <v>0</v>
      </c>
      <c r="E131" s="1462">
        <f>'8.2 Pob Ddte'!C109*$E$121</f>
        <v>109.9446729265063</v>
      </c>
      <c r="F131" s="1462">
        <f t="shared" si="36"/>
        <v>0</v>
      </c>
      <c r="G131" s="891">
        <f t="shared" si="37"/>
        <v>0</v>
      </c>
      <c r="K131" s="980"/>
      <c r="L131" s="988"/>
      <c r="M131" s="988"/>
      <c r="N131" s="988"/>
      <c r="O131" s="850"/>
      <c r="P131" s="850"/>
      <c r="Q131" s="850"/>
      <c r="R131" s="850"/>
      <c r="S131" s="850"/>
      <c r="T131" s="848"/>
      <c r="U131" s="848"/>
      <c r="V131" s="848"/>
      <c r="W131" s="848"/>
      <c r="X131" s="848"/>
      <c r="Y131" s="848"/>
      <c r="Z131" s="848"/>
      <c r="AA131" s="848"/>
      <c r="AB131" s="848"/>
      <c r="AC131" s="848"/>
    </row>
    <row r="132" spans="2:29" ht="14.25" thickBot="1" x14ac:dyDescent="0.3">
      <c r="B132" s="889">
        <f t="shared" si="38"/>
        <v>2028</v>
      </c>
      <c r="C132" s="1473">
        <f>C131*(1+'8.1 Pob Urbana y Rural'!G$50)</f>
        <v>812.44131092863643</v>
      </c>
      <c r="D132" s="1459">
        <f>D131*(1+'8.1 Pob Urbana y Rural'!G$50)</f>
        <v>0</v>
      </c>
      <c r="E132" s="1462">
        <f>'8.2 Pob Ddte'!C110*$E$121</f>
        <v>110.74350431337643</v>
      </c>
      <c r="F132" s="1462">
        <f t="shared" si="36"/>
        <v>0</v>
      </c>
      <c r="G132" s="891">
        <f t="shared" si="37"/>
        <v>0</v>
      </c>
      <c r="K132" s="980"/>
      <c r="L132" s="988"/>
      <c r="M132" s="988"/>
      <c r="N132" s="988"/>
      <c r="O132" s="850"/>
      <c r="P132" s="850"/>
      <c r="Q132" s="850"/>
      <c r="R132" s="850"/>
      <c r="S132" s="850"/>
      <c r="T132" s="848"/>
      <c r="U132" s="848"/>
      <c r="V132" s="848"/>
      <c r="W132" s="848"/>
      <c r="X132" s="848"/>
      <c r="Y132" s="848"/>
      <c r="Z132" s="848"/>
      <c r="AA132" s="848"/>
      <c r="AB132" s="848"/>
      <c r="AC132" s="848"/>
    </row>
    <row r="133" spans="2:29" ht="14.25" thickBot="1" x14ac:dyDescent="0.3">
      <c r="B133" s="889">
        <f t="shared" si="38"/>
        <v>2029</v>
      </c>
      <c r="C133" s="1473">
        <f>C132*(1+'8.1 Pob Urbana y Rural'!G$50)</f>
        <v>812.75613790600755</v>
      </c>
      <c r="D133" s="1459">
        <f>D132*(1+'8.1 Pob Urbana y Rural'!G$50)</f>
        <v>0</v>
      </c>
      <c r="E133" s="1462">
        <f>'8.2 Pob Ddte'!C111*$E$121</f>
        <v>111.54293829680429</v>
      </c>
      <c r="F133" s="1462">
        <f t="shared" si="36"/>
        <v>0</v>
      </c>
      <c r="G133" s="891">
        <f t="shared" si="37"/>
        <v>0</v>
      </c>
      <c r="K133" s="980"/>
      <c r="L133" s="988"/>
      <c r="M133" s="988"/>
      <c r="N133" s="988"/>
      <c r="O133" s="850"/>
      <c r="P133" s="850"/>
      <c r="Q133" s="850"/>
      <c r="R133" s="850"/>
      <c r="S133" s="850"/>
      <c r="T133" s="848"/>
      <c r="U133" s="848"/>
      <c r="V133" s="848"/>
      <c r="W133" s="848"/>
      <c r="X133" s="848"/>
      <c r="Y133" s="848"/>
      <c r="Z133" s="848"/>
      <c r="AA133" s="848"/>
      <c r="AB133" s="848"/>
      <c r="AC133" s="848"/>
    </row>
    <row r="134" spans="2:29" ht="14.25" thickBot="1" x14ac:dyDescent="0.3">
      <c r="B134" s="889">
        <f t="shared" si="38"/>
        <v>2030</v>
      </c>
      <c r="C134" s="1473">
        <f>C133*(1+'8.1 Pob Urbana y Rural'!G$50)</f>
        <v>813.07108688114567</v>
      </c>
      <c r="D134" s="1459">
        <f>D133*(1+'8.1 Pob Urbana y Rural'!G$50)</f>
        <v>0</v>
      </c>
      <c r="E134" s="1462">
        <f>'8.2 Pob Ddte'!C112*$E$121</f>
        <v>112.34297522385707</v>
      </c>
      <c r="F134" s="1462">
        <f t="shared" si="36"/>
        <v>0</v>
      </c>
      <c r="G134" s="891">
        <f t="shared" si="37"/>
        <v>0</v>
      </c>
      <c r="K134" s="980"/>
      <c r="L134" s="988"/>
      <c r="M134" s="988"/>
      <c r="N134" s="988"/>
      <c r="O134" s="850"/>
      <c r="P134" s="850"/>
      <c r="Q134" s="850"/>
      <c r="R134" s="850"/>
      <c r="S134" s="850"/>
      <c r="T134" s="848"/>
      <c r="U134" s="848"/>
      <c r="V134" s="848"/>
      <c r="W134" s="848"/>
      <c r="X134" s="848"/>
      <c r="Y134" s="848"/>
      <c r="Z134" s="848"/>
      <c r="AA134" s="848"/>
      <c r="AB134" s="848"/>
      <c r="AC134" s="848"/>
    </row>
    <row r="135" spans="2:29" ht="14.25" thickBot="1" x14ac:dyDescent="0.3">
      <c r="B135" s="889">
        <f t="shared" si="38"/>
        <v>2031</v>
      </c>
      <c r="C135" s="1473">
        <f>C134*(1+'8.1 Pob Urbana y Rural'!G$50)</f>
        <v>813.38615790132565</v>
      </c>
      <c r="D135" s="1459">
        <f>D134*(1+'8.1 Pob Urbana y Rural'!G$50)</f>
        <v>0</v>
      </c>
      <c r="E135" s="1462">
        <f>'8.2 Pob Ddte'!C113*$E$121</f>
        <v>113.14361544178027</v>
      </c>
      <c r="F135" s="1462">
        <f t="shared" si="36"/>
        <v>0</v>
      </c>
      <c r="G135" s="891">
        <f t="shared" si="37"/>
        <v>0</v>
      </c>
      <c r="K135" s="980"/>
      <c r="L135" s="988"/>
      <c r="M135" s="988"/>
      <c r="N135" s="988"/>
      <c r="O135" s="850"/>
      <c r="P135" s="850"/>
      <c r="Q135" s="850"/>
      <c r="R135" s="850"/>
      <c r="S135" s="850"/>
      <c r="T135" s="848"/>
      <c r="U135" s="848"/>
      <c r="V135" s="848"/>
      <c r="W135" s="848"/>
      <c r="X135" s="848"/>
      <c r="Y135" s="848"/>
      <c r="Z135" s="848"/>
      <c r="AA135" s="848"/>
      <c r="AB135" s="848"/>
      <c r="AC135" s="848"/>
    </row>
    <row r="136" spans="2:29" ht="14.25" thickBot="1" x14ac:dyDescent="0.3">
      <c r="B136" s="889">
        <f t="shared" si="38"/>
        <v>2032</v>
      </c>
      <c r="C136" s="1473">
        <f>C135*(1+'8.1 Pob Urbana y Rural'!G$50)</f>
        <v>813.70135101384096</v>
      </c>
      <c r="D136" s="1459">
        <f>D135*(1+'8.1 Pob Urbana y Rural'!G$50)</f>
        <v>0</v>
      </c>
      <c r="E136" s="1462">
        <f>'8.2 Pob Ddte'!C114*$E$121</f>
        <v>113.94485929799811</v>
      </c>
      <c r="F136" s="1462">
        <f t="shared" si="36"/>
        <v>0</v>
      </c>
      <c r="G136" s="891">
        <f t="shared" si="37"/>
        <v>0</v>
      </c>
      <c r="K136" s="980"/>
      <c r="L136" s="988"/>
      <c r="M136" s="988"/>
      <c r="N136" s="988"/>
      <c r="O136" s="850"/>
      <c r="P136" s="850"/>
      <c r="Q136" s="850"/>
      <c r="R136" s="850"/>
      <c r="S136" s="850"/>
      <c r="T136" s="848"/>
      <c r="U136" s="848"/>
      <c r="V136" s="848"/>
      <c r="W136" s="848"/>
      <c r="X136" s="848"/>
      <c r="Y136" s="848"/>
      <c r="Z136" s="848"/>
      <c r="AA136" s="848"/>
      <c r="AB136" s="848"/>
      <c r="AC136" s="848"/>
    </row>
    <row r="137" spans="2:29" ht="14.25" thickBot="1" x14ac:dyDescent="0.3">
      <c r="B137" s="889">
        <f t="shared" si="38"/>
        <v>2033</v>
      </c>
      <c r="C137" s="1473">
        <f>C136*(1+'8.1 Pob Urbana y Rural'!G$50)</f>
        <v>814.0166662660032</v>
      </c>
      <c r="D137" s="1459">
        <f>D136*(1+'8.1 Pob Urbana y Rural'!G$50)</f>
        <v>0</v>
      </c>
      <c r="E137" s="1462">
        <f>'8.2 Pob Ddte'!C115*$E$121</f>
        <v>114.74670714011347</v>
      </c>
      <c r="F137" s="1462">
        <f t="shared" si="36"/>
        <v>0</v>
      </c>
      <c r="G137" s="891">
        <f t="shared" si="37"/>
        <v>0</v>
      </c>
      <c r="K137" s="980"/>
      <c r="L137" s="988"/>
      <c r="M137" s="988"/>
      <c r="N137" s="988"/>
      <c r="O137" s="850"/>
      <c r="P137" s="850"/>
      <c r="Q137" s="850"/>
      <c r="R137" s="850"/>
      <c r="S137" s="850"/>
      <c r="T137" s="848"/>
      <c r="U137" s="848"/>
      <c r="V137" s="848"/>
      <c r="W137" s="848"/>
      <c r="X137" s="848"/>
      <c r="Y137" s="848"/>
      <c r="Z137" s="848"/>
      <c r="AA137" s="848"/>
      <c r="AB137" s="848"/>
      <c r="AC137" s="848"/>
    </row>
    <row r="138" spans="2:29" ht="14.25" thickBot="1" x14ac:dyDescent="0.3">
      <c r="B138" s="889">
        <f>+B137+1</f>
        <v>2034</v>
      </c>
      <c r="C138" s="1473">
        <f>C137*(1+'8.1 Pob Urbana y Rural'!G$50)</f>
        <v>814.33210370514246</v>
      </c>
      <c r="D138" s="1459">
        <f>D137*(1+'8.1 Pob Urbana y Rural'!G$50)</f>
        <v>0</v>
      </c>
      <c r="E138" s="1462">
        <f>'8.2 Pob Ddte'!C116*$E$121</f>
        <v>115.54915931590794</v>
      </c>
      <c r="F138" s="1462">
        <f t="shared" si="36"/>
        <v>0</v>
      </c>
      <c r="G138" s="891">
        <f t="shared" si="37"/>
        <v>0</v>
      </c>
      <c r="K138" s="980"/>
      <c r="L138" s="988"/>
      <c r="M138" s="988"/>
      <c r="N138" s="988"/>
      <c r="O138" s="850"/>
      <c r="P138" s="850"/>
      <c r="Q138" s="850"/>
      <c r="R138" s="850"/>
      <c r="S138" s="850"/>
      <c r="T138" s="848"/>
      <c r="U138" s="848"/>
      <c r="V138" s="848"/>
      <c r="W138" s="848"/>
      <c r="X138" s="848"/>
      <c r="Y138" s="848"/>
      <c r="Z138" s="848"/>
      <c r="AA138" s="848"/>
      <c r="AB138" s="848"/>
      <c r="AC138" s="848"/>
    </row>
    <row r="139" spans="2:29" x14ac:dyDescent="0.25">
      <c r="K139" s="980"/>
      <c r="L139" s="988"/>
      <c r="M139" s="988"/>
      <c r="N139" s="988"/>
      <c r="O139" s="850"/>
      <c r="P139" s="850"/>
      <c r="Q139" s="850"/>
      <c r="R139" s="850"/>
      <c r="S139" s="850"/>
      <c r="T139" s="848"/>
      <c r="U139" s="848"/>
      <c r="V139" s="848"/>
      <c r="W139" s="848"/>
      <c r="X139" s="848"/>
      <c r="Y139" s="848"/>
      <c r="Z139" s="848"/>
      <c r="AA139" s="848"/>
      <c r="AB139" s="848"/>
      <c r="AC139" s="848"/>
    </row>
    <row r="140" spans="2:29" x14ac:dyDescent="0.25">
      <c r="J140" s="980"/>
      <c r="K140" s="980"/>
      <c r="L140" s="988"/>
      <c r="M140" s="988"/>
      <c r="N140" s="988"/>
      <c r="O140" s="850"/>
      <c r="P140" s="850"/>
      <c r="Q140" s="850"/>
      <c r="R140" s="850"/>
      <c r="S140" s="850"/>
      <c r="T140" s="848"/>
      <c r="U140" s="848"/>
      <c r="V140" s="848"/>
      <c r="W140" s="848"/>
      <c r="X140" s="848"/>
      <c r="Y140" s="848"/>
      <c r="Z140" s="848"/>
      <c r="AA140" s="848"/>
      <c r="AB140" s="848"/>
      <c r="AC140" s="848"/>
    </row>
    <row r="141" spans="2:29" x14ac:dyDescent="0.25">
      <c r="B141" s="853"/>
      <c r="G141" s="980"/>
      <c r="H141" s="980"/>
      <c r="I141" s="980"/>
      <c r="J141" s="980"/>
      <c r="K141" s="980"/>
      <c r="L141" s="988"/>
      <c r="M141" s="988"/>
      <c r="N141" s="988"/>
      <c r="O141" s="850"/>
      <c r="P141" s="850"/>
      <c r="Q141" s="850"/>
      <c r="R141" s="850"/>
      <c r="S141" s="850"/>
      <c r="T141" s="848"/>
      <c r="U141" s="848"/>
      <c r="V141" s="848"/>
      <c r="W141" s="848"/>
      <c r="X141" s="848"/>
      <c r="Y141" s="848"/>
      <c r="Z141" s="848"/>
      <c r="AA141" s="848"/>
      <c r="AB141" s="848"/>
      <c r="AC141" s="848"/>
    </row>
    <row r="142" spans="2:29" x14ac:dyDescent="0.25">
      <c r="B142" s="853"/>
      <c r="G142" s="980"/>
      <c r="H142" s="980"/>
      <c r="I142" s="980"/>
      <c r="J142" s="980"/>
      <c r="K142" s="980"/>
      <c r="L142" s="988"/>
      <c r="M142" s="988"/>
      <c r="N142" s="988"/>
      <c r="O142" s="850"/>
      <c r="P142" s="850"/>
      <c r="Q142" s="850"/>
      <c r="R142" s="850"/>
      <c r="S142" s="850"/>
      <c r="T142" s="848"/>
      <c r="U142" s="848"/>
      <c r="V142" s="848"/>
      <c r="W142" s="848"/>
      <c r="X142" s="848"/>
      <c r="Y142" s="848"/>
      <c r="Z142" s="848"/>
      <c r="AA142" s="848"/>
      <c r="AB142" s="848"/>
      <c r="AC142" s="848"/>
    </row>
    <row r="143" spans="2:29" x14ac:dyDescent="0.25">
      <c r="B143" s="853"/>
      <c r="G143" s="980"/>
      <c r="H143" s="980"/>
      <c r="I143" s="980"/>
      <c r="J143" s="980"/>
      <c r="K143" s="980"/>
      <c r="L143" s="988"/>
      <c r="M143" s="988"/>
      <c r="N143" s="988"/>
      <c r="O143" s="850"/>
      <c r="P143" s="850"/>
      <c r="Q143" s="850"/>
      <c r="R143" s="850"/>
      <c r="S143" s="850"/>
      <c r="T143" s="848"/>
      <c r="U143" s="848"/>
      <c r="V143" s="848"/>
      <c r="W143" s="848"/>
      <c r="X143" s="848"/>
      <c r="Y143" s="848"/>
      <c r="Z143" s="848"/>
      <c r="AA143" s="848"/>
      <c r="AB143" s="848"/>
      <c r="AC143" s="848"/>
    </row>
    <row r="144" spans="2:29" x14ac:dyDescent="0.25">
      <c r="B144" s="987"/>
      <c r="G144" s="980"/>
      <c r="H144" s="980"/>
      <c r="I144" s="980"/>
      <c r="J144" s="980"/>
      <c r="K144" s="980"/>
      <c r="L144" s="980"/>
      <c r="M144" s="980"/>
      <c r="N144" s="979"/>
      <c r="O144" s="850"/>
      <c r="P144" s="850"/>
      <c r="Q144" s="850"/>
      <c r="R144" s="850"/>
      <c r="S144" s="850"/>
      <c r="T144" s="848"/>
      <c r="U144" s="848"/>
      <c r="V144" s="848"/>
      <c r="W144" s="848"/>
      <c r="X144" s="848"/>
      <c r="Y144" s="848"/>
      <c r="Z144" s="848"/>
      <c r="AA144" s="848"/>
      <c r="AB144" s="848"/>
      <c r="AC144" s="848"/>
    </row>
    <row r="145" spans="2:29" x14ac:dyDescent="0.25">
      <c r="B145" s="995" t="s">
        <v>1741</v>
      </c>
      <c r="C145" s="822"/>
      <c r="D145" s="822"/>
      <c r="E145" s="822"/>
      <c r="F145" s="980"/>
      <c r="G145" s="980"/>
      <c r="H145" s="980"/>
      <c r="I145" s="980"/>
      <c r="J145" s="980"/>
      <c r="K145" s="980"/>
      <c r="L145" s="980"/>
      <c r="M145" s="980"/>
      <c r="N145" s="979"/>
      <c r="O145" s="850"/>
      <c r="P145" s="850"/>
      <c r="Q145" s="850"/>
      <c r="R145" s="850"/>
      <c r="S145" s="850"/>
      <c r="T145" s="848"/>
      <c r="U145" s="848"/>
      <c r="V145" s="848"/>
      <c r="W145" s="848"/>
      <c r="X145" s="848"/>
      <c r="Y145" s="848"/>
      <c r="Z145" s="848"/>
      <c r="AA145" s="848"/>
      <c r="AB145" s="848"/>
      <c r="AC145" s="848"/>
    </row>
    <row r="146" spans="2:29" ht="14.25" thickBot="1" x14ac:dyDescent="0.3">
      <c r="B146" s="871"/>
      <c r="C146" s="814"/>
      <c r="D146" s="850"/>
      <c r="E146" s="966"/>
      <c r="F146" s="988"/>
      <c r="G146" s="980"/>
      <c r="H146" s="980"/>
      <c r="I146" s="980"/>
      <c r="J146" s="980"/>
      <c r="K146" s="980"/>
      <c r="L146" s="980"/>
      <c r="M146" s="980"/>
      <c r="N146" s="979"/>
      <c r="O146" s="850"/>
      <c r="P146" s="850"/>
      <c r="Q146" s="850"/>
      <c r="R146" s="850"/>
      <c r="S146" s="850"/>
      <c r="T146" s="848"/>
      <c r="U146" s="848"/>
      <c r="V146" s="848"/>
      <c r="W146" s="848"/>
      <c r="X146" s="848"/>
      <c r="Y146" s="848"/>
      <c r="Z146" s="848"/>
      <c r="AA146" s="848"/>
      <c r="AB146" s="848"/>
      <c r="AC146" s="848"/>
    </row>
    <row r="147" spans="2:29" ht="14.25" thickBot="1" x14ac:dyDescent="0.3">
      <c r="B147" s="871"/>
      <c r="C147" s="814"/>
      <c r="F147" s="904" t="s">
        <v>1742</v>
      </c>
      <c r="H147" s="850"/>
      <c r="I147" s="980"/>
      <c r="J147" s="980"/>
      <c r="K147" s="980"/>
      <c r="L147" s="980"/>
      <c r="M147" s="980"/>
      <c r="N147" s="979"/>
      <c r="O147" s="850"/>
      <c r="P147" s="850"/>
      <c r="Q147" s="850"/>
      <c r="R147" s="850"/>
      <c r="S147" s="850"/>
      <c r="T147" s="848"/>
      <c r="U147" s="848"/>
      <c r="V147" s="848"/>
      <c r="W147" s="848"/>
      <c r="X147" s="848"/>
      <c r="Y147" s="848"/>
      <c r="Z147" s="848"/>
      <c r="AA147" s="848"/>
      <c r="AB147" s="848"/>
      <c r="AC147" s="848"/>
    </row>
    <row r="148" spans="2:29" ht="42" customHeight="1" thickBot="1" x14ac:dyDescent="0.3">
      <c r="B148" s="3990" t="s">
        <v>1485</v>
      </c>
      <c r="C148" s="3987" t="s">
        <v>1578</v>
      </c>
      <c r="D148" s="1047" t="s">
        <v>1743</v>
      </c>
      <c r="E148" s="1047" t="s">
        <v>1744</v>
      </c>
      <c r="F148" s="3993" t="s">
        <v>1745</v>
      </c>
      <c r="H148" s="850"/>
      <c r="I148" s="980"/>
      <c r="J148" s="980"/>
      <c r="K148" s="980"/>
      <c r="L148" s="980"/>
      <c r="M148" s="980"/>
      <c r="N148" s="979"/>
      <c r="O148" s="850"/>
      <c r="P148" s="850"/>
      <c r="Q148" s="850"/>
      <c r="R148" s="850"/>
      <c r="S148" s="850"/>
      <c r="T148" s="848"/>
      <c r="U148" s="848"/>
      <c r="V148" s="848"/>
      <c r="W148" s="848"/>
      <c r="X148" s="848"/>
      <c r="Y148" s="848"/>
      <c r="Z148" s="848"/>
      <c r="AA148" s="848"/>
      <c r="AB148" s="848"/>
      <c r="AC148" s="848"/>
    </row>
    <row r="149" spans="2:29" ht="14.25" thickBot="1" x14ac:dyDescent="0.3">
      <c r="B149" s="3991"/>
      <c r="C149" s="3988"/>
      <c r="D149" s="1058">
        <f>'4 Estadis ESTRATEG Prod3'!L66</f>
        <v>0</v>
      </c>
      <c r="E149" s="1058">
        <v>1</v>
      </c>
      <c r="F149" s="3994"/>
      <c r="H149" s="997"/>
      <c r="I149" s="998"/>
      <c r="J149" s="998"/>
      <c r="K149" s="980"/>
      <c r="L149" s="980"/>
      <c r="M149" s="980"/>
      <c r="N149" s="979"/>
      <c r="O149" s="850"/>
      <c r="P149" s="850"/>
      <c r="Q149" s="850"/>
      <c r="R149" s="850"/>
      <c r="S149" s="850"/>
      <c r="T149" s="848"/>
      <c r="U149" s="848"/>
      <c r="V149" s="848"/>
      <c r="W149" s="848"/>
      <c r="X149" s="848"/>
      <c r="Y149" s="848"/>
      <c r="Z149" s="848"/>
      <c r="AA149" s="848"/>
      <c r="AB149" s="848"/>
      <c r="AC149" s="848"/>
    </row>
    <row r="150" spans="2:29" ht="14.25" thickBot="1" x14ac:dyDescent="0.3">
      <c r="B150" s="3992"/>
      <c r="C150" s="3989"/>
      <c r="D150" s="1059">
        <v>3.5</v>
      </c>
      <c r="E150" s="1060">
        <v>1</v>
      </c>
      <c r="F150" s="4389"/>
      <c r="H150" s="997"/>
      <c r="I150" s="615"/>
      <c r="J150" s="998"/>
      <c r="K150" s="980"/>
      <c r="L150" s="980"/>
      <c r="M150" s="980"/>
      <c r="N150" s="979"/>
      <c r="O150" s="850"/>
      <c r="P150" s="850"/>
      <c r="Q150" s="850"/>
      <c r="R150" s="850"/>
      <c r="S150" s="850"/>
      <c r="T150" s="848"/>
      <c r="U150" s="848"/>
      <c r="V150" s="848"/>
      <c r="W150" s="848"/>
      <c r="X150" s="848"/>
      <c r="Y150" s="848"/>
      <c r="Z150" s="848"/>
      <c r="AA150" s="848"/>
      <c r="AB150" s="848"/>
      <c r="AC150" s="848"/>
    </row>
    <row r="151" spans="2:29" ht="14.25" thickBot="1" x14ac:dyDescent="0.3">
      <c r="B151" s="942">
        <v>2018</v>
      </c>
      <c r="C151" s="943">
        <f>'8.2 Pob Ddte'!C100</f>
        <v>115.64315972267565</v>
      </c>
      <c r="D151" s="943">
        <f>C151*$D$149*$D$150</f>
        <v>0</v>
      </c>
      <c r="E151" s="943">
        <f>'3 Pob x Edad y EESS P1 P2'!BA32</f>
        <v>76</v>
      </c>
      <c r="F151" s="944">
        <f>D151+E151</f>
        <v>76</v>
      </c>
      <c r="H151" s="997"/>
      <c r="I151" s="858"/>
      <c r="J151" s="858"/>
      <c r="K151" s="980"/>
      <c r="L151" s="980"/>
      <c r="M151" s="980"/>
      <c r="N151" s="979"/>
      <c r="Q151" s="999"/>
      <c r="R151" s="873"/>
      <c r="S151" s="873"/>
      <c r="T151" s="816"/>
      <c r="U151" s="848"/>
      <c r="V151" s="848"/>
      <c r="W151" s="848"/>
      <c r="X151" s="848"/>
      <c r="Y151" s="848"/>
      <c r="Z151" s="848"/>
      <c r="AA151" s="848"/>
      <c r="AB151" s="848"/>
      <c r="AC151" s="848"/>
    </row>
    <row r="152" spans="2:29" ht="14.25" thickBot="1" x14ac:dyDescent="0.3">
      <c r="B152" s="942">
        <f>B151+1</f>
        <v>2019</v>
      </c>
      <c r="C152" s="943">
        <f>C151*(1+'8.1 Pob Urbana y Rural'!G$56)</f>
        <v>116.11057582556879</v>
      </c>
      <c r="D152" s="1456">
        <f t="shared" ref="D152:D167" si="39">C152*$D$149*$D$150</f>
        <v>0</v>
      </c>
      <c r="E152" s="1456">
        <f>E151*(1+'8.1 Pob Urbana y Rural'!G$50)</f>
        <v>76.029450558407547</v>
      </c>
      <c r="F152" s="944">
        <f t="shared" ref="F152:F167" si="40">D152+E152</f>
        <v>76.029450558407547</v>
      </c>
      <c r="H152" s="997"/>
      <c r="I152" s="880"/>
      <c r="J152" s="880"/>
      <c r="K152" s="980"/>
      <c r="L152" s="980"/>
      <c r="M152" s="980"/>
      <c r="N152" s="979"/>
      <c r="Q152" s="1000"/>
      <c r="R152" s="873"/>
      <c r="S152" s="873"/>
      <c r="T152" s="1001"/>
      <c r="U152" s="848"/>
      <c r="V152" s="848"/>
      <c r="W152" s="848"/>
      <c r="X152" s="848"/>
      <c r="Y152" s="848"/>
      <c r="Z152" s="848"/>
      <c r="AA152" s="848"/>
      <c r="AB152" s="848"/>
      <c r="AC152" s="848"/>
    </row>
    <row r="153" spans="2:29" ht="14.25" thickBot="1" x14ac:dyDescent="0.3">
      <c r="B153" s="948">
        <f t="shared" ref="B153:B167" si="41">B152+1</f>
        <v>2020</v>
      </c>
      <c r="C153" s="949">
        <f>C152*(1+'8.1 Pob Urbana y Rural'!G$56)</f>
        <v>116.57988116958754</v>
      </c>
      <c r="D153" s="1458">
        <f t="shared" si="39"/>
        <v>0</v>
      </c>
      <c r="E153" s="1458">
        <f>E152*(1+'8.1 Pob Urbana y Rural'!G$50)</f>
        <v>76.058912529122864</v>
      </c>
      <c r="F153" s="950">
        <f t="shared" si="40"/>
        <v>76.058912529122864</v>
      </c>
      <c r="H153" s="997"/>
      <c r="I153" s="1002" t="s">
        <v>86</v>
      </c>
      <c r="J153" s="1003" t="s">
        <v>163</v>
      </c>
      <c r="K153" s="980"/>
      <c r="L153" s="980"/>
      <c r="M153" s="980"/>
      <c r="N153" s="979"/>
      <c r="Q153" s="1004"/>
      <c r="R153" s="873"/>
      <c r="S153" s="873"/>
      <c r="T153" s="1005"/>
      <c r="U153" s="850"/>
      <c r="V153" s="850"/>
      <c r="W153" s="850"/>
      <c r="X153" s="850"/>
      <c r="Y153" s="850"/>
      <c r="Z153" s="850"/>
      <c r="AA153" s="850"/>
      <c r="AB153" s="850"/>
      <c r="AC153" s="850"/>
    </row>
    <row r="154" spans="2:29" ht="14.25" thickBot="1" x14ac:dyDescent="0.3">
      <c r="B154" s="948">
        <f t="shared" si="41"/>
        <v>2021</v>
      </c>
      <c r="C154" s="949">
        <f>C153*(1+'8.1 Pob Urbana y Rural'!G$56)</f>
        <v>117.05108339082319</v>
      </c>
      <c r="D154" s="1458">
        <f t="shared" si="39"/>
        <v>0</v>
      </c>
      <c r="E154" s="1458">
        <f>E153*(1+'8.1 Pob Urbana y Rural'!G$50)</f>
        <v>76.088385916568299</v>
      </c>
      <c r="F154" s="950">
        <f t="shared" si="40"/>
        <v>76.088385916568299</v>
      </c>
      <c r="H154" s="997"/>
      <c r="I154" s="1006" t="s">
        <v>1233</v>
      </c>
      <c r="J154" s="1007">
        <v>0.20086526576019778</v>
      </c>
      <c r="K154" s="980"/>
      <c r="L154" s="980"/>
      <c r="M154" s="980"/>
      <c r="N154" s="979"/>
      <c r="Q154" s="1004"/>
      <c r="R154" s="873"/>
      <c r="S154" s="873"/>
      <c r="T154" s="1005"/>
      <c r="U154" s="850"/>
      <c r="V154" s="850"/>
      <c r="W154" s="850"/>
      <c r="X154" s="850"/>
      <c r="Y154" s="850"/>
      <c r="Z154" s="850"/>
      <c r="AA154" s="850"/>
      <c r="AB154" s="850"/>
      <c r="AC154" s="850"/>
    </row>
    <row r="155" spans="2:29" ht="14.25" thickBot="1" x14ac:dyDescent="0.3">
      <c r="B155" s="948">
        <f t="shared" si="41"/>
        <v>2022</v>
      </c>
      <c r="C155" s="949">
        <f>C154*(1+'8.1 Pob Urbana y Rural'!G$56)</f>
        <v>117.52419015623121</v>
      </c>
      <c r="D155" s="1458">
        <f t="shared" si="39"/>
        <v>0</v>
      </c>
      <c r="E155" s="1458">
        <f>E154*(1+'8.1 Pob Urbana y Rural'!G$50)</f>
        <v>76.117870725167933</v>
      </c>
      <c r="F155" s="950">
        <f t="shared" si="40"/>
        <v>76.117870725167933</v>
      </c>
      <c r="H155" s="997"/>
      <c r="I155" s="1006" t="s">
        <v>1746</v>
      </c>
      <c r="J155" s="1008">
        <v>0.11495673671199011</v>
      </c>
      <c r="K155" s="980"/>
      <c r="L155" s="980"/>
      <c r="M155" s="980"/>
      <c r="N155" s="979"/>
      <c r="Q155" s="1004"/>
      <c r="R155" s="873"/>
      <c r="S155" s="873"/>
      <c r="T155" s="1005"/>
      <c r="U155" s="850"/>
      <c r="V155" s="850"/>
      <c r="W155" s="850"/>
      <c r="X155" s="850"/>
      <c r="Y155" s="850"/>
      <c r="Z155" s="850"/>
      <c r="AA155" s="850"/>
      <c r="AB155" s="850"/>
      <c r="AC155" s="850"/>
    </row>
    <row r="156" spans="2:29" ht="14.25" thickBot="1" x14ac:dyDescent="0.3">
      <c r="B156" s="889">
        <f t="shared" si="41"/>
        <v>2023</v>
      </c>
      <c r="C156" s="890">
        <f>C155*(1+'8.1 Pob Urbana y Rural'!G$56)</f>
        <v>117.99920916375602</v>
      </c>
      <c r="D156" s="1462">
        <f t="shared" si="39"/>
        <v>0</v>
      </c>
      <c r="E156" s="1459">
        <f>E155*(1+'8.1 Pob Urbana y Rural'!G$50)</f>
        <v>76.147366959347536</v>
      </c>
      <c r="F156" s="891">
        <f t="shared" si="40"/>
        <v>76.147366959347536</v>
      </c>
      <c r="H156" s="997"/>
      <c r="I156" s="1006"/>
      <c r="J156" s="1008"/>
      <c r="K156" s="980"/>
      <c r="L156" s="980"/>
      <c r="M156" s="980"/>
      <c r="N156" s="979"/>
      <c r="Q156" s="1004"/>
      <c r="R156" s="873"/>
      <c r="S156" s="873"/>
      <c r="T156" s="1005"/>
      <c r="U156" s="850"/>
      <c r="V156" s="850"/>
      <c r="W156" s="850"/>
      <c r="X156" s="850"/>
      <c r="Y156" s="850"/>
      <c r="Z156" s="850"/>
      <c r="AA156" s="850"/>
      <c r="AB156" s="850"/>
      <c r="AC156" s="850"/>
    </row>
    <row r="157" spans="2:29" ht="14.25" thickBot="1" x14ac:dyDescent="0.3">
      <c r="B157" s="889">
        <f t="shared" si="41"/>
        <v>2024</v>
      </c>
      <c r="C157" s="890">
        <f>C156*(1+'8.1 Pob Urbana y Rural'!G$56)</f>
        <v>118.47614814245621</v>
      </c>
      <c r="D157" s="1462">
        <f t="shared" si="39"/>
        <v>0</v>
      </c>
      <c r="E157" s="1459">
        <f>E156*(1+'8.1 Pob Urbana y Rural'!G$50)</f>
        <v>76.176874623534601</v>
      </c>
      <c r="F157" s="891">
        <f t="shared" si="40"/>
        <v>76.176874623534601</v>
      </c>
      <c r="H157" s="997"/>
      <c r="I157" s="1003" t="s">
        <v>150</v>
      </c>
      <c r="J157" s="1009"/>
      <c r="K157" s="980"/>
      <c r="L157" s="980"/>
      <c r="M157" s="980"/>
      <c r="N157" s="979"/>
      <c r="Q157" s="999"/>
      <c r="R157" s="873"/>
      <c r="S157" s="873"/>
      <c r="T157" s="1010"/>
      <c r="U157" s="850"/>
      <c r="V157" s="850"/>
      <c r="W157" s="850"/>
      <c r="X157" s="850"/>
      <c r="Y157" s="850"/>
      <c r="Z157" s="850"/>
      <c r="AA157" s="850"/>
      <c r="AB157" s="850"/>
      <c r="AC157" s="850"/>
    </row>
    <row r="158" spans="2:29" ht="14.25" thickBot="1" x14ac:dyDescent="0.3">
      <c r="B158" s="889">
        <f t="shared" si="41"/>
        <v>2025</v>
      </c>
      <c r="C158" s="890">
        <f>C157*(1+'8.1 Pob Urbana y Rural'!G$56)</f>
        <v>118.95501485263033</v>
      </c>
      <c r="D158" s="1462">
        <f t="shared" si="39"/>
        <v>0</v>
      </c>
      <c r="E158" s="1459">
        <f>E157*(1+'8.1 Pob Urbana y Rural'!G$50)</f>
        <v>76.206393722158353</v>
      </c>
      <c r="F158" s="891">
        <f>D158+E158</f>
        <v>76.206393722158353</v>
      </c>
      <c r="H158" s="997"/>
      <c r="I158" s="1006" t="s">
        <v>1747</v>
      </c>
      <c r="J158" s="1011"/>
      <c r="K158" s="980"/>
      <c r="L158" s="980"/>
      <c r="M158" s="980"/>
      <c r="N158" s="979"/>
      <c r="Q158" s="850"/>
      <c r="R158" s="850"/>
      <c r="S158" s="850"/>
      <c r="T158" s="850"/>
      <c r="U158" s="850"/>
      <c r="V158" s="850"/>
      <c r="W158" s="850"/>
      <c r="X158" s="850"/>
      <c r="Y158" s="850"/>
      <c r="Z158" s="850"/>
      <c r="AA158" s="850"/>
      <c r="AB158" s="850"/>
      <c r="AC158" s="850"/>
    </row>
    <row r="159" spans="2:29" ht="14.25" thickBot="1" x14ac:dyDescent="0.3">
      <c r="B159" s="889">
        <f t="shared" si="41"/>
        <v>2026</v>
      </c>
      <c r="C159" s="890">
        <f>C158*(1+'8.1 Pob Urbana y Rural'!G$56)</f>
        <v>119.43581708594313</v>
      </c>
      <c r="D159" s="1462">
        <f t="shared" si="39"/>
        <v>0</v>
      </c>
      <c r="E159" s="1459">
        <f>E158*(1+'8.1 Pob Urbana y Rural'!G$50)</f>
        <v>76.235924259649707</v>
      </c>
      <c r="F159" s="891">
        <f t="shared" si="40"/>
        <v>76.235924259649707</v>
      </c>
      <c r="H159" s="997"/>
      <c r="I159" s="998"/>
      <c r="J159" s="998"/>
      <c r="K159" s="980"/>
      <c r="L159" s="980"/>
      <c r="M159" s="980"/>
      <c r="N159" s="979"/>
      <c r="Q159" s="850"/>
      <c r="R159" s="850"/>
      <c r="S159" s="850"/>
      <c r="T159" s="850"/>
      <c r="U159" s="850"/>
      <c r="V159" s="850"/>
      <c r="W159" s="850"/>
      <c r="X159" s="850"/>
      <c r="Y159" s="850"/>
      <c r="Z159" s="850"/>
      <c r="AA159" s="850"/>
      <c r="AB159" s="850"/>
      <c r="AC159" s="850"/>
    </row>
    <row r="160" spans="2:29" ht="14.25" thickBot="1" x14ac:dyDescent="0.3">
      <c r="B160" s="889">
        <f t="shared" si="41"/>
        <v>2027</v>
      </c>
      <c r="C160" s="890">
        <f>C159*(1+'8.1 Pob Urbana y Rural'!G$56)</f>
        <v>119.91856266555239</v>
      </c>
      <c r="D160" s="1462">
        <f t="shared" si="39"/>
        <v>0</v>
      </c>
      <c r="E160" s="1459">
        <f>E159*(1+'8.1 Pob Urbana y Rural'!G$50)</f>
        <v>76.265466240441313</v>
      </c>
      <c r="F160" s="891">
        <f t="shared" si="40"/>
        <v>76.265466240441313</v>
      </c>
      <c r="H160" s="997"/>
      <c r="I160" s="880"/>
      <c r="J160" s="880"/>
      <c r="K160" s="980"/>
      <c r="L160" s="980"/>
      <c r="M160" s="980"/>
      <c r="N160" s="979"/>
      <c r="Q160" s="850"/>
      <c r="R160" s="850"/>
      <c r="S160" s="850"/>
      <c r="T160" s="850"/>
      <c r="U160" s="850"/>
      <c r="V160" s="850"/>
      <c r="W160" s="850"/>
      <c r="X160" s="850"/>
      <c r="Y160" s="850"/>
      <c r="Z160" s="850"/>
      <c r="AA160" s="850"/>
      <c r="AB160" s="850"/>
      <c r="AC160" s="850"/>
    </row>
    <row r="161" spans="2:38" ht="14.25" thickBot="1" x14ac:dyDescent="0.3">
      <c r="B161" s="889">
        <f t="shared" si="41"/>
        <v>2028</v>
      </c>
      <c r="C161" s="890">
        <f>C160*(1+'8.1 Pob Urbana y Rural'!G$56)</f>
        <v>120.40325944623615</v>
      </c>
      <c r="D161" s="1462">
        <f t="shared" si="39"/>
        <v>0</v>
      </c>
      <c r="E161" s="1459">
        <f>E160*(1+'8.1 Pob Urbana y Rural'!G$50)</f>
        <v>76.295019668967541</v>
      </c>
      <c r="F161" s="891">
        <f t="shared" si="40"/>
        <v>76.295019668967541</v>
      </c>
      <c r="H161" s="997"/>
      <c r="I161" s="997"/>
      <c r="J161" s="997"/>
      <c r="K161" s="980"/>
      <c r="L161" s="980"/>
      <c r="M161" s="980"/>
      <c r="N161" s="979"/>
      <c r="Q161" s="850"/>
      <c r="R161" s="850"/>
      <c r="S161" s="850"/>
      <c r="T161" s="850"/>
      <c r="U161" s="850"/>
      <c r="V161" s="850"/>
      <c r="W161" s="850"/>
      <c r="X161" s="850"/>
      <c r="Y161" s="850"/>
      <c r="Z161" s="850"/>
      <c r="AA161" s="850"/>
      <c r="AB161" s="850"/>
      <c r="AC161" s="850"/>
    </row>
    <row r="162" spans="2:38" ht="14.25" thickBot="1" x14ac:dyDescent="0.3">
      <c r="B162" s="889">
        <f t="shared" si="41"/>
        <v>2029</v>
      </c>
      <c r="C162" s="890">
        <f>C161*(1+'8.1 Pob Urbana y Rural'!G$56)</f>
        <v>120.88991531452055</v>
      </c>
      <c r="D162" s="1462">
        <f t="shared" si="39"/>
        <v>0</v>
      </c>
      <c r="E162" s="1459">
        <f>E161*(1+'8.1 Pob Urbana y Rural'!G$50)</f>
        <v>76.324584549664465</v>
      </c>
      <c r="F162" s="891">
        <f t="shared" si="40"/>
        <v>76.324584549664465</v>
      </c>
      <c r="H162" s="997"/>
      <c r="I162" s="997"/>
      <c r="J162" s="997"/>
      <c r="K162" s="980"/>
      <c r="L162" s="980"/>
      <c r="M162" s="980"/>
      <c r="N162" s="979"/>
      <c r="Q162" s="850"/>
      <c r="R162" s="850"/>
      <c r="S162" s="850"/>
      <c r="T162" s="850"/>
      <c r="U162" s="850"/>
      <c r="V162" s="850"/>
      <c r="W162" s="850"/>
      <c r="X162" s="850"/>
      <c r="Y162" s="850"/>
      <c r="Z162" s="850"/>
      <c r="AA162" s="850"/>
      <c r="AB162" s="850"/>
      <c r="AC162" s="850"/>
    </row>
    <row r="163" spans="2:38" ht="14.25" thickBot="1" x14ac:dyDescent="0.3">
      <c r="B163" s="889">
        <f t="shared" si="41"/>
        <v>2030</v>
      </c>
      <c r="C163" s="890">
        <f>C162*(1+'8.1 Pob Urbana y Rural'!G$56)</f>
        <v>121.37853818880816</v>
      </c>
      <c r="D163" s="1462">
        <f t="shared" si="39"/>
        <v>0</v>
      </c>
      <c r="E163" s="1459">
        <f>E162*(1+'8.1 Pob Urbana y Rural'!G$50)</f>
        <v>76.354160886969879</v>
      </c>
      <c r="F163" s="891">
        <f t="shared" si="40"/>
        <v>76.354160886969879</v>
      </c>
      <c r="H163" s="850"/>
      <c r="I163" s="997"/>
      <c r="J163" s="997"/>
      <c r="K163" s="980"/>
      <c r="L163" s="980"/>
      <c r="M163" s="980"/>
      <c r="N163" s="979"/>
      <c r="Q163" s="850"/>
      <c r="R163" s="850"/>
      <c r="S163" s="850"/>
      <c r="T163" s="850"/>
      <c r="U163" s="850"/>
      <c r="V163" s="850"/>
      <c r="W163" s="850"/>
      <c r="X163" s="850"/>
      <c r="Y163" s="850"/>
      <c r="Z163" s="850"/>
      <c r="AA163" s="850"/>
      <c r="AB163" s="850"/>
      <c r="AC163" s="850"/>
    </row>
    <row r="164" spans="2:38" ht="14.25" thickBot="1" x14ac:dyDescent="0.3">
      <c r="B164" s="889">
        <f t="shared" si="41"/>
        <v>2031</v>
      </c>
      <c r="C164" s="890">
        <f>C163*(1+'8.1 Pob Urbana y Rural'!G$56)</f>
        <v>121.86913601950678</v>
      </c>
      <c r="D164" s="1462">
        <f t="shared" si="39"/>
        <v>0</v>
      </c>
      <c r="E164" s="1459">
        <f>E163*(1+'8.1 Pob Urbana y Rural'!G$50)</f>
        <v>76.383748685323312</v>
      </c>
      <c r="F164" s="891">
        <f t="shared" si="40"/>
        <v>76.383748685323312</v>
      </c>
      <c r="H164" s="850"/>
      <c r="I164" s="997"/>
      <c r="J164" s="997"/>
      <c r="K164" s="980"/>
      <c r="L164" s="980"/>
      <c r="M164" s="980"/>
      <c r="N164" s="979"/>
      <c r="Q164" s="850"/>
      <c r="R164" s="850"/>
      <c r="S164" s="850"/>
      <c r="T164" s="850"/>
      <c r="U164" s="850"/>
      <c r="V164" s="850"/>
      <c r="W164" s="850"/>
      <c r="X164" s="850"/>
      <c r="Y164" s="850"/>
      <c r="Z164" s="850"/>
      <c r="AA164" s="850"/>
      <c r="AB164" s="850"/>
      <c r="AC164" s="850"/>
    </row>
    <row r="165" spans="2:38" ht="14.25" thickBot="1" x14ac:dyDescent="0.3">
      <c r="B165" s="889">
        <f t="shared" si="41"/>
        <v>2032</v>
      </c>
      <c r="C165" s="890">
        <f>C164*(1+'8.1 Pob Urbana y Rural'!G$56)</f>
        <v>122.36171678915885</v>
      </c>
      <c r="D165" s="1462">
        <f t="shared" si="39"/>
        <v>0</v>
      </c>
      <c r="E165" s="1459">
        <f>E164*(1+'8.1 Pob Urbana y Rural'!G$50)</f>
        <v>76.41334794916601</v>
      </c>
      <c r="F165" s="891">
        <f t="shared" si="40"/>
        <v>76.41334794916601</v>
      </c>
      <c r="H165" s="850"/>
      <c r="I165" s="997"/>
      <c r="J165" s="997"/>
      <c r="K165" s="980"/>
      <c r="L165" s="980"/>
      <c r="M165" s="980"/>
      <c r="N165" s="979"/>
      <c r="Q165" s="850"/>
      <c r="R165" s="850"/>
      <c r="S165" s="850"/>
      <c r="T165" s="850"/>
      <c r="U165" s="850"/>
      <c r="V165" s="850"/>
      <c r="W165" s="850"/>
      <c r="X165" s="850"/>
      <c r="Y165" s="850"/>
      <c r="Z165" s="850"/>
      <c r="AA165" s="850"/>
      <c r="AB165" s="850"/>
      <c r="AC165" s="850"/>
    </row>
    <row r="166" spans="2:38" ht="14.25" thickBot="1" x14ac:dyDescent="0.3">
      <c r="B166" s="889">
        <f t="shared" si="41"/>
        <v>2033</v>
      </c>
      <c r="C166" s="890">
        <f>C165*(1+'8.1 Pob Urbana y Rural'!G$56)</f>
        <v>122.85628851257128</v>
      </c>
      <c r="D166" s="1462">
        <f t="shared" si="39"/>
        <v>0</v>
      </c>
      <c r="E166" s="1459">
        <f>E165*(1+'8.1 Pob Urbana y Rural'!G$50)</f>
        <v>76.442958682940926</v>
      </c>
      <c r="F166" s="891">
        <f t="shared" si="40"/>
        <v>76.442958682940926</v>
      </c>
      <c r="H166" s="850"/>
      <c r="I166" s="997"/>
      <c r="J166" s="997"/>
      <c r="K166" s="980"/>
      <c r="L166" s="980"/>
      <c r="M166" s="980"/>
      <c r="N166" s="979"/>
      <c r="Q166" s="850"/>
      <c r="R166" s="850"/>
      <c r="S166" s="850"/>
      <c r="T166" s="850"/>
      <c r="U166" s="850"/>
      <c r="V166" s="850"/>
      <c r="W166" s="850"/>
      <c r="X166" s="850"/>
      <c r="Y166" s="850"/>
      <c r="Z166" s="850"/>
      <c r="AA166" s="850"/>
      <c r="AB166" s="850"/>
      <c r="AC166" s="850"/>
    </row>
    <row r="167" spans="2:38" ht="14.25" thickBot="1" x14ac:dyDescent="0.3">
      <c r="B167" s="889">
        <f t="shared" si="41"/>
        <v>2034</v>
      </c>
      <c r="C167" s="890">
        <f>C166*(1+'8.1 Pob Urbana y Rural'!G$56)</f>
        <v>123.35285923694592</v>
      </c>
      <c r="D167" s="1462">
        <f t="shared" si="39"/>
        <v>0</v>
      </c>
      <c r="E167" s="1459">
        <f>E166*(1+'8.1 Pob Urbana y Rural'!G$50)</f>
        <v>76.472580891092733</v>
      </c>
      <c r="F167" s="891">
        <f t="shared" si="40"/>
        <v>76.472580891092733</v>
      </c>
      <c r="H167" s="980"/>
      <c r="I167" s="997"/>
      <c r="J167" s="997"/>
      <c r="K167" s="980"/>
      <c r="L167" s="980"/>
      <c r="M167" s="980"/>
      <c r="N167" s="979"/>
      <c r="Q167" s="850"/>
      <c r="R167" s="850"/>
      <c r="S167" s="850"/>
      <c r="T167" s="850"/>
      <c r="U167" s="850"/>
      <c r="V167" s="850"/>
      <c r="W167" s="850"/>
      <c r="X167" s="850"/>
      <c r="Y167" s="850"/>
      <c r="Z167" s="850"/>
      <c r="AA167" s="850"/>
      <c r="AB167" s="850"/>
      <c r="AC167" s="850"/>
    </row>
    <row r="168" spans="2:38" x14ac:dyDescent="0.25">
      <c r="B168" s="850" t="s">
        <v>1748</v>
      </c>
      <c r="C168" s="822"/>
      <c r="D168" s="822"/>
      <c r="E168" s="822"/>
      <c r="F168" s="980"/>
      <c r="G168" s="980"/>
      <c r="H168" s="980"/>
      <c r="I168" s="980"/>
      <c r="J168" s="980"/>
      <c r="K168" s="980"/>
      <c r="L168" s="980"/>
      <c r="M168" s="980"/>
      <c r="N168" s="979"/>
      <c r="O168" s="850"/>
      <c r="P168" s="850"/>
      <c r="Q168" s="850"/>
      <c r="R168" s="850"/>
      <c r="S168" s="850"/>
      <c r="T168" s="850"/>
      <c r="U168" s="850"/>
      <c r="V168" s="850"/>
      <c r="W168" s="850"/>
      <c r="X168" s="850"/>
      <c r="Y168" s="850"/>
      <c r="Z168" s="850"/>
      <c r="AA168" s="850"/>
      <c r="AB168" s="850"/>
      <c r="AC168" s="850"/>
    </row>
    <row r="169" spans="2:38" x14ac:dyDescent="0.25">
      <c r="B169" s="850"/>
      <c r="C169" s="822"/>
      <c r="D169" s="822"/>
      <c r="E169" s="822"/>
      <c r="F169" s="980"/>
      <c r="G169" s="980"/>
      <c r="H169" s="980"/>
      <c r="I169" s="980"/>
      <c r="J169" s="980"/>
      <c r="K169" s="980"/>
      <c r="L169" s="980"/>
      <c r="M169" s="980"/>
      <c r="N169" s="979"/>
      <c r="O169" s="850"/>
      <c r="P169" s="850"/>
      <c r="Q169" s="850"/>
      <c r="R169" s="850"/>
      <c r="S169" s="850"/>
      <c r="T169" s="850"/>
      <c r="U169" s="850"/>
      <c r="V169" s="850"/>
      <c r="W169" s="850"/>
      <c r="X169" s="850"/>
      <c r="Y169" s="850"/>
      <c r="Z169" s="850"/>
      <c r="AA169" s="850"/>
      <c r="AB169" s="850"/>
      <c r="AC169" s="850"/>
    </row>
    <row r="170" spans="2:38" x14ac:dyDescent="0.25">
      <c r="B170" s="874"/>
      <c r="C170" s="822"/>
      <c r="D170" s="822"/>
      <c r="E170" s="822"/>
      <c r="F170" s="980"/>
      <c r="G170" s="980"/>
      <c r="H170" s="980"/>
      <c r="I170" s="980"/>
      <c r="J170" s="980"/>
      <c r="K170" s="980"/>
      <c r="L170" s="980"/>
      <c r="M170" s="980"/>
      <c r="N170" s="979"/>
      <c r="O170" s="850"/>
      <c r="P170" s="850"/>
      <c r="Q170" s="850"/>
      <c r="R170" s="850"/>
      <c r="S170" s="850"/>
      <c r="T170" s="850"/>
      <c r="U170" s="850"/>
      <c r="V170" s="850"/>
      <c r="W170" s="850"/>
      <c r="X170" s="850"/>
      <c r="Y170" s="850"/>
      <c r="Z170" s="850"/>
      <c r="AA170" s="850"/>
      <c r="AB170" s="850"/>
      <c r="AC170" s="850"/>
    </row>
    <row r="171" spans="2:38" ht="14.25" thickBot="1" x14ac:dyDescent="0.3">
      <c r="B171" s="995" t="s">
        <v>1749</v>
      </c>
      <c r="C171" s="822"/>
      <c r="D171" s="822"/>
      <c r="E171" s="822"/>
      <c r="F171" s="980"/>
      <c r="G171" s="980"/>
      <c r="H171" s="1012"/>
      <c r="J171" s="980"/>
      <c r="K171" s="980"/>
      <c r="L171" s="980"/>
      <c r="M171" s="980"/>
      <c r="N171" s="979"/>
      <c r="O171" s="850"/>
      <c r="P171" s="850"/>
      <c r="Q171" s="850"/>
      <c r="R171" s="850"/>
      <c r="S171" s="850"/>
      <c r="T171" s="850"/>
      <c r="U171" s="850"/>
      <c r="V171" s="850"/>
      <c r="W171" s="850"/>
      <c r="X171" s="850"/>
      <c r="Y171" s="850"/>
      <c r="Z171" s="850"/>
      <c r="AA171" s="850"/>
      <c r="AB171" s="850"/>
      <c r="AC171" s="850"/>
    </row>
    <row r="172" spans="2:38" ht="14.25" thickBot="1" x14ac:dyDescent="0.3">
      <c r="B172" s="1013"/>
      <c r="C172" s="967"/>
      <c r="F172" s="691"/>
      <c r="I172" s="980"/>
      <c r="J172" s="980"/>
      <c r="M172" s="858"/>
      <c r="N172" s="904" t="s">
        <v>1750</v>
      </c>
      <c r="O172" s="881"/>
      <c r="T172" s="830"/>
      <c r="U172" s="848"/>
      <c r="V172" s="848"/>
      <c r="W172" s="848"/>
      <c r="X172" s="848"/>
      <c r="Y172" s="850"/>
      <c r="Z172" s="850"/>
      <c r="AA172" s="850"/>
      <c r="AB172" s="850"/>
      <c r="AC172" s="850"/>
      <c r="AG172" s="968"/>
      <c r="AH172" s="968"/>
      <c r="AI172" s="968"/>
      <c r="AJ172" s="968"/>
      <c r="AK172" s="968"/>
      <c r="AL172" s="968"/>
    </row>
    <row r="173" spans="2:38" ht="17.45" customHeight="1" thickBot="1" x14ac:dyDescent="0.3">
      <c r="B173" s="3990" t="s">
        <v>1751</v>
      </c>
      <c r="C173" s="4400" t="s">
        <v>1752</v>
      </c>
      <c r="D173" s="4400"/>
      <c r="E173" s="4400"/>
      <c r="F173" s="4400"/>
      <c r="G173" s="4400" t="s">
        <v>1612</v>
      </c>
      <c r="H173" s="4400" t="s">
        <v>1229</v>
      </c>
      <c r="I173" s="4400" t="s">
        <v>1752</v>
      </c>
      <c r="J173" s="4398" t="s">
        <v>1753</v>
      </c>
      <c r="K173" s="4398"/>
      <c r="L173" s="4398"/>
      <c r="M173" s="4400" t="s">
        <v>1753</v>
      </c>
      <c r="N173" s="3993" t="s">
        <v>1754</v>
      </c>
      <c r="O173" s="831"/>
      <c r="P173" s="831"/>
      <c r="Q173" s="969"/>
      <c r="R173" s="831"/>
      <c r="S173" s="831"/>
      <c r="T173" s="970"/>
      <c r="U173" s="848"/>
      <c r="V173" s="848"/>
      <c r="W173" s="848"/>
      <c r="X173" s="970"/>
      <c r="AG173" s="968"/>
      <c r="AH173" s="968"/>
      <c r="AI173" s="968"/>
      <c r="AJ173" s="968"/>
      <c r="AK173" s="968"/>
      <c r="AL173" s="968"/>
    </row>
    <row r="174" spans="2:38" ht="16.149999999999999" customHeight="1" thickBot="1" x14ac:dyDescent="0.3">
      <c r="B174" s="3991"/>
      <c r="C174" s="4401" t="s">
        <v>43</v>
      </c>
      <c r="D174" s="4401"/>
      <c r="E174" s="4401"/>
      <c r="F174" s="4401"/>
      <c r="G174" s="4401"/>
      <c r="H174" s="4401"/>
      <c r="I174" s="4401"/>
      <c r="J174" s="4399"/>
      <c r="K174" s="4399"/>
      <c r="L174" s="4399"/>
      <c r="M174" s="4401"/>
      <c r="N174" s="3994"/>
      <c r="O174" s="831"/>
      <c r="P174" s="831"/>
      <c r="Q174" s="969"/>
      <c r="R174" s="831"/>
      <c r="S174" s="831"/>
      <c r="T174" s="970"/>
      <c r="U174" s="848"/>
      <c r="V174" s="848"/>
      <c r="W174" s="848"/>
      <c r="X174" s="970"/>
      <c r="AG174" s="968"/>
      <c r="AH174" s="968"/>
      <c r="AI174" s="968"/>
      <c r="AJ174" s="968"/>
      <c r="AK174" s="968"/>
      <c r="AL174" s="968"/>
    </row>
    <row r="175" spans="2:38" ht="54" customHeight="1" thickBot="1" x14ac:dyDescent="0.3">
      <c r="B175" s="3991"/>
      <c r="C175" s="1454" t="s">
        <v>3687</v>
      </c>
      <c r="D175" s="1454" t="s">
        <v>2220</v>
      </c>
      <c r="E175" s="1454" t="s">
        <v>3688</v>
      </c>
      <c r="F175" s="1454" t="s">
        <v>2668</v>
      </c>
      <c r="G175" s="4401"/>
      <c r="H175" s="4401"/>
      <c r="I175" s="4401"/>
      <c r="J175" s="4401" t="s">
        <v>1578</v>
      </c>
      <c r="K175" s="4401" t="s">
        <v>1755</v>
      </c>
      <c r="L175" s="4401" t="s">
        <v>1756</v>
      </c>
      <c r="M175" s="4401"/>
      <c r="N175" s="3994"/>
      <c r="O175" s="969"/>
      <c r="Q175" s="969"/>
      <c r="T175" s="970"/>
      <c r="U175" s="848"/>
      <c r="V175" s="848"/>
      <c r="W175" s="848"/>
      <c r="X175" s="970"/>
      <c r="AG175" s="968"/>
      <c r="AH175" s="968"/>
      <c r="AI175" s="968"/>
      <c r="AJ175" s="968"/>
      <c r="AK175" s="968"/>
      <c r="AL175" s="968"/>
    </row>
    <row r="176" spans="2:38" ht="15" customHeight="1" thickBot="1" x14ac:dyDescent="0.3">
      <c r="B176" s="3991"/>
      <c r="C176" s="1051">
        <v>0.6</v>
      </c>
      <c r="D176" s="1051">
        <v>0.6</v>
      </c>
      <c r="E176" s="1051">
        <v>0.6</v>
      </c>
      <c r="F176" s="4415">
        <v>0.8</v>
      </c>
      <c r="G176" s="4415">
        <v>0.6</v>
      </c>
      <c r="H176" s="4420">
        <v>0.8</v>
      </c>
      <c r="I176" s="4401"/>
      <c r="J176" s="4401"/>
      <c r="K176" s="4401"/>
      <c r="L176" s="4401"/>
      <c r="M176" s="4401"/>
      <c r="N176" s="3994"/>
      <c r="O176" s="971"/>
      <c r="P176" s="972"/>
      <c r="Q176" s="972"/>
      <c r="R176" s="972"/>
      <c r="S176" s="972"/>
      <c r="T176" s="970"/>
      <c r="U176" s="848"/>
      <c r="V176" s="848"/>
      <c r="W176" s="848"/>
      <c r="X176" s="970"/>
      <c r="AG176" s="968"/>
      <c r="AH176" s="968"/>
      <c r="AI176" s="968"/>
      <c r="AJ176" s="968"/>
      <c r="AK176" s="968"/>
      <c r="AL176" s="968"/>
    </row>
    <row r="177" spans="2:38" ht="15" customHeight="1" thickBot="1" x14ac:dyDescent="0.3">
      <c r="B177" s="3991"/>
      <c r="C177" s="1051">
        <v>0.3</v>
      </c>
      <c r="D177" s="1051">
        <v>0.3</v>
      </c>
      <c r="E177" s="1051">
        <v>0.3</v>
      </c>
      <c r="F177" s="4415"/>
      <c r="G177" s="4415"/>
      <c r="H177" s="4421"/>
      <c r="I177" s="4401"/>
      <c r="J177" s="4401"/>
      <c r="K177" s="4401"/>
      <c r="L177" s="4401"/>
      <c r="M177" s="4401"/>
      <c r="N177" s="3994"/>
      <c r="O177" s="971"/>
      <c r="P177" s="972"/>
      <c r="Q177" s="972"/>
      <c r="R177" s="972"/>
      <c r="S177" s="972"/>
      <c r="T177" s="970"/>
      <c r="U177" s="848"/>
      <c r="V177" s="848"/>
      <c r="W177" s="848"/>
      <c r="X177" s="970"/>
      <c r="AG177" s="968"/>
      <c r="AH177" s="968"/>
      <c r="AI177" s="968"/>
      <c r="AJ177" s="968"/>
      <c r="AK177" s="968"/>
      <c r="AL177" s="968"/>
    </row>
    <row r="178" spans="2:38" ht="15" customHeight="1" thickBot="1" x14ac:dyDescent="0.3">
      <c r="B178" s="3992"/>
      <c r="C178" s="1061">
        <v>2</v>
      </c>
      <c r="D178" s="1061">
        <v>2</v>
      </c>
      <c r="E178" s="1061">
        <v>2</v>
      </c>
      <c r="F178" s="1061">
        <v>2</v>
      </c>
      <c r="G178" s="1062">
        <v>2</v>
      </c>
      <c r="H178" s="1062">
        <v>2</v>
      </c>
      <c r="I178" s="4402"/>
      <c r="J178" s="4402"/>
      <c r="K178" s="1063">
        <f>'4 Estadis ESTRATEG Prod3'!P450</f>
        <v>0.34482758620689657</v>
      </c>
      <c r="L178" s="1064">
        <v>3</v>
      </c>
      <c r="M178" s="4402"/>
      <c r="N178" s="4389"/>
      <c r="O178" s="973"/>
      <c r="P178" s="973"/>
      <c r="Q178" s="973"/>
      <c r="R178" s="973"/>
      <c r="S178" s="973"/>
      <c r="T178" s="970"/>
      <c r="U178" s="848"/>
      <c r="V178" s="848"/>
      <c r="W178" s="848"/>
      <c r="X178" s="970"/>
      <c r="AG178" s="968"/>
      <c r="AH178" s="968"/>
      <c r="AI178" s="968"/>
      <c r="AJ178" s="968"/>
      <c r="AK178" s="968"/>
      <c r="AL178" s="968"/>
    </row>
    <row r="179" spans="2:38" ht="14.25" thickBot="1" x14ac:dyDescent="0.3">
      <c r="B179" s="942">
        <v>2018</v>
      </c>
      <c r="C179" s="943">
        <f>((D202*C176*F200)+(D203*C177*F201))*C178</f>
        <v>76.354794499518732</v>
      </c>
      <c r="D179" s="943">
        <f>((D202*D176*F200)+(D203*D177*F201))*D178</f>
        <v>76.354794499518732</v>
      </c>
      <c r="E179" s="943">
        <f>((D202*E176*F200)+(D203*E177*F201))*E178</f>
        <v>76.354794499518732</v>
      </c>
      <c r="F179" s="943">
        <f>D203*F176*F201*F178</f>
        <v>73.277636312454888</v>
      </c>
      <c r="G179" s="943">
        <f>'3 Pob x Edad y EESS P1 P2'!BA31*G176*G178</f>
        <v>45.6</v>
      </c>
      <c r="H179" s="943">
        <f>SUM('3 Pob x Edad y EESS P1 P2'!AP31:AT31)*H176*H178</f>
        <v>145.31426454242293</v>
      </c>
      <c r="I179" s="944">
        <f>SUM(C179:H179)</f>
        <v>493.25628435343401</v>
      </c>
      <c r="J179" s="943">
        <f>'8.2 Pob Ddte'!C100</f>
        <v>115.64315972267565</v>
      </c>
      <c r="K179" s="943">
        <f>J179*$K$178</f>
        <v>39.876951628508849</v>
      </c>
      <c r="L179" s="943">
        <f>K179*$L$178</f>
        <v>119.63085488552655</v>
      </c>
      <c r="M179" s="943">
        <f>L179</f>
        <v>119.63085488552655</v>
      </c>
      <c r="N179" s="944">
        <f>SUM(I179,M179)</f>
        <v>612.88713923896057</v>
      </c>
      <c r="O179" s="814"/>
      <c r="P179" s="815"/>
      <c r="Q179" s="814"/>
      <c r="R179" s="814"/>
      <c r="S179" s="814"/>
      <c r="T179" s="814"/>
      <c r="U179" s="848"/>
      <c r="V179" s="848"/>
      <c r="W179" s="848"/>
      <c r="X179" s="853"/>
      <c r="AG179" s="968"/>
      <c r="AH179" s="968"/>
      <c r="AI179" s="968"/>
      <c r="AJ179" s="968"/>
      <c r="AK179" s="968"/>
      <c r="AL179" s="968"/>
    </row>
    <row r="180" spans="2:38" ht="14.25" thickBot="1" x14ac:dyDescent="0.3">
      <c r="B180" s="942">
        <f>B179+1</f>
        <v>2019</v>
      </c>
      <c r="C180" s="1456">
        <f>C179*(1+'8.1 Pob Urbana y Rural'!G$50)</f>
        <v>76.384382543401685</v>
      </c>
      <c r="D180" s="1456">
        <f>D179*(1+'8.1 Pob Urbana y Rural'!H$50)</f>
        <v>76.354794499518732</v>
      </c>
      <c r="E180" s="1456">
        <f>E179*(1+'8.1 Pob Urbana y Rural'!I$50)</f>
        <v>76.354794499518732</v>
      </c>
      <c r="F180" s="1456">
        <f>F179*(1+'8.1 Pob Urbana y Rural'!I$50)</f>
        <v>73.277636312454888</v>
      </c>
      <c r="G180" s="1456">
        <f>G179*(1+'8.1 Pob Urbana y Rural'!G$50)</f>
        <v>45.617670335044529</v>
      </c>
      <c r="H180" s="1456">
        <f>H179*(1+'8.1 Pob Urbana y Rural'!G$50)</f>
        <v>145.370574887625</v>
      </c>
      <c r="I180" s="944">
        <f>I179*(1+'8.1 Pob Urbana y Rural'!G$56)</f>
        <v>495.24996846508338</v>
      </c>
      <c r="J180" s="943">
        <f>'8.2 Pob Ddte'!C101</f>
        <v>116.53586262370999</v>
      </c>
      <c r="K180" s="1456">
        <f t="shared" ref="K180:K195" si="42">J180*$K$178</f>
        <v>40.184780215072415</v>
      </c>
      <c r="L180" s="1456">
        <f t="shared" ref="L180:L195" si="43">K180*$L$178</f>
        <v>120.55434064521725</v>
      </c>
      <c r="M180" s="943">
        <f t="shared" ref="M180:M195" si="44">L180</f>
        <v>120.55434064521725</v>
      </c>
      <c r="N180" s="944">
        <f t="shared" ref="N180:N195" si="45">SUM(I180,M180)</f>
        <v>615.80430911030066</v>
      </c>
      <c r="O180" s="814"/>
      <c r="P180" s="814"/>
      <c r="Q180" s="814"/>
      <c r="R180" s="814"/>
      <c r="S180" s="814"/>
      <c r="T180" s="814"/>
      <c r="U180" s="848"/>
      <c r="V180" s="848"/>
      <c r="W180" s="848"/>
      <c r="X180" s="853"/>
      <c r="AG180" s="968"/>
      <c r="AH180" s="968"/>
      <c r="AI180" s="968"/>
      <c r="AJ180" s="968"/>
      <c r="AK180" s="968"/>
      <c r="AL180" s="968"/>
    </row>
    <row r="181" spans="2:38" ht="14.25" thickBot="1" x14ac:dyDescent="0.3">
      <c r="B181" s="948">
        <f>B180+1</f>
        <v>2020</v>
      </c>
      <c r="C181" s="1458">
        <f>C180*(1+'8.1 Pob Urbana y Rural'!G$50)</f>
        <v>76.413982052869045</v>
      </c>
      <c r="D181" s="1458">
        <f>D180*(1+'8.1 Pob Urbana y Rural'!H$50)</f>
        <v>76.354794499518732</v>
      </c>
      <c r="E181" s="1458">
        <f>E180*(1+'8.1 Pob Urbana y Rural'!I$50)</f>
        <v>76.354794499518732</v>
      </c>
      <c r="F181" s="1458">
        <f>F180*(1+'8.1 Pob Urbana y Rural'!I$50)</f>
        <v>73.277636312454888</v>
      </c>
      <c r="G181" s="1458">
        <f>G180*(1+'8.1 Pob Urbana y Rural'!G$50)</f>
        <v>45.635347517473718</v>
      </c>
      <c r="H181" s="1458">
        <f>H180*(1+'8.1 Pob Urbana y Rural'!G$50)</f>
        <v>145.42690705349955</v>
      </c>
      <c r="I181" s="950">
        <f>I180*(1+'8.1 Pob Urbana y Rural'!G$56)</f>
        <v>497.25171081433285</v>
      </c>
      <c r="J181" s="949">
        <f>'8.2 Pob Ddte'!C102</f>
        <v>117.42924001740909</v>
      </c>
      <c r="K181" s="1458">
        <f t="shared" si="42"/>
        <v>40.492841385313483</v>
      </c>
      <c r="L181" s="1458">
        <f t="shared" si="43"/>
        <v>121.47852415594045</v>
      </c>
      <c r="M181" s="949">
        <f t="shared" si="44"/>
        <v>121.47852415594045</v>
      </c>
      <c r="N181" s="950">
        <f t="shared" si="45"/>
        <v>618.73023497027327</v>
      </c>
      <c r="O181" s="814"/>
      <c r="P181" s="814"/>
      <c r="Q181" s="814"/>
      <c r="R181" s="814"/>
      <c r="S181" s="814"/>
      <c r="T181" s="814"/>
      <c r="U181" s="848"/>
      <c r="V181" s="848"/>
      <c r="W181" s="848"/>
      <c r="X181" s="814"/>
      <c r="AG181" s="968"/>
      <c r="AH181" s="968"/>
      <c r="AI181" s="968"/>
      <c r="AJ181" s="968"/>
      <c r="AK181" s="968"/>
      <c r="AL181" s="968"/>
    </row>
    <row r="182" spans="2:38" ht="14.25" thickBot="1" x14ac:dyDescent="0.3">
      <c r="B182" s="948">
        <f t="shared" ref="B182:B195" si="46">B181+1</f>
        <v>2021</v>
      </c>
      <c r="C182" s="1458">
        <f>C181*(1+'8.1 Pob Urbana y Rural'!G$50)</f>
        <v>76.443593032363793</v>
      </c>
      <c r="D182" s="1458">
        <f>D181*(1+'8.1 Pob Urbana y Rural'!H$50)</f>
        <v>76.354794499518732</v>
      </c>
      <c r="E182" s="1458">
        <f>E181*(1+'8.1 Pob Urbana y Rural'!I$50)</f>
        <v>76.354794499518732</v>
      </c>
      <c r="F182" s="1458">
        <f>F181*(1+'8.1 Pob Urbana y Rural'!I$50)</f>
        <v>73.277636312454888</v>
      </c>
      <c r="G182" s="1458">
        <f>G181*(1+'8.1 Pob Urbana y Rural'!G$50)</f>
        <v>45.653031549940984</v>
      </c>
      <c r="H182" s="1458">
        <f>H181*(1+'8.1 Pob Urbana y Rural'!G$50)</f>
        <v>145.4832610485023</v>
      </c>
      <c r="I182" s="950">
        <f>I181*(1+'8.1 Pob Urbana y Rural'!G$56)</f>
        <v>499.26154397163464</v>
      </c>
      <c r="J182" s="949">
        <f>'8.2 Pob Ddte'!C103</f>
        <v>118.32329229246473</v>
      </c>
      <c r="K182" s="1458">
        <f t="shared" si="42"/>
        <v>40.801135273263704</v>
      </c>
      <c r="L182" s="1458">
        <f t="shared" si="43"/>
        <v>122.40340581979112</v>
      </c>
      <c r="M182" s="949">
        <f t="shared" si="44"/>
        <v>122.40340581979112</v>
      </c>
      <c r="N182" s="950">
        <f t="shared" si="45"/>
        <v>621.66494979142578</v>
      </c>
      <c r="O182" s="814"/>
      <c r="P182" s="814"/>
      <c r="Q182" s="814"/>
      <c r="R182" s="814"/>
      <c r="S182" s="814"/>
      <c r="T182" s="814"/>
      <c r="U182" s="848"/>
      <c r="V182" s="848"/>
      <c r="W182" s="848"/>
      <c r="X182" s="814"/>
      <c r="AG182" s="968"/>
      <c r="AH182" s="968"/>
      <c r="AI182" s="968"/>
      <c r="AJ182" s="968"/>
      <c r="AK182" s="968"/>
      <c r="AL182" s="968"/>
    </row>
    <row r="183" spans="2:38" ht="14.25" thickBot="1" x14ac:dyDescent="0.3">
      <c r="B183" s="948">
        <f t="shared" si="46"/>
        <v>2022</v>
      </c>
      <c r="C183" s="1458">
        <f>C182*(1+'8.1 Pob Urbana y Rural'!G$50)</f>
        <v>76.473215486330673</v>
      </c>
      <c r="D183" s="1458">
        <f>D182*(1+'8.1 Pob Urbana y Rural'!H$50)</f>
        <v>76.354794499518732</v>
      </c>
      <c r="E183" s="1458">
        <f>E182*(1+'8.1 Pob Urbana y Rural'!I$50)</f>
        <v>76.354794499518732</v>
      </c>
      <c r="F183" s="1458">
        <f>F182*(1+'8.1 Pob Urbana y Rural'!I$50)</f>
        <v>73.277636312454888</v>
      </c>
      <c r="G183" s="1458">
        <f>G182*(1+'8.1 Pob Urbana y Rural'!G$50)</f>
        <v>45.670722435100764</v>
      </c>
      <c r="H183" s="1458">
        <f>H182*(1+'8.1 Pob Urbana y Rural'!G$50)</f>
        <v>145.53963688109215</v>
      </c>
      <c r="I183" s="950">
        <f>I182*(1+'8.1 Pob Urbana y Rural'!G$56)</f>
        <v>501.27950063908702</v>
      </c>
      <c r="J183" s="949">
        <f>'8.2 Pob Ddte'!C104</f>
        <v>119.21801983776859</v>
      </c>
      <c r="K183" s="1458">
        <f t="shared" si="42"/>
        <v>41.109662013023659</v>
      </c>
      <c r="L183" s="1458">
        <f t="shared" si="43"/>
        <v>123.32898603907097</v>
      </c>
      <c r="M183" s="949">
        <f t="shared" si="44"/>
        <v>123.32898603907097</v>
      </c>
      <c r="N183" s="950">
        <f t="shared" si="45"/>
        <v>624.60848667815799</v>
      </c>
      <c r="O183" s="814"/>
      <c r="P183" s="814"/>
      <c r="Q183" s="814"/>
      <c r="R183" s="814"/>
      <c r="S183" s="814"/>
      <c r="T183" s="814"/>
      <c r="U183" s="848"/>
      <c r="V183" s="848"/>
      <c r="W183" s="848"/>
      <c r="X183" s="814"/>
      <c r="AG183" s="968"/>
      <c r="AH183" s="968"/>
      <c r="AI183" s="968"/>
      <c r="AJ183" s="968"/>
      <c r="AK183" s="968"/>
      <c r="AL183" s="968"/>
    </row>
    <row r="184" spans="2:38" ht="14.25" thickBot="1" x14ac:dyDescent="0.3">
      <c r="B184" s="889">
        <f t="shared" si="46"/>
        <v>2023</v>
      </c>
      <c r="C184" s="1459">
        <f>C183*(1+'8.1 Pob Urbana y Rural'!G$50)</f>
        <v>76.502849419216105</v>
      </c>
      <c r="D184" s="1459">
        <f>D183*(1+'8.1 Pob Urbana y Rural'!H$50)</f>
        <v>76.354794499518732</v>
      </c>
      <c r="E184" s="1459">
        <f>E183*(1+'8.1 Pob Urbana y Rural'!I$50)</f>
        <v>76.354794499518732</v>
      </c>
      <c r="F184" s="1459">
        <f>F183*(1+'8.1 Pob Urbana y Rural'!I$50)</f>
        <v>73.277636312454888</v>
      </c>
      <c r="G184" s="1459">
        <f>G183*(1+'8.1 Pob Urbana y Rural'!G$50)</f>
        <v>45.688420175608528</v>
      </c>
      <c r="H184" s="1459">
        <f>H183*(1+'8.1 Pob Urbana y Rural'!G$50)</f>
        <v>145.59603455973135</v>
      </c>
      <c r="I184" s="891">
        <f>I183*(1+'8.1 Pob Urbana y Rural'!G$56)</f>
        <v>503.30561365096622</v>
      </c>
      <c r="J184" s="890">
        <f>'8.2 Pob Ddte'!C105</f>
        <v>120.11342304241235</v>
      </c>
      <c r="K184" s="1462">
        <f t="shared" si="42"/>
        <v>41.418421738762881</v>
      </c>
      <c r="L184" s="1462">
        <f t="shared" si="43"/>
        <v>124.25526521628865</v>
      </c>
      <c r="M184" s="890">
        <f t="shared" si="44"/>
        <v>124.25526521628865</v>
      </c>
      <c r="N184" s="891">
        <f t="shared" si="45"/>
        <v>627.56087886725481</v>
      </c>
      <c r="O184" s="814"/>
      <c r="P184" s="814"/>
      <c r="Q184" s="814"/>
      <c r="R184" s="814"/>
      <c r="S184" s="814"/>
      <c r="T184" s="814"/>
      <c r="U184" s="848"/>
      <c r="V184" s="848"/>
      <c r="W184" s="848"/>
      <c r="X184" s="814"/>
      <c r="AG184" s="968"/>
      <c r="AH184" s="968"/>
      <c r="AI184" s="968"/>
      <c r="AJ184" s="968"/>
      <c r="AK184" s="968"/>
      <c r="AL184" s="968"/>
    </row>
    <row r="185" spans="2:38" ht="14.25" thickBot="1" x14ac:dyDescent="0.3">
      <c r="B185" s="889">
        <f t="shared" si="46"/>
        <v>2024</v>
      </c>
      <c r="C185" s="1459">
        <f>C184*(1+'8.1 Pob Urbana y Rural'!G$50)</f>
        <v>76.53249483546827</v>
      </c>
      <c r="D185" s="1459">
        <f>D184*(1+'8.1 Pob Urbana y Rural'!H$50)</f>
        <v>76.354794499518732</v>
      </c>
      <c r="E185" s="1459">
        <f>E184*(1+'8.1 Pob Urbana y Rural'!I$50)</f>
        <v>76.354794499518732</v>
      </c>
      <c r="F185" s="1459">
        <f>F184*(1+'8.1 Pob Urbana y Rural'!I$50)</f>
        <v>73.277636312454888</v>
      </c>
      <c r="G185" s="1459">
        <f>G184*(1+'8.1 Pob Urbana y Rural'!G$50)</f>
        <v>45.706124774120767</v>
      </c>
      <c r="H185" s="1459">
        <f>H184*(1+'8.1 Pob Urbana y Rural'!G$50)</f>
        <v>145.65245409288542</v>
      </c>
      <c r="I185" s="891">
        <f>I184*(1+'8.1 Pob Urbana y Rural'!G$56)</f>
        <v>505.33991597426086</v>
      </c>
      <c r="J185" s="890">
        <f>'8.2 Pob Ddte'!C106</f>
        <v>121.00950229568794</v>
      </c>
      <c r="K185" s="1462">
        <f t="shared" si="42"/>
        <v>41.72741458471998</v>
      </c>
      <c r="L185" s="1462">
        <f t="shared" si="43"/>
        <v>125.18224375415994</v>
      </c>
      <c r="M185" s="890">
        <f t="shared" si="44"/>
        <v>125.18224375415994</v>
      </c>
      <c r="N185" s="891">
        <f t="shared" si="45"/>
        <v>630.52215972842077</v>
      </c>
      <c r="O185" s="814"/>
      <c r="P185" s="814"/>
      <c r="Q185" s="814"/>
      <c r="R185" s="814"/>
      <c r="S185" s="814"/>
      <c r="T185" s="814"/>
      <c r="U185" s="848"/>
      <c r="V185" s="848"/>
      <c r="W185" s="848"/>
      <c r="X185" s="814"/>
      <c r="AG185" s="968"/>
      <c r="AH185" s="968"/>
      <c r="AI185" s="968"/>
      <c r="AJ185" s="968"/>
      <c r="AK185" s="968"/>
      <c r="AL185" s="968"/>
    </row>
    <row r="186" spans="2:38" ht="14.25" thickBot="1" x14ac:dyDescent="0.3">
      <c r="B186" s="889">
        <f t="shared" si="46"/>
        <v>2025</v>
      </c>
      <c r="C186" s="1459">
        <f>C185*(1+'8.1 Pob Urbana y Rural'!G$50)</f>
        <v>76.562151739537057</v>
      </c>
      <c r="D186" s="1459">
        <f>D185*(1+'8.1 Pob Urbana y Rural'!H$50)</f>
        <v>76.354794499518732</v>
      </c>
      <c r="E186" s="1459">
        <f>E185*(1+'8.1 Pob Urbana y Rural'!I$50)</f>
        <v>76.354794499518732</v>
      </c>
      <c r="F186" s="1459">
        <f>F185*(1+'8.1 Pob Urbana y Rural'!I$50)</f>
        <v>73.277636312454888</v>
      </c>
      <c r="G186" s="1459">
        <f>G185*(1+'8.1 Pob Urbana y Rural'!G$50)</f>
        <v>45.723836233295017</v>
      </c>
      <c r="H186" s="1459">
        <f>H185*(1+'8.1 Pob Urbana y Rural'!G$50)</f>
        <v>145.70889548902312</v>
      </c>
      <c r="I186" s="891">
        <f>I185*(1+'8.1 Pob Urbana y Rural'!G$56)</f>
        <v>507.38244070920825</v>
      </c>
      <c r="J186" s="890">
        <f>'8.2 Pob Ddte'!C107</f>
        <v>121.90625798708753</v>
      </c>
      <c r="K186" s="1462">
        <f t="shared" si="42"/>
        <v>42.036640685202599</v>
      </c>
      <c r="L186" s="1462">
        <f t="shared" si="43"/>
        <v>126.1099220556078</v>
      </c>
      <c r="M186" s="890">
        <f t="shared" si="44"/>
        <v>126.1099220556078</v>
      </c>
      <c r="N186" s="891">
        <f t="shared" si="45"/>
        <v>633.49236276481611</v>
      </c>
      <c r="O186" s="814"/>
      <c r="P186" s="814"/>
      <c r="Q186" s="814"/>
      <c r="R186" s="814"/>
      <c r="S186" s="814"/>
      <c r="T186" s="814"/>
      <c r="U186" s="848"/>
      <c r="V186" s="848"/>
      <c r="W186" s="848"/>
      <c r="X186" s="814"/>
      <c r="AG186" s="968"/>
      <c r="AH186" s="968"/>
      <c r="AI186" s="968"/>
      <c r="AJ186" s="968"/>
      <c r="AK186" s="968"/>
      <c r="AL186" s="968"/>
    </row>
    <row r="187" spans="2:38" ht="14.25" thickBot="1" x14ac:dyDescent="0.3">
      <c r="B187" s="889">
        <f t="shared" si="46"/>
        <v>2026</v>
      </c>
      <c r="C187" s="1459">
        <f>C186*(1+'8.1 Pob Urbana y Rural'!G$50)</f>
        <v>76.591820135874073</v>
      </c>
      <c r="D187" s="1459">
        <f>D186*(1+'8.1 Pob Urbana y Rural'!H$50)</f>
        <v>76.354794499518732</v>
      </c>
      <c r="E187" s="1459">
        <f>E186*(1+'8.1 Pob Urbana y Rural'!I$50)</f>
        <v>76.354794499518732</v>
      </c>
      <c r="F187" s="1459">
        <f>F186*(1+'8.1 Pob Urbana y Rural'!I$50)</f>
        <v>73.277636312454888</v>
      </c>
      <c r="G187" s="1459">
        <f>G186*(1+'8.1 Pob Urbana y Rural'!G$50)</f>
        <v>45.741554555789833</v>
      </c>
      <c r="H187" s="1459">
        <f>H186*(1+'8.1 Pob Urbana y Rural'!G$50)</f>
        <v>145.76535875661654</v>
      </c>
      <c r="I187" s="891">
        <f>I186*(1+'8.1 Pob Urbana y Rural'!G$56)</f>
        <v>509.4332210898329</v>
      </c>
      <c r="J187" s="890">
        <f>'8.2 Pob Ddte'!C108</f>
        <v>122.80369050630357</v>
      </c>
      <c r="K187" s="1462">
        <f t="shared" si="42"/>
        <v>42.346100174587441</v>
      </c>
      <c r="L187" s="1462">
        <f t="shared" si="43"/>
        <v>127.03830052376233</v>
      </c>
      <c r="M187" s="890">
        <f t="shared" si="44"/>
        <v>127.03830052376233</v>
      </c>
      <c r="N187" s="891">
        <f t="shared" si="45"/>
        <v>636.4715216135952</v>
      </c>
      <c r="O187" s="814"/>
      <c r="P187" s="814"/>
      <c r="Q187" s="814"/>
      <c r="R187" s="814"/>
      <c r="S187" s="814"/>
      <c r="T187" s="814"/>
      <c r="U187" s="848"/>
      <c r="V187" s="848"/>
      <c r="W187" s="848"/>
      <c r="X187" s="814"/>
      <c r="AG187" s="968"/>
      <c r="AH187" s="968"/>
      <c r="AI187" s="968"/>
      <c r="AJ187" s="968"/>
      <c r="AK187" s="968"/>
      <c r="AL187" s="968"/>
    </row>
    <row r="188" spans="2:38" ht="14.25" thickBot="1" x14ac:dyDescent="0.3">
      <c r="B188" s="889">
        <f t="shared" si="46"/>
        <v>2027</v>
      </c>
      <c r="C188" s="1459">
        <f>C187*(1+'8.1 Pob Urbana y Rural'!G$50)</f>
        <v>76.621500028932658</v>
      </c>
      <c r="D188" s="1459">
        <f>D187*(1+'8.1 Pob Urbana y Rural'!H$50)</f>
        <v>76.354794499518732</v>
      </c>
      <c r="E188" s="1459">
        <f>E187*(1+'8.1 Pob Urbana y Rural'!I$50)</f>
        <v>76.354794499518732</v>
      </c>
      <c r="F188" s="1459">
        <f>F187*(1+'8.1 Pob Urbana y Rural'!I$50)</f>
        <v>73.277636312454888</v>
      </c>
      <c r="G188" s="1459">
        <f>G187*(1+'8.1 Pob Urbana y Rural'!G$50)</f>
        <v>45.759279744264795</v>
      </c>
      <c r="H188" s="1459">
        <f>H187*(1+'8.1 Pob Urbana y Rural'!G$50)</f>
        <v>145.82184390414099</v>
      </c>
      <c r="I188" s="891">
        <f>I187*(1+'8.1 Pob Urbana y Rural'!G$56)</f>
        <v>511.49229048448746</v>
      </c>
      <c r="J188" s="890">
        <f>'8.2 Pob Ddte'!C109</f>
        <v>123.701800243229</v>
      </c>
      <c r="K188" s="1462">
        <f t="shared" si="42"/>
        <v>42.655793187320349</v>
      </c>
      <c r="L188" s="1462">
        <f t="shared" si="43"/>
        <v>127.96737956196105</v>
      </c>
      <c r="M188" s="890">
        <f t="shared" si="44"/>
        <v>127.96737956196105</v>
      </c>
      <c r="N188" s="891">
        <f t="shared" si="45"/>
        <v>639.45967004644854</v>
      </c>
      <c r="O188" s="814"/>
      <c r="P188" s="814"/>
      <c r="Q188" s="814"/>
      <c r="R188" s="814"/>
      <c r="S188" s="814"/>
      <c r="T188" s="814"/>
      <c r="U188" s="848"/>
      <c r="V188" s="848"/>
      <c r="W188" s="848"/>
      <c r="X188" s="814"/>
      <c r="AG188" s="968"/>
      <c r="AH188" s="968"/>
      <c r="AI188" s="968"/>
      <c r="AJ188" s="968"/>
      <c r="AK188" s="968"/>
      <c r="AL188" s="968"/>
    </row>
    <row r="189" spans="2:38" ht="14.25" thickBot="1" x14ac:dyDescent="0.3">
      <c r="B189" s="889">
        <f t="shared" si="46"/>
        <v>2028</v>
      </c>
      <c r="C189" s="1459">
        <f>C188*(1+'8.1 Pob Urbana y Rural'!G$50)</f>
        <v>76.651191423167873</v>
      </c>
      <c r="D189" s="1459">
        <f>D188*(1+'8.1 Pob Urbana y Rural'!H$50)</f>
        <v>76.354794499518732</v>
      </c>
      <c r="E189" s="1459">
        <f>E188*(1+'8.1 Pob Urbana y Rural'!I$50)</f>
        <v>76.354794499518732</v>
      </c>
      <c r="F189" s="1459">
        <f>F188*(1+'8.1 Pob Urbana y Rural'!I$50)</f>
        <v>73.277636312454888</v>
      </c>
      <c r="G189" s="1459">
        <f>G188*(1+'8.1 Pob Urbana y Rural'!G$50)</f>
        <v>45.777011801380532</v>
      </c>
      <c r="H189" s="1459">
        <f>H188*(1+'8.1 Pob Urbana y Rural'!G$50)</f>
        <v>145.87835094007514</v>
      </c>
      <c r="I189" s="891">
        <f>I188*(1+'8.1 Pob Urbana y Rural'!G$56)</f>
        <v>513.55968239639549</v>
      </c>
      <c r="J189" s="890">
        <f>'8.2 Pob Ddte'!C110</f>
        <v>124.60058758795725</v>
      </c>
      <c r="K189" s="1462">
        <f t="shared" si="42"/>
        <v>42.965719857916298</v>
      </c>
      <c r="L189" s="1462">
        <f t="shared" si="43"/>
        <v>128.89715957374889</v>
      </c>
      <c r="M189" s="890">
        <f t="shared" si="44"/>
        <v>128.89715957374889</v>
      </c>
      <c r="N189" s="891">
        <f t="shared" si="45"/>
        <v>642.45684197014441</v>
      </c>
      <c r="O189" s="814"/>
      <c r="P189" s="814"/>
      <c r="Q189" s="814"/>
      <c r="R189" s="814"/>
      <c r="S189" s="814"/>
      <c r="T189" s="814"/>
      <c r="U189" s="848"/>
      <c r="V189" s="848"/>
      <c r="W189" s="848"/>
      <c r="X189" s="814"/>
      <c r="AG189" s="968"/>
      <c r="AH189" s="968"/>
      <c r="AI189" s="968"/>
      <c r="AJ189" s="968"/>
      <c r="AK189" s="968"/>
      <c r="AL189" s="968"/>
    </row>
    <row r="190" spans="2:38" ht="14.25" thickBot="1" x14ac:dyDescent="0.3">
      <c r="B190" s="889">
        <f t="shared" si="46"/>
        <v>2029</v>
      </c>
      <c r="C190" s="1459">
        <f>C189*(1+'8.1 Pob Urbana y Rural'!G$50)</f>
        <v>76.680894323036512</v>
      </c>
      <c r="D190" s="1459">
        <f>D189*(1+'8.1 Pob Urbana y Rural'!H$50)</f>
        <v>76.354794499518732</v>
      </c>
      <c r="E190" s="1459">
        <f>E189*(1+'8.1 Pob Urbana y Rural'!I$50)</f>
        <v>76.354794499518732</v>
      </c>
      <c r="F190" s="1459">
        <f>F189*(1+'8.1 Pob Urbana y Rural'!I$50)</f>
        <v>73.277636312454888</v>
      </c>
      <c r="G190" s="1459">
        <f>G189*(1+'8.1 Pob Urbana y Rural'!G$50)</f>
        <v>45.794750729798686</v>
      </c>
      <c r="H190" s="1459">
        <f>H189*(1+'8.1 Pob Urbana y Rural'!G$50)</f>
        <v>145.93487987290089</v>
      </c>
      <c r="I190" s="891">
        <f>I189*(1+'8.1 Pob Urbana y Rural'!G$56)</f>
        <v>515.63543046419659</v>
      </c>
      <c r="J190" s="890">
        <f>'8.2 Pob Ddte'!C111</f>
        <v>125.50005293078243</v>
      </c>
      <c r="K190" s="1462">
        <f t="shared" si="42"/>
        <v>43.275880320959459</v>
      </c>
      <c r="L190" s="1462">
        <f t="shared" si="43"/>
        <v>129.82764096287838</v>
      </c>
      <c r="M190" s="890">
        <f t="shared" si="44"/>
        <v>129.82764096287838</v>
      </c>
      <c r="N190" s="891">
        <f t="shared" si="45"/>
        <v>645.46307142707496</v>
      </c>
      <c r="O190" s="814"/>
      <c r="P190" s="814"/>
      <c r="Q190" s="814"/>
      <c r="R190" s="814"/>
      <c r="S190" s="814"/>
      <c r="T190" s="814"/>
      <c r="U190" s="848"/>
      <c r="V190" s="848"/>
      <c r="W190" s="848"/>
      <c r="X190" s="814"/>
      <c r="AG190" s="968"/>
      <c r="AH190" s="968"/>
      <c r="AI190" s="968"/>
      <c r="AJ190" s="968"/>
      <c r="AK190" s="968"/>
      <c r="AL190" s="968"/>
    </row>
    <row r="191" spans="2:38" ht="14.25" thickBot="1" x14ac:dyDescent="0.3">
      <c r="B191" s="889">
        <f t="shared" si="46"/>
        <v>2030</v>
      </c>
      <c r="C191" s="1459">
        <f>C190*(1+'8.1 Pob Urbana y Rural'!G$50)</f>
        <v>76.710608732997088</v>
      </c>
      <c r="D191" s="1459">
        <f>D190*(1+'8.1 Pob Urbana y Rural'!H$50)</f>
        <v>76.354794499518732</v>
      </c>
      <c r="E191" s="1459">
        <f>E190*(1+'8.1 Pob Urbana y Rural'!I$50)</f>
        <v>76.354794499518732</v>
      </c>
      <c r="F191" s="1459">
        <f>F190*(1+'8.1 Pob Urbana y Rural'!I$50)</f>
        <v>73.277636312454888</v>
      </c>
      <c r="G191" s="1459">
        <f>G190*(1+'8.1 Pob Urbana y Rural'!G$50)</f>
        <v>45.812496532181939</v>
      </c>
      <c r="H191" s="1459">
        <f>H190*(1+'8.1 Pob Urbana y Rural'!G$50)</f>
        <v>145.99143071110348</v>
      </c>
      <c r="I191" s="891">
        <f>I190*(1+'8.1 Pob Urbana y Rural'!G$56)</f>
        <v>517.71956846249395</v>
      </c>
      <c r="J191" s="890">
        <f>'8.2 Pob Ddte'!C112</f>
        <v>126.40019666219945</v>
      </c>
      <c r="K191" s="1462">
        <f t="shared" si="42"/>
        <v>43.586274711103258</v>
      </c>
      <c r="L191" s="1462">
        <f t="shared" si="43"/>
        <v>130.75882413330976</v>
      </c>
      <c r="M191" s="890">
        <f t="shared" si="44"/>
        <v>130.75882413330976</v>
      </c>
      <c r="N191" s="891">
        <f t="shared" si="45"/>
        <v>648.47839259580371</v>
      </c>
      <c r="O191" s="814"/>
      <c r="P191" s="814"/>
      <c r="Q191" s="814"/>
      <c r="R191" s="814"/>
      <c r="S191" s="814"/>
      <c r="T191" s="814"/>
      <c r="U191" s="848"/>
      <c r="V191" s="848"/>
      <c r="W191" s="848"/>
      <c r="X191" s="814"/>
      <c r="AG191" s="968"/>
      <c r="AH191" s="968"/>
      <c r="AI191" s="968"/>
      <c r="AJ191" s="968"/>
      <c r="AK191" s="968"/>
      <c r="AL191" s="968"/>
    </row>
    <row r="192" spans="2:38" ht="14.25" thickBot="1" x14ac:dyDescent="0.3">
      <c r="B192" s="889">
        <f t="shared" si="46"/>
        <v>2031</v>
      </c>
      <c r="C192" s="1459">
        <f>C191*(1+'8.1 Pob Urbana y Rural'!G$50)</f>
        <v>76.740334657509848</v>
      </c>
      <c r="D192" s="1459">
        <f>D191*(1+'8.1 Pob Urbana y Rural'!H$50)</f>
        <v>76.354794499518732</v>
      </c>
      <c r="E192" s="1459">
        <f>E191*(1+'8.1 Pob Urbana y Rural'!I$50)</f>
        <v>76.354794499518732</v>
      </c>
      <c r="F192" s="1459">
        <f>F191*(1+'8.1 Pob Urbana y Rural'!I$50)</f>
        <v>73.277636312454888</v>
      </c>
      <c r="G192" s="1459">
        <f>G191*(1+'8.1 Pob Urbana y Rural'!G$50)</f>
        <v>45.830249211194001</v>
      </c>
      <c r="H192" s="1459">
        <f>H191*(1+'8.1 Pob Urbana y Rural'!G$50)</f>
        <v>146.04800346317134</v>
      </c>
      <c r="I192" s="891">
        <f>I191*(1+'8.1 Pob Urbana y Rural'!G$56)</f>
        <v>519.81213030240372</v>
      </c>
      <c r="J192" s="890">
        <f>'8.2 Pob Ddte'!C113</f>
        <v>127.30101917290386</v>
      </c>
      <c r="K192" s="1462">
        <f t="shared" si="42"/>
        <v>43.896903163070299</v>
      </c>
      <c r="L192" s="1462">
        <f t="shared" si="43"/>
        <v>131.69070948921089</v>
      </c>
      <c r="M192" s="890">
        <f t="shared" si="44"/>
        <v>131.69070948921089</v>
      </c>
      <c r="N192" s="891">
        <f t="shared" si="45"/>
        <v>651.50283979161463</v>
      </c>
      <c r="O192" s="814"/>
      <c r="P192" s="814"/>
      <c r="Q192" s="814"/>
      <c r="R192" s="814"/>
      <c r="S192" s="814"/>
      <c r="T192" s="814"/>
      <c r="U192" s="848"/>
      <c r="V192" s="848"/>
      <c r="W192" s="848"/>
      <c r="X192" s="814"/>
      <c r="AG192" s="968"/>
      <c r="AH192" s="968"/>
      <c r="AI192" s="968"/>
      <c r="AJ192" s="968"/>
      <c r="AK192" s="968"/>
      <c r="AL192" s="968"/>
    </row>
    <row r="193" spans="2:38" ht="14.25" thickBot="1" x14ac:dyDescent="0.3">
      <c r="B193" s="889">
        <f t="shared" si="46"/>
        <v>2032</v>
      </c>
      <c r="C193" s="1459">
        <f>C192*(1+'8.1 Pob Urbana y Rural'!G$50)</f>
        <v>76.77007210103676</v>
      </c>
      <c r="D193" s="1459">
        <f>D192*(1+'8.1 Pob Urbana y Rural'!H$50)</f>
        <v>76.354794499518732</v>
      </c>
      <c r="E193" s="1459">
        <f>E192*(1+'8.1 Pob Urbana y Rural'!I$50)</f>
        <v>76.354794499518732</v>
      </c>
      <c r="F193" s="1459">
        <f>F192*(1+'8.1 Pob Urbana y Rural'!I$50)</f>
        <v>73.277636312454888</v>
      </c>
      <c r="G193" s="1459">
        <f>G192*(1+'8.1 Pob Urbana y Rural'!G$50)</f>
        <v>45.848008769499614</v>
      </c>
      <c r="H193" s="1459">
        <f>H192*(1+'8.1 Pob Urbana y Rural'!G$50)</f>
        <v>146.1045981375963</v>
      </c>
      <c r="I193" s="891">
        <f>I192*(1+'8.1 Pob Urbana y Rural'!G$56)</f>
        <v>521.91315003210661</v>
      </c>
      <c r="J193" s="890">
        <f>'8.2 Pob Ddte'!C114</f>
        <v>128.20252085379229</v>
      </c>
      <c r="K193" s="1462">
        <f t="shared" si="42"/>
        <v>44.207765811652521</v>
      </c>
      <c r="L193" s="1462">
        <f t="shared" si="43"/>
        <v>132.62329743495758</v>
      </c>
      <c r="M193" s="890">
        <f t="shared" si="44"/>
        <v>132.62329743495758</v>
      </c>
      <c r="N193" s="891">
        <f t="shared" si="45"/>
        <v>654.53644746706414</v>
      </c>
      <c r="O193" s="814"/>
      <c r="P193" s="814"/>
      <c r="Q193" s="814"/>
      <c r="R193" s="814"/>
      <c r="S193" s="814"/>
      <c r="T193" s="814"/>
      <c r="U193" s="848"/>
      <c r="V193" s="848"/>
      <c r="W193" s="848"/>
      <c r="X193" s="814"/>
      <c r="AG193" s="968"/>
      <c r="AH193" s="968"/>
      <c r="AI193" s="968"/>
      <c r="AJ193" s="968"/>
      <c r="AK193" s="968"/>
      <c r="AL193" s="968"/>
    </row>
    <row r="194" spans="2:38" ht="14.25" thickBot="1" x14ac:dyDescent="0.3">
      <c r="B194" s="889">
        <f t="shared" si="46"/>
        <v>2033</v>
      </c>
      <c r="C194" s="1459">
        <f>C193*(1+'8.1 Pob Urbana y Rural'!G$50)</f>
        <v>76.799821068041538</v>
      </c>
      <c r="D194" s="1459">
        <f>D193*(1+'8.1 Pob Urbana y Rural'!H$50)</f>
        <v>76.354794499518732</v>
      </c>
      <c r="E194" s="1459">
        <f>E193*(1+'8.1 Pob Urbana y Rural'!I$50)</f>
        <v>76.354794499518732</v>
      </c>
      <c r="F194" s="1459">
        <f>F193*(1+'8.1 Pob Urbana y Rural'!I$50)</f>
        <v>73.277636312454888</v>
      </c>
      <c r="G194" s="1459">
        <f>G193*(1+'8.1 Pob Urbana y Rural'!G$50)</f>
        <v>45.865775209764557</v>
      </c>
      <c r="H194" s="1459">
        <f>H193*(1+'8.1 Pob Urbana y Rural'!G$50)</f>
        <v>146.16121474287343</v>
      </c>
      <c r="I194" s="891">
        <f>I193*(1+'8.1 Pob Urbana y Rural'!G$56)</f>
        <v>524.02266183740244</v>
      </c>
      <c r="J194" s="890">
        <f>'8.2 Pob Ddte'!C115</f>
        <v>129.10470209596238</v>
      </c>
      <c r="K194" s="1462">
        <f t="shared" si="42"/>
        <v>44.518862791711172</v>
      </c>
      <c r="L194" s="1462">
        <f t="shared" si="43"/>
        <v>133.55658837513352</v>
      </c>
      <c r="M194" s="890">
        <f t="shared" si="44"/>
        <v>133.55658837513352</v>
      </c>
      <c r="N194" s="891">
        <f t="shared" si="45"/>
        <v>657.57925021253595</v>
      </c>
      <c r="O194" s="814"/>
      <c r="P194" s="814"/>
      <c r="Q194" s="814"/>
      <c r="R194" s="814"/>
      <c r="S194" s="814"/>
      <c r="T194" s="814"/>
      <c r="U194" s="848"/>
      <c r="V194" s="848"/>
      <c r="W194" s="848"/>
      <c r="X194" s="814"/>
      <c r="AG194" s="968"/>
      <c r="AH194" s="968"/>
      <c r="AI194" s="968"/>
      <c r="AJ194" s="968"/>
      <c r="AK194" s="968"/>
      <c r="AL194" s="968"/>
    </row>
    <row r="195" spans="2:38" ht="14.25" thickBot="1" x14ac:dyDescent="0.3">
      <c r="B195" s="889">
        <f t="shared" si="46"/>
        <v>2034</v>
      </c>
      <c r="C195" s="1459">
        <f>C194*(1+'8.1 Pob Urbana y Rural'!G$50)</f>
        <v>76.829581562989617</v>
      </c>
      <c r="D195" s="1459">
        <f>D194*(1+'8.1 Pob Urbana y Rural'!H$50)</f>
        <v>76.354794499518732</v>
      </c>
      <c r="E195" s="1459">
        <f>E194*(1+'8.1 Pob Urbana y Rural'!I$50)</f>
        <v>76.354794499518732</v>
      </c>
      <c r="F195" s="1459">
        <f>F194*(1+'8.1 Pob Urbana y Rural'!I$50)</f>
        <v>73.277636312454888</v>
      </c>
      <c r="G195" s="1459">
        <f>G194*(1+'8.1 Pob Urbana y Rural'!G$50)</f>
        <v>45.883548534655645</v>
      </c>
      <c r="H195" s="1459">
        <f>H194*(1+'8.1 Pob Urbana y Rural'!G$50)</f>
        <v>146.2178532875011</v>
      </c>
      <c r="I195" s="891">
        <f>I194*(1+'8.1 Pob Urbana y Rural'!G$56)</f>
        <v>526.14070004226562</v>
      </c>
      <c r="J195" s="890">
        <f>'8.2 Pob Ddte'!C116</f>
        <v>130.00756329071282</v>
      </c>
      <c r="K195" s="1462">
        <f t="shared" si="42"/>
        <v>44.830194238176837</v>
      </c>
      <c r="L195" s="1462">
        <f t="shared" si="43"/>
        <v>134.49058271453052</v>
      </c>
      <c r="M195" s="890">
        <f t="shared" si="44"/>
        <v>134.49058271453052</v>
      </c>
      <c r="N195" s="891">
        <f t="shared" si="45"/>
        <v>660.63128275679617</v>
      </c>
      <c r="O195" s="814"/>
      <c r="P195" s="814"/>
      <c r="Q195" s="814"/>
      <c r="R195" s="814"/>
      <c r="S195" s="814"/>
      <c r="T195" s="814"/>
      <c r="U195" s="848"/>
      <c r="V195" s="848"/>
      <c r="W195" s="848"/>
      <c r="X195" s="814"/>
      <c r="AG195" s="968"/>
      <c r="AH195" s="968"/>
      <c r="AI195" s="968"/>
      <c r="AJ195" s="968"/>
      <c r="AK195" s="968"/>
      <c r="AL195" s="968"/>
    </row>
    <row r="196" spans="2:38" x14ac:dyDescent="0.25">
      <c r="B196" s="1014" t="s">
        <v>1757</v>
      </c>
      <c r="C196" s="1014"/>
      <c r="D196" s="1014"/>
      <c r="E196" s="1014"/>
      <c r="F196" s="1014"/>
      <c r="J196" s="880"/>
      <c r="K196" s="880"/>
      <c r="L196" s="880"/>
      <c r="M196" s="880"/>
      <c r="N196" s="880"/>
      <c r="O196" s="880"/>
      <c r="P196" s="880"/>
      <c r="Q196" s="880"/>
      <c r="R196" s="880"/>
      <c r="S196" s="880"/>
      <c r="T196" s="880"/>
      <c r="U196" s="848"/>
      <c r="V196" s="848"/>
      <c r="W196" s="848"/>
      <c r="X196" s="848"/>
      <c r="Y196" s="848"/>
      <c r="Z196" s="848"/>
      <c r="AA196" s="848"/>
      <c r="AB196" s="848"/>
      <c r="AC196" s="848"/>
      <c r="AG196" s="968"/>
      <c r="AH196" s="968"/>
      <c r="AI196" s="968"/>
      <c r="AJ196" s="968"/>
      <c r="AK196" s="968"/>
      <c r="AL196" s="968"/>
    </row>
    <row r="197" spans="2:38" x14ac:dyDescent="0.25">
      <c r="B197" s="694" t="s">
        <v>1748</v>
      </c>
      <c r="C197" s="694"/>
      <c r="D197" s="694"/>
      <c r="E197" s="694"/>
      <c r="F197" s="694"/>
      <c r="J197" s="988"/>
      <c r="K197" s="988"/>
      <c r="L197" s="848"/>
      <c r="M197" s="820"/>
      <c r="N197" s="820"/>
      <c r="O197" s="820"/>
      <c r="P197" s="820"/>
      <c r="Q197" s="820"/>
      <c r="R197" s="988"/>
      <c r="S197" s="988"/>
      <c r="T197" s="988"/>
      <c r="U197" s="848"/>
      <c r="V197" s="848"/>
      <c r="W197" s="848"/>
      <c r="X197" s="848"/>
      <c r="Y197" s="848"/>
      <c r="Z197" s="848"/>
      <c r="AA197" s="848"/>
      <c r="AB197" s="848"/>
      <c r="AC197" s="848"/>
      <c r="AG197" s="968"/>
      <c r="AH197" s="968"/>
      <c r="AI197" s="968"/>
      <c r="AJ197" s="968"/>
      <c r="AK197" s="968"/>
      <c r="AL197" s="968"/>
    </row>
    <row r="198" spans="2:38" x14ac:dyDescent="0.25">
      <c r="B198" s="871"/>
      <c r="C198" s="822"/>
      <c r="D198" s="822"/>
      <c r="E198" s="822"/>
      <c r="F198" s="980"/>
      <c r="G198" s="980"/>
      <c r="H198" s="980"/>
      <c r="I198" s="980"/>
      <c r="J198" s="980"/>
      <c r="K198" s="980"/>
      <c r="L198" s="980"/>
      <c r="M198" s="980"/>
      <c r="N198" s="979"/>
      <c r="O198" s="850"/>
      <c r="P198" s="850"/>
      <c r="Q198" s="850"/>
      <c r="R198" s="850"/>
      <c r="S198" s="850"/>
      <c r="T198" s="850"/>
      <c r="U198" s="848"/>
      <c r="V198" s="848"/>
      <c r="W198" s="848"/>
      <c r="X198" s="848"/>
      <c r="Y198" s="848"/>
      <c r="Z198" s="848"/>
      <c r="AA198" s="848"/>
      <c r="AB198" s="848"/>
      <c r="AC198" s="848"/>
    </row>
    <row r="199" spans="2:38" x14ac:dyDescent="0.25">
      <c r="B199" s="871"/>
      <c r="C199" s="850"/>
      <c r="D199" s="974"/>
      <c r="E199" s="822"/>
      <c r="F199" s="980"/>
      <c r="G199" s="980"/>
      <c r="H199" s="980"/>
      <c r="I199" s="980"/>
      <c r="J199" s="980"/>
      <c r="K199" s="980"/>
      <c r="L199" s="980"/>
      <c r="M199" s="980"/>
      <c r="N199" s="979"/>
      <c r="O199" s="850"/>
      <c r="P199" s="850"/>
      <c r="Q199" s="850"/>
      <c r="R199" s="850"/>
      <c r="S199" s="850"/>
      <c r="T199" s="850"/>
      <c r="U199" s="848"/>
      <c r="V199" s="848"/>
      <c r="W199" s="848"/>
      <c r="X199" s="848"/>
      <c r="Y199" s="848"/>
      <c r="Z199" s="848"/>
      <c r="AA199" s="848"/>
      <c r="AB199" s="848"/>
      <c r="AC199" s="848"/>
    </row>
    <row r="200" spans="2:38" x14ac:dyDescent="0.25">
      <c r="B200" s="814"/>
      <c r="C200" s="962" t="s">
        <v>2664</v>
      </c>
      <c r="D200" s="814"/>
      <c r="F200" s="1486">
        <f>SIS!U37</f>
        <v>0.78233321888207497</v>
      </c>
      <c r="G200" s="988"/>
      <c r="H200" s="988"/>
      <c r="N200" s="1015"/>
      <c r="O200" s="848"/>
      <c r="P200" s="848"/>
      <c r="Q200" s="848"/>
      <c r="R200" s="848"/>
      <c r="S200" s="848"/>
      <c r="T200" s="848"/>
      <c r="U200" s="848"/>
      <c r="V200" s="848"/>
      <c r="W200" s="848"/>
      <c r="X200" s="848"/>
      <c r="Y200" s="848"/>
      <c r="Z200" s="848"/>
      <c r="AA200" s="848"/>
      <c r="AB200" s="848"/>
      <c r="AC200" s="848"/>
    </row>
    <row r="201" spans="2:38" x14ac:dyDescent="0.25">
      <c r="B201" s="814"/>
      <c r="C201" s="962" t="s">
        <v>2665</v>
      </c>
      <c r="D201" s="814"/>
      <c r="F201" s="1486">
        <f>SIS!V37</f>
        <v>0.32371575274604675</v>
      </c>
      <c r="G201" s="988"/>
      <c r="H201" s="988"/>
      <c r="N201" s="1015"/>
      <c r="O201" s="848"/>
      <c r="P201" s="848"/>
      <c r="Q201" s="848"/>
      <c r="R201" s="848"/>
      <c r="S201" s="848"/>
      <c r="T201" s="848"/>
      <c r="U201" s="848"/>
      <c r="V201" s="848"/>
      <c r="W201" s="848"/>
      <c r="X201" s="848"/>
      <c r="Y201" s="848"/>
      <c r="Z201" s="848"/>
      <c r="AA201" s="848"/>
      <c r="AB201" s="848"/>
      <c r="AC201" s="848"/>
    </row>
    <row r="202" spans="2:38" x14ac:dyDescent="0.25">
      <c r="B202" s="814"/>
      <c r="C202" s="962" t="s">
        <v>2666</v>
      </c>
      <c r="D202" s="814">
        <f>SUM('3 Pob x Edad y EESS P1 P2'!N31:R31)</f>
        <v>52.061874768432723</v>
      </c>
      <c r="F202" s="975"/>
      <c r="G202" s="988"/>
      <c r="H202" s="988"/>
      <c r="N202" s="1015"/>
      <c r="O202" s="848"/>
      <c r="P202" s="848"/>
      <c r="Q202" s="848"/>
      <c r="R202" s="848"/>
      <c r="S202" s="848"/>
      <c r="T202" s="848"/>
      <c r="U202" s="848"/>
      <c r="V202" s="848"/>
      <c r="W202" s="848"/>
      <c r="X202" s="848"/>
      <c r="Y202" s="848"/>
      <c r="Z202" s="848"/>
      <c r="AA202" s="848"/>
      <c r="AB202" s="848"/>
      <c r="AC202" s="848"/>
    </row>
    <row r="203" spans="2:38" x14ac:dyDescent="0.25">
      <c r="B203" s="814"/>
      <c r="C203" s="962" t="s">
        <v>2667</v>
      </c>
      <c r="D203" s="814">
        <f>SUM('3 Pob x Edad y EESS P1 P2'!S31:Y31)</f>
        <v>141.47758429047781</v>
      </c>
      <c r="F203" s="975"/>
      <c r="G203" s="988"/>
      <c r="H203" s="988"/>
      <c r="N203" s="1015"/>
      <c r="O203" s="848"/>
      <c r="P203" s="848"/>
      <c r="Q203" s="848"/>
      <c r="R203" s="848"/>
      <c r="S203" s="848"/>
      <c r="T203" s="848"/>
      <c r="U203" s="848"/>
      <c r="V203" s="848"/>
      <c r="W203" s="848"/>
      <c r="X203" s="848"/>
      <c r="Y203" s="848"/>
      <c r="Z203" s="848"/>
      <c r="AA203" s="848"/>
      <c r="AB203" s="848"/>
      <c r="AC203" s="848"/>
    </row>
    <row r="204" spans="2:38" x14ac:dyDescent="0.25">
      <c r="B204" s="976"/>
      <c r="C204" s="814"/>
      <c r="D204" s="814"/>
      <c r="E204" s="814"/>
      <c r="F204" s="814"/>
      <c r="G204" s="988"/>
      <c r="H204" s="988"/>
      <c r="N204" s="1015"/>
      <c r="O204" s="848"/>
      <c r="P204" s="848"/>
      <c r="Q204" s="848"/>
      <c r="R204" s="848"/>
      <c r="S204" s="848"/>
      <c r="T204" s="848"/>
      <c r="U204" s="848"/>
      <c r="V204" s="848"/>
      <c r="W204" s="848"/>
      <c r="X204" s="848"/>
      <c r="Y204" s="848"/>
      <c r="Z204" s="848"/>
      <c r="AA204" s="848"/>
      <c r="AB204" s="848"/>
      <c r="AC204" s="848"/>
    </row>
    <row r="205" spans="2:38" x14ac:dyDescent="0.25">
      <c r="B205" s="995" t="s">
        <v>1758</v>
      </c>
      <c r="C205" s="822"/>
      <c r="D205" s="822"/>
      <c r="E205" s="822"/>
      <c r="F205" s="814"/>
      <c r="G205" s="988"/>
      <c r="H205" s="988"/>
      <c r="N205" s="1015"/>
      <c r="O205" s="848"/>
      <c r="P205" s="848"/>
      <c r="Q205" s="848"/>
      <c r="R205" s="848"/>
      <c r="S205" s="848"/>
      <c r="T205" s="848"/>
      <c r="U205" s="848"/>
      <c r="V205" s="848"/>
      <c r="W205" s="848"/>
      <c r="X205" s="848"/>
      <c r="Y205" s="848"/>
      <c r="Z205" s="848"/>
      <c r="AA205" s="848"/>
      <c r="AB205" s="848"/>
      <c r="AC205" s="848"/>
    </row>
    <row r="206" spans="2:38" ht="14.25" thickBot="1" x14ac:dyDescent="0.3">
      <c r="B206" s="871"/>
      <c r="C206" s="814"/>
      <c r="D206" s="850"/>
      <c r="E206" s="966"/>
      <c r="F206" s="814"/>
      <c r="G206" s="988"/>
      <c r="H206" s="988"/>
      <c r="N206" s="1015"/>
      <c r="O206" s="848"/>
      <c r="P206" s="848"/>
      <c r="Q206" s="848"/>
      <c r="R206" s="848"/>
      <c r="S206" s="848"/>
      <c r="T206" s="848"/>
      <c r="U206" s="848"/>
      <c r="V206" s="848"/>
      <c r="W206" s="848"/>
      <c r="X206" s="848"/>
      <c r="Y206" s="848"/>
      <c r="Z206" s="848"/>
      <c r="AA206" s="848"/>
      <c r="AB206" s="848"/>
      <c r="AC206" s="848"/>
    </row>
    <row r="207" spans="2:38" ht="14.25" thickBot="1" x14ac:dyDescent="0.3">
      <c r="B207" s="871"/>
      <c r="C207" s="814"/>
      <c r="G207" s="904" t="s">
        <v>1759</v>
      </c>
      <c r="H207" s="988"/>
      <c r="N207" s="1015"/>
      <c r="O207" s="848"/>
      <c r="P207" s="848"/>
      <c r="Q207" s="848"/>
      <c r="R207" s="848"/>
      <c r="S207" s="848"/>
      <c r="T207" s="848"/>
      <c r="U207" s="848"/>
      <c r="V207" s="848"/>
      <c r="W207" s="848"/>
      <c r="X207" s="848"/>
      <c r="Y207" s="848"/>
      <c r="Z207" s="848"/>
      <c r="AA207" s="848"/>
      <c r="AB207" s="848"/>
      <c r="AC207" s="848"/>
    </row>
    <row r="208" spans="2:38" ht="69.75" customHeight="1" thickBot="1" x14ac:dyDescent="0.3">
      <c r="B208" s="3990" t="s">
        <v>1485</v>
      </c>
      <c r="C208" s="3987" t="s">
        <v>1578</v>
      </c>
      <c r="D208" s="1047" t="s">
        <v>1760</v>
      </c>
      <c r="E208" s="1047" t="s">
        <v>1761</v>
      </c>
      <c r="F208" s="1047" t="s">
        <v>1906</v>
      </c>
      <c r="G208" s="3993" t="s">
        <v>1762</v>
      </c>
      <c r="H208" s="988"/>
      <c r="N208" s="1015"/>
      <c r="O208" s="848"/>
      <c r="P208" s="848"/>
      <c r="Q208" s="848"/>
      <c r="R208" s="848"/>
      <c r="S208" s="848"/>
      <c r="T208" s="848"/>
      <c r="U208" s="848"/>
      <c r="V208" s="848"/>
      <c r="W208" s="848"/>
      <c r="X208" s="848"/>
      <c r="Y208" s="848"/>
      <c r="Z208" s="848"/>
      <c r="AA208" s="848"/>
      <c r="AB208" s="848"/>
      <c r="AC208" s="848"/>
    </row>
    <row r="209" spans="2:29" ht="14.25" thickBot="1" x14ac:dyDescent="0.3">
      <c r="B209" s="3991"/>
      <c r="C209" s="3988"/>
      <c r="D209" s="1058" t="e">
        <f>'5.1 Prod 2 MORBI ESTRAG'!BC117</f>
        <v>#DIV/0!</v>
      </c>
      <c r="E209" s="1058">
        <v>1</v>
      </c>
      <c r="F209" s="1058">
        <v>1</v>
      </c>
      <c r="G209" s="3994"/>
      <c r="H209" s="988"/>
      <c r="N209" s="1015"/>
      <c r="O209" s="848"/>
      <c r="P209" s="848"/>
      <c r="Q209" s="848"/>
      <c r="R209" s="848"/>
      <c r="S209" s="848"/>
      <c r="T209" s="848"/>
      <c r="U209" s="848"/>
      <c r="V209" s="848"/>
      <c r="W209" s="848"/>
      <c r="X209" s="848"/>
      <c r="Y209" s="848"/>
      <c r="Z209" s="848"/>
      <c r="AA209" s="848"/>
      <c r="AB209" s="848"/>
      <c r="AC209" s="848"/>
    </row>
    <row r="210" spans="2:29" ht="14.25" thickBot="1" x14ac:dyDescent="0.3">
      <c r="B210" s="3992"/>
      <c r="C210" s="3989"/>
      <c r="D210" s="1059">
        <v>3.5</v>
      </c>
      <c r="E210" s="1059">
        <v>1</v>
      </c>
      <c r="F210" s="1059">
        <v>1</v>
      </c>
      <c r="G210" s="4389"/>
      <c r="H210" s="988"/>
      <c r="N210" s="1015"/>
      <c r="O210" s="848"/>
      <c r="P210" s="848"/>
      <c r="Q210" s="848"/>
      <c r="R210" s="848"/>
      <c r="S210" s="848"/>
      <c r="T210" s="848"/>
      <c r="U210" s="848"/>
      <c r="V210" s="848"/>
      <c r="W210" s="848"/>
      <c r="X210" s="848"/>
      <c r="Y210" s="848"/>
      <c r="Z210" s="848"/>
      <c r="AA210" s="848"/>
      <c r="AB210" s="848"/>
      <c r="AC210" s="848"/>
    </row>
    <row r="211" spans="2:29" ht="14.25" thickBot="1" x14ac:dyDescent="0.3">
      <c r="B211" s="942">
        <v>2018</v>
      </c>
      <c r="C211" s="943">
        <f>'8.2 Pob Ddte'!C100</f>
        <v>115.64315972267565</v>
      </c>
      <c r="D211" s="943" t="e">
        <f>C211*$D$209*$D$210</f>
        <v>#DIV/0!</v>
      </c>
      <c r="E211" s="943">
        <f>'3 Pob x Edad y EESS P1 P2'!BA32</f>
        <v>76</v>
      </c>
      <c r="F211" s="943">
        <f>SUM('3 Pob x Edad y EESS P1 P2'!N32:R32)</f>
        <v>169.2604668395702</v>
      </c>
      <c r="G211" s="944" t="e">
        <f>D211+E211+F211</f>
        <v>#DIV/0!</v>
      </c>
      <c r="H211" s="988"/>
      <c r="N211" s="1015"/>
      <c r="O211" s="848"/>
      <c r="P211" s="848"/>
      <c r="Q211" s="848"/>
      <c r="R211" s="848"/>
      <c r="S211" s="848"/>
      <c r="T211" s="848"/>
      <c r="U211" s="848"/>
      <c r="V211" s="848"/>
      <c r="W211" s="848"/>
      <c r="X211" s="848"/>
      <c r="Y211" s="848"/>
      <c r="Z211" s="848"/>
      <c r="AA211" s="848"/>
      <c r="AB211" s="848"/>
      <c r="AC211" s="848"/>
    </row>
    <row r="212" spans="2:29" ht="14.25" thickBot="1" x14ac:dyDescent="0.3">
      <c r="B212" s="942">
        <f>B211+1</f>
        <v>2019</v>
      </c>
      <c r="C212" s="943">
        <f>C211*(1+'8.1 Pob Urbana y Rural'!G$56)</f>
        <v>116.11057582556879</v>
      </c>
      <c r="D212" s="1456" t="e">
        <f t="shared" ref="D212:D227" si="47">C212*$D$209*$D$210</f>
        <v>#DIV/0!</v>
      </c>
      <c r="E212" s="1456">
        <f>E211*(1+'8.1 Pob Urbana y Rural'!G$50)</f>
        <v>76.029450558407547</v>
      </c>
      <c r="F212" s="1456">
        <f>F211*(1+'8.1 Pob Urbana y Rural'!H$50)</f>
        <v>169.2604668395702</v>
      </c>
      <c r="G212" s="944" t="e">
        <f t="shared" ref="G212:G227" si="48">D212+E212+F212</f>
        <v>#DIV/0!</v>
      </c>
      <c r="H212" s="988"/>
      <c r="N212" s="1015"/>
      <c r="O212" s="848"/>
      <c r="P212" s="848"/>
      <c r="Q212" s="848"/>
      <c r="R212" s="848"/>
      <c r="S212" s="848"/>
      <c r="T212" s="848"/>
      <c r="U212" s="848"/>
      <c r="V212" s="848"/>
      <c r="W212" s="848"/>
      <c r="X212" s="848"/>
      <c r="Y212" s="848"/>
      <c r="Z212" s="848"/>
      <c r="AA212" s="848"/>
      <c r="AB212" s="848"/>
      <c r="AC212" s="848"/>
    </row>
    <row r="213" spans="2:29" ht="14.25" thickBot="1" x14ac:dyDescent="0.3">
      <c r="B213" s="948">
        <f t="shared" ref="B213:B227" si="49">B212+1</f>
        <v>2020</v>
      </c>
      <c r="C213" s="949">
        <f>C212*(1+'8.1 Pob Urbana y Rural'!G$56)</f>
        <v>116.57988116958754</v>
      </c>
      <c r="D213" s="1458" t="e">
        <f t="shared" si="47"/>
        <v>#DIV/0!</v>
      </c>
      <c r="E213" s="1458">
        <f>E212*(1+'8.1 Pob Urbana y Rural'!G$50)</f>
        <v>76.058912529122864</v>
      </c>
      <c r="F213" s="1458">
        <f>F212*(1+'8.1 Pob Urbana y Rural'!H$50)</f>
        <v>169.2604668395702</v>
      </c>
      <c r="G213" s="950" t="e">
        <f t="shared" si="48"/>
        <v>#DIV/0!</v>
      </c>
      <c r="H213" s="988"/>
      <c r="N213" s="1015"/>
      <c r="O213" s="848"/>
      <c r="P213" s="848"/>
      <c r="Q213" s="848"/>
      <c r="R213" s="848"/>
      <c r="S213" s="848"/>
      <c r="T213" s="848"/>
      <c r="U213" s="848"/>
      <c r="V213" s="848"/>
      <c r="W213" s="848"/>
      <c r="X213" s="848"/>
      <c r="Y213" s="848"/>
      <c r="Z213" s="848"/>
      <c r="AA213" s="848"/>
      <c r="AB213" s="848"/>
      <c r="AC213" s="848"/>
    </row>
    <row r="214" spans="2:29" ht="14.25" thickBot="1" x14ac:dyDescent="0.3">
      <c r="B214" s="948">
        <f t="shared" si="49"/>
        <v>2021</v>
      </c>
      <c r="C214" s="949">
        <f>C213*(1+'8.1 Pob Urbana y Rural'!G$56)</f>
        <v>117.05108339082319</v>
      </c>
      <c r="D214" s="1458" t="e">
        <f t="shared" si="47"/>
        <v>#DIV/0!</v>
      </c>
      <c r="E214" s="1458">
        <f>E213*(1+'8.1 Pob Urbana y Rural'!G$50)</f>
        <v>76.088385916568299</v>
      </c>
      <c r="F214" s="1458">
        <f>F213*(1+'8.1 Pob Urbana y Rural'!H$50)</f>
        <v>169.2604668395702</v>
      </c>
      <c r="G214" s="950" t="e">
        <f t="shared" si="48"/>
        <v>#DIV/0!</v>
      </c>
      <c r="H214" s="988"/>
      <c r="M214" s="980"/>
      <c r="N214" s="979"/>
      <c r="O214" s="850"/>
      <c r="P214" s="850"/>
      <c r="Q214" s="850"/>
      <c r="R214" s="850"/>
      <c r="S214" s="850"/>
      <c r="T214" s="850"/>
      <c r="U214" s="850"/>
      <c r="V214" s="850"/>
      <c r="W214" s="850"/>
      <c r="X214" s="850"/>
      <c r="Y214" s="850"/>
      <c r="Z214" s="850"/>
      <c r="AA214" s="850"/>
      <c r="AB214" s="850"/>
      <c r="AC214" s="850"/>
    </row>
    <row r="215" spans="2:29" ht="14.25" thickBot="1" x14ac:dyDescent="0.3">
      <c r="B215" s="948">
        <f t="shared" si="49"/>
        <v>2022</v>
      </c>
      <c r="C215" s="949">
        <f>C214*(1+'8.1 Pob Urbana y Rural'!G$56)</f>
        <v>117.52419015623121</v>
      </c>
      <c r="D215" s="1458" t="e">
        <f t="shared" si="47"/>
        <v>#DIV/0!</v>
      </c>
      <c r="E215" s="1458">
        <f>E214*(1+'8.1 Pob Urbana y Rural'!G$50)</f>
        <v>76.117870725167933</v>
      </c>
      <c r="F215" s="1458">
        <f>F214*(1+'8.1 Pob Urbana y Rural'!H$50)</f>
        <v>169.2604668395702</v>
      </c>
      <c r="G215" s="950" t="e">
        <f t="shared" si="48"/>
        <v>#DIV/0!</v>
      </c>
    </row>
    <row r="216" spans="2:29" ht="14.25" thickBot="1" x14ac:dyDescent="0.3">
      <c r="B216" s="889">
        <f t="shared" si="49"/>
        <v>2023</v>
      </c>
      <c r="C216" s="890">
        <f>C215*(1+'8.1 Pob Urbana y Rural'!G$56)</f>
        <v>117.99920916375602</v>
      </c>
      <c r="D216" s="1462" t="e">
        <f t="shared" si="47"/>
        <v>#DIV/0!</v>
      </c>
      <c r="E216" s="1459">
        <f>E215*(1+'8.1 Pob Urbana y Rural'!G$50)</f>
        <v>76.147366959347536</v>
      </c>
      <c r="F216" s="1459">
        <f>F215*(1+'8.1 Pob Urbana y Rural'!H$50)</f>
        <v>169.2604668395702</v>
      </c>
      <c r="G216" s="891" t="e">
        <f t="shared" si="48"/>
        <v>#DIV/0!</v>
      </c>
    </row>
    <row r="217" spans="2:29" ht="14.25" thickBot="1" x14ac:dyDescent="0.3">
      <c r="B217" s="889">
        <f t="shared" si="49"/>
        <v>2024</v>
      </c>
      <c r="C217" s="890">
        <f>C216*(1+'8.1 Pob Urbana y Rural'!G$56)</f>
        <v>118.47614814245621</v>
      </c>
      <c r="D217" s="1462" t="e">
        <f t="shared" si="47"/>
        <v>#DIV/0!</v>
      </c>
      <c r="E217" s="1459">
        <f>E216*(1+'8.1 Pob Urbana y Rural'!G$50)</f>
        <v>76.176874623534601</v>
      </c>
      <c r="F217" s="1459">
        <f>F216*(1+'8.1 Pob Urbana y Rural'!H$50)</f>
        <v>169.2604668395702</v>
      </c>
      <c r="G217" s="891" t="e">
        <f t="shared" si="48"/>
        <v>#DIV/0!</v>
      </c>
    </row>
    <row r="218" spans="2:29" ht="14.25" thickBot="1" x14ac:dyDescent="0.3">
      <c r="B218" s="889">
        <f t="shared" si="49"/>
        <v>2025</v>
      </c>
      <c r="C218" s="890">
        <f>C217*(1+'8.1 Pob Urbana y Rural'!G$56)</f>
        <v>118.95501485263033</v>
      </c>
      <c r="D218" s="1462" t="e">
        <f t="shared" si="47"/>
        <v>#DIV/0!</v>
      </c>
      <c r="E218" s="1459">
        <f>E217*(1+'8.1 Pob Urbana y Rural'!G$50)</f>
        <v>76.206393722158353</v>
      </c>
      <c r="F218" s="1459">
        <f>F217*(1+'8.1 Pob Urbana y Rural'!H$50)</f>
        <v>169.2604668395702</v>
      </c>
      <c r="G218" s="891" t="e">
        <f t="shared" si="48"/>
        <v>#DIV/0!</v>
      </c>
    </row>
    <row r="219" spans="2:29" ht="14.25" thickBot="1" x14ac:dyDescent="0.3">
      <c r="B219" s="889">
        <f t="shared" si="49"/>
        <v>2026</v>
      </c>
      <c r="C219" s="890">
        <f>C218*(1+'8.1 Pob Urbana y Rural'!G$56)</f>
        <v>119.43581708594313</v>
      </c>
      <c r="D219" s="1462" t="e">
        <f t="shared" si="47"/>
        <v>#DIV/0!</v>
      </c>
      <c r="E219" s="1459">
        <f>E218*(1+'8.1 Pob Urbana y Rural'!G$50)</f>
        <v>76.235924259649707</v>
      </c>
      <c r="F219" s="1459">
        <f>F218*(1+'8.1 Pob Urbana y Rural'!H$50)</f>
        <v>169.2604668395702</v>
      </c>
      <c r="G219" s="891" t="e">
        <f t="shared" si="48"/>
        <v>#DIV/0!</v>
      </c>
    </row>
    <row r="220" spans="2:29" ht="14.25" thickBot="1" x14ac:dyDescent="0.3">
      <c r="B220" s="889">
        <f t="shared" si="49"/>
        <v>2027</v>
      </c>
      <c r="C220" s="890">
        <f>C219*(1+'8.1 Pob Urbana y Rural'!G$56)</f>
        <v>119.91856266555239</v>
      </c>
      <c r="D220" s="1462" t="e">
        <f t="shared" si="47"/>
        <v>#DIV/0!</v>
      </c>
      <c r="E220" s="1459">
        <f>E219*(1+'8.1 Pob Urbana y Rural'!G$50)</f>
        <v>76.265466240441313</v>
      </c>
      <c r="F220" s="1459">
        <f>F219*(1+'8.1 Pob Urbana y Rural'!H$50)</f>
        <v>169.2604668395702</v>
      </c>
      <c r="G220" s="891" t="e">
        <f t="shared" si="48"/>
        <v>#DIV/0!</v>
      </c>
    </row>
    <row r="221" spans="2:29" ht="14.25" thickBot="1" x14ac:dyDescent="0.3">
      <c r="B221" s="889">
        <f t="shared" si="49"/>
        <v>2028</v>
      </c>
      <c r="C221" s="890">
        <f>C220*(1+'8.1 Pob Urbana y Rural'!G$56)</f>
        <v>120.40325944623615</v>
      </c>
      <c r="D221" s="1462" t="e">
        <f t="shared" si="47"/>
        <v>#DIV/0!</v>
      </c>
      <c r="E221" s="1459">
        <f>E220*(1+'8.1 Pob Urbana y Rural'!G$50)</f>
        <v>76.295019668967541</v>
      </c>
      <c r="F221" s="1459">
        <f>F220*(1+'8.1 Pob Urbana y Rural'!H$50)</f>
        <v>169.2604668395702</v>
      </c>
      <c r="G221" s="891" t="e">
        <f t="shared" si="48"/>
        <v>#DIV/0!</v>
      </c>
    </row>
    <row r="222" spans="2:29" ht="14.25" thickBot="1" x14ac:dyDescent="0.3">
      <c r="B222" s="889">
        <f t="shared" si="49"/>
        <v>2029</v>
      </c>
      <c r="C222" s="890">
        <f>C221*(1+'8.1 Pob Urbana y Rural'!G$56)</f>
        <v>120.88991531452055</v>
      </c>
      <c r="D222" s="1462" t="e">
        <f t="shared" si="47"/>
        <v>#DIV/0!</v>
      </c>
      <c r="E222" s="1459">
        <f>E221*(1+'8.1 Pob Urbana y Rural'!G$50)</f>
        <v>76.324584549664465</v>
      </c>
      <c r="F222" s="1459">
        <f>F221*(1+'8.1 Pob Urbana y Rural'!H$50)</f>
        <v>169.2604668395702</v>
      </c>
      <c r="G222" s="891" t="e">
        <f t="shared" si="48"/>
        <v>#DIV/0!</v>
      </c>
    </row>
    <row r="223" spans="2:29" ht="14.25" thickBot="1" x14ac:dyDescent="0.3">
      <c r="B223" s="889">
        <f t="shared" si="49"/>
        <v>2030</v>
      </c>
      <c r="C223" s="890">
        <f>C222*(1+'8.1 Pob Urbana y Rural'!G$56)</f>
        <v>121.37853818880816</v>
      </c>
      <c r="D223" s="1462" t="e">
        <f t="shared" si="47"/>
        <v>#DIV/0!</v>
      </c>
      <c r="E223" s="1459">
        <f>E222*(1+'8.1 Pob Urbana y Rural'!G$50)</f>
        <v>76.354160886969879</v>
      </c>
      <c r="F223" s="1459">
        <f>F222*(1+'8.1 Pob Urbana y Rural'!H$50)</f>
        <v>169.2604668395702</v>
      </c>
      <c r="G223" s="891" t="e">
        <f t="shared" si="48"/>
        <v>#DIV/0!</v>
      </c>
    </row>
    <row r="224" spans="2:29" ht="14.25" thickBot="1" x14ac:dyDescent="0.3">
      <c r="B224" s="889">
        <f t="shared" si="49"/>
        <v>2031</v>
      </c>
      <c r="C224" s="890">
        <f>C223*(1+'8.1 Pob Urbana y Rural'!G$56)</f>
        <v>121.86913601950678</v>
      </c>
      <c r="D224" s="1462" t="e">
        <f t="shared" si="47"/>
        <v>#DIV/0!</v>
      </c>
      <c r="E224" s="1459">
        <f>E223*(1+'8.1 Pob Urbana y Rural'!G$50)</f>
        <v>76.383748685323312</v>
      </c>
      <c r="F224" s="1459">
        <f>F223*(1+'8.1 Pob Urbana y Rural'!H$50)</f>
        <v>169.2604668395702</v>
      </c>
      <c r="G224" s="891" t="e">
        <f t="shared" si="48"/>
        <v>#DIV/0!</v>
      </c>
    </row>
    <row r="225" spans="2:7" ht="14.25" thickBot="1" x14ac:dyDescent="0.3">
      <c r="B225" s="889">
        <f t="shared" si="49"/>
        <v>2032</v>
      </c>
      <c r="C225" s="890">
        <f>C224*(1+'8.1 Pob Urbana y Rural'!G$56)</f>
        <v>122.36171678915885</v>
      </c>
      <c r="D225" s="1462" t="e">
        <f t="shared" si="47"/>
        <v>#DIV/0!</v>
      </c>
      <c r="E225" s="1459">
        <f>E224*(1+'8.1 Pob Urbana y Rural'!G$50)</f>
        <v>76.41334794916601</v>
      </c>
      <c r="F225" s="1459">
        <f>F224*(1+'8.1 Pob Urbana y Rural'!H$50)</f>
        <v>169.2604668395702</v>
      </c>
      <c r="G225" s="891" t="e">
        <f t="shared" si="48"/>
        <v>#DIV/0!</v>
      </c>
    </row>
    <row r="226" spans="2:7" ht="14.25" thickBot="1" x14ac:dyDescent="0.3">
      <c r="B226" s="889">
        <f t="shared" si="49"/>
        <v>2033</v>
      </c>
      <c r="C226" s="890">
        <f>C225*(1+'8.1 Pob Urbana y Rural'!G$56)</f>
        <v>122.85628851257128</v>
      </c>
      <c r="D226" s="1462" t="e">
        <f t="shared" si="47"/>
        <v>#DIV/0!</v>
      </c>
      <c r="E226" s="1459">
        <f>E225*(1+'8.1 Pob Urbana y Rural'!G$50)</f>
        <v>76.442958682940926</v>
      </c>
      <c r="F226" s="1459">
        <f>F225*(1+'8.1 Pob Urbana y Rural'!H$50)</f>
        <v>169.2604668395702</v>
      </c>
      <c r="G226" s="891" t="e">
        <f t="shared" si="48"/>
        <v>#DIV/0!</v>
      </c>
    </row>
    <row r="227" spans="2:7" ht="14.25" thickBot="1" x14ac:dyDescent="0.3">
      <c r="B227" s="889">
        <f t="shared" si="49"/>
        <v>2034</v>
      </c>
      <c r="C227" s="890">
        <f>C226*(1+'8.1 Pob Urbana y Rural'!G$56)</f>
        <v>123.35285923694592</v>
      </c>
      <c r="D227" s="1462" t="e">
        <f t="shared" si="47"/>
        <v>#DIV/0!</v>
      </c>
      <c r="E227" s="1459">
        <f>E226*(1+'8.1 Pob Urbana y Rural'!G$50)</f>
        <v>76.472580891092733</v>
      </c>
      <c r="F227" s="1459">
        <f>F226*(1+'8.1 Pob Urbana y Rural'!H$50)</f>
        <v>169.2604668395702</v>
      </c>
      <c r="G227" s="891" t="e">
        <f t="shared" si="48"/>
        <v>#DIV/0!</v>
      </c>
    </row>
    <row r="228" spans="2:7" x14ac:dyDescent="0.25">
      <c r="B228" s="850" t="s">
        <v>1763</v>
      </c>
      <c r="C228" s="822"/>
      <c r="D228" s="822"/>
      <c r="E228" s="814"/>
    </row>
    <row r="232" spans="2:7" x14ac:dyDescent="0.25">
      <c r="B232" s="847"/>
    </row>
    <row r="233" spans="2:7" ht="16.5" x14ac:dyDescent="0.25">
      <c r="B233" s="1016" t="s">
        <v>1764</v>
      </c>
      <c r="C233" s="977"/>
      <c r="D233" s="977"/>
      <c r="E233" s="13"/>
    </row>
    <row r="234" spans="2:7" ht="17.25" thickBot="1" x14ac:dyDescent="0.3">
      <c r="B234" s="1017"/>
      <c r="C234" s="977"/>
      <c r="D234" s="978"/>
      <c r="E234" s="13"/>
    </row>
    <row r="235" spans="2:7" ht="14.25" thickBot="1" x14ac:dyDescent="0.3">
      <c r="B235" s="1013"/>
      <c r="C235" s="967"/>
      <c r="G235" s="910" t="s">
        <v>1765</v>
      </c>
    </row>
    <row r="236" spans="2:7" ht="22.15" customHeight="1" thickBot="1" x14ac:dyDescent="0.3">
      <c r="B236" s="3990" t="s">
        <v>1485</v>
      </c>
      <c r="C236" s="4422" t="s">
        <v>1766</v>
      </c>
      <c r="D236" s="4422" t="s">
        <v>1767</v>
      </c>
      <c r="E236" s="4422" t="s">
        <v>1768</v>
      </c>
      <c r="F236" s="4422" t="s">
        <v>1769</v>
      </c>
      <c r="G236" s="4416" t="s">
        <v>1770</v>
      </c>
    </row>
    <row r="237" spans="2:7" ht="14.25" thickBot="1" x14ac:dyDescent="0.3">
      <c r="B237" s="3991"/>
      <c r="C237" s="4423"/>
      <c r="D237" s="4423"/>
      <c r="E237" s="4423"/>
      <c r="F237" s="4423"/>
      <c r="G237" s="4417"/>
    </row>
    <row r="238" spans="2:7" ht="14.25" thickBot="1" x14ac:dyDescent="0.3">
      <c r="B238" s="3991"/>
      <c r="C238" s="1067" t="s">
        <v>1771</v>
      </c>
      <c r="D238" s="1067" t="s">
        <v>1772</v>
      </c>
      <c r="E238" s="1067" t="s">
        <v>1772</v>
      </c>
      <c r="F238" s="1067" t="s">
        <v>1772</v>
      </c>
      <c r="G238" s="4417"/>
    </row>
    <row r="239" spans="2:7" ht="14.25" thickBot="1" x14ac:dyDescent="0.3">
      <c r="B239" s="3992"/>
      <c r="C239" s="1066">
        <v>1</v>
      </c>
      <c r="D239" s="1068">
        <v>0.8</v>
      </c>
      <c r="E239" s="1068">
        <v>0.85</v>
      </c>
      <c r="F239" s="1068">
        <v>0.85</v>
      </c>
      <c r="G239" s="4418"/>
    </row>
    <row r="240" spans="2:7" ht="14.25" thickBot="1" x14ac:dyDescent="0.3">
      <c r="B240" s="942">
        <v>2018</v>
      </c>
      <c r="C240" s="943">
        <f>'3 Pob x Edad y EESS P1 P2'!BA32</f>
        <v>76</v>
      </c>
      <c r="D240" s="943">
        <f>C240*D$239</f>
        <v>60.800000000000004</v>
      </c>
      <c r="E240" s="943">
        <f>D240*E$239</f>
        <v>51.68</v>
      </c>
      <c r="F240" s="943">
        <f>E240*F$239</f>
        <v>43.927999999999997</v>
      </c>
      <c r="G240" s="944">
        <f>F240</f>
        <v>43.927999999999997</v>
      </c>
    </row>
    <row r="241" spans="2:7" ht="14.25" thickBot="1" x14ac:dyDescent="0.3">
      <c r="B241" s="942">
        <f>B240+1</f>
        <v>2019</v>
      </c>
      <c r="C241" s="1456">
        <f>C240*(1+'8.1 Pob Urbana y Rural'!G$50)</f>
        <v>76.029450558407547</v>
      </c>
      <c r="D241" s="943">
        <f t="shared" ref="D241:F256" si="50">C241*D$239</f>
        <v>60.823560446726042</v>
      </c>
      <c r="E241" s="943">
        <f t="shared" si="50"/>
        <v>51.700026379717137</v>
      </c>
      <c r="F241" s="943">
        <f>E241*F$239</f>
        <v>43.945022422759564</v>
      </c>
      <c r="G241" s="944">
        <f t="shared" ref="G241:G256" si="51">F241</f>
        <v>43.945022422759564</v>
      </c>
    </row>
    <row r="242" spans="2:7" ht="14.25" thickBot="1" x14ac:dyDescent="0.3">
      <c r="B242" s="948">
        <f t="shared" ref="B242:B256" si="52">B241+1</f>
        <v>2020</v>
      </c>
      <c r="C242" s="1458">
        <f>C241*(1+'8.1 Pob Urbana y Rural'!G$50)</f>
        <v>76.058912529122864</v>
      </c>
      <c r="D242" s="949">
        <f t="shared" si="50"/>
        <v>60.847130023298291</v>
      </c>
      <c r="E242" s="949">
        <f t="shared" si="50"/>
        <v>51.720060519803546</v>
      </c>
      <c r="F242" s="949">
        <f t="shared" si="50"/>
        <v>43.962051441833012</v>
      </c>
      <c r="G242" s="950">
        <f t="shared" si="51"/>
        <v>43.962051441833012</v>
      </c>
    </row>
    <row r="243" spans="2:7" ht="14.25" thickBot="1" x14ac:dyDescent="0.3">
      <c r="B243" s="948">
        <f t="shared" si="52"/>
        <v>2021</v>
      </c>
      <c r="C243" s="1458">
        <f>C242*(1+'8.1 Pob Urbana y Rural'!G$50)</f>
        <v>76.088385916568299</v>
      </c>
      <c r="D243" s="949">
        <f t="shared" si="50"/>
        <v>60.870708733254645</v>
      </c>
      <c r="E243" s="949">
        <f>D243*E$239</f>
        <v>51.74010242326645</v>
      </c>
      <c r="F243" s="949">
        <f t="shared" si="50"/>
        <v>43.979087059776482</v>
      </c>
      <c r="G243" s="950">
        <f t="shared" si="51"/>
        <v>43.979087059776482</v>
      </c>
    </row>
    <row r="244" spans="2:7" ht="14.25" thickBot="1" x14ac:dyDescent="0.3">
      <c r="B244" s="948">
        <f t="shared" si="52"/>
        <v>2022</v>
      </c>
      <c r="C244" s="1458">
        <f>C243*(1+'8.1 Pob Urbana y Rural'!G$50)</f>
        <v>76.117870725167933</v>
      </c>
      <c r="D244" s="949">
        <f t="shared" si="50"/>
        <v>60.894296580134352</v>
      </c>
      <c r="E244" s="949">
        <f t="shared" si="50"/>
        <v>51.760152093114201</v>
      </c>
      <c r="F244" s="949">
        <f t="shared" si="50"/>
        <v>43.99612927914707</v>
      </c>
      <c r="G244" s="950">
        <f t="shared" si="51"/>
        <v>43.99612927914707</v>
      </c>
    </row>
    <row r="245" spans="2:7" ht="14.25" thickBot="1" x14ac:dyDescent="0.3">
      <c r="B245" s="889">
        <f t="shared" si="52"/>
        <v>2023</v>
      </c>
      <c r="C245" s="1459">
        <f>C244*(1+'8.1 Pob Urbana y Rural'!G$50)</f>
        <v>76.147366959347536</v>
      </c>
      <c r="D245" s="890">
        <f t="shared" si="50"/>
        <v>60.917893567478032</v>
      </c>
      <c r="E245" s="890">
        <f t="shared" si="50"/>
        <v>51.780209532356324</v>
      </c>
      <c r="F245" s="890">
        <f t="shared" si="50"/>
        <v>44.013178102502877</v>
      </c>
      <c r="G245" s="891">
        <f t="shared" si="51"/>
        <v>44.013178102502877</v>
      </c>
    </row>
    <row r="246" spans="2:7" ht="14.25" thickBot="1" x14ac:dyDescent="0.3">
      <c r="B246" s="889">
        <f t="shared" si="52"/>
        <v>2024</v>
      </c>
      <c r="C246" s="1459">
        <f>C245*(1+'8.1 Pob Urbana y Rural'!G$50)</f>
        <v>76.176874623534601</v>
      </c>
      <c r="D246" s="890">
        <f t="shared" si="50"/>
        <v>60.941499698827684</v>
      </c>
      <c r="E246" s="890">
        <f t="shared" si="50"/>
        <v>51.800274744003531</v>
      </c>
      <c r="F246" s="890">
        <f t="shared" si="50"/>
        <v>44.030233532403003</v>
      </c>
      <c r="G246" s="891">
        <f t="shared" si="51"/>
        <v>44.030233532403003</v>
      </c>
    </row>
    <row r="247" spans="2:7" ht="14.25" thickBot="1" x14ac:dyDescent="0.3">
      <c r="B247" s="889">
        <f t="shared" si="52"/>
        <v>2025</v>
      </c>
      <c r="C247" s="1459">
        <f>C246*(1+'8.1 Pob Urbana y Rural'!G$50)</f>
        <v>76.206393722158353</v>
      </c>
      <c r="D247" s="890">
        <f t="shared" si="50"/>
        <v>60.965114977726685</v>
      </c>
      <c r="E247" s="890">
        <f t="shared" si="50"/>
        <v>51.820347731067685</v>
      </c>
      <c r="F247" s="890">
        <f t="shared" si="50"/>
        <v>44.047295571407531</v>
      </c>
      <c r="G247" s="891">
        <f t="shared" si="51"/>
        <v>44.047295571407531</v>
      </c>
    </row>
    <row r="248" spans="2:7" ht="14.25" thickBot="1" x14ac:dyDescent="0.3">
      <c r="B248" s="889">
        <f t="shared" si="52"/>
        <v>2026</v>
      </c>
      <c r="C248" s="1459">
        <f>C247*(1+'8.1 Pob Urbana y Rural'!G$50)</f>
        <v>76.235924259649707</v>
      </c>
      <c r="D248" s="890">
        <f t="shared" si="50"/>
        <v>60.98873940771977</v>
      </c>
      <c r="E248" s="890">
        <f t="shared" si="50"/>
        <v>51.840428496561806</v>
      </c>
      <c r="F248" s="890">
        <f t="shared" si="50"/>
        <v>44.064364222077536</v>
      </c>
      <c r="G248" s="891">
        <f t="shared" si="51"/>
        <v>44.064364222077536</v>
      </c>
    </row>
    <row r="249" spans="2:7" ht="14.25" thickBot="1" x14ac:dyDescent="0.3">
      <c r="B249" s="889">
        <f t="shared" si="52"/>
        <v>2027</v>
      </c>
      <c r="C249" s="1459">
        <f>C248*(1+'8.1 Pob Urbana y Rural'!G$50)</f>
        <v>76.265466240441313</v>
      </c>
      <c r="D249" s="890">
        <f t="shared" si="50"/>
        <v>61.01237299235305</v>
      </c>
      <c r="E249" s="890">
        <f t="shared" si="50"/>
        <v>51.860517043500089</v>
      </c>
      <c r="F249" s="890">
        <f t="shared" si="50"/>
        <v>44.081439486975071</v>
      </c>
      <c r="G249" s="891">
        <f>F249</f>
        <v>44.081439486975071</v>
      </c>
    </row>
    <row r="250" spans="2:7" ht="14.25" thickBot="1" x14ac:dyDescent="0.3">
      <c r="B250" s="889">
        <f t="shared" si="52"/>
        <v>2028</v>
      </c>
      <c r="C250" s="1459">
        <f>C249*(1+'8.1 Pob Urbana y Rural'!G$50)</f>
        <v>76.295019668967541</v>
      </c>
      <c r="D250" s="890">
        <f t="shared" si="50"/>
        <v>61.036015735174033</v>
      </c>
      <c r="E250" s="890">
        <f t="shared" si="50"/>
        <v>51.880613374897926</v>
      </c>
      <c r="F250" s="890">
        <f t="shared" si="50"/>
        <v>44.098521368663235</v>
      </c>
      <c r="G250" s="891">
        <f t="shared" si="51"/>
        <v>44.098521368663235</v>
      </c>
    </row>
    <row r="251" spans="2:7" ht="14.25" thickBot="1" x14ac:dyDescent="0.3">
      <c r="B251" s="889">
        <f t="shared" si="52"/>
        <v>2029</v>
      </c>
      <c r="C251" s="1459">
        <f>C250*(1+'8.1 Pob Urbana y Rural'!G$50)</f>
        <v>76.324584549664465</v>
      </c>
      <c r="D251" s="890">
        <f t="shared" si="50"/>
        <v>61.059667639731572</v>
      </c>
      <c r="E251" s="890">
        <f t="shared" si="50"/>
        <v>51.900717493771836</v>
      </c>
      <c r="F251" s="890">
        <f t="shared" si="50"/>
        <v>44.115609869706063</v>
      </c>
      <c r="G251" s="891">
        <f t="shared" si="51"/>
        <v>44.115609869706063</v>
      </c>
    </row>
    <row r="252" spans="2:7" ht="14.25" thickBot="1" x14ac:dyDescent="0.3">
      <c r="B252" s="889">
        <f t="shared" si="52"/>
        <v>2030</v>
      </c>
      <c r="C252" s="1459">
        <f>C251*(1+'8.1 Pob Urbana y Rural'!G$50)</f>
        <v>76.354160886969879</v>
      </c>
      <c r="D252" s="890">
        <f t="shared" si="50"/>
        <v>61.083328709575909</v>
      </c>
      <c r="E252" s="890">
        <f t="shared" si="50"/>
        <v>51.920829403139521</v>
      </c>
      <c r="F252" s="890">
        <f t="shared" si="50"/>
        <v>44.132704992668593</v>
      </c>
      <c r="G252" s="891">
        <f t="shared" si="51"/>
        <v>44.132704992668593</v>
      </c>
    </row>
    <row r="253" spans="2:7" ht="14.25" thickBot="1" x14ac:dyDescent="0.3">
      <c r="B253" s="889">
        <f t="shared" si="52"/>
        <v>2031</v>
      </c>
      <c r="C253" s="1459">
        <f>C252*(1+'8.1 Pob Urbana y Rural'!G$50)</f>
        <v>76.383748685323312</v>
      </c>
      <c r="D253" s="890">
        <f t="shared" si="50"/>
        <v>61.106998948258649</v>
      </c>
      <c r="E253" s="890">
        <f t="shared" si="50"/>
        <v>51.94094910601985</v>
      </c>
      <c r="F253" s="890">
        <f t="shared" si="50"/>
        <v>44.149806740116873</v>
      </c>
      <c r="G253" s="891">
        <f t="shared" si="51"/>
        <v>44.149806740116873</v>
      </c>
    </row>
    <row r="254" spans="2:7" ht="14.25" thickBot="1" x14ac:dyDescent="0.3">
      <c r="B254" s="889">
        <f t="shared" si="52"/>
        <v>2032</v>
      </c>
      <c r="C254" s="1459">
        <f>C253*(1+'8.1 Pob Urbana y Rural'!G$50)</f>
        <v>76.41334794916601</v>
      </c>
      <c r="D254" s="890">
        <f t="shared" si="50"/>
        <v>61.130678359332812</v>
      </c>
      <c r="E254" s="890">
        <f t="shared" si="50"/>
        <v>51.961076605432886</v>
      </c>
      <c r="F254" s="890">
        <f t="shared" si="50"/>
        <v>44.16691511461795</v>
      </c>
      <c r="G254" s="891">
        <f t="shared" si="51"/>
        <v>44.16691511461795</v>
      </c>
    </row>
    <row r="255" spans="2:7" ht="14.25" thickBot="1" x14ac:dyDescent="0.3">
      <c r="B255" s="889">
        <f t="shared" si="52"/>
        <v>2033</v>
      </c>
      <c r="C255" s="1459">
        <f>C254*(1+'8.1 Pob Urbana y Rural'!G$50)</f>
        <v>76.442958682940926</v>
      </c>
      <c r="D255" s="890">
        <f t="shared" si="50"/>
        <v>61.154366946352745</v>
      </c>
      <c r="E255" s="890">
        <f t="shared" si="50"/>
        <v>51.981211904399835</v>
      </c>
      <c r="F255" s="890">
        <f t="shared" si="50"/>
        <v>44.184030118739855</v>
      </c>
      <c r="G255" s="891">
        <f t="shared" si="51"/>
        <v>44.184030118739855</v>
      </c>
    </row>
    <row r="256" spans="2:7" ht="14.25" thickBot="1" x14ac:dyDescent="0.3">
      <c r="B256" s="889">
        <f t="shared" si="52"/>
        <v>2034</v>
      </c>
      <c r="C256" s="1459">
        <f>C255*(1+'8.1 Pob Urbana y Rural'!G$50)</f>
        <v>76.472580891092733</v>
      </c>
      <c r="D256" s="890">
        <f t="shared" si="50"/>
        <v>61.178064712874189</v>
      </c>
      <c r="E256" s="890">
        <f t="shared" si="50"/>
        <v>52.001355005943061</v>
      </c>
      <c r="F256" s="890">
        <f t="shared" si="50"/>
        <v>44.201151755051598</v>
      </c>
      <c r="G256" s="891">
        <f t="shared" si="51"/>
        <v>44.201151755051598</v>
      </c>
    </row>
    <row r="257" spans="2:12" x14ac:dyDescent="0.25">
      <c r="B257" s="4419" t="s">
        <v>1748</v>
      </c>
      <c r="C257" s="4419"/>
      <c r="D257" s="4419"/>
      <c r="E257" s="4419"/>
    </row>
    <row r="259" spans="2:12" x14ac:dyDescent="0.25">
      <c r="B259" s="847"/>
    </row>
    <row r="260" spans="2:12" ht="16.5" x14ac:dyDescent="0.25">
      <c r="B260" s="1019" t="s">
        <v>1773</v>
      </c>
      <c r="C260" s="977"/>
      <c r="D260" s="977"/>
      <c r="E260" s="13"/>
    </row>
    <row r="261" spans="2:12" ht="17.25" thickBot="1" x14ac:dyDescent="0.3">
      <c r="B261" s="1017"/>
      <c r="C261" s="977"/>
      <c r="D261" s="978"/>
      <c r="E261" s="13"/>
      <c r="L261" s="515">
        <f>56/357</f>
        <v>0.15686274509803921</v>
      </c>
    </row>
    <row r="262" spans="2:12" ht="17.25" thickBot="1" x14ac:dyDescent="0.3">
      <c r="B262" s="1018"/>
      <c r="C262" s="977"/>
      <c r="D262" s="910" t="s">
        <v>1774</v>
      </c>
      <c r="E262" s="13"/>
    </row>
    <row r="263" spans="2:12" ht="17.25" thickBot="1" x14ac:dyDescent="0.3">
      <c r="B263" s="3990" t="s">
        <v>1485</v>
      </c>
      <c r="C263" s="4422" t="s">
        <v>1770</v>
      </c>
      <c r="D263" s="4416" t="s">
        <v>1669</v>
      </c>
      <c r="E263" s="13"/>
    </row>
    <row r="264" spans="2:12" ht="17.25" thickBot="1" x14ac:dyDescent="0.3">
      <c r="B264" s="3991"/>
      <c r="C264" s="4423"/>
      <c r="D264" s="4417"/>
      <c r="E264" s="13"/>
    </row>
    <row r="265" spans="2:12" ht="17.25" thickBot="1" x14ac:dyDescent="0.3">
      <c r="B265" s="3991"/>
      <c r="C265" s="4423"/>
      <c r="D265" s="4417"/>
      <c r="E265" s="13"/>
    </row>
    <row r="266" spans="2:12" ht="17.25" thickBot="1" x14ac:dyDescent="0.3">
      <c r="B266" s="3992"/>
      <c r="C266" s="1066">
        <v>1</v>
      </c>
      <c r="D266" s="4418"/>
      <c r="E266" s="13"/>
    </row>
    <row r="267" spans="2:12" ht="17.25" thickBot="1" x14ac:dyDescent="0.3">
      <c r="B267" s="942">
        <v>2018</v>
      </c>
      <c r="C267" s="943">
        <f t="shared" ref="C267:C283" si="53">G240</f>
        <v>43.927999999999997</v>
      </c>
      <c r="D267" s="943">
        <f>C267</f>
        <v>43.927999999999997</v>
      </c>
      <c r="E267" s="13"/>
    </row>
    <row r="268" spans="2:12" ht="17.25" thickBot="1" x14ac:dyDescent="0.3">
      <c r="B268" s="942">
        <f>B267+1</f>
        <v>2019</v>
      </c>
      <c r="C268" s="943">
        <f t="shared" si="53"/>
        <v>43.945022422759564</v>
      </c>
      <c r="D268" s="943">
        <f t="shared" ref="D268:D283" si="54">C268</f>
        <v>43.945022422759564</v>
      </c>
      <c r="E268" s="13"/>
    </row>
    <row r="269" spans="2:12" ht="17.25" thickBot="1" x14ac:dyDescent="0.3">
      <c r="B269" s="948">
        <f t="shared" ref="B269:B283" si="55">B268+1</f>
        <v>2020</v>
      </c>
      <c r="C269" s="949">
        <f t="shared" si="53"/>
        <v>43.962051441833012</v>
      </c>
      <c r="D269" s="949">
        <f t="shared" si="54"/>
        <v>43.962051441833012</v>
      </c>
      <c r="E269" s="13"/>
    </row>
    <row r="270" spans="2:12" ht="17.25" thickBot="1" x14ac:dyDescent="0.3">
      <c r="B270" s="948">
        <f t="shared" si="55"/>
        <v>2021</v>
      </c>
      <c r="C270" s="949">
        <f t="shared" si="53"/>
        <v>43.979087059776482</v>
      </c>
      <c r="D270" s="949">
        <f t="shared" si="54"/>
        <v>43.979087059776482</v>
      </c>
      <c r="E270" s="13"/>
    </row>
    <row r="271" spans="2:12" ht="17.25" thickBot="1" x14ac:dyDescent="0.3">
      <c r="B271" s="948">
        <f t="shared" si="55"/>
        <v>2022</v>
      </c>
      <c r="C271" s="949">
        <f t="shared" si="53"/>
        <v>43.99612927914707</v>
      </c>
      <c r="D271" s="949">
        <f t="shared" si="54"/>
        <v>43.99612927914707</v>
      </c>
      <c r="E271" s="13"/>
    </row>
    <row r="272" spans="2:12" ht="17.25" thickBot="1" x14ac:dyDescent="0.3">
      <c r="B272" s="889">
        <f t="shared" si="55"/>
        <v>2023</v>
      </c>
      <c r="C272" s="890">
        <f t="shared" si="53"/>
        <v>44.013178102502877</v>
      </c>
      <c r="D272" s="890">
        <f t="shared" si="54"/>
        <v>44.013178102502877</v>
      </c>
      <c r="E272" s="13"/>
    </row>
    <row r="273" spans="2:6" ht="17.25" thickBot="1" x14ac:dyDescent="0.3">
      <c r="B273" s="889">
        <f t="shared" si="55"/>
        <v>2024</v>
      </c>
      <c r="C273" s="890">
        <f t="shared" si="53"/>
        <v>44.030233532403003</v>
      </c>
      <c r="D273" s="890">
        <f t="shared" si="54"/>
        <v>44.030233532403003</v>
      </c>
      <c r="E273" s="13"/>
    </row>
    <row r="274" spans="2:6" ht="17.25" thickBot="1" x14ac:dyDescent="0.3">
      <c r="B274" s="889">
        <f t="shared" si="55"/>
        <v>2025</v>
      </c>
      <c r="C274" s="890">
        <f t="shared" si="53"/>
        <v>44.047295571407531</v>
      </c>
      <c r="D274" s="890">
        <f t="shared" si="54"/>
        <v>44.047295571407531</v>
      </c>
      <c r="E274" s="13"/>
    </row>
    <row r="275" spans="2:6" ht="17.25" thickBot="1" x14ac:dyDescent="0.3">
      <c r="B275" s="889">
        <f t="shared" si="55"/>
        <v>2026</v>
      </c>
      <c r="C275" s="890">
        <f t="shared" si="53"/>
        <v>44.064364222077536</v>
      </c>
      <c r="D275" s="890">
        <f t="shared" si="54"/>
        <v>44.064364222077536</v>
      </c>
      <c r="E275" s="13"/>
    </row>
    <row r="276" spans="2:6" ht="17.25" thickBot="1" x14ac:dyDescent="0.3">
      <c r="B276" s="889">
        <f t="shared" si="55"/>
        <v>2027</v>
      </c>
      <c r="C276" s="890">
        <f t="shared" si="53"/>
        <v>44.081439486975071</v>
      </c>
      <c r="D276" s="890">
        <f t="shared" si="54"/>
        <v>44.081439486975071</v>
      </c>
      <c r="E276" s="13"/>
    </row>
    <row r="277" spans="2:6" ht="17.25" thickBot="1" x14ac:dyDescent="0.3">
      <c r="B277" s="889">
        <f t="shared" si="55"/>
        <v>2028</v>
      </c>
      <c r="C277" s="890">
        <f t="shared" si="53"/>
        <v>44.098521368663235</v>
      </c>
      <c r="D277" s="890">
        <f t="shared" si="54"/>
        <v>44.098521368663235</v>
      </c>
      <c r="E277" s="13"/>
    </row>
    <row r="278" spans="2:6" ht="17.25" thickBot="1" x14ac:dyDescent="0.3">
      <c r="B278" s="889">
        <f t="shared" si="55"/>
        <v>2029</v>
      </c>
      <c r="C278" s="890">
        <f t="shared" si="53"/>
        <v>44.115609869706063</v>
      </c>
      <c r="D278" s="890">
        <f t="shared" si="54"/>
        <v>44.115609869706063</v>
      </c>
      <c r="E278" s="13"/>
    </row>
    <row r="279" spans="2:6" ht="17.25" thickBot="1" x14ac:dyDescent="0.3">
      <c r="B279" s="889">
        <f t="shared" si="55"/>
        <v>2030</v>
      </c>
      <c r="C279" s="890">
        <f t="shared" si="53"/>
        <v>44.132704992668593</v>
      </c>
      <c r="D279" s="890">
        <f t="shared" si="54"/>
        <v>44.132704992668593</v>
      </c>
      <c r="E279" s="13"/>
    </row>
    <row r="280" spans="2:6" ht="17.25" thickBot="1" x14ac:dyDescent="0.3">
      <c r="B280" s="889">
        <f t="shared" si="55"/>
        <v>2031</v>
      </c>
      <c r="C280" s="890">
        <f t="shared" si="53"/>
        <v>44.149806740116873</v>
      </c>
      <c r="D280" s="890">
        <f t="shared" si="54"/>
        <v>44.149806740116873</v>
      </c>
      <c r="E280" s="13"/>
    </row>
    <row r="281" spans="2:6" ht="17.25" thickBot="1" x14ac:dyDescent="0.3">
      <c r="B281" s="889">
        <f t="shared" si="55"/>
        <v>2032</v>
      </c>
      <c r="C281" s="890">
        <f t="shared" si="53"/>
        <v>44.16691511461795</v>
      </c>
      <c r="D281" s="890">
        <f t="shared" si="54"/>
        <v>44.16691511461795</v>
      </c>
      <c r="E281" s="13"/>
    </row>
    <row r="282" spans="2:6" ht="17.25" thickBot="1" x14ac:dyDescent="0.3">
      <c r="B282" s="889">
        <f t="shared" si="55"/>
        <v>2033</v>
      </c>
      <c r="C282" s="890">
        <f t="shared" si="53"/>
        <v>44.184030118739855</v>
      </c>
      <c r="D282" s="890">
        <f t="shared" si="54"/>
        <v>44.184030118739855</v>
      </c>
      <c r="E282" s="13"/>
    </row>
    <row r="283" spans="2:6" ht="17.25" thickBot="1" x14ac:dyDescent="0.3">
      <c r="B283" s="889">
        <f t="shared" si="55"/>
        <v>2034</v>
      </c>
      <c r="C283" s="890">
        <f t="shared" si="53"/>
        <v>44.201151755051598</v>
      </c>
      <c r="D283" s="890">
        <f t="shared" si="54"/>
        <v>44.201151755051598</v>
      </c>
      <c r="E283" s="13"/>
    </row>
    <row r="286" spans="2:6" x14ac:dyDescent="0.25">
      <c r="B286" s="847"/>
    </row>
    <row r="287" spans="2:6" x14ac:dyDescent="0.25">
      <c r="B287" s="842" t="s">
        <v>1775</v>
      </c>
      <c r="C287" s="822"/>
      <c r="D287" s="822"/>
      <c r="E287" s="1506"/>
    </row>
    <row r="288" spans="2:6" ht="14.25" thickBot="1" x14ac:dyDescent="0.3">
      <c r="B288" s="871"/>
      <c r="C288" s="814"/>
      <c r="D288" s="850"/>
      <c r="E288" s="1507"/>
      <c r="F288" s="1508"/>
    </row>
    <row r="289" spans="2:11" ht="14.25" thickBot="1" x14ac:dyDescent="0.3">
      <c r="B289" s="1020"/>
      <c r="D289" s="978"/>
      <c r="E289" s="513"/>
      <c r="K289" s="1026" t="s">
        <v>1776</v>
      </c>
    </row>
    <row r="290" spans="2:11" ht="27.75" thickBot="1" x14ac:dyDescent="0.3">
      <c r="B290" s="3990" t="s">
        <v>1485</v>
      </c>
      <c r="C290" s="1047" t="s">
        <v>1680</v>
      </c>
      <c r="D290" s="3987" t="s">
        <v>1777</v>
      </c>
      <c r="E290" s="3987" t="s">
        <v>1778</v>
      </c>
      <c r="F290" s="3987" t="s">
        <v>1779</v>
      </c>
      <c r="G290" s="1047" t="s">
        <v>1780</v>
      </c>
      <c r="H290" s="3987" t="s">
        <v>1781</v>
      </c>
      <c r="I290" s="3987"/>
      <c r="J290" s="3987"/>
      <c r="K290" s="3993" t="s">
        <v>1782</v>
      </c>
    </row>
    <row r="291" spans="2:11" ht="27.75" customHeight="1" thickBot="1" x14ac:dyDescent="0.3">
      <c r="B291" s="3991"/>
      <c r="C291" s="1058" t="s">
        <v>1783</v>
      </c>
      <c r="D291" s="3988"/>
      <c r="E291" s="3988"/>
      <c r="F291" s="3988"/>
      <c r="G291" s="1058" t="s">
        <v>1784</v>
      </c>
      <c r="H291" s="1058" t="s">
        <v>1785</v>
      </c>
      <c r="I291" s="1058" t="s">
        <v>1786</v>
      </c>
      <c r="J291" s="4413" t="s">
        <v>150</v>
      </c>
      <c r="K291" s="3994"/>
    </row>
    <row r="292" spans="2:11" ht="15" customHeight="1" thickBot="1" x14ac:dyDescent="0.3">
      <c r="B292" s="3992"/>
      <c r="C292" s="1394">
        <f>'4 Estadis ESTRATEG Prod3'!F111/('4 Estadis ESTRATEG Prod3'!K45+'4 Estadis ESTRATEG Prod3'!J288)</f>
        <v>0</v>
      </c>
      <c r="D292" s="1065">
        <f>SUM('3 Pob x Edad y EESS P1 P2'!AC38:AT38)*(1-'3 Pob x Edad y EESS P1 P2'!AW38)</f>
        <v>0.3240148297094444</v>
      </c>
      <c r="E292" s="1065">
        <f>SUM('3 Pob x Edad y EESS P1 P2'!AC38:AT38)*('3 Pob x Edad y EESS P1 P2'!AW38)</f>
        <v>0.3580476483053312</v>
      </c>
      <c r="F292" s="1065">
        <f>SUM('3 Pob x Edad y EESS P1 P2'!N38:AB38)</f>
        <v>0.3179375219852244</v>
      </c>
      <c r="G292" s="1065">
        <v>1</v>
      </c>
      <c r="H292" s="1065" t="e">
        <f>'4 Estadis ESTRATEG Prod3'!J425</f>
        <v>#DIV/0!</v>
      </c>
      <c r="I292" s="1487" t="e">
        <f>'4 Estadis ESTRATEG Prod3'!L370</f>
        <v>#DIV/0!</v>
      </c>
      <c r="J292" s="4414"/>
      <c r="K292" s="4389"/>
    </row>
    <row r="293" spans="2:11" ht="14.25" thickBot="1" x14ac:dyDescent="0.3">
      <c r="B293" s="942">
        <v>2018</v>
      </c>
      <c r="C293" s="943" t="e">
        <f>AD31*C$292</f>
        <v>#DIV/0!</v>
      </c>
      <c r="D293" s="943" t="e">
        <f>C293*D$292</f>
        <v>#DIV/0!</v>
      </c>
      <c r="E293" s="943" t="e">
        <f>C293*E$292</f>
        <v>#DIV/0!</v>
      </c>
      <c r="F293" s="943" t="e">
        <f>C293*F$292</f>
        <v>#DIV/0!</v>
      </c>
      <c r="G293" s="943">
        <f>G240</f>
        <v>43.927999999999997</v>
      </c>
      <c r="H293" s="943" t="e">
        <f t="shared" ref="H293:H309" si="56">G240*H$292</f>
        <v>#DIV/0!</v>
      </c>
      <c r="I293" s="1456" t="e">
        <f t="shared" ref="I293:I309" si="57">G240*I$292</f>
        <v>#DIV/0!</v>
      </c>
      <c r="J293" s="943" t="e">
        <f>SUM(H293:I293)</f>
        <v>#DIV/0!</v>
      </c>
      <c r="K293" s="944" t="e">
        <f>SUM(C293,G293,J293)</f>
        <v>#DIV/0!</v>
      </c>
    </row>
    <row r="294" spans="2:11" ht="14.25" thickBot="1" x14ac:dyDescent="0.3">
      <c r="B294" s="942">
        <f>B293+1</f>
        <v>2019</v>
      </c>
      <c r="C294" s="943" t="e">
        <f t="shared" ref="C294:C309" si="58">AD32*C$292</f>
        <v>#DIV/0!</v>
      </c>
      <c r="D294" s="943" t="e">
        <f t="shared" ref="D294:D309" si="59">C294*D$292</f>
        <v>#DIV/0!</v>
      </c>
      <c r="E294" s="943" t="e">
        <f>C294*E$292</f>
        <v>#DIV/0!</v>
      </c>
      <c r="F294" s="943" t="e">
        <f t="shared" ref="F294:F309" si="60">C294*F$292</f>
        <v>#DIV/0!</v>
      </c>
      <c r="G294" s="943">
        <f t="shared" ref="G294:G309" si="61">G241</f>
        <v>43.945022422759564</v>
      </c>
      <c r="H294" s="943" t="e">
        <f t="shared" si="56"/>
        <v>#DIV/0!</v>
      </c>
      <c r="I294" s="1456" t="e">
        <f t="shared" si="57"/>
        <v>#DIV/0!</v>
      </c>
      <c r="J294" s="943" t="e">
        <f t="shared" ref="J294:J309" si="62">SUM(H294:I294)</f>
        <v>#DIV/0!</v>
      </c>
      <c r="K294" s="944" t="e">
        <f>SUM(C294,G294,J294)</f>
        <v>#DIV/0!</v>
      </c>
    </row>
    <row r="295" spans="2:11" ht="14.25" thickBot="1" x14ac:dyDescent="0.3">
      <c r="B295" s="948">
        <f t="shared" ref="B295:B309" si="63">B294+1</f>
        <v>2020</v>
      </c>
      <c r="C295" s="949" t="e">
        <f t="shared" si="58"/>
        <v>#DIV/0!</v>
      </c>
      <c r="D295" s="949" t="e">
        <f t="shared" si="59"/>
        <v>#DIV/0!</v>
      </c>
      <c r="E295" s="949" t="e">
        <f t="shared" ref="E295:E309" si="64">C295*E$292</f>
        <v>#DIV/0!</v>
      </c>
      <c r="F295" s="949" t="e">
        <f t="shared" si="60"/>
        <v>#DIV/0!</v>
      </c>
      <c r="G295" s="949">
        <f t="shared" si="61"/>
        <v>43.962051441833012</v>
      </c>
      <c r="H295" s="949" t="e">
        <f t="shared" si="56"/>
        <v>#DIV/0!</v>
      </c>
      <c r="I295" s="1458" t="e">
        <f t="shared" si="57"/>
        <v>#DIV/0!</v>
      </c>
      <c r="J295" s="949" t="e">
        <f t="shared" si="62"/>
        <v>#DIV/0!</v>
      </c>
      <c r="K295" s="950" t="e">
        <f t="shared" ref="K295:K309" si="65">SUM(C295,G295,J295)</f>
        <v>#DIV/0!</v>
      </c>
    </row>
    <row r="296" spans="2:11" ht="14.25" thickBot="1" x14ac:dyDescent="0.3">
      <c r="B296" s="948">
        <f t="shared" si="63"/>
        <v>2021</v>
      </c>
      <c r="C296" s="949" t="e">
        <f t="shared" si="58"/>
        <v>#DIV/0!</v>
      </c>
      <c r="D296" s="949" t="e">
        <f t="shared" si="59"/>
        <v>#DIV/0!</v>
      </c>
      <c r="E296" s="949" t="e">
        <f t="shared" si="64"/>
        <v>#DIV/0!</v>
      </c>
      <c r="F296" s="949" t="e">
        <f t="shared" si="60"/>
        <v>#DIV/0!</v>
      </c>
      <c r="G296" s="949">
        <f t="shared" si="61"/>
        <v>43.979087059776482</v>
      </c>
      <c r="H296" s="949" t="e">
        <f t="shared" si="56"/>
        <v>#DIV/0!</v>
      </c>
      <c r="I296" s="1458" t="e">
        <f t="shared" si="57"/>
        <v>#DIV/0!</v>
      </c>
      <c r="J296" s="949" t="e">
        <f t="shared" si="62"/>
        <v>#DIV/0!</v>
      </c>
      <c r="K296" s="950" t="e">
        <f t="shared" si="65"/>
        <v>#DIV/0!</v>
      </c>
    </row>
    <row r="297" spans="2:11" ht="14.25" thickBot="1" x14ac:dyDescent="0.3">
      <c r="B297" s="948">
        <f t="shared" si="63"/>
        <v>2022</v>
      </c>
      <c r="C297" s="949" t="e">
        <f t="shared" si="58"/>
        <v>#DIV/0!</v>
      </c>
      <c r="D297" s="949" t="e">
        <f t="shared" si="59"/>
        <v>#DIV/0!</v>
      </c>
      <c r="E297" s="949" t="e">
        <f t="shared" si="64"/>
        <v>#DIV/0!</v>
      </c>
      <c r="F297" s="949" t="e">
        <f t="shared" si="60"/>
        <v>#DIV/0!</v>
      </c>
      <c r="G297" s="949">
        <f t="shared" si="61"/>
        <v>43.99612927914707</v>
      </c>
      <c r="H297" s="949" t="e">
        <f t="shared" si="56"/>
        <v>#DIV/0!</v>
      </c>
      <c r="I297" s="1458" t="e">
        <f t="shared" si="57"/>
        <v>#DIV/0!</v>
      </c>
      <c r="J297" s="949" t="e">
        <f t="shared" si="62"/>
        <v>#DIV/0!</v>
      </c>
      <c r="K297" s="950" t="e">
        <f t="shared" si="65"/>
        <v>#DIV/0!</v>
      </c>
    </row>
    <row r="298" spans="2:11" ht="14.25" thickBot="1" x14ac:dyDescent="0.3">
      <c r="B298" s="889">
        <f t="shared" si="63"/>
        <v>2023</v>
      </c>
      <c r="C298" s="890" t="e">
        <f t="shared" si="58"/>
        <v>#DIV/0!</v>
      </c>
      <c r="D298" s="890" t="e">
        <f t="shared" si="59"/>
        <v>#DIV/0!</v>
      </c>
      <c r="E298" s="890" t="e">
        <f t="shared" si="64"/>
        <v>#DIV/0!</v>
      </c>
      <c r="F298" s="1461" t="e">
        <f t="shared" si="60"/>
        <v>#DIV/0!</v>
      </c>
      <c r="G298" s="890">
        <f t="shared" si="61"/>
        <v>44.013178102502877</v>
      </c>
      <c r="H298" s="890" t="e">
        <f t="shared" si="56"/>
        <v>#DIV/0!</v>
      </c>
      <c r="I298" s="1459" t="e">
        <f t="shared" si="57"/>
        <v>#DIV/0!</v>
      </c>
      <c r="J298" s="890" t="e">
        <f t="shared" si="62"/>
        <v>#DIV/0!</v>
      </c>
      <c r="K298" s="891" t="e">
        <f t="shared" si="65"/>
        <v>#DIV/0!</v>
      </c>
    </row>
    <row r="299" spans="2:11" ht="14.25" thickBot="1" x14ac:dyDescent="0.3">
      <c r="B299" s="889">
        <f t="shared" si="63"/>
        <v>2024</v>
      </c>
      <c r="C299" s="890" t="e">
        <f t="shared" si="58"/>
        <v>#DIV/0!</v>
      </c>
      <c r="D299" s="890" t="e">
        <f t="shared" si="59"/>
        <v>#DIV/0!</v>
      </c>
      <c r="E299" s="890" t="e">
        <f t="shared" si="64"/>
        <v>#DIV/0!</v>
      </c>
      <c r="F299" s="1461" t="e">
        <f t="shared" si="60"/>
        <v>#DIV/0!</v>
      </c>
      <c r="G299" s="890">
        <f t="shared" si="61"/>
        <v>44.030233532403003</v>
      </c>
      <c r="H299" s="890" t="e">
        <f t="shared" si="56"/>
        <v>#DIV/0!</v>
      </c>
      <c r="I299" s="1459" t="e">
        <f t="shared" si="57"/>
        <v>#DIV/0!</v>
      </c>
      <c r="J299" s="890" t="e">
        <f t="shared" si="62"/>
        <v>#DIV/0!</v>
      </c>
      <c r="K299" s="891" t="e">
        <f t="shared" si="65"/>
        <v>#DIV/0!</v>
      </c>
    </row>
    <row r="300" spans="2:11" ht="14.25" thickBot="1" x14ac:dyDescent="0.3">
      <c r="B300" s="889">
        <f t="shared" si="63"/>
        <v>2025</v>
      </c>
      <c r="C300" s="890" t="e">
        <f t="shared" si="58"/>
        <v>#DIV/0!</v>
      </c>
      <c r="D300" s="890" t="e">
        <f t="shared" si="59"/>
        <v>#DIV/0!</v>
      </c>
      <c r="E300" s="890" t="e">
        <f t="shared" si="64"/>
        <v>#DIV/0!</v>
      </c>
      <c r="F300" s="1461" t="e">
        <f t="shared" si="60"/>
        <v>#DIV/0!</v>
      </c>
      <c r="G300" s="890">
        <f t="shared" si="61"/>
        <v>44.047295571407531</v>
      </c>
      <c r="H300" s="890" t="e">
        <f t="shared" si="56"/>
        <v>#DIV/0!</v>
      </c>
      <c r="I300" s="1459" t="e">
        <f t="shared" si="57"/>
        <v>#DIV/0!</v>
      </c>
      <c r="J300" s="890" t="e">
        <f t="shared" si="62"/>
        <v>#DIV/0!</v>
      </c>
      <c r="K300" s="891" t="e">
        <f t="shared" si="65"/>
        <v>#DIV/0!</v>
      </c>
    </row>
    <row r="301" spans="2:11" ht="14.25" thickBot="1" x14ac:dyDescent="0.3">
      <c r="B301" s="889">
        <f t="shared" si="63"/>
        <v>2026</v>
      </c>
      <c r="C301" s="890" t="e">
        <f t="shared" si="58"/>
        <v>#DIV/0!</v>
      </c>
      <c r="D301" s="890" t="e">
        <f t="shared" si="59"/>
        <v>#DIV/0!</v>
      </c>
      <c r="E301" s="890" t="e">
        <f t="shared" si="64"/>
        <v>#DIV/0!</v>
      </c>
      <c r="F301" s="1461" t="e">
        <f t="shared" si="60"/>
        <v>#DIV/0!</v>
      </c>
      <c r="G301" s="890">
        <f t="shared" si="61"/>
        <v>44.064364222077536</v>
      </c>
      <c r="H301" s="890" t="e">
        <f t="shared" si="56"/>
        <v>#DIV/0!</v>
      </c>
      <c r="I301" s="1459" t="e">
        <f t="shared" si="57"/>
        <v>#DIV/0!</v>
      </c>
      <c r="J301" s="890" t="e">
        <f t="shared" si="62"/>
        <v>#DIV/0!</v>
      </c>
      <c r="K301" s="891" t="e">
        <f t="shared" si="65"/>
        <v>#DIV/0!</v>
      </c>
    </row>
    <row r="302" spans="2:11" ht="14.25" thickBot="1" x14ac:dyDescent="0.3">
      <c r="B302" s="889">
        <f t="shared" si="63"/>
        <v>2027</v>
      </c>
      <c r="C302" s="890" t="e">
        <f t="shared" si="58"/>
        <v>#DIV/0!</v>
      </c>
      <c r="D302" s="890" t="e">
        <f t="shared" si="59"/>
        <v>#DIV/0!</v>
      </c>
      <c r="E302" s="890" t="e">
        <f t="shared" si="64"/>
        <v>#DIV/0!</v>
      </c>
      <c r="F302" s="1461" t="e">
        <f t="shared" si="60"/>
        <v>#DIV/0!</v>
      </c>
      <c r="G302" s="890">
        <f t="shared" si="61"/>
        <v>44.081439486975071</v>
      </c>
      <c r="H302" s="890" t="e">
        <f t="shared" si="56"/>
        <v>#DIV/0!</v>
      </c>
      <c r="I302" s="1459" t="e">
        <f t="shared" si="57"/>
        <v>#DIV/0!</v>
      </c>
      <c r="J302" s="890" t="e">
        <f t="shared" si="62"/>
        <v>#DIV/0!</v>
      </c>
      <c r="K302" s="891" t="e">
        <f t="shared" si="65"/>
        <v>#DIV/0!</v>
      </c>
    </row>
    <row r="303" spans="2:11" ht="14.25" thickBot="1" x14ac:dyDescent="0.3">
      <c r="B303" s="889">
        <f t="shared" si="63"/>
        <v>2028</v>
      </c>
      <c r="C303" s="890" t="e">
        <f t="shared" si="58"/>
        <v>#DIV/0!</v>
      </c>
      <c r="D303" s="890" t="e">
        <f t="shared" si="59"/>
        <v>#DIV/0!</v>
      </c>
      <c r="E303" s="890" t="e">
        <f t="shared" si="64"/>
        <v>#DIV/0!</v>
      </c>
      <c r="F303" s="1461" t="e">
        <f t="shared" si="60"/>
        <v>#DIV/0!</v>
      </c>
      <c r="G303" s="890">
        <f t="shared" si="61"/>
        <v>44.098521368663235</v>
      </c>
      <c r="H303" s="890" t="e">
        <f t="shared" si="56"/>
        <v>#DIV/0!</v>
      </c>
      <c r="I303" s="1459" t="e">
        <f t="shared" si="57"/>
        <v>#DIV/0!</v>
      </c>
      <c r="J303" s="890" t="e">
        <f t="shared" si="62"/>
        <v>#DIV/0!</v>
      </c>
      <c r="K303" s="891" t="e">
        <f t="shared" si="65"/>
        <v>#DIV/0!</v>
      </c>
    </row>
    <row r="304" spans="2:11" ht="14.25" thickBot="1" x14ac:dyDescent="0.3">
      <c r="B304" s="889">
        <f t="shared" si="63"/>
        <v>2029</v>
      </c>
      <c r="C304" s="890" t="e">
        <f t="shared" si="58"/>
        <v>#DIV/0!</v>
      </c>
      <c r="D304" s="890" t="e">
        <f t="shared" si="59"/>
        <v>#DIV/0!</v>
      </c>
      <c r="E304" s="890" t="e">
        <f t="shared" si="64"/>
        <v>#DIV/0!</v>
      </c>
      <c r="F304" s="1461" t="e">
        <f t="shared" si="60"/>
        <v>#DIV/0!</v>
      </c>
      <c r="G304" s="890">
        <f t="shared" si="61"/>
        <v>44.115609869706063</v>
      </c>
      <c r="H304" s="890" t="e">
        <f t="shared" si="56"/>
        <v>#DIV/0!</v>
      </c>
      <c r="I304" s="1459" t="e">
        <f t="shared" si="57"/>
        <v>#DIV/0!</v>
      </c>
      <c r="J304" s="890" t="e">
        <f t="shared" si="62"/>
        <v>#DIV/0!</v>
      </c>
      <c r="K304" s="891" t="e">
        <f t="shared" si="65"/>
        <v>#DIV/0!</v>
      </c>
    </row>
    <row r="305" spans="2:11" ht="14.25" thickBot="1" x14ac:dyDescent="0.3">
      <c r="B305" s="889">
        <f t="shared" si="63"/>
        <v>2030</v>
      </c>
      <c r="C305" s="890" t="e">
        <f t="shared" si="58"/>
        <v>#DIV/0!</v>
      </c>
      <c r="D305" s="890" t="e">
        <f t="shared" si="59"/>
        <v>#DIV/0!</v>
      </c>
      <c r="E305" s="890" t="e">
        <f t="shared" si="64"/>
        <v>#DIV/0!</v>
      </c>
      <c r="F305" s="1461" t="e">
        <f t="shared" si="60"/>
        <v>#DIV/0!</v>
      </c>
      <c r="G305" s="890">
        <f t="shared" si="61"/>
        <v>44.132704992668593</v>
      </c>
      <c r="H305" s="890" t="e">
        <f t="shared" si="56"/>
        <v>#DIV/0!</v>
      </c>
      <c r="I305" s="1459" t="e">
        <f t="shared" si="57"/>
        <v>#DIV/0!</v>
      </c>
      <c r="J305" s="890" t="e">
        <f t="shared" si="62"/>
        <v>#DIV/0!</v>
      </c>
      <c r="K305" s="891" t="e">
        <f t="shared" si="65"/>
        <v>#DIV/0!</v>
      </c>
    </row>
    <row r="306" spans="2:11" ht="14.25" thickBot="1" x14ac:dyDescent="0.3">
      <c r="B306" s="889">
        <f t="shared" si="63"/>
        <v>2031</v>
      </c>
      <c r="C306" s="890" t="e">
        <f t="shared" si="58"/>
        <v>#DIV/0!</v>
      </c>
      <c r="D306" s="890" t="e">
        <f t="shared" si="59"/>
        <v>#DIV/0!</v>
      </c>
      <c r="E306" s="890" t="e">
        <f t="shared" si="64"/>
        <v>#DIV/0!</v>
      </c>
      <c r="F306" s="1461" t="e">
        <f t="shared" si="60"/>
        <v>#DIV/0!</v>
      </c>
      <c r="G306" s="890">
        <f t="shared" si="61"/>
        <v>44.149806740116873</v>
      </c>
      <c r="H306" s="890" t="e">
        <f t="shared" si="56"/>
        <v>#DIV/0!</v>
      </c>
      <c r="I306" s="1459" t="e">
        <f t="shared" si="57"/>
        <v>#DIV/0!</v>
      </c>
      <c r="J306" s="890" t="e">
        <f t="shared" si="62"/>
        <v>#DIV/0!</v>
      </c>
      <c r="K306" s="891" t="e">
        <f t="shared" si="65"/>
        <v>#DIV/0!</v>
      </c>
    </row>
    <row r="307" spans="2:11" ht="14.25" thickBot="1" x14ac:dyDescent="0.3">
      <c r="B307" s="889">
        <f t="shared" si="63"/>
        <v>2032</v>
      </c>
      <c r="C307" s="890" t="e">
        <f t="shared" si="58"/>
        <v>#DIV/0!</v>
      </c>
      <c r="D307" s="890" t="e">
        <f t="shared" si="59"/>
        <v>#DIV/0!</v>
      </c>
      <c r="E307" s="890" t="e">
        <f t="shared" si="64"/>
        <v>#DIV/0!</v>
      </c>
      <c r="F307" s="1461" t="e">
        <f t="shared" si="60"/>
        <v>#DIV/0!</v>
      </c>
      <c r="G307" s="890">
        <f t="shared" si="61"/>
        <v>44.16691511461795</v>
      </c>
      <c r="H307" s="890" t="e">
        <f t="shared" si="56"/>
        <v>#DIV/0!</v>
      </c>
      <c r="I307" s="1459" t="e">
        <f t="shared" si="57"/>
        <v>#DIV/0!</v>
      </c>
      <c r="J307" s="890" t="e">
        <f t="shared" si="62"/>
        <v>#DIV/0!</v>
      </c>
      <c r="K307" s="891" t="e">
        <f t="shared" si="65"/>
        <v>#DIV/0!</v>
      </c>
    </row>
    <row r="308" spans="2:11" ht="14.25" thickBot="1" x14ac:dyDescent="0.3">
      <c r="B308" s="889">
        <f t="shared" si="63"/>
        <v>2033</v>
      </c>
      <c r="C308" s="890" t="e">
        <f t="shared" si="58"/>
        <v>#DIV/0!</v>
      </c>
      <c r="D308" s="890" t="e">
        <f t="shared" si="59"/>
        <v>#DIV/0!</v>
      </c>
      <c r="E308" s="890" t="e">
        <f t="shared" si="64"/>
        <v>#DIV/0!</v>
      </c>
      <c r="F308" s="1461" t="e">
        <f t="shared" si="60"/>
        <v>#DIV/0!</v>
      </c>
      <c r="G308" s="890">
        <f t="shared" si="61"/>
        <v>44.184030118739855</v>
      </c>
      <c r="H308" s="890" t="e">
        <f t="shared" si="56"/>
        <v>#DIV/0!</v>
      </c>
      <c r="I308" s="1459" t="e">
        <f t="shared" si="57"/>
        <v>#DIV/0!</v>
      </c>
      <c r="J308" s="890" t="e">
        <f t="shared" si="62"/>
        <v>#DIV/0!</v>
      </c>
      <c r="K308" s="891" t="e">
        <f t="shared" si="65"/>
        <v>#DIV/0!</v>
      </c>
    </row>
    <row r="309" spans="2:11" ht="14.25" thickBot="1" x14ac:dyDescent="0.3">
      <c r="B309" s="889">
        <f t="shared" si="63"/>
        <v>2034</v>
      </c>
      <c r="C309" s="890" t="e">
        <f t="shared" si="58"/>
        <v>#DIV/0!</v>
      </c>
      <c r="D309" s="890" t="e">
        <f t="shared" si="59"/>
        <v>#DIV/0!</v>
      </c>
      <c r="E309" s="890" t="e">
        <f t="shared" si="64"/>
        <v>#DIV/0!</v>
      </c>
      <c r="F309" s="1461" t="e">
        <f t="shared" si="60"/>
        <v>#DIV/0!</v>
      </c>
      <c r="G309" s="890">
        <f t="shared" si="61"/>
        <v>44.201151755051598</v>
      </c>
      <c r="H309" s="890" t="e">
        <f t="shared" si="56"/>
        <v>#DIV/0!</v>
      </c>
      <c r="I309" s="1459" t="e">
        <f t="shared" si="57"/>
        <v>#DIV/0!</v>
      </c>
      <c r="J309" s="890" t="e">
        <f t="shared" si="62"/>
        <v>#DIV/0!</v>
      </c>
      <c r="K309" s="891" t="e">
        <f t="shared" si="65"/>
        <v>#DIV/0!</v>
      </c>
    </row>
    <row r="310" spans="2:11" x14ac:dyDescent="0.25">
      <c r="B310" s="850" t="s">
        <v>3796</v>
      </c>
    </row>
  </sheetData>
  <mergeCells count="131">
    <mergeCell ref="H176:H177"/>
    <mergeCell ref="B148:B150"/>
    <mergeCell ref="B263:B266"/>
    <mergeCell ref="C263:C265"/>
    <mergeCell ref="D263:D266"/>
    <mergeCell ref="C118:C119"/>
    <mergeCell ref="D118:D119"/>
    <mergeCell ref="D236:D237"/>
    <mergeCell ref="E236:E237"/>
    <mergeCell ref="F236:F237"/>
    <mergeCell ref="B208:B210"/>
    <mergeCell ref="C208:C210"/>
    <mergeCell ref="B236:B239"/>
    <mergeCell ref="C236:C237"/>
    <mergeCell ref="C148:C150"/>
    <mergeCell ref="F148:F150"/>
    <mergeCell ref="P29:P30"/>
    <mergeCell ref="U75:AA76"/>
    <mergeCell ref="J291:J292"/>
    <mergeCell ref="D9:F9"/>
    <mergeCell ref="D10:F10"/>
    <mergeCell ref="D11:F11"/>
    <mergeCell ref="D12:F12"/>
    <mergeCell ref="B87:B91"/>
    <mergeCell ref="J175:J178"/>
    <mergeCell ref="I173:I178"/>
    <mergeCell ref="G176:G177"/>
    <mergeCell ref="F176:F177"/>
    <mergeCell ref="C173:F173"/>
    <mergeCell ref="C174:F174"/>
    <mergeCell ref="G173:G175"/>
    <mergeCell ref="H173:H175"/>
    <mergeCell ref="G118:G121"/>
    <mergeCell ref="G236:G239"/>
    <mergeCell ref="B257:E257"/>
    <mergeCell ref="B290:B292"/>
    <mergeCell ref="D290:D291"/>
    <mergeCell ref="E290:E291"/>
    <mergeCell ref="F290:F291"/>
    <mergeCell ref="B53:B57"/>
    <mergeCell ref="L29:L30"/>
    <mergeCell ref="C87:C91"/>
    <mergeCell ref="E87:F87"/>
    <mergeCell ref="G87:H89"/>
    <mergeCell ref="I87:I91"/>
    <mergeCell ref="J87:J91"/>
    <mergeCell ref="F88:F90"/>
    <mergeCell ref="E90:E91"/>
    <mergeCell ref="O29:O30"/>
    <mergeCell ref="C53:E53"/>
    <mergeCell ref="H290:J290"/>
    <mergeCell ref="K290:K292"/>
    <mergeCell ref="G208:G210"/>
    <mergeCell ref="B173:B178"/>
    <mergeCell ref="B118:B121"/>
    <mergeCell ref="B3:M3"/>
    <mergeCell ref="D5:F5"/>
    <mergeCell ref="D6:F6"/>
    <mergeCell ref="M6:O6"/>
    <mergeCell ref="D7:F7"/>
    <mergeCell ref="D8:F8"/>
    <mergeCell ref="C29:C30"/>
    <mergeCell ref="D29:D30"/>
    <mergeCell ref="I29:I30"/>
    <mergeCell ref="J29:J30"/>
    <mergeCell ref="D14:F14"/>
    <mergeCell ref="D15:F15"/>
    <mergeCell ref="D17:F17"/>
    <mergeCell ref="D18:F18"/>
    <mergeCell ref="D19:F19"/>
    <mergeCell ref="D20:F20"/>
    <mergeCell ref="M12:O12"/>
    <mergeCell ref="D13:F13"/>
    <mergeCell ref="M13:O13"/>
    <mergeCell ref="J173:L174"/>
    <mergeCell ref="M173:M178"/>
    <mergeCell ref="N173:N178"/>
    <mergeCell ref="P9:R9"/>
    <mergeCell ref="F53:F54"/>
    <mergeCell ref="G53:G57"/>
    <mergeCell ref="C54:C57"/>
    <mergeCell ref="E54:E55"/>
    <mergeCell ref="K52:K56"/>
    <mergeCell ref="L52:L56"/>
    <mergeCell ref="D16:F16"/>
    <mergeCell ref="D23:F23"/>
    <mergeCell ref="D21:F21"/>
    <mergeCell ref="D22:F22"/>
    <mergeCell ref="P22:R22"/>
    <mergeCell ref="P24:R24"/>
    <mergeCell ref="E118:E119"/>
    <mergeCell ref="F118:F119"/>
    <mergeCell ref="K175:K177"/>
    <mergeCell ref="L175:L177"/>
    <mergeCell ref="P11:R11"/>
    <mergeCell ref="P12:R12"/>
    <mergeCell ref="P13:R13"/>
    <mergeCell ref="P14:R14"/>
    <mergeCell ref="AH52:AH53"/>
    <mergeCell ref="AJ52:AJ53"/>
    <mergeCell ref="AK52:AK54"/>
    <mergeCell ref="AF29:AF30"/>
    <mergeCell ref="V29:V30"/>
    <mergeCell ref="W29:W30"/>
    <mergeCell ref="P15:R15"/>
    <mergeCell ref="P17:R17"/>
    <mergeCell ref="P18:R18"/>
    <mergeCell ref="P19:R19"/>
    <mergeCell ref="P20:R20"/>
    <mergeCell ref="P21:R21"/>
    <mergeCell ref="AA52:AA57"/>
    <mergeCell ref="AD52:AD54"/>
    <mergeCell ref="AE52:AE54"/>
    <mergeCell ref="S52:S56"/>
    <mergeCell ref="U52:U57"/>
    <mergeCell ref="V52:V56"/>
    <mergeCell ref="W52:W55"/>
    <mergeCell ref="X52:X55"/>
    <mergeCell ref="Y52:Y55"/>
    <mergeCell ref="Z52:Z55"/>
    <mergeCell ref="AC29:AC30"/>
    <mergeCell ref="AD29:AD30"/>
    <mergeCell ref="P1:R1"/>
    <mergeCell ref="P2:R2"/>
    <mergeCell ref="P3:R3"/>
    <mergeCell ref="P4:R4"/>
    <mergeCell ref="P5:R5"/>
    <mergeCell ref="P6:R6"/>
    <mergeCell ref="P7:R7"/>
    <mergeCell ref="P8:R8"/>
    <mergeCell ref="P10:R10"/>
  </mergeCells>
  <conditionalFormatting sqref="M5 K48 K6:K27">
    <cfRule type="cellIs" dxfId="55" priority="29" operator="equal">
      <formula>"OPC"</formula>
    </cfRule>
    <cfRule type="cellIs" dxfId="54" priority="30" operator="equal">
      <formula>"OPC"</formula>
    </cfRule>
    <cfRule type="cellIs" dxfId="53" priority="31" operator="equal">
      <formula>"SI"</formula>
    </cfRule>
    <cfRule type="cellIs" dxfId="52" priority="32" operator="equal">
      <formula>"si"</formula>
    </cfRule>
  </conditionalFormatting>
  <conditionalFormatting sqref="M5 K48 K6:K27">
    <cfRule type="cellIs" dxfId="51" priority="26" operator="equal">
      <formula>"OPC"</formula>
    </cfRule>
    <cfRule type="cellIs" dxfId="50" priority="27" operator="equal">
      <formula>"SI"</formula>
    </cfRule>
    <cfRule type="cellIs" dxfId="49" priority="28" operator="equal">
      <formula>"si"</formula>
    </cfRule>
  </conditionalFormatting>
  <conditionalFormatting sqref="M5 K48 K6:K27">
    <cfRule type="cellIs" dxfId="48" priority="25" operator="equal">
      <formula>"SI"</formula>
    </cfRule>
  </conditionalFormatting>
  <conditionalFormatting sqref="Q26:Q27">
    <cfRule type="cellIs" dxfId="47" priority="21" operator="equal">
      <formula>"OPC"</formula>
    </cfRule>
    <cfRule type="cellIs" dxfId="46" priority="22" operator="equal">
      <formula>"OPC"</formula>
    </cfRule>
    <cfRule type="cellIs" dxfId="45" priority="23" operator="equal">
      <formula>"SI"</formula>
    </cfRule>
    <cfRule type="cellIs" dxfId="44" priority="24" operator="equal">
      <formula>"si"</formula>
    </cfRule>
  </conditionalFormatting>
  <conditionalFormatting sqref="Q26:Q27">
    <cfRule type="cellIs" dxfId="43" priority="18" operator="equal">
      <formula>"OPC"</formula>
    </cfRule>
    <cfRule type="cellIs" dxfId="42" priority="19" operator="equal">
      <formula>"SI"</formula>
    </cfRule>
    <cfRule type="cellIs" dxfId="41" priority="20" operator="equal">
      <formula>"si"</formula>
    </cfRule>
  </conditionalFormatting>
  <conditionalFormatting sqref="Q26:Q27">
    <cfRule type="cellIs" dxfId="40" priority="17" operator="equal">
      <formula>"SI"</formula>
    </cfRule>
  </conditionalFormatting>
  <conditionalFormatting sqref="X26:X27">
    <cfRule type="cellIs" dxfId="39" priority="13" operator="equal">
      <formula>"OPC"</formula>
    </cfRule>
    <cfRule type="cellIs" dxfId="38" priority="14" operator="equal">
      <formula>"OPC"</formula>
    </cfRule>
    <cfRule type="cellIs" dxfId="37" priority="15" operator="equal">
      <formula>"SI"</formula>
    </cfRule>
    <cfRule type="cellIs" dxfId="36" priority="16" operator="equal">
      <formula>"si"</formula>
    </cfRule>
  </conditionalFormatting>
  <conditionalFormatting sqref="X26:X27">
    <cfRule type="cellIs" dxfId="35" priority="10" operator="equal">
      <formula>"OPC"</formula>
    </cfRule>
    <cfRule type="cellIs" dxfId="34" priority="11" operator="equal">
      <formula>"SI"</formula>
    </cfRule>
    <cfRule type="cellIs" dxfId="33" priority="12" operator="equal">
      <formula>"si"</formula>
    </cfRule>
  </conditionalFormatting>
  <conditionalFormatting sqref="X26:X27">
    <cfRule type="cellIs" dxfId="32" priority="9" operator="equal">
      <formula>"SI"</formula>
    </cfRule>
  </conditionalFormatting>
  <conditionalFormatting sqref="AH26:AH27">
    <cfRule type="cellIs" dxfId="31" priority="5" operator="equal">
      <formula>"OPC"</formula>
    </cfRule>
    <cfRule type="cellIs" dxfId="30" priority="6" operator="equal">
      <formula>"OPC"</formula>
    </cfRule>
    <cfRule type="cellIs" dxfId="29" priority="7" operator="equal">
      <formula>"SI"</formula>
    </cfRule>
    <cfRule type="cellIs" dxfId="28" priority="8" operator="equal">
      <formula>"si"</formula>
    </cfRule>
  </conditionalFormatting>
  <conditionalFormatting sqref="AH26:AH27">
    <cfRule type="cellIs" dxfId="27" priority="2" operator="equal">
      <formula>"OPC"</formula>
    </cfRule>
    <cfRule type="cellIs" dxfId="26" priority="3" operator="equal">
      <formula>"SI"</formula>
    </cfRule>
    <cfRule type="cellIs" dxfId="25" priority="4" operator="equal">
      <formula>"si"</formula>
    </cfRule>
  </conditionalFormatting>
  <conditionalFormatting sqref="AH26:AH27">
    <cfRule type="cellIs" dxfId="24" priority="1" operator="equal">
      <formula>"SI"</formula>
    </cfRule>
  </conditionalFormatting>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249977111117893"/>
  </sheetPr>
  <dimension ref="A2:AL169"/>
  <sheetViews>
    <sheetView showGridLines="0" zoomScale="85" zoomScaleNormal="85" workbookViewId="0">
      <selection activeCell="H42" sqref="H42"/>
    </sheetView>
  </sheetViews>
  <sheetFormatPr baseColWidth="10" defaultColWidth="11.42578125" defaultRowHeight="13.5" x14ac:dyDescent="0.25"/>
  <cols>
    <col min="1" max="1" width="2" style="515" customWidth="1"/>
    <col min="2" max="2" width="2.7109375" style="515" customWidth="1"/>
    <col min="3" max="3" width="7.85546875" style="515" customWidth="1"/>
    <col min="4" max="4" width="18.42578125" style="515" customWidth="1"/>
    <col min="5" max="5" width="18.85546875" style="515" customWidth="1"/>
    <col min="6" max="6" width="18" style="515" customWidth="1"/>
    <col min="7" max="7" width="19.140625" style="515" customWidth="1"/>
    <col min="8" max="8" width="20.85546875" style="515" customWidth="1"/>
    <col min="9" max="9" width="18.5703125" style="515" customWidth="1"/>
    <col min="10" max="10" width="18.140625" style="515" customWidth="1"/>
    <col min="11" max="11" width="18.7109375" style="515" customWidth="1"/>
    <col min="12" max="12" width="21.42578125" style="515" customWidth="1"/>
    <col min="13" max="13" width="18" style="515" customWidth="1"/>
    <col min="14" max="14" width="12.85546875" style="515" customWidth="1"/>
    <col min="15" max="15" width="12.28515625" style="515" customWidth="1"/>
    <col min="16" max="16" width="15.28515625" style="515" customWidth="1"/>
    <col min="17" max="17" width="15.140625" style="515" customWidth="1"/>
    <col min="18" max="18" width="19.5703125" style="515" customWidth="1"/>
    <col min="19" max="19" width="18" style="515" customWidth="1"/>
    <col min="20" max="20" width="16.28515625" style="515" customWidth="1"/>
    <col min="21" max="21" width="18.28515625" style="515" customWidth="1"/>
    <col min="22" max="22" width="15.140625" style="515" customWidth="1"/>
    <col min="23" max="24" width="11.42578125" style="515"/>
    <col min="25" max="25" width="16.42578125" style="515" customWidth="1"/>
    <col min="26" max="31" width="11.42578125" style="515"/>
    <col min="32" max="32" width="13.140625" style="515" customWidth="1"/>
    <col min="33" max="16384" width="11.42578125" style="515"/>
  </cols>
  <sheetData>
    <row r="2" spans="3:38" x14ac:dyDescent="0.25">
      <c r="C2" s="4438" t="s">
        <v>1656</v>
      </c>
      <c r="D2" s="4438"/>
      <c r="E2" s="4438"/>
      <c r="F2" s="4438"/>
      <c r="G2" s="4438"/>
      <c r="H2" s="4438"/>
      <c r="I2" s="4438"/>
      <c r="J2" s="4438"/>
      <c r="K2" s="4438"/>
      <c r="L2" s="4438"/>
      <c r="M2" s="4438"/>
      <c r="N2" s="4438"/>
      <c r="O2" s="4438"/>
      <c r="P2" s="4438"/>
      <c r="Q2" s="979"/>
      <c r="R2" s="850"/>
      <c r="S2" s="850"/>
      <c r="T2" s="850"/>
      <c r="U2" s="850"/>
      <c r="V2" s="850"/>
      <c r="W2" s="850"/>
      <c r="X2" s="850"/>
      <c r="Y2" s="850"/>
      <c r="Z2" s="848"/>
      <c r="AA2" s="848"/>
      <c r="AB2" s="848"/>
      <c r="AC2" s="848"/>
      <c r="AD2" s="848"/>
      <c r="AE2" s="848"/>
    </row>
    <row r="3" spans="3:38" ht="14.25" thickBot="1" x14ac:dyDescent="0.3">
      <c r="C3" s="986"/>
      <c r="D3" s="986"/>
      <c r="E3" s="986"/>
      <c r="F3" s="986"/>
      <c r="G3" s="986"/>
      <c r="H3" s="986"/>
      <c r="I3" s="986"/>
      <c r="J3" s="986"/>
      <c r="K3" s="986"/>
      <c r="L3" s="986"/>
      <c r="M3" s="986"/>
      <c r="N3" s="986"/>
      <c r="O3" s="986"/>
      <c r="P3" s="986"/>
      <c r="Q3" s="996"/>
      <c r="R3" s="873"/>
      <c r="S3" s="873"/>
      <c r="T3" s="873"/>
      <c r="U3" s="873"/>
      <c r="V3" s="873"/>
      <c r="W3" s="873"/>
      <c r="X3" s="873"/>
      <c r="Y3" s="873"/>
      <c r="Z3" s="880"/>
      <c r="AA3" s="880"/>
      <c r="AB3" s="880"/>
      <c r="AC3" s="880"/>
      <c r="AD3" s="880"/>
      <c r="AE3" s="880"/>
    </row>
    <row r="4" spans="3:38" ht="14.25" thickBot="1" x14ac:dyDescent="0.3">
      <c r="C4" s="988"/>
      <c r="D4" s="1034" t="s">
        <v>1558</v>
      </c>
      <c r="E4" s="4405" t="s">
        <v>1559</v>
      </c>
      <c r="F4" s="4405"/>
      <c r="G4" s="4406"/>
      <c r="H4" s="1088"/>
      <c r="I4" s="988"/>
      <c r="J4" s="1088"/>
      <c r="K4" s="4439"/>
      <c r="L4" s="4439"/>
      <c r="M4" s="4439"/>
      <c r="N4" s="1089"/>
      <c r="O4" s="980"/>
      <c r="P4" s="980"/>
      <c r="Q4" s="979"/>
      <c r="R4" s="850"/>
      <c r="S4" s="850"/>
      <c r="T4" s="850"/>
      <c r="U4" s="850"/>
      <c r="V4" s="850"/>
      <c r="W4" s="850"/>
      <c r="X4" s="850"/>
      <c r="Y4" s="850"/>
      <c r="Z4" s="848"/>
      <c r="AA4" s="848"/>
      <c r="AB4" s="848"/>
      <c r="AC4" s="848"/>
      <c r="AD4" s="848"/>
      <c r="AE4" s="848"/>
    </row>
    <row r="5" spans="3:38" ht="14.25" thickBot="1" x14ac:dyDescent="0.3">
      <c r="C5" s="988"/>
      <c r="D5" s="1021" t="s">
        <v>1793</v>
      </c>
      <c r="E5" s="4440" t="s">
        <v>1789</v>
      </c>
      <c r="F5" s="4440"/>
      <c r="G5" s="4440"/>
      <c r="H5" s="1088"/>
      <c r="I5" s="1103"/>
      <c r="J5" s="848"/>
      <c r="K5" s="1090"/>
      <c r="L5" s="1090"/>
      <c r="M5" s="1090"/>
      <c r="N5" s="1088"/>
      <c r="O5" s="980"/>
      <c r="P5" s="1091"/>
      <c r="Q5" s="1091"/>
      <c r="R5" s="848"/>
      <c r="S5" s="848"/>
      <c r="T5" s="848"/>
      <c r="U5" s="848"/>
      <c r="V5" s="848"/>
      <c r="W5" s="848"/>
      <c r="X5" s="848"/>
      <c r="Y5" s="848"/>
      <c r="Z5" s="848"/>
      <c r="AA5" s="848"/>
      <c r="AB5" s="848"/>
      <c r="AC5" s="848"/>
      <c r="AD5" s="848"/>
      <c r="AE5" s="848"/>
    </row>
    <row r="6" spans="3:38" ht="14.25" thickBot="1" x14ac:dyDescent="0.3">
      <c r="C6" s="988"/>
      <c r="D6" s="1021" t="s">
        <v>1793</v>
      </c>
      <c r="E6" s="4441" t="s">
        <v>1790</v>
      </c>
      <c r="F6" s="4441"/>
      <c r="G6" s="4441"/>
      <c r="H6" s="1092"/>
      <c r="I6" s="1103"/>
      <c r="J6" s="848"/>
      <c r="K6" s="1093"/>
      <c r="L6" s="1093"/>
      <c r="M6" s="1093"/>
      <c r="N6" s="1094"/>
      <c r="O6" s="980"/>
      <c r="P6" s="1091"/>
      <c r="Q6" s="1091"/>
      <c r="R6" s="850"/>
      <c r="S6" s="850"/>
      <c r="T6" s="850"/>
      <c r="U6" s="850"/>
      <c r="V6" s="850"/>
      <c r="W6" s="850"/>
      <c r="X6" s="850"/>
      <c r="Y6" s="850"/>
      <c r="Z6" s="848"/>
      <c r="AA6" s="848"/>
      <c r="AB6" s="848"/>
      <c r="AC6" s="848"/>
      <c r="AD6" s="848"/>
      <c r="AE6" s="848"/>
    </row>
    <row r="7" spans="3:38" ht="14.25" thickBot="1" x14ac:dyDescent="0.3">
      <c r="C7" s="988"/>
      <c r="D7" s="1021" t="s">
        <v>1793</v>
      </c>
      <c r="E7" s="4441" t="s">
        <v>1791</v>
      </c>
      <c r="F7" s="4441"/>
      <c r="G7" s="4441"/>
      <c r="H7" s="1092"/>
      <c r="I7" s="1103"/>
      <c r="J7" s="848"/>
      <c r="K7" s="1093"/>
      <c r="L7" s="1093"/>
      <c r="M7" s="1093"/>
      <c r="N7" s="1094"/>
      <c r="O7" s="980"/>
      <c r="P7" s="1091"/>
      <c r="Q7" s="1091"/>
      <c r="R7" s="850"/>
      <c r="S7" s="850"/>
      <c r="T7" s="850"/>
      <c r="U7" s="850"/>
      <c r="V7" s="850"/>
      <c r="W7" s="850"/>
      <c r="X7" s="850"/>
      <c r="Y7" s="850"/>
      <c r="Z7" s="848"/>
      <c r="AA7" s="848"/>
      <c r="AB7" s="848"/>
      <c r="AC7" s="848"/>
      <c r="AD7" s="848"/>
      <c r="AE7" s="848"/>
    </row>
    <row r="8" spans="3:38" x14ac:dyDescent="0.25">
      <c r="C8" s="988"/>
      <c r="D8" s="848"/>
      <c r="E8" s="848"/>
      <c r="F8" s="848"/>
      <c r="G8" s="848"/>
      <c r="H8" s="848"/>
      <c r="I8" s="1104"/>
      <c r="J8" s="1104"/>
      <c r="K8" s="1104"/>
      <c r="L8" s="848"/>
      <c r="M8" s="1104"/>
      <c r="N8" s="1104"/>
      <c r="O8" s="980"/>
      <c r="P8" s="848"/>
      <c r="Q8" s="848"/>
      <c r="R8" s="848"/>
      <c r="S8" s="848"/>
      <c r="T8" s="848"/>
      <c r="U8" s="848"/>
      <c r="V8" s="848"/>
      <c r="W8" s="848"/>
      <c r="X8" s="848"/>
      <c r="Y8" s="848"/>
      <c r="Z8" s="848"/>
      <c r="AA8" s="848"/>
      <c r="AB8" s="848"/>
      <c r="AC8" s="848"/>
      <c r="AD8" s="848"/>
      <c r="AE8" s="848"/>
    </row>
    <row r="9" spans="3:38" ht="14.25" thickBot="1" x14ac:dyDescent="0.3">
      <c r="C9" s="871"/>
      <c r="D9" s="822"/>
      <c r="E9" s="822"/>
      <c r="F9" s="822"/>
      <c r="G9" s="822"/>
      <c r="H9" s="822"/>
      <c r="I9" s="822"/>
      <c r="J9" s="850"/>
      <c r="K9" s="822"/>
      <c r="L9" s="850"/>
      <c r="M9" s="848"/>
      <c r="N9" s="848"/>
      <c r="O9" s="980"/>
      <c r="P9" s="848"/>
      <c r="Q9" s="848"/>
      <c r="R9" s="848"/>
      <c r="S9" s="848"/>
      <c r="T9" s="848"/>
      <c r="U9" s="848"/>
      <c r="V9" s="848"/>
      <c r="W9" s="848"/>
      <c r="X9" s="848"/>
      <c r="Y9" s="848"/>
      <c r="Z9" s="848"/>
      <c r="AA9" s="848"/>
      <c r="AB9" s="848"/>
      <c r="AC9" s="848"/>
      <c r="AD9" s="848"/>
      <c r="AE9" s="848"/>
    </row>
    <row r="10" spans="3:38" ht="15" customHeight="1" thickBot="1" x14ac:dyDescent="0.3">
      <c r="C10" s="4442" t="s">
        <v>1794</v>
      </c>
      <c r="D10" s="4443"/>
      <c r="E10" s="4443"/>
      <c r="F10" s="4444"/>
      <c r="G10" s="1105"/>
      <c r="H10" s="822"/>
      <c r="I10" s="4433"/>
      <c r="J10" s="4433"/>
      <c r="K10" s="4433"/>
      <c r="L10" s="4433"/>
      <c r="M10" s="848"/>
      <c r="N10" s="848"/>
      <c r="O10" s="814"/>
      <c r="P10" s="848"/>
      <c r="Q10" s="848"/>
      <c r="R10" s="848"/>
      <c r="S10" s="848"/>
      <c r="T10" s="848"/>
      <c r="U10" s="848"/>
      <c r="V10" s="848"/>
      <c r="W10" s="848"/>
      <c r="X10" s="848"/>
      <c r="Y10" s="848"/>
      <c r="Z10" s="848"/>
      <c r="AA10" s="848"/>
      <c r="AB10" s="848"/>
      <c r="AC10" s="848"/>
      <c r="AD10" s="848"/>
      <c r="AE10" s="848"/>
    </row>
    <row r="11" spans="3:38" ht="14.25" thickBot="1" x14ac:dyDescent="0.3">
      <c r="C11" s="871"/>
      <c r="D11" s="850"/>
      <c r="E11" s="850"/>
      <c r="F11" s="850"/>
      <c r="G11" s="850"/>
      <c r="H11" s="616"/>
      <c r="I11" s="822"/>
      <c r="J11" s="850"/>
      <c r="K11" s="822"/>
      <c r="L11" s="850"/>
      <c r="M11" s="848"/>
      <c r="N11" s="848"/>
      <c r="O11" s="848"/>
      <c r="P11" s="848"/>
      <c r="Q11" s="848"/>
      <c r="R11" s="848"/>
      <c r="S11" s="848"/>
      <c r="T11" s="848"/>
      <c r="U11" s="848"/>
      <c r="V11" s="848"/>
      <c r="W11" s="848"/>
      <c r="X11" s="848"/>
      <c r="Y11" s="848"/>
      <c r="Z11" s="848"/>
      <c r="AA11" s="848"/>
      <c r="AB11" s="848"/>
      <c r="AC11" s="848"/>
      <c r="AD11" s="848"/>
      <c r="AE11" s="848"/>
    </row>
    <row r="12" spans="3:38" ht="15" customHeight="1" thickBot="1" x14ac:dyDescent="0.3">
      <c r="C12" s="4442" t="s">
        <v>1795</v>
      </c>
      <c r="D12" s="4443"/>
      <c r="E12" s="4443"/>
      <c r="F12" s="4444"/>
      <c r="G12" s="1105"/>
      <c r="H12" s="822"/>
      <c r="I12" s="4433"/>
      <c r="J12" s="4433"/>
      <c r="K12" s="4433"/>
      <c r="L12" s="4433"/>
      <c r="M12" s="848"/>
      <c r="N12" s="4433"/>
      <c r="O12" s="4433"/>
      <c r="P12" s="4433"/>
      <c r="Q12" s="4433"/>
      <c r="R12" s="848"/>
      <c r="S12" s="4433"/>
      <c r="T12" s="4433"/>
      <c r="U12" s="4433"/>
      <c r="V12" s="4433"/>
      <c r="W12" s="848"/>
      <c r="X12" s="848"/>
      <c r="Y12" s="4433"/>
      <c r="Z12" s="4433"/>
      <c r="AA12" s="4433"/>
      <c r="AB12" s="4433"/>
      <c r="AC12" s="848"/>
      <c r="AD12" s="4433"/>
      <c r="AE12" s="4433"/>
      <c r="AF12" s="4433"/>
      <c r="AG12" s="4433"/>
      <c r="AI12" s="4433"/>
      <c r="AJ12" s="4433"/>
      <c r="AK12" s="4433"/>
      <c r="AL12" s="4433"/>
    </row>
    <row r="13" spans="3:38" ht="15" customHeight="1" thickBot="1" x14ac:dyDescent="0.3">
      <c r="C13" s="960"/>
      <c r="D13" s="960"/>
      <c r="E13" s="960"/>
      <c r="F13" s="960"/>
      <c r="G13" s="1084"/>
      <c r="H13" s="814"/>
      <c r="I13" s="960"/>
      <c r="J13" s="960"/>
      <c r="K13" s="1106"/>
      <c r="L13" s="960"/>
      <c r="M13" s="848"/>
      <c r="N13" s="960"/>
      <c r="O13" s="960"/>
      <c r="P13" s="1106"/>
      <c r="Q13" s="960"/>
      <c r="R13" s="848"/>
      <c r="S13" s="960"/>
      <c r="T13" s="960"/>
      <c r="U13" s="1106"/>
      <c r="V13" s="960"/>
      <c r="W13" s="848"/>
      <c r="X13" s="848"/>
      <c r="Y13" s="960"/>
      <c r="Z13" s="960"/>
      <c r="AA13" s="1106"/>
      <c r="AB13" s="960"/>
      <c r="AC13" s="848"/>
      <c r="AD13" s="960"/>
      <c r="AE13" s="960"/>
      <c r="AF13" s="1106"/>
      <c r="AG13" s="960"/>
      <c r="AI13" s="960"/>
      <c r="AJ13" s="960"/>
      <c r="AK13" s="1106"/>
      <c r="AL13" s="960"/>
    </row>
    <row r="14" spans="3:38" ht="14.25" thickBot="1" x14ac:dyDescent="0.3">
      <c r="C14" s="960"/>
      <c r="D14" s="960"/>
      <c r="F14" s="904" t="s">
        <v>1796</v>
      </c>
      <c r="G14" s="854"/>
      <c r="H14" s="822"/>
      <c r="I14" s="4424"/>
      <c r="J14" s="969"/>
      <c r="K14" s="969"/>
      <c r="L14" s="831"/>
      <c r="M14" s="848"/>
      <c r="N14" s="4424"/>
      <c r="O14" s="4428"/>
      <c r="P14" s="969"/>
      <c r="Q14" s="831"/>
      <c r="R14" s="848"/>
      <c r="S14" s="4424"/>
      <c r="T14" s="969"/>
      <c r="U14" s="969"/>
      <c r="V14" s="831"/>
      <c r="W14" s="848"/>
      <c r="X14" s="848"/>
      <c r="Y14" s="4424"/>
      <c r="Z14" s="4428"/>
      <c r="AA14" s="969"/>
      <c r="AB14" s="831"/>
      <c r="AC14" s="848"/>
      <c r="AD14" s="4424"/>
      <c r="AE14" s="4428"/>
      <c r="AF14" s="969"/>
      <c r="AG14" s="831"/>
      <c r="AI14" s="4424"/>
      <c r="AJ14" s="4428"/>
      <c r="AK14" s="969"/>
      <c r="AL14" s="831"/>
    </row>
    <row r="15" spans="3:38" ht="23.45" customHeight="1" thickBot="1" x14ac:dyDescent="0.3">
      <c r="C15" s="3990" t="s">
        <v>1485</v>
      </c>
      <c r="D15" s="3987" t="s">
        <v>1680</v>
      </c>
      <c r="E15" s="1047" t="s">
        <v>1797</v>
      </c>
      <c r="F15" s="3993" t="s">
        <v>1798</v>
      </c>
      <c r="G15" s="1071"/>
      <c r="H15" s="822"/>
      <c r="I15" s="4424"/>
      <c r="J15" s="4428"/>
      <c r="K15" s="4428"/>
      <c r="L15" s="969"/>
      <c r="M15" s="880"/>
      <c r="N15" s="4424"/>
      <c r="O15" s="4428"/>
      <c r="P15" s="4428"/>
      <c r="Q15" s="969"/>
      <c r="R15" s="848"/>
      <c r="S15" s="4424"/>
      <c r="T15" s="4428"/>
      <c r="U15" s="4428"/>
      <c r="V15" s="969"/>
      <c r="W15" s="848"/>
      <c r="X15" s="848"/>
      <c r="Y15" s="4424"/>
      <c r="Z15" s="4428"/>
      <c r="AA15" s="4428"/>
      <c r="AB15" s="969"/>
      <c r="AC15" s="848"/>
      <c r="AD15" s="4424"/>
      <c r="AE15" s="4428"/>
      <c r="AF15" s="4428"/>
      <c r="AG15" s="969"/>
      <c r="AI15" s="4424"/>
      <c r="AJ15" s="4428"/>
      <c r="AK15" s="4428"/>
      <c r="AL15" s="969"/>
    </row>
    <row r="16" spans="3:38" ht="15" customHeight="1" thickBot="1" x14ac:dyDescent="0.3">
      <c r="C16" s="3992"/>
      <c r="D16" s="3989"/>
      <c r="E16" s="1115">
        <f>'4 Estadis ESTRATEG Prod3'!O274</f>
        <v>0.32991133924405042</v>
      </c>
      <c r="F16" s="4389"/>
      <c r="G16" s="880"/>
      <c r="H16" s="822"/>
      <c r="I16" s="4424"/>
      <c r="J16" s="4428"/>
      <c r="K16" s="4428"/>
      <c r="L16" s="831"/>
      <c r="M16" s="848"/>
      <c r="N16" s="4424"/>
      <c r="O16" s="4428"/>
      <c r="P16" s="4428"/>
      <c r="Q16" s="831"/>
      <c r="R16" s="848"/>
      <c r="S16" s="4424"/>
      <c r="T16" s="4428"/>
      <c r="U16" s="4428"/>
      <c r="V16" s="831"/>
      <c r="W16" s="848"/>
      <c r="X16" s="848"/>
      <c r="Y16" s="4424"/>
      <c r="Z16" s="4428"/>
      <c r="AA16" s="4428"/>
      <c r="AB16" s="831"/>
      <c r="AC16" s="848"/>
      <c r="AD16" s="4424"/>
      <c r="AE16" s="4428"/>
      <c r="AF16" s="4428"/>
      <c r="AG16" s="831"/>
      <c r="AI16" s="4424"/>
      <c r="AJ16" s="4428"/>
      <c r="AK16" s="4428"/>
      <c r="AL16" s="831"/>
    </row>
    <row r="17" spans="3:38" ht="14.25" thickBot="1" x14ac:dyDescent="0.3">
      <c r="C17" s="942">
        <v>2018</v>
      </c>
      <c r="D17" s="943" t="e">
        <f>'10 Dda Efect SS Salud P2'!AD31</f>
        <v>#DIV/0!</v>
      </c>
      <c r="E17" s="943" t="e">
        <f>D17*E$16</f>
        <v>#DIV/0!</v>
      </c>
      <c r="F17" s="944" t="e">
        <f>E17</f>
        <v>#DIV/0!</v>
      </c>
      <c r="G17" s="1072"/>
      <c r="H17" s="822"/>
      <c r="I17" s="853"/>
      <c r="J17" s="814"/>
      <c r="K17" s="814"/>
      <c r="L17" s="815"/>
      <c r="M17" s="848"/>
      <c r="N17" s="853"/>
      <c r="O17" s="814"/>
      <c r="P17" s="814"/>
      <c r="Q17" s="815"/>
      <c r="R17" s="848"/>
      <c r="S17" s="853"/>
      <c r="T17" s="814"/>
      <c r="U17" s="814"/>
      <c r="V17" s="815"/>
      <c r="W17" s="848"/>
      <c r="X17" s="848"/>
      <c r="Y17" s="853"/>
      <c r="Z17" s="814"/>
      <c r="AA17" s="814"/>
      <c r="AB17" s="815"/>
      <c r="AC17" s="848"/>
      <c r="AD17" s="853"/>
      <c r="AE17" s="814"/>
      <c r="AF17" s="814"/>
      <c r="AG17" s="815"/>
      <c r="AI17" s="853"/>
      <c r="AJ17" s="814"/>
      <c r="AK17" s="814"/>
      <c r="AL17" s="815"/>
    </row>
    <row r="18" spans="3:38" ht="14.25" thickBot="1" x14ac:dyDescent="0.3">
      <c r="C18" s="942">
        <f t="shared" ref="C18:C31" si="0">C17+1</f>
        <v>2019</v>
      </c>
      <c r="D18" s="943" t="e">
        <f>'10 Dda Efect SS Salud P2'!AD32</f>
        <v>#DIV/0!</v>
      </c>
      <c r="E18" s="943" t="e">
        <f>D18*E$16</f>
        <v>#DIV/0!</v>
      </c>
      <c r="F18" s="944" t="e">
        <f>E18</f>
        <v>#DIV/0!</v>
      </c>
      <c r="G18" s="1073"/>
      <c r="H18" s="822"/>
      <c r="I18" s="853"/>
      <c r="J18" s="814"/>
      <c r="K18" s="814"/>
      <c r="L18" s="815"/>
      <c r="M18" s="848"/>
      <c r="N18" s="853"/>
      <c r="O18" s="814"/>
      <c r="P18" s="814"/>
      <c r="Q18" s="814"/>
      <c r="R18" s="848"/>
      <c r="S18" s="853"/>
      <c r="T18" s="814"/>
      <c r="U18" s="814"/>
      <c r="V18" s="814"/>
      <c r="W18" s="848"/>
      <c r="X18" s="848"/>
      <c r="Y18" s="853"/>
      <c r="Z18" s="814"/>
      <c r="AA18" s="814"/>
      <c r="AB18" s="815"/>
      <c r="AC18" s="848"/>
      <c r="AD18" s="853"/>
      <c r="AE18" s="814"/>
      <c r="AF18" s="814"/>
      <c r="AG18" s="815"/>
      <c r="AI18" s="853"/>
      <c r="AJ18" s="814"/>
      <c r="AK18" s="814"/>
      <c r="AL18" s="815"/>
    </row>
    <row r="19" spans="3:38" ht="14.25" thickBot="1" x14ac:dyDescent="0.3">
      <c r="C19" s="948">
        <f t="shared" si="0"/>
        <v>2020</v>
      </c>
      <c r="D19" s="949" t="e">
        <f>'10 Dda Efect SS Salud P2'!AD33</f>
        <v>#DIV/0!</v>
      </c>
      <c r="E19" s="949" t="e">
        <f t="shared" ref="E19:E33" si="1">D19*E$16</f>
        <v>#DIV/0!</v>
      </c>
      <c r="F19" s="950" t="e">
        <f t="shared" ref="F19:F33" si="2">E19</f>
        <v>#DIV/0!</v>
      </c>
      <c r="G19" s="1074"/>
      <c r="H19" s="814"/>
      <c r="I19" s="853"/>
      <c r="J19" s="814"/>
      <c r="K19" s="814"/>
      <c r="L19" s="815"/>
      <c r="M19" s="848"/>
      <c r="N19" s="853"/>
      <c r="O19" s="814"/>
      <c r="P19" s="814"/>
      <c r="Q19" s="814"/>
      <c r="R19" s="848"/>
      <c r="S19" s="853"/>
      <c r="T19" s="814"/>
      <c r="U19" s="814"/>
      <c r="V19" s="814"/>
      <c r="W19" s="848"/>
      <c r="X19" s="848"/>
      <c r="Y19" s="853"/>
      <c r="Z19" s="814"/>
      <c r="AA19" s="814"/>
      <c r="AB19" s="815"/>
      <c r="AC19" s="848"/>
      <c r="AD19" s="853"/>
      <c r="AE19" s="814"/>
      <c r="AF19" s="814"/>
      <c r="AG19" s="815"/>
      <c r="AI19" s="853"/>
      <c r="AJ19" s="814"/>
      <c r="AK19" s="814"/>
      <c r="AL19" s="815"/>
    </row>
    <row r="20" spans="3:38" ht="14.25" thickBot="1" x14ac:dyDescent="0.3">
      <c r="C20" s="948">
        <f t="shared" si="0"/>
        <v>2021</v>
      </c>
      <c r="D20" s="949" t="e">
        <f>'10 Dda Efect SS Salud P2'!AD34</f>
        <v>#DIV/0!</v>
      </c>
      <c r="E20" s="949" t="e">
        <f t="shared" si="1"/>
        <v>#DIV/0!</v>
      </c>
      <c r="F20" s="950" t="e">
        <f t="shared" si="2"/>
        <v>#DIV/0!</v>
      </c>
      <c r="G20" s="1074"/>
      <c r="H20" s="814"/>
      <c r="I20" s="853"/>
      <c r="J20" s="814"/>
      <c r="K20" s="814"/>
      <c r="L20" s="815"/>
      <c r="M20" s="848"/>
      <c r="N20" s="853"/>
      <c r="O20" s="814"/>
      <c r="P20" s="814"/>
      <c r="Q20" s="814"/>
      <c r="R20" s="848"/>
      <c r="S20" s="853"/>
      <c r="T20" s="814"/>
      <c r="U20" s="814"/>
      <c r="V20" s="814"/>
      <c r="W20" s="848"/>
      <c r="X20" s="848"/>
      <c r="Y20" s="853"/>
      <c r="Z20" s="814"/>
      <c r="AA20" s="814"/>
      <c r="AB20" s="815"/>
      <c r="AC20" s="848"/>
      <c r="AD20" s="853"/>
      <c r="AE20" s="814"/>
      <c r="AF20" s="814"/>
      <c r="AG20" s="815"/>
      <c r="AI20" s="853"/>
      <c r="AJ20" s="814"/>
      <c r="AK20" s="814"/>
      <c r="AL20" s="815"/>
    </row>
    <row r="21" spans="3:38" ht="14.25" thickBot="1" x14ac:dyDescent="0.3">
      <c r="C21" s="948">
        <f t="shared" si="0"/>
        <v>2022</v>
      </c>
      <c r="D21" s="949" t="e">
        <f>'10 Dda Efect SS Salud P2'!AD35</f>
        <v>#DIV/0!</v>
      </c>
      <c r="E21" s="949" t="e">
        <f t="shared" si="1"/>
        <v>#DIV/0!</v>
      </c>
      <c r="F21" s="950" t="e">
        <f t="shared" si="2"/>
        <v>#DIV/0!</v>
      </c>
      <c r="G21" s="1074"/>
      <c r="H21" s="814"/>
      <c r="I21" s="853"/>
      <c r="J21" s="814"/>
      <c r="K21" s="814"/>
      <c r="L21" s="815"/>
      <c r="M21" s="848"/>
      <c r="N21" s="853"/>
      <c r="O21" s="814"/>
      <c r="P21" s="814"/>
      <c r="Q21" s="814"/>
      <c r="R21" s="848"/>
      <c r="S21" s="853"/>
      <c r="T21" s="814"/>
      <c r="U21" s="814"/>
      <c r="V21" s="814"/>
      <c r="W21" s="848"/>
      <c r="X21" s="848"/>
      <c r="Y21" s="853"/>
      <c r="Z21" s="814"/>
      <c r="AA21" s="814"/>
      <c r="AB21" s="815"/>
      <c r="AC21" s="848"/>
      <c r="AD21" s="853"/>
      <c r="AE21" s="814"/>
      <c r="AF21" s="814"/>
      <c r="AG21" s="815"/>
      <c r="AI21" s="853"/>
      <c r="AJ21" s="814"/>
      <c r="AK21" s="814"/>
      <c r="AL21" s="815"/>
    </row>
    <row r="22" spans="3:38" ht="14.25" thickBot="1" x14ac:dyDescent="0.3">
      <c r="C22" s="889">
        <f t="shared" si="0"/>
        <v>2023</v>
      </c>
      <c r="D22" s="890" t="e">
        <f>'10 Dda Efect SS Salud P2'!AD36</f>
        <v>#DIV/0!</v>
      </c>
      <c r="E22" s="890" t="e">
        <f t="shared" si="1"/>
        <v>#DIV/0!</v>
      </c>
      <c r="F22" s="891" t="e">
        <f t="shared" si="2"/>
        <v>#DIV/0!</v>
      </c>
      <c r="G22" s="1074"/>
      <c r="H22" s="814"/>
      <c r="I22" s="853"/>
      <c r="J22" s="814"/>
      <c r="K22" s="814"/>
      <c r="L22" s="815"/>
      <c r="M22" s="848"/>
      <c r="N22" s="853"/>
      <c r="O22" s="814"/>
      <c r="P22" s="814"/>
      <c r="Q22" s="814"/>
      <c r="R22" s="848"/>
      <c r="S22" s="853"/>
      <c r="T22" s="814"/>
      <c r="U22" s="814"/>
      <c r="V22" s="814"/>
      <c r="W22" s="848"/>
      <c r="X22" s="848"/>
      <c r="Y22" s="853"/>
      <c r="Z22" s="814"/>
      <c r="AA22" s="814"/>
      <c r="AB22" s="815"/>
      <c r="AC22" s="848"/>
      <c r="AD22" s="853"/>
      <c r="AE22" s="814"/>
      <c r="AF22" s="814"/>
      <c r="AG22" s="815"/>
      <c r="AI22" s="853"/>
      <c r="AJ22" s="814"/>
      <c r="AK22" s="814"/>
      <c r="AL22" s="815"/>
    </row>
    <row r="23" spans="3:38" ht="14.25" thickBot="1" x14ac:dyDescent="0.3">
      <c r="C23" s="889">
        <f t="shared" si="0"/>
        <v>2024</v>
      </c>
      <c r="D23" s="890" t="e">
        <f>'10 Dda Efect SS Salud P2'!AD37</f>
        <v>#DIV/0!</v>
      </c>
      <c r="E23" s="890" t="e">
        <f t="shared" si="1"/>
        <v>#DIV/0!</v>
      </c>
      <c r="F23" s="891" t="e">
        <f t="shared" si="2"/>
        <v>#DIV/0!</v>
      </c>
      <c r="G23" s="1074"/>
      <c r="H23" s="814"/>
      <c r="I23" s="853"/>
      <c r="J23" s="814"/>
      <c r="K23" s="814"/>
      <c r="L23" s="815"/>
      <c r="M23" s="848"/>
      <c r="N23" s="853"/>
      <c r="O23" s="814"/>
      <c r="P23" s="814"/>
      <c r="Q23" s="814"/>
      <c r="R23" s="848"/>
      <c r="S23" s="853"/>
      <c r="T23" s="814"/>
      <c r="U23" s="814"/>
      <c r="V23" s="814"/>
      <c r="W23" s="848"/>
      <c r="X23" s="848"/>
      <c r="Y23" s="853"/>
      <c r="Z23" s="814"/>
      <c r="AA23" s="814"/>
      <c r="AB23" s="815"/>
      <c r="AC23" s="848"/>
      <c r="AD23" s="853"/>
      <c r="AE23" s="814"/>
      <c r="AF23" s="814"/>
      <c r="AG23" s="815"/>
      <c r="AI23" s="853"/>
      <c r="AJ23" s="814"/>
      <c r="AK23" s="814"/>
      <c r="AL23" s="815"/>
    </row>
    <row r="24" spans="3:38" ht="14.25" thickBot="1" x14ac:dyDescent="0.3">
      <c r="C24" s="889">
        <f t="shared" si="0"/>
        <v>2025</v>
      </c>
      <c r="D24" s="890" t="e">
        <f>'10 Dda Efect SS Salud P2'!AD38</f>
        <v>#DIV/0!</v>
      </c>
      <c r="E24" s="890" t="e">
        <f t="shared" si="1"/>
        <v>#DIV/0!</v>
      </c>
      <c r="F24" s="891" t="e">
        <f t="shared" si="2"/>
        <v>#DIV/0!</v>
      </c>
      <c r="G24" s="1074"/>
      <c r="H24" s="814"/>
      <c r="I24" s="853"/>
      <c r="J24" s="814"/>
      <c r="K24" s="814"/>
      <c r="L24" s="815"/>
      <c r="M24" s="848"/>
      <c r="N24" s="853"/>
      <c r="O24" s="814"/>
      <c r="P24" s="814"/>
      <c r="Q24" s="814"/>
      <c r="R24" s="848"/>
      <c r="S24" s="853"/>
      <c r="T24" s="814"/>
      <c r="U24" s="814"/>
      <c r="V24" s="814"/>
      <c r="W24" s="848"/>
      <c r="X24" s="848"/>
      <c r="Y24" s="853"/>
      <c r="Z24" s="814"/>
      <c r="AA24" s="814"/>
      <c r="AB24" s="815"/>
      <c r="AC24" s="848"/>
      <c r="AD24" s="853"/>
      <c r="AE24" s="814"/>
      <c r="AF24" s="814"/>
      <c r="AG24" s="815"/>
      <c r="AI24" s="853"/>
      <c r="AJ24" s="814"/>
      <c r="AK24" s="814"/>
      <c r="AL24" s="815"/>
    </row>
    <row r="25" spans="3:38" ht="14.25" thickBot="1" x14ac:dyDescent="0.3">
      <c r="C25" s="889">
        <f t="shared" si="0"/>
        <v>2026</v>
      </c>
      <c r="D25" s="890" t="e">
        <f>'10 Dda Efect SS Salud P2'!AD39</f>
        <v>#DIV/0!</v>
      </c>
      <c r="E25" s="890" t="e">
        <f t="shared" si="1"/>
        <v>#DIV/0!</v>
      </c>
      <c r="F25" s="891" t="e">
        <f t="shared" si="2"/>
        <v>#DIV/0!</v>
      </c>
      <c r="G25" s="1074"/>
      <c r="H25" s="814"/>
      <c r="I25" s="853"/>
      <c r="J25" s="814"/>
      <c r="K25" s="814"/>
      <c r="L25" s="815"/>
      <c r="M25" s="848"/>
      <c r="N25" s="853"/>
      <c r="O25" s="814"/>
      <c r="P25" s="814"/>
      <c r="Q25" s="814"/>
      <c r="R25" s="848"/>
      <c r="S25" s="853"/>
      <c r="T25" s="814"/>
      <c r="U25" s="814"/>
      <c r="V25" s="814"/>
      <c r="W25" s="848"/>
      <c r="X25" s="848"/>
      <c r="Y25" s="853"/>
      <c r="Z25" s="814"/>
      <c r="AA25" s="814"/>
      <c r="AB25" s="815"/>
      <c r="AC25" s="848"/>
      <c r="AD25" s="853"/>
      <c r="AE25" s="814"/>
      <c r="AF25" s="814"/>
      <c r="AG25" s="815"/>
      <c r="AI25" s="853"/>
      <c r="AJ25" s="814"/>
      <c r="AK25" s="814"/>
      <c r="AL25" s="815"/>
    </row>
    <row r="26" spans="3:38" ht="14.25" thickBot="1" x14ac:dyDescent="0.3">
      <c r="C26" s="889">
        <f t="shared" si="0"/>
        <v>2027</v>
      </c>
      <c r="D26" s="890" t="e">
        <f>'10 Dda Efect SS Salud P2'!AD40</f>
        <v>#DIV/0!</v>
      </c>
      <c r="E26" s="890" t="e">
        <f t="shared" si="1"/>
        <v>#DIV/0!</v>
      </c>
      <c r="F26" s="891" t="e">
        <f t="shared" si="2"/>
        <v>#DIV/0!</v>
      </c>
      <c r="G26" s="1074"/>
      <c r="H26" s="814"/>
      <c r="I26" s="853"/>
      <c r="J26" s="814"/>
      <c r="K26" s="814"/>
      <c r="L26" s="815"/>
      <c r="M26" s="848"/>
      <c r="N26" s="853"/>
      <c r="O26" s="814"/>
      <c r="P26" s="814"/>
      <c r="Q26" s="814"/>
      <c r="R26" s="848"/>
      <c r="S26" s="853"/>
      <c r="T26" s="814"/>
      <c r="U26" s="814"/>
      <c r="V26" s="814"/>
      <c r="W26" s="848"/>
      <c r="X26" s="848"/>
      <c r="Y26" s="853"/>
      <c r="Z26" s="814"/>
      <c r="AA26" s="814"/>
      <c r="AB26" s="815"/>
      <c r="AC26" s="848"/>
      <c r="AD26" s="853"/>
      <c r="AE26" s="814"/>
      <c r="AF26" s="814"/>
      <c r="AG26" s="815"/>
      <c r="AI26" s="853"/>
      <c r="AJ26" s="814"/>
      <c r="AK26" s="814"/>
      <c r="AL26" s="815"/>
    </row>
    <row r="27" spans="3:38" ht="14.25" thickBot="1" x14ac:dyDescent="0.3">
      <c r="C27" s="889">
        <f t="shared" si="0"/>
        <v>2028</v>
      </c>
      <c r="D27" s="890" t="e">
        <f>'10 Dda Efect SS Salud P2'!AD41</f>
        <v>#DIV/0!</v>
      </c>
      <c r="E27" s="890" t="e">
        <f t="shared" si="1"/>
        <v>#DIV/0!</v>
      </c>
      <c r="F27" s="891" t="e">
        <f t="shared" si="2"/>
        <v>#DIV/0!</v>
      </c>
      <c r="G27" s="1074"/>
      <c r="H27" s="814"/>
      <c r="I27" s="853"/>
      <c r="J27" s="814"/>
      <c r="K27" s="814"/>
      <c r="L27" s="815"/>
      <c r="M27" s="848"/>
      <c r="N27" s="853"/>
      <c r="O27" s="814"/>
      <c r="P27" s="814"/>
      <c r="Q27" s="814"/>
      <c r="R27" s="848"/>
      <c r="S27" s="853"/>
      <c r="T27" s="814"/>
      <c r="U27" s="814"/>
      <c r="V27" s="814"/>
      <c r="W27" s="848"/>
      <c r="X27" s="848"/>
      <c r="Y27" s="853"/>
      <c r="Z27" s="814"/>
      <c r="AA27" s="814"/>
      <c r="AB27" s="815"/>
      <c r="AC27" s="848"/>
      <c r="AD27" s="853"/>
      <c r="AE27" s="814"/>
      <c r="AF27" s="814"/>
      <c r="AG27" s="815"/>
      <c r="AI27" s="853"/>
      <c r="AJ27" s="814"/>
      <c r="AK27" s="814"/>
      <c r="AL27" s="815"/>
    </row>
    <row r="28" spans="3:38" ht="14.25" thickBot="1" x14ac:dyDescent="0.3">
      <c r="C28" s="889">
        <f t="shared" si="0"/>
        <v>2029</v>
      </c>
      <c r="D28" s="890" t="e">
        <f>'10 Dda Efect SS Salud P2'!AD42</f>
        <v>#DIV/0!</v>
      </c>
      <c r="E28" s="890" t="e">
        <f t="shared" si="1"/>
        <v>#DIV/0!</v>
      </c>
      <c r="F28" s="891" t="e">
        <f t="shared" si="2"/>
        <v>#DIV/0!</v>
      </c>
      <c r="G28" s="1074"/>
      <c r="H28" s="814"/>
      <c r="I28" s="853"/>
      <c r="J28" s="814"/>
      <c r="K28" s="814"/>
      <c r="L28" s="815"/>
      <c r="M28" s="848"/>
      <c r="N28" s="853"/>
      <c r="O28" s="814"/>
      <c r="P28" s="814"/>
      <c r="Q28" s="814"/>
      <c r="R28" s="848"/>
      <c r="S28" s="853"/>
      <c r="T28" s="814"/>
      <c r="U28" s="814"/>
      <c r="V28" s="814"/>
      <c r="W28" s="848"/>
      <c r="X28" s="848"/>
      <c r="Y28" s="853"/>
      <c r="Z28" s="814"/>
      <c r="AA28" s="814"/>
      <c r="AB28" s="815"/>
      <c r="AC28" s="848"/>
      <c r="AD28" s="853"/>
      <c r="AE28" s="814"/>
      <c r="AF28" s="814"/>
      <c r="AG28" s="815"/>
      <c r="AI28" s="853"/>
      <c r="AJ28" s="814"/>
      <c r="AK28" s="814"/>
      <c r="AL28" s="815"/>
    </row>
    <row r="29" spans="3:38" ht="14.25" thickBot="1" x14ac:dyDescent="0.3">
      <c r="C29" s="889">
        <f t="shared" si="0"/>
        <v>2030</v>
      </c>
      <c r="D29" s="890" t="e">
        <f>'10 Dda Efect SS Salud P2'!AD43</f>
        <v>#DIV/0!</v>
      </c>
      <c r="E29" s="890" t="e">
        <f t="shared" si="1"/>
        <v>#DIV/0!</v>
      </c>
      <c r="F29" s="891" t="e">
        <f t="shared" si="2"/>
        <v>#DIV/0!</v>
      </c>
      <c r="G29" s="1074"/>
      <c r="H29" s="814"/>
      <c r="I29" s="853"/>
      <c r="J29" s="814"/>
      <c r="K29" s="814"/>
      <c r="L29" s="815"/>
      <c r="M29" s="848"/>
      <c r="N29" s="853"/>
      <c r="O29" s="814"/>
      <c r="P29" s="814"/>
      <c r="Q29" s="814"/>
      <c r="R29" s="848"/>
      <c r="S29" s="853"/>
      <c r="T29" s="814"/>
      <c r="U29" s="814"/>
      <c r="V29" s="814"/>
      <c r="W29" s="848"/>
      <c r="X29" s="848"/>
      <c r="Y29" s="853"/>
      <c r="Z29" s="814"/>
      <c r="AA29" s="814"/>
      <c r="AB29" s="815"/>
      <c r="AC29" s="848"/>
      <c r="AD29" s="853"/>
      <c r="AE29" s="814"/>
      <c r="AF29" s="814"/>
      <c r="AG29" s="815"/>
      <c r="AI29" s="853"/>
      <c r="AJ29" s="814"/>
      <c r="AK29" s="814"/>
      <c r="AL29" s="815"/>
    </row>
    <row r="30" spans="3:38" ht="14.25" thickBot="1" x14ac:dyDescent="0.3">
      <c r="C30" s="889">
        <f t="shared" si="0"/>
        <v>2031</v>
      </c>
      <c r="D30" s="890" t="e">
        <f>'10 Dda Efect SS Salud P2'!AD44</f>
        <v>#DIV/0!</v>
      </c>
      <c r="E30" s="890" t="e">
        <f t="shared" si="1"/>
        <v>#DIV/0!</v>
      </c>
      <c r="F30" s="891" t="e">
        <f t="shared" si="2"/>
        <v>#DIV/0!</v>
      </c>
      <c r="G30" s="1074"/>
      <c r="H30" s="814"/>
      <c r="I30" s="853"/>
      <c r="J30" s="814"/>
      <c r="K30" s="814"/>
      <c r="L30" s="815"/>
      <c r="M30" s="848"/>
      <c r="N30" s="853"/>
      <c r="O30" s="814"/>
      <c r="P30" s="814"/>
      <c r="Q30" s="814"/>
      <c r="R30" s="848"/>
      <c r="S30" s="853"/>
      <c r="T30" s="814"/>
      <c r="U30" s="814"/>
      <c r="V30" s="814"/>
      <c r="W30" s="848"/>
      <c r="X30" s="848"/>
      <c r="Y30" s="853"/>
      <c r="Z30" s="814"/>
      <c r="AA30" s="814"/>
      <c r="AB30" s="815"/>
      <c r="AC30" s="848"/>
      <c r="AD30" s="853"/>
      <c r="AE30" s="814"/>
      <c r="AF30" s="814"/>
      <c r="AG30" s="815"/>
      <c r="AI30" s="853"/>
      <c r="AJ30" s="814"/>
      <c r="AK30" s="814"/>
      <c r="AL30" s="815"/>
    </row>
    <row r="31" spans="3:38" ht="14.25" thickBot="1" x14ac:dyDescent="0.3">
      <c r="C31" s="889">
        <f t="shared" si="0"/>
        <v>2032</v>
      </c>
      <c r="D31" s="890" t="e">
        <f>'10 Dda Efect SS Salud P2'!AD45</f>
        <v>#DIV/0!</v>
      </c>
      <c r="E31" s="890" t="e">
        <f t="shared" si="1"/>
        <v>#DIV/0!</v>
      </c>
      <c r="F31" s="891" t="e">
        <f t="shared" si="2"/>
        <v>#DIV/0!</v>
      </c>
      <c r="G31" s="1074"/>
      <c r="H31" s="814"/>
      <c r="I31" s="853"/>
      <c r="J31" s="814"/>
      <c r="K31" s="814"/>
      <c r="L31" s="815"/>
      <c r="M31" s="848"/>
      <c r="N31" s="853"/>
      <c r="O31" s="814"/>
      <c r="P31" s="814"/>
      <c r="Q31" s="814"/>
      <c r="R31" s="848"/>
      <c r="S31" s="853"/>
      <c r="T31" s="814"/>
      <c r="U31" s="814"/>
      <c r="V31" s="814"/>
      <c r="W31" s="848"/>
      <c r="X31" s="848"/>
      <c r="Y31" s="853"/>
      <c r="Z31" s="814"/>
      <c r="AA31" s="814"/>
      <c r="AB31" s="815"/>
      <c r="AC31" s="848"/>
      <c r="AD31" s="853"/>
      <c r="AE31" s="814"/>
      <c r="AF31" s="814"/>
      <c r="AG31" s="815"/>
      <c r="AI31" s="853"/>
      <c r="AJ31" s="814"/>
      <c r="AK31" s="814"/>
      <c r="AL31" s="815"/>
    </row>
    <row r="32" spans="3:38" ht="14.25" thickBot="1" x14ac:dyDescent="0.3">
      <c r="C32" s="889">
        <f>C31+1</f>
        <v>2033</v>
      </c>
      <c r="D32" s="890" t="e">
        <f>'10 Dda Efect SS Salud P2'!AD46</f>
        <v>#DIV/0!</v>
      </c>
      <c r="E32" s="890" t="e">
        <f t="shared" si="1"/>
        <v>#DIV/0!</v>
      </c>
      <c r="F32" s="891" t="e">
        <f t="shared" si="2"/>
        <v>#DIV/0!</v>
      </c>
      <c r="G32" s="1074"/>
      <c r="H32" s="814"/>
      <c r="I32" s="853"/>
      <c r="J32" s="814"/>
      <c r="K32" s="814"/>
      <c r="L32" s="815"/>
      <c r="M32" s="848"/>
      <c r="N32" s="853"/>
      <c r="O32" s="814"/>
      <c r="P32" s="814"/>
      <c r="Q32" s="814"/>
      <c r="R32" s="848"/>
      <c r="S32" s="853"/>
      <c r="T32" s="814"/>
      <c r="U32" s="814"/>
      <c r="V32" s="814"/>
      <c r="W32" s="848"/>
      <c r="X32" s="848"/>
      <c r="Y32" s="853"/>
      <c r="Z32" s="814"/>
      <c r="AA32" s="814"/>
      <c r="AB32" s="815"/>
      <c r="AC32" s="848"/>
      <c r="AD32" s="853"/>
      <c r="AE32" s="814"/>
      <c r="AF32" s="814"/>
      <c r="AG32" s="815"/>
      <c r="AI32" s="853"/>
      <c r="AJ32" s="814"/>
      <c r="AK32" s="814"/>
      <c r="AL32" s="815"/>
    </row>
    <row r="33" spans="1:38" ht="14.25" thickBot="1" x14ac:dyDescent="0.3">
      <c r="C33" s="889">
        <f>C32+1</f>
        <v>2034</v>
      </c>
      <c r="D33" s="890" t="e">
        <f>'10 Dda Efect SS Salud P2'!AD47</f>
        <v>#DIV/0!</v>
      </c>
      <c r="E33" s="890" t="e">
        <f t="shared" si="1"/>
        <v>#DIV/0!</v>
      </c>
      <c r="F33" s="891" t="e">
        <f t="shared" si="2"/>
        <v>#DIV/0!</v>
      </c>
      <c r="G33" s="1074"/>
      <c r="H33" s="814"/>
      <c r="I33" s="853"/>
      <c r="J33" s="814"/>
      <c r="K33" s="814"/>
      <c r="L33" s="815"/>
      <c r="M33" s="848"/>
      <c r="N33" s="853"/>
      <c r="O33" s="814"/>
      <c r="P33" s="814"/>
      <c r="Q33" s="814"/>
      <c r="R33" s="848"/>
      <c r="S33" s="853"/>
      <c r="T33" s="814"/>
      <c r="U33" s="814"/>
      <c r="V33" s="814"/>
      <c r="W33" s="848"/>
      <c r="X33" s="848"/>
      <c r="Y33" s="853"/>
      <c r="Z33" s="814"/>
      <c r="AA33" s="814"/>
      <c r="AB33" s="815"/>
      <c r="AC33" s="848"/>
      <c r="AD33" s="853"/>
      <c r="AE33" s="814"/>
      <c r="AF33" s="814"/>
      <c r="AG33" s="815"/>
      <c r="AI33" s="853"/>
      <c r="AJ33" s="814"/>
      <c r="AK33" s="814"/>
      <c r="AL33" s="815"/>
    </row>
    <row r="34" spans="1:38" x14ac:dyDescent="0.25">
      <c r="C34" s="873" t="s">
        <v>3689</v>
      </c>
      <c r="D34" s="873"/>
      <c r="E34" s="873"/>
      <c r="F34" s="814"/>
      <c r="G34" s="1074"/>
      <c r="H34" s="814"/>
      <c r="I34" s="853"/>
      <c r="J34" s="814"/>
      <c r="K34" s="814"/>
      <c r="L34" s="814"/>
      <c r="M34" s="850"/>
      <c r="N34" s="850"/>
      <c r="O34" s="850"/>
      <c r="P34" s="848"/>
      <c r="Q34" s="848"/>
      <c r="R34" s="848"/>
      <c r="S34" s="848"/>
      <c r="T34" s="848"/>
      <c r="U34" s="848"/>
      <c r="V34" s="848"/>
      <c r="W34" s="848"/>
      <c r="X34" s="848"/>
      <c r="Y34" s="848"/>
      <c r="Z34" s="848"/>
      <c r="AA34" s="848"/>
      <c r="AB34" s="848"/>
      <c r="AC34" s="848"/>
      <c r="AD34" s="848"/>
      <c r="AE34" s="848"/>
    </row>
    <row r="35" spans="1:38" ht="14.25" thickBot="1" x14ac:dyDescent="0.3">
      <c r="C35" s="873"/>
      <c r="D35" s="873"/>
      <c r="E35" s="873"/>
      <c r="F35" s="814"/>
      <c r="G35" s="1074"/>
      <c r="H35" s="814"/>
      <c r="I35" s="853"/>
      <c r="J35" s="814"/>
      <c r="K35" s="814"/>
      <c r="L35" s="814"/>
      <c r="M35" s="850"/>
      <c r="N35" s="850"/>
      <c r="O35" s="850"/>
      <c r="P35" s="848"/>
      <c r="Q35" s="848"/>
      <c r="R35" s="848"/>
      <c r="S35" s="848"/>
      <c r="T35" s="848"/>
      <c r="U35" s="848"/>
      <c r="V35" s="848"/>
      <c r="W35" s="848"/>
      <c r="X35" s="848"/>
      <c r="Y35" s="848"/>
      <c r="Z35" s="848"/>
      <c r="AA35" s="848"/>
      <c r="AB35" s="848"/>
      <c r="AC35" s="848"/>
      <c r="AD35" s="848"/>
      <c r="AE35" s="848"/>
    </row>
    <row r="36" spans="1:38" ht="15" customHeight="1" thickBot="1" x14ac:dyDescent="0.3">
      <c r="C36" s="4435" t="s">
        <v>295</v>
      </c>
      <c r="D36" s="4436"/>
      <c r="E36" s="4436"/>
      <c r="F36" s="4436"/>
      <c r="G36" s="4436"/>
      <c r="H36" s="4437"/>
      <c r="I36" s="814"/>
      <c r="J36" s="853"/>
      <c r="K36" s="814"/>
      <c r="L36" s="814"/>
      <c r="M36" s="814"/>
      <c r="N36" s="850"/>
      <c r="O36" s="850"/>
      <c r="P36" s="848"/>
      <c r="Q36" s="848"/>
      <c r="R36" s="848"/>
      <c r="S36" s="848"/>
      <c r="T36" s="848"/>
      <c r="U36" s="848"/>
      <c r="V36" s="848"/>
      <c r="W36" s="848"/>
      <c r="X36" s="848"/>
      <c r="Y36" s="848"/>
      <c r="Z36" s="848"/>
      <c r="AA36" s="848"/>
      <c r="AB36" s="848"/>
      <c r="AC36" s="848"/>
      <c r="AD36" s="848"/>
      <c r="AE36" s="848"/>
    </row>
    <row r="37" spans="1:38" ht="14.25" thickBot="1" x14ac:dyDescent="0.3">
      <c r="A37" s="1107"/>
      <c r="B37" s="847"/>
      <c r="C37" s="873"/>
      <c r="D37" s="873"/>
      <c r="E37" s="873"/>
      <c r="F37" s="814"/>
      <c r="G37" s="1075"/>
      <c r="H37" s="814"/>
      <c r="I37" s="853"/>
      <c r="J37" s="814"/>
      <c r="K37" s="814"/>
      <c r="L37" s="814"/>
      <c r="M37" s="850"/>
      <c r="N37" s="850"/>
      <c r="O37" s="850"/>
      <c r="P37" s="848"/>
      <c r="Q37" s="848"/>
      <c r="R37" s="848"/>
      <c r="S37" s="848"/>
      <c r="T37" s="848"/>
      <c r="U37" s="848"/>
      <c r="V37" s="848"/>
      <c r="W37" s="848"/>
      <c r="X37" s="848"/>
      <c r="Y37" s="848"/>
      <c r="Z37" s="848"/>
      <c r="AA37" s="848"/>
      <c r="AB37" s="848"/>
      <c r="AC37" s="848"/>
      <c r="AD37" s="848"/>
      <c r="AE37" s="848"/>
    </row>
    <row r="38" spans="1:38" ht="14.25" thickBot="1" x14ac:dyDescent="0.3">
      <c r="C38" s="4434" t="s">
        <v>1799</v>
      </c>
      <c r="D38" s="4434"/>
      <c r="E38" s="4434"/>
      <c r="F38" s="814"/>
      <c r="G38" s="4434" t="s">
        <v>1800</v>
      </c>
      <c r="H38" s="4434"/>
      <c r="I38" s="853"/>
      <c r="J38" s="814"/>
      <c r="K38" s="814"/>
      <c r="L38" s="814"/>
      <c r="M38" s="850"/>
      <c r="N38" s="850"/>
      <c r="O38" s="850"/>
      <c r="P38" s="848"/>
      <c r="Q38" s="848"/>
      <c r="R38" s="848"/>
      <c r="S38" s="848"/>
      <c r="T38" s="848"/>
      <c r="U38" s="848"/>
      <c r="V38" s="848"/>
      <c r="W38" s="848"/>
      <c r="X38" s="848"/>
      <c r="Y38" s="848"/>
      <c r="Z38" s="848"/>
      <c r="AA38" s="848"/>
      <c r="AB38" s="848"/>
      <c r="AC38" s="848"/>
      <c r="AD38" s="848"/>
      <c r="AE38" s="848"/>
    </row>
    <row r="39" spans="1:38" ht="14.25" thickBot="1" x14ac:dyDescent="0.3">
      <c r="C39" s="960"/>
      <c r="D39" s="960"/>
      <c r="E39" s="960"/>
      <c r="F39" s="814"/>
      <c r="G39" s="1074"/>
      <c r="H39" s="814"/>
      <c r="I39" s="853"/>
      <c r="J39" s="814"/>
      <c r="K39" s="814"/>
      <c r="L39" s="814"/>
      <c r="M39" s="850"/>
      <c r="N39" s="850"/>
      <c r="O39" s="850"/>
      <c r="P39" s="848"/>
      <c r="Q39" s="848"/>
      <c r="R39" s="848"/>
      <c r="S39" s="848"/>
      <c r="T39" s="848"/>
      <c r="U39" s="848"/>
      <c r="V39" s="848"/>
      <c r="W39" s="848"/>
      <c r="X39" s="848"/>
      <c r="Y39" s="848"/>
      <c r="Z39" s="848"/>
      <c r="AA39" s="848"/>
      <c r="AB39" s="848"/>
      <c r="AC39" s="848"/>
      <c r="AD39" s="848"/>
      <c r="AE39" s="848"/>
    </row>
    <row r="40" spans="1:38" ht="14.25" thickBot="1" x14ac:dyDescent="0.3">
      <c r="C40" s="960"/>
      <c r="D40" s="960"/>
      <c r="E40" s="904" t="s">
        <v>1801</v>
      </c>
      <c r="F40" s="814"/>
      <c r="G40" s="1074"/>
      <c r="H40" s="904" t="s">
        <v>1802</v>
      </c>
      <c r="I40" s="853"/>
      <c r="J40" s="814"/>
      <c r="K40" s="814"/>
      <c r="L40" s="814"/>
      <c r="M40" s="850"/>
      <c r="N40" s="850"/>
      <c r="O40" s="850"/>
      <c r="P40" s="848"/>
      <c r="Q40" s="848"/>
      <c r="R40" s="848"/>
      <c r="S40" s="848"/>
      <c r="T40" s="848"/>
      <c r="U40" s="848"/>
      <c r="V40" s="848"/>
      <c r="W40" s="848"/>
      <c r="X40" s="848"/>
      <c r="Y40" s="848"/>
      <c r="Z40" s="848"/>
      <c r="AA40" s="848"/>
      <c r="AB40" s="848"/>
      <c r="AC40" s="848"/>
      <c r="AD40" s="848"/>
      <c r="AE40" s="848"/>
    </row>
    <row r="41" spans="1:38" ht="41.25" customHeight="1" thickBot="1" x14ac:dyDescent="0.3">
      <c r="C41" s="3990" t="s">
        <v>1485</v>
      </c>
      <c r="D41" s="3987" t="s">
        <v>1680</v>
      </c>
      <c r="E41" s="1048" t="s">
        <v>1803</v>
      </c>
      <c r="F41" s="814"/>
      <c r="G41" s="3990" t="s">
        <v>1485</v>
      </c>
      <c r="H41" s="1048" t="s">
        <v>1953</v>
      </c>
      <c r="I41" s="814"/>
      <c r="J41" s="814"/>
      <c r="K41" s="814"/>
      <c r="L41" s="850"/>
      <c r="M41" s="850"/>
      <c r="N41" s="850"/>
      <c r="O41" s="848"/>
      <c r="P41" s="848"/>
      <c r="Q41" s="848"/>
      <c r="R41" s="848"/>
      <c r="S41" s="848"/>
      <c r="T41" s="848"/>
      <c r="U41" s="848"/>
      <c r="V41" s="848"/>
      <c r="W41" s="848"/>
      <c r="X41" s="848"/>
      <c r="Y41" s="848"/>
      <c r="Z41" s="848"/>
      <c r="AA41" s="848"/>
      <c r="AB41" s="848"/>
      <c r="AC41" s="848"/>
      <c r="AD41" s="848"/>
    </row>
    <row r="42" spans="1:38" ht="20.25" customHeight="1" thickBot="1" x14ac:dyDescent="0.3">
      <c r="C42" s="3992"/>
      <c r="D42" s="3989"/>
      <c r="E42" s="1490" t="e">
        <f>'4 Estadis ESTRATEG Prod3'!H311</f>
        <v>#DIV/0!</v>
      </c>
      <c r="F42" s="814"/>
      <c r="G42" s="3992"/>
      <c r="H42" s="1494" t="e">
        <f>'4 Estadis ESTRATEG Prod3'!G311</f>
        <v>#DIV/0!</v>
      </c>
      <c r="I42" s="814"/>
      <c r="J42" s="814"/>
      <c r="K42" s="814"/>
      <c r="L42" s="850"/>
      <c r="M42" s="850"/>
      <c r="N42" s="850"/>
      <c r="O42" s="848"/>
      <c r="P42" s="848"/>
      <c r="Q42" s="848"/>
      <c r="R42" s="848"/>
      <c r="S42" s="848"/>
      <c r="T42" s="848"/>
      <c r="U42" s="848"/>
      <c r="V42" s="848"/>
      <c r="W42" s="848"/>
      <c r="X42" s="848"/>
      <c r="Y42" s="848"/>
      <c r="Z42" s="848"/>
      <c r="AA42" s="848"/>
      <c r="AB42" s="848"/>
      <c r="AC42" s="848"/>
      <c r="AD42" s="848"/>
    </row>
    <row r="43" spans="1:38" ht="14.25" thickBot="1" x14ac:dyDescent="0.3">
      <c r="C43" s="942">
        <v>2018</v>
      </c>
      <c r="D43" s="943" t="e">
        <f>D17</f>
        <v>#DIV/0!</v>
      </c>
      <c r="E43" s="1491" t="e">
        <f>D43*E42</f>
        <v>#DIV/0!</v>
      </c>
      <c r="F43" s="814"/>
      <c r="G43" s="942">
        <v>2018</v>
      </c>
      <c r="H43" s="1456" t="e">
        <f>(+E43+F17)*$H$42</f>
        <v>#DIV/0!</v>
      </c>
      <c r="I43" s="814"/>
      <c r="J43" s="814"/>
      <c r="K43" s="814"/>
      <c r="L43" s="850"/>
      <c r="M43" s="850"/>
      <c r="N43" s="850"/>
      <c r="O43" s="848"/>
      <c r="P43" s="848"/>
      <c r="Q43" s="848"/>
      <c r="R43" s="848"/>
      <c r="S43" s="848"/>
      <c r="T43" s="848"/>
      <c r="U43" s="848"/>
      <c r="V43" s="848"/>
      <c r="W43" s="848"/>
      <c r="X43" s="848"/>
      <c r="Y43" s="848"/>
      <c r="Z43" s="848"/>
      <c r="AA43" s="848"/>
      <c r="AB43" s="848"/>
      <c r="AC43" s="848"/>
      <c r="AD43" s="848"/>
    </row>
    <row r="44" spans="1:38" ht="14.25" thickBot="1" x14ac:dyDescent="0.3">
      <c r="C44" s="942">
        <f t="shared" ref="C44:C57" si="3">C43+1</f>
        <v>2019</v>
      </c>
      <c r="D44" s="943" t="e">
        <f t="shared" ref="D44:D59" si="4">D18</f>
        <v>#DIV/0!</v>
      </c>
      <c r="E44" s="1491" t="e">
        <f>+D44*E42</f>
        <v>#DIV/0!</v>
      </c>
      <c r="F44" s="814"/>
      <c r="G44" s="942">
        <f t="shared" ref="G44:G57" si="5">G43+1</f>
        <v>2019</v>
      </c>
      <c r="H44" s="1456" t="e">
        <f t="shared" ref="H44:H59" si="6">(+E44+F18)*$H$42</f>
        <v>#DIV/0!</v>
      </c>
      <c r="I44" s="814"/>
      <c r="J44" s="814"/>
      <c r="K44" s="814"/>
      <c r="L44" s="850"/>
      <c r="M44" s="850"/>
      <c r="N44" s="850"/>
      <c r="O44" s="848"/>
      <c r="P44" s="848"/>
      <c r="Q44" s="848"/>
      <c r="R44" s="848"/>
      <c r="S44" s="848"/>
      <c r="T44" s="848"/>
      <c r="U44" s="848"/>
      <c r="V44" s="848"/>
      <c r="W44" s="848"/>
      <c r="X44" s="848"/>
      <c r="Y44" s="848"/>
      <c r="Z44" s="848"/>
      <c r="AA44" s="848"/>
      <c r="AB44" s="848"/>
      <c r="AC44" s="848"/>
      <c r="AD44" s="848"/>
    </row>
    <row r="45" spans="1:38" ht="14.25" thickBot="1" x14ac:dyDescent="0.3">
      <c r="C45" s="948">
        <f t="shared" si="3"/>
        <v>2020</v>
      </c>
      <c r="D45" s="949" t="e">
        <f t="shared" si="4"/>
        <v>#DIV/0!</v>
      </c>
      <c r="E45" s="1492" t="e">
        <f>+D45*E$42</f>
        <v>#DIV/0!</v>
      </c>
      <c r="F45" s="814"/>
      <c r="G45" s="948">
        <f t="shared" si="5"/>
        <v>2020</v>
      </c>
      <c r="H45" s="1458" t="e">
        <f t="shared" si="6"/>
        <v>#DIV/0!</v>
      </c>
      <c r="I45" s="814"/>
      <c r="J45" s="814"/>
      <c r="K45" s="814"/>
      <c r="L45" s="850"/>
      <c r="M45" s="850"/>
      <c r="N45" s="850"/>
      <c r="O45" s="848"/>
      <c r="P45" s="848"/>
      <c r="Q45" s="848"/>
      <c r="R45" s="848"/>
      <c r="S45" s="848"/>
      <c r="T45" s="848"/>
      <c r="U45" s="848"/>
      <c r="V45" s="848"/>
      <c r="W45" s="848"/>
      <c r="X45" s="848"/>
      <c r="Y45" s="848"/>
      <c r="Z45" s="848"/>
      <c r="AA45" s="848"/>
      <c r="AB45" s="848"/>
      <c r="AC45" s="848"/>
      <c r="AD45" s="848"/>
    </row>
    <row r="46" spans="1:38" ht="14.25" thickBot="1" x14ac:dyDescent="0.3">
      <c r="C46" s="948">
        <f t="shared" si="3"/>
        <v>2021</v>
      </c>
      <c r="D46" s="949" t="e">
        <f t="shared" si="4"/>
        <v>#DIV/0!</v>
      </c>
      <c r="E46" s="1492" t="e">
        <f t="shared" ref="E46:E57" si="7">+D46*E$42</f>
        <v>#DIV/0!</v>
      </c>
      <c r="F46" s="814"/>
      <c r="G46" s="948">
        <f t="shared" si="5"/>
        <v>2021</v>
      </c>
      <c r="H46" s="1458" t="e">
        <f t="shared" si="6"/>
        <v>#DIV/0!</v>
      </c>
      <c r="I46" s="814"/>
      <c r="J46" s="814"/>
      <c r="K46" s="814"/>
      <c r="L46" s="850"/>
      <c r="M46" s="850"/>
      <c r="N46" s="850"/>
      <c r="O46" s="848"/>
      <c r="P46" s="848"/>
      <c r="Q46" s="848"/>
      <c r="R46" s="848"/>
      <c r="S46" s="848"/>
      <c r="T46" s="848"/>
      <c r="U46" s="848"/>
      <c r="V46" s="848"/>
      <c r="W46" s="848"/>
      <c r="X46" s="848"/>
      <c r="Y46" s="848"/>
      <c r="Z46" s="848"/>
      <c r="AA46" s="848"/>
      <c r="AB46" s="848"/>
      <c r="AC46" s="848"/>
      <c r="AD46" s="848"/>
    </row>
    <row r="47" spans="1:38" ht="14.25" thickBot="1" x14ac:dyDescent="0.3">
      <c r="C47" s="948">
        <f t="shared" si="3"/>
        <v>2022</v>
      </c>
      <c r="D47" s="949" t="e">
        <f t="shared" si="4"/>
        <v>#DIV/0!</v>
      </c>
      <c r="E47" s="1492" t="e">
        <f t="shared" si="7"/>
        <v>#DIV/0!</v>
      </c>
      <c r="F47" s="814"/>
      <c r="G47" s="948">
        <f t="shared" si="5"/>
        <v>2022</v>
      </c>
      <c r="H47" s="1458" t="e">
        <f t="shared" si="6"/>
        <v>#DIV/0!</v>
      </c>
      <c r="I47" s="814"/>
      <c r="J47" s="814"/>
      <c r="K47" s="814"/>
      <c r="L47" s="850"/>
      <c r="M47" s="850"/>
      <c r="N47" s="850"/>
      <c r="O47" s="848"/>
      <c r="P47" s="848"/>
      <c r="Q47" s="848"/>
      <c r="R47" s="848"/>
      <c r="S47" s="848"/>
      <c r="T47" s="848"/>
      <c r="U47" s="848"/>
      <c r="V47" s="848"/>
      <c r="W47" s="848"/>
      <c r="X47" s="848"/>
      <c r="Y47" s="848"/>
      <c r="Z47" s="848"/>
      <c r="AA47" s="848"/>
      <c r="AB47" s="848"/>
      <c r="AC47" s="848"/>
      <c r="AD47" s="848"/>
    </row>
    <row r="48" spans="1:38" ht="14.25" thickBot="1" x14ac:dyDescent="0.3">
      <c r="C48" s="889">
        <f t="shared" si="3"/>
        <v>2023</v>
      </c>
      <c r="D48" s="890" t="e">
        <f t="shared" si="4"/>
        <v>#DIV/0!</v>
      </c>
      <c r="E48" s="1493" t="e">
        <f t="shared" si="7"/>
        <v>#DIV/0!</v>
      </c>
      <c r="F48" s="814"/>
      <c r="G48" s="889">
        <f t="shared" si="5"/>
        <v>2023</v>
      </c>
      <c r="H48" s="1459" t="e">
        <f t="shared" si="6"/>
        <v>#DIV/0!</v>
      </c>
      <c r="I48" s="814"/>
      <c r="J48" s="814"/>
      <c r="K48" s="814"/>
      <c r="L48" s="850"/>
      <c r="M48" s="850"/>
      <c r="N48" s="850"/>
      <c r="O48" s="848"/>
      <c r="P48" s="848"/>
      <c r="Q48" s="848"/>
      <c r="R48" s="848"/>
      <c r="S48" s="848"/>
      <c r="T48" s="848"/>
      <c r="U48" s="848"/>
      <c r="V48" s="848"/>
      <c r="W48" s="848"/>
      <c r="X48" s="848"/>
      <c r="Y48" s="848"/>
      <c r="Z48" s="848"/>
      <c r="AA48" s="848"/>
      <c r="AB48" s="848"/>
      <c r="AC48" s="848"/>
      <c r="AD48" s="848"/>
    </row>
    <row r="49" spans="3:31" ht="14.25" thickBot="1" x14ac:dyDescent="0.3">
      <c r="C49" s="889">
        <f t="shared" si="3"/>
        <v>2024</v>
      </c>
      <c r="D49" s="890" t="e">
        <f t="shared" si="4"/>
        <v>#DIV/0!</v>
      </c>
      <c r="E49" s="1493" t="e">
        <f t="shared" si="7"/>
        <v>#DIV/0!</v>
      </c>
      <c r="F49" s="814"/>
      <c r="G49" s="889">
        <f t="shared" si="5"/>
        <v>2024</v>
      </c>
      <c r="H49" s="1459" t="e">
        <f t="shared" si="6"/>
        <v>#DIV/0!</v>
      </c>
      <c r="I49" s="814"/>
      <c r="J49" s="814"/>
      <c r="K49" s="814"/>
      <c r="L49" s="850"/>
      <c r="M49" s="850"/>
      <c r="N49" s="850"/>
      <c r="O49" s="848"/>
      <c r="P49" s="848"/>
      <c r="Q49" s="848"/>
      <c r="R49" s="848"/>
      <c r="S49" s="848"/>
      <c r="T49" s="848"/>
      <c r="U49" s="848"/>
      <c r="V49" s="848"/>
      <c r="W49" s="848"/>
      <c r="X49" s="848"/>
      <c r="Y49" s="848"/>
      <c r="Z49" s="848"/>
      <c r="AA49" s="848"/>
      <c r="AB49" s="848"/>
      <c r="AC49" s="848"/>
      <c r="AD49" s="848"/>
    </row>
    <row r="50" spans="3:31" ht="14.25" thickBot="1" x14ac:dyDescent="0.3">
      <c r="C50" s="889">
        <f t="shared" si="3"/>
        <v>2025</v>
      </c>
      <c r="D50" s="890" t="e">
        <f t="shared" si="4"/>
        <v>#DIV/0!</v>
      </c>
      <c r="E50" s="1493" t="e">
        <f t="shared" si="7"/>
        <v>#DIV/0!</v>
      </c>
      <c r="F50" s="814"/>
      <c r="G50" s="889">
        <f t="shared" si="5"/>
        <v>2025</v>
      </c>
      <c r="H50" s="1459" t="e">
        <f t="shared" si="6"/>
        <v>#DIV/0!</v>
      </c>
      <c r="I50" s="814"/>
      <c r="J50" s="814"/>
      <c r="K50" s="814"/>
      <c r="L50" s="850"/>
      <c r="M50" s="850"/>
      <c r="N50" s="850"/>
      <c r="O50" s="848"/>
      <c r="P50" s="848"/>
      <c r="Q50" s="848"/>
      <c r="R50" s="848"/>
      <c r="S50" s="848"/>
      <c r="T50" s="848"/>
      <c r="U50" s="848"/>
      <c r="V50" s="848"/>
      <c r="W50" s="848"/>
      <c r="X50" s="848"/>
      <c r="Y50" s="848"/>
      <c r="Z50" s="848"/>
      <c r="AA50" s="848"/>
      <c r="AB50" s="848"/>
      <c r="AC50" s="848"/>
      <c r="AD50" s="848"/>
    </row>
    <row r="51" spans="3:31" ht="14.25" thickBot="1" x14ac:dyDescent="0.3">
      <c r="C51" s="889">
        <f t="shared" si="3"/>
        <v>2026</v>
      </c>
      <c r="D51" s="890" t="e">
        <f t="shared" si="4"/>
        <v>#DIV/0!</v>
      </c>
      <c r="E51" s="1493" t="e">
        <f t="shared" si="7"/>
        <v>#DIV/0!</v>
      </c>
      <c r="F51" s="814"/>
      <c r="G51" s="889">
        <f t="shared" si="5"/>
        <v>2026</v>
      </c>
      <c r="H51" s="1459" t="e">
        <f t="shared" si="6"/>
        <v>#DIV/0!</v>
      </c>
      <c r="I51" s="814"/>
      <c r="J51" s="814"/>
      <c r="K51" s="814"/>
      <c r="L51" s="850"/>
      <c r="M51" s="850"/>
      <c r="N51" s="850"/>
      <c r="O51" s="848"/>
      <c r="P51" s="848"/>
      <c r="Q51" s="848"/>
      <c r="R51" s="848"/>
      <c r="S51" s="848"/>
      <c r="T51" s="848"/>
      <c r="U51" s="848"/>
      <c r="V51" s="848"/>
      <c r="W51" s="848"/>
      <c r="X51" s="848"/>
      <c r="Y51" s="848"/>
      <c r="Z51" s="848"/>
      <c r="AA51" s="848"/>
      <c r="AB51" s="848"/>
      <c r="AC51" s="848"/>
      <c r="AD51" s="848"/>
    </row>
    <row r="52" spans="3:31" ht="14.25" thickBot="1" x14ac:dyDescent="0.3">
      <c r="C52" s="889">
        <f t="shared" si="3"/>
        <v>2027</v>
      </c>
      <c r="D52" s="890" t="e">
        <f t="shared" si="4"/>
        <v>#DIV/0!</v>
      </c>
      <c r="E52" s="1493" t="e">
        <f t="shared" si="7"/>
        <v>#DIV/0!</v>
      </c>
      <c r="F52" s="814"/>
      <c r="G52" s="889">
        <f t="shared" si="5"/>
        <v>2027</v>
      </c>
      <c r="H52" s="1459" t="e">
        <f t="shared" si="6"/>
        <v>#DIV/0!</v>
      </c>
      <c r="I52" s="814"/>
      <c r="J52" s="814"/>
      <c r="K52" s="814"/>
      <c r="L52" s="850"/>
      <c r="M52" s="850"/>
      <c r="N52" s="850"/>
      <c r="O52" s="848"/>
      <c r="P52" s="848"/>
      <c r="Q52" s="848"/>
      <c r="R52" s="848"/>
      <c r="S52" s="848"/>
      <c r="T52" s="848"/>
      <c r="U52" s="848"/>
      <c r="V52" s="848"/>
      <c r="W52" s="848"/>
      <c r="X52" s="848"/>
      <c r="Y52" s="848"/>
      <c r="Z52" s="848"/>
      <c r="AA52" s="848"/>
      <c r="AB52" s="848"/>
      <c r="AC52" s="848"/>
      <c r="AD52" s="848"/>
    </row>
    <row r="53" spans="3:31" ht="14.25" thickBot="1" x14ac:dyDescent="0.3">
      <c r="C53" s="889">
        <f t="shared" si="3"/>
        <v>2028</v>
      </c>
      <c r="D53" s="890" t="e">
        <f t="shared" si="4"/>
        <v>#DIV/0!</v>
      </c>
      <c r="E53" s="1493" t="e">
        <f t="shared" si="7"/>
        <v>#DIV/0!</v>
      </c>
      <c r="F53" s="814"/>
      <c r="G53" s="889">
        <f t="shared" si="5"/>
        <v>2028</v>
      </c>
      <c r="H53" s="1459" t="e">
        <f t="shared" si="6"/>
        <v>#DIV/0!</v>
      </c>
      <c r="I53" s="814"/>
      <c r="J53" s="814"/>
      <c r="K53" s="814"/>
      <c r="L53" s="850"/>
      <c r="M53" s="850"/>
      <c r="N53" s="850"/>
      <c r="O53" s="848"/>
      <c r="P53" s="848"/>
      <c r="Q53" s="848"/>
      <c r="R53" s="848"/>
      <c r="S53" s="848"/>
      <c r="T53" s="848"/>
      <c r="U53" s="848"/>
      <c r="V53" s="848"/>
      <c r="W53" s="848"/>
      <c r="X53" s="848"/>
      <c r="Y53" s="848"/>
      <c r="Z53" s="848"/>
      <c r="AA53" s="848"/>
      <c r="AB53" s="848"/>
      <c r="AC53" s="848"/>
      <c r="AD53" s="848"/>
    </row>
    <row r="54" spans="3:31" ht="14.25" thickBot="1" x14ac:dyDescent="0.3">
      <c r="C54" s="889">
        <f t="shared" si="3"/>
        <v>2029</v>
      </c>
      <c r="D54" s="890" t="e">
        <f t="shared" si="4"/>
        <v>#DIV/0!</v>
      </c>
      <c r="E54" s="1493" t="e">
        <f t="shared" si="7"/>
        <v>#DIV/0!</v>
      </c>
      <c r="F54" s="814"/>
      <c r="G54" s="889">
        <f t="shared" si="5"/>
        <v>2029</v>
      </c>
      <c r="H54" s="1459" t="e">
        <f t="shared" si="6"/>
        <v>#DIV/0!</v>
      </c>
      <c r="I54" s="814"/>
      <c r="J54" s="814"/>
      <c r="K54" s="814"/>
      <c r="L54" s="850"/>
      <c r="M54" s="850"/>
      <c r="N54" s="850"/>
      <c r="O54" s="848"/>
      <c r="P54" s="848"/>
      <c r="Q54" s="848"/>
      <c r="R54" s="848"/>
      <c r="S54" s="848"/>
      <c r="T54" s="848"/>
      <c r="U54" s="848"/>
      <c r="V54" s="848"/>
      <c r="W54" s="848"/>
      <c r="X54" s="848"/>
      <c r="Y54" s="848"/>
      <c r="Z54" s="848"/>
      <c r="AA54" s="848"/>
      <c r="AB54" s="848"/>
      <c r="AC54" s="848"/>
      <c r="AD54" s="848"/>
    </row>
    <row r="55" spans="3:31" ht="14.25" thickBot="1" x14ac:dyDescent="0.3">
      <c r="C55" s="889">
        <f t="shared" si="3"/>
        <v>2030</v>
      </c>
      <c r="D55" s="890" t="e">
        <f t="shared" si="4"/>
        <v>#DIV/0!</v>
      </c>
      <c r="E55" s="1493" t="e">
        <f t="shared" si="7"/>
        <v>#DIV/0!</v>
      </c>
      <c r="F55" s="814"/>
      <c r="G55" s="889">
        <f t="shared" si="5"/>
        <v>2030</v>
      </c>
      <c r="H55" s="1459" t="e">
        <f t="shared" si="6"/>
        <v>#DIV/0!</v>
      </c>
      <c r="I55" s="814"/>
      <c r="J55" s="814"/>
      <c r="K55" s="814"/>
      <c r="L55" s="850"/>
      <c r="M55" s="850"/>
      <c r="N55" s="850"/>
      <c r="O55" s="848"/>
      <c r="P55" s="848"/>
      <c r="Q55" s="848"/>
      <c r="R55" s="848"/>
      <c r="S55" s="848"/>
      <c r="T55" s="848"/>
      <c r="U55" s="848"/>
      <c r="V55" s="848"/>
      <c r="W55" s="848"/>
      <c r="X55" s="848"/>
      <c r="Y55" s="848"/>
      <c r="Z55" s="848"/>
      <c r="AA55" s="848"/>
      <c r="AB55" s="848"/>
      <c r="AC55" s="848"/>
      <c r="AD55" s="848"/>
    </row>
    <row r="56" spans="3:31" ht="14.25" thickBot="1" x14ac:dyDescent="0.3">
      <c r="C56" s="889">
        <f t="shared" si="3"/>
        <v>2031</v>
      </c>
      <c r="D56" s="890" t="e">
        <f t="shared" si="4"/>
        <v>#DIV/0!</v>
      </c>
      <c r="E56" s="1493" t="e">
        <f t="shared" si="7"/>
        <v>#DIV/0!</v>
      </c>
      <c r="F56" s="814"/>
      <c r="G56" s="889">
        <f t="shared" si="5"/>
        <v>2031</v>
      </c>
      <c r="H56" s="1459" t="e">
        <f t="shared" si="6"/>
        <v>#DIV/0!</v>
      </c>
      <c r="I56" s="814"/>
      <c r="J56" s="814"/>
      <c r="K56" s="814"/>
      <c r="L56" s="850"/>
      <c r="M56" s="850"/>
      <c r="N56" s="850"/>
      <c r="O56" s="848"/>
      <c r="P56" s="848"/>
      <c r="Q56" s="848"/>
      <c r="R56" s="848"/>
      <c r="S56" s="848"/>
      <c r="T56" s="848"/>
      <c r="U56" s="848"/>
      <c r="V56" s="848"/>
      <c r="W56" s="848"/>
      <c r="X56" s="848"/>
      <c r="Y56" s="848"/>
      <c r="Z56" s="848"/>
      <c r="AA56" s="848"/>
      <c r="AB56" s="848"/>
      <c r="AC56" s="848"/>
      <c r="AD56" s="848"/>
    </row>
    <row r="57" spans="3:31" ht="14.25" thickBot="1" x14ac:dyDescent="0.3">
      <c r="C57" s="889">
        <f t="shared" si="3"/>
        <v>2032</v>
      </c>
      <c r="D57" s="890" t="e">
        <f t="shared" si="4"/>
        <v>#DIV/0!</v>
      </c>
      <c r="E57" s="1493" t="e">
        <f t="shared" si="7"/>
        <v>#DIV/0!</v>
      </c>
      <c r="F57" s="814"/>
      <c r="G57" s="889">
        <f t="shared" si="5"/>
        <v>2032</v>
      </c>
      <c r="H57" s="1459" t="e">
        <f t="shared" si="6"/>
        <v>#DIV/0!</v>
      </c>
      <c r="I57" s="814"/>
      <c r="J57" s="814"/>
      <c r="K57" s="814"/>
      <c r="L57" s="850"/>
      <c r="M57" s="850"/>
      <c r="N57" s="850"/>
      <c r="O57" s="848"/>
      <c r="P57" s="848"/>
      <c r="Q57" s="848"/>
      <c r="R57" s="848"/>
      <c r="S57" s="848"/>
      <c r="T57" s="848"/>
      <c r="U57" s="848"/>
      <c r="V57" s="848"/>
      <c r="W57" s="848"/>
      <c r="X57" s="848"/>
      <c r="Y57" s="848"/>
      <c r="Z57" s="848"/>
      <c r="AA57" s="848"/>
      <c r="AB57" s="848"/>
      <c r="AC57" s="848"/>
      <c r="AD57" s="848"/>
    </row>
    <row r="58" spans="3:31" ht="14.25" thickBot="1" x14ac:dyDescent="0.3">
      <c r="C58" s="889">
        <f>C57+1</f>
        <v>2033</v>
      </c>
      <c r="D58" s="890" t="e">
        <f t="shared" si="4"/>
        <v>#DIV/0!</v>
      </c>
      <c r="E58" s="1493" t="e">
        <f>+D58*E$42</f>
        <v>#DIV/0!</v>
      </c>
      <c r="F58" s="814"/>
      <c r="G58" s="889">
        <f>G57+1</f>
        <v>2033</v>
      </c>
      <c r="H58" s="1459" t="e">
        <f t="shared" si="6"/>
        <v>#DIV/0!</v>
      </c>
      <c r="I58" s="814"/>
      <c r="J58" s="814"/>
      <c r="K58" s="814"/>
      <c r="L58" s="850"/>
      <c r="M58" s="850"/>
      <c r="N58" s="850"/>
      <c r="O58" s="848"/>
      <c r="P58" s="848"/>
      <c r="Q58" s="848"/>
      <c r="R58" s="848"/>
      <c r="S58" s="848"/>
      <c r="T58" s="848"/>
      <c r="U58" s="848"/>
      <c r="V58" s="848"/>
      <c r="W58" s="848"/>
      <c r="X58" s="848"/>
      <c r="Y58" s="848"/>
      <c r="Z58" s="848"/>
      <c r="AA58" s="848"/>
      <c r="AB58" s="848"/>
      <c r="AC58" s="848"/>
      <c r="AD58" s="848"/>
    </row>
    <row r="59" spans="3:31" ht="14.25" thickBot="1" x14ac:dyDescent="0.3">
      <c r="C59" s="889">
        <f>C58+1</f>
        <v>2034</v>
      </c>
      <c r="D59" s="890" t="e">
        <f t="shared" si="4"/>
        <v>#DIV/0!</v>
      </c>
      <c r="E59" s="1493" t="e">
        <f>+D59*E$42</f>
        <v>#DIV/0!</v>
      </c>
      <c r="F59" s="822"/>
      <c r="G59" s="889">
        <f>G58+1</f>
        <v>2034</v>
      </c>
      <c r="H59" s="1459" t="e">
        <f t="shared" si="6"/>
        <v>#DIV/0!</v>
      </c>
      <c r="I59" s="850"/>
      <c r="J59" s="850"/>
      <c r="K59" s="850"/>
      <c r="L59" s="850"/>
      <c r="M59" s="850"/>
      <c r="N59" s="850"/>
      <c r="O59" s="848"/>
      <c r="P59" s="848"/>
      <c r="Q59" s="848"/>
      <c r="R59" s="848"/>
      <c r="S59" s="848"/>
      <c r="T59" s="848"/>
      <c r="U59" s="848"/>
      <c r="V59" s="848"/>
      <c r="W59" s="848"/>
      <c r="X59" s="848"/>
      <c r="Y59" s="848"/>
      <c r="Z59" s="848"/>
      <c r="AA59" s="848"/>
      <c r="AB59" s="848"/>
      <c r="AC59" s="848"/>
      <c r="AD59" s="848"/>
    </row>
    <row r="60" spans="3:31" x14ac:dyDescent="0.25">
      <c r="C60" s="873"/>
      <c r="D60" s="873"/>
      <c r="E60" s="873"/>
      <c r="F60" s="822"/>
      <c r="G60" s="873"/>
      <c r="H60" s="822"/>
      <c r="I60" s="822"/>
      <c r="J60" s="850"/>
      <c r="K60" s="822"/>
      <c r="L60" s="850"/>
      <c r="M60" s="850"/>
      <c r="N60" s="850"/>
      <c r="O60" s="822"/>
      <c r="P60" s="848"/>
      <c r="Q60" s="848"/>
      <c r="R60" s="848"/>
      <c r="S60" s="848"/>
      <c r="T60" s="848"/>
      <c r="U60" s="848"/>
      <c r="V60" s="848"/>
      <c r="W60" s="848"/>
      <c r="X60" s="848"/>
      <c r="Y60" s="848"/>
      <c r="Z60" s="848"/>
      <c r="AA60" s="848"/>
      <c r="AB60" s="848"/>
      <c r="AC60" s="848"/>
      <c r="AD60" s="848"/>
      <c r="AE60" s="848"/>
    </row>
    <row r="61" spans="3:31" x14ac:dyDescent="0.25">
      <c r="C61" s="4433"/>
      <c r="D61" s="4433"/>
      <c r="E61" s="4433"/>
      <c r="F61" s="4433"/>
      <c r="G61" s="4433"/>
      <c r="H61" s="4433"/>
      <c r="I61" s="4433"/>
      <c r="J61" s="1084"/>
      <c r="K61" s="1084"/>
      <c r="L61" s="1084"/>
      <c r="M61" s="1084"/>
      <c r="N61" s="1084"/>
      <c r="O61" s="814"/>
      <c r="P61" s="848"/>
      <c r="Q61" s="848"/>
      <c r="R61" s="848"/>
      <c r="S61" s="848"/>
      <c r="T61" s="848"/>
      <c r="U61" s="848"/>
      <c r="V61" s="848"/>
      <c r="W61" s="848"/>
      <c r="X61" s="848"/>
      <c r="Y61" s="848"/>
      <c r="Z61" s="848"/>
      <c r="AA61" s="848"/>
      <c r="AB61" s="848"/>
      <c r="AC61" s="848"/>
      <c r="AD61" s="848"/>
      <c r="AE61" s="848"/>
    </row>
    <row r="62" spans="3:31" x14ac:dyDescent="0.25">
      <c r="C62" s="616"/>
      <c r="D62" s="814"/>
      <c r="E62" s="814"/>
      <c r="F62" s="814"/>
      <c r="G62" s="814"/>
      <c r="H62" s="814"/>
      <c r="I62" s="814"/>
      <c r="J62" s="848"/>
      <c r="K62" s="814"/>
      <c r="L62" s="848"/>
      <c r="M62" s="848"/>
      <c r="N62" s="848"/>
      <c r="O62" s="848"/>
      <c r="P62" s="848"/>
      <c r="Q62" s="848"/>
      <c r="R62" s="848"/>
      <c r="S62" s="848"/>
      <c r="T62" s="848"/>
      <c r="U62" s="848"/>
      <c r="V62" s="848"/>
      <c r="W62" s="848"/>
      <c r="X62" s="848"/>
      <c r="Y62" s="848"/>
      <c r="Z62" s="848"/>
      <c r="AA62" s="848"/>
      <c r="AB62" s="848"/>
      <c r="AC62" s="848"/>
      <c r="AD62" s="848"/>
      <c r="AE62" s="848"/>
    </row>
    <row r="63" spans="3:31" x14ac:dyDescent="0.25">
      <c r="E63" s="862"/>
      <c r="F63" s="862"/>
      <c r="G63" s="862"/>
      <c r="H63" s="862"/>
      <c r="S63" s="518"/>
      <c r="Y63" s="518"/>
    </row>
    <row r="64" spans="3:31" x14ac:dyDescent="0.25">
      <c r="E64" s="825"/>
      <c r="F64" s="1084"/>
      <c r="G64" s="1084"/>
      <c r="H64" s="1084"/>
      <c r="K64" s="518"/>
      <c r="P64" s="518"/>
    </row>
    <row r="65" spans="3:28" x14ac:dyDescent="0.25">
      <c r="C65" s="4424"/>
      <c r="D65" s="831"/>
      <c r="E65" s="4381"/>
      <c r="F65" s="970"/>
      <c r="G65" s="862"/>
      <c r="H65" s="862"/>
      <c r="J65" s="833"/>
      <c r="P65" s="4424"/>
      <c r="Q65" s="831"/>
      <c r="S65" s="514"/>
      <c r="T65" s="4424"/>
      <c r="U65" s="4424"/>
      <c r="V65" s="514"/>
      <c r="Y65" s="514"/>
      <c r="Z65" s="514"/>
      <c r="AA65" s="514"/>
      <c r="AB65" s="514"/>
    </row>
    <row r="66" spans="3:28" x14ac:dyDescent="0.25">
      <c r="C66" s="4424"/>
      <c r="D66" s="831"/>
      <c r="E66" s="4381"/>
      <c r="F66" s="831"/>
      <c r="G66" s="862"/>
      <c r="H66" s="862"/>
      <c r="K66" s="514"/>
      <c r="L66" s="514"/>
      <c r="M66" s="514"/>
      <c r="N66" s="514"/>
      <c r="P66" s="4424"/>
      <c r="Q66" s="831"/>
      <c r="S66" s="1076"/>
      <c r="T66" s="4424"/>
      <c r="U66" s="4424"/>
      <c r="V66" s="1076"/>
      <c r="X66" s="514"/>
      <c r="Y66" s="514"/>
      <c r="Z66" s="514"/>
      <c r="AA66" s="514"/>
      <c r="AB66" s="1076"/>
    </row>
    <row r="67" spans="3:28" x14ac:dyDescent="0.25">
      <c r="C67" s="4424"/>
      <c r="D67" s="1077"/>
      <c r="E67" s="4381"/>
      <c r="F67" s="1078"/>
      <c r="G67" s="4430"/>
      <c r="H67" s="4430"/>
      <c r="I67" s="1079"/>
      <c r="K67" s="971"/>
      <c r="L67" s="971"/>
      <c r="M67" s="971"/>
      <c r="N67" s="971"/>
      <c r="P67" s="4424"/>
      <c r="Q67" s="972"/>
      <c r="S67" s="814"/>
      <c r="T67" s="4424"/>
      <c r="U67" s="971"/>
      <c r="V67" s="814"/>
      <c r="X67" s="971"/>
      <c r="Y67" s="971"/>
      <c r="Z67" s="971"/>
      <c r="AA67" s="971"/>
      <c r="AB67" s="814"/>
    </row>
    <row r="68" spans="3:28" x14ac:dyDescent="0.25">
      <c r="C68" s="853"/>
      <c r="D68" s="815"/>
      <c r="E68" s="815"/>
      <c r="F68" s="814"/>
      <c r="G68" s="4431"/>
      <c r="H68" s="4431"/>
      <c r="I68" s="1095"/>
      <c r="J68" s="1108"/>
      <c r="K68" s="814"/>
      <c r="L68" s="814"/>
      <c r="M68" s="814"/>
      <c r="N68" s="814"/>
      <c r="P68" s="853"/>
      <c r="Q68" s="815"/>
      <c r="S68" s="814"/>
      <c r="T68" s="853"/>
      <c r="U68" s="815"/>
      <c r="V68" s="814"/>
      <c r="X68" s="814"/>
      <c r="Y68" s="814"/>
      <c r="Z68" s="814"/>
      <c r="AA68" s="814"/>
      <c r="AB68" s="814"/>
    </row>
    <row r="69" spans="3:28" x14ac:dyDescent="0.25">
      <c r="C69" s="853"/>
      <c r="D69" s="815"/>
      <c r="E69" s="815"/>
      <c r="F69" s="814"/>
      <c r="G69" s="4432"/>
      <c r="H69" s="4432"/>
      <c r="I69" s="4432"/>
      <c r="J69" s="853"/>
      <c r="K69" s="814"/>
      <c r="L69" s="814"/>
      <c r="M69" s="814"/>
      <c r="N69" s="814"/>
      <c r="P69" s="853"/>
      <c r="Q69" s="815"/>
      <c r="S69" s="814"/>
      <c r="T69" s="853"/>
      <c r="U69" s="815"/>
      <c r="V69" s="814"/>
      <c r="X69" s="814"/>
      <c r="Y69" s="814"/>
      <c r="Z69" s="814"/>
      <c r="AA69" s="814"/>
      <c r="AB69" s="814"/>
    </row>
    <row r="70" spans="3:28" x14ac:dyDescent="0.25">
      <c r="C70" s="853"/>
      <c r="D70" s="815"/>
      <c r="E70" s="815"/>
      <c r="F70" s="814"/>
      <c r="J70" s="853"/>
      <c r="K70" s="814"/>
      <c r="L70" s="814"/>
      <c r="M70" s="814"/>
      <c r="N70" s="814"/>
      <c r="P70" s="853"/>
      <c r="Q70" s="815"/>
      <c r="S70" s="814"/>
      <c r="T70" s="853"/>
      <c r="U70" s="815"/>
      <c r="V70" s="814"/>
      <c r="X70" s="814"/>
      <c r="Y70" s="814"/>
      <c r="Z70" s="814"/>
      <c r="AA70" s="814"/>
      <c r="AB70" s="814"/>
    </row>
    <row r="71" spans="3:28" x14ac:dyDescent="0.25">
      <c r="C71" s="853"/>
      <c r="D71" s="815"/>
      <c r="E71" s="815"/>
      <c r="F71" s="814"/>
      <c r="G71" s="814"/>
      <c r="J71" s="853"/>
      <c r="K71" s="814"/>
      <c r="L71" s="814"/>
      <c r="M71" s="814"/>
      <c r="N71" s="814"/>
      <c r="P71" s="853"/>
      <c r="Q71" s="815"/>
      <c r="S71" s="814"/>
      <c r="T71" s="853"/>
      <c r="U71" s="815"/>
      <c r="V71" s="814"/>
      <c r="X71" s="814"/>
      <c r="Y71" s="814"/>
      <c r="Z71" s="814"/>
      <c r="AA71" s="814"/>
      <c r="AB71" s="814"/>
    </row>
    <row r="72" spans="3:28" x14ac:dyDescent="0.25">
      <c r="C72" s="853"/>
      <c r="D72" s="815"/>
      <c r="E72" s="815"/>
      <c r="F72" s="814"/>
      <c r="G72" s="814"/>
      <c r="J72" s="853"/>
      <c r="K72" s="814"/>
      <c r="L72" s="814"/>
      <c r="M72" s="814"/>
      <c r="N72" s="814"/>
      <c r="P72" s="853"/>
      <c r="Q72" s="815"/>
      <c r="S72" s="814"/>
      <c r="T72" s="853"/>
      <c r="U72" s="815"/>
      <c r="V72" s="814"/>
      <c r="X72" s="814"/>
      <c r="Y72" s="814"/>
      <c r="Z72" s="814"/>
      <c r="AA72" s="814"/>
      <c r="AB72" s="814"/>
    </row>
    <row r="73" spans="3:28" x14ac:dyDescent="0.25">
      <c r="C73" s="853"/>
      <c r="D73" s="815"/>
      <c r="E73" s="815"/>
      <c r="F73" s="814"/>
      <c r="G73" s="814"/>
      <c r="J73" s="853"/>
      <c r="K73" s="814"/>
      <c r="L73" s="814"/>
      <c r="M73" s="814"/>
      <c r="N73" s="814"/>
      <c r="P73" s="853"/>
      <c r="Q73" s="815"/>
      <c r="S73" s="814"/>
      <c r="T73" s="853"/>
      <c r="U73" s="815"/>
      <c r="V73" s="814"/>
      <c r="X73" s="814"/>
      <c r="Y73" s="814"/>
      <c r="Z73" s="814"/>
      <c r="AA73" s="814"/>
      <c r="AB73" s="814"/>
    </row>
    <row r="74" spans="3:28" x14ac:dyDescent="0.25">
      <c r="C74" s="853"/>
      <c r="D74" s="815"/>
      <c r="E74" s="815"/>
      <c r="F74" s="814"/>
      <c r="G74" s="814"/>
      <c r="J74" s="853"/>
      <c r="K74" s="814"/>
      <c r="L74" s="814"/>
      <c r="M74" s="814"/>
      <c r="N74" s="814"/>
      <c r="P74" s="853"/>
      <c r="Q74" s="815"/>
      <c r="S74" s="814"/>
      <c r="T74" s="853"/>
      <c r="U74" s="815"/>
      <c r="V74" s="814"/>
      <c r="X74" s="814"/>
      <c r="Y74" s="814"/>
      <c r="Z74" s="814"/>
      <c r="AA74" s="814"/>
      <c r="AB74" s="814"/>
    </row>
    <row r="75" spans="3:28" x14ac:dyDescent="0.25">
      <c r="C75" s="853"/>
      <c r="D75" s="815"/>
      <c r="E75" s="815"/>
      <c r="F75" s="814"/>
      <c r="G75" s="814"/>
      <c r="J75" s="853"/>
      <c r="K75" s="814"/>
      <c r="L75" s="814"/>
      <c r="M75" s="814"/>
      <c r="N75" s="814"/>
      <c r="P75" s="853"/>
      <c r="Q75" s="815"/>
      <c r="S75" s="814"/>
      <c r="T75" s="853"/>
      <c r="U75" s="815"/>
      <c r="V75" s="814"/>
      <c r="X75" s="814"/>
      <c r="Y75" s="814"/>
      <c r="Z75" s="814"/>
      <c r="AA75" s="814"/>
      <c r="AB75" s="814"/>
    </row>
    <row r="76" spans="3:28" x14ac:dyDescent="0.25">
      <c r="C76" s="853"/>
      <c r="D76" s="815"/>
      <c r="E76" s="815"/>
      <c r="F76" s="814"/>
      <c r="G76" s="814"/>
      <c r="J76" s="853"/>
      <c r="K76" s="814"/>
      <c r="L76" s="814"/>
      <c r="M76" s="814"/>
      <c r="N76" s="814"/>
      <c r="P76" s="853"/>
      <c r="Q76" s="815"/>
      <c r="S76" s="814"/>
      <c r="T76" s="853"/>
      <c r="U76" s="815"/>
      <c r="V76" s="814"/>
      <c r="X76" s="814"/>
      <c r="Y76" s="814"/>
      <c r="Z76" s="814"/>
      <c r="AA76" s="814"/>
      <c r="AB76" s="814"/>
    </row>
    <row r="77" spans="3:28" x14ac:dyDescent="0.25">
      <c r="C77" s="853"/>
      <c r="D77" s="815"/>
      <c r="E77" s="815"/>
      <c r="F77" s="814"/>
      <c r="G77" s="814"/>
      <c r="J77" s="853"/>
      <c r="K77" s="814"/>
      <c r="L77" s="814"/>
      <c r="M77" s="814"/>
      <c r="N77" s="814"/>
      <c r="P77" s="853"/>
      <c r="Q77" s="815"/>
      <c r="S77" s="814"/>
      <c r="T77" s="853"/>
      <c r="U77" s="815"/>
      <c r="V77" s="814"/>
      <c r="X77" s="814"/>
      <c r="Y77" s="814"/>
      <c r="Z77" s="814"/>
      <c r="AA77" s="814"/>
      <c r="AB77" s="814"/>
    </row>
    <row r="78" spans="3:28" x14ac:dyDescent="0.25">
      <c r="C78" s="853"/>
      <c r="D78" s="815"/>
      <c r="E78" s="815"/>
      <c r="F78" s="814"/>
      <c r="G78" s="814"/>
      <c r="J78" s="853"/>
      <c r="K78" s="814"/>
      <c r="L78" s="814"/>
      <c r="M78" s="814"/>
      <c r="N78" s="814"/>
      <c r="P78" s="853"/>
      <c r="Q78" s="815"/>
      <c r="S78" s="814"/>
      <c r="T78" s="853"/>
      <c r="U78" s="815"/>
      <c r="V78" s="814"/>
      <c r="X78" s="814"/>
      <c r="Y78" s="814"/>
      <c r="Z78" s="814"/>
      <c r="AA78" s="814"/>
      <c r="AB78" s="814"/>
    </row>
    <row r="79" spans="3:28" x14ac:dyDescent="0.25">
      <c r="C79" s="853"/>
      <c r="D79" s="815"/>
      <c r="E79" s="815"/>
      <c r="F79" s="814"/>
      <c r="G79" s="814"/>
      <c r="J79" s="853"/>
      <c r="K79" s="814"/>
      <c r="L79" s="814"/>
      <c r="M79" s="814"/>
      <c r="N79" s="814"/>
      <c r="P79" s="853"/>
      <c r="Q79" s="815"/>
      <c r="S79" s="814"/>
      <c r="T79" s="853"/>
      <c r="U79" s="815"/>
      <c r="V79" s="814"/>
      <c r="X79" s="814"/>
      <c r="Y79" s="814"/>
      <c r="Z79" s="814"/>
      <c r="AA79" s="814"/>
      <c r="AB79" s="814"/>
    </row>
    <row r="80" spans="3:28" x14ac:dyDescent="0.25">
      <c r="C80" s="853"/>
      <c r="D80" s="815"/>
      <c r="E80" s="815"/>
      <c r="F80" s="814"/>
      <c r="G80" s="814"/>
      <c r="J80" s="853"/>
      <c r="K80" s="814"/>
      <c r="L80" s="814"/>
      <c r="M80" s="814"/>
      <c r="N80" s="814"/>
      <c r="P80" s="853"/>
      <c r="Q80" s="815"/>
      <c r="S80" s="814"/>
      <c r="T80" s="853"/>
      <c r="U80" s="815"/>
      <c r="V80" s="814"/>
      <c r="X80" s="814"/>
      <c r="Y80" s="814"/>
      <c r="Z80" s="814"/>
      <c r="AA80" s="814"/>
      <c r="AB80" s="814"/>
    </row>
    <row r="81" spans="3:31" x14ac:dyDescent="0.25">
      <c r="C81" s="853"/>
      <c r="D81" s="815"/>
      <c r="E81" s="815"/>
      <c r="F81" s="814"/>
      <c r="G81" s="814"/>
      <c r="J81" s="853"/>
      <c r="K81" s="814"/>
      <c r="L81" s="814"/>
      <c r="M81" s="814"/>
      <c r="N81" s="814"/>
      <c r="P81" s="853"/>
      <c r="Q81" s="815"/>
      <c r="S81" s="814"/>
      <c r="T81" s="853"/>
      <c r="U81" s="815"/>
      <c r="V81" s="814"/>
      <c r="X81" s="814"/>
      <c r="Y81" s="814"/>
      <c r="Z81" s="814"/>
      <c r="AA81" s="814"/>
      <c r="AB81" s="814"/>
    </row>
    <row r="82" spans="3:31" x14ac:dyDescent="0.25">
      <c r="C82" s="853"/>
      <c r="D82" s="815"/>
      <c r="E82" s="815"/>
      <c r="F82" s="814"/>
      <c r="G82" s="814"/>
      <c r="J82" s="853"/>
      <c r="K82" s="814"/>
      <c r="L82" s="814"/>
      <c r="M82" s="814"/>
      <c r="N82" s="814"/>
      <c r="P82" s="853"/>
      <c r="Q82" s="815"/>
      <c r="S82" s="814"/>
      <c r="T82" s="853"/>
      <c r="U82" s="815"/>
      <c r="V82" s="814"/>
      <c r="X82" s="814"/>
      <c r="Y82" s="814"/>
      <c r="Z82" s="814"/>
      <c r="AA82" s="814"/>
      <c r="AB82" s="814"/>
    </row>
    <row r="83" spans="3:31" x14ac:dyDescent="0.25">
      <c r="C83" s="853"/>
      <c r="D83" s="815"/>
      <c r="E83" s="815"/>
      <c r="F83" s="814"/>
      <c r="G83" s="814"/>
      <c r="J83" s="853"/>
      <c r="K83" s="814"/>
      <c r="L83" s="814"/>
      <c r="M83" s="814"/>
      <c r="N83" s="814"/>
      <c r="P83" s="853"/>
      <c r="Q83" s="815"/>
      <c r="S83" s="814"/>
      <c r="T83" s="853"/>
      <c r="U83" s="815"/>
      <c r="V83" s="814"/>
      <c r="X83" s="814"/>
      <c r="Y83" s="814"/>
      <c r="Z83" s="814"/>
      <c r="AA83" s="814"/>
      <c r="AB83" s="814"/>
    </row>
    <row r="84" spans="3:31" x14ac:dyDescent="0.25">
      <c r="C84" s="853"/>
      <c r="D84" s="815"/>
      <c r="E84" s="815"/>
      <c r="F84" s="862"/>
      <c r="G84" s="862"/>
      <c r="H84" s="862"/>
      <c r="K84" s="814"/>
      <c r="L84" s="814"/>
      <c r="M84" s="814"/>
      <c r="N84" s="814"/>
      <c r="P84" s="853"/>
      <c r="Q84" s="815"/>
      <c r="T84" s="853"/>
      <c r="U84" s="815"/>
      <c r="X84" s="814"/>
      <c r="Y84" s="814"/>
      <c r="Z84" s="814"/>
      <c r="AA84" s="814"/>
    </row>
    <row r="85" spans="3:31" x14ac:dyDescent="0.25">
      <c r="C85" s="853"/>
      <c r="D85" s="814"/>
      <c r="E85" s="862"/>
      <c r="F85" s="862"/>
      <c r="G85" s="814"/>
      <c r="H85" s="862"/>
      <c r="T85" s="848"/>
      <c r="U85" s="848"/>
    </row>
    <row r="86" spans="3:31" x14ac:dyDescent="0.25">
      <c r="C86" s="4426"/>
      <c r="D86" s="4426"/>
      <c r="E86" s="4426"/>
      <c r="F86" s="4426"/>
      <c r="G86" s="4426"/>
      <c r="H86" s="4426"/>
      <c r="I86" s="4426"/>
      <c r="J86" s="4426"/>
      <c r="K86" s="4426"/>
      <c r="L86" s="1080"/>
      <c r="M86" s="1080"/>
      <c r="N86" s="848"/>
      <c r="O86" s="848"/>
      <c r="P86" s="848"/>
      <c r="Q86" s="848"/>
      <c r="R86" s="848"/>
      <c r="S86" s="848"/>
      <c r="T86" s="848"/>
      <c r="U86" s="848"/>
    </row>
    <row r="87" spans="3:31" x14ac:dyDescent="0.25">
      <c r="E87" s="862"/>
      <c r="F87" s="862"/>
      <c r="G87" s="862"/>
      <c r="H87" s="862"/>
      <c r="N87" s="848"/>
      <c r="O87" s="848"/>
      <c r="P87" s="848"/>
      <c r="Q87" s="848"/>
      <c r="R87" s="848"/>
      <c r="S87" s="848"/>
      <c r="T87" s="848"/>
      <c r="U87" s="848"/>
    </row>
    <row r="88" spans="3:31" x14ac:dyDescent="0.25">
      <c r="C88" s="848"/>
      <c r="D88" s="848"/>
      <c r="E88" s="848"/>
      <c r="F88" s="1109"/>
      <c r="G88" s="616"/>
      <c r="I88" s="848"/>
      <c r="J88" s="848"/>
      <c r="K88" s="1109"/>
      <c r="L88" s="1109"/>
      <c r="M88" s="848"/>
      <c r="N88" s="848"/>
      <c r="O88" s="848"/>
      <c r="P88" s="848"/>
      <c r="Q88" s="1109"/>
      <c r="R88" s="848"/>
      <c r="S88" s="848"/>
      <c r="T88" s="848"/>
      <c r="U88" s="830"/>
      <c r="V88" s="830"/>
      <c r="Y88" s="848"/>
      <c r="Z88" s="848"/>
      <c r="AA88" s="848"/>
      <c r="AB88" s="848"/>
      <c r="AC88" s="848"/>
      <c r="AD88" s="848"/>
      <c r="AE88" s="848"/>
    </row>
    <row r="89" spans="3:31" x14ac:dyDescent="0.25">
      <c r="D89" s="862"/>
      <c r="F89" s="825"/>
      <c r="K89" s="848"/>
      <c r="Q89" s="825"/>
      <c r="S89" s="4427"/>
      <c r="T89" s="4428"/>
      <c r="U89" s="831"/>
      <c r="V89" s="4428"/>
      <c r="Y89" s="848"/>
      <c r="Z89" s="848"/>
      <c r="AA89" s="848"/>
      <c r="AB89" s="848"/>
      <c r="AC89" s="848"/>
      <c r="AD89" s="848"/>
      <c r="AE89" s="848"/>
    </row>
    <row r="90" spans="3:31" x14ac:dyDescent="0.25">
      <c r="C90" s="4427"/>
      <c r="D90" s="4427"/>
      <c r="E90" s="818"/>
      <c r="F90" s="4427"/>
      <c r="H90" s="4424"/>
      <c r="I90" s="4424"/>
      <c r="J90" s="831"/>
      <c r="K90" s="831"/>
      <c r="L90" s="831"/>
      <c r="N90" s="4428"/>
      <c r="O90" s="4428"/>
      <c r="P90" s="831"/>
      <c r="Q90" s="4428"/>
      <c r="S90" s="4427"/>
      <c r="T90" s="4428"/>
      <c r="U90" s="1078"/>
      <c r="V90" s="4428"/>
      <c r="Y90" s="848"/>
      <c r="Z90" s="848"/>
      <c r="AA90" s="848"/>
      <c r="AB90" s="848"/>
      <c r="AC90" s="848"/>
      <c r="AD90" s="848"/>
      <c r="AE90" s="848"/>
    </row>
    <row r="91" spans="3:31" x14ac:dyDescent="0.25">
      <c r="C91" s="4427"/>
      <c r="D91" s="4427"/>
      <c r="E91" s="818"/>
      <c r="F91" s="4427"/>
      <c r="H91" s="4424"/>
      <c r="I91" s="4424"/>
      <c r="J91" s="969"/>
      <c r="K91" s="969"/>
      <c r="L91" s="969"/>
      <c r="N91" s="4428"/>
      <c r="O91" s="4428"/>
      <c r="P91" s="831"/>
      <c r="Q91" s="4428"/>
      <c r="S91" s="4427"/>
      <c r="T91" s="4428"/>
      <c r="U91" s="1081"/>
      <c r="V91" s="4428"/>
      <c r="Y91" s="848"/>
      <c r="Z91" s="848"/>
      <c r="AA91" s="848"/>
      <c r="AB91" s="848"/>
      <c r="AC91" s="848"/>
      <c r="AD91" s="848"/>
      <c r="AE91" s="848"/>
    </row>
    <row r="92" spans="3:31" x14ac:dyDescent="0.25">
      <c r="C92" s="4427"/>
      <c r="D92" s="4427"/>
      <c r="E92" s="1082"/>
      <c r="F92" s="4427"/>
      <c r="H92" s="4424"/>
      <c r="I92" s="4424"/>
      <c r="J92" s="969"/>
      <c r="K92" s="969"/>
      <c r="L92" s="969"/>
      <c r="N92" s="4428"/>
      <c r="O92" s="4428"/>
      <c r="P92" s="1081"/>
      <c r="Q92" s="4428"/>
      <c r="S92" s="4427"/>
      <c r="T92" s="1083"/>
      <c r="U92" s="1083"/>
      <c r="V92" s="4428"/>
      <c r="Y92" s="848"/>
      <c r="Z92" s="848"/>
      <c r="AA92" s="848"/>
      <c r="AB92" s="848"/>
      <c r="AC92" s="848"/>
      <c r="AD92" s="848"/>
      <c r="AE92" s="848"/>
    </row>
    <row r="93" spans="3:31" x14ac:dyDescent="0.25">
      <c r="C93" s="853"/>
      <c r="D93" s="814"/>
      <c r="E93" s="814"/>
      <c r="F93" s="815"/>
      <c r="H93" s="831"/>
      <c r="I93" s="1110"/>
      <c r="J93" s="1110"/>
      <c r="K93" s="815"/>
      <c r="L93" s="814"/>
      <c r="N93" s="814"/>
      <c r="O93" s="814"/>
      <c r="P93" s="814"/>
      <c r="Q93" s="814"/>
      <c r="S93" s="814"/>
      <c r="T93" s="814"/>
      <c r="U93" s="814"/>
      <c r="V93" s="814"/>
      <c r="Y93" s="848"/>
      <c r="Z93" s="848"/>
      <c r="AA93" s="848"/>
      <c r="AB93" s="848"/>
      <c r="AC93" s="848"/>
      <c r="AD93" s="848"/>
      <c r="AE93" s="848"/>
    </row>
    <row r="94" spans="3:31" x14ac:dyDescent="0.25">
      <c r="C94" s="853"/>
      <c r="D94" s="814"/>
      <c r="E94" s="814"/>
      <c r="F94" s="815"/>
      <c r="H94" s="853"/>
      <c r="I94" s="814"/>
      <c r="J94" s="1110"/>
      <c r="K94" s="815"/>
      <c r="L94" s="814"/>
      <c r="N94" s="814"/>
      <c r="O94" s="814"/>
      <c r="P94" s="814"/>
      <c r="Q94" s="814"/>
      <c r="S94" s="814"/>
      <c r="T94" s="814"/>
      <c r="U94" s="814"/>
      <c r="V94" s="814"/>
      <c r="Y94" s="848"/>
      <c r="Z94" s="848"/>
      <c r="AA94" s="848"/>
      <c r="AB94" s="848"/>
      <c r="AC94" s="848"/>
      <c r="AD94" s="848"/>
      <c r="AE94" s="848"/>
    </row>
    <row r="95" spans="3:31" x14ac:dyDescent="0.25">
      <c r="C95" s="853"/>
      <c r="D95" s="814"/>
      <c r="E95" s="814"/>
      <c r="F95" s="815"/>
      <c r="H95" s="853"/>
      <c r="I95" s="814"/>
      <c r="J95" s="1110"/>
      <c r="K95" s="815"/>
      <c r="L95" s="814"/>
      <c r="N95" s="853"/>
      <c r="O95" s="814"/>
      <c r="P95" s="814"/>
      <c r="Q95" s="815"/>
      <c r="S95" s="814"/>
      <c r="T95" s="814"/>
      <c r="U95" s="814"/>
      <c r="V95" s="814"/>
      <c r="Y95" s="848"/>
      <c r="Z95" s="848"/>
      <c r="AA95" s="848"/>
      <c r="AB95" s="848"/>
      <c r="AC95" s="848"/>
      <c r="AD95" s="848"/>
      <c r="AE95" s="848"/>
    </row>
    <row r="96" spans="3:31" x14ac:dyDescent="0.25">
      <c r="C96" s="853"/>
      <c r="D96" s="814"/>
      <c r="E96" s="814"/>
      <c r="F96" s="815"/>
      <c r="H96" s="853"/>
      <c r="I96" s="814"/>
      <c r="J96" s="1110"/>
      <c r="K96" s="815"/>
      <c r="L96" s="814"/>
      <c r="N96" s="853"/>
      <c r="O96" s="814"/>
      <c r="P96" s="814"/>
      <c r="Q96" s="815"/>
      <c r="S96" s="814"/>
      <c r="T96" s="814"/>
      <c r="U96" s="814"/>
      <c r="V96" s="814"/>
      <c r="Y96" s="848"/>
      <c r="Z96" s="848"/>
      <c r="AA96" s="848"/>
      <c r="AB96" s="848"/>
      <c r="AC96" s="848"/>
      <c r="AD96" s="848"/>
      <c r="AE96" s="848"/>
    </row>
    <row r="97" spans="3:31" x14ac:dyDescent="0.25">
      <c r="C97" s="853"/>
      <c r="D97" s="814"/>
      <c r="E97" s="814"/>
      <c r="F97" s="815"/>
      <c r="H97" s="853"/>
      <c r="I97" s="814"/>
      <c r="J97" s="1110"/>
      <c r="K97" s="815"/>
      <c r="L97" s="814"/>
      <c r="N97" s="853"/>
      <c r="O97" s="814"/>
      <c r="P97" s="814"/>
      <c r="Q97" s="815"/>
      <c r="S97" s="814"/>
      <c r="T97" s="814"/>
      <c r="U97" s="814"/>
      <c r="V97" s="814"/>
      <c r="Y97" s="848"/>
      <c r="Z97" s="848"/>
      <c r="AA97" s="848"/>
      <c r="AB97" s="848"/>
      <c r="AC97" s="848"/>
      <c r="AD97" s="848"/>
      <c r="AE97" s="848"/>
    </row>
    <row r="98" spans="3:31" x14ac:dyDescent="0.25">
      <c r="C98" s="853"/>
      <c r="D98" s="814"/>
      <c r="E98" s="814"/>
      <c r="F98" s="815"/>
      <c r="H98" s="853"/>
      <c r="I98" s="814"/>
      <c r="J98" s="1110"/>
      <c r="K98" s="815"/>
      <c r="L98" s="814"/>
      <c r="N98" s="853"/>
      <c r="O98" s="814"/>
      <c r="P98" s="814"/>
      <c r="Q98" s="815"/>
      <c r="S98" s="814"/>
      <c r="T98" s="814"/>
      <c r="U98" s="814"/>
      <c r="V98" s="814"/>
      <c r="Y98" s="848"/>
      <c r="Z98" s="848"/>
      <c r="AA98" s="848"/>
      <c r="AB98" s="848"/>
      <c r="AC98" s="848"/>
      <c r="AD98" s="848"/>
      <c r="AE98" s="848"/>
    </row>
    <row r="99" spans="3:31" x14ac:dyDescent="0.25">
      <c r="C99" s="853"/>
      <c r="D99" s="814"/>
      <c r="E99" s="814"/>
      <c r="F99" s="815"/>
      <c r="H99" s="853"/>
      <c r="I99" s="814"/>
      <c r="J99" s="1110"/>
      <c r="K99" s="815"/>
      <c r="L99" s="814"/>
      <c r="N99" s="853"/>
      <c r="O99" s="814"/>
      <c r="P99" s="814"/>
      <c r="Q99" s="815"/>
      <c r="S99" s="814"/>
      <c r="T99" s="814"/>
      <c r="U99" s="814"/>
      <c r="V99" s="814"/>
      <c r="Y99" s="848"/>
      <c r="Z99" s="848"/>
      <c r="AA99" s="848"/>
      <c r="AB99" s="848"/>
      <c r="AC99" s="848"/>
      <c r="AD99" s="848"/>
      <c r="AE99" s="848"/>
    </row>
    <row r="100" spans="3:31" x14ac:dyDescent="0.25">
      <c r="C100" s="853"/>
      <c r="D100" s="814"/>
      <c r="E100" s="814"/>
      <c r="F100" s="815"/>
      <c r="H100" s="853"/>
      <c r="I100" s="814"/>
      <c r="J100" s="1110"/>
      <c r="K100" s="815"/>
      <c r="L100" s="814"/>
      <c r="N100" s="853"/>
      <c r="O100" s="814"/>
      <c r="P100" s="814"/>
      <c r="Q100" s="815"/>
      <c r="S100" s="814"/>
      <c r="T100" s="814"/>
      <c r="U100" s="814"/>
      <c r="V100" s="814"/>
      <c r="Y100" s="848"/>
      <c r="Z100" s="848"/>
      <c r="AA100" s="848"/>
      <c r="AB100" s="848"/>
      <c r="AC100" s="848"/>
      <c r="AD100" s="848"/>
      <c r="AE100" s="848"/>
    </row>
    <row r="101" spans="3:31" x14ac:dyDescent="0.25">
      <c r="C101" s="853"/>
      <c r="D101" s="814"/>
      <c r="E101" s="814"/>
      <c r="F101" s="815"/>
      <c r="H101" s="853"/>
      <c r="I101" s="814"/>
      <c r="J101" s="1110"/>
      <c r="K101" s="815"/>
      <c r="L101" s="814"/>
      <c r="N101" s="853"/>
      <c r="O101" s="814"/>
      <c r="P101" s="814"/>
      <c r="Q101" s="815"/>
      <c r="S101" s="814"/>
      <c r="T101" s="814"/>
      <c r="U101" s="814"/>
      <c r="V101" s="814"/>
      <c r="Y101" s="848"/>
      <c r="Z101" s="848"/>
      <c r="AA101" s="848"/>
      <c r="AB101" s="848"/>
      <c r="AC101" s="848"/>
      <c r="AD101" s="848"/>
      <c r="AE101" s="848"/>
    </row>
    <row r="102" spans="3:31" x14ac:dyDescent="0.25">
      <c r="C102" s="853"/>
      <c r="D102" s="814"/>
      <c r="E102" s="814"/>
      <c r="F102" s="815"/>
      <c r="H102" s="853"/>
      <c r="I102" s="814"/>
      <c r="J102" s="1110"/>
      <c r="K102" s="815"/>
      <c r="L102" s="814"/>
      <c r="N102" s="853"/>
      <c r="O102" s="814"/>
      <c r="P102" s="814"/>
      <c r="Q102" s="815"/>
      <c r="S102" s="814"/>
      <c r="T102" s="814"/>
      <c r="U102" s="814"/>
      <c r="V102" s="814"/>
      <c r="Y102" s="848"/>
      <c r="Z102" s="848"/>
      <c r="AA102" s="848"/>
      <c r="AB102" s="848"/>
      <c r="AC102" s="848"/>
      <c r="AD102" s="848"/>
      <c r="AE102" s="848"/>
    </row>
    <row r="103" spans="3:31" x14ac:dyDescent="0.25">
      <c r="C103" s="853"/>
      <c r="D103" s="814"/>
      <c r="E103" s="814"/>
      <c r="F103" s="815"/>
      <c r="H103" s="853"/>
      <c r="I103" s="814"/>
      <c r="J103" s="1110"/>
      <c r="K103" s="815"/>
      <c r="L103" s="814"/>
      <c r="N103" s="853"/>
      <c r="O103" s="814"/>
      <c r="P103" s="814"/>
      <c r="Q103" s="815"/>
      <c r="S103" s="814"/>
      <c r="T103" s="814"/>
      <c r="U103" s="814"/>
      <c r="V103" s="814"/>
      <c r="Y103" s="848"/>
      <c r="Z103" s="848"/>
      <c r="AA103" s="848"/>
      <c r="AB103" s="848"/>
      <c r="AC103" s="848"/>
      <c r="AD103" s="848"/>
      <c r="AE103" s="848"/>
    </row>
    <row r="104" spans="3:31" x14ac:dyDescent="0.25">
      <c r="C104" s="853"/>
      <c r="D104" s="814"/>
      <c r="E104" s="814"/>
      <c r="F104" s="815"/>
      <c r="H104" s="853"/>
      <c r="I104" s="814"/>
      <c r="J104" s="1110"/>
      <c r="K104" s="815"/>
      <c r="L104" s="814"/>
      <c r="N104" s="853"/>
      <c r="O104" s="814"/>
      <c r="P104" s="814"/>
      <c r="Q104" s="815"/>
      <c r="S104" s="814"/>
      <c r="T104" s="814"/>
      <c r="U104" s="814"/>
      <c r="V104" s="814"/>
      <c r="Y104" s="848"/>
      <c r="Z104" s="848"/>
      <c r="AA104" s="848"/>
      <c r="AB104" s="848"/>
      <c r="AC104" s="848"/>
      <c r="AD104" s="848"/>
      <c r="AE104" s="848"/>
    </row>
    <row r="105" spans="3:31" x14ac:dyDescent="0.25">
      <c r="C105" s="853"/>
      <c r="D105" s="814"/>
      <c r="E105" s="814"/>
      <c r="F105" s="815"/>
      <c r="H105" s="853"/>
      <c r="I105" s="814"/>
      <c r="J105" s="1110"/>
      <c r="K105" s="815"/>
      <c r="L105" s="814"/>
      <c r="N105" s="853"/>
      <c r="O105" s="814"/>
      <c r="P105" s="814"/>
      <c r="Q105" s="815"/>
      <c r="S105" s="814"/>
      <c r="T105" s="814"/>
      <c r="U105" s="814"/>
      <c r="V105" s="814"/>
      <c r="Y105" s="848"/>
      <c r="Z105" s="848"/>
      <c r="AA105" s="848"/>
      <c r="AB105" s="848"/>
      <c r="AC105" s="848"/>
      <c r="AD105" s="848"/>
      <c r="AE105" s="848"/>
    </row>
    <row r="106" spans="3:31" x14ac:dyDescent="0.25">
      <c r="C106" s="853"/>
      <c r="D106" s="814"/>
      <c r="E106" s="814"/>
      <c r="F106" s="815"/>
      <c r="H106" s="853"/>
      <c r="I106" s="814"/>
      <c r="J106" s="1110"/>
      <c r="K106" s="815"/>
      <c r="L106" s="814"/>
      <c r="N106" s="853"/>
      <c r="O106" s="814"/>
      <c r="P106" s="814"/>
      <c r="Q106" s="815"/>
      <c r="S106" s="814"/>
      <c r="T106" s="814"/>
      <c r="U106" s="814"/>
      <c r="V106" s="814"/>
      <c r="Y106" s="848"/>
      <c r="Z106" s="848"/>
      <c r="AA106" s="848"/>
      <c r="AB106" s="848"/>
      <c r="AC106" s="848"/>
      <c r="AD106" s="848"/>
      <c r="AE106" s="848"/>
    </row>
    <row r="107" spans="3:31" x14ac:dyDescent="0.25">
      <c r="C107" s="853"/>
      <c r="D107" s="814"/>
      <c r="E107" s="814"/>
      <c r="F107" s="815"/>
      <c r="H107" s="853"/>
      <c r="I107" s="814"/>
      <c r="J107" s="1110"/>
      <c r="K107" s="815"/>
      <c r="L107" s="814"/>
      <c r="N107" s="853"/>
      <c r="O107" s="814"/>
      <c r="P107" s="814"/>
      <c r="Q107" s="815"/>
      <c r="S107" s="814"/>
      <c r="T107" s="814"/>
      <c r="U107" s="814"/>
      <c r="V107" s="814"/>
      <c r="Y107" s="848"/>
      <c r="Z107" s="848"/>
      <c r="AA107" s="848"/>
      <c r="AB107" s="848"/>
      <c r="AC107" s="848"/>
      <c r="AD107" s="848"/>
      <c r="AE107" s="848"/>
    </row>
    <row r="108" spans="3:31" x14ac:dyDescent="0.25">
      <c r="C108" s="853"/>
      <c r="D108" s="814"/>
      <c r="E108" s="814"/>
      <c r="F108" s="815"/>
      <c r="H108" s="853"/>
      <c r="I108" s="814"/>
      <c r="J108" s="1110"/>
      <c r="K108" s="815"/>
      <c r="L108" s="814"/>
      <c r="N108" s="853"/>
      <c r="O108" s="814"/>
      <c r="P108" s="814"/>
      <c r="Q108" s="815"/>
      <c r="S108" s="814"/>
      <c r="T108" s="814"/>
      <c r="U108" s="814"/>
      <c r="V108" s="814"/>
      <c r="Y108" s="848"/>
      <c r="Z108" s="848"/>
      <c r="AA108" s="848"/>
      <c r="AB108" s="848"/>
      <c r="AC108" s="848"/>
      <c r="AD108" s="848"/>
      <c r="AE108" s="848"/>
    </row>
    <row r="109" spans="3:31" x14ac:dyDescent="0.25">
      <c r="C109" s="853"/>
      <c r="D109" s="814"/>
      <c r="E109" s="814"/>
      <c r="F109" s="815"/>
      <c r="H109" s="853"/>
      <c r="I109" s="814"/>
      <c r="J109" s="1110"/>
      <c r="K109" s="815"/>
      <c r="L109" s="814"/>
      <c r="N109" s="853"/>
      <c r="O109" s="814"/>
      <c r="P109" s="814"/>
      <c r="Q109" s="815"/>
      <c r="S109" s="814"/>
      <c r="T109" s="814"/>
      <c r="U109" s="814"/>
      <c r="V109" s="814"/>
      <c r="Y109" s="848"/>
      <c r="Z109" s="848"/>
      <c r="AA109" s="848"/>
      <c r="AB109" s="848"/>
      <c r="AC109" s="848"/>
      <c r="AD109" s="848"/>
      <c r="AE109" s="848"/>
    </row>
    <row r="110" spans="3:31" x14ac:dyDescent="0.25">
      <c r="G110" s="814"/>
      <c r="H110" s="814"/>
      <c r="I110" s="1111"/>
      <c r="J110" s="1111"/>
      <c r="K110" s="1096"/>
      <c r="L110" s="814"/>
      <c r="M110" s="1084"/>
      <c r="N110" s="1084"/>
      <c r="Q110" s="960"/>
      <c r="R110" s="960"/>
      <c r="S110" s="960"/>
      <c r="T110" s="960"/>
      <c r="U110" s="960"/>
      <c r="V110" s="960"/>
      <c r="W110" s="960"/>
      <c r="X110" s="960"/>
      <c r="Y110" s="960"/>
      <c r="Z110" s="960"/>
      <c r="AA110" s="960"/>
    </row>
    <row r="111" spans="3:31" x14ac:dyDescent="0.25">
      <c r="C111" s="960"/>
      <c r="D111" s="960"/>
      <c r="E111" s="960"/>
      <c r="F111" s="960"/>
      <c r="G111" s="960"/>
      <c r="H111" s="960"/>
      <c r="I111" s="960"/>
      <c r="J111" s="960"/>
      <c r="K111" s="960"/>
      <c r="L111" s="1084"/>
      <c r="M111" s="1084"/>
      <c r="N111" s="1084"/>
      <c r="Q111" s="960"/>
      <c r="R111" s="960"/>
      <c r="S111" s="960"/>
      <c r="T111" s="960"/>
      <c r="U111" s="960"/>
      <c r="V111" s="960"/>
      <c r="W111" s="960"/>
      <c r="X111" s="960"/>
      <c r="Y111" s="960"/>
      <c r="Z111" s="960"/>
      <c r="AA111" s="960"/>
    </row>
    <row r="112" spans="3:31" x14ac:dyDescent="0.25">
      <c r="C112" s="960"/>
      <c r="D112" s="960"/>
      <c r="E112" s="960"/>
      <c r="F112" s="960"/>
      <c r="G112" s="960"/>
      <c r="H112" s="960"/>
      <c r="I112" s="960"/>
      <c r="J112" s="960"/>
      <c r="K112" s="960"/>
      <c r="L112" s="1084"/>
      <c r="M112" s="1084"/>
      <c r="N112" s="1084"/>
      <c r="Q112" s="960"/>
      <c r="R112" s="960"/>
      <c r="S112" s="960"/>
      <c r="T112" s="960"/>
      <c r="U112" s="960"/>
      <c r="V112" s="960"/>
      <c r="W112" s="960"/>
      <c r="X112" s="960"/>
      <c r="Y112" s="960"/>
      <c r="Z112" s="960"/>
      <c r="AA112" s="960"/>
    </row>
    <row r="113" spans="3:27" x14ac:dyDescent="0.25">
      <c r="C113" s="960"/>
      <c r="D113" s="960"/>
      <c r="E113" s="960"/>
      <c r="F113" s="960"/>
      <c r="G113" s="960"/>
      <c r="H113" s="960"/>
      <c r="I113" s="960"/>
      <c r="J113" s="960"/>
      <c r="K113" s="960"/>
      <c r="L113" s="1084"/>
      <c r="M113" s="1084"/>
      <c r="N113" s="1084"/>
      <c r="Q113" s="960"/>
      <c r="R113" s="960"/>
      <c r="S113" s="960"/>
      <c r="T113" s="960"/>
      <c r="U113" s="960"/>
      <c r="V113" s="960"/>
      <c r="W113" s="960"/>
      <c r="X113" s="960"/>
      <c r="Y113" s="960"/>
      <c r="Z113" s="960"/>
      <c r="AA113" s="960"/>
    </row>
    <row r="114" spans="3:27" x14ac:dyDescent="0.25">
      <c r="C114" s="960"/>
      <c r="D114" s="960"/>
      <c r="E114" s="960"/>
      <c r="F114" s="960"/>
      <c r="G114" s="960"/>
      <c r="H114" s="960"/>
      <c r="I114" s="960"/>
      <c r="J114" s="960"/>
      <c r="K114" s="960"/>
      <c r="L114" s="1084"/>
      <c r="M114" s="1084"/>
      <c r="N114" s="1084"/>
      <c r="Q114" s="960"/>
      <c r="R114" s="960"/>
      <c r="S114" s="960"/>
      <c r="T114" s="960"/>
      <c r="U114" s="960"/>
      <c r="V114" s="960"/>
      <c r="W114" s="960"/>
      <c r="X114" s="960"/>
      <c r="Y114" s="960"/>
      <c r="Z114" s="960"/>
      <c r="AA114" s="960"/>
    </row>
    <row r="115" spans="3:27" x14ac:dyDescent="0.25">
      <c r="C115" s="960"/>
      <c r="D115" s="960"/>
      <c r="E115" s="960"/>
      <c r="F115" s="960"/>
      <c r="G115" s="960"/>
      <c r="H115" s="960"/>
      <c r="I115" s="960"/>
      <c r="J115" s="960"/>
      <c r="K115" s="960"/>
      <c r="L115" s="1084"/>
      <c r="M115" s="1084"/>
      <c r="N115" s="1084"/>
      <c r="Q115" s="960"/>
      <c r="R115" s="960"/>
      <c r="S115" s="960"/>
      <c r="T115" s="960"/>
      <c r="U115" s="960"/>
      <c r="V115" s="960"/>
      <c r="W115" s="960"/>
      <c r="X115" s="960"/>
      <c r="Y115" s="960"/>
      <c r="Z115" s="960"/>
      <c r="AA115" s="960"/>
    </row>
    <row r="116" spans="3:27" x14ac:dyDescent="0.25">
      <c r="C116" s="960"/>
      <c r="D116" s="960"/>
      <c r="E116" s="960"/>
      <c r="F116" s="960"/>
      <c r="G116" s="960"/>
      <c r="H116" s="960"/>
      <c r="I116" s="960"/>
      <c r="J116" s="960"/>
      <c r="K116" s="960"/>
      <c r="L116" s="1084"/>
      <c r="M116" s="1084"/>
      <c r="N116" s="1084"/>
      <c r="Q116" s="960"/>
      <c r="R116" s="960"/>
      <c r="S116" s="960"/>
      <c r="T116" s="960"/>
      <c r="U116" s="960"/>
      <c r="V116" s="960"/>
      <c r="W116" s="960"/>
      <c r="X116" s="960"/>
      <c r="Y116" s="960"/>
      <c r="Z116" s="960"/>
      <c r="AA116" s="960"/>
    </row>
    <row r="117" spans="3:27" x14ac:dyDescent="0.25">
      <c r="C117" s="960"/>
      <c r="D117" s="960"/>
      <c r="E117" s="960"/>
      <c r="F117" s="960"/>
      <c r="G117" s="960"/>
      <c r="H117" s="960"/>
      <c r="I117" s="960"/>
      <c r="J117" s="960"/>
      <c r="K117" s="960"/>
      <c r="L117" s="1084"/>
      <c r="M117" s="1084"/>
      <c r="N117" s="1084"/>
      <c r="Q117" s="960"/>
      <c r="R117" s="960"/>
      <c r="S117" s="960"/>
      <c r="T117" s="960"/>
      <c r="U117" s="960"/>
      <c r="V117" s="960"/>
      <c r="W117" s="960"/>
      <c r="X117" s="960"/>
      <c r="Y117" s="960"/>
      <c r="Z117" s="960"/>
      <c r="AA117" s="960"/>
    </row>
    <row r="118" spans="3:27" x14ac:dyDescent="0.25">
      <c r="C118" s="960"/>
      <c r="D118" s="960"/>
      <c r="E118" s="960"/>
      <c r="F118" s="960"/>
      <c r="G118" s="960"/>
      <c r="H118" s="960"/>
      <c r="I118" s="960"/>
      <c r="J118" s="960"/>
      <c r="K118" s="960"/>
      <c r="L118" s="1084"/>
      <c r="M118" s="1084"/>
      <c r="N118" s="1084"/>
      <c r="Q118" s="960"/>
      <c r="R118" s="960"/>
      <c r="S118" s="960"/>
      <c r="T118" s="960"/>
      <c r="U118" s="960"/>
      <c r="V118" s="960"/>
      <c r="W118" s="960"/>
      <c r="X118" s="960"/>
      <c r="Y118" s="960"/>
      <c r="Z118" s="960"/>
      <c r="AA118" s="960"/>
    </row>
    <row r="119" spans="3:27" x14ac:dyDescent="0.25">
      <c r="C119" s="960"/>
      <c r="D119" s="960"/>
      <c r="E119" s="960"/>
      <c r="F119" s="960"/>
      <c r="G119" s="960"/>
      <c r="H119" s="960"/>
      <c r="I119" s="960"/>
      <c r="J119" s="960"/>
      <c r="K119" s="960"/>
      <c r="L119" s="1084"/>
      <c r="M119" s="1084"/>
      <c r="N119" s="1084"/>
      <c r="Q119" s="960"/>
      <c r="R119" s="960"/>
      <c r="S119" s="960"/>
      <c r="T119" s="960"/>
      <c r="U119" s="960"/>
      <c r="V119" s="960"/>
      <c r="W119" s="960"/>
      <c r="X119" s="960"/>
      <c r="Y119" s="960"/>
      <c r="Z119" s="960"/>
      <c r="AA119" s="960"/>
    </row>
    <row r="120" spans="3:27" x14ac:dyDescent="0.25">
      <c r="C120" s="960"/>
      <c r="D120" s="960"/>
      <c r="E120" s="960"/>
      <c r="F120" s="960"/>
      <c r="G120" s="960"/>
      <c r="H120" s="960"/>
      <c r="I120" s="960"/>
      <c r="J120" s="960"/>
      <c r="K120" s="960"/>
      <c r="L120" s="1084"/>
      <c r="M120" s="1084"/>
      <c r="N120" s="1084"/>
      <c r="Q120" s="960"/>
      <c r="R120" s="960"/>
      <c r="S120" s="960"/>
      <c r="T120" s="960"/>
      <c r="U120" s="960"/>
      <c r="V120" s="960"/>
      <c r="W120" s="960"/>
      <c r="X120" s="960"/>
      <c r="Y120" s="960"/>
      <c r="Z120" s="960"/>
      <c r="AA120" s="960"/>
    </row>
    <row r="121" spans="3:27" x14ac:dyDescent="0.25">
      <c r="D121" s="1003"/>
      <c r="E121" s="1003"/>
      <c r="F121" s="1003"/>
      <c r="G121" s="4429"/>
      <c r="H121" s="4429"/>
      <c r="I121" s="4429"/>
      <c r="J121" s="4429"/>
      <c r="K121" s="4429"/>
      <c r="L121" s="4429"/>
      <c r="M121" s="1097"/>
      <c r="R121" s="1085"/>
      <c r="S121" s="1085"/>
      <c r="T121" s="1085"/>
      <c r="U121" s="1085"/>
      <c r="V121" s="1085"/>
      <c r="W121" s="1085"/>
      <c r="X121" s="1098"/>
    </row>
    <row r="122" spans="3:27" x14ac:dyDescent="0.25">
      <c r="C122" s="4424"/>
      <c r="D122" s="4424"/>
      <c r="E122" s="4424"/>
      <c r="F122" s="4424"/>
      <c r="G122" s="4424"/>
      <c r="H122" s="4424"/>
      <c r="I122" s="4424"/>
      <c r="J122" s="4424"/>
      <c r="K122" s="4424"/>
      <c r="L122" s="4424"/>
      <c r="M122" s="4424"/>
      <c r="Q122" s="1099"/>
      <c r="R122" s="1085"/>
      <c r="T122" s="1085"/>
      <c r="U122" s="1085"/>
      <c r="V122" s="1085"/>
      <c r="W122" s="1085"/>
      <c r="X122" s="1085"/>
      <c r="AA122" s="1001"/>
    </row>
    <row r="123" spans="3:27" x14ac:dyDescent="0.25">
      <c r="C123" s="4424"/>
      <c r="D123" s="4424"/>
      <c r="E123" s="4424"/>
      <c r="F123" s="4424"/>
      <c r="G123" s="4424"/>
      <c r="H123" s="4424"/>
      <c r="I123" s="4424"/>
      <c r="J123" s="4424"/>
      <c r="K123" s="4424"/>
      <c r="L123" s="4424"/>
      <c r="M123" s="4424"/>
      <c r="Q123" s="4425"/>
      <c r="R123" s="1100"/>
      <c r="S123" s="1100"/>
      <c r="T123" s="4425"/>
      <c r="U123" s="4425"/>
      <c r="V123" s="4425"/>
      <c r="W123" s="4425"/>
      <c r="X123" s="4425"/>
      <c r="Y123" s="1100"/>
      <c r="Z123" s="4424"/>
      <c r="AA123" s="4425"/>
    </row>
    <row r="124" spans="3:27" x14ac:dyDescent="0.25">
      <c r="C124" s="4424"/>
      <c r="D124" s="831"/>
      <c r="E124" s="969"/>
      <c r="F124" s="831"/>
      <c r="G124" s="831"/>
      <c r="H124" s="4424"/>
      <c r="I124" s="4424"/>
      <c r="J124" s="4424"/>
      <c r="K124" s="831"/>
      <c r="L124" s="831"/>
      <c r="M124" s="4424"/>
      <c r="Q124" s="4425"/>
      <c r="R124" s="1100"/>
      <c r="S124" s="1100"/>
      <c r="T124" s="4425"/>
      <c r="U124" s="4425"/>
      <c r="V124" s="1100"/>
      <c r="W124" s="1100"/>
      <c r="X124" s="4425"/>
      <c r="Y124" s="831"/>
      <c r="Z124" s="4424"/>
      <c r="AA124" s="4425"/>
    </row>
    <row r="125" spans="3:27" x14ac:dyDescent="0.25">
      <c r="C125" s="4424"/>
      <c r="D125" s="1112"/>
      <c r="E125" s="1112"/>
      <c r="F125" s="1101"/>
      <c r="G125" s="1101"/>
      <c r="H125" s="969"/>
      <c r="I125" s="969"/>
      <c r="J125" s="972"/>
      <c r="K125" s="972"/>
      <c r="L125" s="972"/>
      <c r="M125" s="4424"/>
      <c r="Q125" s="4425"/>
      <c r="R125" s="1100"/>
      <c r="S125" s="1100"/>
      <c r="T125" s="1100"/>
      <c r="U125" s="1100"/>
      <c r="V125" s="1100"/>
      <c r="W125" s="1100"/>
      <c r="X125" s="1100"/>
      <c r="Y125" s="1100"/>
      <c r="Z125" s="1100"/>
      <c r="AA125" s="4425"/>
    </row>
    <row r="126" spans="3:27" x14ac:dyDescent="0.25">
      <c r="C126" s="853"/>
      <c r="D126" s="814"/>
      <c r="E126" s="814"/>
      <c r="F126" s="814"/>
      <c r="G126" s="814"/>
      <c r="H126" s="814"/>
      <c r="I126" s="814"/>
      <c r="J126" s="814"/>
      <c r="K126" s="814"/>
      <c r="L126" s="814"/>
      <c r="M126" s="1111"/>
      <c r="Q126" s="853"/>
      <c r="R126" s="814"/>
      <c r="S126" s="814"/>
      <c r="T126" s="814"/>
      <c r="U126" s="814"/>
      <c r="V126" s="814"/>
      <c r="W126" s="814"/>
      <c r="X126" s="814"/>
      <c r="Y126" s="814"/>
      <c r="Z126" s="814"/>
      <c r="AA126" s="815"/>
    </row>
    <row r="127" spans="3:27" x14ac:dyDescent="0.25">
      <c r="C127" s="853"/>
      <c r="D127" s="814"/>
      <c r="E127" s="814"/>
      <c r="F127" s="814"/>
      <c r="G127" s="814"/>
      <c r="H127" s="814"/>
      <c r="I127" s="814"/>
      <c r="J127" s="814"/>
      <c r="K127" s="814"/>
      <c r="L127" s="814"/>
      <c r="M127" s="1111"/>
      <c r="Q127" s="853"/>
      <c r="R127" s="814"/>
      <c r="S127" s="814"/>
      <c r="T127" s="814"/>
      <c r="U127" s="814"/>
      <c r="V127" s="814"/>
      <c r="W127" s="814"/>
      <c r="X127" s="814"/>
      <c r="Y127" s="814"/>
      <c r="Z127" s="814"/>
      <c r="AA127" s="815"/>
    </row>
    <row r="128" spans="3:27" x14ac:dyDescent="0.25">
      <c r="C128" s="853"/>
      <c r="D128" s="814"/>
      <c r="E128" s="814"/>
      <c r="F128" s="814"/>
      <c r="G128" s="814"/>
      <c r="H128" s="814"/>
      <c r="I128" s="814"/>
      <c r="J128" s="814"/>
      <c r="K128" s="814"/>
      <c r="L128" s="814"/>
      <c r="M128" s="1111"/>
      <c r="Q128" s="853"/>
      <c r="R128" s="814"/>
      <c r="S128" s="814"/>
      <c r="T128" s="814"/>
      <c r="U128" s="814"/>
      <c r="V128" s="814"/>
      <c r="W128" s="814"/>
      <c r="X128" s="814"/>
      <c r="Y128" s="814"/>
      <c r="Z128" s="814"/>
      <c r="AA128" s="815"/>
    </row>
    <row r="129" spans="3:27" x14ac:dyDescent="0.25">
      <c r="C129" s="853"/>
      <c r="D129" s="814"/>
      <c r="E129" s="814"/>
      <c r="F129" s="814"/>
      <c r="G129" s="814"/>
      <c r="H129" s="814"/>
      <c r="I129" s="814"/>
      <c r="J129" s="814"/>
      <c r="K129" s="814"/>
      <c r="L129" s="814"/>
      <c r="M129" s="1111"/>
      <c r="Q129" s="853"/>
      <c r="R129" s="814"/>
      <c r="S129" s="814"/>
      <c r="T129" s="814"/>
      <c r="U129" s="814"/>
      <c r="V129" s="814"/>
      <c r="W129" s="814"/>
      <c r="X129" s="814"/>
      <c r="Y129" s="814"/>
      <c r="Z129" s="814"/>
      <c r="AA129" s="815"/>
    </row>
    <row r="130" spans="3:27" x14ac:dyDescent="0.25">
      <c r="C130" s="853"/>
      <c r="D130" s="814"/>
      <c r="E130" s="814"/>
      <c r="F130" s="814"/>
      <c r="G130" s="814"/>
      <c r="H130" s="814"/>
      <c r="I130" s="814"/>
      <c r="J130" s="814"/>
      <c r="K130" s="814"/>
      <c r="L130" s="814"/>
      <c r="M130" s="1111"/>
      <c r="Q130" s="853"/>
      <c r="R130" s="814"/>
      <c r="S130" s="814"/>
      <c r="T130" s="814"/>
      <c r="U130" s="814"/>
      <c r="V130" s="814"/>
      <c r="W130" s="814"/>
      <c r="X130" s="814"/>
      <c r="Y130" s="814"/>
      <c r="Z130" s="814"/>
      <c r="AA130" s="815"/>
    </row>
    <row r="131" spans="3:27" x14ac:dyDescent="0.25">
      <c r="C131" s="853"/>
      <c r="D131" s="814"/>
      <c r="E131" s="814"/>
      <c r="F131" s="814"/>
      <c r="G131" s="814"/>
      <c r="H131" s="814"/>
      <c r="I131" s="814"/>
      <c r="J131" s="814"/>
      <c r="K131" s="814"/>
      <c r="L131" s="814"/>
      <c r="M131" s="1111"/>
      <c r="Q131" s="853"/>
      <c r="R131" s="814"/>
      <c r="S131" s="814"/>
      <c r="T131" s="814"/>
      <c r="U131" s="814"/>
      <c r="V131" s="814"/>
      <c r="W131" s="814"/>
      <c r="X131" s="814"/>
      <c r="Y131" s="814"/>
      <c r="Z131" s="814"/>
      <c r="AA131" s="815"/>
    </row>
    <row r="132" spans="3:27" x14ac:dyDescent="0.25">
      <c r="C132" s="853"/>
      <c r="D132" s="814"/>
      <c r="E132" s="814"/>
      <c r="F132" s="814"/>
      <c r="G132" s="814"/>
      <c r="H132" s="814"/>
      <c r="I132" s="814"/>
      <c r="J132" s="814"/>
      <c r="K132" s="814"/>
      <c r="L132" s="814"/>
      <c r="M132" s="1111"/>
      <c r="Q132" s="853"/>
      <c r="R132" s="814"/>
      <c r="S132" s="814"/>
      <c r="T132" s="814"/>
      <c r="U132" s="814"/>
      <c r="V132" s="814"/>
      <c r="W132" s="814"/>
      <c r="X132" s="814"/>
      <c r="Y132" s="814"/>
      <c r="Z132" s="814"/>
      <c r="AA132" s="815"/>
    </row>
    <row r="133" spans="3:27" x14ac:dyDescent="0.25">
      <c r="C133" s="853"/>
      <c r="D133" s="814"/>
      <c r="E133" s="814"/>
      <c r="F133" s="814"/>
      <c r="G133" s="814"/>
      <c r="H133" s="814"/>
      <c r="I133" s="814"/>
      <c r="J133" s="814"/>
      <c r="K133" s="814"/>
      <c r="L133" s="814"/>
      <c r="M133" s="1111"/>
      <c r="Q133" s="853"/>
      <c r="R133" s="814"/>
      <c r="S133" s="814"/>
      <c r="T133" s="814"/>
      <c r="U133" s="814"/>
      <c r="V133" s="814"/>
      <c r="W133" s="814"/>
      <c r="X133" s="814"/>
      <c r="Y133" s="814"/>
      <c r="Z133" s="814"/>
      <c r="AA133" s="815"/>
    </row>
    <row r="134" spans="3:27" x14ac:dyDescent="0.25">
      <c r="C134" s="853"/>
      <c r="D134" s="814"/>
      <c r="E134" s="814"/>
      <c r="F134" s="814"/>
      <c r="G134" s="814"/>
      <c r="H134" s="814"/>
      <c r="I134" s="814"/>
      <c r="J134" s="814"/>
      <c r="K134" s="814"/>
      <c r="L134" s="814"/>
      <c r="M134" s="1111"/>
      <c r="Q134" s="853"/>
      <c r="R134" s="814"/>
      <c r="S134" s="814"/>
      <c r="T134" s="814"/>
      <c r="U134" s="814"/>
      <c r="V134" s="814"/>
      <c r="W134" s="814"/>
      <c r="X134" s="814"/>
      <c r="Y134" s="814"/>
      <c r="Z134" s="814"/>
      <c r="AA134" s="815"/>
    </row>
    <row r="135" spans="3:27" x14ac:dyDescent="0.25">
      <c r="C135" s="853"/>
      <c r="D135" s="814"/>
      <c r="E135" s="814"/>
      <c r="F135" s="814"/>
      <c r="G135" s="814"/>
      <c r="H135" s="814"/>
      <c r="I135" s="814"/>
      <c r="J135" s="814"/>
      <c r="K135" s="814"/>
      <c r="L135" s="814"/>
      <c r="M135" s="1111"/>
      <c r="Q135" s="853"/>
      <c r="R135" s="814"/>
      <c r="S135" s="814"/>
      <c r="T135" s="814"/>
      <c r="U135" s="814"/>
      <c r="V135" s="814"/>
      <c r="W135" s="814"/>
      <c r="X135" s="814"/>
      <c r="Y135" s="814"/>
      <c r="Z135" s="814"/>
      <c r="AA135" s="815"/>
    </row>
    <row r="136" spans="3:27" x14ac:dyDescent="0.25">
      <c r="C136" s="853"/>
      <c r="D136" s="814"/>
      <c r="E136" s="814"/>
      <c r="F136" s="814"/>
      <c r="G136" s="814"/>
      <c r="H136" s="814"/>
      <c r="I136" s="814"/>
      <c r="J136" s="814"/>
      <c r="K136" s="814"/>
      <c r="L136" s="814"/>
      <c r="M136" s="1111"/>
      <c r="Q136" s="853"/>
      <c r="R136" s="814"/>
      <c r="S136" s="814"/>
      <c r="T136" s="814"/>
      <c r="U136" s="814"/>
      <c r="V136" s="814"/>
      <c r="W136" s="814"/>
      <c r="X136" s="814"/>
      <c r="Y136" s="814"/>
      <c r="Z136" s="814"/>
      <c r="AA136" s="815"/>
    </row>
    <row r="137" spans="3:27" x14ac:dyDescent="0.25">
      <c r="C137" s="853"/>
      <c r="D137" s="814"/>
      <c r="E137" s="814"/>
      <c r="F137" s="814"/>
      <c r="G137" s="814"/>
      <c r="H137" s="814"/>
      <c r="I137" s="814"/>
      <c r="J137" s="814"/>
      <c r="K137" s="814"/>
      <c r="L137" s="814"/>
      <c r="M137" s="1111"/>
      <c r="Q137" s="853"/>
      <c r="R137" s="814"/>
      <c r="S137" s="814"/>
      <c r="T137" s="814"/>
      <c r="U137" s="814"/>
      <c r="V137" s="814"/>
      <c r="W137" s="814"/>
      <c r="X137" s="814"/>
      <c r="Y137" s="814"/>
      <c r="Z137" s="814"/>
      <c r="AA137" s="815"/>
    </row>
    <row r="138" spans="3:27" x14ac:dyDescent="0.25">
      <c r="C138" s="853"/>
      <c r="D138" s="814"/>
      <c r="E138" s="814"/>
      <c r="F138" s="814"/>
      <c r="G138" s="814"/>
      <c r="H138" s="814"/>
      <c r="I138" s="814"/>
      <c r="J138" s="814"/>
      <c r="K138" s="814"/>
      <c r="L138" s="814"/>
      <c r="M138" s="1111"/>
      <c r="Q138" s="853"/>
      <c r="R138" s="814"/>
      <c r="S138" s="814"/>
      <c r="T138" s="814"/>
      <c r="U138" s="814"/>
      <c r="V138" s="814"/>
      <c r="W138" s="814"/>
      <c r="X138" s="814"/>
      <c r="Y138" s="814"/>
      <c r="Z138" s="814"/>
      <c r="AA138" s="815"/>
    </row>
    <row r="139" spans="3:27" x14ac:dyDescent="0.25">
      <c r="C139" s="853"/>
      <c r="D139" s="814"/>
      <c r="E139" s="814"/>
      <c r="F139" s="814"/>
      <c r="G139" s="814"/>
      <c r="H139" s="814"/>
      <c r="I139" s="814"/>
      <c r="J139" s="814"/>
      <c r="K139" s="814"/>
      <c r="L139" s="814"/>
      <c r="M139" s="1111"/>
      <c r="Q139" s="853"/>
      <c r="R139" s="814"/>
      <c r="S139" s="814"/>
      <c r="T139" s="814"/>
      <c r="U139" s="814"/>
      <c r="V139" s="814"/>
      <c r="W139" s="814"/>
      <c r="X139" s="814"/>
      <c r="Y139" s="814"/>
      <c r="Z139" s="814"/>
      <c r="AA139" s="815"/>
    </row>
    <row r="140" spans="3:27" x14ac:dyDescent="0.25">
      <c r="C140" s="853"/>
      <c r="D140" s="814"/>
      <c r="E140" s="814"/>
      <c r="F140" s="814"/>
      <c r="G140" s="814"/>
      <c r="H140" s="814"/>
      <c r="I140" s="814"/>
      <c r="J140" s="814"/>
      <c r="K140" s="814"/>
      <c r="L140" s="814"/>
      <c r="M140" s="1111"/>
      <c r="Q140" s="853"/>
      <c r="R140" s="814"/>
      <c r="S140" s="814"/>
      <c r="T140" s="814"/>
      <c r="U140" s="814"/>
      <c r="V140" s="814"/>
      <c r="W140" s="814"/>
      <c r="X140" s="814"/>
      <c r="Y140" s="814"/>
      <c r="Z140" s="814"/>
      <c r="AA140" s="815"/>
    </row>
    <row r="141" spans="3:27" x14ac:dyDescent="0.25">
      <c r="C141" s="853"/>
      <c r="D141" s="814"/>
      <c r="E141" s="814"/>
      <c r="F141" s="814"/>
      <c r="G141" s="814"/>
      <c r="H141" s="814"/>
      <c r="I141" s="814"/>
      <c r="J141" s="814"/>
      <c r="K141" s="814"/>
      <c r="L141" s="814"/>
      <c r="M141" s="1111"/>
      <c r="Q141" s="853"/>
      <c r="R141" s="814"/>
      <c r="S141" s="814"/>
      <c r="T141" s="814"/>
      <c r="U141" s="814"/>
      <c r="V141" s="814"/>
      <c r="W141" s="814"/>
      <c r="X141" s="814"/>
      <c r="Y141" s="814"/>
      <c r="Z141" s="814"/>
      <c r="AA141" s="815"/>
    </row>
    <row r="142" spans="3:27" x14ac:dyDescent="0.25">
      <c r="C142" s="853"/>
      <c r="D142" s="814"/>
      <c r="E142" s="814"/>
      <c r="F142" s="814"/>
      <c r="G142" s="814"/>
      <c r="H142" s="814"/>
      <c r="I142" s="814"/>
      <c r="J142" s="814"/>
      <c r="K142" s="814"/>
      <c r="L142" s="814"/>
      <c r="M142" s="1111"/>
      <c r="Q142" s="853"/>
      <c r="R142" s="814"/>
      <c r="S142" s="814"/>
      <c r="T142" s="814"/>
      <c r="U142" s="814"/>
      <c r="V142" s="814"/>
      <c r="W142" s="814"/>
      <c r="X142" s="814"/>
      <c r="Y142" s="814"/>
      <c r="Z142" s="814"/>
      <c r="AA142" s="815"/>
    </row>
    <row r="143" spans="3:27" x14ac:dyDescent="0.25">
      <c r="F143" s="862"/>
      <c r="G143" s="862"/>
      <c r="H143" s="862"/>
    </row>
    <row r="144" spans="3:27" x14ac:dyDescent="0.25">
      <c r="D144" s="1113"/>
      <c r="E144" s="1114"/>
      <c r="F144" s="1086"/>
      <c r="G144" s="1086"/>
      <c r="H144" s="1113"/>
      <c r="I144" s="1086"/>
      <c r="J144" s="1086"/>
      <c r="K144" s="1086"/>
      <c r="L144" s="1086"/>
    </row>
    <row r="145" spans="3:21" x14ac:dyDescent="0.25">
      <c r="D145" s="862"/>
    </row>
    <row r="146" spans="3:21" x14ac:dyDescent="0.25">
      <c r="C146" s="848"/>
      <c r="E146" s="862"/>
      <c r="F146" s="862"/>
      <c r="G146" s="862"/>
      <c r="H146" s="862"/>
      <c r="I146" s="862"/>
      <c r="J146" s="862"/>
      <c r="K146" s="862"/>
      <c r="L146" s="862"/>
      <c r="M146" s="862"/>
      <c r="N146" s="862"/>
    </row>
    <row r="147" spans="3:21" x14ac:dyDescent="0.25">
      <c r="H147" s="862"/>
      <c r="I147" s="862"/>
      <c r="J147" s="862"/>
      <c r="K147" s="862"/>
      <c r="L147" s="862"/>
      <c r="M147" s="862"/>
      <c r="N147" s="862"/>
      <c r="O147" s="862"/>
    </row>
    <row r="148" spans="3:21" x14ac:dyDescent="0.25">
      <c r="D148" s="1003"/>
      <c r="F148" s="1087"/>
      <c r="H148" s="1003"/>
      <c r="I148" s="862"/>
      <c r="J148" s="862"/>
      <c r="K148" s="862"/>
      <c r="L148" s="862"/>
      <c r="M148" s="1097"/>
      <c r="N148" s="862"/>
      <c r="O148" s="862"/>
      <c r="Q148" s="1097"/>
      <c r="R148" s="862"/>
      <c r="S148" s="862"/>
    </row>
    <row r="149" spans="3:21" x14ac:dyDescent="0.25">
      <c r="C149" s="4424"/>
      <c r="D149" s="4424"/>
      <c r="E149" s="4424"/>
      <c r="F149" s="4424"/>
      <c r="G149" s="4424"/>
      <c r="H149" s="4424"/>
      <c r="I149" s="4424"/>
      <c r="J149" s="4424"/>
      <c r="K149" s="4424"/>
      <c r="L149" s="4424"/>
      <c r="M149" s="4424"/>
      <c r="N149" s="4424"/>
      <c r="O149" s="4424"/>
      <c r="P149" s="4424"/>
      <c r="Q149" s="4424"/>
      <c r="R149" s="4424"/>
      <c r="S149" s="4424"/>
    </row>
    <row r="150" spans="3:21" x14ac:dyDescent="0.25">
      <c r="C150" s="4424"/>
      <c r="D150" s="4424"/>
      <c r="E150" s="4424"/>
      <c r="F150" s="4424"/>
      <c r="G150" s="4424"/>
      <c r="H150" s="4424"/>
      <c r="I150" s="4424"/>
      <c r="J150" s="4424"/>
      <c r="K150" s="4424"/>
      <c r="L150" s="4424"/>
      <c r="M150" s="4424"/>
      <c r="N150" s="4424"/>
      <c r="O150" s="4424"/>
      <c r="P150" s="4424"/>
      <c r="Q150" s="4424"/>
      <c r="R150" s="4424"/>
      <c r="S150" s="4424"/>
    </row>
    <row r="151" spans="3:21" x14ac:dyDescent="0.25">
      <c r="C151" s="4424"/>
      <c r="D151" s="4424"/>
      <c r="E151" s="831"/>
      <c r="F151" s="831"/>
      <c r="G151" s="831"/>
      <c r="H151" s="4424"/>
      <c r="I151" s="831"/>
      <c r="J151" s="831"/>
      <c r="K151" s="831"/>
      <c r="L151" s="831"/>
      <c r="M151" s="831"/>
      <c r="N151" s="831"/>
      <c r="O151" s="831"/>
      <c r="P151" s="831"/>
      <c r="Q151" s="831"/>
      <c r="R151" s="4424"/>
      <c r="S151" s="4424"/>
    </row>
    <row r="152" spans="3:21" x14ac:dyDescent="0.25">
      <c r="C152" s="4424"/>
      <c r="D152" s="4424"/>
      <c r="E152" s="1112"/>
      <c r="F152" s="1112"/>
      <c r="G152" s="1112"/>
      <c r="H152" s="4424"/>
      <c r="I152" s="1101"/>
      <c r="J152" s="1101"/>
      <c r="K152" s="1101"/>
      <c r="L152" s="1101"/>
      <c r="M152" s="1102"/>
      <c r="N152" s="1102"/>
      <c r="O152" s="972"/>
      <c r="P152" s="972"/>
      <c r="Q152" s="972"/>
      <c r="R152" s="4424"/>
      <c r="S152" s="4424"/>
    </row>
    <row r="153" spans="3:21" x14ac:dyDescent="0.25">
      <c r="C153" s="853"/>
      <c r="D153" s="814"/>
      <c r="E153" s="814"/>
      <c r="F153" s="814"/>
      <c r="G153" s="814"/>
      <c r="H153" s="814"/>
      <c r="I153" s="814"/>
      <c r="J153" s="814"/>
      <c r="K153" s="814"/>
      <c r="L153" s="814"/>
      <c r="M153" s="814"/>
      <c r="N153" s="814"/>
      <c r="O153" s="814"/>
      <c r="P153" s="814"/>
      <c r="Q153" s="814"/>
      <c r="R153" s="814"/>
      <c r="S153" s="814"/>
      <c r="U153" s="618"/>
    </row>
    <row r="154" spans="3:21" x14ac:dyDescent="0.25">
      <c r="C154" s="853"/>
      <c r="D154" s="814"/>
      <c r="E154" s="814"/>
      <c r="F154" s="814"/>
      <c r="G154" s="814"/>
      <c r="H154" s="814"/>
      <c r="I154" s="814"/>
      <c r="J154" s="814"/>
      <c r="K154" s="814"/>
      <c r="L154" s="814"/>
      <c r="M154" s="814"/>
      <c r="N154" s="814"/>
      <c r="O154" s="814"/>
      <c r="P154" s="814"/>
      <c r="Q154" s="814"/>
      <c r="R154" s="814"/>
      <c r="S154" s="814"/>
      <c r="U154" s="618"/>
    </row>
    <row r="155" spans="3:21" x14ac:dyDescent="0.25">
      <c r="C155" s="853"/>
      <c r="D155" s="814"/>
      <c r="E155" s="814"/>
      <c r="F155" s="814"/>
      <c r="G155" s="814"/>
      <c r="H155" s="814"/>
      <c r="I155" s="814"/>
      <c r="J155" s="814"/>
      <c r="K155" s="814"/>
      <c r="L155" s="814"/>
      <c r="M155" s="814"/>
      <c r="N155" s="814"/>
      <c r="O155" s="814"/>
      <c r="P155" s="814"/>
      <c r="Q155" s="814"/>
      <c r="R155" s="814"/>
      <c r="S155" s="814"/>
      <c r="U155" s="618"/>
    </row>
    <row r="156" spans="3:21" x14ac:dyDescent="0.25">
      <c r="C156" s="853"/>
      <c r="D156" s="814"/>
      <c r="E156" s="814"/>
      <c r="F156" s="814"/>
      <c r="G156" s="814"/>
      <c r="H156" s="814"/>
      <c r="I156" s="814"/>
      <c r="J156" s="814"/>
      <c r="K156" s="814"/>
      <c r="L156" s="814"/>
      <c r="M156" s="814"/>
      <c r="N156" s="814"/>
      <c r="O156" s="814"/>
      <c r="P156" s="814"/>
      <c r="Q156" s="814"/>
      <c r="R156" s="814"/>
      <c r="S156" s="814"/>
      <c r="U156" s="618"/>
    </row>
    <row r="157" spans="3:21" x14ac:dyDescent="0.25">
      <c r="C157" s="853"/>
      <c r="D157" s="814"/>
      <c r="E157" s="814"/>
      <c r="F157" s="814"/>
      <c r="G157" s="814"/>
      <c r="H157" s="814"/>
      <c r="I157" s="814"/>
      <c r="J157" s="814"/>
      <c r="K157" s="814"/>
      <c r="L157" s="814"/>
      <c r="M157" s="814"/>
      <c r="N157" s="814"/>
      <c r="O157" s="814"/>
      <c r="P157" s="814"/>
      <c r="Q157" s="814"/>
      <c r="R157" s="814"/>
      <c r="S157" s="814"/>
      <c r="U157" s="618"/>
    </row>
    <row r="158" spans="3:21" x14ac:dyDescent="0.25">
      <c r="C158" s="853"/>
      <c r="D158" s="814"/>
      <c r="E158" s="814"/>
      <c r="F158" s="814"/>
      <c r="G158" s="814"/>
      <c r="H158" s="814"/>
      <c r="I158" s="814"/>
      <c r="J158" s="814"/>
      <c r="K158" s="814"/>
      <c r="L158" s="814"/>
      <c r="M158" s="814"/>
      <c r="N158" s="814"/>
      <c r="O158" s="814"/>
      <c r="P158" s="814"/>
      <c r="Q158" s="814"/>
      <c r="R158" s="814"/>
      <c r="S158" s="814"/>
      <c r="U158" s="618"/>
    </row>
    <row r="159" spans="3:21" x14ac:dyDescent="0.25">
      <c r="C159" s="853"/>
      <c r="D159" s="814"/>
      <c r="E159" s="814"/>
      <c r="F159" s="814"/>
      <c r="G159" s="814"/>
      <c r="H159" s="814"/>
      <c r="I159" s="814"/>
      <c r="J159" s="814"/>
      <c r="K159" s="814"/>
      <c r="L159" s="814"/>
      <c r="M159" s="814"/>
      <c r="N159" s="814"/>
      <c r="O159" s="814"/>
      <c r="P159" s="814"/>
      <c r="Q159" s="814"/>
      <c r="R159" s="814"/>
      <c r="S159" s="814"/>
      <c r="U159" s="618"/>
    </row>
    <row r="160" spans="3:21" x14ac:dyDescent="0.25">
      <c r="C160" s="853"/>
      <c r="D160" s="814"/>
      <c r="E160" s="814"/>
      <c r="F160" s="814"/>
      <c r="G160" s="814"/>
      <c r="H160" s="814"/>
      <c r="I160" s="814"/>
      <c r="J160" s="814"/>
      <c r="K160" s="814"/>
      <c r="L160" s="814"/>
      <c r="M160" s="814"/>
      <c r="N160" s="814"/>
      <c r="O160" s="814"/>
      <c r="P160" s="814"/>
      <c r="Q160" s="814"/>
      <c r="R160" s="814"/>
      <c r="S160" s="814"/>
      <c r="U160" s="618"/>
    </row>
    <row r="161" spans="3:21" x14ac:dyDescent="0.25">
      <c r="C161" s="853"/>
      <c r="D161" s="814"/>
      <c r="E161" s="814"/>
      <c r="F161" s="814"/>
      <c r="G161" s="814"/>
      <c r="H161" s="814"/>
      <c r="I161" s="814"/>
      <c r="J161" s="814"/>
      <c r="K161" s="814"/>
      <c r="L161" s="814"/>
      <c r="M161" s="814"/>
      <c r="N161" s="814"/>
      <c r="O161" s="814"/>
      <c r="P161" s="814"/>
      <c r="Q161" s="814"/>
      <c r="R161" s="814"/>
      <c r="S161" s="814"/>
      <c r="U161" s="618"/>
    </row>
    <row r="162" spans="3:21" x14ac:dyDescent="0.25">
      <c r="C162" s="853"/>
      <c r="D162" s="814"/>
      <c r="E162" s="814"/>
      <c r="F162" s="814"/>
      <c r="G162" s="814"/>
      <c r="H162" s="814"/>
      <c r="I162" s="814"/>
      <c r="J162" s="814"/>
      <c r="K162" s="814"/>
      <c r="L162" s="814"/>
      <c r="M162" s="814"/>
      <c r="N162" s="814"/>
      <c r="O162" s="814"/>
      <c r="P162" s="814"/>
      <c r="Q162" s="814"/>
      <c r="R162" s="814"/>
      <c r="S162" s="814"/>
      <c r="U162" s="618"/>
    </row>
    <row r="163" spans="3:21" x14ac:dyDescent="0.25">
      <c r="C163" s="853"/>
      <c r="D163" s="814"/>
      <c r="E163" s="814"/>
      <c r="F163" s="814"/>
      <c r="G163" s="814"/>
      <c r="H163" s="814"/>
      <c r="I163" s="814"/>
      <c r="J163" s="814"/>
      <c r="K163" s="814"/>
      <c r="L163" s="814"/>
      <c r="M163" s="814"/>
      <c r="N163" s="814"/>
      <c r="O163" s="814"/>
      <c r="P163" s="814"/>
      <c r="Q163" s="814"/>
      <c r="R163" s="814"/>
      <c r="S163" s="814"/>
      <c r="U163" s="618"/>
    </row>
    <row r="164" spans="3:21" x14ac:dyDescent="0.25">
      <c r="C164" s="853"/>
      <c r="D164" s="814"/>
      <c r="E164" s="814"/>
      <c r="F164" s="814"/>
      <c r="G164" s="814"/>
      <c r="H164" s="814"/>
      <c r="I164" s="814"/>
      <c r="J164" s="814"/>
      <c r="K164" s="814"/>
      <c r="L164" s="814"/>
      <c r="M164" s="814"/>
      <c r="N164" s="814"/>
      <c r="O164" s="814"/>
      <c r="P164" s="814"/>
      <c r="Q164" s="814"/>
      <c r="R164" s="814"/>
      <c r="S164" s="814"/>
      <c r="U164" s="618"/>
    </row>
    <row r="165" spans="3:21" x14ac:dyDescent="0.25">
      <c r="C165" s="853"/>
      <c r="D165" s="814"/>
      <c r="E165" s="814"/>
      <c r="F165" s="814"/>
      <c r="G165" s="814"/>
      <c r="H165" s="814"/>
      <c r="I165" s="814"/>
      <c r="J165" s="814"/>
      <c r="K165" s="814"/>
      <c r="L165" s="814"/>
      <c r="M165" s="814"/>
      <c r="N165" s="814"/>
      <c r="O165" s="814"/>
      <c r="P165" s="814"/>
      <c r="Q165" s="814"/>
      <c r="R165" s="814"/>
      <c r="S165" s="814"/>
      <c r="U165" s="618"/>
    </row>
    <row r="166" spans="3:21" x14ac:dyDescent="0.25">
      <c r="C166" s="853"/>
      <c r="D166" s="814"/>
      <c r="E166" s="814"/>
      <c r="F166" s="814"/>
      <c r="G166" s="814"/>
      <c r="H166" s="814"/>
      <c r="I166" s="814"/>
      <c r="J166" s="814"/>
      <c r="K166" s="814"/>
      <c r="L166" s="814"/>
      <c r="M166" s="814"/>
      <c r="N166" s="814"/>
      <c r="O166" s="814"/>
      <c r="P166" s="814"/>
      <c r="Q166" s="814"/>
      <c r="R166" s="814"/>
      <c r="S166" s="814"/>
      <c r="U166" s="618"/>
    </row>
    <row r="167" spans="3:21" x14ac:dyDescent="0.25">
      <c r="C167" s="853"/>
      <c r="D167" s="814"/>
      <c r="E167" s="814"/>
      <c r="F167" s="814"/>
      <c r="G167" s="814"/>
      <c r="H167" s="814"/>
      <c r="I167" s="814"/>
      <c r="J167" s="814"/>
      <c r="K167" s="814"/>
      <c r="L167" s="814"/>
      <c r="M167" s="814"/>
      <c r="N167" s="814"/>
      <c r="O167" s="814"/>
      <c r="P167" s="814"/>
      <c r="Q167" s="814"/>
      <c r="R167" s="814"/>
      <c r="S167" s="814"/>
      <c r="U167" s="618"/>
    </row>
    <row r="168" spans="3:21" x14ac:dyDescent="0.25">
      <c r="C168" s="853"/>
      <c r="D168" s="814"/>
      <c r="E168" s="814"/>
      <c r="F168" s="814"/>
      <c r="G168" s="814"/>
      <c r="H168" s="814"/>
      <c r="I168" s="814"/>
      <c r="J168" s="814"/>
      <c r="K168" s="814"/>
      <c r="L168" s="814"/>
      <c r="M168" s="814"/>
      <c r="N168" s="814"/>
      <c r="O168" s="814"/>
      <c r="P168" s="814"/>
      <c r="Q168" s="814"/>
      <c r="R168" s="814"/>
      <c r="S168" s="814"/>
      <c r="U168" s="618"/>
    </row>
    <row r="169" spans="3:21" x14ac:dyDescent="0.25">
      <c r="C169" s="853"/>
      <c r="D169" s="814"/>
      <c r="E169" s="814"/>
      <c r="F169" s="814"/>
      <c r="G169" s="814"/>
      <c r="H169" s="814"/>
      <c r="I169" s="814"/>
      <c r="J169" s="814"/>
      <c r="K169" s="814"/>
      <c r="L169" s="814"/>
      <c r="M169" s="814"/>
      <c r="N169" s="814"/>
      <c r="O169" s="814"/>
      <c r="P169" s="814"/>
      <c r="Q169" s="814"/>
      <c r="R169" s="814"/>
      <c r="S169" s="814"/>
      <c r="U169" s="618"/>
    </row>
  </sheetData>
  <mergeCells count="92">
    <mergeCell ref="Y12:AB12"/>
    <mergeCell ref="C2:P2"/>
    <mergeCell ref="E4:G4"/>
    <mergeCell ref="K4:M4"/>
    <mergeCell ref="E5:G5"/>
    <mergeCell ref="E6:G6"/>
    <mergeCell ref="E7:G7"/>
    <mergeCell ref="C10:F10"/>
    <mergeCell ref="I10:L10"/>
    <mergeCell ref="C12:F12"/>
    <mergeCell ref="AD12:AG12"/>
    <mergeCell ref="AI12:AL12"/>
    <mergeCell ref="I14:I16"/>
    <mergeCell ref="N14:N16"/>
    <mergeCell ref="O14:O16"/>
    <mergeCell ref="S14:S16"/>
    <mergeCell ref="Y14:Y16"/>
    <mergeCell ref="Z14:Z16"/>
    <mergeCell ref="AD14:AD16"/>
    <mergeCell ref="AE14:AE16"/>
    <mergeCell ref="AA15:AA16"/>
    <mergeCell ref="AF15:AF16"/>
    <mergeCell ref="AK15:AK16"/>
    <mergeCell ref="I12:L12"/>
    <mergeCell ref="N12:Q12"/>
    <mergeCell ref="S12:V12"/>
    <mergeCell ref="C38:E38"/>
    <mergeCell ref="G38:H38"/>
    <mergeCell ref="AI14:AI16"/>
    <mergeCell ref="AJ14:AJ16"/>
    <mergeCell ref="C15:C16"/>
    <mergeCell ref="D15:D16"/>
    <mergeCell ref="F15:F16"/>
    <mergeCell ref="J15:J16"/>
    <mergeCell ref="K15:K16"/>
    <mergeCell ref="P15:P16"/>
    <mergeCell ref="T15:T16"/>
    <mergeCell ref="U15:U16"/>
    <mergeCell ref="C36:H36"/>
    <mergeCell ref="G69:I69"/>
    <mergeCell ref="C41:C42"/>
    <mergeCell ref="D41:D42"/>
    <mergeCell ref="G41:G42"/>
    <mergeCell ref="C61:I61"/>
    <mergeCell ref="C65:C67"/>
    <mergeCell ref="E65:E67"/>
    <mergeCell ref="P65:P67"/>
    <mergeCell ref="T65:T67"/>
    <mergeCell ref="U65:U66"/>
    <mergeCell ref="G67:H67"/>
    <mergeCell ref="G68:H68"/>
    <mergeCell ref="V89:V92"/>
    <mergeCell ref="C90:C92"/>
    <mergeCell ref="D90:D92"/>
    <mergeCell ref="F90:F92"/>
    <mergeCell ref="H90:H92"/>
    <mergeCell ref="I90:I92"/>
    <mergeCell ref="N90:N92"/>
    <mergeCell ref="O90:O92"/>
    <mergeCell ref="Q90:Q92"/>
    <mergeCell ref="C86:K86"/>
    <mergeCell ref="S89:S92"/>
    <mergeCell ref="T89:T91"/>
    <mergeCell ref="G121:I121"/>
    <mergeCell ref="J121:L121"/>
    <mergeCell ref="C122:C125"/>
    <mergeCell ref="D122:D123"/>
    <mergeCell ref="E122:E123"/>
    <mergeCell ref="F122:F123"/>
    <mergeCell ref="G122:G123"/>
    <mergeCell ref="H122:I122"/>
    <mergeCell ref="J122:J124"/>
    <mergeCell ref="K122:L123"/>
    <mergeCell ref="Z123:Z124"/>
    <mergeCell ref="AA123:AA125"/>
    <mergeCell ref="M122:M125"/>
    <mergeCell ref="H123:H124"/>
    <mergeCell ref="I123:I124"/>
    <mergeCell ref="Q123:Q125"/>
    <mergeCell ref="T123:T124"/>
    <mergeCell ref="U123:U124"/>
    <mergeCell ref="V123:W123"/>
    <mergeCell ref="X123:X124"/>
    <mergeCell ref="C149:C152"/>
    <mergeCell ref="D149:G150"/>
    <mergeCell ref="H149:L150"/>
    <mergeCell ref="M149:Q150"/>
    <mergeCell ref="R149:S150"/>
    <mergeCell ref="D151:D152"/>
    <mergeCell ref="H151:H152"/>
    <mergeCell ref="R151:R152"/>
    <mergeCell ref="S151:S152"/>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249977111117893"/>
  </sheetPr>
  <dimension ref="C1:AF226"/>
  <sheetViews>
    <sheetView topLeftCell="A55" workbookViewId="0">
      <selection activeCell="E78" sqref="E78"/>
    </sheetView>
  </sheetViews>
  <sheetFormatPr baseColWidth="10" defaultColWidth="11.42578125" defaultRowHeight="13.5" x14ac:dyDescent="0.25"/>
  <cols>
    <col min="1" max="1" width="2.5703125" style="691" customWidth="1"/>
    <col min="2" max="2" width="2" style="691" customWidth="1"/>
    <col min="3" max="3" width="4" style="691" customWidth="1"/>
    <col min="4" max="4" width="9.7109375" style="691" customWidth="1"/>
    <col min="5" max="12" width="14" style="691" customWidth="1"/>
    <col min="13" max="13" width="12.85546875" style="691" customWidth="1"/>
    <col min="14" max="14" width="16" style="691" customWidth="1"/>
    <col min="15" max="15" width="18.5703125" style="691" customWidth="1"/>
    <col min="16" max="17" width="11.42578125" style="691"/>
    <col min="18" max="18" width="15.140625" style="691" customWidth="1"/>
    <col min="19" max="21" width="11.42578125" style="691"/>
    <col min="22" max="22" width="14.42578125" style="691" customWidth="1"/>
    <col min="23" max="16384" width="11.42578125" style="691"/>
  </cols>
  <sheetData>
    <row r="1" spans="4:32" x14ac:dyDescent="0.25">
      <c r="D1" s="4448" t="s">
        <v>1909</v>
      </c>
      <c r="E1" s="4448"/>
      <c r="F1" s="4448"/>
      <c r="G1" s="4448"/>
      <c r="H1" s="4448"/>
      <c r="I1" s="1138"/>
      <c r="J1" s="1138"/>
      <c r="K1" s="1138"/>
      <c r="L1" s="1138"/>
      <c r="M1" s="1138"/>
      <c r="N1" s="1138"/>
      <c r="O1" s="1138"/>
      <c r="P1" s="1138"/>
      <c r="Q1" s="1138"/>
      <c r="R1" s="1139"/>
      <c r="S1" s="997"/>
      <c r="T1" s="997"/>
      <c r="U1" s="997"/>
      <c r="V1" s="997"/>
      <c r="W1" s="997"/>
      <c r="X1" s="997"/>
      <c r="Y1" s="997"/>
      <c r="Z1" s="997"/>
      <c r="AA1" s="997"/>
      <c r="AB1" s="997"/>
      <c r="AC1" s="997"/>
      <c r="AD1" s="997"/>
      <c r="AE1" s="997"/>
      <c r="AF1" s="997"/>
    </row>
    <row r="2" spans="4:32" ht="14.25" thickBot="1" x14ac:dyDescent="0.3">
      <c r="D2" s="1140"/>
      <c r="E2" s="1140"/>
      <c r="F2" s="1140"/>
      <c r="G2" s="1140"/>
      <c r="H2" s="1140"/>
      <c r="I2" s="1140"/>
      <c r="J2" s="1140"/>
      <c r="K2" s="1140"/>
      <c r="L2" s="1140"/>
      <c r="M2" s="1140"/>
      <c r="N2" s="1140"/>
      <c r="O2" s="1140"/>
      <c r="P2" s="1140"/>
      <c r="Q2" s="1140"/>
      <c r="R2" s="693"/>
      <c r="S2" s="694"/>
      <c r="T2" s="694"/>
      <c r="U2" s="694"/>
      <c r="V2" s="694"/>
      <c r="W2" s="694"/>
      <c r="X2" s="694"/>
      <c r="Y2" s="694"/>
      <c r="Z2" s="694"/>
      <c r="AA2" s="694"/>
      <c r="AB2" s="694"/>
      <c r="AC2" s="694"/>
      <c r="AD2" s="694"/>
      <c r="AE2" s="694"/>
      <c r="AF2" s="694"/>
    </row>
    <row r="3" spans="4:32" ht="27.75" thickBot="1" x14ac:dyDescent="0.3">
      <c r="D3" s="1141"/>
      <c r="E3" s="1034" t="s">
        <v>1558</v>
      </c>
      <c r="F3" s="4405" t="s">
        <v>1559</v>
      </c>
      <c r="G3" s="4405"/>
      <c r="H3" s="4406"/>
      <c r="I3" s="1116"/>
      <c r="J3" s="1141"/>
      <c r="K3" s="1116"/>
      <c r="L3" s="4449"/>
      <c r="M3" s="4449"/>
      <c r="N3" s="4449"/>
      <c r="O3" s="1116"/>
      <c r="P3" s="1141"/>
      <c r="Q3" s="1141"/>
      <c r="R3" s="1139"/>
      <c r="S3" s="997"/>
      <c r="T3" s="997"/>
      <c r="U3" s="997"/>
      <c r="V3" s="997"/>
      <c r="W3" s="997"/>
      <c r="X3" s="997"/>
      <c r="Y3" s="997"/>
      <c r="Z3" s="997"/>
      <c r="AA3" s="997"/>
      <c r="AB3" s="997"/>
      <c r="AC3" s="997"/>
      <c r="AD3" s="997"/>
      <c r="AE3" s="997"/>
      <c r="AF3" s="997"/>
    </row>
    <row r="4" spans="4:32" ht="12" customHeight="1" thickBot="1" x14ac:dyDescent="0.3">
      <c r="D4" s="1141"/>
      <c r="E4" s="1149"/>
      <c r="F4" s="4441" t="s">
        <v>1910</v>
      </c>
      <c r="G4" s="4441"/>
      <c r="H4" s="4441"/>
      <c r="I4" s="1141"/>
      <c r="J4" s="1141"/>
      <c r="K4" s="1116"/>
      <c r="L4" s="1117"/>
      <c r="M4" s="1117"/>
      <c r="N4" s="1117"/>
      <c r="O4" s="1116"/>
      <c r="P4" s="1141"/>
      <c r="Q4" s="1141"/>
      <c r="R4" s="1139"/>
      <c r="S4" s="997"/>
      <c r="T4" s="997"/>
      <c r="U4" s="997"/>
      <c r="V4" s="997"/>
      <c r="W4" s="997"/>
      <c r="X4" s="997"/>
      <c r="Y4" s="997"/>
      <c r="Z4" s="997"/>
      <c r="AA4" s="997"/>
      <c r="AB4" s="997"/>
      <c r="AC4" s="997"/>
      <c r="AD4" s="997"/>
      <c r="AE4" s="997"/>
      <c r="AF4" s="997"/>
    </row>
    <row r="5" spans="4:32" ht="14.25" thickBot="1" x14ac:dyDescent="0.3">
      <c r="D5" s="1141"/>
      <c r="E5" s="1149"/>
      <c r="F5" s="4441" t="s">
        <v>1911</v>
      </c>
      <c r="G5" s="4441"/>
      <c r="H5" s="4441"/>
      <c r="I5" s="1118"/>
      <c r="J5" s="1141"/>
      <c r="K5" s="1142"/>
      <c r="L5" s="4450"/>
      <c r="M5" s="4450"/>
      <c r="N5" s="4450"/>
      <c r="O5" s="1119"/>
      <c r="P5" s="1143"/>
      <c r="Q5" s="1141"/>
      <c r="R5" s="1139"/>
      <c r="S5" s="997"/>
      <c r="T5" s="997"/>
      <c r="U5" s="997"/>
      <c r="V5" s="997"/>
      <c r="W5" s="997"/>
      <c r="X5" s="997"/>
      <c r="Y5" s="997"/>
      <c r="Z5" s="997"/>
      <c r="AA5" s="997"/>
      <c r="AB5" s="997"/>
      <c r="AC5" s="997"/>
      <c r="AD5" s="997"/>
      <c r="AE5" s="997"/>
      <c r="AF5" s="997"/>
    </row>
    <row r="6" spans="4:32" ht="15.75" customHeight="1" thickBot="1" x14ac:dyDescent="0.3">
      <c r="D6" s="1141"/>
      <c r="E6" s="1149"/>
      <c r="F6" s="4445" t="s">
        <v>1912</v>
      </c>
      <c r="G6" s="4446"/>
      <c r="H6" s="4447"/>
      <c r="I6" s="1118"/>
      <c r="J6" s="1141"/>
      <c r="K6" s="1142"/>
      <c r="L6" s="852"/>
      <c r="M6" s="852"/>
      <c r="N6" s="852"/>
      <c r="O6" s="1119"/>
      <c r="P6" s="1143"/>
      <c r="Q6" s="1141"/>
      <c r="R6" s="1139"/>
      <c r="S6" s="997"/>
      <c r="T6" s="997"/>
      <c r="U6" s="997"/>
      <c r="V6" s="997"/>
      <c r="W6" s="997"/>
      <c r="X6" s="997"/>
      <c r="Y6" s="997"/>
      <c r="Z6" s="997"/>
      <c r="AA6" s="997"/>
      <c r="AB6" s="997"/>
      <c r="AC6" s="997"/>
      <c r="AD6" s="997"/>
      <c r="AE6" s="997"/>
      <c r="AF6" s="997"/>
    </row>
    <row r="7" spans="4:32" ht="14.25" thickBot="1" x14ac:dyDescent="0.3">
      <c r="D7" s="1141"/>
      <c r="E7" s="1149"/>
      <c r="F7" s="4441" t="s">
        <v>1913</v>
      </c>
      <c r="G7" s="4441"/>
      <c r="H7" s="4441"/>
      <c r="I7" s="1118"/>
      <c r="J7" s="1141"/>
      <c r="K7" s="1142"/>
      <c r="L7" s="852"/>
      <c r="M7" s="852"/>
      <c r="N7" s="852"/>
      <c r="O7" s="1119"/>
      <c r="P7" s="1143"/>
      <c r="Q7" s="1141"/>
      <c r="R7" s="1139"/>
      <c r="S7" s="997"/>
      <c r="T7" s="997"/>
      <c r="U7" s="997"/>
      <c r="V7" s="997"/>
      <c r="W7" s="997"/>
      <c r="X7" s="997"/>
      <c r="Y7" s="997"/>
      <c r="Z7" s="997"/>
      <c r="AA7" s="997"/>
      <c r="AB7" s="997"/>
      <c r="AC7" s="997"/>
      <c r="AD7" s="997"/>
      <c r="AE7" s="997"/>
      <c r="AF7" s="997"/>
    </row>
    <row r="8" spans="4:32" ht="12" customHeight="1" thickBot="1" x14ac:dyDescent="0.3">
      <c r="D8" s="1141"/>
      <c r="E8" s="1149"/>
      <c r="F8" s="4441" t="s">
        <v>1914</v>
      </c>
      <c r="G8" s="4441"/>
      <c r="H8" s="4441"/>
      <c r="I8" s="1118"/>
      <c r="J8" s="1141"/>
      <c r="K8" s="1142"/>
      <c r="L8" s="852"/>
      <c r="M8" s="852"/>
      <c r="N8" s="852"/>
      <c r="O8" s="1119"/>
      <c r="P8" s="1143"/>
      <c r="Q8" s="1141"/>
      <c r="R8" s="1139"/>
      <c r="S8" s="997"/>
      <c r="T8" s="997"/>
      <c r="U8" s="997"/>
      <c r="V8" s="997"/>
      <c r="W8" s="997"/>
      <c r="X8" s="997"/>
      <c r="Y8" s="997"/>
      <c r="Z8" s="997"/>
      <c r="AA8" s="997"/>
      <c r="AB8" s="997"/>
      <c r="AC8" s="997"/>
      <c r="AD8" s="997"/>
      <c r="AE8" s="997"/>
      <c r="AF8" s="997"/>
    </row>
    <row r="9" spans="4:32" ht="12" customHeight="1" thickBot="1" x14ac:dyDescent="0.3">
      <c r="D9" s="1141"/>
      <c r="E9" s="1149"/>
      <c r="F9" s="4441" t="s">
        <v>1915</v>
      </c>
      <c r="G9" s="4441"/>
      <c r="H9" s="4441"/>
      <c r="I9" s="1118"/>
      <c r="J9" s="1141"/>
      <c r="K9" s="1142"/>
      <c r="L9" s="852"/>
      <c r="M9" s="852"/>
      <c r="N9" s="852"/>
      <c r="O9" s="1119"/>
      <c r="P9" s="1143"/>
      <c r="Q9" s="1141"/>
      <c r="R9" s="1139"/>
      <c r="S9" s="997"/>
      <c r="T9" s="997"/>
      <c r="U9" s="997"/>
      <c r="V9" s="997"/>
      <c r="W9" s="997"/>
      <c r="X9" s="997"/>
      <c r="Y9" s="997"/>
      <c r="Z9" s="997"/>
      <c r="AA9" s="997"/>
      <c r="AB9" s="997"/>
      <c r="AC9" s="997"/>
      <c r="AD9" s="997"/>
      <c r="AE9" s="997"/>
      <c r="AF9" s="997"/>
    </row>
    <row r="10" spans="4:32" x14ac:dyDescent="0.25">
      <c r="D10" s="997"/>
      <c r="E10" s="997"/>
      <c r="F10" s="997"/>
      <c r="G10" s="997"/>
      <c r="H10" s="997"/>
      <c r="I10" s="997"/>
      <c r="J10" s="997"/>
      <c r="K10" s="997"/>
      <c r="L10" s="997"/>
      <c r="M10" s="997"/>
      <c r="N10" s="997"/>
      <c r="O10" s="997"/>
      <c r="P10" s="997"/>
      <c r="Q10" s="997"/>
      <c r="R10" s="997"/>
      <c r="S10" s="997"/>
      <c r="T10" s="997"/>
      <c r="U10" s="997"/>
      <c r="V10" s="997"/>
      <c r="W10" s="997"/>
      <c r="X10" s="997"/>
      <c r="Y10" s="997"/>
      <c r="Z10" s="997"/>
      <c r="AA10" s="997"/>
      <c r="AB10" s="997"/>
      <c r="AC10" s="997"/>
      <c r="AD10" s="997"/>
      <c r="AE10" s="997"/>
      <c r="AF10" s="997"/>
    </row>
    <row r="11" spans="4:32" x14ac:dyDescent="0.25">
      <c r="D11" s="4455" t="s">
        <v>1916</v>
      </c>
      <c r="E11" s="4455"/>
      <c r="F11" s="4455"/>
      <c r="G11" s="4455"/>
      <c r="H11" s="4455"/>
      <c r="I11" s="4455"/>
      <c r="J11" s="4455"/>
      <c r="K11" s="4455"/>
      <c r="L11" s="4455"/>
    </row>
    <row r="12" spans="4:32" x14ac:dyDescent="0.25">
      <c r="F12" s="692"/>
      <c r="G12" s="692"/>
      <c r="H12" s="692"/>
      <c r="I12" s="692"/>
    </row>
    <row r="13" spans="4:32" x14ac:dyDescent="0.25">
      <c r="D13" s="1144"/>
      <c r="F13" s="692"/>
      <c r="G13" s="692"/>
      <c r="H13" s="692"/>
      <c r="I13" s="692"/>
    </row>
    <row r="14" spans="4:32" x14ac:dyDescent="0.25">
      <c r="D14" s="1013"/>
      <c r="E14" s="967"/>
      <c r="F14" s="967"/>
      <c r="G14" s="967"/>
      <c r="H14" s="967"/>
      <c r="I14" s="1120"/>
    </row>
    <row r="15" spans="4:32" x14ac:dyDescent="0.25">
      <c r="D15" s="1013"/>
      <c r="E15" s="967"/>
      <c r="F15" s="967"/>
      <c r="G15" s="967"/>
      <c r="H15" s="967"/>
    </row>
    <row r="16" spans="4:32" x14ac:dyDescent="0.25">
      <c r="D16" s="1013"/>
      <c r="E16" s="967"/>
      <c r="F16" s="967"/>
      <c r="G16" s="967"/>
      <c r="H16" s="967"/>
    </row>
    <row r="17" spans="4:11" x14ac:dyDescent="0.25">
      <c r="D17" s="1145" t="s">
        <v>1917</v>
      </c>
      <c r="E17" s="967"/>
      <c r="F17" s="967"/>
      <c r="G17" s="967"/>
      <c r="H17" s="967"/>
    </row>
    <row r="18" spans="4:11" ht="14.25" thickBot="1" x14ac:dyDescent="0.3">
      <c r="F18" s="692"/>
      <c r="G18" s="692"/>
      <c r="H18" s="692"/>
      <c r="I18" s="692"/>
    </row>
    <row r="19" spans="4:11" ht="14.25" thickBot="1" x14ac:dyDescent="0.3">
      <c r="F19" s="692"/>
      <c r="H19" s="1158" t="s">
        <v>1918</v>
      </c>
      <c r="I19" s="692"/>
    </row>
    <row r="20" spans="4:11" ht="27.75" thickBot="1" x14ac:dyDescent="0.3">
      <c r="D20" s="3990" t="s">
        <v>1485</v>
      </c>
      <c r="E20" s="1152" t="s">
        <v>1919</v>
      </c>
      <c r="F20" s="1153" t="s">
        <v>597</v>
      </c>
      <c r="G20" s="1152" t="s">
        <v>1920</v>
      </c>
      <c r="H20" s="3993" t="s">
        <v>1921</v>
      </c>
    </row>
    <row r="21" spans="4:11" ht="15" customHeight="1" thickBot="1" x14ac:dyDescent="0.3">
      <c r="D21" s="3992"/>
      <c r="E21" s="1154">
        <v>0.7</v>
      </c>
      <c r="F21" s="1154">
        <v>1</v>
      </c>
      <c r="G21" s="1154">
        <v>0.5</v>
      </c>
      <c r="H21" s="4389"/>
    </row>
    <row r="22" spans="4:11" ht="14.25" thickBot="1" x14ac:dyDescent="0.3">
      <c r="D22" s="1150">
        <v>2018</v>
      </c>
      <c r="E22" s="1024" t="e">
        <f>'11 Dda SS Salud P3'!D17*E$21</f>
        <v>#DIV/0!</v>
      </c>
      <c r="F22" s="1024" t="e">
        <f>'10 Dda Efect SS Salud P2'!K293</f>
        <v>#DIV/0!</v>
      </c>
      <c r="G22" s="1024" t="e">
        <f>'11 Dda SS Salud P3'!E43*G$21</f>
        <v>#DIV/0!</v>
      </c>
      <c r="H22" s="1151" t="e">
        <f>SUM(E22:G22)</f>
        <v>#DIV/0!</v>
      </c>
    </row>
    <row r="23" spans="4:11" ht="14.25" thickBot="1" x14ac:dyDescent="0.3">
      <c r="D23" s="1150">
        <f>D22+1</f>
        <v>2019</v>
      </c>
      <c r="E23" s="1024" t="e">
        <f>'11 Dda SS Salud P3'!D18*E$21</f>
        <v>#DIV/0!</v>
      </c>
      <c r="F23" s="1024" t="e">
        <f>'10 Dda Efect SS Salud P2'!K294</f>
        <v>#DIV/0!</v>
      </c>
      <c r="G23" s="1024" t="e">
        <f>'11 Dda SS Salud P3'!E44*G$21</f>
        <v>#DIV/0!</v>
      </c>
      <c r="H23" s="1151" t="e">
        <f t="shared" ref="H23:H38" si="0">SUM(E23:G23)</f>
        <v>#DIV/0!</v>
      </c>
    </row>
    <row r="24" spans="4:11" ht="14.25" thickBot="1" x14ac:dyDescent="0.3">
      <c r="D24" s="1150">
        <f>D23+1</f>
        <v>2020</v>
      </c>
      <c r="E24" s="1024" t="e">
        <f>'11 Dda SS Salud P3'!D19*E$21</f>
        <v>#DIV/0!</v>
      </c>
      <c r="F24" s="1024" t="e">
        <f>'10 Dda Efect SS Salud P2'!K295</f>
        <v>#DIV/0!</v>
      </c>
      <c r="G24" s="1024" t="e">
        <f>'11 Dda SS Salud P3'!E45*G$21</f>
        <v>#DIV/0!</v>
      </c>
      <c r="H24" s="1151" t="e">
        <f t="shared" si="0"/>
        <v>#DIV/0!</v>
      </c>
      <c r="K24" s="1121"/>
    </row>
    <row r="25" spans="4:11" ht="14.25" thickBot="1" x14ac:dyDescent="0.3">
      <c r="D25" s="1150">
        <f t="shared" ref="D25:D38" si="1">D24+1</f>
        <v>2021</v>
      </c>
      <c r="E25" s="1024" t="e">
        <f>'11 Dda SS Salud P3'!D20*E$21</f>
        <v>#DIV/0!</v>
      </c>
      <c r="F25" s="1024" t="e">
        <f>'10 Dda Efect SS Salud P2'!K296</f>
        <v>#DIV/0!</v>
      </c>
      <c r="G25" s="1024" t="e">
        <f>'11 Dda SS Salud P3'!E46*G$21</f>
        <v>#DIV/0!</v>
      </c>
      <c r="H25" s="1151" t="e">
        <f t="shared" si="0"/>
        <v>#DIV/0!</v>
      </c>
    </row>
    <row r="26" spans="4:11" ht="14.25" thickBot="1" x14ac:dyDescent="0.3">
      <c r="D26" s="1150">
        <f t="shared" si="1"/>
        <v>2022</v>
      </c>
      <c r="E26" s="1024" t="e">
        <f>'11 Dda SS Salud P3'!D21*E$21</f>
        <v>#DIV/0!</v>
      </c>
      <c r="F26" s="1024" t="e">
        <f>'10 Dda Efect SS Salud P2'!K297</f>
        <v>#DIV/0!</v>
      </c>
      <c r="G26" s="1024" t="e">
        <f>'11 Dda SS Salud P3'!E47*G$21</f>
        <v>#DIV/0!</v>
      </c>
      <c r="H26" s="1151" t="e">
        <f>SUM(E26:G26)</f>
        <v>#DIV/0!</v>
      </c>
    </row>
    <row r="27" spans="4:11" ht="14.25" thickBot="1" x14ac:dyDescent="0.3">
      <c r="D27" s="1150">
        <f t="shared" si="1"/>
        <v>2023</v>
      </c>
      <c r="E27" s="1024" t="e">
        <f>'11 Dda SS Salud P3'!D22*E$21</f>
        <v>#DIV/0!</v>
      </c>
      <c r="F27" s="1024" t="e">
        <f>'10 Dda Efect SS Salud P2'!K298</f>
        <v>#DIV/0!</v>
      </c>
      <c r="G27" s="1024" t="e">
        <f>'11 Dda SS Salud P3'!E48*G$21</f>
        <v>#DIV/0!</v>
      </c>
      <c r="H27" s="1151" t="e">
        <f t="shared" si="0"/>
        <v>#DIV/0!</v>
      </c>
    </row>
    <row r="28" spans="4:11" ht="14.25" thickBot="1" x14ac:dyDescent="0.3">
      <c r="D28" s="1150">
        <f t="shared" si="1"/>
        <v>2024</v>
      </c>
      <c r="E28" s="1024" t="e">
        <f>'11 Dda SS Salud P3'!D23*E$21</f>
        <v>#DIV/0!</v>
      </c>
      <c r="F28" s="1024" t="e">
        <f>'10 Dda Efect SS Salud P2'!K299</f>
        <v>#DIV/0!</v>
      </c>
      <c r="G28" s="1024" t="e">
        <f>'11 Dda SS Salud P3'!E49*G$21</f>
        <v>#DIV/0!</v>
      </c>
      <c r="H28" s="1151" t="e">
        <f t="shared" si="0"/>
        <v>#DIV/0!</v>
      </c>
    </row>
    <row r="29" spans="4:11" ht="14.25" thickBot="1" x14ac:dyDescent="0.3">
      <c r="D29" s="1150">
        <f t="shared" si="1"/>
        <v>2025</v>
      </c>
      <c r="E29" s="1024" t="e">
        <f>'11 Dda SS Salud P3'!D24*E$21</f>
        <v>#DIV/0!</v>
      </c>
      <c r="F29" s="1024" t="e">
        <f>'10 Dda Efect SS Salud P2'!K300</f>
        <v>#DIV/0!</v>
      </c>
      <c r="G29" s="1024" t="e">
        <f>'11 Dda SS Salud P3'!E50*G$21</f>
        <v>#DIV/0!</v>
      </c>
      <c r="H29" s="1151" t="e">
        <f t="shared" si="0"/>
        <v>#DIV/0!</v>
      </c>
    </row>
    <row r="30" spans="4:11" ht="14.25" thickBot="1" x14ac:dyDescent="0.3">
      <c r="D30" s="1150">
        <f t="shared" si="1"/>
        <v>2026</v>
      </c>
      <c r="E30" s="1024" t="e">
        <f>'11 Dda SS Salud P3'!D25*E$21</f>
        <v>#DIV/0!</v>
      </c>
      <c r="F30" s="1024" t="e">
        <f>'10 Dda Efect SS Salud P2'!K301</f>
        <v>#DIV/0!</v>
      </c>
      <c r="G30" s="1024" t="e">
        <f>'11 Dda SS Salud P3'!E51*G$21</f>
        <v>#DIV/0!</v>
      </c>
      <c r="H30" s="1151" t="e">
        <f t="shared" si="0"/>
        <v>#DIV/0!</v>
      </c>
    </row>
    <row r="31" spans="4:11" ht="14.25" thickBot="1" x14ac:dyDescent="0.3">
      <c r="D31" s="1150">
        <f t="shared" si="1"/>
        <v>2027</v>
      </c>
      <c r="E31" s="1024" t="e">
        <f>'11 Dda SS Salud P3'!D26*E$21</f>
        <v>#DIV/0!</v>
      </c>
      <c r="F31" s="1024" t="e">
        <f>'10 Dda Efect SS Salud P2'!K302</f>
        <v>#DIV/0!</v>
      </c>
      <c r="G31" s="1024" t="e">
        <f>'11 Dda SS Salud P3'!E52*G$21</f>
        <v>#DIV/0!</v>
      </c>
      <c r="H31" s="1151" t="e">
        <f t="shared" si="0"/>
        <v>#DIV/0!</v>
      </c>
    </row>
    <row r="32" spans="4:11" ht="14.25" thickBot="1" x14ac:dyDescent="0.3">
      <c r="D32" s="1150">
        <f t="shared" si="1"/>
        <v>2028</v>
      </c>
      <c r="E32" s="1024" t="e">
        <f>'11 Dda SS Salud P3'!D27*E$21</f>
        <v>#DIV/0!</v>
      </c>
      <c r="F32" s="1024" t="e">
        <f>'10 Dda Efect SS Salud P2'!K303</f>
        <v>#DIV/0!</v>
      </c>
      <c r="G32" s="1024" t="e">
        <f>'11 Dda SS Salud P3'!E53*G$21</f>
        <v>#DIV/0!</v>
      </c>
      <c r="H32" s="1151" t="e">
        <f t="shared" si="0"/>
        <v>#DIV/0!</v>
      </c>
    </row>
    <row r="33" spans="4:11" ht="14.25" thickBot="1" x14ac:dyDescent="0.3">
      <c r="D33" s="1150">
        <f t="shared" si="1"/>
        <v>2029</v>
      </c>
      <c r="E33" s="1024" t="e">
        <f>'11 Dda SS Salud P3'!D28*E$21</f>
        <v>#DIV/0!</v>
      </c>
      <c r="F33" s="1024" t="e">
        <f>'10 Dda Efect SS Salud P2'!K304</f>
        <v>#DIV/0!</v>
      </c>
      <c r="G33" s="1024" t="e">
        <f>'11 Dda SS Salud P3'!E54*G$21</f>
        <v>#DIV/0!</v>
      </c>
      <c r="H33" s="1151" t="e">
        <f t="shared" si="0"/>
        <v>#DIV/0!</v>
      </c>
    </row>
    <row r="34" spans="4:11" ht="14.25" thickBot="1" x14ac:dyDescent="0.3">
      <c r="D34" s="1150">
        <f t="shared" si="1"/>
        <v>2030</v>
      </c>
      <c r="E34" s="1024" t="e">
        <f>'11 Dda SS Salud P3'!D29*E$21</f>
        <v>#DIV/0!</v>
      </c>
      <c r="F34" s="1024" t="e">
        <f>'10 Dda Efect SS Salud P2'!K305</f>
        <v>#DIV/0!</v>
      </c>
      <c r="G34" s="1024" t="e">
        <f>'11 Dda SS Salud P3'!E55*G$21</f>
        <v>#DIV/0!</v>
      </c>
      <c r="H34" s="1151" t="e">
        <f t="shared" si="0"/>
        <v>#DIV/0!</v>
      </c>
    </row>
    <row r="35" spans="4:11" ht="14.25" thickBot="1" x14ac:dyDescent="0.3">
      <c r="D35" s="1150">
        <f t="shared" si="1"/>
        <v>2031</v>
      </c>
      <c r="E35" s="1024" t="e">
        <f>'11 Dda SS Salud P3'!D30*E$21</f>
        <v>#DIV/0!</v>
      </c>
      <c r="F35" s="1024" t="e">
        <f>'10 Dda Efect SS Salud P2'!K306</f>
        <v>#DIV/0!</v>
      </c>
      <c r="G35" s="1024" t="e">
        <f>'11 Dda SS Salud P3'!E56*G$21</f>
        <v>#DIV/0!</v>
      </c>
      <c r="H35" s="1151" t="e">
        <f t="shared" si="0"/>
        <v>#DIV/0!</v>
      </c>
    </row>
    <row r="36" spans="4:11" ht="14.25" thickBot="1" x14ac:dyDescent="0.3">
      <c r="D36" s="1150">
        <f t="shared" si="1"/>
        <v>2032</v>
      </c>
      <c r="E36" s="1024" t="e">
        <f>'11 Dda SS Salud P3'!D31*E$21</f>
        <v>#DIV/0!</v>
      </c>
      <c r="F36" s="1024" t="e">
        <f>'10 Dda Efect SS Salud P2'!K307</f>
        <v>#DIV/0!</v>
      </c>
      <c r="G36" s="1024" t="e">
        <f>'11 Dda SS Salud P3'!E57*G$21</f>
        <v>#DIV/0!</v>
      </c>
      <c r="H36" s="1151" t="e">
        <f t="shared" si="0"/>
        <v>#DIV/0!</v>
      </c>
    </row>
    <row r="37" spans="4:11" ht="14.25" thickBot="1" x14ac:dyDescent="0.3">
      <c r="D37" s="1150">
        <f t="shared" si="1"/>
        <v>2033</v>
      </c>
      <c r="E37" s="1024" t="e">
        <f>'11 Dda SS Salud P3'!D32*E$21</f>
        <v>#DIV/0!</v>
      </c>
      <c r="F37" s="1024" t="e">
        <f>'10 Dda Efect SS Salud P2'!K308</f>
        <v>#DIV/0!</v>
      </c>
      <c r="G37" s="1024" t="e">
        <f>'11 Dda SS Salud P3'!E58*G$21</f>
        <v>#DIV/0!</v>
      </c>
      <c r="H37" s="1151" t="e">
        <f t="shared" si="0"/>
        <v>#DIV/0!</v>
      </c>
    </row>
    <row r="38" spans="4:11" ht="14.25" thickBot="1" x14ac:dyDescent="0.3">
      <c r="D38" s="1150">
        <f t="shared" si="1"/>
        <v>2034</v>
      </c>
      <c r="E38" s="1024" t="e">
        <f>'11 Dda SS Salud P3'!D33*E$21</f>
        <v>#DIV/0!</v>
      </c>
      <c r="F38" s="1024" t="e">
        <f>'10 Dda Efect SS Salud P2'!K309</f>
        <v>#DIV/0!</v>
      </c>
      <c r="G38" s="1024" t="e">
        <f>'11 Dda SS Salud P3'!E59*G$21</f>
        <v>#DIV/0!</v>
      </c>
      <c r="H38" s="1151" t="e">
        <f t="shared" si="0"/>
        <v>#DIV/0!</v>
      </c>
    </row>
    <row r="39" spans="4:11" ht="13.9" customHeight="1" x14ac:dyDescent="0.25">
      <c r="D39" s="4454" t="s">
        <v>1922</v>
      </c>
      <c r="E39" s="4454"/>
      <c r="F39" s="4454"/>
      <c r="G39" s="4454"/>
      <c r="H39" s="693"/>
      <c r="I39" s="967"/>
      <c r="J39" s="967"/>
    </row>
    <row r="40" spans="4:11" x14ac:dyDescent="0.25">
      <c r="E40" s="967"/>
      <c r="F40" s="967"/>
      <c r="G40" s="967"/>
      <c r="H40" s="967"/>
      <c r="I40" s="967"/>
      <c r="J40" s="967"/>
    </row>
    <row r="41" spans="4:11" x14ac:dyDescent="0.25">
      <c r="D41" s="1146"/>
      <c r="E41" s="967"/>
      <c r="F41" s="967"/>
      <c r="G41" s="967"/>
      <c r="H41" s="967"/>
      <c r="I41" s="967"/>
      <c r="J41" s="967"/>
      <c r="K41" s="1122"/>
    </row>
    <row r="42" spans="4:11" x14ac:dyDescent="0.25">
      <c r="D42" s="1146"/>
      <c r="E42" s="967"/>
      <c r="F42" s="967"/>
      <c r="G42" s="967"/>
      <c r="H42" s="967"/>
      <c r="I42" s="967"/>
      <c r="J42" s="967"/>
      <c r="K42" s="1122"/>
    </row>
    <row r="43" spans="4:11" x14ac:dyDescent="0.25">
      <c r="D43" s="1146"/>
      <c r="E43" s="967"/>
      <c r="F43" s="967"/>
      <c r="G43" s="967"/>
      <c r="H43" s="967"/>
      <c r="I43" s="967"/>
      <c r="J43" s="967"/>
      <c r="K43" s="1122"/>
    </row>
    <row r="44" spans="4:11" x14ac:dyDescent="0.25">
      <c r="D44" s="1146" t="s">
        <v>1923</v>
      </c>
      <c r="E44" s="967"/>
      <c r="F44" s="967"/>
      <c r="G44" s="967"/>
      <c r="H44" s="967"/>
      <c r="I44" s="967"/>
      <c r="J44" s="967"/>
      <c r="K44" s="1122"/>
    </row>
    <row r="45" spans="4:11" ht="14.25" thickBot="1" x14ac:dyDescent="0.3">
      <c r="F45" s="692"/>
      <c r="G45" s="692"/>
      <c r="H45" s="692"/>
      <c r="I45" s="967"/>
      <c r="J45" s="967"/>
      <c r="K45" s="1122"/>
    </row>
    <row r="46" spans="4:11" ht="14.25" thickBot="1" x14ac:dyDescent="0.3">
      <c r="F46" s="692"/>
      <c r="H46" s="1158" t="s">
        <v>1924</v>
      </c>
      <c r="I46" s="967"/>
      <c r="J46" s="967"/>
      <c r="K46" s="1122"/>
    </row>
    <row r="47" spans="4:11" ht="27.75" thickBot="1" x14ac:dyDescent="0.3">
      <c r="D47" s="3990" t="s">
        <v>1485</v>
      </c>
      <c r="E47" s="1152" t="s">
        <v>1919</v>
      </c>
      <c r="F47" s="1153" t="s">
        <v>597</v>
      </c>
      <c r="G47" s="1152" t="s">
        <v>1920</v>
      </c>
      <c r="H47" s="3993" t="s">
        <v>1925</v>
      </c>
      <c r="I47" s="967"/>
      <c r="J47" s="967"/>
      <c r="K47" s="1122"/>
    </row>
    <row r="48" spans="4:11" ht="14.25" thickBot="1" x14ac:dyDescent="0.3">
      <c r="D48" s="3991"/>
      <c r="E48" s="1155" t="s">
        <v>1797</v>
      </c>
      <c r="F48" s="1155" t="s">
        <v>1797</v>
      </c>
      <c r="G48" s="1155" t="s">
        <v>1797</v>
      </c>
      <c r="H48" s="3994"/>
      <c r="I48" s="967"/>
      <c r="J48" s="967"/>
      <c r="K48" s="1122"/>
    </row>
    <row r="49" spans="4:11" ht="14.25" thickBot="1" x14ac:dyDescent="0.3">
      <c r="D49" s="3992"/>
      <c r="E49" s="1154">
        <f>'5.1 Prod 2 MORBI ESTRAG'!BC120</f>
        <v>0</v>
      </c>
      <c r="F49" s="1154" t="e">
        <f>'5.1 Prod 2 MORBI ESTRAG'!BC192</f>
        <v>#DIV/0!</v>
      </c>
      <c r="G49" s="1154" t="e">
        <f>'5.1 Prod 2 MORBI ESTRAG'!BC267</f>
        <v>#DIV/0!</v>
      </c>
      <c r="H49" s="4389"/>
      <c r="I49" s="967"/>
      <c r="J49" s="967"/>
      <c r="K49" s="1122"/>
    </row>
    <row r="50" spans="4:11" ht="14.25" thickBot="1" x14ac:dyDescent="0.3">
      <c r="D50" s="1150">
        <v>2018</v>
      </c>
      <c r="E50" s="1024" t="e">
        <f>'11 Dda SS Salud P3'!D43*E$49</f>
        <v>#DIV/0!</v>
      </c>
      <c r="F50" s="1024" t="e">
        <f>'10 Dda Efect SS Salud P2'!K293*F$49</f>
        <v>#DIV/0!</v>
      </c>
      <c r="G50" s="1024" t="e">
        <f>'11 Dda SS Salud P3'!E43*G$49</f>
        <v>#DIV/0!</v>
      </c>
      <c r="H50" s="1151" t="e">
        <f>SUM(E50:G50)</f>
        <v>#DIV/0!</v>
      </c>
      <c r="I50" s="967"/>
      <c r="J50" s="967"/>
      <c r="K50" s="1122"/>
    </row>
    <row r="51" spans="4:11" ht="14.25" thickBot="1" x14ac:dyDescent="0.3">
      <c r="D51" s="1150">
        <f>D50+1</f>
        <v>2019</v>
      </c>
      <c r="E51" s="1024" t="e">
        <f>'11 Dda SS Salud P3'!D44*E$49</f>
        <v>#DIV/0!</v>
      </c>
      <c r="F51" s="1024" t="e">
        <f>'10 Dda Efect SS Salud P2'!K294*F$49</f>
        <v>#DIV/0!</v>
      </c>
      <c r="G51" s="1024" t="e">
        <f>'11 Dda SS Salud P3'!E44*G$49</f>
        <v>#DIV/0!</v>
      </c>
      <c r="H51" s="1151" t="e">
        <f t="shared" ref="H51:H66" si="2">SUM(E51:G51)</f>
        <v>#DIV/0!</v>
      </c>
      <c r="I51" s="967"/>
      <c r="J51" s="967"/>
      <c r="K51" s="1122"/>
    </row>
    <row r="52" spans="4:11" ht="14.25" thickBot="1" x14ac:dyDescent="0.3">
      <c r="D52" s="1150">
        <f>D51+1</f>
        <v>2020</v>
      </c>
      <c r="E52" s="1024" t="e">
        <f>'11 Dda SS Salud P3'!D45*E$49</f>
        <v>#DIV/0!</v>
      </c>
      <c r="F52" s="1024" t="e">
        <f>'10 Dda Efect SS Salud P2'!K295*F$49</f>
        <v>#DIV/0!</v>
      </c>
      <c r="G52" s="1024" t="e">
        <f>'11 Dda SS Salud P3'!E45*G$49</f>
        <v>#DIV/0!</v>
      </c>
      <c r="H52" s="1151" t="e">
        <f t="shared" si="2"/>
        <v>#DIV/0!</v>
      </c>
      <c r="I52" s="967"/>
      <c r="J52" s="967"/>
      <c r="K52" s="1122"/>
    </row>
    <row r="53" spans="4:11" ht="14.25" thickBot="1" x14ac:dyDescent="0.3">
      <c r="D53" s="1150">
        <f t="shared" ref="D53:D66" si="3">D52+1</f>
        <v>2021</v>
      </c>
      <c r="E53" s="1024" t="e">
        <f>'11 Dda SS Salud P3'!D46*E$49</f>
        <v>#DIV/0!</v>
      </c>
      <c r="F53" s="1024" t="e">
        <f>'10 Dda Efect SS Salud P2'!K296*F$49</f>
        <v>#DIV/0!</v>
      </c>
      <c r="G53" s="1024" t="e">
        <f>'11 Dda SS Salud P3'!E46*G$49</f>
        <v>#DIV/0!</v>
      </c>
      <c r="H53" s="1151" t="e">
        <f t="shared" si="2"/>
        <v>#DIV/0!</v>
      </c>
      <c r="I53" s="967"/>
      <c r="J53" s="967"/>
      <c r="K53" s="1122"/>
    </row>
    <row r="54" spans="4:11" ht="14.25" thickBot="1" x14ac:dyDescent="0.3">
      <c r="D54" s="1150">
        <f t="shared" si="3"/>
        <v>2022</v>
      </c>
      <c r="E54" s="1024" t="e">
        <f>'11 Dda SS Salud P3'!D47*E$49</f>
        <v>#DIV/0!</v>
      </c>
      <c r="F54" s="1024" t="e">
        <f>'10 Dda Efect SS Salud P2'!K297*F$49</f>
        <v>#DIV/0!</v>
      </c>
      <c r="G54" s="1024" t="e">
        <f>'11 Dda SS Salud P3'!E47*G$49</f>
        <v>#DIV/0!</v>
      </c>
      <c r="H54" s="1151" t="e">
        <f t="shared" si="2"/>
        <v>#DIV/0!</v>
      </c>
      <c r="I54" s="967"/>
      <c r="J54" s="967"/>
      <c r="K54" s="1122"/>
    </row>
    <row r="55" spans="4:11" ht="14.25" thickBot="1" x14ac:dyDescent="0.3">
      <c r="D55" s="1150">
        <f t="shared" si="3"/>
        <v>2023</v>
      </c>
      <c r="E55" s="1024" t="e">
        <f>'11 Dda SS Salud P3'!D48*E$49</f>
        <v>#DIV/0!</v>
      </c>
      <c r="F55" s="1024" t="e">
        <f>'10 Dda Efect SS Salud P2'!K298*F$49</f>
        <v>#DIV/0!</v>
      </c>
      <c r="G55" s="1024" t="e">
        <f>'11 Dda SS Salud P3'!E48*G$49</f>
        <v>#DIV/0!</v>
      </c>
      <c r="H55" s="1151" t="e">
        <f t="shared" si="2"/>
        <v>#DIV/0!</v>
      </c>
      <c r="I55" s="967"/>
      <c r="J55" s="967"/>
      <c r="K55" s="1122"/>
    </row>
    <row r="56" spans="4:11" ht="14.25" thickBot="1" x14ac:dyDescent="0.3">
      <c r="D56" s="1150">
        <f t="shared" si="3"/>
        <v>2024</v>
      </c>
      <c r="E56" s="1024" t="e">
        <f>'11 Dda SS Salud P3'!D49*E$49</f>
        <v>#DIV/0!</v>
      </c>
      <c r="F56" s="1024" t="e">
        <f>'10 Dda Efect SS Salud P2'!K299*F$49</f>
        <v>#DIV/0!</v>
      </c>
      <c r="G56" s="1024" t="e">
        <f>'11 Dda SS Salud P3'!E49*G$49</f>
        <v>#DIV/0!</v>
      </c>
      <c r="H56" s="1151" t="e">
        <f t="shared" si="2"/>
        <v>#DIV/0!</v>
      </c>
      <c r="I56" s="967"/>
      <c r="J56" s="967"/>
      <c r="K56" s="1122"/>
    </row>
    <row r="57" spans="4:11" ht="14.25" thickBot="1" x14ac:dyDescent="0.3">
      <c r="D57" s="1150">
        <f t="shared" si="3"/>
        <v>2025</v>
      </c>
      <c r="E57" s="1024" t="e">
        <f>'11 Dda SS Salud P3'!D50*E$49</f>
        <v>#DIV/0!</v>
      </c>
      <c r="F57" s="1024" t="e">
        <f>'10 Dda Efect SS Salud P2'!K300*F$49</f>
        <v>#DIV/0!</v>
      </c>
      <c r="G57" s="1024" t="e">
        <f>'11 Dda SS Salud P3'!E50*G$49</f>
        <v>#DIV/0!</v>
      </c>
      <c r="H57" s="1151" t="e">
        <f t="shared" si="2"/>
        <v>#DIV/0!</v>
      </c>
      <c r="I57" s="967"/>
      <c r="J57" s="967"/>
      <c r="K57" s="1122"/>
    </row>
    <row r="58" spans="4:11" ht="14.25" thickBot="1" x14ac:dyDescent="0.3">
      <c r="D58" s="1150">
        <f t="shared" si="3"/>
        <v>2026</v>
      </c>
      <c r="E58" s="1024" t="e">
        <f>'11 Dda SS Salud P3'!D51*E$49</f>
        <v>#DIV/0!</v>
      </c>
      <c r="F58" s="1024" t="e">
        <f>'10 Dda Efect SS Salud P2'!K301*F$49</f>
        <v>#DIV/0!</v>
      </c>
      <c r="G58" s="1024" t="e">
        <f>'11 Dda SS Salud P3'!E51*G$49</f>
        <v>#DIV/0!</v>
      </c>
      <c r="H58" s="1151" t="e">
        <f t="shared" si="2"/>
        <v>#DIV/0!</v>
      </c>
      <c r="I58" s="967"/>
      <c r="J58" s="967"/>
      <c r="K58" s="1122"/>
    </row>
    <row r="59" spans="4:11" ht="14.25" thickBot="1" x14ac:dyDescent="0.3">
      <c r="D59" s="1150">
        <f t="shared" si="3"/>
        <v>2027</v>
      </c>
      <c r="E59" s="1024" t="e">
        <f>'11 Dda SS Salud P3'!D52*E$49</f>
        <v>#DIV/0!</v>
      </c>
      <c r="F59" s="1024" t="e">
        <f>'10 Dda Efect SS Salud P2'!K302*F$49</f>
        <v>#DIV/0!</v>
      </c>
      <c r="G59" s="1024" t="e">
        <f>'11 Dda SS Salud P3'!E52*G$49</f>
        <v>#DIV/0!</v>
      </c>
      <c r="H59" s="1151" t="e">
        <f t="shared" si="2"/>
        <v>#DIV/0!</v>
      </c>
      <c r="I59" s="967"/>
      <c r="J59" s="967"/>
      <c r="K59" s="1122"/>
    </row>
    <row r="60" spans="4:11" ht="14.25" thickBot="1" x14ac:dyDescent="0.3">
      <c r="D60" s="1150">
        <f t="shared" si="3"/>
        <v>2028</v>
      </c>
      <c r="E60" s="1024" t="e">
        <f>'11 Dda SS Salud P3'!D53*E$49</f>
        <v>#DIV/0!</v>
      </c>
      <c r="F60" s="1024" t="e">
        <f>'10 Dda Efect SS Salud P2'!K303*F$49</f>
        <v>#DIV/0!</v>
      </c>
      <c r="G60" s="1024" t="e">
        <f>'11 Dda SS Salud P3'!E53*G$49</f>
        <v>#DIV/0!</v>
      </c>
      <c r="H60" s="1151" t="e">
        <f t="shared" si="2"/>
        <v>#DIV/0!</v>
      </c>
      <c r="I60" s="967"/>
      <c r="J60" s="967"/>
      <c r="K60" s="1122"/>
    </row>
    <row r="61" spans="4:11" ht="14.25" thickBot="1" x14ac:dyDescent="0.3">
      <c r="D61" s="1150">
        <f t="shared" si="3"/>
        <v>2029</v>
      </c>
      <c r="E61" s="1024" t="e">
        <f>'11 Dda SS Salud P3'!D54*E$49</f>
        <v>#DIV/0!</v>
      </c>
      <c r="F61" s="1024" t="e">
        <f>'10 Dda Efect SS Salud P2'!K304*F$49</f>
        <v>#DIV/0!</v>
      </c>
      <c r="G61" s="1024" t="e">
        <f>'11 Dda SS Salud P3'!E54*G$49</f>
        <v>#DIV/0!</v>
      </c>
      <c r="H61" s="1151" t="e">
        <f t="shared" si="2"/>
        <v>#DIV/0!</v>
      </c>
      <c r="I61" s="967"/>
      <c r="J61" s="967"/>
      <c r="K61" s="1122"/>
    </row>
    <row r="62" spans="4:11" ht="14.25" thickBot="1" x14ac:dyDescent="0.3">
      <c r="D62" s="1150">
        <f t="shared" si="3"/>
        <v>2030</v>
      </c>
      <c r="E62" s="1024" t="e">
        <f>'11 Dda SS Salud P3'!D55*E$49</f>
        <v>#DIV/0!</v>
      </c>
      <c r="F62" s="1024" t="e">
        <f>'10 Dda Efect SS Salud P2'!K305*F$49</f>
        <v>#DIV/0!</v>
      </c>
      <c r="G62" s="1024" t="e">
        <f>'11 Dda SS Salud P3'!E55*G$49</f>
        <v>#DIV/0!</v>
      </c>
      <c r="H62" s="1151" t="e">
        <f t="shared" si="2"/>
        <v>#DIV/0!</v>
      </c>
      <c r="I62" s="967"/>
      <c r="J62" s="967"/>
      <c r="K62" s="1122"/>
    </row>
    <row r="63" spans="4:11" ht="14.25" thickBot="1" x14ac:dyDescent="0.3">
      <c r="D63" s="1150">
        <f t="shared" si="3"/>
        <v>2031</v>
      </c>
      <c r="E63" s="1024" t="e">
        <f>'11 Dda SS Salud P3'!D56*E$49</f>
        <v>#DIV/0!</v>
      </c>
      <c r="F63" s="1024" t="e">
        <f>'10 Dda Efect SS Salud P2'!K306*F$49</f>
        <v>#DIV/0!</v>
      </c>
      <c r="G63" s="1024" t="e">
        <f>'11 Dda SS Salud P3'!E56*G$49</f>
        <v>#DIV/0!</v>
      </c>
      <c r="H63" s="1151" t="e">
        <f t="shared" si="2"/>
        <v>#DIV/0!</v>
      </c>
      <c r="I63" s="967"/>
      <c r="J63" s="967"/>
      <c r="K63" s="1122"/>
    </row>
    <row r="64" spans="4:11" ht="14.25" thickBot="1" x14ac:dyDescent="0.3">
      <c r="D64" s="1150">
        <f t="shared" si="3"/>
        <v>2032</v>
      </c>
      <c r="E64" s="1024" t="e">
        <f>'11 Dda SS Salud P3'!D57*E$49</f>
        <v>#DIV/0!</v>
      </c>
      <c r="F64" s="1024" t="e">
        <f>'10 Dda Efect SS Salud P2'!K307*F$49</f>
        <v>#DIV/0!</v>
      </c>
      <c r="G64" s="1024" t="e">
        <f>'11 Dda SS Salud P3'!E57*G$49</f>
        <v>#DIV/0!</v>
      </c>
      <c r="H64" s="1151" t="e">
        <f t="shared" si="2"/>
        <v>#DIV/0!</v>
      </c>
      <c r="I64" s="967"/>
      <c r="J64" s="967"/>
      <c r="K64" s="1122"/>
    </row>
    <row r="65" spans="4:11" ht="14.25" thickBot="1" x14ac:dyDescent="0.3">
      <c r="D65" s="1150">
        <f t="shared" si="3"/>
        <v>2033</v>
      </c>
      <c r="E65" s="1024" t="e">
        <f>'11 Dda SS Salud P3'!D58*E$49</f>
        <v>#DIV/0!</v>
      </c>
      <c r="F65" s="1024" t="e">
        <f>'10 Dda Efect SS Salud P2'!K308*F$49</f>
        <v>#DIV/0!</v>
      </c>
      <c r="G65" s="1024" t="e">
        <f>'11 Dda SS Salud P3'!E58*G$49</f>
        <v>#DIV/0!</v>
      </c>
      <c r="H65" s="1151" t="e">
        <f t="shared" si="2"/>
        <v>#DIV/0!</v>
      </c>
      <c r="I65" s="967"/>
      <c r="J65" s="967"/>
      <c r="K65" s="1122"/>
    </row>
    <row r="66" spans="4:11" ht="14.25" thickBot="1" x14ac:dyDescent="0.3">
      <c r="D66" s="1150">
        <f t="shared" si="3"/>
        <v>2034</v>
      </c>
      <c r="E66" s="1024" t="e">
        <f>'11 Dda SS Salud P3'!D59*E$49</f>
        <v>#DIV/0!</v>
      </c>
      <c r="F66" s="1024" t="e">
        <f>'10 Dda Efect SS Salud P2'!K309*F$49</f>
        <v>#DIV/0!</v>
      </c>
      <c r="G66" s="1024" t="e">
        <f>'11 Dda SS Salud P3'!E59*G$49</f>
        <v>#DIV/0!</v>
      </c>
      <c r="H66" s="1151" t="e">
        <f t="shared" si="2"/>
        <v>#DIV/0!</v>
      </c>
      <c r="I66" s="967"/>
      <c r="J66" s="967"/>
      <c r="K66" s="1122"/>
    </row>
    <row r="67" spans="4:11" x14ac:dyDescent="0.25">
      <c r="D67" s="4454"/>
      <c r="E67" s="4454"/>
      <c r="F67" s="4454"/>
      <c r="G67" s="4454"/>
      <c r="H67" s="693"/>
      <c r="I67" s="967"/>
      <c r="J67" s="967"/>
      <c r="K67" s="1122"/>
    </row>
    <row r="68" spans="4:11" x14ac:dyDescent="0.25">
      <c r="D68" s="1146"/>
      <c r="E68" s="967"/>
      <c r="F68" s="967"/>
      <c r="G68" s="967"/>
      <c r="H68" s="967"/>
      <c r="I68" s="967"/>
      <c r="J68" s="967"/>
      <c r="K68" s="1122"/>
    </row>
    <row r="69" spans="4:11" x14ac:dyDescent="0.25">
      <c r="D69" s="1146"/>
      <c r="E69" s="967"/>
      <c r="F69" s="967"/>
      <c r="G69" s="967"/>
      <c r="H69" s="967"/>
      <c r="I69" s="967"/>
      <c r="J69" s="967"/>
      <c r="K69" s="1122"/>
    </row>
    <row r="70" spans="4:11" x14ac:dyDescent="0.25">
      <c r="D70" s="1146"/>
      <c r="E70" s="967"/>
      <c r="F70" s="967"/>
      <c r="G70" s="967"/>
      <c r="H70" s="967"/>
      <c r="I70" s="967"/>
      <c r="J70" s="967"/>
      <c r="K70" s="1122"/>
    </row>
    <row r="71" spans="4:11" x14ac:dyDescent="0.25">
      <c r="D71" s="1146"/>
      <c r="E71" s="967"/>
      <c r="F71" s="967"/>
      <c r="G71" s="967"/>
      <c r="H71" s="967"/>
      <c r="I71" s="967"/>
      <c r="J71" s="967"/>
      <c r="K71" s="1122"/>
    </row>
    <row r="72" spans="4:11" x14ac:dyDescent="0.25">
      <c r="D72" s="1146"/>
      <c r="E72" s="967"/>
      <c r="F72" s="967"/>
      <c r="G72" s="967"/>
      <c r="H72" s="967"/>
      <c r="I72" s="967"/>
      <c r="J72" s="967"/>
      <c r="K72" s="1122"/>
    </row>
    <row r="73" spans="4:11" x14ac:dyDescent="0.25">
      <c r="D73" s="1146" t="s">
        <v>1926</v>
      </c>
      <c r="E73" s="967"/>
      <c r="F73" s="967"/>
      <c r="G73" s="967"/>
      <c r="H73" s="967"/>
      <c r="I73" s="967"/>
      <c r="J73" s="967"/>
      <c r="K73" s="1122"/>
    </row>
    <row r="74" spans="4:11" ht="14.25" thickBot="1" x14ac:dyDescent="0.3">
      <c r="F74" s="692"/>
      <c r="G74" s="692"/>
      <c r="H74" s="692"/>
      <c r="I74" s="967"/>
      <c r="J74" s="967"/>
      <c r="K74" s="1122"/>
    </row>
    <row r="75" spans="4:11" ht="14.25" thickBot="1" x14ac:dyDescent="0.3">
      <c r="F75" s="692"/>
      <c r="J75" s="1158" t="s">
        <v>1927</v>
      </c>
      <c r="K75" s="1122"/>
    </row>
    <row r="76" spans="4:11" ht="17.45" customHeight="1" thickBot="1" x14ac:dyDescent="0.3">
      <c r="D76" s="3990" t="s">
        <v>1485</v>
      </c>
      <c r="E76" s="4453" t="s">
        <v>1928</v>
      </c>
      <c r="F76" s="4453"/>
      <c r="G76" s="4453"/>
      <c r="H76" s="4453" t="s">
        <v>1929</v>
      </c>
      <c r="I76" s="4453"/>
      <c r="J76" s="3993" t="s">
        <v>1930</v>
      </c>
      <c r="K76" s="1122"/>
    </row>
    <row r="77" spans="4:11" ht="34.9" customHeight="1" thickBot="1" x14ac:dyDescent="0.3">
      <c r="D77" s="3991"/>
      <c r="E77" s="1155" t="s">
        <v>1612</v>
      </c>
      <c r="F77" s="1155" t="s">
        <v>1928</v>
      </c>
      <c r="G77" s="4456" t="s">
        <v>1931</v>
      </c>
      <c r="H77" s="1155" t="s">
        <v>1919</v>
      </c>
      <c r="I77" s="4456" t="s">
        <v>1932</v>
      </c>
      <c r="J77" s="3994"/>
      <c r="K77" s="1122"/>
    </row>
    <row r="78" spans="4:11" ht="15" customHeight="1" thickBot="1" x14ac:dyDescent="0.3">
      <c r="D78" s="3992"/>
      <c r="E78" s="1154">
        <v>1</v>
      </c>
      <c r="F78" s="1156">
        <v>3</v>
      </c>
      <c r="G78" s="4457"/>
      <c r="H78" s="1154">
        <f>'5.1 Prod 2 MORBI ESTRAG'!BC123</f>
        <v>0</v>
      </c>
      <c r="I78" s="4457"/>
      <c r="J78" s="4389"/>
      <c r="K78" s="1122"/>
    </row>
    <row r="79" spans="4:11" ht="14.25" thickBot="1" x14ac:dyDescent="0.3">
      <c r="D79" s="1150">
        <v>2018</v>
      </c>
      <c r="E79" s="1024">
        <f>'3 Pob x Edad y EESS P1 P2'!BA32</f>
        <v>76</v>
      </c>
      <c r="F79" s="1024">
        <f>E79*F$78</f>
        <v>228</v>
      </c>
      <c r="G79" s="1024">
        <f>F79</f>
        <v>228</v>
      </c>
      <c r="H79" s="1024" t="e">
        <f>'11 Dda SS Salud P3'!D43*H$78</f>
        <v>#DIV/0!</v>
      </c>
      <c r="I79" s="1024" t="e">
        <f>H79</f>
        <v>#DIV/0!</v>
      </c>
      <c r="J79" s="1151" t="e">
        <f t="shared" ref="J79:J95" si="4">SUM(G79,I79)</f>
        <v>#DIV/0!</v>
      </c>
      <c r="K79" s="1122"/>
    </row>
    <row r="80" spans="4:11" ht="14.25" thickBot="1" x14ac:dyDescent="0.3">
      <c r="D80" s="1150">
        <f>D79+1</f>
        <v>2019</v>
      </c>
      <c r="E80" s="1485">
        <f>E79*(1+'8.1 Pob Urbana y Rural'!G$50)</f>
        <v>76.029450558407547</v>
      </c>
      <c r="F80" s="1024">
        <f t="shared" ref="F80:F95" si="5">E80*F$78</f>
        <v>228.08835167522264</v>
      </c>
      <c r="G80" s="1024">
        <f t="shared" ref="G80:G95" si="6">F80</f>
        <v>228.08835167522264</v>
      </c>
      <c r="H80" s="1485" t="e">
        <f>H79*(1+'8.1 Pob Urbana y Rural'!G$50)</f>
        <v>#DIV/0!</v>
      </c>
      <c r="I80" s="1024" t="e">
        <f t="shared" ref="I80:I95" si="7">H80</f>
        <v>#DIV/0!</v>
      </c>
      <c r="J80" s="1151" t="e">
        <f t="shared" si="4"/>
        <v>#DIV/0!</v>
      </c>
      <c r="K80" s="1122"/>
    </row>
    <row r="81" spans="4:14" ht="14.25" thickBot="1" x14ac:dyDescent="0.3">
      <c r="D81" s="1150">
        <f>D80+1</f>
        <v>2020</v>
      </c>
      <c r="E81" s="1485">
        <f>E80*(1+'8.1 Pob Urbana y Rural'!G$50)</f>
        <v>76.058912529122864</v>
      </c>
      <c r="F81" s="1024">
        <f t="shared" si="5"/>
        <v>228.17673758736859</v>
      </c>
      <c r="G81" s="1024">
        <f t="shared" si="6"/>
        <v>228.17673758736859</v>
      </c>
      <c r="H81" s="1485" t="e">
        <f>H80*(1+'8.1 Pob Urbana y Rural'!G$50)</f>
        <v>#DIV/0!</v>
      </c>
      <c r="I81" s="1024" t="e">
        <f t="shared" si="7"/>
        <v>#DIV/0!</v>
      </c>
      <c r="J81" s="1151" t="e">
        <f t="shared" si="4"/>
        <v>#DIV/0!</v>
      </c>
      <c r="K81" s="1122"/>
    </row>
    <row r="82" spans="4:14" ht="14.25" thickBot="1" x14ac:dyDescent="0.3">
      <c r="D82" s="1150">
        <f t="shared" ref="D82:D95" si="8">D81+1</f>
        <v>2021</v>
      </c>
      <c r="E82" s="1485">
        <f>E81*(1+'8.1 Pob Urbana y Rural'!G$50)</f>
        <v>76.088385916568299</v>
      </c>
      <c r="F82" s="1024">
        <f t="shared" si="5"/>
        <v>228.26515774970488</v>
      </c>
      <c r="G82" s="1024">
        <f t="shared" si="6"/>
        <v>228.26515774970488</v>
      </c>
      <c r="H82" s="1485" t="e">
        <f>H81*(1+'8.1 Pob Urbana y Rural'!G$50)</f>
        <v>#DIV/0!</v>
      </c>
      <c r="I82" s="1024" t="e">
        <f t="shared" si="7"/>
        <v>#DIV/0!</v>
      </c>
      <c r="J82" s="1151" t="e">
        <f t="shared" si="4"/>
        <v>#DIV/0!</v>
      </c>
      <c r="K82" s="1122"/>
    </row>
    <row r="83" spans="4:14" ht="14.25" thickBot="1" x14ac:dyDescent="0.3">
      <c r="D83" s="1150">
        <f t="shared" si="8"/>
        <v>2022</v>
      </c>
      <c r="E83" s="1485">
        <f>E82*(1+'8.1 Pob Urbana y Rural'!G$50)</f>
        <v>76.117870725167933</v>
      </c>
      <c r="F83" s="1024">
        <f t="shared" si="5"/>
        <v>228.3536121755038</v>
      </c>
      <c r="G83" s="1024">
        <f t="shared" si="6"/>
        <v>228.3536121755038</v>
      </c>
      <c r="H83" s="1485" t="e">
        <f>H82*(1+'8.1 Pob Urbana y Rural'!G$50)</f>
        <v>#DIV/0!</v>
      </c>
      <c r="I83" s="1024" t="e">
        <f t="shared" si="7"/>
        <v>#DIV/0!</v>
      </c>
      <c r="J83" s="1151" t="e">
        <f t="shared" si="4"/>
        <v>#DIV/0!</v>
      </c>
    </row>
    <row r="84" spans="4:14" ht="14.25" thickBot="1" x14ac:dyDescent="0.3">
      <c r="D84" s="1150">
        <f t="shared" si="8"/>
        <v>2023</v>
      </c>
      <c r="E84" s="1485">
        <f>E83*(1+'8.1 Pob Urbana y Rural'!G$50)</f>
        <v>76.147366959347536</v>
      </c>
      <c r="F84" s="1024">
        <f>E84*F$78</f>
        <v>228.4421008780426</v>
      </c>
      <c r="G84" s="1024">
        <f t="shared" si="6"/>
        <v>228.4421008780426</v>
      </c>
      <c r="H84" s="1485" t="e">
        <f>H83*(1+'8.1 Pob Urbana y Rural'!G$50)</f>
        <v>#DIV/0!</v>
      </c>
      <c r="I84" s="1024" t="e">
        <f t="shared" si="7"/>
        <v>#DIV/0!</v>
      </c>
      <c r="J84" s="1151" t="e">
        <f t="shared" si="4"/>
        <v>#DIV/0!</v>
      </c>
    </row>
    <row r="85" spans="4:14" ht="14.25" thickBot="1" x14ac:dyDescent="0.3">
      <c r="D85" s="1150">
        <f t="shared" si="8"/>
        <v>2024</v>
      </c>
      <c r="E85" s="1485">
        <f>E84*(1+'8.1 Pob Urbana y Rural'!G$50)</f>
        <v>76.176874623534601</v>
      </c>
      <c r="F85" s="1024">
        <f t="shared" si="5"/>
        <v>228.53062387060379</v>
      </c>
      <c r="G85" s="1024">
        <f t="shared" si="6"/>
        <v>228.53062387060379</v>
      </c>
      <c r="H85" s="1485" t="e">
        <f>H84*(1+'8.1 Pob Urbana y Rural'!G$50)</f>
        <v>#DIV/0!</v>
      </c>
      <c r="I85" s="1024" t="e">
        <f t="shared" si="7"/>
        <v>#DIV/0!</v>
      </c>
      <c r="J85" s="1151" t="e">
        <f t="shared" si="4"/>
        <v>#DIV/0!</v>
      </c>
    </row>
    <row r="86" spans="4:14" ht="14.25" thickBot="1" x14ac:dyDescent="0.3">
      <c r="D86" s="1150">
        <f t="shared" si="8"/>
        <v>2025</v>
      </c>
      <c r="E86" s="1485">
        <f>E85*(1+'8.1 Pob Urbana y Rural'!G$50)</f>
        <v>76.206393722158353</v>
      </c>
      <c r="F86" s="1024">
        <f t="shared" si="5"/>
        <v>228.61918116647507</v>
      </c>
      <c r="G86" s="1024">
        <f t="shared" si="6"/>
        <v>228.61918116647507</v>
      </c>
      <c r="H86" s="1485" t="e">
        <f>H85*(1+'8.1 Pob Urbana y Rural'!G$50)</f>
        <v>#DIV/0!</v>
      </c>
      <c r="I86" s="1024" t="e">
        <f t="shared" si="7"/>
        <v>#DIV/0!</v>
      </c>
      <c r="J86" s="1151" t="e">
        <f t="shared" si="4"/>
        <v>#DIV/0!</v>
      </c>
    </row>
    <row r="87" spans="4:14" ht="14.25" thickBot="1" x14ac:dyDescent="0.3">
      <c r="D87" s="1150">
        <f t="shared" si="8"/>
        <v>2026</v>
      </c>
      <c r="E87" s="1485">
        <f>E86*(1+'8.1 Pob Urbana y Rural'!G$50)</f>
        <v>76.235924259649707</v>
      </c>
      <c r="F87" s="1024">
        <f t="shared" si="5"/>
        <v>228.70777277894911</v>
      </c>
      <c r="G87" s="1024">
        <f t="shared" si="6"/>
        <v>228.70777277894911</v>
      </c>
      <c r="H87" s="1485" t="e">
        <f>H86*(1+'8.1 Pob Urbana y Rural'!G$50)</f>
        <v>#DIV/0!</v>
      </c>
      <c r="I87" s="1024" t="e">
        <f t="shared" si="7"/>
        <v>#DIV/0!</v>
      </c>
      <c r="J87" s="1151" t="e">
        <f t="shared" si="4"/>
        <v>#DIV/0!</v>
      </c>
    </row>
    <row r="88" spans="4:14" ht="14.25" thickBot="1" x14ac:dyDescent="0.3">
      <c r="D88" s="1150">
        <f t="shared" si="8"/>
        <v>2027</v>
      </c>
      <c r="E88" s="1485">
        <f>E87*(1+'8.1 Pob Urbana y Rural'!G$50)</f>
        <v>76.265466240441313</v>
      </c>
      <c r="F88" s="1024">
        <f t="shared" si="5"/>
        <v>228.79639872132395</v>
      </c>
      <c r="G88" s="1024">
        <f t="shared" si="6"/>
        <v>228.79639872132395</v>
      </c>
      <c r="H88" s="1485" t="e">
        <f>H87*(1+'8.1 Pob Urbana y Rural'!G$50)</f>
        <v>#DIV/0!</v>
      </c>
      <c r="I88" s="1024" t="e">
        <f t="shared" si="7"/>
        <v>#DIV/0!</v>
      </c>
      <c r="J88" s="1151" t="e">
        <f t="shared" si="4"/>
        <v>#DIV/0!</v>
      </c>
    </row>
    <row r="89" spans="4:14" ht="14.25" thickBot="1" x14ac:dyDescent="0.3">
      <c r="D89" s="1150">
        <f t="shared" si="8"/>
        <v>2028</v>
      </c>
      <c r="E89" s="1485">
        <f>E88*(1+'8.1 Pob Urbana y Rural'!G$50)</f>
        <v>76.295019668967541</v>
      </c>
      <c r="F89" s="1024">
        <f t="shared" si="5"/>
        <v>228.88505900690262</v>
      </c>
      <c r="G89" s="1024">
        <f t="shared" si="6"/>
        <v>228.88505900690262</v>
      </c>
      <c r="H89" s="1485" t="e">
        <f>H88*(1+'8.1 Pob Urbana y Rural'!G$50)</f>
        <v>#DIV/0!</v>
      </c>
      <c r="I89" s="1024" t="e">
        <f t="shared" si="7"/>
        <v>#DIV/0!</v>
      </c>
      <c r="J89" s="1151" t="e">
        <f t="shared" si="4"/>
        <v>#DIV/0!</v>
      </c>
    </row>
    <row r="90" spans="4:14" ht="14.25" thickBot="1" x14ac:dyDescent="0.3">
      <c r="D90" s="1150">
        <f t="shared" si="8"/>
        <v>2029</v>
      </c>
      <c r="E90" s="1485">
        <f>E89*(1+'8.1 Pob Urbana y Rural'!G$50)</f>
        <v>76.324584549664465</v>
      </c>
      <c r="F90" s="1024">
        <f t="shared" si="5"/>
        <v>228.97375364899341</v>
      </c>
      <c r="G90" s="1024">
        <f t="shared" si="6"/>
        <v>228.97375364899341</v>
      </c>
      <c r="H90" s="1485" t="e">
        <f>H89*(1+'8.1 Pob Urbana y Rural'!G$50)</f>
        <v>#DIV/0!</v>
      </c>
      <c r="I90" s="1024" t="e">
        <f t="shared" si="7"/>
        <v>#DIV/0!</v>
      </c>
      <c r="J90" s="1151" t="e">
        <f t="shared" si="4"/>
        <v>#DIV/0!</v>
      </c>
    </row>
    <row r="91" spans="4:14" ht="14.25" thickBot="1" x14ac:dyDescent="0.3">
      <c r="D91" s="1150">
        <f t="shared" si="8"/>
        <v>2030</v>
      </c>
      <c r="E91" s="1485">
        <f>E90*(1+'8.1 Pob Urbana y Rural'!G$50)</f>
        <v>76.354160886969879</v>
      </c>
      <c r="F91" s="1024">
        <f t="shared" si="5"/>
        <v>229.06248266090964</v>
      </c>
      <c r="G91" s="1024">
        <f t="shared" si="6"/>
        <v>229.06248266090964</v>
      </c>
      <c r="H91" s="1485" t="e">
        <f>H90*(1+'8.1 Pob Urbana y Rural'!G$50)</f>
        <v>#DIV/0!</v>
      </c>
      <c r="I91" s="1024" t="e">
        <f t="shared" si="7"/>
        <v>#DIV/0!</v>
      </c>
      <c r="J91" s="1151" t="e">
        <f t="shared" si="4"/>
        <v>#DIV/0!</v>
      </c>
    </row>
    <row r="92" spans="4:14" ht="14.25" thickBot="1" x14ac:dyDescent="0.3">
      <c r="D92" s="1150">
        <f t="shared" si="8"/>
        <v>2031</v>
      </c>
      <c r="E92" s="1485">
        <f>E91*(1+'8.1 Pob Urbana y Rural'!G$50)</f>
        <v>76.383748685323312</v>
      </c>
      <c r="F92" s="1024">
        <f t="shared" si="5"/>
        <v>229.15124605596992</v>
      </c>
      <c r="G92" s="1024">
        <f t="shared" si="6"/>
        <v>229.15124605596992</v>
      </c>
      <c r="H92" s="1485" t="e">
        <f>H91*(1+'8.1 Pob Urbana y Rural'!G$50)</f>
        <v>#DIV/0!</v>
      </c>
      <c r="I92" s="1024" t="e">
        <f t="shared" si="7"/>
        <v>#DIV/0!</v>
      </c>
      <c r="J92" s="1151" t="e">
        <f t="shared" si="4"/>
        <v>#DIV/0!</v>
      </c>
    </row>
    <row r="93" spans="4:14" ht="14.25" thickBot="1" x14ac:dyDescent="0.3">
      <c r="D93" s="1150">
        <f t="shared" si="8"/>
        <v>2032</v>
      </c>
      <c r="E93" s="1485">
        <f>E92*(1+'8.1 Pob Urbana y Rural'!G$50)</f>
        <v>76.41334794916601</v>
      </c>
      <c r="F93" s="1024">
        <f t="shared" si="5"/>
        <v>229.24004384749804</v>
      </c>
      <c r="G93" s="1024">
        <f t="shared" si="6"/>
        <v>229.24004384749804</v>
      </c>
      <c r="H93" s="1485" t="e">
        <f>H92*(1+'8.1 Pob Urbana y Rural'!G$50)</f>
        <v>#DIV/0!</v>
      </c>
      <c r="I93" s="1024" t="e">
        <f t="shared" si="7"/>
        <v>#DIV/0!</v>
      </c>
      <c r="J93" s="1151" t="e">
        <f t="shared" si="4"/>
        <v>#DIV/0!</v>
      </c>
    </row>
    <row r="94" spans="4:14" ht="14.25" thickBot="1" x14ac:dyDescent="0.3">
      <c r="D94" s="1150">
        <f t="shared" si="8"/>
        <v>2033</v>
      </c>
      <c r="E94" s="1485">
        <f>E93*(1+'8.1 Pob Urbana y Rural'!G$50)</f>
        <v>76.442958682940926</v>
      </c>
      <c r="F94" s="1024">
        <f t="shared" si="5"/>
        <v>229.32887604882279</v>
      </c>
      <c r="G94" s="1024">
        <f t="shared" si="6"/>
        <v>229.32887604882279</v>
      </c>
      <c r="H94" s="1485" t="e">
        <f>H93*(1+'8.1 Pob Urbana y Rural'!G$50)</f>
        <v>#DIV/0!</v>
      </c>
      <c r="I94" s="1024" t="e">
        <f t="shared" si="7"/>
        <v>#DIV/0!</v>
      </c>
      <c r="J94" s="1151" t="e">
        <f t="shared" si="4"/>
        <v>#DIV/0!</v>
      </c>
      <c r="N94" s="691" t="s">
        <v>1933</v>
      </c>
    </row>
    <row r="95" spans="4:14" ht="14.25" thickBot="1" x14ac:dyDescent="0.3">
      <c r="D95" s="1150">
        <f t="shared" si="8"/>
        <v>2034</v>
      </c>
      <c r="E95" s="1485">
        <f>E94*(1+'8.1 Pob Urbana y Rural'!G$50)</f>
        <v>76.472580891092733</v>
      </c>
      <c r="F95" s="1024">
        <f t="shared" si="5"/>
        <v>229.41774267327821</v>
      </c>
      <c r="G95" s="1024">
        <f t="shared" si="6"/>
        <v>229.41774267327821</v>
      </c>
      <c r="H95" s="1485" t="e">
        <f>H94*(1+'8.1 Pob Urbana y Rural'!G$50)</f>
        <v>#DIV/0!</v>
      </c>
      <c r="I95" s="1024" t="e">
        <f t="shared" si="7"/>
        <v>#DIV/0!</v>
      </c>
      <c r="J95" s="1151" t="e">
        <f t="shared" si="4"/>
        <v>#DIV/0!</v>
      </c>
    </row>
    <row r="96" spans="4:14" x14ac:dyDescent="0.25">
      <c r="D96" s="1013"/>
      <c r="E96" s="967"/>
      <c r="F96" s="967"/>
      <c r="G96" s="967"/>
      <c r="H96" s="967"/>
      <c r="I96" s="967"/>
      <c r="J96" s="1120"/>
    </row>
    <row r="97" spans="4:11" x14ac:dyDescent="0.25">
      <c r="D97" s="1013"/>
      <c r="E97" s="967"/>
      <c r="F97" s="967"/>
      <c r="G97" s="967"/>
      <c r="H97" s="967"/>
      <c r="I97" s="967"/>
      <c r="J97" s="1120"/>
    </row>
    <row r="98" spans="4:11" x14ac:dyDescent="0.25">
      <c r="D98" s="1013"/>
      <c r="E98" s="967"/>
      <c r="F98" s="967"/>
      <c r="G98" s="967"/>
      <c r="H98" s="967"/>
      <c r="I98" s="967"/>
      <c r="J98" s="1120"/>
    </row>
    <row r="99" spans="4:11" x14ac:dyDescent="0.25">
      <c r="D99" s="1146"/>
      <c r="E99" s="967"/>
      <c r="F99" s="967"/>
      <c r="G99" s="967"/>
      <c r="H99" s="967"/>
      <c r="I99" s="967"/>
      <c r="J99" s="967"/>
      <c r="K99" s="1122"/>
    </row>
    <row r="100" spans="4:11" x14ac:dyDescent="0.25">
      <c r="D100" s="1146" t="s">
        <v>1934</v>
      </c>
      <c r="E100" s="967"/>
      <c r="F100" s="967"/>
      <c r="G100" s="967"/>
      <c r="H100" s="967"/>
      <c r="I100" s="967"/>
      <c r="J100" s="967"/>
      <c r="K100" s="1122"/>
    </row>
    <row r="101" spans="4:11" ht="14.25" thickBot="1" x14ac:dyDescent="0.3">
      <c r="F101" s="692"/>
      <c r="G101" s="692"/>
      <c r="H101" s="967"/>
      <c r="I101" s="967"/>
      <c r="J101" s="967"/>
      <c r="K101" s="1122"/>
    </row>
    <row r="102" spans="4:11" ht="14.25" thickBot="1" x14ac:dyDescent="0.3">
      <c r="I102" s="1158" t="s">
        <v>1935</v>
      </c>
      <c r="J102" s="967"/>
      <c r="K102" s="1122"/>
    </row>
    <row r="103" spans="4:11" ht="11.45" customHeight="1" thickBot="1" x14ac:dyDescent="0.3">
      <c r="D103" s="3990" t="s">
        <v>1485</v>
      </c>
      <c r="E103" s="4453" t="s">
        <v>1936</v>
      </c>
      <c r="F103" s="4453" t="s">
        <v>1937</v>
      </c>
      <c r="G103" s="4453" t="s">
        <v>1938</v>
      </c>
      <c r="H103" s="4453" t="s">
        <v>1939</v>
      </c>
      <c r="I103" s="4451" t="s">
        <v>1940</v>
      </c>
      <c r="J103" s="967"/>
      <c r="K103" s="1122"/>
    </row>
    <row r="104" spans="4:11" ht="45.75" customHeight="1" thickBot="1" x14ac:dyDescent="0.3">
      <c r="D104" s="3991"/>
      <c r="E104" s="4456"/>
      <c r="F104" s="4456"/>
      <c r="G104" s="4456"/>
      <c r="H104" s="4456"/>
      <c r="I104" s="4452"/>
      <c r="J104" s="967"/>
      <c r="K104" s="1122"/>
    </row>
    <row r="105" spans="4:11" ht="14.25" thickBot="1" x14ac:dyDescent="0.3">
      <c r="D105" s="3992"/>
      <c r="E105" s="4457"/>
      <c r="F105" s="1157">
        <f>K125</f>
        <v>5.3999999999999999E-2</v>
      </c>
      <c r="G105" s="1157">
        <f>L125</f>
        <v>5.0999999999999997E-2</v>
      </c>
      <c r="H105" s="1157">
        <f>M125</f>
        <v>0.60799999999999998</v>
      </c>
      <c r="I105" s="1050">
        <v>6</v>
      </c>
      <c r="J105" s="967"/>
      <c r="K105" s="1122"/>
    </row>
    <row r="106" spans="4:11" ht="14.25" thickBot="1" x14ac:dyDescent="0.3">
      <c r="D106" s="1150">
        <v>2018</v>
      </c>
      <c r="E106" s="1024">
        <f>'3 Pob x Edad y EESS P1 P2'!M32</f>
        <v>1821.1311596887722</v>
      </c>
      <c r="F106" s="1024">
        <f>E106*F$105</f>
        <v>98.341082623193699</v>
      </c>
      <c r="G106" s="1024">
        <f>F106*G$105</f>
        <v>5.0153952137828783</v>
      </c>
      <c r="H106" s="1024">
        <f>G106*H$105</f>
        <v>3.0493602899799899</v>
      </c>
      <c r="I106" s="1151">
        <f>H106*I$105</f>
        <v>18.296161739879938</v>
      </c>
      <c r="J106" s="967"/>
      <c r="K106" s="1122"/>
    </row>
    <row r="107" spans="4:11" ht="14.25" thickBot="1" x14ac:dyDescent="0.3">
      <c r="D107" s="1150">
        <f>D106+1</f>
        <v>2019</v>
      </c>
      <c r="E107" s="1485">
        <f>E106*(1+'8.1 Pob Urbana y Rural'!G$50)</f>
        <v>1821.836861393854</v>
      </c>
      <c r="F107" s="1024">
        <f t="shared" ref="F107:I122" si="9">E107*F$105</f>
        <v>98.379190515268107</v>
      </c>
      <c r="G107" s="1024">
        <f t="shared" si="9"/>
        <v>5.0173387162786733</v>
      </c>
      <c r="H107" s="1024">
        <f t="shared" si="9"/>
        <v>3.0505419394974331</v>
      </c>
      <c r="I107" s="1151">
        <f t="shared" si="9"/>
        <v>18.303251636984598</v>
      </c>
      <c r="J107" s="967"/>
      <c r="K107" s="1122"/>
    </row>
    <row r="108" spans="4:11" ht="14.25" thickBot="1" x14ac:dyDescent="0.3">
      <c r="D108" s="1150">
        <f>D107+1</f>
        <v>2020</v>
      </c>
      <c r="E108" s="1485">
        <f>E107*(1+'8.1 Pob Urbana y Rural'!G$50)</f>
        <v>1822.5428365635316</v>
      </c>
      <c r="F108" s="1024">
        <f t="shared" si="9"/>
        <v>98.417313174430703</v>
      </c>
      <c r="G108" s="1024">
        <f t="shared" si="9"/>
        <v>5.019282971895966</v>
      </c>
      <c r="H108" s="1024">
        <f t="shared" si="9"/>
        <v>3.0517240469127471</v>
      </c>
      <c r="I108" s="1151">
        <f t="shared" si="9"/>
        <v>18.310344281476482</v>
      </c>
      <c r="J108" s="967"/>
      <c r="K108" s="1122"/>
    </row>
    <row r="109" spans="4:11" ht="14.25" thickBot="1" x14ac:dyDescent="0.3">
      <c r="D109" s="1150">
        <f t="shared" ref="D109:D122" si="10">D108+1</f>
        <v>2021</v>
      </c>
      <c r="E109" s="1485">
        <f>E108*(1+'8.1 Pob Urbana y Rural'!G$50)</f>
        <v>1823.2490853037748</v>
      </c>
      <c r="F109" s="1024">
        <f t="shared" si="9"/>
        <v>98.455450606403843</v>
      </c>
      <c r="G109" s="1024">
        <f t="shared" si="9"/>
        <v>5.0212279809265956</v>
      </c>
      <c r="H109" s="1024">
        <f t="shared" si="9"/>
        <v>3.0529066124033699</v>
      </c>
      <c r="I109" s="1151">
        <f>H109*I$105</f>
        <v>18.317439674420221</v>
      </c>
      <c r="J109" s="967"/>
      <c r="K109" s="1122"/>
    </row>
    <row r="110" spans="4:11" ht="14.25" thickBot="1" x14ac:dyDescent="0.3">
      <c r="D110" s="1150">
        <f t="shared" si="10"/>
        <v>2022</v>
      </c>
      <c r="E110" s="1485">
        <f>E109*(1+'8.1 Pob Urbana y Rural'!G$50)</f>
        <v>1823.9556077205939</v>
      </c>
      <c r="F110" s="1024">
        <f t="shared" si="9"/>
        <v>98.493602816912073</v>
      </c>
      <c r="G110" s="1024">
        <f t="shared" si="9"/>
        <v>5.0231737436625155</v>
      </c>
      <c r="H110" s="1024">
        <f t="shared" si="9"/>
        <v>3.0540896361468093</v>
      </c>
      <c r="I110" s="1151">
        <f t="shared" si="9"/>
        <v>18.324537816880856</v>
      </c>
      <c r="J110" s="967"/>
      <c r="K110" s="1122"/>
    </row>
    <row r="111" spans="4:11" ht="14.25" thickBot="1" x14ac:dyDescent="0.3">
      <c r="D111" s="1150">
        <f t="shared" si="10"/>
        <v>2023</v>
      </c>
      <c r="E111" s="1485">
        <f>E110*(1+'8.1 Pob Urbana y Rural'!G$50)</f>
        <v>1824.6624039200406</v>
      </c>
      <c r="F111" s="1024">
        <f t="shared" si="9"/>
        <v>98.531769811682196</v>
      </c>
      <c r="G111" s="1024">
        <f t="shared" si="9"/>
        <v>5.0251202603957914</v>
      </c>
      <c r="H111" s="1024">
        <f t="shared" si="9"/>
        <v>3.055273118320641</v>
      </c>
      <c r="I111" s="1151">
        <f t="shared" si="9"/>
        <v>18.331638709923844</v>
      </c>
      <c r="J111" s="967"/>
      <c r="K111" s="1122"/>
    </row>
    <row r="112" spans="4:11" ht="14.25" thickBot="1" x14ac:dyDescent="0.3">
      <c r="D112" s="1150">
        <f t="shared" si="10"/>
        <v>2024</v>
      </c>
      <c r="E112" s="1485">
        <f>E111*(1+'8.1 Pob Urbana y Rural'!G$50)</f>
        <v>1825.3694740082078</v>
      </c>
      <c r="F112" s="1024">
        <f t="shared" si="9"/>
        <v>98.569951596443218</v>
      </c>
      <c r="G112" s="1024">
        <f t="shared" si="9"/>
        <v>5.027067531418604</v>
      </c>
      <c r="H112" s="1024">
        <f t="shared" si="9"/>
        <v>3.0564570591025113</v>
      </c>
      <c r="I112" s="1151">
        <f t="shared" si="9"/>
        <v>18.338742354615068</v>
      </c>
      <c r="J112" s="967"/>
      <c r="K112" s="1122"/>
    </row>
    <row r="113" spans="4:13" ht="14.25" thickBot="1" x14ac:dyDescent="0.3">
      <c r="D113" s="1150">
        <f t="shared" si="10"/>
        <v>2025</v>
      </c>
      <c r="E113" s="1485">
        <f>E112*(1+'8.1 Pob Urbana y Rural'!G$50)</f>
        <v>1826.0768180912294</v>
      </c>
      <c r="F113" s="1024">
        <f t="shared" si="9"/>
        <v>98.608148176926392</v>
      </c>
      <c r="G113" s="1024">
        <f t="shared" si="9"/>
        <v>5.0290155570232455</v>
      </c>
      <c r="H113" s="1024">
        <f t="shared" si="9"/>
        <v>3.0576414586701333</v>
      </c>
      <c r="I113" s="1151">
        <f t="shared" si="9"/>
        <v>18.3458487520208</v>
      </c>
      <c r="J113" s="967"/>
      <c r="K113" s="1122"/>
    </row>
    <row r="114" spans="4:13" ht="14.25" thickBot="1" x14ac:dyDescent="0.3">
      <c r="D114" s="1150">
        <f t="shared" si="10"/>
        <v>2026</v>
      </c>
      <c r="E114" s="1485">
        <f>E113*(1+'8.1 Pob Urbana y Rural'!G$50)</f>
        <v>1826.7844362752803</v>
      </c>
      <c r="F114" s="1024">
        <f t="shared" si="9"/>
        <v>98.646359558865129</v>
      </c>
      <c r="G114" s="1024">
        <f t="shared" si="9"/>
        <v>5.0309643375021214</v>
      </c>
      <c r="H114" s="1024">
        <f t="shared" si="9"/>
        <v>3.0588263172012895</v>
      </c>
      <c r="I114" s="1151">
        <f t="shared" si="9"/>
        <v>18.352957903207738</v>
      </c>
      <c r="J114" s="967"/>
      <c r="K114" s="1122"/>
    </row>
    <row r="115" spans="4:13" ht="14.25" thickBot="1" x14ac:dyDescent="0.3">
      <c r="D115" s="1150">
        <f t="shared" si="10"/>
        <v>2027</v>
      </c>
      <c r="E115" s="1485">
        <f>E114*(1+'8.1 Pob Urbana y Rural'!G$50)</f>
        <v>1827.4923286665767</v>
      </c>
      <c r="F115" s="1024">
        <f t="shared" si="9"/>
        <v>98.684585747995143</v>
      </c>
      <c r="G115" s="1024">
        <f t="shared" si="9"/>
        <v>5.0329138731477521</v>
      </c>
      <c r="H115" s="1024">
        <f t="shared" si="9"/>
        <v>3.0600116348738333</v>
      </c>
      <c r="I115" s="1151">
        <f t="shared" si="9"/>
        <v>18.360069809243001</v>
      </c>
      <c r="J115" s="967"/>
      <c r="K115" s="1122"/>
    </row>
    <row r="116" spans="4:13" ht="14.25" thickBot="1" x14ac:dyDescent="0.3">
      <c r="D116" s="1150">
        <f t="shared" si="10"/>
        <v>2028</v>
      </c>
      <c r="E116" s="1485">
        <f>E115*(1+'8.1 Pob Urbana y Rural'!G$50)</f>
        <v>1828.2004953713758</v>
      </c>
      <c r="F116" s="1024">
        <f t="shared" si="9"/>
        <v>98.722826750054296</v>
      </c>
      <c r="G116" s="1024">
        <f t="shared" si="9"/>
        <v>5.0348641642527685</v>
      </c>
      <c r="H116" s="1024">
        <f t="shared" si="9"/>
        <v>3.0611974118656833</v>
      </c>
      <c r="I116" s="1151">
        <f t="shared" si="9"/>
        <v>18.367184471194101</v>
      </c>
      <c r="J116" s="967"/>
      <c r="K116" s="1122"/>
    </row>
    <row r="117" spans="4:13" ht="14.25" thickBot="1" x14ac:dyDescent="0.3">
      <c r="D117" s="1150">
        <f t="shared" si="10"/>
        <v>2029</v>
      </c>
      <c r="E117" s="1485">
        <f>E116*(1+'8.1 Pob Urbana y Rural'!G$50)</f>
        <v>1828.9089364959764</v>
      </c>
      <c r="F117" s="1024">
        <f t="shared" si="9"/>
        <v>98.761082570782719</v>
      </c>
      <c r="G117" s="1024">
        <f t="shared" si="9"/>
        <v>5.0368152111099187</v>
      </c>
      <c r="H117" s="1024">
        <f t="shared" si="9"/>
        <v>3.0623836483548303</v>
      </c>
      <c r="I117" s="1151">
        <f t="shared" si="9"/>
        <v>18.374301890128983</v>
      </c>
      <c r="J117" s="967"/>
      <c r="K117" s="1122"/>
    </row>
    <row r="118" spans="4:13" ht="14.25" thickBot="1" x14ac:dyDescent="0.3">
      <c r="D118" s="1150">
        <f t="shared" si="10"/>
        <v>2030</v>
      </c>
      <c r="E118" s="1485">
        <f>E117*(1+'8.1 Pob Urbana y Rural'!G$50)</f>
        <v>1829.617652146718</v>
      </c>
      <c r="F118" s="1024">
        <f t="shared" si="9"/>
        <v>98.799353215922764</v>
      </c>
      <c r="G118" s="1024">
        <f t="shared" si="9"/>
        <v>5.0387670140120608</v>
      </c>
      <c r="H118" s="1024">
        <f t="shared" si="9"/>
        <v>3.063570344519333</v>
      </c>
      <c r="I118" s="1151">
        <f t="shared" si="9"/>
        <v>18.381422067115999</v>
      </c>
    </row>
    <row r="119" spans="4:13" ht="14.25" thickBot="1" x14ac:dyDescent="0.3">
      <c r="D119" s="1150">
        <f t="shared" si="10"/>
        <v>2031</v>
      </c>
      <c r="E119" s="1485">
        <f>E118*(1+'8.1 Pob Urbana y Rural'!G$50)</f>
        <v>1830.3266424299816</v>
      </c>
      <c r="F119" s="1024">
        <f t="shared" si="9"/>
        <v>98.837638691218999</v>
      </c>
      <c r="G119" s="1024">
        <f t="shared" si="9"/>
        <v>5.0407195732521686</v>
      </c>
      <c r="H119" s="1024">
        <f t="shared" si="9"/>
        <v>3.0647575005373184</v>
      </c>
      <c r="I119" s="1151">
        <f t="shared" si="9"/>
        <v>18.388545003223911</v>
      </c>
    </row>
    <row r="120" spans="4:13" ht="14.25" thickBot="1" x14ac:dyDescent="0.3">
      <c r="D120" s="1150">
        <f t="shared" si="10"/>
        <v>2032</v>
      </c>
      <c r="E120" s="1485">
        <f>E119*(1+'8.1 Pob Urbana y Rural'!G$50)</f>
        <v>1831.0359074521891</v>
      </c>
      <c r="F120" s="1024">
        <f t="shared" si="9"/>
        <v>98.875939002418207</v>
      </c>
      <c r="G120" s="1024">
        <f t="shared" si="9"/>
        <v>5.0426728891233283</v>
      </c>
      <c r="H120" s="1024">
        <f t="shared" si="9"/>
        <v>3.0659451165869838</v>
      </c>
      <c r="I120" s="1151">
        <f t="shared" si="9"/>
        <v>18.395670699521901</v>
      </c>
    </row>
    <row r="121" spans="4:13" ht="14.25" thickBot="1" x14ac:dyDescent="0.3">
      <c r="D121" s="1150">
        <f t="shared" si="10"/>
        <v>2033</v>
      </c>
      <c r="E121" s="1485">
        <f>E120*(1+'8.1 Pob Urbana y Rural'!G$50)</f>
        <v>1831.745447319804</v>
      </c>
      <c r="F121" s="1024">
        <f t="shared" si="9"/>
        <v>98.914254155269418</v>
      </c>
      <c r="G121" s="1024">
        <f t="shared" si="9"/>
        <v>5.0446269619187403</v>
      </c>
      <c r="H121" s="1024">
        <f t="shared" si="9"/>
        <v>3.0671331928465939</v>
      </c>
      <c r="I121" s="1151">
        <f t="shared" si="9"/>
        <v>18.402799157079563</v>
      </c>
      <c r="J121" s="1123"/>
      <c r="K121" s="1123"/>
      <c r="L121" s="1123"/>
      <c r="M121" s="1124"/>
    </row>
    <row r="122" spans="4:13" ht="14.25" thickBot="1" x14ac:dyDescent="0.3">
      <c r="D122" s="1150">
        <f t="shared" si="10"/>
        <v>2034</v>
      </c>
      <c r="E122" s="1485">
        <f>E121*(1+'8.1 Pob Urbana y Rural'!G$50)</f>
        <v>1832.4552621393311</v>
      </c>
      <c r="F122" s="1024">
        <f t="shared" si="9"/>
        <v>98.95258415552388</v>
      </c>
      <c r="G122" s="1024">
        <f t="shared" si="9"/>
        <v>5.0465817919317173</v>
      </c>
      <c r="H122" s="1024">
        <f t="shared" si="9"/>
        <v>3.068321729494484</v>
      </c>
      <c r="I122" s="1151">
        <f t="shared" si="9"/>
        <v>18.409930376966905</v>
      </c>
    </row>
    <row r="123" spans="4:13" x14ac:dyDescent="0.25">
      <c r="D123" s="1146"/>
      <c r="E123" s="967"/>
      <c r="F123" s="967"/>
      <c r="G123" s="967"/>
      <c r="H123" s="1120"/>
    </row>
    <row r="124" spans="4:13" ht="40.5" x14ac:dyDescent="0.25">
      <c r="D124" s="1013"/>
      <c r="E124" s="967"/>
      <c r="F124" s="967"/>
      <c r="G124" s="967"/>
      <c r="H124" s="1120"/>
      <c r="K124" s="917" t="s">
        <v>1941</v>
      </c>
      <c r="L124" s="1329" t="s">
        <v>1942</v>
      </c>
      <c r="M124" s="918" t="s">
        <v>1943</v>
      </c>
    </row>
    <row r="125" spans="4:13" x14ac:dyDescent="0.25">
      <c r="D125" s="1013"/>
      <c r="E125" s="967"/>
      <c r="F125" s="967"/>
      <c r="G125" s="967"/>
      <c r="H125" s="1120"/>
      <c r="J125" s="1278" t="s">
        <v>1398</v>
      </c>
      <c r="K125" s="1389">
        <v>5.3999999999999999E-2</v>
      </c>
      <c r="L125" s="1389">
        <v>5.0999999999999997E-2</v>
      </c>
      <c r="M125" s="1389">
        <v>0.60799999999999998</v>
      </c>
    </row>
    <row r="126" spans="4:13" x14ac:dyDescent="0.25">
      <c r="J126" s="691" t="s">
        <v>1958</v>
      </c>
    </row>
    <row r="127" spans="4:13" ht="14.25" thickBot="1" x14ac:dyDescent="0.3">
      <c r="D127" s="1147" t="s">
        <v>1944</v>
      </c>
      <c r="E127" s="967"/>
      <c r="F127" s="692"/>
      <c r="G127" s="692"/>
      <c r="H127" s="1125"/>
    </row>
    <row r="128" spans="4:13" ht="14.25" thickBot="1" x14ac:dyDescent="0.3">
      <c r="D128" s="1013"/>
      <c r="E128" s="967"/>
      <c r="G128" s="692"/>
      <c r="H128" s="1158" t="s">
        <v>1945</v>
      </c>
    </row>
    <row r="129" spans="4:9" ht="27.75" thickBot="1" x14ac:dyDescent="0.3">
      <c r="D129" s="3990" t="s">
        <v>1485</v>
      </c>
      <c r="E129" s="1047" t="s">
        <v>1680</v>
      </c>
      <c r="F129" s="1047" t="s">
        <v>427</v>
      </c>
      <c r="G129" s="1047" t="s">
        <v>61</v>
      </c>
      <c r="H129" s="1048" t="s">
        <v>1946</v>
      </c>
    </row>
    <row r="130" spans="4:9" ht="14.25" thickBot="1" x14ac:dyDescent="0.3">
      <c r="D130" s="3992"/>
      <c r="E130" s="1115">
        <v>1</v>
      </c>
      <c r="F130" s="1115">
        <v>1</v>
      </c>
      <c r="G130" s="1115">
        <v>1</v>
      </c>
      <c r="H130" s="1050"/>
    </row>
    <row r="131" spans="4:9" ht="14.25" thickBot="1" x14ac:dyDescent="0.3">
      <c r="D131" s="1150">
        <v>2018</v>
      </c>
      <c r="E131" s="1024" t="e">
        <f>'11 Dda SS Salud P3'!D43</f>
        <v>#DIV/0!</v>
      </c>
      <c r="F131" s="1024" t="e">
        <f>'10 Dda Efect SS Salud P2'!K293</f>
        <v>#DIV/0!</v>
      </c>
      <c r="G131" s="1024" t="e">
        <f>'11 Dda SS Salud P3'!E43</f>
        <v>#DIV/0!</v>
      </c>
      <c r="H131" s="1151" t="e">
        <f>SUM(E131:G131)</f>
        <v>#DIV/0!</v>
      </c>
    </row>
    <row r="132" spans="4:9" ht="14.25" thickBot="1" x14ac:dyDescent="0.3">
      <c r="D132" s="1150">
        <f>D131+1</f>
        <v>2019</v>
      </c>
      <c r="E132" s="1485" t="e">
        <f>E131*(1+'8.1 Pob Urbana y Rural'!G$50)</f>
        <v>#DIV/0!</v>
      </c>
      <c r="F132" s="1024" t="e">
        <f>'10 Dda Efect SS Salud P2'!K294</f>
        <v>#DIV/0!</v>
      </c>
      <c r="G132" s="1024" t="e">
        <f>'11 Dda SS Salud P3'!E44</f>
        <v>#DIV/0!</v>
      </c>
      <c r="H132" s="1151" t="e">
        <f t="shared" ref="H132:H147" si="11">SUM(E132:G132)</f>
        <v>#DIV/0!</v>
      </c>
    </row>
    <row r="133" spans="4:9" ht="14.25" thickBot="1" x14ac:dyDescent="0.3">
      <c r="D133" s="1150">
        <f t="shared" ref="D133:D147" si="12">D132+1</f>
        <v>2020</v>
      </c>
      <c r="E133" s="1485" t="e">
        <f>E132*(1+'8.1 Pob Urbana y Rural'!G$50)</f>
        <v>#DIV/0!</v>
      </c>
      <c r="F133" s="1024" t="e">
        <f>'10 Dda Efect SS Salud P2'!K295</f>
        <v>#DIV/0!</v>
      </c>
      <c r="G133" s="1024" t="e">
        <f>'11 Dda SS Salud P3'!E45</f>
        <v>#DIV/0!</v>
      </c>
      <c r="H133" s="1151" t="e">
        <f t="shared" si="11"/>
        <v>#DIV/0!</v>
      </c>
      <c r="I133" s="692"/>
    </row>
    <row r="134" spans="4:9" ht="14.25" thickBot="1" x14ac:dyDescent="0.3">
      <c r="D134" s="1150">
        <f t="shared" si="12"/>
        <v>2021</v>
      </c>
      <c r="E134" s="1485" t="e">
        <f>E133*(1+'8.1 Pob Urbana y Rural'!G$50)</f>
        <v>#DIV/0!</v>
      </c>
      <c r="F134" s="1024" t="e">
        <f>'10 Dda Efect SS Salud P2'!K296</f>
        <v>#DIV/0!</v>
      </c>
      <c r="G134" s="1024" t="e">
        <f>'11 Dda SS Salud P3'!E46</f>
        <v>#DIV/0!</v>
      </c>
      <c r="H134" s="1151" t="e">
        <f t="shared" si="11"/>
        <v>#DIV/0!</v>
      </c>
      <c r="I134" s="692"/>
    </row>
    <row r="135" spans="4:9" ht="14.25" thickBot="1" x14ac:dyDescent="0.3">
      <c r="D135" s="1150">
        <f t="shared" si="12"/>
        <v>2022</v>
      </c>
      <c r="E135" s="1485" t="e">
        <f>E134*(1+'8.1 Pob Urbana y Rural'!G$50)</f>
        <v>#DIV/0!</v>
      </c>
      <c r="F135" s="1024" t="e">
        <f>'10 Dda Efect SS Salud P2'!K297</f>
        <v>#DIV/0!</v>
      </c>
      <c r="G135" s="1024" t="e">
        <f>'11 Dda SS Salud P3'!E47</f>
        <v>#DIV/0!</v>
      </c>
      <c r="H135" s="1151" t="e">
        <f t="shared" si="11"/>
        <v>#DIV/0!</v>
      </c>
      <c r="I135" s="692"/>
    </row>
    <row r="136" spans="4:9" ht="14.25" thickBot="1" x14ac:dyDescent="0.3">
      <c r="D136" s="1150">
        <f t="shared" si="12"/>
        <v>2023</v>
      </c>
      <c r="E136" s="1485" t="e">
        <f>E135*(1+'8.1 Pob Urbana y Rural'!G$50)</f>
        <v>#DIV/0!</v>
      </c>
      <c r="F136" s="1024" t="e">
        <f>'10 Dda Efect SS Salud P2'!K298</f>
        <v>#DIV/0!</v>
      </c>
      <c r="G136" s="1024" t="e">
        <f>'11 Dda SS Salud P3'!E48</f>
        <v>#DIV/0!</v>
      </c>
      <c r="H136" s="1151" t="e">
        <f t="shared" si="11"/>
        <v>#DIV/0!</v>
      </c>
      <c r="I136" s="692"/>
    </row>
    <row r="137" spans="4:9" ht="14.25" thickBot="1" x14ac:dyDescent="0.3">
      <c r="D137" s="1150">
        <f t="shared" si="12"/>
        <v>2024</v>
      </c>
      <c r="E137" s="1485" t="e">
        <f>E136*(1+'8.1 Pob Urbana y Rural'!G$50)</f>
        <v>#DIV/0!</v>
      </c>
      <c r="F137" s="1024" t="e">
        <f>'10 Dda Efect SS Salud P2'!K299</f>
        <v>#DIV/0!</v>
      </c>
      <c r="G137" s="1024" t="e">
        <f>'11 Dda SS Salud P3'!E49</f>
        <v>#DIV/0!</v>
      </c>
      <c r="H137" s="1151" t="e">
        <f>SUM(E137:G137)</f>
        <v>#DIV/0!</v>
      </c>
      <c r="I137" s="692"/>
    </row>
    <row r="138" spans="4:9" ht="14.25" thickBot="1" x14ac:dyDescent="0.3">
      <c r="D138" s="1150">
        <f t="shared" si="12"/>
        <v>2025</v>
      </c>
      <c r="E138" s="1485" t="e">
        <f>E137*(1+'8.1 Pob Urbana y Rural'!G$50)</f>
        <v>#DIV/0!</v>
      </c>
      <c r="F138" s="1024" t="e">
        <f>'10 Dda Efect SS Salud P2'!K300</f>
        <v>#DIV/0!</v>
      </c>
      <c r="G138" s="1024" t="e">
        <f>'11 Dda SS Salud P3'!E50</f>
        <v>#DIV/0!</v>
      </c>
      <c r="H138" s="1151" t="e">
        <f t="shared" si="11"/>
        <v>#DIV/0!</v>
      </c>
      <c r="I138" s="692"/>
    </row>
    <row r="139" spans="4:9" ht="14.25" thickBot="1" x14ac:dyDescent="0.3">
      <c r="D139" s="1150">
        <f t="shared" si="12"/>
        <v>2026</v>
      </c>
      <c r="E139" s="1485" t="e">
        <f>E138*(1+'8.1 Pob Urbana y Rural'!G$50)</f>
        <v>#DIV/0!</v>
      </c>
      <c r="F139" s="1024" t="e">
        <f>'10 Dda Efect SS Salud P2'!K301</f>
        <v>#DIV/0!</v>
      </c>
      <c r="G139" s="1024" t="e">
        <f>'11 Dda SS Salud P3'!E51</f>
        <v>#DIV/0!</v>
      </c>
      <c r="H139" s="1151" t="e">
        <f t="shared" si="11"/>
        <v>#DIV/0!</v>
      </c>
      <c r="I139" s="692"/>
    </row>
    <row r="140" spans="4:9" ht="14.25" thickBot="1" x14ac:dyDescent="0.3">
      <c r="D140" s="1150">
        <f t="shared" si="12"/>
        <v>2027</v>
      </c>
      <c r="E140" s="1485" t="e">
        <f>E139*(1+'8.1 Pob Urbana y Rural'!G$50)</f>
        <v>#DIV/0!</v>
      </c>
      <c r="F140" s="1024" t="e">
        <f>'10 Dda Efect SS Salud P2'!K302</f>
        <v>#DIV/0!</v>
      </c>
      <c r="G140" s="1024" t="e">
        <f>'11 Dda SS Salud P3'!E52</f>
        <v>#DIV/0!</v>
      </c>
      <c r="H140" s="1151" t="e">
        <f t="shared" si="11"/>
        <v>#DIV/0!</v>
      </c>
      <c r="I140" s="692"/>
    </row>
    <row r="141" spans="4:9" ht="14.25" thickBot="1" x14ac:dyDescent="0.3">
      <c r="D141" s="1150">
        <f t="shared" si="12"/>
        <v>2028</v>
      </c>
      <c r="E141" s="1485" t="e">
        <f>E140*(1+'8.1 Pob Urbana y Rural'!G$50)</f>
        <v>#DIV/0!</v>
      </c>
      <c r="F141" s="1024" t="e">
        <f>'10 Dda Efect SS Salud P2'!K303</f>
        <v>#DIV/0!</v>
      </c>
      <c r="G141" s="1024" t="e">
        <f>'11 Dda SS Salud P3'!E53</f>
        <v>#DIV/0!</v>
      </c>
      <c r="H141" s="1151" t="e">
        <f t="shared" si="11"/>
        <v>#DIV/0!</v>
      </c>
      <c r="I141" s="692"/>
    </row>
    <row r="142" spans="4:9" ht="14.25" thickBot="1" x14ac:dyDescent="0.3">
      <c r="D142" s="1150">
        <f t="shared" si="12"/>
        <v>2029</v>
      </c>
      <c r="E142" s="1485" t="e">
        <f>E141*(1+'8.1 Pob Urbana y Rural'!G$50)</f>
        <v>#DIV/0!</v>
      </c>
      <c r="F142" s="1024" t="e">
        <f>'10 Dda Efect SS Salud P2'!K304</f>
        <v>#DIV/0!</v>
      </c>
      <c r="G142" s="1024" t="e">
        <f>'11 Dda SS Salud P3'!E54</f>
        <v>#DIV/0!</v>
      </c>
      <c r="H142" s="1151" t="e">
        <f t="shared" si="11"/>
        <v>#DIV/0!</v>
      </c>
      <c r="I142" s="692"/>
    </row>
    <row r="143" spans="4:9" ht="14.25" thickBot="1" x14ac:dyDescent="0.3">
      <c r="D143" s="1150">
        <f t="shared" si="12"/>
        <v>2030</v>
      </c>
      <c r="E143" s="1485" t="e">
        <f>E142*(1+'8.1 Pob Urbana y Rural'!G$50)</f>
        <v>#DIV/0!</v>
      </c>
      <c r="F143" s="1024" t="e">
        <f>'10 Dda Efect SS Salud P2'!K305</f>
        <v>#DIV/0!</v>
      </c>
      <c r="G143" s="1024" t="e">
        <f>'11 Dda SS Salud P3'!E55</f>
        <v>#DIV/0!</v>
      </c>
      <c r="H143" s="1151" t="e">
        <f t="shared" si="11"/>
        <v>#DIV/0!</v>
      </c>
      <c r="I143" s="692"/>
    </row>
    <row r="144" spans="4:9" ht="14.25" thickBot="1" x14ac:dyDescent="0.3">
      <c r="D144" s="1150">
        <f t="shared" si="12"/>
        <v>2031</v>
      </c>
      <c r="E144" s="1485" t="e">
        <f>E143*(1+'8.1 Pob Urbana y Rural'!G$50)</f>
        <v>#DIV/0!</v>
      </c>
      <c r="F144" s="1024" t="e">
        <f>'10 Dda Efect SS Salud P2'!K306</f>
        <v>#DIV/0!</v>
      </c>
      <c r="G144" s="1024" t="e">
        <f>'11 Dda SS Salud P3'!E56</f>
        <v>#DIV/0!</v>
      </c>
      <c r="H144" s="1151" t="e">
        <f t="shared" si="11"/>
        <v>#DIV/0!</v>
      </c>
      <c r="I144" s="692"/>
    </row>
    <row r="145" spans="3:11" ht="14.25" thickBot="1" x14ac:dyDescent="0.3">
      <c r="D145" s="1150">
        <f t="shared" si="12"/>
        <v>2032</v>
      </c>
      <c r="E145" s="1485" t="e">
        <f>E144*(1+'8.1 Pob Urbana y Rural'!G$50)</f>
        <v>#DIV/0!</v>
      </c>
      <c r="F145" s="1024" t="e">
        <f>'10 Dda Efect SS Salud P2'!K307</f>
        <v>#DIV/0!</v>
      </c>
      <c r="G145" s="1024" t="e">
        <f>'11 Dda SS Salud P3'!E57</f>
        <v>#DIV/0!</v>
      </c>
      <c r="H145" s="1151" t="e">
        <f t="shared" si="11"/>
        <v>#DIV/0!</v>
      </c>
      <c r="I145" s="692"/>
    </row>
    <row r="146" spans="3:11" ht="14.25" thickBot="1" x14ac:dyDescent="0.3">
      <c r="D146" s="1150">
        <f t="shared" si="12"/>
        <v>2033</v>
      </c>
      <c r="E146" s="1485" t="e">
        <f>E145*(1+'8.1 Pob Urbana y Rural'!G$50)</f>
        <v>#DIV/0!</v>
      </c>
      <c r="F146" s="1024" t="e">
        <f>'10 Dda Efect SS Salud P2'!K308</f>
        <v>#DIV/0!</v>
      </c>
      <c r="G146" s="1024" t="e">
        <f>'11 Dda SS Salud P3'!E58</f>
        <v>#DIV/0!</v>
      </c>
      <c r="H146" s="1151" t="e">
        <f t="shared" si="11"/>
        <v>#DIV/0!</v>
      </c>
      <c r="I146" s="692"/>
    </row>
    <row r="147" spans="3:11" ht="14.25" thickBot="1" x14ac:dyDescent="0.3">
      <c r="D147" s="1150">
        <f t="shared" si="12"/>
        <v>2034</v>
      </c>
      <c r="E147" s="1485" t="e">
        <f>E146*(1+'8.1 Pob Urbana y Rural'!G$50)</f>
        <v>#DIV/0!</v>
      </c>
      <c r="F147" s="1024" t="e">
        <f>'10 Dda Efect SS Salud P2'!K309</f>
        <v>#DIV/0!</v>
      </c>
      <c r="G147" s="1024" t="e">
        <f>'11 Dda SS Salud P3'!E59</f>
        <v>#DIV/0!</v>
      </c>
      <c r="H147" s="1151" t="e">
        <f t="shared" si="11"/>
        <v>#DIV/0!</v>
      </c>
      <c r="I147" s="692"/>
    </row>
    <row r="148" spans="3:11" x14ac:dyDescent="0.25">
      <c r="F148" s="692"/>
      <c r="G148" s="692"/>
      <c r="H148" s="692"/>
      <c r="I148" s="692"/>
    </row>
    <row r="149" spans="3:11" x14ac:dyDescent="0.25">
      <c r="F149" s="692"/>
      <c r="G149" s="692"/>
      <c r="H149" s="692"/>
      <c r="I149" s="692"/>
    </row>
    <row r="150" spans="3:11" x14ac:dyDescent="0.25">
      <c r="D150" s="1147" t="s">
        <v>1947</v>
      </c>
      <c r="F150" s="692"/>
      <c r="G150" s="692"/>
      <c r="H150" s="692"/>
      <c r="I150" s="692"/>
    </row>
    <row r="151" spans="3:11" ht="14.25" thickBot="1" x14ac:dyDescent="0.3">
      <c r="F151" s="692"/>
      <c r="G151" s="692"/>
      <c r="H151" s="692"/>
      <c r="I151" s="692"/>
    </row>
    <row r="152" spans="3:11" ht="14.25" thickBot="1" x14ac:dyDescent="0.3">
      <c r="D152" s="997"/>
      <c r="E152" s="692"/>
      <c r="F152" s="692"/>
      <c r="I152" s="1158" t="s">
        <v>1948</v>
      </c>
    </row>
    <row r="153" spans="3:11" ht="22.9" customHeight="1" thickBot="1" x14ac:dyDescent="0.3">
      <c r="D153" s="3990" t="s">
        <v>1485</v>
      </c>
      <c r="E153" s="3987" t="s">
        <v>1949</v>
      </c>
      <c r="F153" s="3987" t="s">
        <v>61</v>
      </c>
      <c r="G153" s="3987" t="s">
        <v>1798</v>
      </c>
      <c r="H153" s="3987" t="s">
        <v>1855</v>
      </c>
      <c r="I153" s="3993" t="s">
        <v>1950</v>
      </c>
      <c r="K153" s="695"/>
    </row>
    <row r="154" spans="3:11" ht="14.25" thickBot="1" x14ac:dyDescent="0.3">
      <c r="D154" s="3992"/>
      <c r="E154" s="3989"/>
      <c r="F154" s="3989"/>
      <c r="G154" s="3989"/>
      <c r="H154" s="3989"/>
      <c r="I154" s="4389"/>
      <c r="K154" s="695"/>
    </row>
    <row r="155" spans="3:11" ht="14.25" thickBot="1" x14ac:dyDescent="0.3">
      <c r="D155" s="1150">
        <v>2018</v>
      </c>
      <c r="E155" s="1024">
        <f>'10 Dda Efect SS Salud P2'!R31</f>
        <v>0</v>
      </c>
      <c r="F155" s="1024" t="e">
        <f>'11 Dda SS Salud P3'!E43</f>
        <v>#DIV/0!</v>
      </c>
      <c r="G155" s="1024" t="e">
        <f>'11 Dda SS Salud P3'!F17</f>
        <v>#DIV/0!</v>
      </c>
      <c r="H155" s="1024">
        <f>'10 Dda Efect SS Salud P2'!G240</f>
        <v>43.927999999999997</v>
      </c>
      <c r="I155" s="1151" t="e">
        <f>SUM(E155:H155)</f>
        <v>#DIV/0!</v>
      </c>
    </row>
    <row r="156" spans="3:11" ht="14.25" thickBot="1" x14ac:dyDescent="0.3">
      <c r="D156" s="1150">
        <f>D155+1</f>
        <v>2019</v>
      </c>
      <c r="E156" s="1024">
        <f>'10 Dda Efect SS Salud P2'!R32</f>
        <v>0</v>
      </c>
      <c r="F156" s="1024" t="e">
        <f>'11 Dda SS Salud P3'!E44</f>
        <v>#DIV/0!</v>
      </c>
      <c r="G156" s="1024" t="e">
        <f>'11 Dda SS Salud P3'!F18</f>
        <v>#DIV/0!</v>
      </c>
      <c r="H156" s="1024">
        <f>'10 Dda Efect SS Salud P2'!G241</f>
        <v>43.945022422759564</v>
      </c>
      <c r="I156" s="1151" t="e">
        <f t="shared" ref="I156:I171" si="13">SUM(E156:H156)</f>
        <v>#DIV/0!</v>
      </c>
    </row>
    <row r="157" spans="3:11" ht="14.25" thickBot="1" x14ac:dyDescent="0.3">
      <c r="D157" s="1150">
        <f t="shared" ref="D157:D171" si="14">D156+1</f>
        <v>2020</v>
      </c>
      <c r="E157" s="1024">
        <f>'10 Dda Efect SS Salud P2'!R33</f>
        <v>0</v>
      </c>
      <c r="F157" s="1024" t="e">
        <f>'11 Dda SS Salud P3'!E45</f>
        <v>#DIV/0!</v>
      </c>
      <c r="G157" s="1024" t="e">
        <f>'11 Dda SS Salud P3'!F19</f>
        <v>#DIV/0!</v>
      </c>
      <c r="H157" s="1024">
        <f>'10 Dda Efect SS Salud P2'!G242</f>
        <v>43.962051441833012</v>
      </c>
      <c r="I157" s="1151" t="e">
        <f t="shared" si="13"/>
        <v>#DIV/0!</v>
      </c>
    </row>
    <row r="158" spans="3:11" ht="14.25" thickBot="1" x14ac:dyDescent="0.3">
      <c r="C158" s="691">
        <v>1</v>
      </c>
      <c r="D158" s="1150">
        <f t="shared" si="14"/>
        <v>2021</v>
      </c>
      <c r="E158" s="1024">
        <f>'10 Dda Efect SS Salud P2'!R34</f>
        <v>0</v>
      </c>
      <c r="F158" s="1024" t="e">
        <f>'11 Dda SS Salud P3'!E46</f>
        <v>#DIV/0!</v>
      </c>
      <c r="G158" s="1024" t="e">
        <f>'11 Dda SS Salud P3'!F20</f>
        <v>#DIV/0!</v>
      </c>
      <c r="H158" s="1024">
        <f>'10 Dda Efect SS Salud P2'!G243</f>
        <v>43.979087059776482</v>
      </c>
      <c r="I158" s="1151" t="e">
        <f t="shared" si="13"/>
        <v>#DIV/0!</v>
      </c>
    </row>
    <row r="159" spans="3:11" ht="14.25" thickBot="1" x14ac:dyDescent="0.3">
      <c r="C159" s="691">
        <v>2</v>
      </c>
      <c r="D159" s="1150">
        <f t="shared" si="14"/>
        <v>2022</v>
      </c>
      <c r="E159" s="1024">
        <f>'10 Dda Efect SS Salud P2'!R35</f>
        <v>0</v>
      </c>
      <c r="F159" s="1024" t="e">
        <f>'11 Dda SS Salud P3'!E47</f>
        <v>#DIV/0!</v>
      </c>
      <c r="G159" s="1024" t="e">
        <f>'11 Dda SS Salud P3'!F21</f>
        <v>#DIV/0!</v>
      </c>
      <c r="H159" s="1024">
        <f>'10 Dda Efect SS Salud P2'!G244</f>
        <v>43.99612927914707</v>
      </c>
      <c r="I159" s="1151" t="e">
        <f t="shared" si="13"/>
        <v>#DIV/0!</v>
      </c>
    </row>
    <row r="160" spans="3:11" ht="14.25" thickBot="1" x14ac:dyDescent="0.3">
      <c r="C160" s="691">
        <v>3</v>
      </c>
      <c r="D160" s="1150">
        <f t="shared" si="14"/>
        <v>2023</v>
      </c>
      <c r="E160" s="1024">
        <f>'10 Dda Efect SS Salud P2'!R36</f>
        <v>0</v>
      </c>
      <c r="F160" s="1024" t="e">
        <f>'11 Dda SS Salud P3'!E48</f>
        <v>#DIV/0!</v>
      </c>
      <c r="G160" s="1024" t="e">
        <f>'11 Dda SS Salud P3'!F22</f>
        <v>#DIV/0!</v>
      </c>
      <c r="H160" s="1024">
        <f>'10 Dda Efect SS Salud P2'!G245</f>
        <v>44.013178102502877</v>
      </c>
      <c r="I160" s="1151" t="e">
        <f>SUM(E160:H160)</f>
        <v>#DIV/0!</v>
      </c>
    </row>
    <row r="161" spans="3:10" ht="14.25" thickBot="1" x14ac:dyDescent="0.3">
      <c r="C161" s="691">
        <v>4</v>
      </c>
      <c r="D161" s="1150">
        <f t="shared" si="14"/>
        <v>2024</v>
      </c>
      <c r="E161" s="1024">
        <f>'10 Dda Efect SS Salud P2'!R37</f>
        <v>0</v>
      </c>
      <c r="F161" s="1024" t="e">
        <f>'11 Dda SS Salud P3'!E49</f>
        <v>#DIV/0!</v>
      </c>
      <c r="G161" s="1024" t="e">
        <f>'11 Dda SS Salud P3'!F23</f>
        <v>#DIV/0!</v>
      </c>
      <c r="H161" s="1024">
        <f>'10 Dda Efect SS Salud P2'!G246</f>
        <v>44.030233532403003</v>
      </c>
      <c r="I161" s="1151" t="e">
        <f t="shared" si="13"/>
        <v>#DIV/0!</v>
      </c>
    </row>
    <row r="162" spans="3:10" ht="14.25" thickBot="1" x14ac:dyDescent="0.3">
      <c r="C162" s="691">
        <v>5</v>
      </c>
      <c r="D162" s="1150">
        <f t="shared" si="14"/>
        <v>2025</v>
      </c>
      <c r="E162" s="1024">
        <f>'10 Dda Efect SS Salud P2'!R38</f>
        <v>0</v>
      </c>
      <c r="F162" s="1024" t="e">
        <f>'11 Dda SS Salud P3'!E50</f>
        <v>#DIV/0!</v>
      </c>
      <c r="G162" s="1024" t="e">
        <f>'11 Dda SS Salud P3'!F24</f>
        <v>#DIV/0!</v>
      </c>
      <c r="H162" s="1024">
        <f>'10 Dda Efect SS Salud P2'!G247</f>
        <v>44.047295571407531</v>
      </c>
      <c r="I162" s="1151" t="e">
        <f t="shared" si="13"/>
        <v>#DIV/0!</v>
      </c>
    </row>
    <row r="163" spans="3:10" ht="14.25" thickBot="1" x14ac:dyDescent="0.3">
      <c r="C163" s="691">
        <v>6</v>
      </c>
      <c r="D163" s="1150">
        <f t="shared" si="14"/>
        <v>2026</v>
      </c>
      <c r="E163" s="1024">
        <f>'10 Dda Efect SS Salud P2'!R39</f>
        <v>0</v>
      </c>
      <c r="F163" s="1024" t="e">
        <f>'11 Dda SS Salud P3'!E51</f>
        <v>#DIV/0!</v>
      </c>
      <c r="G163" s="1024" t="e">
        <f>'11 Dda SS Salud P3'!F25</f>
        <v>#DIV/0!</v>
      </c>
      <c r="H163" s="1024">
        <f>'10 Dda Efect SS Salud P2'!G248</f>
        <v>44.064364222077536</v>
      </c>
      <c r="I163" s="1151" t="e">
        <f t="shared" si="13"/>
        <v>#DIV/0!</v>
      </c>
    </row>
    <row r="164" spans="3:10" ht="14.25" thickBot="1" x14ac:dyDescent="0.3">
      <c r="C164" s="691">
        <v>7</v>
      </c>
      <c r="D164" s="1150">
        <f t="shared" si="14"/>
        <v>2027</v>
      </c>
      <c r="E164" s="1024">
        <f>'10 Dda Efect SS Salud P2'!R40</f>
        <v>0</v>
      </c>
      <c r="F164" s="1024" t="e">
        <f>'11 Dda SS Salud P3'!E52</f>
        <v>#DIV/0!</v>
      </c>
      <c r="G164" s="1024" t="e">
        <f>'11 Dda SS Salud P3'!F26</f>
        <v>#DIV/0!</v>
      </c>
      <c r="H164" s="1024">
        <f>'10 Dda Efect SS Salud P2'!G249</f>
        <v>44.081439486975071</v>
      </c>
      <c r="I164" s="1151" t="e">
        <f t="shared" si="13"/>
        <v>#DIV/0!</v>
      </c>
    </row>
    <row r="165" spans="3:10" ht="14.25" thickBot="1" x14ac:dyDescent="0.3">
      <c r="C165" s="691">
        <v>8</v>
      </c>
      <c r="D165" s="1150">
        <f t="shared" si="14"/>
        <v>2028</v>
      </c>
      <c r="E165" s="1024">
        <f>'10 Dda Efect SS Salud P2'!R41</f>
        <v>0</v>
      </c>
      <c r="F165" s="1024" t="e">
        <f>'11 Dda SS Salud P3'!E53</f>
        <v>#DIV/0!</v>
      </c>
      <c r="G165" s="1024" t="e">
        <f>'11 Dda SS Salud P3'!F27</f>
        <v>#DIV/0!</v>
      </c>
      <c r="H165" s="1024">
        <f>'10 Dda Efect SS Salud P2'!G250</f>
        <v>44.098521368663235</v>
      </c>
      <c r="I165" s="1151" t="e">
        <f t="shared" si="13"/>
        <v>#DIV/0!</v>
      </c>
    </row>
    <row r="166" spans="3:10" ht="14.25" thickBot="1" x14ac:dyDescent="0.3">
      <c r="C166" s="691">
        <v>9</v>
      </c>
      <c r="D166" s="1150">
        <f t="shared" si="14"/>
        <v>2029</v>
      </c>
      <c r="E166" s="1024">
        <f>'10 Dda Efect SS Salud P2'!R42</f>
        <v>0</v>
      </c>
      <c r="F166" s="1024" t="e">
        <f>'11 Dda SS Salud P3'!E54</f>
        <v>#DIV/0!</v>
      </c>
      <c r="G166" s="1024" t="e">
        <f>'11 Dda SS Salud P3'!F28</f>
        <v>#DIV/0!</v>
      </c>
      <c r="H166" s="1024">
        <f>'10 Dda Efect SS Salud P2'!G251</f>
        <v>44.115609869706063</v>
      </c>
      <c r="I166" s="1151" t="e">
        <f t="shared" si="13"/>
        <v>#DIV/0!</v>
      </c>
    </row>
    <row r="167" spans="3:10" ht="14.25" thickBot="1" x14ac:dyDescent="0.3">
      <c r="C167" s="691">
        <v>10</v>
      </c>
      <c r="D167" s="1150">
        <f t="shared" si="14"/>
        <v>2030</v>
      </c>
      <c r="E167" s="1024">
        <f>'10 Dda Efect SS Salud P2'!R43</f>
        <v>0</v>
      </c>
      <c r="F167" s="1024" t="e">
        <f>'11 Dda SS Salud P3'!E55</f>
        <v>#DIV/0!</v>
      </c>
      <c r="G167" s="1024" t="e">
        <f>'11 Dda SS Salud P3'!F29</f>
        <v>#DIV/0!</v>
      </c>
      <c r="H167" s="1024">
        <f>'10 Dda Efect SS Salud P2'!G252</f>
        <v>44.132704992668593</v>
      </c>
      <c r="I167" s="1151" t="e">
        <f t="shared" si="13"/>
        <v>#DIV/0!</v>
      </c>
    </row>
    <row r="168" spans="3:10" ht="14.25" thickBot="1" x14ac:dyDescent="0.3">
      <c r="C168" s="691">
        <v>11</v>
      </c>
      <c r="D168" s="1150">
        <f t="shared" si="14"/>
        <v>2031</v>
      </c>
      <c r="E168" s="1024">
        <f>'10 Dda Efect SS Salud P2'!R44</f>
        <v>0</v>
      </c>
      <c r="F168" s="1024" t="e">
        <f>'11 Dda SS Salud P3'!E56</f>
        <v>#DIV/0!</v>
      </c>
      <c r="G168" s="1024" t="e">
        <f>'11 Dda SS Salud P3'!F30</f>
        <v>#DIV/0!</v>
      </c>
      <c r="H168" s="1024">
        <f>'10 Dda Efect SS Salud P2'!G253</f>
        <v>44.149806740116873</v>
      </c>
      <c r="I168" s="1151" t="e">
        <f t="shared" si="13"/>
        <v>#DIV/0!</v>
      </c>
    </row>
    <row r="169" spans="3:10" ht="14.25" thickBot="1" x14ac:dyDescent="0.3">
      <c r="C169" s="691">
        <v>12</v>
      </c>
      <c r="D169" s="1150">
        <f t="shared" si="14"/>
        <v>2032</v>
      </c>
      <c r="E169" s="1024">
        <f>'10 Dda Efect SS Salud P2'!R45</f>
        <v>0</v>
      </c>
      <c r="F169" s="1024" t="e">
        <f>'11 Dda SS Salud P3'!E57</f>
        <v>#DIV/0!</v>
      </c>
      <c r="G169" s="1024" t="e">
        <f>'11 Dda SS Salud P3'!F31</f>
        <v>#DIV/0!</v>
      </c>
      <c r="H169" s="1024">
        <f>'10 Dda Efect SS Salud P2'!G254</f>
        <v>44.16691511461795</v>
      </c>
      <c r="I169" s="1151" t="e">
        <f t="shared" si="13"/>
        <v>#DIV/0!</v>
      </c>
    </row>
    <row r="170" spans="3:10" ht="14.25" thickBot="1" x14ac:dyDescent="0.3">
      <c r="C170" s="691">
        <v>13</v>
      </c>
      <c r="D170" s="1150">
        <f t="shared" si="14"/>
        <v>2033</v>
      </c>
      <c r="E170" s="1024">
        <f>'10 Dda Efect SS Salud P2'!R46</f>
        <v>0</v>
      </c>
      <c r="F170" s="1024" t="e">
        <f>'11 Dda SS Salud P3'!E58</f>
        <v>#DIV/0!</v>
      </c>
      <c r="G170" s="1024" t="e">
        <f>'11 Dda SS Salud P3'!F32</f>
        <v>#DIV/0!</v>
      </c>
      <c r="H170" s="1024">
        <f>'10 Dda Efect SS Salud P2'!G255</f>
        <v>44.184030118739855</v>
      </c>
      <c r="I170" s="1151" t="e">
        <f t="shared" si="13"/>
        <v>#DIV/0!</v>
      </c>
    </row>
    <row r="171" spans="3:10" ht="14.25" thickBot="1" x14ac:dyDescent="0.3">
      <c r="C171" s="691">
        <v>14</v>
      </c>
      <c r="D171" s="1150">
        <f t="shared" si="14"/>
        <v>2034</v>
      </c>
      <c r="E171" s="1024">
        <f>'10 Dda Efect SS Salud P2'!R47</f>
        <v>0</v>
      </c>
      <c r="F171" s="1024" t="e">
        <f>'11 Dda SS Salud P3'!E59</f>
        <v>#DIV/0!</v>
      </c>
      <c r="G171" s="1024" t="e">
        <f>'11 Dda SS Salud P3'!F33</f>
        <v>#DIV/0!</v>
      </c>
      <c r="H171" s="1024">
        <f>'10 Dda Efect SS Salud P2'!G256</f>
        <v>44.201151755051598</v>
      </c>
      <c r="I171" s="1151" t="e">
        <f t="shared" si="13"/>
        <v>#DIV/0!</v>
      </c>
    </row>
    <row r="172" spans="3:10" x14ac:dyDescent="0.25">
      <c r="D172" s="1013"/>
      <c r="E172" s="967"/>
      <c r="F172" s="967"/>
      <c r="G172" s="967"/>
      <c r="H172" s="967"/>
      <c r="I172" s="967"/>
      <c r="J172" s="1120"/>
    </row>
    <row r="173" spans="3:10" x14ac:dyDescent="0.25">
      <c r="D173" s="1147"/>
      <c r="F173" s="692"/>
      <c r="G173" s="692"/>
      <c r="H173" s="692"/>
      <c r="I173" s="692"/>
    </row>
    <row r="174" spans="3:10" x14ac:dyDescent="0.25">
      <c r="F174" s="692"/>
      <c r="G174" s="692"/>
      <c r="H174" s="692"/>
      <c r="I174" s="692"/>
    </row>
    <row r="175" spans="3:10" x14ac:dyDescent="0.25">
      <c r="D175" s="4458"/>
      <c r="E175" s="1126"/>
      <c r="F175" s="1127"/>
      <c r="G175" s="4459"/>
      <c r="H175" s="4459"/>
      <c r="I175" s="4459"/>
      <c r="J175" s="4459"/>
    </row>
    <row r="176" spans="3:10" x14ac:dyDescent="0.25">
      <c r="D176" s="4458"/>
      <c r="E176" s="1128"/>
      <c r="F176" s="1127"/>
      <c r="G176" s="1127"/>
      <c r="H176" s="1127"/>
      <c r="I176" s="1127"/>
      <c r="J176" s="4459"/>
    </row>
    <row r="177" spans="4:10" x14ac:dyDescent="0.25">
      <c r="D177" s="4458"/>
      <c r="E177" s="1128"/>
      <c r="F177" s="1129"/>
      <c r="G177" s="1130"/>
      <c r="H177" s="1131"/>
      <c r="I177" s="1131"/>
      <c r="J177" s="4459"/>
    </row>
    <row r="178" spans="4:10" x14ac:dyDescent="0.25">
      <c r="D178" s="4458"/>
      <c r="E178" s="1132"/>
      <c r="F178" s="1133"/>
      <c r="G178" s="1134"/>
      <c r="H178" s="1130"/>
      <c r="I178" s="1134"/>
      <c r="J178" s="4459"/>
    </row>
    <row r="179" spans="4:10" x14ac:dyDescent="0.25">
      <c r="D179" s="1013"/>
      <c r="E179" s="967"/>
      <c r="F179" s="967"/>
      <c r="G179" s="967"/>
      <c r="H179" s="967"/>
      <c r="I179" s="967"/>
      <c r="J179" s="1120"/>
    </row>
    <row r="180" spans="4:10" x14ac:dyDescent="0.25">
      <c r="D180" s="1013"/>
      <c r="E180" s="967"/>
      <c r="F180" s="967"/>
      <c r="G180" s="967"/>
      <c r="H180" s="967"/>
      <c r="I180" s="967"/>
      <c r="J180" s="1120"/>
    </row>
    <row r="181" spans="4:10" x14ac:dyDescent="0.25">
      <c r="D181" s="1013"/>
      <c r="E181" s="967"/>
      <c r="F181" s="967"/>
      <c r="G181" s="967"/>
      <c r="H181" s="967"/>
      <c r="I181" s="967"/>
      <c r="J181" s="1120"/>
    </row>
    <row r="182" spans="4:10" x14ac:dyDescent="0.25">
      <c r="D182" s="1013"/>
      <c r="E182" s="967"/>
      <c r="F182" s="967"/>
      <c r="G182" s="967"/>
      <c r="H182" s="967"/>
      <c r="I182" s="967"/>
      <c r="J182" s="1120"/>
    </row>
    <row r="183" spans="4:10" x14ac:dyDescent="0.25">
      <c r="D183" s="1013"/>
      <c r="E183" s="967"/>
      <c r="F183" s="967"/>
      <c r="G183" s="967"/>
      <c r="H183" s="967"/>
      <c r="I183" s="967"/>
      <c r="J183" s="1120"/>
    </row>
    <row r="184" spans="4:10" x14ac:dyDescent="0.25">
      <c r="D184" s="1013"/>
      <c r="E184" s="967"/>
      <c r="F184" s="967"/>
      <c r="G184" s="967"/>
      <c r="H184" s="967"/>
      <c r="I184" s="967"/>
      <c r="J184" s="1120"/>
    </row>
    <row r="185" spans="4:10" x14ac:dyDescent="0.25">
      <c r="D185" s="1013"/>
      <c r="E185" s="967"/>
      <c r="F185" s="967"/>
      <c r="G185" s="967"/>
      <c r="H185" s="967"/>
      <c r="I185" s="967"/>
      <c r="J185" s="1120"/>
    </row>
    <row r="186" spans="4:10" x14ac:dyDescent="0.25">
      <c r="D186" s="1013"/>
      <c r="E186" s="967"/>
      <c r="F186" s="967"/>
      <c r="G186" s="967"/>
      <c r="H186" s="967"/>
      <c r="I186" s="967"/>
      <c r="J186" s="1120"/>
    </row>
    <row r="187" spans="4:10" x14ac:dyDescent="0.25">
      <c r="D187" s="1013"/>
      <c r="E187" s="967"/>
      <c r="F187" s="967"/>
      <c r="G187" s="967"/>
      <c r="H187" s="967"/>
      <c r="I187" s="967"/>
      <c r="J187" s="1120"/>
    </row>
    <row r="188" spans="4:10" x14ac:dyDescent="0.25">
      <c r="D188" s="1013"/>
      <c r="E188" s="967"/>
      <c r="F188" s="967"/>
      <c r="G188" s="967"/>
      <c r="H188" s="967"/>
      <c r="I188" s="967"/>
      <c r="J188" s="1120"/>
    </row>
    <row r="189" spans="4:10" x14ac:dyDescent="0.25">
      <c r="D189" s="1013"/>
      <c r="E189" s="967"/>
      <c r="F189" s="967"/>
      <c r="G189" s="967"/>
      <c r="H189" s="967"/>
      <c r="I189" s="967"/>
      <c r="J189" s="1120"/>
    </row>
    <row r="190" spans="4:10" x14ac:dyDescent="0.25">
      <c r="D190" s="1013"/>
      <c r="E190" s="967"/>
      <c r="F190" s="967"/>
      <c r="G190" s="967"/>
      <c r="H190" s="967"/>
      <c r="I190" s="967"/>
      <c r="J190" s="1120"/>
    </row>
    <row r="191" spans="4:10" x14ac:dyDescent="0.25">
      <c r="D191" s="1013"/>
      <c r="E191" s="967"/>
      <c r="F191" s="967"/>
      <c r="G191" s="967"/>
      <c r="H191" s="967"/>
      <c r="I191" s="967"/>
      <c r="J191" s="1120"/>
    </row>
    <row r="192" spans="4:10" x14ac:dyDescent="0.25">
      <c r="D192" s="1013"/>
      <c r="E192" s="967"/>
      <c r="F192" s="967"/>
      <c r="G192" s="967"/>
      <c r="H192" s="967"/>
      <c r="I192" s="967"/>
      <c r="J192" s="1120"/>
    </row>
    <row r="193" spans="4:10" x14ac:dyDescent="0.25">
      <c r="D193" s="1013"/>
      <c r="E193" s="967"/>
      <c r="F193" s="967"/>
      <c r="G193" s="967"/>
      <c r="H193" s="967"/>
      <c r="I193" s="967"/>
      <c r="J193" s="1120"/>
    </row>
    <row r="194" spans="4:10" x14ac:dyDescent="0.25">
      <c r="D194" s="1013"/>
      <c r="E194" s="967"/>
      <c r="F194" s="967"/>
      <c r="G194" s="967"/>
      <c r="H194" s="967"/>
      <c r="I194" s="967"/>
      <c r="J194" s="1120"/>
    </row>
    <row r="195" spans="4:10" x14ac:dyDescent="0.25">
      <c r="D195" s="1013"/>
      <c r="E195" s="967"/>
      <c r="F195" s="967"/>
      <c r="G195" s="967"/>
      <c r="H195" s="967"/>
      <c r="I195" s="967"/>
      <c r="J195" s="1120"/>
    </row>
    <row r="196" spans="4:10" x14ac:dyDescent="0.25">
      <c r="F196" s="692"/>
      <c r="G196" s="692"/>
      <c r="H196" s="692"/>
      <c r="I196" s="692"/>
    </row>
    <row r="199" spans="4:10" x14ac:dyDescent="0.25">
      <c r="H199" s="1148"/>
    </row>
    <row r="201" spans="4:10" x14ac:dyDescent="0.25">
      <c r="G201" s="1135"/>
      <c r="I201" s="692"/>
    </row>
    <row r="202" spans="4:10" x14ac:dyDescent="0.25">
      <c r="F202" s="692"/>
      <c r="G202" s="692"/>
      <c r="H202" s="692"/>
      <c r="I202" s="692"/>
    </row>
    <row r="205" spans="4:10" x14ac:dyDescent="0.25">
      <c r="D205" s="1147"/>
    </row>
    <row r="207" spans="4:10" x14ac:dyDescent="0.25">
      <c r="D207" s="997"/>
      <c r="E207" s="692"/>
      <c r="F207" s="1136"/>
    </row>
    <row r="208" spans="4:10" x14ac:dyDescent="0.25">
      <c r="D208" s="4458"/>
      <c r="E208" s="1123"/>
      <c r="F208" s="4458"/>
    </row>
    <row r="209" spans="4:6" x14ac:dyDescent="0.25">
      <c r="D209" s="4458"/>
      <c r="E209" s="1137"/>
      <c r="F209" s="4458"/>
    </row>
    <row r="210" spans="4:6" x14ac:dyDescent="0.25">
      <c r="D210" s="1013"/>
      <c r="E210" s="967"/>
      <c r="F210" s="967"/>
    </row>
    <row r="211" spans="4:6" x14ac:dyDescent="0.25">
      <c r="D211" s="1013"/>
      <c r="E211" s="967"/>
      <c r="F211" s="967"/>
    </row>
    <row r="212" spans="4:6" x14ac:dyDescent="0.25">
      <c r="D212" s="1013"/>
      <c r="E212" s="967"/>
      <c r="F212" s="967"/>
    </row>
    <row r="213" spans="4:6" x14ac:dyDescent="0.25">
      <c r="D213" s="1013"/>
      <c r="E213" s="967"/>
      <c r="F213" s="967"/>
    </row>
    <row r="214" spans="4:6" x14ac:dyDescent="0.25">
      <c r="D214" s="1013"/>
      <c r="E214" s="967"/>
      <c r="F214" s="967"/>
    </row>
    <row r="215" spans="4:6" x14ac:dyDescent="0.25">
      <c r="D215" s="1013"/>
      <c r="E215" s="967"/>
      <c r="F215" s="967"/>
    </row>
    <row r="216" spans="4:6" x14ac:dyDescent="0.25">
      <c r="D216" s="1013"/>
      <c r="E216" s="967"/>
      <c r="F216" s="967"/>
    </row>
    <row r="217" spans="4:6" x14ac:dyDescent="0.25">
      <c r="D217" s="1013"/>
      <c r="E217" s="967"/>
      <c r="F217" s="967"/>
    </row>
    <row r="218" spans="4:6" x14ac:dyDescent="0.25">
      <c r="D218" s="1013"/>
      <c r="E218" s="967"/>
      <c r="F218" s="967"/>
    </row>
    <row r="219" spans="4:6" x14ac:dyDescent="0.25">
      <c r="D219" s="1013"/>
      <c r="E219" s="967"/>
      <c r="F219" s="967"/>
    </row>
    <row r="220" spans="4:6" x14ac:dyDescent="0.25">
      <c r="D220" s="1013"/>
      <c r="E220" s="967"/>
      <c r="F220" s="967"/>
    </row>
    <row r="221" spans="4:6" x14ac:dyDescent="0.25">
      <c r="D221" s="1013"/>
      <c r="E221" s="967"/>
      <c r="F221" s="967"/>
    </row>
    <row r="222" spans="4:6" x14ac:dyDescent="0.25">
      <c r="D222" s="1013"/>
      <c r="E222" s="967"/>
      <c r="F222" s="967"/>
    </row>
    <row r="223" spans="4:6" x14ac:dyDescent="0.25">
      <c r="D223" s="1013"/>
      <c r="E223" s="967"/>
      <c r="F223" s="967"/>
    </row>
    <row r="224" spans="4:6" x14ac:dyDescent="0.25">
      <c r="D224" s="1013"/>
      <c r="E224" s="967"/>
      <c r="F224" s="967"/>
    </row>
    <row r="225" spans="4:6" x14ac:dyDescent="0.25">
      <c r="D225" s="1013"/>
      <c r="E225" s="967"/>
      <c r="F225" s="967"/>
    </row>
    <row r="226" spans="4:6" x14ac:dyDescent="0.25">
      <c r="D226" s="1013"/>
      <c r="E226" s="967"/>
      <c r="F226" s="967"/>
    </row>
  </sheetData>
  <mergeCells count="41">
    <mergeCell ref="I153:I154"/>
    <mergeCell ref="D175:D178"/>
    <mergeCell ref="G175:I175"/>
    <mergeCell ref="J175:J178"/>
    <mergeCell ref="D208:D209"/>
    <mergeCell ref="F208:F209"/>
    <mergeCell ref="H153:H154"/>
    <mergeCell ref="D129:D130"/>
    <mergeCell ref="D153:D154"/>
    <mergeCell ref="E153:E154"/>
    <mergeCell ref="F153:F154"/>
    <mergeCell ref="G153:G154"/>
    <mergeCell ref="I77:I78"/>
    <mergeCell ref="D103:D105"/>
    <mergeCell ref="E103:E105"/>
    <mergeCell ref="F103:F104"/>
    <mergeCell ref="G103:G104"/>
    <mergeCell ref="H103:H104"/>
    <mergeCell ref="F7:H7"/>
    <mergeCell ref="F8:H8"/>
    <mergeCell ref="I103:I104"/>
    <mergeCell ref="D76:D78"/>
    <mergeCell ref="E76:G76"/>
    <mergeCell ref="H76:I76"/>
    <mergeCell ref="D67:G67"/>
    <mergeCell ref="F9:H9"/>
    <mergeCell ref="D11:L11"/>
    <mergeCell ref="D20:D21"/>
    <mergeCell ref="H20:H21"/>
    <mergeCell ref="D39:G39"/>
    <mergeCell ref="D47:D49"/>
    <mergeCell ref="H47:H49"/>
    <mergeCell ref="J76:J78"/>
    <mergeCell ref="G77:G78"/>
    <mergeCell ref="F6:H6"/>
    <mergeCell ref="D1:H1"/>
    <mergeCell ref="F3:H3"/>
    <mergeCell ref="L3:N3"/>
    <mergeCell ref="F4:H4"/>
    <mergeCell ref="F5:H5"/>
    <mergeCell ref="L5:N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D4:T56"/>
  <sheetViews>
    <sheetView topLeftCell="C1" zoomScale="85" zoomScaleNormal="85" workbookViewId="0">
      <selection activeCell="E55" sqref="E55"/>
    </sheetView>
  </sheetViews>
  <sheetFormatPr baseColWidth="10" defaultColWidth="11.5703125" defaultRowHeight="13.5" x14ac:dyDescent="0.25"/>
  <cols>
    <col min="1" max="3" width="11.5703125" style="598"/>
    <col min="4" max="4" width="39.5703125" style="598" customWidth="1"/>
    <col min="5" max="9" width="8.42578125" style="598" customWidth="1"/>
    <col min="10" max="11" width="11.5703125" style="598"/>
    <col min="12" max="12" width="22.28515625" style="598" bestFit="1" customWidth="1"/>
    <col min="13" max="16384" width="11.5703125" style="598"/>
  </cols>
  <sheetData>
    <row r="4" spans="4:20" x14ac:dyDescent="0.25">
      <c r="D4" s="4464" t="s">
        <v>1959</v>
      </c>
      <c r="E4" s="4465"/>
      <c r="F4" s="4465"/>
      <c r="G4" s="4465"/>
      <c r="H4" s="4465"/>
      <c r="I4" s="4465"/>
      <c r="J4" s="4465"/>
    </row>
    <row r="5" spans="4:20" x14ac:dyDescent="0.25">
      <c r="D5" s="4464"/>
      <c r="E5" s="4465"/>
      <c r="F5" s="4465"/>
      <c r="G5" s="4465"/>
      <c r="H5" s="4465"/>
      <c r="I5" s="4465"/>
      <c r="J5" s="4465"/>
    </row>
    <row r="6" spans="4:20" ht="14.25" thickBot="1" x14ac:dyDescent="0.3">
      <c r="D6" s="1159"/>
      <c r="E6" s="1160"/>
      <c r="F6" s="1160"/>
      <c r="G6" s="1160"/>
      <c r="H6" s="1160"/>
      <c r="I6" s="1160"/>
    </row>
    <row r="7" spans="4:20" ht="14.25" thickBot="1" x14ac:dyDescent="0.3">
      <c r="D7" s="4460" t="s">
        <v>418</v>
      </c>
      <c r="E7" s="1161"/>
      <c r="F7" s="1161" t="s">
        <v>1960</v>
      </c>
      <c r="G7" s="1161" t="s">
        <v>1961</v>
      </c>
      <c r="H7" s="1161" t="s">
        <v>1962</v>
      </c>
      <c r="I7" s="1161" t="s">
        <v>1963</v>
      </c>
      <c r="J7" s="4462" t="s">
        <v>1964</v>
      </c>
    </row>
    <row r="8" spans="4:20" ht="14.25" thickBot="1" x14ac:dyDescent="0.3">
      <c r="D8" s="4461"/>
      <c r="E8" s="1163">
        <v>2014</v>
      </c>
      <c r="F8" s="1163">
        <f>+E8+1</f>
        <v>2015</v>
      </c>
      <c r="G8" s="1163">
        <f>+F8+1</f>
        <v>2016</v>
      </c>
      <c r="H8" s="1163">
        <f>+G8+1</f>
        <v>2017</v>
      </c>
      <c r="I8" s="1163">
        <f>+H8+1</f>
        <v>2018</v>
      </c>
      <c r="J8" s="4463" t="s">
        <v>1964</v>
      </c>
    </row>
    <row r="9" spans="4:20" ht="14.25" thickBot="1" x14ac:dyDescent="0.3">
      <c r="D9" s="1164" t="s">
        <v>71</v>
      </c>
      <c r="E9" s="1165"/>
      <c r="F9" s="1165"/>
      <c r="G9" s="1165"/>
      <c r="H9" s="1165"/>
      <c r="I9" s="1165"/>
      <c r="J9" s="1165"/>
    </row>
    <row r="10" spans="4:20" ht="14.25" thickBot="1" x14ac:dyDescent="0.3">
      <c r="D10" s="1166" t="s">
        <v>1298</v>
      </c>
      <c r="E10" s="1168">
        <f>'4 Estadis ESTRATEG Prod3'!Q46</f>
        <v>11</v>
      </c>
      <c r="F10" s="1168">
        <f>'4 Estadis ESTRATEG Prod3'!R46</f>
        <v>205</v>
      </c>
      <c r="G10" s="1168">
        <f>'4 Estadis ESTRATEG Prod3'!S46</f>
        <v>35</v>
      </c>
      <c r="H10" s="1168">
        <f>'4 Estadis ESTRATEG Prod3'!T46</f>
        <v>0</v>
      </c>
      <c r="I10" s="1168">
        <f>'4 Estadis ESTRATEG Prod3'!U46</f>
        <v>13</v>
      </c>
      <c r="J10" s="1168">
        <f>AVERAGE(E10:I10)</f>
        <v>52.8</v>
      </c>
    </row>
    <row r="11" spans="4:20" ht="27.75" thickBot="1" x14ac:dyDescent="0.3">
      <c r="D11" s="1166" t="s">
        <v>1300</v>
      </c>
      <c r="E11" s="1168">
        <f>'4 Estadis ESTRATEG Prod3'!Q51</f>
        <v>0</v>
      </c>
      <c r="F11" s="1168">
        <f>'4 Estadis ESTRATEG Prod3'!R51</f>
        <v>0</v>
      </c>
      <c r="G11" s="1168">
        <f>'4 Estadis ESTRATEG Prod3'!S51</f>
        <v>0</v>
      </c>
      <c r="H11" s="1168">
        <f>'4 Estadis ESTRATEG Prod3'!T51</f>
        <v>0</v>
      </c>
      <c r="I11" s="1168">
        <f>'4 Estadis ESTRATEG Prod3'!U51</f>
        <v>0</v>
      </c>
      <c r="J11" s="1168">
        <f>AVERAGE(E11:I11)</f>
        <v>0</v>
      </c>
    </row>
    <row r="12" spans="4:20" ht="25.5" customHeight="1" thickBot="1" x14ac:dyDescent="0.3">
      <c r="D12" s="1166" t="s">
        <v>1965</v>
      </c>
      <c r="E12" s="1168">
        <f>'4 Estadis ESTRATEG Prod3'!Q50</f>
        <v>0</v>
      </c>
      <c r="F12" s="1168">
        <f>'4 Estadis ESTRATEG Prod3'!R50</f>
        <v>0</v>
      </c>
      <c r="G12" s="1168">
        <f>'4 Estadis ESTRATEG Prod3'!S50</f>
        <v>0</v>
      </c>
      <c r="H12" s="1168">
        <f>'4 Estadis ESTRATEG Prod3'!T50</f>
        <v>0</v>
      </c>
      <c r="I12" s="1168">
        <f>'4 Estadis ESTRATEG Prod3'!U50</f>
        <v>0</v>
      </c>
      <c r="J12" s="1168">
        <f>AVERAGE(E12:I12)</f>
        <v>0</v>
      </c>
      <c r="T12" s="598" t="s">
        <v>1966</v>
      </c>
    </row>
    <row r="13" spans="4:20" ht="27.75" thickBot="1" x14ac:dyDescent="0.3">
      <c r="D13" s="1166" t="s">
        <v>1967</v>
      </c>
      <c r="E13" s="1168">
        <f>'4 Estadis ESTRATEG Prod3'!Q48</f>
        <v>0</v>
      </c>
      <c r="F13" s="1168">
        <f>'4 Estadis ESTRATEG Prod3'!R48</f>
        <v>0</v>
      </c>
      <c r="G13" s="1168">
        <f>'4 Estadis ESTRATEG Prod3'!S48</f>
        <v>0</v>
      </c>
      <c r="H13" s="1168">
        <f>'4 Estadis ESTRATEG Prod3'!T48</f>
        <v>0</v>
      </c>
      <c r="I13" s="1168">
        <f>'4 Estadis ESTRATEG Prod3'!U48</f>
        <v>0</v>
      </c>
      <c r="J13" s="1168">
        <f t="shared" ref="J13:J54" si="0">AVERAGE(E13:I13)</f>
        <v>0</v>
      </c>
    </row>
    <row r="14" spans="4:20" ht="14.25" thickBot="1" x14ac:dyDescent="0.3">
      <c r="D14" s="1166" t="s">
        <v>1305</v>
      </c>
      <c r="E14" s="1168">
        <v>0</v>
      </c>
      <c r="F14" s="1168">
        <v>0</v>
      </c>
      <c r="G14" s="1168">
        <v>0</v>
      </c>
      <c r="H14" s="1168">
        <v>0</v>
      </c>
      <c r="I14" s="1168">
        <v>0</v>
      </c>
      <c r="J14" s="1168">
        <f t="shared" si="0"/>
        <v>0</v>
      </c>
    </row>
    <row r="15" spans="4:20" ht="14.25" thickBot="1" x14ac:dyDescent="0.3">
      <c r="D15" s="1167" t="s">
        <v>1225</v>
      </c>
      <c r="E15" s="1165"/>
      <c r="F15" s="1165"/>
      <c r="G15" s="1165"/>
      <c r="H15" s="1165"/>
      <c r="I15" s="1165"/>
      <c r="J15" s="1165"/>
    </row>
    <row r="16" spans="4:20" ht="14.25" thickBot="1" x14ac:dyDescent="0.3">
      <c r="D16" s="1166" t="s">
        <v>1226</v>
      </c>
      <c r="E16" s="1168">
        <f>'4 Estadis ESTRATEG Prod3'!Q78</f>
        <v>0</v>
      </c>
      <c r="F16" s="1168">
        <f>'4 Estadis ESTRATEG Prod3'!R78</f>
        <v>12</v>
      </c>
      <c r="G16" s="1168">
        <f>'4 Estadis ESTRATEG Prod3'!S78</f>
        <v>129</v>
      </c>
      <c r="H16" s="1168">
        <f>'4 Estadis ESTRATEG Prod3'!T78</f>
        <v>0</v>
      </c>
      <c r="I16" s="1168">
        <f>'4 Estadis ESTRATEG Prod3'!U78</f>
        <v>93</v>
      </c>
      <c r="J16" s="1168">
        <f>AVERAGE(E16:I16)</f>
        <v>46.8</v>
      </c>
    </row>
    <row r="17" spans="4:12" ht="14.25" thickBot="1" x14ac:dyDescent="0.3">
      <c r="D17" s="1166" t="s">
        <v>414</v>
      </c>
      <c r="E17" s="1168">
        <f>'4 Estadis ESTRATEG Prod3'!Q79</f>
        <v>0</v>
      </c>
      <c r="F17" s="1168">
        <f>'4 Estadis ESTRATEG Prod3'!R79</f>
        <v>23</v>
      </c>
      <c r="G17" s="1168">
        <f>'4 Estadis ESTRATEG Prod3'!S79</f>
        <v>172</v>
      </c>
      <c r="H17" s="1168">
        <f>'4 Estadis ESTRATEG Prod3'!T79</f>
        <v>0</v>
      </c>
      <c r="I17" s="1168">
        <f>'4 Estadis ESTRATEG Prod3'!U79</f>
        <v>83</v>
      </c>
      <c r="J17" s="1168">
        <f t="shared" si="0"/>
        <v>55.6</v>
      </c>
    </row>
    <row r="18" spans="4:12" ht="14.25" thickBot="1" x14ac:dyDescent="0.3">
      <c r="D18" s="1166" t="s">
        <v>1968</v>
      </c>
      <c r="E18" s="1168">
        <f>'4 Estadis ESTRATEG Prod3'!Q81</f>
        <v>0</v>
      </c>
      <c r="F18" s="1168">
        <f>'4 Estadis ESTRATEG Prod3'!R81</f>
        <v>0</v>
      </c>
      <c r="G18" s="1168">
        <f>'4 Estadis ESTRATEG Prod3'!S81</f>
        <v>21</v>
      </c>
      <c r="H18" s="1168">
        <f>'4 Estadis ESTRATEG Prod3'!T81</f>
        <v>0</v>
      </c>
      <c r="I18" s="1168">
        <f>'4 Estadis ESTRATEG Prod3'!U81</f>
        <v>15</v>
      </c>
      <c r="J18" s="1168">
        <f>AVERAGE(H18:I18)</f>
        <v>7.5</v>
      </c>
    </row>
    <row r="19" spans="4:12" ht="14.25" thickBot="1" x14ac:dyDescent="0.3">
      <c r="D19" s="1166" t="s">
        <v>1232</v>
      </c>
      <c r="E19" s="1168">
        <f>'4 Estadis ESTRATEG Prod3'!Q77</f>
        <v>0</v>
      </c>
      <c r="F19" s="1168">
        <f>'4 Estadis ESTRATEG Prod3'!R77</f>
        <v>0</v>
      </c>
      <c r="G19" s="1168">
        <f>'4 Estadis ESTRATEG Prod3'!S77</f>
        <v>4</v>
      </c>
      <c r="H19" s="1168">
        <f>'4 Estadis ESTRATEG Prod3'!T77</f>
        <v>0</v>
      </c>
      <c r="I19" s="1168">
        <f>'4 Estadis ESTRATEG Prod3'!U77</f>
        <v>33</v>
      </c>
      <c r="J19" s="1168">
        <f t="shared" si="0"/>
        <v>7.4</v>
      </c>
    </row>
    <row r="20" spans="4:12" ht="14.25" thickBot="1" x14ac:dyDescent="0.3">
      <c r="D20" s="1166" t="s">
        <v>1231</v>
      </c>
      <c r="E20" s="1168">
        <f>'4 Estadis ESTRATEG Prod3'!Q76</f>
        <v>0</v>
      </c>
      <c r="F20" s="1168">
        <f>'4 Estadis ESTRATEG Prod3'!R76</f>
        <v>0</v>
      </c>
      <c r="G20" s="1168">
        <f>'4 Estadis ESTRATEG Prod3'!S76</f>
        <v>45</v>
      </c>
      <c r="H20" s="1168">
        <f>'4 Estadis ESTRATEG Prod3'!T76</f>
        <v>0</v>
      </c>
      <c r="I20" s="1168">
        <f>'4 Estadis ESTRATEG Prod3'!U76</f>
        <v>16</v>
      </c>
      <c r="J20" s="1168">
        <f t="shared" si="0"/>
        <v>12.2</v>
      </c>
    </row>
    <row r="21" spans="4:12" ht="14.25" thickBot="1" x14ac:dyDescent="0.3">
      <c r="D21" s="1166" t="s">
        <v>1227</v>
      </c>
      <c r="E21" s="1168">
        <f>'4 Estadis ESTRATEG Prod3'!Q80</f>
        <v>0</v>
      </c>
      <c r="F21" s="1168">
        <f>'4 Estadis ESTRATEG Prod3'!R80</f>
        <v>0</v>
      </c>
      <c r="G21" s="1168">
        <f>'4 Estadis ESTRATEG Prod3'!S80</f>
        <v>27</v>
      </c>
      <c r="H21" s="1168">
        <f>'4 Estadis ESTRATEG Prod3'!T80</f>
        <v>0</v>
      </c>
      <c r="I21" s="1168">
        <f>'4 Estadis ESTRATEG Prod3'!U80</f>
        <v>13</v>
      </c>
      <c r="J21" s="1168">
        <f t="shared" si="0"/>
        <v>8</v>
      </c>
    </row>
    <row r="22" spans="4:12" ht="14.25" thickBot="1" x14ac:dyDescent="0.3">
      <c r="D22" s="1166" t="s">
        <v>1229</v>
      </c>
      <c r="E22" s="1168">
        <f>'4 Estadis ESTRATEG Prod3'!Q82</f>
        <v>16</v>
      </c>
      <c r="F22" s="1168">
        <f>'4 Estadis ESTRATEG Prod3'!R82</f>
        <v>0</v>
      </c>
      <c r="G22" s="1168">
        <f>'4 Estadis ESTRATEG Prod3'!S82</f>
        <v>16</v>
      </c>
      <c r="H22" s="1168">
        <f>'4 Estadis ESTRATEG Prod3'!T82</f>
        <v>0</v>
      </c>
      <c r="I22" s="1168">
        <f>'4 Estadis ESTRATEG Prod3'!U82</f>
        <v>11</v>
      </c>
      <c r="J22" s="1168">
        <f t="shared" si="0"/>
        <v>8.6</v>
      </c>
    </row>
    <row r="23" spans="4:12" ht="14.25" thickBot="1" x14ac:dyDescent="0.3">
      <c r="D23" s="1166" t="s">
        <v>1312</v>
      </c>
      <c r="E23" s="1168" t="e">
        <f>SUM('5.3 PERFIL Epi 1 MR'!#REF!)</f>
        <v>#REF!</v>
      </c>
      <c r="F23" s="1168" t="e">
        <f>SUM('5.3 PERFIL Epi 1 MR'!#REF!)</f>
        <v>#REF!</v>
      </c>
      <c r="G23" s="1168" t="e">
        <f>SUM('5.3 PERFIL Epi 1 MR'!#REF!)</f>
        <v>#REF!</v>
      </c>
      <c r="H23" s="1168" t="e">
        <f>SUM('5.3 PERFIL Epi 1 MR'!#REF!)</f>
        <v>#REF!</v>
      </c>
      <c r="I23" s="1168" t="e">
        <f>SUM('5.3 PERFIL Epi 1 MR'!#REF!)</f>
        <v>#REF!</v>
      </c>
      <c r="J23" s="1168" t="e">
        <f t="shared" si="0"/>
        <v>#REF!</v>
      </c>
    </row>
    <row r="24" spans="4:12" ht="14.25" thickBot="1" x14ac:dyDescent="0.3">
      <c r="D24" s="1166" t="s">
        <v>1313</v>
      </c>
      <c r="E24" s="1168">
        <f>'4 Estadis ESTRATEG Prod3'!Q84</f>
        <v>0</v>
      </c>
      <c r="F24" s="1168">
        <f>'4 Estadis ESTRATEG Prod3'!R84</f>
        <v>0</v>
      </c>
      <c r="G24" s="1168">
        <f>'4 Estadis ESTRATEG Prod3'!S84</f>
        <v>0</v>
      </c>
      <c r="H24" s="1168">
        <f>'4 Estadis ESTRATEG Prod3'!T84</f>
        <v>0</v>
      </c>
      <c r="I24" s="1168">
        <f>'4 Estadis ESTRATEG Prod3'!U84</f>
        <v>0</v>
      </c>
      <c r="J24" s="1168">
        <f>AVERAGE(E24:I24)</f>
        <v>0</v>
      </c>
    </row>
    <row r="25" spans="4:12" ht="14.25" thickBot="1" x14ac:dyDescent="0.3">
      <c r="D25" s="1166" t="s">
        <v>1314</v>
      </c>
      <c r="E25" s="1168" t="e">
        <f>'4 Estadis ESTRATEG Prod3'!Q69*'6 Estadist REFEREN'!#REF!</f>
        <v>#REF!</v>
      </c>
      <c r="F25" s="1168" t="e">
        <f>'4 Estadis ESTRATEG Prod3'!R69*'6 Estadist REFEREN'!#REF!</f>
        <v>#REF!</v>
      </c>
      <c r="G25" s="1168" t="e">
        <f>'4 Estadis ESTRATEG Prod3'!S69*'6 Estadist REFEREN'!#REF!</f>
        <v>#REF!</v>
      </c>
      <c r="H25" s="1168" t="e">
        <f>'4 Estadis ESTRATEG Prod3'!T69*'6 Estadist REFEREN'!#REF!</f>
        <v>#REF!</v>
      </c>
      <c r="I25" s="1168" t="e">
        <f>'4 Estadis ESTRATEG Prod3'!U69*'6 Estadist REFEREN'!#REF!</f>
        <v>#REF!</v>
      </c>
      <c r="J25" s="1168" t="e">
        <f>AVERAGE(E25:I25)</f>
        <v>#REF!</v>
      </c>
      <c r="K25" s="598" t="s">
        <v>1639</v>
      </c>
    </row>
    <row r="26" spans="4:12" ht="14.25" thickBot="1" x14ac:dyDescent="0.3">
      <c r="D26" s="1166" t="s">
        <v>329</v>
      </c>
      <c r="E26" s="1168">
        <f>'4 Estadis ESTRATEG Prod3'!Q71</f>
        <v>0</v>
      </c>
      <c r="F26" s="1168">
        <f>'4 Estadis ESTRATEG Prod3'!R71</f>
        <v>10</v>
      </c>
      <c r="G26" s="1168">
        <f>'4 Estadis ESTRATEG Prod3'!S71</f>
        <v>11</v>
      </c>
      <c r="H26" s="1168">
        <f>'4 Estadis ESTRATEG Prod3'!T71</f>
        <v>0</v>
      </c>
      <c r="I26" s="1168">
        <f>'4 Estadis ESTRATEG Prod3'!U71</f>
        <v>0</v>
      </c>
      <c r="J26" s="1168">
        <f t="shared" si="0"/>
        <v>4.2</v>
      </c>
    </row>
    <row r="27" spans="4:12" ht="14.25" thickBot="1" x14ac:dyDescent="0.3">
      <c r="D27" s="1166" t="s">
        <v>412</v>
      </c>
      <c r="E27" s="1168">
        <f>'4 Estadis ESTRATEG Prod3'!Q72</f>
        <v>0</v>
      </c>
      <c r="F27" s="1168">
        <f>'4 Estadis ESTRATEG Prod3'!R72</f>
        <v>69</v>
      </c>
      <c r="G27" s="1168">
        <f>'4 Estadis ESTRATEG Prod3'!S72</f>
        <v>3</v>
      </c>
      <c r="H27" s="1168">
        <f>'4 Estadis ESTRATEG Prod3'!T72</f>
        <v>0</v>
      </c>
      <c r="I27" s="1168">
        <f>'4 Estadis ESTRATEG Prod3'!U72</f>
        <v>225</v>
      </c>
      <c r="J27" s="1168">
        <f t="shared" si="0"/>
        <v>59.4</v>
      </c>
    </row>
    <row r="28" spans="4:12" ht="14.25" thickBot="1" x14ac:dyDescent="0.3">
      <c r="D28" s="1166" t="s">
        <v>1234</v>
      </c>
      <c r="E28" s="1168">
        <f>'4 Estadis ESTRATEG Prod3'!Q74</f>
        <v>0</v>
      </c>
      <c r="F28" s="1168">
        <f>'4 Estadis ESTRATEG Prod3'!R74</f>
        <v>0</v>
      </c>
      <c r="G28" s="1168">
        <f>'4 Estadis ESTRATEG Prod3'!S74</f>
        <v>0</v>
      </c>
      <c r="H28" s="1168">
        <f>'4 Estadis ESTRATEG Prod3'!T74</f>
        <v>0</v>
      </c>
      <c r="I28" s="1168">
        <f>'4 Estadis ESTRATEG Prod3'!U74</f>
        <v>0</v>
      </c>
      <c r="J28" s="1168">
        <f t="shared" si="0"/>
        <v>0</v>
      </c>
    </row>
    <row r="29" spans="4:12" ht="14.25" thickBot="1" x14ac:dyDescent="0.3">
      <c r="D29" s="1166" t="s">
        <v>1969</v>
      </c>
      <c r="E29" s="1168">
        <f>'4 Estadis ESTRATEG Prod3'!Q67*'4 Estadis ESTRATEG Prod3'!N$453</f>
        <v>1.3103448275862069</v>
      </c>
      <c r="F29" s="1168">
        <f>'4 Estadis ESTRATEG Prod3'!R67*'4 Estadis ESTRATEG Prod3'!N$453</f>
        <v>9.8275862068965516</v>
      </c>
      <c r="G29" s="1168">
        <f>'4 Estadis ESTRATEG Prod3'!S67*'4 Estadis ESTRATEG Prod3'!N$453</f>
        <v>2.6206896551724137</v>
      </c>
      <c r="H29" s="1168">
        <f>'4 Estadis ESTRATEG Prod3'!T67*'4 Estadis ESTRATEG Prod3'!N$453</f>
        <v>0</v>
      </c>
      <c r="I29" s="1168">
        <f>'4 Estadis ESTRATEG Prod3'!U67*'4 Estadis ESTRATEG Prod3'!N$453</f>
        <v>5.2413793103448274</v>
      </c>
      <c r="J29" s="1168">
        <f t="shared" si="0"/>
        <v>3.8</v>
      </c>
      <c r="L29" s="1174"/>
    </row>
    <row r="30" spans="4:12" ht="14.25" thickBot="1" x14ac:dyDescent="0.3">
      <c r="D30" s="1166" t="s">
        <v>1970</v>
      </c>
      <c r="E30" s="1168">
        <f>'4 Estadis ESTRATEG Prod3'!Q67*'4 Estadis ESTRATEG Prod3'!$N454</f>
        <v>0.68965517241379315</v>
      </c>
      <c r="F30" s="1168">
        <f>'4 Estadis ESTRATEG Prod3'!R67*'4 Estadis ESTRATEG Prod3'!$N454</f>
        <v>5.1724137931034484</v>
      </c>
      <c r="G30" s="1168">
        <f>'4 Estadis ESTRATEG Prod3'!S67*'4 Estadis ESTRATEG Prod3'!$N454</f>
        <v>1.3793103448275863</v>
      </c>
      <c r="H30" s="1168">
        <f>'4 Estadis ESTRATEG Prod3'!T67*'4 Estadis ESTRATEG Prod3'!$N454</f>
        <v>0</v>
      </c>
      <c r="I30" s="1168">
        <f>'4 Estadis ESTRATEG Prod3'!U67*'4 Estadis ESTRATEG Prod3'!$N454</f>
        <v>2.7586206896551726</v>
      </c>
      <c r="J30" s="1168">
        <f t="shared" si="0"/>
        <v>2</v>
      </c>
      <c r="L30" s="1174"/>
    </row>
    <row r="31" spans="4:12" ht="14.25" thickBot="1" x14ac:dyDescent="0.3">
      <c r="D31" s="1166" t="s">
        <v>1746</v>
      </c>
      <c r="E31" s="1168">
        <f>'4 Estadis ESTRATEG Prod3'!Q66</f>
        <v>33</v>
      </c>
      <c r="F31" s="1168">
        <f>'4 Estadis ESTRATEG Prod3'!R66</f>
        <v>168</v>
      </c>
      <c r="G31" s="1168">
        <f>'4 Estadis ESTRATEG Prod3'!S66</f>
        <v>52</v>
      </c>
      <c r="H31" s="1168">
        <f>'4 Estadis ESTRATEG Prod3'!T66</f>
        <v>0</v>
      </c>
      <c r="I31" s="1168">
        <f>'4 Estadis ESTRATEG Prod3'!U66</f>
        <v>0</v>
      </c>
      <c r="J31" s="1168">
        <f t="shared" si="0"/>
        <v>50.6</v>
      </c>
      <c r="L31" s="1174"/>
    </row>
    <row r="32" spans="4:12" ht="14.25" thickBot="1" x14ac:dyDescent="0.3">
      <c r="D32" s="1166" t="s">
        <v>1235</v>
      </c>
      <c r="E32" s="1168">
        <f>'4 Estadis ESTRATEG Prod3'!Q70</f>
        <v>0</v>
      </c>
      <c r="F32" s="1168">
        <f>'4 Estadis ESTRATEG Prod3'!R70</f>
        <v>0</v>
      </c>
      <c r="G32" s="1168">
        <f>'4 Estadis ESTRATEG Prod3'!S70</f>
        <v>0</v>
      </c>
      <c r="H32" s="1168">
        <f>'4 Estadis ESTRATEG Prod3'!T70</f>
        <v>0</v>
      </c>
      <c r="I32" s="1168">
        <f>'4 Estadis ESTRATEG Prod3'!U70</f>
        <v>0</v>
      </c>
      <c r="J32" s="1168">
        <f t="shared" si="0"/>
        <v>0</v>
      </c>
    </row>
    <row r="33" spans="4:17" ht="14.25" thickBot="1" x14ac:dyDescent="0.3">
      <c r="D33" s="1166" t="s">
        <v>1798</v>
      </c>
      <c r="E33" s="1168">
        <f>'4 Estadis ESTRATEG Prod3'!F273</f>
        <v>0</v>
      </c>
      <c r="F33" s="1168">
        <f>'4 Estadis ESTRATEG Prod3'!G273</f>
        <v>274</v>
      </c>
      <c r="G33" s="1168">
        <f>'4 Estadis ESTRATEG Prod3'!H273</f>
        <v>514</v>
      </c>
      <c r="H33" s="1168">
        <f>'4 Estadis ESTRATEG Prod3'!I273</f>
        <v>0</v>
      </c>
      <c r="I33" s="1168">
        <f>'4 Estadis ESTRATEG Prod3'!J273</f>
        <v>707</v>
      </c>
      <c r="J33" s="1168">
        <f t="shared" si="0"/>
        <v>299</v>
      </c>
    </row>
    <row r="34" spans="4:17" ht="14.25" thickBot="1" x14ac:dyDescent="0.3">
      <c r="D34" s="1166" t="s">
        <v>1971</v>
      </c>
      <c r="E34" s="1168">
        <f>'4 Estadis ESTRATEG Prod3'!F213</f>
        <v>0</v>
      </c>
      <c r="F34" s="1168">
        <f>'4 Estadis ESTRATEG Prod3'!G213</f>
        <v>0</v>
      </c>
      <c r="G34" s="1168">
        <f>'4 Estadis ESTRATEG Prod3'!H213</f>
        <v>1</v>
      </c>
      <c r="H34" s="1168">
        <f>'4 Estadis ESTRATEG Prod3'!I213</f>
        <v>0</v>
      </c>
      <c r="I34" s="1168">
        <f>'4 Estadis ESTRATEG Prod3'!J213</f>
        <v>1</v>
      </c>
      <c r="J34" s="1168">
        <f>AVERAGE(E34:I34)</f>
        <v>0.4</v>
      </c>
    </row>
    <row r="35" spans="4:17" ht="14.25" thickBot="1" x14ac:dyDescent="0.3">
      <c r="D35" s="1167" t="s">
        <v>61</v>
      </c>
      <c r="E35" s="1165"/>
      <c r="F35" s="1165"/>
      <c r="G35" s="1165"/>
      <c r="H35" s="1165"/>
      <c r="I35" s="1165"/>
      <c r="J35" s="1165"/>
    </row>
    <row r="36" spans="4:17" ht="14.25" thickBot="1" x14ac:dyDescent="0.3">
      <c r="D36" s="1169" t="s">
        <v>1972</v>
      </c>
      <c r="E36" s="1168">
        <f>'4 Estadis ESTRATEG Prod3'!K288</f>
        <v>0</v>
      </c>
      <c r="F36" s="1168">
        <f>'4 Estadis ESTRATEG Prod3'!G288</f>
        <v>0</v>
      </c>
      <c r="G36" s="1168">
        <f>'4 Estadis ESTRATEG Prod3'!H288</f>
        <v>0</v>
      </c>
      <c r="H36" s="1168">
        <f>'4 Estadis ESTRATEG Prod3'!I288</f>
        <v>0</v>
      </c>
      <c r="I36" s="1168">
        <f>'4 Estadis ESTRATEG Prod3'!J288</f>
        <v>0</v>
      </c>
      <c r="J36" s="1168">
        <f t="shared" si="0"/>
        <v>0</v>
      </c>
    </row>
    <row r="37" spans="4:17" ht="14.25" thickBot="1" x14ac:dyDescent="0.3">
      <c r="D37" s="1169" t="s">
        <v>1973</v>
      </c>
      <c r="E37" s="1168"/>
      <c r="F37" s="1168"/>
      <c r="G37" s="1168"/>
      <c r="H37" s="1168"/>
      <c r="I37" s="1168">
        <f>'4 Estadis ESTRATEG Prod3'!F311</f>
        <v>0</v>
      </c>
      <c r="J37" s="1168">
        <f>AVERAGE(E37:I37)</f>
        <v>0</v>
      </c>
    </row>
    <row r="38" spans="4:17" ht="14.25" thickBot="1" x14ac:dyDescent="0.3">
      <c r="D38" s="1170" t="s">
        <v>1974</v>
      </c>
      <c r="E38" s="1165"/>
      <c r="F38" s="1165"/>
      <c r="G38" s="1165"/>
      <c r="H38" s="1165"/>
      <c r="I38" s="1165"/>
      <c r="J38" s="1165"/>
    </row>
    <row r="39" spans="4:17" ht="14.25" thickBot="1" x14ac:dyDescent="0.3">
      <c r="D39" s="1171" t="s">
        <v>1855</v>
      </c>
      <c r="E39" s="1168">
        <f>'4 Estadis ESTRATEG Prod3'!F371</f>
        <v>0</v>
      </c>
      <c r="F39" s="1168">
        <f>'4 Estadis ESTRATEG Prod3'!G371</f>
        <v>0</v>
      </c>
      <c r="G39" s="1168">
        <f>'4 Estadis ESTRATEG Prod3'!H371</f>
        <v>0</v>
      </c>
      <c r="H39" s="1168">
        <f>'4 Estadis ESTRATEG Prod3'!I371</f>
        <v>0</v>
      </c>
      <c r="I39" s="1168">
        <f>'4 Estadis ESTRATEG Prod3'!J371</f>
        <v>0</v>
      </c>
      <c r="J39" s="1168">
        <f t="shared" si="0"/>
        <v>0</v>
      </c>
    </row>
    <row r="40" spans="4:17" ht="14.25" thickBot="1" x14ac:dyDescent="0.3">
      <c r="D40" s="1171" t="s">
        <v>1975</v>
      </c>
      <c r="E40" s="1168">
        <f>'4 Estadis ESTRATEG Prod3'!F371</f>
        <v>0</v>
      </c>
      <c r="F40" s="1168">
        <f>'4 Estadis ESTRATEG Prod3'!G371</f>
        <v>0</v>
      </c>
      <c r="G40" s="1168">
        <f>'4 Estadis ESTRATEG Prod3'!H371</f>
        <v>0</v>
      </c>
      <c r="H40" s="1168">
        <f>'4 Estadis ESTRATEG Prod3'!I371</f>
        <v>0</v>
      </c>
      <c r="I40" s="1168">
        <f>'4 Estadis ESTRATEG Prod3'!J371</f>
        <v>0</v>
      </c>
      <c r="J40" s="1168">
        <f t="shared" si="0"/>
        <v>0</v>
      </c>
      <c r="M40" s="598">
        <v>2013</v>
      </c>
      <c r="N40" s="598">
        <v>2014</v>
      </c>
      <c r="O40" s="598">
        <v>2015</v>
      </c>
      <c r="P40" s="598">
        <v>2016</v>
      </c>
      <c r="Q40" s="598">
        <v>2017</v>
      </c>
    </row>
    <row r="41" spans="4:17" ht="14.25" thickBot="1" x14ac:dyDescent="0.3">
      <c r="D41" s="1170" t="s">
        <v>427</v>
      </c>
      <c r="E41" s="1165"/>
      <c r="F41" s="1165"/>
      <c r="G41" s="1165"/>
      <c r="H41" s="1165"/>
      <c r="I41" s="1165"/>
      <c r="J41" s="1165"/>
      <c r="M41" s="1174">
        <f>'4 Estadis ESTRATEG Prod3'!L96-'4 Estadis ESTRATEG Prod3'!J96</f>
        <v>0</v>
      </c>
      <c r="N41" s="1174">
        <f>'4 Estadis ESTRATEG Prod3'!S96-'4 Estadis ESTRATEG Prod3'!Q96</f>
        <v>0</v>
      </c>
      <c r="O41" s="1174">
        <f>'4 Estadis ESTRATEG Prod3'!L104-'4 Estadis ESTRATEG Prod3'!J104</f>
        <v>0</v>
      </c>
      <c r="P41" s="1174">
        <f>'4 Estadis ESTRATEG Prod3'!S104-'4 Estadis ESTRATEG Prod3'!Q104</f>
        <v>0</v>
      </c>
      <c r="Q41" s="1174">
        <f>'4 Estadis ESTRATEG Prod3'!L111-'4 Estadis ESTRATEG Prod3'!J111</f>
        <v>0</v>
      </c>
    </row>
    <row r="42" spans="4:17" ht="14.25" thickBot="1" x14ac:dyDescent="0.3">
      <c r="D42" s="1171" t="s">
        <v>1777</v>
      </c>
      <c r="E42" s="1168">
        <f>M42</f>
        <v>0</v>
      </c>
      <c r="F42" s="1168">
        <f t="shared" ref="F42:I44" si="1">N42</f>
        <v>0</v>
      </c>
      <c r="G42" s="1168">
        <f t="shared" si="1"/>
        <v>0</v>
      </c>
      <c r="H42" s="1168">
        <f t="shared" si="1"/>
        <v>0</v>
      </c>
      <c r="I42" s="1168">
        <f t="shared" si="1"/>
        <v>0</v>
      </c>
      <c r="J42" s="1168">
        <f>AVERAGE(E42:I42)</f>
        <v>0</v>
      </c>
      <c r="L42" s="1175">
        <f>'10 Dda Efect SS Salud P2'!D292</f>
        <v>0.3240148297094444</v>
      </c>
      <c r="M42" s="1176">
        <f>L42*M$41</f>
        <v>0</v>
      </c>
      <c r="N42" s="1176">
        <f>L42*N$41</f>
        <v>0</v>
      </c>
      <c r="O42" s="1176">
        <f>L42*O$41</f>
        <v>0</v>
      </c>
      <c r="P42" s="1176">
        <f>L42*P$41</f>
        <v>0</v>
      </c>
      <c r="Q42" s="1176">
        <f>L42*Q$41</f>
        <v>0</v>
      </c>
    </row>
    <row r="43" spans="4:17" ht="14.25" thickBot="1" x14ac:dyDescent="0.3">
      <c r="D43" s="1171" t="s">
        <v>1778</v>
      </c>
      <c r="E43" s="1168">
        <f>M43</f>
        <v>0</v>
      </c>
      <c r="F43" s="1168">
        <f t="shared" si="1"/>
        <v>0</v>
      </c>
      <c r="G43" s="1168">
        <f t="shared" si="1"/>
        <v>0</v>
      </c>
      <c r="H43" s="1168">
        <f t="shared" si="1"/>
        <v>0</v>
      </c>
      <c r="I43" s="1168">
        <f t="shared" si="1"/>
        <v>0</v>
      </c>
      <c r="J43" s="1168">
        <f t="shared" si="0"/>
        <v>0</v>
      </c>
      <c r="L43" s="1175">
        <f>'10 Dda Efect SS Salud P2'!E292</f>
        <v>0.3580476483053312</v>
      </c>
      <c r="M43" s="1176">
        <f>L43*M$41</f>
        <v>0</v>
      </c>
      <c r="N43" s="1176">
        <f>L43*N$41</f>
        <v>0</v>
      </c>
      <c r="O43" s="1176">
        <f>L43*O$41</f>
        <v>0</v>
      </c>
      <c r="P43" s="1176">
        <f>L43*P$41</f>
        <v>0</v>
      </c>
      <c r="Q43" s="1176">
        <f>L43*Q$41</f>
        <v>0</v>
      </c>
    </row>
    <row r="44" spans="4:17" ht="14.25" thickBot="1" x14ac:dyDescent="0.3">
      <c r="D44" s="1171" t="s">
        <v>1779</v>
      </c>
      <c r="E44" s="1168">
        <f>M44</f>
        <v>0</v>
      </c>
      <c r="F44" s="1168">
        <f t="shared" si="1"/>
        <v>0</v>
      </c>
      <c r="G44" s="1168">
        <f t="shared" si="1"/>
        <v>0</v>
      </c>
      <c r="H44" s="1168">
        <f t="shared" si="1"/>
        <v>0</v>
      </c>
      <c r="I44" s="1168">
        <f t="shared" si="1"/>
        <v>0</v>
      </c>
      <c r="J44" s="1168">
        <f>AVERAGE(E44:I44)</f>
        <v>0</v>
      </c>
      <c r="L44" s="1177">
        <f>'10 Dda Efect SS Salud P2'!F292</f>
        <v>0.3179375219852244</v>
      </c>
      <c r="M44" s="1176">
        <f>L44*M$41</f>
        <v>0</v>
      </c>
      <c r="N44" s="1176">
        <f>L44*N$41</f>
        <v>0</v>
      </c>
      <c r="O44" s="1176">
        <f>L44*O$41</f>
        <v>0</v>
      </c>
      <c r="P44" s="1176">
        <f>L44*P$41</f>
        <v>0</v>
      </c>
      <c r="Q44" s="1176">
        <f>L44*Q$41</f>
        <v>0</v>
      </c>
    </row>
    <row r="45" spans="4:17" ht="14.25" thickBot="1" x14ac:dyDescent="0.3">
      <c r="D45" s="1171" t="s">
        <v>1976</v>
      </c>
      <c r="E45" s="1178">
        <f>'4 Estadis ESTRATEG Prod3'!J96</f>
        <v>0</v>
      </c>
      <c r="F45" s="1168">
        <f>'4 Estadis ESTRATEG Prod3'!Q96</f>
        <v>0</v>
      </c>
      <c r="G45" s="1178">
        <f>'4 Estadis ESTRATEG Prod3'!J104</f>
        <v>0</v>
      </c>
      <c r="H45" s="1178">
        <f>'4 Estadis ESTRATEG Prod3'!Q104</f>
        <v>0</v>
      </c>
      <c r="I45" s="1168">
        <f>'4 Estadis ESTRATEG Prod3'!J111</f>
        <v>0</v>
      </c>
      <c r="J45" s="1168">
        <f>AVERAGE(E45:I45)</f>
        <v>0</v>
      </c>
    </row>
    <row r="46" spans="4:17" ht="14.25" thickBot="1" x14ac:dyDescent="0.3">
      <c r="D46" s="1171" t="s">
        <v>1977</v>
      </c>
      <c r="E46" s="1168">
        <f>'4 Estadis ESTRATEG Prod3'!G398</f>
        <v>0</v>
      </c>
      <c r="F46" s="1168">
        <f>'4 Estadis ESTRATEG Prod3'!O398</f>
        <v>0</v>
      </c>
      <c r="G46" s="1168">
        <f>'4 Estadis ESTRATEG Prod3'!G412</f>
        <v>0</v>
      </c>
      <c r="H46" s="1168">
        <f>'4 Estadis ESTRATEG Prod3'!O412</f>
        <v>0</v>
      </c>
      <c r="I46" s="1168">
        <f>'4 Estadis ESTRATEG Prod3'!G426</f>
        <v>0</v>
      </c>
      <c r="J46" s="1168">
        <f>AVERAGE(E46:I46)</f>
        <v>0</v>
      </c>
    </row>
    <row r="47" spans="4:17" ht="14.25" thickBot="1" x14ac:dyDescent="0.3">
      <c r="D47" s="1172" t="s">
        <v>1224</v>
      </c>
      <c r="E47" s="1165"/>
      <c r="F47" s="1165"/>
      <c r="G47" s="1165"/>
      <c r="H47" s="1165"/>
      <c r="I47" s="1165"/>
      <c r="J47" s="1165"/>
    </row>
    <row r="48" spans="4:17" ht="14.25" thickBot="1" x14ac:dyDescent="0.3">
      <c r="D48" s="1171" t="s">
        <v>1978</v>
      </c>
      <c r="E48" s="1168">
        <f>SUM('4 Estadis ESTRATEG Prod3'!F165:H165)</f>
        <v>0</v>
      </c>
      <c r="F48" s="1168">
        <f>SUM('4 Estadis ESTRATEG Prod3'!I165:K165)</f>
        <v>0</v>
      </c>
      <c r="G48" s="1168">
        <f>SUM('4 Estadis ESTRATEG Prod3'!L165:N165)</f>
        <v>0</v>
      </c>
      <c r="H48" s="1168">
        <f>SUM('4 Estadis ESTRATEG Prod3'!O165:Q165)</f>
        <v>0</v>
      </c>
      <c r="I48" s="1168">
        <f>SUM('4 Estadis ESTRATEG Prod3'!R165:T165)</f>
        <v>0</v>
      </c>
      <c r="J48" s="1168">
        <f>AVERAGE(E48:I48)</f>
        <v>0</v>
      </c>
    </row>
    <row r="49" spans="4:10" ht="14.25" thickBot="1" x14ac:dyDescent="0.3">
      <c r="D49" s="1171" t="s">
        <v>1979</v>
      </c>
      <c r="E49" s="1168">
        <v>0</v>
      </c>
      <c r="F49" s="1168">
        <v>0</v>
      </c>
      <c r="G49" s="1168">
        <v>0</v>
      </c>
      <c r="H49" s="1168">
        <v>0</v>
      </c>
      <c r="I49" s="1168">
        <v>0</v>
      </c>
      <c r="J49" s="1168">
        <f t="shared" si="0"/>
        <v>0</v>
      </c>
    </row>
    <row r="50" spans="4:10" ht="14.25" thickBot="1" x14ac:dyDescent="0.3">
      <c r="D50" s="1171" t="s">
        <v>1980</v>
      </c>
      <c r="E50" s="1168">
        <v>0</v>
      </c>
      <c r="F50" s="1168">
        <v>0</v>
      </c>
      <c r="G50" s="1168">
        <v>0</v>
      </c>
      <c r="H50" s="1168">
        <v>0</v>
      </c>
      <c r="I50" s="1168">
        <v>0</v>
      </c>
      <c r="J50" s="1168">
        <f t="shared" si="0"/>
        <v>0</v>
      </c>
    </row>
    <row r="51" spans="4:10" ht="14.25" thickBot="1" x14ac:dyDescent="0.3">
      <c r="D51" s="1171" t="s">
        <v>91</v>
      </c>
      <c r="E51" s="1168">
        <f>SUM('4 Estadis ESTRATEG Prod3'!F162:H162)</f>
        <v>2</v>
      </c>
      <c r="F51" s="1168">
        <f>SUM('4 Estadis ESTRATEG Prod3'!I162:K162)</f>
        <v>2</v>
      </c>
      <c r="G51" s="1168">
        <f>SUM('4 Estadis ESTRATEG Prod3'!L162:N162)</f>
        <v>8</v>
      </c>
      <c r="H51" s="1168">
        <f>SUM('4 Estadis ESTRATEG Prod3'!O162:Q162)</f>
        <v>0</v>
      </c>
      <c r="I51" s="1168">
        <f>SUM('4 Estadis ESTRATEG Prod3'!R162:T162)</f>
        <v>0</v>
      </c>
      <c r="J51" s="1168">
        <f>AVERAGE(E51:I51)</f>
        <v>2.4</v>
      </c>
    </row>
    <row r="52" spans="4:10" ht="14.25" thickBot="1" x14ac:dyDescent="0.3">
      <c r="D52" s="1171" t="s">
        <v>1981</v>
      </c>
      <c r="E52" s="1168">
        <f>'5.1 Prod 2 MORBI ESTRAG'!BG112</f>
        <v>0</v>
      </c>
      <c r="F52" s="1168">
        <f>'5.1 Prod 2 MORBI ESTRAG'!BH112</f>
        <v>0</v>
      </c>
      <c r="G52" s="1168">
        <f>'5.1 Prod 2 MORBI ESTRAG'!BI112</f>
        <v>0</v>
      </c>
      <c r="H52" s="1168">
        <f>'5.1 Prod 2 MORBI ESTRAG'!BJ112</f>
        <v>0</v>
      </c>
      <c r="I52" s="1168">
        <f>'5.1 Prod 2 MORBI ESTRAG'!BK112</f>
        <v>0</v>
      </c>
      <c r="J52" s="1168">
        <f t="shared" si="0"/>
        <v>0</v>
      </c>
    </row>
    <row r="53" spans="4:10" ht="14.25" thickBot="1" x14ac:dyDescent="0.3">
      <c r="D53" s="1171" t="s">
        <v>1982</v>
      </c>
      <c r="E53" s="1168">
        <f>'4 Estadis ESTRATEG Prod3'!F273</f>
        <v>0</v>
      </c>
      <c r="F53" s="1168">
        <f>'4 Estadis ESTRATEG Prod3'!G273</f>
        <v>274</v>
      </c>
      <c r="G53" s="1168">
        <f>'4 Estadis ESTRATEG Prod3'!H273</f>
        <v>514</v>
      </c>
      <c r="H53" s="1168">
        <f>'4 Estadis ESTRATEG Prod3'!I273</f>
        <v>0</v>
      </c>
      <c r="I53" s="1168">
        <f>'4 Estadis ESTRATEG Prod3'!J273</f>
        <v>707</v>
      </c>
      <c r="J53" s="1168">
        <f t="shared" si="0"/>
        <v>299</v>
      </c>
    </row>
    <row r="54" spans="4:10" ht="14.25" thickBot="1" x14ac:dyDescent="0.3">
      <c r="D54" s="1171" t="s">
        <v>381</v>
      </c>
      <c r="E54" s="1168">
        <f>SUM('4 Estadis ESTRATEG Prod3'!F166:H166)*0.6</f>
        <v>0</v>
      </c>
      <c r="F54" s="1168">
        <f>SUM('4 Estadis ESTRATEG Prod3'!I166:K166)*0.6</f>
        <v>0</v>
      </c>
      <c r="G54" s="1168">
        <f>SUM('4 Estadis ESTRATEG Prod3'!L166:N166)*0.6</f>
        <v>0</v>
      </c>
      <c r="H54" s="1168">
        <f>SUM('4 Estadis ESTRATEG Prod3'!O166:Q166)*0.6</f>
        <v>0</v>
      </c>
      <c r="I54" s="1168">
        <f>SUM('4 Estadis ESTRATEG Prod3'!R166:T166)*0.6</f>
        <v>0</v>
      </c>
      <c r="J54" s="1168">
        <f t="shared" si="0"/>
        <v>0</v>
      </c>
    </row>
    <row r="55" spans="4:10" ht="14.25" thickBot="1" x14ac:dyDescent="0.3">
      <c r="D55" s="1172" t="s">
        <v>150</v>
      </c>
      <c r="E55" s="1173" t="e">
        <f t="shared" ref="E55:J55" si="2">SUM(E9:E54)</f>
        <v>#REF!</v>
      </c>
      <c r="F55" s="1173" t="e">
        <f t="shared" si="2"/>
        <v>#REF!</v>
      </c>
      <c r="G55" s="1173" t="e">
        <f t="shared" si="2"/>
        <v>#REF!</v>
      </c>
      <c r="H55" s="1173" t="e">
        <f t="shared" si="2"/>
        <v>#REF!</v>
      </c>
      <c r="I55" s="1173" t="e">
        <f t="shared" si="2"/>
        <v>#REF!</v>
      </c>
      <c r="J55" s="1173" t="e">
        <f t="shared" si="2"/>
        <v>#REF!</v>
      </c>
    </row>
    <row r="56" spans="4:10" x14ac:dyDescent="0.25">
      <c r="D56" s="598" t="s">
        <v>1983</v>
      </c>
    </row>
  </sheetData>
  <mergeCells count="3">
    <mergeCell ref="D7:D8"/>
    <mergeCell ref="J7:J8"/>
    <mergeCell ref="D4:J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A0FE6"/>
  </sheetPr>
  <dimension ref="B1:AR60"/>
  <sheetViews>
    <sheetView showGridLines="0" topLeftCell="C33" zoomScale="85" zoomScaleNormal="85" workbookViewId="0">
      <selection activeCell="U59" sqref="U59"/>
    </sheetView>
  </sheetViews>
  <sheetFormatPr baseColWidth="10" defaultColWidth="11.5703125" defaultRowHeight="13.5" x14ac:dyDescent="0.25"/>
  <cols>
    <col min="1" max="1" width="0" style="515" hidden="1" customWidth="1"/>
    <col min="2" max="2" width="11.85546875" style="515" hidden="1" customWidth="1"/>
    <col min="3" max="3" width="5.5703125" style="515" customWidth="1"/>
    <col min="4" max="4" width="42.42578125" style="515" customWidth="1"/>
    <col min="5" max="21" width="8.42578125" style="515" customWidth="1"/>
    <col min="22" max="23" width="11.5703125" style="515" customWidth="1"/>
    <col min="24" max="24" width="12.28515625" style="515" customWidth="1"/>
    <col min="25" max="25" width="14.28515625" style="515" customWidth="1"/>
    <col min="26" max="42" width="7.85546875" style="515" customWidth="1"/>
    <col min="43" max="43" width="11.5703125" style="515" customWidth="1"/>
    <col min="44" max="16384" width="11.5703125" style="515"/>
  </cols>
  <sheetData>
    <row r="1" spans="3:44" ht="14.25" thickBot="1" x14ac:dyDescent="0.3"/>
    <row r="2" spans="3:44" ht="27" customHeight="1" thickBot="1" x14ac:dyDescent="0.3">
      <c r="E2" s="4467" t="s">
        <v>1998</v>
      </c>
      <c r="F2" s="4468"/>
      <c r="G2" s="4469" t="s">
        <v>1999</v>
      </c>
      <c r="H2" s="4469"/>
      <c r="I2" s="4469"/>
      <c r="J2" s="4470" t="s">
        <v>2000</v>
      </c>
      <c r="K2" s="4471"/>
      <c r="L2" s="4471"/>
      <c r="M2" s="4471"/>
      <c r="N2" s="4471"/>
      <c r="O2" s="4471"/>
      <c r="P2" s="4471"/>
      <c r="Q2" s="4471"/>
      <c r="R2" s="4471"/>
      <c r="S2" s="4471"/>
      <c r="T2" s="4471"/>
      <c r="U2" s="4472"/>
    </row>
    <row r="3" spans="3:44" x14ac:dyDescent="0.25">
      <c r="Z3" s="515" t="s">
        <v>2053</v>
      </c>
    </row>
    <row r="4" spans="3:44" x14ac:dyDescent="0.25">
      <c r="D4" s="4473" t="s">
        <v>3670</v>
      </c>
      <c r="E4" s="4474"/>
      <c r="F4" s="4474"/>
      <c r="G4" s="4474"/>
      <c r="H4" s="4474"/>
      <c r="I4" s="4474"/>
      <c r="J4" s="4474"/>
      <c r="K4" s="4474"/>
      <c r="L4" s="4474"/>
      <c r="M4" s="4474"/>
      <c r="N4" s="4474"/>
      <c r="O4" s="4474"/>
      <c r="P4" s="4474"/>
      <c r="Q4" s="4474"/>
      <c r="R4" s="4474"/>
      <c r="S4" s="4474"/>
      <c r="T4" s="4474"/>
      <c r="U4" s="4475"/>
    </row>
    <row r="5" spans="3:44" x14ac:dyDescent="0.25">
      <c r="D5" s="4476"/>
      <c r="E5" s="4477"/>
      <c r="F5" s="4477"/>
      <c r="G5" s="4477"/>
      <c r="H5" s="4477"/>
      <c r="I5" s="4477"/>
      <c r="J5" s="4477"/>
      <c r="K5" s="4477"/>
      <c r="L5" s="4477"/>
      <c r="M5" s="4477"/>
      <c r="N5" s="4477"/>
      <c r="O5" s="4477"/>
      <c r="P5" s="4477"/>
      <c r="Q5" s="4477"/>
      <c r="R5" s="4477"/>
      <c r="S5" s="4477"/>
      <c r="T5" s="4477"/>
      <c r="U5" s="4478"/>
    </row>
    <row r="6" spans="3:44" ht="14.25" thickBot="1" x14ac:dyDescent="0.3">
      <c r="D6" s="1179"/>
      <c r="E6" s="1180"/>
      <c r="F6" s="1181"/>
      <c r="G6" s="1180"/>
      <c r="H6" s="1180"/>
      <c r="I6" s="1180"/>
      <c r="J6" s="1180"/>
      <c r="K6" s="1180"/>
      <c r="L6" s="1180"/>
      <c r="M6" s="1180"/>
      <c r="N6" s="1180"/>
      <c r="O6" s="1180"/>
      <c r="P6" s="1180"/>
      <c r="Q6" s="1180"/>
      <c r="R6" s="1180"/>
      <c r="S6" s="1180"/>
      <c r="AR6" s="515" t="s">
        <v>2054</v>
      </c>
    </row>
    <row r="7" spans="3:44" ht="36" customHeight="1" thickBot="1" x14ac:dyDescent="0.3">
      <c r="D7" s="4460" t="s">
        <v>418</v>
      </c>
      <c r="E7" s="1161" t="s">
        <v>1960</v>
      </c>
      <c r="F7" s="1161" t="s">
        <v>1960</v>
      </c>
      <c r="G7" s="1161" t="s">
        <v>1961</v>
      </c>
      <c r="H7" s="1161" t="s">
        <v>1962</v>
      </c>
      <c r="I7" s="1161" t="s">
        <v>1963</v>
      </c>
      <c r="J7" s="1161" t="s">
        <v>2001</v>
      </c>
      <c r="K7" s="1161" t="s">
        <v>2002</v>
      </c>
      <c r="L7" s="1161" t="s">
        <v>2003</v>
      </c>
      <c r="M7" s="1161" t="s">
        <v>2004</v>
      </c>
      <c r="N7" s="1161" t="s">
        <v>2005</v>
      </c>
      <c r="O7" s="1161" t="s">
        <v>2006</v>
      </c>
      <c r="P7" s="1161" t="s">
        <v>2007</v>
      </c>
      <c r="Q7" s="1161" t="s">
        <v>2008</v>
      </c>
      <c r="R7" s="1161" t="s">
        <v>2009</v>
      </c>
      <c r="S7" s="1161" t="s">
        <v>2010</v>
      </c>
      <c r="T7" s="1161" t="s">
        <v>2011</v>
      </c>
      <c r="U7" s="1162" t="s">
        <v>2012</v>
      </c>
      <c r="X7" s="1194" t="s">
        <v>2013</v>
      </c>
      <c r="Y7" s="1195" t="s">
        <v>2014</v>
      </c>
      <c r="Z7" s="1604" t="s">
        <v>2015</v>
      </c>
      <c r="AA7" s="4466" t="s">
        <v>3825</v>
      </c>
      <c r="AB7" s="4466"/>
      <c r="AC7" s="4466"/>
      <c r="AD7" s="4466"/>
      <c r="AE7" s="4466"/>
      <c r="AF7" s="4466"/>
      <c r="AG7" s="4466"/>
      <c r="AH7" s="4466"/>
      <c r="AI7" s="4466"/>
      <c r="AJ7" s="4466"/>
      <c r="AK7" s="4466"/>
      <c r="AL7" s="4466"/>
      <c r="AM7" s="4466"/>
      <c r="AN7" s="4466"/>
      <c r="AO7" s="4466"/>
      <c r="AP7" s="4462"/>
    </row>
    <row r="8" spans="3:44" ht="15.75" customHeight="1" thickBot="1" x14ac:dyDescent="0.3">
      <c r="D8" s="4461"/>
      <c r="E8" s="1163">
        <v>2018</v>
      </c>
      <c r="F8" s="1163">
        <f>E8+1</f>
        <v>2019</v>
      </c>
      <c r="G8" s="1163">
        <f t="shared" ref="G8:U8" si="0">+F8+1</f>
        <v>2020</v>
      </c>
      <c r="H8" s="1163">
        <f t="shared" si="0"/>
        <v>2021</v>
      </c>
      <c r="I8" s="1163">
        <f t="shared" si="0"/>
        <v>2022</v>
      </c>
      <c r="J8" s="1163">
        <f t="shared" si="0"/>
        <v>2023</v>
      </c>
      <c r="K8" s="1163">
        <f t="shared" si="0"/>
        <v>2024</v>
      </c>
      <c r="L8" s="1163">
        <f t="shared" si="0"/>
        <v>2025</v>
      </c>
      <c r="M8" s="1163">
        <f t="shared" si="0"/>
        <v>2026</v>
      </c>
      <c r="N8" s="1163">
        <f t="shared" si="0"/>
        <v>2027</v>
      </c>
      <c r="O8" s="1163">
        <f t="shared" si="0"/>
        <v>2028</v>
      </c>
      <c r="P8" s="1163">
        <f t="shared" si="0"/>
        <v>2029</v>
      </c>
      <c r="Q8" s="1163">
        <f t="shared" si="0"/>
        <v>2030</v>
      </c>
      <c r="R8" s="1163">
        <f t="shared" si="0"/>
        <v>2031</v>
      </c>
      <c r="S8" s="1163">
        <f t="shared" si="0"/>
        <v>2032</v>
      </c>
      <c r="T8" s="1163">
        <f t="shared" si="0"/>
        <v>2033</v>
      </c>
      <c r="U8" s="1184">
        <f t="shared" si="0"/>
        <v>2034</v>
      </c>
      <c r="X8" s="1196">
        <v>2018</v>
      </c>
      <c r="Y8" s="1163">
        <v>2018</v>
      </c>
      <c r="Z8" s="1605">
        <v>2018</v>
      </c>
      <c r="AA8" s="1895">
        <f>Z8+1</f>
        <v>2019</v>
      </c>
      <c r="AB8" s="1895">
        <f>AA8+1</f>
        <v>2020</v>
      </c>
      <c r="AC8" s="1895">
        <f t="shared" ref="AC8" si="1">AB8+1</f>
        <v>2021</v>
      </c>
      <c r="AD8" s="1895">
        <f t="shared" ref="AD8" si="2">AC8+1</f>
        <v>2022</v>
      </c>
      <c r="AE8" s="1895">
        <f t="shared" ref="AE8" si="3">AD8+1</f>
        <v>2023</v>
      </c>
      <c r="AF8" s="1895">
        <f t="shared" ref="AF8" si="4">AE8+1</f>
        <v>2024</v>
      </c>
      <c r="AG8" s="1895">
        <f t="shared" ref="AG8" si="5">AF8+1</f>
        <v>2025</v>
      </c>
      <c r="AH8" s="1895">
        <f t="shared" ref="AH8" si="6">AG8+1</f>
        <v>2026</v>
      </c>
      <c r="AI8" s="1895">
        <f t="shared" ref="AI8" si="7">AH8+1</f>
        <v>2027</v>
      </c>
      <c r="AJ8" s="1895">
        <f t="shared" ref="AJ8" si="8">AI8+1</f>
        <v>2028</v>
      </c>
      <c r="AK8" s="1895">
        <f t="shared" ref="AK8" si="9">AJ8+1</f>
        <v>2029</v>
      </c>
      <c r="AL8" s="1895">
        <f t="shared" ref="AL8" si="10">AK8+1</f>
        <v>2030</v>
      </c>
      <c r="AM8" s="1895">
        <f t="shared" ref="AM8" si="11">AL8+1</f>
        <v>2031</v>
      </c>
      <c r="AN8" s="1895">
        <f t="shared" ref="AN8" si="12">AM8+1</f>
        <v>2032</v>
      </c>
      <c r="AO8" s="1895">
        <f t="shared" ref="AO8" si="13">AN8+1</f>
        <v>2033</v>
      </c>
      <c r="AP8" s="1896">
        <f>AO8+1</f>
        <v>2034</v>
      </c>
    </row>
    <row r="9" spans="3:44" ht="14.25" thickBot="1" x14ac:dyDescent="0.3">
      <c r="D9" s="1185" t="s">
        <v>71</v>
      </c>
      <c r="E9" s="1165"/>
      <c r="F9" s="1165"/>
      <c r="G9" s="1165"/>
      <c r="H9" s="1165"/>
      <c r="I9" s="1165"/>
      <c r="J9" s="1165"/>
      <c r="K9" s="1165"/>
      <c r="L9" s="1165"/>
      <c r="M9" s="1165"/>
      <c r="N9" s="1165"/>
      <c r="O9" s="1165"/>
      <c r="P9" s="1165"/>
      <c r="Q9" s="1165"/>
      <c r="R9" s="1165"/>
      <c r="S9" s="1165"/>
      <c r="T9" s="1165"/>
      <c r="U9" s="1165"/>
      <c r="X9" s="1197"/>
      <c r="Y9" s="1197"/>
      <c r="Z9" s="1197"/>
      <c r="AA9" s="1197"/>
      <c r="AB9" s="1197"/>
      <c r="AC9" s="1197"/>
      <c r="AD9" s="1197"/>
      <c r="AE9" s="1197"/>
      <c r="AF9" s="1197"/>
      <c r="AG9" s="1197"/>
      <c r="AH9" s="1197"/>
      <c r="AI9" s="1197"/>
      <c r="AJ9" s="1197"/>
      <c r="AK9" s="1197"/>
      <c r="AL9" s="1197"/>
      <c r="AM9" s="1197"/>
      <c r="AN9" s="1197"/>
      <c r="AO9" s="1197"/>
      <c r="AP9" s="1197"/>
    </row>
    <row r="10" spans="3:44" ht="14.25" thickBot="1" x14ac:dyDescent="0.3">
      <c r="C10" s="515">
        <v>1</v>
      </c>
      <c r="D10" s="892" t="s">
        <v>1298</v>
      </c>
      <c r="E10" s="890">
        <f t="array" ref="E10:U10">TRANSPOSE('9 Dda Efect SS Salud P1'!E21:E37)</f>
        <v>727.39241737423697</v>
      </c>
      <c r="F10" s="890">
        <v>733.00749502117742</v>
      </c>
      <c r="G10" s="890">
        <v>738.62681520914748</v>
      </c>
      <c r="H10" s="890">
        <v>744.25038038300841</v>
      </c>
      <c r="I10" s="890">
        <v>749.87819298887825</v>
      </c>
      <c r="J10" s="890">
        <v>755.5102554741336</v>
      </c>
      <c r="K10" s="890">
        <v>761.14657028741021</v>
      </c>
      <c r="L10" s="890">
        <v>766.78713987860363</v>
      </c>
      <c r="M10" s="890">
        <v>772.43196669886925</v>
      </c>
      <c r="N10" s="890">
        <v>778.08105320062305</v>
      </c>
      <c r="O10" s="890">
        <v>783.73440183754235</v>
      </c>
      <c r="P10" s="890">
        <v>789.39201506456743</v>
      </c>
      <c r="Q10" s="890">
        <v>795.05389533790003</v>
      </c>
      <c r="R10" s="890">
        <v>800.72004511500563</v>
      </c>
      <c r="S10" s="890">
        <v>806.39046685461324</v>
      </c>
      <c r="T10" s="890">
        <v>812.06516301671672</v>
      </c>
      <c r="U10" s="890">
        <v>817.74413606257485</v>
      </c>
      <c r="W10" s="640">
        <v>1</v>
      </c>
      <c r="X10" s="1191">
        <f>'13 Prod Historica'!J10</f>
        <v>52.8</v>
      </c>
      <c r="Y10" s="1191">
        <f>E10</f>
        <v>727.39241737423697</v>
      </c>
      <c r="Z10" s="1198">
        <v>1</v>
      </c>
      <c r="AA10" s="1199">
        <f t="shared" ref="AA10:AM10" si="14">Z10+$AR10</f>
        <v>1</v>
      </c>
      <c r="AB10" s="1199">
        <f t="shared" si="14"/>
        <v>1</v>
      </c>
      <c r="AC10" s="1199">
        <f t="shared" si="14"/>
        <v>1</v>
      </c>
      <c r="AD10" s="1199">
        <f t="shared" si="14"/>
        <v>1</v>
      </c>
      <c r="AE10" s="1199">
        <f t="shared" si="14"/>
        <v>1</v>
      </c>
      <c r="AF10" s="1199">
        <f t="shared" si="14"/>
        <v>1</v>
      </c>
      <c r="AG10" s="1199">
        <f t="shared" si="14"/>
        <v>1</v>
      </c>
      <c r="AH10" s="1199">
        <f t="shared" si="14"/>
        <v>1</v>
      </c>
      <c r="AI10" s="1199">
        <f t="shared" si="14"/>
        <v>1</v>
      </c>
      <c r="AJ10" s="1199">
        <f t="shared" si="14"/>
        <v>1</v>
      </c>
      <c r="AK10" s="1199">
        <f t="shared" si="14"/>
        <v>1</v>
      </c>
      <c r="AL10" s="1199">
        <f t="shared" si="14"/>
        <v>1</v>
      </c>
      <c r="AM10" s="1199">
        <f t="shared" si="14"/>
        <v>1</v>
      </c>
      <c r="AN10" s="1199">
        <v>1</v>
      </c>
      <c r="AO10" s="1199">
        <v>1</v>
      </c>
      <c r="AP10" s="1199">
        <v>1</v>
      </c>
      <c r="AR10" s="620">
        <f>(AN10-Z10)/14</f>
        <v>0</v>
      </c>
    </row>
    <row r="11" spans="3:44" ht="27.75" thickBot="1" x14ac:dyDescent="0.3">
      <c r="C11" s="515">
        <v>2</v>
      </c>
      <c r="D11" s="892" t="s">
        <v>1300</v>
      </c>
      <c r="E11" s="1191">
        <f t="array" ref="E11:U11">TRANSPOSE('10 Dda Efect SS Salud P2'!R31:R47)</f>
        <v>0</v>
      </c>
      <c r="F11" s="1191">
        <v>0</v>
      </c>
      <c r="G11" s="1191">
        <v>0</v>
      </c>
      <c r="H11" s="1191">
        <v>0</v>
      </c>
      <c r="I11" s="1191">
        <v>0</v>
      </c>
      <c r="J11" s="1191">
        <v>0</v>
      </c>
      <c r="K11" s="1191">
        <v>0</v>
      </c>
      <c r="L11" s="1191">
        <v>0</v>
      </c>
      <c r="M11" s="1191">
        <v>0</v>
      </c>
      <c r="N11" s="1191">
        <v>0</v>
      </c>
      <c r="O11" s="1191">
        <v>0</v>
      </c>
      <c r="P11" s="1191">
        <v>0</v>
      </c>
      <c r="Q11" s="1191">
        <v>0</v>
      </c>
      <c r="R11" s="1191">
        <v>0</v>
      </c>
      <c r="S11" s="1191">
        <v>0</v>
      </c>
      <c r="T11" s="1191">
        <v>0</v>
      </c>
      <c r="U11" s="1191">
        <v>0</v>
      </c>
      <c r="W11" s="640">
        <v>2</v>
      </c>
      <c r="X11" s="1191">
        <f>'13 Prod Historica'!J11</f>
        <v>0</v>
      </c>
      <c r="Y11" s="1191">
        <f>E11</f>
        <v>0</v>
      </c>
      <c r="Z11" s="1200" t="e">
        <f>X11/Y11</f>
        <v>#DIV/0!</v>
      </c>
      <c r="AA11" s="1199" t="e">
        <f t="shared" ref="AA11:AM11" si="15">Z11+$AR11</f>
        <v>#DIV/0!</v>
      </c>
      <c r="AB11" s="1199" t="e">
        <f t="shared" si="15"/>
        <v>#DIV/0!</v>
      </c>
      <c r="AC11" s="1199" t="e">
        <f t="shared" si="15"/>
        <v>#DIV/0!</v>
      </c>
      <c r="AD11" s="1199" t="e">
        <f t="shared" si="15"/>
        <v>#DIV/0!</v>
      </c>
      <c r="AE11" s="1199" t="e">
        <f t="shared" si="15"/>
        <v>#DIV/0!</v>
      </c>
      <c r="AF11" s="1199" t="e">
        <f t="shared" si="15"/>
        <v>#DIV/0!</v>
      </c>
      <c r="AG11" s="1199" t="e">
        <f t="shared" si="15"/>
        <v>#DIV/0!</v>
      </c>
      <c r="AH11" s="1199" t="e">
        <f t="shared" si="15"/>
        <v>#DIV/0!</v>
      </c>
      <c r="AI11" s="1199" t="e">
        <f t="shared" si="15"/>
        <v>#DIV/0!</v>
      </c>
      <c r="AJ11" s="1199" t="e">
        <f t="shared" si="15"/>
        <v>#DIV/0!</v>
      </c>
      <c r="AK11" s="1199" t="e">
        <f t="shared" si="15"/>
        <v>#DIV/0!</v>
      </c>
      <c r="AL11" s="1199" t="e">
        <f t="shared" si="15"/>
        <v>#DIV/0!</v>
      </c>
      <c r="AM11" s="1199" t="e">
        <f t="shared" si="15"/>
        <v>#DIV/0!</v>
      </c>
      <c r="AN11" s="1199">
        <v>1</v>
      </c>
      <c r="AO11" s="1199">
        <v>1</v>
      </c>
      <c r="AP11" s="1199">
        <v>1</v>
      </c>
      <c r="AR11" s="620" t="e">
        <f>(AN11-Z11)/14</f>
        <v>#DIV/0!</v>
      </c>
    </row>
    <row r="12" spans="3:44" ht="27" customHeight="1" thickBot="1" x14ac:dyDescent="0.3">
      <c r="C12" s="515">
        <v>3</v>
      </c>
      <c r="D12" s="892" t="s">
        <v>1965</v>
      </c>
      <c r="E12" s="1191" t="e">
        <f t="array" ref="E12:U12">TRANSPOSE('10 Dda Efect SS Salud P2'!M31:M47)</f>
        <v>#DIV/0!</v>
      </c>
      <c r="F12" s="1191" t="e">
        <v>#DIV/0!</v>
      </c>
      <c r="G12" s="1191" t="e">
        <v>#DIV/0!</v>
      </c>
      <c r="H12" s="1191" t="e">
        <v>#DIV/0!</v>
      </c>
      <c r="I12" s="1191" t="e">
        <v>#DIV/0!</v>
      </c>
      <c r="J12" s="1191" t="e">
        <v>#DIV/0!</v>
      </c>
      <c r="K12" s="1191" t="e">
        <v>#DIV/0!</v>
      </c>
      <c r="L12" s="1191" t="e">
        <v>#DIV/0!</v>
      </c>
      <c r="M12" s="1191" t="e">
        <v>#DIV/0!</v>
      </c>
      <c r="N12" s="1191" t="e">
        <v>#DIV/0!</v>
      </c>
      <c r="O12" s="1191" t="e">
        <v>#DIV/0!</v>
      </c>
      <c r="P12" s="1191" t="e">
        <v>#DIV/0!</v>
      </c>
      <c r="Q12" s="1191" t="e">
        <v>#DIV/0!</v>
      </c>
      <c r="R12" s="1191" t="e">
        <v>#DIV/0!</v>
      </c>
      <c r="S12" s="1191" t="e">
        <v>#DIV/0!</v>
      </c>
      <c r="T12" s="1191" t="e">
        <v>#DIV/0!</v>
      </c>
      <c r="U12" s="1191" t="e">
        <v>#DIV/0!</v>
      </c>
      <c r="W12" s="640">
        <v>3</v>
      </c>
      <c r="X12" s="1191">
        <f>'13 Prod Historica'!J12</f>
        <v>0</v>
      </c>
      <c r="Y12" s="1191" t="e">
        <f>E12</f>
        <v>#DIV/0!</v>
      </c>
      <c r="Z12" s="1200" t="e">
        <f>X12/Y12</f>
        <v>#DIV/0!</v>
      </c>
      <c r="AA12" s="1199" t="e">
        <f t="shared" ref="AA12:AM12" si="16">Z12+$AR12</f>
        <v>#DIV/0!</v>
      </c>
      <c r="AB12" s="1199" t="e">
        <f t="shared" si="16"/>
        <v>#DIV/0!</v>
      </c>
      <c r="AC12" s="1199" t="e">
        <f t="shared" si="16"/>
        <v>#DIV/0!</v>
      </c>
      <c r="AD12" s="1199" t="e">
        <f t="shared" si="16"/>
        <v>#DIV/0!</v>
      </c>
      <c r="AE12" s="1199" t="e">
        <f t="shared" si="16"/>
        <v>#DIV/0!</v>
      </c>
      <c r="AF12" s="1199" t="e">
        <f t="shared" si="16"/>
        <v>#DIV/0!</v>
      </c>
      <c r="AG12" s="1199" t="e">
        <f t="shared" si="16"/>
        <v>#DIV/0!</v>
      </c>
      <c r="AH12" s="1199" t="e">
        <f t="shared" si="16"/>
        <v>#DIV/0!</v>
      </c>
      <c r="AI12" s="1199" t="e">
        <f t="shared" si="16"/>
        <v>#DIV/0!</v>
      </c>
      <c r="AJ12" s="1199" t="e">
        <f t="shared" si="16"/>
        <v>#DIV/0!</v>
      </c>
      <c r="AK12" s="1199" t="e">
        <f t="shared" si="16"/>
        <v>#DIV/0!</v>
      </c>
      <c r="AL12" s="1199" t="e">
        <f t="shared" si="16"/>
        <v>#DIV/0!</v>
      </c>
      <c r="AM12" s="1199" t="e">
        <f t="shared" si="16"/>
        <v>#DIV/0!</v>
      </c>
      <c r="AN12" s="1199">
        <v>1</v>
      </c>
      <c r="AO12" s="1199">
        <v>1</v>
      </c>
      <c r="AP12" s="1199">
        <v>1</v>
      </c>
      <c r="AR12" s="620" t="e">
        <f>(AN12-Z12)/14</f>
        <v>#DIV/0!</v>
      </c>
    </row>
    <row r="13" spans="3:44" ht="27" customHeight="1" thickBot="1" x14ac:dyDescent="0.3">
      <c r="C13" s="515">
        <v>4</v>
      </c>
      <c r="D13" s="892" t="s">
        <v>1967</v>
      </c>
      <c r="E13" s="1191">
        <f t="array" ref="E13:U13">TRANSPOSE('10 Dda Efect SS Salud P2'!X31:X47)</f>
        <v>404.7510590293648</v>
      </c>
      <c r="F13" s="1191">
        <v>407.87551918298493</v>
      </c>
      <c r="G13" s="1191">
        <v>411.00234006093183</v>
      </c>
      <c r="H13" s="1191">
        <v>414.13152302362653</v>
      </c>
      <c r="I13" s="1191">
        <v>417.26306943219009</v>
      </c>
      <c r="J13" s="1191">
        <v>420.39698064844322</v>
      </c>
      <c r="K13" s="1191">
        <v>423.53325803490776</v>
      </c>
      <c r="L13" s="1191">
        <v>426.67190295480634</v>
      </c>
      <c r="M13" s="1191">
        <v>429.81291677206247</v>
      </c>
      <c r="N13" s="1191">
        <v>432.95630085130153</v>
      </c>
      <c r="O13" s="1191">
        <v>436.10205655785035</v>
      </c>
      <c r="P13" s="1191">
        <v>439.25018525773851</v>
      </c>
      <c r="Q13" s="1191">
        <v>442.40068831769804</v>
      </c>
      <c r="R13" s="1191">
        <v>445.55356710516355</v>
      </c>
      <c r="S13" s="1191">
        <v>448.70882298827303</v>
      </c>
      <c r="T13" s="1191">
        <v>451.86645733586835</v>
      </c>
      <c r="U13" s="1191">
        <v>455.02647151749488</v>
      </c>
      <c r="W13" s="640">
        <v>4</v>
      </c>
      <c r="X13" s="1191">
        <f>'13 Prod Historica'!J13</f>
        <v>0</v>
      </c>
      <c r="Y13" s="1191">
        <f>E13</f>
        <v>404.7510590293648</v>
      </c>
      <c r="Z13" s="1200">
        <f>X13/Y13</f>
        <v>0</v>
      </c>
      <c r="AA13" s="1199">
        <f t="shared" ref="AA13:AM13" si="17">Z13+$AR13</f>
        <v>7.1428571428571425E-2</v>
      </c>
      <c r="AB13" s="1199">
        <f t="shared" si="17"/>
        <v>0.14285714285714285</v>
      </c>
      <c r="AC13" s="1199">
        <f t="shared" si="17"/>
        <v>0.21428571428571427</v>
      </c>
      <c r="AD13" s="1199">
        <f t="shared" si="17"/>
        <v>0.2857142857142857</v>
      </c>
      <c r="AE13" s="1199">
        <f t="shared" si="17"/>
        <v>0.3571428571428571</v>
      </c>
      <c r="AF13" s="1199">
        <f t="shared" si="17"/>
        <v>0.42857142857142849</v>
      </c>
      <c r="AG13" s="1199">
        <f t="shared" si="17"/>
        <v>0.49999999999999989</v>
      </c>
      <c r="AH13" s="1199">
        <f t="shared" si="17"/>
        <v>0.57142857142857129</v>
      </c>
      <c r="AI13" s="1199">
        <f t="shared" si="17"/>
        <v>0.64285714285714268</v>
      </c>
      <c r="AJ13" s="1199">
        <f t="shared" si="17"/>
        <v>0.71428571428571408</v>
      </c>
      <c r="AK13" s="1199">
        <f t="shared" si="17"/>
        <v>0.78571428571428548</v>
      </c>
      <c r="AL13" s="1199">
        <f t="shared" si="17"/>
        <v>0.85714285714285687</v>
      </c>
      <c r="AM13" s="1199">
        <f t="shared" si="17"/>
        <v>0.92857142857142827</v>
      </c>
      <c r="AN13" s="1199">
        <v>1</v>
      </c>
      <c r="AO13" s="1199">
        <v>1</v>
      </c>
      <c r="AP13" s="1199">
        <v>1</v>
      </c>
      <c r="AR13" s="620">
        <f>(AN13-Z13)/14</f>
        <v>7.1428571428571425E-2</v>
      </c>
    </row>
    <row r="14" spans="3:44" ht="14.25" thickBot="1" x14ac:dyDescent="0.3">
      <c r="C14" s="515">
        <v>5</v>
      </c>
      <c r="D14" s="892" t="s">
        <v>1305</v>
      </c>
      <c r="E14" s="1191" t="e">
        <f t="array" ref="E14:U14">TRANSPOSE('10 Dda Efect SS Salud P2'!AI31:AI47)</f>
        <v>#DIV/0!</v>
      </c>
      <c r="F14" s="1191" t="e">
        <v>#DIV/0!</v>
      </c>
      <c r="G14" s="1191" t="e">
        <v>#DIV/0!</v>
      </c>
      <c r="H14" s="1191" t="e">
        <v>#DIV/0!</v>
      </c>
      <c r="I14" s="1191" t="e">
        <v>#DIV/0!</v>
      </c>
      <c r="J14" s="1191" t="e">
        <v>#DIV/0!</v>
      </c>
      <c r="K14" s="1191" t="e">
        <v>#DIV/0!</v>
      </c>
      <c r="L14" s="1191" t="e">
        <v>#DIV/0!</v>
      </c>
      <c r="M14" s="1191" t="e">
        <v>#DIV/0!</v>
      </c>
      <c r="N14" s="1191" t="e">
        <v>#DIV/0!</v>
      </c>
      <c r="O14" s="1191" t="e">
        <v>#DIV/0!</v>
      </c>
      <c r="P14" s="1191" t="e">
        <v>#DIV/0!</v>
      </c>
      <c r="Q14" s="1191" t="e">
        <v>#DIV/0!</v>
      </c>
      <c r="R14" s="1191" t="e">
        <v>#DIV/0!</v>
      </c>
      <c r="S14" s="1191" t="e">
        <v>#DIV/0!</v>
      </c>
      <c r="T14" s="1191" t="e">
        <v>#DIV/0!</v>
      </c>
      <c r="U14" s="1191" t="e">
        <v>#DIV/0!</v>
      </c>
      <c r="W14" s="640">
        <v>5</v>
      </c>
      <c r="X14" s="1191">
        <f>'13 Prod Historica'!J14</f>
        <v>0</v>
      </c>
      <c r="Y14" s="1191" t="e">
        <f>E14</f>
        <v>#DIV/0!</v>
      </c>
      <c r="Z14" s="1200" t="e">
        <f>X14/Y14</f>
        <v>#DIV/0!</v>
      </c>
      <c r="AA14" s="1199" t="e">
        <f t="shared" ref="AA14:AM14" si="18">Z14+$AR14</f>
        <v>#DIV/0!</v>
      </c>
      <c r="AB14" s="1199" t="e">
        <f t="shared" si="18"/>
        <v>#DIV/0!</v>
      </c>
      <c r="AC14" s="1199" t="e">
        <f t="shared" si="18"/>
        <v>#DIV/0!</v>
      </c>
      <c r="AD14" s="1199" t="e">
        <f t="shared" si="18"/>
        <v>#DIV/0!</v>
      </c>
      <c r="AE14" s="1199" t="e">
        <f t="shared" si="18"/>
        <v>#DIV/0!</v>
      </c>
      <c r="AF14" s="1199" t="e">
        <f t="shared" si="18"/>
        <v>#DIV/0!</v>
      </c>
      <c r="AG14" s="1199" t="e">
        <f t="shared" si="18"/>
        <v>#DIV/0!</v>
      </c>
      <c r="AH14" s="1199" t="e">
        <f t="shared" si="18"/>
        <v>#DIV/0!</v>
      </c>
      <c r="AI14" s="1199" t="e">
        <f t="shared" si="18"/>
        <v>#DIV/0!</v>
      </c>
      <c r="AJ14" s="1199" t="e">
        <f t="shared" si="18"/>
        <v>#DIV/0!</v>
      </c>
      <c r="AK14" s="1199" t="e">
        <f t="shared" si="18"/>
        <v>#DIV/0!</v>
      </c>
      <c r="AL14" s="1199" t="e">
        <f t="shared" si="18"/>
        <v>#DIV/0!</v>
      </c>
      <c r="AM14" s="1199" t="e">
        <f t="shared" si="18"/>
        <v>#DIV/0!</v>
      </c>
      <c r="AN14" s="1199">
        <v>1</v>
      </c>
      <c r="AO14" s="1199">
        <v>1</v>
      </c>
      <c r="AP14" s="1199">
        <v>1</v>
      </c>
      <c r="AR14" s="620" t="e">
        <f>(AN14-Z14)/14</f>
        <v>#DIV/0!</v>
      </c>
    </row>
    <row r="15" spans="3:44" ht="14.25" thickBot="1" x14ac:dyDescent="0.3">
      <c r="D15" s="1186" t="s">
        <v>1225</v>
      </c>
      <c r="E15" s="1167"/>
      <c r="F15" s="1167"/>
      <c r="G15" s="1167"/>
      <c r="H15" s="1167"/>
      <c r="I15" s="1167"/>
      <c r="J15" s="1167"/>
      <c r="K15" s="1167"/>
      <c r="L15" s="1167"/>
      <c r="M15" s="1167"/>
      <c r="N15" s="1167"/>
      <c r="O15" s="1167"/>
      <c r="P15" s="1167"/>
      <c r="Q15" s="1167"/>
      <c r="R15" s="1167"/>
      <c r="S15" s="1167"/>
      <c r="T15" s="1167"/>
      <c r="U15" s="1167"/>
      <c r="W15" s="640"/>
      <c r="X15" s="1191"/>
      <c r="Y15" s="1191"/>
      <c r="Z15" s="1200"/>
      <c r="AA15" s="1199"/>
      <c r="AB15" s="1199"/>
      <c r="AC15" s="1199"/>
      <c r="AD15" s="1199"/>
      <c r="AE15" s="1199"/>
      <c r="AF15" s="1199"/>
      <c r="AG15" s="1199"/>
      <c r="AH15" s="1199"/>
      <c r="AI15" s="1199"/>
      <c r="AJ15" s="1199"/>
      <c r="AK15" s="1199"/>
      <c r="AL15" s="1199"/>
      <c r="AM15" s="1199"/>
      <c r="AN15" s="1199"/>
      <c r="AO15" s="1199"/>
      <c r="AP15" s="1199"/>
      <c r="AR15" s="620"/>
    </row>
    <row r="16" spans="3:44" ht="14.25" thickBot="1" x14ac:dyDescent="0.3">
      <c r="C16" s="515">
        <v>6</v>
      </c>
      <c r="D16" s="892" t="s">
        <v>1226</v>
      </c>
      <c r="E16" s="1191">
        <f t="array" ref="E16:U16">TRANSPOSE('9 Dda Efect SS Salud P1'!C61:C77)</f>
        <v>443.09966654316389</v>
      </c>
      <c r="F16" s="1191">
        <v>443.27137091960986</v>
      </c>
      <c r="G16" s="1191">
        <v>443.44314183276333</v>
      </c>
      <c r="H16" s="1191">
        <v>443.61497930840773</v>
      </c>
      <c r="I16" s="1191">
        <v>443.78688337233649</v>
      </c>
      <c r="J16" s="1191">
        <v>443.95885405035307</v>
      </c>
      <c r="K16" s="1191">
        <v>444.13089136827091</v>
      </c>
      <c r="L16" s="1191">
        <v>444.30299535191352</v>
      </c>
      <c r="M16" s="1191">
        <v>444.47516602711431</v>
      </c>
      <c r="N16" s="1191">
        <v>444.64740341971674</v>
      </c>
      <c r="O16" s="1191">
        <v>444.81970755557433</v>
      </c>
      <c r="P16" s="1191">
        <v>444.99207846055054</v>
      </c>
      <c r="Q16" s="1191">
        <v>445.16451616051893</v>
      </c>
      <c r="R16" s="1191">
        <v>445.33702068136307</v>
      </c>
      <c r="S16" s="1191">
        <v>445.50959204897651</v>
      </c>
      <c r="T16" s="1191">
        <v>445.68223028926286</v>
      </c>
      <c r="U16" s="1191">
        <v>445.85493542813578</v>
      </c>
      <c r="W16" s="1193">
        <v>6</v>
      </c>
      <c r="X16" s="1191">
        <f>'13 Prod Historica'!J16</f>
        <v>46.8</v>
      </c>
      <c r="Y16" s="1191">
        <f t="shared" ref="Y16:Y33" si="19">E16</f>
        <v>443.09966654316389</v>
      </c>
      <c r="Z16" s="1200">
        <f t="shared" ref="Z16:Z27" si="20">X16/Y16</f>
        <v>0.10561957846890198</v>
      </c>
      <c r="AA16" s="1199">
        <f t="shared" ref="AA16:AM16" si="21">Z16+$AR16</f>
        <v>0.16950389429255183</v>
      </c>
      <c r="AB16" s="1199">
        <f t="shared" si="21"/>
        <v>0.2333882101162017</v>
      </c>
      <c r="AC16" s="1199">
        <f t="shared" si="21"/>
        <v>0.29727252593985154</v>
      </c>
      <c r="AD16" s="1199">
        <f t="shared" si="21"/>
        <v>0.36115684176350138</v>
      </c>
      <c r="AE16" s="1199">
        <f t="shared" si="21"/>
        <v>0.42504115758715122</v>
      </c>
      <c r="AF16" s="1199">
        <f t="shared" si="21"/>
        <v>0.48892547341080106</v>
      </c>
      <c r="AG16" s="1199">
        <f t="shared" si="21"/>
        <v>0.5528097892344509</v>
      </c>
      <c r="AH16" s="1199">
        <f t="shared" si="21"/>
        <v>0.61669410505810074</v>
      </c>
      <c r="AI16" s="1199">
        <f t="shared" si="21"/>
        <v>0.68057842088175058</v>
      </c>
      <c r="AJ16" s="1199">
        <f t="shared" si="21"/>
        <v>0.74446273670540042</v>
      </c>
      <c r="AK16" s="1199">
        <f t="shared" si="21"/>
        <v>0.80834705252905026</v>
      </c>
      <c r="AL16" s="1199">
        <f t="shared" si="21"/>
        <v>0.8722313683527001</v>
      </c>
      <c r="AM16" s="1199">
        <f t="shared" si="21"/>
        <v>0.93611568417634994</v>
      </c>
      <c r="AN16" s="1199">
        <v>1</v>
      </c>
      <c r="AO16" s="1199">
        <v>1</v>
      </c>
      <c r="AP16" s="1199">
        <v>1</v>
      </c>
      <c r="AR16" s="620">
        <f t="shared" ref="AR16:AR33" si="22">(AN16-Z16)/14</f>
        <v>6.3884315823649854E-2</v>
      </c>
    </row>
    <row r="17" spans="3:44" ht="14.25" thickBot="1" x14ac:dyDescent="0.3">
      <c r="C17" s="515">
        <v>7</v>
      </c>
      <c r="D17" s="892" t="s">
        <v>414</v>
      </c>
      <c r="E17" s="1191">
        <f t="array" ref="E17:U17">TRANSPOSE('9 Dda Efect SS Salud P1'!D61:D77)</f>
        <v>1155.2201406658853</v>
      </c>
      <c r="F17" s="1191">
        <v>1155.6677969583361</v>
      </c>
      <c r="G17" s="1191">
        <v>1156.1156267208894</v>
      </c>
      <c r="H17" s="1191">
        <v>1156.5636300207659</v>
      </c>
      <c r="I17" s="1191">
        <v>1157.011806925213</v>
      </c>
      <c r="J17" s="1191">
        <v>1157.4601575015035</v>
      </c>
      <c r="K17" s="1191">
        <v>1157.9086818169365</v>
      </c>
      <c r="L17" s="1191">
        <v>1158.3573799388371</v>
      </c>
      <c r="M17" s="1191">
        <v>1158.8062519345569</v>
      </c>
      <c r="N17" s="1191">
        <v>1159.2552978714732</v>
      </c>
      <c r="O17" s="1191">
        <v>1159.7045178169892</v>
      </c>
      <c r="P17" s="1191">
        <v>1160.1539118385349</v>
      </c>
      <c r="Q17" s="1191">
        <v>1160.6034800035657</v>
      </c>
      <c r="R17" s="1191">
        <v>1161.0532223795637</v>
      </c>
      <c r="S17" s="1191">
        <v>1161.5031390340368</v>
      </c>
      <c r="T17" s="1191">
        <v>1161.9532300345193</v>
      </c>
      <c r="U17" s="1191">
        <v>1162.4034954485714</v>
      </c>
      <c r="W17" s="640">
        <v>7</v>
      </c>
      <c r="X17" s="1191">
        <f>'13 Prod Historica'!J17</f>
        <v>55.6</v>
      </c>
      <c r="Y17" s="1191">
        <f t="shared" si="19"/>
        <v>1155.2201406658853</v>
      </c>
      <c r="Z17" s="1198">
        <v>1</v>
      </c>
      <c r="AA17" s="1199">
        <f t="shared" ref="AA17:AM17" si="23">Z17+$AR17</f>
        <v>1</v>
      </c>
      <c r="AB17" s="1199">
        <f t="shared" si="23"/>
        <v>1</v>
      </c>
      <c r="AC17" s="1199">
        <f t="shared" si="23"/>
        <v>1</v>
      </c>
      <c r="AD17" s="1199">
        <f t="shared" si="23"/>
        <v>1</v>
      </c>
      <c r="AE17" s="1199">
        <f t="shared" si="23"/>
        <v>1</v>
      </c>
      <c r="AF17" s="1199">
        <f t="shared" si="23"/>
        <v>1</v>
      </c>
      <c r="AG17" s="1199">
        <f t="shared" si="23"/>
        <v>1</v>
      </c>
      <c r="AH17" s="1199">
        <f t="shared" si="23"/>
        <v>1</v>
      </c>
      <c r="AI17" s="1199">
        <f t="shared" si="23"/>
        <v>1</v>
      </c>
      <c r="AJ17" s="1199">
        <f t="shared" si="23"/>
        <v>1</v>
      </c>
      <c r="AK17" s="1199">
        <f t="shared" si="23"/>
        <v>1</v>
      </c>
      <c r="AL17" s="1199">
        <f t="shared" si="23"/>
        <v>1</v>
      </c>
      <c r="AM17" s="1199">
        <f t="shared" si="23"/>
        <v>1</v>
      </c>
      <c r="AN17" s="1199">
        <v>1</v>
      </c>
      <c r="AO17" s="1199">
        <v>1</v>
      </c>
      <c r="AP17" s="1199">
        <v>1</v>
      </c>
      <c r="AR17" s="620">
        <f t="shared" si="22"/>
        <v>0</v>
      </c>
    </row>
    <row r="18" spans="3:44" ht="14.25" thickBot="1" x14ac:dyDescent="0.3">
      <c r="C18" s="515">
        <v>8</v>
      </c>
      <c r="D18" s="892" t="s">
        <v>1968</v>
      </c>
      <c r="E18" s="1191">
        <f t="array" ref="E18:U18">TRANSPOSE('9 Dda Efect SS Salud P1'!D152:D168)</f>
        <v>136.02556502408294</v>
      </c>
      <c r="F18" s="1191">
        <v>136.07827592997322</v>
      </c>
      <c r="G18" s="1191">
        <v>136.13100726172684</v>
      </c>
      <c r="H18" s="1191">
        <v>136.18375902725893</v>
      </c>
      <c r="I18" s="1191">
        <v>136.23653123448776</v>
      </c>
      <c r="J18" s="1191">
        <v>136.28932389133465</v>
      </c>
      <c r="K18" s="1191">
        <v>136.34213700572394</v>
      </c>
      <c r="L18" s="1191">
        <v>136.39497058558311</v>
      </c>
      <c r="M18" s="1191">
        <v>136.44782463884266</v>
      </c>
      <c r="N18" s="1191">
        <v>136.5006991734362</v>
      </c>
      <c r="O18" s="1191">
        <v>136.55359419730038</v>
      </c>
      <c r="P18" s="1191">
        <v>136.60650971837495</v>
      </c>
      <c r="Q18" s="1191">
        <v>136.65944574460275</v>
      </c>
      <c r="R18" s="1191">
        <v>136.71240228392966</v>
      </c>
      <c r="S18" s="1191">
        <v>136.76537934430465</v>
      </c>
      <c r="T18" s="1191">
        <v>136.81837693367979</v>
      </c>
      <c r="U18" s="1191">
        <v>136.8713950600102</v>
      </c>
      <c r="W18" s="1193">
        <v>8</v>
      </c>
      <c r="X18" s="1191">
        <f>'13 Prod Historica'!J18</f>
        <v>7.5</v>
      </c>
      <c r="Y18" s="1191">
        <f t="shared" si="19"/>
        <v>136.02556502408294</v>
      </c>
      <c r="Z18" s="1201">
        <f>X18/Y18</f>
        <v>5.5136694331482078E-2</v>
      </c>
      <c r="AA18" s="1199">
        <f t="shared" ref="AA18:AM18" si="24">Z18+$AR18</f>
        <v>0.12262693045066193</v>
      </c>
      <c r="AB18" s="1199">
        <f t="shared" si="24"/>
        <v>0.19011716656984179</v>
      </c>
      <c r="AC18" s="1199">
        <f t="shared" si="24"/>
        <v>0.25760740268902166</v>
      </c>
      <c r="AD18" s="1199">
        <f t="shared" si="24"/>
        <v>0.32509763880820153</v>
      </c>
      <c r="AE18" s="1199">
        <f t="shared" si="24"/>
        <v>0.3925878749273814</v>
      </c>
      <c r="AF18" s="1199">
        <f t="shared" si="24"/>
        <v>0.46007811104656127</v>
      </c>
      <c r="AG18" s="1199">
        <f t="shared" si="24"/>
        <v>0.52756834716574108</v>
      </c>
      <c r="AH18" s="1199">
        <f t="shared" si="24"/>
        <v>0.59505858328492089</v>
      </c>
      <c r="AI18" s="1199">
        <f t="shared" si="24"/>
        <v>0.66254881940410071</v>
      </c>
      <c r="AJ18" s="1199">
        <f t="shared" si="24"/>
        <v>0.73003905552328052</v>
      </c>
      <c r="AK18" s="1199">
        <f t="shared" si="24"/>
        <v>0.79752929164246034</v>
      </c>
      <c r="AL18" s="1199">
        <f t="shared" si="24"/>
        <v>0.86501952776164015</v>
      </c>
      <c r="AM18" s="1199">
        <f t="shared" si="24"/>
        <v>0.93250976388081996</v>
      </c>
      <c r="AN18" s="1199">
        <v>1</v>
      </c>
      <c r="AO18" s="1199">
        <v>1</v>
      </c>
      <c r="AP18" s="1199">
        <v>1</v>
      </c>
      <c r="AR18" s="620">
        <f t="shared" si="22"/>
        <v>6.7490236119179856E-2</v>
      </c>
    </row>
    <row r="19" spans="3:44" ht="14.25" thickBot="1" x14ac:dyDescent="0.3">
      <c r="C19" s="515">
        <v>9</v>
      </c>
      <c r="D19" s="892" t="s">
        <v>1232</v>
      </c>
      <c r="E19" s="1191" t="e">
        <f t="array" ref="E19:U19">TRANSPOSE('10 Dda Efect SS Salud P2'!I92:I108)</f>
        <v>#DIV/0!</v>
      </c>
      <c r="F19" s="1191" t="e">
        <v>#DIV/0!</v>
      </c>
      <c r="G19" s="1191" t="e">
        <v>#DIV/0!</v>
      </c>
      <c r="H19" s="1191" t="e">
        <v>#DIV/0!</v>
      </c>
      <c r="I19" s="1191" t="e">
        <v>#DIV/0!</v>
      </c>
      <c r="J19" s="1191" t="e">
        <v>#DIV/0!</v>
      </c>
      <c r="K19" s="1191" t="e">
        <v>#DIV/0!</v>
      </c>
      <c r="L19" s="1191" t="e">
        <v>#DIV/0!</v>
      </c>
      <c r="M19" s="1191" t="e">
        <v>#DIV/0!</v>
      </c>
      <c r="N19" s="1191" t="e">
        <v>#DIV/0!</v>
      </c>
      <c r="O19" s="1191" t="e">
        <v>#DIV/0!</v>
      </c>
      <c r="P19" s="1191" t="e">
        <v>#DIV/0!</v>
      </c>
      <c r="Q19" s="1191" t="e">
        <v>#DIV/0!</v>
      </c>
      <c r="R19" s="1191" t="e">
        <v>#DIV/0!</v>
      </c>
      <c r="S19" s="1191" t="e">
        <v>#DIV/0!</v>
      </c>
      <c r="T19" s="1191" t="e">
        <v>#DIV/0!</v>
      </c>
      <c r="U19" s="1191" t="e">
        <v>#DIV/0!</v>
      </c>
      <c r="W19" s="640">
        <v>9</v>
      </c>
      <c r="X19" s="1191">
        <f>'13 Prod Historica'!J19</f>
        <v>7.4</v>
      </c>
      <c r="Y19" s="1191" t="e">
        <f t="shared" si="19"/>
        <v>#DIV/0!</v>
      </c>
      <c r="Z19" s="1200">
        <v>1</v>
      </c>
      <c r="AA19" s="1199">
        <f t="shared" ref="AA19:AM19" si="25">Z19+$AR19</f>
        <v>1</v>
      </c>
      <c r="AB19" s="1199">
        <f t="shared" si="25"/>
        <v>1</v>
      </c>
      <c r="AC19" s="1199">
        <f t="shared" si="25"/>
        <v>1</v>
      </c>
      <c r="AD19" s="1199">
        <f t="shared" si="25"/>
        <v>1</v>
      </c>
      <c r="AE19" s="1199">
        <f t="shared" si="25"/>
        <v>1</v>
      </c>
      <c r="AF19" s="1199">
        <f t="shared" si="25"/>
        <v>1</v>
      </c>
      <c r="AG19" s="1199">
        <f t="shared" si="25"/>
        <v>1</v>
      </c>
      <c r="AH19" s="1199">
        <f t="shared" si="25"/>
        <v>1</v>
      </c>
      <c r="AI19" s="1199">
        <f t="shared" si="25"/>
        <v>1</v>
      </c>
      <c r="AJ19" s="1199">
        <f t="shared" si="25"/>
        <v>1</v>
      </c>
      <c r="AK19" s="1199">
        <f t="shared" si="25"/>
        <v>1</v>
      </c>
      <c r="AL19" s="1199">
        <f t="shared" si="25"/>
        <v>1</v>
      </c>
      <c r="AM19" s="1199">
        <f t="shared" si="25"/>
        <v>1</v>
      </c>
      <c r="AN19" s="1199">
        <v>1</v>
      </c>
      <c r="AO19" s="1199">
        <v>1</v>
      </c>
      <c r="AP19" s="1199">
        <v>1</v>
      </c>
      <c r="AR19" s="620">
        <f t="shared" si="22"/>
        <v>0</v>
      </c>
    </row>
    <row r="20" spans="3:44" ht="14.25" thickBot="1" x14ac:dyDescent="0.3">
      <c r="C20" s="515">
        <v>10</v>
      </c>
      <c r="D20" s="892" t="s">
        <v>1231</v>
      </c>
      <c r="E20" s="1191" t="e">
        <f t="array" ref="E20:U20">TRANSPOSE('10 Dda Efect SS Salud P2'!G58:G74)</f>
        <v>#REF!</v>
      </c>
      <c r="F20" s="1191" t="e">
        <v>#REF!</v>
      </c>
      <c r="G20" s="1191" t="e">
        <v>#REF!</v>
      </c>
      <c r="H20" s="1191" t="e">
        <v>#REF!</v>
      </c>
      <c r="I20" s="1191" t="e">
        <v>#REF!</v>
      </c>
      <c r="J20" s="1191" t="e">
        <v>#REF!</v>
      </c>
      <c r="K20" s="1191" t="e">
        <v>#REF!</v>
      </c>
      <c r="L20" s="1191" t="e">
        <v>#REF!</v>
      </c>
      <c r="M20" s="1191" t="e">
        <v>#REF!</v>
      </c>
      <c r="N20" s="1191" t="e">
        <v>#REF!</v>
      </c>
      <c r="O20" s="1191" t="e">
        <v>#REF!</v>
      </c>
      <c r="P20" s="1191" t="e">
        <v>#REF!</v>
      </c>
      <c r="Q20" s="1191" t="e">
        <v>#REF!</v>
      </c>
      <c r="R20" s="1191" t="e">
        <v>#REF!</v>
      </c>
      <c r="S20" s="1191" t="e">
        <v>#REF!</v>
      </c>
      <c r="T20" s="1191" t="e">
        <v>#REF!</v>
      </c>
      <c r="U20" s="1191" t="e">
        <v>#REF!</v>
      </c>
      <c r="W20" s="1193">
        <v>10</v>
      </c>
      <c r="X20" s="1191">
        <f>'13 Prod Historica'!J20</f>
        <v>12.2</v>
      </c>
      <c r="Y20" s="1191" t="e">
        <f t="shared" si="19"/>
        <v>#REF!</v>
      </c>
      <c r="Z20" s="1200" t="e">
        <f t="shared" si="20"/>
        <v>#REF!</v>
      </c>
      <c r="AA20" s="1199" t="e">
        <f t="shared" ref="AA20:AM20" si="26">Z20+$AR20</f>
        <v>#REF!</v>
      </c>
      <c r="AB20" s="1199" t="e">
        <f t="shared" si="26"/>
        <v>#REF!</v>
      </c>
      <c r="AC20" s="1199" t="e">
        <f t="shared" si="26"/>
        <v>#REF!</v>
      </c>
      <c r="AD20" s="1199" t="e">
        <f t="shared" si="26"/>
        <v>#REF!</v>
      </c>
      <c r="AE20" s="1199" t="e">
        <f t="shared" si="26"/>
        <v>#REF!</v>
      </c>
      <c r="AF20" s="1199" t="e">
        <f t="shared" si="26"/>
        <v>#REF!</v>
      </c>
      <c r="AG20" s="1199" t="e">
        <f t="shared" si="26"/>
        <v>#REF!</v>
      </c>
      <c r="AH20" s="1199" t="e">
        <f t="shared" si="26"/>
        <v>#REF!</v>
      </c>
      <c r="AI20" s="1199" t="e">
        <f t="shared" si="26"/>
        <v>#REF!</v>
      </c>
      <c r="AJ20" s="1199" t="e">
        <f t="shared" si="26"/>
        <v>#REF!</v>
      </c>
      <c r="AK20" s="1199" t="e">
        <f t="shared" si="26"/>
        <v>#REF!</v>
      </c>
      <c r="AL20" s="1199" t="e">
        <f t="shared" si="26"/>
        <v>#REF!</v>
      </c>
      <c r="AM20" s="1199" t="e">
        <f t="shared" si="26"/>
        <v>#REF!</v>
      </c>
      <c r="AN20" s="1199">
        <v>1</v>
      </c>
      <c r="AO20" s="1199">
        <v>1</v>
      </c>
      <c r="AP20" s="1199">
        <v>1</v>
      </c>
      <c r="AR20" s="620" t="e">
        <f t="shared" si="22"/>
        <v>#REF!</v>
      </c>
    </row>
    <row r="21" spans="3:44" ht="14.25" thickBot="1" x14ac:dyDescent="0.3">
      <c r="C21" s="515">
        <v>11</v>
      </c>
      <c r="D21" s="892" t="s">
        <v>1227</v>
      </c>
      <c r="E21" s="1191">
        <f t="array" ref="E21:U21">TRANSPOSE('10 Dda Efect SS Salud P2'!AA58:AA74)</f>
        <v>280.27982157439425</v>
      </c>
      <c r="F21" s="1191">
        <v>280.66726211446218</v>
      </c>
      <c r="G21" s="1191">
        <v>281.05496083927909</v>
      </c>
      <c r="H21" s="1191">
        <v>281.44291789076323</v>
      </c>
      <c r="I21" s="1191">
        <v>281.83113341090382</v>
      </c>
      <c r="J21" s="1191">
        <v>282.21960754176155</v>
      </c>
      <c r="K21" s="1191">
        <v>282.60834042546833</v>
      </c>
      <c r="L21" s="1191">
        <v>282.99733220422746</v>
      </c>
      <c r="M21" s="1191">
        <v>283.38658302031342</v>
      </c>
      <c r="N21" s="1191">
        <v>283.77609301607214</v>
      </c>
      <c r="O21" s="1191">
        <v>284.16586233392115</v>
      </c>
      <c r="P21" s="1191">
        <v>284.55589111634924</v>
      </c>
      <c r="Q21" s="1191">
        <v>284.94617950591675</v>
      </c>
      <c r="R21" s="1191">
        <v>285.33672764525556</v>
      </c>
      <c r="S21" s="1191">
        <v>285.72753567706911</v>
      </c>
      <c r="T21" s="1191">
        <v>286.11860374413237</v>
      </c>
      <c r="U21" s="1191">
        <v>286.509931989292</v>
      </c>
      <c r="W21" s="640">
        <v>11</v>
      </c>
      <c r="X21" s="1191">
        <f>'13 Prod Historica'!J21</f>
        <v>8</v>
      </c>
      <c r="Y21" s="1191">
        <f t="shared" si="19"/>
        <v>280.27982157439425</v>
      </c>
      <c r="Z21" s="1201">
        <v>1</v>
      </c>
      <c r="AA21" s="1199">
        <f t="shared" ref="AA21:AM21" si="27">Z21+$AR21</f>
        <v>1</v>
      </c>
      <c r="AB21" s="1199">
        <f t="shared" si="27"/>
        <v>1</v>
      </c>
      <c r="AC21" s="1199">
        <f t="shared" si="27"/>
        <v>1</v>
      </c>
      <c r="AD21" s="1199">
        <f t="shared" si="27"/>
        <v>1</v>
      </c>
      <c r="AE21" s="1199">
        <f t="shared" si="27"/>
        <v>1</v>
      </c>
      <c r="AF21" s="1199">
        <f t="shared" si="27"/>
        <v>1</v>
      </c>
      <c r="AG21" s="1199">
        <f t="shared" si="27"/>
        <v>1</v>
      </c>
      <c r="AH21" s="1199">
        <f t="shared" si="27"/>
        <v>1</v>
      </c>
      <c r="AI21" s="1199">
        <f t="shared" si="27"/>
        <v>1</v>
      </c>
      <c r="AJ21" s="1199">
        <f t="shared" si="27"/>
        <v>1</v>
      </c>
      <c r="AK21" s="1199">
        <f t="shared" si="27"/>
        <v>1</v>
      </c>
      <c r="AL21" s="1199">
        <f t="shared" si="27"/>
        <v>1</v>
      </c>
      <c r="AM21" s="1199">
        <f t="shared" si="27"/>
        <v>1</v>
      </c>
      <c r="AN21" s="1199">
        <v>1</v>
      </c>
      <c r="AO21" s="1199">
        <v>1</v>
      </c>
      <c r="AP21" s="1199">
        <v>1</v>
      </c>
      <c r="AR21" s="620">
        <f t="shared" si="22"/>
        <v>0</v>
      </c>
    </row>
    <row r="22" spans="3:44" ht="14.25" thickBot="1" x14ac:dyDescent="0.3">
      <c r="C22" s="515">
        <v>12</v>
      </c>
      <c r="D22" s="892" t="s">
        <v>1229</v>
      </c>
      <c r="E22" s="1191">
        <f t="array" ref="E22:U22">TRANSPOSE('10 Dda Efect SS Salud P2'!AK55:AK71)</f>
        <v>153.0723640893867</v>
      </c>
      <c r="F22" s="1191">
        <v>153.1316807551656</v>
      </c>
      <c r="G22" s="1191">
        <v>153.19102040658831</v>
      </c>
      <c r="H22" s="1191">
        <v>153.25038305256194</v>
      </c>
      <c r="I22" s="1191">
        <v>153.30976870199706</v>
      </c>
      <c r="J22" s="1191">
        <v>153.36917736380767</v>
      </c>
      <c r="K22" s="1191">
        <v>153.42860904691122</v>
      </c>
      <c r="L22" s="1191">
        <v>153.48806376022864</v>
      </c>
      <c r="M22" s="1191">
        <v>153.54754151268435</v>
      </c>
      <c r="N22" s="1191">
        <v>153.60704231320611</v>
      </c>
      <c r="O22" s="1191">
        <v>153.66656617072528</v>
      </c>
      <c r="P22" s="1191">
        <v>153.72611309417658</v>
      </c>
      <c r="Q22" s="1191">
        <v>153.78568309249823</v>
      </c>
      <c r="R22" s="1191">
        <v>153.84527617463192</v>
      </c>
      <c r="S22" s="1191">
        <v>153.90489234952281</v>
      </c>
      <c r="T22" s="1191">
        <v>153.96453162611945</v>
      </c>
      <c r="U22" s="1191">
        <v>154.02419401337403</v>
      </c>
      <c r="W22" s="1193">
        <v>12</v>
      </c>
      <c r="X22" s="1191">
        <f>'13 Prod Historica'!J22</f>
        <v>8.6</v>
      </c>
      <c r="Y22" s="1191">
        <f t="shared" si="19"/>
        <v>153.0723640893867</v>
      </c>
      <c r="Z22" s="1200">
        <f t="shared" si="20"/>
        <v>5.6182577770720422E-2</v>
      </c>
      <c r="AA22" s="1199">
        <f t="shared" ref="AA22:AM22" si="28">Z22+$AR22</f>
        <v>0.12359810792995468</v>
      </c>
      <c r="AB22" s="1199">
        <f t="shared" si="28"/>
        <v>0.19101363808918892</v>
      </c>
      <c r="AC22" s="1199">
        <f t="shared" si="28"/>
        <v>0.25842916824842316</v>
      </c>
      <c r="AD22" s="1199">
        <f t="shared" si="28"/>
        <v>0.3258446984076574</v>
      </c>
      <c r="AE22" s="1199">
        <f t="shared" si="28"/>
        <v>0.39326022856689163</v>
      </c>
      <c r="AF22" s="1199">
        <f t="shared" si="28"/>
        <v>0.46067575872612587</v>
      </c>
      <c r="AG22" s="1199">
        <f t="shared" si="28"/>
        <v>0.52809128888536017</v>
      </c>
      <c r="AH22" s="1199">
        <f t="shared" si="28"/>
        <v>0.59550681904459446</v>
      </c>
      <c r="AI22" s="1199">
        <f t="shared" si="28"/>
        <v>0.66292234920382875</v>
      </c>
      <c r="AJ22" s="1199">
        <f t="shared" si="28"/>
        <v>0.73033787936306305</v>
      </c>
      <c r="AK22" s="1199">
        <f t="shared" si="28"/>
        <v>0.79775340952229734</v>
      </c>
      <c r="AL22" s="1199">
        <f t="shared" si="28"/>
        <v>0.86516893968153163</v>
      </c>
      <c r="AM22" s="1199">
        <f t="shared" si="28"/>
        <v>0.93258446984076593</v>
      </c>
      <c r="AN22" s="1199">
        <v>1</v>
      </c>
      <c r="AO22" s="1199">
        <v>1</v>
      </c>
      <c r="AP22" s="1199">
        <v>1</v>
      </c>
      <c r="AR22" s="620">
        <f t="shared" si="22"/>
        <v>6.7415530159234252E-2</v>
      </c>
    </row>
    <row r="23" spans="3:44" ht="14.25" thickBot="1" x14ac:dyDescent="0.3">
      <c r="C23" s="515">
        <v>13</v>
      </c>
      <c r="D23" s="892" t="s">
        <v>1313</v>
      </c>
      <c r="E23" s="1191">
        <f t="array" ref="E23:U23">TRANSPOSE('10 Dda Efect SS Salud P2'!G122:G138)</f>
        <v>0</v>
      </c>
      <c r="F23" s="1191">
        <v>0</v>
      </c>
      <c r="G23" s="1191">
        <v>0</v>
      </c>
      <c r="H23" s="1191">
        <v>0</v>
      </c>
      <c r="I23" s="1191">
        <v>0</v>
      </c>
      <c r="J23" s="1191">
        <v>0</v>
      </c>
      <c r="K23" s="1191">
        <v>0</v>
      </c>
      <c r="L23" s="1191">
        <v>0</v>
      </c>
      <c r="M23" s="1191">
        <v>0</v>
      </c>
      <c r="N23" s="1191">
        <v>0</v>
      </c>
      <c r="O23" s="1191">
        <v>0</v>
      </c>
      <c r="P23" s="1191">
        <v>0</v>
      </c>
      <c r="Q23" s="1191">
        <v>0</v>
      </c>
      <c r="R23" s="1191">
        <v>0</v>
      </c>
      <c r="S23" s="1191">
        <v>0</v>
      </c>
      <c r="T23" s="1191">
        <v>0</v>
      </c>
      <c r="U23" s="1191">
        <v>0</v>
      </c>
      <c r="W23" s="1193">
        <v>14</v>
      </c>
      <c r="X23" s="1191">
        <f>'13 Prod Historica'!J24</f>
        <v>0</v>
      </c>
      <c r="Y23" s="1191">
        <f>E23</f>
        <v>0</v>
      </c>
      <c r="Z23" s="1200" t="e">
        <f>X23/Y23</f>
        <v>#DIV/0!</v>
      </c>
      <c r="AA23" s="1199" t="e">
        <f t="shared" ref="AA23:AM23" si="29">Z23+$AR23</f>
        <v>#DIV/0!</v>
      </c>
      <c r="AB23" s="1199" t="e">
        <f t="shared" si="29"/>
        <v>#DIV/0!</v>
      </c>
      <c r="AC23" s="1199" t="e">
        <f t="shared" si="29"/>
        <v>#DIV/0!</v>
      </c>
      <c r="AD23" s="1199" t="e">
        <f t="shared" si="29"/>
        <v>#DIV/0!</v>
      </c>
      <c r="AE23" s="1199" t="e">
        <f t="shared" si="29"/>
        <v>#DIV/0!</v>
      </c>
      <c r="AF23" s="1199" t="e">
        <f t="shared" si="29"/>
        <v>#DIV/0!</v>
      </c>
      <c r="AG23" s="1199" t="e">
        <f t="shared" si="29"/>
        <v>#DIV/0!</v>
      </c>
      <c r="AH23" s="1199" t="e">
        <f t="shared" si="29"/>
        <v>#DIV/0!</v>
      </c>
      <c r="AI23" s="1199" t="e">
        <f t="shared" si="29"/>
        <v>#DIV/0!</v>
      </c>
      <c r="AJ23" s="1199" t="e">
        <f t="shared" si="29"/>
        <v>#DIV/0!</v>
      </c>
      <c r="AK23" s="1199" t="e">
        <f t="shared" si="29"/>
        <v>#DIV/0!</v>
      </c>
      <c r="AL23" s="1199" t="e">
        <f t="shared" si="29"/>
        <v>#DIV/0!</v>
      </c>
      <c r="AM23" s="1199" t="e">
        <f t="shared" si="29"/>
        <v>#DIV/0!</v>
      </c>
      <c r="AN23" s="1199">
        <v>1</v>
      </c>
      <c r="AO23" s="1199">
        <v>1</v>
      </c>
      <c r="AP23" s="1199">
        <v>1</v>
      </c>
      <c r="AR23" s="620" t="e">
        <f t="shared" si="22"/>
        <v>#DIV/0!</v>
      </c>
    </row>
    <row r="24" spans="3:44" ht="14.25" thickBot="1" x14ac:dyDescent="0.3">
      <c r="C24" s="515">
        <v>14</v>
      </c>
      <c r="D24" s="892" t="s">
        <v>1314</v>
      </c>
      <c r="E24" s="1191">
        <f t="array" ref="E24:U24">TRANSPOSE('10 Dda Efect SS Salud P2'!S57:S73)</f>
        <v>763.60836253827313</v>
      </c>
      <c r="F24" s="1191">
        <v>763.90426638934468</v>
      </c>
      <c r="G24" s="1191">
        <v>764.20028490533241</v>
      </c>
      <c r="H24" s="1191">
        <v>764.49641813067012</v>
      </c>
      <c r="I24" s="1191">
        <v>764.79266610980869</v>
      </c>
      <c r="J24" s="1191">
        <v>765.08902888721559</v>
      </c>
      <c r="K24" s="1191">
        <v>765.38550650737636</v>
      </c>
      <c r="L24" s="1191">
        <v>765.68209901479315</v>
      </c>
      <c r="M24" s="1191">
        <v>765.97880645398595</v>
      </c>
      <c r="N24" s="1191">
        <v>766.27562886949158</v>
      </c>
      <c r="O24" s="1191">
        <v>766.5725663058638</v>
      </c>
      <c r="P24" s="1191">
        <v>766.86961880767456</v>
      </c>
      <c r="Q24" s="1191">
        <v>767.16678641951228</v>
      </c>
      <c r="R24" s="1191">
        <v>767.46406918598302</v>
      </c>
      <c r="S24" s="1191">
        <v>767.76146715171001</v>
      </c>
      <c r="T24" s="1191">
        <v>768.05898036133374</v>
      </c>
      <c r="U24" s="1191">
        <v>768.35660885951245</v>
      </c>
      <c r="W24" s="640">
        <v>15</v>
      </c>
      <c r="X24" s="1191" t="e">
        <f>'13 Prod Historica'!J25</f>
        <v>#REF!</v>
      </c>
      <c r="Y24" s="1191">
        <f t="shared" si="19"/>
        <v>763.60836253827313</v>
      </c>
      <c r="Z24" s="1200" t="e">
        <f t="shared" si="20"/>
        <v>#REF!</v>
      </c>
      <c r="AA24" s="1199" t="e">
        <f t="shared" ref="AA24:AM24" si="30">Z24+$AR24</f>
        <v>#REF!</v>
      </c>
      <c r="AB24" s="1199" t="e">
        <f t="shared" si="30"/>
        <v>#REF!</v>
      </c>
      <c r="AC24" s="1199" t="e">
        <f t="shared" si="30"/>
        <v>#REF!</v>
      </c>
      <c r="AD24" s="1199" t="e">
        <f t="shared" si="30"/>
        <v>#REF!</v>
      </c>
      <c r="AE24" s="1199" t="e">
        <f t="shared" si="30"/>
        <v>#REF!</v>
      </c>
      <c r="AF24" s="1199" t="e">
        <f t="shared" si="30"/>
        <v>#REF!</v>
      </c>
      <c r="AG24" s="1199" t="e">
        <f t="shared" si="30"/>
        <v>#REF!</v>
      </c>
      <c r="AH24" s="1199" t="e">
        <f t="shared" si="30"/>
        <v>#REF!</v>
      </c>
      <c r="AI24" s="1199" t="e">
        <f t="shared" si="30"/>
        <v>#REF!</v>
      </c>
      <c r="AJ24" s="1199" t="e">
        <f t="shared" si="30"/>
        <v>#REF!</v>
      </c>
      <c r="AK24" s="1199" t="e">
        <f t="shared" si="30"/>
        <v>#REF!</v>
      </c>
      <c r="AL24" s="1199" t="e">
        <f t="shared" si="30"/>
        <v>#REF!</v>
      </c>
      <c r="AM24" s="1199" t="e">
        <f t="shared" si="30"/>
        <v>#REF!</v>
      </c>
      <c r="AN24" s="1199">
        <v>1</v>
      </c>
      <c r="AO24" s="1199">
        <v>1</v>
      </c>
      <c r="AP24" s="1199">
        <v>1</v>
      </c>
      <c r="AR24" s="620" t="e">
        <f t="shared" si="22"/>
        <v>#REF!</v>
      </c>
    </row>
    <row r="25" spans="3:44" ht="14.25" thickBot="1" x14ac:dyDescent="0.3">
      <c r="C25" s="515">
        <v>15</v>
      </c>
      <c r="D25" s="892" t="s">
        <v>329</v>
      </c>
      <c r="E25" s="1191">
        <f t="array" ref="E25:U25">TRANSPOSE('9 Dda Efect SS Salud P1'!H90:H106)</f>
        <v>342</v>
      </c>
      <c r="F25" s="1191">
        <v>342.13252751283397</v>
      </c>
      <c r="G25" s="1191">
        <v>342.26510638105287</v>
      </c>
      <c r="H25" s="1191">
        <v>342.39773662455735</v>
      </c>
      <c r="I25" s="1191">
        <v>342.53041826325568</v>
      </c>
      <c r="J25" s="1191">
        <v>342.66315131706392</v>
      </c>
      <c r="K25" s="1191">
        <v>342.79593580590569</v>
      </c>
      <c r="L25" s="1191">
        <v>342.92877174971261</v>
      </c>
      <c r="M25" s="1191">
        <v>343.06165916842366</v>
      </c>
      <c r="N25" s="1191">
        <v>343.19459808198593</v>
      </c>
      <c r="O25" s="1191">
        <v>343.32758851035396</v>
      </c>
      <c r="P25" s="1191">
        <v>343.46063047349008</v>
      </c>
      <c r="Q25" s="1191">
        <v>343.59372399136447</v>
      </c>
      <c r="R25" s="1191">
        <v>343.72686908395491</v>
      </c>
      <c r="S25" s="1191">
        <v>343.86006577124704</v>
      </c>
      <c r="T25" s="1191">
        <v>343.99331407323416</v>
      </c>
      <c r="U25" s="1191">
        <v>344.12661400991732</v>
      </c>
      <c r="W25" s="1193">
        <v>16</v>
      </c>
      <c r="X25" s="1191">
        <f>'13 Prod Historica'!J26</f>
        <v>4.2</v>
      </c>
      <c r="Y25" s="1191">
        <f t="shared" si="19"/>
        <v>342</v>
      </c>
      <c r="Z25" s="1201">
        <f>X25/Y25</f>
        <v>1.2280701754385965E-2</v>
      </c>
      <c r="AA25" s="1199">
        <f t="shared" ref="AA25:AM25" si="31">Z25+$AR25</f>
        <v>8.2832080200501243E-2</v>
      </c>
      <c r="AB25" s="1199">
        <f t="shared" si="31"/>
        <v>0.15338345864661651</v>
      </c>
      <c r="AC25" s="1199">
        <f t="shared" si="31"/>
        <v>0.22393483709273179</v>
      </c>
      <c r="AD25" s="1199">
        <f t="shared" si="31"/>
        <v>0.29448621553884707</v>
      </c>
      <c r="AE25" s="1199">
        <f t="shared" si="31"/>
        <v>0.36503759398496238</v>
      </c>
      <c r="AF25" s="1199">
        <f t="shared" si="31"/>
        <v>0.43558897243107764</v>
      </c>
      <c r="AG25" s="1199">
        <f t="shared" si="31"/>
        <v>0.50614035087719289</v>
      </c>
      <c r="AH25" s="1199">
        <f t="shared" si="31"/>
        <v>0.57669172932330814</v>
      </c>
      <c r="AI25" s="1199">
        <f t="shared" si="31"/>
        <v>0.6472431077694234</v>
      </c>
      <c r="AJ25" s="1199">
        <f t="shared" si="31"/>
        <v>0.71779448621553865</v>
      </c>
      <c r="AK25" s="1199">
        <f t="shared" si="31"/>
        <v>0.78834586466165391</v>
      </c>
      <c r="AL25" s="1199">
        <f t="shared" si="31"/>
        <v>0.85889724310776916</v>
      </c>
      <c r="AM25" s="1199">
        <f t="shared" si="31"/>
        <v>0.92944862155388441</v>
      </c>
      <c r="AN25" s="1199">
        <v>1</v>
      </c>
      <c r="AO25" s="1199">
        <v>1</v>
      </c>
      <c r="AP25" s="1199">
        <v>1</v>
      </c>
      <c r="AR25" s="620">
        <f t="shared" si="22"/>
        <v>7.0551378446115282E-2</v>
      </c>
    </row>
    <row r="26" spans="3:44" ht="14.25" thickBot="1" x14ac:dyDescent="0.3">
      <c r="C26" s="515">
        <v>16</v>
      </c>
      <c r="D26" s="892" t="s">
        <v>412</v>
      </c>
      <c r="E26" s="1191">
        <f t="array" ref="E26:U26">TRANSPOSE('9 Dda Efect SS Salud P1'!N90:N106)</f>
        <v>974.02368000000001</v>
      </c>
      <c r="F26" s="1191">
        <v>974.40112133260743</v>
      </c>
      <c r="G26" s="1191">
        <v>974.77870892650458</v>
      </c>
      <c r="H26" s="1191">
        <v>975.15644283836889</v>
      </c>
      <c r="I26" s="1191">
        <v>975.5343231248994</v>
      </c>
      <c r="J26" s="1191">
        <v>975.91234984281709</v>
      </c>
      <c r="K26" s="1191">
        <v>976.29052304886568</v>
      </c>
      <c r="L26" s="1191">
        <v>976.66884279981025</v>
      </c>
      <c r="M26" s="1191">
        <v>977.04730915243795</v>
      </c>
      <c r="N26" s="1191">
        <v>977.42592216355808</v>
      </c>
      <c r="O26" s="1191">
        <v>977.80468189000203</v>
      </c>
      <c r="P26" s="1191">
        <v>978.18358838862264</v>
      </c>
      <c r="Q26" s="1191">
        <v>978.56264171629562</v>
      </c>
      <c r="R26" s="1191">
        <v>978.94184192991804</v>
      </c>
      <c r="S26" s="1191">
        <v>979.3211890864095</v>
      </c>
      <c r="T26" s="1191">
        <v>979.70068324271119</v>
      </c>
      <c r="U26" s="1191">
        <v>980.08032445578692</v>
      </c>
      <c r="W26" s="640">
        <v>17</v>
      </c>
      <c r="X26" s="1191">
        <f>'13 Prod Historica'!J27</f>
        <v>59.4</v>
      </c>
      <c r="Y26" s="1191">
        <f t="shared" si="19"/>
        <v>974.02368000000001</v>
      </c>
      <c r="Z26" s="1200">
        <f t="shared" si="20"/>
        <v>6.0984143629855075E-2</v>
      </c>
      <c r="AA26" s="1199">
        <f t="shared" ref="AA26:AM26" si="32">Z26+$AR26</f>
        <v>0.12805670479915116</v>
      </c>
      <c r="AB26" s="1199">
        <f t="shared" si="32"/>
        <v>0.19512926596844721</v>
      </c>
      <c r="AC26" s="1199">
        <f t="shared" si="32"/>
        <v>0.26220182713774326</v>
      </c>
      <c r="AD26" s="1199">
        <f t="shared" si="32"/>
        <v>0.32927438830703931</v>
      </c>
      <c r="AE26" s="1199">
        <f t="shared" si="32"/>
        <v>0.39634694947633536</v>
      </c>
      <c r="AF26" s="1199">
        <f t="shared" si="32"/>
        <v>0.46341951064563142</v>
      </c>
      <c r="AG26" s="1199">
        <f t="shared" si="32"/>
        <v>0.53049207181492752</v>
      </c>
      <c r="AH26" s="1199">
        <f t="shared" si="32"/>
        <v>0.59756463298422358</v>
      </c>
      <c r="AI26" s="1199">
        <f t="shared" si="32"/>
        <v>0.66463719415351963</v>
      </c>
      <c r="AJ26" s="1199">
        <f t="shared" si="32"/>
        <v>0.73170975532281568</v>
      </c>
      <c r="AK26" s="1199">
        <f t="shared" si="32"/>
        <v>0.79878231649211173</v>
      </c>
      <c r="AL26" s="1199">
        <f t="shared" si="32"/>
        <v>0.86585487766140778</v>
      </c>
      <c r="AM26" s="1199">
        <f t="shared" si="32"/>
        <v>0.93292743883070384</v>
      </c>
      <c r="AN26" s="1199">
        <v>1</v>
      </c>
      <c r="AO26" s="1199">
        <v>1</v>
      </c>
      <c r="AP26" s="1199">
        <v>1</v>
      </c>
      <c r="AR26" s="620">
        <f t="shared" si="22"/>
        <v>6.7072561169296066E-2</v>
      </c>
    </row>
    <row r="27" spans="3:44" ht="14.25" thickBot="1" x14ac:dyDescent="0.3">
      <c r="C27" s="515">
        <v>17</v>
      </c>
      <c r="D27" s="892" t="s">
        <v>1234</v>
      </c>
      <c r="E27" s="1191">
        <f t="array" ref="E27:U27">TRANSPOSE('9 Dda Efect SS Salud P1'!S90:S106)</f>
        <v>228</v>
      </c>
      <c r="F27" s="1191">
        <v>228.08835167522264</v>
      </c>
      <c r="G27" s="1191">
        <v>228.17673758736859</v>
      </c>
      <c r="H27" s="1191">
        <v>228.26515774970488</v>
      </c>
      <c r="I27" s="1191">
        <v>228.3536121755038</v>
      </c>
      <c r="J27" s="1191">
        <v>228.4421008780426</v>
      </c>
      <c r="K27" s="1191">
        <v>228.53062387060379</v>
      </c>
      <c r="L27" s="1191">
        <v>228.61918116647507</v>
      </c>
      <c r="M27" s="1191">
        <v>228.70777277894911</v>
      </c>
      <c r="N27" s="1191">
        <v>228.79639872132395</v>
      </c>
      <c r="O27" s="1191">
        <v>228.88505900690262</v>
      </c>
      <c r="P27" s="1191">
        <v>228.97375364899341</v>
      </c>
      <c r="Q27" s="1191">
        <v>229.06248266090964</v>
      </c>
      <c r="R27" s="1191">
        <v>229.15124605596992</v>
      </c>
      <c r="S27" s="1191">
        <v>229.24004384749804</v>
      </c>
      <c r="T27" s="1191">
        <v>229.32887604882279</v>
      </c>
      <c r="U27" s="1191">
        <v>229.41774267327821</v>
      </c>
      <c r="W27" s="1193">
        <v>18</v>
      </c>
      <c r="X27" s="1191">
        <f>'13 Prod Historica'!J28</f>
        <v>0</v>
      </c>
      <c r="Y27" s="1191">
        <f t="shared" si="19"/>
        <v>228</v>
      </c>
      <c r="Z27" s="1200">
        <f t="shared" si="20"/>
        <v>0</v>
      </c>
      <c r="AA27" s="1199">
        <f t="shared" ref="AA27:AM27" si="33">Z27+$AR27</f>
        <v>7.1428571428571425E-2</v>
      </c>
      <c r="AB27" s="1199">
        <f t="shared" si="33"/>
        <v>0.14285714285714285</v>
      </c>
      <c r="AC27" s="1199">
        <f t="shared" si="33"/>
        <v>0.21428571428571427</v>
      </c>
      <c r="AD27" s="1199">
        <f t="shared" si="33"/>
        <v>0.2857142857142857</v>
      </c>
      <c r="AE27" s="1199">
        <f t="shared" si="33"/>
        <v>0.3571428571428571</v>
      </c>
      <c r="AF27" s="1199">
        <f t="shared" si="33"/>
        <v>0.42857142857142849</v>
      </c>
      <c r="AG27" s="1199">
        <f t="shared" si="33"/>
        <v>0.49999999999999989</v>
      </c>
      <c r="AH27" s="1199">
        <f t="shared" si="33"/>
        <v>0.57142857142857129</v>
      </c>
      <c r="AI27" s="1199">
        <f t="shared" si="33"/>
        <v>0.64285714285714268</v>
      </c>
      <c r="AJ27" s="1199">
        <f t="shared" si="33"/>
        <v>0.71428571428571408</v>
      </c>
      <c r="AK27" s="1199">
        <f t="shared" si="33"/>
        <v>0.78571428571428548</v>
      </c>
      <c r="AL27" s="1199">
        <f t="shared" si="33"/>
        <v>0.85714285714285687</v>
      </c>
      <c r="AM27" s="1199">
        <f t="shared" si="33"/>
        <v>0.92857142857142827</v>
      </c>
      <c r="AN27" s="1199">
        <v>1</v>
      </c>
      <c r="AO27" s="1199">
        <v>1</v>
      </c>
      <c r="AP27" s="1199">
        <v>1</v>
      </c>
      <c r="AR27" s="620">
        <f t="shared" si="22"/>
        <v>7.1428571428571425E-2</v>
      </c>
    </row>
    <row r="28" spans="3:44" ht="14.25" thickBot="1" x14ac:dyDescent="0.3">
      <c r="C28" s="515">
        <v>18</v>
      </c>
      <c r="D28" s="892" t="s">
        <v>1969</v>
      </c>
      <c r="E28" s="1191">
        <f t="array" ref="E28:U28">TRANSPOSE('10 Dda Efect SS Salud P2'!I179:I195)</f>
        <v>493.25628435343401</v>
      </c>
      <c r="F28" s="1191">
        <v>495.24996846508338</v>
      </c>
      <c r="G28" s="1191">
        <v>497.25171081433285</v>
      </c>
      <c r="H28" s="1191">
        <v>499.26154397163464</v>
      </c>
      <c r="I28" s="1191">
        <v>501.27950063908702</v>
      </c>
      <c r="J28" s="1191">
        <v>503.30561365096622</v>
      </c>
      <c r="K28" s="1191">
        <v>505.33991597426086</v>
      </c>
      <c r="L28" s="1191">
        <v>507.38244070920825</v>
      </c>
      <c r="M28" s="1191">
        <v>509.4332210898329</v>
      </c>
      <c r="N28" s="1191">
        <v>511.49229048448746</v>
      </c>
      <c r="O28" s="1191">
        <v>513.55968239639549</v>
      </c>
      <c r="P28" s="1191">
        <v>515.63543046419659</v>
      </c>
      <c r="Q28" s="1191">
        <v>517.71956846249395</v>
      </c>
      <c r="R28" s="1191">
        <v>519.81213030240372</v>
      </c>
      <c r="S28" s="1191">
        <v>521.91315003210661</v>
      </c>
      <c r="T28" s="1191">
        <v>524.02266183740244</v>
      </c>
      <c r="U28" s="1191">
        <v>526.14070004226562</v>
      </c>
      <c r="W28" s="640">
        <v>19</v>
      </c>
      <c r="X28" s="1191">
        <f>'13 Prod Historica'!J29</f>
        <v>3.8</v>
      </c>
      <c r="Y28" s="1191">
        <f t="shared" si="19"/>
        <v>493.25628435343401</v>
      </c>
      <c r="Z28" s="1200">
        <f>X28/Y28</f>
        <v>7.7039059015357163E-3</v>
      </c>
      <c r="AA28" s="1199">
        <f t="shared" ref="AA28:AM28" si="34">Z28+$AR28</f>
        <v>7.8582198337140308E-2</v>
      </c>
      <c r="AB28" s="1199">
        <f t="shared" si="34"/>
        <v>0.1494604907727449</v>
      </c>
      <c r="AC28" s="1199">
        <f t="shared" si="34"/>
        <v>0.22033878320834949</v>
      </c>
      <c r="AD28" s="1199">
        <f t="shared" si="34"/>
        <v>0.29121707564395405</v>
      </c>
      <c r="AE28" s="1199">
        <f t="shared" si="34"/>
        <v>0.36209536807955867</v>
      </c>
      <c r="AF28" s="1199">
        <f t="shared" si="34"/>
        <v>0.43297366051516328</v>
      </c>
      <c r="AG28" s="1199">
        <f t="shared" si="34"/>
        <v>0.5038519529507679</v>
      </c>
      <c r="AH28" s="1199">
        <f t="shared" si="34"/>
        <v>0.57473024538637252</v>
      </c>
      <c r="AI28" s="1199">
        <f t="shared" si="34"/>
        <v>0.64560853782197714</v>
      </c>
      <c r="AJ28" s="1199">
        <f t="shared" si="34"/>
        <v>0.71648683025758175</v>
      </c>
      <c r="AK28" s="1199">
        <f t="shared" si="34"/>
        <v>0.78736512269318637</v>
      </c>
      <c r="AL28" s="1199">
        <f t="shared" si="34"/>
        <v>0.85824341512879099</v>
      </c>
      <c r="AM28" s="1199">
        <f t="shared" si="34"/>
        <v>0.9291217075643956</v>
      </c>
      <c r="AN28" s="1199">
        <v>1</v>
      </c>
      <c r="AO28" s="1199">
        <v>1</v>
      </c>
      <c r="AP28" s="1199">
        <v>1</v>
      </c>
      <c r="AR28" s="620">
        <f t="shared" si="22"/>
        <v>7.087829243560459E-2</v>
      </c>
    </row>
    <row r="29" spans="3:44" ht="14.25" thickBot="1" x14ac:dyDescent="0.3">
      <c r="C29" s="515">
        <v>19</v>
      </c>
      <c r="D29" s="892" t="s">
        <v>1970</v>
      </c>
      <c r="E29" s="1191">
        <f t="array" ref="E29:U29">TRANSPOSE('10 Dda Efect SS Salud P2'!M179:M195)</f>
        <v>119.63085488552655</v>
      </c>
      <c r="F29" s="1191">
        <v>120.55434064521725</v>
      </c>
      <c r="G29" s="1191">
        <v>121.47852415594045</v>
      </c>
      <c r="H29" s="1191">
        <v>122.40340581979112</v>
      </c>
      <c r="I29" s="1191">
        <v>123.32898603907097</v>
      </c>
      <c r="J29" s="1191">
        <v>124.25526521628865</v>
      </c>
      <c r="K29" s="1191">
        <v>125.18224375415994</v>
      </c>
      <c r="L29" s="1191">
        <v>126.1099220556078</v>
      </c>
      <c r="M29" s="1191">
        <v>127.03830052376233</v>
      </c>
      <c r="N29" s="1191">
        <v>127.96737956196105</v>
      </c>
      <c r="O29" s="1191">
        <v>128.89715957374889</v>
      </c>
      <c r="P29" s="1191">
        <v>129.82764096287838</v>
      </c>
      <c r="Q29" s="1191">
        <v>130.75882413330976</v>
      </c>
      <c r="R29" s="1191">
        <v>131.69070948921089</v>
      </c>
      <c r="S29" s="1191">
        <v>132.62329743495758</v>
      </c>
      <c r="T29" s="1191">
        <v>133.55658837513352</v>
      </c>
      <c r="U29" s="1191">
        <v>134.49058271453052</v>
      </c>
      <c r="W29" s="640"/>
      <c r="X29" s="1191">
        <f>'13 Prod Historica'!J30</f>
        <v>2</v>
      </c>
      <c r="Y29" s="1191">
        <f t="shared" si="19"/>
        <v>119.63085488552655</v>
      </c>
      <c r="Z29" s="1201">
        <f>X29/Y29</f>
        <v>1.6718095025850799E-2</v>
      </c>
      <c r="AA29" s="1199">
        <f t="shared" ref="AA29:AM29" si="35">Z29+$AR29</f>
        <v>8.6952516809718605E-2</v>
      </c>
      <c r="AB29" s="1199">
        <f t="shared" si="35"/>
        <v>0.1571869385935864</v>
      </c>
      <c r="AC29" s="1199">
        <f t="shared" si="35"/>
        <v>0.2274213603774542</v>
      </c>
      <c r="AD29" s="1199">
        <f t="shared" si="35"/>
        <v>0.29765578216132199</v>
      </c>
      <c r="AE29" s="1199">
        <f t="shared" si="35"/>
        <v>0.36789020394518979</v>
      </c>
      <c r="AF29" s="1199">
        <f t="shared" si="35"/>
        <v>0.43812462572905758</v>
      </c>
      <c r="AG29" s="1199">
        <f t="shared" si="35"/>
        <v>0.50835904751292538</v>
      </c>
      <c r="AH29" s="1199">
        <f t="shared" si="35"/>
        <v>0.57859346929679323</v>
      </c>
      <c r="AI29" s="1199">
        <f t="shared" si="35"/>
        <v>0.64882789108066108</v>
      </c>
      <c r="AJ29" s="1199">
        <f t="shared" si="35"/>
        <v>0.71906231286452893</v>
      </c>
      <c r="AK29" s="1199">
        <f t="shared" si="35"/>
        <v>0.78929673464839678</v>
      </c>
      <c r="AL29" s="1199">
        <f t="shared" si="35"/>
        <v>0.85953115643226463</v>
      </c>
      <c r="AM29" s="1199">
        <f t="shared" si="35"/>
        <v>0.92976557821613248</v>
      </c>
      <c r="AN29" s="1199">
        <v>1</v>
      </c>
      <c r="AO29" s="1199">
        <v>1</v>
      </c>
      <c r="AP29" s="1199">
        <v>1</v>
      </c>
      <c r="AR29" s="620">
        <f t="shared" si="22"/>
        <v>7.0234421783867809E-2</v>
      </c>
    </row>
    <row r="30" spans="3:44" ht="14.25" thickBot="1" x14ac:dyDescent="0.3">
      <c r="C30" s="515">
        <v>20</v>
      </c>
      <c r="D30" s="892" t="s">
        <v>1746</v>
      </c>
      <c r="E30" s="1191">
        <f t="array" ref="E30:U30">TRANSPOSE('10 Dda Efect SS Salud P2'!F151:F167)</f>
        <v>76</v>
      </c>
      <c r="F30" s="1191">
        <v>76.029450558407547</v>
      </c>
      <c r="G30" s="1191">
        <v>76.058912529122864</v>
      </c>
      <c r="H30" s="1191">
        <v>76.088385916568299</v>
      </c>
      <c r="I30" s="1191">
        <v>76.117870725167933</v>
      </c>
      <c r="J30" s="1191">
        <v>76.147366959347536</v>
      </c>
      <c r="K30" s="1191">
        <v>76.176874623534601</v>
      </c>
      <c r="L30" s="1191">
        <v>76.206393722158353</v>
      </c>
      <c r="M30" s="1191">
        <v>76.235924259649707</v>
      </c>
      <c r="N30" s="1191">
        <v>76.265466240441313</v>
      </c>
      <c r="O30" s="1191">
        <v>76.295019668967541</v>
      </c>
      <c r="P30" s="1191">
        <v>76.324584549664465</v>
      </c>
      <c r="Q30" s="1191">
        <v>76.354160886969879</v>
      </c>
      <c r="R30" s="1191">
        <v>76.383748685323312</v>
      </c>
      <c r="S30" s="1191">
        <v>76.41334794916601</v>
      </c>
      <c r="T30" s="1191">
        <v>76.442958682940926</v>
      </c>
      <c r="U30" s="1191">
        <v>76.472580891092733</v>
      </c>
      <c r="W30" s="1193">
        <v>20</v>
      </c>
      <c r="X30" s="1191">
        <f>'13 Prod Historica'!J31</f>
        <v>50.6</v>
      </c>
      <c r="Y30" s="1191">
        <f t="shared" si="19"/>
        <v>76</v>
      </c>
      <c r="Z30" s="1201">
        <v>1</v>
      </c>
      <c r="AA30" s="1199">
        <f t="shared" ref="AA30:AM30" si="36">Z30+$AR30</f>
        <v>1</v>
      </c>
      <c r="AB30" s="1199">
        <f t="shared" si="36"/>
        <v>1</v>
      </c>
      <c r="AC30" s="1199">
        <f t="shared" si="36"/>
        <v>1</v>
      </c>
      <c r="AD30" s="1199">
        <f t="shared" si="36"/>
        <v>1</v>
      </c>
      <c r="AE30" s="1199">
        <f t="shared" si="36"/>
        <v>1</v>
      </c>
      <c r="AF30" s="1199">
        <f t="shared" si="36"/>
        <v>1</v>
      </c>
      <c r="AG30" s="1199">
        <f t="shared" si="36"/>
        <v>1</v>
      </c>
      <c r="AH30" s="1199">
        <f t="shared" si="36"/>
        <v>1</v>
      </c>
      <c r="AI30" s="1199">
        <f t="shared" si="36"/>
        <v>1</v>
      </c>
      <c r="AJ30" s="1199">
        <f t="shared" si="36"/>
        <v>1</v>
      </c>
      <c r="AK30" s="1199">
        <f t="shared" si="36"/>
        <v>1</v>
      </c>
      <c r="AL30" s="1199">
        <f t="shared" si="36"/>
        <v>1</v>
      </c>
      <c r="AM30" s="1199">
        <f t="shared" si="36"/>
        <v>1</v>
      </c>
      <c r="AN30" s="1199">
        <v>1</v>
      </c>
      <c r="AO30" s="1199">
        <v>1</v>
      </c>
      <c r="AP30" s="1199">
        <v>1</v>
      </c>
      <c r="AR30" s="620">
        <f t="shared" si="22"/>
        <v>0</v>
      </c>
    </row>
    <row r="31" spans="3:44" ht="14.25" thickBot="1" x14ac:dyDescent="0.3">
      <c r="C31" s="515">
        <v>21</v>
      </c>
      <c r="D31" s="892" t="s">
        <v>1235</v>
      </c>
      <c r="E31" s="1191" t="e">
        <f t="array" ref="E31:U31">TRANSPOSE('10 Dda Efect SS Salud P2'!G211:G227)</f>
        <v>#DIV/0!</v>
      </c>
      <c r="F31" s="1191" t="e">
        <v>#DIV/0!</v>
      </c>
      <c r="G31" s="1191" t="e">
        <v>#DIV/0!</v>
      </c>
      <c r="H31" s="1191" t="e">
        <v>#DIV/0!</v>
      </c>
      <c r="I31" s="1191" t="e">
        <v>#DIV/0!</v>
      </c>
      <c r="J31" s="1191" t="e">
        <v>#DIV/0!</v>
      </c>
      <c r="K31" s="1191" t="e">
        <v>#DIV/0!</v>
      </c>
      <c r="L31" s="1191" t="e">
        <v>#DIV/0!</v>
      </c>
      <c r="M31" s="1191" t="e">
        <v>#DIV/0!</v>
      </c>
      <c r="N31" s="1191" t="e">
        <v>#DIV/0!</v>
      </c>
      <c r="O31" s="1191" t="e">
        <v>#DIV/0!</v>
      </c>
      <c r="P31" s="1191" t="e">
        <v>#DIV/0!</v>
      </c>
      <c r="Q31" s="1191" t="e">
        <v>#DIV/0!</v>
      </c>
      <c r="R31" s="1191" t="e">
        <v>#DIV/0!</v>
      </c>
      <c r="S31" s="1191" t="e">
        <v>#DIV/0!</v>
      </c>
      <c r="T31" s="1191" t="e">
        <v>#DIV/0!</v>
      </c>
      <c r="U31" s="1191" t="e">
        <v>#DIV/0!</v>
      </c>
      <c r="W31" s="640">
        <v>21</v>
      </c>
      <c r="X31" s="1191">
        <f>'13 Prod Historica'!J32</f>
        <v>0</v>
      </c>
      <c r="Y31" s="1191" t="e">
        <f t="shared" si="19"/>
        <v>#DIV/0!</v>
      </c>
      <c r="Z31" s="1200" t="e">
        <f>X31/Y31</f>
        <v>#DIV/0!</v>
      </c>
      <c r="AA31" s="1199" t="e">
        <f t="shared" ref="AA31:AM31" si="37">Z31+$AR31</f>
        <v>#DIV/0!</v>
      </c>
      <c r="AB31" s="1199" t="e">
        <f t="shared" si="37"/>
        <v>#DIV/0!</v>
      </c>
      <c r="AC31" s="1199" t="e">
        <f t="shared" si="37"/>
        <v>#DIV/0!</v>
      </c>
      <c r="AD31" s="1199" t="e">
        <f t="shared" si="37"/>
        <v>#DIV/0!</v>
      </c>
      <c r="AE31" s="1199" t="e">
        <f t="shared" si="37"/>
        <v>#DIV/0!</v>
      </c>
      <c r="AF31" s="1199" t="e">
        <f t="shared" si="37"/>
        <v>#DIV/0!</v>
      </c>
      <c r="AG31" s="1199" t="e">
        <f t="shared" si="37"/>
        <v>#DIV/0!</v>
      </c>
      <c r="AH31" s="1199" t="e">
        <f t="shared" si="37"/>
        <v>#DIV/0!</v>
      </c>
      <c r="AI31" s="1199" t="e">
        <f t="shared" si="37"/>
        <v>#DIV/0!</v>
      </c>
      <c r="AJ31" s="1199" t="e">
        <f t="shared" si="37"/>
        <v>#DIV/0!</v>
      </c>
      <c r="AK31" s="1199" t="e">
        <f t="shared" si="37"/>
        <v>#DIV/0!</v>
      </c>
      <c r="AL31" s="1199" t="e">
        <f t="shared" si="37"/>
        <v>#DIV/0!</v>
      </c>
      <c r="AM31" s="1199" t="e">
        <f t="shared" si="37"/>
        <v>#DIV/0!</v>
      </c>
      <c r="AN31" s="1199">
        <v>1</v>
      </c>
      <c r="AO31" s="1199">
        <v>1</v>
      </c>
      <c r="AP31" s="1199">
        <v>1</v>
      </c>
      <c r="AR31" s="620" t="e">
        <f t="shared" si="22"/>
        <v>#DIV/0!</v>
      </c>
    </row>
    <row r="32" spans="3:44" ht="14.25" thickBot="1" x14ac:dyDescent="0.3">
      <c r="C32" s="515">
        <v>22</v>
      </c>
      <c r="D32" s="892" t="s">
        <v>1798</v>
      </c>
      <c r="E32" s="1191" t="e">
        <f t="array" ref="E32:U32">TRANSPOSE('11 Dda SS Salud P3'!F17:F33)</f>
        <v>#DIV/0!</v>
      </c>
      <c r="F32" s="1191" t="e">
        <v>#DIV/0!</v>
      </c>
      <c r="G32" s="1191" t="e">
        <v>#DIV/0!</v>
      </c>
      <c r="H32" s="1191" t="e">
        <v>#DIV/0!</v>
      </c>
      <c r="I32" s="1191" t="e">
        <v>#DIV/0!</v>
      </c>
      <c r="J32" s="1191" t="e">
        <v>#DIV/0!</v>
      </c>
      <c r="K32" s="1191" t="e">
        <v>#DIV/0!</v>
      </c>
      <c r="L32" s="1191" t="e">
        <v>#DIV/0!</v>
      </c>
      <c r="M32" s="1191" t="e">
        <v>#DIV/0!</v>
      </c>
      <c r="N32" s="1191" t="e">
        <v>#DIV/0!</v>
      </c>
      <c r="O32" s="1191" t="e">
        <v>#DIV/0!</v>
      </c>
      <c r="P32" s="1191" t="e">
        <v>#DIV/0!</v>
      </c>
      <c r="Q32" s="1191" t="e">
        <v>#DIV/0!</v>
      </c>
      <c r="R32" s="1191" t="e">
        <v>#DIV/0!</v>
      </c>
      <c r="S32" s="1191" t="e">
        <v>#DIV/0!</v>
      </c>
      <c r="T32" s="1191" t="e">
        <v>#DIV/0!</v>
      </c>
      <c r="U32" s="1191" t="e">
        <v>#DIV/0!</v>
      </c>
      <c r="W32" s="1193">
        <v>22</v>
      </c>
      <c r="X32" s="1191">
        <f>'13 Prod Historica'!J33</f>
        <v>299</v>
      </c>
      <c r="Y32" s="1191" t="e">
        <f t="shared" si="19"/>
        <v>#DIV/0!</v>
      </c>
      <c r="Z32" s="1198">
        <v>1</v>
      </c>
      <c r="AA32" s="1199">
        <f t="shared" ref="AA32:AM32" si="38">Z32+$AR32</f>
        <v>1</v>
      </c>
      <c r="AB32" s="1199">
        <f t="shared" si="38"/>
        <v>1</v>
      </c>
      <c r="AC32" s="1199">
        <f t="shared" si="38"/>
        <v>1</v>
      </c>
      <c r="AD32" s="1199">
        <f t="shared" si="38"/>
        <v>1</v>
      </c>
      <c r="AE32" s="1199">
        <f t="shared" si="38"/>
        <v>1</v>
      </c>
      <c r="AF32" s="1199">
        <f t="shared" si="38"/>
        <v>1</v>
      </c>
      <c r="AG32" s="1199">
        <f t="shared" si="38"/>
        <v>1</v>
      </c>
      <c r="AH32" s="1199">
        <f t="shared" si="38"/>
        <v>1</v>
      </c>
      <c r="AI32" s="1199">
        <f t="shared" si="38"/>
        <v>1</v>
      </c>
      <c r="AJ32" s="1199">
        <f t="shared" si="38"/>
        <v>1</v>
      </c>
      <c r="AK32" s="1199">
        <f t="shared" si="38"/>
        <v>1</v>
      </c>
      <c r="AL32" s="1199">
        <f t="shared" si="38"/>
        <v>1</v>
      </c>
      <c r="AM32" s="1199">
        <f t="shared" si="38"/>
        <v>1</v>
      </c>
      <c r="AN32" s="1199">
        <v>1</v>
      </c>
      <c r="AO32" s="1199">
        <v>1</v>
      </c>
      <c r="AP32" s="1199">
        <v>1</v>
      </c>
      <c r="AR32" s="620">
        <f t="shared" si="22"/>
        <v>0</v>
      </c>
    </row>
    <row r="33" spans="3:44" ht="14.25" thickBot="1" x14ac:dyDescent="0.3">
      <c r="C33" s="515">
        <v>23</v>
      </c>
      <c r="D33" s="892" t="s">
        <v>1971</v>
      </c>
      <c r="E33" s="1191" t="e">
        <f t="array" ref="E33:U33">TRANSPOSE('9 Dda Efect SS Salud P1'!H118:H134)</f>
        <v>#REF!</v>
      </c>
      <c r="F33" s="1191" t="e">
        <v>#REF!</v>
      </c>
      <c r="G33" s="1191" t="e">
        <v>#REF!</v>
      </c>
      <c r="H33" s="1191" t="e">
        <v>#REF!</v>
      </c>
      <c r="I33" s="1191" t="e">
        <v>#REF!</v>
      </c>
      <c r="J33" s="1191" t="e">
        <v>#REF!</v>
      </c>
      <c r="K33" s="1191" t="e">
        <v>#REF!</v>
      </c>
      <c r="L33" s="1191" t="e">
        <v>#REF!</v>
      </c>
      <c r="M33" s="1191" t="e">
        <v>#REF!</v>
      </c>
      <c r="N33" s="1191" t="e">
        <v>#REF!</v>
      </c>
      <c r="O33" s="1191" t="e">
        <v>#REF!</v>
      </c>
      <c r="P33" s="1191" t="e">
        <v>#REF!</v>
      </c>
      <c r="Q33" s="1191" t="e">
        <v>#REF!</v>
      </c>
      <c r="R33" s="1191" t="e">
        <v>#REF!</v>
      </c>
      <c r="S33" s="1191" t="e">
        <v>#REF!</v>
      </c>
      <c r="T33" s="1191" t="e">
        <v>#REF!</v>
      </c>
      <c r="U33" s="1191" t="e">
        <v>#REF!</v>
      </c>
      <c r="W33" s="515">
        <v>23</v>
      </c>
      <c r="X33" s="1191">
        <f>'13 Prod Historica'!J34</f>
        <v>0.4</v>
      </c>
      <c r="Y33" s="1191" t="e">
        <f t="shared" si="19"/>
        <v>#REF!</v>
      </c>
      <c r="Z33" s="1201" t="e">
        <f>X33/Y33</f>
        <v>#REF!</v>
      </c>
      <c r="AA33" s="1199" t="e">
        <f t="shared" ref="AA33:AM33" si="39">Z33+$AR33</f>
        <v>#REF!</v>
      </c>
      <c r="AB33" s="1199" t="e">
        <f t="shared" si="39"/>
        <v>#REF!</v>
      </c>
      <c r="AC33" s="1199" t="e">
        <f t="shared" si="39"/>
        <v>#REF!</v>
      </c>
      <c r="AD33" s="1199" t="e">
        <f t="shared" si="39"/>
        <v>#REF!</v>
      </c>
      <c r="AE33" s="1199" t="e">
        <f t="shared" si="39"/>
        <v>#REF!</v>
      </c>
      <c r="AF33" s="1199" t="e">
        <f t="shared" si="39"/>
        <v>#REF!</v>
      </c>
      <c r="AG33" s="1199" t="e">
        <f t="shared" si="39"/>
        <v>#REF!</v>
      </c>
      <c r="AH33" s="1199" t="e">
        <f t="shared" si="39"/>
        <v>#REF!</v>
      </c>
      <c r="AI33" s="1199" t="e">
        <f t="shared" si="39"/>
        <v>#REF!</v>
      </c>
      <c r="AJ33" s="1199" t="e">
        <f t="shared" si="39"/>
        <v>#REF!</v>
      </c>
      <c r="AK33" s="1199" t="e">
        <f t="shared" si="39"/>
        <v>#REF!</v>
      </c>
      <c r="AL33" s="1199" t="e">
        <f t="shared" si="39"/>
        <v>#REF!</v>
      </c>
      <c r="AM33" s="1199" t="e">
        <f t="shared" si="39"/>
        <v>#REF!</v>
      </c>
      <c r="AN33" s="1199">
        <v>1</v>
      </c>
      <c r="AO33" s="1199">
        <v>1</v>
      </c>
      <c r="AP33" s="1199">
        <v>1</v>
      </c>
      <c r="AR33" s="620" t="e">
        <f t="shared" si="22"/>
        <v>#REF!</v>
      </c>
    </row>
    <row r="34" spans="3:44" ht="14.25" thickBot="1" x14ac:dyDescent="0.3">
      <c r="D34" s="1186" t="s">
        <v>61</v>
      </c>
      <c r="E34" s="1167"/>
      <c r="F34" s="1167"/>
      <c r="G34" s="1167"/>
      <c r="H34" s="1167"/>
      <c r="I34" s="1167"/>
      <c r="J34" s="1167"/>
      <c r="K34" s="1167"/>
      <c r="L34" s="1167"/>
      <c r="M34" s="1167"/>
      <c r="N34" s="1167"/>
      <c r="O34" s="1167"/>
      <c r="P34" s="1167"/>
      <c r="Q34" s="1167"/>
      <c r="R34" s="1167"/>
      <c r="S34" s="1167"/>
      <c r="T34" s="1167"/>
      <c r="U34" s="1167"/>
      <c r="W34" s="640"/>
      <c r="X34" s="1191"/>
      <c r="Y34" s="1191"/>
      <c r="Z34" s="1200"/>
      <c r="AA34" s="1199"/>
      <c r="AB34" s="1199"/>
      <c r="AC34" s="1199"/>
      <c r="AD34" s="1199"/>
      <c r="AE34" s="1199"/>
      <c r="AF34" s="1199"/>
      <c r="AG34" s="1199"/>
      <c r="AH34" s="1199"/>
      <c r="AI34" s="1199"/>
      <c r="AJ34" s="1199"/>
      <c r="AK34" s="1199"/>
      <c r="AL34" s="1199"/>
      <c r="AM34" s="1199"/>
      <c r="AN34" s="1199"/>
      <c r="AO34" s="1199"/>
      <c r="AP34" s="1199"/>
      <c r="AR34" s="620"/>
    </row>
    <row r="35" spans="3:44" ht="14.25" thickBot="1" x14ac:dyDescent="0.3">
      <c r="C35" s="515">
        <v>24</v>
      </c>
      <c r="D35" s="892" t="s">
        <v>1972</v>
      </c>
      <c r="E35" s="1191" t="e">
        <f t="array" ref="E35:U35">TRANSPOSE('11 Dda SS Salud P3'!E43:E59)</f>
        <v>#DIV/0!</v>
      </c>
      <c r="F35" s="1191" t="e">
        <v>#DIV/0!</v>
      </c>
      <c r="G35" s="1191" t="e">
        <v>#DIV/0!</v>
      </c>
      <c r="H35" s="1191" t="e">
        <v>#DIV/0!</v>
      </c>
      <c r="I35" s="1191" t="e">
        <v>#DIV/0!</v>
      </c>
      <c r="J35" s="1191" t="e">
        <v>#DIV/0!</v>
      </c>
      <c r="K35" s="1191" t="e">
        <v>#DIV/0!</v>
      </c>
      <c r="L35" s="1191" t="e">
        <v>#DIV/0!</v>
      </c>
      <c r="M35" s="1191" t="e">
        <v>#DIV/0!</v>
      </c>
      <c r="N35" s="1191" t="e">
        <v>#DIV/0!</v>
      </c>
      <c r="O35" s="1191" t="e">
        <v>#DIV/0!</v>
      </c>
      <c r="P35" s="1191" t="e">
        <v>#DIV/0!</v>
      </c>
      <c r="Q35" s="1191" t="e">
        <v>#DIV/0!</v>
      </c>
      <c r="R35" s="1191" t="e">
        <v>#DIV/0!</v>
      </c>
      <c r="S35" s="1191" t="e">
        <v>#DIV/0!</v>
      </c>
      <c r="T35" s="1191" t="e">
        <v>#DIV/0!</v>
      </c>
      <c r="U35" s="1191" t="e">
        <v>#DIV/0!</v>
      </c>
      <c r="W35" s="640">
        <v>24</v>
      </c>
      <c r="X35" s="1191">
        <f>'13 Prod Historica'!J36</f>
        <v>0</v>
      </c>
      <c r="Y35" s="1191" t="e">
        <f>E35</f>
        <v>#DIV/0!</v>
      </c>
      <c r="Z35" s="1200" t="e">
        <f>X35/Y35</f>
        <v>#DIV/0!</v>
      </c>
      <c r="AA35" s="1199" t="e">
        <f t="shared" ref="AA35:AM35" si="40">Z35+$AR35</f>
        <v>#DIV/0!</v>
      </c>
      <c r="AB35" s="1199" t="e">
        <f t="shared" si="40"/>
        <v>#DIV/0!</v>
      </c>
      <c r="AC35" s="1199" t="e">
        <f t="shared" si="40"/>
        <v>#DIV/0!</v>
      </c>
      <c r="AD35" s="1199" t="e">
        <f t="shared" si="40"/>
        <v>#DIV/0!</v>
      </c>
      <c r="AE35" s="1199" t="e">
        <f t="shared" si="40"/>
        <v>#DIV/0!</v>
      </c>
      <c r="AF35" s="1199" t="e">
        <f t="shared" si="40"/>
        <v>#DIV/0!</v>
      </c>
      <c r="AG35" s="1199" t="e">
        <f t="shared" si="40"/>
        <v>#DIV/0!</v>
      </c>
      <c r="AH35" s="1199" t="e">
        <f t="shared" si="40"/>
        <v>#DIV/0!</v>
      </c>
      <c r="AI35" s="1199" t="e">
        <f t="shared" si="40"/>
        <v>#DIV/0!</v>
      </c>
      <c r="AJ35" s="1199" t="e">
        <f t="shared" si="40"/>
        <v>#DIV/0!</v>
      </c>
      <c r="AK35" s="1199" t="e">
        <f t="shared" si="40"/>
        <v>#DIV/0!</v>
      </c>
      <c r="AL35" s="1199" t="e">
        <f t="shared" si="40"/>
        <v>#DIV/0!</v>
      </c>
      <c r="AM35" s="1199" t="e">
        <f t="shared" si="40"/>
        <v>#DIV/0!</v>
      </c>
      <c r="AN35" s="1199">
        <v>1</v>
      </c>
      <c r="AO35" s="1199">
        <v>1</v>
      </c>
      <c r="AP35" s="1199">
        <v>1</v>
      </c>
      <c r="AR35" s="620" t="e">
        <f>(AN35-Z35)/14</f>
        <v>#DIV/0!</v>
      </c>
    </row>
    <row r="36" spans="3:44" s="622" customFormat="1" ht="14.25" thickBot="1" x14ac:dyDescent="0.3">
      <c r="C36" s="622">
        <v>25</v>
      </c>
      <c r="D36" s="1607" t="s">
        <v>1973</v>
      </c>
      <c r="E36" s="1891" t="e">
        <f t="array" ref="E36:U36">TRANSPOSE('11 Dda SS Salud P3'!H43:H59)</f>
        <v>#DIV/0!</v>
      </c>
      <c r="F36" s="1891" t="e">
        <v>#DIV/0!</v>
      </c>
      <c r="G36" s="1891" t="e">
        <v>#DIV/0!</v>
      </c>
      <c r="H36" s="1891" t="e">
        <v>#DIV/0!</v>
      </c>
      <c r="I36" s="1891" t="e">
        <v>#DIV/0!</v>
      </c>
      <c r="J36" s="1891" t="e">
        <v>#DIV/0!</v>
      </c>
      <c r="K36" s="1891" t="e">
        <v>#DIV/0!</v>
      </c>
      <c r="L36" s="1891" t="e">
        <v>#DIV/0!</v>
      </c>
      <c r="M36" s="1891" t="e">
        <v>#DIV/0!</v>
      </c>
      <c r="N36" s="1891" t="e">
        <v>#DIV/0!</v>
      </c>
      <c r="O36" s="1891" t="e">
        <v>#DIV/0!</v>
      </c>
      <c r="P36" s="1891" t="e">
        <v>#DIV/0!</v>
      </c>
      <c r="Q36" s="1891" t="e">
        <v>#DIV/0!</v>
      </c>
      <c r="R36" s="1891" t="e">
        <v>#DIV/0!</v>
      </c>
      <c r="S36" s="1891" t="e">
        <v>#DIV/0!</v>
      </c>
      <c r="T36" s="1891" t="e">
        <v>#DIV/0!</v>
      </c>
      <c r="U36" s="1891" t="e">
        <v>#DIV/0!</v>
      </c>
      <c r="W36" s="516">
        <v>25</v>
      </c>
      <c r="X36" s="1891">
        <f>'13 Prod Historica'!J37</f>
        <v>0</v>
      </c>
      <c r="Y36" s="1891" t="e">
        <f>E36</f>
        <v>#DIV/0!</v>
      </c>
      <c r="Z36" s="1892" t="e">
        <f>X36/Y36</f>
        <v>#DIV/0!</v>
      </c>
      <c r="AA36" s="1893" t="e">
        <f t="shared" ref="AA36:AM36" si="41">Z36+$AR36</f>
        <v>#DIV/0!</v>
      </c>
      <c r="AB36" s="1893" t="e">
        <f t="shared" si="41"/>
        <v>#DIV/0!</v>
      </c>
      <c r="AC36" s="1893" t="e">
        <f t="shared" si="41"/>
        <v>#DIV/0!</v>
      </c>
      <c r="AD36" s="1893" t="e">
        <f t="shared" si="41"/>
        <v>#DIV/0!</v>
      </c>
      <c r="AE36" s="1893" t="e">
        <f t="shared" si="41"/>
        <v>#DIV/0!</v>
      </c>
      <c r="AF36" s="1893" t="e">
        <f t="shared" si="41"/>
        <v>#DIV/0!</v>
      </c>
      <c r="AG36" s="1893" t="e">
        <f t="shared" si="41"/>
        <v>#DIV/0!</v>
      </c>
      <c r="AH36" s="1893" t="e">
        <f t="shared" si="41"/>
        <v>#DIV/0!</v>
      </c>
      <c r="AI36" s="1893" t="e">
        <f t="shared" si="41"/>
        <v>#DIV/0!</v>
      </c>
      <c r="AJ36" s="1893" t="e">
        <f t="shared" si="41"/>
        <v>#DIV/0!</v>
      </c>
      <c r="AK36" s="1893" t="e">
        <f t="shared" si="41"/>
        <v>#DIV/0!</v>
      </c>
      <c r="AL36" s="1893" t="e">
        <f t="shared" si="41"/>
        <v>#DIV/0!</v>
      </c>
      <c r="AM36" s="1893" t="e">
        <f t="shared" si="41"/>
        <v>#DIV/0!</v>
      </c>
      <c r="AN36" s="1893">
        <v>1</v>
      </c>
      <c r="AO36" s="1893">
        <v>1</v>
      </c>
      <c r="AP36" s="1893">
        <v>1</v>
      </c>
      <c r="AR36" s="1894" t="e">
        <f>(AN36-Z36)/14</f>
        <v>#DIV/0!</v>
      </c>
    </row>
    <row r="37" spans="3:44" ht="14.25" thickBot="1" x14ac:dyDescent="0.3">
      <c r="D37" s="1186" t="s">
        <v>1974</v>
      </c>
      <c r="E37" s="1167"/>
      <c r="F37" s="1167"/>
      <c r="G37" s="1167"/>
      <c r="H37" s="1167"/>
      <c r="I37" s="1167"/>
      <c r="J37" s="1167"/>
      <c r="K37" s="1167"/>
      <c r="L37" s="1167"/>
      <c r="M37" s="1167"/>
      <c r="N37" s="1167"/>
      <c r="O37" s="1167"/>
      <c r="P37" s="1167"/>
      <c r="Q37" s="1167"/>
      <c r="R37" s="1167"/>
      <c r="S37" s="1167"/>
      <c r="T37" s="1167"/>
      <c r="U37" s="1167"/>
      <c r="W37" s="640"/>
      <c r="X37" s="1191"/>
      <c r="Y37" s="1191"/>
      <c r="Z37" s="1200"/>
      <c r="AA37" s="1199"/>
      <c r="AB37" s="1199"/>
      <c r="AC37" s="1199"/>
      <c r="AD37" s="1199"/>
      <c r="AE37" s="1199"/>
      <c r="AF37" s="1199"/>
      <c r="AG37" s="1199"/>
      <c r="AH37" s="1199"/>
      <c r="AI37" s="1199"/>
      <c r="AJ37" s="1199"/>
      <c r="AK37" s="1199"/>
      <c r="AL37" s="1199"/>
      <c r="AM37" s="1199"/>
      <c r="AN37" s="1199"/>
      <c r="AO37" s="1199"/>
      <c r="AP37" s="1199"/>
      <c r="AR37" s="620"/>
    </row>
    <row r="38" spans="3:44" ht="14.25" thickBot="1" x14ac:dyDescent="0.3">
      <c r="C38" s="515">
        <v>26</v>
      </c>
      <c r="D38" s="1183" t="s">
        <v>1855</v>
      </c>
      <c r="E38" s="1191">
        <f t="array" ref="E38:U38">TRANSPOSE('10 Dda Efect SS Salud P2'!G240:G256)</f>
        <v>43.927999999999997</v>
      </c>
      <c r="F38" s="1191">
        <v>43.945022422759564</v>
      </c>
      <c r="G38" s="1191">
        <v>43.962051441833012</v>
      </c>
      <c r="H38" s="1191">
        <v>43.979087059776482</v>
      </c>
      <c r="I38" s="1191">
        <v>43.99612927914707</v>
      </c>
      <c r="J38" s="1191">
        <v>44.013178102502877</v>
      </c>
      <c r="K38" s="1191">
        <v>44.030233532403003</v>
      </c>
      <c r="L38" s="1191">
        <v>44.047295571407531</v>
      </c>
      <c r="M38" s="1191">
        <v>44.064364222077536</v>
      </c>
      <c r="N38" s="1191">
        <v>44.081439486975071</v>
      </c>
      <c r="O38" s="1191">
        <v>44.098521368663235</v>
      </c>
      <c r="P38" s="1191">
        <v>44.115609869706063</v>
      </c>
      <c r="Q38" s="1191">
        <v>44.132704992668593</v>
      </c>
      <c r="R38" s="1191">
        <v>44.149806740116873</v>
      </c>
      <c r="S38" s="1191">
        <v>44.16691511461795</v>
      </c>
      <c r="T38" s="1191">
        <v>44.184030118739855</v>
      </c>
      <c r="U38" s="1191">
        <v>44.201151755051598</v>
      </c>
      <c r="W38" s="640">
        <v>26</v>
      </c>
      <c r="X38" s="1191">
        <f>'13 Prod Historica'!J39</f>
        <v>0</v>
      </c>
      <c r="Y38" s="1191">
        <f>E38</f>
        <v>43.927999999999997</v>
      </c>
      <c r="Z38" s="1200">
        <f>X38/Y38</f>
        <v>0</v>
      </c>
      <c r="AA38" s="1199">
        <f t="shared" ref="AA38:AM38" si="42">Z38+$AR38</f>
        <v>7.1428571428571425E-2</v>
      </c>
      <c r="AB38" s="1199">
        <f t="shared" si="42"/>
        <v>0.14285714285714285</v>
      </c>
      <c r="AC38" s="1199">
        <f t="shared" si="42"/>
        <v>0.21428571428571427</v>
      </c>
      <c r="AD38" s="1199">
        <f t="shared" si="42"/>
        <v>0.2857142857142857</v>
      </c>
      <c r="AE38" s="1199">
        <f t="shared" si="42"/>
        <v>0.3571428571428571</v>
      </c>
      <c r="AF38" s="1199">
        <f t="shared" si="42"/>
        <v>0.42857142857142849</v>
      </c>
      <c r="AG38" s="1199">
        <f t="shared" si="42"/>
        <v>0.49999999999999989</v>
      </c>
      <c r="AH38" s="1199">
        <f t="shared" si="42"/>
        <v>0.57142857142857129</v>
      </c>
      <c r="AI38" s="1199">
        <f t="shared" si="42"/>
        <v>0.64285714285714268</v>
      </c>
      <c r="AJ38" s="1199">
        <f t="shared" si="42"/>
        <v>0.71428571428571408</v>
      </c>
      <c r="AK38" s="1199">
        <f t="shared" si="42"/>
        <v>0.78571428571428548</v>
      </c>
      <c r="AL38" s="1199">
        <f t="shared" si="42"/>
        <v>0.85714285714285687</v>
      </c>
      <c r="AM38" s="1199">
        <f t="shared" si="42"/>
        <v>0.92857142857142827</v>
      </c>
      <c r="AN38" s="1199">
        <v>1</v>
      </c>
      <c r="AO38" s="1199">
        <v>1</v>
      </c>
      <c r="AP38" s="1199">
        <v>1</v>
      </c>
      <c r="AR38" s="620">
        <f>(AN38-Z38)/14</f>
        <v>7.1428571428571425E-2</v>
      </c>
    </row>
    <row r="39" spans="3:44" ht="14.25" thickBot="1" x14ac:dyDescent="0.3">
      <c r="C39" s="515">
        <v>27</v>
      </c>
      <c r="D39" s="1183" t="s">
        <v>1975</v>
      </c>
      <c r="E39" s="1191">
        <f t="array" ref="E39:U39">TRANSPOSE('10 Dda Efect SS Salud P2'!D267:D283)</f>
        <v>43.927999999999997</v>
      </c>
      <c r="F39" s="1191">
        <v>43.945022422759564</v>
      </c>
      <c r="G39" s="1191">
        <v>43.962051441833012</v>
      </c>
      <c r="H39" s="1191">
        <v>43.979087059776482</v>
      </c>
      <c r="I39" s="1191">
        <v>43.99612927914707</v>
      </c>
      <c r="J39" s="1191">
        <v>44.013178102502877</v>
      </c>
      <c r="K39" s="1191">
        <v>44.030233532403003</v>
      </c>
      <c r="L39" s="1191">
        <v>44.047295571407531</v>
      </c>
      <c r="M39" s="1191">
        <v>44.064364222077536</v>
      </c>
      <c r="N39" s="1191">
        <v>44.081439486975071</v>
      </c>
      <c r="O39" s="1191">
        <v>44.098521368663235</v>
      </c>
      <c r="P39" s="1191">
        <v>44.115609869706063</v>
      </c>
      <c r="Q39" s="1191">
        <v>44.132704992668593</v>
      </c>
      <c r="R39" s="1191">
        <v>44.149806740116873</v>
      </c>
      <c r="S39" s="1191">
        <v>44.16691511461795</v>
      </c>
      <c r="T39" s="1191">
        <v>44.184030118739855</v>
      </c>
      <c r="U39" s="1191">
        <v>44.201151755051598</v>
      </c>
      <c r="W39" s="640">
        <v>27</v>
      </c>
      <c r="X39" s="1191">
        <f>'13 Prod Historica'!J40</f>
        <v>0</v>
      </c>
      <c r="Y39" s="1191">
        <f>E39</f>
        <v>43.927999999999997</v>
      </c>
      <c r="Z39" s="1200">
        <f>X39/Y39</f>
        <v>0</v>
      </c>
      <c r="AA39" s="1199">
        <f t="shared" ref="AA39:AM39" si="43">Z39+$AR39</f>
        <v>7.1428571428571425E-2</v>
      </c>
      <c r="AB39" s="1199">
        <f t="shared" si="43"/>
        <v>0.14285714285714285</v>
      </c>
      <c r="AC39" s="1199">
        <f t="shared" si="43"/>
        <v>0.21428571428571427</v>
      </c>
      <c r="AD39" s="1199">
        <f t="shared" si="43"/>
        <v>0.2857142857142857</v>
      </c>
      <c r="AE39" s="1199">
        <f t="shared" si="43"/>
        <v>0.3571428571428571</v>
      </c>
      <c r="AF39" s="1199">
        <f t="shared" si="43"/>
        <v>0.42857142857142849</v>
      </c>
      <c r="AG39" s="1199">
        <f t="shared" si="43"/>
        <v>0.49999999999999989</v>
      </c>
      <c r="AH39" s="1199">
        <f t="shared" si="43"/>
        <v>0.57142857142857129</v>
      </c>
      <c r="AI39" s="1199">
        <f t="shared" si="43"/>
        <v>0.64285714285714268</v>
      </c>
      <c r="AJ39" s="1199">
        <f t="shared" si="43"/>
        <v>0.71428571428571408</v>
      </c>
      <c r="AK39" s="1199">
        <f t="shared" si="43"/>
        <v>0.78571428571428548</v>
      </c>
      <c r="AL39" s="1199">
        <f t="shared" si="43"/>
        <v>0.85714285714285687</v>
      </c>
      <c r="AM39" s="1199">
        <f t="shared" si="43"/>
        <v>0.92857142857142827</v>
      </c>
      <c r="AN39" s="1199">
        <v>1</v>
      </c>
      <c r="AO39" s="1199">
        <v>1</v>
      </c>
      <c r="AP39" s="1199">
        <v>1</v>
      </c>
      <c r="AR39" s="620">
        <f>(AN39-Z39)/14</f>
        <v>7.1428571428571425E-2</v>
      </c>
    </row>
    <row r="40" spans="3:44" ht="14.25" thickBot="1" x14ac:dyDescent="0.3">
      <c r="D40" s="1186" t="s">
        <v>427</v>
      </c>
      <c r="E40" s="1167"/>
      <c r="F40" s="1167"/>
      <c r="G40" s="1167"/>
      <c r="H40" s="1167"/>
      <c r="I40" s="1167"/>
      <c r="J40" s="1167"/>
      <c r="K40" s="1167"/>
      <c r="L40" s="1167"/>
      <c r="M40" s="1167"/>
      <c r="N40" s="1167"/>
      <c r="O40" s="1167"/>
      <c r="P40" s="1167"/>
      <c r="Q40" s="1167"/>
      <c r="R40" s="1167"/>
      <c r="S40" s="1167"/>
      <c r="T40" s="1167"/>
      <c r="U40" s="1167"/>
      <c r="W40" s="640"/>
      <c r="X40" s="1191"/>
      <c r="Y40" s="1191"/>
      <c r="Z40" s="1200"/>
      <c r="AA40" s="1199"/>
      <c r="AB40" s="1199"/>
      <c r="AC40" s="1199"/>
      <c r="AD40" s="1199"/>
      <c r="AE40" s="1199"/>
      <c r="AF40" s="1199"/>
      <c r="AG40" s="1199"/>
      <c r="AH40" s="1199"/>
      <c r="AI40" s="1199"/>
      <c r="AJ40" s="1199"/>
      <c r="AK40" s="1199"/>
      <c r="AL40" s="1199"/>
      <c r="AM40" s="1199"/>
      <c r="AN40" s="1199"/>
      <c r="AO40" s="1199"/>
      <c r="AP40" s="1199"/>
      <c r="AR40" s="620"/>
    </row>
    <row r="41" spans="3:44" s="622" customFormat="1" ht="14.25" thickBot="1" x14ac:dyDescent="0.3">
      <c r="C41" s="622">
        <v>28</v>
      </c>
      <c r="D41" s="1867" t="s">
        <v>1777</v>
      </c>
      <c r="E41" s="1891" t="e">
        <f t="array" ref="E41:U41">TRANSPOSE('10 Dda Efect SS Salud P2'!D293:D309)</f>
        <v>#DIV/0!</v>
      </c>
      <c r="F41" s="1891" t="e">
        <v>#DIV/0!</v>
      </c>
      <c r="G41" s="1891" t="e">
        <v>#DIV/0!</v>
      </c>
      <c r="H41" s="1891" t="e">
        <v>#DIV/0!</v>
      </c>
      <c r="I41" s="1891" t="e">
        <v>#DIV/0!</v>
      </c>
      <c r="J41" s="1891" t="e">
        <v>#DIV/0!</v>
      </c>
      <c r="K41" s="1891" t="e">
        <v>#DIV/0!</v>
      </c>
      <c r="L41" s="1891" t="e">
        <v>#DIV/0!</v>
      </c>
      <c r="M41" s="1891" t="e">
        <v>#DIV/0!</v>
      </c>
      <c r="N41" s="1891" t="e">
        <v>#DIV/0!</v>
      </c>
      <c r="O41" s="1891" t="e">
        <v>#DIV/0!</v>
      </c>
      <c r="P41" s="1891" t="e">
        <v>#DIV/0!</v>
      </c>
      <c r="Q41" s="1891" t="e">
        <v>#DIV/0!</v>
      </c>
      <c r="R41" s="1891" t="e">
        <v>#DIV/0!</v>
      </c>
      <c r="S41" s="1891" t="e">
        <v>#DIV/0!</v>
      </c>
      <c r="T41" s="1891" t="e">
        <v>#DIV/0!</v>
      </c>
      <c r="U41" s="1891" t="e">
        <v>#DIV/0!</v>
      </c>
      <c r="W41" s="516">
        <v>28</v>
      </c>
      <c r="X41" s="1891">
        <f>'13 Prod Historica'!J42</f>
        <v>0</v>
      </c>
      <c r="Y41" s="1891" t="e">
        <f>E41</f>
        <v>#DIV/0!</v>
      </c>
      <c r="Z41" s="1892" t="e">
        <f>X41/Y41</f>
        <v>#DIV/0!</v>
      </c>
      <c r="AA41" s="1893" t="e">
        <f t="shared" ref="AA41:AM41" si="44">Z41+$AR41</f>
        <v>#DIV/0!</v>
      </c>
      <c r="AB41" s="1893" t="e">
        <f t="shared" si="44"/>
        <v>#DIV/0!</v>
      </c>
      <c r="AC41" s="1893" t="e">
        <f t="shared" si="44"/>
        <v>#DIV/0!</v>
      </c>
      <c r="AD41" s="1893" t="e">
        <f t="shared" si="44"/>
        <v>#DIV/0!</v>
      </c>
      <c r="AE41" s="1893" t="e">
        <f t="shared" si="44"/>
        <v>#DIV/0!</v>
      </c>
      <c r="AF41" s="1893" t="e">
        <f t="shared" si="44"/>
        <v>#DIV/0!</v>
      </c>
      <c r="AG41" s="1893" t="e">
        <f t="shared" si="44"/>
        <v>#DIV/0!</v>
      </c>
      <c r="AH41" s="1893" t="e">
        <f t="shared" si="44"/>
        <v>#DIV/0!</v>
      </c>
      <c r="AI41" s="1893" t="e">
        <f t="shared" si="44"/>
        <v>#DIV/0!</v>
      </c>
      <c r="AJ41" s="1893" t="e">
        <f t="shared" si="44"/>
        <v>#DIV/0!</v>
      </c>
      <c r="AK41" s="1893" t="e">
        <f t="shared" si="44"/>
        <v>#DIV/0!</v>
      </c>
      <c r="AL41" s="1893" t="e">
        <f t="shared" si="44"/>
        <v>#DIV/0!</v>
      </c>
      <c r="AM41" s="1893" t="e">
        <f t="shared" si="44"/>
        <v>#DIV/0!</v>
      </c>
      <c r="AN41" s="1893">
        <v>1</v>
      </c>
      <c r="AO41" s="1893">
        <v>1</v>
      </c>
      <c r="AP41" s="1893">
        <v>1</v>
      </c>
      <c r="AR41" s="1894" t="e">
        <f>(AN41-Z41)/14</f>
        <v>#DIV/0!</v>
      </c>
    </row>
    <row r="42" spans="3:44" s="622" customFormat="1" ht="14.25" thickBot="1" x14ac:dyDescent="0.3">
      <c r="C42" s="622">
        <v>29</v>
      </c>
      <c r="D42" s="1867" t="s">
        <v>1778</v>
      </c>
      <c r="E42" s="1891" t="e">
        <f t="array" ref="E42:U42">TRANSPOSE('10 Dda Efect SS Salud P2'!E293:E309)</f>
        <v>#DIV/0!</v>
      </c>
      <c r="F42" s="1891" t="e">
        <v>#DIV/0!</v>
      </c>
      <c r="G42" s="1891" t="e">
        <v>#DIV/0!</v>
      </c>
      <c r="H42" s="1891" t="e">
        <v>#DIV/0!</v>
      </c>
      <c r="I42" s="1891" t="e">
        <v>#DIV/0!</v>
      </c>
      <c r="J42" s="1891" t="e">
        <v>#DIV/0!</v>
      </c>
      <c r="K42" s="1891" t="e">
        <v>#DIV/0!</v>
      </c>
      <c r="L42" s="1891" t="e">
        <v>#DIV/0!</v>
      </c>
      <c r="M42" s="1891" t="e">
        <v>#DIV/0!</v>
      </c>
      <c r="N42" s="1891" t="e">
        <v>#DIV/0!</v>
      </c>
      <c r="O42" s="1891" t="e">
        <v>#DIV/0!</v>
      </c>
      <c r="P42" s="1891" t="e">
        <v>#DIV/0!</v>
      </c>
      <c r="Q42" s="1891" t="e">
        <v>#DIV/0!</v>
      </c>
      <c r="R42" s="1891" t="e">
        <v>#DIV/0!</v>
      </c>
      <c r="S42" s="1891" t="e">
        <v>#DIV/0!</v>
      </c>
      <c r="T42" s="1891" t="e">
        <v>#DIV/0!</v>
      </c>
      <c r="U42" s="1891" t="e">
        <v>#DIV/0!</v>
      </c>
      <c r="W42" s="516">
        <v>29</v>
      </c>
      <c r="X42" s="1891">
        <f>'13 Prod Historica'!J43</f>
        <v>0</v>
      </c>
      <c r="Y42" s="1891" t="e">
        <f>E42</f>
        <v>#DIV/0!</v>
      </c>
      <c r="Z42" s="1892" t="e">
        <f>X42/Y42</f>
        <v>#DIV/0!</v>
      </c>
      <c r="AA42" s="1893" t="e">
        <f t="shared" ref="AA42:AM42" si="45">Z42+$AR42</f>
        <v>#DIV/0!</v>
      </c>
      <c r="AB42" s="1893" t="e">
        <f t="shared" si="45"/>
        <v>#DIV/0!</v>
      </c>
      <c r="AC42" s="1893" t="e">
        <f t="shared" si="45"/>
        <v>#DIV/0!</v>
      </c>
      <c r="AD42" s="1893" t="e">
        <f t="shared" si="45"/>
        <v>#DIV/0!</v>
      </c>
      <c r="AE42" s="1893" t="e">
        <f t="shared" si="45"/>
        <v>#DIV/0!</v>
      </c>
      <c r="AF42" s="1893" t="e">
        <f t="shared" si="45"/>
        <v>#DIV/0!</v>
      </c>
      <c r="AG42" s="1893" t="e">
        <f t="shared" si="45"/>
        <v>#DIV/0!</v>
      </c>
      <c r="AH42" s="1893" t="e">
        <f t="shared" si="45"/>
        <v>#DIV/0!</v>
      </c>
      <c r="AI42" s="1893" t="e">
        <f t="shared" si="45"/>
        <v>#DIV/0!</v>
      </c>
      <c r="AJ42" s="1893" t="e">
        <f t="shared" si="45"/>
        <v>#DIV/0!</v>
      </c>
      <c r="AK42" s="1893" t="e">
        <f t="shared" si="45"/>
        <v>#DIV/0!</v>
      </c>
      <c r="AL42" s="1893" t="e">
        <f t="shared" si="45"/>
        <v>#DIV/0!</v>
      </c>
      <c r="AM42" s="1893" t="e">
        <f t="shared" si="45"/>
        <v>#DIV/0!</v>
      </c>
      <c r="AN42" s="1893">
        <v>1</v>
      </c>
      <c r="AO42" s="1893">
        <v>1</v>
      </c>
      <c r="AP42" s="1893">
        <v>1</v>
      </c>
      <c r="AR42" s="1894" t="e">
        <f>(AN42-Z42)/14</f>
        <v>#DIV/0!</v>
      </c>
    </row>
    <row r="43" spans="3:44" s="622" customFormat="1" ht="14.25" thickBot="1" x14ac:dyDescent="0.3">
      <c r="C43" s="622">
        <v>30</v>
      </c>
      <c r="D43" s="1867" t="s">
        <v>1779</v>
      </c>
      <c r="E43" s="1891" t="e">
        <f t="array" ref="E43:U43">TRANSPOSE('10 Dda Efect SS Salud P2'!F293:F309)</f>
        <v>#DIV/0!</v>
      </c>
      <c r="F43" s="1891" t="e">
        <v>#DIV/0!</v>
      </c>
      <c r="G43" s="1891" t="e">
        <v>#DIV/0!</v>
      </c>
      <c r="H43" s="1891" t="e">
        <v>#DIV/0!</v>
      </c>
      <c r="I43" s="1891" t="e">
        <v>#DIV/0!</v>
      </c>
      <c r="J43" s="1891" t="e">
        <v>#DIV/0!</v>
      </c>
      <c r="K43" s="1891" t="e">
        <v>#DIV/0!</v>
      </c>
      <c r="L43" s="1891" t="e">
        <v>#DIV/0!</v>
      </c>
      <c r="M43" s="1891" t="e">
        <v>#DIV/0!</v>
      </c>
      <c r="N43" s="1891" t="e">
        <v>#DIV/0!</v>
      </c>
      <c r="O43" s="1891" t="e">
        <v>#DIV/0!</v>
      </c>
      <c r="P43" s="1891" t="e">
        <v>#DIV/0!</v>
      </c>
      <c r="Q43" s="1891" t="e">
        <v>#DIV/0!</v>
      </c>
      <c r="R43" s="1891" t="e">
        <v>#DIV/0!</v>
      </c>
      <c r="S43" s="1891" t="e">
        <v>#DIV/0!</v>
      </c>
      <c r="T43" s="1891" t="e">
        <v>#DIV/0!</v>
      </c>
      <c r="U43" s="1891" t="e">
        <v>#DIV/0!</v>
      </c>
      <c r="W43" s="516">
        <v>30</v>
      </c>
      <c r="X43" s="1891">
        <f>'13 Prod Historica'!J44</f>
        <v>0</v>
      </c>
      <c r="Y43" s="1891" t="e">
        <f>E43</f>
        <v>#DIV/0!</v>
      </c>
      <c r="Z43" s="1892" t="e">
        <f>X43/Y43</f>
        <v>#DIV/0!</v>
      </c>
      <c r="AA43" s="1893" t="e">
        <f t="shared" ref="AA43:AM43" si="46">Z43+$AR43</f>
        <v>#DIV/0!</v>
      </c>
      <c r="AB43" s="1893" t="e">
        <f t="shared" si="46"/>
        <v>#DIV/0!</v>
      </c>
      <c r="AC43" s="1893" t="e">
        <f t="shared" si="46"/>
        <v>#DIV/0!</v>
      </c>
      <c r="AD43" s="1893" t="e">
        <f t="shared" si="46"/>
        <v>#DIV/0!</v>
      </c>
      <c r="AE43" s="1893" t="e">
        <f t="shared" si="46"/>
        <v>#DIV/0!</v>
      </c>
      <c r="AF43" s="1893" t="e">
        <f t="shared" si="46"/>
        <v>#DIV/0!</v>
      </c>
      <c r="AG43" s="1893" t="e">
        <f t="shared" si="46"/>
        <v>#DIV/0!</v>
      </c>
      <c r="AH43" s="1893" t="e">
        <f t="shared" si="46"/>
        <v>#DIV/0!</v>
      </c>
      <c r="AI43" s="1893" t="e">
        <f t="shared" si="46"/>
        <v>#DIV/0!</v>
      </c>
      <c r="AJ43" s="1893" t="e">
        <f t="shared" si="46"/>
        <v>#DIV/0!</v>
      </c>
      <c r="AK43" s="1893" t="e">
        <f t="shared" si="46"/>
        <v>#DIV/0!</v>
      </c>
      <c r="AL43" s="1893" t="e">
        <f t="shared" si="46"/>
        <v>#DIV/0!</v>
      </c>
      <c r="AM43" s="1893" t="e">
        <f t="shared" si="46"/>
        <v>#DIV/0!</v>
      </c>
      <c r="AN43" s="1893">
        <v>1</v>
      </c>
      <c r="AO43" s="1893">
        <v>1</v>
      </c>
      <c r="AP43" s="1893">
        <v>1</v>
      </c>
      <c r="AR43" s="1894" t="e">
        <f>(AN43-Z43)/14</f>
        <v>#DIV/0!</v>
      </c>
    </row>
    <row r="44" spans="3:44" s="622" customFormat="1" ht="14.25" thickBot="1" x14ac:dyDescent="0.3">
      <c r="C44" s="622">
        <v>31</v>
      </c>
      <c r="D44" s="1867" t="s">
        <v>1976</v>
      </c>
      <c r="E44" s="1891">
        <f t="array" ref="E44:U44">TRANSPOSE('10 Dda Efect SS Salud P2'!G293:G309)</f>
        <v>43.927999999999997</v>
      </c>
      <c r="F44" s="1891">
        <v>43.945022422759564</v>
      </c>
      <c r="G44" s="1891">
        <v>43.962051441833012</v>
      </c>
      <c r="H44" s="1891">
        <v>43.979087059776482</v>
      </c>
      <c r="I44" s="1891">
        <v>43.99612927914707</v>
      </c>
      <c r="J44" s="1891">
        <v>44.013178102502877</v>
      </c>
      <c r="K44" s="1891">
        <v>44.030233532403003</v>
      </c>
      <c r="L44" s="1891">
        <v>44.047295571407531</v>
      </c>
      <c r="M44" s="1891">
        <v>44.064364222077536</v>
      </c>
      <c r="N44" s="1891">
        <v>44.081439486975071</v>
      </c>
      <c r="O44" s="1891">
        <v>44.098521368663235</v>
      </c>
      <c r="P44" s="1891">
        <v>44.115609869706063</v>
      </c>
      <c r="Q44" s="1891">
        <v>44.132704992668593</v>
      </c>
      <c r="R44" s="1891">
        <v>44.149806740116873</v>
      </c>
      <c r="S44" s="1891">
        <v>44.16691511461795</v>
      </c>
      <c r="T44" s="1891">
        <v>44.184030118739855</v>
      </c>
      <c r="U44" s="1891">
        <v>44.201151755051598</v>
      </c>
      <c r="W44" s="516">
        <v>31</v>
      </c>
      <c r="X44" s="1891">
        <f>'13 Prod Historica'!J45</f>
        <v>0</v>
      </c>
      <c r="Y44" s="1891">
        <f>E44</f>
        <v>43.927999999999997</v>
      </c>
      <c r="Z44" s="1892">
        <f>X44/Y44</f>
        <v>0</v>
      </c>
      <c r="AA44" s="1893">
        <f t="shared" ref="AA44:AM44" si="47">Z44+$AR44</f>
        <v>7.1428571428571425E-2</v>
      </c>
      <c r="AB44" s="1893">
        <f t="shared" si="47"/>
        <v>0.14285714285714285</v>
      </c>
      <c r="AC44" s="1893">
        <f t="shared" si="47"/>
        <v>0.21428571428571427</v>
      </c>
      <c r="AD44" s="1893">
        <f t="shared" si="47"/>
        <v>0.2857142857142857</v>
      </c>
      <c r="AE44" s="1893">
        <f t="shared" si="47"/>
        <v>0.3571428571428571</v>
      </c>
      <c r="AF44" s="1893">
        <f t="shared" si="47"/>
        <v>0.42857142857142849</v>
      </c>
      <c r="AG44" s="1893">
        <f t="shared" si="47"/>
        <v>0.49999999999999989</v>
      </c>
      <c r="AH44" s="1893">
        <f t="shared" si="47"/>
        <v>0.57142857142857129</v>
      </c>
      <c r="AI44" s="1893">
        <f t="shared" si="47"/>
        <v>0.64285714285714268</v>
      </c>
      <c r="AJ44" s="1893">
        <f t="shared" si="47"/>
        <v>0.71428571428571408</v>
      </c>
      <c r="AK44" s="1893">
        <f t="shared" si="47"/>
        <v>0.78571428571428548</v>
      </c>
      <c r="AL44" s="1893">
        <f t="shared" si="47"/>
        <v>0.85714285714285687</v>
      </c>
      <c r="AM44" s="1893">
        <f t="shared" si="47"/>
        <v>0.92857142857142827</v>
      </c>
      <c r="AN44" s="1893">
        <v>1</v>
      </c>
      <c r="AO44" s="1893">
        <v>1</v>
      </c>
      <c r="AP44" s="1893">
        <v>1</v>
      </c>
      <c r="AR44" s="1894">
        <f>(AN44-Z44)/14</f>
        <v>7.1428571428571425E-2</v>
      </c>
    </row>
    <row r="45" spans="3:44" s="622" customFormat="1" ht="14.25" thickBot="1" x14ac:dyDescent="0.3">
      <c r="C45" s="622">
        <v>32</v>
      </c>
      <c r="D45" s="1867" t="s">
        <v>1977</v>
      </c>
      <c r="E45" s="1891" t="e">
        <f t="array" ref="E45:U45">TRANSPOSE('10 Dda Efect SS Salud P2'!J293:J309)</f>
        <v>#DIV/0!</v>
      </c>
      <c r="F45" s="1891" t="e">
        <v>#DIV/0!</v>
      </c>
      <c r="G45" s="1891" t="e">
        <v>#DIV/0!</v>
      </c>
      <c r="H45" s="1891" t="e">
        <v>#DIV/0!</v>
      </c>
      <c r="I45" s="1891" t="e">
        <v>#DIV/0!</v>
      </c>
      <c r="J45" s="1891" t="e">
        <v>#DIV/0!</v>
      </c>
      <c r="K45" s="1891" t="e">
        <v>#DIV/0!</v>
      </c>
      <c r="L45" s="1891" t="e">
        <v>#DIV/0!</v>
      </c>
      <c r="M45" s="1891" t="e">
        <v>#DIV/0!</v>
      </c>
      <c r="N45" s="1891" t="e">
        <v>#DIV/0!</v>
      </c>
      <c r="O45" s="1891" t="e">
        <v>#DIV/0!</v>
      </c>
      <c r="P45" s="1891" t="e">
        <v>#DIV/0!</v>
      </c>
      <c r="Q45" s="1891" t="e">
        <v>#DIV/0!</v>
      </c>
      <c r="R45" s="1891" t="e">
        <v>#DIV/0!</v>
      </c>
      <c r="S45" s="1891" t="e">
        <v>#DIV/0!</v>
      </c>
      <c r="T45" s="1891" t="e">
        <v>#DIV/0!</v>
      </c>
      <c r="U45" s="1891" t="e">
        <v>#DIV/0!</v>
      </c>
      <c r="W45" s="516">
        <v>32</v>
      </c>
      <c r="X45" s="1891">
        <f>'13 Prod Historica'!J46</f>
        <v>0</v>
      </c>
      <c r="Y45" s="1891" t="e">
        <f>E45</f>
        <v>#DIV/0!</v>
      </c>
      <c r="Z45" s="1892" t="e">
        <f>X45/Y45</f>
        <v>#DIV/0!</v>
      </c>
      <c r="AA45" s="1893" t="e">
        <f t="shared" ref="AA45:AM45" si="48">Z45+$AR45</f>
        <v>#DIV/0!</v>
      </c>
      <c r="AB45" s="1893" t="e">
        <f t="shared" si="48"/>
        <v>#DIV/0!</v>
      </c>
      <c r="AC45" s="1893" t="e">
        <f t="shared" si="48"/>
        <v>#DIV/0!</v>
      </c>
      <c r="AD45" s="1893" t="e">
        <f t="shared" si="48"/>
        <v>#DIV/0!</v>
      </c>
      <c r="AE45" s="1893" t="e">
        <f t="shared" si="48"/>
        <v>#DIV/0!</v>
      </c>
      <c r="AF45" s="1893" t="e">
        <f t="shared" si="48"/>
        <v>#DIV/0!</v>
      </c>
      <c r="AG45" s="1893" t="e">
        <f t="shared" si="48"/>
        <v>#DIV/0!</v>
      </c>
      <c r="AH45" s="1893" t="e">
        <f t="shared" si="48"/>
        <v>#DIV/0!</v>
      </c>
      <c r="AI45" s="1893" t="e">
        <f t="shared" si="48"/>
        <v>#DIV/0!</v>
      </c>
      <c r="AJ45" s="1893" t="e">
        <f t="shared" si="48"/>
        <v>#DIV/0!</v>
      </c>
      <c r="AK45" s="1893" t="e">
        <f t="shared" si="48"/>
        <v>#DIV/0!</v>
      </c>
      <c r="AL45" s="1893" t="e">
        <f t="shared" si="48"/>
        <v>#DIV/0!</v>
      </c>
      <c r="AM45" s="1893" t="e">
        <f t="shared" si="48"/>
        <v>#DIV/0!</v>
      </c>
      <c r="AN45" s="1893">
        <v>1</v>
      </c>
      <c r="AO45" s="1893">
        <v>1</v>
      </c>
      <c r="AP45" s="1893">
        <v>1</v>
      </c>
      <c r="AR45" s="1894" t="e">
        <f>(AN45-Z45)/14</f>
        <v>#DIV/0!</v>
      </c>
    </row>
    <row r="46" spans="3:44" ht="14.25" thickBot="1" x14ac:dyDescent="0.3">
      <c r="D46" s="1187" t="s">
        <v>1224</v>
      </c>
      <c r="E46" s="1192"/>
      <c r="F46" s="1192"/>
      <c r="G46" s="1192"/>
      <c r="H46" s="1192"/>
      <c r="I46" s="1192"/>
      <c r="J46" s="1192"/>
      <c r="K46" s="1192"/>
      <c r="L46" s="1192"/>
      <c r="M46" s="1192"/>
      <c r="N46" s="1192"/>
      <c r="O46" s="1192"/>
      <c r="P46" s="1192"/>
      <c r="Q46" s="1192"/>
      <c r="R46" s="1192"/>
      <c r="S46" s="1192"/>
      <c r="T46" s="1192"/>
      <c r="U46" s="1192"/>
      <c r="W46" s="640"/>
      <c r="X46" s="1191"/>
      <c r="Y46" s="1191"/>
      <c r="Z46" s="1200"/>
      <c r="AA46" s="1199"/>
      <c r="AB46" s="1199"/>
      <c r="AC46" s="1199"/>
      <c r="AD46" s="1199"/>
      <c r="AE46" s="1199"/>
      <c r="AF46" s="1199"/>
      <c r="AG46" s="1199"/>
      <c r="AH46" s="1199"/>
      <c r="AI46" s="1199"/>
      <c r="AJ46" s="1199"/>
      <c r="AK46" s="1199"/>
      <c r="AL46" s="1199"/>
      <c r="AM46" s="1199"/>
      <c r="AN46" s="1199"/>
      <c r="AO46" s="1199"/>
      <c r="AP46" s="1199"/>
      <c r="AR46" s="620"/>
    </row>
    <row r="47" spans="3:44" ht="14.25" thickBot="1" x14ac:dyDescent="0.3">
      <c r="C47" s="515">
        <v>33</v>
      </c>
      <c r="D47" s="892" t="s">
        <v>1978</v>
      </c>
      <c r="E47" s="1191" t="e">
        <f t="array" ref="E47:U47">TRANSPOSE('12 Dda SS Salud Apoy Diag'!H22:H38)</f>
        <v>#DIV/0!</v>
      </c>
      <c r="F47" s="1191" t="e">
        <v>#DIV/0!</v>
      </c>
      <c r="G47" s="1191" t="e">
        <v>#DIV/0!</v>
      </c>
      <c r="H47" s="1191" t="e">
        <v>#DIV/0!</v>
      </c>
      <c r="I47" s="1191" t="e">
        <v>#DIV/0!</v>
      </c>
      <c r="J47" s="1191" t="e">
        <v>#DIV/0!</v>
      </c>
      <c r="K47" s="1191" t="e">
        <v>#DIV/0!</v>
      </c>
      <c r="L47" s="1191" t="e">
        <v>#DIV/0!</v>
      </c>
      <c r="M47" s="1191" t="e">
        <v>#DIV/0!</v>
      </c>
      <c r="N47" s="1191" t="e">
        <v>#DIV/0!</v>
      </c>
      <c r="O47" s="1191" t="e">
        <v>#DIV/0!</v>
      </c>
      <c r="P47" s="1191" t="e">
        <v>#DIV/0!</v>
      </c>
      <c r="Q47" s="1191" t="e">
        <v>#DIV/0!</v>
      </c>
      <c r="R47" s="1191" t="e">
        <v>#DIV/0!</v>
      </c>
      <c r="S47" s="1191" t="e">
        <v>#DIV/0!</v>
      </c>
      <c r="T47" s="1191" t="e">
        <v>#DIV/0!</v>
      </c>
      <c r="U47" s="1191" t="e">
        <v>#DIV/0!</v>
      </c>
      <c r="W47" s="640">
        <v>33</v>
      </c>
      <c r="X47" s="1191">
        <f>'13 Prod Historica'!J48</f>
        <v>0</v>
      </c>
      <c r="Y47" s="1191" t="e">
        <f t="shared" ref="Y47:Y53" si="49">E47</f>
        <v>#DIV/0!</v>
      </c>
      <c r="Z47" s="1201" t="e">
        <f>X47/Y47</f>
        <v>#DIV/0!</v>
      </c>
      <c r="AA47" s="1199" t="e">
        <f t="shared" ref="AA47:AM47" si="50">Z47+$AR47</f>
        <v>#DIV/0!</v>
      </c>
      <c r="AB47" s="1199" t="e">
        <f t="shared" si="50"/>
        <v>#DIV/0!</v>
      </c>
      <c r="AC47" s="1199" t="e">
        <f t="shared" si="50"/>
        <v>#DIV/0!</v>
      </c>
      <c r="AD47" s="1199" t="e">
        <f t="shared" si="50"/>
        <v>#DIV/0!</v>
      </c>
      <c r="AE47" s="1199" t="e">
        <f t="shared" si="50"/>
        <v>#DIV/0!</v>
      </c>
      <c r="AF47" s="1199" t="e">
        <f t="shared" si="50"/>
        <v>#DIV/0!</v>
      </c>
      <c r="AG47" s="1199" t="e">
        <f t="shared" si="50"/>
        <v>#DIV/0!</v>
      </c>
      <c r="AH47" s="1199" t="e">
        <f t="shared" si="50"/>
        <v>#DIV/0!</v>
      </c>
      <c r="AI47" s="1199" t="e">
        <f t="shared" si="50"/>
        <v>#DIV/0!</v>
      </c>
      <c r="AJ47" s="1199" t="e">
        <f t="shared" si="50"/>
        <v>#DIV/0!</v>
      </c>
      <c r="AK47" s="1199" t="e">
        <f t="shared" si="50"/>
        <v>#DIV/0!</v>
      </c>
      <c r="AL47" s="1199" t="e">
        <f t="shared" si="50"/>
        <v>#DIV/0!</v>
      </c>
      <c r="AM47" s="1199" t="e">
        <f t="shared" si="50"/>
        <v>#DIV/0!</v>
      </c>
      <c r="AN47" s="1199">
        <v>1</v>
      </c>
      <c r="AO47" s="1199">
        <v>1</v>
      </c>
      <c r="AP47" s="1199">
        <v>1</v>
      </c>
      <c r="AR47" s="620" t="e">
        <f>(AN47-Z47)/14</f>
        <v>#DIV/0!</v>
      </c>
    </row>
    <row r="48" spans="3:44" ht="14.25" thickBot="1" x14ac:dyDescent="0.3">
      <c r="C48" s="515">
        <v>34</v>
      </c>
      <c r="D48" s="892" t="s">
        <v>1979</v>
      </c>
      <c r="E48" s="1191" t="e">
        <f t="array" ref="E48:U48">TRANSPOSE('12 Dda SS Salud Apoy Diag'!H50:H66)</f>
        <v>#DIV/0!</v>
      </c>
      <c r="F48" s="1191" t="e">
        <v>#DIV/0!</v>
      </c>
      <c r="G48" s="1191" t="e">
        <v>#DIV/0!</v>
      </c>
      <c r="H48" s="1191" t="e">
        <v>#DIV/0!</v>
      </c>
      <c r="I48" s="1191" t="e">
        <v>#DIV/0!</v>
      </c>
      <c r="J48" s="1191" t="e">
        <v>#DIV/0!</v>
      </c>
      <c r="K48" s="1191" t="e">
        <v>#DIV/0!</v>
      </c>
      <c r="L48" s="1191" t="e">
        <v>#DIV/0!</v>
      </c>
      <c r="M48" s="1191" t="e">
        <v>#DIV/0!</v>
      </c>
      <c r="N48" s="1191" t="e">
        <v>#DIV/0!</v>
      </c>
      <c r="O48" s="1191" t="e">
        <v>#DIV/0!</v>
      </c>
      <c r="P48" s="1191" t="e">
        <v>#DIV/0!</v>
      </c>
      <c r="Q48" s="1191" t="e">
        <v>#DIV/0!</v>
      </c>
      <c r="R48" s="1191" t="e">
        <v>#DIV/0!</v>
      </c>
      <c r="S48" s="1191" t="e">
        <v>#DIV/0!</v>
      </c>
      <c r="T48" s="1191" t="e">
        <v>#DIV/0!</v>
      </c>
      <c r="U48" s="1191" t="e">
        <v>#DIV/0!</v>
      </c>
      <c r="W48" s="640">
        <v>34</v>
      </c>
      <c r="X48" s="1191">
        <f>'13 Prod Historica'!J49</f>
        <v>0</v>
      </c>
      <c r="Y48" s="1191" t="e">
        <f t="shared" si="49"/>
        <v>#DIV/0!</v>
      </c>
      <c r="Z48" s="1200" t="e">
        <f>X48/Y48</f>
        <v>#DIV/0!</v>
      </c>
      <c r="AA48" s="1199" t="e">
        <f t="shared" ref="AA48:AM48" si="51">Z48+$AR48</f>
        <v>#DIV/0!</v>
      </c>
      <c r="AB48" s="1199" t="e">
        <f t="shared" si="51"/>
        <v>#DIV/0!</v>
      </c>
      <c r="AC48" s="1199" t="e">
        <f t="shared" si="51"/>
        <v>#DIV/0!</v>
      </c>
      <c r="AD48" s="1199" t="e">
        <f t="shared" si="51"/>
        <v>#DIV/0!</v>
      </c>
      <c r="AE48" s="1199" t="e">
        <f t="shared" si="51"/>
        <v>#DIV/0!</v>
      </c>
      <c r="AF48" s="1199" t="e">
        <f t="shared" si="51"/>
        <v>#DIV/0!</v>
      </c>
      <c r="AG48" s="1199" t="e">
        <f t="shared" si="51"/>
        <v>#DIV/0!</v>
      </c>
      <c r="AH48" s="1199" t="e">
        <f t="shared" si="51"/>
        <v>#DIV/0!</v>
      </c>
      <c r="AI48" s="1199" t="e">
        <f t="shared" si="51"/>
        <v>#DIV/0!</v>
      </c>
      <c r="AJ48" s="1199" t="e">
        <f t="shared" si="51"/>
        <v>#DIV/0!</v>
      </c>
      <c r="AK48" s="1199" t="e">
        <f t="shared" si="51"/>
        <v>#DIV/0!</v>
      </c>
      <c r="AL48" s="1199" t="e">
        <f t="shared" si="51"/>
        <v>#DIV/0!</v>
      </c>
      <c r="AM48" s="1199" t="e">
        <f t="shared" si="51"/>
        <v>#DIV/0!</v>
      </c>
      <c r="AN48" s="1199">
        <v>1</v>
      </c>
      <c r="AO48" s="1199">
        <v>1</v>
      </c>
      <c r="AP48" s="1199">
        <v>1</v>
      </c>
      <c r="AR48" s="620" t="e">
        <f t="shared" ref="AR48:AR53" si="52">(AN48-Z48)/14</f>
        <v>#DIV/0!</v>
      </c>
    </row>
    <row r="49" spans="3:44" ht="14.25" thickBot="1" x14ac:dyDescent="0.3">
      <c r="C49" s="515">
        <v>35</v>
      </c>
      <c r="D49" s="892" t="s">
        <v>90</v>
      </c>
      <c r="E49" s="1191" t="e">
        <f t="array" ref="E49:U49">TRANSPOSE('12 Dda SS Salud Apoy Diag'!I79:I95)</f>
        <v>#DIV/0!</v>
      </c>
      <c r="F49" s="1191" t="e">
        <v>#DIV/0!</v>
      </c>
      <c r="G49" s="1191" t="e">
        <v>#DIV/0!</v>
      </c>
      <c r="H49" s="1191" t="e">
        <v>#DIV/0!</v>
      </c>
      <c r="I49" s="1191" t="e">
        <v>#DIV/0!</v>
      </c>
      <c r="J49" s="1191" t="e">
        <v>#DIV/0!</v>
      </c>
      <c r="K49" s="1191" t="e">
        <v>#DIV/0!</v>
      </c>
      <c r="L49" s="1191" t="e">
        <v>#DIV/0!</v>
      </c>
      <c r="M49" s="1191" t="e">
        <v>#DIV/0!</v>
      </c>
      <c r="N49" s="1191" t="e">
        <v>#DIV/0!</v>
      </c>
      <c r="O49" s="1191" t="e">
        <v>#DIV/0!</v>
      </c>
      <c r="P49" s="1191" t="e">
        <v>#DIV/0!</v>
      </c>
      <c r="Q49" s="1191" t="e">
        <v>#DIV/0!</v>
      </c>
      <c r="R49" s="1191" t="e">
        <v>#DIV/0!</v>
      </c>
      <c r="S49" s="1191" t="e">
        <v>#DIV/0!</v>
      </c>
      <c r="T49" s="1191" t="e">
        <v>#DIV/0!</v>
      </c>
      <c r="U49" s="1191" t="e">
        <v>#DIV/0!</v>
      </c>
      <c r="W49" s="640">
        <v>35</v>
      </c>
      <c r="X49" s="1191">
        <f>'13 Prod Historica'!J50</f>
        <v>0</v>
      </c>
      <c r="Y49" s="1191" t="e">
        <f t="shared" si="49"/>
        <v>#DIV/0!</v>
      </c>
      <c r="Z49" s="1200" t="e">
        <f>X49/Y49</f>
        <v>#DIV/0!</v>
      </c>
      <c r="AA49" s="1199" t="e">
        <f t="shared" ref="AA49:AM49" si="53">Z49+$AR49</f>
        <v>#DIV/0!</v>
      </c>
      <c r="AB49" s="1199" t="e">
        <f t="shared" si="53"/>
        <v>#DIV/0!</v>
      </c>
      <c r="AC49" s="1199" t="e">
        <f t="shared" si="53"/>
        <v>#DIV/0!</v>
      </c>
      <c r="AD49" s="1199" t="e">
        <f t="shared" si="53"/>
        <v>#DIV/0!</v>
      </c>
      <c r="AE49" s="1199" t="e">
        <f t="shared" si="53"/>
        <v>#DIV/0!</v>
      </c>
      <c r="AF49" s="1199" t="e">
        <f t="shared" si="53"/>
        <v>#DIV/0!</v>
      </c>
      <c r="AG49" s="1199" t="e">
        <f t="shared" si="53"/>
        <v>#DIV/0!</v>
      </c>
      <c r="AH49" s="1199" t="e">
        <f t="shared" si="53"/>
        <v>#DIV/0!</v>
      </c>
      <c r="AI49" s="1199" t="e">
        <f t="shared" si="53"/>
        <v>#DIV/0!</v>
      </c>
      <c r="AJ49" s="1199" t="e">
        <f t="shared" si="53"/>
        <v>#DIV/0!</v>
      </c>
      <c r="AK49" s="1199" t="e">
        <f t="shared" si="53"/>
        <v>#DIV/0!</v>
      </c>
      <c r="AL49" s="1199" t="e">
        <f t="shared" si="53"/>
        <v>#DIV/0!</v>
      </c>
      <c r="AM49" s="1199" t="e">
        <f t="shared" si="53"/>
        <v>#DIV/0!</v>
      </c>
      <c r="AN49" s="1199">
        <v>1</v>
      </c>
      <c r="AO49" s="1199">
        <v>1</v>
      </c>
      <c r="AP49" s="1199">
        <v>1</v>
      </c>
      <c r="AR49" s="620" t="e">
        <f t="shared" si="52"/>
        <v>#DIV/0!</v>
      </c>
    </row>
    <row r="50" spans="3:44" ht="14.25" thickBot="1" x14ac:dyDescent="0.3">
      <c r="C50" s="515">
        <v>36</v>
      </c>
      <c r="D50" s="892" t="s">
        <v>91</v>
      </c>
      <c r="E50" s="1191">
        <f t="array" ref="E50:U50">TRANSPOSE('12 Dda SS Salud Apoy Diag'!G79:G95)</f>
        <v>228</v>
      </c>
      <c r="F50" s="1191">
        <v>228.08835167522264</v>
      </c>
      <c r="G50" s="1191">
        <v>228.17673758736859</v>
      </c>
      <c r="H50" s="1191">
        <v>228.26515774970488</v>
      </c>
      <c r="I50" s="1191">
        <v>228.3536121755038</v>
      </c>
      <c r="J50" s="1191">
        <v>228.4421008780426</v>
      </c>
      <c r="K50" s="1191">
        <v>228.53062387060379</v>
      </c>
      <c r="L50" s="1191">
        <v>228.61918116647507</v>
      </c>
      <c r="M50" s="1191">
        <v>228.70777277894911</v>
      </c>
      <c r="N50" s="1191">
        <v>228.79639872132395</v>
      </c>
      <c r="O50" s="1191">
        <v>228.88505900690262</v>
      </c>
      <c r="P50" s="1191">
        <v>228.97375364899341</v>
      </c>
      <c r="Q50" s="1191">
        <v>229.06248266090964</v>
      </c>
      <c r="R50" s="1191">
        <v>229.15124605596992</v>
      </c>
      <c r="S50" s="1191">
        <v>229.24004384749804</v>
      </c>
      <c r="T50" s="1191">
        <v>229.32887604882279</v>
      </c>
      <c r="U50" s="1191">
        <v>229.41774267327821</v>
      </c>
      <c r="W50" s="640">
        <v>36</v>
      </c>
      <c r="X50" s="1191">
        <f>'13 Prod Historica'!J51</f>
        <v>2.4</v>
      </c>
      <c r="Y50" s="1191">
        <f t="shared" si="49"/>
        <v>228</v>
      </c>
      <c r="Z50" s="1200">
        <f>X50/Y50</f>
        <v>1.0526315789473684E-2</v>
      </c>
      <c r="AA50" s="1199">
        <f t="shared" ref="AA50:AM50" si="54">Z50+$AR50</f>
        <v>8.1203007518796999E-2</v>
      </c>
      <c r="AB50" s="1199">
        <f t="shared" si="54"/>
        <v>0.15187969924812031</v>
      </c>
      <c r="AC50" s="1199">
        <f t="shared" si="54"/>
        <v>0.22255639097744362</v>
      </c>
      <c r="AD50" s="1199">
        <f t="shared" si="54"/>
        <v>0.29323308270676696</v>
      </c>
      <c r="AE50" s="1199">
        <f t="shared" si="54"/>
        <v>0.36390977443609029</v>
      </c>
      <c r="AF50" s="1199">
        <f t="shared" si="54"/>
        <v>0.43458646616541363</v>
      </c>
      <c r="AG50" s="1199">
        <f t="shared" si="54"/>
        <v>0.50526315789473697</v>
      </c>
      <c r="AH50" s="1199">
        <f t="shared" si="54"/>
        <v>0.57593984962406031</v>
      </c>
      <c r="AI50" s="1199">
        <f t="shared" si="54"/>
        <v>0.64661654135338364</v>
      </c>
      <c r="AJ50" s="1199">
        <f t="shared" si="54"/>
        <v>0.71729323308270698</v>
      </c>
      <c r="AK50" s="1199">
        <f t="shared" si="54"/>
        <v>0.78796992481203032</v>
      </c>
      <c r="AL50" s="1199">
        <f t="shared" si="54"/>
        <v>0.85864661654135366</v>
      </c>
      <c r="AM50" s="1199">
        <f t="shared" si="54"/>
        <v>0.929323308270677</v>
      </c>
      <c r="AN50" s="1199">
        <v>1</v>
      </c>
      <c r="AO50" s="1199">
        <v>1</v>
      </c>
      <c r="AP50" s="1199">
        <v>1</v>
      </c>
      <c r="AR50" s="620">
        <f t="shared" si="52"/>
        <v>7.067669172932331E-2</v>
      </c>
    </row>
    <row r="51" spans="3:44" ht="27" customHeight="1" thickBot="1" x14ac:dyDescent="0.3">
      <c r="C51" s="515">
        <v>37</v>
      </c>
      <c r="D51" s="892" t="s">
        <v>1981</v>
      </c>
      <c r="E51" s="1191">
        <f t="array" ref="E51:U51">TRANSPOSE('12 Dda SS Salud Apoy Diag'!I106:I122)</f>
        <v>18.296161739879938</v>
      </c>
      <c r="F51" s="1191">
        <v>18.303251636984598</v>
      </c>
      <c r="G51" s="1191">
        <v>18.310344281476482</v>
      </c>
      <c r="H51" s="1191">
        <v>18.317439674420221</v>
      </c>
      <c r="I51" s="1191">
        <v>18.324537816880856</v>
      </c>
      <c r="J51" s="1191">
        <v>18.331638709923844</v>
      </c>
      <c r="K51" s="1191">
        <v>18.338742354615068</v>
      </c>
      <c r="L51" s="1191">
        <v>18.3458487520208</v>
      </c>
      <c r="M51" s="1191">
        <v>18.352957903207738</v>
      </c>
      <c r="N51" s="1191">
        <v>18.360069809243001</v>
      </c>
      <c r="O51" s="1191">
        <v>18.367184471194101</v>
      </c>
      <c r="P51" s="1191">
        <v>18.374301890128983</v>
      </c>
      <c r="Q51" s="1191">
        <v>18.381422067115999</v>
      </c>
      <c r="R51" s="1191">
        <v>18.388545003223911</v>
      </c>
      <c r="S51" s="1191">
        <v>18.395670699521901</v>
      </c>
      <c r="T51" s="1191">
        <v>18.402799157079563</v>
      </c>
      <c r="U51" s="1191">
        <v>18.409930376966905</v>
      </c>
      <c r="W51" s="640">
        <v>37</v>
      </c>
      <c r="X51" s="1191">
        <f>'13 Prod Historica'!J52</f>
        <v>0</v>
      </c>
      <c r="Y51" s="1191">
        <f t="shared" si="49"/>
        <v>18.296161739879938</v>
      </c>
      <c r="Z51" s="1198">
        <v>1</v>
      </c>
      <c r="AA51" s="1199">
        <f t="shared" ref="AA51:AM51" si="55">Z51+$AR51</f>
        <v>1</v>
      </c>
      <c r="AB51" s="1199">
        <f t="shared" si="55"/>
        <v>1</v>
      </c>
      <c r="AC51" s="1199">
        <f t="shared" si="55"/>
        <v>1</v>
      </c>
      <c r="AD51" s="1199">
        <f t="shared" si="55"/>
        <v>1</v>
      </c>
      <c r="AE51" s="1199">
        <f t="shared" si="55"/>
        <v>1</v>
      </c>
      <c r="AF51" s="1199">
        <f t="shared" si="55"/>
        <v>1</v>
      </c>
      <c r="AG51" s="1199">
        <f t="shared" si="55"/>
        <v>1</v>
      </c>
      <c r="AH51" s="1199">
        <f t="shared" si="55"/>
        <v>1</v>
      </c>
      <c r="AI51" s="1199">
        <f t="shared" si="55"/>
        <v>1</v>
      </c>
      <c r="AJ51" s="1199">
        <f t="shared" si="55"/>
        <v>1</v>
      </c>
      <c r="AK51" s="1199">
        <f t="shared" si="55"/>
        <v>1</v>
      </c>
      <c r="AL51" s="1199">
        <f t="shared" si="55"/>
        <v>1</v>
      </c>
      <c r="AM51" s="1199">
        <f t="shared" si="55"/>
        <v>1</v>
      </c>
      <c r="AN51" s="1199">
        <v>1</v>
      </c>
      <c r="AO51" s="1199">
        <v>1</v>
      </c>
      <c r="AP51" s="1199">
        <v>1</v>
      </c>
      <c r="AR51" s="620">
        <f t="shared" si="52"/>
        <v>0</v>
      </c>
    </row>
    <row r="52" spans="3:44" ht="14.25" thickBot="1" x14ac:dyDescent="0.3">
      <c r="C52" s="515">
        <v>38</v>
      </c>
      <c r="D52" s="892" t="s">
        <v>1982</v>
      </c>
      <c r="E52" s="1191" t="e">
        <f t="array" ref="E52:U52">TRANSPOSE('12 Dda SS Salud Apoy Diag'!I155:I171)</f>
        <v>#DIV/0!</v>
      </c>
      <c r="F52" s="1191" t="e">
        <v>#DIV/0!</v>
      </c>
      <c r="G52" s="1191" t="e">
        <v>#DIV/0!</v>
      </c>
      <c r="H52" s="1191" t="e">
        <v>#DIV/0!</v>
      </c>
      <c r="I52" s="1191" t="e">
        <v>#DIV/0!</v>
      </c>
      <c r="J52" s="1191" t="e">
        <v>#DIV/0!</v>
      </c>
      <c r="K52" s="1191" t="e">
        <v>#DIV/0!</v>
      </c>
      <c r="L52" s="1191" t="e">
        <v>#DIV/0!</v>
      </c>
      <c r="M52" s="1191" t="e">
        <v>#DIV/0!</v>
      </c>
      <c r="N52" s="1191" t="e">
        <v>#DIV/0!</v>
      </c>
      <c r="O52" s="1191" t="e">
        <v>#DIV/0!</v>
      </c>
      <c r="P52" s="1191" t="e">
        <v>#DIV/0!</v>
      </c>
      <c r="Q52" s="1191" t="e">
        <v>#DIV/0!</v>
      </c>
      <c r="R52" s="1191" t="e">
        <v>#DIV/0!</v>
      </c>
      <c r="S52" s="1191" t="e">
        <v>#DIV/0!</v>
      </c>
      <c r="T52" s="1191" t="e">
        <v>#DIV/0!</v>
      </c>
      <c r="U52" s="1191" t="e">
        <v>#DIV/0!</v>
      </c>
      <c r="W52" s="640">
        <v>38</v>
      </c>
      <c r="X52" s="1191">
        <f>'13 Prod Historica'!J53</f>
        <v>299</v>
      </c>
      <c r="Y52" s="1191" t="e">
        <f t="shared" si="49"/>
        <v>#DIV/0!</v>
      </c>
      <c r="Z52" s="1201">
        <v>1</v>
      </c>
      <c r="AA52" s="1199">
        <f t="shared" ref="AA52:AM52" si="56">Z52+$AR52</f>
        <v>1</v>
      </c>
      <c r="AB52" s="1199">
        <f t="shared" si="56"/>
        <v>1</v>
      </c>
      <c r="AC52" s="1199">
        <f t="shared" si="56"/>
        <v>1</v>
      </c>
      <c r="AD52" s="1199">
        <f t="shared" si="56"/>
        <v>1</v>
      </c>
      <c r="AE52" s="1199">
        <f t="shared" si="56"/>
        <v>1</v>
      </c>
      <c r="AF52" s="1199">
        <f t="shared" si="56"/>
        <v>1</v>
      </c>
      <c r="AG52" s="1199">
        <f t="shared" si="56"/>
        <v>1</v>
      </c>
      <c r="AH52" s="1199">
        <f t="shared" si="56"/>
        <v>1</v>
      </c>
      <c r="AI52" s="1199">
        <f t="shared" si="56"/>
        <v>1</v>
      </c>
      <c r="AJ52" s="1199">
        <f t="shared" si="56"/>
        <v>1</v>
      </c>
      <c r="AK52" s="1199">
        <f t="shared" si="56"/>
        <v>1</v>
      </c>
      <c r="AL52" s="1199">
        <f t="shared" si="56"/>
        <v>1</v>
      </c>
      <c r="AM52" s="1199">
        <f t="shared" si="56"/>
        <v>1</v>
      </c>
      <c r="AN52" s="1199">
        <v>1</v>
      </c>
      <c r="AO52" s="1199">
        <v>1</v>
      </c>
      <c r="AP52" s="1199">
        <v>1</v>
      </c>
      <c r="AR52" s="620">
        <f t="shared" si="52"/>
        <v>0</v>
      </c>
    </row>
    <row r="53" spans="3:44" ht="14.25" thickBot="1" x14ac:dyDescent="0.3">
      <c r="C53" s="515">
        <v>39</v>
      </c>
      <c r="D53" s="892" t="s">
        <v>381</v>
      </c>
      <c r="E53" s="1191" t="e">
        <f t="array" ref="E53:U53">TRANSPOSE('12 Dda SS Salud Apoy Diag'!H131:H147)</f>
        <v>#DIV/0!</v>
      </c>
      <c r="F53" s="1191" t="e">
        <v>#DIV/0!</v>
      </c>
      <c r="G53" s="1191" t="e">
        <v>#DIV/0!</v>
      </c>
      <c r="H53" s="1191" t="e">
        <v>#DIV/0!</v>
      </c>
      <c r="I53" s="1191" t="e">
        <v>#DIV/0!</v>
      </c>
      <c r="J53" s="1191" t="e">
        <v>#DIV/0!</v>
      </c>
      <c r="K53" s="1191" t="e">
        <v>#DIV/0!</v>
      </c>
      <c r="L53" s="1191" t="e">
        <v>#DIV/0!</v>
      </c>
      <c r="M53" s="1191" t="e">
        <v>#DIV/0!</v>
      </c>
      <c r="N53" s="1191" t="e">
        <v>#DIV/0!</v>
      </c>
      <c r="O53" s="1191" t="e">
        <v>#DIV/0!</v>
      </c>
      <c r="P53" s="1191" t="e">
        <v>#DIV/0!</v>
      </c>
      <c r="Q53" s="1191" t="e">
        <v>#DIV/0!</v>
      </c>
      <c r="R53" s="1191" t="e">
        <v>#DIV/0!</v>
      </c>
      <c r="S53" s="1191" t="e">
        <v>#DIV/0!</v>
      </c>
      <c r="T53" s="1191" t="e">
        <v>#DIV/0!</v>
      </c>
      <c r="U53" s="1191" t="e">
        <v>#DIV/0!</v>
      </c>
      <c r="W53" s="515">
        <v>39</v>
      </c>
      <c r="X53" s="1191">
        <f>'13 Prod Historica'!J54</f>
        <v>0</v>
      </c>
      <c r="Y53" s="1191" t="e">
        <f t="shared" si="49"/>
        <v>#DIV/0!</v>
      </c>
      <c r="Z53" s="1201">
        <v>1</v>
      </c>
      <c r="AA53" s="1199">
        <f t="shared" ref="AA53:AM53" si="57">Z53+$AR53</f>
        <v>1</v>
      </c>
      <c r="AB53" s="1199">
        <f t="shared" si="57"/>
        <v>1</v>
      </c>
      <c r="AC53" s="1199">
        <f t="shared" si="57"/>
        <v>1</v>
      </c>
      <c r="AD53" s="1199">
        <f t="shared" si="57"/>
        <v>1</v>
      </c>
      <c r="AE53" s="1199">
        <f t="shared" si="57"/>
        <v>1</v>
      </c>
      <c r="AF53" s="1199">
        <f t="shared" si="57"/>
        <v>1</v>
      </c>
      <c r="AG53" s="1199">
        <f t="shared" si="57"/>
        <v>1</v>
      </c>
      <c r="AH53" s="1199">
        <f t="shared" si="57"/>
        <v>1</v>
      </c>
      <c r="AI53" s="1199">
        <f t="shared" si="57"/>
        <v>1</v>
      </c>
      <c r="AJ53" s="1199">
        <f t="shared" si="57"/>
        <v>1</v>
      </c>
      <c r="AK53" s="1199">
        <f t="shared" si="57"/>
        <v>1</v>
      </c>
      <c r="AL53" s="1199">
        <f t="shared" si="57"/>
        <v>1</v>
      </c>
      <c r="AM53" s="1199">
        <f t="shared" si="57"/>
        <v>1</v>
      </c>
      <c r="AN53" s="1199">
        <v>1</v>
      </c>
      <c r="AO53" s="1199">
        <v>1</v>
      </c>
      <c r="AP53" s="1199">
        <v>1</v>
      </c>
      <c r="AR53" s="620">
        <f t="shared" si="52"/>
        <v>0</v>
      </c>
    </row>
    <row r="54" spans="3:44" ht="14.25" thickBot="1" x14ac:dyDescent="0.3">
      <c r="D54" s="1188" t="s">
        <v>150</v>
      </c>
      <c r="E54" s="1189" t="e">
        <f t="shared" ref="E54:U54" si="58">SUM(E9:E53)</f>
        <v>#DIV/0!</v>
      </c>
      <c r="F54" s="1189" t="e">
        <f t="shared" si="58"/>
        <v>#DIV/0!</v>
      </c>
      <c r="G54" s="1189" t="e">
        <f t="shared" si="58"/>
        <v>#DIV/0!</v>
      </c>
      <c r="H54" s="1189" t="e">
        <f t="shared" si="58"/>
        <v>#DIV/0!</v>
      </c>
      <c r="I54" s="1189" t="e">
        <f t="shared" si="58"/>
        <v>#DIV/0!</v>
      </c>
      <c r="J54" s="1189" t="e">
        <f t="shared" si="58"/>
        <v>#DIV/0!</v>
      </c>
      <c r="K54" s="1189" t="e">
        <f t="shared" si="58"/>
        <v>#DIV/0!</v>
      </c>
      <c r="L54" s="1189" t="e">
        <f t="shared" si="58"/>
        <v>#DIV/0!</v>
      </c>
      <c r="M54" s="1189" t="e">
        <f t="shared" si="58"/>
        <v>#DIV/0!</v>
      </c>
      <c r="N54" s="1189" t="e">
        <f t="shared" si="58"/>
        <v>#DIV/0!</v>
      </c>
      <c r="O54" s="1189" t="e">
        <f t="shared" si="58"/>
        <v>#DIV/0!</v>
      </c>
      <c r="P54" s="1189" t="e">
        <f t="shared" si="58"/>
        <v>#DIV/0!</v>
      </c>
      <c r="Q54" s="1189" t="e">
        <f t="shared" si="58"/>
        <v>#DIV/0!</v>
      </c>
      <c r="R54" s="1189" t="e">
        <f t="shared" si="58"/>
        <v>#DIV/0!</v>
      </c>
      <c r="S54" s="1189" t="e">
        <f t="shared" si="58"/>
        <v>#DIV/0!</v>
      </c>
      <c r="T54" s="1189" t="e">
        <f t="shared" si="58"/>
        <v>#DIV/0!</v>
      </c>
      <c r="U54" s="1190" t="e">
        <f t="shared" si="58"/>
        <v>#DIV/0!</v>
      </c>
      <c r="X54" s="618"/>
      <c r="AN54" s="619"/>
    </row>
    <row r="55" spans="3:44" x14ac:dyDescent="0.25">
      <c r="D55" s="515" t="s">
        <v>1983</v>
      </c>
      <c r="H55" s="618"/>
      <c r="X55" s="618"/>
    </row>
    <row r="56" spans="3:44" x14ac:dyDescent="0.25">
      <c r="X56" s="618" t="e">
        <f>SUM(X10:X53)</f>
        <v>#REF!</v>
      </c>
    </row>
    <row r="57" spans="3:44" x14ac:dyDescent="0.25">
      <c r="E57" s="618" t="e">
        <f>E54-E53</f>
        <v>#DIV/0!</v>
      </c>
      <c r="F57" s="618" t="e">
        <f t="shared" ref="F57:U57" si="59">F54-F53</f>
        <v>#DIV/0!</v>
      </c>
      <c r="G57" s="618" t="e">
        <f t="shared" si="59"/>
        <v>#DIV/0!</v>
      </c>
      <c r="H57" s="618" t="e">
        <f t="shared" si="59"/>
        <v>#DIV/0!</v>
      </c>
      <c r="I57" s="618" t="e">
        <f t="shared" si="59"/>
        <v>#DIV/0!</v>
      </c>
      <c r="J57" s="618" t="e">
        <f t="shared" si="59"/>
        <v>#DIV/0!</v>
      </c>
      <c r="K57" s="618" t="e">
        <f t="shared" si="59"/>
        <v>#DIV/0!</v>
      </c>
      <c r="L57" s="618" t="e">
        <f t="shared" si="59"/>
        <v>#DIV/0!</v>
      </c>
      <c r="M57" s="618" t="e">
        <f t="shared" si="59"/>
        <v>#DIV/0!</v>
      </c>
      <c r="N57" s="618" t="e">
        <f t="shared" si="59"/>
        <v>#DIV/0!</v>
      </c>
      <c r="O57" s="618" t="e">
        <f t="shared" si="59"/>
        <v>#DIV/0!</v>
      </c>
      <c r="P57" s="618" t="e">
        <f t="shared" si="59"/>
        <v>#DIV/0!</v>
      </c>
      <c r="Q57" s="618" t="e">
        <f t="shared" si="59"/>
        <v>#DIV/0!</v>
      </c>
      <c r="R57" s="618" t="e">
        <f t="shared" si="59"/>
        <v>#DIV/0!</v>
      </c>
      <c r="S57" s="618" t="e">
        <f t="shared" si="59"/>
        <v>#DIV/0!</v>
      </c>
      <c r="T57" s="618" t="e">
        <f t="shared" si="59"/>
        <v>#DIV/0!</v>
      </c>
      <c r="U57" s="618" t="e">
        <f t="shared" si="59"/>
        <v>#DIV/0!</v>
      </c>
    </row>
    <row r="60" spans="3:44" x14ac:dyDescent="0.25">
      <c r="E60" s="618"/>
      <c r="U60" s="618"/>
    </row>
  </sheetData>
  <mergeCells count="6">
    <mergeCell ref="AA7:AP7"/>
    <mergeCell ref="E2:F2"/>
    <mergeCell ref="G2:I2"/>
    <mergeCell ref="D7:D8"/>
    <mergeCell ref="J2:U2"/>
    <mergeCell ref="D4:U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00"/>
  </sheetPr>
  <dimension ref="A1:AA63"/>
  <sheetViews>
    <sheetView topLeftCell="G16" zoomScale="70" zoomScaleNormal="70" workbookViewId="0">
      <selection activeCell="N48" sqref="N48"/>
    </sheetView>
  </sheetViews>
  <sheetFormatPr baseColWidth="10" defaultRowHeight="16.5" x14ac:dyDescent="0.25"/>
  <cols>
    <col min="1" max="1" width="11.42578125" style="1206"/>
    <col min="2" max="2" width="31" style="1206" customWidth="1"/>
    <col min="3" max="3" width="11.42578125" style="1206" customWidth="1"/>
    <col min="4" max="10" width="11.42578125" style="1206"/>
    <col min="11" max="11" width="24.5703125" style="1206" customWidth="1"/>
    <col min="12" max="19" width="11.42578125" style="1206"/>
    <col min="20" max="20" width="43.140625" style="1206" customWidth="1"/>
    <col min="21" max="23" width="11.42578125" style="1206"/>
    <col min="24" max="24" width="11.42578125" style="1206" customWidth="1"/>
    <col min="25" max="28" width="11.42578125" style="1206"/>
    <col min="29" max="29" width="19.5703125" style="1206" customWidth="1"/>
    <col min="30" max="34" width="11.42578125" style="1206" customWidth="1"/>
    <col min="35" max="254" width="11.42578125" style="1206"/>
    <col min="255" max="255" width="10.42578125" style="1206" customWidth="1"/>
    <col min="256" max="256" width="27.85546875" style="1206" customWidth="1"/>
    <col min="257" max="257" width="11.42578125" style="1206"/>
    <col min="258" max="258" width="14.140625" style="1206" customWidth="1"/>
    <col min="259" max="510" width="11.42578125" style="1206"/>
    <col min="511" max="511" width="10.42578125" style="1206" customWidth="1"/>
    <col min="512" max="512" width="27.85546875" style="1206" customWidth="1"/>
    <col min="513" max="513" width="11.42578125" style="1206"/>
    <col min="514" max="514" width="14.140625" style="1206" customWidth="1"/>
    <col min="515" max="766" width="11.42578125" style="1206"/>
    <col min="767" max="767" width="10.42578125" style="1206" customWidth="1"/>
    <col min="768" max="768" width="27.85546875" style="1206" customWidth="1"/>
    <col min="769" max="769" width="11.42578125" style="1206"/>
    <col min="770" max="770" width="14.140625" style="1206" customWidth="1"/>
    <col min="771" max="1022" width="11.42578125" style="1206"/>
    <col min="1023" max="1023" width="10.42578125" style="1206" customWidth="1"/>
    <col min="1024" max="1024" width="27.85546875" style="1206" customWidth="1"/>
    <col min="1025" max="1025" width="11.42578125" style="1206"/>
    <col min="1026" max="1026" width="14.140625" style="1206" customWidth="1"/>
    <col min="1027" max="1278" width="11.42578125" style="1206"/>
    <col min="1279" max="1279" width="10.42578125" style="1206" customWidth="1"/>
    <col min="1280" max="1280" width="27.85546875" style="1206" customWidth="1"/>
    <col min="1281" max="1281" width="11.42578125" style="1206"/>
    <col min="1282" max="1282" width="14.140625" style="1206" customWidth="1"/>
    <col min="1283" max="1534" width="11.42578125" style="1206"/>
    <col min="1535" max="1535" width="10.42578125" style="1206" customWidth="1"/>
    <col min="1536" max="1536" width="27.85546875" style="1206" customWidth="1"/>
    <col min="1537" max="1537" width="11.42578125" style="1206"/>
    <col min="1538" max="1538" width="14.140625" style="1206" customWidth="1"/>
    <col min="1539" max="1790" width="11.42578125" style="1206"/>
    <col min="1791" max="1791" width="10.42578125" style="1206" customWidth="1"/>
    <col min="1792" max="1792" width="27.85546875" style="1206" customWidth="1"/>
    <col min="1793" max="1793" width="11.42578125" style="1206"/>
    <col min="1794" max="1794" width="14.140625" style="1206" customWidth="1"/>
    <col min="1795" max="2046" width="11.42578125" style="1206"/>
    <col min="2047" max="2047" width="10.42578125" style="1206" customWidth="1"/>
    <col min="2048" max="2048" width="27.85546875" style="1206" customWidth="1"/>
    <col min="2049" max="2049" width="11.42578125" style="1206"/>
    <col min="2050" max="2050" width="14.140625" style="1206" customWidth="1"/>
    <col min="2051" max="2302" width="11.42578125" style="1206"/>
    <col min="2303" max="2303" width="10.42578125" style="1206" customWidth="1"/>
    <col min="2304" max="2304" width="27.85546875" style="1206" customWidth="1"/>
    <col min="2305" max="2305" width="11.42578125" style="1206"/>
    <col min="2306" max="2306" width="14.140625" style="1206" customWidth="1"/>
    <col min="2307" max="2558" width="11.42578125" style="1206"/>
    <col min="2559" max="2559" width="10.42578125" style="1206" customWidth="1"/>
    <col min="2560" max="2560" width="27.85546875" style="1206" customWidth="1"/>
    <col min="2561" max="2561" width="11.42578125" style="1206"/>
    <col min="2562" max="2562" width="14.140625" style="1206" customWidth="1"/>
    <col min="2563" max="2814" width="11.42578125" style="1206"/>
    <col min="2815" max="2815" width="10.42578125" style="1206" customWidth="1"/>
    <col min="2816" max="2816" width="27.85546875" style="1206" customWidth="1"/>
    <col min="2817" max="2817" width="11.42578125" style="1206"/>
    <col min="2818" max="2818" width="14.140625" style="1206" customWidth="1"/>
    <col min="2819" max="3070" width="11.42578125" style="1206"/>
    <col min="3071" max="3071" width="10.42578125" style="1206" customWidth="1"/>
    <col min="3072" max="3072" width="27.85546875" style="1206" customWidth="1"/>
    <col min="3073" max="3073" width="11.42578125" style="1206"/>
    <col min="3074" max="3074" width="14.140625" style="1206" customWidth="1"/>
    <col min="3075" max="3326" width="11.42578125" style="1206"/>
    <col min="3327" max="3327" width="10.42578125" style="1206" customWidth="1"/>
    <col min="3328" max="3328" width="27.85546875" style="1206" customWidth="1"/>
    <col min="3329" max="3329" width="11.42578125" style="1206"/>
    <col min="3330" max="3330" width="14.140625" style="1206" customWidth="1"/>
    <col min="3331" max="3582" width="11.42578125" style="1206"/>
    <col min="3583" max="3583" width="10.42578125" style="1206" customWidth="1"/>
    <col min="3584" max="3584" width="27.85546875" style="1206" customWidth="1"/>
    <col min="3585" max="3585" width="11.42578125" style="1206"/>
    <col min="3586" max="3586" width="14.140625" style="1206" customWidth="1"/>
    <col min="3587" max="3838" width="11.42578125" style="1206"/>
    <col min="3839" max="3839" width="10.42578125" style="1206" customWidth="1"/>
    <col min="3840" max="3840" width="27.85546875" style="1206" customWidth="1"/>
    <col min="3841" max="3841" width="11.42578125" style="1206"/>
    <col min="3842" max="3842" width="14.140625" style="1206" customWidth="1"/>
    <col min="3843" max="4094" width="11.42578125" style="1206"/>
    <col min="4095" max="4095" width="10.42578125" style="1206" customWidth="1"/>
    <col min="4096" max="4096" width="27.85546875" style="1206" customWidth="1"/>
    <col min="4097" max="4097" width="11.42578125" style="1206"/>
    <col min="4098" max="4098" width="14.140625" style="1206" customWidth="1"/>
    <col min="4099" max="4350" width="11.42578125" style="1206"/>
    <col min="4351" max="4351" width="10.42578125" style="1206" customWidth="1"/>
    <col min="4352" max="4352" width="27.85546875" style="1206" customWidth="1"/>
    <col min="4353" max="4353" width="11.42578125" style="1206"/>
    <col min="4354" max="4354" width="14.140625" style="1206" customWidth="1"/>
    <col min="4355" max="4606" width="11.42578125" style="1206"/>
    <col min="4607" max="4607" width="10.42578125" style="1206" customWidth="1"/>
    <col min="4608" max="4608" width="27.85546875" style="1206" customWidth="1"/>
    <col min="4609" max="4609" width="11.42578125" style="1206"/>
    <col min="4610" max="4610" width="14.140625" style="1206" customWidth="1"/>
    <col min="4611" max="4862" width="11.42578125" style="1206"/>
    <col min="4863" max="4863" width="10.42578125" style="1206" customWidth="1"/>
    <col min="4864" max="4864" width="27.85546875" style="1206" customWidth="1"/>
    <col min="4865" max="4865" width="11.42578125" style="1206"/>
    <col min="4866" max="4866" width="14.140625" style="1206" customWidth="1"/>
    <col min="4867" max="5118" width="11.42578125" style="1206"/>
    <col min="5119" max="5119" width="10.42578125" style="1206" customWidth="1"/>
    <col min="5120" max="5120" width="27.85546875" style="1206" customWidth="1"/>
    <col min="5121" max="5121" width="11.42578125" style="1206"/>
    <col min="5122" max="5122" width="14.140625" style="1206" customWidth="1"/>
    <col min="5123" max="5374" width="11.42578125" style="1206"/>
    <col min="5375" max="5375" width="10.42578125" style="1206" customWidth="1"/>
    <col min="5376" max="5376" width="27.85546875" style="1206" customWidth="1"/>
    <col min="5377" max="5377" width="11.42578125" style="1206"/>
    <col min="5378" max="5378" width="14.140625" style="1206" customWidth="1"/>
    <col min="5379" max="5630" width="11.42578125" style="1206"/>
    <col min="5631" max="5631" width="10.42578125" style="1206" customWidth="1"/>
    <col min="5632" max="5632" width="27.85546875" style="1206" customWidth="1"/>
    <col min="5633" max="5633" width="11.42578125" style="1206"/>
    <col min="5634" max="5634" width="14.140625" style="1206" customWidth="1"/>
    <col min="5635" max="5886" width="11.42578125" style="1206"/>
    <col min="5887" max="5887" width="10.42578125" style="1206" customWidth="1"/>
    <col min="5888" max="5888" width="27.85546875" style="1206" customWidth="1"/>
    <col min="5889" max="5889" width="11.42578125" style="1206"/>
    <col min="5890" max="5890" width="14.140625" style="1206" customWidth="1"/>
    <col min="5891" max="6142" width="11.42578125" style="1206"/>
    <col min="6143" max="6143" width="10.42578125" style="1206" customWidth="1"/>
    <col min="6144" max="6144" width="27.85546875" style="1206" customWidth="1"/>
    <col min="6145" max="6145" width="11.42578125" style="1206"/>
    <col min="6146" max="6146" width="14.140625" style="1206" customWidth="1"/>
    <col min="6147" max="6398" width="11.42578125" style="1206"/>
    <col min="6399" max="6399" width="10.42578125" style="1206" customWidth="1"/>
    <col min="6400" max="6400" width="27.85546875" style="1206" customWidth="1"/>
    <col min="6401" max="6401" width="11.42578125" style="1206"/>
    <col min="6402" max="6402" width="14.140625" style="1206" customWidth="1"/>
    <col min="6403" max="6654" width="11.42578125" style="1206"/>
    <col min="6655" max="6655" width="10.42578125" style="1206" customWidth="1"/>
    <col min="6656" max="6656" width="27.85546875" style="1206" customWidth="1"/>
    <col min="6657" max="6657" width="11.42578125" style="1206"/>
    <col min="6658" max="6658" width="14.140625" style="1206" customWidth="1"/>
    <col min="6659" max="6910" width="11.42578125" style="1206"/>
    <col min="6911" max="6911" width="10.42578125" style="1206" customWidth="1"/>
    <col min="6912" max="6912" width="27.85546875" style="1206" customWidth="1"/>
    <col min="6913" max="6913" width="11.42578125" style="1206"/>
    <col min="6914" max="6914" width="14.140625" style="1206" customWidth="1"/>
    <col min="6915" max="7166" width="11.42578125" style="1206"/>
    <col min="7167" max="7167" width="10.42578125" style="1206" customWidth="1"/>
    <col min="7168" max="7168" width="27.85546875" style="1206" customWidth="1"/>
    <col min="7169" max="7169" width="11.42578125" style="1206"/>
    <col min="7170" max="7170" width="14.140625" style="1206" customWidth="1"/>
    <col min="7171" max="7422" width="11.42578125" style="1206"/>
    <col min="7423" max="7423" width="10.42578125" style="1206" customWidth="1"/>
    <col min="7424" max="7424" width="27.85546875" style="1206" customWidth="1"/>
    <col min="7425" max="7425" width="11.42578125" style="1206"/>
    <col min="7426" max="7426" width="14.140625" style="1206" customWidth="1"/>
    <col min="7427" max="7678" width="11.42578125" style="1206"/>
    <col min="7679" max="7679" width="10.42578125" style="1206" customWidth="1"/>
    <col min="7680" max="7680" width="27.85546875" style="1206" customWidth="1"/>
    <col min="7681" max="7681" width="11.42578125" style="1206"/>
    <col min="7682" max="7682" width="14.140625" style="1206" customWidth="1"/>
    <col min="7683" max="7934" width="11.42578125" style="1206"/>
    <col min="7935" max="7935" width="10.42578125" style="1206" customWidth="1"/>
    <col min="7936" max="7936" width="27.85546875" style="1206" customWidth="1"/>
    <col min="7937" max="7937" width="11.42578125" style="1206"/>
    <col min="7938" max="7938" width="14.140625" style="1206" customWidth="1"/>
    <col min="7939" max="8190" width="11.42578125" style="1206"/>
    <col min="8191" max="8191" width="10.42578125" style="1206" customWidth="1"/>
    <col min="8192" max="8192" width="27.85546875" style="1206" customWidth="1"/>
    <col min="8193" max="8193" width="11.42578125" style="1206"/>
    <col min="8194" max="8194" width="14.140625" style="1206" customWidth="1"/>
    <col min="8195" max="8446" width="11.42578125" style="1206"/>
    <col min="8447" max="8447" width="10.42578125" style="1206" customWidth="1"/>
    <col min="8448" max="8448" width="27.85546875" style="1206" customWidth="1"/>
    <col min="8449" max="8449" width="11.42578125" style="1206"/>
    <col min="8450" max="8450" width="14.140625" style="1206" customWidth="1"/>
    <col min="8451" max="8702" width="11.42578125" style="1206"/>
    <col min="8703" max="8703" width="10.42578125" style="1206" customWidth="1"/>
    <col min="8704" max="8704" width="27.85546875" style="1206" customWidth="1"/>
    <col min="8705" max="8705" width="11.42578125" style="1206"/>
    <col min="8706" max="8706" width="14.140625" style="1206" customWidth="1"/>
    <col min="8707" max="8958" width="11.42578125" style="1206"/>
    <col min="8959" max="8959" width="10.42578125" style="1206" customWidth="1"/>
    <col min="8960" max="8960" width="27.85546875" style="1206" customWidth="1"/>
    <col min="8961" max="8961" width="11.42578125" style="1206"/>
    <col min="8962" max="8962" width="14.140625" style="1206" customWidth="1"/>
    <col min="8963" max="9214" width="11.42578125" style="1206"/>
    <col min="9215" max="9215" width="10.42578125" style="1206" customWidth="1"/>
    <col min="9216" max="9216" width="27.85546875" style="1206" customWidth="1"/>
    <col min="9217" max="9217" width="11.42578125" style="1206"/>
    <col min="9218" max="9218" width="14.140625" style="1206" customWidth="1"/>
    <col min="9219" max="9470" width="11.42578125" style="1206"/>
    <col min="9471" max="9471" width="10.42578125" style="1206" customWidth="1"/>
    <col min="9472" max="9472" width="27.85546875" style="1206" customWidth="1"/>
    <col min="9473" max="9473" width="11.42578125" style="1206"/>
    <col min="9474" max="9474" width="14.140625" style="1206" customWidth="1"/>
    <col min="9475" max="9726" width="11.42578125" style="1206"/>
    <col min="9727" max="9727" width="10.42578125" style="1206" customWidth="1"/>
    <col min="9728" max="9728" width="27.85546875" style="1206" customWidth="1"/>
    <col min="9729" max="9729" width="11.42578125" style="1206"/>
    <col min="9730" max="9730" width="14.140625" style="1206" customWidth="1"/>
    <col min="9731" max="9982" width="11.42578125" style="1206"/>
    <col min="9983" max="9983" width="10.42578125" style="1206" customWidth="1"/>
    <col min="9984" max="9984" width="27.85546875" style="1206" customWidth="1"/>
    <col min="9985" max="9985" width="11.42578125" style="1206"/>
    <col min="9986" max="9986" width="14.140625" style="1206" customWidth="1"/>
    <col min="9987" max="10238" width="11.42578125" style="1206"/>
    <col min="10239" max="10239" width="10.42578125" style="1206" customWidth="1"/>
    <col min="10240" max="10240" width="27.85546875" style="1206" customWidth="1"/>
    <col min="10241" max="10241" width="11.42578125" style="1206"/>
    <col min="10242" max="10242" width="14.140625" style="1206" customWidth="1"/>
    <col min="10243" max="10494" width="11.42578125" style="1206"/>
    <col min="10495" max="10495" width="10.42578125" style="1206" customWidth="1"/>
    <col min="10496" max="10496" width="27.85546875" style="1206" customWidth="1"/>
    <col min="10497" max="10497" width="11.42578125" style="1206"/>
    <col min="10498" max="10498" width="14.140625" style="1206" customWidth="1"/>
    <col min="10499" max="10750" width="11.42578125" style="1206"/>
    <col min="10751" max="10751" width="10.42578125" style="1206" customWidth="1"/>
    <col min="10752" max="10752" width="27.85546875" style="1206" customWidth="1"/>
    <col min="10753" max="10753" width="11.42578125" style="1206"/>
    <col min="10754" max="10754" width="14.140625" style="1206" customWidth="1"/>
    <col min="10755" max="11006" width="11.42578125" style="1206"/>
    <col min="11007" max="11007" width="10.42578125" style="1206" customWidth="1"/>
    <col min="11008" max="11008" width="27.85546875" style="1206" customWidth="1"/>
    <col min="11009" max="11009" width="11.42578125" style="1206"/>
    <col min="11010" max="11010" width="14.140625" style="1206" customWidth="1"/>
    <col min="11011" max="11262" width="11.42578125" style="1206"/>
    <col min="11263" max="11263" width="10.42578125" style="1206" customWidth="1"/>
    <col min="11264" max="11264" width="27.85546875" style="1206" customWidth="1"/>
    <col min="11265" max="11265" width="11.42578125" style="1206"/>
    <col min="11266" max="11266" width="14.140625" style="1206" customWidth="1"/>
    <col min="11267" max="11518" width="11.42578125" style="1206"/>
    <col min="11519" max="11519" width="10.42578125" style="1206" customWidth="1"/>
    <col min="11520" max="11520" width="27.85546875" style="1206" customWidth="1"/>
    <col min="11521" max="11521" width="11.42578125" style="1206"/>
    <col min="11522" max="11522" width="14.140625" style="1206" customWidth="1"/>
    <col min="11523" max="11774" width="11.42578125" style="1206"/>
    <col min="11775" max="11775" width="10.42578125" style="1206" customWidth="1"/>
    <col min="11776" max="11776" width="27.85546875" style="1206" customWidth="1"/>
    <col min="11777" max="11777" width="11.42578125" style="1206"/>
    <col min="11778" max="11778" width="14.140625" style="1206" customWidth="1"/>
    <col min="11779" max="12030" width="11.42578125" style="1206"/>
    <col min="12031" max="12031" width="10.42578125" style="1206" customWidth="1"/>
    <col min="12032" max="12032" width="27.85546875" style="1206" customWidth="1"/>
    <col min="12033" max="12033" width="11.42578125" style="1206"/>
    <col min="12034" max="12034" width="14.140625" style="1206" customWidth="1"/>
    <col min="12035" max="12286" width="11.42578125" style="1206"/>
    <col min="12287" max="12287" width="10.42578125" style="1206" customWidth="1"/>
    <col min="12288" max="12288" width="27.85546875" style="1206" customWidth="1"/>
    <col min="12289" max="12289" width="11.42578125" style="1206"/>
    <col min="12290" max="12290" width="14.140625" style="1206" customWidth="1"/>
    <col min="12291" max="12542" width="11.42578125" style="1206"/>
    <col min="12543" max="12543" width="10.42578125" style="1206" customWidth="1"/>
    <col min="12544" max="12544" width="27.85546875" style="1206" customWidth="1"/>
    <col min="12545" max="12545" width="11.42578125" style="1206"/>
    <col min="12546" max="12546" width="14.140625" style="1206" customWidth="1"/>
    <col min="12547" max="12798" width="11.42578125" style="1206"/>
    <col min="12799" max="12799" width="10.42578125" style="1206" customWidth="1"/>
    <col min="12800" max="12800" width="27.85546875" style="1206" customWidth="1"/>
    <col min="12801" max="12801" width="11.42578125" style="1206"/>
    <col min="12802" max="12802" width="14.140625" style="1206" customWidth="1"/>
    <col min="12803" max="13054" width="11.42578125" style="1206"/>
    <col min="13055" max="13055" width="10.42578125" style="1206" customWidth="1"/>
    <col min="13056" max="13056" width="27.85546875" style="1206" customWidth="1"/>
    <col min="13057" max="13057" width="11.42578125" style="1206"/>
    <col min="13058" max="13058" width="14.140625" style="1206" customWidth="1"/>
    <col min="13059" max="13310" width="11.42578125" style="1206"/>
    <col min="13311" max="13311" width="10.42578125" style="1206" customWidth="1"/>
    <col min="13312" max="13312" width="27.85546875" style="1206" customWidth="1"/>
    <col min="13313" max="13313" width="11.42578125" style="1206"/>
    <col min="13314" max="13314" width="14.140625" style="1206" customWidth="1"/>
    <col min="13315" max="13566" width="11.42578125" style="1206"/>
    <col min="13567" max="13567" width="10.42578125" style="1206" customWidth="1"/>
    <col min="13568" max="13568" width="27.85546875" style="1206" customWidth="1"/>
    <col min="13569" max="13569" width="11.42578125" style="1206"/>
    <col min="13570" max="13570" width="14.140625" style="1206" customWidth="1"/>
    <col min="13571" max="13822" width="11.42578125" style="1206"/>
    <col min="13823" max="13823" width="10.42578125" style="1206" customWidth="1"/>
    <col min="13824" max="13824" width="27.85546875" style="1206" customWidth="1"/>
    <col min="13825" max="13825" width="11.42578125" style="1206"/>
    <col min="13826" max="13826" width="14.140625" style="1206" customWidth="1"/>
    <col min="13827" max="14078" width="11.42578125" style="1206"/>
    <col min="14079" max="14079" width="10.42578125" style="1206" customWidth="1"/>
    <col min="14080" max="14080" width="27.85546875" style="1206" customWidth="1"/>
    <col min="14081" max="14081" width="11.42578125" style="1206"/>
    <col min="14082" max="14082" width="14.140625" style="1206" customWidth="1"/>
    <col min="14083" max="14334" width="11.42578125" style="1206"/>
    <col min="14335" max="14335" width="10.42578125" style="1206" customWidth="1"/>
    <col min="14336" max="14336" width="27.85546875" style="1206" customWidth="1"/>
    <col min="14337" max="14337" width="11.42578125" style="1206"/>
    <col min="14338" max="14338" width="14.140625" style="1206" customWidth="1"/>
    <col min="14339" max="14590" width="11.42578125" style="1206"/>
    <col min="14591" max="14591" width="10.42578125" style="1206" customWidth="1"/>
    <col min="14592" max="14592" width="27.85546875" style="1206" customWidth="1"/>
    <col min="14593" max="14593" width="11.42578125" style="1206"/>
    <col min="14594" max="14594" width="14.140625" style="1206" customWidth="1"/>
    <col min="14595" max="14846" width="11.42578125" style="1206"/>
    <col min="14847" max="14847" width="10.42578125" style="1206" customWidth="1"/>
    <col min="14848" max="14848" width="27.85546875" style="1206" customWidth="1"/>
    <col min="14849" max="14849" width="11.42578125" style="1206"/>
    <col min="14850" max="14850" width="14.140625" style="1206" customWidth="1"/>
    <col min="14851" max="15102" width="11.42578125" style="1206"/>
    <col min="15103" max="15103" width="10.42578125" style="1206" customWidth="1"/>
    <col min="15104" max="15104" width="27.85546875" style="1206" customWidth="1"/>
    <col min="15105" max="15105" width="11.42578125" style="1206"/>
    <col min="15106" max="15106" width="14.140625" style="1206" customWidth="1"/>
    <col min="15107" max="15358" width="11.42578125" style="1206"/>
    <col min="15359" max="15359" width="10.42578125" style="1206" customWidth="1"/>
    <col min="15360" max="15360" width="27.85546875" style="1206" customWidth="1"/>
    <col min="15361" max="15361" width="11.42578125" style="1206"/>
    <col min="15362" max="15362" width="14.140625" style="1206" customWidth="1"/>
    <col min="15363" max="15614" width="11.42578125" style="1206"/>
    <col min="15615" max="15615" width="10.42578125" style="1206" customWidth="1"/>
    <col min="15616" max="15616" width="27.85546875" style="1206" customWidth="1"/>
    <col min="15617" max="15617" width="11.42578125" style="1206"/>
    <col min="15618" max="15618" width="14.140625" style="1206" customWidth="1"/>
    <col min="15619" max="15870" width="11.42578125" style="1206"/>
    <col min="15871" max="15871" width="10.42578125" style="1206" customWidth="1"/>
    <col min="15872" max="15872" width="27.85546875" style="1206" customWidth="1"/>
    <col min="15873" max="15873" width="11.42578125" style="1206"/>
    <col min="15874" max="15874" width="14.140625" style="1206" customWidth="1"/>
    <col min="15875" max="16126" width="11.42578125" style="1206"/>
    <col min="16127" max="16127" width="10.42578125" style="1206" customWidth="1"/>
    <col min="16128" max="16128" width="27.85546875" style="1206" customWidth="1"/>
    <col min="16129" max="16129" width="11.42578125" style="1206"/>
    <col min="16130" max="16130" width="14.140625" style="1206" customWidth="1"/>
    <col min="16131" max="16384" width="11.42578125" style="1206"/>
  </cols>
  <sheetData>
    <row r="1" spans="1:27" ht="17.25" thickBot="1" x14ac:dyDescent="0.3">
      <c r="K1" s="1207"/>
    </row>
    <row r="2" spans="1:27" x14ac:dyDescent="0.25">
      <c r="A2" s="1236"/>
      <c r="B2" s="1237"/>
      <c r="C2" s="1238"/>
      <c r="D2" s="1237"/>
      <c r="E2" s="1237"/>
      <c r="F2" s="1237"/>
      <c r="G2" s="1237"/>
      <c r="H2" s="1237"/>
      <c r="I2" s="1239"/>
      <c r="S2" s="1236"/>
      <c r="T2" s="1237"/>
      <c r="U2" s="1238"/>
      <c r="V2" s="1237"/>
      <c r="W2" s="1237"/>
      <c r="X2" s="1237"/>
      <c r="Y2" s="1237"/>
      <c r="Z2" s="1237"/>
      <c r="AA2" s="1239"/>
    </row>
    <row r="3" spans="1:27" x14ac:dyDescent="0.25">
      <c r="A3" s="1240"/>
      <c r="B3" s="1241"/>
      <c r="C3" s="1242"/>
      <c r="D3" s="1241"/>
      <c r="E3" s="1241"/>
      <c r="F3" s="1241"/>
      <c r="G3" s="1241"/>
      <c r="H3" s="1241"/>
      <c r="I3" s="1243"/>
      <c r="S3" s="1240"/>
      <c r="T3" s="1241"/>
      <c r="U3" s="1242"/>
      <c r="V3" s="1241"/>
      <c r="W3" s="1241"/>
      <c r="X3" s="1241"/>
      <c r="Y3" s="1241"/>
      <c r="Z3" s="1241"/>
      <c r="AA3" s="1243"/>
    </row>
    <row r="4" spans="1:27" ht="15" customHeight="1" x14ac:dyDescent="0.25">
      <c r="A4" s="1240"/>
      <c r="B4" s="1241"/>
      <c r="C4" s="1242"/>
      <c r="D4" s="1241"/>
      <c r="E4" s="1241"/>
      <c r="F4" s="1241"/>
      <c r="G4" s="1241"/>
      <c r="H4" s="1241"/>
      <c r="I4" s="1243"/>
      <c r="K4" s="4482" t="s">
        <v>1221</v>
      </c>
      <c r="L4" s="4483"/>
      <c r="M4" s="4483"/>
      <c r="N4" s="4483"/>
      <c r="O4" s="4483"/>
      <c r="P4" s="4483"/>
      <c r="S4" s="1240"/>
      <c r="T4" s="1241"/>
      <c r="U4" s="1242"/>
      <c r="V4" s="1241"/>
      <c r="W4" s="1241"/>
      <c r="X4" s="1241"/>
      <c r="Y4" s="1241"/>
      <c r="Z4" s="1241"/>
      <c r="AA4" s="1243"/>
    </row>
    <row r="5" spans="1:27" ht="39" customHeight="1" x14ac:dyDescent="0.25">
      <c r="A5" s="1244"/>
      <c r="B5" s="4482" t="s">
        <v>1810</v>
      </c>
      <c r="C5" s="4483"/>
      <c r="D5" s="4483"/>
      <c r="E5" s="4483"/>
      <c r="F5" s="4483"/>
      <c r="G5" s="4483"/>
      <c r="H5" s="4483"/>
      <c r="I5" s="1245"/>
      <c r="J5" s="1202"/>
      <c r="K5" s="4483"/>
      <c r="L5" s="4483"/>
      <c r="M5" s="4483"/>
      <c r="N5" s="4483"/>
      <c r="O5" s="4483"/>
      <c r="P5" s="4483"/>
      <c r="S5" s="1244"/>
      <c r="T5" s="4303" t="s">
        <v>3671</v>
      </c>
      <c r="U5" s="4485"/>
      <c r="V5" s="4485"/>
      <c r="W5" s="4485"/>
      <c r="X5" s="4485"/>
      <c r="Y5" s="4485"/>
      <c r="Z5" s="4485"/>
      <c r="AA5" s="1245"/>
    </row>
    <row r="6" spans="1:27" x14ac:dyDescent="0.25">
      <c r="A6" s="1240"/>
      <c r="B6" s="1241"/>
      <c r="C6" s="1241"/>
      <c r="D6" s="1241"/>
      <c r="E6" s="1241"/>
      <c r="F6" s="1241"/>
      <c r="G6" s="1241"/>
      <c r="H6" s="1241"/>
      <c r="I6" s="1243"/>
      <c r="S6" s="1240"/>
      <c r="T6" s="4485"/>
      <c r="U6" s="4485"/>
      <c r="V6" s="4485"/>
      <c r="W6" s="4485"/>
      <c r="X6" s="4485"/>
      <c r="Y6" s="4485"/>
      <c r="Z6" s="4485"/>
      <c r="AA6" s="1243"/>
    </row>
    <row r="7" spans="1:27" x14ac:dyDescent="0.25">
      <c r="A7" s="1240"/>
      <c r="B7" s="1242" t="s">
        <v>191</v>
      </c>
      <c r="C7" s="1241"/>
      <c r="D7" s="2177" t="s">
        <v>1220</v>
      </c>
      <c r="E7" s="2178"/>
      <c r="F7" s="2178"/>
      <c r="G7" s="2178"/>
      <c r="H7" s="2178"/>
      <c r="I7" s="1247"/>
      <c r="J7" s="1208"/>
      <c r="S7" s="1240"/>
      <c r="T7" s="1246"/>
      <c r="U7" s="1246"/>
      <c r="V7" s="1246"/>
      <c r="W7" s="1246"/>
      <c r="X7" s="1246"/>
      <c r="Y7" s="1246"/>
      <c r="Z7" s="1246"/>
      <c r="AA7" s="1247"/>
    </row>
    <row r="8" spans="1:27" ht="42" customHeight="1" x14ac:dyDescent="0.25">
      <c r="A8" s="1240"/>
      <c r="B8" s="1242"/>
      <c r="C8" s="1241"/>
      <c r="D8" s="1241"/>
      <c r="E8" s="1241"/>
      <c r="F8" s="1241"/>
      <c r="G8" s="1241"/>
      <c r="H8" s="1241"/>
      <c r="I8" s="1243"/>
      <c r="K8" s="2179" t="s">
        <v>194</v>
      </c>
      <c r="L8" s="2180">
        <v>2014</v>
      </c>
      <c r="M8" s="2180">
        <v>2015</v>
      </c>
      <c r="N8" s="2180">
        <v>2016</v>
      </c>
      <c r="O8" s="2180">
        <v>2017</v>
      </c>
      <c r="P8" s="2180">
        <f>O8+1</f>
        <v>2018</v>
      </c>
      <c r="S8" s="1240"/>
      <c r="T8" s="1242" t="s">
        <v>191</v>
      </c>
      <c r="U8" s="758" t="s">
        <v>3522</v>
      </c>
      <c r="V8" s="1241"/>
      <c r="W8" s="1241"/>
      <c r="X8" s="1241"/>
      <c r="Y8" s="1241"/>
      <c r="Z8" s="1241"/>
      <c r="AA8" s="1243"/>
    </row>
    <row r="9" spans="1:27" ht="27" customHeight="1" x14ac:dyDescent="0.25">
      <c r="A9" s="1240"/>
      <c r="B9" s="1242" t="s">
        <v>192</v>
      </c>
      <c r="C9" s="1241"/>
      <c r="D9" s="2177" t="s">
        <v>617</v>
      </c>
      <c r="E9" s="2178"/>
      <c r="F9" s="2178"/>
      <c r="G9" s="2178"/>
      <c r="H9" s="1241"/>
      <c r="I9" s="1243"/>
      <c r="K9" s="4491" t="s">
        <v>199</v>
      </c>
      <c r="L9" s="4491"/>
      <c r="M9" s="4491"/>
      <c r="N9" s="4491"/>
      <c r="O9" s="4491"/>
      <c r="P9" s="4491"/>
      <c r="S9" s="1240"/>
      <c r="T9" s="1242"/>
      <c r="U9" s="1241"/>
      <c r="V9" s="1241"/>
      <c r="W9" s="1241"/>
      <c r="X9" s="1241"/>
      <c r="Y9" s="1241"/>
      <c r="Z9" s="1241"/>
      <c r="AA9" s="1243"/>
    </row>
    <row r="10" spans="1:27" x14ac:dyDescent="0.25">
      <c r="A10" s="1240"/>
      <c r="B10" s="1248"/>
      <c r="C10" s="1249"/>
      <c r="D10" s="1249"/>
      <c r="E10" s="1250"/>
      <c r="F10" s="1250"/>
      <c r="G10" s="1250"/>
      <c r="H10" s="1250"/>
      <c r="I10" s="1243"/>
      <c r="K10" s="1209" t="s">
        <v>200</v>
      </c>
      <c r="L10" s="1210">
        <v>4</v>
      </c>
      <c r="M10" s="1210">
        <v>5</v>
      </c>
      <c r="N10" s="1211">
        <v>4</v>
      </c>
      <c r="O10" s="1211">
        <v>5</v>
      </c>
      <c r="P10" s="1211">
        <v>4</v>
      </c>
      <c r="S10" s="1240"/>
      <c r="T10" s="758" t="s">
        <v>3190</v>
      </c>
      <c r="U10" s="758" t="s">
        <v>3523</v>
      </c>
      <c r="V10" s="1241"/>
      <c r="W10" s="1241"/>
      <c r="X10" s="1241"/>
      <c r="Y10" s="1241"/>
      <c r="Z10" s="1241"/>
      <c r="AA10" s="1243"/>
    </row>
    <row r="11" spans="1:27" ht="33" x14ac:dyDescent="0.25">
      <c r="A11" s="1240"/>
      <c r="B11" s="1395" t="s">
        <v>194</v>
      </c>
      <c r="C11" s="1395" t="s">
        <v>195</v>
      </c>
      <c r="D11" s="1396" t="s">
        <v>196</v>
      </c>
      <c r="E11" s="1395" t="s">
        <v>197</v>
      </c>
      <c r="F11" s="1395" t="s">
        <v>3682</v>
      </c>
      <c r="G11" s="1395" t="s">
        <v>150</v>
      </c>
      <c r="H11" s="1395" t="s">
        <v>163</v>
      </c>
      <c r="I11" s="1243"/>
      <c r="K11" s="2181" t="s">
        <v>201</v>
      </c>
      <c r="L11" s="2182">
        <v>0</v>
      </c>
      <c r="M11" s="2182">
        <v>0</v>
      </c>
      <c r="N11" s="2183">
        <v>0</v>
      </c>
      <c r="O11" s="2183">
        <v>0</v>
      </c>
      <c r="P11" s="2183">
        <v>0</v>
      </c>
      <c r="S11" s="1240"/>
      <c r="T11" s="1241"/>
      <c r="U11" s="1241"/>
      <c r="V11" s="1241"/>
      <c r="W11" s="1241"/>
      <c r="X11" s="1241"/>
      <c r="Y11" s="1241"/>
      <c r="Z11" s="1241"/>
      <c r="AA11" s="1243"/>
    </row>
    <row r="12" spans="1:27" x14ac:dyDescent="0.25">
      <c r="A12" s="1240"/>
      <c r="B12" s="4488" t="s">
        <v>199</v>
      </c>
      <c r="C12" s="4489"/>
      <c r="D12" s="4489"/>
      <c r="E12" s="4489"/>
      <c r="F12" s="4489"/>
      <c r="G12" s="4489"/>
      <c r="H12" s="4490"/>
      <c r="I12" s="1251"/>
      <c r="J12" s="1203"/>
      <c r="K12" s="2181" t="s">
        <v>202</v>
      </c>
      <c r="L12" s="2182">
        <v>0</v>
      </c>
      <c r="M12" s="2182">
        <v>0</v>
      </c>
      <c r="N12" s="2183">
        <v>0</v>
      </c>
      <c r="O12" s="2183">
        <v>0</v>
      </c>
      <c r="P12" s="2183">
        <v>0</v>
      </c>
      <c r="S12" s="1240"/>
      <c r="T12" s="1248"/>
      <c r="U12" s="1249"/>
      <c r="V12" s="1249"/>
      <c r="W12" s="1250"/>
      <c r="X12" s="1250"/>
      <c r="Y12" s="1250"/>
      <c r="Z12" s="1250"/>
      <c r="AA12" s="1251"/>
    </row>
    <row r="13" spans="1:27" ht="33" x14ac:dyDescent="0.25">
      <c r="A13" s="1240"/>
      <c r="B13" s="1209" t="s">
        <v>200</v>
      </c>
      <c r="C13" s="2176">
        <v>4</v>
      </c>
      <c r="D13" s="1211">
        <v>1</v>
      </c>
      <c r="E13" s="1213">
        <v>1</v>
      </c>
      <c r="F13" s="1213">
        <v>0</v>
      </c>
      <c r="G13" s="1211">
        <f>SUM(C13:F13)</f>
        <v>6</v>
      </c>
      <c r="H13" s="1214">
        <f>G13/$G$54</f>
        <v>7.4999999999999997E-2</v>
      </c>
      <c r="I13" s="1243"/>
      <c r="K13" s="2181" t="s">
        <v>203</v>
      </c>
      <c r="L13" s="2182">
        <v>0</v>
      </c>
      <c r="M13" s="2182">
        <v>0</v>
      </c>
      <c r="N13" s="2183">
        <v>0</v>
      </c>
      <c r="O13" s="2183">
        <v>0</v>
      </c>
      <c r="P13" s="2183">
        <v>0</v>
      </c>
      <c r="S13" s="1240"/>
      <c r="T13" s="1255" t="s">
        <v>194</v>
      </c>
      <c r="U13" s="1256" t="s">
        <v>195</v>
      </c>
      <c r="V13" s="1257" t="s">
        <v>196</v>
      </c>
      <c r="W13" s="1256" t="s">
        <v>197</v>
      </c>
      <c r="X13" s="1256" t="s">
        <v>198</v>
      </c>
      <c r="Y13" s="1256" t="s">
        <v>150</v>
      </c>
      <c r="Z13" s="1258" t="s">
        <v>163</v>
      </c>
      <c r="AA13" s="1243"/>
    </row>
    <row r="14" spans="1:27" ht="15" customHeight="1" x14ac:dyDescent="0.25">
      <c r="A14" s="1240"/>
      <c r="B14" s="1209" t="s">
        <v>201</v>
      </c>
      <c r="C14" s="1211">
        <v>0</v>
      </c>
      <c r="D14" s="1211">
        <v>0</v>
      </c>
      <c r="E14" s="1213">
        <v>0</v>
      </c>
      <c r="F14" s="1213">
        <v>0</v>
      </c>
      <c r="G14" s="1211">
        <f t="shared" ref="G14:G44" si="0">SUM(C14:F14)</f>
        <v>0</v>
      </c>
      <c r="H14" s="1214">
        <f t="shared" ref="H14:H45" si="1">G14/$G$54</f>
        <v>0</v>
      </c>
      <c r="I14" s="1243"/>
      <c r="K14" s="2181" t="s">
        <v>204</v>
      </c>
      <c r="L14" s="2182">
        <v>0</v>
      </c>
      <c r="M14" s="2182">
        <v>0</v>
      </c>
      <c r="N14" s="2183">
        <v>0</v>
      </c>
      <c r="O14" s="2183">
        <v>0</v>
      </c>
      <c r="P14" s="2183">
        <v>0</v>
      </c>
      <c r="R14" s="1215"/>
      <c r="S14" s="1240"/>
      <c r="T14" s="4487" t="s">
        <v>199</v>
      </c>
      <c r="U14" s="4487"/>
      <c r="V14" s="4487"/>
      <c r="W14" s="4487"/>
      <c r="X14" s="4487"/>
      <c r="Y14" s="4487"/>
      <c r="Z14" s="4487"/>
      <c r="AA14" s="1243"/>
    </row>
    <row r="15" spans="1:27" x14ac:dyDescent="0.25">
      <c r="A15" s="1240"/>
      <c r="B15" s="1209" t="s">
        <v>202</v>
      </c>
      <c r="C15" s="1211">
        <v>0</v>
      </c>
      <c r="D15" s="1211">
        <v>0</v>
      </c>
      <c r="E15" s="1213">
        <v>0</v>
      </c>
      <c r="F15" s="1213">
        <v>0</v>
      </c>
      <c r="G15" s="1211">
        <f t="shared" si="0"/>
        <v>0</v>
      </c>
      <c r="H15" s="1214">
        <f t="shared" si="1"/>
        <v>0</v>
      </c>
      <c r="I15" s="1243"/>
      <c r="K15" s="2181" t="s">
        <v>205</v>
      </c>
      <c r="L15" s="2182">
        <v>0</v>
      </c>
      <c r="M15" s="2182">
        <v>0</v>
      </c>
      <c r="N15" s="2183">
        <v>0</v>
      </c>
      <c r="O15" s="2183">
        <v>0</v>
      </c>
      <c r="P15" s="2183">
        <v>0</v>
      </c>
      <c r="R15" s="1215"/>
      <c r="S15" s="1240"/>
      <c r="T15" s="1209" t="s">
        <v>200</v>
      </c>
      <c r="U15" s="1211">
        <v>3</v>
      </c>
      <c r="V15" s="1211">
        <v>0</v>
      </c>
      <c r="W15" s="1213">
        <v>1</v>
      </c>
      <c r="X15" s="1213">
        <v>0</v>
      </c>
      <c r="Y15" s="1211">
        <f>SUM(U15:X15)</f>
        <v>4</v>
      </c>
      <c r="Z15" s="1216">
        <f>Y15/$Y$56</f>
        <v>0.11428571428571428</v>
      </c>
      <c r="AA15" s="1243"/>
    </row>
    <row r="16" spans="1:27" ht="15" customHeight="1" x14ac:dyDescent="0.25">
      <c r="A16" s="1240"/>
      <c r="B16" s="1209" t="s">
        <v>203</v>
      </c>
      <c r="C16" s="1211">
        <v>0</v>
      </c>
      <c r="D16" s="1211">
        <v>0</v>
      </c>
      <c r="E16" s="1213">
        <v>0</v>
      </c>
      <c r="F16" s="1213">
        <v>0</v>
      </c>
      <c r="G16" s="1211">
        <f t="shared" si="0"/>
        <v>0</v>
      </c>
      <c r="H16" s="1214">
        <f t="shared" si="1"/>
        <v>0</v>
      </c>
      <c r="I16" s="1243"/>
      <c r="K16" s="2184" t="s">
        <v>206</v>
      </c>
      <c r="L16" s="2182">
        <v>0</v>
      </c>
      <c r="M16" s="2182">
        <v>0</v>
      </c>
      <c r="N16" s="2183">
        <v>0</v>
      </c>
      <c r="O16" s="2183">
        <v>0</v>
      </c>
      <c r="P16" s="2183">
        <v>0</v>
      </c>
      <c r="R16" s="1215"/>
      <c r="S16" s="1240"/>
      <c r="T16" s="2181" t="s">
        <v>201</v>
      </c>
      <c r="U16" s="2183">
        <v>0</v>
      </c>
      <c r="V16" s="2183">
        <v>0</v>
      </c>
      <c r="W16" s="2183">
        <v>0</v>
      </c>
      <c r="X16" s="2183">
        <v>0</v>
      </c>
      <c r="Y16" s="2183">
        <f t="shared" ref="Y16:Y46" si="2">SUM(U16:X16)</f>
        <v>0</v>
      </c>
      <c r="Z16" s="2185">
        <f t="shared" ref="Z16:Z46" si="3">Y16/$Y$56</f>
        <v>0</v>
      </c>
      <c r="AA16" s="1243"/>
    </row>
    <row r="17" spans="1:27" ht="15" customHeight="1" x14ac:dyDescent="0.25">
      <c r="A17" s="1240"/>
      <c r="B17" s="1209" t="s">
        <v>204</v>
      </c>
      <c r="C17" s="1211">
        <v>0</v>
      </c>
      <c r="D17" s="1211">
        <v>0</v>
      </c>
      <c r="E17" s="1213">
        <v>0</v>
      </c>
      <c r="F17" s="1213">
        <v>0</v>
      </c>
      <c r="G17" s="1211">
        <f t="shared" si="0"/>
        <v>0</v>
      </c>
      <c r="H17" s="1214">
        <f t="shared" si="1"/>
        <v>0</v>
      </c>
      <c r="I17" s="1243"/>
      <c r="K17" s="2181" t="s">
        <v>207</v>
      </c>
      <c r="L17" s="2182">
        <v>0</v>
      </c>
      <c r="M17" s="2182">
        <v>0</v>
      </c>
      <c r="N17" s="2183">
        <v>0</v>
      </c>
      <c r="O17" s="2183">
        <v>0</v>
      </c>
      <c r="P17" s="2183">
        <v>0</v>
      </c>
      <c r="R17" s="1215"/>
      <c r="S17" s="1240"/>
      <c r="T17" s="2181" t="s">
        <v>202</v>
      </c>
      <c r="U17" s="2183">
        <v>0</v>
      </c>
      <c r="V17" s="2183">
        <v>0</v>
      </c>
      <c r="W17" s="2183">
        <v>0</v>
      </c>
      <c r="X17" s="2183">
        <v>0</v>
      </c>
      <c r="Y17" s="2183">
        <f t="shared" si="2"/>
        <v>0</v>
      </c>
      <c r="Z17" s="2185">
        <f t="shared" si="3"/>
        <v>0</v>
      </c>
      <c r="AA17" s="1243"/>
    </row>
    <row r="18" spans="1:27" ht="15" customHeight="1" x14ac:dyDescent="0.25">
      <c r="A18" s="1240"/>
      <c r="B18" s="1209" t="s">
        <v>205</v>
      </c>
      <c r="C18" s="1211">
        <v>0</v>
      </c>
      <c r="D18" s="1211">
        <v>0</v>
      </c>
      <c r="E18" s="1213">
        <v>0</v>
      </c>
      <c r="F18" s="1213">
        <v>0</v>
      </c>
      <c r="G18" s="1211">
        <f t="shared" si="0"/>
        <v>0</v>
      </c>
      <c r="H18" s="1214">
        <f t="shared" si="1"/>
        <v>0</v>
      </c>
      <c r="I18" s="1243"/>
      <c r="K18" s="2181" t="s">
        <v>208</v>
      </c>
      <c r="L18" s="2182">
        <v>0</v>
      </c>
      <c r="M18" s="2182">
        <v>0</v>
      </c>
      <c r="N18" s="2183">
        <v>0</v>
      </c>
      <c r="O18" s="2183">
        <v>0</v>
      </c>
      <c r="P18" s="2183">
        <v>0</v>
      </c>
      <c r="R18" s="1215"/>
      <c r="S18" s="1240"/>
      <c r="T18" s="2181" t="s">
        <v>203</v>
      </c>
      <c r="U18" s="2183">
        <v>0</v>
      </c>
      <c r="V18" s="2183">
        <v>0</v>
      </c>
      <c r="W18" s="2183">
        <v>0</v>
      </c>
      <c r="X18" s="2183">
        <v>0</v>
      </c>
      <c r="Y18" s="2183">
        <f t="shared" si="2"/>
        <v>0</v>
      </c>
      <c r="Z18" s="2185">
        <f t="shared" si="3"/>
        <v>0</v>
      </c>
      <c r="AA18" s="1243"/>
    </row>
    <row r="19" spans="1:27" ht="15" customHeight="1" x14ac:dyDescent="0.25">
      <c r="A19" s="1240"/>
      <c r="B19" s="1217" t="s">
        <v>206</v>
      </c>
      <c r="C19" s="1211">
        <v>0</v>
      </c>
      <c r="D19" s="1211">
        <v>0</v>
      </c>
      <c r="E19" s="1213">
        <v>0</v>
      </c>
      <c r="F19" s="1213">
        <v>0</v>
      </c>
      <c r="G19" s="1211">
        <f t="shared" si="0"/>
        <v>0</v>
      </c>
      <c r="H19" s="1214">
        <f t="shared" si="1"/>
        <v>0</v>
      </c>
      <c r="I19" s="1243"/>
      <c r="K19" s="2181" t="s">
        <v>209</v>
      </c>
      <c r="L19" s="2182">
        <v>0</v>
      </c>
      <c r="M19" s="2182">
        <v>0</v>
      </c>
      <c r="N19" s="2183">
        <v>0</v>
      </c>
      <c r="O19" s="2183">
        <v>0</v>
      </c>
      <c r="P19" s="2183">
        <v>0</v>
      </c>
      <c r="R19" s="1215"/>
      <c r="S19" s="1240"/>
      <c r="T19" s="2181" t="s">
        <v>204</v>
      </c>
      <c r="U19" s="2183">
        <v>0</v>
      </c>
      <c r="V19" s="2183">
        <v>0</v>
      </c>
      <c r="W19" s="2183">
        <v>0</v>
      </c>
      <c r="X19" s="2183">
        <v>0</v>
      </c>
      <c r="Y19" s="2183">
        <f t="shared" si="2"/>
        <v>0</v>
      </c>
      <c r="Z19" s="2185">
        <f t="shared" si="3"/>
        <v>0</v>
      </c>
      <c r="AA19" s="1243"/>
    </row>
    <row r="20" spans="1:27" ht="15" customHeight="1" x14ac:dyDescent="0.25">
      <c r="A20" s="1240"/>
      <c r="B20" s="1209" t="s">
        <v>207</v>
      </c>
      <c r="C20" s="1211">
        <v>0</v>
      </c>
      <c r="D20" s="1211">
        <v>0</v>
      </c>
      <c r="E20" s="1213">
        <v>0</v>
      </c>
      <c r="F20" s="1213">
        <v>0</v>
      </c>
      <c r="G20" s="1211">
        <f t="shared" si="0"/>
        <v>0</v>
      </c>
      <c r="H20" s="1214">
        <f t="shared" si="1"/>
        <v>0</v>
      </c>
      <c r="I20" s="1243"/>
      <c r="K20" s="2181" t="s">
        <v>210</v>
      </c>
      <c r="L20" s="2182">
        <v>0</v>
      </c>
      <c r="M20" s="2182">
        <v>0</v>
      </c>
      <c r="N20" s="2183">
        <v>0</v>
      </c>
      <c r="O20" s="2183">
        <v>0</v>
      </c>
      <c r="P20" s="2183">
        <v>0</v>
      </c>
      <c r="R20" s="1215"/>
      <c r="S20" s="1240"/>
      <c r="T20" s="2181" t="s">
        <v>205</v>
      </c>
      <c r="U20" s="2183">
        <v>0</v>
      </c>
      <c r="V20" s="2183">
        <v>0</v>
      </c>
      <c r="W20" s="2183">
        <v>0</v>
      </c>
      <c r="X20" s="2183">
        <v>0</v>
      </c>
      <c r="Y20" s="2183">
        <f t="shared" si="2"/>
        <v>0</v>
      </c>
      <c r="Z20" s="2185">
        <f t="shared" si="3"/>
        <v>0</v>
      </c>
      <c r="AA20" s="1243"/>
    </row>
    <row r="21" spans="1:27" ht="15" customHeight="1" x14ac:dyDescent="0.25">
      <c r="A21" s="1240"/>
      <c r="B21" s="1209" t="s">
        <v>208</v>
      </c>
      <c r="C21" s="1211">
        <v>0</v>
      </c>
      <c r="D21" s="1211">
        <v>0</v>
      </c>
      <c r="E21" s="1213">
        <v>0</v>
      </c>
      <c r="F21" s="1213">
        <v>0</v>
      </c>
      <c r="G21" s="1211">
        <f t="shared" si="0"/>
        <v>0</v>
      </c>
      <c r="H21" s="1214">
        <f t="shared" si="1"/>
        <v>0</v>
      </c>
      <c r="I21" s="1243"/>
      <c r="K21" s="2181" t="s">
        <v>211</v>
      </c>
      <c r="L21" s="2182">
        <v>0</v>
      </c>
      <c r="M21" s="2182">
        <v>0</v>
      </c>
      <c r="N21" s="2183">
        <v>0</v>
      </c>
      <c r="O21" s="2183">
        <v>0</v>
      </c>
      <c r="P21" s="2183">
        <v>0</v>
      </c>
      <c r="R21" s="1215"/>
      <c r="S21" s="1240"/>
      <c r="T21" s="2181" t="s">
        <v>206</v>
      </c>
      <c r="U21" s="2183">
        <v>0</v>
      </c>
      <c r="V21" s="2183">
        <v>0</v>
      </c>
      <c r="W21" s="2183">
        <v>0</v>
      </c>
      <c r="X21" s="2183">
        <v>0</v>
      </c>
      <c r="Y21" s="2183">
        <f t="shared" si="2"/>
        <v>0</v>
      </c>
      <c r="Z21" s="2185">
        <f t="shared" si="3"/>
        <v>0</v>
      </c>
      <c r="AA21" s="1243"/>
    </row>
    <row r="22" spans="1:27" ht="15" customHeight="1" x14ac:dyDescent="0.25">
      <c r="A22" s="1240"/>
      <c r="B22" s="1209" t="s">
        <v>209</v>
      </c>
      <c r="C22" s="1211">
        <v>0</v>
      </c>
      <c r="D22" s="1211">
        <v>0</v>
      </c>
      <c r="E22" s="1213">
        <v>0</v>
      </c>
      <c r="F22" s="1213">
        <v>0</v>
      </c>
      <c r="G22" s="1211">
        <f t="shared" si="0"/>
        <v>0</v>
      </c>
      <c r="H22" s="1214">
        <f t="shared" si="1"/>
        <v>0</v>
      </c>
      <c r="I22" s="1243"/>
      <c r="K22" s="2181" t="s">
        <v>212</v>
      </c>
      <c r="L22" s="2182">
        <v>0</v>
      </c>
      <c r="M22" s="2182">
        <v>0</v>
      </c>
      <c r="N22" s="2183">
        <v>0</v>
      </c>
      <c r="O22" s="2183">
        <v>0</v>
      </c>
      <c r="P22" s="2183">
        <v>0</v>
      </c>
      <c r="R22" s="1215"/>
      <c r="S22" s="1240"/>
      <c r="T22" s="2181" t="s">
        <v>207</v>
      </c>
      <c r="U22" s="2183">
        <v>0</v>
      </c>
      <c r="V22" s="2183">
        <v>0</v>
      </c>
      <c r="W22" s="2183">
        <v>0</v>
      </c>
      <c r="X22" s="2183">
        <v>0</v>
      </c>
      <c r="Y22" s="2183">
        <f t="shared" si="2"/>
        <v>0</v>
      </c>
      <c r="Z22" s="2185">
        <f t="shared" si="3"/>
        <v>0</v>
      </c>
      <c r="AA22" s="1243"/>
    </row>
    <row r="23" spans="1:27" ht="15" customHeight="1" x14ac:dyDescent="0.25">
      <c r="A23" s="1240"/>
      <c r="B23" s="1209" t="s">
        <v>210</v>
      </c>
      <c r="C23" s="1211">
        <v>0</v>
      </c>
      <c r="D23" s="1211">
        <v>0</v>
      </c>
      <c r="E23" s="1213">
        <v>0</v>
      </c>
      <c r="F23" s="1213">
        <v>0</v>
      </c>
      <c r="G23" s="1211">
        <f t="shared" si="0"/>
        <v>0</v>
      </c>
      <c r="H23" s="1214">
        <f t="shared" si="1"/>
        <v>0</v>
      </c>
      <c r="I23" s="1243"/>
      <c r="K23" s="2181" t="s">
        <v>213</v>
      </c>
      <c r="L23" s="2182">
        <v>0</v>
      </c>
      <c r="M23" s="2182">
        <v>0</v>
      </c>
      <c r="N23" s="2183">
        <v>0</v>
      </c>
      <c r="O23" s="2183">
        <v>0</v>
      </c>
      <c r="P23" s="2183">
        <v>0</v>
      </c>
      <c r="R23" s="1215"/>
      <c r="S23" s="1240"/>
      <c r="T23" s="2181" t="s">
        <v>208</v>
      </c>
      <c r="U23" s="2183">
        <v>0</v>
      </c>
      <c r="V23" s="2183">
        <v>0</v>
      </c>
      <c r="W23" s="2183">
        <v>0</v>
      </c>
      <c r="X23" s="2183">
        <v>0</v>
      </c>
      <c r="Y23" s="2183">
        <f t="shared" si="2"/>
        <v>0</v>
      </c>
      <c r="Z23" s="2185">
        <f t="shared" si="3"/>
        <v>0</v>
      </c>
      <c r="AA23" s="1243"/>
    </row>
    <row r="24" spans="1:27" ht="15" customHeight="1" x14ac:dyDescent="0.25">
      <c r="A24" s="1240"/>
      <c r="B24" s="1209" t="s">
        <v>211</v>
      </c>
      <c r="C24" s="1211">
        <v>0</v>
      </c>
      <c r="D24" s="1211">
        <v>0</v>
      </c>
      <c r="E24" s="1213">
        <v>0</v>
      </c>
      <c r="F24" s="1213">
        <v>0</v>
      </c>
      <c r="G24" s="1211">
        <f t="shared" si="0"/>
        <v>0</v>
      </c>
      <c r="H24" s="1214">
        <f t="shared" si="1"/>
        <v>0</v>
      </c>
      <c r="I24" s="1243"/>
      <c r="K24" s="2181" t="s">
        <v>214</v>
      </c>
      <c r="L24" s="2182">
        <v>0</v>
      </c>
      <c r="M24" s="2182">
        <v>0</v>
      </c>
      <c r="N24" s="2183">
        <v>0</v>
      </c>
      <c r="O24" s="2183">
        <v>0</v>
      </c>
      <c r="P24" s="2183">
        <v>0</v>
      </c>
      <c r="R24" s="1215"/>
      <c r="S24" s="1240"/>
      <c r="T24" s="2181" t="s">
        <v>209</v>
      </c>
      <c r="U24" s="2183">
        <v>0</v>
      </c>
      <c r="V24" s="2183">
        <v>0</v>
      </c>
      <c r="W24" s="2183">
        <v>0</v>
      </c>
      <c r="X24" s="2183">
        <v>0</v>
      </c>
      <c r="Y24" s="2183">
        <f t="shared" si="2"/>
        <v>0</v>
      </c>
      <c r="Z24" s="2185">
        <f t="shared" si="3"/>
        <v>0</v>
      </c>
      <c r="AA24" s="1243"/>
    </row>
    <row r="25" spans="1:27" ht="15" customHeight="1" x14ac:dyDescent="0.25">
      <c r="A25" s="1240"/>
      <c r="B25" s="1209" t="s">
        <v>212</v>
      </c>
      <c r="C25" s="1211">
        <v>0</v>
      </c>
      <c r="D25" s="1211">
        <v>0</v>
      </c>
      <c r="E25" s="1213">
        <v>0</v>
      </c>
      <c r="F25" s="1213">
        <v>0</v>
      </c>
      <c r="G25" s="1211">
        <f t="shared" si="0"/>
        <v>0</v>
      </c>
      <c r="H25" s="1214">
        <f t="shared" si="1"/>
        <v>0</v>
      </c>
      <c r="I25" s="1243"/>
      <c r="K25" s="2181" t="s">
        <v>215</v>
      </c>
      <c r="L25" s="2182">
        <v>0</v>
      </c>
      <c r="M25" s="2182">
        <v>0</v>
      </c>
      <c r="N25" s="2183">
        <v>0</v>
      </c>
      <c r="O25" s="2183">
        <v>0</v>
      </c>
      <c r="P25" s="2183">
        <v>0</v>
      </c>
      <c r="R25" s="1215"/>
      <c r="S25" s="1240"/>
      <c r="T25" s="2181" t="s">
        <v>210</v>
      </c>
      <c r="U25" s="2183">
        <v>0</v>
      </c>
      <c r="V25" s="2183">
        <v>0</v>
      </c>
      <c r="W25" s="2183">
        <v>0</v>
      </c>
      <c r="X25" s="2183">
        <v>0</v>
      </c>
      <c r="Y25" s="2183">
        <f t="shared" si="2"/>
        <v>0</v>
      </c>
      <c r="Z25" s="2185">
        <f t="shared" si="3"/>
        <v>0</v>
      </c>
      <c r="AA25" s="1243"/>
    </row>
    <row r="26" spans="1:27" ht="15" customHeight="1" x14ac:dyDescent="0.25">
      <c r="A26" s="1240"/>
      <c r="B26" s="1209" t="s">
        <v>213</v>
      </c>
      <c r="C26" s="1211">
        <v>0</v>
      </c>
      <c r="D26" s="1211">
        <v>0</v>
      </c>
      <c r="E26" s="1213">
        <v>0</v>
      </c>
      <c r="F26" s="1213">
        <v>0</v>
      </c>
      <c r="G26" s="1211">
        <f t="shared" si="0"/>
        <v>0</v>
      </c>
      <c r="H26" s="1214">
        <f t="shared" si="1"/>
        <v>0</v>
      </c>
      <c r="I26" s="1243"/>
      <c r="K26" s="1209" t="s">
        <v>216</v>
      </c>
      <c r="L26" s="1210">
        <v>1</v>
      </c>
      <c r="M26" s="1210">
        <v>1</v>
      </c>
      <c r="N26" s="1211">
        <v>1</v>
      </c>
      <c r="O26" s="1211">
        <v>1</v>
      </c>
      <c r="P26" s="1211">
        <v>2</v>
      </c>
      <c r="R26" s="1215"/>
      <c r="S26" s="1240"/>
      <c r="T26" s="2181" t="s">
        <v>211</v>
      </c>
      <c r="U26" s="2183">
        <v>0</v>
      </c>
      <c r="V26" s="2183">
        <v>0</v>
      </c>
      <c r="W26" s="2183">
        <v>0</v>
      </c>
      <c r="X26" s="2183">
        <v>0</v>
      </c>
      <c r="Y26" s="2183">
        <f t="shared" si="2"/>
        <v>0</v>
      </c>
      <c r="Z26" s="2185">
        <f t="shared" si="3"/>
        <v>0</v>
      </c>
      <c r="AA26" s="1243"/>
    </row>
    <row r="27" spans="1:27" ht="15" customHeight="1" x14ac:dyDescent="0.25">
      <c r="A27" s="1240"/>
      <c r="B27" s="1209" t="s">
        <v>214</v>
      </c>
      <c r="C27" s="1211">
        <v>0</v>
      </c>
      <c r="D27" s="1211">
        <v>0</v>
      </c>
      <c r="E27" s="1213">
        <v>0</v>
      </c>
      <c r="F27" s="1213">
        <v>0</v>
      </c>
      <c r="G27" s="1211">
        <f t="shared" si="0"/>
        <v>0</v>
      </c>
      <c r="H27" s="1214">
        <f t="shared" si="1"/>
        <v>0</v>
      </c>
      <c r="I27" s="1243"/>
      <c r="K27" s="1209" t="s">
        <v>217</v>
      </c>
      <c r="L27" s="1210">
        <v>4</v>
      </c>
      <c r="M27" s="1210">
        <v>4</v>
      </c>
      <c r="N27" s="1211">
        <v>5</v>
      </c>
      <c r="O27" s="1211">
        <v>5</v>
      </c>
      <c r="P27" s="1211">
        <v>7</v>
      </c>
      <c r="R27" s="1215"/>
      <c r="S27" s="1240"/>
      <c r="T27" s="2181" t="s">
        <v>212</v>
      </c>
      <c r="U27" s="2183">
        <v>0</v>
      </c>
      <c r="V27" s="2183">
        <v>0</v>
      </c>
      <c r="W27" s="2183">
        <v>0</v>
      </c>
      <c r="X27" s="2183">
        <v>0</v>
      </c>
      <c r="Y27" s="2183">
        <f t="shared" si="2"/>
        <v>0</v>
      </c>
      <c r="Z27" s="2185">
        <f t="shared" si="3"/>
        <v>0</v>
      </c>
      <c r="AA27" s="1243"/>
    </row>
    <row r="28" spans="1:27" ht="15" customHeight="1" x14ac:dyDescent="0.25">
      <c r="A28" s="1240"/>
      <c r="B28" s="1209" t="s">
        <v>215</v>
      </c>
      <c r="C28" s="1211">
        <v>0</v>
      </c>
      <c r="D28" s="1211">
        <v>0</v>
      </c>
      <c r="E28" s="1213">
        <v>0</v>
      </c>
      <c r="F28" s="1213">
        <v>0</v>
      </c>
      <c r="G28" s="1211">
        <f t="shared" si="0"/>
        <v>0</v>
      </c>
      <c r="H28" s="1214">
        <f t="shared" si="1"/>
        <v>0</v>
      </c>
      <c r="I28" s="1243"/>
      <c r="K28" s="1209" t="s">
        <v>218</v>
      </c>
      <c r="L28" s="1210">
        <v>0</v>
      </c>
      <c r="M28" s="1210">
        <v>0</v>
      </c>
      <c r="N28" s="1211">
        <v>1</v>
      </c>
      <c r="O28" s="1211">
        <v>1</v>
      </c>
      <c r="P28" s="1211">
        <v>1</v>
      </c>
      <c r="R28" s="1215"/>
      <c r="S28" s="1240"/>
      <c r="T28" s="2181" t="s">
        <v>213</v>
      </c>
      <c r="U28" s="2183">
        <v>0</v>
      </c>
      <c r="V28" s="2183">
        <v>0</v>
      </c>
      <c r="W28" s="2183">
        <v>0</v>
      </c>
      <c r="X28" s="2183">
        <v>0</v>
      </c>
      <c r="Y28" s="2183">
        <f t="shared" si="2"/>
        <v>0</v>
      </c>
      <c r="Z28" s="2185">
        <f t="shared" si="3"/>
        <v>0</v>
      </c>
      <c r="AA28" s="1243"/>
    </row>
    <row r="29" spans="1:27" ht="15" customHeight="1" x14ac:dyDescent="0.25">
      <c r="A29" s="1240"/>
      <c r="B29" s="1209" t="s">
        <v>216</v>
      </c>
      <c r="C29" s="1211">
        <v>2</v>
      </c>
      <c r="D29" s="1211">
        <v>1</v>
      </c>
      <c r="E29" s="1213">
        <v>0</v>
      </c>
      <c r="F29" s="1213">
        <v>0</v>
      </c>
      <c r="G29" s="1211">
        <f t="shared" si="0"/>
        <v>3</v>
      </c>
      <c r="H29" s="1214">
        <f t="shared" si="1"/>
        <v>3.7499999999999999E-2</v>
      </c>
      <c r="I29" s="1243"/>
      <c r="K29" s="1209" t="s">
        <v>219</v>
      </c>
      <c r="L29" s="1210">
        <v>2</v>
      </c>
      <c r="M29" s="1210">
        <v>1</v>
      </c>
      <c r="N29" s="1211">
        <v>2</v>
      </c>
      <c r="O29" s="1211">
        <v>1</v>
      </c>
      <c r="P29" s="1211">
        <v>4</v>
      </c>
      <c r="R29" s="1215"/>
      <c r="S29" s="1240"/>
      <c r="T29" s="2181" t="s">
        <v>214</v>
      </c>
      <c r="U29" s="2183">
        <v>0</v>
      </c>
      <c r="V29" s="2183">
        <v>0</v>
      </c>
      <c r="W29" s="2183">
        <v>0</v>
      </c>
      <c r="X29" s="2183">
        <v>0</v>
      </c>
      <c r="Y29" s="2183">
        <f t="shared" si="2"/>
        <v>0</v>
      </c>
      <c r="Z29" s="2185">
        <f t="shared" si="3"/>
        <v>0</v>
      </c>
      <c r="AA29" s="1243"/>
    </row>
    <row r="30" spans="1:27" ht="15" customHeight="1" x14ac:dyDescent="0.25">
      <c r="A30" s="1240"/>
      <c r="B30" s="1209" t="s">
        <v>217</v>
      </c>
      <c r="C30" s="1211">
        <v>15</v>
      </c>
      <c r="D30" s="1211">
        <v>5</v>
      </c>
      <c r="E30" s="1213">
        <v>0</v>
      </c>
      <c r="F30" s="1213">
        <v>0</v>
      </c>
      <c r="G30" s="1211">
        <f t="shared" si="0"/>
        <v>20</v>
      </c>
      <c r="H30" s="1214">
        <f t="shared" si="1"/>
        <v>0.25</v>
      </c>
      <c r="I30" s="1243"/>
      <c r="K30" s="1209" t="s">
        <v>220</v>
      </c>
      <c r="L30" s="1210">
        <v>1</v>
      </c>
      <c r="M30" s="1210">
        <v>1</v>
      </c>
      <c r="N30" s="1211">
        <v>1</v>
      </c>
      <c r="O30" s="1211">
        <v>1</v>
      </c>
      <c r="P30" s="1211">
        <v>1</v>
      </c>
      <c r="R30" s="1215"/>
      <c r="S30" s="1240"/>
      <c r="T30" s="2181" t="s">
        <v>215</v>
      </c>
      <c r="U30" s="2183">
        <v>0</v>
      </c>
      <c r="V30" s="2183">
        <v>0</v>
      </c>
      <c r="W30" s="2183">
        <v>0</v>
      </c>
      <c r="X30" s="2183">
        <v>0</v>
      </c>
      <c r="Y30" s="2183">
        <f t="shared" si="2"/>
        <v>0</v>
      </c>
      <c r="Z30" s="2185">
        <f t="shared" si="3"/>
        <v>0</v>
      </c>
      <c r="AA30" s="1243"/>
    </row>
    <row r="31" spans="1:27" ht="15" customHeight="1" x14ac:dyDescent="0.25">
      <c r="A31" s="1240"/>
      <c r="B31" s="1209" t="s">
        <v>218</v>
      </c>
      <c r="C31" s="1211">
        <v>0</v>
      </c>
      <c r="D31" s="1211">
        <v>1</v>
      </c>
      <c r="E31" s="1213">
        <v>0</v>
      </c>
      <c r="F31" s="1213">
        <v>0</v>
      </c>
      <c r="G31" s="1211">
        <f t="shared" si="0"/>
        <v>1</v>
      </c>
      <c r="H31" s="1214">
        <f t="shared" si="1"/>
        <v>1.2500000000000001E-2</v>
      </c>
      <c r="I31" s="1243"/>
      <c r="K31" s="2181" t="s">
        <v>221</v>
      </c>
      <c r="L31" s="2182">
        <v>0</v>
      </c>
      <c r="M31" s="2182">
        <v>0</v>
      </c>
      <c r="N31" s="2183">
        <v>0</v>
      </c>
      <c r="O31" s="2183">
        <v>0</v>
      </c>
      <c r="P31" s="2183">
        <v>0</v>
      </c>
      <c r="R31" s="1215"/>
      <c r="S31" s="1240"/>
      <c r="T31" s="1209" t="s">
        <v>216</v>
      </c>
      <c r="U31" s="1211">
        <v>2</v>
      </c>
      <c r="V31" s="1211">
        <v>0</v>
      </c>
      <c r="W31" s="1213">
        <v>0</v>
      </c>
      <c r="X31" s="1213">
        <v>0</v>
      </c>
      <c r="Y31" s="1211">
        <f t="shared" si="2"/>
        <v>2</v>
      </c>
      <c r="Z31" s="1216">
        <f t="shared" si="3"/>
        <v>5.7142857142857141E-2</v>
      </c>
      <c r="AA31" s="1243"/>
    </row>
    <row r="32" spans="1:27" ht="15" customHeight="1" x14ac:dyDescent="0.25">
      <c r="A32" s="1240"/>
      <c r="B32" s="1209" t="s">
        <v>219</v>
      </c>
      <c r="C32" s="1211">
        <v>1</v>
      </c>
      <c r="D32" s="1211">
        <v>4</v>
      </c>
      <c r="E32" s="1213">
        <v>1</v>
      </c>
      <c r="F32" s="1213">
        <v>0</v>
      </c>
      <c r="G32" s="1211">
        <f t="shared" si="0"/>
        <v>6</v>
      </c>
      <c r="H32" s="1214">
        <f t="shared" si="1"/>
        <v>7.4999999999999997E-2</v>
      </c>
      <c r="I32" s="1243"/>
      <c r="K32" s="2188" t="s">
        <v>222</v>
      </c>
      <c r="L32" s="2182">
        <v>0</v>
      </c>
      <c r="M32" s="2182">
        <v>0</v>
      </c>
      <c r="N32" s="2183">
        <v>0</v>
      </c>
      <c r="O32" s="2183">
        <v>0</v>
      </c>
      <c r="P32" s="2183">
        <v>0</v>
      </c>
      <c r="R32" s="1215"/>
      <c r="S32" s="1240"/>
      <c r="T32" s="1209" t="s">
        <v>217</v>
      </c>
      <c r="U32" s="1211">
        <v>5</v>
      </c>
      <c r="V32" s="1211">
        <v>2</v>
      </c>
      <c r="W32" s="1213">
        <v>0</v>
      </c>
      <c r="X32" s="1213">
        <v>0</v>
      </c>
      <c r="Y32" s="1211">
        <f t="shared" si="2"/>
        <v>7</v>
      </c>
      <c r="Z32" s="1216">
        <f t="shared" si="3"/>
        <v>0.2</v>
      </c>
      <c r="AA32" s="1243"/>
    </row>
    <row r="33" spans="1:27" ht="33" x14ac:dyDescent="0.25">
      <c r="A33" s="1240"/>
      <c r="B33" s="1209" t="s">
        <v>220</v>
      </c>
      <c r="C33" s="1211">
        <v>1</v>
      </c>
      <c r="D33" s="1211">
        <v>0</v>
      </c>
      <c r="E33" s="1213">
        <v>0</v>
      </c>
      <c r="F33" s="1213">
        <v>0</v>
      </c>
      <c r="G33" s="1211">
        <f t="shared" si="0"/>
        <v>1</v>
      </c>
      <c r="H33" s="1214">
        <f t="shared" si="1"/>
        <v>1.2500000000000001E-2</v>
      </c>
      <c r="I33" s="1243"/>
      <c r="K33" s="2181" t="s">
        <v>223</v>
      </c>
      <c r="L33" s="2182">
        <v>0</v>
      </c>
      <c r="M33" s="2182">
        <v>0</v>
      </c>
      <c r="N33" s="2183">
        <v>0</v>
      </c>
      <c r="O33" s="2183">
        <v>0</v>
      </c>
      <c r="P33" s="2183">
        <v>0</v>
      </c>
      <c r="R33" s="1215"/>
      <c r="S33" s="1240"/>
      <c r="T33" s="1209" t="s">
        <v>218</v>
      </c>
      <c r="U33" s="1211">
        <v>0</v>
      </c>
      <c r="V33" s="1211">
        <v>1</v>
      </c>
      <c r="W33" s="1213">
        <v>0</v>
      </c>
      <c r="X33" s="1213">
        <v>0</v>
      </c>
      <c r="Y33" s="1211">
        <f t="shared" si="2"/>
        <v>1</v>
      </c>
      <c r="Z33" s="1216">
        <f t="shared" si="3"/>
        <v>2.8571428571428571E-2</v>
      </c>
      <c r="AA33" s="1243"/>
    </row>
    <row r="34" spans="1:27" ht="32.25" customHeight="1" x14ac:dyDescent="0.25">
      <c r="A34" s="1240"/>
      <c r="B34" s="1209" t="s">
        <v>221</v>
      </c>
      <c r="C34" s="1211">
        <v>0</v>
      </c>
      <c r="D34" s="1211">
        <v>0</v>
      </c>
      <c r="E34" s="1213">
        <v>0</v>
      </c>
      <c r="F34" s="1213">
        <v>0</v>
      </c>
      <c r="G34" s="1211">
        <f t="shared" si="0"/>
        <v>0</v>
      </c>
      <c r="H34" s="1214">
        <f t="shared" si="1"/>
        <v>0</v>
      </c>
      <c r="I34" s="1243"/>
      <c r="K34" s="2181" t="s">
        <v>224</v>
      </c>
      <c r="L34" s="2182">
        <v>0</v>
      </c>
      <c r="M34" s="2182">
        <v>0</v>
      </c>
      <c r="N34" s="2183">
        <v>0</v>
      </c>
      <c r="O34" s="2183">
        <v>0</v>
      </c>
      <c r="P34" s="2183">
        <v>0</v>
      </c>
      <c r="R34" s="1215"/>
      <c r="S34" s="1240"/>
      <c r="T34" s="1209" t="s">
        <v>353</v>
      </c>
      <c r="U34" s="1211">
        <v>1</v>
      </c>
      <c r="V34" s="1211">
        <v>2</v>
      </c>
      <c r="W34" s="1213">
        <v>1</v>
      </c>
      <c r="X34" s="1213">
        <v>0</v>
      </c>
      <c r="Y34" s="1211">
        <f t="shared" si="2"/>
        <v>4</v>
      </c>
      <c r="Z34" s="1216">
        <f t="shared" si="3"/>
        <v>0.11428571428571428</v>
      </c>
      <c r="AA34" s="1243"/>
    </row>
    <row r="35" spans="1:27" ht="33" x14ac:dyDescent="0.25">
      <c r="A35" s="1240"/>
      <c r="B35" s="1209" t="s">
        <v>222</v>
      </c>
      <c r="C35" s="1211">
        <v>0</v>
      </c>
      <c r="D35" s="1211">
        <v>0</v>
      </c>
      <c r="E35" s="1213">
        <v>0</v>
      </c>
      <c r="F35" s="1213">
        <v>0</v>
      </c>
      <c r="G35" s="1211">
        <f t="shared" si="0"/>
        <v>0</v>
      </c>
      <c r="H35" s="1214">
        <f t="shared" si="1"/>
        <v>0</v>
      </c>
      <c r="I35" s="1243"/>
      <c r="K35" s="2181" t="s">
        <v>225</v>
      </c>
      <c r="L35" s="2182">
        <v>0</v>
      </c>
      <c r="M35" s="2182">
        <v>0</v>
      </c>
      <c r="N35" s="2183">
        <v>0</v>
      </c>
      <c r="O35" s="2183">
        <v>0</v>
      </c>
      <c r="P35" s="2183">
        <v>0</v>
      </c>
      <c r="R35" s="1215"/>
      <c r="S35" s="1240"/>
      <c r="T35" s="1209" t="s">
        <v>220</v>
      </c>
      <c r="U35" s="1211">
        <v>1</v>
      </c>
      <c r="V35" s="1211">
        <v>0</v>
      </c>
      <c r="W35" s="1213">
        <v>0</v>
      </c>
      <c r="X35" s="1213">
        <v>0</v>
      </c>
      <c r="Y35" s="1211">
        <f t="shared" si="2"/>
        <v>1</v>
      </c>
      <c r="Z35" s="1216">
        <f t="shared" si="3"/>
        <v>2.8571428571428571E-2</v>
      </c>
      <c r="AA35" s="1243"/>
    </row>
    <row r="36" spans="1:27" ht="15" customHeight="1" x14ac:dyDescent="0.25">
      <c r="A36" s="1240"/>
      <c r="B36" s="1209" t="s">
        <v>223</v>
      </c>
      <c r="C36" s="1211">
        <v>0</v>
      </c>
      <c r="D36" s="1211">
        <v>0</v>
      </c>
      <c r="E36" s="1213">
        <v>0</v>
      </c>
      <c r="F36" s="1213">
        <v>0</v>
      </c>
      <c r="G36" s="1211">
        <f t="shared" si="0"/>
        <v>0</v>
      </c>
      <c r="H36" s="1214">
        <f t="shared" si="1"/>
        <v>0</v>
      </c>
      <c r="I36" s="1243"/>
      <c r="K36" s="1218" t="s">
        <v>226</v>
      </c>
      <c r="L36" s="1210">
        <v>12</v>
      </c>
      <c r="M36" s="1210">
        <v>12</v>
      </c>
      <c r="N36" s="1211">
        <v>12</v>
      </c>
      <c r="O36" s="1211">
        <v>12</v>
      </c>
      <c r="P36" s="1211">
        <v>10</v>
      </c>
      <c r="R36" s="1215"/>
      <c r="S36" s="1240"/>
      <c r="T36" s="2181" t="s">
        <v>221</v>
      </c>
      <c r="U36" s="2183">
        <v>0</v>
      </c>
      <c r="V36" s="2183">
        <v>0</v>
      </c>
      <c r="W36" s="2186">
        <v>0</v>
      </c>
      <c r="X36" s="2186">
        <v>0</v>
      </c>
      <c r="Y36" s="2183">
        <f t="shared" si="2"/>
        <v>0</v>
      </c>
      <c r="Z36" s="2185">
        <f t="shared" si="3"/>
        <v>0</v>
      </c>
      <c r="AA36" s="1243"/>
    </row>
    <row r="37" spans="1:27" ht="15" customHeight="1" x14ac:dyDescent="0.25">
      <c r="A37" s="1240"/>
      <c r="B37" s="1209" t="s">
        <v>224</v>
      </c>
      <c r="C37" s="1211">
        <v>0</v>
      </c>
      <c r="D37" s="1211">
        <v>0</v>
      </c>
      <c r="E37" s="1213">
        <v>0</v>
      </c>
      <c r="F37" s="1213">
        <v>0</v>
      </c>
      <c r="G37" s="1211">
        <f t="shared" si="0"/>
        <v>0</v>
      </c>
      <c r="H37" s="1214">
        <f t="shared" si="1"/>
        <v>0</v>
      </c>
      <c r="I37" s="1243"/>
      <c r="K37" s="1218" t="s">
        <v>227</v>
      </c>
      <c r="L37" s="1210">
        <v>2</v>
      </c>
      <c r="M37" s="1210">
        <v>2</v>
      </c>
      <c r="N37" s="1211">
        <v>2</v>
      </c>
      <c r="O37" s="1211">
        <v>2</v>
      </c>
      <c r="P37" s="1211">
        <v>1</v>
      </c>
      <c r="R37" s="1215"/>
      <c r="S37" s="1240"/>
      <c r="T37" s="2181" t="s">
        <v>222</v>
      </c>
      <c r="U37" s="2183">
        <v>0</v>
      </c>
      <c r="V37" s="2183">
        <v>0</v>
      </c>
      <c r="W37" s="2186">
        <v>0</v>
      </c>
      <c r="X37" s="2186">
        <v>0</v>
      </c>
      <c r="Y37" s="2183">
        <f t="shared" si="2"/>
        <v>0</v>
      </c>
      <c r="Z37" s="2185">
        <f t="shared" si="3"/>
        <v>0</v>
      </c>
      <c r="AA37" s="1243"/>
    </row>
    <row r="38" spans="1:27" ht="15" customHeight="1" x14ac:dyDescent="0.25">
      <c r="A38" s="1240"/>
      <c r="B38" s="1209" t="s">
        <v>225</v>
      </c>
      <c r="C38" s="1211">
        <v>0</v>
      </c>
      <c r="D38" s="1211">
        <v>0</v>
      </c>
      <c r="E38" s="1213">
        <v>0</v>
      </c>
      <c r="F38" s="1213">
        <v>0</v>
      </c>
      <c r="G38" s="1211">
        <f t="shared" si="0"/>
        <v>0</v>
      </c>
      <c r="H38" s="1214">
        <f t="shared" si="1"/>
        <v>0</v>
      </c>
      <c r="I38" s="1243"/>
      <c r="K38" s="2188" t="s">
        <v>228</v>
      </c>
      <c r="L38" s="2182">
        <v>0</v>
      </c>
      <c r="M38" s="2182">
        <v>0</v>
      </c>
      <c r="N38" s="2183">
        <v>0</v>
      </c>
      <c r="O38" s="2183">
        <v>0</v>
      </c>
      <c r="P38" s="2183">
        <v>0</v>
      </c>
      <c r="R38" s="1215"/>
      <c r="S38" s="1240"/>
      <c r="T38" s="2181" t="s">
        <v>223</v>
      </c>
      <c r="U38" s="2183">
        <v>0</v>
      </c>
      <c r="V38" s="2183">
        <v>0</v>
      </c>
      <c r="W38" s="2186">
        <v>0</v>
      </c>
      <c r="X38" s="2186">
        <v>0</v>
      </c>
      <c r="Y38" s="2183">
        <f t="shared" si="2"/>
        <v>0</v>
      </c>
      <c r="Z38" s="2185">
        <f t="shared" si="3"/>
        <v>0</v>
      </c>
      <c r="AA38" s="1243"/>
    </row>
    <row r="39" spans="1:27" ht="15" customHeight="1" x14ac:dyDescent="0.25">
      <c r="A39" s="1240"/>
      <c r="B39" s="1209" t="s">
        <v>226</v>
      </c>
      <c r="C39" s="1211">
        <v>25</v>
      </c>
      <c r="D39" s="1211">
        <v>6</v>
      </c>
      <c r="E39" s="1213">
        <v>0</v>
      </c>
      <c r="F39" s="1213">
        <v>1</v>
      </c>
      <c r="G39" s="1211">
        <f t="shared" si="0"/>
        <v>32</v>
      </c>
      <c r="H39" s="1214">
        <f t="shared" si="1"/>
        <v>0.4</v>
      </c>
      <c r="I39" s="1243"/>
      <c r="K39" s="1209" t="s">
        <v>229</v>
      </c>
      <c r="L39" s="1210">
        <v>1</v>
      </c>
      <c r="M39" s="1210">
        <v>1</v>
      </c>
      <c r="N39" s="1211">
        <v>0</v>
      </c>
      <c r="O39" s="1211">
        <v>0</v>
      </c>
      <c r="P39" s="1211">
        <v>0</v>
      </c>
      <c r="R39" s="1215"/>
      <c r="S39" s="1240"/>
      <c r="T39" s="2181" t="s">
        <v>224</v>
      </c>
      <c r="U39" s="2183">
        <v>0</v>
      </c>
      <c r="V39" s="2183">
        <v>0</v>
      </c>
      <c r="W39" s="2186">
        <v>0</v>
      </c>
      <c r="X39" s="2186">
        <v>0</v>
      </c>
      <c r="Y39" s="2183">
        <f t="shared" si="2"/>
        <v>0</v>
      </c>
      <c r="Z39" s="2185">
        <f t="shared" si="3"/>
        <v>0</v>
      </c>
      <c r="AA39" s="1243"/>
    </row>
    <row r="40" spans="1:27" ht="15" customHeight="1" x14ac:dyDescent="0.25">
      <c r="A40" s="1240"/>
      <c r="B40" s="1209" t="s">
        <v>227</v>
      </c>
      <c r="C40" s="1211">
        <v>1</v>
      </c>
      <c r="D40" s="1211">
        <v>0</v>
      </c>
      <c r="E40" s="1213">
        <v>1</v>
      </c>
      <c r="F40" s="1213">
        <v>0</v>
      </c>
      <c r="G40" s="1211">
        <f t="shared" si="0"/>
        <v>2</v>
      </c>
      <c r="H40" s="1214">
        <f t="shared" si="1"/>
        <v>2.5000000000000001E-2</v>
      </c>
      <c r="I40" s="1243"/>
      <c r="K40" s="2181" t="s">
        <v>230</v>
      </c>
      <c r="L40" s="2182">
        <v>0</v>
      </c>
      <c r="M40" s="2182">
        <v>0</v>
      </c>
      <c r="N40" s="2183">
        <v>0</v>
      </c>
      <c r="O40" s="2183">
        <v>0</v>
      </c>
      <c r="P40" s="2183">
        <v>0</v>
      </c>
      <c r="R40" s="1215"/>
      <c r="S40" s="1240"/>
      <c r="T40" s="2181" t="s">
        <v>225</v>
      </c>
      <c r="U40" s="2183">
        <v>0</v>
      </c>
      <c r="V40" s="2183">
        <v>0</v>
      </c>
      <c r="W40" s="2186">
        <v>0</v>
      </c>
      <c r="X40" s="2186">
        <v>0</v>
      </c>
      <c r="Y40" s="2183">
        <f t="shared" si="2"/>
        <v>0</v>
      </c>
      <c r="Z40" s="2185">
        <f t="shared" si="3"/>
        <v>0</v>
      </c>
      <c r="AA40" s="1243"/>
    </row>
    <row r="41" spans="1:27" ht="15" customHeight="1" x14ac:dyDescent="0.25">
      <c r="A41" s="1240"/>
      <c r="B41" s="1209" t="s">
        <v>228</v>
      </c>
      <c r="C41" s="1211">
        <v>0</v>
      </c>
      <c r="D41" s="1211">
        <v>0</v>
      </c>
      <c r="E41" s="1213">
        <v>0</v>
      </c>
      <c r="F41" s="1213">
        <v>0</v>
      </c>
      <c r="G41" s="1211">
        <f t="shared" si="0"/>
        <v>0</v>
      </c>
      <c r="H41" s="1214">
        <f t="shared" si="1"/>
        <v>0</v>
      </c>
      <c r="I41" s="1243"/>
      <c r="K41" s="2181" t="s">
        <v>231</v>
      </c>
      <c r="L41" s="2182">
        <v>0</v>
      </c>
      <c r="M41" s="2182">
        <v>0</v>
      </c>
      <c r="N41" s="2183">
        <v>0</v>
      </c>
      <c r="O41" s="2183">
        <v>0</v>
      </c>
      <c r="P41" s="2183">
        <v>0</v>
      </c>
      <c r="R41" s="1215"/>
      <c r="S41" s="1240"/>
      <c r="T41" s="1209" t="s">
        <v>226</v>
      </c>
      <c r="U41" s="1211">
        <v>10</v>
      </c>
      <c r="V41" s="1211">
        <v>0</v>
      </c>
      <c r="W41" s="1213">
        <v>0</v>
      </c>
      <c r="X41" s="1213">
        <v>0</v>
      </c>
      <c r="Y41" s="1211">
        <f t="shared" si="2"/>
        <v>10</v>
      </c>
      <c r="Z41" s="1216">
        <f t="shared" si="3"/>
        <v>0.2857142857142857</v>
      </c>
      <c r="AA41" s="1243"/>
    </row>
    <row r="42" spans="1:27" ht="15" customHeight="1" x14ac:dyDescent="0.25">
      <c r="A42" s="1240"/>
      <c r="B42" s="1209" t="s">
        <v>229</v>
      </c>
      <c r="C42" s="1211">
        <v>1</v>
      </c>
      <c r="D42" s="1211">
        <v>0</v>
      </c>
      <c r="E42" s="1213">
        <v>0</v>
      </c>
      <c r="F42" s="1213">
        <v>0</v>
      </c>
      <c r="G42" s="1211">
        <f t="shared" si="0"/>
        <v>1</v>
      </c>
      <c r="H42" s="1214">
        <f t="shared" si="1"/>
        <v>1.2500000000000001E-2</v>
      </c>
      <c r="I42" s="1243"/>
      <c r="K42" s="1204" t="s">
        <v>232</v>
      </c>
      <c r="L42" s="1219">
        <f>SUM(L10:L41)</f>
        <v>27</v>
      </c>
      <c r="M42" s="1219">
        <f>SUM(M10:M41)</f>
        <v>27</v>
      </c>
      <c r="N42" s="1219">
        <f>SUM(N10:N41)</f>
        <v>28</v>
      </c>
      <c r="O42" s="1219">
        <f>SUM(O10:O41)</f>
        <v>28</v>
      </c>
      <c r="P42" s="1219">
        <f>SUM(P10:P41)</f>
        <v>30</v>
      </c>
      <c r="R42" s="1220"/>
      <c r="S42" s="1240"/>
      <c r="T42" s="1209" t="s">
        <v>227</v>
      </c>
      <c r="U42" s="1211">
        <v>1</v>
      </c>
      <c r="V42" s="1211">
        <v>0</v>
      </c>
      <c r="W42" s="1213">
        <v>0</v>
      </c>
      <c r="X42" s="1213">
        <v>0</v>
      </c>
      <c r="Y42" s="1211">
        <f t="shared" si="2"/>
        <v>1</v>
      </c>
      <c r="Z42" s="1216">
        <f t="shared" si="3"/>
        <v>2.8571428571428571E-2</v>
      </c>
      <c r="AA42" s="1243"/>
    </row>
    <row r="43" spans="1:27" ht="14.25" customHeight="1" x14ac:dyDescent="0.25">
      <c r="A43" s="1240"/>
      <c r="B43" s="1209" t="s">
        <v>230</v>
      </c>
      <c r="C43" s="1211">
        <v>0</v>
      </c>
      <c r="D43" s="1211">
        <v>0</v>
      </c>
      <c r="E43" s="1213">
        <v>0</v>
      </c>
      <c r="F43" s="1213">
        <v>0</v>
      </c>
      <c r="G43" s="1211">
        <f t="shared" si="0"/>
        <v>0</v>
      </c>
      <c r="H43" s="1214">
        <f t="shared" si="1"/>
        <v>0</v>
      </c>
      <c r="I43" s="1243"/>
      <c r="K43" s="1221" t="s">
        <v>233</v>
      </c>
      <c r="L43" s="1222">
        <f>L42/$L$51</f>
        <v>0.87096774193548387</v>
      </c>
      <c r="M43" s="1222">
        <f>M42/$M$51</f>
        <v>0.87096774193548387</v>
      </c>
      <c r="N43" s="1222">
        <f>N42/$N$51</f>
        <v>0.8</v>
      </c>
      <c r="O43" s="1222">
        <f>O42/$O$51</f>
        <v>0.84848484848484851</v>
      </c>
      <c r="P43" s="1222">
        <f>P42/$P$51</f>
        <v>0.8571428571428571</v>
      </c>
      <c r="Q43" s="1215"/>
      <c r="R43" s="1220"/>
      <c r="S43" s="1240"/>
      <c r="T43" s="2181" t="s">
        <v>228</v>
      </c>
      <c r="U43" s="2183">
        <v>0</v>
      </c>
      <c r="V43" s="2183">
        <v>0</v>
      </c>
      <c r="W43" s="2186">
        <v>0</v>
      </c>
      <c r="X43" s="2186">
        <v>0</v>
      </c>
      <c r="Y43" s="2183">
        <f t="shared" si="2"/>
        <v>0</v>
      </c>
      <c r="Z43" s="2185">
        <f t="shared" si="3"/>
        <v>0</v>
      </c>
      <c r="AA43" s="1243"/>
    </row>
    <row r="44" spans="1:27" ht="15" customHeight="1" x14ac:dyDescent="0.25">
      <c r="A44" s="1240"/>
      <c r="B44" s="1209" t="s">
        <v>231</v>
      </c>
      <c r="C44" s="1211">
        <v>0</v>
      </c>
      <c r="D44" s="1211">
        <v>0</v>
      </c>
      <c r="E44" s="1213">
        <v>0</v>
      </c>
      <c r="F44" s="1213">
        <v>0</v>
      </c>
      <c r="G44" s="1211">
        <f t="shared" si="0"/>
        <v>0</v>
      </c>
      <c r="H44" s="1214">
        <f t="shared" si="1"/>
        <v>0</v>
      </c>
      <c r="I44" s="1243"/>
      <c r="K44" s="4479" t="s">
        <v>352</v>
      </c>
      <c r="L44" s="4480"/>
      <c r="M44" s="4480"/>
      <c r="N44" s="4480"/>
      <c r="O44" s="4480"/>
      <c r="P44" s="4481"/>
      <c r="R44" s="1215"/>
      <c r="S44" s="1240"/>
      <c r="T44" s="2181" t="s">
        <v>229</v>
      </c>
      <c r="U44" s="2183">
        <v>0</v>
      </c>
      <c r="V44" s="2183">
        <v>0</v>
      </c>
      <c r="W44" s="2186">
        <v>0</v>
      </c>
      <c r="X44" s="2186">
        <v>0</v>
      </c>
      <c r="Y44" s="2183">
        <f t="shared" si="2"/>
        <v>0</v>
      </c>
      <c r="Z44" s="2185">
        <f t="shared" si="3"/>
        <v>0</v>
      </c>
      <c r="AA44" s="1243"/>
    </row>
    <row r="45" spans="1:27" ht="15" customHeight="1" x14ac:dyDescent="0.25">
      <c r="A45" s="1240"/>
      <c r="B45" s="1204" t="s">
        <v>232</v>
      </c>
      <c r="C45" s="1204">
        <f>SUM(C13:C44)</f>
        <v>50</v>
      </c>
      <c r="D45" s="1204">
        <f>SUM(D13:D44)</f>
        <v>18</v>
      </c>
      <c r="E45" s="1204">
        <f>SUM(E13:E44)</f>
        <v>3</v>
      </c>
      <c r="F45" s="1204">
        <f>SUM(F13:F44)</f>
        <v>1</v>
      </c>
      <c r="G45" s="1204">
        <f>SUM(G13:G44)</f>
        <v>72</v>
      </c>
      <c r="H45" s="1223">
        <f t="shared" si="1"/>
        <v>0.9</v>
      </c>
      <c r="I45" s="1243"/>
      <c r="K45" s="2181" t="s">
        <v>235</v>
      </c>
      <c r="L45" s="2183">
        <v>0</v>
      </c>
      <c r="M45" s="2183">
        <v>0</v>
      </c>
      <c r="N45" s="2183">
        <v>0</v>
      </c>
      <c r="O45" s="2183">
        <v>0</v>
      </c>
      <c r="P45" s="2183">
        <v>0</v>
      </c>
      <c r="R45" s="1220"/>
      <c r="S45" s="1240"/>
      <c r="T45" s="2181" t="s">
        <v>230</v>
      </c>
      <c r="U45" s="2183">
        <v>0</v>
      </c>
      <c r="V45" s="2183">
        <v>0</v>
      </c>
      <c r="W45" s="2186">
        <v>0</v>
      </c>
      <c r="X45" s="2186">
        <v>0</v>
      </c>
      <c r="Y45" s="2183">
        <f t="shared" si="2"/>
        <v>0</v>
      </c>
      <c r="Z45" s="2185">
        <f t="shared" si="3"/>
        <v>0</v>
      </c>
      <c r="AA45" s="1243"/>
    </row>
    <row r="46" spans="1:27" ht="15" customHeight="1" x14ac:dyDescent="0.25">
      <c r="A46" s="1240"/>
      <c r="B46" s="1221" t="s">
        <v>233</v>
      </c>
      <c r="C46" s="1224">
        <f>C45/$G$54</f>
        <v>0.625</v>
      </c>
      <c r="D46" s="1224">
        <f>D45/$G$54</f>
        <v>0.22500000000000001</v>
      </c>
      <c r="E46" s="1224">
        <f>E45/$G$54</f>
        <v>3.7499999999999999E-2</v>
      </c>
      <c r="F46" s="1224">
        <f>F45/$G$54</f>
        <v>1.2500000000000001E-2</v>
      </c>
      <c r="G46" s="1224">
        <f>G45/$G$54</f>
        <v>0.9</v>
      </c>
      <c r="H46" s="1224"/>
      <c r="I46" s="1243"/>
      <c r="K46" s="1209" t="s">
        <v>236</v>
      </c>
      <c r="L46" s="1211">
        <v>1</v>
      </c>
      <c r="M46" s="1211">
        <v>1</v>
      </c>
      <c r="N46" s="1211">
        <v>3</v>
      </c>
      <c r="O46" s="1211">
        <v>1</v>
      </c>
      <c r="P46" s="1211">
        <v>2</v>
      </c>
      <c r="R46" s="1215"/>
      <c r="S46" s="1240"/>
      <c r="T46" s="2181" t="s">
        <v>231</v>
      </c>
      <c r="U46" s="2183">
        <v>0</v>
      </c>
      <c r="V46" s="2183">
        <v>0</v>
      </c>
      <c r="W46" s="2186">
        <v>0</v>
      </c>
      <c r="X46" s="2186">
        <v>0</v>
      </c>
      <c r="Y46" s="2183">
        <f t="shared" si="2"/>
        <v>0</v>
      </c>
      <c r="Z46" s="2185">
        <f t="shared" si="3"/>
        <v>0</v>
      </c>
      <c r="AA46" s="1243"/>
    </row>
    <row r="47" spans="1:27" ht="15" customHeight="1" x14ac:dyDescent="0.25">
      <c r="A47" s="1240"/>
      <c r="B47" s="4488" t="s">
        <v>352</v>
      </c>
      <c r="C47" s="4489"/>
      <c r="D47" s="4489"/>
      <c r="E47" s="4489"/>
      <c r="F47" s="4489"/>
      <c r="G47" s="4489"/>
      <c r="H47" s="4490"/>
      <c r="I47" s="1243"/>
      <c r="K47" s="2181" t="s">
        <v>237</v>
      </c>
      <c r="L47" s="2183">
        <v>0</v>
      </c>
      <c r="M47" s="2183">
        <v>0</v>
      </c>
      <c r="N47" s="2183">
        <v>0</v>
      </c>
      <c r="O47" s="2183">
        <v>0</v>
      </c>
      <c r="P47" s="2183">
        <v>0</v>
      </c>
      <c r="R47" s="1215"/>
      <c r="S47" s="1240"/>
      <c r="T47" s="1205" t="s">
        <v>232</v>
      </c>
      <c r="U47" s="1205">
        <f>SUM(U15:U46)</f>
        <v>23</v>
      </c>
      <c r="V47" s="1205">
        <f>SUM(V15:V46)</f>
        <v>5</v>
      </c>
      <c r="W47" s="1205">
        <f>SUM(W15:W46)</f>
        <v>2</v>
      </c>
      <c r="X47" s="1205">
        <f>SUM(X15:X46)</f>
        <v>0</v>
      </c>
      <c r="Y47" s="1225">
        <f>SUM(U47:X47)</f>
        <v>30</v>
      </c>
      <c r="Z47" s="1226">
        <f>SUM(Z15:Z46)</f>
        <v>0.85714285714285721</v>
      </c>
      <c r="AA47" s="1243"/>
    </row>
    <row r="48" spans="1:27" ht="15" customHeight="1" x14ac:dyDescent="0.25">
      <c r="A48" s="1240"/>
      <c r="B48" s="1209" t="s">
        <v>235</v>
      </c>
      <c r="C48" s="1213">
        <v>0</v>
      </c>
      <c r="D48" s="1213">
        <v>0</v>
      </c>
      <c r="E48" s="1213">
        <v>0</v>
      </c>
      <c r="F48" s="1213">
        <v>0</v>
      </c>
      <c r="G48" s="1213">
        <f>SUM(C48:F48)</f>
        <v>0</v>
      </c>
      <c r="H48" s="1227">
        <f>G48/$G$54</f>
        <v>0</v>
      </c>
      <c r="I48" s="1243"/>
      <c r="K48" s="1209" t="s">
        <v>238</v>
      </c>
      <c r="L48" s="1211">
        <v>3</v>
      </c>
      <c r="M48" s="1211">
        <v>3</v>
      </c>
      <c r="N48" s="1211">
        <v>4</v>
      </c>
      <c r="O48" s="1211">
        <v>4</v>
      </c>
      <c r="P48" s="1211">
        <v>3</v>
      </c>
      <c r="R48" s="1215"/>
      <c r="S48" s="1240"/>
      <c r="T48" s="1228" t="s">
        <v>233</v>
      </c>
      <c r="U48" s="1226">
        <f>U47/$Y$56</f>
        <v>0.65714285714285714</v>
      </c>
      <c r="V48" s="1226">
        <f>V47/$Y$56</f>
        <v>0.14285714285714285</v>
      </c>
      <c r="W48" s="1226">
        <f>W47/$Y$56</f>
        <v>5.7142857142857141E-2</v>
      </c>
      <c r="X48" s="1226">
        <f>X47/$Y$56</f>
        <v>0</v>
      </c>
      <c r="Y48" s="1226">
        <f>Y47/$Y$56</f>
        <v>0.8571428571428571</v>
      </c>
      <c r="Z48" s="1229"/>
      <c r="AA48" s="1243"/>
    </row>
    <row r="49" spans="1:27" ht="15" customHeight="1" x14ac:dyDescent="0.25">
      <c r="A49" s="1240"/>
      <c r="B49" s="1209" t="s">
        <v>236</v>
      </c>
      <c r="C49" s="1213">
        <v>0</v>
      </c>
      <c r="D49" s="1213">
        <v>1</v>
      </c>
      <c r="E49" s="1213">
        <v>2</v>
      </c>
      <c r="F49" s="1213">
        <v>0</v>
      </c>
      <c r="G49" s="1213">
        <f>SUM(C49:F49)</f>
        <v>3</v>
      </c>
      <c r="H49" s="1227">
        <f>G49/$G$54</f>
        <v>3.7499999999999999E-2</v>
      </c>
      <c r="I49" s="1243"/>
      <c r="K49" s="1204" t="s">
        <v>239</v>
      </c>
      <c r="L49" s="1219">
        <f>SUM(L45+L46+L47+L48)</f>
        <v>4</v>
      </c>
      <c r="M49" s="1219">
        <f>SUM(M45+M46+M47+M48)</f>
        <v>4</v>
      </c>
      <c r="N49" s="1219">
        <f>SUM(N45+N46+N47+N48)</f>
        <v>7</v>
      </c>
      <c r="O49" s="1219">
        <f>SUM(O45+O46+O47+O48)</f>
        <v>5</v>
      </c>
      <c r="P49" s="1219">
        <f>SUM(P45+P46+P47+P48)</f>
        <v>5</v>
      </c>
      <c r="R49" s="1220"/>
      <c r="S49" s="1240"/>
      <c r="T49" s="4487" t="s">
        <v>234</v>
      </c>
      <c r="U49" s="4487"/>
      <c r="V49" s="4487"/>
      <c r="W49" s="4487"/>
      <c r="X49" s="4487"/>
      <c r="Y49" s="4487"/>
      <c r="Z49" s="4487"/>
      <c r="AA49" s="1243"/>
    </row>
    <row r="50" spans="1:27" ht="15" customHeight="1" x14ac:dyDescent="0.25">
      <c r="A50" s="1240"/>
      <c r="B50" s="1209" t="s">
        <v>237</v>
      </c>
      <c r="C50" s="1213">
        <v>0</v>
      </c>
      <c r="D50" s="1213">
        <v>0</v>
      </c>
      <c r="E50" s="1213">
        <v>0</v>
      </c>
      <c r="F50" s="1213">
        <v>0</v>
      </c>
      <c r="G50" s="1213">
        <f>SUM(C50:F50)</f>
        <v>0</v>
      </c>
      <c r="H50" s="1227">
        <f>G50/$G$54</f>
        <v>0</v>
      </c>
      <c r="I50" s="1243"/>
      <c r="K50" s="1221" t="s">
        <v>233</v>
      </c>
      <c r="L50" s="1222">
        <f>L49/$L$51</f>
        <v>0.12903225806451613</v>
      </c>
      <c r="M50" s="1222">
        <f>M49/$M$51</f>
        <v>0.12903225806451613</v>
      </c>
      <c r="N50" s="1222">
        <f>N49/$N$51</f>
        <v>0.2</v>
      </c>
      <c r="O50" s="1222">
        <f>O49/$O$51</f>
        <v>0.15151515151515152</v>
      </c>
      <c r="P50" s="1222">
        <f>P49/$P$51</f>
        <v>0.14285714285714285</v>
      </c>
      <c r="R50" s="1220"/>
      <c r="S50" s="1240"/>
      <c r="T50" s="2181" t="s">
        <v>235</v>
      </c>
      <c r="U50" s="2186">
        <v>0</v>
      </c>
      <c r="V50" s="2186">
        <v>0</v>
      </c>
      <c r="W50" s="2186">
        <v>0</v>
      </c>
      <c r="X50" s="2186">
        <v>0</v>
      </c>
      <c r="Y50" s="2183">
        <f>SUM(U50:X50)</f>
        <v>0</v>
      </c>
      <c r="Z50" s="2187">
        <f>Y50/$Y$56</f>
        <v>0</v>
      </c>
      <c r="AA50" s="1243"/>
    </row>
    <row r="51" spans="1:27" ht="15" customHeight="1" x14ac:dyDescent="0.25">
      <c r="A51" s="1240"/>
      <c r="B51" s="1209" t="s">
        <v>238</v>
      </c>
      <c r="C51" s="1213">
        <v>3</v>
      </c>
      <c r="D51" s="1213">
        <v>1</v>
      </c>
      <c r="E51" s="1213">
        <v>1</v>
      </c>
      <c r="F51" s="1213">
        <v>0</v>
      </c>
      <c r="G51" s="1213">
        <f>SUM(C51:F51)</f>
        <v>5</v>
      </c>
      <c r="H51" s="1227">
        <f>G51/$G$54</f>
        <v>6.25E-2</v>
      </c>
      <c r="I51" s="1243"/>
      <c r="K51" s="1205" t="s">
        <v>150</v>
      </c>
      <c r="L51" s="1225">
        <f>SUM(L42+L49)</f>
        <v>31</v>
      </c>
      <c r="M51" s="1225">
        <f>SUM(M42+M49)</f>
        <v>31</v>
      </c>
      <c r="N51" s="1225">
        <f>SUM(N42+N49)</f>
        <v>35</v>
      </c>
      <c r="O51" s="1225">
        <f>SUM(O42+O49)</f>
        <v>33</v>
      </c>
      <c r="P51" s="1225">
        <f>SUM(P42+P49)</f>
        <v>35</v>
      </c>
      <c r="R51" s="1231"/>
      <c r="S51" s="1240"/>
      <c r="T51" s="1209" t="s">
        <v>236</v>
      </c>
      <c r="U51" s="1213">
        <v>0</v>
      </c>
      <c r="V51" s="1213">
        <v>1</v>
      </c>
      <c r="W51" s="1213">
        <v>1</v>
      </c>
      <c r="X51" s="1213">
        <v>0</v>
      </c>
      <c r="Y51" s="1211">
        <f>SUM(U51:X51)</f>
        <v>2</v>
      </c>
      <c r="Z51" s="1230">
        <f>Y51/$Y$56</f>
        <v>5.7142857142857141E-2</v>
      </c>
      <c r="AA51" s="1243"/>
    </row>
    <row r="52" spans="1:27" ht="15" customHeight="1" x14ac:dyDescent="0.25">
      <c r="A52" s="1240"/>
      <c r="B52" s="1204" t="s">
        <v>239</v>
      </c>
      <c r="C52" s="1204">
        <f>SUM(C48:C51)</f>
        <v>3</v>
      </c>
      <c r="D52" s="1204">
        <f>SUM(D48:D51)</f>
        <v>2</v>
      </c>
      <c r="E52" s="1204">
        <f>SUM(E48:E51)</f>
        <v>3</v>
      </c>
      <c r="F52" s="1204">
        <f>SUM(F48:F51)</f>
        <v>0</v>
      </c>
      <c r="G52" s="1204">
        <f>SUM(G48:G51)</f>
        <v>8</v>
      </c>
      <c r="H52" s="1232">
        <f>G52/$G$54</f>
        <v>0.1</v>
      </c>
      <c r="I52" s="1243"/>
      <c r="K52" s="1228" t="s">
        <v>233</v>
      </c>
      <c r="L52" s="1233">
        <f>L43+L50</f>
        <v>1</v>
      </c>
      <c r="M52" s="1233">
        <f>M43+M50</f>
        <v>1</v>
      </c>
      <c r="N52" s="1233">
        <f>N43+N50</f>
        <v>1</v>
      </c>
      <c r="O52" s="1233">
        <f>O43+O50</f>
        <v>1</v>
      </c>
      <c r="P52" s="1233">
        <f>P43+P50</f>
        <v>1</v>
      </c>
      <c r="R52" s="1231"/>
      <c r="S52" s="1240"/>
      <c r="T52" s="2181" t="s">
        <v>237</v>
      </c>
      <c r="U52" s="2186">
        <v>0</v>
      </c>
      <c r="V52" s="2186">
        <v>0</v>
      </c>
      <c r="W52" s="2186">
        <v>0</v>
      </c>
      <c r="X52" s="2186">
        <v>0</v>
      </c>
      <c r="Y52" s="2183">
        <f>SUM(U52:X52)</f>
        <v>0</v>
      </c>
      <c r="Z52" s="2187">
        <f>Y52/$Y$56</f>
        <v>0</v>
      </c>
      <c r="AA52" s="1243"/>
    </row>
    <row r="53" spans="1:27" ht="15" customHeight="1" x14ac:dyDescent="0.25">
      <c r="A53" s="1240"/>
      <c r="B53" s="1221" t="s">
        <v>233</v>
      </c>
      <c r="C53" s="1224">
        <f>C52/$G$54</f>
        <v>3.7499999999999999E-2</v>
      </c>
      <c r="D53" s="1224">
        <f>D52/$G$54</f>
        <v>2.5000000000000001E-2</v>
      </c>
      <c r="E53" s="1224">
        <f>E52/$G$54</f>
        <v>3.7499999999999999E-2</v>
      </c>
      <c r="F53" s="1224">
        <f>F52/$G$54</f>
        <v>0</v>
      </c>
      <c r="G53" s="1224">
        <f>G52/$G$54</f>
        <v>0.1</v>
      </c>
      <c r="H53" s="1224"/>
      <c r="I53" s="1243"/>
      <c r="S53" s="1240"/>
      <c r="T53" s="1209" t="s">
        <v>238</v>
      </c>
      <c r="U53" s="1213">
        <v>2</v>
      </c>
      <c r="V53" s="1213">
        <v>1</v>
      </c>
      <c r="W53" s="1213">
        <v>0</v>
      </c>
      <c r="X53" s="1213">
        <v>0</v>
      </c>
      <c r="Y53" s="1211">
        <f>SUM(U53:X53)</f>
        <v>3</v>
      </c>
      <c r="Z53" s="1230">
        <f>Y53/$Y$56</f>
        <v>8.5714285714285715E-2</v>
      </c>
      <c r="AA53" s="1243"/>
    </row>
    <row r="54" spans="1:27" ht="15" customHeight="1" x14ac:dyDescent="0.25">
      <c r="A54" s="1240"/>
      <c r="B54" s="1204" t="s">
        <v>150</v>
      </c>
      <c r="C54" s="1204">
        <f t="shared" ref="C54:G55" si="4">SUM(C45+C52)</f>
        <v>53</v>
      </c>
      <c r="D54" s="1204">
        <f t="shared" si="4"/>
        <v>20</v>
      </c>
      <c r="E54" s="1204">
        <f t="shared" si="4"/>
        <v>6</v>
      </c>
      <c r="F54" s="1204">
        <f t="shared" si="4"/>
        <v>1</v>
      </c>
      <c r="G54" s="1204">
        <f t="shared" si="4"/>
        <v>80</v>
      </c>
      <c r="H54" s="1234"/>
      <c r="I54" s="1243"/>
      <c r="K54" s="1206" t="s">
        <v>328</v>
      </c>
      <c r="S54" s="1240"/>
      <c r="T54" s="1204" t="s">
        <v>239</v>
      </c>
      <c r="U54" s="1204">
        <f t="shared" ref="U54:Z54" si="5">SUM(U50:U53)</f>
        <v>2</v>
      </c>
      <c r="V54" s="1204">
        <f t="shared" si="5"/>
        <v>2</v>
      </c>
      <c r="W54" s="1204">
        <f t="shared" si="5"/>
        <v>1</v>
      </c>
      <c r="X54" s="1204">
        <f t="shared" si="5"/>
        <v>0</v>
      </c>
      <c r="Y54" s="1204">
        <f t="shared" si="5"/>
        <v>5</v>
      </c>
      <c r="Z54" s="1235">
        <f t="shared" si="5"/>
        <v>0.14285714285714285</v>
      </c>
      <c r="AA54" s="1243"/>
    </row>
    <row r="55" spans="1:27" ht="15" customHeight="1" x14ac:dyDescent="0.25">
      <c r="A55" s="1240"/>
      <c r="B55" s="1221" t="s">
        <v>233</v>
      </c>
      <c r="C55" s="1224">
        <f t="shared" si="4"/>
        <v>0.66249999999999998</v>
      </c>
      <c r="D55" s="1224">
        <f t="shared" si="4"/>
        <v>0.25</v>
      </c>
      <c r="E55" s="1224">
        <f t="shared" si="4"/>
        <v>7.4999999999999997E-2</v>
      </c>
      <c r="F55" s="1224">
        <f t="shared" si="4"/>
        <v>1.2500000000000001E-2</v>
      </c>
      <c r="G55" s="1224">
        <f t="shared" si="4"/>
        <v>1</v>
      </c>
      <c r="H55" s="1224">
        <f>SUM(H45+H52)</f>
        <v>1</v>
      </c>
      <c r="I55" s="1243"/>
      <c r="S55" s="1240"/>
      <c r="T55" s="1221" t="s">
        <v>233</v>
      </c>
      <c r="U55" s="1235">
        <f>U54/$Y$56</f>
        <v>5.7142857142857141E-2</v>
      </c>
      <c r="V55" s="1235">
        <f>V54/$Y$56</f>
        <v>5.7142857142857141E-2</v>
      </c>
      <c r="W55" s="1235">
        <f>W54/$Y$56</f>
        <v>2.8571428571428571E-2</v>
      </c>
      <c r="X55" s="1235">
        <f>X54/$Y$56</f>
        <v>0</v>
      </c>
      <c r="Y55" s="1235">
        <f>Y54/$Y$56</f>
        <v>0.14285714285714285</v>
      </c>
      <c r="Z55" s="1234"/>
      <c r="AA55" s="1243"/>
    </row>
    <row r="56" spans="1:27" ht="15" customHeight="1" x14ac:dyDescent="0.25">
      <c r="A56" s="1240"/>
      <c r="B56" s="4486" t="s">
        <v>240</v>
      </c>
      <c r="C56" s="4486"/>
      <c r="D56" s="1748"/>
      <c r="E56" s="1241"/>
      <c r="F56" s="1241"/>
      <c r="G56" s="1241"/>
      <c r="H56" s="1241"/>
      <c r="I56" s="1243"/>
      <c r="S56" s="1240"/>
      <c r="T56" s="1204" t="s">
        <v>150</v>
      </c>
      <c r="U56" s="1204">
        <f>SUM(U54+U47)</f>
        <v>25</v>
      </c>
      <c r="V56" s="1204">
        <f>SUM(V54+V47)</f>
        <v>7</v>
      </c>
      <c r="W56" s="1204">
        <f>SUM(W54+W47)</f>
        <v>3</v>
      </c>
      <c r="X56" s="1204">
        <f>SUM(X54+X47)</f>
        <v>0</v>
      </c>
      <c r="Y56" s="1204">
        <f>SUM(Y54+Y47)</f>
        <v>35</v>
      </c>
      <c r="Z56" s="1235">
        <f>Z47+Z54</f>
        <v>1</v>
      </c>
      <c r="AA56" s="1243"/>
    </row>
    <row r="57" spans="1:27" ht="15" customHeight="1" x14ac:dyDescent="0.25">
      <c r="A57" s="1240"/>
      <c r="B57" s="1748" t="s">
        <v>241</v>
      </c>
      <c r="C57" s="1748"/>
      <c r="D57" s="1748"/>
      <c r="E57" s="1241"/>
      <c r="F57" s="1241"/>
      <c r="G57" s="1241"/>
      <c r="H57" s="1241"/>
      <c r="I57" s="1243"/>
      <c r="S57" s="1240"/>
      <c r="T57" s="1221" t="s">
        <v>233</v>
      </c>
      <c r="U57" s="1224">
        <f>U48+U55</f>
        <v>0.7142857142857143</v>
      </c>
      <c r="V57" s="1224">
        <f>V48+V55</f>
        <v>0.19999999999999998</v>
      </c>
      <c r="W57" s="1224">
        <f>W48+W55</f>
        <v>8.5714285714285715E-2</v>
      </c>
      <c r="X57" s="1224">
        <f>X48+X55</f>
        <v>0</v>
      </c>
      <c r="Y57" s="1224">
        <f>Y48+Y55</f>
        <v>1</v>
      </c>
      <c r="Z57" s="1234"/>
      <c r="AA57" s="1243"/>
    </row>
    <row r="58" spans="1:27" ht="15" customHeight="1" x14ac:dyDescent="0.25">
      <c r="A58" s="1240"/>
      <c r="B58" s="1748" t="s">
        <v>242</v>
      </c>
      <c r="C58" s="1748"/>
      <c r="D58" s="1748"/>
      <c r="E58" s="1241"/>
      <c r="F58" s="1241"/>
      <c r="G58" s="1241"/>
      <c r="H58" s="1241"/>
      <c r="I58" s="1243"/>
      <c r="S58" s="1240"/>
      <c r="T58" s="4484" t="s">
        <v>240</v>
      </c>
      <c r="U58" s="4484"/>
      <c r="V58" s="4484"/>
      <c r="W58" s="1241"/>
      <c r="X58" s="1241"/>
      <c r="Y58" s="1241"/>
      <c r="Z58" s="1241"/>
      <c r="AA58" s="1243"/>
    </row>
    <row r="59" spans="1:27" ht="15" customHeight="1" x14ac:dyDescent="0.25">
      <c r="A59" s="1240"/>
      <c r="B59" s="4484" t="s">
        <v>243</v>
      </c>
      <c r="C59" s="4484"/>
      <c r="D59" s="4484"/>
      <c r="E59" s="1241"/>
      <c r="F59" s="1241"/>
      <c r="G59" s="1241"/>
      <c r="H59" s="1241"/>
      <c r="I59" s="1243"/>
      <c r="S59" s="1240"/>
      <c r="T59" s="4484" t="s">
        <v>241</v>
      </c>
      <c r="U59" s="4484"/>
      <c r="V59" s="4484"/>
      <c r="W59" s="1241"/>
      <c r="X59" s="1241"/>
      <c r="Y59" s="1241"/>
      <c r="Z59" s="1241"/>
      <c r="AA59" s="1243"/>
    </row>
    <row r="60" spans="1:27" ht="15" customHeight="1" x14ac:dyDescent="0.25">
      <c r="A60" s="1240"/>
      <c r="B60" s="4484" t="s">
        <v>244</v>
      </c>
      <c r="C60" s="4484"/>
      <c r="D60" s="4484"/>
      <c r="E60" s="1241"/>
      <c r="F60" s="1241"/>
      <c r="G60" s="1241"/>
      <c r="H60" s="1241"/>
      <c r="I60" s="1243"/>
      <c r="S60" s="1240"/>
      <c r="T60" s="4484" t="s">
        <v>242</v>
      </c>
      <c r="U60" s="4484"/>
      <c r="V60" s="4484"/>
      <c r="W60" s="1241"/>
      <c r="X60" s="1241"/>
      <c r="Y60" s="1241"/>
      <c r="Z60" s="1241"/>
      <c r="AA60" s="1243"/>
    </row>
    <row r="61" spans="1:27" ht="15" customHeight="1" x14ac:dyDescent="0.25">
      <c r="A61" s="1240"/>
      <c r="B61" s="1241"/>
      <c r="C61" s="1241"/>
      <c r="D61" s="1241"/>
      <c r="E61" s="1241"/>
      <c r="F61" s="1241"/>
      <c r="G61" s="1241"/>
      <c r="H61" s="1241"/>
      <c r="I61" s="1243"/>
      <c r="S61" s="1240"/>
      <c r="T61" s="4484" t="s">
        <v>243</v>
      </c>
      <c r="U61" s="4484"/>
      <c r="V61" s="4484"/>
      <c r="W61" s="1241"/>
      <c r="X61" s="1241"/>
      <c r="Y61" s="1241"/>
      <c r="Z61" s="1241"/>
      <c r="AA61" s="1243"/>
    </row>
    <row r="62" spans="1:27" ht="15" customHeight="1" x14ac:dyDescent="0.25">
      <c r="A62" s="1240"/>
      <c r="B62" s="1241"/>
      <c r="C62" s="1241"/>
      <c r="D62" s="1241"/>
      <c r="E62" s="1241"/>
      <c r="F62" s="1241"/>
      <c r="G62" s="1241"/>
      <c r="H62" s="1241"/>
      <c r="I62" s="1243"/>
      <c r="S62" s="1240"/>
      <c r="T62" s="4484" t="s">
        <v>244</v>
      </c>
      <c r="U62" s="4484"/>
      <c r="V62" s="4484"/>
      <c r="W62" s="1241"/>
      <c r="X62" s="1241"/>
      <c r="Y62" s="1241"/>
      <c r="Z62" s="1241"/>
      <c r="AA62" s="1243"/>
    </row>
    <row r="63" spans="1:27" ht="17.25" thickBot="1" x14ac:dyDescent="0.3">
      <c r="A63" s="1252"/>
      <c r="B63" s="1253"/>
      <c r="C63" s="1253"/>
      <c r="D63" s="1253"/>
      <c r="E63" s="1253"/>
      <c r="F63" s="1253"/>
      <c r="G63" s="1253"/>
      <c r="H63" s="1253"/>
      <c r="I63" s="1254"/>
      <c r="S63" s="1252"/>
      <c r="T63" s="1253"/>
      <c r="U63" s="1253"/>
      <c r="V63" s="1253"/>
      <c r="W63" s="1253"/>
      <c r="X63" s="1253"/>
      <c r="Y63" s="1253"/>
      <c r="Z63" s="1253"/>
      <c r="AA63" s="1254"/>
    </row>
  </sheetData>
  <mergeCells count="17">
    <mergeCell ref="B5:H5"/>
    <mergeCell ref="T58:V58"/>
    <mergeCell ref="T59:V59"/>
    <mergeCell ref="T60:V60"/>
    <mergeCell ref="B59:D59"/>
    <mergeCell ref="B60:D60"/>
    <mergeCell ref="B56:C56"/>
    <mergeCell ref="T14:Z14"/>
    <mergeCell ref="B12:H12"/>
    <mergeCell ref="B47:H47"/>
    <mergeCell ref="T49:Z49"/>
    <mergeCell ref="K9:P9"/>
    <mergeCell ref="K44:P44"/>
    <mergeCell ref="K4:P5"/>
    <mergeCell ref="T61:V61"/>
    <mergeCell ref="T62:V62"/>
    <mergeCell ref="T5:Z6"/>
  </mergeCells>
  <pageMargins left="0.7" right="0.7" top="0.75" bottom="0.75" header="0.3" footer="0.3"/>
  <pageSetup paperSize="9" orientation="portrait" r:id="rId1"/>
  <ignoredErrors>
    <ignoredError sqref="Y47" formula="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0000"/>
  </sheetPr>
  <dimension ref="A1:V358"/>
  <sheetViews>
    <sheetView zoomScale="55" zoomScaleNormal="55" workbookViewId="0">
      <selection activeCell="P328" sqref="P328"/>
    </sheetView>
  </sheetViews>
  <sheetFormatPr baseColWidth="10" defaultRowHeight="16.5" x14ac:dyDescent="0.3"/>
  <cols>
    <col min="1" max="1" width="5.85546875" style="1259" customWidth="1"/>
    <col min="2" max="2" width="12.5703125" style="1259" customWidth="1"/>
    <col min="3" max="3" width="11.42578125" style="1264"/>
    <col min="4" max="4" width="32.5703125" style="1259" customWidth="1"/>
    <col min="5" max="12" width="11.5703125" style="1259" bestFit="1" customWidth="1"/>
    <col min="13" max="14" width="12.42578125" style="1259" bestFit="1" customWidth="1"/>
    <col min="15" max="15" width="11.42578125" style="1259"/>
    <col min="16" max="16" width="37" style="1259" customWidth="1"/>
    <col min="17" max="17" width="7" style="1259" customWidth="1"/>
    <col min="18" max="18" width="9.42578125" style="1259" bestFit="1" customWidth="1"/>
    <col min="19" max="19" width="3.28515625" style="1259" bestFit="1" customWidth="1"/>
    <col min="20" max="20" width="33.85546875" style="1259" bestFit="1" customWidth="1"/>
    <col min="21" max="21" width="8.28515625" style="1259" bestFit="1" customWidth="1"/>
    <col min="22" max="22" width="38.85546875" style="1259" customWidth="1"/>
    <col min="23" max="23" width="33.42578125" style="1259" customWidth="1"/>
    <col min="24" max="256" width="11.42578125" style="1259"/>
    <col min="257" max="257" width="5.85546875" style="1259" customWidth="1"/>
    <col min="258" max="259" width="11.42578125" style="1259"/>
    <col min="260" max="260" width="26.28515625" style="1259" customWidth="1"/>
    <col min="261" max="512" width="11.42578125" style="1259"/>
    <col min="513" max="513" width="5.85546875" style="1259" customWidth="1"/>
    <col min="514" max="515" width="11.42578125" style="1259"/>
    <col min="516" max="516" width="26.28515625" style="1259" customWidth="1"/>
    <col min="517" max="768" width="11.42578125" style="1259"/>
    <col min="769" max="769" width="5.85546875" style="1259" customWidth="1"/>
    <col min="770" max="771" width="11.42578125" style="1259"/>
    <col min="772" max="772" width="26.28515625" style="1259" customWidth="1"/>
    <col min="773" max="1024" width="11.42578125" style="1259"/>
    <col min="1025" max="1025" width="5.85546875" style="1259" customWidth="1"/>
    <col min="1026" max="1027" width="11.42578125" style="1259"/>
    <col min="1028" max="1028" width="26.28515625" style="1259" customWidth="1"/>
    <col min="1029" max="1280" width="11.42578125" style="1259"/>
    <col min="1281" max="1281" width="5.85546875" style="1259" customWidth="1"/>
    <col min="1282" max="1283" width="11.42578125" style="1259"/>
    <col min="1284" max="1284" width="26.28515625" style="1259" customWidth="1"/>
    <col min="1285" max="1536" width="11.42578125" style="1259"/>
    <col min="1537" max="1537" width="5.85546875" style="1259" customWidth="1"/>
    <col min="1538" max="1539" width="11.42578125" style="1259"/>
    <col min="1540" max="1540" width="26.28515625" style="1259" customWidth="1"/>
    <col min="1541" max="1792" width="11.42578125" style="1259"/>
    <col min="1793" max="1793" width="5.85546875" style="1259" customWidth="1"/>
    <col min="1794" max="1795" width="11.42578125" style="1259"/>
    <col min="1796" max="1796" width="26.28515625" style="1259" customWidth="1"/>
    <col min="1797" max="2048" width="11.42578125" style="1259"/>
    <col min="2049" max="2049" width="5.85546875" style="1259" customWidth="1"/>
    <col min="2050" max="2051" width="11.42578125" style="1259"/>
    <col min="2052" max="2052" width="26.28515625" style="1259" customWidth="1"/>
    <col min="2053" max="2304" width="11.42578125" style="1259"/>
    <col min="2305" max="2305" width="5.85546875" style="1259" customWidth="1"/>
    <col min="2306" max="2307" width="11.42578125" style="1259"/>
    <col min="2308" max="2308" width="26.28515625" style="1259" customWidth="1"/>
    <col min="2309" max="2560" width="11.42578125" style="1259"/>
    <col min="2561" max="2561" width="5.85546875" style="1259" customWidth="1"/>
    <col min="2562" max="2563" width="11.42578125" style="1259"/>
    <col min="2564" max="2564" width="26.28515625" style="1259" customWidth="1"/>
    <col min="2565" max="2816" width="11.42578125" style="1259"/>
    <col min="2817" max="2817" width="5.85546875" style="1259" customWidth="1"/>
    <col min="2818" max="2819" width="11.42578125" style="1259"/>
    <col min="2820" max="2820" width="26.28515625" style="1259" customWidth="1"/>
    <col min="2821" max="3072" width="11.42578125" style="1259"/>
    <col min="3073" max="3073" width="5.85546875" style="1259" customWidth="1"/>
    <col min="3074" max="3075" width="11.42578125" style="1259"/>
    <col min="3076" max="3076" width="26.28515625" style="1259" customWidth="1"/>
    <col min="3077" max="3328" width="11.42578125" style="1259"/>
    <col min="3329" max="3329" width="5.85546875" style="1259" customWidth="1"/>
    <col min="3330" max="3331" width="11.42578125" style="1259"/>
    <col min="3332" max="3332" width="26.28515625" style="1259" customWidth="1"/>
    <col min="3333" max="3584" width="11.42578125" style="1259"/>
    <col min="3585" max="3585" width="5.85546875" style="1259" customWidth="1"/>
    <col min="3586" max="3587" width="11.42578125" style="1259"/>
    <col min="3588" max="3588" width="26.28515625" style="1259" customWidth="1"/>
    <col min="3589" max="3840" width="11.42578125" style="1259"/>
    <col min="3841" max="3841" width="5.85546875" style="1259" customWidth="1"/>
    <col min="3842" max="3843" width="11.42578125" style="1259"/>
    <col min="3844" max="3844" width="26.28515625" style="1259" customWidth="1"/>
    <col min="3845" max="4096" width="11.42578125" style="1259"/>
    <col min="4097" max="4097" width="5.85546875" style="1259" customWidth="1"/>
    <col min="4098" max="4099" width="11.42578125" style="1259"/>
    <col min="4100" max="4100" width="26.28515625" style="1259" customWidth="1"/>
    <col min="4101" max="4352" width="11.42578125" style="1259"/>
    <col min="4353" max="4353" width="5.85546875" style="1259" customWidth="1"/>
    <col min="4354" max="4355" width="11.42578125" style="1259"/>
    <col min="4356" max="4356" width="26.28515625" style="1259" customWidth="1"/>
    <col min="4357" max="4608" width="11.42578125" style="1259"/>
    <col min="4609" max="4609" width="5.85546875" style="1259" customWidth="1"/>
    <col min="4610" max="4611" width="11.42578125" style="1259"/>
    <col min="4612" max="4612" width="26.28515625" style="1259" customWidth="1"/>
    <col min="4613" max="4864" width="11.42578125" style="1259"/>
    <col min="4865" max="4865" width="5.85546875" style="1259" customWidth="1"/>
    <col min="4866" max="4867" width="11.42578125" style="1259"/>
    <col min="4868" max="4868" width="26.28515625" style="1259" customWidth="1"/>
    <col min="4869" max="5120" width="11.42578125" style="1259"/>
    <col min="5121" max="5121" width="5.85546875" style="1259" customWidth="1"/>
    <col min="5122" max="5123" width="11.42578125" style="1259"/>
    <col min="5124" max="5124" width="26.28515625" style="1259" customWidth="1"/>
    <col min="5125" max="5376" width="11.42578125" style="1259"/>
    <col min="5377" max="5377" width="5.85546875" style="1259" customWidth="1"/>
    <col min="5378" max="5379" width="11.42578125" style="1259"/>
    <col min="5380" max="5380" width="26.28515625" style="1259" customWidth="1"/>
    <col min="5381" max="5632" width="11.42578125" style="1259"/>
    <col min="5633" max="5633" width="5.85546875" style="1259" customWidth="1"/>
    <col min="5634" max="5635" width="11.42578125" style="1259"/>
    <col min="5636" max="5636" width="26.28515625" style="1259" customWidth="1"/>
    <col min="5637" max="5888" width="11.42578125" style="1259"/>
    <col min="5889" max="5889" width="5.85546875" style="1259" customWidth="1"/>
    <col min="5890" max="5891" width="11.42578125" style="1259"/>
    <col min="5892" max="5892" width="26.28515625" style="1259" customWidth="1"/>
    <col min="5893" max="6144" width="11.42578125" style="1259"/>
    <col min="6145" max="6145" width="5.85546875" style="1259" customWidth="1"/>
    <col min="6146" max="6147" width="11.42578125" style="1259"/>
    <col min="6148" max="6148" width="26.28515625" style="1259" customWidth="1"/>
    <col min="6149" max="6400" width="11.42578125" style="1259"/>
    <col min="6401" max="6401" width="5.85546875" style="1259" customWidth="1"/>
    <col min="6402" max="6403" width="11.42578125" style="1259"/>
    <col min="6404" max="6404" width="26.28515625" style="1259" customWidth="1"/>
    <col min="6405" max="6656" width="11.42578125" style="1259"/>
    <col min="6657" max="6657" width="5.85546875" style="1259" customWidth="1"/>
    <col min="6658" max="6659" width="11.42578125" style="1259"/>
    <col min="6660" max="6660" width="26.28515625" style="1259" customWidth="1"/>
    <col min="6661" max="6912" width="11.42578125" style="1259"/>
    <col min="6913" max="6913" width="5.85546875" style="1259" customWidth="1"/>
    <col min="6914" max="6915" width="11.42578125" style="1259"/>
    <col min="6916" max="6916" width="26.28515625" style="1259" customWidth="1"/>
    <col min="6917" max="7168" width="11.42578125" style="1259"/>
    <col min="7169" max="7169" width="5.85546875" style="1259" customWidth="1"/>
    <col min="7170" max="7171" width="11.42578125" style="1259"/>
    <col min="7172" max="7172" width="26.28515625" style="1259" customWidth="1"/>
    <col min="7173" max="7424" width="11.42578125" style="1259"/>
    <col min="7425" max="7425" width="5.85546875" style="1259" customWidth="1"/>
    <col min="7426" max="7427" width="11.42578125" style="1259"/>
    <col min="7428" max="7428" width="26.28515625" style="1259" customWidth="1"/>
    <col min="7429" max="7680" width="11.42578125" style="1259"/>
    <col min="7681" max="7681" width="5.85546875" style="1259" customWidth="1"/>
    <col min="7682" max="7683" width="11.42578125" style="1259"/>
    <col min="7684" max="7684" width="26.28515625" style="1259" customWidth="1"/>
    <col min="7685" max="7936" width="11.42578125" style="1259"/>
    <col min="7937" max="7937" width="5.85546875" style="1259" customWidth="1"/>
    <col min="7938" max="7939" width="11.42578125" style="1259"/>
    <col min="7940" max="7940" width="26.28515625" style="1259" customWidth="1"/>
    <col min="7941" max="8192" width="11.42578125" style="1259"/>
    <col min="8193" max="8193" width="5.85546875" style="1259" customWidth="1"/>
    <col min="8194" max="8195" width="11.42578125" style="1259"/>
    <col min="8196" max="8196" width="26.28515625" style="1259" customWidth="1"/>
    <col min="8197" max="8448" width="11.42578125" style="1259"/>
    <col min="8449" max="8449" width="5.85546875" style="1259" customWidth="1"/>
    <col min="8450" max="8451" width="11.42578125" style="1259"/>
    <col min="8452" max="8452" width="26.28515625" style="1259" customWidth="1"/>
    <col min="8453" max="8704" width="11.42578125" style="1259"/>
    <col min="8705" max="8705" width="5.85546875" style="1259" customWidth="1"/>
    <col min="8706" max="8707" width="11.42578125" style="1259"/>
    <col min="8708" max="8708" width="26.28515625" style="1259" customWidth="1"/>
    <col min="8709" max="8960" width="11.42578125" style="1259"/>
    <col min="8961" max="8961" width="5.85546875" style="1259" customWidth="1"/>
    <col min="8962" max="8963" width="11.42578125" style="1259"/>
    <col min="8964" max="8964" width="26.28515625" style="1259" customWidth="1"/>
    <col min="8965" max="9216" width="11.42578125" style="1259"/>
    <col min="9217" max="9217" width="5.85546875" style="1259" customWidth="1"/>
    <col min="9218" max="9219" width="11.42578125" style="1259"/>
    <col min="9220" max="9220" width="26.28515625" style="1259" customWidth="1"/>
    <col min="9221" max="9472" width="11.42578125" style="1259"/>
    <col min="9473" max="9473" width="5.85546875" style="1259" customWidth="1"/>
    <col min="9474" max="9475" width="11.42578125" style="1259"/>
    <col min="9476" max="9476" width="26.28515625" style="1259" customWidth="1"/>
    <col min="9477" max="9728" width="11.42578125" style="1259"/>
    <col min="9729" max="9729" width="5.85546875" style="1259" customWidth="1"/>
    <col min="9730" max="9731" width="11.42578125" style="1259"/>
    <col min="9732" max="9732" width="26.28515625" style="1259" customWidth="1"/>
    <col min="9733" max="9984" width="11.42578125" style="1259"/>
    <col min="9985" max="9985" width="5.85546875" style="1259" customWidth="1"/>
    <col min="9986" max="9987" width="11.42578125" style="1259"/>
    <col min="9988" max="9988" width="26.28515625" style="1259" customWidth="1"/>
    <col min="9989" max="10240" width="11.42578125" style="1259"/>
    <col min="10241" max="10241" width="5.85546875" style="1259" customWidth="1"/>
    <col min="10242" max="10243" width="11.42578125" style="1259"/>
    <col min="10244" max="10244" width="26.28515625" style="1259" customWidth="1"/>
    <col min="10245" max="10496" width="11.42578125" style="1259"/>
    <col min="10497" max="10497" width="5.85546875" style="1259" customWidth="1"/>
    <col min="10498" max="10499" width="11.42578125" style="1259"/>
    <col min="10500" max="10500" width="26.28515625" style="1259" customWidth="1"/>
    <col min="10501" max="10752" width="11.42578125" style="1259"/>
    <col min="10753" max="10753" width="5.85546875" style="1259" customWidth="1"/>
    <col min="10754" max="10755" width="11.42578125" style="1259"/>
    <col min="10756" max="10756" width="26.28515625" style="1259" customWidth="1"/>
    <col min="10757" max="11008" width="11.42578125" style="1259"/>
    <col min="11009" max="11009" width="5.85546875" style="1259" customWidth="1"/>
    <col min="11010" max="11011" width="11.42578125" style="1259"/>
    <col min="11012" max="11012" width="26.28515625" style="1259" customWidth="1"/>
    <col min="11013" max="11264" width="11.42578125" style="1259"/>
    <col min="11265" max="11265" width="5.85546875" style="1259" customWidth="1"/>
    <col min="11266" max="11267" width="11.42578125" style="1259"/>
    <col min="11268" max="11268" width="26.28515625" style="1259" customWidth="1"/>
    <col min="11269" max="11520" width="11.42578125" style="1259"/>
    <col min="11521" max="11521" width="5.85546875" style="1259" customWidth="1"/>
    <col min="11522" max="11523" width="11.42578125" style="1259"/>
    <col min="11524" max="11524" width="26.28515625" style="1259" customWidth="1"/>
    <col min="11525" max="11776" width="11.42578125" style="1259"/>
    <col min="11777" max="11777" width="5.85546875" style="1259" customWidth="1"/>
    <col min="11778" max="11779" width="11.42578125" style="1259"/>
    <col min="11780" max="11780" width="26.28515625" style="1259" customWidth="1"/>
    <col min="11781" max="12032" width="11.42578125" style="1259"/>
    <col min="12033" max="12033" width="5.85546875" style="1259" customWidth="1"/>
    <col min="12034" max="12035" width="11.42578125" style="1259"/>
    <col min="12036" max="12036" width="26.28515625" style="1259" customWidth="1"/>
    <col min="12037" max="12288" width="11.42578125" style="1259"/>
    <col min="12289" max="12289" width="5.85546875" style="1259" customWidth="1"/>
    <col min="12290" max="12291" width="11.42578125" style="1259"/>
    <col min="12292" max="12292" width="26.28515625" style="1259" customWidth="1"/>
    <col min="12293" max="12544" width="11.42578125" style="1259"/>
    <col min="12545" max="12545" width="5.85546875" style="1259" customWidth="1"/>
    <col min="12546" max="12547" width="11.42578125" style="1259"/>
    <col min="12548" max="12548" width="26.28515625" style="1259" customWidth="1"/>
    <col min="12549" max="12800" width="11.42578125" style="1259"/>
    <col min="12801" max="12801" width="5.85546875" style="1259" customWidth="1"/>
    <col min="12802" max="12803" width="11.42578125" style="1259"/>
    <col min="12804" max="12804" width="26.28515625" style="1259" customWidth="1"/>
    <col min="12805" max="13056" width="11.42578125" style="1259"/>
    <col min="13057" max="13057" width="5.85546875" style="1259" customWidth="1"/>
    <col min="13058" max="13059" width="11.42578125" style="1259"/>
    <col min="13060" max="13060" width="26.28515625" style="1259" customWidth="1"/>
    <col min="13061" max="13312" width="11.42578125" style="1259"/>
    <col min="13313" max="13313" width="5.85546875" style="1259" customWidth="1"/>
    <col min="13314" max="13315" width="11.42578125" style="1259"/>
    <col min="13316" max="13316" width="26.28515625" style="1259" customWidth="1"/>
    <col min="13317" max="13568" width="11.42578125" style="1259"/>
    <col min="13569" max="13569" width="5.85546875" style="1259" customWidth="1"/>
    <col min="13570" max="13571" width="11.42578125" style="1259"/>
    <col min="13572" max="13572" width="26.28515625" style="1259" customWidth="1"/>
    <col min="13573" max="13824" width="11.42578125" style="1259"/>
    <col min="13825" max="13825" width="5.85546875" style="1259" customWidth="1"/>
    <col min="13826" max="13827" width="11.42578125" style="1259"/>
    <col min="13828" max="13828" width="26.28515625" style="1259" customWidth="1"/>
    <col min="13829" max="14080" width="11.42578125" style="1259"/>
    <col min="14081" max="14081" width="5.85546875" style="1259" customWidth="1"/>
    <col min="14082" max="14083" width="11.42578125" style="1259"/>
    <col min="14084" max="14084" width="26.28515625" style="1259" customWidth="1"/>
    <col min="14085" max="14336" width="11.42578125" style="1259"/>
    <col min="14337" max="14337" width="5.85546875" style="1259" customWidth="1"/>
    <col min="14338" max="14339" width="11.42578125" style="1259"/>
    <col min="14340" max="14340" width="26.28515625" style="1259" customWidth="1"/>
    <col min="14341" max="14592" width="11.42578125" style="1259"/>
    <col min="14593" max="14593" width="5.85546875" style="1259" customWidth="1"/>
    <col min="14594" max="14595" width="11.42578125" style="1259"/>
    <col min="14596" max="14596" width="26.28515625" style="1259" customWidth="1"/>
    <col min="14597" max="14848" width="11.42578125" style="1259"/>
    <col min="14849" max="14849" width="5.85546875" style="1259" customWidth="1"/>
    <col min="14850" max="14851" width="11.42578125" style="1259"/>
    <col min="14852" max="14852" width="26.28515625" style="1259" customWidth="1"/>
    <col min="14853" max="15104" width="11.42578125" style="1259"/>
    <col min="15105" max="15105" width="5.85546875" style="1259" customWidth="1"/>
    <col min="15106" max="15107" width="11.42578125" style="1259"/>
    <col min="15108" max="15108" width="26.28515625" style="1259" customWidth="1"/>
    <col min="15109" max="15360" width="11.42578125" style="1259"/>
    <col min="15361" max="15361" width="5.85546875" style="1259" customWidth="1"/>
    <col min="15362" max="15363" width="11.42578125" style="1259"/>
    <col min="15364" max="15364" width="26.28515625" style="1259" customWidth="1"/>
    <col min="15365" max="15616" width="11.42578125" style="1259"/>
    <col min="15617" max="15617" width="5.85546875" style="1259" customWidth="1"/>
    <col min="15618" max="15619" width="11.42578125" style="1259"/>
    <col min="15620" max="15620" width="26.28515625" style="1259" customWidth="1"/>
    <col min="15621" max="15872" width="11.42578125" style="1259"/>
    <col min="15873" max="15873" width="5.85546875" style="1259" customWidth="1"/>
    <col min="15874" max="15875" width="11.42578125" style="1259"/>
    <col min="15876" max="15876" width="26.28515625" style="1259" customWidth="1"/>
    <col min="15877" max="16128" width="11.42578125" style="1259"/>
    <col min="16129" max="16129" width="5.85546875" style="1259" customWidth="1"/>
    <col min="16130" max="16131" width="11.42578125" style="1259"/>
    <col min="16132" max="16132" width="26.28515625" style="1259" customWidth="1"/>
    <col min="16133" max="16384" width="11.42578125" style="1259"/>
  </cols>
  <sheetData>
    <row r="1" spans="2:15" x14ac:dyDescent="0.3">
      <c r="C1" s="1259"/>
    </row>
    <row r="2" spans="2:15" x14ac:dyDescent="0.3">
      <c r="C2" s="1259"/>
    </row>
    <row r="3" spans="2:15" x14ac:dyDescent="0.3">
      <c r="C3" s="1260"/>
    </row>
    <row r="4" spans="2:15" x14ac:dyDescent="0.3">
      <c r="C4" s="1260"/>
    </row>
    <row r="5" spans="2:15" x14ac:dyDescent="0.3">
      <c r="B5" s="4130" t="s">
        <v>3672</v>
      </c>
      <c r="C5" s="4493"/>
      <c r="D5" s="4493"/>
      <c r="E5" s="4493"/>
      <c r="F5" s="4493"/>
      <c r="G5" s="4493"/>
      <c r="H5" s="4493"/>
      <c r="I5" s="4493"/>
      <c r="J5" s="4493"/>
      <c r="K5" s="4493"/>
      <c r="L5" s="4493"/>
      <c r="M5" s="4493"/>
      <c r="N5" s="4493"/>
      <c r="O5" s="4494"/>
    </row>
    <row r="6" spans="2:15" x14ac:dyDescent="0.3">
      <c r="B6" s="4495"/>
      <c r="C6" s="4495"/>
      <c r="D6" s="4495"/>
      <c r="E6" s="4495"/>
      <c r="F6" s="4495"/>
      <c r="G6" s="4495"/>
      <c r="H6" s="4495"/>
      <c r="I6" s="4495"/>
      <c r="J6" s="4495"/>
      <c r="K6" s="4495"/>
      <c r="L6" s="4495"/>
      <c r="M6" s="4495"/>
      <c r="N6" s="4495"/>
      <c r="O6" s="4495"/>
    </row>
    <row r="7" spans="2:15" x14ac:dyDescent="0.3">
      <c r="B7" s="1261"/>
      <c r="C7" s="1262"/>
      <c r="D7" s="1261"/>
      <c r="E7" s="1261"/>
      <c r="F7" s="1261"/>
      <c r="G7" s="1261"/>
      <c r="H7" s="1261"/>
      <c r="I7" s="1261"/>
      <c r="J7" s="1261"/>
      <c r="K7" s="1261"/>
      <c r="L7" s="1261"/>
      <c r="M7" s="1261"/>
      <c r="N7" s="1261"/>
      <c r="O7" s="1261"/>
    </row>
    <row r="8" spans="2:15" x14ac:dyDescent="0.3">
      <c r="B8" s="1263" t="s">
        <v>191</v>
      </c>
      <c r="E8" s="3" t="s">
        <v>3522</v>
      </c>
    </row>
    <row r="9" spans="2:15" x14ac:dyDescent="0.3">
      <c r="B9" s="1263"/>
      <c r="C9" s="1259"/>
    </row>
    <row r="10" spans="2:15" x14ac:dyDescent="0.3">
      <c r="B10" s="1263" t="s">
        <v>192</v>
      </c>
      <c r="E10" s="3" t="s">
        <v>3523</v>
      </c>
    </row>
    <row r="13" spans="2:15" x14ac:dyDescent="0.3">
      <c r="B13" s="1263" t="s">
        <v>245</v>
      </c>
    </row>
    <row r="14" spans="2:15" x14ac:dyDescent="0.3">
      <c r="B14" s="4496" t="s">
        <v>246</v>
      </c>
      <c r="C14" s="4499" t="s">
        <v>247</v>
      </c>
      <c r="D14" s="4499" t="s">
        <v>248</v>
      </c>
      <c r="E14" s="4502" t="s">
        <v>249</v>
      </c>
      <c r="F14" s="4502"/>
      <c r="G14" s="4502"/>
      <c r="H14" s="4502"/>
      <c r="I14" s="4502"/>
      <c r="J14" s="4502"/>
      <c r="K14" s="4502"/>
      <c r="L14" s="4502"/>
      <c r="M14" s="4502"/>
      <c r="N14" s="4503"/>
    </row>
    <row r="15" spans="2:15" x14ac:dyDescent="0.3">
      <c r="B15" s="4497"/>
      <c r="C15" s="4500"/>
      <c r="D15" s="4500"/>
      <c r="E15" s="4148" t="s">
        <v>250</v>
      </c>
      <c r="F15" s="4148"/>
      <c r="G15" s="4148" t="s">
        <v>251</v>
      </c>
      <c r="H15" s="4148"/>
      <c r="I15" s="4148" t="s">
        <v>252</v>
      </c>
      <c r="J15" s="4148"/>
      <c r="K15" s="4148" t="s">
        <v>253</v>
      </c>
      <c r="L15" s="4148"/>
      <c r="M15" s="4148" t="s">
        <v>254</v>
      </c>
      <c r="N15" s="4504"/>
    </row>
    <row r="16" spans="2:15" x14ac:dyDescent="0.3">
      <c r="B16" s="4498"/>
      <c r="C16" s="4501"/>
      <c r="D16" s="4501"/>
      <c r="E16" s="1272" t="s">
        <v>255</v>
      </c>
      <c r="F16" s="1272" t="s">
        <v>256</v>
      </c>
      <c r="G16" s="1272" t="s">
        <v>255</v>
      </c>
      <c r="H16" s="1272" t="s">
        <v>256</v>
      </c>
      <c r="I16" s="1272" t="s">
        <v>255</v>
      </c>
      <c r="J16" s="1272" t="s">
        <v>256</v>
      </c>
      <c r="K16" s="1272" t="s">
        <v>255</v>
      </c>
      <c r="L16" s="1272" t="s">
        <v>256</v>
      </c>
      <c r="M16" s="1272" t="s">
        <v>255</v>
      </c>
      <c r="N16" s="1273" t="s">
        <v>256</v>
      </c>
    </row>
    <row r="17" spans="1:20" x14ac:dyDescent="0.3">
      <c r="A17" s="1265"/>
      <c r="B17" s="4492" t="s">
        <v>257</v>
      </c>
      <c r="C17" s="4492" t="s">
        <v>258</v>
      </c>
      <c r="D17" s="1266" t="s">
        <v>259</v>
      </c>
      <c r="E17" s="1266">
        <v>21</v>
      </c>
      <c r="F17" s="1266"/>
      <c r="G17" s="1266">
        <v>21</v>
      </c>
      <c r="H17" s="1266"/>
      <c r="I17" s="1266">
        <v>21</v>
      </c>
      <c r="J17" s="1266"/>
      <c r="K17" s="1266">
        <f t="shared" ref="K17:K25" si="0">(E17+G17+I17)/3</f>
        <v>21</v>
      </c>
      <c r="L17" s="1266"/>
      <c r="M17" s="1266">
        <f>(K17*11)</f>
        <v>231</v>
      </c>
      <c r="N17" s="1266"/>
    </row>
    <row r="18" spans="1:20" x14ac:dyDescent="0.3">
      <c r="A18" s="1265"/>
      <c r="B18" s="4492"/>
      <c r="C18" s="4492"/>
      <c r="D18" s="1266" t="s">
        <v>260</v>
      </c>
      <c r="E18" s="1266">
        <v>6</v>
      </c>
      <c r="F18" s="1266"/>
      <c r="G18" s="1266">
        <v>6</v>
      </c>
      <c r="H18" s="1266"/>
      <c r="I18" s="1266">
        <v>6</v>
      </c>
      <c r="J18" s="1266"/>
      <c r="K18" s="1266">
        <f t="shared" si="0"/>
        <v>6</v>
      </c>
      <c r="L18" s="1266"/>
      <c r="M18" s="1266">
        <f>+K18</f>
        <v>6</v>
      </c>
      <c r="N18" s="1266"/>
    </row>
    <row r="19" spans="1:20" x14ac:dyDescent="0.3">
      <c r="A19" s="1265"/>
      <c r="B19" s="4492"/>
      <c r="C19" s="4492"/>
      <c r="D19" s="1266" t="s">
        <v>261</v>
      </c>
      <c r="E19" s="1266">
        <f>E17*E18</f>
        <v>126</v>
      </c>
      <c r="F19" s="1266"/>
      <c r="G19" s="1266">
        <f>G17*G18</f>
        <v>126</v>
      </c>
      <c r="H19" s="1266"/>
      <c r="I19" s="1266">
        <f>I17*I18</f>
        <v>126</v>
      </c>
      <c r="J19" s="1266"/>
      <c r="K19" s="1266">
        <f t="shared" si="0"/>
        <v>126</v>
      </c>
      <c r="L19" s="1266"/>
      <c r="M19" s="1266">
        <f>M17*M18</f>
        <v>1386</v>
      </c>
      <c r="N19" s="1266"/>
    </row>
    <row r="20" spans="1:20" x14ac:dyDescent="0.3">
      <c r="A20" s="1265"/>
      <c r="B20" s="4492"/>
      <c r="C20" s="4492" t="s">
        <v>262</v>
      </c>
      <c r="D20" s="1266" t="s">
        <v>259</v>
      </c>
      <c r="E20" s="1266">
        <v>19</v>
      </c>
      <c r="F20" s="1266"/>
      <c r="G20" s="1266">
        <v>18</v>
      </c>
      <c r="H20" s="1266"/>
      <c r="I20" s="1266">
        <v>17</v>
      </c>
      <c r="J20" s="1266"/>
      <c r="K20" s="1266">
        <f t="shared" si="0"/>
        <v>18</v>
      </c>
      <c r="L20" s="1266"/>
      <c r="M20" s="1266">
        <f>(K20*11)</f>
        <v>198</v>
      </c>
      <c r="N20" s="1266"/>
    </row>
    <row r="21" spans="1:20" x14ac:dyDescent="0.3">
      <c r="A21" s="1265"/>
      <c r="B21" s="4492"/>
      <c r="C21" s="4492"/>
      <c r="D21" s="1266" t="s">
        <v>260</v>
      </c>
      <c r="E21" s="1266">
        <v>6</v>
      </c>
      <c r="F21" s="1266"/>
      <c r="G21" s="1266">
        <v>6</v>
      </c>
      <c r="H21" s="1266"/>
      <c r="I21" s="1266">
        <v>6</v>
      </c>
      <c r="J21" s="1266"/>
      <c r="K21" s="1266">
        <f t="shared" si="0"/>
        <v>6</v>
      </c>
      <c r="L21" s="1266"/>
      <c r="M21" s="1266">
        <f>+K21</f>
        <v>6</v>
      </c>
      <c r="N21" s="1266"/>
    </row>
    <row r="22" spans="1:20" x14ac:dyDescent="0.3">
      <c r="A22" s="1265"/>
      <c r="B22" s="4492"/>
      <c r="C22" s="4492"/>
      <c r="D22" s="1266" t="s">
        <v>261</v>
      </c>
      <c r="E22" s="1266">
        <f>E20*E21</f>
        <v>114</v>
      </c>
      <c r="F22" s="1266"/>
      <c r="G22" s="1266">
        <f>G20*G21</f>
        <v>108</v>
      </c>
      <c r="H22" s="1266"/>
      <c r="I22" s="1266">
        <f>I20*I21</f>
        <v>102</v>
      </c>
      <c r="J22" s="1266"/>
      <c r="K22" s="1266">
        <f t="shared" si="0"/>
        <v>108</v>
      </c>
      <c r="L22" s="1266"/>
      <c r="M22" s="1266">
        <f>M20*M21</f>
        <v>1188</v>
      </c>
      <c r="N22" s="1266"/>
    </row>
    <row r="23" spans="1:20" x14ac:dyDescent="0.3">
      <c r="A23" s="1265"/>
      <c r="B23" s="4492"/>
      <c r="C23" s="4505" t="s">
        <v>521</v>
      </c>
      <c r="D23" s="1266" t="s">
        <v>259</v>
      </c>
      <c r="E23" s="1266">
        <v>3</v>
      </c>
      <c r="F23" s="1266"/>
      <c r="G23" s="1266">
        <v>3</v>
      </c>
      <c r="H23" s="1266"/>
      <c r="I23" s="1266">
        <v>4</v>
      </c>
      <c r="J23" s="1266"/>
      <c r="K23" s="1268">
        <f t="shared" si="0"/>
        <v>3.3333333333333335</v>
      </c>
      <c r="L23" s="1268"/>
      <c r="M23" s="1268">
        <f>(K23*11)</f>
        <v>36.666666666666671</v>
      </c>
      <c r="N23" s="1266"/>
    </row>
    <row r="24" spans="1:20" x14ac:dyDescent="0.3">
      <c r="A24" s="1265"/>
      <c r="B24" s="4492"/>
      <c r="C24" s="4505"/>
      <c r="D24" s="1266" t="s">
        <v>260</v>
      </c>
      <c r="E24" s="1266">
        <v>12</v>
      </c>
      <c r="F24" s="1266"/>
      <c r="G24" s="1266">
        <v>12</v>
      </c>
      <c r="H24" s="1266"/>
      <c r="I24" s="1266">
        <v>12</v>
      </c>
      <c r="J24" s="1266"/>
      <c r="K24" s="1266">
        <f t="shared" si="0"/>
        <v>12</v>
      </c>
      <c r="L24" s="1266"/>
      <c r="M24" s="1266">
        <f>+K24</f>
        <v>12</v>
      </c>
      <c r="N24" s="1266"/>
    </row>
    <row r="25" spans="1:20" x14ac:dyDescent="0.3">
      <c r="A25" s="1265"/>
      <c r="B25" s="4492"/>
      <c r="C25" s="4505"/>
      <c r="D25" s="1266" t="s">
        <v>261</v>
      </c>
      <c r="E25" s="1266">
        <f>E23*E24</f>
        <v>36</v>
      </c>
      <c r="F25" s="1266"/>
      <c r="G25" s="1266">
        <f>G23*G24</f>
        <v>36</v>
      </c>
      <c r="H25" s="1266"/>
      <c r="I25" s="1266">
        <f>I23*I24</f>
        <v>48</v>
      </c>
      <c r="J25" s="1266"/>
      <c r="K25" s="1266">
        <f t="shared" si="0"/>
        <v>40</v>
      </c>
      <c r="L25" s="1266"/>
      <c r="M25" s="1266">
        <f>M23*M24</f>
        <v>440.00000000000006</v>
      </c>
      <c r="N25" s="1266"/>
    </row>
    <row r="26" spans="1:20" x14ac:dyDescent="0.3">
      <c r="A26" s="1265"/>
      <c r="B26" s="4492"/>
      <c r="C26" s="1397" t="s">
        <v>263</v>
      </c>
      <c r="D26" s="1398"/>
      <c r="E26" s="1398">
        <v>4</v>
      </c>
      <c r="F26" s="1398"/>
      <c r="G26" s="1398">
        <v>4</v>
      </c>
      <c r="H26" s="1398"/>
      <c r="I26" s="1398">
        <v>4</v>
      </c>
      <c r="J26" s="1398"/>
      <c r="K26" s="1398">
        <v>4</v>
      </c>
      <c r="L26" s="1398"/>
      <c r="M26" s="1398">
        <v>4</v>
      </c>
      <c r="N26" s="1398"/>
    </row>
    <row r="27" spans="1:20" x14ac:dyDescent="0.3">
      <c r="A27" s="1265"/>
      <c r="B27" s="4492"/>
      <c r="C27" s="1397" t="s">
        <v>264</v>
      </c>
      <c r="D27" s="1398"/>
      <c r="E27" s="1399">
        <f>(E19+E25+E22)/E26</f>
        <v>69</v>
      </c>
      <c r="F27" s="1399"/>
      <c r="G27" s="1399">
        <f>(G19+G25+G22)/G26</f>
        <v>67.5</v>
      </c>
      <c r="H27" s="1399"/>
      <c r="I27" s="1399">
        <f>(I19+I25+I22)/I26</f>
        <v>69</v>
      </c>
      <c r="J27" s="1399"/>
      <c r="K27" s="1399">
        <f>(K19+K25+K22)/K26</f>
        <v>68.5</v>
      </c>
      <c r="L27" s="1399"/>
      <c r="M27" s="1399">
        <f>(M19+M25+M22)/M26</f>
        <v>753.5</v>
      </c>
      <c r="N27" s="1399"/>
      <c r="T27" s="1267"/>
    </row>
    <row r="28" spans="1:20" x14ac:dyDescent="0.3">
      <c r="B28" s="4492" t="s">
        <v>265</v>
      </c>
      <c r="C28" s="4492" t="s">
        <v>258</v>
      </c>
      <c r="D28" s="1266" t="s">
        <v>259</v>
      </c>
      <c r="E28" s="1266">
        <v>24</v>
      </c>
      <c r="F28" s="1266">
        <v>11</v>
      </c>
      <c r="G28" s="1266">
        <v>25</v>
      </c>
      <c r="H28" s="1266">
        <v>11</v>
      </c>
      <c r="I28" s="1266">
        <v>24</v>
      </c>
      <c r="J28" s="1266">
        <v>11</v>
      </c>
      <c r="K28" s="1268">
        <f t="shared" ref="K28:L35" si="1">(E28+G28+I28)/3</f>
        <v>24.333333333333332</v>
      </c>
      <c r="L28" s="1268">
        <f t="shared" si="1"/>
        <v>11</v>
      </c>
      <c r="M28" s="1268">
        <f>(K28*11)</f>
        <v>267.66666666666663</v>
      </c>
      <c r="N28" s="1268">
        <f>(L28*11)</f>
        <v>121</v>
      </c>
    </row>
    <row r="29" spans="1:20" x14ac:dyDescent="0.3">
      <c r="B29" s="4492"/>
      <c r="C29" s="4492"/>
      <c r="D29" s="1266" t="s">
        <v>260</v>
      </c>
      <c r="E29" s="1266">
        <v>6</v>
      </c>
      <c r="F29" s="1266">
        <v>6</v>
      </c>
      <c r="G29" s="1266">
        <v>6</v>
      </c>
      <c r="H29" s="1266">
        <v>6</v>
      </c>
      <c r="I29" s="1266">
        <v>6</v>
      </c>
      <c r="J29" s="1266">
        <v>6</v>
      </c>
      <c r="K29" s="1266">
        <f t="shared" si="1"/>
        <v>6</v>
      </c>
      <c r="L29" s="1266">
        <v>6</v>
      </c>
      <c r="M29" s="1266">
        <f>+K29</f>
        <v>6</v>
      </c>
      <c r="N29" s="1266">
        <v>6</v>
      </c>
    </row>
    <row r="30" spans="1:20" x14ac:dyDescent="0.3">
      <c r="B30" s="4492"/>
      <c r="C30" s="4492"/>
      <c r="D30" s="1266" t="s">
        <v>261</v>
      </c>
      <c r="E30" s="1266">
        <f>E28*E29</f>
        <v>144</v>
      </c>
      <c r="F30" s="1266">
        <f t="shared" ref="F30:N30" si="2">F28*F29</f>
        <v>66</v>
      </c>
      <c r="G30" s="1266">
        <f t="shared" si="2"/>
        <v>150</v>
      </c>
      <c r="H30" s="1266">
        <f t="shared" si="2"/>
        <v>66</v>
      </c>
      <c r="I30" s="1266">
        <f t="shared" si="2"/>
        <v>144</v>
      </c>
      <c r="J30" s="1266">
        <f t="shared" si="2"/>
        <v>66</v>
      </c>
      <c r="K30" s="1266">
        <f t="shared" si="2"/>
        <v>146</v>
      </c>
      <c r="L30" s="1266">
        <f t="shared" si="2"/>
        <v>66</v>
      </c>
      <c r="M30" s="1266">
        <f t="shared" si="2"/>
        <v>1605.9999999999998</v>
      </c>
      <c r="N30" s="1266">
        <f t="shared" si="2"/>
        <v>726</v>
      </c>
    </row>
    <row r="31" spans="1:20" x14ac:dyDescent="0.3">
      <c r="B31" s="4492"/>
      <c r="C31" s="4492" t="s">
        <v>262</v>
      </c>
      <c r="D31" s="1266" t="s">
        <v>259</v>
      </c>
      <c r="E31" s="1266">
        <v>4</v>
      </c>
      <c r="F31" s="1266">
        <v>5</v>
      </c>
      <c r="G31" s="1266">
        <v>4</v>
      </c>
      <c r="H31" s="1266">
        <v>5</v>
      </c>
      <c r="I31" s="1266">
        <v>4</v>
      </c>
      <c r="J31" s="1266">
        <v>5</v>
      </c>
      <c r="K31" s="1268">
        <f>(E31+G31+I31)/3</f>
        <v>4</v>
      </c>
      <c r="L31" s="1268">
        <f>(F31+H31+J31)/3</f>
        <v>5</v>
      </c>
      <c r="M31" s="1268">
        <f>(K31*11)</f>
        <v>44</v>
      </c>
      <c r="N31" s="1268">
        <f>(L31*11)</f>
        <v>55</v>
      </c>
    </row>
    <row r="32" spans="1:20" x14ac:dyDescent="0.3">
      <c r="B32" s="4492"/>
      <c r="C32" s="4492"/>
      <c r="D32" s="1266" t="s">
        <v>260</v>
      </c>
      <c r="E32" s="1266">
        <v>6</v>
      </c>
      <c r="F32" s="1266">
        <v>6</v>
      </c>
      <c r="G32" s="1266">
        <v>6</v>
      </c>
      <c r="H32" s="1266">
        <v>6</v>
      </c>
      <c r="I32" s="1266">
        <v>6</v>
      </c>
      <c r="J32" s="1266">
        <v>6</v>
      </c>
      <c r="K32" s="1266">
        <f t="shared" si="1"/>
        <v>6</v>
      </c>
      <c r="L32" s="1266">
        <v>6</v>
      </c>
      <c r="M32" s="1266">
        <f>+K32</f>
        <v>6</v>
      </c>
      <c r="N32" s="1266">
        <v>6</v>
      </c>
    </row>
    <row r="33" spans="2:22" x14ac:dyDescent="0.3">
      <c r="B33" s="4492"/>
      <c r="C33" s="4492"/>
      <c r="D33" s="1266" t="s">
        <v>261</v>
      </c>
      <c r="E33" s="1266">
        <f>E31*E32</f>
        <v>24</v>
      </c>
      <c r="F33" s="1266">
        <f t="shared" ref="F33:N33" si="3">F31*F32</f>
        <v>30</v>
      </c>
      <c r="G33" s="1266">
        <f t="shared" si="3"/>
        <v>24</v>
      </c>
      <c r="H33" s="1266">
        <f t="shared" si="3"/>
        <v>30</v>
      </c>
      <c r="I33" s="1266">
        <f t="shared" si="3"/>
        <v>24</v>
      </c>
      <c r="J33" s="1266">
        <f t="shared" si="3"/>
        <v>30</v>
      </c>
      <c r="K33" s="1266">
        <f t="shared" si="3"/>
        <v>24</v>
      </c>
      <c r="L33" s="1266">
        <f t="shared" si="3"/>
        <v>30</v>
      </c>
      <c r="M33" s="1266">
        <f t="shared" si="3"/>
        <v>264</v>
      </c>
      <c r="N33" s="1266">
        <f t="shared" si="3"/>
        <v>330</v>
      </c>
      <c r="T33" s="25"/>
      <c r="U33" s="25"/>
      <c r="V33" s="25"/>
    </row>
    <row r="34" spans="2:22" x14ac:dyDescent="0.3">
      <c r="B34" s="4492"/>
      <c r="C34" s="4505" t="s">
        <v>523</v>
      </c>
      <c r="D34" s="1266" t="s">
        <v>259</v>
      </c>
      <c r="E34" s="1266">
        <v>1</v>
      </c>
      <c r="F34" s="1266">
        <v>3</v>
      </c>
      <c r="G34" s="1266">
        <v>1</v>
      </c>
      <c r="H34" s="1266">
        <v>3</v>
      </c>
      <c r="I34" s="1266">
        <v>1</v>
      </c>
      <c r="J34" s="1266">
        <v>3</v>
      </c>
      <c r="K34" s="1266">
        <f t="shared" si="1"/>
        <v>1</v>
      </c>
      <c r="L34" s="1266">
        <f t="shared" si="1"/>
        <v>3</v>
      </c>
      <c r="M34" s="1266">
        <f>(K34*11)</f>
        <v>11</v>
      </c>
      <c r="N34" s="1266">
        <f>(L34*11)</f>
        <v>33</v>
      </c>
      <c r="T34" s="25"/>
      <c r="U34" s="25"/>
      <c r="V34" s="25"/>
    </row>
    <row r="35" spans="2:22" x14ac:dyDescent="0.3">
      <c r="B35" s="4492"/>
      <c r="C35" s="4505"/>
      <c r="D35" s="1266" t="s">
        <v>260</v>
      </c>
      <c r="E35" s="1266">
        <v>12</v>
      </c>
      <c r="F35" s="1266">
        <v>12</v>
      </c>
      <c r="G35" s="1266">
        <v>12</v>
      </c>
      <c r="H35" s="1266">
        <v>12</v>
      </c>
      <c r="I35" s="1266">
        <v>12</v>
      </c>
      <c r="J35" s="1266">
        <v>12</v>
      </c>
      <c r="K35" s="1266">
        <f t="shared" si="1"/>
        <v>12</v>
      </c>
      <c r="L35" s="1266">
        <v>12</v>
      </c>
      <c r="M35" s="1266">
        <f>+K35</f>
        <v>12</v>
      </c>
      <c r="N35" s="1266">
        <v>12</v>
      </c>
      <c r="T35" s="25"/>
      <c r="U35" s="25"/>
      <c r="V35" s="25"/>
    </row>
    <row r="36" spans="2:22" x14ac:dyDescent="0.3">
      <c r="B36" s="4492"/>
      <c r="C36" s="4505"/>
      <c r="D36" s="1266" t="s">
        <v>261</v>
      </c>
      <c r="E36" s="1266">
        <f>E34*E35</f>
        <v>12</v>
      </c>
      <c r="F36" s="1266">
        <f t="shared" ref="F36:N36" si="4">F34*F35</f>
        <v>36</v>
      </c>
      <c r="G36" s="1266">
        <f t="shared" si="4"/>
        <v>12</v>
      </c>
      <c r="H36" s="1266">
        <f t="shared" si="4"/>
        <v>36</v>
      </c>
      <c r="I36" s="1266">
        <f t="shared" si="4"/>
        <v>12</v>
      </c>
      <c r="J36" s="1266">
        <f t="shared" si="4"/>
        <v>36</v>
      </c>
      <c r="K36" s="1266">
        <f t="shared" si="4"/>
        <v>12</v>
      </c>
      <c r="L36" s="1266">
        <f t="shared" si="4"/>
        <v>36</v>
      </c>
      <c r="M36" s="1266">
        <f t="shared" si="4"/>
        <v>132</v>
      </c>
      <c r="N36" s="1266">
        <f t="shared" si="4"/>
        <v>396</v>
      </c>
      <c r="T36" s="25"/>
      <c r="U36" s="25"/>
      <c r="V36" s="25"/>
    </row>
    <row r="37" spans="2:22" x14ac:dyDescent="0.3">
      <c r="B37" s="4492"/>
      <c r="C37" s="1397" t="s">
        <v>266</v>
      </c>
      <c r="D37" s="1398"/>
      <c r="E37" s="1398">
        <v>5</v>
      </c>
      <c r="F37" s="1398">
        <v>2</v>
      </c>
      <c r="G37" s="1398">
        <v>5</v>
      </c>
      <c r="H37" s="1398">
        <v>2</v>
      </c>
      <c r="I37" s="1398">
        <v>5</v>
      </c>
      <c r="J37" s="1398">
        <v>2</v>
      </c>
      <c r="K37" s="1398">
        <v>5</v>
      </c>
      <c r="L37" s="1398">
        <v>2</v>
      </c>
      <c r="M37" s="1398">
        <v>5</v>
      </c>
      <c r="N37" s="1398">
        <v>2</v>
      </c>
    </row>
    <row r="38" spans="2:22" x14ac:dyDescent="0.3">
      <c r="B38" s="4492"/>
      <c r="C38" s="1397" t="s">
        <v>267</v>
      </c>
      <c r="D38" s="1398"/>
      <c r="E38" s="1399">
        <f>(E30+E33+E36)/E37</f>
        <v>36</v>
      </c>
      <c r="F38" s="1399">
        <f t="shared" ref="F38:N38" si="5">(F30+F33+F36)/F37</f>
        <v>66</v>
      </c>
      <c r="G38" s="1399">
        <f t="shared" si="5"/>
        <v>37.200000000000003</v>
      </c>
      <c r="H38" s="1399">
        <f t="shared" si="5"/>
        <v>66</v>
      </c>
      <c r="I38" s="1399">
        <f t="shared" si="5"/>
        <v>36</v>
      </c>
      <c r="J38" s="1399">
        <f t="shared" si="5"/>
        <v>66</v>
      </c>
      <c r="K38" s="1399">
        <f t="shared" si="5"/>
        <v>36.4</v>
      </c>
      <c r="L38" s="1399">
        <f t="shared" si="5"/>
        <v>66</v>
      </c>
      <c r="M38" s="1399">
        <f t="shared" si="5"/>
        <v>400.4</v>
      </c>
      <c r="N38" s="1399">
        <f t="shared" si="5"/>
        <v>726</v>
      </c>
    </row>
    <row r="39" spans="2:22" x14ac:dyDescent="0.3">
      <c r="B39" s="4492" t="s">
        <v>353</v>
      </c>
      <c r="C39" s="4492" t="s">
        <v>258</v>
      </c>
      <c r="D39" s="1266" t="s">
        <v>259</v>
      </c>
      <c r="E39" s="1266">
        <v>7</v>
      </c>
      <c r="F39" s="1266">
        <v>13</v>
      </c>
      <c r="G39" s="1266">
        <v>8</v>
      </c>
      <c r="H39" s="1266">
        <v>14</v>
      </c>
      <c r="I39" s="1266">
        <v>7</v>
      </c>
      <c r="J39" s="1266">
        <v>14</v>
      </c>
      <c r="K39" s="1268">
        <f>(E39+G39+I39)/3</f>
        <v>7.333333333333333</v>
      </c>
      <c r="L39" s="1268">
        <f t="shared" ref="K39:L44" si="6">(F39+H39+J39)/3</f>
        <v>13.666666666666666</v>
      </c>
      <c r="M39" s="1268">
        <f>(K39*11)</f>
        <v>80.666666666666657</v>
      </c>
      <c r="N39" s="1268">
        <f>(L39*11)</f>
        <v>150.33333333333331</v>
      </c>
    </row>
    <row r="40" spans="2:22" x14ac:dyDescent="0.3">
      <c r="B40" s="4492"/>
      <c r="C40" s="4492"/>
      <c r="D40" s="1266" t="s">
        <v>260</v>
      </c>
      <c r="E40" s="1266">
        <v>6</v>
      </c>
      <c r="F40" s="1266">
        <v>6</v>
      </c>
      <c r="G40" s="1266">
        <v>6</v>
      </c>
      <c r="H40" s="1266">
        <v>6</v>
      </c>
      <c r="I40" s="1266">
        <v>6</v>
      </c>
      <c r="J40" s="1266">
        <v>6</v>
      </c>
      <c r="K40" s="1266">
        <f t="shared" si="6"/>
        <v>6</v>
      </c>
      <c r="L40" s="1266">
        <f t="shared" si="6"/>
        <v>6</v>
      </c>
      <c r="M40" s="1266">
        <f>+K40</f>
        <v>6</v>
      </c>
      <c r="N40" s="1266">
        <f>+L40</f>
        <v>6</v>
      </c>
    </row>
    <row r="41" spans="2:22" x14ac:dyDescent="0.3">
      <c r="B41" s="4492"/>
      <c r="C41" s="4492"/>
      <c r="D41" s="1266" t="s">
        <v>261</v>
      </c>
      <c r="E41" s="1266">
        <f t="shared" ref="E41:J41" si="7">E39*E40</f>
        <v>42</v>
      </c>
      <c r="F41" s="1266">
        <f t="shared" si="7"/>
        <v>78</v>
      </c>
      <c r="G41" s="1266">
        <f t="shared" si="7"/>
        <v>48</v>
      </c>
      <c r="H41" s="1266">
        <f t="shared" si="7"/>
        <v>84</v>
      </c>
      <c r="I41" s="1266">
        <f t="shared" si="7"/>
        <v>42</v>
      </c>
      <c r="J41" s="1266">
        <f t="shared" si="7"/>
        <v>84</v>
      </c>
      <c r="K41" s="1266">
        <f t="shared" si="6"/>
        <v>44</v>
      </c>
      <c r="L41" s="1266">
        <f t="shared" si="6"/>
        <v>82</v>
      </c>
      <c r="M41" s="1266">
        <f>M39*M40</f>
        <v>483.99999999999994</v>
      </c>
      <c r="N41" s="1266">
        <f>N39*N40</f>
        <v>901.99999999999989</v>
      </c>
    </row>
    <row r="42" spans="2:22" x14ac:dyDescent="0.3">
      <c r="B42" s="4492"/>
      <c r="C42" s="4492" t="s">
        <v>262</v>
      </c>
      <c r="D42" s="1266" t="s">
        <v>259</v>
      </c>
      <c r="E42" s="1266">
        <v>6</v>
      </c>
      <c r="F42" s="1266">
        <v>10</v>
      </c>
      <c r="G42" s="1266">
        <v>6</v>
      </c>
      <c r="H42" s="1266">
        <v>10</v>
      </c>
      <c r="I42" s="1266">
        <v>5</v>
      </c>
      <c r="J42" s="1268">
        <v>10</v>
      </c>
      <c r="K42" s="1268">
        <f t="shared" si="6"/>
        <v>5.666666666666667</v>
      </c>
      <c r="L42" s="1268">
        <f t="shared" si="6"/>
        <v>10</v>
      </c>
      <c r="M42" s="1268">
        <f>(K42*11)</f>
        <v>62.333333333333336</v>
      </c>
      <c r="N42" s="1268">
        <f>(L42*11)</f>
        <v>110</v>
      </c>
    </row>
    <row r="43" spans="2:22" x14ac:dyDescent="0.3">
      <c r="B43" s="4492"/>
      <c r="C43" s="4492"/>
      <c r="D43" s="1266" t="s">
        <v>260</v>
      </c>
      <c r="E43" s="1266">
        <v>6</v>
      </c>
      <c r="F43" s="1266">
        <v>6</v>
      </c>
      <c r="G43" s="1266">
        <v>6</v>
      </c>
      <c r="H43" s="1266">
        <v>6</v>
      </c>
      <c r="I43" s="1266">
        <v>6</v>
      </c>
      <c r="J43" s="1266">
        <v>6</v>
      </c>
      <c r="K43" s="1266">
        <f t="shared" si="6"/>
        <v>6</v>
      </c>
      <c r="L43" s="1266">
        <f t="shared" si="6"/>
        <v>6</v>
      </c>
      <c r="M43" s="1266">
        <f>+K43</f>
        <v>6</v>
      </c>
      <c r="N43" s="1266">
        <f>+L43</f>
        <v>6</v>
      </c>
    </row>
    <row r="44" spans="2:22" x14ac:dyDescent="0.3">
      <c r="B44" s="4492"/>
      <c r="C44" s="4492"/>
      <c r="D44" s="1266" t="s">
        <v>261</v>
      </c>
      <c r="E44" s="1266">
        <f t="shared" ref="E44:J44" si="8">E42*E43</f>
        <v>36</v>
      </c>
      <c r="F44" s="1266">
        <f t="shared" si="8"/>
        <v>60</v>
      </c>
      <c r="G44" s="1266">
        <f t="shared" si="8"/>
        <v>36</v>
      </c>
      <c r="H44" s="1266">
        <f t="shared" si="8"/>
        <v>60</v>
      </c>
      <c r="I44" s="1266">
        <f t="shared" si="8"/>
        <v>30</v>
      </c>
      <c r="J44" s="1266">
        <f t="shared" si="8"/>
        <v>60</v>
      </c>
      <c r="K44" s="1266">
        <f t="shared" si="6"/>
        <v>34</v>
      </c>
      <c r="L44" s="1266">
        <f t="shared" si="6"/>
        <v>60</v>
      </c>
      <c r="M44" s="1266">
        <f>M42*M43</f>
        <v>374</v>
      </c>
      <c r="N44" s="1266">
        <f>N42*N43</f>
        <v>660</v>
      </c>
    </row>
    <row r="45" spans="2:22" x14ac:dyDescent="0.3">
      <c r="B45" s="4492"/>
      <c r="C45" s="4505" t="s">
        <v>521</v>
      </c>
      <c r="D45" s="1266" t="s">
        <v>259</v>
      </c>
      <c r="E45" s="1266">
        <v>0</v>
      </c>
      <c r="F45" s="1266"/>
      <c r="G45" s="1266">
        <v>0</v>
      </c>
      <c r="H45" s="1266"/>
      <c r="I45" s="1266">
        <v>0</v>
      </c>
      <c r="J45" s="1266"/>
      <c r="K45" s="1266">
        <f>(E45+G45+I45)/3</f>
        <v>0</v>
      </c>
      <c r="L45" s="1266"/>
      <c r="M45" s="1266">
        <f>(K45*11)</f>
        <v>0</v>
      </c>
      <c r="N45" s="1266"/>
    </row>
    <row r="46" spans="2:22" x14ac:dyDescent="0.3">
      <c r="B46" s="4492"/>
      <c r="C46" s="4505"/>
      <c r="D46" s="1266" t="s">
        <v>260</v>
      </c>
      <c r="E46" s="1266">
        <v>0</v>
      </c>
      <c r="F46" s="1266"/>
      <c r="G46" s="1266">
        <v>0</v>
      </c>
      <c r="H46" s="1266"/>
      <c r="I46" s="1266">
        <v>0</v>
      </c>
      <c r="J46" s="1266"/>
      <c r="K46" s="1266">
        <f>(E46+G46+I46)/3</f>
        <v>0</v>
      </c>
      <c r="L46" s="1266"/>
      <c r="M46" s="1266">
        <f>+K46</f>
        <v>0</v>
      </c>
      <c r="N46" s="1266"/>
    </row>
    <row r="47" spans="2:22" x14ac:dyDescent="0.3">
      <c r="B47" s="4492"/>
      <c r="C47" s="4505"/>
      <c r="D47" s="1266" t="s">
        <v>261</v>
      </c>
      <c r="E47" s="1266">
        <f>E45*E46</f>
        <v>0</v>
      </c>
      <c r="F47" s="1266"/>
      <c r="G47" s="1266">
        <f>G45*G46</f>
        <v>0</v>
      </c>
      <c r="H47" s="1266"/>
      <c r="I47" s="1266">
        <f>I45*I46</f>
        <v>0</v>
      </c>
      <c r="J47" s="1266"/>
      <c r="K47" s="1266">
        <f>(E47+G47+I47)/3</f>
        <v>0</v>
      </c>
      <c r="L47" s="1266"/>
      <c r="M47" s="1266">
        <f>M45*M46</f>
        <v>0</v>
      </c>
      <c r="N47" s="1266"/>
    </row>
    <row r="48" spans="2:22" x14ac:dyDescent="0.3">
      <c r="B48" s="4492"/>
      <c r="C48" s="1397" t="s">
        <v>354</v>
      </c>
      <c r="D48" s="1398"/>
      <c r="E48" s="1398">
        <v>1</v>
      </c>
      <c r="F48" s="1398">
        <v>3</v>
      </c>
      <c r="G48" s="1398">
        <v>1</v>
      </c>
      <c r="H48" s="1398">
        <v>3</v>
      </c>
      <c r="I48" s="1398">
        <v>1</v>
      </c>
      <c r="J48" s="1398">
        <v>3</v>
      </c>
      <c r="K48" s="1398">
        <v>1</v>
      </c>
      <c r="L48" s="1398">
        <v>3</v>
      </c>
      <c r="M48" s="1398">
        <v>1</v>
      </c>
      <c r="N48" s="1398">
        <v>3</v>
      </c>
    </row>
    <row r="49" spans="2:22" x14ac:dyDescent="0.3">
      <c r="B49" s="4492"/>
      <c r="C49" s="1397" t="s">
        <v>355</v>
      </c>
      <c r="D49" s="1398"/>
      <c r="E49" s="1399">
        <f>(E41+E44+E47)/E48</f>
        <v>78</v>
      </c>
      <c r="F49" s="1399">
        <f>(F44+F41)/F48</f>
        <v>46</v>
      </c>
      <c r="G49" s="1399">
        <f>(G41+G44+G47)/G48</f>
        <v>84</v>
      </c>
      <c r="H49" s="1399">
        <f>(H44+H41)/H48</f>
        <v>48</v>
      </c>
      <c r="I49" s="1399">
        <f>(I41+I44+I47)/I48</f>
        <v>72</v>
      </c>
      <c r="J49" s="1399">
        <f>(J44+J41)/J48</f>
        <v>48</v>
      </c>
      <c r="K49" s="1399">
        <f>(K41+K44+K47)/K48</f>
        <v>78</v>
      </c>
      <c r="L49" s="1399">
        <f>(L44+L41)/L48</f>
        <v>47.333333333333336</v>
      </c>
      <c r="M49" s="1399">
        <f>(M41+M44+M47)/M48</f>
        <v>858</v>
      </c>
      <c r="N49" s="1399">
        <f>(N44+N41)/N48</f>
        <v>520.66666666666663</v>
      </c>
    </row>
    <row r="50" spans="2:22" x14ac:dyDescent="0.3">
      <c r="B50" s="4506" t="s">
        <v>375</v>
      </c>
      <c r="C50" s="4492" t="s">
        <v>258</v>
      </c>
      <c r="D50" s="1266" t="s">
        <v>259</v>
      </c>
      <c r="E50" s="1266">
        <v>16</v>
      </c>
      <c r="F50" s="1266"/>
      <c r="G50" s="1266">
        <v>14</v>
      </c>
      <c r="H50" s="1266"/>
      <c r="I50" s="1266">
        <v>15</v>
      </c>
      <c r="J50" s="1266"/>
      <c r="K50" s="1266">
        <f>(E50+G50+I50)/3</f>
        <v>15</v>
      </c>
      <c r="L50" s="1266"/>
      <c r="M50" s="1266">
        <f>(K50*11)</f>
        <v>165</v>
      </c>
      <c r="N50" s="1266"/>
    </row>
    <row r="51" spans="2:22" x14ac:dyDescent="0.3">
      <c r="B51" s="4506"/>
      <c r="C51" s="4492"/>
      <c r="D51" s="1266" t="s">
        <v>260</v>
      </c>
      <c r="E51" s="1266">
        <v>6</v>
      </c>
      <c r="F51" s="1266"/>
      <c r="G51" s="1266">
        <v>6</v>
      </c>
      <c r="H51" s="1266"/>
      <c r="I51" s="1266">
        <v>6</v>
      </c>
      <c r="J51" s="1266"/>
      <c r="K51" s="1266">
        <v>6</v>
      </c>
      <c r="L51" s="1266"/>
      <c r="M51" s="1266">
        <f>+K51</f>
        <v>6</v>
      </c>
      <c r="N51" s="1266"/>
    </row>
    <row r="52" spans="2:22" x14ac:dyDescent="0.3">
      <c r="B52" s="4506"/>
      <c r="C52" s="4492"/>
      <c r="D52" s="1266" t="s">
        <v>261</v>
      </c>
      <c r="E52" s="1266">
        <f t="shared" ref="E52:M52" si="9">E50*E51</f>
        <v>96</v>
      </c>
      <c r="F52" s="1266"/>
      <c r="G52" s="1266">
        <f t="shared" si="9"/>
        <v>84</v>
      </c>
      <c r="H52" s="1266"/>
      <c r="I52" s="1266">
        <f t="shared" si="9"/>
        <v>90</v>
      </c>
      <c r="J52" s="1266"/>
      <c r="K52" s="1266">
        <f t="shared" si="9"/>
        <v>90</v>
      </c>
      <c r="L52" s="1266"/>
      <c r="M52" s="1266">
        <f t="shared" si="9"/>
        <v>990</v>
      </c>
      <c r="N52" s="1266"/>
    </row>
    <row r="53" spans="2:22" x14ac:dyDescent="0.3">
      <c r="B53" s="4506"/>
      <c r="C53" s="4492" t="s">
        <v>262</v>
      </c>
      <c r="D53" s="1266" t="s">
        <v>259</v>
      </c>
      <c r="E53" s="1266">
        <v>0</v>
      </c>
      <c r="F53" s="1266"/>
      <c r="G53" s="1266">
        <v>0</v>
      </c>
      <c r="H53" s="1266"/>
      <c r="I53" s="1266">
        <v>0</v>
      </c>
      <c r="J53" s="1266"/>
      <c r="K53" s="1266">
        <v>0</v>
      </c>
      <c r="L53" s="1266"/>
      <c r="M53" s="1266">
        <f>(K53*11)</f>
        <v>0</v>
      </c>
      <c r="N53" s="1266"/>
    </row>
    <row r="54" spans="2:22" x14ac:dyDescent="0.3">
      <c r="B54" s="4506"/>
      <c r="C54" s="4492"/>
      <c r="D54" s="1266" t="s">
        <v>260</v>
      </c>
      <c r="E54" s="1266">
        <v>0</v>
      </c>
      <c r="F54" s="1266"/>
      <c r="G54" s="1266">
        <v>0</v>
      </c>
      <c r="H54" s="1266"/>
      <c r="I54" s="1266">
        <v>0</v>
      </c>
      <c r="J54" s="1266"/>
      <c r="K54" s="1266">
        <v>0</v>
      </c>
      <c r="L54" s="1266"/>
      <c r="M54" s="1266">
        <f>+K54</f>
        <v>0</v>
      </c>
      <c r="N54" s="1266"/>
    </row>
    <row r="55" spans="2:22" x14ac:dyDescent="0.3">
      <c r="B55" s="4506"/>
      <c r="C55" s="4492"/>
      <c r="D55" s="1266" t="s">
        <v>261</v>
      </c>
      <c r="E55" s="1266">
        <v>0</v>
      </c>
      <c r="F55" s="1266"/>
      <c r="G55" s="1266">
        <v>0</v>
      </c>
      <c r="H55" s="1266"/>
      <c r="I55" s="1266">
        <v>0</v>
      </c>
      <c r="J55" s="1266"/>
      <c r="K55" s="1266">
        <v>0</v>
      </c>
      <c r="L55" s="1266"/>
      <c r="M55" s="1266">
        <f t="shared" ref="M55" si="10">M53*M54</f>
        <v>0</v>
      </c>
      <c r="N55" s="1266"/>
    </row>
    <row r="56" spans="2:22" x14ac:dyDescent="0.3">
      <c r="B56" s="4506"/>
      <c r="C56" s="4505" t="s">
        <v>521</v>
      </c>
      <c r="D56" s="1266" t="s">
        <v>259</v>
      </c>
      <c r="E56" s="1266">
        <v>0</v>
      </c>
      <c r="F56" s="1266"/>
      <c r="G56" s="1266">
        <v>0</v>
      </c>
      <c r="H56" s="1266"/>
      <c r="I56" s="1266">
        <v>0</v>
      </c>
      <c r="J56" s="1266"/>
      <c r="K56" s="1266">
        <v>0</v>
      </c>
      <c r="L56" s="1266"/>
      <c r="M56" s="1266">
        <f>(K56*11)</f>
        <v>0</v>
      </c>
      <c r="N56" s="1266"/>
    </row>
    <row r="57" spans="2:22" x14ac:dyDescent="0.3">
      <c r="B57" s="4506"/>
      <c r="C57" s="4505"/>
      <c r="D57" s="1266" t="s">
        <v>260</v>
      </c>
      <c r="E57" s="1266">
        <v>0</v>
      </c>
      <c r="F57" s="1266"/>
      <c r="G57" s="1266">
        <v>0</v>
      </c>
      <c r="H57" s="1266"/>
      <c r="I57" s="1266">
        <v>0</v>
      </c>
      <c r="J57" s="1266"/>
      <c r="K57" s="1266">
        <v>0</v>
      </c>
      <c r="L57" s="1266"/>
      <c r="M57" s="1266">
        <f>+K57</f>
        <v>0</v>
      </c>
      <c r="N57" s="1266"/>
    </row>
    <row r="58" spans="2:22" x14ac:dyDescent="0.3">
      <c r="B58" s="4506"/>
      <c r="C58" s="4505"/>
      <c r="D58" s="1266" t="s">
        <v>261</v>
      </c>
      <c r="E58" s="1266">
        <f>E56*E57</f>
        <v>0</v>
      </c>
      <c r="F58" s="1266"/>
      <c r="G58" s="1266">
        <f>G56*G57</f>
        <v>0</v>
      </c>
      <c r="H58" s="1266"/>
      <c r="I58" s="1266">
        <f>I56*I57</f>
        <v>0</v>
      </c>
      <c r="J58" s="1266"/>
      <c r="K58" s="1266">
        <f>(E58+G58+I58)/3</f>
        <v>0</v>
      </c>
      <c r="L58" s="1266"/>
      <c r="M58" s="1266">
        <f>M56*M57</f>
        <v>0</v>
      </c>
      <c r="N58" s="1266"/>
    </row>
    <row r="59" spans="2:22" x14ac:dyDescent="0.3">
      <c r="B59" s="4506"/>
      <c r="C59" s="1397" t="s">
        <v>356</v>
      </c>
      <c r="D59" s="1398"/>
      <c r="E59" s="1398">
        <v>1</v>
      </c>
      <c r="F59" s="1398"/>
      <c r="G59" s="1398">
        <v>1</v>
      </c>
      <c r="H59" s="1398"/>
      <c r="I59" s="1398">
        <v>1</v>
      </c>
      <c r="J59" s="1398"/>
      <c r="K59" s="1398">
        <v>1</v>
      </c>
      <c r="L59" s="1398"/>
      <c r="M59" s="1398">
        <v>1</v>
      </c>
      <c r="N59" s="1398"/>
    </row>
    <row r="60" spans="2:22" x14ac:dyDescent="0.3">
      <c r="B60" s="4506"/>
      <c r="C60" s="1397" t="s">
        <v>374</v>
      </c>
      <c r="D60" s="1398"/>
      <c r="E60" s="1399">
        <f>(E52+E55+E58)/E59</f>
        <v>96</v>
      </c>
      <c r="F60" s="1399"/>
      <c r="G60" s="1399">
        <f>(G52+G55+G58)/G59</f>
        <v>84</v>
      </c>
      <c r="H60" s="1399"/>
      <c r="I60" s="1399">
        <f>(I52+I55+I58)/I59</f>
        <v>90</v>
      </c>
      <c r="J60" s="1399"/>
      <c r="K60" s="1399">
        <f>(K52+K55+K58)/K59</f>
        <v>90</v>
      </c>
      <c r="L60" s="1399"/>
      <c r="M60" s="1399">
        <f>(M52+M55+M58)/M59</f>
        <v>990</v>
      </c>
      <c r="N60" s="1399"/>
    </row>
    <row r="61" spans="2:22" x14ac:dyDescent="0.3">
      <c r="B61" s="4507" t="s">
        <v>216</v>
      </c>
      <c r="C61" s="4492" t="s">
        <v>258</v>
      </c>
      <c r="D61" s="1266" t="s">
        <v>259</v>
      </c>
      <c r="E61" s="1266">
        <v>25</v>
      </c>
      <c r="F61" s="1266"/>
      <c r="G61" s="1266">
        <v>25</v>
      </c>
      <c r="H61" s="1266"/>
      <c r="I61" s="1266">
        <v>24</v>
      </c>
      <c r="J61" s="1266"/>
      <c r="K61" s="1268">
        <f>(E61+G61+I61)/3</f>
        <v>24.666666666666668</v>
      </c>
      <c r="L61" s="1268"/>
      <c r="M61" s="1268">
        <f>(K61*11)</f>
        <v>271.33333333333337</v>
      </c>
      <c r="N61" s="1266"/>
    </row>
    <row r="62" spans="2:22" x14ac:dyDescent="0.3">
      <c r="B62" s="4507"/>
      <c r="C62" s="4492"/>
      <c r="D62" s="1266" t="s">
        <v>260</v>
      </c>
      <c r="E62" s="1266">
        <v>6</v>
      </c>
      <c r="F62" s="1266"/>
      <c r="G62" s="1266">
        <v>6</v>
      </c>
      <c r="H62" s="1266"/>
      <c r="I62" s="1266">
        <v>6</v>
      </c>
      <c r="J62" s="1266"/>
      <c r="K62" s="1266">
        <f t="shared" ref="K62:K69" si="11">(E62+G62+I62)/3</f>
        <v>6</v>
      </c>
      <c r="L62" s="1266"/>
      <c r="M62" s="1266">
        <f>+K62</f>
        <v>6</v>
      </c>
      <c r="N62" s="1266"/>
    </row>
    <row r="63" spans="2:22" x14ac:dyDescent="0.3">
      <c r="B63" s="4507"/>
      <c r="C63" s="4492"/>
      <c r="D63" s="1266" t="s">
        <v>261</v>
      </c>
      <c r="E63" s="1266">
        <f t="shared" ref="E63:I63" si="12">E61*E62</f>
        <v>150</v>
      </c>
      <c r="F63" s="1266"/>
      <c r="G63" s="1266">
        <f t="shared" si="12"/>
        <v>150</v>
      </c>
      <c r="H63" s="1266"/>
      <c r="I63" s="1266">
        <f t="shared" si="12"/>
        <v>144</v>
      </c>
      <c r="J63" s="1266"/>
      <c r="K63" s="1266">
        <f t="shared" si="11"/>
        <v>148</v>
      </c>
      <c r="L63" s="1266"/>
      <c r="M63" s="1266">
        <f>M61*M62</f>
        <v>1628.0000000000002</v>
      </c>
      <c r="N63" s="1266"/>
    </row>
    <row r="64" spans="2:22" x14ac:dyDescent="0.3">
      <c r="B64" s="4507"/>
      <c r="C64" s="4492" t="s">
        <v>262</v>
      </c>
      <c r="D64" s="1266" t="s">
        <v>259</v>
      </c>
      <c r="E64" s="1266">
        <v>3</v>
      </c>
      <c r="F64" s="1266"/>
      <c r="G64" s="1266">
        <v>4</v>
      </c>
      <c r="H64" s="1266"/>
      <c r="I64" s="1266">
        <v>3</v>
      </c>
      <c r="J64" s="1266"/>
      <c r="K64" s="1268">
        <f t="shared" si="11"/>
        <v>3.3333333333333335</v>
      </c>
      <c r="L64" s="1268"/>
      <c r="M64" s="1268">
        <f>(K64*11)</f>
        <v>36.666666666666671</v>
      </c>
      <c r="N64" s="1266"/>
      <c r="T64" s="25"/>
      <c r="U64" s="25"/>
      <c r="V64" s="25"/>
    </row>
    <row r="65" spans="2:14" x14ac:dyDescent="0.3">
      <c r="B65" s="4507"/>
      <c r="C65" s="4492"/>
      <c r="D65" s="1266" t="s">
        <v>260</v>
      </c>
      <c r="E65" s="1266">
        <v>6</v>
      </c>
      <c r="F65" s="1266"/>
      <c r="G65" s="1266">
        <v>6</v>
      </c>
      <c r="H65" s="1266"/>
      <c r="I65" s="1266">
        <v>6</v>
      </c>
      <c r="J65" s="1266"/>
      <c r="K65" s="1266">
        <f t="shared" si="11"/>
        <v>6</v>
      </c>
      <c r="L65" s="1266"/>
      <c r="M65" s="1266">
        <f>+K65</f>
        <v>6</v>
      </c>
      <c r="N65" s="1266"/>
    </row>
    <row r="66" spans="2:14" x14ac:dyDescent="0.3">
      <c r="B66" s="4507"/>
      <c r="C66" s="4492"/>
      <c r="D66" s="1266" t="s">
        <v>261</v>
      </c>
      <c r="E66" s="1266">
        <f t="shared" ref="E66:I66" si="13">E64*E65</f>
        <v>18</v>
      </c>
      <c r="F66" s="1266"/>
      <c r="G66" s="1266">
        <f t="shared" si="13"/>
        <v>24</v>
      </c>
      <c r="H66" s="1266"/>
      <c r="I66" s="1266">
        <f t="shared" si="13"/>
        <v>18</v>
      </c>
      <c r="J66" s="1266"/>
      <c r="K66" s="1266">
        <f t="shared" si="11"/>
        <v>20</v>
      </c>
      <c r="L66" s="1266"/>
      <c r="M66" s="1266">
        <f>M64*M65</f>
        <v>220.00000000000003</v>
      </c>
      <c r="N66" s="1266"/>
    </row>
    <row r="67" spans="2:14" x14ac:dyDescent="0.3">
      <c r="B67" s="4507"/>
      <c r="C67" s="4505" t="s">
        <v>521</v>
      </c>
      <c r="D67" s="1266" t="s">
        <v>259</v>
      </c>
      <c r="E67" s="1266">
        <v>6</v>
      </c>
      <c r="F67" s="1266"/>
      <c r="G67" s="1266">
        <v>4</v>
      </c>
      <c r="H67" s="1266"/>
      <c r="I67" s="1266">
        <v>5</v>
      </c>
      <c r="J67" s="1266"/>
      <c r="K67" s="1266">
        <f t="shared" si="11"/>
        <v>5</v>
      </c>
      <c r="L67" s="1266"/>
      <c r="M67" s="1266">
        <f>(K67*11)</f>
        <v>55</v>
      </c>
      <c r="N67" s="1266"/>
    </row>
    <row r="68" spans="2:14" x14ac:dyDescent="0.3">
      <c r="B68" s="4507"/>
      <c r="C68" s="4505"/>
      <c r="D68" s="1266" t="s">
        <v>260</v>
      </c>
      <c r="E68" s="1266">
        <v>12</v>
      </c>
      <c r="F68" s="1266"/>
      <c r="G68" s="1266">
        <v>12</v>
      </c>
      <c r="H68" s="1266"/>
      <c r="I68" s="1266">
        <v>12</v>
      </c>
      <c r="J68" s="1266"/>
      <c r="K68" s="1266">
        <f t="shared" si="11"/>
        <v>12</v>
      </c>
      <c r="L68" s="1266"/>
      <c r="M68" s="1266">
        <f>+K68</f>
        <v>12</v>
      </c>
      <c r="N68" s="1266"/>
    </row>
    <row r="69" spans="2:14" x14ac:dyDescent="0.3">
      <c r="B69" s="4507"/>
      <c r="C69" s="4505"/>
      <c r="D69" s="1266" t="s">
        <v>261</v>
      </c>
      <c r="E69" s="1266">
        <f>E67*E68</f>
        <v>72</v>
      </c>
      <c r="F69" s="1266"/>
      <c r="G69" s="1266">
        <f>G67*G68</f>
        <v>48</v>
      </c>
      <c r="H69" s="1266"/>
      <c r="I69" s="1266">
        <f>I67*I68</f>
        <v>60</v>
      </c>
      <c r="J69" s="1266"/>
      <c r="K69" s="1266">
        <f t="shared" si="11"/>
        <v>60</v>
      </c>
      <c r="L69" s="1266"/>
      <c r="M69" s="1266">
        <f>M67*M68</f>
        <v>660</v>
      </c>
      <c r="N69" s="1266"/>
    </row>
    <row r="70" spans="2:14" x14ac:dyDescent="0.3">
      <c r="B70" s="4507"/>
      <c r="C70" s="1397" t="s">
        <v>377</v>
      </c>
      <c r="D70" s="1398"/>
      <c r="E70" s="1398">
        <v>2</v>
      </c>
      <c r="F70" s="1398"/>
      <c r="G70" s="1398">
        <v>2</v>
      </c>
      <c r="H70" s="1398"/>
      <c r="I70" s="1398">
        <v>2</v>
      </c>
      <c r="J70" s="1398"/>
      <c r="K70" s="1398">
        <v>2</v>
      </c>
      <c r="L70" s="1398"/>
      <c r="M70" s="1398">
        <v>2</v>
      </c>
      <c r="N70" s="1398"/>
    </row>
    <row r="71" spans="2:14" x14ac:dyDescent="0.3">
      <c r="B71" s="4507"/>
      <c r="C71" s="1397" t="s">
        <v>376</v>
      </c>
      <c r="D71" s="1398"/>
      <c r="E71" s="1399">
        <f t="shared" ref="E71:K71" si="14">(E63+E66+E69)/E70</f>
        <v>120</v>
      </c>
      <c r="F71" s="1399"/>
      <c r="G71" s="1399">
        <f t="shared" si="14"/>
        <v>111</v>
      </c>
      <c r="H71" s="1399"/>
      <c r="I71" s="1399">
        <f t="shared" si="14"/>
        <v>111</v>
      </c>
      <c r="J71" s="1399"/>
      <c r="K71" s="1399">
        <f t="shared" si="14"/>
        <v>114</v>
      </c>
      <c r="L71" s="1399"/>
      <c r="M71" s="1399">
        <f>(M63+M66+M69)/M70</f>
        <v>1254</v>
      </c>
      <c r="N71" s="1399"/>
    </row>
    <row r="72" spans="2:14" x14ac:dyDescent="0.3">
      <c r="B72" s="4507" t="s">
        <v>221</v>
      </c>
      <c r="C72" s="4492" t="s">
        <v>258</v>
      </c>
      <c r="D72" s="1266" t="s">
        <v>259</v>
      </c>
      <c r="E72" s="1266">
        <v>0</v>
      </c>
      <c r="F72" s="1266"/>
      <c r="G72" s="1266">
        <v>0</v>
      </c>
      <c r="H72" s="1266"/>
      <c r="I72" s="1266">
        <v>0</v>
      </c>
      <c r="J72" s="1266"/>
      <c r="K72" s="1266">
        <f t="shared" ref="K72:K80" si="15">(E72+G72+I72)/3</f>
        <v>0</v>
      </c>
      <c r="L72" s="1266"/>
      <c r="M72" s="1266">
        <f>(K72*11)</f>
        <v>0</v>
      </c>
      <c r="N72" s="1266"/>
    </row>
    <row r="73" spans="2:14" x14ac:dyDescent="0.3">
      <c r="B73" s="4507"/>
      <c r="C73" s="4492"/>
      <c r="D73" s="1266" t="s">
        <v>260</v>
      </c>
      <c r="E73" s="1266">
        <v>0</v>
      </c>
      <c r="F73" s="1266"/>
      <c r="G73" s="1266">
        <v>0</v>
      </c>
      <c r="H73" s="1266"/>
      <c r="I73" s="1266">
        <v>0</v>
      </c>
      <c r="J73" s="1266"/>
      <c r="K73" s="1266">
        <f t="shared" si="15"/>
        <v>0</v>
      </c>
      <c r="L73" s="1266"/>
      <c r="M73" s="1266">
        <f>+K73</f>
        <v>0</v>
      </c>
      <c r="N73" s="1266"/>
    </row>
    <row r="74" spans="2:14" x14ac:dyDescent="0.3">
      <c r="B74" s="4507"/>
      <c r="C74" s="4492"/>
      <c r="D74" s="1266" t="s">
        <v>261</v>
      </c>
      <c r="E74" s="1266">
        <v>0</v>
      </c>
      <c r="F74" s="1266"/>
      <c r="G74" s="1266">
        <v>0</v>
      </c>
      <c r="H74" s="1266"/>
      <c r="I74" s="1266">
        <v>0</v>
      </c>
      <c r="J74" s="1266"/>
      <c r="K74" s="1266">
        <f t="shared" si="15"/>
        <v>0</v>
      </c>
      <c r="L74" s="1266"/>
      <c r="M74" s="1266">
        <f>M72*M73</f>
        <v>0</v>
      </c>
      <c r="N74" s="1266"/>
    </row>
    <row r="75" spans="2:14" x14ac:dyDescent="0.3">
      <c r="B75" s="4507"/>
      <c r="C75" s="4492" t="s">
        <v>262</v>
      </c>
      <c r="D75" s="1266" t="s">
        <v>259</v>
      </c>
      <c r="E75" s="1266">
        <v>0</v>
      </c>
      <c r="F75" s="1266"/>
      <c r="G75" s="1266">
        <v>0</v>
      </c>
      <c r="H75" s="1266"/>
      <c r="I75" s="1266">
        <v>0</v>
      </c>
      <c r="J75" s="1266"/>
      <c r="K75" s="1266">
        <f t="shared" si="15"/>
        <v>0</v>
      </c>
      <c r="L75" s="1266"/>
      <c r="M75" s="1266">
        <f>(K75*11)</f>
        <v>0</v>
      </c>
      <c r="N75" s="1266"/>
    </row>
    <row r="76" spans="2:14" x14ac:dyDescent="0.3">
      <c r="B76" s="4507"/>
      <c r="C76" s="4492"/>
      <c r="D76" s="1266" t="s">
        <v>260</v>
      </c>
      <c r="E76" s="1266">
        <v>0</v>
      </c>
      <c r="F76" s="1266"/>
      <c r="G76" s="1266">
        <v>0</v>
      </c>
      <c r="H76" s="1266"/>
      <c r="I76" s="1266">
        <v>0</v>
      </c>
      <c r="J76" s="1266"/>
      <c r="K76" s="1266">
        <f t="shared" si="15"/>
        <v>0</v>
      </c>
      <c r="L76" s="1266"/>
      <c r="M76" s="1266">
        <f>+K76</f>
        <v>0</v>
      </c>
      <c r="N76" s="1266"/>
    </row>
    <row r="77" spans="2:14" x14ac:dyDescent="0.3">
      <c r="B77" s="4507"/>
      <c r="C77" s="4492"/>
      <c r="D77" s="1266" t="s">
        <v>261</v>
      </c>
      <c r="E77" s="1266">
        <v>0</v>
      </c>
      <c r="F77" s="1266"/>
      <c r="G77" s="1266">
        <v>0</v>
      </c>
      <c r="H77" s="1266"/>
      <c r="I77" s="1266">
        <v>0</v>
      </c>
      <c r="J77" s="1266"/>
      <c r="K77" s="1266">
        <f t="shared" si="15"/>
        <v>0</v>
      </c>
      <c r="L77" s="1266"/>
      <c r="M77" s="1266">
        <f>M75*M76</f>
        <v>0</v>
      </c>
      <c r="N77" s="1266"/>
    </row>
    <row r="78" spans="2:14" x14ac:dyDescent="0.3">
      <c r="B78" s="4507"/>
      <c r="C78" s="4505" t="s">
        <v>521</v>
      </c>
      <c r="D78" s="1266" t="s">
        <v>259</v>
      </c>
      <c r="E78" s="1266">
        <v>0</v>
      </c>
      <c r="F78" s="1266"/>
      <c r="G78" s="1266">
        <v>0</v>
      </c>
      <c r="H78" s="1266"/>
      <c r="I78" s="1266">
        <v>0</v>
      </c>
      <c r="J78" s="1266"/>
      <c r="K78" s="1266">
        <f t="shared" si="15"/>
        <v>0</v>
      </c>
      <c r="L78" s="1266"/>
      <c r="M78" s="1266">
        <f>(K78*11)</f>
        <v>0</v>
      </c>
      <c r="N78" s="1266"/>
    </row>
    <row r="79" spans="2:14" x14ac:dyDescent="0.3">
      <c r="B79" s="4507"/>
      <c r="C79" s="4505"/>
      <c r="D79" s="1266" t="s">
        <v>260</v>
      </c>
      <c r="E79" s="1266">
        <v>0</v>
      </c>
      <c r="F79" s="1266"/>
      <c r="G79" s="1266">
        <v>0</v>
      </c>
      <c r="H79" s="1266"/>
      <c r="I79" s="1266">
        <v>0</v>
      </c>
      <c r="J79" s="1266"/>
      <c r="K79" s="1266">
        <f t="shared" si="15"/>
        <v>0</v>
      </c>
      <c r="L79" s="1266"/>
      <c r="M79" s="1266">
        <f>+K79</f>
        <v>0</v>
      </c>
      <c r="N79" s="1266"/>
    </row>
    <row r="80" spans="2:14" x14ac:dyDescent="0.3">
      <c r="B80" s="4507"/>
      <c r="C80" s="4505"/>
      <c r="D80" s="1266" t="s">
        <v>261</v>
      </c>
      <c r="E80" s="1266">
        <v>0</v>
      </c>
      <c r="F80" s="1266"/>
      <c r="G80" s="1266">
        <v>0</v>
      </c>
      <c r="H80" s="1266"/>
      <c r="I80" s="1266">
        <v>0</v>
      </c>
      <c r="J80" s="1266"/>
      <c r="K80" s="1266">
        <f t="shared" si="15"/>
        <v>0</v>
      </c>
      <c r="L80" s="1266"/>
      <c r="M80" s="1266">
        <f>M78*M79</f>
        <v>0</v>
      </c>
      <c r="N80" s="1266"/>
    </row>
    <row r="81" spans="2:22" x14ac:dyDescent="0.3">
      <c r="B81" s="4507"/>
      <c r="C81" s="1397" t="s">
        <v>379</v>
      </c>
      <c r="D81" s="1398"/>
      <c r="E81" s="1398">
        <v>0</v>
      </c>
      <c r="F81" s="1398"/>
      <c r="G81" s="1398">
        <v>0</v>
      </c>
      <c r="H81" s="1398"/>
      <c r="I81" s="1398">
        <v>0</v>
      </c>
      <c r="J81" s="1398"/>
      <c r="K81" s="1398">
        <v>0</v>
      </c>
      <c r="L81" s="1398"/>
      <c r="M81" s="1398">
        <v>0</v>
      </c>
      <c r="N81" s="1398"/>
    </row>
    <row r="82" spans="2:22" x14ac:dyDescent="0.3">
      <c r="B82" s="4507"/>
      <c r="C82" s="1397" t="s">
        <v>378</v>
      </c>
      <c r="D82" s="1398"/>
      <c r="E82" s="1399">
        <v>0</v>
      </c>
      <c r="F82" s="1399"/>
      <c r="G82" s="1399">
        <v>0</v>
      </c>
      <c r="H82" s="1399"/>
      <c r="I82" s="1399">
        <v>0</v>
      </c>
      <c r="J82" s="1399"/>
      <c r="K82" s="1399">
        <v>0</v>
      </c>
      <c r="L82" s="1399"/>
      <c r="M82" s="1399">
        <v>0</v>
      </c>
      <c r="N82" s="1399"/>
    </row>
    <row r="83" spans="2:22" x14ac:dyDescent="0.3">
      <c r="B83" s="4507" t="s">
        <v>357</v>
      </c>
      <c r="C83" s="4492" t="s">
        <v>258</v>
      </c>
      <c r="D83" s="1266" t="s">
        <v>259</v>
      </c>
      <c r="E83" s="1266">
        <v>48</v>
      </c>
      <c r="F83" s="1266"/>
      <c r="G83" s="1266">
        <v>48</v>
      </c>
      <c r="H83" s="1266"/>
      <c r="I83" s="1266">
        <v>49</v>
      </c>
      <c r="J83" s="1266"/>
      <c r="K83" s="1268">
        <f t="shared" ref="K83:K91" si="16">(E83+G83+I83)/3</f>
        <v>48.333333333333336</v>
      </c>
      <c r="L83" s="1268"/>
      <c r="M83" s="1268">
        <f>(K83*11)</f>
        <v>531.66666666666674</v>
      </c>
      <c r="N83" s="1266"/>
    </row>
    <row r="84" spans="2:22" x14ac:dyDescent="0.3">
      <c r="B84" s="4507"/>
      <c r="C84" s="4492"/>
      <c r="D84" s="1266" t="s">
        <v>260</v>
      </c>
      <c r="E84" s="1266">
        <v>6</v>
      </c>
      <c r="F84" s="1266"/>
      <c r="G84" s="1266">
        <v>6</v>
      </c>
      <c r="H84" s="1266"/>
      <c r="I84" s="1266">
        <v>6</v>
      </c>
      <c r="J84" s="1266"/>
      <c r="K84" s="1266">
        <f t="shared" si="16"/>
        <v>6</v>
      </c>
      <c r="L84" s="1266"/>
      <c r="M84" s="1266">
        <f>+K84</f>
        <v>6</v>
      </c>
      <c r="N84" s="1266"/>
    </row>
    <row r="85" spans="2:22" x14ac:dyDescent="0.3">
      <c r="B85" s="4507"/>
      <c r="C85" s="4492"/>
      <c r="D85" s="1266" t="s">
        <v>261</v>
      </c>
      <c r="E85" s="1266">
        <f>E83*E84</f>
        <v>288</v>
      </c>
      <c r="F85" s="1266"/>
      <c r="G85" s="1266">
        <f>G83*G84</f>
        <v>288</v>
      </c>
      <c r="H85" s="1266"/>
      <c r="I85" s="1266">
        <f>I83*I84</f>
        <v>294</v>
      </c>
      <c r="J85" s="1266"/>
      <c r="K85" s="1266">
        <f t="shared" si="16"/>
        <v>290</v>
      </c>
      <c r="L85" s="1266"/>
      <c r="M85" s="1266">
        <f>M83*M84</f>
        <v>3190.0000000000005</v>
      </c>
      <c r="N85" s="1266"/>
    </row>
    <row r="86" spans="2:22" x14ac:dyDescent="0.3">
      <c r="B86" s="4507"/>
      <c r="C86" s="4492" t="s">
        <v>262</v>
      </c>
      <c r="D86" s="1266" t="s">
        <v>259</v>
      </c>
      <c r="E86" s="1266">
        <v>33</v>
      </c>
      <c r="F86" s="1266"/>
      <c r="G86" s="1266">
        <v>32</v>
      </c>
      <c r="H86" s="1266"/>
      <c r="I86" s="1266">
        <v>32</v>
      </c>
      <c r="J86" s="1266"/>
      <c r="K86" s="1268">
        <f t="shared" si="16"/>
        <v>32.333333333333336</v>
      </c>
      <c r="L86" s="1268"/>
      <c r="M86" s="1268">
        <f>(K86*11)</f>
        <v>355.66666666666669</v>
      </c>
      <c r="N86" s="1266"/>
    </row>
    <row r="87" spans="2:22" x14ac:dyDescent="0.3">
      <c r="B87" s="4507"/>
      <c r="C87" s="4492"/>
      <c r="D87" s="1266" t="s">
        <v>260</v>
      </c>
      <c r="E87" s="1266">
        <v>6</v>
      </c>
      <c r="F87" s="1266"/>
      <c r="G87" s="1266">
        <v>6</v>
      </c>
      <c r="H87" s="1266"/>
      <c r="I87" s="1266">
        <v>6</v>
      </c>
      <c r="J87" s="1266"/>
      <c r="K87" s="1266">
        <f t="shared" si="16"/>
        <v>6</v>
      </c>
      <c r="L87" s="1266"/>
      <c r="M87" s="1266">
        <f>+K87</f>
        <v>6</v>
      </c>
      <c r="N87" s="1266"/>
    </row>
    <row r="88" spans="2:22" x14ac:dyDescent="0.3">
      <c r="B88" s="4507"/>
      <c r="C88" s="4492"/>
      <c r="D88" s="1266" t="s">
        <v>261</v>
      </c>
      <c r="E88" s="1266">
        <f>E86*E87</f>
        <v>198</v>
      </c>
      <c r="F88" s="1266"/>
      <c r="G88" s="1266">
        <f>G86*G87</f>
        <v>192</v>
      </c>
      <c r="H88" s="1266"/>
      <c r="I88" s="1266">
        <f>I86*I87</f>
        <v>192</v>
      </c>
      <c r="J88" s="1266"/>
      <c r="K88" s="1266">
        <f t="shared" si="16"/>
        <v>194</v>
      </c>
      <c r="L88" s="1266"/>
      <c r="M88" s="1266">
        <f>M86*M87</f>
        <v>2134</v>
      </c>
      <c r="N88" s="1266"/>
    </row>
    <row r="89" spans="2:22" x14ac:dyDescent="0.3">
      <c r="B89" s="4507"/>
      <c r="C89" s="4505" t="s">
        <v>521</v>
      </c>
      <c r="D89" s="1266" t="s">
        <v>259</v>
      </c>
      <c r="E89" s="1266">
        <v>0</v>
      </c>
      <c r="F89" s="1266"/>
      <c r="G89" s="1266">
        <v>0</v>
      </c>
      <c r="H89" s="1266"/>
      <c r="I89" s="1266">
        <v>0</v>
      </c>
      <c r="J89" s="1266"/>
      <c r="K89" s="1266">
        <f t="shared" si="16"/>
        <v>0</v>
      </c>
      <c r="L89" s="1266"/>
      <c r="M89" s="1266">
        <f>(K89*11)</f>
        <v>0</v>
      </c>
      <c r="N89" s="1266"/>
    </row>
    <row r="90" spans="2:22" x14ac:dyDescent="0.3">
      <c r="B90" s="4507"/>
      <c r="C90" s="4505"/>
      <c r="D90" s="1266" t="s">
        <v>260</v>
      </c>
      <c r="E90" s="1266">
        <v>0</v>
      </c>
      <c r="F90" s="1266"/>
      <c r="G90" s="1266">
        <v>0</v>
      </c>
      <c r="H90" s="1266"/>
      <c r="I90" s="1266">
        <v>0</v>
      </c>
      <c r="J90" s="1266"/>
      <c r="K90" s="1266">
        <f t="shared" si="16"/>
        <v>0</v>
      </c>
      <c r="L90" s="1266"/>
      <c r="M90" s="1266">
        <f>+K90</f>
        <v>0</v>
      </c>
      <c r="N90" s="1266"/>
    </row>
    <row r="91" spans="2:22" x14ac:dyDescent="0.3">
      <c r="B91" s="4507"/>
      <c r="C91" s="4505"/>
      <c r="D91" s="1266" t="s">
        <v>261</v>
      </c>
      <c r="E91" s="1266">
        <f>E89*E90</f>
        <v>0</v>
      </c>
      <c r="F91" s="1266"/>
      <c r="G91" s="1266">
        <f>G89*G90</f>
        <v>0</v>
      </c>
      <c r="H91" s="1266"/>
      <c r="I91" s="1266">
        <f>I89*I90</f>
        <v>0</v>
      </c>
      <c r="J91" s="1266"/>
      <c r="K91" s="1266">
        <f t="shared" si="16"/>
        <v>0</v>
      </c>
      <c r="L91" s="1266"/>
      <c r="M91" s="1266">
        <f>M89*M90</f>
        <v>0</v>
      </c>
      <c r="N91" s="1266"/>
    </row>
    <row r="92" spans="2:22" x14ac:dyDescent="0.3">
      <c r="B92" s="4507"/>
      <c r="C92" s="1397" t="s">
        <v>361</v>
      </c>
      <c r="D92" s="1398"/>
      <c r="E92" s="1398">
        <v>10</v>
      </c>
      <c r="F92" s="1398"/>
      <c r="G92" s="1398">
        <v>10</v>
      </c>
      <c r="H92" s="1398"/>
      <c r="I92" s="1398">
        <v>10</v>
      </c>
      <c r="J92" s="1398"/>
      <c r="K92" s="1398">
        <v>10</v>
      </c>
      <c r="L92" s="1398"/>
      <c r="M92" s="1398">
        <v>10</v>
      </c>
      <c r="N92" s="1398"/>
      <c r="T92" s="25"/>
      <c r="U92" s="25"/>
      <c r="V92" s="25"/>
    </row>
    <row r="93" spans="2:22" x14ac:dyDescent="0.3">
      <c r="B93" s="4507"/>
      <c r="C93" s="1397" t="s">
        <v>380</v>
      </c>
      <c r="D93" s="1398"/>
      <c r="E93" s="1399">
        <f>(E85+E88+E91)/E92</f>
        <v>48.6</v>
      </c>
      <c r="F93" s="1399"/>
      <c r="G93" s="1399">
        <f>(G85+G88+G91)/G92</f>
        <v>48</v>
      </c>
      <c r="H93" s="1399"/>
      <c r="I93" s="1399">
        <f>(I85+I88+I91)/I92</f>
        <v>48.6</v>
      </c>
      <c r="J93" s="1399"/>
      <c r="K93" s="1399">
        <f>(K85+K88+K91)/K92</f>
        <v>48.4</v>
      </c>
      <c r="L93" s="1399"/>
      <c r="M93" s="1399">
        <f>(M85+M88+M91)/M92</f>
        <v>532.4</v>
      </c>
      <c r="N93" s="1399"/>
    </row>
    <row r="95" spans="2:22" x14ac:dyDescent="0.3">
      <c r="B95" s="1263" t="s">
        <v>268</v>
      </c>
    </row>
    <row r="96" spans="2:22" ht="16.5" customHeight="1" x14ac:dyDescent="0.3">
      <c r="B96" s="4496" t="s">
        <v>246</v>
      </c>
      <c r="C96" s="4499" t="s">
        <v>247</v>
      </c>
      <c r="D96" s="4499" t="s">
        <v>248</v>
      </c>
      <c r="E96" s="4502" t="s">
        <v>249</v>
      </c>
      <c r="F96" s="4502"/>
      <c r="G96" s="4502"/>
      <c r="H96" s="4502"/>
      <c r="I96" s="4502"/>
      <c r="J96" s="4502"/>
      <c r="K96" s="4502"/>
      <c r="L96" s="4502"/>
      <c r="M96" s="4502"/>
      <c r="N96" s="4503"/>
    </row>
    <row r="97" spans="2:14" x14ac:dyDescent="0.3">
      <c r="B97" s="4497"/>
      <c r="C97" s="4500"/>
      <c r="D97" s="4500"/>
      <c r="E97" s="4148" t="s">
        <v>250</v>
      </c>
      <c r="F97" s="4148"/>
      <c r="G97" s="4148" t="s">
        <v>251</v>
      </c>
      <c r="H97" s="4148"/>
      <c r="I97" s="4148" t="s">
        <v>252</v>
      </c>
      <c r="J97" s="4148"/>
      <c r="K97" s="4148" t="s">
        <v>253</v>
      </c>
      <c r="L97" s="4148"/>
      <c r="M97" s="4148" t="s">
        <v>254</v>
      </c>
      <c r="N97" s="4504"/>
    </row>
    <row r="98" spans="2:14" x14ac:dyDescent="0.3">
      <c r="B98" s="4498"/>
      <c r="C98" s="4501"/>
      <c r="D98" s="4501"/>
      <c r="E98" s="1272" t="s">
        <v>255</v>
      </c>
      <c r="F98" s="1272" t="s">
        <v>256</v>
      </c>
      <c r="G98" s="1272" t="s">
        <v>255</v>
      </c>
      <c r="H98" s="1272" t="s">
        <v>256</v>
      </c>
      <c r="I98" s="1272" t="s">
        <v>255</v>
      </c>
      <c r="J98" s="1272" t="s">
        <v>256</v>
      </c>
      <c r="K98" s="1272" t="s">
        <v>255</v>
      </c>
      <c r="L98" s="1272" t="s">
        <v>256</v>
      </c>
      <c r="M98" s="1272" t="s">
        <v>255</v>
      </c>
      <c r="N98" s="1273" t="s">
        <v>256</v>
      </c>
    </row>
    <row r="99" spans="2:14" x14ac:dyDescent="0.3">
      <c r="B99" s="4492" t="s">
        <v>257</v>
      </c>
      <c r="C99" s="4492" t="s">
        <v>258</v>
      </c>
      <c r="D99" s="1266" t="s">
        <v>259</v>
      </c>
      <c r="E99" s="1266">
        <v>0</v>
      </c>
      <c r="F99" s="1266"/>
      <c r="G99" s="1266">
        <v>0</v>
      </c>
      <c r="H99" s="1266"/>
      <c r="I99" s="1266">
        <v>0</v>
      </c>
      <c r="J99" s="1266"/>
      <c r="K99" s="1266">
        <f t="shared" ref="K99:K107" si="17">(E99+G99+I99)/3</f>
        <v>0</v>
      </c>
      <c r="L99" s="1266"/>
      <c r="M99" s="1266">
        <f>(K99*11)</f>
        <v>0</v>
      </c>
      <c r="N99" s="1266"/>
    </row>
    <row r="100" spans="2:14" x14ac:dyDescent="0.3">
      <c r="B100" s="4492"/>
      <c r="C100" s="4492"/>
      <c r="D100" s="1266" t="s">
        <v>260</v>
      </c>
      <c r="E100" s="1266">
        <v>0</v>
      </c>
      <c r="F100" s="1266"/>
      <c r="G100" s="1266">
        <v>0</v>
      </c>
      <c r="H100" s="1266"/>
      <c r="I100" s="1266">
        <v>0</v>
      </c>
      <c r="J100" s="1266"/>
      <c r="K100" s="1266">
        <f t="shared" si="17"/>
        <v>0</v>
      </c>
      <c r="L100" s="1266"/>
      <c r="M100" s="1266">
        <f>+K100</f>
        <v>0</v>
      </c>
      <c r="N100" s="1266"/>
    </row>
    <row r="101" spans="2:14" x14ac:dyDescent="0.3">
      <c r="B101" s="4492"/>
      <c r="C101" s="4492"/>
      <c r="D101" s="1266" t="s">
        <v>261</v>
      </c>
      <c r="E101" s="1266">
        <f>E99*E100</f>
        <v>0</v>
      </c>
      <c r="F101" s="1266"/>
      <c r="G101" s="1266">
        <f>G99*G100</f>
        <v>0</v>
      </c>
      <c r="H101" s="1266"/>
      <c r="I101" s="1266">
        <f>I99*I100</f>
        <v>0</v>
      </c>
      <c r="J101" s="1266"/>
      <c r="K101" s="1266">
        <f t="shared" si="17"/>
        <v>0</v>
      </c>
      <c r="L101" s="1266"/>
      <c r="M101" s="1266">
        <f>M99*M100</f>
        <v>0</v>
      </c>
      <c r="N101" s="1266"/>
    </row>
    <row r="102" spans="2:14" x14ac:dyDescent="0.3">
      <c r="B102" s="4492"/>
      <c r="C102" s="4508" t="s">
        <v>521</v>
      </c>
      <c r="D102" s="1266" t="s">
        <v>259</v>
      </c>
      <c r="E102" s="1266">
        <v>4</v>
      </c>
      <c r="F102" s="1266"/>
      <c r="G102" s="1266">
        <v>4</v>
      </c>
      <c r="H102" s="1266"/>
      <c r="I102" s="1266">
        <v>5</v>
      </c>
      <c r="J102" s="1266"/>
      <c r="K102" s="1268">
        <f t="shared" si="17"/>
        <v>4.333333333333333</v>
      </c>
      <c r="L102" s="1268"/>
      <c r="M102" s="1268">
        <f>(K102*11)</f>
        <v>47.666666666666664</v>
      </c>
      <c r="N102" s="1266"/>
    </row>
    <row r="103" spans="2:14" x14ac:dyDescent="0.3">
      <c r="B103" s="4492"/>
      <c r="C103" s="4508"/>
      <c r="D103" s="1266" t="s">
        <v>260</v>
      </c>
      <c r="E103" s="1266">
        <v>12</v>
      </c>
      <c r="F103" s="1266"/>
      <c r="G103" s="1266">
        <v>12</v>
      </c>
      <c r="H103" s="1266"/>
      <c r="I103" s="1266">
        <v>12</v>
      </c>
      <c r="J103" s="1266"/>
      <c r="K103" s="1266">
        <f t="shared" si="17"/>
        <v>12</v>
      </c>
      <c r="L103" s="1266"/>
      <c r="M103" s="1266">
        <f>+K103</f>
        <v>12</v>
      </c>
      <c r="N103" s="1266"/>
    </row>
    <row r="104" spans="2:14" x14ac:dyDescent="0.3">
      <c r="B104" s="4492"/>
      <c r="C104" s="4508"/>
      <c r="D104" s="1266" t="s">
        <v>261</v>
      </c>
      <c r="E104" s="1266">
        <f>E102*E103</f>
        <v>48</v>
      </c>
      <c r="F104" s="1266"/>
      <c r="G104" s="1266">
        <f>G102*G103</f>
        <v>48</v>
      </c>
      <c r="H104" s="1266"/>
      <c r="I104" s="1266">
        <f>I102*I103</f>
        <v>60</v>
      </c>
      <c r="J104" s="1266"/>
      <c r="K104" s="1266">
        <f t="shared" si="17"/>
        <v>52</v>
      </c>
      <c r="L104" s="1266"/>
      <c r="M104" s="1266">
        <f>M102*M103</f>
        <v>572</v>
      </c>
      <c r="N104" s="1266"/>
    </row>
    <row r="105" spans="2:14" x14ac:dyDescent="0.3">
      <c r="B105" s="4492"/>
      <c r="C105" s="4505" t="s">
        <v>522</v>
      </c>
      <c r="D105" s="1266" t="s">
        <v>259</v>
      </c>
      <c r="E105" s="1266">
        <v>4</v>
      </c>
      <c r="F105" s="1266"/>
      <c r="G105" s="1266">
        <v>4</v>
      </c>
      <c r="H105" s="1266"/>
      <c r="I105" s="1266">
        <v>5</v>
      </c>
      <c r="J105" s="1266"/>
      <c r="K105" s="1268">
        <f t="shared" si="17"/>
        <v>4.333333333333333</v>
      </c>
      <c r="L105" s="1268"/>
      <c r="M105" s="1268">
        <f>(K105*11)</f>
        <v>47.666666666666664</v>
      </c>
      <c r="N105" s="1266"/>
    </row>
    <row r="106" spans="2:14" x14ac:dyDescent="0.3">
      <c r="B106" s="4492"/>
      <c r="C106" s="4505"/>
      <c r="D106" s="1266" t="s">
        <v>260</v>
      </c>
      <c r="E106" s="1266">
        <v>12</v>
      </c>
      <c r="F106" s="1266"/>
      <c r="G106" s="1266">
        <v>12</v>
      </c>
      <c r="H106" s="1266"/>
      <c r="I106" s="1266">
        <v>12</v>
      </c>
      <c r="J106" s="1266"/>
      <c r="K106" s="1266">
        <f t="shared" si="17"/>
        <v>12</v>
      </c>
      <c r="L106" s="1266"/>
      <c r="M106" s="1266">
        <f>+K106</f>
        <v>12</v>
      </c>
      <c r="N106" s="1266"/>
    </row>
    <row r="107" spans="2:14" x14ac:dyDescent="0.3">
      <c r="B107" s="4492"/>
      <c r="C107" s="4505"/>
      <c r="D107" s="1266" t="s">
        <v>261</v>
      </c>
      <c r="E107" s="1266">
        <f>E105*E106</f>
        <v>48</v>
      </c>
      <c r="F107" s="1266"/>
      <c r="G107" s="1266">
        <f>G105*G106</f>
        <v>48</v>
      </c>
      <c r="H107" s="1266"/>
      <c r="I107" s="1266">
        <f>I105*I106</f>
        <v>60</v>
      </c>
      <c r="J107" s="1266"/>
      <c r="K107" s="1266">
        <f t="shared" si="17"/>
        <v>52</v>
      </c>
      <c r="L107" s="1266"/>
      <c r="M107" s="1266">
        <f>M105*M106</f>
        <v>572</v>
      </c>
      <c r="N107" s="1266"/>
    </row>
    <row r="108" spans="2:14" x14ac:dyDescent="0.3">
      <c r="B108" s="4492"/>
      <c r="C108" s="1397" t="s">
        <v>263</v>
      </c>
      <c r="D108" s="1398"/>
      <c r="E108" s="1398">
        <v>4</v>
      </c>
      <c r="F108" s="1398"/>
      <c r="G108" s="1398">
        <v>4</v>
      </c>
      <c r="H108" s="1398"/>
      <c r="I108" s="1398">
        <v>4</v>
      </c>
      <c r="J108" s="1398"/>
      <c r="K108" s="1398">
        <v>4</v>
      </c>
      <c r="L108" s="1398"/>
      <c r="M108" s="1398">
        <v>4</v>
      </c>
      <c r="N108" s="1398"/>
    </row>
    <row r="109" spans="2:14" x14ac:dyDescent="0.3">
      <c r="B109" s="4492"/>
      <c r="C109" s="1397" t="s">
        <v>264</v>
      </c>
      <c r="D109" s="1398"/>
      <c r="E109" s="1399">
        <f>(E101+E107+E104)/E108</f>
        <v>24</v>
      </c>
      <c r="F109" s="1399"/>
      <c r="G109" s="1399">
        <f>(G101+G107+G104)/G108</f>
        <v>24</v>
      </c>
      <c r="H109" s="1399"/>
      <c r="I109" s="1399">
        <f>(I101+I107+I104)/I108</f>
        <v>30</v>
      </c>
      <c r="J109" s="1399"/>
      <c r="K109" s="1399">
        <f>(K101+K107+K104)/K108</f>
        <v>26</v>
      </c>
      <c r="L109" s="1399"/>
      <c r="M109" s="1399">
        <f>(M101+M107+M104)/M108</f>
        <v>286</v>
      </c>
      <c r="N109" s="1399"/>
    </row>
    <row r="110" spans="2:14" x14ac:dyDescent="0.3">
      <c r="B110" s="4492" t="s">
        <v>265</v>
      </c>
      <c r="C110" s="4492" t="s">
        <v>258</v>
      </c>
      <c r="D110" s="1266" t="s">
        <v>259</v>
      </c>
      <c r="E110" s="1266">
        <v>0</v>
      </c>
      <c r="F110" s="1266"/>
      <c r="G110" s="1266">
        <v>0</v>
      </c>
      <c r="H110" s="1266"/>
      <c r="I110" s="1266">
        <v>0</v>
      </c>
      <c r="J110" s="1266"/>
      <c r="K110" s="1268">
        <f>(E110+G110+I110)/3</f>
        <v>0</v>
      </c>
      <c r="L110" s="1268"/>
      <c r="M110" s="1268">
        <f>(K110*11)</f>
        <v>0</v>
      </c>
      <c r="N110" s="1268"/>
    </row>
    <row r="111" spans="2:14" x14ac:dyDescent="0.3">
      <c r="B111" s="4492"/>
      <c r="C111" s="4492"/>
      <c r="D111" s="1266" t="s">
        <v>260</v>
      </c>
      <c r="E111" s="1266">
        <v>0</v>
      </c>
      <c r="F111" s="1266"/>
      <c r="G111" s="1266">
        <v>0</v>
      </c>
      <c r="H111" s="1266"/>
      <c r="I111" s="1266">
        <v>0</v>
      </c>
      <c r="J111" s="1266"/>
      <c r="K111" s="1266">
        <f t="shared" ref="K111:L118" si="18">(E111+G111+I111)/3</f>
        <v>0</v>
      </c>
      <c r="L111" s="1266"/>
      <c r="M111" s="1266">
        <f>+K111</f>
        <v>0</v>
      </c>
      <c r="N111" s="1266"/>
    </row>
    <row r="112" spans="2:14" x14ac:dyDescent="0.3">
      <c r="B112" s="4492"/>
      <c r="C112" s="4492"/>
      <c r="D112" s="1266" t="s">
        <v>261</v>
      </c>
      <c r="E112" s="1266">
        <f>E110*E111</f>
        <v>0</v>
      </c>
      <c r="F112" s="1266"/>
      <c r="G112" s="1266">
        <f>G110*G111</f>
        <v>0</v>
      </c>
      <c r="H112" s="1266"/>
      <c r="I112" s="1266">
        <f>I110*I111</f>
        <v>0</v>
      </c>
      <c r="J112" s="1266"/>
      <c r="K112" s="1266">
        <f t="shared" si="18"/>
        <v>0</v>
      </c>
      <c r="L112" s="1266"/>
      <c r="M112" s="1266">
        <f>M110*M111</f>
        <v>0</v>
      </c>
      <c r="N112" s="1266"/>
    </row>
    <row r="113" spans="2:22" x14ac:dyDescent="0.3">
      <c r="B113" s="4492"/>
      <c r="C113" s="4508" t="s">
        <v>521</v>
      </c>
      <c r="D113" s="1266" t="s">
        <v>259</v>
      </c>
      <c r="E113" s="1266">
        <v>10</v>
      </c>
      <c r="F113" s="1266">
        <v>3</v>
      </c>
      <c r="G113" s="1266">
        <v>9</v>
      </c>
      <c r="H113" s="1266">
        <v>3</v>
      </c>
      <c r="I113" s="1266">
        <v>9</v>
      </c>
      <c r="J113" s="1266">
        <v>3</v>
      </c>
      <c r="K113" s="1268">
        <f>(E113+G113+I113)/3</f>
        <v>9.3333333333333339</v>
      </c>
      <c r="L113" s="1268">
        <f>(F113+H113+J113)/3</f>
        <v>3</v>
      </c>
      <c r="M113" s="1268">
        <f>(K113*11)</f>
        <v>102.66666666666667</v>
      </c>
      <c r="N113" s="1268">
        <f>(L113*11)</f>
        <v>33</v>
      </c>
    </row>
    <row r="114" spans="2:22" x14ac:dyDescent="0.3">
      <c r="B114" s="4492"/>
      <c r="C114" s="4508"/>
      <c r="D114" s="1266" t="s">
        <v>260</v>
      </c>
      <c r="E114" s="1266">
        <v>12</v>
      </c>
      <c r="F114" s="1266">
        <v>12</v>
      </c>
      <c r="G114" s="1266">
        <v>12</v>
      </c>
      <c r="H114" s="1266">
        <v>12</v>
      </c>
      <c r="I114" s="1266">
        <v>12</v>
      </c>
      <c r="J114" s="1266">
        <v>12</v>
      </c>
      <c r="K114" s="1266">
        <f t="shared" si="18"/>
        <v>12</v>
      </c>
      <c r="L114" s="1266">
        <f t="shared" si="18"/>
        <v>12</v>
      </c>
      <c r="M114" s="1266">
        <f t="shared" ref="M114" si="19">(G114+I114+K114)/3</f>
        <v>12</v>
      </c>
      <c r="N114" s="1266">
        <f t="shared" ref="N114" si="20">(H114+J114+L114)/3</f>
        <v>12</v>
      </c>
    </row>
    <row r="115" spans="2:22" x14ac:dyDescent="0.3">
      <c r="B115" s="4492"/>
      <c r="C115" s="4508"/>
      <c r="D115" s="1266" t="s">
        <v>261</v>
      </c>
      <c r="E115" s="1266">
        <f>E113*E114</f>
        <v>120</v>
      </c>
      <c r="F115" s="1266">
        <f t="shared" ref="F115:J115" si="21">F113*F114</f>
        <v>36</v>
      </c>
      <c r="G115" s="1266">
        <f t="shared" si="21"/>
        <v>108</v>
      </c>
      <c r="H115" s="1266">
        <f t="shared" si="21"/>
        <v>36</v>
      </c>
      <c r="I115" s="1266">
        <f t="shared" si="21"/>
        <v>108</v>
      </c>
      <c r="J115" s="1266">
        <f t="shared" si="21"/>
        <v>36</v>
      </c>
      <c r="K115" s="1266">
        <f t="shared" si="18"/>
        <v>112</v>
      </c>
      <c r="L115" s="1266">
        <f t="shared" si="18"/>
        <v>36</v>
      </c>
      <c r="M115" s="1266">
        <f>M113*M114</f>
        <v>1232</v>
      </c>
      <c r="N115" s="1266">
        <f>N113*N114</f>
        <v>396</v>
      </c>
    </row>
    <row r="116" spans="2:22" x14ac:dyDescent="0.3">
      <c r="B116" s="4492"/>
      <c r="C116" s="4505" t="s">
        <v>522</v>
      </c>
      <c r="D116" s="1266" t="s">
        <v>259</v>
      </c>
      <c r="E116" s="1266">
        <v>6</v>
      </c>
      <c r="F116" s="1266">
        <v>2</v>
      </c>
      <c r="G116" s="1266">
        <v>6</v>
      </c>
      <c r="H116" s="1266">
        <v>2</v>
      </c>
      <c r="I116" s="1266">
        <v>6</v>
      </c>
      <c r="J116" s="1266">
        <v>2</v>
      </c>
      <c r="K116" s="1266">
        <f t="shared" si="18"/>
        <v>6</v>
      </c>
      <c r="L116" s="1266">
        <f t="shared" si="18"/>
        <v>2</v>
      </c>
      <c r="M116" s="1266">
        <f>(K116*11)</f>
        <v>66</v>
      </c>
      <c r="N116" s="1266">
        <f>(L116*11)</f>
        <v>22</v>
      </c>
      <c r="T116" s="25"/>
      <c r="U116" s="25"/>
      <c r="V116" s="25"/>
    </row>
    <row r="117" spans="2:22" x14ac:dyDescent="0.3">
      <c r="B117" s="4492"/>
      <c r="C117" s="4505"/>
      <c r="D117" s="1266" t="s">
        <v>260</v>
      </c>
      <c r="E117" s="1266">
        <v>12</v>
      </c>
      <c r="F117" s="1266">
        <v>12</v>
      </c>
      <c r="G117" s="1266">
        <v>12</v>
      </c>
      <c r="H117" s="1266">
        <v>12</v>
      </c>
      <c r="I117" s="1266">
        <v>12</v>
      </c>
      <c r="J117" s="1266">
        <v>12</v>
      </c>
      <c r="K117" s="1266">
        <v>12</v>
      </c>
      <c r="L117" s="1266">
        <v>12</v>
      </c>
      <c r="M117" s="1266">
        <v>12</v>
      </c>
      <c r="N117" s="1266">
        <v>12</v>
      </c>
      <c r="T117" s="25"/>
      <c r="U117" s="25"/>
      <c r="V117" s="25"/>
    </row>
    <row r="118" spans="2:22" x14ac:dyDescent="0.3">
      <c r="B118" s="4492"/>
      <c r="C118" s="4505"/>
      <c r="D118" s="1266" t="s">
        <v>261</v>
      </c>
      <c r="E118" s="1266">
        <f>E116*E117</f>
        <v>72</v>
      </c>
      <c r="F118" s="1266">
        <f t="shared" ref="F118:J118" si="22">F116*F117</f>
        <v>24</v>
      </c>
      <c r="G118" s="1266">
        <f t="shared" si="22"/>
        <v>72</v>
      </c>
      <c r="H118" s="1266">
        <f t="shared" si="22"/>
        <v>24</v>
      </c>
      <c r="I118" s="1266">
        <f t="shared" si="22"/>
        <v>72</v>
      </c>
      <c r="J118" s="1266">
        <f t="shared" si="22"/>
        <v>24</v>
      </c>
      <c r="K118" s="1266">
        <f t="shared" si="18"/>
        <v>72</v>
      </c>
      <c r="L118" s="1266">
        <f t="shared" si="18"/>
        <v>24</v>
      </c>
      <c r="M118" s="1266">
        <f>M116*M117</f>
        <v>792</v>
      </c>
      <c r="N118" s="1266">
        <f>N116*N117</f>
        <v>264</v>
      </c>
    </row>
    <row r="119" spans="2:22" x14ac:dyDescent="0.3">
      <c r="B119" s="4492"/>
      <c r="C119" s="1397" t="s">
        <v>266</v>
      </c>
      <c r="D119" s="1398"/>
      <c r="E119" s="1398">
        <v>5</v>
      </c>
      <c r="F119" s="1398">
        <v>2</v>
      </c>
      <c r="G119" s="1398">
        <v>5</v>
      </c>
      <c r="H119" s="1398">
        <v>2</v>
      </c>
      <c r="I119" s="1398">
        <v>5</v>
      </c>
      <c r="J119" s="1398">
        <v>2</v>
      </c>
      <c r="K119" s="1398">
        <v>5</v>
      </c>
      <c r="L119" s="1398">
        <v>2</v>
      </c>
      <c r="M119" s="1398">
        <v>5</v>
      </c>
      <c r="N119" s="1398">
        <v>2</v>
      </c>
    </row>
    <row r="120" spans="2:22" x14ac:dyDescent="0.3">
      <c r="B120" s="4492"/>
      <c r="C120" s="1397" t="s">
        <v>267</v>
      </c>
      <c r="D120" s="1398"/>
      <c r="E120" s="1399">
        <f>(E112+E115+E118)/E119</f>
        <v>38.4</v>
      </c>
      <c r="F120" s="1399">
        <f t="shared" ref="F120:J120" si="23">(F112+F115+F118)/F119</f>
        <v>30</v>
      </c>
      <c r="G120" s="1399">
        <f t="shared" si="23"/>
        <v>36</v>
      </c>
      <c r="H120" s="1399">
        <f t="shared" si="23"/>
        <v>30</v>
      </c>
      <c r="I120" s="1399">
        <f t="shared" si="23"/>
        <v>36</v>
      </c>
      <c r="J120" s="1399">
        <f t="shared" si="23"/>
        <v>30</v>
      </c>
      <c r="K120" s="1399">
        <f t="shared" ref="K120" si="24">(K112+K115+K118)/K119</f>
        <v>36.799999999999997</v>
      </c>
      <c r="L120" s="1399">
        <f t="shared" ref="L120" si="25">(L112+L115+L118)/L119</f>
        <v>30</v>
      </c>
      <c r="M120" s="1399">
        <f t="shared" ref="M120" si="26">(M112+M115+M118)/M119</f>
        <v>404.8</v>
      </c>
      <c r="N120" s="1399">
        <f t="shared" ref="N120" si="27">(N112+N115+N118)/N119</f>
        <v>330</v>
      </c>
    </row>
    <row r="121" spans="2:22" x14ac:dyDescent="0.3">
      <c r="B121" s="4492" t="s">
        <v>353</v>
      </c>
      <c r="C121" s="4492" t="s">
        <v>258</v>
      </c>
      <c r="D121" s="1266" t="s">
        <v>259</v>
      </c>
      <c r="E121" s="1266">
        <v>0</v>
      </c>
      <c r="F121" s="1266"/>
      <c r="G121" s="1266">
        <v>0</v>
      </c>
      <c r="H121" s="1266"/>
      <c r="I121" s="1266">
        <v>0</v>
      </c>
      <c r="J121" s="1266"/>
      <c r="K121" s="1266">
        <f t="shared" ref="K121:L126" si="28">(E121+G121+I121)/3</f>
        <v>0</v>
      </c>
      <c r="L121" s="1266">
        <f t="shared" si="28"/>
        <v>0</v>
      </c>
      <c r="M121" s="1266">
        <f>(K121*11)</f>
        <v>0</v>
      </c>
      <c r="N121" s="1266">
        <f>(L121*11)</f>
        <v>0</v>
      </c>
    </row>
    <row r="122" spans="2:22" x14ac:dyDescent="0.3">
      <c r="B122" s="4492"/>
      <c r="C122" s="4492"/>
      <c r="D122" s="1266" t="s">
        <v>260</v>
      </c>
      <c r="E122" s="1266">
        <v>0</v>
      </c>
      <c r="F122" s="1266"/>
      <c r="G122" s="1266">
        <v>0</v>
      </c>
      <c r="H122" s="1266"/>
      <c r="I122" s="1266">
        <v>0</v>
      </c>
      <c r="J122" s="1266"/>
      <c r="K122" s="1266">
        <f t="shared" si="28"/>
        <v>0</v>
      </c>
      <c r="L122" s="1266">
        <f t="shared" si="28"/>
        <v>0</v>
      </c>
      <c r="M122" s="1266">
        <f>+K122</f>
        <v>0</v>
      </c>
      <c r="N122" s="1266">
        <f>+L122</f>
        <v>0</v>
      </c>
    </row>
    <row r="123" spans="2:22" x14ac:dyDescent="0.3">
      <c r="B123" s="4492"/>
      <c r="C123" s="4492"/>
      <c r="D123" s="1266" t="s">
        <v>261</v>
      </c>
      <c r="E123" s="1266">
        <v>0</v>
      </c>
      <c r="F123" s="1266"/>
      <c r="G123" s="1266">
        <v>0</v>
      </c>
      <c r="H123" s="1266"/>
      <c r="I123" s="1266">
        <v>0</v>
      </c>
      <c r="J123" s="1266"/>
      <c r="K123" s="1266">
        <f t="shared" si="28"/>
        <v>0</v>
      </c>
      <c r="L123" s="1266">
        <f t="shared" si="28"/>
        <v>0</v>
      </c>
      <c r="M123" s="1266">
        <f>M121*M122</f>
        <v>0</v>
      </c>
      <c r="N123" s="1266">
        <f>N121*N122</f>
        <v>0</v>
      </c>
    </row>
    <row r="124" spans="2:22" x14ac:dyDescent="0.3">
      <c r="B124" s="4492"/>
      <c r="C124" s="4508" t="s">
        <v>521</v>
      </c>
      <c r="D124" s="1266" t="s">
        <v>259</v>
      </c>
      <c r="E124" s="1266">
        <v>1</v>
      </c>
      <c r="F124" s="1266">
        <v>8</v>
      </c>
      <c r="G124" s="1266">
        <v>1</v>
      </c>
      <c r="H124" s="1266">
        <v>9</v>
      </c>
      <c r="I124" s="1266">
        <v>1</v>
      </c>
      <c r="J124" s="1266">
        <v>9</v>
      </c>
      <c r="K124" s="1268">
        <f t="shared" si="28"/>
        <v>1</v>
      </c>
      <c r="L124" s="1268">
        <f t="shared" si="28"/>
        <v>8.6666666666666661</v>
      </c>
      <c r="M124" s="1268">
        <f>(K124*11)</f>
        <v>11</v>
      </c>
      <c r="N124" s="1268">
        <f>(L124*11)</f>
        <v>95.333333333333329</v>
      </c>
    </row>
    <row r="125" spans="2:22" x14ac:dyDescent="0.3">
      <c r="B125" s="4492"/>
      <c r="C125" s="4508"/>
      <c r="D125" s="1266" t="s">
        <v>260</v>
      </c>
      <c r="E125" s="1266">
        <v>12</v>
      </c>
      <c r="F125" s="1266">
        <v>12</v>
      </c>
      <c r="G125" s="1266">
        <v>12</v>
      </c>
      <c r="H125" s="1266">
        <v>12</v>
      </c>
      <c r="I125" s="1266">
        <v>12</v>
      </c>
      <c r="J125" s="1266">
        <v>12</v>
      </c>
      <c r="K125" s="1266">
        <v>12</v>
      </c>
      <c r="L125" s="1266">
        <v>12</v>
      </c>
      <c r="M125" s="1266">
        <v>12</v>
      </c>
      <c r="N125" s="1266">
        <v>12</v>
      </c>
    </row>
    <row r="126" spans="2:22" x14ac:dyDescent="0.3">
      <c r="B126" s="4492"/>
      <c r="C126" s="4508"/>
      <c r="D126" s="1266" t="s">
        <v>261</v>
      </c>
      <c r="E126" s="1266">
        <f t="shared" ref="E126:J126" si="29">E124*E125</f>
        <v>12</v>
      </c>
      <c r="F126" s="1266">
        <f t="shared" si="29"/>
        <v>96</v>
      </c>
      <c r="G126" s="1266">
        <f t="shared" si="29"/>
        <v>12</v>
      </c>
      <c r="H126" s="1266">
        <f t="shared" si="29"/>
        <v>108</v>
      </c>
      <c r="I126" s="1266">
        <f t="shared" si="29"/>
        <v>12</v>
      </c>
      <c r="J126" s="1266">
        <f t="shared" si="29"/>
        <v>108</v>
      </c>
      <c r="K126" s="1266">
        <f t="shared" si="28"/>
        <v>12</v>
      </c>
      <c r="L126" s="1266">
        <f t="shared" si="28"/>
        <v>104</v>
      </c>
      <c r="M126" s="1266">
        <f>M124*M125</f>
        <v>132</v>
      </c>
      <c r="N126" s="1266">
        <f>N124*N125</f>
        <v>1144</v>
      </c>
    </row>
    <row r="127" spans="2:22" x14ac:dyDescent="0.3">
      <c r="B127" s="4492"/>
      <c r="C127" s="4505" t="s">
        <v>522</v>
      </c>
      <c r="D127" s="1266" t="s">
        <v>259</v>
      </c>
      <c r="E127" s="1266">
        <v>1</v>
      </c>
      <c r="F127" s="1266">
        <v>4</v>
      </c>
      <c r="G127" s="1266">
        <v>2</v>
      </c>
      <c r="H127" s="1266">
        <v>4</v>
      </c>
      <c r="I127" s="1266">
        <v>2</v>
      </c>
      <c r="J127" s="1266">
        <v>4</v>
      </c>
      <c r="K127" s="1268">
        <f>(E127+G127+I127)/3</f>
        <v>1.6666666666666667</v>
      </c>
      <c r="L127" s="1268">
        <f>(F127+H127+J127)/3</f>
        <v>4</v>
      </c>
      <c r="M127" s="1268">
        <f>(K127*11)</f>
        <v>18.333333333333336</v>
      </c>
      <c r="N127" s="1268">
        <f>(L127*11)</f>
        <v>44</v>
      </c>
    </row>
    <row r="128" spans="2:22" x14ac:dyDescent="0.3">
      <c r="B128" s="4492"/>
      <c r="C128" s="4505"/>
      <c r="D128" s="1266" t="s">
        <v>260</v>
      </c>
      <c r="E128" s="1266">
        <v>12</v>
      </c>
      <c r="F128" s="1266">
        <v>12</v>
      </c>
      <c r="G128" s="1266">
        <v>12</v>
      </c>
      <c r="H128" s="1266">
        <v>12</v>
      </c>
      <c r="I128" s="1266">
        <v>12</v>
      </c>
      <c r="J128" s="1266">
        <v>12</v>
      </c>
      <c r="K128" s="1266">
        <v>12</v>
      </c>
      <c r="L128" s="1266">
        <v>12</v>
      </c>
      <c r="M128" s="1266">
        <v>12</v>
      </c>
      <c r="N128" s="1266">
        <v>12</v>
      </c>
    </row>
    <row r="129" spans="2:22" x14ac:dyDescent="0.3">
      <c r="B129" s="4492"/>
      <c r="C129" s="4505"/>
      <c r="D129" s="1266" t="s">
        <v>261</v>
      </c>
      <c r="E129" s="1266">
        <f>E127*E128</f>
        <v>12</v>
      </c>
      <c r="F129" s="1266">
        <f t="shared" ref="F129:J129" si="30">F127*F128</f>
        <v>48</v>
      </c>
      <c r="G129" s="1266">
        <f t="shared" si="30"/>
        <v>24</v>
      </c>
      <c r="H129" s="1266">
        <f t="shared" si="30"/>
        <v>48</v>
      </c>
      <c r="I129" s="1266">
        <f t="shared" si="30"/>
        <v>24</v>
      </c>
      <c r="J129" s="1266">
        <f t="shared" si="30"/>
        <v>48</v>
      </c>
      <c r="K129" s="1266">
        <f>(E129+G129+I129)/3</f>
        <v>20</v>
      </c>
      <c r="L129" s="1266">
        <f>(F129+H129+J129)/3</f>
        <v>48</v>
      </c>
      <c r="M129" s="1266">
        <f>M127*M128</f>
        <v>220.00000000000003</v>
      </c>
      <c r="N129" s="1266">
        <f>N127*N128</f>
        <v>528</v>
      </c>
    </row>
    <row r="130" spans="2:22" x14ac:dyDescent="0.3">
      <c r="B130" s="4492"/>
      <c r="C130" s="1397" t="s">
        <v>358</v>
      </c>
      <c r="D130" s="1398"/>
      <c r="E130" s="1398">
        <v>1</v>
      </c>
      <c r="F130" s="1398">
        <v>3</v>
      </c>
      <c r="G130" s="1398">
        <v>1</v>
      </c>
      <c r="H130" s="1398">
        <v>3</v>
      </c>
      <c r="I130" s="1398">
        <v>1</v>
      </c>
      <c r="J130" s="1398">
        <v>3</v>
      </c>
      <c r="K130" s="1398">
        <v>1</v>
      </c>
      <c r="L130" s="1398">
        <v>3</v>
      </c>
      <c r="M130" s="1398">
        <v>1</v>
      </c>
      <c r="N130" s="1398">
        <v>3</v>
      </c>
    </row>
    <row r="131" spans="2:22" x14ac:dyDescent="0.3">
      <c r="B131" s="4492"/>
      <c r="C131" s="1397" t="s">
        <v>355</v>
      </c>
      <c r="D131" s="1398"/>
      <c r="E131" s="1399">
        <f>(E123+E126+E129)/E130</f>
        <v>24</v>
      </c>
      <c r="F131" s="1399">
        <f t="shared" ref="F131:N131" si="31">(F123+F126+F129)/F130</f>
        <v>48</v>
      </c>
      <c r="G131" s="1399">
        <f t="shared" si="31"/>
        <v>36</v>
      </c>
      <c r="H131" s="1399">
        <f t="shared" si="31"/>
        <v>52</v>
      </c>
      <c r="I131" s="1399">
        <f t="shared" si="31"/>
        <v>36</v>
      </c>
      <c r="J131" s="1399">
        <f t="shared" si="31"/>
        <v>52</v>
      </c>
      <c r="K131" s="1399">
        <f t="shared" si="31"/>
        <v>32</v>
      </c>
      <c r="L131" s="1399">
        <f t="shared" si="31"/>
        <v>50.666666666666664</v>
      </c>
      <c r="M131" s="1399">
        <f t="shared" si="31"/>
        <v>352</v>
      </c>
      <c r="N131" s="1399">
        <f t="shared" si="31"/>
        <v>557.33333333333337</v>
      </c>
    </row>
    <row r="132" spans="2:22" x14ac:dyDescent="0.3">
      <c r="B132" s="4507" t="s">
        <v>357</v>
      </c>
      <c r="C132" s="4492" t="s">
        <v>258</v>
      </c>
      <c r="D132" s="1266" t="s">
        <v>259</v>
      </c>
      <c r="E132" s="1266">
        <v>0</v>
      </c>
      <c r="F132" s="1266"/>
      <c r="G132" s="1266">
        <v>0</v>
      </c>
      <c r="H132" s="1266"/>
      <c r="I132" s="1266">
        <v>0</v>
      </c>
      <c r="J132" s="1266"/>
      <c r="K132" s="1266">
        <f t="shared" ref="K132:K140" si="32">(E132+G132+I132)/3</f>
        <v>0</v>
      </c>
      <c r="L132" s="1266"/>
      <c r="M132" s="1266">
        <f>(K132*11)</f>
        <v>0</v>
      </c>
      <c r="N132" s="1266"/>
    </row>
    <row r="133" spans="2:22" x14ac:dyDescent="0.3">
      <c r="B133" s="4507"/>
      <c r="C133" s="4492"/>
      <c r="D133" s="1266" t="s">
        <v>260</v>
      </c>
      <c r="E133" s="1266">
        <v>0</v>
      </c>
      <c r="F133" s="1266"/>
      <c r="G133" s="1266">
        <v>0</v>
      </c>
      <c r="H133" s="1266"/>
      <c r="I133" s="1266">
        <v>0</v>
      </c>
      <c r="J133" s="1266"/>
      <c r="K133" s="1266">
        <f t="shared" si="32"/>
        <v>0</v>
      </c>
      <c r="L133" s="1266"/>
      <c r="M133" s="1266">
        <f>+K133</f>
        <v>0</v>
      </c>
      <c r="N133" s="1266"/>
      <c r="T133" s="25"/>
      <c r="U133" s="25"/>
      <c r="V133" s="25"/>
    </row>
    <row r="134" spans="2:22" x14ac:dyDescent="0.3">
      <c r="B134" s="4507"/>
      <c r="C134" s="4492"/>
      <c r="D134" s="1266" t="s">
        <v>261</v>
      </c>
      <c r="E134" s="1266">
        <f>E132*E133</f>
        <v>0</v>
      </c>
      <c r="F134" s="1266"/>
      <c r="G134" s="1266">
        <f>G132*G133</f>
        <v>0</v>
      </c>
      <c r="H134" s="1266"/>
      <c r="I134" s="1266">
        <f>I132*I133</f>
        <v>0</v>
      </c>
      <c r="J134" s="1266"/>
      <c r="K134" s="1266">
        <f t="shared" si="32"/>
        <v>0</v>
      </c>
      <c r="L134" s="1266"/>
      <c r="M134" s="1266">
        <f>M132*M133</f>
        <v>0</v>
      </c>
      <c r="N134" s="1266"/>
    </row>
    <row r="135" spans="2:22" x14ac:dyDescent="0.3">
      <c r="B135" s="4507"/>
      <c r="C135" s="4508" t="s">
        <v>521</v>
      </c>
      <c r="D135" s="1266" t="s">
        <v>259</v>
      </c>
      <c r="E135" s="1266">
        <v>21</v>
      </c>
      <c r="F135" s="1266"/>
      <c r="G135" s="1266">
        <v>20</v>
      </c>
      <c r="H135" s="1266"/>
      <c r="I135" s="1266">
        <v>20</v>
      </c>
      <c r="J135" s="1266"/>
      <c r="K135" s="1268">
        <f t="shared" si="32"/>
        <v>20.333333333333332</v>
      </c>
      <c r="L135" s="1268"/>
      <c r="M135" s="1268">
        <f>(K135*11)</f>
        <v>223.66666666666666</v>
      </c>
      <c r="N135" s="1266"/>
    </row>
    <row r="136" spans="2:22" x14ac:dyDescent="0.3">
      <c r="B136" s="4507"/>
      <c r="C136" s="4508"/>
      <c r="D136" s="1266" t="s">
        <v>260</v>
      </c>
      <c r="E136" s="1266">
        <v>12</v>
      </c>
      <c r="F136" s="1266"/>
      <c r="G136" s="1266">
        <v>12</v>
      </c>
      <c r="H136" s="1266"/>
      <c r="I136" s="1266">
        <v>12</v>
      </c>
      <c r="J136" s="1266"/>
      <c r="K136" s="1266">
        <v>12</v>
      </c>
      <c r="L136" s="1266"/>
      <c r="M136" s="1266">
        <v>12</v>
      </c>
      <c r="N136" s="1266"/>
    </row>
    <row r="137" spans="2:22" x14ac:dyDescent="0.3">
      <c r="B137" s="4507"/>
      <c r="C137" s="4508"/>
      <c r="D137" s="1266" t="s">
        <v>261</v>
      </c>
      <c r="E137" s="1266">
        <f>E135*E136</f>
        <v>252</v>
      </c>
      <c r="F137" s="1266"/>
      <c r="G137" s="1266">
        <f>G135*G136</f>
        <v>240</v>
      </c>
      <c r="H137" s="1266"/>
      <c r="I137" s="1266">
        <f>I135*I136</f>
        <v>240</v>
      </c>
      <c r="J137" s="1266"/>
      <c r="K137" s="1266">
        <f t="shared" si="32"/>
        <v>244</v>
      </c>
      <c r="L137" s="1266"/>
      <c r="M137" s="1266">
        <f>M135*M136</f>
        <v>2684</v>
      </c>
      <c r="N137" s="1266"/>
    </row>
    <row r="138" spans="2:22" x14ac:dyDescent="0.3">
      <c r="B138" s="4507"/>
      <c r="C138" s="4505" t="s">
        <v>522</v>
      </c>
      <c r="D138" s="1266" t="s">
        <v>259</v>
      </c>
      <c r="E138" s="1266">
        <v>15</v>
      </c>
      <c r="F138" s="1266"/>
      <c r="G138" s="1266">
        <v>15</v>
      </c>
      <c r="H138" s="1266"/>
      <c r="I138" s="1266">
        <v>17</v>
      </c>
      <c r="J138" s="1266"/>
      <c r="K138" s="1268">
        <f t="shared" si="32"/>
        <v>15.666666666666666</v>
      </c>
      <c r="L138" s="1268"/>
      <c r="M138" s="1268">
        <f>(K138*11)</f>
        <v>172.33333333333331</v>
      </c>
      <c r="N138" s="1266"/>
    </row>
    <row r="139" spans="2:22" x14ac:dyDescent="0.3">
      <c r="B139" s="4507"/>
      <c r="C139" s="4505"/>
      <c r="D139" s="1266" t="s">
        <v>260</v>
      </c>
      <c r="E139" s="1266">
        <v>12</v>
      </c>
      <c r="F139" s="1266"/>
      <c r="G139" s="1266">
        <v>12</v>
      </c>
      <c r="H139" s="1266"/>
      <c r="I139" s="1266">
        <v>12</v>
      </c>
      <c r="J139" s="1266"/>
      <c r="K139" s="1266">
        <f t="shared" si="32"/>
        <v>12</v>
      </c>
      <c r="L139" s="1266"/>
      <c r="M139" s="1266">
        <f>+K139</f>
        <v>12</v>
      </c>
      <c r="N139" s="1266"/>
    </row>
    <row r="140" spans="2:22" x14ac:dyDescent="0.3">
      <c r="B140" s="4507"/>
      <c r="C140" s="4505"/>
      <c r="D140" s="1266" t="s">
        <v>261</v>
      </c>
      <c r="E140" s="1266">
        <f>E138*E139</f>
        <v>180</v>
      </c>
      <c r="F140" s="1266"/>
      <c r="G140" s="1266">
        <f>G138*G139</f>
        <v>180</v>
      </c>
      <c r="H140" s="1266"/>
      <c r="I140" s="1266">
        <f>I138*I139</f>
        <v>204</v>
      </c>
      <c r="J140" s="1266"/>
      <c r="K140" s="1266">
        <f t="shared" si="32"/>
        <v>188</v>
      </c>
      <c r="L140" s="1266"/>
      <c r="M140" s="1266">
        <f>M138*M139</f>
        <v>2068</v>
      </c>
      <c r="N140" s="1266"/>
    </row>
    <row r="141" spans="2:22" x14ac:dyDescent="0.3">
      <c r="B141" s="4507"/>
      <c r="C141" s="1397" t="s">
        <v>361</v>
      </c>
      <c r="D141" s="1398"/>
      <c r="E141" s="1398">
        <v>10</v>
      </c>
      <c r="F141" s="1398"/>
      <c r="G141" s="1398">
        <v>10</v>
      </c>
      <c r="H141" s="1398"/>
      <c r="I141" s="1398">
        <v>10</v>
      </c>
      <c r="J141" s="1398"/>
      <c r="K141" s="1398">
        <v>10</v>
      </c>
      <c r="L141" s="1398"/>
      <c r="M141" s="1398">
        <v>10</v>
      </c>
      <c r="N141" s="1398"/>
      <c r="T141" s="25"/>
      <c r="U141" s="25"/>
      <c r="V141" s="25"/>
    </row>
    <row r="142" spans="2:22" x14ac:dyDescent="0.3">
      <c r="B142" s="4507"/>
      <c r="C142" s="1397" t="s">
        <v>380</v>
      </c>
      <c r="D142" s="1398"/>
      <c r="E142" s="1399">
        <f>(E134+E137+E140)/E141</f>
        <v>43.2</v>
      </c>
      <c r="F142" s="1399"/>
      <c r="G142" s="1399">
        <f>(G134+G137+G140)/G141</f>
        <v>42</v>
      </c>
      <c r="H142" s="1399"/>
      <c r="I142" s="1399">
        <f>(I134+I137+I140)/I141</f>
        <v>44.4</v>
      </c>
      <c r="J142" s="1399"/>
      <c r="K142" s="1399">
        <f>(K134+K137+K140)/K141</f>
        <v>43.2</v>
      </c>
      <c r="L142" s="1399"/>
      <c r="M142" s="1399">
        <f>(M134+M137+M140)/M141</f>
        <v>475.2</v>
      </c>
      <c r="N142" s="1399"/>
      <c r="T142" s="25"/>
      <c r="U142" s="25"/>
      <c r="V142" s="25"/>
    </row>
    <row r="143" spans="2:22" x14ac:dyDescent="0.3">
      <c r="T143" s="25"/>
      <c r="U143" s="25"/>
      <c r="V143" s="25"/>
    </row>
    <row r="144" spans="2:22" x14ac:dyDescent="0.3">
      <c r="B144" s="3" t="s">
        <v>1258</v>
      </c>
      <c r="C144" s="688"/>
      <c r="D144" s="3"/>
      <c r="E144" s="3"/>
      <c r="F144" s="3"/>
      <c r="G144" s="3"/>
      <c r="H144" s="3"/>
      <c r="I144" s="3"/>
      <c r="J144" s="3"/>
      <c r="K144" s="3"/>
      <c r="L144" s="3"/>
      <c r="M144" s="3"/>
      <c r="N144" s="3"/>
      <c r="T144" s="25"/>
      <c r="U144" s="25"/>
      <c r="V144" s="25"/>
    </row>
    <row r="145" spans="2:22" x14ac:dyDescent="0.3">
      <c r="B145" s="4496" t="s">
        <v>246</v>
      </c>
      <c r="C145" s="4499" t="s">
        <v>247</v>
      </c>
      <c r="D145" s="4499" t="s">
        <v>248</v>
      </c>
      <c r="E145" s="4502" t="s">
        <v>249</v>
      </c>
      <c r="F145" s="4502"/>
      <c r="G145" s="4502"/>
      <c r="H145" s="4502"/>
      <c r="I145" s="4502"/>
      <c r="J145" s="4502"/>
      <c r="K145" s="4502"/>
      <c r="L145" s="4502"/>
      <c r="M145" s="4502"/>
      <c r="N145" s="4503"/>
      <c r="T145" s="25"/>
      <c r="U145" s="25"/>
      <c r="V145" s="25"/>
    </row>
    <row r="146" spans="2:22" x14ac:dyDescent="0.3">
      <c r="B146" s="4497"/>
      <c r="C146" s="4500"/>
      <c r="D146" s="4500"/>
      <c r="E146" s="4148" t="s">
        <v>250</v>
      </c>
      <c r="F146" s="4148"/>
      <c r="G146" s="4148" t="s">
        <v>251</v>
      </c>
      <c r="H146" s="4148"/>
      <c r="I146" s="4148" t="s">
        <v>252</v>
      </c>
      <c r="J146" s="4148"/>
      <c r="K146" s="4148" t="s">
        <v>253</v>
      </c>
      <c r="L146" s="4148"/>
      <c r="M146" s="4148" t="s">
        <v>254</v>
      </c>
      <c r="N146" s="4504"/>
      <c r="T146" s="25"/>
      <c r="U146" s="25"/>
      <c r="V146" s="25"/>
    </row>
    <row r="147" spans="2:22" x14ac:dyDescent="0.3">
      <c r="B147" s="4498"/>
      <c r="C147" s="4501"/>
      <c r="D147" s="4501"/>
      <c r="E147" s="1272" t="s">
        <v>255</v>
      </c>
      <c r="F147" s="1272" t="s">
        <v>256</v>
      </c>
      <c r="G147" s="1272" t="s">
        <v>255</v>
      </c>
      <c r="H147" s="1272" t="s">
        <v>256</v>
      </c>
      <c r="I147" s="1272" t="s">
        <v>255</v>
      </c>
      <c r="J147" s="1272" t="s">
        <v>256</v>
      </c>
      <c r="K147" s="1272" t="s">
        <v>255</v>
      </c>
      <c r="L147" s="1272" t="s">
        <v>256</v>
      </c>
      <c r="M147" s="1272" t="s">
        <v>255</v>
      </c>
      <c r="N147" s="1273" t="s">
        <v>256</v>
      </c>
      <c r="T147" s="25"/>
      <c r="U147" s="25"/>
      <c r="V147" s="25"/>
    </row>
    <row r="148" spans="2:22" x14ac:dyDescent="0.3">
      <c r="B148" s="4492" t="s">
        <v>257</v>
      </c>
      <c r="C148" s="4509" t="s">
        <v>521</v>
      </c>
      <c r="D148" s="1266" t="s">
        <v>259</v>
      </c>
      <c r="E148" s="1266">
        <v>3</v>
      </c>
      <c r="F148" s="1266"/>
      <c r="G148" s="1266">
        <v>3</v>
      </c>
      <c r="H148" s="1266"/>
      <c r="I148" s="1266">
        <v>3</v>
      </c>
      <c r="J148" s="1266"/>
      <c r="K148" s="1266">
        <f t="shared" ref="K148:K156" si="33">(E148+G148+I148)/3</f>
        <v>3</v>
      </c>
      <c r="L148" s="1266"/>
      <c r="M148" s="1266">
        <f>(K148*11)</f>
        <v>33</v>
      </c>
      <c r="N148" s="1266"/>
      <c r="T148" s="25"/>
      <c r="U148" s="25"/>
      <c r="V148" s="25"/>
    </row>
    <row r="149" spans="2:22" x14ac:dyDescent="0.3">
      <c r="B149" s="4492"/>
      <c r="C149" s="4509"/>
      <c r="D149" s="1266" t="s">
        <v>260</v>
      </c>
      <c r="E149" s="1266">
        <v>12</v>
      </c>
      <c r="F149" s="1266"/>
      <c r="G149" s="1266">
        <v>12</v>
      </c>
      <c r="H149" s="1266"/>
      <c r="I149" s="1266">
        <v>12</v>
      </c>
      <c r="J149" s="1266"/>
      <c r="K149" s="1266">
        <v>12</v>
      </c>
      <c r="L149" s="1266"/>
      <c r="M149" s="1266">
        <v>12</v>
      </c>
      <c r="N149" s="1266"/>
      <c r="T149" s="25"/>
      <c r="U149" s="25"/>
      <c r="V149" s="25"/>
    </row>
    <row r="150" spans="2:22" x14ac:dyDescent="0.3">
      <c r="B150" s="4492"/>
      <c r="C150" s="4509"/>
      <c r="D150" s="1266" t="s">
        <v>261</v>
      </c>
      <c r="E150" s="1266">
        <f>E148*E149</f>
        <v>36</v>
      </c>
      <c r="F150" s="1266"/>
      <c r="G150" s="1266">
        <f>G148*G149</f>
        <v>36</v>
      </c>
      <c r="H150" s="1266"/>
      <c r="I150" s="1266">
        <f>I148*I149</f>
        <v>36</v>
      </c>
      <c r="J150" s="1266"/>
      <c r="K150" s="1266">
        <f t="shared" si="33"/>
        <v>36</v>
      </c>
      <c r="L150" s="1266"/>
      <c r="M150" s="1266">
        <f>M148*M149</f>
        <v>396</v>
      </c>
      <c r="N150" s="1266"/>
      <c r="T150" s="25"/>
      <c r="U150" s="25"/>
      <c r="V150" s="25"/>
    </row>
    <row r="151" spans="2:22" x14ac:dyDescent="0.3">
      <c r="B151" s="4492"/>
      <c r="C151" s="4509" t="s">
        <v>522</v>
      </c>
      <c r="D151" s="1266" t="s">
        <v>259</v>
      </c>
      <c r="E151" s="1266">
        <v>3</v>
      </c>
      <c r="F151" s="1266"/>
      <c r="G151" s="1266">
        <v>2</v>
      </c>
      <c r="H151" s="1266"/>
      <c r="I151" s="1266">
        <v>2</v>
      </c>
      <c r="J151" s="1266"/>
      <c r="K151" s="1268">
        <f t="shared" si="33"/>
        <v>2.3333333333333335</v>
      </c>
      <c r="L151" s="1268"/>
      <c r="M151" s="1268">
        <f>(K151*11)</f>
        <v>25.666666666666668</v>
      </c>
      <c r="N151" s="1266"/>
      <c r="T151" s="25"/>
      <c r="U151" s="25"/>
      <c r="V151" s="25"/>
    </row>
    <row r="152" spans="2:22" x14ac:dyDescent="0.3">
      <c r="B152" s="4492"/>
      <c r="C152" s="4509"/>
      <c r="D152" s="1266" t="s">
        <v>260</v>
      </c>
      <c r="E152" s="1266">
        <v>12</v>
      </c>
      <c r="F152" s="1266"/>
      <c r="G152" s="1266">
        <v>12</v>
      </c>
      <c r="H152" s="1266"/>
      <c r="I152" s="1266">
        <v>12</v>
      </c>
      <c r="J152" s="1266"/>
      <c r="K152" s="1266">
        <v>12</v>
      </c>
      <c r="L152" s="1266"/>
      <c r="M152" s="1266">
        <v>12</v>
      </c>
      <c r="N152" s="1266"/>
      <c r="T152" s="25"/>
      <c r="U152" s="25"/>
      <c r="V152" s="25"/>
    </row>
    <row r="153" spans="2:22" x14ac:dyDescent="0.3">
      <c r="B153" s="4492"/>
      <c r="C153" s="4509"/>
      <c r="D153" s="1266" t="s">
        <v>261</v>
      </c>
      <c r="E153" s="1266">
        <f>E151*E152</f>
        <v>36</v>
      </c>
      <c r="F153" s="1266"/>
      <c r="G153" s="1266">
        <f>G151*G152</f>
        <v>24</v>
      </c>
      <c r="H153" s="1266"/>
      <c r="I153" s="1266">
        <f>I151*I152</f>
        <v>24</v>
      </c>
      <c r="J153" s="1266"/>
      <c r="K153" s="1266">
        <f t="shared" si="33"/>
        <v>28</v>
      </c>
      <c r="L153" s="1266"/>
      <c r="M153" s="1266">
        <f>M151*M152</f>
        <v>308</v>
      </c>
      <c r="N153" s="1266"/>
      <c r="T153" s="25"/>
      <c r="U153" s="25"/>
      <c r="V153" s="25"/>
    </row>
    <row r="154" spans="2:22" x14ac:dyDescent="0.3">
      <c r="B154" s="4492"/>
      <c r="C154" s="4508" t="s">
        <v>523</v>
      </c>
      <c r="D154" s="1266" t="s">
        <v>259</v>
      </c>
      <c r="E154" s="1266">
        <v>0</v>
      </c>
      <c r="F154" s="1266"/>
      <c r="G154" s="1266">
        <v>0</v>
      </c>
      <c r="H154" s="1266"/>
      <c r="I154" s="1266">
        <v>0</v>
      </c>
      <c r="J154" s="1266"/>
      <c r="K154" s="1266">
        <f t="shared" si="33"/>
        <v>0</v>
      </c>
      <c r="L154" s="1266"/>
      <c r="M154" s="1266">
        <f>(K154*11)</f>
        <v>0</v>
      </c>
      <c r="N154" s="1266"/>
      <c r="T154" s="25"/>
      <c r="U154" s="25"/>
      <c r="V154" s="25"/>
    </row>
    <row r="155" spans="2:22" x14ac:dyDescent="0.3">
      <c r="B155" s="4492"/>
      <c r="C155" s="4508"/>
      <c r="D155" s="1266" t="s">
        <v>260</v>
      </c>
      <c r="E155" s="1266">
        <v>0</v>
      </c>
      <c r="F155" s="1266"/>
      <c r="G155" s="1266">
        <v>0</v>
      </c>
      <c r="H155" s="1266"/>
      <c r="I155" s="1266">
        <v>0</v>
      </c>
      <c r="J155" s="1266"/>
      <c r="K155" s="1266">
        <f t="shared" si="33"/>
        <v>0</v>
      </c>
      <c r="L155" s="1266"/>
      <c r="M155" s="1266">
        <f>+K155</f>
        <v>0</v>
      </c>
      <c r="N155" s="1266"/>
      <c r="T155" s="25"/>
      <c r="U155" s="25"/>
      <c r="V155" s="25"/>
    </row>
    <row r="156" spans="2:22" x14ac:dyDescent="0.3">
      <c r="B156" s="4492"/>
      <c r="C156" s="4508"/>
      <c r="D156" s="1266" t="s">
        <v>261</v>
      </c>
      <c r="E156" s="1266">
        <v>0</v>
      </c>
      <c r="F156" s="1266"/>
      <c r="G156" s="1266">
        <v>0</v>
      </c>
      <c r="H156" s="1266"/>
      <c r="I156" s="1266">
        <v>0</v>
      </c>
      <c r="J156" s="1266"/>
      <c r="K156" s="1266">
        <f t="shared" si="33"/>
        <v>0</v>
      </c>
      <c r="L156" s="1266"/>
      <c r="M156" s="1266">
        <f>M154*M155</f>
        <v>0</v>
      </c>
      <c r="N156" s="1266"/>
      <c r="T156" s="25"/>
      <c r="U156" s="25"/>
      <c r="V156" s="25"/>
    </row>
    <row r="157" spans="2:22" x14ac:dyDescent="0.3">
      <c r="B157" s="4492"/>
      <c r="C157" s="1397" t="s">
        <v>263</v>
      </c>
      <c r="D157" s="1398"/>
      <c r="E157" s="1398">
        <v>4</v>
      </c>
      <c r="F157" s="1398"/>
      <c r="G157" s="1398">
        <v>4</v>
      </c>
      <c r="H157" s="1398"/>
      <c r="I157" s="1398">
        <v>4</v>
      </c>
      <c r="J157" s="1398"/>
      <c r="K157" s="1398">
        <v>4</v>
      </c>
      <c r="L157" s="1398"/>
      <c r="M157" s="1398">
        <v>4</v>
      </c>
      <c r="N157" s="1398"/>
      <c r="T157" s="25"/>
      <c r="U157" s="25"/>
      <c r="V157" s="25"/>
    </row>
    <row r="158" spans="2:22" x14ac:dyDescent="0.3">
      <c r="B158" s="4492"/>
      <c r="C158" s="1397" t="s">
        <v>264</v>
      </c>
      <c r="D158" s="1398"/>
      <c r="E158" s="1399">
        <f>(E150+E156+E153)/E157</f>
        <v>18</v>
      </c>
      <c r="F158" s="1399"/>
      <c r="G158" s="1399">
        <f>(G150+G156+G153)/G157</f>
        <v>15</v>
      </c>
      <c r="H158" s="1399"/>
      <c r="I158" s="1399">
        <f>(I150+I156+I153)/I157</f>
        <v>15</v>
      </c>
      <c r="J158" s="1399"/>
      <c r="K158" s="1399">
        <f>(K150+K156+K153)/K157</f>
        <v>16</v>
      </c>
      <c r="L158" s="1399"/>
      <c r="M158" s="1399">
        <f>(M150+M156+M153)/M157</f>
        <v>176</v>
      </c>
      <c r="N158" s="1399"/>
      <c r="T158" s="25"/>
      <c r="U158" s="25"/>
      <c r="V158" s="25"/>
    </row>
    <row r="159" spans="2:22" x14ac:dyDescent="0.3">
      <c r="B159" s="4492" t="s">
        <v>265</v>
      </c>
      <c r="C159" s="4509" t="s">
        <v>521</v>
      </c>
      <c r="D159" s="1266" t="s">
        <v>259</v>
      </c>
      <c r="E159" s="1266">
        <v>5</v>
      </c>
      <c r="F159" s="1266">
        <v>2</v>
      </c>
      <c r="G159" s="1266">
        <v>5</v>
      </c>
      <c r="H159" s="1266">
        <v>2</v>
      </c>
      <c r="I159" s="1266">
        <v>5</v>
      </c>
      <c r="J159" s="1266">
        <v>2</v>
      </c>
      <c r="K159" s="1266">
        <f t="shared" ref="K159:L167" si="34">(E159+G159+I159)/3</f>
        <v>5</v>
      </c>
      <c r="L159" s="1266">
        <f t="shared" si="34"/>
        <v>2</v>
      </c>
      <c r="M159" s="1266">
        <f>(K159*11)</f>
        <v>55</v>
      </c>
      <c r="N159" s="1266">
        <f>(L159*11)</f>
        <v>22</v>
      </c>
      <c r="T159" s="25"/>
      <c r="U159" s="25"/>
      <c r="V159" s="25"/>
    </row>
    <row r="160" spans="2:22" x14ac:dyDescent="0.3">
      <c r="B160" s="4492"/>
      <c r="C160" s="4509"/>
      <c r="D160" s="1266" t="s">
        <v>260</v>
      </c>
      <c r="E160" s="1266">
        <v>12</v>
      </c>
      <c r="F160" s="1266">
        <v>12</v>
      </c>
      <c r="G160" s="1266">
        <v>12</v>
      </c>
      <c r="H160" s="1266">
        <v>12</v>
      </c>
      <c r="I160" s="1266">
        <v>12</v>
      </c>
      <c r="J160" s="1266">
        <v>12</v>
      </c>
      <c r="K160" s="1266">
        <v>12</v>
      </c>
      <c r="L160" s="1266">
        <v>12</v>
      </c>
      <c r="M160" s="1266">
        <v>12</v>
      </c>
      <c r="N160" s="1266">
        <v>12</v>
      </c>
      <c r="T160" s="25"/>
      <c r="U160" s="25"/>
      <c r="V160" s="25"/>
    </row>
    <row r="161" spans="2:22" x14ac:dyDescent="0.3">
      <c r="B161" s="4492"/>
      <c r="C161" s="4509"/>
      <c r="D161" s="1266" t="s">
        <v>261</v>
      </c>
      <c r="E161" s="1266">
        <f>E159*E160</f>
        <v>60</v>
      </c>
      <c r="F161" s="1266">
        <f t="shared" ref="F161:N161" si="35">F159*F160</f>
        <v>24</v>
      </c>
      <c r="G161" s="1266">
        <f t="shared" si="35"/>
        <v>60</v>
      </c>
      <c r="H161" s="1266">
        <f t="shared" si="35"/>
        <v>24</v>
      </c>
      <c r="I161" s="1266">
        <f t="shared" si="35"/>
        <v>60</v>
      </c>
      <c r="J161" s="1266">
        <f t="shared" si="35"/>
        <v>24</v>
      </c>
      <c r="K161" s="1266">
        <f t="shared" si="35"/>
        <v>60</v>
      </c>
      <c r="L161" s="1266">
        <f t="shared" si="35"/>
        <v>24</v>
      </c>
      <c r="M161" s="1266">
        <f t="shared" si="35"/>
        <v>660</v>
      </c>
      <c r="N161" s="1266">
        <f t="shared" si="35"/>
        <v>264</v>
      </c>
      <c r="T161" s="25"/>
      <c r="U161" s="25"/>
      <c r="V161" s="25"/>
    </row>
    <row r="162" spans="2:22" x14ac:dyDescent="0.3">
      <c r="B162" s="4492"/>
      <c r="C162" s="4509" t="s">
        <v>522</v>
      </c>
      <c r="D162" s="1266" t="s">
        <v>259</v>
      </c>
      <c r="E162" s="1266">
        <v>9</v>
      </c>
      <c r="F162" s="1266">
        <v>3</v>
      </c>
      <c r="G162" s="1266">
        <v>9</v>
      </c>
      <c r="H162" s="1266">
        <v>3</v>
      </c>
      <c r="I162" s="1266">
        <v>9</v>
      </c>
      <c r="J162" s="1266">
        <v>3</v>
      </c>
      <c r="K162" s="1266">
        <f t="shared" si="34"/>
        <v>9</v>
      </c>
      <c r="L162" s="1266">
        <f t="shared" si="34"/>
        <v>3</v>
      </c>
      <c r="M162" s="1266">
        <f>(K162*11)</f>
        <v>99</v>
      </c>
      <c r="N162" s="1266">
        <f>(L162*11)</f>
        <v>33</v>
      </c>
      <c r="T162" s="25"/>
      <c r="U162" s="25"/>
      <c r="V162" s="25"/>
    </row>
    <row r="163" spans="2:22" x14ac:dyDescent="0.3">
      <c r="B163" s="4492"/>
      <c r="C163" s="4509"/>
      <c r="D163" s="1266" t="s">
        <v>260</v>
      </c>
      <c r="E163" s="1266">
        <v>12</v>
      </c>
      <c r="F163" s="1266">
        <v>12</v>
      </c>
      <c r="G163" s="1266">
        <v>12</v>
      </c>
      <c r="H163" s="1266">
        <v>12</v>
      </c>
      <c r="I163" s="1266">
        <v>12</v>
      </c>
      <c r="J163" s="1266">
        <v>12</v>
      </c>
      <c r="K163" s="1266">
        <v>12</v>
      </c>
      <c r="L163" s="1266">
        <v>12</v>
      </c>
      <c r="M163" s="1266">
        <v>12</v>
      </c>
      <c r="N163" s="1266">
        <v>12</v>
      </c>
      <c r="T163" s="25"/>
      <c r="U163" s="25"/>
      <c r="V163" s="25"/>
    </row>
    <row r="164" spans="2:22" x14ac:dyDescent="0.3">
      <c r="B164" s="4492"/>
      <c r="C164" s="4509"/>
      <c r="D164" s="1266" t="s">
        <v>261</v>
      </c>
      <c r="E164" s="1266">
        <f>E162*E163</f>
        <v>108</v>
      </c>
      <c r="F164" s="1266">
        <f t="shared" ref="F164:N164" si="36">F162*F163</f>
        <v>36</v>
      </c>
      <c r="G164" s="1266">
        <f t="shared" si="36"/>
        <v>108</v>
      </c>
      <c r="H164" s="1266">
        <f t="shared" si="36"/>
        <v>36</v>
      </c>
      <c r="I164" s="1266">
        <f t="shared" si="36"/>
        <v>108</v>
      </c>
      <c r="J164" s="1266">
        <f t="shared" si="36"/>
        <v>36</v>
      </c>
      <c r="K164" s="1266">
        <f t="shared" si="36"/>
        <v>108</v>
      </c>
      <c r="L164" s="1266">
        <f t="shared" si="36"/>
        <v>36</v>
      </c>
      <c r="M164" s="1266">
        <f t="shared" si="36"/>
        <v>1188</v>
      </c>
      <c r="N164" s="1266">
        <f t="shared" si="36"/>
        <v>396</v>
      </c>
      <c r="T164" s="25"/>
      <c r="U164" s="25"/>
      <c r="V164" s="25"/>
    </row>
    <row r="165" spans="2:22" x14ac:dyDescent="0.3">
      <c r="B165" s="4492"/>
      <c r="C165" s="4508" t="s">
        <v>523</v>
      </c>
      <c r="D165" s="1266" t="s">
        <v>259</v>
      </c>
      <c r="E165" s="1266">
        <v>0</v>
      </c>
      <c r="F165" s="1266"/>
      <c r="G165" s="1266">
        <v>0</v>
      </c>
      <c r="H165" s="1266"/>
      <c r="I165" s="1266">
        <v>0</v>
      </c>
      <c r="J165" s="1266"/>
      <c r="K165" s="1266">
        <f t="shared" si="34"/>
        <v>0</v>
      </c>
      <c r="L165" s="1266"/>
      <c r="M165" s="1266">
        <f>(K165*11)</f>
        <v>0</v>
      </c>
      <c r="N165" s="1266"/>
      <c r="T165" s="25"/>
      <c r="U165" s="25"/>
      <c r="V165" s="25"/>
    </row>
    <row r="166" spans="2:22" x14ac:dyDescent="0.3">
      <c r="B166" s="4492"/>
      <c r="C166" s="4508"/>
      <c r="D166" s="1266" t="s">
        <v>260</v>
      </c>
      <c r="E166" s="1266">
        <v>0</v>
      </c>
      <c r="F166" s="1266"/>
      <c r="G166" s="1266">
        <v>0</v>
      </c>
      <c r="H166" s="1266"/>
      <c r="I166" s="1266">
        <v>0</v>
      </c>
      <c r="J166" s="1266"/>
      <c r="K166" s="1266">
        <f t="shared" si="34"/>
        <v>0</v>
      </c>
      <c r="L166" s="1266"/>
      <c r="M166" s="1266">
        <f>+K166</f>
        <v>0</v>
      </c>
      <c r="N166" s="1266"/>
      <c r="T166" s="25"/>
      <c r="U166" s="25"/>
      <c r="V166" s="25"/>
    </row>
    <row r="167" spans="2:22" x14ac:dyDescent="0.3">
      <c r="B167" s="4492"/>
      <c r="C167" s="4508"/>
      <c r="D167" s="1266" t="s">
        <v>261</v>
      </c>
      <c r="E167" s="1266">
        <v>0</v>
      </c>
      <c r="F167" s="1266"/>
      <c r="G167" s="1266">
        <v>0</v>
      </c>
      <c r="H167" s="1266"/>
      <c r="I167" s="1266">
        <v>0</v>
      </c>
      <c r="J167" s="1266"/>
      <c r="K167" s="1266">
        <f t="shared" si="34"/>
        <v>0</v>
      </c>
      <c r="L167" s="1266"/>
      <c r="M167" s="1266">
        <f>M165*M166</f>
        <v>0</v>
      </c>
      <c r="N167" s="1266"/>
      <c r="T167" s="25"/>
      <c r="U167" s="25"/>
      <c r="V167" s="25"/>
    </row>
    <row r="168" spans="2:22" x14ac:dyDescent="0.3">
      <c r="B168" s="4492"/>
      <c r="C168" s="1397" t="s">
        <v>266</v>
      </c>
      <c r="D168" s="1398"/>
      <c r="E168" s="1398">
        <v>5</v>
      </c>
      <c r="F168" s="1398">
        <v>2</v>
      </c>
      <c r="G168" s="1398">
        <v>5</v>
      </c>
      <c r="H168" s="1398">
        <v>2</v>
      </c>
      <c r="I168" s="1398">
        <v>5</v>
      </c>
      <c r="J168" s="1398">
        <v>2</v>
      </c>
      <c r="K168" s="1398">
        <v>5</v>
      </c>
      <c r="L168" s="1398">
        <v>2</v>
      </c>
      <c r="M168" s="1398">
        <v>5</v>
      </c>
      <c r="N168" s="1398">
        <v>2</v>
      </c>
      <c r="T168" s="25"/>
      <c r="U168" s="25"/>
      <c r="V168" s="25"/>
    </row>
    <row r="169" spans="2:22" x14ac:dyDescent="0.3">
      <c r="B169" s="4492"/>
      <c r="C169" s="1397" t="s">
        <v>267</v>
      </c>
      <c r="D169" s="1398"/>
      <c r="E169" s="1399">
        <f>(E161+E164+E167)/E168</f>
        <v>33.6</v>
      </c>
      <c r="F169" s="1399">
        <f t="shared" ref="F169:N169" si="37">(F161+F164+F167)/F168</f>
        <v>30</v>
      </c>
      <c r="G169" s="1399">
        <f t="shared" si="37"/>
        <v>33.6</v>
      </c>
      <c r="H169" s="1399">
        <f t="shared" si="37"/>
        <v>30</v>
      </c>
      <c r="I169" s="1399">
        <f t="shared" si="37"/>
        <v>33.6</v>
      </c>
      <c r="J169" s="1399">
        <f t="shared" si="37"/>
        <v>30</v>
      </c>
      <c r="K169" s="1399">
        <f t="shared" si="37"/>
        <v>33.6</v>
      </c>
      <c r="L169" s="1399">
        <f t="shared" si="37"/>
        <v>30</v>
      </c>
      <c r="M169" s="1399">
        <f t="shared" si="37"/>
        <v>369.6</v>
      </c>
      <c r="N169" s="1399">
        <f t="shared" si="37"/>
        <v>330</v>
      </c>
      <c r="T169" s="25"/>
      <c r="U169" s="25"/>
      <c r="V169" s="25"/>
    </row>
    <row r="170" spans="2:22" x14ac:dyDescent="0.3">
      <c r="B170" s="4492" t="s">
        <v>353</v>
      </c>
      <c r="C170" s="4509" t="s">
        <v>521</v>
      </c>
      <c r="D170" s="1266" t="s">
        <v>259</v>
      </c>
      <c r="E170" s="1266">
        <v>1</v>
      </c>
      <c r="F170" s="1266">
        <v>5</v>
      </c>
      <c r="G170" s="1266">
        <v>1</v>
      </c>
      <c r="H170" s="1266">
        <v>6</v>
      </c>
      <c r="I170" s="1266">
        <v>1</v>
      </c>
      <c r="J170" s="1266">
        <v>6</v>
      </c>
      <c r="K170" s="1266">
        <f>(E170+G170+I170)/3</f>
        <v>1</v>
      </c>
      <c r="L170" s="1268">
        <f t="shared" ref="L170:L175" si="38">(F170+H170+J170)/3</f>
        <v>5.666666666666667</v>
      </c>
      <c r="M170" s="1268">
        <f>(K170*11)</f>
        <v>11</v>
      </c>
      <c r="N170" s="1268">
        <f>(L170*11)</f>
        <v>62.333333333333336</v>
      </c>
      <c r="T170" s="25"/>
      <c r="U170" s="25"/>
      <c r="V170" s="25"/>
    </row>
    <row r="171" spans="2:22" x14ac:dyDescent="0.3">
      <c r="B171" s="4492"/>
      <c r="C171" s="4509"/>
      <c r="D171" s="1266" t="s">
        <v>260</v>
      </c>
      <c r="E171" s="1266">
        <v>12</v>
      </c>
      <c r="F171" s="1266">
        <v>12</v>
      </c>
      <c r="G171" s="1266">
        <v>12</v>
      </c>
      <c r="H171" s="1266">
        <v>12</v>
      </c>
      <c r="I171" s="1266">
        <v>12</v>
      </c>
      <c r="J171" s="1266">
        <v>12</v>
      </c>
      <c r="K171" s="1266">
        <v>12</v>
      </c>
      <c r="L171" s="1266">
        <v>12</v>
      </c>
      <c r="M171" s="1266">
        <v>12</v>
      </c>
      <c r="N171" s="1266">
        <v>12</v>
      </c>
      <c r="T171" s="25"/>
      <c r="U171" s="25"/>
      <c r="V171" s="25"/>
    </row>
    <row r="172" spans="2:22" x14ac:dyDescent="0.3">
      <c r="B172" s="4492"/>
      <c r="C172" s="4509"/>
      <c r="D172" s="1266" t="s">
        <v>261</v>
      </c>
      <c r="E172" s="1266">
        <f t="shared" ref="E172:J172" si="39">E170*E171</f>
        <v>12</v>
      </c>
      <c r="F172" s="1266">
        <f>F170*F171</f>
        <v>60</v>
      </c>
      <c r="G172" s="1266">
        <f t="shared" si="39"/>
        <v>12</v>
      </c>
      <c r="H172" s="1266">
        <f t="shared" si="39"/>
        <v>72</v>
      </c>
      <c r="I172" s="1266">
        <f t="shared" si="39"/>
        <v>12</v>
      </c>
      <c r="J172" s="1266">
        <f t="shared" si="39"/>
        <v>72</v>
      </c>
      <c r="K172" s="1266">
        <f t="shared" ref="K172:K178" si="40">(E172+G172+I172)/3</f>
        <v>12</v>
      </c>
      <c r="L172" s="1266">
        <f t="shared" si="38"/>
        <v>68</v>
      </c>
      <c r="M172" s="1266">
        <f>M170*M171</f>
        <v>132</v>
      </c>
      <c r="N172" s="1266">
        <f>N170*N171</f>
        <v>748</v>
      </c>
      <c r="T172" s="25"/>
      <c r="U172" s="25"/>
      <c r="V172" s="25"/>
    </row>
    <row r="173" spans="2:22" x14ac:dyDescent="0.3">
      <c r="B173" s="4492"/>
      <c r="C173" s="4509" t="s">
        <v>522</v>
      </c>
      <c r="D173" s="1266" t="s">
        <v>259</v>
      </c>
      <c r="E173" s="1266">
        <v>1</v>
      </c>
      <c r="F173" s="1266">
        <v>3</v>
      </c>
      <c r="G173" s="1266">
        <v>1</v>
      </c>
      <c r="H173" s="1266">
        <v>3</v>
      </c>
      <c r="I173" s="1266">
        <v>1</v>
      </c>
      <c r="J173" s="1266">
        <v>3</v>
      </c>
      <c r="K173" s="1266">
        <f t="shared" si="40"/>
        <v>1</v>
      </c>
      <c r="L173" s="1266">
        <f t="shared" si="38"/>
        <v>3</v>
      </c>
      <c r="M173" s="1266">
        <f>(K173*11)</f>
        <v>11</v>
      </c>
      <c r="N173" s="1266">
        <f>(L173*11)</f>
        <v>33</v>
      </c>
      <c r="T173" s="25"/>
      <c r="U173" s="25"/>
      <c r="V173" s="25"/>
    </row>
    <row r="174" spans="2:22" x14ac:dyDescent="0.3">
      <c r="B174" s="4492"/>
      <c r="C174" s="4509"/>
      <c r="D174" s="1266" t="s">
        <v>260</v>
      </c>
      <c r="E174" s="1266">
        <v>12</v>
      </c>
      <c r="F174" s="1266">
        <v>12</v>
      </c>
      <c r="G174" s="1266">
        <v>12</v>
      </c>
      <c r="H174" s="1266">
        <v>12</v>
      </c>
      <c r="I174" s="1266">
        <v>12</v>
      </c>
      <c r="J174" s="1266">
        <v>12</v>
      </c>
      <c r="K174" s="1266">
        <v>12</v>
      </c>
      <c r="L174" s="1266">
        <v>12</v>
      </c>
      <c r="M174" s="1266">
        <v>12</v>
      </c>
      <c r="N174" s="1266">
        <v>12</v>
      </c>
      <c r="T174" s="25"/>
      <c r="U174" s="25"/>
      <c r="V174" s="25"/>
    </row>
    <row r="175" spans="2:22" ht="16.5" customHeight="1" x14ac:dyDescent="0.3">
      <c r="B175" s="4492"/>
      <c r="C175" s="4509"/>
      <c r="D175" s="1266" t="s">
        <v>261</v>
      </c>
      <c r="E175" s="1266">
        <f t="shared" ref="E175:J175" si="41">E173*E174</f>
        <v>12</v>
      </c>
      <c r="F175" s="1266">
        <f t="shared" si="41"/>
        <v>36</v>
      </c>
      <c r="G175" s="1266">
        <f t="shared" si="41"/>
        <v>12</v>
      </c>
      <c r="H175" s="1266">
        <f t="shared" si="41"/>
        <v>36</v>
      </c>
      <c r="I175" s="1266">
        <f t="shared" si="41"/>
        <v>12</v>
      </c>
      <c r="J175" s="1266">
        <f t="shared" si="41"/>
        <v>36</v>
      </c>
      <c r="K175" s="1266">
        <f t="shared" si="40"/>
        <v>12</v>
      </c>
      <c r="L175" s="1266">
        <f t="shared" si="38"/>
        <v>36</v>
      </c>
      <c r="M175" s="1266">
        <f>M173*M174</f>
        <v>132</v>
      </c>
      <c r="N175" s="1266">
        <f>N173*N174</f>
        <v>396</v>
      </c>
      <c r="T175" s="25"/>
      <c r="U175" s="25"/>
      <c r="V175" s="25"/>
    </row>
    <row r="176" spans="2:22" x14ac:dyDescent="0.3">
      <c r="B176" s="4492"/>
      <c r="C176" s="4508" t="s">
        <v>523</v>
      </c>
      <c r="D176" s="1266" t="s">
        <v>259</v>
      </c>
      <c r="E176" s="1266">
        <v>0</v>
      </c>
      <c r="F176" s="1266"/>
      <c r="G176" s="1266">
        <v>0</v>
      </c>
      <c r="H176" s="1266"/>
      <c r="I176" s="1266">
        <v>0</v>
      </c>
      <c r="J176" s="1266"/>
      <c r="K176" s="1266">
        <f t="shared" si="40"/>
        <v>0</v>
      </c>
      <c r="L176" s="1266"/>
      <c r="M176" s="1266">
        <f>(K176*11)</f>
        <v>0</v>
      </c>
      <c r="N176" s="1266"/>
      <c r="T176" s="25"/>
      <c r="U176" s="25"/>
      <c r="V176" s="25"/>
    </row>
    <row r="177" spans="2:22" x14ac:dyDescent="0.3">
      <c r="B177" s="4492"/>
      <c r="C177" s="4508"/>
      <c r="D177" s="1266" t="s">
        <v>260</v>
      </c>
      <c r="E177" s="1266">
        <v>0</v>
      </c>
      <c r="F177" s="1266"/>
      <c r="G177" s="1266">
        <v>0</v>
      </c>
      <c r="H177" s="1266"/>
      <c r="I177" s="1266">
        <v>0</v>
      </c>
      <c r="J177" s="1266"/>
      <c r="K177" s="1266">
        <f t="shared" si="40"/>
        <v>0</v>
      </c>
      <c r="L177" s="1266"/>
      <c r="M177" s="1266">
        <f>+K177</f>
        <v>0</v>
      </c>
      <c r="N177" s="1266"/>
      <c r="T177" s="25"/>
      <c r="U177" s="25"/>
      <c r="V177" s="25"/>
    </row>
    <row r="178" spans="2:22" x14ac:dyDescent="0.3">
      <c r="B178" s="4492"/>
      <c r="C178" s="4508"/>
      <c r="D178" s="1266" t="s">
        <v>261</v>
      </c>
      <c r="E178" s="1266">
        <v>0</v>
      </c>
      <c r="F178" s="1266"/>
      <c r="G178" s="1266">
        <v>0</v>
      </c>
      <c r="H178" s="1266"/>
      <c r="I178" s="1266">
        <v>0</v>
      </c>
      <c r="J178" s="1266"/>
      <c r="K178" s="1266">
        <f t="shared" si="40"/>
        <v>0</v>
      </c>
      <c r="L178" s="1266"/>
      <c r="M178" s="1266">
        <f>M176*M177</f>
        <v>0</v>
      </c>
      <c r="N178" s="1266"/>
      <c r="T178" s="25"/>
      <c r="U178" s="25"/>
      <c r="V178" s="25"/>
    </row>
    <row r="179" spans="2:22" x14ac:dyDescent="0.3">
      <c r="B179" s="4492"/>
      <c r="C179" s="1397" t="s">
        <v>358</v>
      </c>
      <c r="D179" s="1398"/>
      <c r="E179" s="1398">
        <v>1</v>
      </c>
      <c r="F179" s="1398">
        <v>3</v>
      </c>
      <c r="G179" s="1398">
        <v>1</v>
      </c>
      <c r="H179" s="1398">
        <v>3</v>
      </c>
      <c r="I179" s="1398">
        <v>1</v>
      </c>
      <c r="J179" s="1398">
        <v>3</v>
      </c>
      <c r="K179" s="1398">
        <v>1</v>
      </c>
      <c r="L179" s="1398">
        <v>3</v>
      </c>
      <c r="M179" s="1398">
        <v>1</v>
      </c>
      <c r="N179" s="1398">
        <v>3</v>
      </c>
      <c r="T179" s="25"/>
      <c r="U179" s="25"/>
      <c r="V179" s="25"/>
    </row>
    <row r="180" spans="2:22" x14ac:dyDescent="0.3">
      <c r="B180" s="4492"/>
      <c r="C180" s="1397" t="s">
        <v>355</v>
      </c>
      <c r="D180" s="1398"/>
      <c r="E180" s="1399">
        <f>(E172+E175+E178)/E179</f>
        <v>24</v>
      </c>
      <c r="F180" s="1399">
        <f>(F175+F172)/F179</f>
        <v>32</v>
      </c>
      <c r="G180" s="1399">
        <f>(G172+G175+G178)/G179</f>
        <v>24</v>
      </c>
      <c r="H180" s="1399">
        <f>(H175+H172)/H179</f>
        <v>36</v>
      </c>
      <c r="I180" s="1399">
        <f>(I172+I175+I178)/I179</f>
        <v>24</v>
      </c>
      <c r="J180" s="1399">
        <f>(J175+J172)/J179</f>
        <v>36</v>
      </c>
      <c r="K180" s="1399">
        <f>(K172+K175+K178)/K179</f>
        <v>24</v>
      </c>
      <c r="L180" s="1399">
        <f>(L175+L172)/L179</f>
        <v>34.666666666666664</v>
      </c>
      <c r="M180" s="1399">
        <f>(M175+M172+M178)/M179</f>
        <v>264</v>
      </c>
      <c r="N180" s="1399">
        <f>(N175+N172)/N179</f>
        <v>381.33333333333331</v>
      </c>
      <c r="T180" s="25"/>
      <c r="U180" s="25"/>
      <c r="V180" s="25"/>
    </row>
    <row r="181" spans="2:22" x14ac:dyDescent="0.3">
      <c r="B181" s="4507" t="s">
        <v>357</v>
      </c>
      <c r="C181" s="4509" t="s">
        <v>521</v>
      </c>
      <c r="D181" s="1266" t="s">
        <v>259</v>
      </c>
      <c r="E181" s="1266">
        <v>10</v>
      </c>
      <c r="F181" s="1266"/>
      <c r="G181" s="1266">
        <v>10</v>
      </c>
      <c r="H181" s="1266"/>
      <c r="I181" s="1266">
        <v>9</v>
      </c>
      <c r="J181" s="1266"/>
      <c r="K181" s="1268">
        <f t="shared" ref="K181:K189" si="42">(E181+G181+I181)/3</f>
        <v>9.6666666666666661</v>
      </c>
      <c r="L181" s="1268"/>
      <c r="M181" s="1268">
        <f>(K181*11)</f>
        <v>106.33333333333333</v>
      </c>
      <c r="N181" s="1266"/>
      <c r="T181" s="25"/>
      <c r="U181" s="25"/>
      <c r="V181" s="25"/>
    </row>
    <row r="182" spans="2:22" x14ac:dyDescent="0.3">
      <c r="B182" s="4507"/>
      <c r="C182" s="4509"/>
      <c r="D182" s="1266" t="s">
        <v>260</v>
      </c>
      <c r="E182" s="1266">
        <v>12</v>
      </c>
      <c r="F182" s="1266"/>
      <c r="G182" s="1266">
        <v>12</v>
      </c>
      <c r="H182" s="1266"/>
      <c r="I182" s="1266">
        <v>12</v>
      </c>
      <c r="J182" s="1266"/>
      <c r="K182" s="1266">
        <v>12</v>
      </c>
      <c r="L182" s="1266"/>
      <c r="M182" s="1266">
        <v>12</v>
      </c>
      <c r="N182" s="1266"/>
      <c r="T182" s="25"/>
      <c r="U182" s="25"/>
      <c r="V182" s="25"/>
    </row>
    <row r="183" spans="2:22" x14ac:dyDescent="0.3">
      <c r="B183" s="4507"/>
      <c r="C183" s="4509"/>
      <c r="D183" s="1266" t="s">
        <v>261</v>
      </c>
      <c r="E183" s="1266">
        <f>E181*E182</f>
        <v>120</v>
      </c>
      <c r="F183" s="1266"/>
      <c r="G183" s="1266">
        <f>G181*G182</f>
        <v>120</v>
      </c>
      <c r="H183" s="1266"/>
      <c r="I183" s="1266">
        <f>I181*I182</f>
        <v>108</v>
      </c>
      <c r="J183" s="1266"/>
      <c r="K183" s="1266">
        <f t="shared" si="42"/>
        <v>116</v>
      </c>
      <c r="L183" s="1266"/>
      <c r="M183" s="1266">
        <f>M181*M182</f>
        <v>1276</v>
      </c>
      <c r="N183" s="1266"/>
      <c r="T183" s="25"/>
      <c r="U183" s="25"/>
      <c r="V183" s="25"/>
    </row>
    <row r="184" spans="2:22" x14ac:dyDescent="0.3">
      <c r="B184" s="4507"/>
      <c r="C184" s="4509" t="s">
        <v>522</v>
      </c>
      <c r="D184" s="1266" t="s">
        <v>259</v>
      </c>
      <c r="E184" s="1266">
        <v>10</v>
      </c>
      <c r="F184" s="1266"/>
      <c r="G184" s="1266">
        <v>10</v>
      </c>
      <c r="H184" s="1266"/>
      <c r="I184" s="1266">
        <v>9</v>
      </c>
      <c r="J184" s="1266"/>
      <c r="K184" s="1268">
        <f t="shared" si="42"/>
        <v>9.6666666666666661</v>
      </c>
      <c r="L184" s="1268"/>
      <c r="M184" s="1268">
        <f>(K184*11)</f>
        <v>106.33333333333333</v>
      </c>
      <c r="N184" s="1266"/>
      <c r="T184" s="25"/>
      <c r="U184" s="25"/>
      <c r="V184" s="25"/>
    </row>
    <row r="185" spans="2:22" x14ac:dyDescent="0.3">
      <c r="B185" s="4507"/>
      <c r="C185" s="4509"/>
      <c r="D185" s="1266" t="s">
        <v>260</v>
      </c>
      <c r="E185" s="1266">
        <v>12</v>
      </c>
      <c r="F185" s="1266"/>
      <c r="G185" s="1266">
        <v>12</v>
      </c>
      <c r="H185" s="1266"/>
      <c r="I185" s="1266">
        <v>12</v>
      </c>
      <c r="J185" s="1266"/>
      <c r="K185" s="1266">
        <v>12</v>
      </c>
      <c r="L185" s="1266"/>
      <c r="M185" s="1266">
        <v>12</v>
      </c>
      <c r="N185" s="1266"/>
      <c r="T185" s="25"/>
      <c r="U185" s="25"/>
      <c r="V185" s="25"/>
    </row>
    <row r="186" spans="2:22" x14ac:dyDescent="0.3">
      <c r="B186" s="4507"/>
      <c r="C186" s="4509"/>
      <c r="D186" s="1266" t="s">
        <v>261</v>
      </c>
      <c r="E186" s="1266">
        <f>E184*E185</f>
        <v>120</v>
      </c>
      <c r="F186" s="1266"/>
      <c r="G186" s="1266">
        <f>G184*G185</f>
        <v>120</v>
      </c>
      <c r="H186" s="1266"/>
      <c r="I186" s="1266">
        <f>I184*I185</f>
        <v>108</v>
      </c>
      <c r="J186" s="1266"/>
      <c r="K186" s="1266">
        <f t="shared" si="42"/>
        <v>116</v>
      </c>
      <c r="L186" s="1266"/>
      <c r="M186" s="1266">
        <f>M184*M185</f>
        <v>1276</v>
      </c>
      <c r="N186" s="1266"/>
      <c r="T186" s="25"/>
      <c r="U186" s="25"/>
      <c r="V186" s="25"/>
    </row>
    <row r="187" spans="2:22" x14ac:dyDescent="0.3">
      <c r="B187" s="4507"/>
      <c r="C187" s="4508" t="s">
        <v>523</v>
      </c>
      <c r="D187" s="1266" t="s">
        <v>259</v>
      </c>
      <c r="E187" s="1266">
        <v>0</v>
      </c>
      <c r="F187" s="1266"/>
      <c r="G187" s="1266">
        <v>0</v>
      </c>
      <c r="H187" s="1266"/>
      <c r="I187" s="1266">
        <v>0</v>
      </c>
      <c r="J187" s="1266"/>
      <c r="K187" s="1266">
        <f t="shared" si="42"/>
        <v>0</v>
      </c>
      <c r="L187" s="1266"/>
      <c r="M187" s="1266">
        <f>(K187*11)</f>
        <v>0</v>
      </c>
      <c r="N187" s="1266"/>
      <c r="T187" s="25"/>
      <c r="U187" s="25"/>
      <c r="V187" s="25"/>
    </row>
    <row r="188" spans="2:22" x14ac:dyDescent="0.3">
      <c r="B188" s="4507"/>
      <c r="C188" s="4508"/>
      <c r="D188" s="1266" t="s">
        <v>260</v>
      </c>
      <c r="E188" s="1266">
        <v>0</v>
      </c>
      <c r="F188" s="1266"/>
      <c r="G188" s="1266">
        <v>0</v>
      </c>
      <c r="H188" s="1266"/>
      <c r="I188" s="1266">
        <v>0</v>
      </c>
      <c r="J188" s="1266"/>
      <c r="K188" s="1266">
        <f t="shared" si="42"/>
        <v>0</v>
      </c>
      <c r="L188" s="1266"/>
      <c r="M188" s="1266">
        <f>+K188</f>
        <v>0</v>
      </c>
      <c r="N188" s="1266"/>
      <c r="T188" s="25"/>
      <c r="U188" s="25"/>
      <c r="V188" s="25"/>
    </row>
    <row r="189" spans="2:22" x14ac:dyDescent="0.3">
      <c r="B189" s="4507"/>
      <c r="C189" s="4508"/>
      <c r="D189" s="1266" t="s">
        <v>261</v>
      </c>
      <c r="E189" s="1266">
        <v>0</v>
      </c>
      <c r="F189" s="1266"/>
      <c r="G189" s="1266">
        <v>0</v>
      </c>
      <c r="H189" s="1266"/>
      <c r="I189" s="1266">
        <v>0</v>
      </c>
      <c r="J189" s="1266"/>
      <c r="K189" s="1266">
        <f t="shared" si="42"/>
        <v>0</v>
      </c>
      <c r="L189" s="1266"/>
      <c r="M189" s="1266">
        <f>M187*M188</f>
        <v>0</v>
      </c>
      <c r="N189" s="1266"/>
      <c r="T189" s="25"/>
      <c r="U189" s="25"/>
      <c r="V189" s="25"/>
    </row>
    <row r="190" spans="2:22" x14ac:dyDescent="0.3">
      <c r="B190" s="4507"/>
      <c r="C190" s="1397" t="s">
        <v>361</v>
      </c>
      <c r="D190" s="1398"/>
      <c r="E190" s="1398">
        <v>10</v>
      </c>
      <c r="F190" s="1398"/>
      <c r="G190" s="1398">
        <v>10</v>
      </c>
      <c r="H190" s="1398"/>
      <c r="I190" s="1398">
        <v>10</v>
      </c>
      <c r="J190" s="1398"/>
      <c r="K190" s="1398">
        <v>10</v>
      </c>
      <c r="L190" s="1398"/>
      <c r="M190" s="1398">
        <v>10</v>
      </c>
      <c r="N190" s="1398"/>
      <c r="T190" s="25"/>
      <c r="U190" s="25"/>
      <c r="V190" s="25"/>
    </row>
    <row r="191" spans="2:22" x14ac:dyDescent="0.3">
      <c r="B191" s="4507"/>
      <c r="C191" s="1397" t="s">
        <v>380</v>
      </c>
      <c r="D191" s="1398"/>
      <c r="E191" s="1399">
        <f>(E183+E186+E189)/E190</f>
        <v>24</v>
      </c>
      <c r="F191" s="1399"/>
      <c r="G191" s="1399">
        <f>(G183+G186+G189)/G190</f>
        <v>24</v>
      </c>
      <c r="H191" s="1399"/>
      <c r="I191" s="1399">
        <f>(I183+I186+I189)/I190</f>
        <v>21.6</v>
      </c>
      <c r="J191" s="1399"/>
      <c r="K191" s="1399">
        <f>(K183+K186+K189)/K190</f>
        <v>23.2</v>
      </c>
      <c r="L191" s="1399"/>
      <c r="M191" s="1399">
        <f>(M183+M186+M189)/M190</f>
        <v>255.2</v>
      </c>
      <c r="N191" s="1399"/>
      <c r="T191" s="25"/>
      <c r="U191" s="25"/>
      <c r="V191" s="25"/>
    </row>
    <row r="192" spans="2:22" x14ac:dyDescent="0.3">
      <c r="C192" s="1259"/>
      <c r="T192" s="25"/>
      <c r="U192" s="25"/>
      <c r="V192" s="25"/>
    </row>
    <row r="193" spans="2:14" x14ac:dyDescent="0.3">
      <c r="B193" s="3" t="s">
        <v>524</v>
      </c>
    </row>
    <row r="194" spans="2:14" ht="16.5" customHeight="1" x14ac:dyDescent="0.3">
      <c r="B194" s="4496" t="s">
        <v>246</v>
      </c>
      <c r="C194" s="4499" t="s">
        <v>247</v>
      </c>
      <c r="D194" s="4499" t="s">
        <v>248</v>
      </c>
      <c r="E194" s="4502" t="s">
        <v>249</v>
      </c>
      <c r="F194" s="4502"/>
      <c r="G194" s="4502"/>
      <c r="H194" s="4502"/>
      <c r="I194" s="4502"/>
      <c r="J194" s="4502"/>
      <c r="K194" s="4502"/>
      <c r="L194" s="4502"/>
      <c r="M194" s="4502"/>
      <c r="N194" s="4503"/>
    </row>
    <row r="195" spans="2:14" x14ac:dyDescent="0.3">
      <c r="B195" s="4497"/>
      <c r="C195" s="4500"/>
      <c r="D195" s="4500"/>
      <c r="E195" s="4148" t="s">
        <v>250</v>
      </c>
      <c r="F195" s="4148"/>
      <c r="G195" s="4148" t="s">
        <v>251</v>
      </c>
      <c r="H195" s="4148"/>
      <c r="I195" s="4148" t="s">
        <v>252</v>
      </c>
      <c r="J195" s="4148"/>
      <c r="K195" s="4148" t="s">
        <v>253</v>
      </c>
      <c r="L195" s="4148"/>
      <c r="M195" s="4148" t="s">
        <v>254</v>
      </c>
      <c r="N195" s="4504"/>
    </row>
    <row r="196" spans="2:14" x14ac:dyDescent="0.3">
      <c r="B196" s="4498"/>
      <c r="C196" s="4501"/>
      <c r="D196" s="4501"/>
      <c r="E196" s="1272" t="s">
        <v>255</v>
      </c>
      <c r="F196" s="1272" t="s">
        <v>256</v>
      </c>
      <c r="G196" s="1272" t="s">
        <v>255</v>
      </c>
      <c r="H196" s="1272" t="s">
        <v>256</v>
      </c>
      <c r="I196" s="1272" t="s">
        <v>255</v>
      </c>
      <c r="J196" s="1272" t="s">
        <v>256</v>
      </c>
      <c r="K196" s="1272" t="s">
        <v>255</v>
      </c>
      <c r="L196" s="1272" t="s">
        <v>256</v>
      </c>
      <c r="M196" s="1272" t="s">
        <v>255</v>
      </c>
      <c r="N196" s="1273" t="s">
        <v>256</v>
      </c>
    </row>
    <row r="197" spans="2:14" x14ac:dyDescent="0.3">
      <c r="B197" s="4492" t="s">
        <v>257</v>
      </c>
      <c r="C197" s="4509" t="s">
        <v>521</v>
      </c>
      <c r="D197" s="1266" t="s">
        <v>259</v>
      </c>
      <c r="E197" s="1266">
        <v>4</v>
      </c>
      <c r="F197" s="1266"/>
      <c r="G197" s="1266">
        <v>4</v>
      </c>
      <c r="H197" s="1266"/>
      <c r="I197" s="1266">
        <v>4</v>
      </c>
      <c r="J197" s="1266"/>
      <c r="K197" s="1266">
        <f t="shared" ref="K197:K205" si="43">(E197+G197+I197)/3</f>
        <v>4</v>
      </c>
      <c r="L197" s="1266"/>
      <c r="M197" s="1266">
        <f>(K197*11)</f>
        <v>44</v>
      </c>
      <c r="N197" s="1266"/>
    </row>
    <row r="198" spans="2:14" x14ac:dyDescent="0.3">
      <c r="B198" s="4492"/>
      <c r="C198" s="4509"/>
      <c r="D198" s="1266" t="s">
        <v>260</v>
      </c>
      <c r="E198" s="1266">
        <v>12</v>
      </c>
      <c r="F198" s="1266"/>
      <c r="G198" s="1266">
        <v>12</v>
      </c>
      <c r="H198" s="1266"/>
      <c r="I198" s="1266">
        <v>12</v>
      </c>
      <c r="J198" s="1266"/>
      <c r="K198" s="1266">
        <v>12</v>
      </c>
      <c r="L198" s="1266"/>
      <c r="M198" s="1266">
        <v>12</v>
      </c>
      <c r="N198" s="1266"/>
    </row>
    <row r="199" spans="2:14" x14ac:dyDescent="0.3">
      <c r="B199" s="4492"/>
      <c r="C199" s="4509"/>
      <c r="D199" s="1266" t="s">
        <v>261</v>
      </c>
      <c r="E199" s="1266">
        <f>E197*E198</f>
        <v>48</v>
      </c>
      <c r="F199" s="1266"/>
      <c r="G199" s="1266">
        <f>G197*G198</f>
        <v>48</v>
      </c>
      <c r="H199" s="1266"/>
      <c r="I199" s="1266">
        <f>I197*I198</f>
        <v>48</v>
      </c>
      <c r="J199" s="1266"/>
      <c r="K199" s="1266">
        <f t="shared" si="43"/>
        <v>48</v>
      </c>
      <c r="L199" s="1266"/>
      <c r="M199" s="1266">
        <f>M197*M198</f>
        <v>528</v>
      </c>
      <c r="N199" s="1266"/>
    </row>
    <row r="200" spans="2:14" x14ac:dyDescent="0.3">
      <c r="B200" s="4492"/>
      <c r="C200" s="4509" t="s">
        <v>522</v>
      </c>
      <c r="D200" s="1266" t="s">
        <v>259</v>
      </c>
      <c r="E200" s="1266">
        <v>5</v>
      </c>
      <c r="F200" s="1266"/>
      <c r="G200" s="1266">
        <v>5</v>
      </c>
      <c r="H200" s="1266"/>
      <c r="I200" s="1266">
        <v>4</v>
      </c>
      <c r="J200" s="1266"/>
      <c r="K200" s="1268">
        <f t="shared" si="43"/>
        <v>4.666666666666667</v>
      </c>
      <c r="L200" s="1268"/>
      <c r="M200" s="1268">
        <f>(K200*11)</f>
        <v>51.333333333333336</v>
      </c>
      <c r="N200" s="1266"/>
    </row>
    <row r="201" spans="2:14" x14ac:dyDescent="0.3">
      <c r="B201" s="4492"/>
      <c r="C201" s="4509"/>
      <c r="D201" s="1266" t="s">
        <v>260</v>
      </c>
      <c r="E201" s="1266">
        <v>12</v>
      </c>
      <c r="F201" s="1266"/>
      <c r="G201" s="1266">
        <v>12</v>
      </c>
      <c r="H201" s="1266"/>
      <c r="I201" s="1266">
        <v>12</v>
      </c>
      <c r="J201" s="1266"/>
      <c r="K201" s="1266">
        <v>12</v>
      </c>
      <c r="L201" s="1266"/>
      <c r="M201" s="1266">
        <v>12</v>
      </c>
      <c r="N201" s="1266"/>
    </row>
    <row r="202" spans="2:14" x14ac:dyDescent="0.3">
      <c r="B202" s="4492"/>
      <c r="C202" s="4509"/>
      <c r="D202" s="1266" t="s">
        <v>261</v>
      </c>
      <c r="E202" s="1266">
        <f>E200*E201</f>
        <v>60</v>
      </c>
      <c r="F202" s="1266"/>
      <c r="G202" s="1266">
        <f>G200*G201</f>
        <v>60</v>
      </c>
      <c r="H202" s="1266"/>
      <c r="I202" s="1266">
        <f>I200*I201</f>
        <v>48</v>
      </c>
      <c r="J202" s="1266"/>
      <c r="K202" s="1266">
        <f t="shared" si="43"/>
        <v>56</v>
      </c>
      <c r="L202" s="1266"/>
      <c r="M202" s="1266">
        <f>M200*M201</f>
        <v>616</v>
      </c>
      <c r="N202" s="1266"/>
    </row>
    <row r="203" spans="2:14" x14ac:dyDescent="0.3">
      <c r="B203" s="4492"/>
      <c r="C203" s="4508" t="s">
        <v>523</v>
      </c>
      <c r="D203" s="1266" t="s">
        <v>259</v>
      </c>
      <c r="E203" s="1266">
        <v>0</v>
      </c>
      <c r="F203" s="1266"/>
      <c r="G203" s="1266">
        <v>0</v>
      </c>
      <c r="H203" s="1266"/>
      <c r="I203" s="1266">
        <v>0</v>
      </c>
      <c r="J203" s="1266"/>
      <c r="K203" s="1266">
        <f t="shared" si="43"/>
        <v>0</v>
      </c>
      <c r="L203" s="1266"/>
      <c r="M203" s="1266">
        <f>(K203*11)</f>
        <v>0</v>
      </c>
      <c r="N203" s="1266"/>
    </row>
    <row r="204" spans="2:14" x14ac:dyDescent="0.3">
      <c r="B204" s="4492"/>
      <c r="C204" s="4508"/>
      <c r="D204" s="1266" t="s">
        <v>260</v>
      </c>
      <c r="E204" s="1266">
        <v>0</v>
      </c>
      <c r="F204" s="1266"/>
      <c r="G204" s="1266">
        <v>0</v>
      </c>
      <c r="H204" s="1266"/>
      <c r="I204" s="1266">
        <v>0</v>
      </c>
      <c r="J204" s="1266"/>
      <c r="K204" s="1266">
        <f t="shared" si="43"/>
        <v>0</v>
      </c>
      <c r="L204" s="1266"/>
      <c r="M204" s="1266">
        <f>+K204</f>
        <v>0</v>
      </c>
      <c r="N204" s="1266"/>
    </row>
    <row r="205" spans="2:14" x14ac:dyDescent="0.3">
      <c r="B205" s="4492"/>
      <c r="C205" s="4508"/>
      <c r="D205" s="1266" t="s">
        <v>261</v>
      </c>
      <c r="E205" s="1266">
        <v>0</v>
      </c>
      <c r="F205" s="1266"/>
      <c r="G205" s="1266">
        <v>0</v>
      </c>
      <c r="H205" s="1266"/>
      <c r="I205" s="1266">
        <v>0</v>
      </c>
      <c r="J205" s="1266"/>
      <c r="K205" s="1266">
        <f t="shared" si="43"/>
        <v>0</v>
      </c>
      <c r="L205" s="1266"/>
      <c r="M205" s="1266">
        <f>M203*M204</f>
        <v>0</v>
      </c>
      <c r="N205" s="1266"/>
    </row>
    <row r="206" spans="2:14" x14ac:dyDescent="0.3">
      <c r="B206" s="4492"/>
      <c r="C206" s="1397" t="s">
        <v>263</v>
      </c>
      <c r="D206" s="1398"/>
      <c r="E206" s="1398">
        <v>4</v>
      </c>
      <c r="F206" s="1398"/>
      <c r="G206" s="1398">
        <v>4</v>
      </c>
      <c r="H206" s="1398"/>
      <c r="I206" s="1398">
        <v>4</v>
      </c>
      <c r="J206" s="1398"/>
      <c r="K206" s="1398">
        <v>4</v>
      </c>
      <c r="L206" s="1398"/>
      <c r="M206" s="1398">
        <v>4</v>
      </c>
      <c r="N206" s="1398"/>
    </row>
    <row r="207" spans="2:14" x14ac:dyDescent="0.3">
      <c r="B207" s="4492"/>
      <c r="C207" s="1397" t="s">
        <v>264</v>
      </c>
      <c r="D207" s="1398"/>
      <c r="E207" s="1398">
        <f>(E199+E205+E202)/E206</f>
        <v>27</v>
      </c>
      <c r="F207" s="1398"/>
      <c r="G207" s="1398">
        <f>(G199+G205+G202)/G206</f>
        <v>27</v>
      </c>
      <c r="H207" s="1398"/>
      <c r="I207" s="1398">
        <f>(I199+I205+I202)/I206</f>
        <v>24</v>
      </c>
      <c r="J207" s="1398"/>
      <c r="K207" s="1398">
        <f>(K199+K205+K202)/K206</f>
        <v>26</v>
      </c>
      <c r="L207" s="1398"/>
      <c r="M207" s="1398">
        <f>(M199+M205+M202)/M206</f>
        <v>286</v>
      </c>
      <c r="N207" s="1398"/>
    </row>
    <row r="208" spans="2:14" x14ac:dyDescent="0.3">
      <c r="B208" s="4492" t="s">
        <v>265</v>
      </c>
      <c r="C208" s="4509" t="s">
        <v>521</v>
      </c>
      <c r="D208" s="1266" t="s">
        <v>259</v>
      </c>
      <c r="E208" s="1266">
        <v>7</v>
      </c>
      <c r="F208" s="1266">
        <v>2</v>
      </c>
      <c r="G208" s="1266">
        <v>7</v>
      </c>
      <c r="H208" s="1266">
        <v>2</v>
      </c>
      <c r="I208" s="1266">
        <v>7</v>
      </c>
      <c r="J208" s="1266">
        <v>2</v>
      </c>
      <c r="K208" s="1266">
        <f t="shared" ref="K208:L216" si="44">(E208+G208+I208)/3</f>
        <v>7</v>
      </c>
      <c r="L208" s="1266">
        <f t="shared" si="44"/>
        <v>2</v>
      </c>
      <c r="M208" s="1266">
        <f>(K208*11)</f>
        <v>77</v>
      </c>
      <c r="N208" s="1266">
        <f>(L208*11)</f>
        <v>22</v>
      </c>
    </row>
    <row r="209" spans="2:14" x14ac:dyDescent="0.3">
      <c r="B209" s="4492"/>
      <c r="C209" s="4509"/>
      <c r="D209" s="1266" t="s">
        <v>260</v>
      </c>
      <c r="E209" s="1266">
        <v>12</v>
      </c>
      <c r="F209" s="1266">
        <v>12</v>
      </c>
      <c r="G209" s="1266">
        <v>12</v>
      </c>
      <c r="H209" s="1266">
        <v>12</v>
      </c>
      <c r="I209" s="1266">
        <v>12</v>
      </c>
      <c r="J209" s="1266">
        <v>12</v>
      </c>
      <c r="K209" s="1266">
        <v>12</v>
      </c>
      <c r="L209" s="1266">
        <v>12</v>
      </c>
      <c r="M209" s="1266">
        <v>12</v>
      </c>
      <c r="N209" s="1266">
        <v>12</v>
      </c>
    </row>
    <row r="210" spans="2:14" x14ac:dyDescent="0.3">
      <c r="B210" s="4492"/>
      <c r="C210" s="4509"/>
      <c r="D210" s="1266" t="s">
        <v>261</v>
      </c>
      <c r="E210" s="1266">
        <f>E208*E209</f>
        <v>84</v>
      </c>
      <c r="F210" s="1266">
        <f t="shared" ref="F210:N210" si="45">F208*F209</f>
        <v>24</v>
      </c>
      <c r="G210" s="1266">
        <f t="shared" si="45"/>
        <v>84</v>
      </c>
      <c r="H210" s="1266">
        <f t="shared" si="45"/>
        <v>24</v>
      </c>
      <c r="I210" s="1266">
        <f t="shared" si="45"/>
        <v>84</v>
      </c>
      <c r="J210" s="1266">
        <f t="shared" si="45"/>
        <v>24</v>
      </c>
      <c r="K210" s="1266">
        <f t="shared" si="45"/>
        <v>84</v>
      </c>
      <c r="L210" s="1266">
        <f t="shared" si="45"/>
        <v>24</v>
      </c>
      <c r="M210" s="1266">
        <f t="shared" si="45"/>
        <v>924</v>
      </c>
      <c r="N210" s="1266">
        <f t="shared" si="45"/>
        <v>264</v>
      </c>
    </row>
    <row r="211" spans="2:14" x14ac:dyDescent="0.3">
      <c r="B211" s="4492"/>
      <c r="C211" s="4509" t="s">
        <v>522</v>
      </c>
      <c r="D211" s="1266" t="s">
        <v>259</v>
      </c>
      <c r="E211" s="1266">
        <v>6</v>
      </c>
      <c r="F211" s="1266">
        <v>1</v>
      </c>
      <c r="G211" s="1266">
        <v>6</v>
      </c>
      <c r="H211" s="1266">
        <v>1</v>
      </c>
      <c r="I211" s="1266">
        <v>6</v>
      </c>
      <c r="J211" s="1266">
        <v>1</v>
      </c>
      <c r="K211" s="1266">
        <f t="shared" si="44"/>
        <v>6</v>
      </c>
      <c r="L211" s="1266">
        <f t="shared" si="44"/>
        <v>1</v>
      </c>
      <c r="M211" s="1266">
        <f>(K211*11)</f>
        <v>66</v>
      </c>
      <c r="N211" s="1266">
        <f>(L211*11)</f>
        <v>11</v>
      </c>
    </row>
    <row r="212" spans="2:14" x14ac:dyDescent="0.3">
      <c r="B212" s="4492"/>
      <c r="C212" s="4509"/>
      <c r="D212" s="1266" t="s">
        <v>260</v>
      </c>
      <c r="E212" s="1266">
        <v>12</v>
      </c>
      <c r="F212" s="1266">
        <v>12</v>
      </c>
      <c r="G212" s="1266">
        <v>12</v>
      </c>
      <c r="H212" s="1266">
        <v>12</v>
      </c>
      <c r="I212" s="1266">
        <v>12</v>
      </c>
      <c r="J212" s="1266">
        <v>12</v>
      </c>
      <c r="K212" s="1266">
        <v>12</v>
      </c>
      <c r="L212" s="1266">
        <v>12</v>
      </c>
      <c r="M212" s="1266">
        <v>12</v>
      </c>
      <c r="N212" s="1266">
        <v>12</v>
      </c>
    </row>
    <row r="213" spans="2:14" x14ac:dyDescent="0.3">
      <c r="B213" s="4492"/>
      <c r="C213" s="4509"/>
      <c r="D213" s="1266" t="s">
        <v>261</v>
      </c>
      <c r="E213" s="1266">
        <f>E211*E212</f>
        <v>72</v>
      </c>
      <c r="F213" s="1266">
        <f t="shared" ref="F213:N213" si="46">F211*F212</f>
        <v>12</v>
      </c>
      <c r="G213" s="1266">
        <f t="shared" si="46"/>
        <v>72</v>
      </c>
      <c r="H213" s="1266">
        <f t="shared" si="46"/>
        <v>12</v>
      </c>
      <c r="I213" s="1266">
        <f t="shared" si="46"/>
        <v>72</v>
      </c>
      <c r="J213" s="1266">
        <f t="shared" si="46"/>
        <v>12</v>
      </c>
      <c r="K213" s="1266">
        <f t="shared" si="46"/>
        <v>72</v>
      </c>
      <c r="L213" s="1266">
        <f t="shared" si="46"/>
        <v>12</v>
      </c>
      <c r="M213" s="1266">
        <f t="shared" si="46"/>
        <v>792</v>
      </c>
      <c r="N213" s="1266">
        <f t="shared" si="46"/>
        <v>132</v>
      </c>
    </row>
    <row r="214" spans="2:14" x14ac:dyDescent="0.3">
      <c r="B214" s="4492"/>
      <c r="C214" s="4508" t="s">
        <v>523</v>
      </c>
      <c r="D214" s="1266" t="s">
        <v>259</v>
      </c>
      <c r="E214" s="1266">
        <v>0</v>
      </c>
      <c r="F214" s="1266"/>
      <c r="G214" s="1266">
        <v>0</v>
      </c>
      <c r="H214" s="1266"/>
      <c r="I214" s="1266">
        <v>0</v>
      </c>
      <c r="J214" s="1266"/>
      <c r="K214" s="1266">
        <f t="shared" si="44"/>
        <v>0</v>
      </c>
      <c r="L214" s="1266"/>
      <c r="M214" s="1266">
        <f>(K214*11)</f>
        <v>0</v>
      </c>
      <c r="N214" s="1266"/>
    </row>
    <row r="215" spans="2:14" x14ac:dyDescent="0.3">
      <c r="B215" s="4492"/>
      <c r="C215" s="4508"/>
      <c r="D215" s="1266" t="s">
        <v>260</v>
      </c>
      <c r="E215" s="1266">
        <v>0</v>
      </c>
      <c r="F215" s="1266"/>
      <c r="G215" s="1266">
        <v>0</v>
      </c>
      <c r="H215" s="1266"/>
      <c r="I215" s="1266">
        <v>0</v>
      </c>
      <c r="J215" s="1266"/>
      <c r="K215" s="1266">
        <f t="shared" si="44"/>
        <v>0</v>
      </c>
      <c r="L215" s="1266"/>
      <c r="M215" s="1266">
        <f>+K215</f>
        <v>0</v>
      </c>
      <c r="N215" s="1266"/>
    </row>
    <row r="216" spans="2:14" x14ac:dyDescent="0.3">
      <c r="B216" s="4492"/>
      <c r="C216" s="4508"/>
      <c r="D216" s="1266" t="s">
        <v>261</v>
      </c>
      <c r="E216" s="1266">
        <v>0</v>
      </c>
      <c r="F216" s="1266"/>
      <c r="G216" s="1266">
        <v>0</v>
      </c>
      <c r="H216" s="1266"/>
      <c r="I216" s="1266">
        <v>0</v>
      </c>
      <c r="J216" s="1266"/>
      <c r="K216" s="1266">
        <f t="shared" si="44"/>
        <v>0</v>
      </c>
      <c r="L216" s="1266"/>
      <c r="M216" s="1266">
        <f>M214*M215</f>
        <v>0</v>
      </c>
      <c r="N216" s="1266"/>
    </row>
    <row r="217" spans="2:14" x14ac:dyDescent="0.3">
      <c r="B217" s="4492"/>
      <c r="C217" s="1397" t="s">
        <v>266</v>
      </c>
      <c r="D217" s="1398"/>
      <c r="E217" s="1398">
        <v>5</v>
      </c>
      <c r="F217" s="1398">
        <v>2</v>
      </c>
      <c r="G217" s="1398">
        <v>5</v>
      </c>
      <c r="H217" s="1398">
        <v>2</v>
      </c>
      <c r="I217" s="1398">
        <v>5</v>
      </c>
      <c r="J217" s="1398">
        <v>2</v>
      </c>
      <c r="K217" s="1398">
        <v>5</v>
      </c>
      <c r="L217" s="1398">
        <v>2</v>
      </c>
      <c r="M217" s="1398">
        <v>5</v>
      </c>
      <c r="N217" s="1398">
        <v>2</v>
      </c>
    </row>
    <row r="218" spans="2:14" x14ac:dyDescent="0.3">
      <c r="B218" s="4492"/>
      <c r="C218" s="1397" t="s">
        <v>267</v>
      </c>
      <c r="D218" s="1398"/>
      <c r="E218" s="1399">
        <f>(E210+E213+E216)/E217</f>
        <v>31.2</v>
      </c>
      <c r="F218" s="1399">
        <f t="shared" ref="F218:N218" si="47">(F210+F213+F216)/F217</f>
        <v>18</v>
      </c>
      <c r="G218" s="1399">
        <f t="shared" si="47"/>
        <v>31.2</v>
      </c>
      <c r="H218" s="1399">
        <f t="shared" si="47"/>
        <v>18</v>
      </c>
      <c r="I218" s="1399">
        <f t="shared" si="47"/>
        <v>31.2</v>
      </c>
      <c r="J218" s="1399">
        <f t="shared" si="47"/>
        <v>18</v>
      </c>
      <c r="K218" s="1399">
        <f t="shared" si="47"/>
        <v>31.2</v>
      </c>
      <c r="L218" s="1399">
        <f t="shared" si="47"/>
        <v>18</v>
      </c>
      <c r="M218" s="1399">
        <f t="shared" si="47"/>
        <v>343.2</v>
      </c>
      <c r="N218" s="1399">
        <f t="shared" si="47"/>
        <v>198</v>
      </c>
    </row>
    <row r="219" spans="2:14" x14ac:dyDescent="0.3">
      <c r="B219" s="4507" t="s">
        <v>357</v>
      </c>
      <c r="C219" s="4509" t="s">
        <v>521</v>
      </c>
      <c r="D219" s="1266" t="s">
        <v>259</v>
      </c>
      <c r="E219" s="1266">
        <v>13</v>
      </c>
      <c r="F219" s="1266"/>
      <c r="G219" s="1266">
        <v>13</v>
      </c>
      <c r="H219" s="1266"/>
      <c r="I219" s="1266">
        <v>13</v>
      </c>
      <c r="J219" s="1266"/>
      <c r="K219" s="1266">
        <f t="shared" ref="K219:K227" si="48">(E219+G219+I219)/3</f>
        <v>13</v>
      </c>
      <c r="L219" s="1266"/>
      <c r="M219" s="1266">
        <f>(K219*11)</f>
        <v>143</v>
      </c>
      <c r="N219" s="1266"/>
    </row>
    <row r="220" spans="2:14" x14ac:dyDescent="0.3">
      <c r="B220" s="4507"/>
      <c r="C220" s="4509"/>
      <c r="D220" s="1266" t="s">
        <v>260</v>
      </c>
      <c r="E220" s="1266">
        <v>12</v>
      </c>
      <c r="F220" s="1266"/>
      <c r="G220" s="1266">
        <v>12</v>
      </c>
      <c r="H220" s="1266"/>
      <c r="I220" s="1266">
        <v>12</v>
      </c>
      <c r="J220" s="1266"/>
      <c r="K220" s="1266">
        <v>12</v>
      </c>
      <c r="L220" s="1266"/>
      <c r="M220" s="1266">
        <v>12</v>
      </c>
      <c r="N220" s="1266"/>
    </row>
    <row r="221" spans="2:14" x14ac:dyDescent="0.3">
      <c r="B221" s="4507"/>
      <c r="C221" s="4509"/>
      <c r="D221" s="1266" t="s">
        <v>261</v>
      </c>
      <c r="E221" s="1266">
        <f>E219*E220</f>
        <v>156</v>
      </c>
      <c r="F221" s="1266"/>
      <c r="G221" s="1266">
        <f>G219*G220</f>
        <v>156</v>
      </c>
      <c r="H221" s="1266"/>
      <c r="I221" s="1266">
        <f>I219*I220</f>
        <v>156</v>
      </c>
      <c r="J221" s="1266"/>
      <c r="K221" s="1266">
        <f t="shared" si="48"/>
        <v>156</v>
      </c>
      <c r="L221" s="1266"/>
      <c r="M221" s="1266">
        <f>M219*M220</f>
        <v>1716</v>
      </c>
      <c r="N221" s="1266"/>
    </row>
    <row r="222" spans="2:14" x14ac:dyDescent="0.3">
      <c r="B222" s="4507"/>
      <c r="C222" s="4509" t="s">
        <v>522</v>
      </c>
      <c r="D222" s="1266" t="s">
        <v>259</v>
      </c>
      <c r="E222" s="1266">
        <v>8</v>
      </c>
      <c r="F222" s="1266"/>
      <c r="G222" s="1266">
        <v>8</v>
      </c>
      <c r="H222" s="1266"/>
      <c r="I222" s="1266">
        <v>9</v>
      </c>
      <c r="J222" s="1266"/>
      <c r="K222" s="1268">
        <f t="shared" si="48"/>
        <v>8.3333333333333339</v>
      </c>
      <c r="L222" s="1268"/>
      <c r="M222" s="1268">
        <f>(K222*11)</f>
        <v>91.666666666666671</v>
      </c>
      <c r="N222" s="1266"/>
    </row>
    <row r="223" spans="2:14" x14ac:dyDescent="0.3">
      <c r="B223" s="4507"/>
      <c r="C223" s="4509"/>
      <c r="D223" s="1266" t="s">
        <v>260</v>
      </c>
      <c r="E223" s="1266">
        <v>12</v>
      </c>
      <c r="F223" s="1266"/>
      <c r="G223" s="1266">
        <v>12</v>
      </c>
      <c r="H223" s="1266"/>
      <c r="I223" s="1266">
        <v>12</v>
      </c>
      <c r="J223" s="1266"/>
      <c r="K223" s="1266">
        <v>12</v>
      </c>
      <c r="L223" s="1266"/>
      <c r="M223" s="1266">
        <v>12</v>
      </c>
      <c r="N223" s="1266"/>
    </row>
    <row r="224" spans="2:14" x14ac:dyDescent="0.3">
      <c r="B224" s="4507"/>
      <c r="C224" s="4509"/>
      <c r="D224" s="1266" t="s">
        <v>261</v>
      </c>
      <c r="E224" s="1266">
        <f>E222*E223</f>
        <v>96</v>
      </c>
      <c r="F224" s="1266"/>
      <c r="G224" s="1266">
        <f>G222*G223</f>
        <v>96</v>
      </c>
      <c r="H224" s="1266"/>
      <c r="I224" s="1266">
        <f>I222*I223</f>
        <v>108</v>
      </c>
      <c r="J224" s="1266"/>
      <c r="K224" s="1266">
        <f t="shared" si="48"/>
        <v>100</v>
      </c>
      <c r="L224" s="1266"/>
      <c r="M224" s="1266">
        <f>M222*M223</f>
        <v>1100</v>
      </c>
      <c r="N224" s="1266"/>
    </row>
    <row r="225" spans="2:14" x14ac:dyDescent="0.3">
      <c r="B225" s="4507"/>
      <c r="C225" s="4508" t="s">
        <v>523</v>
      </c>
      <c r="D225" s="1266" t="s">
        <v>259</v>
      </c>
      <c r="E225" s="1266">
        <v>0</v>
      </c>
      <c r="F225" s="1266"/>
      <c r="G225" s="1266">
        <v>0</v>
      </c>
      <c r="H225" s="1266"/>
      <c r="I225" s="1266">
        <v>0</v>
      </c>
      <c r="J225" s="1266"/>
      <c r="K225" s="1266">
        <f t="shared" si="48"/>
        <v>0</v>
      </c>
      <c r="L225" s="1266"/>
      <c r="M225" s="1266">
        <f>(K225*11)</f>
        <v>0</v>
      </c>
      <c r="N225" s="1266"/>
    </row>
    <row r="226" spans="2:14" x14ac:dyDescent="0.3">
      <c r="B226" s="4507"/>
      <c r="C226" s="4508"/>
      <c r="D226" s="1266" t="s">
        <v>260</v>
      </c>
      <c r="E226" s="1266">
        <v>0</v>
      </c>
      <c r="F226" s="1266"/>
      <c r="G226" s="1266">
        <v>0</v>
      </c>
      <c r="H226" s="1266"/>
      <c r="I226" s="1266">
        <v>0</v>
      </c>
      <c r="J226" s="1266"/>
      <c r="K226" s="1266">
        <f t="shared" si="48"/>
        <v>0</v>
      </c>
      <c r="L226" s="1266"/>
      <c r="M226" s="1266">
        <f>+K226</f>
        <v>0</v>
      </c>
      <c r="N226" s="1266"/>
    </row>
    <row r="227" spans="2:14" x14ac:dyDescent="0.3">
      <c r="B227" s="4507"/>
      <c r="C227" s="4508"/>
      <c r="D227" s="1266" t="s">
        <v>261</v>
      </c>
      <c r="E227" s="1266">
        <v>0</v>
      </c>
      <c r="F227" s="1266"/>
      <c r="G227" s="1266">
        <v>0</v>
      </c>
      <c r="H227" s="1266"/>
      <c r="I227" s="1266">
        <v>0</v>
      </c>
      <c r="J227" s="1266"/>
      <c r="K227" s="1266">
        <f t="shared" si="48"/>
        <v>0</v>
      </c>
      <c r="L227" s="1266"/>
      <c r="M227" s="1266">
        <f>M225*M226</f>
        <v>0</v>
      </c>
      <c r="N227" s="1266"/>
    </row>
    <row r="228" spans="2:14" x14ac:dyDescent="0.3">
      <c r="B228" s="4507"/>
      <c r="C228" s="1397" t="s">
        <v>359</v>
      </c>
      <c r="D228" s="1398"/>
      <c r="E228" s="1398">
        <v>10</v>
      </c>
      <c r="F228" s="1398"/>
      <c r="G228" s="1398">
        <v>10</v>
      </c>
      <c r="H228" s="1398"/>
      <c r="I228" s="1398">
        <v>10</v>
      </c>
      <c r="J228" s="1398"/>
      <c r="K228" s="1398">
        <v>10</v>
      </c>
      <c r="L228" s="1398"/>
      <c r="M228" s="1398">
        <v>10</v>
      </c>
      <c r="N228" s="1398"/>
    </row>
    <row r="229" spans="2:14" x14ac:dyDescent="0.3">
      <c r="B229" s="4507"/>
      <c r="C229" s="1397" t="s">
        <v>360</v>
      </c>
      <c r="D229" s="1398"/>
      <c r="E229" s="1399">
        <f>(E221+E224+E227)/E228</f>
        <v>25.2</v>
      </c>
      <c r="F229" s="1399"/>
      <c r="G229" s="1399">
        <f>(G221+G224+G227)/G228</f>
        <v>25.2</v>
      </c>
      <c r="H229" s="1399"/>
      <c r="I229" s="1399">
        <f>(I221+I224+I227)/I228</f>
        <v>26.4</v>
      </c>
      <c r="J229" s="1399"/>
      <c r="K229" s="1399">
        <f>(K221+K224+K227)/K228</f>
        <v>25.6</v>
      </c>
      <c r="L229" s="1399"/>
      <c r="M229" s="1399">
        <f>(M221+M224+M227)/M228</f>
        <v>281.60000000000002</v>
      </c>
      <c r="N229" s="1399"/>
    </row>
    <row r="231" spans="2:14" x14ac:dyDescent="0.3">
      <c r="B231" s="3" t="s">
        <v>1259</v>
      </c>
      <c r="C231" s="688"/>
      <c r="D231" s="3"/>
      <c r="E231" s="3"/>
      <c r="F231" s="3"/>
      <c r="G231" s="3"/>
      <c r="H231" s="3"/>
      <c r="I231" s="3"/>
      <c r="J231" s="3"/>
      <c r="K231" s="3"/>
      <c r="L231" s="3"/>
      <c r="M231" s="3"/>
      <c r="N231" s="3"/>
    </row>
    <row r="232" spans="2:14" x14ac:dyDescent="0.3">
      <c r="B232" s="4496" t="s">
        <v>246</v>
      </c>
      <c r="C232" s="4499" t="s">
        <v>247</v>
      </c>
      <c r="D232" s="4499" t="s">
        <v>248</v>
      </c>
      <c r="E232" s="4502" t="s">
        <v>249</v>
      </c>
      <c r="F232" s="4502"/>
      <c r="G232" s="4502"/>
      <c r="H232" s="4502"/>
      <c r="I232" s="4502"/>
      <c r="J232" s="4502"/>
      <c r="K232" s="4502"/>
      <c r="L232" s="4502"/>
      <c r="M232" s="4502"/>
      <c r="N232" s="4503"/>
    </row>
    <row r="233" spans="2:14" x14ac:dyDescent="0.3">
      <c r="B233" s="4497"/>
      <c r="C233" s="4500"/>
      <c r="D233" s="4500"/>
      <c r="E233" s="4148" t="s">
        <v>250</v>
      </c>
      <c r="F233" s="4148"/>
      <c r="G233" s="4148" t="s">
        <v>251</v>
      </c>
      <c r="H233" s="4148"/>
      <c r="I233" s="4148" t="s">
        <v>252</v>
      </c>
      <c r="J233" s="4148"/>
      <c r="K233" s="4148" t="s">
        <v>253</v>
      </c>
      <c r="L233" s="4148"/>
      <c r="M233" s="4148" t="s">
        <v>254</v>
      </c>
      <c r="N233" s="4504"/>
    </row>
    <row r="234" spans="2:14" x14ac:dyDescent="0.3">
      <c r="B234" s="4498"/>
      <c r="C234" s="4501"/>
      <c r="D234" s="4501"/>
      <c r="E234" s="1272" t="s">
        <v>255</v>
      </c>
      <c r="F234" s="1272" t="s">
        <v>256</v>
      </c>
      <c r="G234" s="1272" t="s">
        <v>255</v>
      </c>
      <c r="H234" s="1272" t="s">
        <v>256</v>
      </c>
      <c r="I234" s="1272" t="s">
        <v>255</v>
      </c>
      <c r="J234" s="1272" t="s">
        <v>256</v>
      </c>
      <c r="K234" s="1272" t="s">
        <v>255</v>
      </c>
      <c r="L234" s="1272" t="s">
        <v>256</v>
      </c>
      <c r="M234" s="1272" t="s">
        <v>255</v>
      </c>
      <c r="N234" s="1273" t="s">
        <v>256</v>
      </c>
    </row>
    <row r="235" spans="2:14" x14ac:dyDescent="0.3">
      <c r="B235" s="4505" t="s">
        <v>257</v>
      </c>
      <c r="C235" s="4509" t="s">
        <v>3683</v>
      </c>
      <c r="D235" s="1274" t="s">
        <v>259</v>
      </c>
      <c r="E235" s="1274">
        <v>4</v>
      </c>
      <c r="F235" s="1274"/>
      <c r="G235" s="1274">
        <v>5</v>
      </c>
      <c r="H235" s="1274"/>
      <c r="I235" s="1274">
        <v>5</v>
      </c>
      <c r="J235" s="1274"/>
      <c r="K235" s="1275">
        <f>(E235+G235+I235)/3</f>
        <v>4.666666666666667</v>
      </c>
      <c r="L235" s="1275"/>
      <c r="M235" s="1275">
        <f>(K235*11)</f>
        <v>51.333333333333336</v>
      </c>
      <c r="N235" s="1274"/>
    </row>
    <row r="236" spans="2:14" x14ac:dyDescent="0.3">
      <c r="B236" s="4505"/>
      <c r="C236" s="4509"/>
      <c r="D236" s="1274" t="s">
        <v>260</v>
      </c>
      <c r="E236" s="1274">
        <v>12</v>
      </c>
      <c r="F236" s="1274"/>
      <c r="G236" s="1274">
        <v>12</v>
      </c>
      <c r="H236" s="1274"/>
      <c r="I236" s="1274">
        <v>12</v>
      </c>
      <c r="J236" s="1274"/>
      <c r="K236" s="1274">
        <f>(E236+G236+I236)/3</f>
        <v>12</v>
      </c>
      <c r="L236" s="1274"/>
      <c r="M236" s="1274">
        <f>+K236</f>
        <v>12</v>
      </c>
      <c r="N236" s="1274"/>
    </row>
    <row r="237" spans="2:14" x14ac:dyDescent="0.3">
      <c r="B237" s="4505"/>
      <c r="C237" s="4509"/>
      <c r="D237" s="1274" t="s">
        <v>261</v>
      </c>
      <c r="E237" s="1274">
        <f>E235*E236</f>
        <v>48</v>
      </c>
      <c r="F237" s="1274"/>
      <c r="G237" s="1274">
        <f>G235*G236</f>
        <v>60</v>
      </c>
      <c r="H237" s="1274"/>
      <c r="I237" s="1274">
        <f>I235*I236</f>
        <v>60</v>
      </c>
      <c r="J237" s="1274"/>
      <c r="K237" s="1274">
        <f>(E237+G237+I237)/3</f>
        <v>56</v>
      </c>
      <c r="L237" s="1274"/>
      <c r="M237" s="1274">
        <f>M235*M236</f>
        <v>616</v>
      </c>
      <c r="N237" s="1274"/>
    </row>
    <row r="238" spans="2:14" x14ac:dyDescent="0.3">
      <c r="B238" s="4505"/>
      <c r="C238" s="1400" t="s">
        <v>263</v>
      </c>
      <c r="D238" s="1401"/>
      <c r="E238" s="1401">
        <v>4</v>
      </c>
      <c r="F238" s="1401"/>
      <c r="G238" s="1401">
        <v>4</v>
      </c>
      <c r="H238" s="1401"/>
      <c r="I238" s="1401">
        <v>4</v>
      </c>
      <c r="J238" s="1401"/>
      <c r="K238" s="1401">
        <v>4</v>
      </c>
      <c r="L238" s="1401"/>
      <c r="M238" s="1401">
        <v>4</v>
      </c>
      <c r="N238" s="1401"/>
    </row>
    <row r="239" spans="2:14" x14ac:dyDescent="0.3">
      <c r="B239" s="4505"/>
      <c r="C239" s="1400" t="s">
        <v>264</v>
      </c>
      <c r="D239" s="1401"/>
      <c r="E239" s="1401">
        <f>(E237)/E238</f>
        <v>12</v>
      </c>
      <c r="F239" s="1401"/>
      <c r="G239" s="1401">
        <f>(G237)/G238</f>
        <v>15</v>
      </c>
      <c r="H239" s="1401"/>
      <c r="I239" s="1401">
        <f>(I237)/I238</f>
        <v>15</v>
      </c>
      <c r="J239" s="1401"/>
      <c r="K239" s="1401">
        <f>(K237)/K238</f>
        <v>14</v>
      </c>
      <c r="L239" s="1401"/>
      <c r="M239" s="1401">
        <f>(M237)/M238</f>
        <v>154</v>
      </c>
      <c r="N239" s="1401"/>
    </row>
    <row r="240" spans="2:14" ht="14.45" customHeight="1" x14ac:dyDescent="0.3">
      <c r="B240" s="4512" t="s">
        <v>1260</v>
      </c>
      <c r="C240" s="4512" t="s">
        <v>258</v>
      </c>
      <c r="D240" s="1274" t="s">
        <v>259</v>
      </c>
      <c r="E240" s="1274">
        <v>5</v>
      </c>
      <c r="F240" s="1274">
        <v>1</v>
      </c>
      <c r="G240" s="1274">
        <v>5</v>
      </c>
      <c r="H240" s="1274">
        <v>1</v>
      </c>
      <c r="I240" s="1274">
        <v>5</v>
      </c>
      <c r="J240" s="1274">
        <v>1</v>
      </c>
      <c r="K240" s="1274">
        <f>(E240+G240+I240)/3</f>
        <v>5</v>
      </c>
      <c r="L240" s="1274">
        <f>(F240+H240+J240)/3</f>
        <v>1</v>
      </c>
      <c r="M240" s="1274">
        <f>(K240*11)</f>
        <v>55</v>
      </c>
      <c r="N240" s="1274">
        <f>(L240*11)</f>
        <v>11</v>
      </c>
    </row>
    <row r="241" spans="2:14" x14ac:dyDescent="0.3">
      <c r="B241" s="4513"/>
      <c r="C241" s="4513"/>
      <c r="D241" s="1274" t="s">
        <v>260</v>
      </c>
      <c r="E241" s="1274">
        <v>6</v>
      </c>
      <c r="F241" s="1274">
        <v>6</v>
      </c>
      <c r="G241" s="1274">
        <v>6</v>
      </c>
      <c r="H241" s="1274">
        <v>6</v>
      </c>
      <c r="I241" s="1274">
        <v>6</v>
      </c>
      <c r="J241" s="1274">
        <v>6</v>
      </c>
      <c r="K241" s="1274">
        <v>6</v>
      </c>
      <c r="L241" s="1274">
        <v>6</v>
      </c>
      <c r="M241" s="1274">
        <v>6</v>
      </c>
      <c r="N241" s="1274">
        <v>6</v>
      </c>
    </row>
    <row r="242" spans="2:14" x14ac:dyDescent="0.3">
      <c r="B242" s="4513"/>
      <c r="C242" s="4514"/>
      <c r="D242" s="1274" t="s">
        <v>261</v>
      </c>
      <c r="E242" s="1274">
        <f t="shared" ref="E242:N242" si="49">E240*E241</f>
        <v>30</v>
      </c>
      <c r="F242" s="1274">
        <f t="shared" si="49"/>
        <v>6</v>
      </c>
      <c r="G242" s="1274">
        <f t="shared" si="49"/>
        <v>30</v>
      </c>
      <c r="H242" s="1274">
        <f t="shared" si="49"/>
        <v>6</v>
      </c>
      <c r="I242" s="1274">
        <f t="shared" si="49"/>
        <v>30</v>
      </c>
      <c r="J242" s="1274">
        <f t="shared" si="49"/>
        <v>6</v>
      </c>
      <c r="K242" s="1274">
        <f t="shared" si="49"/>
        <v>30</v>
      </c>
      <c r="L242" s="1274">
        <f t="shared" si="49"/>
        <v>6</v>
      </c>
      <c r="M242" s="1274">
        <f t="shared" si="49"/>
        <v>330</v>
      </c>
      <c r="N242" s="1274">
        <f t="shared" si="49"/>
        <v>66</v>
      </c>
    </row>
    <row r="243" spans="2:14" x14ac:dyDescent="0.3">
      <c r="B243" s="4513"/>
      <c r="C243" s="4505" t="s">
        <v>262</v>
      </c>
      <c r="D243" s="1274" t="s">
        <v>259</v>
      </c>
      <c r="E243" s="1274">
        <v>5</v>
      </c>
      <c r="F243" s="1274">
        <v>1</v>
      </c>
      <c r="G243" s="1274">
        <v>5</v>
      </c>
      <c r="H243" s="1274">
        <v>1</v>
      </c>
      <c r="I243" s="1274">
        <v>5</v>
      </c>
      <c r="J243" s="1274">
        <v>1</v>
      </c>
      <c r="K243" s="1274">
        <f>(E243+G243+I243)/3</f>
        <v>5</v>
      </c>
      <c r="L243" s="1274">
        <f>(F243+H243+J243)/3</f>
        <v>1</v>
      </c>
      <c r="M243" s="1274">
        <f>(K243*11)</f>
        <v>55</v>
      </c>
      <c r="N243" s="1274">
        <f>(L243*11)</f>
        <v>11</v>
      </c>
    </row>
    <row r="244" spans="2:14" x14ac:dyDescent="0.3">
      <c r="B244" s="4513"/>
      <c r="C244" s="4505"/>
      <c r="D244" s="1274" t="s">
        <v>260</v>
      </c>
      <c r="E244" s="1274">
        <v>6</v>
      </c>
      <c r="F244" s="1274">
        <v>6</v>
      </c>
      <c r="G244" s="1274">
        <v>6</v>
      </c>
      <c r="H244" s="1274">
        <v>6</v>
      </c>
      <c r="I244" s="1274">
        <v>6</v>
      </c>
      <c r="J244" s="1274">
        <v>6</v>
      </c>
      <c r="K244" s="1274">
        <v>6</v>
      </c>
      <c r="L244" s="1274">
        <v>6</v>
      </c>
      <c r="M244" s="1274">
        <v>6</v>
      </c>
      <c r="N244" s="1274">
        <v>6</v>
      </c>
    </row>
    <row r="245" spans="2:14" x14ac:dyDescent="0.3">
      <c r="B245" s="4513"/>
      <c r="C245" s="4505"/>
      <c r="D245" s="1274" t="s">
        <v>261</v>
      </c>
      <c r="E245" s="1274">
        <f>E243*E244</f>
        <v>30</v>
      </c>
      <c r="F245" s="1274">
        <f t="shared" ref="F245:N245" si="50">F243*F244</f>
        <v>6</v>
      </c>
      <c r="G245" s="1274">
        <f t="shared" si="50"/>
        <v>30</v>
      </c>
      <c r="H245" s="1274">
        <f t="shared" si="50"/>
        <v>6</v>
      </c>
      <c r="I245" s="1274">
        <f t="shared" si="50"/>
        <v>30</v>
      </c>
      <c r="J245" s="1274">
        <f t="shared" si="50"/>
        <v>6</v>
      </c>
      <c r="K245" s="1274">
        <f t="shared" si="50"/>
        <v>30</v>
      </c>
      <c r="L245" s="1274">
        <f t="shared" si="50"/>
        <v>6</v>
      </c>
      <c r="M245" s="1274">
        <f t="shared" si="50"/>
        <v>330</v>
      </c>
      <c r="N245" s="1274">
        <f t="shared" si="50"/>
        <v>66</v>
      </c>
    </row>
    <row r="246" spans="2:14" x14ac:dyDescent="0.3">
      <c r="B246" s="4513"/>
      <c r="C246" s="1400" t="s">
        <v>266</v>
      </c>
      <c r="D246" s="1401"/>
      <c r="E246" s="1401">
        <v>5</v>
      </c>
      <c r="F246" s="1401">
        <v>2</v>
      </c>
      <c r="G246" s="1401">
        <v>5</v>
      </c>
      <c r="H246" s="1401">
        <v>2</v>
      </c>
      <c r="I246" s="1401">
        <v>5</v>
      </c>
      <c r="J246" s="1401">
        <v>2</v>
      </c>
      <c r="K246" s="1401">
        <v>5</v>
      </c>
      <c r="L246" s="1401">
        <v>2</v>
      </c>
      <c r="M246" s="1401">
        <v>5</v>
      </c>
      <c r="N246" s="1401">
        <v>2</v>
      </c>
    </row>
    <row r="247" spans="2:14" x14ac:dyDescent="0.3">
      <c r="B247" s="4514"/>
      <c r="C247" s="1400" t="s">
        <v>267</v>
      </c>
      <c r="D247" s="1401"/>
      <c r="E247" s="1402">
        <f>(E245+E242)/E246</f>
        <v>12</v>
      </c>
      <c r="F247" s="1402">
        <f t="shared" ref="F247:N247" si="51">(F245+F242)/F246</f>
        <v>6</v>
      </c>
      <c r="G247" s="1402">
        <f t="shared" si="51"/>
        <v>12</v>
      </c>
      <c r="H247" s="1402">
        <f t="shared" si="51"/>
        <v>6</v>
      </c>
      <c r="I247" s="1402">
        <f t="shared" si="51"/>
        <v>12</v>
      </c>
      <c r="J247" s="1402">
        <f t="shared" si="51"/>
        <v>6</v>
      </c>
      <c r="K247" s="1402">
        <f t="shared" si="51"/>
        <v>12</v>
      </c>
      <c r="L247" s="1402">
        <f t="shared" si="51"/>
        <v>6</v>
      </c>
      <c r="M247" s="1402">
        <f t="shared" si="51"/>
        <v>132</v>
      </c>
      <c r="N247" s="1402">
        <f t="shared" si="51"/>
        <v>66</v>
      </c>
    </row>
    <row r="248" spans="2:14" x14ac:dyDescent="0.3">
      <c r="B248" s="4505" t="s">
        <v>353</v>
      </c>
      <c r="C248" s="4509" t="s">
        <v>3683</v>
      </c>
      <c r="D248" s="1274" t="s">
        <v>259</v>
      </c>
      <c r="E248" s="1274">
        <v>1</v>
      </c>
      <c r="F248" s="1274">
        <v>4</v>
      </c>
      <c r="G248" s="1274">
        <v>1</v>
      </c>
      <c r="H248" s="1274">
        <v>4</v>
      </c>
      <c r="I248" s="1274">
        <v>1</v>
      </c>
      <c r="J248" s="1274">
        <v>5</v>
      </c>
      <c r="K248" s="1274">
        <f>(E248+G248+I248)/3</f>
        <v>1</v>
      </c>
      <c r="L248" s="1275">
        <f>(F248+H248+J248)/3</f>
        <v>4.333333333333333</v>
      </c>
      <c r="M248" s="1275">
        <f>(K248*11)</f>
        <v>11</v>
      </c>
      <c r="N248" s="1275">
        <f>(L248*11)</f>
        <v>47.666666666666664</v>
      </c>
    </row>
    <row r="249" spans="2:14" x14ac:dyDescent="0.3">
      <c r="B249" s="4505"/>
      <c r="C249" s="4509"/>
      <c r="D249" s="1274" t="s">
        <v>260</v>
      </c>
      <c r="E249" s="1274">
        <v>12</v>
      </c>
      <c r="F249" s="1274">
        <v>12</v>
      </c>
      <c r="G249" s="1274">
        <v>12</v>
      </c>
      <c r="H249" s="1274">
        <v>12</v>
      </c>
      <c r="I249" s="1274">
        <v>12</v>
      </c>
      <c r="J249" s="1274">
        <v>12</v>
      </c>
      <c r="K249" s="1274">
        <v>12</v>
      </c>
      <c r="L249" s="1274">
        <v>12</v>
      </c>
      <c r="M249" s="1274">
        <v>12</v>
      </c>
      <c r="N249" s="1274">
        <v>12</v>
      </c>
    </row>
    <row r="250" spans="2:14" x14ac:dyDescent="0.3">
      <c r="B250" s="4505"/>
      <c r="C250" s="4509"/>
      <c r="D250" s="1274" t="s">
        <v>261</v>
      </c>
      <c r="E250" s="1274">
        <f>E248*E249</f>
        <v>12</v>
      </c>
      <c r="F250" s="1274">
        <f t="shared" ref="F250:N250" si="52">F248*F249</f>
        <v>48</v>
      </c>
      <c r="G250" s="1274">
        <f t="shared" si="52"/>
        <v>12</v>
      </c>
      <c r="H250" s="1274">
        <f t="shared" si="52"/>
        <v>48</v>
      </c>
      <c r="I250" s="1274">
        <f t="shared" si="52"/>
        <v>12</v>
      </c>
      <c r="J250" s="1274">
        <f t="shared" si="52"/>
        <v>60</v>
      </c>
      <c r="K250" s="1274">
        <f t="shared" si="52"/>
        <v>12</v>
      </c>
      <c r="L250" s="1274">
        <f t="shared" si="52"/>
        <v>52</v>
      </c>
      <c r="M250" s="1274">
        <f t="shared" si="52"/>
        <v>132</v>
      </c>
      <c r="N250" s="1274">
        <f t="shared" si="52"/>
        <v>572</v>
      </c>
    </row>
    <row r="251" spans="2:14" x14ac:dyDescent="0.3">
      <c r="B251" s="4505"/>
      <c r="C251" s="1400" t="s">
        <v>354</v>
      </c>
      <c r="D251" s="1401"/>
      <c r="E251" s="1401">
        <v>1</v>
      </c>
      <c r="F251" s="1401">
        <v>3</v>
      </c>
      <c r="G251" s="1401">
        <v>1</v>
      </c>
      <c r="H251" s="1401">
        <v>3</v>
      </c>
      <c r="I251" s="1401">
        <v>1</v>
      </c>
      <c r="J251" s="1401">
        <v>3</v>
      </c>
      <c r="K251" s="1401">
        <v>1</v>
      </c>
      <c r="L251" s="1401">
        <v>3</v>
      </c>
      <c r="M251" s="1401">
        <v>1</v>
      </c>
      <c r="N251" s="1401">
        <v>3</v>
      </c>
    </row>
    <row r="252" spans="2:14" x14ac:dyDescent="0.3">
      <c r="B252" s="4505"/>
      <c r="C252" s="1400" t="s">
        <v>355</v>
      </c>
      <c r="D252" s="1401"/>
      <c r="E252" s="1402">
        <f>(E250)/E251</f>
        <v>12</v>
      </c>
      <c r="F252" s="1402">
        <f t="shared" ref="F252:N252" si="53">(F250)/F251</f>
        <v>16</v>
      </c>
      <c r="G252" s="1402">
        <f t="shared" si="53"/>
        <v>12</v>
      </c>
      <c r="H252" s="1402">
        <f t="shared" si="53"/>
        <v>16</v>
      </c>
      <c r="I252" s="1402">
        <f t="shared" si="53"/>
        <v>12</v>
      </c>
      <c r="J252" s="1402">
        <f t="shared" si="53"/>
        <v>20</v>
      </c>
      <c r="K252" s="1402">
        <f t="shared" si="53"/>
        <v>12</v>
      </c>
      <c r="L252" s="1402">
        <f t="shared" si="53"/>
        <v>17.333333333333332</v>
      </c>
      <c r="M252" s="1402">
        <f t="shared" si="53"/>
        <v>132</v>
      </c>
      <c r="N252" s="1402">
        <f t="shared" si="53"/>
        <v>190.66666666666666</v>
      </c>
    </row>
    <row r="253" spans="2:14" x14ac:dyDescent="0.3">
      <c r="B253" s="4511" t="s">
        <v>216</v>
      </c>
      <c r="C253" s="4509" t="s">
        <v>3683</v>
      </c>
      <c r="D253" s="1274" t="s">
        <v>259</v>
      </c>
      <c r="E253" s="1274">
        <v>6</v>
      </c>
      <c r="F253" s="1274"/>
      <c r="G253" s="1274">
        <v>6</v>
      </c>
      <c r="H253" s="1274"/>
      <c r="I253" s="1274">
        <v>6</v>
      </c>
      <c r="J253" s="1274"/>
      <c r="K253" s="1274">
        <f>(E253+G253+I253)/3</f>
        <v>6</v>
      </c>
      <c r="L253" s="1274"/>
      <c r="M253" s="1274">
        <f>(K253*11)</f>
        <v>66</v>
      </c>
      <c r="N253" s="1274"/>
    </row>
    <row r="254" spans="2:14" x14ac:dyDescent="0.3">
      <c r="B254" s="4511"/>
      <c r="C254" s="4509"/>
      <c r="D254" s="1274" t="s">
        <v>260</v>
      </c>
      <c r="E254" s="1274">
        <v>12</v>
      </c>
      <c r="F254" s="1274"/>
      <c r="G254" s="1274">
        <v>12</v>
      </c>
      <c r="H254" s="1274"/>
      <c r="I254" s="1274">
        <v>12</v>
      </c>
      <c r="J254" s="1274"/>
      <c r="K254" s="1274">
        <f>(E254+G254+I254)/3</f>
        <v>12</v>
      </c>
      <c r="L254" s="1274"/>
      <c r="M254" s="1274">
        <f>+K254</f>
        <v>12</v>
      </c>
      <c r="N254" s="1274"/>
    </row>
    <row r="255" spans="2:14" x14ac:dyDescent="0.3">
      <c r="B255" s="4511"/>
      <c r="C255" s="4509"/>
      <c r="D255" s="1274" t="s">
        <v>261</v>
      </c>
      <c r="E255" s="1274">
        <f>E253*E254</f>
        <v>72</v>
      </c>
      <c r="F255" s="1274"/>
      <c r="G255" s="1274">
        <f>G253*G254</f>
        <v>72</v>
      </c>
      <c r="H255" s="1274"/>
      <c r="I255" s="1274">
        <f>I253*I254</f>
        <v>72</v>
      </c>
      <c r="J255" s="1274"/>
      <c r="K255" s="1274">
        <f>(E255+G255+I255)/3</f>
        <v>72</v>
      </c>
      <c r="L255" s="1274"/>
      <c r="M255" s="1274">
        <f>M253*M254</f>
        <v>792</v>
      </c>
      <c r="N255" s="1274"/>
    </row>
    <row r="256" spans="2:14" x14ac:dyDescent="0.3">
      <c r="B256" s="4511"/>
      <c r="C256" s="1400" t="s">
        <v>377</v>
      </c>
      <c r="D256" s="1401"/>
      <c r="E256" s="1401">
        <v>2</v>
      </c>
      <c r="F256" s="1401"/>
      <c r="G256" s="1401">
        <v>2</v>
      </c>
      <c r="H256" s="1401"/>
      <c r="I256" s="1401">
        <v>2</v>
      </c>
      <c r="J256" s="1401"/>
      <c r="K256" s="1401">
        <v>2</v>
      </c>
      <c r="L256" s="1401"/>
      <c r="M256" s="1401">
        <v>2</v>
      </c>
      <c r="N256" s="1401"/>
    </row>
    <row r="257" spans="2:14" x14ac:dyDescent="0.3">
      <c r="B257" s="4511"/>
      <c r="C257" s="1400" t="s">
        <v>376</v>
      </c>
      <c r="D257" s="1401"/>
      <c r="E257" s="1402">
        <f>(E255)/E256</f>
        <v>36</v>
      </c>
      <c r="F257" s="1402"/>
      <c r="G257" s="1402">
        <f>(G255)/G256</f>
        <v>36</v>
      </c>
      <c r="H257" s="1402"/>
      <c r="I257" s="1402">
        <f>(I255)/I256</f>
        <v>36</v>
      </c>
      <c r="J257" s="1402"/>
      <c r="K257" s="1402">
        <f>(K255)/K256</f>
        <v>36</v>
      </c>
      <c r="L257" s="1402"/>
      <c r="M257" s="1402">
        <f>(M255)/M256</f>
        <v>396</v>
      </c>
      <c r="N257" s="1402"/>
    </row>
    <row r="258" spans="2:14" x14ac:dyDescent="0.3">
      <c r="B258" s="4511" t="s">
        <v>375</v>
      </c>
      <c r="C258" s="4509" t="s">
        <v>3683</v>
      </c>
      <c r="D258" s="1274" t="s">
        <v>259</v>
      </c>
      <c r="E258" s="1274">
        <v>5</v>
      </c>
      <c r="F258" s="1274"/>
      <c r="G258" s="1274">
        <v>5</v>
      </c>
      <c r="H258" s="1274"/>
      <c r="I258" s="1274">
        <v>5</v>
      </c>
      <c r="J258" s="1274"/>
      <c r="K258" s="1274">
        <f>(E258+G258+I258)/3</f>
        <v>5</v>
      </c>
      <c r="L258" s="1274"/>
      <c r="M258" s="1274">
        <f>(K258*11)</f>
        <v>55</v>
      </c>
      <c r="N258" s="1274"/>
    </row>
    <row r="259" spans="2:14" x14ac:dyDescent="0.3">
      <c r="B259" s="4511"/>
      <c r="C259" s="4509"/>
      <c r="D259" s="1274" t="s">
        <v>260</v>
      </c>
      <c r="E259" s="1274">
        <v>12</v>
      </c>
      <c r="F259" s="1274"/>
      <c r="G259" s="1274">
        <v>12</v>
      </c>
      <c r="H259" s="1274"/>
      <c r="I259" s="1274">
        <v>12</v>
      </c>
      <c r="J259" s="1274"/>
      <c r="K259" s="1274">
        <f>(E259+G259+I259)/3</f>
        <v>12</v>
      </c>
      <c r="L259" s="1274"/>
      <c r="M259" s="1274">
        <f>+K259</f>
        <v>12</v>
      </c>
      <c r="N259" s="1274"/>
    </row>
    <row r="260" spans="2:14" x14ac:dyDescent="0.3">
      <c r="B260" s="4511"/>
      <c r="C260" s="4509"/>
      <c r="D260" s="1274" t="s">
        <v>261</v>
      </c>
      <c r="E260" s="1274">
        <f>E258*E259</f>
        <v>60</v>
      </c>
      <c r="F260" s="1274"/>
      <c r="G260" s="1274">
        <f>G258*G259</f>
        <v>60</v>
      </c>
      <c r="H260" s="1274"/>
      <c r="I260" s="1274">
        <f>I258*I259</f>
        <v>60</v>
      </c>
      <c r="J260" s="1274"/>
      <c r="K260" s="1274">
        <f>(E260+G260+I260)/3</f>
        <v>60</v>
      </c>
      <c r="L260" s="1274"/>
      <c r="M260" s="1274">
        <f>M258*M259</f>
        <v>660</v>
      </c>
      <c r="N260" s="1274"/>
    </row>
    <row r="261" spans="2:14" x14ac:dyDescent="0.3">
      <c r="B261" s="4511"/>
      <c r="C261" s="1400" t="s">
        <v>356</v>
      </c>
      <c r="D261" s="1401"/>
      <c r="E261" s="1401">
        <v>1</v>
      </c>
      <c r="F261" s="1401"/>
      <c r="G261" s="1401">
        <v>1</v>
      </c>
      <c r="H261" s="1401"/>
      <c r="I261" s="1401">
        <v>1</v>
      </c>
      <c r="J261" s="1401"/>
      <c r="K261" s="1401">
        <v>1</v>
      </c>
      <c r="L261" s="1401"/>
      <c r="M261" s="1401">
        <v>1</v>
      </c>
      <c r="N261" s="1401"/>
    </row>
    <row r="262" spans="2:14" x14ac:dyDescent="0.3">
      <c r="B262" s="4511"/>
      <c r="C262" s="1400" t="s">
        <v>380</v>
      </c>
      <c r="D262" s="1401"/>
      <c r="E262" s="1402">
        <f>(E260)/E261</f>
        <v>60</v>
      </c>
      <c r="F262" s="1402"/>
      <c r="G262" s="1402">
        <f>(G260)/G261</f>
        <v>60</v>
      </c>
      <c r="H262" s="1402"/>
      <c r="I262" s="1402">
        <f>(I260)/I261</f>
        <v>60</v>
      </c>
      <c r="J262" s="1402"/>
      <c r="K262" s="1402">
        <f>(K260)/K261</f>
        <v>60</v>
      </c>
      <c r="L262" s="1402"/>
      <c r="M262" s="1402">
        <f>(M260)/M261</f>
        <v>660</v>
      </c>
      <c r="N262" s="1402"/>
    </row>
    <row r="263" spans="2:14" x14ac:dyDescent="0.3">
      <c r="B263" s="4511" t="s">
        <v>221</v>
      </c>
      <c r="C263" s="4509" t="s">
        <v>3683</v>
      </c>
      <c r="D263" s="1274" t="s">
        <v>259</v>
      </c>
      <c r="E263" s="1274">
        <v>0</v>
      </c>
      <c r="F263" s="1274"/>
      <c r="G263" s="1274">
        <v>0</v>
      </c>
      <c r="H263" s="1274"/>
      <c r="I263" s="1274">
        <v>0</v>
      </c>
      <c r="J263" s="1274"/>
      <c r="K263" s="1274">
        <f>(E263+G263+I263)/3</f>
        <v>0</v>
      </c>
      <c r="L263" s="1274"/>
      <c r="M263" s="1274">
        <f>(K263*11)</f>
        <v>0</v>
      </c>
      <c r="N263" s="1274"/>
    </row>
    <row r="264" spans="2:14" x14ac:dyDescent="0.3">
      <c r="B264" s="4511"/>
      <c r="C264" s="4509"/>
      <c r="D264" s="1274" t="s">
        <v>260</v>
      </c>
      <c r="E264" s="1274">
        <v>0</v>
      </c>
      <c r="F264" s="1274"/>
      <c r="G264" s="1274">
        <v>0</v>
      </c>
      <c r="H264" s="1274"/>
      <c r="I264" s="1274">
        <v>0</v>
      </c>
      <c r="J264" s="1274"/>
      <c r="K264" s="1274">
        <f>(E264+G264+I264)/3</f>
        <v>0</v>
      </c>
      <c r="L264" s="1274"/>
      <c r="M264" s="1274">
        <f>+K264</f>
        <v>0</v>
      </c>
      <c r="N264" s="1274"/>
    </row>
    <row r="265" spans="2:14" x14ac:dyDescent="0.3">
      <c r="B265" s="4511"/>
      <c r="C265" s="4509"/>
      <c r="D265" s="1274" t="s">
        <v>261</v>
      </c>
      <c r="E265" s="1274">
        <f>E263*E264</f>
        <v>0</v>
      </c>
      <c r="F265" s="1274"/>
      <c r="G265" s="1274">
        <f>G263*G264</f>
        <v>0</v>
      </c>
      <c r="H265" s="1274"/>
      <c r="I265" s="1274">
        <f>I263*I264</f>
        <v>0</v>
      </c>
      <c r="J265" s="1274"/>
      <c r="K265" s="1274">
        <f>(E265+G265+I265)/3</f>
        <v>0</v>
      </c>
      <c r="L265" s="1274"/>
      <c r="M265" s="1274">
        <f>M263*M264</f>
        <v>0</v>
      </c>
      <c r="N265" s="1274"/>
    </row>
    <row r="266" spans="2:14" x14ac:dyDescent="0.3">
      <c r="B266" s="4511"/>
      <c r="C266" s="1400" t="s">
        <v>379</v>
      </c>
      <c r="D266" s="1401"/>
      <c r="E266" s="1401">
        <v>0</v>
      </c>
      <c r="F266" s="1401"/>
      <c r="G266" s="1401">
        <v>0</v>
      </c>
      <c r="H266" s="1401"/>
      <c r="I266" s="1401">
        <v>0</v>
      </c>
      <c r="J266" s="1401"/>
      <c r="K266" s="1401">
        <v>0</v>
      </c>
      <c r="L266" s="1401"/>
      <c r="M266" s="1401">
        <v>0</v>
      </c>
      <c r="N266" s="1401"/>
    </row>
    <row r="267" spans="2:14" x14ac:dyDescent="0.3">
      <c r="B267" s="4511"/>
      <c r="C267" s="1400" t="s">
        <v>380</v>
      </c>
      <c r="D267" s="1401"/>
      <c r="E267" s="1402">
        <v>0</v>
      </c>
      <c r="F267" s="1402"/>
      <c r="G267" s="1402">
        <v>0</v>
      </c>
      <c r="H267" s="1402"/>
      <c r="I267" s="1402">
        <v>0</v>
      </c>
      <c r="J267" s="1402"/>
      <c r="K267" s="1402">
        <v>0</v>
      </c>
      <c r="L267" s="1402"/>
      <c r="M267" s="1402">
        <v>0</v>
      </c>
      <c r="N267" s="1402"/>
    </row>
    <row r="268" spans="2:14" x14ac:dyDescent="0.3">
      <c r="B268" s="4511" t="s">
        <v>222</v>
      </c>
      <c r="C268" s="4509" t="s">
        <v>3683</v>
      </c>
      <c r="D268" s="1274" t="s">
        <v>259</v>
      </c>
      <c r="E268" s="1274">
        <v>0</v>
      </c>
      <c r="F268" s="1274"/>
      <c r="G268" s="1274">
        <v>0</v>
      </c>
      <c r="H268" s="1274"/>
      <c r="I268" s="1274">
        <v>0</v>
      </c>
      <c r="J268" s="1274"/>
      <c r="K268" s="1274">
        <f>(E268+G268+I268)/3</f>
        <v>0</v>
      </c>
      <c r="L268" s="1274"/>
      <c r="M268" s="1274">
        <f>(K268*11)</f>
        <v>0</v>
      </c>
      <c r="N268" s="1274"/>
    </row>
    <row r="269" spans="2:14" x14ac:dyDescent="0.3">
      <c r="B269" s="4511"/>
      <c r="C269" s="4509"/>
      <c r="D269" s="1274" t="s">
        <v>260</v>
      </c>
      <c r="E269" s="1274">
        <v>0</v>
      </c>
      <c r="F269" s="1274"/>
      <c r="G269" s="1274">
        <v>0</v>
      </c>
      <c r="H269" s="1274"/>
      <c r="I269" s="1274">
        <v>0</v>
      </c>
      <c r="J269" s="1274"/>
      <c r="K269" s="1274">
        <f>(E269+G269+I269)/3</f>
        <v>0</v>
      </c>
      <c r="L269" s="1274"/>
      <c r="M269" s="1274">
        <f>+K269</f>
        <v>0</v>
      </c>
      <c r="N269" s="1274"/>
    </row>
    <row r="270" spans="2:14" x14ac:dyDescent="0.3">
      <c r="B270" s="4511"/>
      <c r="C270" s="4509"/>
      <c r="D270" s="1274" t="s">
        <v>261</v>
      </c>
      <c r="E270" s="1274">
        <f>E268*E269</f>
        <v>0</v>
      </c>
      <c r="F270" s="1274"/>
      <c r="G270" s="1274">
        <f>G268*G269</f>
        <v>0</v>
      </c>
      <c r="H270" s="1274"/>
      <c r="I270" s="1274">
        <f>I268*I269</f>
        <v>0</v>
      </c>
      <c r="J270" s="1274"/>
      <c r="K270" s="1274">
        <f>(E270+G270+I270)/3</f>
        <v>0</v>
      </c>
      <c r="L270" s="1274"/>
      <c r="M270" s="1274">
        <f>M268*M269</f>
        <v>0</v>
      </c>
      <c r="N270" s="1274"/>
    </row>
    <row r="271" spans="2:14" x14ac:dyDescent="0.3">
      <c r="B271" s="4511"/>
      <c r="C271" s="1400" t="s">
        <v>1263</v>
      </c>
      <c r="D271" s="1401"/>
      <c r="E271" s="1401">
        <v>0</v>
      </c>
      <c r="F271" s="1401"/>
      <c r="G271" s="1401">
        <v>0</v>
      </c>
      <c r="H271" s="1401"/>
      <c r="I271" s="1401">
        <v>0</v>
      </c>
      <c r="J271" s="1401"/>
      <c r="K271" s="1401">
        <v>0</v>
      </c>
      <c r="L271" s="1401"/>
      <c r="M271" s="1401">
        <v>0</v>
      </c>
      <c r="N271" s="1401"/>
    </row>
    <row r="272" spans="2:14" x14ac:dyDescent="0.3">
      <c r="B272" s="4511"/>
      <c r="C272" s="1400" t="s">
        <v>380</v>
      </c>
      <c r="D272" s="1401"/>
      <c r="E272" s="1402">
        <v>0</v>
      </c>
      <c r="F272" s="1402"/>
      <c r="G272" s="1402">
        <v>0</v>
      </c>
      <c r="H272" s="1402"/>
      <c r="I272" s="1402">
        <v>0</v>
      </c>
      <c r="J272" s="1402"/>
      <c r="K272" s="1402">
        <v>0</v>
      </c>
      <c r="L272" s="1402"/>
      <c r="M272" s="1402">
        <v>0</v>
      </c>
      <c r="N272" s="1402"/>
    </row>
    <row r="273" spans="2:14" x14ac:dyDescent="0.3">
      <c r="B273" s="4511" t="s">
        <v>1261</v>
      </c>
      <c r="C273" s="4509" t="s">
        <v>3683</v>
      </c>
      <c r="D273" s="1274" t="s">
        <v>259</v>
      </c>
      <c r="E273" s="1274">
        <v>8</v>
      </c>
      <c r="F273" s="1274"/>
      <c r="G273" s="1274">
        <v>8</v>
      </c>
      <c r="H273" s="1274"/>
      <c r="I273" s="1274">
        <v>8</v>
      </c>
      <c r="J273" s="1274"/>
      <c r="K273" s="1274">
        <f>(E273+G273+I273)/3</f>
        <v>8</v>
      </c>
      <c r="L273" s="1274"/>
      <c r="M273" s="1274">
        <f>(K273*11)</f>
        <v>88</v>
      </c>
      <c r="N273" s="1274"/>
    </row>
    <row r="274" spans="2:14" x14ac:dyDescent="0.3">
      <c r="B274" s="4511"/>
      <c r="C274" s="4509"/>
      <c r="D274" s="1274" t="s">
        <v>260</v>
      </c>
      <c r="E274" s="1274">
        <v>12</v>
      </c>
      <c r="F274" s="1274"/>
      <c r="G274" s="1274">
        <v>12</v>
      </c>
      <c r="H274" s="1274"/>
      <c r="I274" s="1274">
        <v>12</v>
      </c>
      <c r="J274" s="1274"/>
      <c r="K274" s="1274">
        <f>(E274+G274+I274)/3</f>
        <v>12</v>
      </c>
      <c r="L274" s="1274"/>
      <c r="M274" s="1274">
        <f>+K274</f>
        <v>12</v>
      </c>
      <c r="N274" s="1274"/>
    </row>
    <row r="275" spans="2:14" x14ac:dyDescent="0.3">
      <c r="B275" s="4511"/>
      <c r="C275" s="4509"/>
      <c r="D275" s="1274" t="s">
        <v>261</v>
      </c>
      <c r="E275" s="1274">
        <f>E273*E274</f>
        <v>96</v>
      </c>
      <c r="F275" s="1274"/>
      <c r="G275" s="1274">
        <f>G273*G274</f>
        <v>96</v>
      </c>
      <c r="H275" s="1274"/>
      <c r="I275" s="1274">
        <f>I273*I274</f>
        <v>96</v>
      </c>
      <c r="J275" s="1274"/>
      <c r="K275" s="1274">
        <f>(E275+G275+I275)/3</f>
        <v>96</v>
      </c>
      <c r="L275" s="1274"/>
      <c r="M275" s="1274">
        <f>M273*M274</f>
        <v>1056</v>
      </c>
      <c r="N275" s="1274"/>
    </row>
    <row r="276" spans="2:14" x14ac:dyDescent="0.3">
      <c r="B276" s="4511"/>
      <c r="C276" s="1400" t="s">
        <v>361</v>
      </c>
      <c r="D276" s="1401"/>
      <c r="E276" s="1401">
        <v>10</v>
      </c>
      <c r="F276" s="1401"/>
      <c r="G276" s="1401">
        <v>10</v>
      </c>
      <c r="H276" s="1401"/>
      <c r="I276" s="1401">
        <v>10</v>
      </c>
      <c r="J276" s="1401"/>
      <c r="K276" s="1401">
        <v>10</v>
      </c>
      <c r="L276" s="1401"/>
      <c r="M276" s="1401">
        <v>10</v>
      </c>
      <c r="N276" s="1401"/>
    </row>
    <row r="277" spans="2:14" x14ac:dyDescent="0.3">
      <c r="B277" s="4511"/>
      <c r="C277" s="1400" t="s">
        <v>380</v>
      </c>
      <c r="D277" s="1401"/>
      <c r="E277" s="1402">
        <f>(E275)/E276</f>
        <v>9.6</v>
      </c>
      <c r="F277" s="1402"/>
      <c r="G277" s="1402">
        <f>(G275)/G276</f>
        <v>9.6</v>
      </c>
      <c r="H277" s="1402"/>
      <c r="I277" s="1402">
        <f>(I275)/I276</f>
        <v>9.6</v>
      </c>
      <c r="J277" s="1402"/>
      <c r="K277" s="1402">
        <f>(K275)/K276</f>
        <v>9.6</v>
      </c>
      <c r="L277" s="1402"/>
      <c r="M277" s="1402">
        <f>(M275)/M276</f>
        <v>105.6</v>
      </c>
      <c r="N277" s="1402"/>
    </row>
    <row r="278" spans="2:14" x14ac:dyDescent="0.3">
      <c r="B278" s="4511" t="s">
        <v>1262</v>
      </c>
      <c r="C278" s="4509" t="s">
        <v>3683</v>
      </c>
      <c r="D278" s="1274" t="s">
        <v>259</v>
      </c>
      <c r="E278" s="1274">
        <v>0</v>
      </c>
      <c r="F278" s="1274"/>
      <c r="G278" s="1274">
        <v>0</v>
      </c>
      <c r="H278" s="1274"/>
      <c r="I278" s="1274">
        <v>0</v>
      </c>
      <c r="J278" s="1274"/>
      <c r="K278" s="1274">
        <f>(E278+G278+I278)/3</f>
        <v>0</v>
      </c>
      <c r="L278" s="1274"/>
      <c r="M278" s="1274">
        <f>(K278*11)</f>
        <v>0</v>
      </c>
      <c r="N278" s="1274"/>
    </row>
    <row r="279" spans="2:14" x14ac:dyDescent="0.3">
      <c r="B279" s="4511"/>
      <c r="C279" s="4509"/>
      <c r="D279" s="1274" t="s">
        <v>260</v>
      </c>
      <c r="E279" s="1274">
        <v>0</v>
      </c>
      <c r="F279" s="1274"/>
      <c r="G279" s="1274">
        <v>0</v>
      </c>
      <c r="H279" s="1274"/>
      <c r="I279" s="1274">
        <v>0</v>
      </c>
      <c r="J279" s="1274"/>
      <c r="K279" s="1274">
        <f>(E279+G279+I279)/3</f>
        <v>0</v>
      </c>
      <c r="L279" s="1274"/>
      <c r="M279" s="1274">
        <f>+K279</f>
        <v>0</v>
      </c>
      <c r="N279" s="1274"/>
    </row>
    <row r="280" spans="2:14" x14ac:dyDescent="0.3">
      <c r="B280" s="4511"/>
      <c r="C280" s="4509"/>
      <c r="D280" s="1274" t="s">
        <v>261</v>
      </c>
      <c r="E280" s="1274">
        <v>0</v>
      </c>
      <c r="F280" s="1274"/>
      <c r="G280" s="1274">
        <v>0</v>
      </c>
      <c r="H280" s="1274"/>
      <c r="I280" s="1274">
        <v>0</v>
      </c>
      <c r="J280" s="1274"/>
      <c r="K280" s="1274">
        <f>(E280+G280+I280)/3</f>
        <v>0</v>
      </c>
      <c r="L280" s="1274"/>
      <c r="M280" s="1274">
        <f>M278*M279</f>
        <v>0</v>
      </c>
      <c r="N280" s="1274"/>
    </row>
    <row r="281" spans="2:14" x14ac:dyDescent="0.3">
      <c r="B281" s="4511"/>
      <c r="C281" s="1400" t="s">
        <v>1265</v>
      </c>
      <c r="D281" s="1401"/>
      <c r="E281" s="1401">
        <v>0</v>
      </c>
      <c r="F281" s="1401"/>
      <c r="G281" s="1401">
        <v>0</v>
      </c>
      <c r="H281" s="1401"/>
      <c r="I281" s="1401">
        <v>0</v>
      </c>
      <c r="J281" s="1401"/>
      <c r="K281" s="1401">
        <v>0</v>
      </c>
      <c r="L281" s="1401"/>
      <c r="M281" s="1401">
        <v>0</v>
      </c>
      <c r="N281" s="1401"/>
    </row>
    <row r="282" spans="2:14" x14ac:dyDescent="0.3">
      <c r="B282" s="4511"/>
      <c r="C282" s="1400" t="s">
        <v>380</v>
      </c>
      <c r="D282" s="1401"/>
      <c r="E282" s="1402">
        <v>0</v>
      </c>
      <c r="F282" s="1402"/>
      <c r="G282" s="1402">
        <v>0</v>
      </c>
      <c r="H282" s="1402"/>
      <c r="I282" s="1402">
        <v>0</v>
      </c>
      <c r="J282" s="1402"/>
      <c r="K282" s="1402">
        <v>0</v>
      </c>
      <c r="L282" s="1402"/>
      <c r="M282" s="1402">
        <v>0</v>
      </c>
      <c r="N282" s="1402"/>
    </row>
    <row r="283" spans="2:14" x14ac:dyDescent="0.3">
      <c r="B283" s="4511" t="s">
        <v>1264</v>
      </c>
      <c r="C283" s="4509" t="s">
        <v>3683</v>
      </c>
      <c r="D283" s="1274" t="s">
        <v>259</v>
      </c>
      <c r="E283" s="1274">
        <v>0</v>
      </c>
      <c r="F283" s="1274"/>
      <c r="G283" s="1274">
        <v>0</v>
      </c>
      <c r="H283" s="1274"/>
      <c r="I283" s="1274">
        <v>0</v>
      </c>
      <c r="J283" s="1274"/>
      <c r="K283" s="1274">
        <f>(E283+G283+I283)/3</f>
        <v>0</v>
      </c>
      <c r="L283" s="1274"/>
      <c r="M283" s="1274">
        <f>(K283*11)</f>
        <v>0</v>
      </c>
      <c r="N283" s="1274"/>
    </row>
    <row r="284" spans="2:14" x14ac:dyDescent="0.3">
      <c r="B284" s="4511"/>
      <c r="C284" s="4509"/>
      <c r="D284" s="1274" t="s">
        <v>260</v>
      </c>
      <c r="E284" s="1274">
        <v>0</v>
      </c>
      <c r="F284" s="1274"/>
      <c r="G284" s="1274">
        <v>0</v>
      </c>
      <c r="H284" s="1274"/>
      <c r="I284" s="1274">
        <v>0</v>
      </c>
      <c r="J284" s="1274"/>
      <c r="K284" s="1274">
        <f>(E284+G284+I284)/3</f>
        <v>0</v>
      </c>
      <c r="L284" s="1274"/>
      <c r="M284" s="1274">
        <f>+K284</f>
        <v>0</v>
      </c>
      <c r="N284" s="1274"/>
    </row>
    <row r="285" spans="2:14" x14ac:dyDescent="0.3">
      <c r="B285" s="4511"/>
      <c r="C285" s="4509"/>
      <c r="D285" s="1274" t="s">
        <v>261</v>
      </c>
      <c r="E285" s="1274">
        <v>0</v>
      </c>
      <c r="F285" s="1274"/>
      <c r="G285" s="1274">
        <v>0</v>
      </c>
      <c r="H285" s="1274"/>
      <c r="I285" s="1274">
        <v>0</v>
      </c>
      <c r="J285" s="1274"/>
      <c r="K285" s="1274">
        <f>(E285+G285+I285)/3</f>
        <v>0</v>
      </c>
      <c r="L285" s="1274"/>
      <c r="M285" s="1274">
        <f>M283*M284</f>
        <v>0</v>
      </c>
      <c r="N285" s="1274"/>
    </row>
    <row r="286" spans="2:14" x14ac:dyDescent="0.3">
      <c r="B286" s="4511"/>
      <c r="C286" s="1400" t="s">
        <v>1266</v>
      </c>
      <c r="D286" s="1401"/>
      <c r="E286" s="1401">
        <v>1</v>
      </c>
      <c r="F286" s="1401"/>
      <c r="G286" s="1401">
        <v>0</v>
      </c>
      <c r="H286" s="1401"/>
      <c r="I286" s="1401">
        <v>0</v>
      </c>
      <c r="J286" s="1401"/>
      <c r="K286" s="1401">
        <v>0</v>
      </c>
      <c r="L286" s="1401"/>
      <c r="M286" s="1401">
        <v>0</v>
      </c>
      <c r="N286" s="1401"/>
    </row>
    <row r="287" spans="2:14" x14ac:dyDescent="0.3">
      <c r="B287" s="4511"/>
      <c r="C287" s="1400" t="s">
        <v>380</v>
      </c>
      <c r="D287" s="1401"/>
      <c r="E287" s="1402">
        <f>(E285)/E286</f>
        <v>0</v>
      </c>
      <c r="F287" s="1402"/>
      <c r="G287" s="1402">
        <v>0</v>
      </c>
      <c r="H287" s="1402"/>
      <c r="I287" s="1401">
        <v>0</v>
      </c>
      <c r="J287" s="1402"/>
      <c r="K287" s="1402">
        <v>0</v>
      </c>
      <c r="L287" s="1402"/>
      <c r="M287" s="1402">
        <v>0</v>
      </c>
      <c r="N287" s="1402"/>
    </row>
    <row r="288" spans="2:14" x14ac:dyDescent="0.3">
      <c r="C288" s="1259"/>
    </row>
    <row r="289" spans="2:14" x14ac:dyDescent="0.3">
      <c r="C289" s="1259"/>
    </row>
    <row r="290" spans="2:14" x14ac:dyDescent="0.3">
      <c r="B290" s="1263" t="s">
        <v>362</v>
      </c>
    </row>
    <row r="291" spans="2:14" x14ac:dyDescent="0.3">
      <c r="B291" s="4496" t="s">
        <v>246</v>
      </c>
      <c r="C291" s="4499" t="s">
        <v>247</v>
      </c>
      <c r="D291" s="4499" t="s">
        <v>248</v>
      </c>
      <c r="E291" s="4502" t="s">
        <v>249</v>
      </c>
      <c r="F291" s="4502"/>
      <c r="G291" s="4502"/>
      <c r="H291" s="4502"/>
      <c r="I291" s="4502"/>
      <c r="J291" s="4502"/>
      <c r="K291" s="4502"/>
      <c r="L291" s="4502"/>
      <c r="M291" s="4502"/>
      <c r="N291" s="4503"/>
    </row>
    <row r="292" spans="2:14" x14ac:dyDescent="0.3">
      <c r="B292" s="4497"/>
      <c r="C292" s="4500"/>
      <c r="D292" s="4500"/>
      <c r="E292" s="4148" t="s">
        <v>250</v>
      </c>
      <c r="F292" s="4148"/>
      <c r="G292" s="4148" t="s">
        <v>251</v>
      </c>
      <c r="H292" s="4148"/>
      <c r="I292" s="4148" t="s">
        <v>252</v>
      </c>
      <c r="J292" s="4148"/>
      <c r="K292" s="4148" t="s">
        <v>253</v>
      </c>
      <c r="L292" s="4148"/>
      <c r="M292" s="4148" t="s">
        <v>254</v>
      </c>
      <c r="N292" s="4504"/>
    </row>
    <row r="293" spans="2:14" x14ac:dyDescent="0.3">
      <c r="B293" s="4498"/>
      <c r="C293" s="4501"/>
      <c r="D293" s="4501"/>
      <c r="E293" s="1272" t="s">
        <v>255</v>
      </c>
      <c r="F293" s="1272" t="s">
        <v>256</v>
      </c>
      <c r="G293" s="1272" t="s">
        <v>255</v>
      </c>
      <c r="H293" s="1272" t="s">
        <v>256</v>
      </c>
      <c r="I293" s="1272" t="s">
        <v>255</v>
      </c>
      <c r="J293" s="1272" t="s">
        <v>256</v>
      </c>
      <c r="K293" s="1272" t="s">
        <v>255</v>
      </c>
      <c r="L293" s="1272" t="s">
        <v>256</v>
      </c>
      <c r="M293" s="1272" t="s">
        <v>255</v>
      </c>
      <c r="N293" s="1273" t="s">
        <v>256</v>
      </c>
    </row>
    <row r="294" spans="2:14" x14ac:dyDescent="0.3">
      <c r="B294" s="4492" t="s">
        <v>218</v>
      </c>
      <c r="C294" s="4492" t="s">
        <v>258</v>
      </c>
      <c r="D294" s="1266" t="s">
        <v>259</v>
      </c>
      <c r="E294" s="1266"/>
      <c r="F294" s="1266">
        <v>13</v>
      </c>
      <c r="G294" s="1266"/>
      <c r="H294" s="1266">
        <v>13</v>
      </c>
      <c r="I294" s="1266"/>
      <c r="J294" s="1266">
        <v>13</v>
      </c>
      <c r="K294" s="1266"/>
      <c r="L294" s="1266">
        <f>(F294+H294+J294)/3</f>
        <v>13</v>
      </c>
      <c r="M294" s="1266"/>
      <c r="N294" s="1266">
        <f>(L294*11)</f>
        <v>143</v>
      </c>
    </row>
    <row r="295" spans="2:14" x14ac:dyDescent="0.3">
      <c r="B295" s="4492"/>
      <c r="C295" s="4492"/>
      <c r="D295" s="1266" t="s">
        <v>260</v>
      </c>
      <c r="E295" s="1266"/>
      <c r="F295" s="1266">
        <v>6</v>
      </c>
      <c r="G295" s="1266"/>
      <c r="H295" s="1266">
        <v>6</v>
      </c>
      <c r="I295" s="1266"/>
      <c r="J295" s="1266">
        <v>6</v>
      </c>
      <c r="K295" s="1266"/>
      <c r="L295" s="1266">
        <v>6</v>
      </c>
      <c r="M295" s="1266"/>
      <c r="N295" s="1266">
        <f>+L295</f>
        <v>6</v>
      </c>
    </row>
    <row r="296" spans="2:14" x14ac:dyDescent="0.3">
      <c r="B296" s="4492"/>
      <c r="C296" s="4492"/>
      <c r="D296" s="1266" t="s">
        <v>261</v>
      </c>
      <c r="E296" s="1266"/>
      <c r="F296" s="1266">
        <f>F294*F295</f>
        <v>78</v>
      </c>
      <c r="G296" s="1266"/>
      <c r="H296" s="1266">
        <f>H294*H295</f>
        <v>78</v>
      </c>
      <c r="I296" s="1266"/>
      <c r="J296" s="1266">
        <f>J294*J295</f>
        <v>78</v>
      </c>
      <c r="K296" s="1266"/>
      <c r="L296" s="1266">
        <f>L294*L295</f>
        <v>78</v>
      </c>
      <c r="M296" s="1266"/>
      <c r="N296" s="1266">
        <f>N294*N295</f>
        <v>858</v>
      </c>
    </row>
    <row r="297" spans="2:14" x14ac:dyDescent="0.3">
      <c r="B297" s="4492"/>
      <c r="C297" s="4509" t="s">
        <v>523</v>
      </c>
      <c r="D297" s="1266" t="s">
        <v>259</v>
      </c>
      <c r="E297" s="1266"/>
      <c r="F297" s="1266">
        <v>6</v>
      </c>
      <c r="G297" s="1266"/>
      <c r="H297" s="1266">
        <v>6</v>
      </c>
      <c r="I297" s="1266"/>
      <c r="J297" s="1266">
        <v>6</v>
      </c>
      <c r="K297" s="1266"/>
      <c r="L297" s="1266">
        <f>(F297+H297+J297)/3</f>
        <v>6</v>
      </c>
      <c r="M297" s="1266"/>
      <c r="N297" s="1266">
        <f>(L297*11)</f>
        <v>66</v>
      </c>
    </row>
    <row r="298" spans="2:14" x14ac:dyDescent="0.3">
      <c r="B298" s="4492"/>
      <c r="C298" s="4509"/>
      <c r="D298" s="1266" t="s">
        <v>260</v>
      </c>
      <c r="E298" s="1266"/>
      <c r="F298" s="1266">
        <v>12</v>
      </c>
      <c r="G298" s="1266"/>
      <c r="H298" s="1266">
        <v>12</v>
      </c>
      <c r="I298" s="1266"/>
      <c r="J298" s="1266">
        <v>12</v>
      </c>
      <c r="K298" s="1266"/>
      <c r="L298" s="1266">
        <v>12</v>
      </c>
      <c r="M298" s="1266"/>
      <c r="N298" s="1266">
        <f>+L298</f>
        <v>12</v>
      </c>
    </row>
    <row r="299" spans="2:14" x14ac:dyDescent="0.3">
      <c r="B299" s="4492"/>
      <c r="C299" s="4509"/>
      <c r="D299" s="1266" t="s">
        <v>261</v>
      </c>
      <c r="E299" s="1266"/>
      <c r="F299" s="1266">
        <f>F297*F298</f>
        <v>72</v>
      </c>
      <c r="G299" s="1266"/>
      <c r="H299" s="1266">
        <f>H297*H298</f>
        <v>72</v>
      </c>
      <c r="I299" s="1266"/>
      <c r="J299" s="1266">
        <f>J297*J298</f>
        <v>72</v>
      </c>
      <c r="K299" s="1266"/>
      <c r="L299" s="1266">
        <f>L297*L298</f>
        <v>72</v>
      </c>
      <c r="M299" s="1266"/>
      <c r="N299" s="1266">
        <f>N297*N298</f>
        <v>792</v>
      </c>
    </row>
    <row r="300" spans="2:14" x14ac:dyDescent="0.3">
      <c r="B300" s="4492"/>
      <c r="C300" s="4505" t="s">
        <v>521</v>
      </c>
      <c r="D300" s="1266" t="s">
        <v>259</v>
      </c>
      <c r="E300" s="1266"/>
      <c r="F300" s="1266">
        <v>0</v>
      </c>
      <c r="G300" s="1266"/>
      <c r="H300" s="1266">
        <v>0</v>
      </c>
      <c r="I300" s="1266"/>
      <c r="J300" s="1266">
        <v>0</v>
      </c>
      <c r="K300" s="1266"/>
      <c r="L300" s="1266">
        <v>0</v>
      </c>
      <c r="M300" s="1266"/>
      <c r="N300" s="1266">
        <v>0</v>
      </c>
    </row>
    <row r="301" spans="2:14" x14ac:dyDescent="0.3">
      <c r="B301" s="4492"/>
      <c r="C301" s="4505"/>
      <c r="D301" s="1266" t="s">
        <v>260</v>
      </c>
      <c r="E301" s="1266"/>
      <c r="F301" s="1266">
        <v>0</v>
      </c>
      <c r="G301" s="1266"/>
      <c r="H301" s="1266">
        <v>0</v>
      </c>
      <c r="I301" s="1266"/>
      <c r="J301" s="1266">
        <v>0</v>
      </c>
      <c r="K301" s="1266"/>
      <c r="L301" s="1266">
        <v>0</v>
      </c>
      <c r="M301" s="1266"/>
      <c r="N301" s="1266">
        <v>0</v>
      </c>
    </row>
    <row r="302" spans="2:14" x14ac:dyDescent="0.3">
      <c r="B302" s="4492"/>
      <c r="C302" s="4505"/>
      <c r="D302" s="1266" t="s">
        <v>261</v>
      </c>
      <c r="E302" s="1266"/>
      <c r="F302" s="1266">
        <v>0</v>
      </c>
      <c r="G302" s="1266"/>
      <c r="H302" s="1266">
        <v>0</v>
      </c>
      <c r="I302" s="1266"/>
      <c r="J302" s="1266">
        <v>0</v>
      </c>
      <c r="K302" s="1266"/>
      <c r="L302" s="1266">
        <v>0</v>
      </c>
      <c r="M302" s="1266"/>
      <c r="N302" s="1266">
        <v>0</v>
      </c>
    </row>
    <row r="303" spans="2:14" x14ac:dyDescent="0.3">
      <c r="B303" s="4492"/>
      <c r="C303" s="1397" t="s">
        <v>370</v>
      </c>
      <c r="D303" s="1398"/>
      <c r="E303" s="1398"/>
      <c r="F303" s="1398">
        <v>1</v>
      </c>
      <c r="G303" s="1398"/>
      <c r="H303" s="1398">
        <v>1</v>
      </c>
      <c r="I303" s="1398"/>
      <c r="J303" s="1398">
        <v>1</v>
      </c>
      <c r="K303" s="1398"/>
      <c r="L303" s="1398">
        <v>1</v>
      </c>
      <c r="M303" s="1398"/>
      <c r="N303" s="1398">
        <v>1</v>
      </c>
    </row>
    <row r="304" spans="2:14" x14ac:dyDescent="0.3">
      <c r="B304" s="4492"/>
      <c r="C304" s="1397" t="s">
        <v>371</v>
      </c>
      <c r="D304" s="1398"/>
      <c r="E304" s="1399"/>
      <c r="F304" s="1399">
        <f>(F299+F296)/F303</f>
        <v>150</v>
      </c>
      <c r="G304" s="1399"/>
      <c r="H304" s="1399">
        <f>(H299+H296)/H303</f>
        <v>150</v>
      </c>
      <c r="I304" s="1399"/>
      <c r="J304" s="1399">
        <f>(J299+J296)/J303</f>
        <v>150</v>
      </c>
      <c r="K304" s="1399"/>
      <c r="L304" s="1399">
        <f>(L299+L296)/L303</f>
        <v>150</v>
      </c>
      <c r="M304" s="1399"/>
      <c r="N304" s="1399">
        <f>(N299+N296)/N303</f>
        <v>1650</v>
      </c>
    </row>
    <row r="305" spans="2:14" x14ac:dyDescent="0.3">
      <c r="B305" s="4507" t="s">
        <v>369</v>
      </c>
      <c r="C305" s="4510" t="s">
        <v>258</v>
      </c>
      <c r="D305" s="1403" t="s">
        <v>259</v>
      </c>
      <c r="E305" s="1403">
        <v>0</v>
      </c>
      <c r="F305" s="1403"/>
      <c r="G305" s="1403">
        <v>0</v>
      </c>
      <c r="H305" s="1403"/>
      <c r="I305" s="1403">
        <v>0</v>
      </c>
      <c r="J305" s="1403"/>
      <c r="K305" s="1403">
        <v>0</v>
      </c>
      <c r="L305" s="1403"/>
      <c r="M305" s="1403">
        <v>0</v>
      </c>
      <c r="N305" s="1403"/>
    </row>
    <row r="306" spans="2:14" x14ac:dyDescent="0.3">
      <c r="B306" s="4507"/>
      <c r="C306" s="4510"/>
      <c r="D306" s="1403" t="s">
        <v>260</v>
      </c>
      <c r="E306" s="1403">
        <v>0</v>
      </c>
      <c r="F306" s="1403"/>
      <c r="G306" s="1403">
        <v>0</v>
      </c>
      <c r="H306" s="1403"/>
      <c r="I306" s="1403">
        <v>0</v>
      </c>
      <c r="J306" s="1403"/>
      <c r="K306" s="1403">
        <v>0</v>
      </c>
      <c r="L306" s="1403"/>
      <c r="M306" s="1403">
        <v>0</v>
      </c>
      <c r="N306" s="1403"/>
    </row>
    <row r="307" spans="2:14" x14ac:dyDescent="0.3">
      <c r="B307" s="4507"/>
      <c r="C307" s="4510"/>
      <c r="D307" s="1403" t="s">
        <v>261</v>
      </c>
      <c r="E307" s="1403">
        <v>0</v>
      </c>
      <c r="F307" s="1403"/>
      <c r="G307" s="1403">
        <v>0</v>
      </c>
      <c r="H307" s="1403"/>
      <c r="I307" s="1403">
        <v>0</v>
      </c>
      <c r="J307" s="1403"/>
      <c r="K307" s="1403">
        <v>0</v>
      </c>
      <c r="L307" s="1403"/>
      <c r="M307" s="1403">
        <v>0</v>
      </c>
      <c r="N307" s="1403"/>
    </row>
    <row r="308" spans="2:14" x14ac:dyDescent="0.3">
      <c r="B308" s="4507"/>
      <c r="C308" s="4492" t="s">
        <v>262</v>
      </c>
      <c r="D308" s="1266" t="s">
        <v>259</v>
      </c>
      <c r="E308" s="1266">
        <v>0</v>
      </c>
      <c r="F308" s="1266"/>
      <c r="G308" s="1266">
        <v>0</v>
      </c>
      <c r="H308" s="1266"/>
      <c r="I308" s="1266">
        <v>0</v>
      </c>
      <c r="J308" s="1266"/>
      <c r="K308" s="1266">
        <v>0</v>
      </c>
      <c r="L308" s="1266"/>
      <c r="M308" s="1266">
        <v>0</v>
      </c>
      <c r="N308" s="1266"/>
    </row>
    <row r="309" spans="2:14" x14ac:dyDescent="0.3">
      <c r="B309" s="4507"/>
      <c r="C309" s="4492"/>
      <c r="D309" s="1266" t="s">
        <v>260</v>
      </c>
      <c r="E309" s="1266">
        <v>0</v>
      </c>
      <c r="F309" s="1266"/>
      <c r="G309" s="1266">
        <v>0</v>
      </c>
      <c r="H309" s="1266"/>
      <c r="I309" s="1266">
        <v>0</v>
      </c>
      <c r="J309" s="1266"/>
      <c r="K309" s="1266">
        <v>0</v>
      </c>
      <c r="L309" s="1266"/>
      <c r="M309" s="1266">
        <v>0</v>
      </c>
      <c r="N309" s="1266"/>
    </row>
    <row r="310" spans="2:14" x14ac:dyDescent="0.3">
      <c r="B310" s="4507"/>
      <c r="C310" s="4492"/>
      <c r="D310" s="1266" t="s">
        <v>261</v>
      </c>
      <c r="E310" s="1266">
        <v>0</v>
      </c>
      <c r="F310" s="1266"/>
      <c r="G310" s="1266">
        <v>0</v>
      </c>
      <c r="H310" s="1266"/>
      <c r="I310" s="1266">
        <v>0</v>
      </c>
      <c r="J310" s="1266"/>
      <c r="K310" s="1266">
        <v>0</v>
      </c>
      <c r="L310" s="1266"/>
      <c r="M310" s="1266">
        <v>0</v>
      </c>
      <c r="N310" s="1266"/>
    </row>
    <row r="311" spans="2:14" x14ac:dyDescent="0.3">
      <c r="B311" s="4507"/>
      <c r="C311" s="4505" t="s">
        <v>521</v>
      </c>
      <c r="D311" s="1266" t="s">
        <v>259</v>
      </c>
      <c r="E311" s="1266">
        <v>0</v>
      </c>
      <c r="F311" s="1266"/>
      <c r="G311" s="1266">
        <v>0</v>
      </c>
      <c r="H311" s="1266"/>
      <c r="I311" s="1266">
        <v>0</v>
      </c>
      <c r="J311" s="1266"/>
      <c r="K311" s="1266">
        <v>0</v>
      </c>
      <c r="L311" s="1266"/>
      <c r="M311" s="1266">
        <v>0</v>
      </c>
      <c r="N311" s="1266"/>
    </row>
    <row r="312" spans="2:14" x14ac:dyDescent="0.3">
      <c r="B312" s="4507"/>
      <c r="C312" s="4505"/>
      <c r="D312" s="1266" t="s">
        <v>260</v>
      </c>
      <c r="E312" s="1266">
        <v>0</v>
      </c>
      <c r="F312" s="1266"/>
      <c r="G312" s="1266">
        <v>0</v>
      </c>
      <c r="H312" s="1266"/>
      <c r="I312" s="1266">
        <v>0</v>
      </c>
      <c r="J312" s="1266"/>
      <c r="K312" s="1266">
        <v>0</v>
      </c>
      <c r="L312" s="1266"/>
      <c r="M312" s="1266">
        <v>0</v>
      </c>
      <c r="N312" s="1266"/>
    </row>
    <row r="313" spans="2:14" x14ac:dyDescent="0.3">
      <c r="B313" s="4507"/>
      <c r="C313" s="4505"/>
      <c r="D313" s="1266" t="s">
        <v>261</v>
      </c>
      <c r="E313" s="1266">
        <v>0</v>
      </c>
      <c r="F313" s="1266"/>
      <c r="G313" s="1266">
        <v>0</v>
      </c>
      <c r="H313" s="1266"/>
      <c r="I313" s="1266">
        <v>0</v>
      </c>
      <c r="J313" s="1266"/>
      <c r="K313" s="1266">
        <v>0</v>
      </c>
      <c r="L313" s="1266"/>
      <c r="M313" s="1266">
        <v>0</v>
      </c>
      <c r="N313" s="1266"/>
    </row>
    <row r="314" spans="2:14" x14ac:dyDescent="0.3">
      <c r="B314" s="4507"/>
      <c r="C314" s="1404" t="s">
        <v>372</v>
      </c>
      <c r="D314" s="1405"/>
      <c r="E314" s="1405">
        <v>0</v>
      </c>
      <c r="F314" s="1405"/>
      <c r="G314" s="1405">
        <v>0</v>
      </c>
      <c r="H314" s="1405"/>
      <c r="I314" s="1405">
        <v>0</v>
      </c>
      <c r="J314" s="1405"/>
      <c r="K314" s="1405">
        <v>0</v>
      </c>
      <c r="L314" s="1405"/>
      <c r="M314" s="1405">
        <v>0</v>
      </c>
      <c r="N314" s="1405"/>
    </row>
    <row r="315" spans="2:14" x14ac:dyDescent="0.3">
      <c r="B315" s="4507"/>
      <c r="C315" s="1404" t="s">
        <v>373</v>
      </c>
      <c r="D315" s="1405"/>
      <c r="E315" s="1406">
        <v>0</v>
      </c>
      <c r="F315" s="1406"/>
      <c r="G315" s="1406">
        <v>0</v>
      </c>
      <c r="H315" s="1406"/>
      <c r="I315" s="1406">
        <v>0</v>
      </c>
      <c r="J315" s="1406"/>
      <c r="K315" s="1406">
        <v>0</v>
      </c>
      <c r="L315" s="1406"/>
      <c r="M315" s="1406">
        <v>0</v>
      </c>
      <c r="N315" s="1406"/>
    </row>
    <row r="317" spans="2:14" x14ac:dyDescent="0.3">
      <c r="B317" s="1263" t="s">
        <v>363</v>
      </c>
    </row>
    <row r="318" spans="2:14" x14ac:dyDescent="0.3">
      <c r="B318" s="4496" t="s">
        <v>246</v>
      </c>
      <c r="C318" s="4499" t="s">
        <v>247</v>
      </c>
      <c r="D318" s="4499" t="s">
        <v>248</v>
      </c>
      <c r="E318" s="4502" t="s">
        <v>249</v>
      </c>
      <c r="F318" s="4502"/>
      <c r="G318" s="4502"/>
      <c r="H318" s="4502"/>
      <c r="I318" s="4502"/>
      <c r="J318" s="4502"/>
      <c r="K318" s="4502"/>
      <c r="L318" s="4502"/>
      <c r="M318" s="4502"/>
      <c r="N318" s="4503"/>
    </row>
    <row r="319" spans="2:14" x14ac:dyDescent="0.3">
      <c r="B319" s="4497"/>
      <c r="C319" s="4500"/>
      <c r="D319" s="4500"/>
      <c r="E319" s="4148" t="s">
        <v>250</v>
      </c>
      <c r="F319" s="4148"/>
      <c r="G319" s="4148" t="s">
        <v>251</v>
      </c>
      <c r="H319" s="4148"/>
      <c r="I319" s="4148" t="s">
        <v>252</v>
      </c>
      <c r="J319" s="4148"/>
      <c r="K319" s="4148" t="s">
        <v>253</v>
      </c>
      <c r="L319" s="4148"/>
      <c r="M319" s="4148" t="s">
        <v>254</v>
      </c>
      <c r="N319" s="4504"/>
    </row>
    <row r="320" spans="2:14" x14ac:dyDescent="0.3">
      <c r="B320" s="4498"/>
      <c r="C320" s="4501"/>
      <c r="D320" s="4501"/>
      <c r="E320" s="1272" t="s">
        <v>255</v>
      </c>
      <c r="F320" s="1272" t="s">
        <v>256</v>
      </c>
      <c r="G320" s="1272" t="s">
        <v>255</v>
      </c>
      <c r="H320" s="1272" t="s">
        <v>256</v>
      </c>
      <c r="I320" s="1272" t="s">
        <v>255</v>
      </c>
      <c r="J320" s="1272" t="s">
        <v>256</v>
      </c>
      <c r="K320" s="1272" t="s">
        <v>255</v>
      </c>
      <c r="L320" s="1272" t="s">
        <v>256</v>
      </c>
      <c r="M320" s="1272" t="s">
        <v>255</v>
      </c>
      <c r="N320" s="1273" t="s">
        <v>256</v>
      </c>
    </row>
    <row r="321" spans="2:14" x14ac:dyDescent="0.3">
      <c r="B321" s="4507" t="s">
        <v>222</v>
      </c>
      <c r="C321" s="4492" t="s">
        <v>258</v>
      </c>
      <c r="D321" s="1266" t="s">
        <v>259</v>
      </c>
      <c r="E321" s="1403">
        <v>0</v>
      </c>
      <c r="F321" s="1266"/>
      <c r="G321" s="1403">
        <v>0</v>
      </c>
      <c r="H321" s="1266"/>
      <c r="I321" s="1403">
        <v>0</v>
      </c>
      <c r="J321" s="1266"/>
      <c r="K321" s="1266">
        <f>(E321+G321+I321)/3</f>
        <v>0</v>
      </c>
      <c r="L321" s="1266"/>
      <c r="M321" s="1266">
        <f>(K321*11)</f>
        <v>0</v>
      </c>
      <c r="N321" s="1266"/>
    </row>
    <row r="322" spans="2:14" x14ac:dyDescent="0.3">
      <c r="B322" s="4507"/>
      <c r="C322" s="4492"/>
      <c r="D322" s="1266" t="s">
        <v>260</v>
      </c>
      <c r="E322" s="1403">
        <v>0</v>
      </c>
      <c r="F322" s="1266"/>
      <c r="G322" s="1403">
        <v>0</v>
      </c>
      <c r="H322" s="1266"/>
      <c r="I322" s="1403">
        <v>0</v>
      </c>
      <c r="J322" s="1266"/>
      <c r="K322" s="1266">
        <f>(E322+G322+I322)/3</f>
        <v>0</v>
      </c>
      <c r="L322" s="1266"/>
      <c r="M322" s="1266">
        <f>+K322</f>
        <v>0</v>
      </c>
      <c r="N322" s="1266"/>
    </row>
    <row r="323" spans="2:14" x14ac:dyDescent="0.3">
      <c r="B323" s="4507"/>
      <c r="C323" s="4492"/>
      <c r="D323" s="1266" t="s">
        <v>261</v>
      </c>
      <c r="E323" s="1403">
        <v>0</v>
      </c>
      <c r="F323" s="1266"/>
      <c r="G323" s="1403">
        <v>0</v>
      </c>
      <c r="H323" s="1266"/>
      <c r="I323" s="1403">
        <v>0</v>
      </c>
      <c r="J323" s="1266"/>
      <c r="K323" s="1266">
        <f>(E323+G323+I323)/3</f>
        <v>0</v>
      </c>
      <c r="L323" s="1266"/>
      <c r="M323" s="1266">
        <f>M321*M322</f>
        <v>0</v>
      </c>
      <c r="N323" s="1266"/>
    </row>
    <row r="324" spans="2:14" x14ac:dyDescent="0.3">
      <c r="B324" s="4507"/>
      <c r="C324" s="4492" t="s">
        <v>262</v>
      </c>
      <c r="D324" s="1266" t="s">
        <v>259</v>
      </c>
      <c r="E324" s="1266">
        <v>0</v>
      </c>
      <c r="F324" s="1266"/>
      <c r="G324" s="1266">
        <v>0</v>
      </c>
      <c r="H324" s="1266"/>
      <c r="I324" s="1266">
        <v>0</v>
      </c>
      <c r="J324" s="1266"/>
      <c r="K324" s="1266">
        <f t="shared" ref="K324:K329" si="54">(E324+G324+I324)/3</f>
        <v>0</v>
      </c>
      <c r="L324" s="1266"/>
      <c r="M324" s="1266">
        <f>(K324*11)</f>
        <v>0</v>
      </c>
      <c r="N324" s="1266"/>
    </row>
    <row r="325" spans="2:14" x14ac:dyDescent="0.3">
      <c r="B325" s="4507"/>
      <c r="C325" s="4492"/>
      <c r="D325" s="1266" t="s">
        <v>260</v>
      </c>
      <c r="E325" s="1266">
        <v>0</v>
      </c>
      <c r="F325" s="1266"/>
      <c r="G325" s="1266">
        <v>0</v>
      </c>
      <c r="H325" s="1266"/>
      <c r="I325" s="1266">
        <v>0</v>
      </c>
      <c r="J325" s="1266"/>
      <c r="K325" s="1266">
        <f t="shared" si="54"/>
        <v>0</v>
      </c>
      <c r="L325" s="1266"/>
      <c r="M325" s="1266">
        <f>+K325</f>
        <v>0</v>
      </c>
      <c r="N325" s="1266"/>
    </row>
    <row r="326" spans="2:14" x14ac:dyDescent="0.3">
      <c r="B326" s="4507"/>
      <c r="C326" s="4492"/>
      <c r="D326" s="1266" t="s">
        <v>261</v>
      </c>
      <c r="E326" s="1266">
        <v>0</v>
      </c>
      <c r="F326" s="1266"/>
      <c r="G326" s="1266">
        <v>0</v>
      </c>
      <c r="H326" s="1266"/>
      <c r="I326" s="1266">
        <v>0</v>
      </c>
      <c r="J326" s="1266"/>
      <c r="K326" s="1266">
        <f t="shared" si="54"/>
        <v>0</v>
      </c>
      <c r="L326" s="1266"/>
      <c r="M326" s="1266">
        <f>M324*M325</f>
        <v>0</v>
      </c>
      <c r="N326" s="1266"/>
    </row>
    <row r="327" spans="2:14" x14ac:dyDescent="0.3">
      <c r="B327" s="4507"/>
      <c r="C327" s="4505" t="s">
        <v>523</v>
      </c>
      <c r="D327" s="1266" t="s">
        <v>259</v>
      </c>
      <c r="E327" s="1266">
        <v>0</v>
      </c>
      <c r="F327" s="1266"/>
      <c r="G327" s="1266">
        <v>0</v>
      </c>
      <c r="H327" s="1266"/>
      <c r="I327" s="1266">
        <v>0</v>
      </c>
      <c r="J327" s="1266"/>
      <c r="K327" s="1266">
        <f t="shared" si="54"/>
        <v>0</v>
      </c>
      <c r="L327" s="1266"/>
      <c r="M327" s="1266">
        <f>(K327*11)</f>
        <v>0</v>
      </c>
      <c r="N327" s="1266"/>
    </row>
    <row r="328" spans="2:14" x14ac:dyDescent="0.3">
      <c r="B328" s="4507"/>
      <c r="C328" s="4505"/>
      <c r="D328" s="1266" t="s">
        <v>260</v>
      </c>
      <c r="E328" s="1266">
        <v>0</v>
      </c>
      <c r="F328" s="1266"/>
      <c r="G328" s="1266">
        <v>0</v>
      </c>
      <c r="H328" s="1266"/>
      <c r="I328" s="1266">
        <v>0</v>
      </c>
      <c r="J328" s="1266"/>
      <c r="K328" s="1266">
        <f t="shared" si="54"/>
        <v>0</v>
      </c>
      <c r="L328" s="1266"/>
      <c r="M328" s="1266">
        <f>+K328</f>
        <v>0</v>
      </c>
      <c r="N328" s="1266"/>
    </row>
    <row r="329" spans="2:14" x14ac:dyDescent="0.3">
      <c r="B329" s="4507"/>
      <c r="C329" s="4505"/>
      <c r="D329" s="1266" t="s">
        <v>261</v>
      </c>
      <c r="E329" s="1266">
        <v>0</v>
      </c>
      <c r="F329" s="1266"/>
      <c r="G329" s="1266">
        <v>0</v>
      </c>
      <c r="H329" s="1266"/>
      <c r="I329" s="1266">
        <v>0</v>
      </c>
      <c r="J329" s="1266"/>
      <c r="K329" s="1266">
        <f t="shared" si="54"/>
        <v>0</v>
      </c>
      <c r="L329" s="1266"/>
      <c r="M329" s="1266">
        <f>M327*M328</f>
        <v>0</v>
      </c>
      <c r="N329" s="1266"/>
    </row>
    <row r="330" spans="2:14" x14ac:dyDescent="0.3">
      <c r="B330" s="4507"/>
      <c r="C330" s="1404" t="s">
        <v>365</v>
      </c>
      <c r="D330" s="1405"/>
      <c r="E330" s="1405">
        <v>0</v>
      </c>
      <c r="F330" s="1405"/>
      <c r="G330" s="1405">
        <v>0</v>
      </c>
      <c r="H330" s="1405"/>
      <c r="I330" s="1405">
        <v>0</v>
      </c>
      <c r="J330" s="1405"/>
      <c r="K330" s="1405">
        <v>0</v>
      </c>
      <c r="L330" s="1405"/>
      <c r="M330" s="1405">
        <v>0</v>
      </c>
      <c r="N330" s="1405"/>
    </row>
    <row r="331" spans="2:14" x14ac:dyDescent="0.3">
      <c r="B331" s="4507"/>
      <c r="C331" s="1404" t="s">
        <v>367</v>
      </c>
      <c r="D331" s="1405"/>
      <c r="E331" s="1406">
        <v>0</v>
      </c>
      <c r="F331" s="1406"/>
      <c r="G331" s="1406">
        <v>0</v>
      </c>
      <c r="H331" s="1406"/>
      <c r="I331" s="1406">
        <v>0</v>
      </c>
      <c r="J331" s="1406"/>
      <c r="K331" s="1406">
        <v>0</v>
      </c>
      <c r="L331" s="1406"/>
      <c r="M331" s="1406">
        <v>0</v>
      </c>
      <c r="N331" s="1406"/>
    </row>
    <row r="332" spans="2:14" x14ac:dyDescent="0.3">
      <c r="B332" s="4507" t="s">
        <v>364</v>
      </c>
      <c r="C332" s="4492" t="s">
        <v>258</v>
      </c>
      <c r="D332" s="1266" t="s">
        <v>259</v>
      </c>
      <c r="E332" s="1266">
        <v>15</v>
      </c>
      <c r="F332" s="1266"/>
      <c r="G332" s="1266">
        <v>15</v>
      </c>
      <c r="H332" s="1266"/>
      <c r="I332" s="1266">
        <v>12</v>
      </c>
      <c r="J332" s="1266"/>
      <c r="K332" s="1266">
        <f>(E332+G332+I332)/3</f>
        <v>14</v>
      </c>
      <c r="L332" s="1266"/>
      <c r="M332" s="1266">
        <f>(K332*11)</f>
        <v>154</v>
      </c>
      <c r="N332" s="1266"/>
    </row>
    <row r="333" spans="2:14" x14ac:dyDescent="0.3">
      <c r="B333" s="4507"/>
      <c r="C333" s="4492"/>
      <c r="D333" s="1266" t="s">
        <v>260</v>
      </c>
      <c r="E333" s="1266">
        <v>6</v>
      </c>
      <c r="F333" s="1266"/>
      <c r="G333" s="1266">
        <v>6</v>
      </c>
      <c r="H333" s="1266"/>
      <c r="I333" s="1266">
        <v>6</v>
      </c>
      <c r="J333" s="1266"/>
      <c r="K333" s="1266">
        <f>(E333+G333+I333)/3</f>
        <v>6</v>
      </c>
      <c r="L333" s="1266"/>
      <c r="M333" s="1266">
        <f>+K333</f>
        <v>6</v>
      </c>
      <c r="N333" s="1266"/>
    </row>
    <row r="334" spans="2:14" x14ac:dyDescent="0.3">
      <c r="B334" s="4507"/>
      <c r="C334" s="4492"/>
      <c r="D334" s="1266" t="s">
        <v>261</v>
      </c>
      <c r="E334" s="1266">
        <f>E332*E333</f>
        <v>90</v>
      </c>
      <c r="F334" s="1266"/>
      <c r="G334" s="1266">
        <f>G332*G333</f>
        <v>90</v>
      </c>
      <c r="H334" s="1266"/>
      <c r="I334" s="1266">
        <f>I332*I333</f>
        <v>72</v>
      </c>
      <c r="J334" s="1266"/>
      <c r="K334" s="1266">
        <f>(E334+G334+I334)/3</f>
        <v>84</v>
      </c>
      <c r="L334" s="1266"/>
      <c r="M334" s="1266">
        <f>M332*M333</f>
        <v>924</v>
      </c>
      <c r="N334" s="1266"/>
    </row>
    <row r="335" spans="2:14" x14ac:dyDescent="0.3">
      <c r="B335" s="4507"/>
      <c r="C335" s="4492" t="s">
        <v>262</v>
      </c>
      <c r="D335" s="1266" t="s">
        <v>259</v>
      </c>
      <c r="E335" s="1266">
        <v>9</v>
      </c>
      <c r="F335" s="1266"/>
      <c r="G335" s="1266">
        <v>9</v>
      </c>
      <c r="H335" s="1266"/>
      <c r="I335" s="1266">
        <v>9</v>
      </c>
      <c r="J335" s="1266"/>
      <c r="K335" s="1266">
        <f t="shared" ref="K335:K340" si="55">(E335+G335+I335)/3</f>
        <v>9</v>
      </c>
      <c r="L335" s="1266"/>
      <c r="M335" s="1266">
        <f>(K335*11)</f>
        <v>99</v>
      </c>
      <c r="N335" s="1266"/>
    </row>
    <row r="336" spans="2:14" x14ac:dyDescent="0.3">
      <c r="B336" s="4507"/>
      <c r="C336" s="4492"/>
      <c r="D336" s="1266" t="s">
        <v>260</v>
      </c>
      <c r="E336" s="1266">
        <v>6</v>
      </c>
      <c r="F336" s="1266"/>
      <c r="G336" s="1266">
        <v>6</v>
      </c>
      <c r="H336" s="1266"/>
      <c r="I336" s="1266">
        <v>6</v>
      </c>
      <c r="J336" s="1266"/>
      <c r="K336" s="1266">
        <f t="shared" si="55"/>
        <v>6</v>
      </c>
      <c r="L336" s="1266"/>
      <c r="M336" s="1266">
        <f>+K336</f>
        <v>6</v>
      </c>
      <c r="N336" s="1266"/>
    </row>
    <row r="337" spans="2:14" x14ac:dyDescent="0.3">
      <c r="B337" s="4507"/>
      <c r="C337" s="4492"/>
      <c r="D337" s="1266" t="s">
        <v>261</v>
      </c>
      <c r="E337" s="1266">
        <f>E335*E336</f>
        <v>54</v>
      </c>
      <c r="F337" s="1266"/>
      <c r="G337" s="1266">
        <f>G335*G336</f>
        <v>54</v>
      </c>
      <c r="H337" s="1266"/>
      <c r="I337" s="1266">
        <f>I335*I336</f>
        <v>54</v>
      </c>
      <c r="J337" s="1266"/>
      <c r="K337" s="1266">
        <f t="shared" si="55"/>
        <v>54</v>
      </c>
      <c r="L337" s="1266"/>
      <c r="M337" s="1266">
        <f>M335*M336</f>
        <v>594</v>
      </c>
      <c r="N337" s="1266"/>
    </row>
    <row r="338" spans="2:14" x14ac:dyDescent="0.3">
      <c r="B338" s="4507"/>
      <c r="C338" s="4505" t="s">
        <v>523</v>
      </c>
      <c r="D338" s="1266" t="s">
        <v>259</v>
      </c>
      <c r="E338" s="1266">
        <v>1</v>
      </c>
      <c r="F338" s="1266"/>
      <c r="G338" s="1266">
        <v>1</v>
      </c>
      <c r="H338" s="1266"/>
      <c r="I338" s="1266">
        <v>1</v>
      </c>
      <c r="J338" s="1266"/>
      <c r="K338" s="1266">
        <f t="shared" si="55"/>
        <v>1</v>
      </c>
      <c r="L338" s="1266"/>
      <c r="M338" s="1266">
        <f>(K338*11)</f>
        <v>11</v>
      </c>
      <c r="N338" s="1266"/>
    </row>
    <row r="339" spans="2:14" x14ac:dyDescent="0.3">
      <c r="B339" s="4507"/>
      <c r="C339" s="4505"/>
      <c r="D339" s="1266" t="s">
        <v>260</v>
      </c>
      <c r="E339" s="1266">
        <v>12</v>
      </c>
      <c r="F339" s="1266"/>
      <c r="G339" s="1266">
        <v>12</v>
      </c>
      <c r="H339" s="1266"/>
      <c r="I339" s="1266">
        <v>12</v>
      </c>
      <c r="J339" s="1266"/>
      <c r="K339" s="1266">
        <f t="shared" si="55"/>
        <v>12</v>
      </c>
      <c r="L339" s="1266"/>
      <c r="M339" s="1266">
        <f>+K339</f>
        <v>12</v>
      </c>
      <c r="N339" s="1266"/>
    </row>
    <row r="340" spans="2:14" x14ac:dyDescent="0.3">
      <c r="B340" s="4507"/>
      <c r="C340" s="4505"/>
      <c r="D340" s="1266" t="s">
        <v>261</v>
      </c>
      <c r="E340" s="1266">
        <f>E338*E339</f>
        <v>12</v>
      </c>
      <c r="F340" s="1266"/>
      <c r="G340" s="1266">
        <f>G338*G339</f>
        <v>12</v>
      </c>
      <c r="H340" s="1266"/>
      <c r="I340" s="1266">
        <f>I338*I339</f>
        <v>12</v>
      </c>
      <c r="J340" s="1266"/>
      <c r="K340" s="1266">
        <f t="shared" si="55"/>
        <v>12</v>
      </c>
      <c r="L340" s="1266"/>
      <c r="M340" s="1266">
        <f>M338*M339</f>
        <v>132</v>
      </c>
      <c r="N340" s="1266"/>
    </row>
    <row r="341" spans="2:14" x14ac:dyDescent="0.3">
      <c r="B341" s="4507"/>
      <c r="C341" s="1404" t="s">
        <v>366</v>
      </c>
      <c r="D341" s="1405"/>
      <c r="E341" s="1405">
        <v>1</v>
      </c>
      <c r="F341" s="1405"/>
      <c r="G341" s="1405">
        <v>1</v>
      </c>
      <c r="H341" s="1405"/>
      <c r="I341" s="1405">
        <v>1</v>
      </c>
      <c r="J341" s="1405"/>
      <c r="K341" s="1405">
        <v>1</v>
      </c>
      <c r="L341" s="1405"/>
      <c r="M341" s="1405">
        <v>1</v>
      </c>
      <c r="N341" s="1405"/>
    </row>
    <row r="342" spans="2:14" x14ac:dyDescent="0.3">
      <c r="B342" s="4507"/>
      <c r="C342" s="1404" t="s">
        <v>368</v>
      </c>
      <c r="D342" s="1405"/>
      <c r="E342" s="1406">
        <f>(E334+E337+E340)/E341</f>
        <v>156</v>
      </c>
      <c r="F342" s="1406"/>
      <c r="G342" s="1406">
        <f>(G334+G337+G340)/G341</f>
        <v>156</v>
      </c>
      <c r="H342" s="1406"/>
      <c r="I342" s="1406">
        <f>(I334+I337+I340)/I341</f>
        <v>138</v>
      </c>
      <c r="J342" s="1406"/>
      <c r="K342" s="1406">
        <f>(K334+K337+K340)/K341</f>
        <v>150</v>
      </c>
      <c r="L342" s="1406"/>
      <c r="M342" s="1406">
        <f>(M334+M337+M340)/M341</f>
        <v>1650</v>
      </c>
      <c r="N342" s="1406"/>
    </row>
    <row r="345" spans="2:14" x14ac:dyDescent="0.3">
      <c r="C345" s="1269"/>
    </row>
    <row r="346" spans="2:14" x14ac:dyDescent="0.3">
      <c r="C346" s="1269"/>
    </row>
    <row r="347" spans="2:14" x14ac:dyDescent="0.3">
      <c r="C347" s="21"/>
      <c r="D347" s="1270"/>
    </row>
    <row r="348" spans="2:14" x14ac:dyDescent="0.3">
      <c r="C348" s="1269"/>
    </row>
    <row r="349" spans="2:14" x14ac:dyDescent="0.3">
      <c r="C349" s="1269"/>
      <c r="D349" s="131"/>
      <c r="F349" s="1271"/>
    </row>
    <row r="350" spans="2:14" x14ac:dyDescent="0.3">
      <c r="C350" s="1269"/>
      <c r="D350" s="1271"/>
    </row>
    <row r="351" spans="2:14" x14ac:dyDescent="0.3">
      <c r="C351" s="1269"/>
    </row>
    <row r="352" spans="2:14" x14ac:dyDescent="0.3">
      <c r="C352" s="1269"/>
    </row>
    <row r="353" spans="3:4" x14ac:dyDescent="0.3">
      <c r="C353" s="1269"/>
    </row>
    <row r="354" spans="3:4" x14ac:dyDescent="0.3">
      <c r="C354" s="1269"/>
    </row>
    <row r="355" spans="3:4" x14ac:dyDescent="0.3">
      <c r="C355" s="1269"/>
      <c r="D355" s="1271"/>
    </row>
    <row r="356" spans="3:4" x14ac:dyDescent="0.3">
      <c r="C356" s="1269"/>
    </row>
    <row r="357" spans="3:4" x14ac:dyDescent="0.3">
      <c r="C357" s="1269"/>
    </row>
    <row r="358" spans="3:4" x14ac:dyDescent="0.3">
      <c r="C358" s="1269"/>
      <c r="D358" s="1271"/>
    </row>
  </sheetData>
  <mergeCells count="174">
    <mergeCell ref="E291:N291"/>
    <mergeCell ref="E292:F292"/>
    <mergeCell ref="G292:H292"/>
    <mergeCell ref="I292:J292"/>
    <mergeCell ref="K292:L292"/>
    <mergeCell ref="M292:N292"/>
    <mergeCell ref="C258:C260"/>
    <mergeCell ref="C243:C245"/>
    <mergeCell ref="B248:B252"/>
    <mergeCell ref="C248:C250"/>
    <mergeCell ref="B253:B257"/>
    <mergeCell ref="C253:C255"/>
    <mergeCell ref="B258:B262"/>
    <mergeCell ref="C211:C213"/>
    <mergeCell ref="C208:C210"/>
    <mergeCell ref="C176:C178"/>
    <mergeCell ref="C181:C183"/>
    <mergeCell ref="B268:B272"/>
    <mergeCell ref="C321:C323"/>
    <mergeCell ref="C324:C326"/>
    <mergeCell ref="C278:C280"/>
    <mergeCell ref="B235:B239"/>
    <mergeCell ref="C235:C237"/>
    <mergeCell ref="B332:B342"/>
    <mergeCell ref="B321:B331"/>
    <mergeCell ref="B318:B320"/>
    <mergeCell ref="B305:B315"/>
    <mergeCell ref="B294:B304"/>
    <mergeCell ref="B291:B293"/>
    <mergeCell ref="B283:B287"/>
    <mergeCell ref="B240:B247"/>
    <mergeCell ref="C240:C242"/>
    <mergeCell ref="C338:C340"/>
    <mergeCell ref="C300:C302"/>
    <mergeCell ref="C311:C313"/>
    <mergeCell ref="C263:C265"/>
    <mergeCell ref="C268:C270"/>
    <mergeCell ref="C332:C334"/>
    <mergeCell ref="C335:C337"/>
    <mergeCell ref="C327:C329"/>
    <mergeCell ref="C283:C285"/>
    <mergeCell ref="B96:B98"/>
    <mergeCell ref="D232:D234"/>
    <mergeCell ref="C318:C320"/>
    <mergeCell ref="C291:C293"/>
    <mergeCell ref="C165:C167"/>
    <mergeCell ref="C148:C150"/>
    <mergeCell ref="C170:C172"/>
    <mergeCell ref="C138:C140"/>
    <mergeCell ref="B99:B109"/>
    <mergeCell ref="B232:B234"/>
    <mergeCell ref="B148:B158"/>
    <mergeCell ref="B159:B169"/>
    <mergeCell ref="B170:B180"/>
    <mergeCell ref="B181:B191"/>
    <mergeCell ref="B194:B196"/>
    <mergeCell ref="C232:C234"/>
    <mergeCell ref="C200:C202"/>
    <mergeCell ref="C203:C205"/>
    <mergeCell ref="C173:C175"/>
    <mergeCell ref="C197:C199"/>
    <mergeCell ref="B273:B277"/>
    <mergeCell ref="C273:C275"/>
    <mergeCell ref="B278:B282"/>
    <mergeCell ref="B263:B267"/>
    <mergeCell ref="E318:N318"/>
    <mergeCell ref="E319:F319"/>
    <mergeCell ref="G319:H319"/>
    <mergeCell ref="I319:J319"/>
    <mergeCell ref="K319:L319"/>
    <mergeCell ref="M319:N319"/>
    <mergeCell ref="K97:L97"/>
    <mergeCell ref="C75:C77"/>
    <mergeCell ref="C72:C74"/>
    <mergeCell ref="D318:D320"/>
    <mergeCell ref="C294:C296"/>
    <mergeCell ref="C297:C299"/>
    <mergeCell ref="C305:C307"/>
    <mergeCell ref="C308:C310"/>
    <mergeCell ref="D291:D293"/>
    <mergeCell ref="K195:L195"/>
    <mergeCell ref="E232:N232"/>
    <mergeCell ref="K146:L146"/>
    <mergeCell ref="M146:N146"/>
    <mergeCell ref="E233:F233"/>
    <mergeCell ref="G233:H233"/>
    <mergeCell ref="I233:J233"/>
    <mergeCell ref="K233:L233"/>
    <mergeCell ref="M233:N233"/>
    <mergeCell ref="M97:N97"/>
    <mergeCell ref="D194:D196"/>
    <mergeCell ref="C194:C196"/>
    <mergeCell ref="E194:N194"/>
    <mergeCell ref="D96:D98"/>
    <mergeCell ref="E96:N96"/>
    <mergeCell ref="E97:F97"/>
    <mergeCell ref="G97:H97"/>
    <mergeCell ref="C145:C147"/>
    <mergeCell ref="D145:D147"/>
    <mergeCell ref="E145:N145"/>
    <mergeCell ref="C151:C153"/>
    <mergeCell ref="C154:C156"/>
    <mergeCell ref="C159:C161"/>
    <mergeCell ref="C162:C164"/>
    <mergeCell ref="I146:J146"/>
    <mergeCell ref="M195:N195"/>
    <mergeCell ref="C184:C186"/>
    <mergeCell ref="C187:C189"/>
    <mergeCell ref="E146:F146"/>
    <mergeCell ref="G146:H146"/>
    <mergeCell ref="C61:C63"/>
    <mergeCell ref="C127:C129"/>
    <mergeCell ref="C116:C118"/>
    <mergeCell ref="C105:C107"/>
    <mergeCell ref="C86:C88"/>
    <mergeCell ref="C83:C85"/>
    <mergeCell ref="C67:C69"/>
    <mergeCell ref="C78:C80"/>
    <mergeCell ref="C89:C91"/>
    <mergeCell ref="C99:C101"/>
    <mergeCell ref="C102:C104"/>
    <mergeCell ref="C110:C112"/>
    <mergeCell ref="C113:C115"/>
    <mergeCell ref="C121:C123"/>
    <mergeCell ref="C124:C126"/>
    <mergeCell ref="C96:C98"/>
    <mergeCell ref="C64:C66"/>
    <mergeCell ref="B50:B60"/>
    <mergeCell ref="B219:B229"/>
    <mergeCell ref="B197:B207"/>
    <mergeCell ref="B208:B218"/>
    <mergeCell ref="B83:B93"/>
    <mergeCell ref="B61:B71"/>
    <mergeCell ref="B72:B82"/>
    <mergeCell ref="I97:J97"/>
    <mergeCell ref="C53:C55"/>
    <mergeCell ref="C50:C52"/>
    <mergeCell ref="C56:C58"/>
    <mergeCell ref="C132:C134"/>
    <mergeCell ref="C135:C137"/>
    <mergeCell ref="E195:F195"/>
    <mergeCell ref="G195:H195"/>
    <mergeCell ref="I195:J195"/>
    <mergeCell ref="C219:C221"/>
    <mergeCell ref="C214:C216"/>
    <mergeCell ref="C225:C227"/>
    <mergeCell ref="C222:C224"/>
    <mergeCell ref="B145:B147"/>
    <mergeCell ref="B132:B142"/>
    <mergeCell ref="B121:B131"/>
    <mergeCell ref="B110:B120"/>
    <mergeCell ref="B17:B27"/>
    <mergeCell ref="B28:B38"/>
    <mergeCell ref="B39:B49"/>
    <mergeCell ref="B5:O5"/>
    <mergeCell ref="B6:O6"/>
    <mergeCell ref="B14:B16"/>
    <mergeCell ref="C14:C16"/>
    <mergeCell ref="D14:D16"/>
    <mergeCell ref="E14:N14"/>
    <mergeCell ref="E15:F15"/>
    <mergeCell ref="G15:H15"/>
    <mergeCell ref="I15:J15"/>
    <mergeCell ref="K15:L15"/>
    <mergeCell ref="M15:N15"/>
    <mergeCell ref="C20:C22"/>
    <mergeCell ref="C17:C19"/>
    <mergeCell ref="C45:C47"/>
    <mergeCell ref="C42:C44"/>
    <mergeCell ref="C39:C41"/>
    <mergeCell ref="C34:C36"/>
    <mergeCell ref="C31:C33"/>
    <mergeCell ref="C28:C30"/>
    <mergeCell ref="C23:C25"/>
  </mergeCells>
  <pageMargins left="0.7" right="0.7" top="0.75" bottom="0.75" header="0.3" footer="0.3"/>
  <pageSetup paperSize="9" orientation="portrait" r:id="rId1"/>
  <ignoredErrors>
    <ignoredError sqref="G142 L303 F314 H314 J314 F315 L314 N314 N297:N299 F49:N49 G60 G85 G93 G207 G221 I229 G229 F304 H304 H315 J315 L315 N315 G27 M27 I207 O207 N303 I60 M60 K63 K66 M71 G87:G88 G224 I142 I221 I224 G180:M180 I85 I93 I87:I88" formula="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C1:AB1763"/>
  <sheetViews>
    <sheetView zoomScale="70" zoomScaleNormal="70" workbookViewId="0">
      <selection activeCell="K29" sqref="K29"/>
    </sheetView>
  </sheetViews>
  <sheetFormatPr baseColWidth="10" defaultColWidth="10.85546875" defaultRowHeight="9" customHeight="1" x14ac:dyDescent="0.25"/>
  <cols>
    <col min="1" max="1" width="10.85546875" style="691"/>
    <col min="2" max="2" width="4.140625" style="691" customWidth="1"/>
    <col min="3" max="3" width="34.42578125" style="691" customWidth="1"/>
    <col min="4" max="4" width="28.85546875" style="691" customWidth="1"/>
    <col min="5" max="5" width="8.42578125" style="691" customWidth="1"/>
    <col min="6" max="6" width="12.28515625" style="691" customWidth="1"/>
    <col min="7" max="7" width="9.42578125" style="691" customWidth="1"/>
    <col min="8" max="8" width="10" style="691" customWidth="1"/>
    <col min="9" max="9" width="13" style="691" customWidth="1"/>
    <col min="10" max="10" width="12.5703125" style="691" customWidth="1"/>
    <col min="11" max="11" width="10.28515625" style="691" customWidth="1"/>
    <col min="12" max="13" width="7" style="691" customWidth="1"/>
    <col min="14" max="14" width="5.5703125" style="691" customWidth="1"/>
    <col min="15" max="15" width="7.140625" style="691" customWidth="1"/>
    <col min="16" max="16" width="9" style="691" customWidth="1"/>
    <col min="17" max="17" width="5.5703125" style="691" customWidth="1"/>
    <col min="18" max="18" width="9.28515625" style="691" customWidth="1"/>
    <col min="19" max="22" width="7" style="691" customWidth="1"/>
    <col min="23" max="23" width="12.7109375" style="691" customWidth="1"/>
    <col min="24" max="24" width="7" style="691" customWidth="1"/>
    <col min="25" max="25" width="8" style="691" customWidth="1"/>
    <col min="26" max="26" width="13" style="691" customWidth="1"/>
    <col min="27" max="28" width="10.85546875" style="691" customWidth="1"/>
    <col min="29" max="16384" width="10.85546875" style="691"/>
  </cols>
  <sheetData>
    <row r="1" spans="3:28" ht="13.5" x14ac:dyDescent="0.25"/>
    <row r="2" spans="3:28" ht="13.5" x14ac:dyDescent="0.25"/>
    <row r="3" spans="3:28" ht="13.5" x14ac:dyDescent="0.25"/>
    <row r="4" spans="3:28" ht="13.5" x14ac:dyDescent="0.25"/>
    <row r="5" spans="3:28" ht="13.5" x14ac:dyDescent="0.25">
      <c r="C5" s="4524" t="s">
        <v>3720</v>
      </c>
      <c r="D5" s="4525"/>
      <c r="E5" s="4525"/>
      <c r="F5" s="4525"/>
      <c r="G5" s="4525"/>
      <c r="H5" s="4525"/>
      <c r="I5" s="4525"/>
      <c r="J5" s="4525"/>
      <c r="K5" s="4525"/>
      <c r="L5" s="4525"/>
      <c r="M5" s="4525"/>
      <c r="N5" s="4525"/>
      <c r="O5" s="4525"/>
      <c r="P5" s="4525"/>
      <c r="Q5" s="4525"/>
      <c r="R5" s="4525"/>
      <c r="S5" s="4525"/>
      <c r="T5" s="4525"/>
      <c r="U5" s="4525"/>
      <c r="V5" s="4525"/>
      <c r="W5" s="4525"/>
      <c r="X5" s="4525"/>
    </row>
    <row r="6" spans="3:28" ht="13.5" x14ac:dyDescent="0.25">
      <c r="C6" s="4526"/>
      <c r="D6" s="4526"/>
      <c r="E6" s="4526"/>
      <c r="F6" s="4526"/>
      <c r="G6" s="4526"/>
      <c r="H6" s="4526"/>
      <c r="I6" s="4526"/>
      <c r="J6" s="4526"/>
      <c r="K6" s="4526"/>
      <c r="L6" s="4526"/>
      <c r="M6" s="4526"/>
      <c r="N6" s="4526"/>
      <c r="O6" s="4526"/>
      <c r="P6" s="4526"/>
    </row>
    <row r="7" spans="3:28" ht="13.5" x14ac:dyDescent="0.25">
      <c r="C7" s="690"/>
      <c r="D7" s="690"/>
      <c r="E7" s="690"/>
      <c r="F7" s="690"/>
      <c r="G7" s="690"/>
      <c r="H7" s="690"/>
      <c r="I7" s="690"/>
      <c r="J7" s="690"/>
      <c r="K7" s="690"/>
      <c r="L7" s="690"/>
      <c r="M7" s="690"/>
      <c r="N7" s="690"/>
      <c r="O7" s="690"/>
      <c r="P7" s="690"/>
    </row>
    <row r="8" spans="3:28" ht="13.5" x14ac:dyDescent="0.25">
      <c r="C8" s="689" t="s">
        <v>3721</v>
      </c>
    </row>
    <row r="9" spans="3:28" ht="13.5" x14ac:dyDescent="0.25">
      <c r="C9" s="689"/>
    </row>
    <row r="10" spans="3:28" ht="13.5" x14ac:dyDescent="0.25">
      <c r="C10" s="689" t="s">
        <v>192</v>
      </c>
      <c r="D10" s="689"/>
    </row>
    <row r="11" spans="3:28" ht="14.25" thickBot="1" x14ac:dyDescent="0.3"/>
    <row r="12" spans="3:28" ht="13.5" x14ac:dyDescent="0.25">
      <c r="C12" s="4354" t="s">
        <v>246</v>
      </c>
      <c r="D12" s="4355" t="s">
        <v>248</v>
      </c>
      <c r="E12" s="4385" t="s">
        <v>382</v>
      </c>
      <c r="F12" s="4385"/>
      <c r="G12" s="4385"/>
      <c r="H12" s="4385"/>
      <c r="I12" s="4385"/>
      <c r="J12" s="4385"/>
      <c r="K12" s="4385"/>
      <c r="L12" s="4385"/>
      <c r="M12" s="4385"/>
      <c r="N12" s="4385"/>
      <c r="O12" s="4385"/>
      <c r="P12" s="4385"/>
      <c r="Q12" s="4385"/>
      <c r="R12" s="4385"/>
      <c r="S12" s="4385"/>
      <c r="T12" s="4385"/>
      <c r="U12" s="4385"/>
      <c r="V12" s="4385"/>
      <c r="W12" s="4385"/>
      <c r="X12" s="4385"/>
      <c r="Y12" s="4385"/>
      <c r="Z12" s="4385"/>
      <c r="AA12" s="4385"/>
      <c r="AB12" s="4517"/>
    </row>
    <row r="13" spans="3:28" ht="45" customHeight="1" x14ac:dyDescent="0.25">
      <c r="C13" s="4368"/>
      <c r="D13" s="4523"/>
      <c r="E13" s="4515" t="s">
        <v>71</v>
      </c>
      <c r="F13" s="4515"/>
      <c r="G13" s="4515"/>
      <c r="H13" s="4515" t="s">
        <v>61</v>
      </c>
      <c r="I13" s="4515"/>
      <c r="J13" s="4515"/>
      <c r="K13" s="4515" t="s">
        <v>427</v>
      </c>
      <c r="L13" s="4515"/>
      <c r="M13" s="4515"/>
      <c r="N13" s="4515" t="s">
        <v>383</v>
      </c>
      <c r="O13" s="4515"/>
      <c r="P13" s="4515"/>
      <c r="Q13" s="4523" t="s">
        <v>1267</v>
      </c>
      <c r="R13" s="4523"/>
      <c r="S13" s="4523"/>
      <c r="T13" s="4515" t="s">
        <v>193</v>
      </c>
      <c r="U13" s="4515"/>
      <c r="V13" s="4515"/>
      <c r="W13" s="4515" t="s">
        <v>381</v>
      </c>
      <c r="X13" s="4515"/>
      <c r="Y13" s="4515"/>
      <c r="Z13" s="4515" t="s">
        <v>384</v>
      </c>
      <c r="AA13" s="4515"/>
      <c r="AB13" s="4516"/>
    </row>
    <row r="14" spans="3:28" ht="14.25" thickBot="1" x14ac:dyDescent="0.3">
      <c r="C14" s="4527"/>
      <c r="D14" s="4528"/>
      <c r="E14" s="2193" t="s">
        <v>255</v>
      </c>
      <c r="F14" s="2193" t="s">
        <v>256</v>
      </c>
      <c r="G14" s="2193" t="s">
        <v>0</v>
      </c>
      <c r="H14" s="2193" t="s">
        <v>255</v>
      </c>
      <c r="I14" s="2193" t="s">
        <v>256</v>
      </c>
      <c r="J14" s="2193" t="s">
        <v>0</v>
      </c>
      <c r="K14" s="2193" t="s">
        <v>255</v>
      </c>
      <c r="L14" s="2193" t="s">
        <v>256</v>
      </c>
      <c r="M14" s="2193" t="s">
        <v>0</v>
      </c>
      <c r="N14" s="2193" t="s">
        <v>255</v>
      </c>
      <c r="O14" s="2193" t="s">
        <v>256</v>
      </c>
      <c r="P14" s="2193" t="s">
        <v>0</v>
      </c>
      <c r="Q14" s="2193" t="s">
        <v>255</v>
      </c>
      <c r="R14" s="2193" t="s">
        <v>256</v>
      </c>
      <c r="S14" s="2193" t="s">
        <v>0</v>
      </c>
      <c r="T14" s="2193" t="s">
        <v>255</v>
      </c>
      <c r="U14" s="2193" t="s">
        <v>256</v>
      </c>
      <c r="V14" s="2193" t="s">
        <v>0</v>
      </c>
      <c r="W14" s="2193" t="s">
        <v>255</v>
      </c>
      <c r="X14" s="2193" t="s">
        <v>256</v>
      </c>
      <c r="Y14" s="2193" t="s">
        <v>0</v>
      </c>
      <c r="Z14" s="2193" t="s">
        <v>255</v>
      </c>
      <c r="AA14" s="2193" t="s">
        <v>256</v>
      </c>
      <c r="AB14" s="2218" t="s">
        <v>0</v>
      </c>
    </row>
    <row r="15" spans="3:28" ht="13.5" x14ac:dyDescent="0.25">
      <c r="C15" s="2194" t="s">
        <v>385</v>
      </c>
      <c r="D15" s="2194"/>
      <c r="E15" s="2200"/>
      <c r="F15" s="2201"/>
      <c r="G15" s="2202"/>
      <c r="H15" s="2200"/>
      <c r="I15" s="2201"/>
      <c r="J15" s="2202"/>
      <c r="K15" s="2200"/>
      <c r="L15" s="2201"/>
      <c r="M15" s="2202"/>
      <c r="N15" s="2200"/>
      <c r="O15" s="2201"/>
      <c r="P15" s="2202"/>
      <c r="Q15" s="2200"/>
      <c r="R15" s="2201"/>
      <c r="S15" s="2202"/>
      <c r="T15" s="2200"/>
      <c r="U15" s="2201"/>
      <c r="V15" s="2202"/>
      <c r="W15" s="2200"/>
      <c r="X15" s="2201"/>
      <c r="Y15" s="2202"/>
      <c r="Z15" s="2200"/>
      <c r="AA15" s="2201"/>
      <c r="AB15" s="2202"/>
    </row>
    <row r="16" spans="3:28" ht="13.5" x14ac:dyDescent="0.25">
      <c r="C16" s="2195" t="s">
        <v>386</v>
      </c>
      <c r="D16" s="2195" t="s">
        <v>387</v>
      </c>
      <c r="E16" s="2203">
        <f>+'15.2 Prog RH 2'!M27</f>
        <v>753.5</v>
      </c>
      <c r="F16" s="2189"/>
      <c r="G16" s="2204">
        <f>SUM(E16:F16)</f>
        <v>753.5</v>
      </c>
      <c r="H16" s="2203">
        <f>+'15.2 Prog RH 2'!M109</f>
        <v>286</v>
      </c>
      <c r="I16" s="2189"/>
      <c r="J16" s="2204">
        <f>SUM(H16:I16)</f>
        <v>286</v>
      </c>
      <c r="K16" s="2203">
        <f>+'15.2 Prog RH 2'!M207</f>
        <v>286</v>
      </c>
      <c r="L16" s="2189"/>
      <c r="M16" s="2204">
        <f>SUM(K16:L16)</f>
        <v>286</v>
      </c>
      <c r="N16" s="2203">
        <f>+'15.2 Prog RH 2'!M158</f>
        <v>176</v>
      </c>
      <c r="O16" s="2189"/>
      <c r="P16" s="2204">
        <f>SUM(N16:O16)</f>
        <v>176</v>
      </c>
      <c r="Q16" s="2203">
        <f>+'15.2 Prog RH 2'!M239</f>
        <v>154</v>
      </c>
      <c r="R16" s="2189"/>
      <c r="S16" s="2204">
        <f>SUM(Q16:R16)</f>
        <v>154</v>
      </c>
      <c r="T16" s="2203"/>
      <c r="U16" s="2189"/>
      <c r="V16" s="2204"/>
      <c r="W16" s="2203"/>
      <c r="X16" s="2189"/>
      <c r="Y16" s="2204"/>
      <c r="Z16" s="2203">
        <f>SUM(E16+H16+K16+N16+Q16)</f>
        <v>1655.5</v>
      </c>
      <c r="AA16" s="2189"/>
      <c r="AB16" s="2204">
        <f>SUM(Z16:AA16)</f>
        <v>1655.5</v>
      </c>
    </row>
    <row r="17" spans="3:28" s="689" customFormat="1" ht="13.5" x14ac:dyDescent="0.25">
      <c r="C17" s="2196"/>
      <c r="D17" s="2196" t="s">
        <v>388</v>
      </c>
      <c r="E17" s="2205"/>
      <c r="F17" s="2190"/>
      <c r="G17" s="2206">
        <f>G16/$AB$16</f>
        <v>0.45514950166112955</v>
      </c>
      <c r="H17" s="2205"/>
      <c r="I17" s="2190"/>
      <c r="J17" s="2206">
        <f>J16/$AB$16</f>
        <v>0.17275747508305647</v>
      </c>
      <c r="K17" s="2205"/>
      <c r="L17" s="2190"/>
      <c r="M17" s="2206">
        <f>M16/$AB$16</f>
        <v>0.17275747508305647</v>
      </c>
      <c r="N17" s="2205"/>
      <c r="O17" s="2190"/>
      <c r="P17" s="2206">
        <f>P16/$AB$16</f>
        <v>0.10631229235880399</v>
      </c>
      <c r="Q17" s="2205"/>
      <c r="R17" s="2190"/>
      <c r="S17" s="2206">
        <f>S16/$AB$16</f>
        <v>9.3023255813953487E-2</v>
      </c>
      <c r="T17" s="2205"/>
      <c r="U17" s="2190"/>
      <c r="V17" s="2206"/>
      <c r="W17" s="2205"/>
      <c r="X17" s="2190"/>
      <c r="Y17" s="2206"/>
      <c r="Z17" s="2205"/>
      <c r="AA17" s="2190"/>
      <c r="AB17" s="2206">
        <f>AB16/$AB$16</f>
        <v>1</v>
      </c>
    </row>
    <row r="18" spans="3:28" ht="13.5" x14ac:dyDescent="0.25">
      <c r="C18" s="2197" t="s">
        <v>389</v>
      </c>
      <c r="D18" s="2197"/>
      <c r="E18" s="2207"/>
      <c r="F18" s="2191"/>
      <c r="G18" s="2208"/>
      <c r="H18" s="2207"/>
      <c r="I18" s="2191"/>
      <c r="J18" s="2208"/>
      <c r="K18" s="2207"/>
      <c r="L18" s="2191"/>
      <c r="M18" s="2208"/>
      <c r="N18" s="2207"/>
      <c r="O18" s="2191"/>
      <c r="P18" s="2208"/>
      <c r="Q18" s="2207"/>
      <c r="R18" s="2191"/>
      <c r="S18" s="2208"/>
      <c r="T18" s="2207"/>
      <c r="U18" s="2191"/>
      <c r="V18" s="2208"/>
      <c r="W18" s="2207"/>
      <c r="X18" s="2191"/>
      <c r="Y18" s="2208"/>
      <c r="Z18" s="2207"/>
      <c r="AA18" s="2191"/>
      <c r="AB18" s="2208"/>
    </row>
    <row r="19" spans="3:28" ht="13.5" x14ac:dyDescent="0.25">
      <c r="C19" s="2195" t="s">
        <v>390</v>
      </c>
      <c r="D19" s="2195" t="s">
        <v>387</v>
      </c>
      <c r="E19" s="2203">
        <f>+'15.2 Prog RH 2'!M71</f>
        <v>1254</v>
      </c>
      <c r="F19" s="2189">
        <f>+'15.2 Prog RH 2'!N71</f>
        <v>0</v>
      </c>
      <c r="G19" s="2204">
        <f>SUM(E19:F19)</f>
        <v>1254</v>
      </c>
      <c r="H19" s="2203"/>
      <c r="I19" s="2189"/>
      <c r="J19" s="2204"/>
      <c r="K19" s="2203"/>
      <c r="L19" s="2189"/>
      <c r="M19" s="2204"/>
      <c r="N19" s="2203"/>
      <c r="O19" s="2189"/>
      <c r="P19" s="2204"/>
      <c r="Q19" s="2203">
        <f>+'15.2 Prog RH 2'!M257</f>
        <v>396</v>
      </c>
      <c r="R19" s="2189"/>
      <c r="S19" s="2204">
        <f>SUM(Q19:R19)</f>
        <v>396</v>
      </c>
      <c r="T19" s="2203"/>
      <c r="U19" s="2189"/>
      <c r="V19" s="2204"/>
      <c r="W19" s="2203"/>
      <c r="X19" s="2189"/>
      <c r="Y19" s="2204"/>
      <c r="Z19" s="2203">
        <f>+E19+Q19</f>
        <v>1650</v>
      </c>
      <c r="AA19" s="2189">
        <f>+F19</f>
        <v>0</v>
      </c>
      <c r="AB19" s="2204">
        <f>SUM(Z19:AA19)</f>
        <v>1650</v>
      </c>
    </row>
    <row r="20" spans="3:28" s="689" customFormat="1" ht="13.5" x14ac:dyDescent="0.25">
      <c r="C20" s="2196"/>
      <c r="D20" s="2196" t="s">
        <v>388</v>
      </c>
      <c r="E20" s="2209"/>
      <c r="F20" s="1311"/>
      <c r="G20" s="2210">
        <f>G19/$AB$19</f>
        <v>0.76</v>
      </c>
      <c r="H20" s="2209"/>
      <c r="I20" s="1311"/>
      <c r="J20" s="2210"/>
      <c r="K20" s="2209"/>
      <c r="L20" s="1311"/>
      <c r="M20" s="2210"/>
      <c r="N20" s="2209"/>
      <c r="O20" s="1311"/>
      <c r="P20" s="2210"/>
      <c r="Q20" s="2209"/>
      <c r="R20" s="1311"/>
      <c r="S20" s="2210">
        <f>S19/$AB$19</f>
        <v>0.24</v>
      </c>
      <c r="T20" s="2209"/>
      <c r="U20" s="1311"/>
      <c r="V20" s="2210"/>
      <c r="W20" s="2209"/>
      <c r="X20" s="1311"/>
      <c r="Y20" s="2210"/>
      <c r="Z20" s="2209"/>
      <c r="AA20" s="1311"/>
      <c r="AB20" s="2210">
        <f>AB19/$AB$19</f>
        <v>1</v>
      </c>
    </row>
    <row r="21" spans="3:28" ht="13.5" x14ac:dyDescent="0.25">
      <c r="C21" s="2195" t="s">
        <v>353</v>
      </c>
      <c r="D21" s="2195" t="s">
        <v>387</v>
      </c>
      <c r="E21" s="2203">
        <f>+'15.2 Prog RH 2'!M49</f>
        <v>858</v>
      </c>
      <c r="F21" s="2189">
        <f>+'15.2 Prog RH 2'!N49</f>
        <v>520.66666666666663</v>
      </c>
      <c r="G21" s="2204">
        <f>SUM(E21+F21)</f>
        <v>1378.6666666666665</v>
      </c>
      <c r="H21" s="2203">
        <f>+'15.2 Prog RH 2'!M120</f>
        <v>404.8</v>
      </c>
      <c r="I21" s="2189">
        <f>+'15.2 Prog RH 2'!N131</f>
        <v>557.33333333333337</v>
      </c>
      <c r="J21" s="2204">
        <f>SUM(H21:I21)</f>
        <v>962.13333333333344</v>
      </c>
      <c r="K21" s="2203"/>
      <c r="L21" s="2189"/>
      <c r="M21" s="2204"/>
      <c r="N21" s="2203">
        <f>+'15.2 Prog RH 2'!M180</f>
        <v>264</v>
      </c>
      <c r="O21" s="2189">
        <f>+'15.2 Prog RH 2'!N180</f>
        <v>381.33333333333331</v>
      </c>
      <c r="P21" s="2204">
        <f>SUM(N21:O21)</f>
        <v>645.33333333333326</v>
      </c>
      <c r="Q21" s="2203">
        <f>+'15.2 Prog RH 2'!M252</f>
        <v>132</v>
      </c>
      <c r="R21" s="2189">
        <f>+'15.2 Prog RH 2'!N252</f>
        <v>190.66666666666666</v>
      </c>
      <c r="S21" s="2204">
        <f>SUM(Q21:R21)</f>
        <v>322.66666666666663</v>
      </c>
      <c r="T21" s="2203"/>
      <c r="U21" s="2189"/>
      <c r="V21" s="2204"/>
      <c r="W21" s="2203"/>
      <c r="X21" s="2189"/>
      <c r="Y21" s="2204"/>
      <c r="Z21" s="2203">
        <f>SUM(E21+H21+N21+Q21)</f>
        <v>1658.8</v>
      </c>
      <c r="AA21" s="2189">
        <f>SUM(F21+I21+O21+R21)</f>
        <v>1650</v>
      </c>
      <c r="AB21" s="2204">
        <f>SUM(Z21+AA21)</f>
        <v>3308.8</v>
      </c>
    </row>
    <row r="22" spans="3:28" s="689" customFormat="1" ht="13.5" x14ac:dyDescent="0.25">
      <c r="C22" s="2196"/>
      <c r="D22" s="2196" t="s">
        <v>388</v>
      </c>
      <c r="E22" s="2211"/>
      <c r="F22" s="2192"/>
      <c r="G22" s="2210">
        <f>G21/$AB$21</f>
        <v>0.41666666666666657</v>
      </c>
      <c r="H22" s="2209"/>
      <c r="I22" s="1311"/>
      <c r="J22" s="2210">
        <f>J21/$AB$21</f>
        <v>0.29078014184397166</v>
      </c>
      <c r="K22" s="2209"/>
      <c r="L22" s="1311"/>
      <c r="M22" s="2210"/>
      <c r="N22" s="2209"/>
      <c r="O22" s="1311"/>
      <c r="P22" s="2210">
        <f>P21/$AB$21</f>
        <v>0.19503546099290778</v>
      </c>
      <c r="Q22" s="2209"/>
      <c r="R22" s="1311"/>
      <c r="S22" s="2210">
        <f>S21/$AB$21</f>
        <v>9.7517730496453889E-2</v>
      </c>
      <c r="T22" s="2209"/>
      <c r="U22" s="1311"/>
      <c r="V22" s="2210"/>
      <c r="W22" s="2209"/>
      <c r="X22" s="1311"/>
      <c r="Y22" s="2210"/>
      <c r="Z22" s="2209"/>
      <c r="AA22" s="1311"/>
      <c r="AB22" s="2210">
        <f>AB21/$AB$21</f>
        <v>1</v>
      </c>
    </row>
    <row r="23" spans="3:28" ht="13.5" x14ac:dyDescent="0.25">
      <c r="C23" s="2195" t="s">
        <v>265</v>
      </c>
      <c r="D23" s="2195" t="s">
        <v>387</v>
      </c>
      <c r="E23" s="2203">
        <f>+'15.2 Prog RH 2'!M38</f>
        <v>400.4</v>
      </c>
      <c r="F23" s="2189">
        <f>+'15.2 Prog RH 2'!N38</f>
        <v>726</v>
      </c>
      <c r="G23" s="2204">
        <f>SUM(E23:F23)</f>
        <v>1126.4000000000001</v>
      </c>
      <c r="H23" s="2203">
        <f>+'15.2 Prog RH 2'!M120</f>
        <v>404.8</v>
      </c>
      <c r="I23" s="2189">
        <f>+'15.2 Prog RH 2'!N120</f>
        <v>330</v>
      </c>
      <c r="J23" s="2204">
        <f>SUM(H23+I23)</f>
        <v>734.8</v>
      </c>
      <c r="K23" s="2203">
        <f>+'15.2 Prog RH 2'!M218</f>
        <v>343.2</v>
      </c>
      <c r="L23" s="2189">
        <f>+'15.2 Prog RH 2'!N218</f>
        <v>198</v>
      </c>
      <c r="M23" s="2204">
        <f>SUM(K23+L23)</f>
        <v>541.20000000000005</v>
      </c>
      <c r="N23" s="2203">
        <f>+'15.2 Prog RH 2'!M169</f>
        <v>369.6</v>
      </c>
      <c r="O23" s="2189">
        <f>+'15.2 Prog RH 2'!N169</f>
        <v>330</v>
      </c>
      <c r="P23" s="2204">
        <f>SUM(N23:O23)</f>
        <v>699.6</v>
      </c>
      <c r="Q23" s="2203">
        <f>+'15.2 Prog RH 2'!M247</f>
        <v>132</v>
      </c>
      <c r="R23" s="2189">
        <f>+'15.2 Prog RH 2'!N247</f>
        <v>66</v>
      </c>
      <c r="S23" s="2204">
        <f>SUM(Q23:R23)</f>
        <v>198</v>
      </c>
      <c r="T23" s="2203"/>
      <c r="U23" s="2189"/>
      <c r="V23" s="2204"/>
      <c r="W23" s="2203"/>
      <c r="X23" s="2189"/>
      <c r="Y23" s="2204"/>
      <c r="Z23" s="2203">
        <f>SUM(E23+H23+K23+N23+Q23)</f>
        <v>1650</v>
      </c>
      <c r="AA23" s="2189">
        <f>SUM(F23+I23+L23+O23+R23)</f>
        <v>1650</v>
      </c>
      <c r="AB23" s="2204">
        <f>SUM(Z23+AA23)</f>
        <v>3300</v>
      </c>
    </row>
    <row r="24" spans="3:28" s="689" customFormat="1" ht="13.5" x14ac:dyDescent="0.25">
      <c r="C24" s="2196"/>
      <c r="D24" s="2196" t="s">
        <v>388</v>
      </c>
      <c r="E24" s="2211"/>
      <c r="F24" s="2192"/>
      <c r="G24" s="2210">
        <f>G23/$AB$23</f>
        <v>0.34133333333333338</v>
      </c>
      <c r="H24" s="2209"/>
      <c r="I24" s="1311"/>
      <c r="J24" s="2210">
        <f>J23/$AB$23</f>
        <v>0.22266666666666665</v>
      </c>
      <c r="K24" s="2209"/>
      <c r="L24" s="1311"/>
      <c r="M24" s="2210">
        <f>M23/$AB$23</f>
        <v>0.16400000000000001</v>
      </c>
      <c r="N24" s="2209"/>
      <c r="O24" s="1311"/>
      <c r="P24" s="2210">
        <f>P23/$AB$23</f>
        <v>0.21199999999999999</v>
      </c>
      <c r="Q24" s="2209"/>
      <c r="R24" s="1311"/>
      <c r="S24" s="2210">
        <f>S23/$AB$23</f>
        <v>0.06</v>
      </c>
      <c r="T24" s="2209"/>
      <c r="U24" s="1311"/>
      <c r="V24" s="2210"/>
      <c r="W24" s="2209"/>
      <c r="X24" s="1311"/>
      <c r="Y24" s="2210"/>
      <c r="Z24" s="2209"/>
      <c r="AA24" s="1311"/>
      <c r="AB24" s="2210">
        <f>AB23/$AB$23</f>
        <v>1</v>
      </c>
    </row>
    <row r="25" spans="3:28" ht="13.5" x14ac:dyDescent="0.25">
      <c r="C25" s="2195" t="s">
        <v>221</v>
      </c>
      <c r="D25" s="2195" t="s">
        <v>387</v>
      </c>
      <c r="E25" s="2203">
        <f>+'15.2 Prog RH 2'!M82</f>
        <v>0</v>
      </c>
      <c r="F25" s="2189"/>
      <c r="G25" s="2204">
        <f>SUM(E25+F25)</f>
        <v>0</v>
      </c>
      <c r="H25" s="2203"/>
      <c r="I25" s="2189"/>
      <c r="J25" s="2204"/>
      <c r="K25" s="2203"/>
      <c r="L25" s="2189"/>
      <c r="M25" s="2204"/>
      <c r="N25" s="2203"/>
      <c r="O25" s="2189"/>
      <c r="P25" s="2204"/>
      <c r="Q25" s="2203">
        <f>+'15.2 Prog RH 2'!M267</f>
        <v>0</v>
      </c>
      <c r="R25" s="2189"/>
      <c r="S25" s="2204">
        <f>SUM(Q25:R25)</f>
        <v>0</v>
      </c>
      <c r="T25" s="2203"/>
      <c r="U25" s="2189"/>
      <c r="V25" s="2204"/>
      <c r="W25" s="2203"/>
      <c r="X25" s="2189"/>
      <c r="Y25" s="2204"/>
      <c r="Z25" s="2203">
        <f>SUM(G25+Q25)</f>
        <v>0</v>
      </c>
      <c r="AA25" s="2189"/>
      <c r="AB25" s="2204">
        <f>SUM(Z25+AA25)</f>
        <v>0</v>
      </c>
    </row>
    <row r="26" spans="3:28" s="689" customFormat="1" ht="13.5" x14ac:dyDescent="0.25">
      <c r="C26" s="2196"/>
      <c r="D26" s="2196" t="s">
        <v>388</v>
      </c>
      <c r="E26" s="2211"/>
      <c r="F26" s="2192"/>
      <c r="G26" s="2210">
        <v>0</v>
      </c>
      <c r="H26" s="2209"/>
      <c r="I26" s="1311"/>
      <c r="J26" s="2210"/>
      <c r="K26" s="2209"/>
      <c r="L26" s="1311"/>
      <c r="M26" s="2210"/>
      <c r="N26" s="2209"/>
      <c r="O26" s="1311"/>
      <c r="P26" s="2210"/>
      <c r="Q26" s="2209"/>
      <c r="R26" s="1311"/>
      <c r="S26" s="2210">
        <v>0</v>
      </c>
      <c r="T26" s="2209"/>
      <c r="U26" s="1311"/>
      <c r="V26" s="2210"/>
      <c r="W26" s="2209"/>
      <c r="X26" s="1311"/>
      <c r="Y26" s="2210"/>
      <c r="Z26" s="2209"/>
      <c r="AA26" s="1311"/>
      <c r="AB26" s="2210">
        <v>0</v>
      </c>
    </row>
    <row r="27" spans="3:28" ht="13.5" x14ac:dyDescent="0.25">
      <c r="C27" s="2195" t="s">
        <v>391</v>
      </c>
      <c r="D27" s="2195" t="s">
        <v>387</v>
      </c>
      <c r="E27" s="2203"/>
      <c r="F27" s="2189"/>
      <c r="G27" s="2204"/>
      <c r="H27" s="2203"/>
      <c r="I27" s="2189"/>
      <c r="J27" s="2204"/>
      <c r="K27" s="2203"/>
      <c r="L27" s="2189"/>
      <c r="M27" s="2204"/>
      <c r="N27" s="2203"/>
      <c r="O27" s="2189"/>
      <c r="P27" s="2204"/>
      <c r="Q27" s="2203">
        <f>+'15.2 Prog RH 2'!M272</f>
        <v>0</v>
      </c>
      <c r="R27" s="2189"/>
      <c r="S27" s="2204">
        <f>SUM(Q27:R27)</f>
        <v>0</v>
      </c>
      <c r="T27" s="2203"/>
      <c r="U27" s="2189"/>
      <c r="V27" s="2204"/>
      <c r="W27" s="2203">
        <f>+'15.2 Prog RH 2'!M331</f>
        <v>0</v>
      </c>
      <c r="X27" s="2189"/>
      <c r="Y27" s="2204">
        <f>SUM(W27+X27)</f>
        <v>0</v>
      </c>
      <c r="Z27" s="2203">
        <f>+W27+Q27</f>
        <v>0</v>
      </c>
      <c r="AA27" s="2189"/>
      <c r="AB27" s="2204">
        <f>SUM(Z27+AA27)</f>
        <v>0</v>
      </c>
    </row>
    <row r="28" spans="3:28" s="689" customFormat="1" ht="13.5" x14ac:dyDescent="0.25">
      <c r="C28" s="2196"/>
      <c r="D28" s="2196" t="s">
        <v>388</v>
      </c>
      <c r="E28" s="2211"/>
      <c r="F28" s="2192"/>
      <c r="G28" s="2210"/>
      <c r="H28" s="2211"/>
      <c r="I28" s="2192"/>
      <c r="J28" s="2212"/>
      <c r="K28" s="2211"/>
      <c r="L28" s="2192"/>
      <c r="M28" s="2212"/>
      <c r="N28" s="2211"/>
      <c r="O28" s="2192"/>
      <c r="P28" s="2212"/>
      <c r="Q28" s="2211"/>
      <c r="R28" s="2192"/>
      <c r="S28" s="2210">
        <v>0</v>
      </c>
      <c r="T28" s="2211"/>
      <c r="U28" s="2192"/>
      <c r="V28" s="2212"/>
      <c r="W28" s="2211"/>
      <c r="X28" s="2192"/>
      <c r="Y28" s="2210">
        <v>0</v>
      </c>
      <c r="Z28" s="2209"/>
      <c r="AA28" s="1311"/>
      <c r="AB28" s="2210">
        <v>0</v>
      </c>
    </row>
    <row r="29" spans="3:28" ht="13.5" x14ac:dyDescent="0.25">
      <c r="C29" s="2195" t="s">
        <v>375</v>
      </c>
      <c r="D29" s="2195" t="s">
        <v>387</v>
      </c>
      <c r="E29" s="2203">
        <f>+'15.2 Prog RH 2'!M60</f>
        <v>990</v>
      </c>
      <c r="F29" s="2189"/>
      <c r="G29" s="2204">
        <f>SUM(E29+F29)</f>
        <v>990</v>
      </c>
      <c r="H29" s="2203"/>
      <c r="I29" s="2189"/>
      <c r="J29" s="2204"/>
      <c r="K29" s="2203"/>
      <c r="L29" s="2189"/>
      <c r="M29" s="2204"/>
      <c r="N29" s="2203"/>
      <c r="O29" s="2189"/>
      <c r="P29" s="2204"/>
      <c r="Q29" s="2203">
        <f>+'15.2 Prog RH 2'!M262</f>
        <v>660</v>
      </c>
      <c r="R29" s="2189"/>
      <c r="S29" s="2204">
        <f>SUM(Q29:R29)</f>
        <v>660</v>
      </c>
      <c r="T29" s="2203"/>
      <c r="U29" s="2189"/>
      <c r="V29" s="2204"/>
      <c r="W29" s="2203"/>
      <c r="X29" s="2189"/>
      <c r="Y29" s="2204"/>
      <c r="Z29" s="2203">
        <f>SUM(E29+Q29)</f>
        <v>1650</v>
      </c>
      <c r="AA29" s="2189"/>
      <c r="AB29" s="2204">
        <f>SUM(Z29+AA29)</f>
        <v>1650</v>
      </c>
    </row>
    <row r="30" spans="3:28" s="689" customFormat="1" ht="13.5" x14ac:dyDescent="0.25">
      <c r="C30" s="2196"/>
      <c r="D30" s="2196" t="s">
        <v>388</v>
      </c>
      <c r="E30" s="2211"/>
      <c r="F30" s="2192"/>
      <c r="G30" s="2210">
        <f>G29/$AB$29</f>
        <v>0.6</v>
      </c>
      <c r="H30" s="2209"/>
      <c r="I30" s="1311"/>
      <c r="J30" s="2210"/>
      <c r="K30" s="2209"/>
      <c r="L30" s="1311"/>
      <c r="M30" s="2210"/>
      <c r="N30" s="2209"/>
      <c r="O30" s="1311"/>
      <c r="P30" s="2210"/>
      <c r="Q30" s="2209"/>
      <c r="R30" s="1311"/>
      <c r="S30" s="2210">
        <f>S29/$AB$29</f>
        <v>0.4</v>
      </c>
      <c r="T30" s="2209"/>
      <c r="U30" s="1311"/>
      <c r="V30" s="2210"/>
      <c r="W30" s="2209"/>
      <c r="X30" s="1311"/>
      <c r="Y30" s="2210"/>
      <c r="Z30" s="2209"/>
      <c r="AA30" s="1311"/>
      <c r="AB30" s="2210">
        <f>AB29/$AB$29</f>
        <v>1</v>
      </c>
    </row>
    <row r="31" spans="3:28" ht="13.5" x14ac:dyDescent="0.25">
      <c r="C31" s="2195" t="s">
        <v>218</v>
      </c>
      <c r="D31" s="2195" t="s">
        <v>387</v>
      </c>
      <c r="E31" s="2203"/>
      <c r="F31" s="2189"/>
      <c r="G31" s="2204"/>
      <c r="H31" s="2203"/>
      <c r="I31" s="2189"/>
      <c r="J31" s="2204"/>
      <c r="K31" s="2203"/>
      <c r="L31" s="2189"/>
      <c r="M31" s="2204"/>
      <c r="N31" s="2203"/>
      <c r="O31" s="2189"/>
      <c r="P31" s="2204"/>
      <c r="Q31" s="2203"/>
      <c r="R31" s="2189"/>
      <c r="S31" s="2204"/>
      <c r="T31" s="2203"/>
      <c r="U31" s="2189">
        <f>+'15.2 Prog RH 2'!N304</f>
        <v>1650</v>
      </c>
      <c r="V31" s="2204">
        <f>SUM(T31+U31)</f>
        <v>1650</v>
      </c>
      <c r="W31" s="2203"/>
      <c r="X31" s="2189"/>
      <c r="Y31" s="2204"/>
      <c r="Z31" s="2203"/>
      <c r="AA31" s="2189">
        <f>SUM(U31)</f>
        <v>1650</v>
      </c>
      <c r="AB31" s="2204">
        <f>SUM(Z31+AA31)</f>
        <v>1650</v>
      </c>
    </row>
    <row r="32" spans="3:28" s="689" customFormat="1" ht="13.5" x14ac:dyDescent="0.25">
      <c r="C32" s="2196"/>
      <c r="D32" s="2196" t="s">
        <v>388</v>
      </c>
      <c r="E32" s="2211"/>
      <c r="F32" s="2192"/>
      <c r="G32" s="2212"/>
      <c r="H32" s="2211"/>
      <c r="I32" s="2192"/>
      <c r="J32" s="2212"/>
      <c r="K32" s="2211"/>
      <c r="L32" s="2192"/>
      <c r="M32" s="2212"/>
      <c r="N32" s="2211"/>
      <c r="O32" s="2192"/>
      <c r="P32" s="2212"/>
      <c r="Q32" s="2211"/>
      <c r="R32" s="2192"/>
      <c r="S32" s="2212"/>
      <c r="T32" s="2211"/>
      <c r="U32" s="2192"/>
      <c r="V32" s="2210">
        <f>V31/$AB$31</f>
        <v>1</v>
      </c>
      <c r="W32" s="2209"/>
      <c r="X32" s="1311"/>
      <c r="Y32" s="2210"/>
      <c r="Z32" s="2209"/>
      <c r="AA32" s="1311"/>
      <c r="AB32" s="2210">
        <f>AB31/$AB$31</f>
        <v>1</v>
      </c>
    </row>
    <row r="33" spans="3:28" ht="13.5" x14ac:dyDescent="0.25">
      <c r="C33" s="2195" t="s">
        <v>364</v>
      </c>
      <c r="D33" s="2195" t="s">
        <v>387</v>
      </c>
      <c r="E33" s="2203"/>
      <c r="F33" s="2189"/>
      <c r="G33" s="2204"/>
      <c r="H33" s="2203"/>
      <c r="I33" s="2189"/>
      <c r="J33" s="2204"/>
      <c r="K33" s="2203"/>
      <c r="L33" s="2189"/>
      <c r="M33" s="2204"/>
      <c r="N33" s="2203"/>
      <c r="O33" s="2189"/>
      <c r="P33" s="2204"/>
      <c r="Q33" s="2203">
        <f>+'15.2 Prog RH 2'!M287</f>
        <v>0</v>
      </c>
      <c r="R33" s="2189"/>
      <c r="S33" s="2204">
        <f>SUM(Q33:R33)</f>
        <v>0</v>
      </c>
      <c r="T33" s="2203"/>
      <c r="U33" s="2189"/>
      <c r="V33" s="2204"/>
      <c r="W33" s="2203">
        <f>+'15.2 Prog RH 2'!M342</f>
        <v>1650</v>
      </c>
      <c r="X33" s="2189"/>
      <c r="Y33" s="2204">
        <f>SUM(W33+X33)</f>
        <v>1650</v>
      </c>
      <c r="Z33" s="2203">
        <f>+W33+Q33</f>
        <v>1650</v>
      </c>
      <c r="AA33" s="2189"/>
      <c r="AB33" s="2204">
        <f>SUM(Z33+AA33)</f>
        <v>1650</v>
      </c>
    </row>
    <row r="34" spans="3:28" s="689" customFormat="1" ht="13.5" x14ac:dyDescent="0.25">
      <c r="C34" s="2196"/>
      <c r="D34" s="2196" t="s">
        <v>388</v>
      </c>
      <c r="E34" s="2211"/>
      <c r="F34" s="2192"/>
      <c r="G34" s="2212"/>
      <c r="H34" s="2211"/>
      <c r="I34" s="2192"/>
      <c r="J34" s="2212"/>
      <c r="K34" s="2211"/>
      <c r="L34" s="2192"/>
      <c r="M34" s="2212"/>
      <c r="N34" s="2211"/>
      <c r="O34" s="2192"/>
      <c r="P34" s="2212"/>
      <c r="Q34" s="2211"/>
      <c r="R34" s="2192"/>
      <c r="S34" s="2210">
        <f>S33/$AB$33</f>
        <v>0</v>
      </c>
      <c r="T34" s="2211"/>
      <c r="U34" s="2192"/>
      <c r="V34" s="2212"/>
      <c r="W34" s="2211"/>
      <c r="X34" s="2192"/>
      <c r="Y34" s="2210">
        <f>Y33/$AB$33</f>
        <v>1</v>
      </c>
      <c r="Z34" s="2209"/>
      <c r="AA34" s="1311"/>
      <c r="AB34" s="2210">
        <f>AB33/$AB$33</f>
        <v>1</v>
      </c>
    </row>
    <row r="35" spans="3:28" ht="13.5" x14ac:dyDescent="0.25">
      <c r="C35" s="2195" t="s">
        <v>369</v>
      </c>
      <c r="D35" s="2199" t="s">
        <v>387</v>
      </c>
      <c r="E35" s="2203"/>
      <c r="F35" s="2189"/>
      <c r="G35" s="2204"/>
      <c r="H35" s="2203"/>
      <c r="I35" s="2189"/>
      <c r="J35" s="2204"/>
      <c r="K35" s="2203"/>
      <c r="L35" s="2189"/>
      <c r="M35" s="2204"/>
      <c r="N35" s="2203"/>
      <c r="O35" s="2189"/>
      <c r="P35" s="2204"/>
      <c r="Q35" s="2203">
        <f>+'15.2 Prog RH 2'!M282</f>
        <v>0</v>
      </c>
      <c r="R35" s="2189"/>
      <c r="S35" s="2204">
        <f>SUM(Q35:R35)</f>
        <v>0</v>
      </c>
      <c r="T35" s="2203">
        <f>+'15.2 Prog RH 2'!M315</f>
        <v>0</v>
      </c>
      <c r="U35" s="2189"/>
      <c r="V35" s="2204">
        <f>SUM(T35+U35)</f>
        <v>0</v>
      </c>
      <c r="W35" s="2203"/>
      <c r="X35" s="2189"/>
      <c r="Y35" s="2204"/>
      <c r="Z35" s="2203">
        <f>SUM(T35+Q35)</f>
        <v>0</v>
      </c>
      <c r="AA35" s="2189"/>
      <c r="AB35" s="2204">
        <f>SUM(Z35+AA35)</f>
        <v>0</v>
      </c>
    </row>
    <row r="36" spans="3:28" s="689" customFormat="1" ht="13.5" x14ac:dyDescent="0.25">
      <c r="C36" s="2196"/>
      <c r="D36" s="2196" t="s">
        <v>388</v>
      </c>
      <c r="E36" s="2211"/>
      <c r="F36" s="2192"/>
      <c r="G36" s="2212"/>
      <c r="H36" s="2211"/>
      <c r="I36" s="2192"/>
      <c r="J36" s="2212"/>
      <c r="K36" s="2211"/>
      <c r="L36" s="2192"/>
      <c r="M36" s="2212"/>
      <c r="N36" s="2211"/>
      <c r="O36" s="2192"/>
      <c r="P36" s="2212"/>
      <c r="Q36" s="2211"/>
      <c r="R36" s="2192"/>
      <c r="S36" s="2210">
        <v>0</v>
      </c>
      <c r="T36" s="2209"/>
      <c r="U36" s="2192"/>
      <c r="V36" s="2210">
        <v>0</v>
      </c>
      <c r="W36" s="2209"/>
      <c r="X36" s="1311"/>
      <c r="Y36" s="2210"/>
      <c r="Z36" s="2209"/>
      <c r="AA36" s="1311"/>
      <c r="AB36" s="2210">
        <v>0</v>
      </c>
    </row>
    <row r="37" spans="3:28" ht="13.5" x14ac:dyDescent="0.25">
      <c r="C37" s="2195" t="s">
        <v>392</v>
      </c>
      <c r="D37" s="2195" t="s">
        <v>387</v>
      </c>
      <c r="E37" s="2203">
        <f>+'15.2 Prog RH 2'!M93</f>
        <v>532.4</v>
      </c>
      <c r="F37" s="2189"/>
      <c r="G37" s="2204">
        <f>SUM(E37+F37)</f>
        <v>532.4</v>
      </c>
      <c r="H37" s="2203">
        <f>+'15.2 Prog RH 2'!M142</f>
        <v>475.2</v>
      </c>
      <c r="I37" s="2189"/>
      <c r="J37" s="2204">
        <f>SUM(H37+I37)</f>
        <v>475.2</v>
      </c>
      <c r="K37" s="2203">
        <f>+'15.2 Prog RH 2'!M229</f>
        <v>281.60000000000002</v>
      </c>
      <c r="L37" s="2189"/>
      <c r="M37" s="2204">
        <f>SUM(K37+L37)</f>
        <v>281.60000000000002</v>
      </c>
      <c r="N37" s="2203">
        <f>+'15.2 Prog RH 2'!M191</f>
        <v>255.2</v>
      </c>
      <c r="O37" s="2189"/>
      <c r="P37" s="2204">
        <f>SUM(N37:O37)</f>
        <v>255.2</v>
      </c>
      <c r="Q37" s="2203">
        <f>+'15.2 Prog RH 2'!M277</f>
        <v>105.6</v>
      </c>
      <c r="R37" s="2189"/>
      <c r="S37" s="2204">
        <f>SUM(Q37:R37)</f>
        <v>105.6</v>
      </c>
      <c r="T37" s="2203"/>
      <c r="U37" s="2189"/>
      <c r="V37" s="2204"/>
      <c r="W37" s="2203"/>
      <c r="X37" s="2189"/>
      <c r="Y37" s="2204"/>
      <c r="Z37" s="2203">
        <f>SUM(E37+H37+K37+N37+Q37)</f>
        <v>1649.9999999999998</v>
      </c>
      <c r="AA37" s="2189"/>
      <c r="AB37" s="2204">
        <f>SUM(Z37+AA37)</f>
        <v>1649.9999999999998</v>
      </c>
    </row>
    <row r="38" spans="3:28" s="689" customFormat="1" ht="14.25" thickBot="1" x14ac:dyDescent="0.3">
      <c r="C38" s="2198"/>
      <c r="D38" s="2198" t="s">
        <v>388</v>
      </c>
      <c r="E38" s="2213"/>
      <c r="F38" s="2214"/>
      <c r="G38" s="2215">
        <f>G37/$AB$37</f>
        <v>0.32266666666666671</v>
      </c>
      <c r="H38" s="2216"/>
      <c r="I38" s="2217"/>
      <c r="J38" s="2215">
        <f>J37/$AB$37</f>
        <v>0.28800000000000003</v>
      </c>
      <c r="K38" s="2216"/>
      <c r="L38" s="2217"/>
      <c r="M38" s="2215">
        <f>M37/$AB$37</f>
        <v>0.17066666666666672</v>
      </c>
      <c r="N38" s="2216"/>
      <c r="O38" s="2217"/>
      <c r="P38" s="2215">
        <f>P37/$AB$37</f>
        <v>0.15466666666666667</v>
      </c>
      <c r="Q38" s="2216"/>
      <c r="R38" s="2217"/>
      <c r="S38" s="2215">
        <f>S37/$AB$37</f>
        <v>6.4000000000000001E-2</v>
      </c>
      <c r="T38" s="2216"/>
      <c r="U38" s="2217"/>
      <c r="V38" s="2215"/>
      <c r="W38" s="2216"/>
      <c r="X38" s="2217"/>
      <c r="Y38" s="2215"/>
      <c r="Z38" s="2216"/>
      <c r="AA38" s="2217"/>
      <c r="AB38" s="2215">
        <f>AB37/$AB$37</f>
        <v>1</v>
      </c>
    </row>
    <row r="39" spans="3:28" ht="13.5" x14ac:dyDescent="0.25"/>
    <row r="40" spans="3:28" ht="13.5" x14ac:dyDescent="0.25"/>
    <row r="41" spans="3:28" ht="13.5" x14ac:dyDescent="0.25">
      <c r="C41" s="4518" t="s">
        <v>402</v>
      </c>
      <c r="D41" s="4519"/>
      <c r="E41" s="4519"/>
      <c r="F41" s="4519"/>
      <c r="G41" s="4519"/>
      <c r="H41" s="4519"/>
      <c r="I41" s="4520"/>
    </row>
    <row r="42" spans="3:28" ht="27" x14ac:dyDescent="0.25">
      <c r="C42" s="1323" t="s">
        <v>404</v>
      </c>
      <c r="D42" s="1324" t="s">
        <v>405</v>
      </c>
      <c r="E42" s="1324" t="s">
        <v>406</v>
      </c>
      <c r="F42" s="1324" t="s">
        <v>407</v>
      </c>
      <c r="G42" s="1324" t="s">
        <v>408</v>
      </c>
      <c r="H42" s="1324" t="s">
        <v>1222</v>
      </c>
      <c r="I42" s="1325" t="s">
        <v>409</v>
      </c>
    </row>
    <row r="43" spans="3:28" ht="13.5" x14ac:dyDescent="0.25">
      <c r="C43" s="1278">
        <v>6</v>
      </c>
      <c r="D43" s="1278">
        <v>25</v>
      </c>
      <c r="E43" s="1278">
        <f>C43*D43</f>
        <v>150</v>
      </c>
      <c r="F43" s="1278">
        <v>11</v>
      </c>
      <c r="G43" s="1278">
        <f>E43*F43</f>
        <v>1650</v>
      </c>
      <c r="H43" s="1278">
        <f>12*6</f>
        <v>72</v>
      </c>
      <c r="I43" s="1278">
        <f>+G43-H43</f>
        <v>1578</v>
      </c>
    </row>
    <row r="44" spans="3:28" ht="13.5" x14ac:dyDescent="0.25"/>
    <row r="45" spans="3:28" ht="13.5" x14ac:dyDescent="0.25">
      <c r="C45" s="689" t="s">
        <v>420</v>
      </c>
    </row>
    <row r="46" spans="3:28" ht="13.5" x14ac:dyDescent="0.25">
      <c r="C46" s="4521" t="s">
        <v>421</v>
      </c>
      <c r="D46" s="4522"/>
      <c r="E46" s="1326" t="s">
        <v>422</v>
      </c>
    </row>
    <row r="47" spans="3:28" ht="13.5" x14ac:dyDescent="0.25">
      <c r="C47" s="1278" t="s">
        <v>257</v>
      </c>
      <c r="D47" s="1278" t="s">
        <v>71</v>
      </c>
      <c r="E47" s="1278">
        <v>0.67</v>
      </c>
    </row>
    <row r="48" spans="3:28" ht="13.5" x14ac:dyDescent="0.25">
      <c r="C48" s="1278" t="s">
        <v>423</v>
      </c>
      <c r="D48" s="1278"/>
      <c r="E48" s="1278">
        <v>0.8</v>
      </c>
    </row>
    <row r="49" spans="3:15" ht="13.5" x14ac:dyDescent="0.25"/>
    <row r="50" spans="3:15" ht="13.5" x14ac:dyDescent="0.25">
      <c r="C50" s="1283" t="s">
        <v>393</v>
      </c>
      <c r="D50" s="1284"/>
      <c r="E50" s="1284"/>
      <c r="F50" s="1284"/>
      <c r="G50" s="1284"/>
      <c r="H50" s="1284"/>
      <c r="I50" s="1284"/>
      <c r="J50" s="1284"/>
      <c r="K50" s="1284"/>
      <c r="L50" s="1284"/>
      <c r="M50" s="1285"/>
    </row>
    <row r="51" spans="3:15" s="622" customFormat="1" ht="13.5" x14ac:dyDescent="0.25">
      <c r="C51" s="1327"/>
      <c r="D51" s="1327"/>
      <c r="E51" s="1327"/>
      <c r="F51" s="1327"/>
      <c r="G51" s="1327"/>
      <c r="H51" s="1327"/>
      <c r="I51" s="1327"/>
      <c r="J51" s="1327"/>
      <c r="K51" s="1327"/>
      <c r="L51" s="1327"/>
      <c r="M51" s="1328"/>
    </row>
    <row r="52" spans="3:15" ht="54" x14ac:dyDescent="0.25">
      <c r="C52" s="684" t="s">
        <v>194</v>
      </c>
      <c r="D52" s="685" t="s">
        <v>394</v>
      </c>
      <c r="E52" s="1329" t="s">
        <v>395</v>
      </c>
      <c r="F52" s="1329" t="s">
        <v>396</v>
      </c>
      <c r="G52" s="1329" t="s">
        <v>397</v>
      </c>
      <c r="H52" s="1329" t="s">
        <v>398</v>
      </c>
      <c r="I52" s="1329" t="s">
        <v>399</v>
      </c>
      <c r="J52" s="1329" t="s">
        <v>400</v>
      </c>
      <c r="K52" s="918" t="s">
        <v>401</v>
      </c>
    </row>
    <row r="53" spans="3:15" ht="16.5" x14ac:dyDescent="0.3">
      <c r="C53" s="1407" t="s">
        <v>206</v>
      </c>
      <c r="D53" s="44"/>
      <c r="E53" s="44"/>
      <c r="F53" s="44"/>
      <c r="G53" s="44"/>
      <c r="H53" s="44"/>
      <c r="I53" s="44"/>
      <c r="J53" s="44"/>
      <c r="K53" s="44"/>
    </row>
    <row r="54" spans="3:15" s="689" customFormat="1" ht="13.5" x14ac:dyDescent="0.25">
      <c r="C54" s="1286" t="s">
        <v>403</v>
      </c>
      <c r="D54" s="1286"/>
      <c r="E54" s="1286"/>
      <c r="F54" s="1286"/>
      <c r="G54" s="1286"/>
      <c r="H54" s="1286"/>
      <c r="I54" s="1286"/>
      <c r="J54" s="1286"/>
      <c r="K54" s="1287"/>
      <c r="M54" s="691"/>
      <c r="N54" s="691"/>
      <c r="O54" s="691"/>
    </row>
    <row r="55" spans="3:15" ht="13.5" x14ac:dyDescent="0.25">
      <c r="C55" s="1278" t="s">
        <v>410</v>
      </c>
      <c r="D55" s="1278">
        <v>4</v>
      </c>
      <c r="E55" s="1278">
        <v>15</v>
      </c>
      <c r="F55" s="1278">
        <f>60/E55</f>
        <v>4</v>
      </c>
      <c r="G55" s="1278">
        <f>+$I$43</f>
        <v>1578</v>
      </c>
      <c r="H55" s="1278">
        <f>+E47</f>
        <v>0.67</v>
      </c>
      <c r="I55" s="1282">
        <f>+D55*F55*G55*H55</f>
        <v>16916.16</v>
      </c>
      <c r="J55" s="1288">
        <f>+G17</f>
        <v>0.45514950166112955</v>
      </c>
      <c r="K55" s="1282">
        <f>I55*J55</f>
        <v>7699.3817940199333</v>
      </c>
    </row>
    <row r="56" spans="3:15" s="689" customFormat="1" ht="13.5" x14ac:dyDescent="0.25">
      <c r="C56" s="1286" t="s">
        <v>295</v>
      </c>
      <c r="D56" s="1286"/>
      <c r="E56" s="1286"/>
      <c r="F56" s="1286"/>
      <c r="G56" s="1286"/>
      <c r="H56" s="1286"/>
      <c r="I56" s="1287"/>
      <c r="J56" s="1286"/>
      <c r="K56" s="1287"/>
      <c r="M56" s="691"/>
      <c r="N56" s="691"/>
      <c r="O56" s="691"/>
    </row>
    <row r="57" spans="3:15" ht="13.5" x14ac:dyDescent="0.25">
      <c r="C57" s="1278" t="s">
        <v>411</v>
      </c>
      <c r="D57" s="1278">
        <v>4</v>
      </c>
      <c r="E57" s="1278">
        <v>30</v>
      </c>
      <c r="F57" s="1278">
        <f>60/E57</f>
        <v>2</v>
      </c>
      <c r="G57" s="1278">
        <f>+$I$43</f>
        <v>1578</v>
      </c>
      <c r="H57" s="1278">
        <f>+E48</f>
        <v>0.8</v>
      </c>
      <c r="I57" s="1282">
        <f>+D57*F57*G57*H57</f>
        <v>10099.200000000001</v>
      </c>
      <c r="J57" s="1288">
        <f>+J17</f>
        <v>0.17275747508305647</v>
      </c>
      <c r="K57" s="1282">
        <f>I57*J57</f>
        <v>1744.712292358804</v>
      </c>
    </row>
    <row r="58" spans="3:15" s="689" customFormat="1" ht="13.5" x14ac:dyDescent="0.25">
      <c r="C58" s="1286" t="s">
        <v>331</v>
      </c>
      <c r="D58" s="1286"/>
      <c r="E58" s="1286"/>
      <c r="F58" s="1286"/>
      <c r="G58" s="1286"/>
      <c r="H58" s="1286"/>
      <c r="I58" s="1287"/>
      <c r="J58" s="1286"/>
      <c r="K58" s="1287"/>
      <c r="M58" s="691"/>
      <c r="N58" s="691"/>
      <c r="O58" s="691"/>
    </row>
    <row r="59" spans="3:15" ht="13.5" x14ac:dyDescent="0.25">
      <c r="C59" s="1278" t="s">
        <v>428</v>
      </c>
      <c r="D59" s="1278">
        <v>4</v>
      </c>
      <c r="E59" s="1278">
        <v>20</v>
      </c>
      <c r="F59" s="1278">
        <f>60/E59</f>
        <v>3</v>
      </c>
      <c r="G59" s="1278">
        <f>+$I$43</f>
        <v>1578</v>
      </c>
      <c r="H59" s="1278">
        <f>+E48</f>
        <v>0.8</v>
      </c>
      <c r="I59" s="1282">
        <f>+D59*F59*G59*H59</f>
        <v>15148.800000000001</v>
      </c>
      <c r="J59" s="1288">
        <f>+M17</f>
        <v>0.17275747508305647</v>
      </c>
      <c r="K59" s="1282">
        <f>I59*J59</f>
        <v>2617.068438538206</v>
      </c>
    </row>
    <row r="60" spans="3:15" ht="13.5" x14ac:dyDescent="0.25">
      <c r="C60" s="1286" t="s">
        <v>1268</v>
      </c>
      <c r="D60" s="1286"/>
      <c r="E60" s="1286"/>
      <c r="F60" s="1286"/>
      <c r="G60" s="1286"/>
      <c r="H60" s="1286"/>
      <c r="I60" s="1287"/>
      <c r="J60" s="1286"/>
      <c r="K60" s="1287"/>
    </row>
    <row r="61" spans="3:15" ht="13.5" x14ac:dyDescent="0.25">
      <c r="C61" s="1278" t="s">
        <v>1269</v>
      </c>
      <c r="D61" s="1278">
        <v>4</v>
      </c>
      <c r="E61" s="1278">
        <v>60</v>
      </c>
      <c r="F61" s="1278">
        <f>60/E61</f>
        <v>1</v>
      </c>
      <c r="G61" s="1278">
        <f>+$I$43</f>
        <v>1578</v>
      </c>
      <c r="H61" s="1278">
        <f>+E48</f>
        <v>0.8</v>
      </c>
      <c r="I61" s="1282">
        <f>+D61*F61*G61*H61</f>
        <v>5049.6000000000004</v>
      </c>
      <c r="J61" s="1288">
        <f>+P17</f>
        <v>0.10631229235880399</v>
      </c>
      <c r="K61" s="1282">
        <f>I61*J61</f>
        <v>536.83455149501663</v>
      </c>
    </row>
    <row r="62" spans="3:15" ht="13.5" x14ac:dyDescent="0.25">
      <c r="C62" s="1286" t="s">
        <v>1270</v>
      </c>
      <c r="D62" s="1286"/>
      <c r="E62" s="1286"/>
      <c r="F62" s="1286"/>
      <c r="G62" s="1286"/>
      <c r="H62" s="1286"/>
      <c r="I62" s="1287"/>
      <c r="J62" s="1286"/>
      <c r="K62" s="1287"/>
      <c r="L62" s="1289"/>
    </row>
    <row r="63" spans="3:15" ht="13.5" x14ac:dyDescent="0.25">
      <c r="C63" s="1278" t="s">
        <v>1271</v>
      </c>
      <c r="D63" s="1278">
        <v>4</v>
      </c>
      <c r="E63" s="1278">
        <v>60</v>
      </c>
      <c r="F63" s="1278">
        <f>60/E63</f>
        <v>1</v>
      </c>
      <c r="G63" s="1278">
        <f>+$I$43</f>
        <v>1578</v>
      </c>
      <c r="H63" s="1278">
        <f>+E48</f>
        <v>0.8</v>
      </c>
      <c r="I63" s="1282">
        <f>+D63*F63*G63*H63</f>
        <v>5049.6000000000004</v>
      </c>
      <c r="J63" s="1288">
        <f>+S17</f>
        <v>9.3023255813953487E-2</v>
      </c>
      <c r="K63" s="1282">
        <f>I63*J63</f>
        <v>469.73023255813956</v>
      </c>
      <c r="L63" s="1289"/>
    </row>
    <row r="64" spans="3:15" ht="13.5" x14ac:dyDescent="0.25">
      <c r="C64" s="1290"/>
      <c r="D64" s="1291"/>
      <c r="E64" s="1291"/>
      <c r="F64" s="1292"/>
      <c r="G64" s="1291"/>
      <c r="H64" s="1293"/>
      <c r="I64" s="1291"/>
      <c r="J64" s="1294">
        <f>+SUM(J54:J63)</f>
        <v>1</v>
      </c>
      <c r="K64" s="1282">
        <f>SUM(K54:K63)</f>
        <v>13067.727308970099</v>
      </c>
      <c r="L64" s="1289"/>
    </row>
    <row r="65" spans="3:13" ht="13.5" x14ac:dyDescent="0.25">
      <c r="C65" s="1290"/>
      <c r="D65" s="1291"/>
      <c r="E65" s="1291"/>
      <c r="F65" s="1292"/>
      <c r="G65" s="1291"/>
      <c r="H65" s="1293"/>
      <c r="I65" s="1291"/>
      <c r="J65" s="1295"/>
      <c r="K65" s="1296"/>
      <c r="L65" s="1289"/>
    </row>
    <row r="66" spans="3:13" ht="54" x14ac:dyDescent="0.25">
      <c r="C66" s="684" t="s">
        <v>194</v>
      </c>
      <c r="D66" s="685" t="s">
        <v>394</v>
      </c>
      <c r="E66" s="1329" t="s">
        <v>395</v>
      </c>
      <c r="F66" s="1329" t="s">
        <v>396</v>
      </c>
      <c r="G66" s="1329" t="s">
        <v>397</v>
      </c>
      <c r="H66" s="1329" t="s">
        <v>398</v>
      </c>
      <c r="I66" s="1329" t="s">
        <v>399</v>
      </c>
      <c r="J66" s="1329" t="s">
        <v>400</v>
      </c>
      <c r="K66" s="918" t="s">
        <v>401</v>
      </c>
      <c r="L66" s="1297"/>
    </row>
    <row r="67" spans="3:13" ht="16.5" x14ac:dyDescent="0.3">
      <c r="C67" s="1407" t="s">
        <v>375</v>
      </c>
      <c r="D67" s="44"/>
      <c r="E67" s="44"/>
      <c r="F67" s="44"/>
      <c r="G67" s="44"/>
      <c r="H67" s="44"/>
      <c r="I67" s="44"/>
      <c r="J67" s="44"/>
      <c r="K67" s="44"/>
      <c r="L67" s="1297"/>
      <c r="M67" s="1285"/>
    </row>
    <row r="68" spans="3:13" s="689" customFormat="1" ht="13.5" x14ac:dyDescent="0.25">
      <c r="C68" s="1286" t="s">
        <v>403</v>
      </c>
      <c r="D68" s="1286"/>
      <c r="E68" s="1286"/>
      <c r="F68" s="1286"/>
      <c r="G68" s="1286"/>
      <c r="H68" s="1286"/>
      <c r="I68" s="1286"/>
      <c r="J68" s="1286"/>
      <c r="K68" s="1286"/>
      <c r="L68" s="1298"/>
      <c r="M68" s="1299"/>
    </row>
    <row r="69" spans="3:13" ht="13.5" x14ac:dyDescent="0.25">
      <c r="C69" s="1278" t="s">
        <v>425</v>
      </c>
      <c r="D69" s="1278">
        <v>1</v>
      </c>
      <c r="E69" s="1278">
        <v>30</v>
      </c>
      <c r="F69" s="1278">
        <f>60/E69</f>
        <v>2</v>
      </c>
      <c r="G69" s="1278">
        <f>+I43</f>
        <v>1578</v>
      </c>
      <c r="H69" s="1278">
        <f>+E48</f>
        <v>0.8</v>
      </c>
      <c r="I69" s="1282">
        <f>+D69*F69*G69*H69</f>
        <v>2524.8000000000002</v>
      </c>
      <c r="J69" s="1288">
        <f>+G30</f>
        <v>0.6</v>
      </c>
      <c r="K69" s="1282">
        <f>I69*J69</f>
        <v>1514.88</v>
      </c>
      <c r="L69" s="1297"/>
      <c r="M69" s="1285"/>
    </row>
    <row r="70" spans="3:13" ht="13.5" x14ac:dyDescent="0.25">
      <c r="C70" s="1286" t="s">
        <v>1270</v>
      </c>
      <c r="D70" s="1286"/>
      <c r="E70" s="1286"/>
      <c r="F70" s="1286"/>
      <c r="G70" s="1286"/>
      <c r="H70" s="1286"/>
      <c r="I70" s="1286"/>
      <c r="J70" s="1286"/>
      <c r="K70" s="1286"/>
      <c r="L70" s="1297"/>
      <c r="M70" s="1285"/>
    </row>
    <row r="71" spans="3:13" ht="13.5" x14ac:dyDescent="0.25">
      <c r="C71" s="1278" t="s">
        <v>1271</v>
      </c>
      <c r="D71" s="1278">
        <v>1</v>
      </c>
      <c r="E71" s="1278">
        <v>60</v>
      </c>
      <c r="F71" s="1278">
        <f>60/E71</f>
        <v>1</v>
      </c>
      <c r="G71" s="1278">
        <f>+I43</f>
        <v>1578</v>
      </c>
      <c r="H71" s="1278">
        <f>+E48</f>
        <v>0.8</v>
      </c>
      <c r="I71" s="1282">
        <f>+D71*F71*G71*H71</f>
        <v>1262.4000000000001</v>
      </c>
      <c r="J71" s="1288">
        <f>+S30</f>
        <v>0.4</v>
      </c>
      <c r="K71" s="1282">
        <f>I71*J71</f>
        <v>504.96000000000004</v>
      </c>
      <c r="L71" s="1297"/>
      <c r="M71" s="1285"/>
    </row>
    <row r="72" spans="3:13" ht="13.5" x14ac:dyDescent="0.25">
      <c r="J72" s="1288">
        <f>SUM(J69:J71)</f>
        <v>1</v>
      </c>
      <c r="K72" s="1282">
        <f>SUM(K69:K71)</f>
        <v>2019.8400000000001</v>
      </c>
      <c r="L72" s="1297"/>
      <c r="M72" s="1285"/>
    </row>
    <row r="73" spans="3:13" ht="13.5" x14ac:dyDescent="0.25">
      <c r="C73" s="1300"/>
      <c r="D73" s="1291"/>
      <c r="E73" s="1291"/>
      <c r="F73" s="1292"/>
      <c r="G73" s="1291"/>
      <c r="H73" s="1293"/>
      <c r="I73" s="1291"/>
      <c r="J73" s="1301"/>
      <c r="K73" s="1291"/>
      <c r="L73" s="1297"/>
      <c r="M73" s="1285"/>
    </row>
    <row r="74" spans="3:13" ht="54" x14ac:dyDescent="0.25">
      <c r="C74" s="684" t="s">
        <v>194</v>
      </c>
      <c r="D74" s="685" t="s">
        <v>394</v>
      </c>
      <c r="E74" s="1329" t="s">
        <v>395</v>
      </c>
      <c r="F74" s="1329" t="s">
        <v>396</v>
      </c>
      <c r="G74" s="1329" t="s">
        <v>397</v>
      </c>
      <c r="H74" s="1329" t="s">
        <v>398</v>
      </c>
      <c r="I74" s="1329" t="s">
        <v>399</v>
      </c>
      <c r="J74" s="1329" t="s">
        <v>400</v>
      </c>
      <c r="K74" s="918" t="s">
        <v>401</v>
      </c>
      <c r="L74" s="1297"/>
      <c r="M74" s="1285"/>
    </row>
    <row r="75" spans="3:13" ht="16.5" x14ac:dyDescent="0.3">
      <c r="C75" s="1407" t="s">
        <v>216</v>
      </c>
      <c r="D75" s="1407"/>
      <c r="E75" s="1407"/>
      <c r="F75" s="1407"/>
      <c r="G75" s="1407"/>
      <c r="H75" s="1407"/>
      <c r="I75" s="1407"/>
      <c r="J75" s="1407"/>
      <c r="K75" s="1407"/>
      <c r="L75" s="1297"/>
      <c r="M75" s="1285"/>
    </row>
    <row r="76" spans="3:13" s="689" customFormat="1" ht="13.5" x14ac:dyDescent="0.25">
      <c r="C76" s="1286" t="s">
        <v>294</v>
      </c>
      <c r="D76" s="1286"/>
      <c r="E76" s="1286"/>
      <c r="F76" s="1286"/>
      <c r="G76" s="1286"/>
      <c r="H76" s="1286"/>
      <c r="I76" s="1286"/>
      <c r="J76" s="1286"/>
      <c r="K76" s="1286"/>
      <c r="L76" s="1298"/>
      <c r="M76" s="1299"/>
    </row>
    <row r="77" spans="3:13" ht="13.5" x14ac:dyDescent="0.25">
      <c r="C77" s="1278" t="s">
        <v>424</v>
      </c>
      <c r="D77" s="1278">
        <v>2</v>
      </c>
      <c r="E77" s="1278">
        <v>20</v>
      </c>
      <c r="F77" s="1278">
        <f>60/E77</f>
        <v>3</v>
      </c>
      <c r="G77" s="1278">
        <f>+$I$43</f>
        <v>1578</v>
      </c>
      <c r="H77" s="1278">
        <f>+E48</f>
        <v>0.8</v>
      </c>
      <c r="I77" s="1282">
        <f>+D77*F77*G77*H77</f>
        <v>7574.4000000000005</v>
      </c>
      <c r="J77" s="1288">
        <f>+G20</f>
        <v>0.76</v>
      </c>
      <c r="K77" s="1282">
        <f>+I77*J77</f>
        <v>5756.5440000000008</v>
      </c>
      <c r="L77" s="1297"/>
      <c r="M77" s="1285"/>
    </row>
    <row r="78" spans="3:13" ht="13.5" x14ac:dyDescent="0.25">
      <c r="C78" s="1286" t="s">
        <v>1270</v>
      </c>
      <c r="D78" s="1286"/>
      <c r="E78" s="1286"/>
      <c r="F78" s="1286"/>
      <c r="G78" s="1286"/>
      <c r="H78" s="1286"/>
      <c r="I78" s="1286"/>
      <c r="J78" s="1286"/>
      <c r="K78" s="1286"/>
      <c r="L78" s="1297"/>
      <c r="M78" s="1285"/>
    </row>
    <row r="79" spans="3:13" ht="13.5" x14ac:dyDescent="0.25">
      <c r="C79" s="1278" t="s">
        <v>1271</v>
      </c>
      <c r="D79" s="1278">
        <v>2</v>
      </c>
      <c r="E79" s="1278">
        <v>60</v>
      </c>
      <c r="F79" s="1278">
        <f>60/E79</f>
        <v>1</v>
      </c>
      <c r="G79" s="1278">
        <f>+I43</f>
        <v>1578</v>
      </c>
      <c r="H79" s="1278">
        <f>+E48</f>
        <v>0.8</v>
      </c>
      <c r="I79" s="1282">
        <f>+D79*F79*G79*H79</f>
        <v>2524.8000000000002</v>
      </c>
      <c r="J79" s="1288">
        <f>+S20</f>
        <v>0.24</v>
      </c>
      <c r="K79" s="1282">
        <f>I79*J79</f>
        <v>605.952</v>
      </c>
      <c r="L79" s="1297"/>
      <c r="M79" s="1285"/>
    </row>
    <row r="80" spans="3:13" ht="13.5" x14ac:dyDescent="0.25">
      <c r="C80" s="1300"/>
      <c r="D80" s="1291"/>
      <c r="E80" s="1291"/>
      <c r="F80" s="1292"/>
      <c r="G80" s="1291"/>
      <c r="H80" s="1293"/>
      <c r="I80" s="1291"/>
      <c r="J80" s="1288">
        <f>SUM(J76:J79)</f>
        <v>1</v>
      </c>
      <c r="K80" s="1282">
        <f>SUM(K77:K79)</f>
        <v>6362.496000000001</v>
      </c>
      <c r="L80" s="1297"/>
      <c r="M80" s="1285"/>
    </row>
    <row r="81" spans="3:16" ht="13.5" x14ac:dyDescent="0.25">
      <c r="C81" s="1285"/>
      <c r="D81" s="1285"/>
      <c r="E81" s="1285"/>
      <c r="F81" s="1285"/>
      <c r="G81" s="1285"/>
      <c r="H81" s="1285"/>
      <c r="I81" s="1285"/>
      <c r="J81" s="1297"/>
      <c r="K81" s="1302"/>
      <c r="L81" s="1297"/>
      <c r="M81" s="1285"/>
    </row>
    <row r="82" spans="3:16" ht="54" x14ac:dyDescent="0.25">
      <c r="C82" s="684" t="s">
        <v>194</v>
      </c>
      <c r="D82" s="685" t="s">
        <v>394</v>
      </c>
      <c r="E82" s="1329" t="s">
        <v>395</v>
      </c>
      <c r="F82" s="1329" t="s">
        <v>396</v>
      </c>
      <c r="G82" s="1329" t="s">
        <v>397</v>
      </c>
      <c r="H82" s="1329" t="s">
        <v>398</v>
      </c>
      <c r="I82" s="1329" t="s">
        <v>399</v>
      </c>
      <c r="J82" s="1329" t="s">
        <v>426</v>
      </c>
      <c r="K82" s="918" t="s">
        <v>401</v>
      </c>
    </row>
    <row r="83" spans="3:16" ht="16.5" x14ac:dyDescent="0.3">
      <c r="C83" s="1407" t="s">
        <v>353</v>
      </c>
      <c r="D83" s="1407"/>
      <c r="E83" s="1407"/>
      <c r="F83" s="1407"/>
      <c r="G83" s="1407"/>
      <c r="H83" s="1407"/>
      <c r="I83" s="1407"/>
      <c r="J83" s="1407"/>
      <c r="K83" s="1407"/>
    </row>
    <row r="84" spans="3:16" s="689" customFormat="1" ht="13.5" x14ac:dyDescent="0.25">
      <c r="C84" s="1286" t="s">
        <v>294</v>
      </c>
      <c r="D84" s="1286"/>
      <c r="E84" s="1286"/>
      <c r="F84" s="1286"/>
      <c r="G84" s="1286"/>
      <c r="H84" s="1286"/>
      <c r="I84" s="1286"/>
      <c r="J84" s="1286"/>
      <c r="K84" s="1286"/>
      <c r="L84" s="691"/>
      <c r="M84" s="691"/>
      <c r="N84" s="691">
        <v>2017</v>
      </c>
      <c r="O84" s="691"/>
    </row>
    <row r="85" spans="3:16" ht="13.5" x14ac:dyDescent="0.25">
      <c r="C85" s="1278" t="s">
        <v>329</v>
      </c>
      <c r="D85" s="1278">
        <v>4</v>
      </c>
      <c r="E85" s="1278">
        <v>25</v>
      </c>
      <c r="F85" s="1303">
        <f>60/E85</f>
        <v>2.4</v>
      </c>
      <c r="G85" s="1278">
        <f>+$I$43</f>
        <v>1578</v>
      </c>
      <c r="H85" s="1278">
        <v>0.8</v>
      </c>
      <c r="I85" s="1282">
        <f>F85*G85*H85*D85</f>
        <v>12119.04</v>
      </c>
      <c r="J85" s="1294">
        <f>P85*G22</f>
        <v>7.13130196174796E-2</v>
      </c>
      <c r="K85" s="1282">
        <f>I85*J85</f>
        <v>864.24533726502</v>
      </c>
      <c r="N85" s="1295" t="s">
        <v>329</v>
      </c>
      <c r="O85" s="691">
        <v>1393</v>
      </c>
      <c r="P85" s="1295">
        <f>O85/$O$88</f>
        <v>0.17115124708195109</v>
      </c>
    </row>
    <row r="86" spans="3:16" ht="13.5" x14ac:dyDescent="0.25">
      <c r="C86" s="1278" t="s">
        <v>412</v>
      </c>
      <c r="D86" s="1278">
        <v>4</v>
      </c>
      <c r="E86" s="1278">
        <v>20</v>
      </c>
      <c r="F86" s="1303">
        <f>60/E86</f>
        <v>3</v>
      </c>
      <c r="G86" s="1278">
        <f>+$I$43</f>
        <v>1578</v>
      </c>
      <c r="H86" s="1278">
        <v>0.8</v>
      </c>
      <c r="I86" s="1282">
        <f>F86*G86*H86*D86</f>
        <v>15148.800000000001</v>
      </c>
      <c r="J86" s="1294">
        <f>P86*G22</f>
        <v>0.28474014006634718</v>
      </c>
      <c r="K86" s="1282">
        <f>I86*J86</f>
        <v>4313.4714338370804</v>
      </c>
      <c r="N86" s="1295" t="s">
        <v>1223</v>
      </c>
      <c r="O86" s="691">
        <v>5562</v>
      </c>
      <c r="P86" s="1295">
        <f>O86/$O$88</f>
        <v>0.68337633615923332</v>
      </c>
    </row>
    <row r="87" spans="3:16" ht="13.5" x14ac:dyDescent="0.25">
      <c r="C87" s="1278" t="s">
        <v>1234</v>
      </c>
      <c r="D87" s="1278">
        <v>4</v>
      </c>
      <c r="E87" s="1278">
        <v>20</v>
      </c>
      <c r="F87" s="1303">
        <f>60/E87</f>
        <v>3</v>
      </c>
      <c r="G87" s="1278">
        <f>+$I$43</f>
        <v>1578</v>
      </c>
      <c r="H87" s="1278">
        <v>0.8</v>
      </c>
      <c r="I87" s="1282">
        <f>F87*G87*H87*D87</f>
        <v>15148.800000000001</v>
      </c>
      <c r="J87" s="1294">
        <f>P87*G22</f>
        <v>6.0613506982839814E-2</v>
      </c>
      <c r="K87" s="1282">
        <f>I87*J87</f>
        <v>918.22189458164382</v>
      </c>
      <c r="N87" s="1295" t="s">
        <v>1234</v>
      </c>
      <c r="O87" s="691">
        <v>1184</v>
      </c>
      <c r="P87" s="1295">
        <f>O87/$O$88</f>
        <v>0.14547241675881559</v>
      </c>
    </row>
    <row r="88" spans="3:16" s="689" customFormat="1" ht="13.5" x14ac:dyDescent="0.25">
      <c r="C88" s="1286" t="s">
        <v>295</v>
      </c>
      <c r="D88" s="1286"/>
      <c r="E88" s="1286"/>
      <c r="F88" s="1304"/>
      <c r="G88" s="1286"/>
      <c r="H88" s="1286"/>
      <c r="I88" s="1287"/>
      <c r="J88" s="1305"/>
      <c r="K88" s="1287"/>
      <c r="L88" s="691"/>
      <c r="M88" s="691"/>
      <c r="N88" s="691"/>
      <c r="O88" s="689">
        <f>SUM(O85:O87)</f>
        <v>8139</v>
      </c>
      <c r="P88" s="1295">
        <f>O88/$O$88</f>
        <v>1</v>
      </c>
    </row>
    <row r="89" spans="3:16" ht="13.5" x14ac:dyDescent="0.25">
      <c r="C89" s="1278" t="s">
        <v>413</v>
      </c>
      <c r="D89" s="1278">
        <v>4</v>
      </c>
      <c r="E89" s="1278">
        <v>30</v>
      </c>
      <c r="F89" s="1303">
        <f>60/E89</f>
        <v>2</v>
      </c>
      <c r="G89" s="1278">
        <f>+$I$43</f>
        <v>1578</v>
      </c>
      <c r="H89" s="1278">
        <v>0.8</v>
      </c>
      <c r="I89" s="1282">
        <f>F89*G89*H89*D89</f>
        <v>10099.200000000001</v>
      </c>
      <c r="J89" s="1294">
        <f>+J22</f>
        <v>0.29078014184397166</v>
      </c>
      <c r="K89" s="1282">
        <f>+I89*J89</f>
        <v>2936.6468085106389</v>
      </c>
    </row>
    <row r="90" spans="3:16" ht="13.5" x14ac:dyDescent="0.25">
      <c r="C90" s="1286" t="s">
        <v>1268</v>
      </c>
      <c r="D90" s="1286"/>
      <c r="E90" s="1286"/>
      <c r="F90" s="1304"/>
      <c r="G90" s="1286"/>
      <c r="H90" s="1286"/>
      <c r="I90" s="1287"/>
      <c r="J90" s="1305"/>
      <c r="K90" s="1287"/>
      <c r="L90" s="1306"/>
    </row>
    <row r="91" spans="3:16" ht="13.5" x14ac:dyDescent="0.25">
      <c r="C91" s="1278" t="s">
        <v>1269</v>
      </c>
      <c r="D91" s="1278">
        <v>4</v>
      </c>
      <c r="E91" s="1278">
        <v>60</v>
      </c>
      <c r="F91" s="1303">
        <f>60/E91</f>
        <v>1</v>
      </c>
      <c r="G91" s="1278">
        <f>+$I$43</f>
        <v>1578</v>
      </c>
      <c r="H91" s="1278">
        <v>0.8</v>
      </c>
      <c r="I91" s="1282">
        <f>F91*G91*H91*D91</f>
        <v>5049.6000000000004</v>
      </c>
      <c r="J91" s="1294">
        <f>+P22</f>
        <v>0.19503546099290778</v>
      </c>
      <c r="K91" s="1282">
        <f>+I91*J91</f>
        <v>984.85106382978722</v>
      </c>
      <c r="L91" s="1306"/>
    </row>
    <row r="92" spans="3:16" ht="13.5" x14ac:dyDescent="0.25">
      <c r="C92" s="1286" t="s">
        <v>1270</v>
      </c>
      <c r="D92" s="1286"/>
      <c r="E92" s="1286"/>
      <c r="F92" s="1304"/>
      <c r="G92" s="1286"/>
      <c r="H92" s="1286"/>
      <c r="I92" s="1287"/>
      <c r="J92" s="1305"/>
      <c r="K92" s="1287"/>
      <c r="L92" s="1306"/>
    </row>
    <row r="93" spans="3:16" ht="13.5" x14ac:dyDescent="0.25">
      <c r="C93" s="1278" t="s">
        <v>1272</v>
      </c>
      <c r="D93" s="1278">
        <v>4</v>
      </c>
      <c r="E93" s="1278">
        <v>60</v>
      </c>
      <c r="F93" s="1303">
        <f>60/E93</f>
        <v>1</v>
      </c>
      <c r="G93" s="1278">
        <f>+$I$43</f>
        <v>1578</v>
      </c>
      <c r="H93" s="1278">
        <v>0.8</v>
      </c>
      <c r="I93" s="1282">
        <f>F93*G93*H93*D93</f>
        <v>5049.6000000000004</v>
      </c>
      <c r="J93" s="1294">
        <f>+S22</f>
        <v>9.7517730496453889E-2</v>
      </c>
      <c r="K93" s="1282">
        <f>+I93*J93</f>
        <v>492.42553191489361</v>
      </c>
      <c r="L93" s="1306"/>
    </row>
    <row r="94" spans="3:16" ht="13.5" x14ac:dyDescent="0.25">
      <c r="C94" s="689"/>
      <c r="D94" s="689"/>
      <c r="E94" s="689"/>
      <c r="F94" s="689"/>
      <c r="G94" s="689"/>
      <c r="H94" s="689"/>
      <c r="I94" s="689"/>
      <c r="J94" s="1294">
        <f>SUM(J84:J93)</f>
        <v>0.99999999999999989</v>
      </c>
      <c r="K94" s="1282">
        <f>SUM(K84:K89)</f>
        <v>9032.585474194384</v>
      </c>
      <c r="L94" s="1306"/>
    </row>
    <row r="95" spans="3:16" ht="13.5" x14ac:dyDescent="0.25">
      <c r="C95" s="689"/>
      <c r="D95" s="689"/>
      <c r="E95" s="689"/>
      <c r="F95" s="689"/>
      <c r="G95" s="689"/>
      <c r="H95" s="689"/>
      <c r="I95" s="689"/>
      <c r="L95" s="1306"/>
    </row>
    <row r="96" spans="3:16" ht="13.5" x14ac:dyDescent="0.25">
      <c r="C96" s="1307"/>
      <c r="D96" s="1307"/>
      <c r="E96" s="1307"/>
      <c r="F96" s="1307"/>
      <c r="G96" s="1307"/>
      <c r="H96" s="1308"/>
      <c r="I96" s="1307"/>
      <c r="J96" s="1307"/>
      <c r="K96" s="1309"/>
      <c r="L96" s="1310"/>
      <c r="M96" s="1306"/>
    </row>
    <row r="97" spans="3:19" ht="54" x14ac:dyDescent="0.25">
      <c r="C97" s="684" t="s">
        <v>194</v>
      </c>
      <c r="D97" s="685" t="s">
        <v>394</v>
      </c>
      <c r="E97" s="1329" t="s">
        <v>395</v>
      </c>
      <c r="F97" s="1329" t="s">
        <v>396</v>
      </c>
      <c r="G97" s="1329" t="s">
        <v>397</v>
      </c>
      <c r="H97" s="1329" t="s">
        <v>398</v>
      </c>
      <c r="I97" s="1329" t="s">
        <v>399</v>
      </c>
      <c r="J97" s="1329" t="s">
        <v>400</v>
      </c>
      <c r="K97" s="918" t="s">
        <v>401</v>
      </c>
    </row>
    <row r="98" spans="3:19" ht="16.5" x14ac:dyDescent="0.3">
      <c r="C98" s="1407" t="s">
        <v>265</v>
      </c>
      <c r="D98" s="1407"/>
      <c r="E98" s="1407"/>
      <c r="F98" s="1407"/>
      <c r="G98" s="1407"/>
      <c r="H98" s="1407"/>
      <c r="I98" s="1407"/>
      <c r="J98" s="1408"/>
      <c r="K98" s="1407"/>
    </row>
    <row r="99" spans="3:19" s="689" customFormat="1" ht="13.5" x14ac:dyDescent="0.25">
      <c r="C99" s="1286" t="s">
        <v>294</v>
      </c>
      <c r="D99" s="1286"/>
      <c r="E99" s="1286"/>
      <c r="F99" s="1286"/>
      <c r="G99" s="1286"/>
      <c r="H99" s="1286"/>
      <c r="I99" s="1286"/>
      <c r="J99" s="1311"/>
      <c r="K99" s="1286"/>
      <c r="R99" s="691"/>
      <c r="S99" s="691"/>
    </row>
    <row r="100" spans="3:19" ht="13.5" x14ac:dyDescent="0.25">
      <c r="C100" s="1278" t="s">
        <v>1226</v>
      </c>
      <c r="D100" s="1278">
        <v>7</v>
      </c>
      <c r="E100" s="1278">
        <v>30</v>
      </c>
      <c r="F100" s="1278">
        <f>60/E100</f>
        <v>2</v>
      </c>
      <c r="G100" s="1278">
        <v>1578</v>
      </c>
      <c r="H100" s="1278">
        <f>+$E$48</f>
        <v>0.8</v>
      </c>
      <c r="I100" s="1282">
        <f t="shared" ref="I100:I107" si="0">F100*G100*H100*D100</f>
        <v>17673.600000000002</v>
      </c>
      <c r="J100" s="1312">
        <f>P101*G24</f>
        <v>9.7143690736688548E-2</v>
      </c>
      <c r="K100" s="1282">
        <f t="shared" ref="K100:K107" si="1">+I100*J100</f>
        <v>1716.8787326039389</v>
      </c>
      <c r="N100" s="691">
        <v>2017</v>
      </c>
    </row>
    <row r="101" spans="3:19" ht="13.5" x14ac:dyDescent="0.25">
      <c r="C101" s="1278" t="s">
        <v>414</v>
      </c>
      <c r="D101" s="1278">
        <v>7</v>
      </c>
      <c r="E101" s="1278">
        <v>15</v>
      </c>
      <c r="F101" s="1278">
        <f>60/E101</f>
        <v>4</v>
      </c>
      <c r="G101" s="1278">
        <v>1578</v>
      </c>
      <c r="H101" s="1278">
        <f>+$E$48</f>
        <v>0.8</v>
      </c>
      <c r="I101" s="1282">
        <f t="shared" si="0"/>
        <v>35347.200000000004</v>
      </c>
      <c r="J101" s="1312">
        <f>P102*G24</f>
        <v>0.12099781181619257</v>
      </c>
      <c r="K101" s="1282">
        <f t="shared" si="1"/>
        <v>4276.9338538293223</v>
      </c>
      <c r="N101" s="691" t="s">
        <v>43</v>
      </c>
      <c r="O101" s="1296">
        <v>2081</v>
      </c>
      <c r="P101" s="1295">
        <f>O101/$O$109</f>
        <v>0.28460065645514221</v>
      </c>
    </row>
    <row r="102" spans="3:19" ht="13.5" x14ac:dyDescent="0.25">
      <c r="C102" s="1278" t="s">
        <v>1227</v>
      </c>
      <c r="D102" s="1278">
        <v>7</v>
      </c>
      <c r="E102" s="1278">
        <v>30</v>
      </c>
      <c r="F102" s="1278">
        <f t="shared" ref="F102:F107" si="2">60/E102</f>
        <v>2</v>
      </c>
      <c r="G102" s="1278">
        <v>1578</v>
      </c>
      <c r="H102" s="1278">
        <f t="shared" ref="H102:H107" si="3">+$E$48</f>
        <v>0.8</v>
      </c>
      <c r="I102" s="1282">
        <f t="shared" si="0"/>
        <v>17673.600000000002</v>
      </c>
      <c r="J102" s="1312">
        <f>P103*G24</f>
        <v>3.6831509846827135E-2</v>
      </c>
      <c r="K102" s="1282">
        <f t="shared" si="1"/>
        <v>650.94537242888407</v>
      </c>
      <c r="N102" s="691" t="s">
        <v>44</v>
      </c>
      <c r="O102" s="1296">
        <v>2592</v>
      </c>
      <c r="P102" s="1295">
        <f t="shared" ref="P102:P109" si="4">O102/$O$109</f>
        <v>0.35448577680525162</v>
      </c>
    </row>
    <row r="103" spans="3:19" ht="13.5" x14ac:dyDescent="0.25">
      <c r="C103" s="1278" t="s">
        <v>1228</v>
      </c>
      <c r="D103" s="1278">
        <v>7</v>
      </c>
      <c r="E103" s="1278">
        <v>30</v>
      </c>
      <c r="F103" s="1278">
        <f t="shared" si="2"/>
        <v>2</v>
      </c>
      <c r="G103" s="1278">
        <v>1578</v>
      </c>
      <c r="H103" s="1278">
        <f t="shared" si="3"/>
        <v>0.8</v>
      </c>
      <c r="I103" s="1282">
        <f t="shared" si="0"/>
        <v>17673.600000000002</v>
      </c>
      <c r="J103" s="1312">
        <f>P104*G24</f>
        <v>3.9445660102115247E-2</v>
      </c>
      <c r="K103" s="1282">
        <f t="shared" si="1"/>
        <v>697.14681838074409</v>
      </c>
      <c r="N103" s="691" t="s">
        <v>1227</v>
      </c>
      <c r="O103" s="1296">
        <v>789</v>
      </c>
      <c r="P103" s="1295">
        <f t="shared" si="4"/>
        <v>0.10790481400437636</v>
      </c>
    </row>
    <row r="104" spans="3:19" ht="13.5" x14ac:dyDescent="0.25">
      <c r="C104" s="1278" t="s">
        <v>1229</v>
      </c>
      <c r="D104" s="1278">
        <v>7</v>
      </c>
      <c r="E104" s="1278">
        <v>30</v>
      </c>
      <c r="F104" s="1278">
        <f t="shared" si="2"/>
        <v>2</v>
      </c>
      <c r="G104" s="1278">
        <v>1578</v>
      </c>
      <c r="H104" s="1278">
        <f t="shared" si="3"/>
        <v>0.8</v>
      </c>
      <c r="I104" s="1282">
        <f t="shared" si="0"/>
        <v>17673.600000000002</v>
      </c>
      <c r="J104" s="1312">
        <f>P105*G24</f>
        <v>1.2043763676148799E-2</v>
      </c>
      <c r="K104" s="1282">
        <f t="shared" si="1"/>
        <v>212.85666170678346</v>
      </c>
      <c r="N104" s="691" t="s">
        <v>1228</v>
      </c>
      <c r="O104" s="1296">
        <v>845</v>
      </c>
      <c r="P104" s="1295">
        <f t="shared" si="4"/>
        <v>0.11556345733041576</v>
      </c>
    </row>
    <row r="105" spans="3:19" ht="13.5" x14ac:dyDescent="0.25">
      <c r="C105" s="1278" t="s">
        <v>1230</v>
      </c>
      <c r="D105" s="1278">
        <v>7</v>
      </c>
      <c r="E105" s="1278">
        <v>30</v>
      </c>
      <c r="F105" s="1278">
        <f t="shared" si="2"/>
        <v>2</v>
      </c>
      <c r="G105" s="1278">
        <v>1578</v>
      </c>
      <c r="H105" s="1278">
        <f t="shared" si="3"/>
        <v>0.8</v>
      </c>
      <c r="I105" s="1282">
        <f t="shared" si="0"/>
        <v>17673.600000000002</v>
      </c>
      <c r="J105" s="1312">
        <f>P106*G24</f>
        <v>1.2370532458059812E-2</v>
      </c>
      <c r="K105" s="1282">
        <f t="shared" si="1"/>
        <v>218.63184245076593</v>
      </c>
      <c r="N105" s="691" t="s">
        <v>1229</v>
      </c>
      <c r="O105" s="1296">
        <v>258</v>
      </c>
      <c r="P105" s="1295">
        <f t="shared" si="4"/>
        <v>3.5284463894967179E-2</v>
      </c>
    </row>
    <row r="106" spans="3:19" ht="13.5" x14ac:dyDescent="0.25">
      <c r="C106" s="1278" t="s">
        <v>1231</v>
      </c>
      <c r="D106" s="1278">
        <v>7</v>
      </c>
      <c r="E106" s="1278">
        <v>30</v>
      </c>
      <c r="F106" s="1278">
        <f t="shared" si="2"/>
        <v>2</v>
      </c>
      <c r="G106" s="1278">
        <v>1578</v>
      </c>
      <c r="H106" s="1278">
        <f t="shared" si="3"/>
        <v>0.8</v>
      </c>
      <c r="I106" s="1282">
        <f t="shared" si="0"/>
        <v>17673.600000000002</v>
      </c>
      <c r="J106" s="1312">
        <f>P107*G24</f>
        <v>1.6665207877461709E-2</v>
      </c>
      <c r="K106" s="1282">
        <f t="shared" si="1"/>
        <v>294.53421794310731</v>
      </c>
      <c r="N106" s="691" t="s">
        <v>1230</v>
      </c>
      <c r="O106" s="1296">
        <v>265</v>
      </c>
      <c r="P106" s="1295">
        <f t="shared" si="4"/>
        <v>3.6241794310722102E-2</v>
      </c>
    </row>
    <row r="107" spans="3:19" ht="13.5" x14ac:dyDescent="0.25">
      <c r="C107" s="1278" t="s">
        <v>1232</v>
      </c>
      <c r="D107" s="1278">
        <v>7</v>
      </c>
      <c r="E107" s="1278">
        <v>30</v>
      </c>
      <c r="F107" s="1278">
        <f t="shared" si="2"/>
        <v>2</v>
      </c>
      <c r="G107" s="1278">
        <v>1578</v>
      </c>
      <c r="H107" s="1278">
        <f t="shared" si="3"/>
        <v>0.8</v>
      </c>
      <c r="I107" s="1282">
        <f t="shared" si="0"/>
        <v>17673.600000000002</v>
      </c>
      <c r="J107" s="1312">
        <f>P108*G24</f>
        <v>5.8351568198395333E-3</v>
      </c>
      <c r="K107" s="1282">
        <f t="shared" si="1"/>
        <v>103.12822757111599</v>
      </c>
      <c r="N107" s="691" t="s">
        <v>1231</v>
      </c>
      <c r="O107" s="1296">
        <v>357</v>
      </c>
      <c r="P107" s="1295">
        <f t="shared" si="4"/>
        <v>4.8823851203501092E-2</v>
      </c>
    </row>
    <row r="108" spans="3:19" s="689" customFormat="1" ht="13.5" x14ac:dyDescent="0.25">
      <c r="C108" s="1286" t="s">
        <v>295</v>
      </c>
      <c r="D108" s="1286"/>
      <c r="E108" s="1286"/>
      <c r="F108" s="1278"/>
      <c r="G108" s="1286"/>
      <c r="H108" s="1278"/>
      <c r="I108" s="1286"/>
      <c r="J108" s="1311"/>
      <c r="K108" s="1286"/>
      <c r="N108" s="691" t="s">
        <v>1232</v>
      </c>
      <c r="O108" s="1296">
        <v>125</v>
      </c>
      <c r="P108" s="1295">
        <f t="shared" si="4"/>
        <v>1.7095185995623631E-2</v>
      </c>
    </row>
    <row r="109" spans="3:19" ht="13.5" x14ac:dyDescent="0.25">
      <c r="C109" s="1278" t="s">
        <v>413</v>
      </c>
      <c r="D109" s="1278">
        <v>7</v>
      </c>
      <c r="E109" s="1278">
        <v>20</v>
      </c>
      <c r="F109" s="1278">
        <f>60/E109</f>
        <v>3</v>
      </c>
      <c r="G109" s="1278">
        <f>+I43</f>
        <v>1578</v>
      </c>
      <c r="H109" s="1278">
        <f>+$E$48</f>
        <v>0.8</v>
      </c>
      <c r="I109" s="1282">
        <f>F109*G109*H109*D109</f>
        <v>26510.400000000001</v>
      </c>
      <c r="J109" s="1312">
        <f>+J24</f>
        <v>0.22266666666666665</v>
      </c>
      <c r="K109" s="1282">
        <f>+I109*J109</f>
        <v>5902.9823999999999</v>
      </c>
      <c r="O109" s="1296">
        <f>SUM(O101:O108)</f>
        <v>7312</v>
      </c>
      <c r="P109" s="1295">
        <f t="shared" si="4"/>
        <v>1</v>
      </c>
    </row>
    <row r="110" spans="3:19" s="689" customFormat="1" ht="13.5" x14ac:dyDescent="0.25">
      <c r="C110" s="1286" t="s">
        <v>331</v>
      </c>
      <c r="D110" s="1286"/>
      <c r="E110" s="1286"/>
      <c r="F110" s="1278"/>
      <c r="G110" s="1286"/>
      <c r="H110" s="1278"/>
      <c r="I110" s="1286"/>
      <c r="J110" s="1311"/>
      <c r="K110" s="1286"/>
    </row>
    <row r="111" spans="3:19" ht="13.5" x14ac:dyDescent="0.25">
      <c r="C111" s="1278" t="s">
        <v>429</v>
      </c>
      <c r="D111" s="1278">
        <v>7</v>
      </c>
      <c r="E111" s="1278">
        <v>20</v>
      </c>
      <c r="F111" s="1278">
        <f>60/E111</f>
        <v>3</v>
      </c>
      <c r="G111" s="1278">
        <f>+I43</f>
        <v>1578</v>
      </c>
      <c r="H111" s="1278">
        <f>+$E$48</f>
        <v>0.8</v>
      </c>
      <c r="I111" s="1282">
        <f>F111*G111*H111*D111</f>
        <v>26510.400000000001</v>
      </c>
      <c r="J111" s="1312">
        <f>+M24</f>
        <v>0.16400000000000001</v>
      </c>
      <c r="K111" s="1282">
        <f>+I111*J111</f>
        <v>4347.7056000000002</v>
      </c>
    </row>
    <row r="112" spans="3:19" ht="13.5" x14ac:dyDescent="0.25">
      <c r="C112" s="1286" t="s">
        <v>1268</v>
      </c>
      <c r="D112" s="1286"/>
      <c r="E112" s="1286"/>
      <c r="F112" s="1278"/>
      <c r="G112" s="1286"/>
      <c r="H112" s="1278"/>
      <c r="I112" s="1286"/>
      <c r="J112" s="1311"/>
      <c r="K112" s="1286"/>
    </row>
    <row r="113" spans="3:15" ht="13.5" x14ac:dyDescent="0.25">
      <c r="C113" s="1278" t="s">
        <v>1273</v>
      </c>
      <c r="D113" s="1278">
        <v>7</v>
      </c>
      <c r="E113" s="1278">
        <v>60</v>
      </c>
      <c r="F113" s="1278">
        <f>60/E113</f>
        <v>1</v>
      </c>
      <c r="G113" s="1278">
        <f>+I43</f>
        <v>1578</v>
      </c>
      <c r="H113" s="1278">
        <f>+$E$48</f>
        <v>0.8</v>
      </c>
      <c r="I113" s="1282">
        <f>F113*G113*H113*D113</f>
        <v>8836.8000000000011</v>
      </c>
      <c r="J113" s="1312">
        <f>+P24</f>
        <v>0.21199999999999999</v>
      </c>
      <c r="K113" s="1282">
        <f>+I113*J113</f>
        <v>1873.4016000000001</v>
      </c>
    </row>
    <row r="114" spans="3:15" ht="13.5" x14ac:dyDescent="0.25">
      <c r="C114" s="1286" t="s">
        <v>1270</v>
      </c>
      <c r="D114" s="1286"/>
      <c r="E114" s="1286"/>
      <c r="F114" s="1278"/>
      <c r="G114" s="1286"/>
      <c r="H114" s="1278"/>
      <c r="I114" s="1286"/>
      <c r="J114" s="1311"/>
      <c r="K114" s="1286"/>
    </row>
    <row r="115" spans="3:15" ht="13.5" x14ac:dyDescent="0.25">
      <c r="C115" s="1278" t="s">
        <v>1274</v>
      </c>
      <c r="D115" s="1278">
        <v>7</v>
      </c>
      <c r="E115" s="1278">
        <v>60</v>
      </c>
      <c r="F115" s="1278">
        <f>60/E115</f>
        <v>1</v>
      </c>
      <c r="G115" s="1278">
        <f>+I43</f>
        <v>1578</v>
      </c>
      <c r="H115" s="1278">
        <f>+$E$48</f>
        <v>0.8</v>
      </c>
      <c r="I115" s="1282">
        <f>F115*G115*H115*D115</f>
        <v>8836.8000000000011</v>
      </c>
      <c r="J115" s="1312">
        <f>+S24</f>
        <v>0.06</v>
      </c>
      <c r="K115" s="1282">
        <f>+I115*J115</f>
        <v>530.20800000000008</v>
      </c>
    </row>
    <row r="116" spans="3:15" ht="13.5" x14ac:dyDescent="0.25">
      <c r="J116" s="1312">
        <f>SUM(J99:J115)</f>
        <v>1</v>
      </c>
      <c r="K116" s="1282">
        <f>SUM(K100:K115)</f>
        <v>20825.353326914665</v>
      </c>
      <c r="M116" s="689"/>
      <c r="N116" s="689"/>
      <c r="O116" s="689"/>
    </row>
    <row r="117" spans="3:15" ht="13.5" x14ac:dyDescent="0.25">
      <c r="L117" s="1306"/>
      <c r="N117" s="1296"/>
      <c r="O117" s="1295"/>
    </row>
    <row r="118" spans="3:15" ht="54" x14ac:dyDescent="0.25">
      <c r="C118" s="684" t="s">
        <v>194</v>
      </c>
      <c r="D118" s="685" t="s">
        <v>394</v>
      </c>
      <c r="E118" s="1329" t="s">
        <v>395</v>
      </c>
      <c r="F118" s="1329" t="s">
        <v>396</v>
      </c>
      <c r="G118" s="1329" t="s">
        <v>397</v>
      </c>
      <c r="H118" s="1329" t="s">
        <v>398</v>
      </c>
      <c r="I118" s="1329" t="s">
        <v>399</v>
      </c>
      <c r="J118" s="1329" t="s">
        <v>400</v>
      </c>
      <c r="K118" s="918" t="s">
        <v>401</v>
      </c>
      <c r="L118" s="1310"/>
      <c r="N118" s="1296"/>
      <c r="O118" s="1295"/>
    </row>
    <row r="119" spans="3:15" ht="16.5" x14ac:dyDescent="0.3">
      <c r="C119" s="1407" t="s">
        <v>221</v>
      </c>
      <c r="D119" s="1407"/>
      <c r="E119" s="1407"/>
      <c r="F119" s="1407"/>
      <c r="G119" s="1407"/>
      <c r="H119" s="1407"/>
      <c r="I119" s="1407"/>
      <c r="J119" s="1407"/>
      <c r="K119" s="1407"/>
      <c r="M119" s="689"/>
      <c r="N119" s="1313"/>
      <c r="O119" s="689"/>
    </row>
    <row r="120" spans="3:15" s="689" customFormat="1" ht="13.5" x14ac:dyDescent="0.25">
      <c r="C120" s="1286" t="s">
        <v>403</v>
      </c>
      <c r="D120" s="1286"/>
      <c r="E120" s="1286"/>
      <c r="F120" s="1286"/>
      <c r="G120" s="1286"/>
      <c r="H120" s="1286"/>
      <c r="I120" s="1286"/>
      <c r="J120" s="1305"/>
      <c r="K120" s="1286"/>
      <c r="M120" s="1314"/>
    </row>
    <row r="121" spans="3:15" ht="13.5" x14ac:dyDescent="0.25">
      <c r="C121" s="1278" t="s">
        <v>415</v>
      </c>
      <c r="D121" s="1278">
        <v>0</v>
      </c>
      <c r="E121" s="1278">
        <v>20</v>
      </c>
      <c r="F121" s="1278">
        <f>60/E121</f>
        <v>3</v>
      </c>
      <c r="G121" s="1278">
        <f>+I43</f>
        <v>1578</v>
      </c>
      <c r="H121" s="1278">
        <f>+E48</f>
        <v>0.8</v>
      </c>
      <c r="I121" s="1282">
        <f>F121*G121*H121*D121</f>
        <v>0</v>
      </c>
      <c r="J121" s="1294">
        <f>+G26</f>
        <v>0</v>
      </c>
      <c r="K121" s="1282">
        <f>+I121*J121</f>
        <v>0</v>
      </c>
      <c r="M121" s="1315"/>
    </row>
    <row r="122" spans="3:15" ht="13.5" x14ac:dyDescent="0.25">
      <c r="C122" s="1286" t="s">
        <v>1270</v>
      </c>
      <c r="D122" s="1286"/>
      <c r="E122" s="1286"/>
      <c r="F122" s="1286"/>
      <c r="G122" s="1286"/>
      <c r="H122" s="1286"/>
      <c r="I122" s="1286"/>
      <c r="J122" s="1305"/>
      <c r="K122" s="1286"/>
      <c r="M122" s="1315"/>
    </row>
    <row r="123" spans="3:15" ht="13.5" x14ac:dyDescent="0.25">
      <c r="C123" s="1278" t="s">
        <v>1271</v>
      </c>
      <c r="D123" s="1278">
        <v>0</v>
      </c>
      <c r="E123" s="1278">
        <v>60</v>
      </c>
      <c r="F123" s="1278">
        <f>60/E123</f>
        <v>1</v>
      </c>
      <c r="G123" s="1278">
        <f>+I43</f>
        <v>1578</v>
      </c>
      <c r="H123" s="1278">
        <f>+E48</f>
        <v>0.8</v>
      </c>
      <c r="I123" s="1282">
        <f>F123*G123*H123*D123</f>
        <v>0</v>
      </c>
      <c r="J123" s="1294">
        <f>+S26</f>
        <v>0</v>
      </c>
      <c r="K123" s="1282">
        <f>+I123*J123</f>
        <v>0</v>
      </c>
      <c r="M123" s="1315"/>
    </row>
    <row r="124" spans="3:15" ht="13.5" x14ac:dyDescent="0.25">
      <c r="C124" s="1307"/>
      <c r="D124" s="1307"/>
      <c r="E124" s="1316"/>
      <c r="F124" s="1317"/>
      <c r="G124" s="1318"/>
      <c r="H124" s="1316"/>
      <c r="I124" s="1319"/>
      <c r="J124" s="1294">
        <f>SUM(J120:J123)</f>
        <v>0</v>
      </c>
      <c r="K124" s="1282">
        <f>SUM(K121:K123)</f>
        <v>0</v>
      </c>
      <c r="L124" s="1320"/>
      <c r="M124" s="1315"/>
    </row>
    <row r="125" spans="3:15" ht="13.5" x14ac:dyDescent="0.25">
      <c r="C125" s="1307"/>
      <c r="D125" s="1307"/>
      <c r="E125" s="1307"/>
      <c r="F125" s="1307"/>
      <c r="G125" s="1307"/>
      <c r="H125" s="1307"/>
      <c r="I125" s="1307"/>
      <c r="J125" s="1307"/>
      <c r="K125" s="1307"/>
      <c r="L125" s="1310"/>
      <c r="M125" s="1306"/>
    </row>
    <row r="126" spans="3:15" ht="54" x14ac:dyDescent="0.25">
      <c r="C126" s="684" t="s">
        <v>194</v>
      </c>
      <c r="D126" s="685" t="s">
        <v>394</v>
      </c>
      <c r="E126" s="1329" t="s">
        <v>395</v>
      </c>
      <c r="F126" s="1329" t="s">
        <v>396</v>
      </c>
      <c r="G126" s="1329" t="s">
        <v>397</v>
      </c>
      <c r="H126" s="1329" t="s">
        <v>398</v>
      </c>
      <c r="I126" s="1329" t="s">
        <v>399</v>
      </c>
      <c r="J126" s="1329" t="s">
        <v>400</v>
      </c>
      <c r="K126" s="918" t="s">
        <v>401</v>
      </c>
      <c r="M126" s="1306"/>
    </row>
    <row r="127" spans="3:15" ht="16.5" x14ac:dyDescent="0.3">
      <c r="C127" s="1407" t="s">
        <v>3684</v>
      </c>
      <c r="D127" s="1407"/>
      <c r="E127" s="1407"/>
      <c r="F127" s="1407"/>
      <c r="G127" s="1407"/>
      <c r="H127" s="1407"/>
      <c r="I127" s="1407"/>
      <c r="J127" s="1407"/>
      <c r="K127" s="1407"/>
      <c r="M127" s="1306"/>
    </row>
    <row r="128" spans="3:15" s="689" customFormat="1" ht="13.5" x14ac:dyDescent="0.25">
      <c r="C128" s="1286" t="s">
        <v>1277</v>
      </c>
      <c r="D128" s="1286"/>
      <c r="E128" s="1286"/>
      <c r="F128" s="1286"/>
      <c r="G128" s="1286"/>
      <c r="H128" s="1286"/>
      <c r="I128" s="1286"/>
      <c r="J128" s="1305"/>
      <c r="K128" s="1286"/>
      <c r="M128" s="1321"/>
    </row>
    <row r="129" spans="3:13" ht="13.5" x14ac:dyDescent="0.25">
      <c r="C129" s="1278" t="s">
        <v>416</v>
      </c>
      <c r="D129" s="1278">
        <v>1</v>
      </c>
      <c r="E129" s="1278">
        <v>5</v>
      </c>
      <c r="F129" s="1278">
        <f>60/E129</f>
        <v>12</v>
      </c>
      <c r="G129" s="1278">
        <f>+I43</f>
        <v>1578</v>
      </c>
      <c r="H129" s="1278">
        <f>+E48</f>
        <v>0.8</v>
      </c>
      <c r="I129" s="1282">
        <f>F129*G129*H129*D129</f>
        <v>15148.800000000001</v>
      </c>
      <c r="J129" s="1294">
        <f>+Y34</f>
        <v>1</v>
      </c>
      <c r="K129" s="1282">
        <f>+I129*J129</f>
        <v>15148.800000000001</v>
      </c>
      <c r="M129" s="1306"/>
    </row>
    <row r="130" spans="3:13" ht="13.5" x14ac:dyDescent="0.25">
      <c r="C130" s="1286" t="s">
        <v>1270</v>
      </c>
      <c r="D130" s="1286"/>
      <c r="E130" s="1286"/>
      <c r="F130" s="1286"/>
      <c r="G130" s="1286"/>
      <c r="H130" s="1286"/>
      <c r="I130" s="1286"/>
      <c r="J130" s="1305"/>
      <c r="K130" s="1286"/>
      <c r="M130" s="1306"/>
    </row>
    <row r="131" spans="3:13" ht="13.5" x14ac:dyDescent="0.25">
      <c r="C131" s="1278" t="s">
        <v>1271</v>
      </c>
      <c r="D131" s="1278">
        <v>0</v>
      </c>
      <c r="E131" s="1278">
        <v>60</v>
      </c>
      <c r="F131" s="1278">
        <f>60/E131</f>
        <v>1</v>
      </c>
      <c r="G131" s="1278">
        <f>+I43</f>
        <v>1578</v>
      </c>
      <c r="H131" s="1278">
        <f>+E48</f>
        <v>0.8</v>
      </c>
      <c r="I131" s="1282">
        <f>F131*G131*H131*D131</f>
        <v>0</v>
      </c>
      <c r="J131" s="1294">
        <f>+S28</f>
        <v>0</v>
      </c>
      <c r="K131" s="1282">
        <f>+I131*J131</f>
        <v>0</v>
      </c>
      <c r="M131" s="1306"/>
    </row>
    <row r="132" spans="3:13" ht="13.5" x14ac:dyDescent="0.25">
      <c r="C132" s="1307"/>
      <c r="D132" s="1307"/>
      <c r="E132" s="1307"/>
      <c r="F132" s="1307"/>
      <c r="G132" s="1307"/>
      <c r="H132" s="1307"/>
      <c r="I132" s="1307"/>
      <c r="J132" s="1294">
        <f>SUM(J128:J131)</f>
        <v>1</v>
      </c>
      <c r="K132" s="1282">
        <f>SUM(K129:K131)</f>
        <v>15148.800000000001</v>
      </c>
      <c r="L132" s="1310"/>
      <c r="M132" s="1306"/>
    </row>
    <row r="133" spans="3:13" ht="13.5" x14ac:dyDescent="0.25">
      <c r="C133" s="1307"/>
      <c r="D133" s="1307"/>
      <c r="E133" s="1307"/>
      <c r="F133" s="1307"/>
      <c r="G133" s="1307"/>
      <c r="H133" s="1307"/>
      <c r="I133" s="1307"/>
      <c r="J133" s="1295"/>
      <c r="K133" s="1296"/>
      <c r="L133" s="1310"/>
      <c r="M133" s="1306"/>
    </row>
    <row r="134" spans="3:13" ht="13.5" x14ac:dyDescent="0.25">
      <c r="C134" s="1307"/>
      <c r="D134" s="1307"/>
      <c r="E134" s="1307"/>
      <c r="F134" s="1307"/>
      <c r="G134" s="1307"/>
      <c r="H134" s="1307"/>
      <c r="I134" s="1307"/>
      <c r="J134" s="1295"/>
      <c r="K134" s="1296"/>
      <c r="L134" s="1310"/>
      <c r="M134" s="1306"/>
    </row>
    <row r="135" spans="3:13" ht="54" x14ac:dyDescent="0.25">
      <c r="C135" s="684" t="s">
        <v>194</v>
      </c>
      <c r="D135" s="685" t="s">
        <v>394</v>
      </c>
      <c r="E135" s="1329" t="s">
        <v>395</v>
      </c>
      <c r="F135" s="1329" t="s">
        <v>396</v>
      </c>
      <c r="G135" s="1329" t="s">
        <v>397</v>
      </c>
      <c r="H135" s="1329" t="s">
        <v>398</v>
      </c>
      <c r="I135" s="1329" t="s">
        <v>399</v>
      </c>
      <c r="J135" s="1329" t="s">
        <v>400</v>
      </c>
      <c r="K135" s="918" t="s">
        <v>401</v>
      </c>
      <c r="L135" s="1310"/>
      <c r="M135" s="1306"/>
    </row>
    <row r="136" spans="3:13" ht="16.5" x14ac:dyDescent="0.3">
      <c r="C136" s="1407" t="s">
        <v>1238</v>
      </c>
      <c r="D136" s="1407"/>
      <c r="E136" s="1407"/>
      <c r="F136" s="1407"/>
      <c r="G136" s="1407"/>
      <c r="H136" s="1407"/>
      <c r="I136" s="1407"/>
      <c r="J136" s="1407"/>
      <c r="K136" s="1407"/>
      <c r="L136" s="1310"/>
      <c r="M136" s="1306"/>
    </row>
    <row r="137" spans="3:13" ht="13.5" x14ac:dyDescent="0.25">
      <c r="C137" s="1286" t="s">
        <v>1276</v>
      </c>
      <c r="D137" s="1286"/>
      <c r="E137" s="1286"/>
      <c r="F137" s="1286"/>
      <c r="G137" s="1286"/>
      <c r="H137" s="1286"/>
      <c r="I137" s="1286"/>
      <c r="J137" s="1305"/>
      <c r="K137" s="1286"/>
      <c r="L137" s="1310"/>
      <c r="M137" s="1306"/>
    </row>
    <row r="138" spans="3:13" ht="13.5" x14ac:dyDescent="0.25">
      <c r="C138" s="1278" t="s">
        <v>1239</v>
      </c>
      <c r="D138" s="1278">
        <v>1</v>
      </c>
      <c r="E138" s="1278">
        <v>5</v>
      </c>
      <c r="F138" s="1278">
        <f>60/E138</f>
        <v>12</v>
      </c>
      <c r="G138" s="1278">
        <v>1578</v>
      </c>
      <c r="H138" s="1278">
        <v>0.8</v>
      </c>
      <c r="I138" s="1282">
        <f>F138*G138*H138*D138</f>
        <v>15148.800000000001</v>
      </c>
      <c r="J138" s="1294">
        <f>+V32</f>
        <v>1</v>
      </c>
      <c r="K138" s="1282">
        <f>+I138*J138</f>
        <v>15148.800000000001</v>
      </c>
      <c r="L138" s="1310"/>
      <c r="M138" s="1306"/>
    </row>
    <row r="139" spans="3:13" ht="13.5" x14ac:dyDescent="0.25">
      <c r="C139" s="1307"/>
      <c r="D139" s="1307"/>
      <c r="E139" s="1307"/>
      <c r="F139" s="1307"/>
      <c r="G139" s="1307"/>
      <c r="H139" s="1307"/>
      <c r="I139" s="1307"/>
      <c r="J139" s="1294">
        <f>SUM(J137:J138)</f>
        <v>1</v>
      </c>
      <c r="K139" s="1282">
        <f>SUM(K138)</f>
        <v>15148.800000000001</v>
      </c>
      <c r="L139" s="1310"/>
      <c r="M139" s="1306"/>
    </row>
    <row r="140" spans="3:13" ht="13.5" x14ac:dyDescent="0.25">
      <c r="C140" s="1307"/>
      <c r="D140" s="1307"/>
      <c r="E140" s="1307"/>
      <c r="F140" s="1307"/>
      <c r="G140" s="1307"/>
      <c r="H140" s="1307"/>
      <c r="I140" s="1307"/>
      <c r="J140" s="1295"/>
      <c r="K140" s="1296"/>
      <c r="L140" s="1310"/>
      <c r="M140" s="1306"/>
    </row>
    <row r="141" spans="3:13" ht="13.5" x14ac:dyDescent="0.25">
      <c r="C141" s="1330" t="s">
        <v>417</v>
      </c>
      <c r="D141" s="1307"/>
      <c r="E141" s="1316"/>
      <c r="F141" s="1316"/>
      <c r="G141" s="1318"/>
      <c r="H141" s="1316"/>
      <c r="I141" s="1319"/>
      <c r="J141" s="1316"/>
      <c r="K141" s="1301"/>
      <c r="L141" s="1310"/>
      <c r="M141" s="1310"/>
    </row>
    <row r="142" spans="3:13" ht="13.5" x14ac:dyDescent="0.25">
      <c r="C142" s="917" t="s">
        <v>418</v>
      </c>
      <c r="D142" s="918" t="s">
        <v>419</v>
      </c>
    </row>
    <row r="143" spans="3:13" ht="13.5" x14ac:dyDescent="0.25">
      <c r="C143" s="1791" t="s">
        <v>71</v>
      </c>
      <c r="D143" s="1791"/>
    </row>
    <row r="144" spans="3:13" ht="13.5" x14ac:dyDescent="0.25">
      <c r="C144" s="1278" t="s">
        <v>430</v>
      </c>
      <c r="D144" s="1282">
        <f>+K64</f>
        <v>13067.727308970099</v>
      </c>
    </row>
    <row r="145" spans="3:4" ht="27" x14ac:dyDescent="0.25">
      <c r="C145" s="1322" t="s">
        <v>1300</v>
      </c>
      <c r="D145" s="1282"/>
    </row>
    <row r="146" spans="3:4" ht="27" x14ac:dyDescent="0.25">
      <c r="C146" s="1322" t="s">
        <v>1965</v>
      </c>
      <c r="D146" s="1282"/>
    </row>
    <row r="147" spans="3:4" ht="27" x14ac:dyDescent="0.25">
      <c r="C147" s="1322" t="s">
        <v>1967</v>
      </c>
      <c r="D147" s="1282"/>
    </row>
    <row r="148" spans="3:4" ht="13.5" x14ac:dyDescent="0.25">
      <c r="C148" s="1322" t="s">
        <v>1305</v>
      </c>
      <c r="D148" s="1282"/>
    </row>
    <row r="149" spans="3:4" ht="13.5" x14ac:dyDescent="0.25">
      <c r="C149" s="1791" t="s">
        <v>1225</v>
      </c>
      <c r="D149" s="1791"/>
    </row>
    <row r="150" spans="3:4" ht="13.5" x14ac:dyDescent="0.25">
      <c r="C150" s="1278" t="s">
        <v>1226</v>
      </c>
      <c r="D150" s="1282">
        <f>+K100</f>
        <v>1716.8787326039389</v>
      </c>
    </row>
    <row r="151" spans="3:4" ht="13.5" x14ac:dyDescent="0.25">
      <c r="C151" s="1278" t="s">
        <v>414</v>
      </c>
      <c r="D151" s="1282">
        <f t="shared" ref="D151:D157" si="5">+K101</f>
        <v>4276.9338538293223</v>
      </c>
    </row>
    <row r="152" spans="3:4" ht="13.5" x14ac:dyDescent="0.25">
      <c r="C152" s="1278" t="s">
        <v>1227</v>
      </c>
      <c r="D152" s="1282">
        <f t="shared" si="5"/>
        <v>650.94537242888407</v>
      </c>
    </row>
    <row r="153" spans="3:4" ht="13.5" x14ac:dyDescent="0.25">
      <c r="C153" s="1278" t="s">
        <v>1228</v>
      </c>
      <c r="D153" s="1282">
        <f t="shared" si="5"/>
        <v>697.14681838074409</v>
      </c>
    </row>
    <row r="154" spans="3:4" ht="13.5" x14ac:dyDescent="0.25">
      <c r="C154" s="1278" t="s">
        <v>1229</v>
      </c>
      <c r="D154" s="1282">
        <f t="shared" si="5"/>
        <v>212.85666170678346</v>
      </c>
    </row>
    <row r="155" spans="3:4" ht="13.5" x14ac:dyDescent="0.25">
      <c r="C155" s="1278" t="s">
        <v>1230</v>
      </c>
      <c r="D155" s="1282">
        <f t="shared" si="5"/>
        <v>218.63184245076593</v>
      </c>
    </row>
    <row r="156" spans="3:4" ht="13.5" x14ac:dyDescent="0.25">
      <c r="C156" s="1278" t="s">
        <v>1231</v>
      </c>
      <c r="D156" s="1282">
        <f t="shared" si="5"/>
        <v>294.53421794310731</v>
      </c>
    </row>
    <row r="157" spans="3:4" ht="13.5" x14ac:dyDescent="0.25">
      <c r="C157" s="1278" t="s">
        <v>1232</v>
      </c>
      <c r="D157" s="1282">
        <f t="shared" si="5"/>
        <v>103.12822757111599</v>
      </c>
    </row>
    <row r="158" spans="3:4" ht="13.5" x14ac:dyDescent="0.25">
      <c r="C158" s="1278" t="s">
        <v>1233</v>
      </c>
      <c r="D158" s="1282">
        <f>+K80</f>
        <v>6362.496000000001</v>
      </c>
    </row>
    <row r="159" spans="3:4" ht="13.5" x14ac:dyDescent="0.25">
      <c r="C159" s="1278" t="s">
        <v>375</v>
      </c>
      <c r="D159" s="1282">
        <f>+K72</f>
        <v>2019.8400000000001</v>
      </c>
    </row>
    <row r="160" spans="3:4" ht="13.5" x14ac:dyDescent="0.25">
      <c r="C160" s="1278" t="s">
        <v>329</v>
      </c>
      <c r="D160" s="1282">
        <f>+K85</f>
        <v>864.24533726502</v>
      </c>
    </row>
    <row r="161" spans="3:4" ht="13.5" x14ac:dyDescent="0.25">
      <c r="C161" s="1278" t="s">
        <v>1223</v>
      </c>
      <c r="D161" s="1282">
        <f>+K86</f>
        <v>4313.4714338370804</v>
      </c>
    </row>
    <row r="162" spans="3:4" ht="13.5" x14ac:dyDescent="0.25">
      <c r="C162" s="1278" t="s">
        <v>1234</v>
      </c>
      <c r="D162" s="1282">
        <f>+K87</f>
        <v>918.22189458164382</v>
      </c>
    </row>
    <row r="163" spans="3:4" ht="13.5" x14ac:dyDescent="0.25">
      <c r="C163" s="1278" t="s">
        <v>1235</v>
      </c>
      <c r="D163" s="1282">
        <f>+K124</f>
        <v>0</v>
      </c>
    </row>
    <row r="164" spans="3:4" ht="13.5" x14ac:dyDescent="0.25">
      <c r="C164" s="1791" t="s">
        <v>61</v>
      </c>
      <c r="D164" s="1791"/>
    </row>
    <row r="165" spans="3:4" ht="13.5" x14ac:dyDescent="0.25">
      <c r="C165" s="1278" t="s">
        <v>1236</v>
      </c>
      <c r="D165" s="1282">
        <f>SUM(K57+K89+K109)</f>
        <v>10584.341500869443</v>
      </c>
    </row>
    <row r="166" spans="3:4" ht="13.5" x14ac:dyDescent="0.25">
      <c r="C166" s="1791" t="s">
        <v>427</v>
      </c>
      <c r="D166" s="1791"/>
    </row>
    <row r="167" spans="3:4" ht="13.5" x14ac:dyDescent="0.25">
      <c r="C167" s="1278" t="s">
        <v>1240</v>
      </c>
      <c r="D167" s="1282">
        <f>+K59+K111</f>
        <v>6964.7740385382058</v>
      </c>
    </row>
    <row r="168" spans="3:4" ht="13.5" x14ac:dyDescent="0.25">
      <c r="C168" s="1791" t="s">
        <v>1278</v>
      </c>
      <c r="D168" s="1791"/>
    </row>
    <row r="169" spans="3:4" ht="13.5" x14ac:dyDescent="0.25">
      <c r="C169" s="1278" t="s">
        <v>1278</v>
      </c>
      <c r="D169" s="1282">
        <f>+K61+K91</f>
        <v>1521.6856153248038</v>
      </c>
    </row>
    <row r="170" spans="3:4" ht="13.5" x14ac:dyDescent="0.25">
      <c r="C170" s="1791" t="s">
        <v>1275</v>
      </c>
      <c r="D170" s="1791"/>
    </row>
    <row r="171" spans="3:4" ht="13.5" x14ac:dyDescent="0.25">
      <c r="C171" s="1278" t="s">
        <v>1275</v>
      </c>
      <c r="D171" s="1282">
        <f>+K63+K71+K79+K93+K115+K123+K131</f>
        <v>2603.2757644730332</v>
      </c>
    </row>
    <row r="172" spans="3:4" ht="13.5" x14ac:dyDescent="0.25">
      <c r="C172" s="1791" t="s">
        <v>1224</v>
      </c>
      <c r="D172" s="1791"/>
    </row>
    <row r="173" spans="3:4" ht="13.5" x14ac:dyDescent="0.25">
      <c r="C173" s="1278" t="s">
        <v>1237</v>
      </c>
      <c r="D173" s="1282">
        <f>+K139</f>
        <v>15148.800000000001</v>
      </c>
    </row>
    <row r="174" spans="3:4" ht="13.5" x14ac:dyDescent="0.25">
      <c r="C174" s="1278" t="s">
        <v>381</v>
      </c>
      <c r="D174" s="1282">
        <f>+K129</f>
        <v>15148.800000000001</v>
      </c>
    </row>
    <row r="175" spans="3:4" ht="13.5" x14ac:dyDescent="0.25"/>
    <row r="176" spans="3:4" ht="13.5" x14ac:dyDescent="0.25"/>
    <row r="177" ht="13.5" x14ac:dyDescent="0.25"/>
    <row r="178" ht="13.5" x14ac:dyDescent="0.25"/>
    <row r="179" ht="13.5" x14ac:dyDescent="0.25"/>
    <row r="180" ht="13.5" x14ac:dyDescent="0.25"/>
    <row r="181" ht="13.5" x14ac:dyDescent="0.25"/>
    <row r="182" ht="13.5" x14ac:dyDescent="0.25"/>
    <row r="183" ht="13.5" x14ac:dyDescent="0.25"/>
    <row r="184" ht="13.5" x14ac:dyDescent="0.25"/>
    <row r="185" ht="13.5" x14ac:dyDescent="0.25"/>
    <row r="186" ht="13.5" x14ac:dyDescent="0.25"/>
    <row r="187" ht="13.5" x14ac:dyDescent="0.25"/>
    <row r="188" ht="13.5" x14ac:dyDescent="0.25"/>
    <row r="189" ht="13.5" x14ac:dyDescent="0.25"/>
    <row r="190" ht="13.5" x14ac:dyDescent="0.25"/>
    <row r="191" ht="13.5" x14ac:dyDescent="0.25"/>
    <row r="192" ht="13.5" x14ac:dyDescent="0.25"/>
    <row r="193" ht="13.5" x14ac:dyDescent="0.25"/>
    <row r="194" ht="13.5" x14ac:dyDescent="0.25"/>
    <row r="195" ht="13.5" x14ac:dyDescent="0.25"/>
    <row r="196" ht="13.5" x14ac:dyDescent="0.25"/>
    <row r="197" ht="13.5" x14ac:dyDescent="0.25"/>
    <row r="198" ht="13.5" x14ac:dyDescent="0.25"/>
    <row r="199" ht="13.5" x14ac:dyDescent="0.25"/>
    <row r="200" ht="13.5" x14ac:dyDescent="0.25"/>
    <row r="201" ht="13.5" x14ac:dyDescent="0.25"/>
    <row r="202" ht="13.5" x14ac:dyDescent="0.25"/>
    <row r="203" ht="13.5" x14ac:dyDescent="0.25"/>
    <row r="204" ht="13.5" x14ac:dyDescent="0.25"/>
    <row r="205" ht="13.5" x14ac:dyDescent="0.25"/>
    <row r="206" ht="13.5" x14ac:dyDescent="0.25"/>
    <row r="207" ht="13.5" x14ac:dyDescent="0.25"/>
    <row r="208" ht="13.5" x14ac:dyDescent="0.25"/>
    <row r="209" ht="13.5" x14ac:dyDescent="0.25"/>
    <row r="210" ht="13.5" x14ac:dyDescent="0.25"/>
    <row r="211" ht="13.5" x14ac:dyDescent="0.25"/>
    <row r="212" ht="13.5" x14ac:dyDescent="0.25"/>
    <row r="213" ht="13.5" x14ac:dyDescent="0.25"/>
    <row r="214" ht="13.5" x14ac:dyDescent="0.25"/>
    <row r="215" ht="13.5" x14ac:dyDescent="0.25"/>
    <row r="216" ht="13.5" x14ac:dyDescent="0.25"/>
    <row r="217" ht="13.5" x14ac:dyDescent="0.25"/>
    <row r="218" ht="13.5" x14ac:dyDescent="0.25"/>
    <row r="219" ht="13.5" x14ac:dyDescent="0.25"/>
    <row r="220" ht="13.5" x14ac:dyDescent="0.25"/>
    <row r="221" ht="13.5" x14ac:dyDescent="0.25"/>
    <row r="222" ht="13.5" x14ac:dyDescent="0.25"/>
    <row r="223" ht="13.5" x14ac:dyDescent="0.25"/>
    <row r="224" ht="13.5" x14ac:dyDescent="0.25"/>
    <row r="225" ht="13.5" x14ac:dyDescent="0.25"/>
    <row r="226" ht="13.5" x14ac:dyDescent="0.25"/>
    <row r="227" ht="13.5" x14ac:dyDescent="0.25"/>
    <row r="228" ht="13.5" x14ac:dyDescent="0.25"/>
    <row r="229" ht="13.5" x14ac:dyDescent="0.25"/>
    <row r="230" ht="13.5" x14ac:dyDescent="0.25"/>
    <row r="231" ht="13.5" x14ac:dyDescent="0.25"/>
    <row r="232" ht="13.5" x14ac:dyDescent="0.25"/>
    <row r="233" ht="13.5" x14ac:dyDescent="0.25"/>
    <row r="234" ht="13.5" x14ac:dyDescent="0.25"/>
    <row r="235" ht="13.5" x14ac:dyDescent="0.25"/>
    <row r="236" ht="13.5" x14ac:dyDescent="0.25"/>
    <row r="237" ht="13.5" x14ac:dyDescent="0.25"/>
    <row r="238" ht="13.5" x14ac:dyDescent="0.25"/>
    <row r="239" ht="13.5" x14ac:dyDescent="0.25"/>
    <row r="240" ht="13.5" x14ac:dyDescent="0.25"/>
    <row r="241" ht="13.5" x14ac:dyDescent="0.25"/>
    <row r="242" ht="13.5" x14ac:dyDescent="0.25"/>
    <row r="243" ht="13.5" x14ac:dyDescent="0.25"/>
    <row r="244" ht="13.5" x14ac:dyDescent="0.25"/>
    <row r="245" ht="13.5" x14ac:dyDescent="0.25"/>
    <row r="246" ht="13.5" x14ac:dyDescent="0.25"/>
    <row r="247" ht="13.5" x14ac:dyDescent="0.25"/>
    <row r="248" ht="13.5" x14ac:dyDescent="0.25"/>
    <row r="249" ht="13.5" x14ac:dyDescent="0.25"/>
    <row r="250" ht="13.5" x14ac:dyDescent="0.25"/>
    <row r="251" ht="13.5" x14ac:dyDescent="0.25"/>
    <row r="252" ht="13.5" x14ac:dyDescent="0.25"/>
    <row r="253" ht="13.5" x14ac:dyDescent="0.25"/>
    <row r="254" ht="13.5" x14ac:dyDescent="0.25"/>
    <row r="255" ht="13.5" x14ac:dyDescent="0.25"/>
    <row r="256" ht="13.5" x14ac:dyDescent="0.25"/>
    <row r="257" ht="13.5" x14ac:dyDescent="0.25"/>
    <row r="258" ht="13.5" x14ac:dyDescent="0.25"/>
    <row r="259" ht="13.5" x14ac:dyDescent="0.25"/>
    <row r="260" ht="13.5" x14ac:dyDescent="0.25"/>
    <row r="261" ht="13.5" x14ac:dyDescent="0.25"/>
    <row r="262" ht="13.5" x14ac:dyDescent="0.25"/>
    <row r="263" ht="13.5" x14ac:dyDescent="0.25"/>
    <row r="264" ht="13.5" x14ac:dyDescent="0.25"/>
    <row r="265" ht="13.5" x14ac:dyDescent="0.25"/>
    <row r="266" ht="13.5" x14ac:dyDescent="0.25"/>
    <row r="267" ht="13.5" x14ac:dyDescent="0.25"/>
    <row r="268" ht="13.5" x14ac:dyDescent="0.25"/>
    <row r="269" ht="13.5" x14ac:dyDescent="0.25"/>
    <row r="270" ht="13.5" x14ac:dyDescent="0.25"/>
    <row r="271" ht="13.5" x14ac:dyDescent="0.25"/>
    <row r="272" ht="13.5" x14ac:dyDescent="0.25"/>
    <row r="273" ht="13.5" x14ac:dyDescent="0.25"/>
    <row r="274" ht="13.5" x14ac:dyDescent="0.25"/>
    <row r="275" ht="13.5" x14ac:dyDescent="0.25"/>
    <row r="276" ht="13.5" x14ac:dyDescent="0.25"/>
    <row r="277" ht="13.5" x14ac:dyDescent="0.25"/>
    <row r="278" ht="13.5" x14ac:dyDescent="0.25"/>
    <row r="279" ht="13.5" x14ac:dyDescent="0.25"/>
    <row r="280" ht="13.5" x14ac:dyDescent="0.25"/>
    <row r="281" ht="13.5" x14ac:dyDescent="0.25"/>
    <row r="282" ht="13.5" x14ac:dyDescent="0.25"/>
    <row r="283" ht="13.5" x14ac:dyDescent="0.25"/>
    <row r="284" ht="13.5" x14ac:dyDescent="0.25"/>
    <row r="285" ht="13.5" x14ac:dyDescent="0.25"/>
    <row r="286" ht="13.5" x14ac:dyDescent="0.25"/>
    <row r="287" ht="13.5" x14ac:dyDescent="0.25"/>
    <row r="288" ht="13.5" x14ac:dyDescent="0.25"/>
    <row r="289" ht="13.5" x14ac:dyDescent="0.25"/>
    <row r="290" ht="13.5" x14ac:dyDescent="0.25"/>
    <row r="291" ht="13.5" x14ac:dyDescent="0.25"/>
    <row r="292" ht="13.5" x14ac:dyDescent="0.25"/>
    <row r="293" ht="13.5" x14ac:dyDescent="0.25"/>
    <row r="294" ht="13.5" x14ac:dyDescent="0.25"/>
    <row r="295" ht="13.5" x14ac:dyDescent="0.25"/>
    <row r="296" ht="13.5" x14ac:dyDescent="0.25"/>
    <row r="297" ht="13.5" x14ac:dyDescent="0.25"/>
    <row r="298" ht="13.5" x14ac:dyDescent="0.25"/>
    <row r="299" ht="13.5" x14ac:dyDescent="0.25"/>
    <row r="300" ht="13.5" x14ac:dyDescent="0.25"/>
    <row r="301" ht="13.5" x14ac:dyDescent="0.25"/>
    <row r="302" ht="13.5" x14ac:dyDescent="0.25"/>
    <row r="303" ht="13.5" x14ac:dyDescent="0.25"/>
    <row r="304" ht="13.5" x14ac:dyDescent="0.25"/>
    <row r="305" ht="13.5" x14ac:dyDescent="0.25"/>
    <row r="306" ht="13.5" x14ac:dyDescent="0.25"/>
    <row r="307" ht="13.5" x14ac:dyDescent="0.25"/>
    <row r="308" ht="13.5" x14ac:dyDescent="0.25"/>
    <row r="309" ht="13.5" x14ac:dyDescent="0.25"/>
    <row r="310" ht="13.5" x14ac:dyDescent="0.25"/>
    <row r="311" ht="13.5" x14ac:dyDescent="0.25"/>
    <row r="312" ht="13.5" x14ac:dyDescent="0.25"/>
    <row r="313" ht="13.5" x14ac:dyDescent="0.25"/>
    <row r="314" ht="13.5" x14ac:dyDescent="0.25"/>
    <row r="315" ht="13.5" x14ac:dyDescent="0.25"/>
    <row r="316" ht="13.5" x14ac:dyDescent="0.25"/>
    <row r="317" ht="13.5" x14ac:dyDescent="0.25"/>
    <row r="318" ht="13.5" x14ac:dyDescent="0.25"/>
    <row r="319" ht="13.5" x14ac:dyDescent="0.25"/>
    <row r="320" ht="13.5" x14ac:dyDescent="0.25"/>
    <row r="321" ht="13.5" x14ac:dyDescent="0.25"/>
    <row r="322" ht="13.5" x14ac:dyDescent="0.25"/>
    <row r="323" ht="13.5" x14ac:dyDescent="0.25"/>
    <row r="324" ht="13.5" x14ac:dyDescent="0.25"/>
    <row r="325" ht="13.5" x14ac:dyDescent="0.25"/>
    <row r="326" ht="13.5" x14ac:dyDescent="0.25"/>
    <row r="327" ht="13.5" x14ac:dyDescent="0.25"/>
    <row r="328" ht="13.5" x14ac:dyDescent="0.25"/>
    <row r="329" ht="13.5" x14ac:dyDescent="0.25"/>
    <row r="330" ht="13.5" x14ac:dyDescent="0.25"/>
    <row r="331" ht="13.5" x14ac:dyDescent="0.25"/>
    <row r="332" ht="13.5" x14ac:dyDescent="0.25"/>
    <row r="333" ht="13.5" x14ac:dyDescent="0.25"/>
    <row r="334" ht="13.5" x14ac:dyDescent="0.25"/>
    <row r="335" ht="13.5" x14ac:dyDescent="0.25"/>
    <row r="336" ht="13.5" x14ac:dyDescent="0.25"/>
    <row r="337" ht="13.5" x14ac:dyDescent="0.25"/>
    <row r="338" ht="13.5" x14ac:dyDescent="0.25"/>
    <row r="339" ht="13.5" x14ac:dyDescent="0.25"/>
    <row r="340" ht="13.5" x14ac:dyDescent="0.25"/>
    <row r="341" ht="13.5" x14ac:dyDescent="0.25"/>
    <row r="342" ht="13.5" x14ac:dyDescent="0.25"/>
    <row r="343" ht="13.5" x14ac:dyDescent="0.25"/>
    <row r="344" ht="13.5" x14ac:dyDescent="0.25"/>
    <row r="345" ht="13.5" x14ac:dyDescent="0.25"/>
    <row r="346" ht="13.5" x14ac:dyDescent="0.25"/>
    <row r="347" ht="13.5" x14ac:dyDescent="0.25"/>
    <row r="348" ht="13.5" x14ac:dyDescent="0.25"/>
    <row r="349" ht="13.5" x14ac:dyDescent="0.25"/>
    <row r="350" ht="13.5" x14ac:dyDescent="0.25"/>
    <row r="351" ht="13.5" x14ac:dyDescent="0.25"/>
    <row r="352" ht="13.5" x14ac:dyDescent="0.25"/>
    <row r="353" ht="13.5" x14ac:dyDescent="0.25"/>
    <row r="354" ht="13.5" x14ac:dyDescent="0.25"/>
    <row r="355" ht="13.5" x14ac:dyDescent="0.25"/>
    <row r="356" ht="13.5" x14ac:dyDescent="0.25"/>
    <row r="357" ht="13.5" x14ac:dyDescent="0.25"/>
    <row r="358" ht="13.5" x14ac:dyDescent="0.25"/>
    <row r="359" ht="13.5" x14ac:dyDescent="0.25"/>
    <row r="360" ht="13.5" x14ac:dyDescent="0.25"/>
    <row r="361" ht="13.5" x14ac:dyDescent="0.25"/>
    <row r="362" ht="13.5" x14ac:dyDescent="0.25"/>
    <row r="363" ht="13.5" x14ac:dyDescent="0.25"/>
    <row r="364" ht="13.5" x14ac:dyDescent="0.25"/>
    <row r="365" ht="13.5" x14ac:dyDescent="0.25"/>
    <row r="366" ht="13.5" x14ac:dyDescent="0.25"/>
    <row r="367" ht="13.5" x14ac:dyDescent="0.25"/>
    <row r="368" ht="13.5" x14ac:dyDescent="0.25"/>
    <row r="369" ht="13.5" x14ac:dyDescent="0.25"/>
    <row r="370" ht="13.5" x14ac:dyDescent="0.25"/>
    <row r="371" ht="13.5" x14ac:dyDescent="0.25"/>
    <row r="372" ht="13.5" x14ac:dyDescent="0.25"/>
    <row r="373" ht="13.5" x14ac:dyDescent="0.25"/>
    <row r="374" ht="13.5" x14ac:dyDescent="0.25"/>
    <row r="375" ht="13.5" x14ac:dyDescent="0.25"/>
    <row r="376" ht="13.5" x14ac:dyDescent="0.25"/>
    <row r="377" ht="13.5" x14ac:dyDescent="0.25"/>
    <row r="378" ht="13.5" x14ac:dyDescent="0.25"/>
    <row r="379" ht="13.5" x14ac:dyDescent="0.25"/>
    <row r="380" ht="13.5" x14ac:dyDescent="0.25"/>
    <row r="381" ht="13.5" x14ac:dyDescent="0.25"/>
    <row r="382" ht="13.5" x14ac:dyDescent="0.25"/>
    <row r="383" ht="13.5" x14ac:dyDescent="0.25"/>
    <row r="384" ht="13.5" x14ac:dyDescent="0.25"/>
    <row r="385" ht="13.5" x14ac:dyDescent="0.25"/>
    <row r="386" ht="13.5" x14ac:dyDescent="0.25"/>
    <row r="387" ht="13.5" x14ac:dyDescent="0.25"/>
    <row r="388" ht="13.5" x14ac:dyDescent="0.25"/>
    <row r="389" ht="13.5" x14ac:dyDescent="0.25"/>
    <row r="390" ht="13.5" x14ac:dyDescent="0.25"/>
    <row r="391" ht="13.5" x14ac:dyDescent="0.25"/>
    <row r="392" ht="13.5" x14ac:dyDescent="0.25"/>
    <row r="393" ht="13.5" x14ac:dyDescent="0.25"/>
    <row r="394" ht="13.5" x14ac:dyDescent="0.25"/>
    <row r="395" ht="13.5" x14ac:dyDescent="0.25"/>
    <row r="396" ht="13.5" x14ac:dyDescent="0.25"/>
    <row r="397" ht="13.5" x14ac:dyDescent="0.25"/>
    <row r="398" ht="13.5" x14ac:dyDescent="0.25"/>
    <row r="399" ht="13.5" x14ac:dyDescent="0.25"/>
    <row r="400" ht="13.5" x14ac:dyDescent="0.25"/>
    <row r="401" ht="13.5" x14ac:dyDescent="0.25"/>
    <row r="402" ht="13.5" x14ac:dyDescent="0.25"/>
    <row r="403" ht="13.5" x14ac:dyDescent="0.25"/>
    <row r="404" ht="13.5" x14ac:dyDescent="0.25"/>
    <row r="405" ht="13.5" x14ac:dyDescent="0.25"/>
    <row r="406" ht="13.5" x14ac:dyDescent="0.25"/>
    <row r="407" ht="13.5" x14ac:dyDescent="0.25"/>
    <row r="408" ht="13.5" x14ac:dyDescent="0.25"/>
    <row r="409" ht="13.5" x14ac:dyDescent="0.25"/>
    <row r="410" ht="13.5" x14ac:dyDescent="0.25"/>
    <row r="411" ht="13.5" x14ac:dyDescent="0.25"/>
    <row r="412" ht="13.5" x14ac:dyDescent="0.25"/>
    <row r="413" ht="13.5" x14ac:dyDescent="0.25"/>
    <row r="414" ht="13.5" x14ac:dyDescent="0.25"/>
    <row r="415" ht="13.5" x14ac:dyDescent="0.25"/>
    <row r="416" ht="13.5" x14ac:dyDescent="0.25"/>
    <row r="417" ht="13.5" x14ac:dyDescent="0.25"/>
    <row r="418" ht="13.5" x14ac:dyDescent="0.25"/>
    <row r="419" ht="13.5" x14ac:dyDescent="0.25"/>
    <row r="420" ht="13.5" x14ac:dyDescent="0.25"/>
    <row r="421" ht="13.5" x14ac:dyDescent="0.25"/>
    <row r="422" ht="13.5" x14ac:dyDescent="0.25"/>
    <row r="423" ht="13.5" x14ac:dyDescent="0.25"/>
    <row r="424" ht="13.5" x14ac:dyDescent="0.25"/>
    <row r="425" ht="13.5" x14ac:dyDescent="0.25"/>
    <row r="426" ht="13.5" x14ac:dyDescent="0.25"/>
    <row r="427" ht="13.5" x14ac:dyDescent="0.25"/>
    <row r="428" ht="13.5" x14ac:dyDescent="0.25"/>
    <row r="429" ht="13.5" x14ac:dyDescent="0.25"/>
    <row r="430" ht="13.5" x14ac:dyDescent="0.25"/>
    <row r="431" ht="13.5" x14ac:dyDescent="0.25"/>
    <row r="432" ht="13.5" x14ac:dyDescent="0.25"/>
    <row r="433" ht="13.5" x14ac:dyDescent="0.25"/>
    <row r="434" ht="13.5" x14ac:dyDescent="0.25"/>
    <row r="435" ht="13.5" x14ac:dyDescent="0.25"/>
    <row r="436" ht="13.5" x14ac:dyDescent="0.25"/>
    <row r="437" ht="13.5" x14ac:dyDescent="0.25"/>
    <row r="438" ht="13.5" x14ac:dyDescent="0.25"/>
    <row r="439" ht="13.5" x14ac:dyDescent="0.25"/>
    <row r="440" ht="13.5" x14ac:dyDescent="0.25"/>
    <row r="441" ht="13.5" x14ac:dyDescent="0.25"/>
    <row r="442" ht="13.5" x14ac:dyDescent="0.25"/>
    <row r="443" ht="13.5" x14ac:dyDescent="0.25"/>
    <row r="444" ht="13.5" x14ac:dyDescent="0.25"/>
    <row r="445" ht="13.5" x14ac:dyDescent="0.25"/>
    <row r="446" ht="13.5" x14ac:dyDescent="0.25"/>
    <row r="447" ht="13.5" x14ac:dyDescent="0.25"/>
    <row r="448" ht="13.5" x14ac:dyDescent="0.25"/>
    <row r="449" ht="13.5" x14ac:dyDescent="0.25"/>
    <row r="450" ht="13.5" x14ac:dyDescent="0.25"/>
    <row r="451" ht="13.5" x14ac:dyDescent="0.25"/>
    <row r="452" ht="13.5" x14ac:dyDescent="0.25"/>
    <row r="453" ht="13.5" x14ac:dyDescent="0.25"/>
    <row r="454" ht="13.5" x14ac:dyDescent="0.25"/>
    <row r="455" ht="13.5" x14ac:dyDescent="0.25"/>
    <row r="456" ht="13.5" x14ac:dyDescent="0.25"/>
    <row r="457" ht="13.5" x14ac:dyDescent="0.25"/>
    <row r="458" ht="13.5" x14ac:dyDescent="0.25"/>
    <row r="459" ht="13.5" x14ac:dyDescent="0.25"/>
    <row r="460" ht="13.5" x14ac:dyDescent="0.25"/>
    <row r="461" ht="13.5" x14ac:dyDescent="0.25"/>
    <row r="462" ht="13.5" x14ac:dyDescent="0.25"/>
    <row r="463" ht="13.5" x14ac:dyDescent="0.25"/>
    <row r="464" ht="13.5" x14ac:dyDescent="0.25"/>
    <row r="465" ht="13.5" x14ac:dyDescent="0.25"/>
    <row r="466" ht="13.5" x14ac:dyDescent="0.25"/>
    <row r="467" ht="13.5" x14ac:dyDescent="0.25"/>
    <row r="468" ht="13.5" x14ac:dyDescent="0.25"/>
    <row r="469" ht="13.5" x14ac:dyDescent="0.25"/>
    <row r="470" ht="13.5" x14ac:dyDescent="0.25"/>
    <row r="471" ht="13.5" x14ac:dyDescent="0.25"/>
    <row r="472" ht="13.5" x14ac:dyDescent="0.25"/>
    <row r="473" ht="13.5" x14ac:dyDescent="0.25"/>
    <row r="474" ht="13.5" x14ac:dyDescent="0.25"/>
    <row r="475" ht="13.5" x14ac:dyDescent="0.25"/>
    <row r="476" ht="13.5" x14ac:dyDescent="0.25"/>
    <row r="477" ht="13.5" x14ac:dyDescent="0.25"/>
    <row r="478" ht="13.5" x14ac:dyDescent="0.25"/>
    <row r="479" ht="13.5" x14ac:dyDescent="0.25"/>
    <row r="480" ht="13.5" x14ac:dyDescent="0.25"/>
    <row r="481" ht="13.5" x14ac:dyDescent="0.25"/>
    <row r="482" ht="13.5" x14ac:dyDescent="0.25"/>
    <row r="483" ht="13.5" x14ac:dyDescent="0.25"/>
    <row r="484" ht="13.5" x14ac:dyDescent="0.25"/>
    <row r="485" ht="13.5" x14ac:dyDescent="0.25"/>
    <row r="486" ht="13.5" x14ac:dyDescent="0.25"/>
    <row r="487" ht="13.5" x14ac:dyDescent="0.25"/>
    <row r="488" ht="13.5" x14ac:dyDescent="0.25"/>
    <row r="489" ht="13.5" x14ac:dyDescent="0.25"/>
    <row r="490" ht="13.5" x14ac:dyDescent="0.25"/>
    <row r="491" ht="13.5" x14ac:dyDescent="0.25"/>
    <row r="492" ht="13.5" x14ac:dyDescent="0.25"/>
    <row r="493" ht="13.5" x14ac:dyDescent="0.25"/>
    <row r="494" ht="13.5" x14ac:dyDescent="0.25"/>
    <row r="495" ht="13.5" x14ac:dyDescent="0.25"/>
    <row r="496" ht="13.5" x14ac:dyDescent="0.25"/>
    <row r="497" ht="13.5" x14ac:dyDescent="0.25"/>
    <row r="498" ht="13.5" x14ac:dyDescent="0.25"/>
    <row r="499" ht="13.5" x14ac:dyDescent="0.25"/>
    <row r="500" ht="13.5" x14ac:dyDescent="0.25"/>
    <row r="501" ht="13.5" x14ac:dyDescent="0.25"/>
    <row r="502" ht="13.5" x14ac:dyDescent="0.25"/>
    <row r="503" ht="13.5" x14ac:dyDescent="0.25"/>
    <row r="504" ht="13.5" x14ac:dyDescent="0.25"/>
    <row r="505" ht="13.5" x14ac:dyDescent="0.25"/>
    <row r="506" ht="13.5" x14ac:dyDescent="0.25"/>
    <row r="507" ht="13.5" x14ac:dyDescent="0.25"/>
    <row r="508" ht="13.5" x14ac:dyDescent="0.25"/>
    <row r="509" ht="13.5" x14ac:dyDescent="0.25"/>
    <row r="510" ht="13.5" x14ac:dyDescent="0.25"/>
    <row r="511" ht="13.5" x14ac:dyDescent="0.25"/>
    <row r="512" ht="13.5" x14ac:dyDescent="0.25"/>
    <row r="513" ht="13.5" x14ac:dyDescent="0.25"/>
    <row r="514" ht="13.5" x14ac:dyDescent="0.25"/>
    <row r="515" ht="13.5" x14ac:dyDescent="0.25"/>
    <row r="516" ht="13.5" x14ac:dyDescent="0.25"/>
    <row r="517" ht="13.5" x14ac:dyDescent="0.25"/>
    <row r="518" ht="13.5" x14ac:dyDescent="0.25"/>
    <row r="519" ht="13.5" x14ac:dyDescent="0.25"/>
    <row r="520" ht="13.5" x14ac:dyDescent="0.25"/>
    <row r="521" ht="13.5" x14ac:dyDescent="0.25"/>
    <row r="522" ht="13.5" x14ac:dyDescent="0.25"/>
    <row r="523" ht="13.5" x14ac:dyDescent="0.25"/>
    <row r="524" ht="13.5" x14ac:dyDescent="0.25"/>
    <row r="525" ht="13.5" x14ac:dyDescent="0.25"/>
    <row r="526" ht="13.5" x14ac:dyDescent="0.25"/>
    <row r="527" ht="13.5" x14ac:dyDescent="0.25"/>
    <row r="528" ht="13.5" x14ac:dyDescent="0.25"/>
    <row r="529" ht="13.5" x14ac:dyDescent="0.25"/>
    <row r="530" ht="13.5" x14ac:dyDescent="0.25"/>
    <row r="531" ht="13.5" x14ac:dyDescent="0.25"/>
    <row r="532" ht="13.5" x14ac:dyDescent="0.25"/>
    <row r="533" ht="13.5" x14ac:dyDescent="0.25"/>
    <row r="534" ht="13.5" x14ac:dyDescent="0.25"/>
    <row r="535" ht="13.5" x14ac:dyDescent="0.25"/>
    <row r="536" ht="13.5" x14ac:dyDescent="0.25"/>
    <row r="537" ht="13.5" x14ac:dyDescent="0.25"/>
    <row r="538" ht="13.5" x14ac:dyDescent="0.25"/>
    <row r="539" ht="13.5" x14ac:dyDescent="0.25"/>
    <row r="540" ht="13.5" x14ac:dyDescent="0.25"/>
    <row r="541" ht="13.5" x14ac:dyDescent="0.25"/>
    <row r="542" ht="13.5" x14ac:dyDescent="0.25"/>
    <row r="543" ht="13.5" x14ac:dyDescent="0.25"/>
    <row r="544" ht="13.5" x14ac:dyDescent="0.25"/>
    <row r="545" ht="13.5" x14ac:dyDescent="0.25"/>
    <row r="546" ht="13.5" x14ac:dyDescent="0.25"/>
    <row r="547" ht="13.5" x14ac:dyDescent="0.25"/>
    <row r="548" ht="13.5" x14ac:dyDescent="0.25"/>
    <row r="549" ht="13.5" x14ac:dyDescent="0.25"/>
    <row r="550" ht="13.5" x14ac:dyDescent="0.25"/>
    <row r="551" ht="13.5" x14ac:dyDescent="0.25"/>
    <row r="552" ht="13.5" x14ac:dyDescent="0.25"/>
    <row r="553" ht="13.5" x14ac:dyDescent="0.25"/>
    <row r="554" ht="13.5" x14ac:dyDescent="0.25"/>
    <row r="555" ht="13.5" x14ac:dyDescent="0.25"/>
    <row r="556" ht="13.5" x14ac:dyDescent="0.25"/>
    <row r="557" ht="13.5" x14ac:dyDescent="0.25"/>
    <row r="558" ht="13.5" x14ac:dyDescent="0.25"/>
    <row r="559" ht="13.5" x14ac:dyDescent="0.25"/>
    <row r="560" ht="13.5" x14ac:dyDescent="0.25"/>
    <row r="561" ht="13.5" x14ac:dyDescent="0.25"/>
    <row r="562" ht="13.5" x14ac:dyDescent="0.25"/>
    <row r="563" ht="13.5" x14ac:dyDescent="0.25"/>
    <row r="564" ht="13.5" x14ac:dyDescent="0.25"/>
    <row r="565" ht="13.5" x14ac:dyDescent="0.25"/>
    <row r="566" ht="13.5" x14ac:dyDescent="0.25"/>
    <row r="567" ht="13.5" x14ac:dyDescent="0.25"/>
    <row r="568" ht="13.5" x14ac:dyDescent="0.25"/>
    <row r="569" ht="13.5" x14ac:dyDescent="0.25"/>
    <row r="570" ht="13.5" x14ac:dyDescent="0.25"/>
    <row r="571" ht="13.5" x14ac:dyDescent="0.25"/>
    <row r="572" ht="13.5" x14ac:dyDescent="0.25"/>
    <row r="573" ht="13.5" x14ac:dyDescent="0.25"/>
    <row r="574" ht="13.5" x14ac:dyDescent="0.25"/>
    <row r="575" ht="13.5" x14ac:dyDescent="0.25"/>
    <row r="576" ht="13.5" x14ac:dyDescent="0.25"/>
    <row r="577" ht="13.5" x14ac:dyDescent="0.25"/>
    <row r="578" ht="13.5" x14ac:dyDescent="0.25"/>
    <row r="579" ht="13.5" x14ac:dyDescent="0.25"/>
    <row r="580" ht="13.5" x14ac:dyDescent="0.25"/>
    <row r="581" ht="13.5" x14ac:dyDescent="0.25"/>
    <row r="582" ht="13.5" x14ac:dyDescent="0.25"/>
    <row r="583" ht="13.5" x14ac:dyDescent="0.25"/>
    <row r="584" ht="13.5" x14ac:dyDescent="0.25"/>
    <row r="585" ht="13.5" x14ac:dyDescent="0.25"/>
    <row r="586" ht="13.5" x14ac:dyDescent="0.25"/>
    <row r="587" ht="13.5" x14ac:dyDescent="0.25"/>
    <row r="588" ht="13.5" x14ac:dyDescent="0.25"/>
    <row r="589" ht="13.5" x14ac:dyDescent="0.25"/>
    <row r="590" ht="13.5" x14ac:dyDescent="0.25"/>
    <row r="591" ht="13.5" x14ac:dyDescent="0.25"/>
    <row r="592" ht="13.5" x14ac:dyDescent="0.25"/>
    <row r="593" ht="13.5" x14ac:dyDescent="0.25"/>
    <row r="594" ht="13.5" x14ac:dyDescent="0.25"/>
    <row r="595" ht="13.5" x14ac:dyDescent="0.25"/>
    <row r="596" ht="13.5" x14ac:dyDescent="0.25"/>
    <row r="597" ht="13.5" x14ac:dyDescent="0.25"/>
    <row r="598" ht="13.5" x14ac:dyDescent="0.25"/>
    <row r="599" ht="13.5" x14ac:dyDescent="0.25"/>
    <row r="600" ht="13.5" x14ac:dyDescent="0.25"/>
    <row r="601" ht="13.5" x14ac:dyDescent="0.25"/>
    <row r="602" ht="13.5" x14ac:dyDescent="0.25"/>
    <row r="603" ht="13.5" x14ac:dyDescent="0.25"/>
    <row r="604" ht="13.5" x14ac:dyDescent="0.25"/>
    <row r="605" ht="13.5" x14ac:dyDescent="0.25"/>
    <row r="606" ht="13.5" x14ac:dyDescent="0.25"/>
    <row r="607" ht="13.5" x14ac:dyDescent="0.25"/>
    <row r="608" ht="13.5" x14ac:dyDescent="0.25"/>
    <row r="609" ht="13.5" x14ac:dyDescent="0.25"/>
    <row r="610" ht="13.5" x14ac:dyDescent="0.25"/>
    <row r="611" ht="13.5" x14ac:dyDescent="0.25"/>
    <row r="612" ht="13.5" x14ac:dyDescent="0.25"/>
    <row r="613" ht="13.5" x14ac:dyDescent="0.25"/>
    <row r="614" ht="13.5" x14ac:dyDescent="0.25"/>
    <row r="615" ht="13.5" x14ac:dyDescent="0.25"/>
    <row r="616" ht="13.5" x14ac:dyDescent="0.25"/>
    <row r="617" ht="13.5" x14ac:dyDescent="0.25"/>
    <row r="618" ht="13.5" x14ac:dyDescent="0.25"/>
    <row r="619" ht="13.5" x14ac:dyDescent="0.25"/>
    <row r="620" ht="13.5" x14ac:dyDescent="0.25"/>
    <row r="621" ht="13.5" x14ac:dyDescent="0.25"/>
    <row r="622" ht="13.5" x14ac:dyDescent="0.25"/>
    <row r="623" ht="13.5" x14ac:dyDescent="0.25"/>
    <row r="624" ht="13.5" x14ac:dyDescent="0.25"/>
    <row r="625" ht="13.5" x14ac:dyDescent="0.25"/>
    <row r="626" ht="13.5" x14ac:dyDescent="0.25"/>
    <row r="627" ht="13.5" x14ac:dyDescent="0.25"/>
    <row r="628" ht="13.5" x14ac:dyDescent="0.25"/>
    <row r="629" ht="13.5" x14ac:dyDescent="0.25"/>
    <row r="630" ht="13.5" x14ac:dyDescent="0.25"/>
    <row r="631" ht="13.5" x14ac:dyDescent="0.25"/>
    <row r="632" ht="13.5" x14ac:dyDescent="0.25"/>
    <row r="633" ht="13.5" x14ac:dyDescent="0.25"/>
    <row r="634" ht="13.5" x14ac:dyDescent="0.25"/>
    <row r="635" ht="13.5" x14ac:dyDescent="0.25"/>
    <row r="636" ht="13.5" x14ac:dyDescent="0.25"/>
    <row r="637" ht="13.5" x14ac:dyDescent="0.25"/>
    <row r="638" ht="13.5" x14ac:dyDescent="0.25"/>
    <row r="639" ht="13.5" x14ac:dyDescent="0.25"/>
    <row r="640" ht="13.5" x14ac:dyDescent="0.25"/>
    <row r="641" ht="13.5" x14ac:dyDescent="0.25"/>
    <row r="642" ht="13.5" x14ac:dyDescent="0.25"/>
    <row r="643" ht="13.5" x14ac:dyDescent="0.25"/>
    <row r="644" ht="13.5" x14ac:dyDescent="0.25"/>
    <row r="645" ht="13.5" x14ac:dyDescent="0.25"/>
    <row r="646" ht="13.5" x14ac:dyDescent="0.25"/>
    <row r="647" ht="13.5" x14ac:dyDescent="0.25"/>
    <row r="648" ht="13.5" x14ac:dyDescent="0.25"/>
    <row r="649" ht="13.5" x14ac:dyDescent="0.25"/>
    <row r="650" ht="13.5" x14ac:dyDescent="0.25"/>
    <row r="651" ht="13.5" x14ac:dyDescent="0.25"/>
    <row r="652" ht="13.5" x14ac:dyDescent="0.25"/>
    <row r="653" ht="13.5" x14ac:dyDescent="0.25"/>
    <row r="654" ht="13.5" x14ac:dyDescent="0.25"/>
    <row r="655" ht="13.5" x14ac:dyDescent="0.25"/>
    <row r="656" ht="13.5" x14ac:dyDescent="0.25"/>
    <row r="657" ht="13.5" x14ac:dyDescent="0.25"/>
    <row r="658" ht="13.5" x14ac:dyDescent="0.25"/>
    <row r="659" ht="13.5" x14ac:dyDescent="0.25"/>
    <row r="660" ht="13.5" x14ac:dyDescent="0.25"/>
    <row r="661" ht="13.5" x14ac:dyDescent="0.25"/>
    <row r="662" ht="13.5" x14ac:dyDescent="0.25"/>
    <row r="663" ht="13.5" x14ac:dyDescent="0.25"/>
    <row r="664" ht="13.5" x14ac:dyDescent="0.25"/>
    <row r="665" ht="13.5" x14ac:dyDescent="0.25"/>
    <row r="666" ht="13.5" x14ac:dyDescent="0.25"/>
    <row r="667" ht="13.5" x14ac:dyDescent="0.25"/>
    <row r="668" ht="13.5" x14ac:dyDescent="0.25"/>
    <row r="669" ht="13.5" x14ac:dyDescent="0.25"/>
    <row r="670" ht="13.5" x14ac:dyDescent="0.25"/>
    <row r="671" ht="13.5" x14ac:dyDescent="0.25"/>
    <row r="672" ht="13.5" x14ac:dyDescent="0.25"/>
    <row r="673" ht="13.5" x14ac:dyDescent="0.25"/>
    <row r="674" ht="13.5" x14ac:dyDescent="0.25"/>
    <row r="675" ht="13.5" x14ac:dyDescent="0.25"/>
    <row r="676" ht="13.5" x14ac:dyDescent="0.25"/>
    <row r="677" ht="13.5" x14ac:dyDescent="0.25"/>
    <row r="678" ht="13.5" x14ac:dyDescent="0.25"/>
    <row r="679" ht="13.5" x14ac:dyDescent="0.25"/>
    <row r="680" ht="13.5" x14ac:dyDescent="0.25"/>
    <row r="681" ht="13.5" x14ac:dyDescent="0.25"/>
    <row r="682" ht="13.5" x14ac:dyDescent="0.25"/>
    <row r="683" ht="13.5" x14ac:dyDescent="0.25"/>
    <row r="684" ht="13.5" x14ac:dyDescent="0.25"/>
    <row r="685" ht="13.5" x14ac:dyDescent="0.25"/>
    <row r="686" ht="13.5" x14ac:dyDescent="0.25"/>
    <row r="687" ht="13.5" x14ac:dyDescent="0.25"/>
    <row r="688" ht="13.5" x14ac:dyDescent="0.25"/>
    <row r="689" ht="13.5" x14ac:dyDescent="0.25"/>
    <row r="690" ht="13.5" x14ac:dyDescent="0.25"/>
    <row r="691" ht="13.5" x14ac:dyDescent="0.25"/>
    <row r="692" ht="13.5" x14ac:dyDescent="0.25"/>
    <row r="693" ht="13.5" x14ac:dyDescent="0.25"/>
    <row r="694" ht="13.5" x14ac:dyDescent="0.25"/>
    <row r="695" ht="13.5" x14ac:dyDescent="0.25"/>
    <row r="696" ht="13.5" x14ac:dyDescent="0.25"/>
    <row r="697" ht="13.5" x14ac:dyDescent="0.25"/>
    <row r="698" ht="13.5" x14ac:dyDescent="0.25"/>
    <row r="699" ht="13.5" x14ac:dyDescent="0.25"/>
    <row r="700" ht="13.5" x14ac:dyDescent="0.25"/>
    <row r="701" ht="13.5" x14ac:dyDescent="0.25"/>
    <row r="702" ht="13.5" x14ac:dyDescent="0.25"/>
    <row r="703" ht="13.5" x14ac:dyDescent="0.25"/>
    <row r="704" ht="13.5" x14ac:dyDescent="0.25"/>
    <row r="705" ht="13.5" x14ac:dyDescent="0.25"/>
    <row r="706" ht="13.5" x14ac:dyDescent="0.25"/>
    <row r="707" ht="13.5" x14ac:dyDescent="0.25"/>
    <row r="708" ht="13.5" x14ac:dyDescent="0.25"/>
    <row r="709" ht="13.5" x14ac:dyDescent="0.25"/>
    <row r="710" ht="13.5" x14ac:dyDescent="0.25"/>
    <row r="711" ht="13.5" x14ac:dyDescent="0.25"/>
    <row r="712" ht="13.5" x14ac:dyDescent="0.25"/>
    <row r="713" ht="13.5" x14ac:dyDescent="0.25"/>
    <row r="714" ht="13.5" x14ac:dyDescent="0.25"/>
    <row r="715" ht="13.5" x14ac:dyDescent="0.25"/>
    <row r="716" ht="13.5" x14ac:dyDescent="0.25"/>
    <row r="717" ht="13.5" x14ac:dyDescent="0.25"/>
    <row r="718" ht="13.5" x14ac:dyDescent="0.25"/>
    <row r="719" ht="13.5" x14ac:dyDescent="0.25"/>
    <row r="720" ht="13.5" x14ac:dyDescent="0.25"/>
    <row r="721" ht="13.5" x14ac:dyDescent="0.25"/>
    <row r="722" ht="13.5" x14ac:dyDescent="0.25"/>
    <row r="723" ht="13.5" x14ac:dyDescent="0.25"/>
    <row r="724" ht="13.5" x14ac:dyDescent="0.25"/>
    <row r="725" ht="13.5" x14ac:dyDescent="0.25"/>
    <row r="726" ht="13.5" x14ac:dyDescent="0.25"/>
    <row r="727" ht="13.5" x14ac:dyDescent="0.25"/>
    <row r="728" ht="13.5" x14ac:dyDescent="0.25"/>
    <row r="729" ht="13.5" x14ac:dyDescent="0.25"/>
    <row r="730" ht="13.5" x14ac:dyDescent="0.25"/>
    <row r="731" ht="13.5" x14ac:dyDescent="0.25"/>
    <row r="732" ht="13.5" x14ac:dyDescent="0.25"/>
    <row r="733" ht="13.5" x14ac:dyDescent="0.25"/>
    <row r="734" ht="13.5" x14ac:dyDescent="0.25"/>
    <row r="735" ht="13.5" x14ac:dyDescent="0.25"/>
    <row r="736" ht="13.5" x14ac:dyDescent="0.25"/>
    <row r="737" ht="13.5" x14ac:dyDescent="0.25"/>
    <row r="738" ht="13.5" x14ac:dyDescent="0.25"/>
    <row r="739" ht="13.5" x14ac:dyDescent="0.25"/>
    <row r="740" ht="13.5" x14ac:dyDescent="0.25"/>
    <row r="741" ht="13.5" x14ac:dyDescent="0.25"/>
    <row r="742" ht="13.5" x14ac:dyDescent="0.25"/>
    <row r="743" ht="13.5" x14ac:dyDescent="0.25"/>
    <row r="744" ht="13.5" x14ac:dyDescent="0.25"/>
    <row r="745" ht="13.5" x14ac:dyDescent="0.25"/>
    <row r="746" ht="13.5" x14ac:dyDescent="0.25"/>
    <row r="747" ht="13.5" x14ac:dyDescent="0.25"/>
    <row r="748" ht="13.5" x14ac:dyDescent="0.25"/>
    <row r="749" ht="13.5" x14ac:dyDescent="0.25"/>
    <row r="750" ht="13.5" x14ac:dyDescent="0.25"/>
    <row r="751" ht="13.5" x14ac:dyDescent="0.25"/>
    <row r="752" ht="13.5" x14ac:dyDescent="0.25"/>
    <row r="753" ht="13.5" x14ac:dyDescent="0.25"/>
    <row r="754" ht="13.5" x14ac:dyDescent="0.25"/>
    <row r="755" ht="13.5" x14ac:dyDescent="0.25"/>
    <row r="756" ht="13.5" x14ac:dyDescent="0.25"/>
    <row r="757" ht="13.5" x14ac:dyDescent="0.25"/>
    <row r="758" ht="13.5" x14ac:dyDescent="0.25"/>
    <row r="759" ht="13.5" x14ac:dyDescent="0.25"/>
    <row r="760" ht="13.5" x14ac:dyDescent="0.25"/>
    <row r="761" ht="13.5" x14ac:dyDescent="0.25"/>
    <row r="762" ht="13.5" x14ac:dyDescent="0.25"/>
    <row r="763" ht="13.5" x14ac:dyDescent="0.25"/>
    <row r="764" ht="13.5" x14ac:dyDescent="0.25"/>
    <row r="765" ht="13.5" x14ac:dyDescent="0.25"/>
    <row r="766" ht="13.5" x14ac:dyDescent="0.25"/>
    <row r="767" ht="13.5" x14ac:dyDescent="0.25"/>
    <row r="768" ht="13.5" x14ac:dyDescent="0.25"/>
    <row r="769" ht="13.5" x14ac:dyDescent="0.25"/>
    <row r="770" ht="13.5" x14ac:dyDescent="0.25"/>
    <row r="771" ht="13.5" x14ac:dyDescent="0.25"/>
    <row r="772" ht="13.5" x14ac:dyDescent="0.25"/>
    <row r="773" ht="13.5" x14ac:dyDescent="0.25"/>
    <row r="774" ht="13.5" x14ac:dyDescent="0.25"/>
    <row r="775" ht="13.5" x14ac:dyDescent="0.25"/>
    <row r="776" ht="13.5" x14ac:dyDescent="0.25"/>
    <row r="777" ht="13.5" x14ac:dyDescent="0.25"/>
    <row r="778" ht="13.5" x14ac:dyDescent="0.25"/>
    <row r="779" ht="13.5" x14ac:dyDescent="0.25"/>
    <row r="780" ht="13.5" x14ac:dyDescent="0.25"/>
    <row r="781" ht="13.5" x14ac:dyDescent="0.25"/>
    <row r="782" ht="13.5" x14ac:dyDescent="0.25"/>
    <row r="783" ht="13.5" x14ac:dyDescent="0.25"/>
    <row r="784" ht="13.5" x14ac:dyDescent="0.25"/>
    <row r="785" ht="13.5" x14ac:dyDescent="0.25"/>
    <row r="786" ht="13.5" x14ac:dyDescent="0.25"/>
    <row r="787" ht="13.5" x14ac:dyDescent="0.25"/>
    <row r="788" ht="13.5" x14ac:dyDescent="0.25"/>
    <row r="789" ht="13.5" x14ac:dyDescent="0.25"/>
    <row r="790" ht="13.5" x14ac:dyDescent="0.25"/>
    <row r="791" ht="13.5" x14ac:dyDescent="0.25"/>
    <row r="792" ht="13.5" x14ac:dyDescent="0.25"/>
    <row r="793" ht="13.5" x14ac:dyDescent="0.25"/>
    <row r="794" ht="13.5" x14ac:dyDescent="0.25"/>
    <row r="795" ht="13.5" x14ac:dyDescent="0.25"/>
    <row r="796" ht="13.5" x14ac:dyDescent="0.25"/>
    <row r="797" ht="13.5" x14ac:dyDescent="0.25"/>
    <row r="798" ht="13.5" x14ac:dyDescent="0.25"/>
    <row r="799" ht="13.5" x14ac:dyDescent="0.25"/>
    <row r="800" ht="13.5" x14ac:dyDescent="0.25"/>
    <row r="801" ht="13.5" x14ac:dyDescent="0.25"/>
    <row r="802" ht="13.5" x14ac:dyDescent="0.25"/>
    <row r="803" ht="13.5" x14ac:dyDescent="0.25"/>
    <row r="804" ht="13.5" x14ac:dyDescent="0.25"/>
    <row r="805" ht="13.5" x14ac:dyDescent="0.25"/>
    <row r="806" ht="13.5" x14ac:dyDescent="0.25"/>
    <row r="807" ht="13.5" x14ac:dyDescent="0.25"/>
    <row r="808" ht="13.5" x14ac:dyDescent="0.25"/>
    <row r="809" ht="13.5" x14ac:dyDescent="0.25"/>
    <row r="810" ht="13.5" x14ac:dyDescent="0.25"/>
    <row r="811" ht="13.5" x14ac:dyDescent="0.25"/>
    <row r="812" ht="13.5" x14ac:dyDescent="0.25"/>
    <row r="813" ht="13.5" x14ac:dyDescent="0.25"/>
    <row r="814" ht="13.5" x14ac:dyDescent="0.25"/>
    <row r="815" ht="13.5" x14ac:dyDescent="0.25"/>
    <row r="816" ht="13.5" x14ac:dyDescent="0.25"/>
    <row r="817" ht="13.5" x14ac:dyDescent="0.25"/>
    <row r="818" ht="13.5" x14ac:dyDescent="0.25"/>
    <row r="819" ht="13.5" x14ac:dyDescent="0.25"/>
    <row r="820" ht="13.5" x14ac:dyDescent="0.25"/>
    <row r="821" ht="13.5" x14ac:dyDescent="0.25"/>
    <row r="822" ht="13.5" x14ac:dyDescent="0.25"/>
    <row r="823" ht="13.5" x14ac:dyDescent="0.25"/>
    <row r="824" ht="13.5" x14ac:dyDescent="0.25"/>
    <row r="825" ht="13.5" x14ac:dyDescent="0.25"/>
    <row r="826" ht="13.5" x14ac:dyDescent="0.25"/>
    <row r="827" ht="13.5" x14ac:dyDescent="0.25"/>
    <row r="828" ht="13.5" x14ac:dyDescent="0.25"/>
    <row r="829" ht="13.5" x14ac:dyDescent="0.25"/>
    <row r="830" ht="13.5" x14ac:dyDescent="0.25"/>
    <row r="831" ht="13.5" x14ac:dyDescent="0.25"/>
    <row r="832" ht="13.5" x14ac:dyDescent="0.25"/>
    <row r="833" ht="13.5" x14ac:dyDescent="0.25"/>
    <row r="834" ht="13.5" x14ac:dyDescent="0.25"/>
    <row r="835" ht="13.5" x14ac:dyDescent="0.25"/>
    <row r="836" ht="13.5" x14ac:dyDescent="0.25"/>
    <row r="837" ht="13.5" x14ac:dyDescent="0.25"/>
    <row r="838" ht="13.5" x14ac:dyDescent="0.25"/>
    <row r="839" ht="13.5" x14ac:dyDescent="0.25"/>
    <row r="840" ht="13.5" x14ac:dyDescent="0.25"/>
    <row r="841" ht="13.5" x14ac:dyDescent="0.25"/>
    <row r="842" ht="13.5" x14ac:dyDescent="0.25"/>
    <row r="843" ht="13.5" x14ac:dyDescent="0.25"/>
    <row r="844" ht="13.5" x14ac:dyDescent="0.25"/>
    <row r="845" ht="13.5" x14ac:dyDescent="0.25"/>
    <row r="846" ht="13.5" x14ac:dyDescent="0.25"/>
    <row r="847" ht="13.5" x14ac:dyDescent="0.25"/>
    <row r="848" ht="13.5" x14ac:dyDescent="0.25"/>
    <row r="849" ht="13.5" x14ac:dyDescent="0.25"/>
    <row r="850" ht="13.5" x14ac:dyDescent="0.25"/>
    <row r="851" ht="13.5" x14ac:dyDescent="0.25"/>
    <row r="852" ht="13.5" x14ac:dyDescent="0.25"/>
    <row r="853" ht="13.5" x14ac:dyDescent="0.25"/>
    <row r="854" ht="13.5" x14ac:dyDescent="0.25"/>
    <row r="855" ht="13.5" x14ac:dyDescent="0.25"/>
    <row r="856" ht="13.5" x14ac:dyDescent="0.25"/>
    <row r="857" ht="13.5" x14ac:dyDescent="0.25"/>
    <row r="858" ht="13.5" x14ac:dyDescent="0.25"/>
    <row r="859" ht="13.5" x14ac:dyDescent="0.25"/>
    <row r="860" ht="13.5" x14ac:dyDescent="0.25"/>
    <row r="861" ht="13.5" x14ac:dyDescent="0.25"/>
    <row r="862" ht="13.5" x14ac:dyDescent="0.25"/>
    <row r="863" ht="13.5" x14ac:dyDescent="0.25"/>
    <row r="864" ht="13.5" x14ac:dyDescent="0.25"/>
    <row r="865" ht="13.5" x14ac:dyDescent="0.25"/>
    <row r="866" ht="13.5" x14ac:dyDescent="0.25"/>
    <row r="867" ht="13.5" x14ac:dyDescent="0.25"/>
    <row r="868" ht="13.5" x14ac:dyDescent="0.25"/>
    <row r="869" ht="13.5" x14ac:dyDescent="0.25"/>
    <row r="870" ht="13.5" x14ac:dyDescent="0.25"/>
    <row r="871" ht="13.5" x14ac:dyDescent="0.25"/>
    <row r="872" ht="13.5" x14ac:dyDescent="0.25"/>
    <row r="873" ht="13.5" x14ac:dyDescent="0.25"/>
    <row r="874" ht="13.5" x14ac:dyDescent="0.25"/>
    <row r="875" ht="13.5" x14ac:dyDescent="0.25"/>
    <row r="876" ht="13.5" x14ac:dyDescent="0.25"/>
    <row r="877" ht="13.5" x14ac:dyDescent="0.25"/>
    <row r="878" ht="13.5" x14ac:dyDescent="0.25"/>
    <row r="879" ht="13.5" x14ac:dyDescent="0.25"/>
    <row r="880" ht="13.5" x14ac:dyDescent="0.25"/>
    <row r="881" ht="13.5" x14ac:dyDescent="0.25"/>
    <row r="882" ht="13.5" x14ac:dyDescent="0.25"/>
    <row r="883" ht="13.5" x14ac:dyDescent="0.25"/>
    <row r="884" ht="13.5" x14ac:dyDescent="0.25"/>
    <row r="885" ht="13.5" x14ac:dyDescent="0.25"/>
    <row r="886" ht="13.5" x14ac:dyDescent="0.25"/>
    <row r="887" ht="13.5" x14ac:dyDescent="0.25"/>
    <row r="888" ht="13.5" x14ac:dyDescent="0.25"/>
    <row r="889" ht="13.5" x14ac:dyDescent="0.25"/>
    <row r="890" ht="13.5" x14ac:dyDescent="0.25"/>
    <row r="891" ht="13.5" x14ac:dyDescent="0.25"/>
    <row r="892" ht="13.5" x14ac:dyDescent="0.25"/>
    <row r="893" ht="13.5" x14ac:dyDescent="0.25"/>
    <row r="894" ht="13.5" x14ac:dyDescent="0.25"/>
    <row r="895" ht="13.5" x14ac:dyDescent="0.25"/>
    <row r="896" ht="13.5" x14ac:dyDescent="0.25"/>
    <row r="897" ht="13.5" x14ac:dyDescent="0.25"/>
    <row r="898" ht="13.5" x14ac:dyDescent="0.25"/>
    <row r="899" ht="13.5" x14ac:dyDescent="0.25"/>
    <row r="900" ht="13.5" x14ac:dyDescent="0.25"/>
    <row r="901" ht="13.5" x14ac:dyDescent="0.25"/>
    <row r="902" ht="13.5" x14ac:dyDescent="0.25"/>
    <row r="903" ht="13.5" x14ac:dyDescent="0.25"/>
    <row r="904" ht="13.5" x14ac:dyDescent="0.25"/>
    <row r="905" ht="13.5" x14ac:dyDescent="0.25"/>
    <row r="906" ht="13.5" x14ac:dyDescent="0.25"/>
    <row r="907" ht="13.5" x14ac:dyDescent="0.25"/>
    <row r="908" ht="13.5" x14ac:dyDescent="0.25"/>
    <row r="909" ht="13.5" x14ac:dyDescent="0.25"/>
    <row r="910" ht="13.5" x14ac:dyDescent="0.25"/>
    <row r="911" ht="13.5" x14ac:dyDescent="0.25"/>
    <row r="912" ht="13.5" x14ac:dyDescent="0.25"/>
    <row r="913" ht="13.5" x14ac:dyDescent="0.25"/>
    <row r="914" ht="13.5" x14ac:dyDescent="0.25"/>
    <row r="915" ht="13.5" x14ac:dyDescent="0.25"/>
    <row r="916" ht="13.5" x14ac:dyDescent="0.25"/>
    <row r="917" ht="13.5" x14ac:dyDescent="0.25"/>
    <row r="918" ht="13.5" x14ac:dyDescent="0.25"/>
    <row r="919" ht="13.5" x14ac:dyDescent="0.25"/>
    <row r="920" ht="13.5" x14ac:dyDescent="0.25"/>
    <row r="921" ht="13.5" x14ac:dyDescent="0.25"/>
    <row r="922" ht="13.5" x14ac:dyDescent="0.25"/>
    <row r="923" ht="13.5" x14ac:dyDescent="0.25"/>
    <row r="924" ht="13.5" x14ac:dyDescent="0.25"/>
    <row r="925" ht="13.5" x14ac:dyDescent="0.25"/>
    <row r="926" ht="13.5" x14ac:dyDescent="0.25"/>
    <row r="927" ht="13.5" x14ac:dyDescent="0.25"/>
    <row r="928" ht="13.5" x14ac:dyDescent="0.25"/>
    <row r="929" ht="13.5" x14ac:dyDescent="0.25"/>
    <row r="930" ht="13.5" x14ac:dyDescent="0.25"/>
    <row r="931" ht="13.5" x14ac:dyDescent="0.25"/>
    <row r="932" ht="13.5" x14ac:dyDescent="0.25"/>
    <row r="933" ht="13.5" x14ac:dyDescent="0.25"/>
    <row r="934" ht="13.5" x14ac:dyDescent="0.25"/>
    <row r="935" ht="13.5" x14ac:dyDescent="0.25"/>
    <row r="936" ht="13.5" x14ac:dyDescent="0.25"/>
    <row r="937" ht="13.5" x14ac:dyDescent="0.25"/>
    <row r="938" ht="13.5" x14ac:dyDescent="0.25"/>
    <row r="939" ht="13.5" x14ac:dyDescent="0.25"/>
    <row r="940" ht="13.5" x14ac:dyDescent="0.25"/>
    <row r="941" ht="13.5" x14ac:dyDescent="0.25"/>
    <row r="942" ht="13.5" x14ac:dyDescent="0.25"/>
    <row r="943" ht="13.5" x14ac:dyDescent="0.25"/>
    <row r="944" ht="13.5" x14ac:dyDescent="0.25"/>
    <row r="945" ht="13.5" x14ac:dyDescent="0.25"/>
    <row r="946" ht="13.5" x14ac:dyDescent="0.25"/>
    <row r="947" ht="13.5" x14ac:dyDescent="0.25"/>
    <row r="948" ht="13.5" x14ac:dyDescent="0.25"/>
    <row r="949" ht="13.5" x14ac:dyDescent="0.25"/>
    <row r="950" ht="13.5" x14ac:dyDescent="0.25"/>
    <row r="951" ht="13.5" x14ac:dyDescent="0.25"/>
    <row r="952" ht="13.5" x14ac:dyDescent="0.25"/>
    <row r="953" ht="13.5" x14ac:dyDescent="0.25"/>
    <row r="954" ht="13.5" x14ac:dyDescent="0.25"/>
    <row r="955" ht="13.5" x14ac:dyDescent="0.25"/>
    <row r="956" ht="13.5" x14ac:dyDescent="0.25"/>
    <row r="957" ht="13.5" x14ac:dyDescent="0.25"/>
    <row r="958" ht="13.5" x14ac:dyDescent="0.25"/>
    <row r="959" ht="13.5" x14ac:dyDescent="0.25"/>
    <row r="960" ht="13.5" x14ac:dyDescent="0.25"/>
    <row r="961" ht="13.5" x14ac:dyDescent="0.25"/>
    <row r="962" ht="13.5" x14ac:dyDescent="0.25"/>
    <row r="963" ht="13.5" x14ac:dyDescent="0.25"/>
    <row r="964" ht="13.5" x14ac:dyDescent="0.25"/>
    <row r="965" ht="13.5" x14ac:dyDescent="0.25"/>
    <row r="966" ht="13.5" x14ac:dyDescent="0.25"/>
    <row r="967" ht="13.5" x14ac:dyDescent="0.25"/>
    <row r="968" ht="13.5" x14ac:dyDescent="0.25"/>
    <row r="969" ht="13.5" x14ac:dyDescent="0.25"/>
    <row r="970" ht="13.5" x14ac:dyDescent="0.25"/>
    <row r="971" ht="13.5" x14ac:dyDescent="0.25"/>
    <row r="972" ht="13.5" x14ac:dyDescent="0.25"/>
    <row r="973" ht="13.5" x14ac:dyDescent="0.25"/>
    <row r="974" ht="13.5" x14ac:dyDescent="0.25"/>
    <row r="975" ht="13.5" x14ac:dyDescent="0.25"/>
    <row r="976" ht="13.5" x14ac:dyDescent="0.25"/>
    <row r="977" ht="13.5" x14ac:dyDescent="0.25"/>
    <row r="978" ht="13.5" x14ac:dyDescent="0.25"/>
    <row r="979" ht="13.5" x14ac:dyDescent="0.25"/>
    <row r="980" ht="13.5" x14ac:dyDescent="0.25"/>
    <row r="981" ht="13.5" x14ac:dyDescent="0.25"/>
    <row r="982" ht="13.5" x14ac:dyDescent="0.25"/>
    <row r="983" ht="13.5" x14ac:dyDescent="0.25"/>
    <row r="984" ht="13.5" x14ac:dyDescent="0.25"/>
    <row r="985" ht="13.5" x14ac:dyDescent="0.25"/>
    <row r="986" ht="13.5" x14ac:dyDescent="0.25"/>
    <row r="987" ht="13.5" x14ac:dyDescent="0.25"/>
    <row r="988" ht="13.5" x14ac:dyDescent="0.25"/>
    <row r="989" ht="13.5" x14ac:dyDescent="0.25"/>
    <row r="990" ht="13.5" x14ac:dyDescent="0.25"/>
    <row r="991" ht="13.5" x14ac:dyDescent="0.25"/>
    <row r="992" ht="13.5" x14ac:dyDescent="0.25"/>
    <row r="993" ht="13.5" x14ac:dyDescent="0.25"/>
    <row r="994" ht="13.5" x14ac:dyDescent="0.25"/>
    <row r="995" ht="13.5" x14ac:dyDescent="0.25"/>
    <row r="996" ht="13.5" x14ac:dyDescent="0.25"/>
    <row r="997" ht="13.5" x14ac:dyDescent="0.25"/>
    <row r="998" ht="13.5" x14ac:dyDescent="0.25"/>
    <row r="999" ht="13.5" x14ac:dyDescent="0.25"/>
    <row r="1000" ht="13.5" x14ac:dyDescent="0.25"/>
    <row r="1001" ht="13.5" x14ac:dyDescent="0.25"/>
    <row r="1002" ht="13.5" x14ac:dyDescent="0.25"/>
    <row r="1003" ht="13.5" x14ac:dyDescent="0.25"/>
    <row r="1004" ht="13.5" x14ac:dyDescent="0.25"/>
    <row r="1005" ht="13.5" x14ac:dyDescent="0.25"/>
    <row r="1006" ht="13.5" x14ac:dyDescent="0.25"/>
    <row r="1007" ht="13.5" x14ac:dyDescent="0.25"/>
    <row r="1008" ht="13.5" x14ac:dyDescent="0.25"/>
    <row r="1009" ht="13.5" x14ac:dyDescent="0.25"/>
    <row r="1010" ht="13.5" x14ac:dyDescent="0.25"/>
    <row r="1011" ht="13.5" x14ac:dyDescent="0.25"/>
    <row r="1012" ht="13.5" x14ac:dyDescent="0.25"/>
    <row r="1013" ht="13.5" x14ac:dyDescent="0.25"/>
    <row r="1014" ht="13.5" x14ac:dyDescent="0.25"/>
    <row r="1015" ht="13.5" x14ac:dyDescent="0.25"/>
    <row r="1016" ht="13.5" x14ac:dyDescent="0.25"/>
    <row r="1017" ht="13.5" x14ac:dyDescent="0.25"/>
    <row r="1018" ht="13.5" x14ac:dyDescent="0.25"/>
    <row r="1019" ht="13.5" x14ac:dyDescent="0.25"/>
    <row r="1020" ht="13.5" x14ac:dyDescent="0.25"/>
    <row r="1021" ht="13.5" x14ac:dyDescent="0.25"/>
    <row r="1022" ht="13.5" x14ac:dyDescent="0.25"/>
    <row r="1023" ht="13.5" x14ac:dyDescent="0.25"/>
    <row r="1024" ht="13.5" x14ac:dyDescent="0.25"/>
    <row r="1025" ht="13.5" x14ac:dyDescent="0.25"/>
    <row r="1026" ht="13.5" x14ac:dyDescent="0.25"/>
    <row r="1027" ht="13.5" x14ac:dyDescent="0.25"/>
    <row r="1028" ht="13.5" x14ac:dyDescent="0.25"/>
    <row r="1029" ht="13.5" x14ac:dyDescent="0.25"/>
    <row r="1030" ht="13.5" x14ac:dyDescent="0.25"/>
    <row r="1031" ht="13.5" x14ac:dyDescent="0.25"/>
    <row r="1032" ht="13.5" x14ac:dyDescent="0.25"/>
    <row r="1033" ht="13.5" x14ac:dyDescent="0.25"/>
    <row r="1034" ht="13.5" x14ac:dyDescent="0.25"/>
    <row r="1035" ht="13.5" x14ac:dyDescent="0.25"/>
    <row r="1036" ht="13.5" x14ac:dyDescent="0.25"/>
    <row r="1037" ht="13.5" x14ac:dyDescent="0.25"/>
    <row r="1038" ht="13.5" x14ac:dyDescent="0.25"/>
    <row r="1039" ht="13.5" x14ac:dyDescent="0.25"/>
    <row r="1040" ht="13.5" x14ac:dyDescent="0.25"/>
    <row r="1041" ht="13.5" x14ac:dyDescent="0.25"/>
    <row r="1042" ht="13.5" x14ac:dyDescent="0.25"/>
    <row r="1043" ht="13.5" x14ac:dyDescent="0.25"/>
    <row r="1044" ht="13.5" x14ac:dyDescent="0.25"/>
    <row r="1045" ht="13.5" x14ac:dyDescent="0.25"/>
    <row r="1046" ht="13.5" x14ac:dyDescent="0.25"/>
    <row r="1047" ht="13.5" x14ac:dyDescent="0.25"/>
    <row r="1048" ht="13.5" x14ac:dyDescent="0.25"/>
    <row r="1049" ht="13.5" x14ac:dyDescent="0.25"/>
    <row r="1050" ht="13.5" x14ac:dyDescent="0.25"/>
    <row r="1051" ht="13.5" x14ac:dyDescent="0.25"/>
    <row r="1052" ht="13.5" x14ac:dyDescent="0.25"/>
    <row r="1053" ht="13.5" x14ac:dyDescent="0.25"/>
    <row r="1054" ht="13.5" x14ac:dyDescent="0.25"/>
    <row r="1055" ht="13.5" x14ac:dyDescent="0.25"/>
    <row r="1056" ht="13.5" x14ac:dyDescent="0.25"/>
    <row r="1057" ht="13.5" x14ac:dyDescent="0.25"/>
    <row r="1058" ht="13.5" x14ac:dyDescent="0.25"/>
    <row r="1059" ht="13.5" x14ac:dyDescent="0.25"/>
    <row r="1060" ht="13.5" x14ac:dyDescent="0.25"/>
    <row r="1061" ht="13.5" x14ac:dyDescent="0.25"/>
    <row r="1062" ht="13.5" x14ac:dyDescent="0.25"/>
    <row r="1063" ht="13.5" x14ac:dyDescent="0.25"/>
    <row r="1064" ht="13.5" x14ac:dyDescent="0.25"/>
    <row r="1065" ht="13.5" x14ac:dyDescent="0.25"/>
    <row r="1066" ht="13.5" x14ac:dyDescent="0.25"/>
    <row r="1067" ht="13.5" x14ac:dyDescent="0.25"/>
    <row r="1068" ht="13.5" x14ac:dyDescent="0.25"/>
    <row r="1069" ht="13.5" x14ac:dyDescent="0.25"/>
    <row r="1070" ht="13.5" x14ac:dyDescent="0.25"/>
    <row r="1071" ht="13.5" x14ac:dyDescent="0.25"/>
    <row r="1072" ht="13.5" x14ac:dyDescent="0.25"/>
    <row r="1073" ht="13.5" x14ac:dyDescent="0.25"/>
    <row r="1074" ht="13.5" x14ac:dyDescent="0.25"/>
    <row r="1075" ht="13.5" x14ac:dyDescent="0.25"/>
    <row r="1076" ht="13.5" x14ac:dyDescent="0.25"/>
    <row r="1077" ht="13.5" x14ac:dyDescent="0.25"/>
    <row r="1078" ht="13.5" x14ac:dyDescent="0.25"/>
    <row r="1079" ht="13.5" x14ac:dyDescent="0.25"/>
    <row r="1080" ht="13.5" x14ac:dyDescent="0.25"/>
    <row r="1081" ht="13.5" x14ac:dyDescent="0.25"/>
    <row r="1082" ht="13.5" x14ac:dyDescent="0.25"/>
    <row r="1083" ht="13.5" x14ac:dyDescent="0.25"/>
    <row r="1084" ht="13.5" x14ac:dyDescent="0.25"/>
    <row r="1085" ht="13.5" x14ac:dyDescent="0.25"/>
    <row r="1086" ht="13.5" x14ac:dyDescent="0.25"/>
    <row r="1087" ht="13.5" x14ac:dyDescent="0.25"/>
    <row r="1088" ht="13.5" x14ac:dyDescent="0.25"/>
    <row r="1089" ht="13.5" x14ac:dyDescent="0.25"/>
    <row r="1090" ht="13.5" x14ac:dyDescent="0.25"/>
    <row r="1091" ht="13.5" x14ac:dyDescent="0.25"/>
    <row r="1092" ht="13.5" x14ac:dyDescent="0.25"/>
    <row r="1093" ht="13.5" x14ac:dyDescent="0.25"/>
    <row r="1094" ht="13.5" x14ac:dyDescent="0.25"/>
    <row r="1095" ht="13.5" x14ac:dyDescent="0.25"/>
    <row r="1096" ht="13.5" x14ac:dyDescent="0.25"/>
    <row r="1097" ht="13.5" x14ac:dyDescent="0.25"/>
    <row r="1098" ht="13.5" x14ac:dyDescent="0.25"/>
    <row r="1099" ht="13.5" x14ac:dyDescent="0.25"/>
    <row r="1100" ht="13.5" x14ac:dyDescent="0.25"/>
    <row r="1101" ht="13.5" x14ac:dyDescent="0.25"/>
    <row r="1102" ht="13.5" x14ac:dyDescent="0.25"/>
    <row r="1103" ht="13.5" x14ac:dyDescent="0.25"/>
    <row r="1104" ht="13.5" x14ac:dyDescent="0.25"/>
    <row r="1105" ht="13.5" x14ac:dyDescent="0.25"/>
    <row r="1106" ht="13.5" x14ac:dyDescent="0.25"/>
    <row r="1107" ht="13.5" x14ac:dyDescent="0.25"/>
    <row r="1108" ht="13.5" x14ac:dyDescent="0.25"/>
    <row r="1109" ht="13.5" x14ac:dyDescent="0.25"/>
    <row r="1110" ht="13.5" x14ac:dyDescent="0.25"/>
    <row r="1111" ht="13.5" x14ac:dyDescent="0.25"/>
    <row r="1112" ht="13.5" x14ac:dyDescent="0.25"/>
    <row r="1113" ht="13.5" x14ac:dyDescent="0.25"/>
    <row r="1114" ht="13.5" x14ac:dyDescent="0.25"/>
    <row r="1115" ht="13.5" x14ac:dyDescent="0.25"/>
    <row r="1116" ht="13.5" x14ac:dyDescent="0.25"/>
    <row r="1117" ht="13.5" x14ac:dyDescent="0.25"/>
    <row r="1118" ht="13.5" x14ac:dyDescent="0.25"/>
    <row r="1119" ht="13.5" x14ac:dyDescent="0.25"/>
    <row r="1120" ht="13.5" x14ac:dyDescent="0.25"/>
    <row r="1121" ht="13.5" x14ac:dyDescent="0.25"/>
    <row r="1122" ht="13.5" x14ac:dyDescent="0.25"/>
    <row r="1123" ht="13.5" x14ac:dyDescent="0.25"/>
    <row r="1124" ht="13.5" x14ac:dyDescent="0.25"/>
    <row r="1125" ht="13.5" x14ac:dyDescent="0.25"/>
    <row r="1126" ht="13.5" x14ac:dyDescent="0.25"/>
    <row r="1127" ht="13.5" x14ac:dyDescent="0.25"/>
    <row r="1128" ht="13.5" x14ac:dyDescent="0.25"/>
    <row r="1129" ht="13.5" x14ac:dyDescent="0.25"/>
    <row r="1130" ht="13.5" x14ac:dyDescent="0.25"/>
    <row r="1131" ht="13.5" x14ac:dyDescent="0.25"/>
    <row r="1132" ht="13.5" x14ac:dyDescent="0.25"/>
    <row r="1133" ht="13.5" x14ac:dyDescent="0.25"/>
    <row r="1134" ht="13.5" x14ac:dyDescent="0.25"/>
    <row r="1135" ht="13.5" x14ac:dyDescent="0.25"/>
    <row r="1136" ht="13.5" x14ac:dyDescent="0.25"/>
    <row r="1137" ht="13.5" x14ac:dyDescent="0.25"/>
    <row r="1138" ht="13.5" x14ac:dyDescent="0.25"/>
    <row r="1139" ht="13.5" x14ac:dyDescent="0.25"/>
    <row r="1140" ht="13.5" x14ac:dyDescent="0.25"/>
    <row r="1141" ht="13.5" x14ac:dyDescent="0.25"/>
    <row r="1142" ht="13.5" x14ac:dyDescent="0.25"/>
    <row r="1143" ht="13.5" x14ac:dyDescent="0.25"/>
    <row r="1144" ht="13.5" x14ac:dyDescent="0.25"/>
    <row r="1145" ht="13.5" x14ac:dyDescent="0.25"/>
    <row r="1146" ht="13.5" x14ac:dyDescent="0.25"/>
    <row r="1147" ht="13.5" x14ac:dyDescent="0.25"/>
    <row r="1148" ht="13.5" x14ac:dyDescent="0.25"/>
    <row r="1149" ht="13.5" x14ac:dyDescent="0.25"/>
    <row r="1150" ht="13.5" x14ac:dyDescent="0.25"/>
    <row r="1151" ht="13.5" x14ac:dyDescent="0.25"/>
    <row r="1152" ht="13.5" x14ac:dyDescent="0.25"/>
    <row r="1153" ht="13.5" x14ac:dyDescent="0.25"/>
    <row r="1154" ht="13.5" x14ac:dyDescent="0.25"/>
    <row r="1155" ht="13.5" x14ac:dyDescent="0.25"/>
    <row r="1156" ht="13.5" x14ac:dyDescent="0.25"/>
    <row r="1157" ht="13.5" x14ac:dyDescent="0.25"/>
    <row r="1158" ht="13.5" x14ac:dyDescent="0.25"/>
    <row r="1159" ht="13.5" x14ac:dyDescent="0.25"/>
    <row r="1160" ht="13.5" x14ac:dyDescent="0.25"/>
    <row r="1161" ht="13.5" x14ac:dyDescent="0.25"/>
    <row r="1162" ht="13.5" x14ac:dyDescent="0.25"/>
    <row r="1163" ht="13.5" x14ac:dyDescent="0.25"/>
    <row r="1164" ht="13.5" x14ac:dyDescent="0.25"/>
    <row r="1165" ht="13.5" x14ac:dyDescent="0.25"/>
    <row r="1166" ht="13.5" x14ac:dyDescent="0.25"/>
    <row r="1167" ht="13.5" x14ac:dyDescent="0.25"/>
    <row r="1168" ht="13.5" x14ac:dyDescent="0.25"/>
    <row r="1169" ht="13.5" x14ac:dyDescent="0.25"/>
    <row r="1170" ht="13.5" x14ac:dyDescent="0.25"/>
    <row r="1171" ht="13.5" x14ac:dyDescent="0.25"/>
    <row r="1172" ht="13.5" x14ac:dyDescent="0.25"/>
    <row r="1173" ht="13.5" x14ac:dyDescent="0.25"/>
    <row r="1174" ht="13.5" x14ac:dyDescent="0.25"/>
    <row r="1175" ht="13.5" x14ac:dyDescent="0.25"/>
    <row r="1176" ht="13.5" x14ac:dyDescent="0.25"/>
    <row r="1177" ht="13.5" x14ac:dyDescent="0.25"/>
    <row r="1178" ht="13.5" x14ac:dyDescent="0.25"/>
    <row r="1179" ht="13.5" x14ac:dyDescent="0.25"/>
    <row r="1180" ht="13.5" x14ac:dyDescent="0.25"/>
    <row r="1181" ht="13.5" x14ac:dyDescent="0.25"/>
    <row r="1182" ht="13.5" x14ac:dyDescent="0.25"/>
    <row r="1183" ht="13.5" x14ac:dyDescent="0.25"/>
    <row r="1184" ht="13.5" x14ac:dyDescent="0.25"/>
    <row r="1185" ht="13.5" x14ac:dyDescent="0.25"/>
    <row r="1186" ht="13.5" x14ac:dyDescent="0.25"/>
    <row r="1187" ht="13.5" x14ac:dyDescent="0.25"/>
    <row r="1188" ht="13.5" x14ac:dyDescent="0.25"/>
    <row r="1189" ht="13.5" x14ac:dyDescent="0.25"/>
    <row r="1190" ht="13.5" x14ac:dyDescent="0.25"/>
    <row r="1191" ht="13.5" x14ac:dyDescent="0.25"/>
    <row r="1192" ht="13.5" x14ac:dyDescent="0.25"/>
    <row r="1193" ht="13.5" x14ac:dyDescent="0.25"/>
    <row r="1194" ht="13.5" x14ac:dyDescent="0.25"/>
    <row r="1195" ht="13.5" x14ac:dyDescent="0.25"/>
    <row r="1196" ht="13.5" x14ac:dyDescent="0.25"/>
    <row r="1197" ht="13.5" x14ac:dyDescent="0.25"/>
    <row r="1198" ht="13.5" x14ac:dyDescent="0.25"/>
    <row r="1199" ht="13.5" x14ac:dyDescent="0.25"/>
    <row r="1200" ht="13.5" x14ac:dyDescent="0.25"/>
    <row r="1201" ht="13.5" x14ac:dyDescent="0.25"/>
    <row r="1202" ht="13.5" x14ac:dyDescent="0.25"/>
    <row r="1203" ht="13.5" x14ac:dyDescent="0.25"/>
    <row r="1204" ht="13.5" x14ac:dyDescent="0.25"/>
    <row r="1205" ht="13.5" x14ac:dyDescent="0.25"/>
    <row r="1206" ht="13.5" x14ac:dyDescent="0.25"/>
    <row r="1207" ht="13.5" x14ac:dyDescent="0.25"/>
    <row r="1208" ht="13.5" x14ac:dyDescent="0.25"/>
    <row r="1209" ht="13.5" x14ac:dyDescent="0.25"/>
    <row r="1210" ht="13.5" x14ac:dyDescent="0.25"/>
    <row r="1211" ht="13.5" x14ac:dyDescent="0.25"/>
    <row r="1212" ht="13.5" x14ac:dyDescent="0.25"/>
    <row r="1213" ht="13.5" x14ac:dyDescent="0.25"/>
    <row r="1214" ht="13.5" x14ac:dyDescent="0.25"/>
    <row r="1215" ht="13.5" x14ac:dyDescent="0.25"/>
    <row r="1216" ht="13.5" x14ac:dyDescent="0.25"/>
    <row r="1217" ht="13.5" x14ac:dyDescent="0.25"/>
    <row r="1218" ht="13.5" x14ac:dyDescent="0.25"/>
    <row r="1219" ht="13.5" x14ac:dyDescent="0.25"/>
    <row r="1220" ht="13.5" x14ac:dyDescent="0.25"/>
    <row r="1221" ht="13.5" x14ac:dyDescent="0.25"/>
    <row r="1222" ht="13.5" x14ac:dyDescent="0.25"/>
    <row r="1223" ht="13.5" x14ac:dyDescent="0.25"/>
    <row r="1224" ht="13.5" x14ac:dyDescent="0.25"/>
    <row r="1225" ht="13.5" x14ac:dyDescent="0.25"/>
    <row r="1226" ht="13.5" x14ac:dyDescent="0.25"/>
    <row r="1227" ht="13.5" x14ac:dyDescent="0.25"/>
    <row r="1228" ht="13.5" x14ac:dyDescent="0.25"/>
    <row r="1229" ht="13.5" x14ac:dyDescent="0.25"/>
    <row r="1230" ht="13.5" x14ac:dyDescent="0.25"/>
    <row r="1231" ht="13.5" x14ac:dyDescent="0.25"/>
    <row r="1232" ht="13.5" x14ac:dyDescent="0.25"/>
    <row r="1233" ht="13.5" x14ac:dyDescent="0.25"/>
    <row r="1234" ht="13.5" x14ac:dyDescent="0.25"/>
    <row r="1235" ht="13.5" x14ac:dyDescent="0.25"/>
    <row r="1236" ht="13.5" x14ac:dyDescent="0.25"/>
    <row r="1237" ht="13.5" x14ac:dyDescent="0.25"/>
    <row r="1238" ht="13.5" x14ac:dyDescent="0.25"/>
    <row r="1239" ht="13.5" x14ac:dyDescent="0.25"/>
    <row r="1240" ht="13.5" x14ac:dyDescent="0.25"/>
    <row r="1241" ht="13.5" x14ac:dyDescent="0.25"/>
    <row r="1242" ht="13.5" x14ac:dyDescent="0.25"/>
    <row r="1243" ht="13.5" x14ac:dyDescent="0.25"/>
    <row r="1244" ht="13.5" x14ac:dyDescent="0.25"/>
    <row r="1245" ht="13.5" x14ac:dyDescent="0.25"/>
    <row r="1246" ht="13.5" x14ac:dyDescent="0.25"/>
    <row r="1247" ht="13.5" x14ac:dyDescent="0.25"/>
    <row r="1248" ht="13.5" x14ac:dyDescent="0.25"/>
    <row r="1249" ht="13.5" x14ac:dyDescent="0.25"/>
    <row r="1250" ht="13.5" x14ac:dyDescent="0.25"/>
    <row r="1251" ht="13.5" x14ac:dyDescent="0.25"/>
    <row r="1252" ht="13.5" x14ac:dyDescent="0.25"/>
    <row r="1253" ht="13.5" x14ac:dyDescent="0.25"/>
    <row r="1254" ht="13.5" x14ac:dyDescent="0.25"/>
    <row r="1255" ht="13.5" x14ac:dyDescent="0.25"/>
    <row r="1256" ht="13.5" x14ac:dyDescent="0.25"/>
    <row r="1257" ht="13.5" x14ac:dyDescent="0.25"/>
    <row r="1258" ht="13.5" x14ac:dyDescent="0.25"/>
    <row r="1259" ht="13.5" x14ac:dyDescent="0.25"/>
    <row r="1260" ht="13.5" x14ac:dyDescent="0.25"/>
    <row r="1261" ht="13.5" x14ac:dyDescent="0.25"/>
    <row r="1262" ht="13.5" x14ac:dyDescent="0.25"/>
    <row r="1263" ht="13.5" x14ac:dyDescent="0.25"/>
    <row r="1264" ht="13.5" x14ac:dyDescent="0.25"/>
    <row r="1265" ht="13.5" x14ac:dyDescent="0.25"/>
    <row r="1266" ht="13.5" x14ac:dyDescent="0.25"/>
    <row r="1267" ht="13.5" x14ac:dyDescent="0.25"/>
    <row r="1268" ht="13.5" x14ac:dyDescent="0.25"/>
    <row r="1269" ht="13.5" x14ac:dyDescent="0.25"/>
    <row r="1270" ht="13.5" x14ac:dyDescent="0.25"/>
    <row r="1271" ht="13.5" x14ac:dyDescent="0.25"/>
    <row r="1272" ht="13.5" x14ac:dyDescent="0.25"/>
    <row r="1273" ht="13.5" x14ac:dyDescent="0.25"/>
    <row r="1274" ht="13.5" x14ac:dyDescent="0.25"/>
    <row r="1275" ht="13.5" x14ac:dyDescent="0.25"/>
    <row r="1276" ht="13.5" x14ac:dyDescent="0.25"/>
    <row r="1277" ht="13.5" x14ac:dyDescent="0.25"/>
    <row r="1278" ht="13.5" x14ac:dyDescent="0.25"/>
    <row r="1279" ht="13.5" x14ac:dyDescent="0.25"/>
    <row r="1280" ht="13.5" x14ac:dyDescent="0.25"/>
    <row r="1281" ht="13.5" x14ac:dyDescent="0.25"/>
    <row r="1282" ht="13.5" x14ac:dyDescent="0.25"/>
    <row r="1283" ht="13.5" x14ac:dyDescent="0.25"/>
    <row r="1284" ht="13.5" x14ac:dyDescent="0.25"/>
    <row r="1285" ht="13.5" x14ac:dyDescent="0.25"/>
    <row r="1286" ht="13.5" x14ac:dyDescent="0.25"/>
    <row r="1287" ht="13.5" x14ac:dyDescent="0.25"/>
    <row r="1288" ht="13.5" x14ac:dyDescent="0.25"/>
    <row r="1289" ht="13.5" x14ac:dyDescent="0.25"/>
    <row r="1290" ht="13.5" x14ac:dyDescent="0.25"/>
    <row r="1291" ht="13.5" x14ac:dyDescent="0.25"/>
    <row r="1292" ht="13.5" x14ac:dyDescent="0.25"/>
    <row r="1293" ht="13.5" x14ac:dyDescent="0.25"/>
    <row r="1294" ht="13.5" x14ac:dyDescent="0.25"/>
    <row r="1295" ht="13.5" x14ac:dyDescent="0.25"/>
    <row r="1296" ht="13.5" x14ac:dyDescent="0.25"/>
    <row r="1297" ht="13.5" x14ac:dyDescent="0.25"/>
    <row r="1298" ht="13.5" x14ac:dyDescent="0.25"/>
    <row r="1299" ht="13.5" x14ac:dyDescent="0.25"/>
    <row r="1300" ht="13.5" x14ac:dyDescent="0.25"/>
    <row r="1301" ht="13.5" x14ac:dyDescent="0.25"/>
    <row r="1302" ht="13.5" x14ac:dyDescent="0.25"/>
    <row r="1303" ht="13.5" x14ac:dyDescent="0.25"/>
    <row r="1304" ht="13.5" x14ac:dyDescent="0.25"/>
    <row r="1305" ht="13.5" x14ac:dyDescent="0.25"/>
    <row r="1306" ht="13.5" x14ac:dyDescent="0.25"/>
    <row r="1307" ht="13.5" x14ac:dyDescent="0.25"/>
    <row r="1308" ht="13.5" x14ac:dyDescent="0.25"/>
    <row r="1309" ht="13.5" x14ac:dyDescent="0.25"/>
    <row r="1310" ht="13.5" x14ac:dyDescent="0.25"/>
    <row r="1311" ht="13.5" x14ac:dyDescent="0.25"/>
    <row r="1312" ht="13.5" x14ac:dyDescent="0.25"/>
    <row r="1313" ht="13.5" x14ac:dyDescent="0.25"/>
    <row r="1314" ht="13.5" x14ac:dyDescent="0.25"/>
    <row r="1315" ht="13.5" x14ac:dyDescent="0.25"/>
    <row r="1316" ht="13.5" x14ac:dyDescent="0.25"/>
    <row r="1317" ht="13.5" x14ac:dyDescent="0.25"/>
    <row r="1318" ht="13.5" x14ac:dyDescent="0.25"/>
    <row r="1319" ht="13.5" x14ac:dyDescent="0.25"/>
    <row r="1320" ht="13.5" x14ac:dyDescent="0.25"/>
    <row r="1321" ht="13.5" x14ac:dyDescent="0.25"/>
    <row r="1322" ht="13.5" x14ac:dyDescent="0.25"/>
    <row r="1323" ht="13.5" x14ac:dyDescent="0.25"/>
    <row r="1324" ht="13.5" x14ac:dyDescent="0.25"/>
    <row r="1325" ht="13.5" x14ac:dyDescent="0.25"/>
    <row r="1326" ht="13.5" x14ac:dyDescent="0.25"/>
    <row r="1327" ht="13.5" x14ac:dyDescent="0.25"/>
    <row r="1328" ht="13.5" x14ac:dyDescent="0.25"/>
    <row r="1329" ht="13.5" x14ac:dyDescent="0.25"/>
    <row r="1330" ht="13.5" x14ac:dyDescent="0.25"/>
    <row r="1331" ht="13.5" x14ac:dyDescent="0.25"/>
    <row r="1332" ht="13.5" x14ac:dyDescent="0.25"/>
    <row r="1333" ht="13.5" x14ac:dyDescent="0.25"/>
    <row r="1334" ht="13.5" x14ac:dyDescent="0.25"/>
    <row r="1335" ht="13.5" x14ac:dyDescent="0.25"/>
    <row r="1336" ht="13.5" x14ac:dyDescent="0.25"/>
    <row r="1337" ht="13.5" x14ac:dyDescent="0.25"/>
    <row r="1338" ht="13.5" x14ac:dyDescent="0.25"/>
    <row r="1339" ht="13.5" x14ac:dyDescent="0.25"/>
    <row r="1340" ht="13.5" x14ac:dyDescent="0.25"/>
    <row r="1341" ht="13.5" x14ac:dyDescent="0.25"/>
    <row r="1342" ht="13.5" x14ac:dyDescent="0.25"/>
    <row r="1343" ht="13.5" x14ac:dyDescent="0.25"/>
    <row r="1344" ht="13.5" x14ac:dyDescent="0.25"/>
    <row r="1345" ht="13.5" x14ac:dyDescent="0.25"/>
    <row r="1346" ht="13.5" x14ac:dyDescent="0.25"/>
    <row r="1347" ht="13.5" x14ac:dyDescent="0.25"/>
    <row r="1348" ht="13.5" x14ac:dyDescent="0.25"/>
    <row r="1349" ht="13.5" x14ac:dyDescent="0.25"/>
    <row r="1350" ht="13.5" x14ac:dyDescent="0.25"/>
    <row r="1351" ht="13.5" x14ac:dyDescent="0.25"/>
    <row r="1352" ht="13.5" x14ac:dyDescent="0.25"/>
    <row r="1353" ht="13.5" x14ac:dyDescent="0.25"/>
    <row r="1354" ht="13.5" x14ac:dyDescent="0.25"/>
    <row r="1355" ht="13.5" x14ac:dyDescent="0.25"/>
    <row r="1356" ht="13.5" x14ac:dyDescent="0.25"/>
    <row r="1357" ht="13.5" x14ac:dyDescent="0.25"/>
    <row r="1358" ht="13.5" x14ac:dyDescent="0.25"/>
    <row r="1359" ht="13.5" x14ac:dyDescent="0.25"/>
    <row r="1360" ht="13.5" x14ac:dyDescent="0.25"/>
    <row r="1361" ht="13.5" x14ac:dyDescent="0.25"/>
    <row r="1362" ht="13.5" x14ac:dyDescent="0.25"/>
    <row r="1363" ht="13.5" x14ac:dyDescent="0.25"/>
    <row r="1364" ht="13.5" x14ac:dyDescent="0.25"/>
    <row r="1365" ht="13.5" x14ac:dyDescent="0.25"/>
    <row r="1366" ht="13.5" x14ac:dyDescent="0.25"/>
    <row r="1367" ht="13.5" x14ac:dyDescent="0.25"/>
    <row r="1368" ht="13.5" x14ac:dyDescent="0.25"/>
    <row r="1369" ht="13.5" x14ac:dyDescent="0.25"/>
    <row r="1370" ht="13.5" x14ac:dyDescent="0.25"/>
    <row r="1371" ht="13.5" x14ac:dyDescent="0.25"/>
    <row r="1372" ht="13.5" x14ac:dyDescent="0.25"/>
    <row r="1373" ht="13.5" x14ac:dyDescent="0.25"/>
    <row r="1374" ht="13.5" x14ac:dyDescent="0.25"/>
    <row r="1375" ht="13.5" x14ac:dyDescent="0.25"/>
    <row r="1376" ht="13.5" x14ac:dyDescent="0.25"/>
    <row r="1377" ht="13.5" x14ac:dyDescent="0.25"/>
    <row r="1378" ht="13.5" x14ac:dyDescent="0.25"/>
    <row r="1379" ht="13.5" x14ac:dyDescent="0.25"/>
    <row r="1380" ht="13.5" x14ac:dyDescent="0.25"/>
    <row r="1381" ht="13.5" x14ac:dyDescent="0.25"/>
    <row r="1382" ht="13.5" x14ac:dyDescent="0.25"/>
    <row r="1383" ht="13.5" x14ac:dyDescent="0.25"/>
    <row r="1384" ht="13.5" x14ac:dyDescent="0.25"/>
    <row r="1385" ht="13.5" x14ac:dyDescent="0.25"/>
    <row r="1386" ht="13.5" x14ac:dyDescent="0.25"/>
    <row r="1387" ht="13.5" x14ac:dyDescent="0.25"/>
    <row r="1388" ht="13.5" x14ac:dyDescent="0.25"/>
    <row r="1389" ht="13.5" x14ac:dyDescent="0.25"/>
    <row r="1390" ht="13.5" x14ac:dyDescent="0.25"/>
    <row r="1391" ht="13.5" x14ac:dyDescent="0.25"/>
    <row r="1392" ht="13.5" x14ac:dyDescent="0.25"/>
    <row r="1393" ht="13.5" x14ac:dyDescent="0.25"/>
    <row r="1394" ht="13.5" x14ac:dyDescent="0.25"/>
    <row r="1395" ht="13.5" x14ac:dyDescent="0.25"/>
    <row r="1396" ht="13.5" x14ac:dyDescent="0.25"/>
    <row r="1397" ht="13.5" x14ac:dyDescent="0.25"/>
    <row r="1398" ht="13.5" x14ac:dyDescent="0.25"/>
    <row r="1399" ht="13.5" x14ac:dyDescent="0.25"/>
    <row r="1400" ht="13.5" x14ac:dyDescent="0.25"/>
    <row r="1401" ht="13.5" x14ac:dyDescent="0.25"/>
    <row r="1402" ht="13.5" x14ac:dyDescent="0.25"/>
    <row r="1403" ht="13.5" x14ac:dyDescent="0.25"/>
    <row r="1404" ht="13.5" x14ac:dyDescent="0.25"/>
    <row r="1405" ht="13.5" x14ac:dyDescent="0.25"/>
    <row r="1406" ht="13.5" x14ac:dyDescent="0.25"/>
    <row r="1407" ht="13.5" x14ac:dyDescent="0.25"/>
    <row r="1408" ht="13.5" x14ac:dyDescent="0.25"/>
    <row r="1409" ht="13.5" x14ac:dyDescent="0.25"/>
    <row r="1410" ht="13.5" x14ac:dyDescent="0.25"/>
    <row r="1411" ht="13.5" x14ac:dyDescent="0.25"/>
    <row r="1412" ht="13.5" x14ac:dyDescent="0.25"/>
    <row r="1413" ht="13.5" x14ac:dyDescent="0.25"/>
    <row r="1414" ht="13.5" x14ac:dyDescent="0.25"/>
    <row r="1415" ht="13.5" x14ac:dyDescent="0.25"/>
    <row r="1416" ht="13.5" x14ac:dyDescent="0.25"/>
    <row r="1417" ht="13.5" x14ac:dyDescent="0.25"/>
    <row r="1418" ht="13.5" x14ac:dyDescent="0.25"/>
    <row r="1419" ht="13.5" x14ac:dyDescent="0.25"/>
    <row r="1420" ht="13.5" x14ac:dyDescent="0.25"/>
    <row r="1421" ht="13.5" x14ac:dyDescent="0.25"/>
    <row r="1422" ht="13.5" x14ac:dyDescent="0.25"/>
    <row r="1423" ht="13.5" x14ac:dyDescent="0.25"/>
    <row r="1424" ht="13.5" x14ac:dyDescent="0.25"/>
    <row r="1425" ht="13.5" x14ac:dyDescent="0.25"/>
    <row r="1426" ht="13.5" x14ac:dyDescent="0.25"/>
    <row r="1427" ht="13.5" x14ac:dyDescent="0.25"/>
    <row r="1428" ht="13.5" x14ac:dyDescent="0.25"/>
    <row r="1429" ht="13.5" x14ac:dyDescent="0.25"/>
    <row r="1430" ht="13.5" x14ac:dyDescent="0.25"/>
    <row r="1431" ht="13.5" x14ac:dyDescent="0.25"/>
    <row r="1432" ht="13.5" x14ac:dyDescent="0.25"/>
    <row r="1433" ht="13.5" x14ac:dyDescent="0.25"/>
    <row r="1434" ht="13.5" x14ac:dyDescent="0.25"/>
    <row r="1435" ht="13.5" x14ac:dyDescent="0.25"/>
    <row r="1436" ht="13.5" x14ac:dyDescent="0.25"/>
    <row r="1437" ht="13.5" x14ac:dyDescent="0.25"/>
    <row r="1438" ht="13.5" x14ac:dyDescent="0.25"/>
    <row r="1439" ht="13.5" x14ac:dyDescent="0.25"/>
    <row r="1440" ht="13.5" x14ac:dyDescent="0.25"/>
    <row r="1441" ht="13.5" x14ac:dyDescent="0.25"/>
    <row r="1442" ht="13.5" x14ac:dyDescent="0.25"/>
    <row r="1443" ht="13.5" x14ac:dyDescent="0.25"/>
    <row r="1444" ht="13.5" x14ac:dyDescent="0.25"/>
    <row r="1445" ht="13.5" x14ac:dyDescent="0.25"/>
    <row r="1446" ht="13.5" x14ac:dyDescent="0.25"/>
    <row r="1447" ht="13.5" x14ac:dyDescent="0.25"/>
    <row r="1448" ht="13.5" x14ac:dyDescent="0.25"/>
    <row r="1449" ht="13.5" x14ac:dyDescent="0.25"/>
    <row r="1450" ht="13.5" x14ac:dyDescent="0.25"/>
    <row r="1451" ht="13.5" x14ac:dyDescent="0.25"/>
    <row r="1452" ht="13.5" x14ac:dyDescent="0.25"/>
    <row r="1453" ht="13.5" x14ac:dyDescent="0.25"/>
    <row r="1454" ht="13.5" x14ac:dyDescent="0.25"/>
    <row r="1455" ht="13.5" x14ac:dyDescent="0.25"/>
    <row r="1456" ht="13.5" x14ac:dyDescent="0.25"/>
    <row r="1457" ht="13.5" x14ac:dyDescent="0.25"/>
    <row r="1458" ht="13.5" x14ac:dyDescent="0.25"/>
    <row r="1459" ht="13.5" x14ac:dyDescent="0.25"/>
    <row r="1460" ht="13.5" x14ac:dyDescent="0.25"/>
    <row r="1461" ht="13.5" x14ac:dyDescent="0.25"/>
    <row r="1462" ht="13.5" x14ac:dyDescent="0.25"/>
    <row r="1463" ht="13.5" x14ac:dyDescent="0.25"/>
    <row r="1464" ht="13.5" x14ac:dyDescent="0.25"/>
    <row r="1465" ht="13.5" x14ac:dyDescent="0.25"/>
    <row r="1466" ht="13.5" x14ac:dyDescent="0.25"/>
    <row r="1467" ht="13.5" x14ac:dyDescent="0.25"/>
    <row r="1468" ht="13.5" x14ac:dyDescent="0.25"/>
    <row r="1469" ht="13.5" x14ac:dyDescent="0.25"/>
    <row r="1470" ht="13.5" x14ac:dyDescent="0.25"/>
    <row r="1471" ht="13.5" x14ac:dyDescent="0.25"/>
    <row r="1472" ht="13.5" x14ac:dyDescent="0.25"/>
    <row r="1473" ht="13.5" x14ac:dyDescent="0.25"/>
    <row r="1474" ht="13.5" x14ac:dyDescent="0.25"/>
    <row r="1475" ht="13.5" x14ac:dyDescent="0.25"/>
    <row r="1476" ht="13.5" x14ac:dyDescent="0.25"/>
    <row r="1477" ht="13.5" x14ac:dyDescent="0.25"/>
    <row r="1478" ht="13.5" x14ac:dyDescent="0.25"/>
    <row r="1479" ht="13.5" x14ac:dyDescent="0.25"/>
    <row r="1480" ht="13.5" x14ac:dyDescent="0.25"/>
    <row r="1481" ht="13.5" x14ac:dyDescent="0.25"/>
    <row r="1482" ht="13.5" x14ac:dyDescent="0.25"/>
    <row r="1483" ht="13.5" x14ac:dyDescent="0.25"/>
    <row r="1484" ht="13.5" x14ac:dyDescent="0.25"/>
    <row r="1485" ht="13.5" x14ac:dyDescent="0.25"/>
    <row r="1486" ht="13.5" x14ac:dyDescent="0.25"/>
    <row r="1487" ht="13.5" x14ac:dyDescent="0.25"/>
    <row r="1488" ht="13.5" x14ac:dyDescent="0.25"/>
    <row r="1489" ht="13.5" x14ac:dyDescent="0.25"/>
    <row r="1490" ht="13.5" x14ac:dyDescent="0.25"/>
    <row r="1491" ht="13.5" x14ac:dyDescent="0.25"/>
    <row r="1492" ht="13.5" x14ac:dyDescent="0.25"/>
    <row r="1493" ht="13.5" x14ac:dyDescent="0.25"/>
    <row r="1494" ht="13.5" x14ac:dyDescent="0.25"/>
    <row r="1495" ht="13.5" x14ac:dyDescent="0.25"/>
    <row r="1496" ht="13.5" x14ac:dyDescent="0.25"/>
    <row r="1497" ht="13.5" x14ac:dyDescent="0.25"/>
    <row r="1498" ht="13.5" x14ac:dyDescent="0.25"/>
    <row r="1499" ht="13.5" x14ac:dyDescent="0.25"/>
    <row r="1500" ht="13.5" x14ac:dyDescent="0.25"/>
    <row r="1501" ht="13.5" x14ac:dyDescent="0.25"/>
    <row r="1502" ht="13.5" x14ac:dyDescent="0.25"/>
    <row r="1503" ht="13.5" x14ac:dyDescent="0.25"/>
    <row r="1504" ht="13.5" x14ac:dyDescent="0.25"/>
    <row r="1505" ht="13.5" x14ac:dyDescent="0.25"/>
    <row r="1506" ht="13.5" x14ac:dyDescent="0.25"/>
    <row r="1507" ht="13.5" x14ac:dyDescent="0.25"/>
    <row r="1508" ht="13.5" x14ac:dyDescent="0.25"/>
    <row r="1509" ht="13.5" x14ac:dyDescent="0.25"/>
    <row r="1510" ht="13.5" x14ac:dyDescent="0.25"/>
    <row r="1511" ht="13.5" x14ac:dyDescent="0.25"/>
    <row r="1512" ht="13.5" x14ac:dyDescent="0.25"/>
    <row r="1513" ht="13.5" x14ac:dyDescent="0.25"/>
    <row r="1514" ht="13.5" x14ac:dyDescent="0.25"/>
    <row r="1515" ht="13.5" x14ac:dyDescent="0.25"/>
    <row r="1516" ht="13.5" x14ac:dyDescent="0.25"/>
    <row r="1517" ht="13.5" x14ac:dyDescent="0.25"/>
    <row r="1518" ht="13.5" x14ac:dyDescent="0.25"/>
    <row r="1519" ht="13.5" x14ac:dyDescent="0.25"/>
    <row r="1520" ht="13.5" x14ac:dyDescent="0.25"/>
    <row r="1521" ht="13.5" x14ac:dyDescent="0.25"/>
    <row r="1522" ht="13.5" x14ac:dyDescent="0.25"/>
    <row r="1523" ht="13.5" x14ac:dyDescent="0.25"/>
    <row r="1524" ht="13.5" x14ac:dyDescent="0.25"/>
    <row r="1525" ht="13.5" x14ac:dyDescent="0.25"/>
    <row r="1526" ht="13.5" x14ac:dyDescent="0.25"/>
    <row r="1527" ht="13.5" x14ac:dyDescent="0.25"/>
    <row r="1528" ht="13.5" x14ac:dyDescent="0.25"/>
    <row r="1529" ht="13.5" x14ac:dyDescent="0.25"/>
    <row r="1530" ht="13.5" x14ac:dyDescent="0.25"/>
    <row r="1531" ht="13.5" x14ac:dyDescent="0.25"/>
    <row r="1532" ht="13.5" x14ac:dyDescent="0.25"/>
    <row r="1533" ht="13.5" x14ac:dyDescent="0.25"/>
    <row r="1534" ht="13.5" x14ac:dyDescent="0.25"/>
    <row r="1535" ht="13.5" x14ac:dyDescent="0.25"/>
    <row r="1536" ht="13.5" x14ac:dyDescent="0.25"/>
    <row r="1537" ht="13.5" x14ac:dyDescent="0.25"/>
    <row r="1538" ht="13.5" x14ac:dyDescent="0.25"/>
    <row r="1539" ht="13.5" x14ac:dyDescent="0.25"/>
    <row r="1540" ht="13.5" x14ac:dyDescent="0.25"/>
    <row r="1541" ht="13.5" x14ac:dyDescent="0.25"/>
    <row r="1542" ht="13.5" x14ac:dyDescent="0.25"/>
    <row r="1543" ht="13.5" x14ac:dyDescent="0.25"/>
    <row r="1544" ht="13.5" x14ac:dyDescent="0.25"/>
    <row r="1545" ht="13.5" x14ac:dyDescent="0.25"/>
    <row r="1546" ht="13.5" x14ac:dyDescent="0.25"/>
    <row r="1547" ht="13.5" x14ac:dyDescent="0.25"/>
    <row r="1548" ht="13.5" x14ac:dyDescent="0.25"/>
    <row r="1549" ht="13.5" x14ac:dyDescent="0.25"/>
    <row r="1550" ht="13.5" x14ac:dyDescent="0.25"/>
    <row r="1551" ht="13.5" x14ac:dyDescent="0.25"/>
    <row r="1552" ht="13.5" x14ac:dyDescent="0.25"/>
    <row r="1553" ht="13.5" x14ac:dyDescent="0.25"/>
    <row r="1554" ht="13.5" x14ac:dyDescent="0.25"/>
    <row r="1555" ht="13.5" x14ac:dyDescent="0.25"/>
    <row r="1556" ht="13.5" x14ac:dyDescent="0.25"/>
    <row r="1557" ht="13.5" x14ac:dyDescent="0.25"/>
    <row r="1558" ht="13.5" x14ac:dyDescent="0.25"/>
    <row r="1559" ht="13.5" x14ac:dyDescent="0.25"/>
    <row r="1560" ht="13.5" x14ac:dyDescent="0.25"/>
    <row r="1561" ht="13.5" x14ac:dyDescent="0.25"/>
    <row r="1562" ht="13.5" x14ac:dyDescent="0.25"/>
    <row r="1563" ht="13.5" x14ac:dyDescent="0.25"/>
    <row r="1564" ht="13.5" x14ac:dyDescent="0.25"/>
    <row r="1565" ht="13.5" x14ac:dyDescent="0.25"/>
    <row r="1566" ht="13.5" x14ac:dyDescent="0.25"/>
    <row r="1567" ht="13.5" x14ac:dyDescent="0.25"/>
    <row r="1568" ht="13.5" x14ac:dyDescent="0.25"/>
    <row r="1569" ht="13.5" x14ac:dyDescent="0.25"/>
    <row r="1570" ht="13.5" x14ac:dyDescent="0.25"/>
    <row r="1571" ht="13.5" x14ac:dyDescent="0.25"/>
    <row r="1572" ht="13.5" x14ac:dyDescent="0.25"/>
    <row r="1573" ht="13.5" x14ac:dyDescent="0.25"/>
    <row r="1574" ht="13.5" x14ac:dyDescent="0.25"/>
    <row r="1575" ht="13.5" x14ac:dyDescent="0.25"/>
    <row r="1576" ht="13.5" x14ac:dyDescent="0.25"/>
    <row r="1577" ht="13.5" x14ac:dyDescent="0.25"/>
    <row r="1578" ht="13.5" x14ac:dyDescent="0.25"/>
    <row r="1579" ht="13.5" x14ac:dyDescent="0.25"/>
    <row r="1580" ht="13.5" x14ac:dyDescent="0.25"/>
    <row r="1581" ht="13.5" x14ac:dyDescent="0.25"/>
    <row r="1582" ht="13.5" x14ac:dyDescent="0.25"/>
    <row r="1583" ht="13.5" x14ac:dyDescent="0.25"/>
    <row r="1584" ht="13.5" x14ac:dyDescent="0.25"/>
    <row r="1585" ht="13.5" x14ac:dyDescent="0.25"/>
    <row r="1586" ht="13.5" x14ac:dyDescent="0.25"/>
    <row r="1587" ht="13.5" x14ac:dyDescent="0.25"/>
    <row r="1588" ht="13.5" x14ac:dyDescent="0.25"/>
    <row r="1589" ht="13.5" x14ac:dyDescent="0.25"/>
    <row r="1590" ht="13.5" x14ac:dyDescent="0.25"/>
    <row r="1591" ht="13.5" x14ac:dyDescent="0.25"/>
    <row r="1592" ht="13.5" x14ac:dyDescent="0.25"/>
    <row r="1593" ht="13.5" x14ac:dyDescent="0.25"/>
    <row r="1594" ht="13.5" x14ac:dyDescent="0.25"/>
    <row r="1595" ht="13.5" x14ac:dyDescent="0.25"/>
    <row r="1596" ht="13.5" x14ac:dyDescent="0.25"/>
    <row r="1597" ht="13.5" x14ac:dyDescent="0.25"/>
    <row r="1598" ht="13.5" x14ac:dyDescent="0.25"/>
    <row r="1599" ht="13.5" x14ac:dyDescent="0.25"/>
    <row r="1600" ht="13.5" x14ac:dyDescent="0.25"/>
    <row r="1601" ht="13.5" x14ac:dyDescent="0.25"/>
    <row r="1602" ht="13.5" x14ac:dyDescent="0.25"/>
    <row r="1603" ht="13.5" x14ac:dyDescent="0.25"/>
    <row r="1604" ht="13.5" x14ac:dyDescent="0.25"/>
    <row r="1605" ht="13.5" x14ac:dyDescent="0.25"/>
    <row r="1606" ht="13.5" x14ac:dyDescent="0.25"/>
    <row r="1607" ht="13.5" x14ac:dyDescent="0.25"/>
    <row r="1608" ht="13.5" x14ac:dyDescent="0.25"/>
    <row r="1609" ht="13.5" x14ac:dyDescent="0.25"/>
    <row r="1610" ht="13.5" x14ac:dyDescent="0.25"/>
    <row r="1611" ht="13.5" x14ac:dyDescent="0.25"/>
    <row r="1612" ht="13.5" x14ac:dyDescent="0.25"/>
    <row r="1613" ht="13.5" x14ac:dyDescent="0.25"/>
    <row r="1614" ht="13.5" x14ac:dyDescent="0.25"/>
    <row r="1615" ht="13.5" x14ac:dyDescent="0.25"/>
    <row r="1616" ht="13.5" x14ac:dyDescent="0.25"/>
    <row r="1617" ht="13.5" x14ac:dyDescent="0.25"/>
    <row r="1618" ht="13.5" x14ac:dyDescent="0.25"/>
    <row r="1619" ht="13.5" x14ac:dyDescent="0.25"/>
    <row r="1620" ht="13.5" x14ac:dyDescent="0.25"/>
    <row r="1621" ht="13.5" x14ac:dyDescent="0.25"/>
    <row r="1622" ht="13.5" x14ac:dyDescent="0.25"/>
    <row r="1623" ht="13.5" x14ac:dyDescent="0.25"/>
    <row r="1624" ht="13.5" x14ac:dyDescent="0.25"/>
    <row r="1625" ht="13.5" x14ac:dyDescent="0.25"/>
    <row r="1626" ht="13.5" x14ac:dyDescent="0.25"/>
    <row r="1627" ht="13.5" x14ac:dyDescent="0.25"/>
    <row r="1628" ht="13.5" x14ac:dyDescent="0.25"/>
    <row r="1629" ht="13.5" x14ac:dyDescent="0.25"/>
    <row r="1630" ht="13.5" x14ac:dyDescent="0.25"/>
    <row r="1631" ht="13.5" x14ac:dyDescent="0.25"/>
    <row r="1632" ht="13.5" x14ac:dyDescent="0.25"/>
    <row r="1633" ht="13.5" x14ac:dyDescent="0.25"/>
    <row r="1634" ht="13.5" x14ac:dyDescent="0.25"/>
    <row r="1635" ht="13.5" x14ac:dyDescent="0.25"/>
    <row r="1636" ht="13.5" x14ac:dyDescent="0.25"/>
    <row r="1637" ht="13.5" x14ac:dyDescent="0.25"/>
    <row r="1638" ht="13.5" x14ac:dyDescent="0.25"/>
    <row r="1639" ht="13.5" x14ac:dyDescent="0.25"/>
    <row r="1640" ht="13.5" x14ac:dyDescent="0.25"/>
    <row r="1641" ht="13.5" x14ac:dyDescent="0.25"/>
    <row r="1642" ht="13.5" x14ac:dyDescent="0.25"/>
    <row r="1643" ht="13.5" x14ac:dyDescent="0.25"/>
    <row r="1644" ht="13.5" x14ac:dyDescent="0.25"/>
    <row r="1645" ht="13.5" x14ac:dyDescent="0.25"/>
    <row r="1646" ht="13.5" x14ac:dyDescent="0.25"/>
    <row r="1647" ht="13.5" x14ac:dyDescent="0.25"/>
    <row r="1648" ht="13.5" x14ac:dyDescent="0.25"/>
    <row r="1649" ht="13.5" x14ac:dyDescent="0.25"/>
    <row r="1650" ht="13.5" x14ac:dyDescent="0.25"/>
    <row r="1651" ht="13.5" x14ac:dyDescent="0.25"/>
    <row r="1652" ht="13.5" x14ac:dyDescent="0.25"/>
    <row r="1653" ht="13.5" x14ac:dyDescent="0.25"/>
    <row r="1654" ht="13.5" x14ac:dyDescent="0.25"/>
    <row r="1655" ht="13.5" x14ac:dyDescent="0.25"/>
    <row r="1656" ht="13.5" x14ac:dyDescent="0.25"/>
    <row r="1657" ht="13.5" x14ac:dyDescent="0.25"/>
    <row r="1658" ht="13.5" x14ac:dyDescent="0.25"/>
    <row r="1659" ht="13.5" x14ac:dyDescent="0.25"/>
    <row r="1660" ht="13.5" x14ac:dyDescent="0.25"/>
    <row r="1661" ht="13.5" x14ac:dyDescent="0.25"/>
    <row r="1662" ht="13.5" x14ac:dyDescent="0.25"/>
    <row r="1663" ht="13.5" x14ac:dyDescent="0.25"/>
    <row r="1664" ht="13.5" x14ac:dyDescent="0.25"/>
    <row r="1665" ht="13.5" x14ac:dyDescent="0.25"/>
    <row r="1666" ht="13.5" x14ac:dyDescent="0.25"/>
    <row r="1667" ht="13.5" x14ac:dyDescent="0.25"/>
    <row r="1668" ht="13.5" x14ac:dyDescent="0.25"/>
    <row r="1669" ht="13.5" x14ac:dyDescent="0.25"/>
    <row r="1670" ht="13.5" x14ac:dyDescent="0.25"/>
    <row r="1671" ht="13.5" x14ac:dyDescent="0.25"/>
    <row r="1672" ht="13.5" x14ac:dyDescent="0.25"/>
    <row r="1673" ht="13.5" x14ac:dyDescent="0.25"/>
    <row r="1674" ht="13.5" x14ac:dyDescent="0.25"/>
    <row r="1675" ht="13.5" x14ac:dyDescent="0.25"/>
    <row r="1676" ht="13.5" x14ac:dyDescent="0.25"/>
    <row r="1677" ht="13.5" x14ac:dyDescent="0.25"/>
    <row r="1678" ht="13.5" x14ac:dyDescent="0.25"/>
    <row r="1679" ht="13.5" x14ac:dyDescent="0.25"/>
    <row r="1680" ht="13.5" x14ac:dyDescent="0.25"/>
    <row r="1681" ht="13.5" x14ac:dyDescent="0.25"/>
    <row r="1682" ht="13.5" x14ac:dyDescent="0.25"/>
    <row r="1683" ht="13.5" x14ac:dyDescent="0.25"/>
    <row r="1684" ht="13.5" x14ac:dyDescent="0.25"/>
    <row r="1685" ht="13.5" x14ac:dyDescent="0.25"/>
    <row r="1686" ht="13.5" x14ac:dyDescent="0.25"/>
    <row r="1687" ht="13.5" x14ac:dyDescent="0.25"/>
    <row r="1688" ht="13.5" x14ac:dyDescent="0.25"/>
    <row r="1689" ht="13.5" x14ac:dyDescent="0.25"/>
    <row r="1690" ht="13.5" x14ac:dyDescent="0.25"/>
    <row r="1691" ht="13.5" x14ac:dyDescent="0.25"/>
    <row r="1692" ht="13.5" x14ac:dyDescent="0.25"/>
    <row r="1693" ht="13.5" x14ac:dyDescent="0.25"/>
    <row r="1694" ht="13.5" x14ac:dyDescent="0.25"/>
    <row r="1695" ht="13.5" x14ac:dyDescent="0.25"/>
    <row r="1696" ht="13.5" x14ac:dyDescent="0.25"/>
    <row r="1697" ht="13.5" x14ac:dyDescent="0.25"/>
    <row r="1698" ht="13.5" x14ac:dyDescent="0.25"/>
    <row r="1699" ht="13.5" x14ac:dyDescent="0.25"/>
    <row r="1700" ht="13.5" x14ac:dyDescent="0.25"/>
    <row r="1701" ht="13.5" x14ac:dyDescent="0.25"/>
    <row r="1702" ht="13.5" x14ac:dyDescent="0.25"/>
    <row r="1703" ht="13.5" x14ac:dyDescent="0.25"/>
    <row r="1704" ht="13.5" x14ac:dyDescent="0.25"/>
    <row r="1705" ht="13.5" x14ac:dyDescent="0.25"/>
    <row r="1706" ht="13.5" x14ac:dyDescent="0.25"/>
    <row r="1707" ht="13.5" x14ac:dyDescent="0.25"/>
    <row r="1708" ht="13.5" x14ac:dyDescent="0.25"/>
    <row r="1709" ht="13.5" x14ac:dyDescent="0.25"/>
    <row r="1710" ht="13.5" x14ac:dyDescent="0.25"/>
    <row r="1711" ht="13.5" x14ac:dyDescent="0.25"/>
    <row r="1712" ht="13.5" x14ac:dyDescent="0.25"/>
    <row r="1713" ht="13.5" x14ac:dyDescent="0.25"/>
    <row r="1714" ht="13.5" x14ac:dyDescent="0.25"/>
    <row r="1715" ht="13.5" x14ac:dyDescent="0.25"/>
    <row r="1716" ht="13.5" x14ac:dyDescent="0.25"/>
    <row r="1717" ht="13.5" x14ac:dyDescent="0.25"/>
    <row r="1718" ht="13.5" x14ac:dyDescent="0.25"/>
    <row r="1719" ht="13.5" x14ac:dyDescent="0.25"/>
    <row r="1720" ht="13.5" x14ac:dyDescent="0.25"/>
    <row r="1721" ht="13.5" x14ac:dyDescent="0.25"/>
    <row r="1722" ht="13.5" x14ac:dyDescent="0.25"/>
    <row r="1723" ht="13.5" x14ac:dyDescent="0.25"/>
    <row r="1724" ht="13.5" x14ac:dyDescent="0.25"/>
    <row r="1725" ht="13.5" x14ac:dyDescent="0.25"/>
    <row r="1726" ht="13.5" x14ac:dyDescent="0.25"/>
    <row r="1727" ht="13.5" x14ac:dyDescent="0.25"/>
    <row r="1728" ht="13.5" x14ac:dyDescent="0.25"/>
    <row r="1729" ht="13.5" x14ac:dyDescent="0.25"/>
    <row r="1730" ht="13.5" x14ac:dyDescent="0.25"/>
    <row r="1731" ht="13.5" x14ac:dyDescent="0.25"/>
    <row r="1732" ht="13.5" x14ac:dyDescent="0.25"/>
    <row r="1733" ht="13.5" x14ac:dyDescent="0.25"/>
    <row r="1734" ht="13.5" x14ac:dyDescent="0.25"/>
    <row r="1735" ht="13.5" x14ac:dyDescent="0.25"/>
    <row r="1736" ht="13.5" x14ac:dyDescent="0.25"/>
    <row r="1737" ht="13.5" x14ac:dyDescent="0.25"/>
    <row r="1738" ht="13.5" x14ac:dyDescent="0.25"/>
    <row r="1739" ht="13.5" x14ac:dyDescent="0.25"/>
    <row r="1740" ht="13.5" x14ac:dyDescent="0.25"/>
    <row r="1741" ht="13.5" x14ac:dyDescent="0.25"/>
    <row r="1742" ht="13.5" x14ac:dyDescent="0.25"/>
    <row r="1743" ht="13.5" x14ac:dyDescent="0.25"/>
    <row r="1744" ht="13.5" x14ac:dyDescent="0.25"/>
    <row r="1745" ht="13.5" x14ac:dyDescent="0.25"/>
    <row r="1746" ht="13.5" x14ac:dyDescent="0.25"/>
    <row r="1747" ht="13.5" x14ac:dyDescent="0.25"/>
    <row r="1748" ht="13.5" x14ac:dyDescent="0.25"/>
    <row r="1749" ht="13.5" x14ac:dyDescent="0.25"/>
    <row r="1750" ht="13.5" x14ac:dyDescent="0.25"/>
    <row r="1751" ht="13.5" x14ac:dyDescent="0.25"/>
    <row r="1752" ht="13.5" x14ac:dyDescent="0.25"/>
    <row r="1753" ht="13.5" x14ac:dyDescent="0.25"/>
    <row r="1754" ht="13.5" x14ac:dyDescent="0.25"/>
    <row r="1755" ht="13.5" x14ac:dyDescent="0.25"/>
    <row r="1756" ht="13.5" x14ac:dyDescent="0.25"/>
    <row r="1757" ht="13.5" x14ac:dyDescent="0.25"/>
    <row r="1758" ht="13.5" x14ac:dyDescent="0.25"/>
    <row r="1759" ht="13.5" x14ac:dyDescent="0.25"/>
    <row r="1760" ht="13.5" x14ac:dyDescent="0.25"/>
    <row r="1761" ht="13.5" x14ac:dyDescent="0.25"/>
    <row r="1762" ht="13.5" x14ac:dyDescent="0.25"/>
    <row r="1763" ht="13.5" x14ac:dyDescent="0.25"/>
  </sheetData>
  <mergeCells count="15">
    <mergeCell ref="C5:X5"/>
    <mergeCell ref="C6:P6"/>
    <mergeCell ref="C12:C14"/>
    <mergeCell ref="D12:D14"/>
    <mergeCell ref="E13:G13"/>
    <mergeCell ref="H13:J13"/>
    <mergeCell ref="K13:M13"/>
    <mergeCell ref="N13:P13"/>
    <mergeCell ref="W13:Y13"/>
    <mergeCell ref="Z13:AB13"/>
    <mergeCell ref="E12:AB12"/>
    <mergeCell ref="C41:I41"/>
    <mergeCell ref="C46:D46"/>
    <mergeCell ref="T13:V13"/>
    <mergeCell ref="Q13:S13"/>
  </mergeCells>
  <pageMargins left="0.7" right="0.7" top="0.75" bottom="0.75" header="0.3" footer="0.3"/>
  <pageSetup paperSize="9" orientation="portrait" r:id="rId1"/>
  <ignoredErrors>
    <ignoredError sqref="G30 S20 AB22 P22:S22 AB24:AB25 AB30:AB35 S24:S25 S34 AB27" formula="1"/>
  </ignoredError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9FF66"/>
  </sheetPr>
  <dimension ref="B2:H112"/>
  <sheetViews>
    <sheetView topLeftCell="A37" zoomScale="70" zoomScaleNormal="70" workbookViewId="0">
      <selection activeCell="D68" sqref="D68"/>
    </sheetView>
  </sheetViews>
  <sheetFormatPr baseColWidth="10" defaultColWidth="11.42578125" defaultRowHeight="16.5" x14ac:dyDescent="0.25"/>
  <cols>
    <col min="1" max="1" width="11.42578125" style="1344"/>
    <col min="2" max="2" width="9.5703125" style="1344" customWidth="1"/>
    <col min="3" max="3" width="41.140625" style="1344" customWidth="1"/>
    <col min="4" max="4" width="59" style="1344" customWidth="1"/>
    <col min="5" max="5" width="13.140625" style="1344" customWidth="1"/>
    <col min="6" max="8" width="16.140625" style="1344" customWidth="1"/>
    <col min="9" max="16384" width="11.42578125" style="1344"/>
  </cols>
  <sheetData>
    <row r="2" spans="2:8" x14ac:dyDescent="0.25">
      <c r="B2" s="4529" t="s">
        <v>3329</v>
      </c>
      <c r="C2" s="4529"/>
      <c r="D2" s="4529"/>
      <c r="E2" s="4529"/>
      <c r="F2" s="4529"/>
      <c r="G2" s="4529"/>
      <c r="H2" s="4529"/>
    </row>
    <row r="3" spans="2:8" x14ac:dyDescent="0.25">
      <c r="B3" s="4529" t="s">
        <v>3673</v>
      </c>
      <c r="C3" s="4529"/>
      <c r="D3" s="4529"/>
      <c r="E3" s="4529"/>
      <c r="F3" s="4529"/>
      <c r="G3" s="4529"/>
      <c r="H3" s="4529"/>
    </row>
    <row r="4" spans="2:8" x14ac:dyDescent="0.25">
      <c r="B4" s="4529" t="s">
        <v>1812</v>
      </c>
      <c r="C4" s="4529"/>
      <c r="D4" s="4529"/>
      <c r="E4" s="4529"/>
      <c r="F4" s="4529"/>
      <c r="G4" s="4529"/>
      <c r="H4" s="4529"/>
    </row>
    <row r="5" spans="2:8" ht="17.25" thickBot="1" x14ac:dyDescent="0.3"/>
    <row r="6" spans="2:8" ht="68.25" customHeight="1" thickBot="1" x14ac:dyDescent="0.3">
      <c r="B6" s="1342" t="s">
        <v>1813</v>
      </c>
      <c r="C6" s="793" t="s">
        <v>1814</v>
      </c>
      <c r="D6" s="793" t="s">
        <v>1815</v>
      </c>
      <c r="E6" s="793" t="s">
        <v>323</v>
      </c>
      <c r="F6" s="1343" t="s">
        <v>3330</v>
      </c>
      <c r="G6" s="793" t="s">
        <v>3331</v>
      </c>
      <c r="H6" s="794" t="s">
        <v>3332</v>
      </c>
    </row>
    <row r="7" spans="2:8" ht="15" customHeight="1" thickBot="1" x14ac:dyDescent="0.3">
      <c r="B7" s="4539" t="s">
        <v>1816</v>
      </c>
      <c r="C7" s="4540" t="s">
        <v>1816</v>
      </c>
      <c r="D7" s="4540"/>
      <c r="E7" s="4540"/>
      <c r="F7" s="4540"/>
      <c r="G7" s="4540"/>
      <c r="H7" s="4540"/>
    </row>
    <row r="8" spans="2:8" ht="15" customHeight="1" thickBot="1" x14ac:dyDescent="0.3">
      <c r="B8" s="4539"/>
      <c r="C8" s="4532" t="s">
        <v>1817</v>
      </c>
      <c r="D8" s="4530" t="s">
        <v>1818</v>
      </c>
      <c r="E8" s="4531">
        <v>2</v>
      </c>
      <c r="F8" s="1332">
        <v>10.9</v>
      </c>
      <c r="G8" s="1332">
        <v>13.5</v>
      </c>
      <c r="H8" s="1332">
        <f t="shared" ref="H8:H36" si="0">F8-G8</f>
        <v>-2.5999999999999996</v>
      </c>
    </row>
    <row r="9" spans="2:8" ht="15" customHeight="1" thickBot="1" x14ac:dyDescent="0.3">
      <c r="B9" s="4539"/>
      <c r="C9" s="4533"/>
      <c r="D9" s="4530"/>
      <c r="E9" s="4531"/>
      <c r="F9" s="1332">
        <v>8.56</v>
      </c>
      <c r="G9" s="1332">
        <v>13.5</v>
      </c>
      <c r="H9" s="1332">
        <f t="shared" si="0"/>
        <v>-4.9399999999999995</v>
      </c>
    </row>
    <row r="10" spans="2:8" ht="15" customHeight="1" thickBot="1" x14ac:dyDescent="0.3">
      <c r="B10" s="4539"/>
      <c r="C10" s="4533"/>
      <c r="D10" s="4530" t="s">
        <v>1819</v>
      </c>
      <c r="E10" s="4531">
        <v>2</v>
      </c>
      <c r="F10" s="1332">
        <f>18.7+0.9</f>
        <v>19.599999999999998</v>
      </c>
      <c r="G10" s="1332">
        <v>17</v>
      </c>
      <c r="H10" s="1332">
        <f t="shared" si="0"/>
        <v>2.5999999999999979</v>
      </c>
    </row>
    <row r="11" spans="2:8" ht="15" customHeight="1" thickBot="1" x14ac:dyDescent="0.3">
      <c r="B11" s="4539"/>
      <c r="C11" s="4533"/>
      <c r="D11" s="4530"/>
      <c r="E11" s="4531"/>
      <c r="F11" s="1332">
        <v>15.58</v>
      </c>
      <c r="G11" s="1332">
        <v>17</v>
      </c>
      <c r="H11" s="1332">
        <f t="shared" si="0"/>
        <v>-1.42</v>
      </c>
    </row>
    <row r="12" spans="2:8" ht="15" customHeight="1" thickBot="1" x14ac:dyDescent="0.3">
      <c r="B12" s="4539"/>
      <c r="C12" s="4533"/>
      <c r="D12" s="1701" t="s">
        <v>1820</v>
      </c>
      <c r="E12" s="1702">
        <v>1</v>
      </c>
      <c r="F12" s="1332">
        <v>8.19</v>
      </c>
      <c r="G12" s="1332">
        <v>13.5</v>
      </c>
      <c r="H12" s="1332">
        <f t="shared" si="0"/>
        <v>-5.3100000000000005</v>
      </c>
    </row>
    <row r="13" spans="2:8" ht="15" customHeight="1" thickBot="1" x14ac:dyDescent="0.3">
      <c r="B13" s="4539"/>
      <c r="C13" s="4533"/>
      <c r="D13" s="4530" t="s">
        <v>1821</v>
      </c>
      <c r="E13" s="4531">
        <v>2</v>
      </c>
      <c r="F13" s="1332">
        <v>13.98</v>
      </c>
      <c r="G13" s="1332">
        <v>17</v>
      </c>
      <c r="H13" s="1332">
        <f t="shared" si="0"/>
        <v>-3.0199999999999996</v>
      </c>
    </row>
    <row r="14" spans="2:8" ht="15" customHeight="1" thickBot="1" x14ac:dyDescent="0.3">
      <c r="B14" s="4539"/>
      <c r="C14" s="4533"/>
      <c r="D14" s="4530"/>
      <c r="E14" s="4531"/>
      <c r="F14" s="1332">
        <v>23.5</v>
      </c>
      <c r="G14" s="1332">
        <v>17</v>
      </c>
      <c r="H14" s="1332">
        <f t="shared" si="0"/>
        <v>6.5</v>
      </c>
    </row>
    <row r="15" spans="2:8" ht="15.75" customHeight="1" thickBot="1" x14ac:dyDescent="0.3">
      <c r="B15" s="4539"/>
      <c r="C15" s="4533"/>
      <c r="D15" s="1701" t="s">
        <v>1822</v>
      </c>
      <c r="E15" s="1702">
        <v>1</v>
      </c>
      <c r="F15" s="1332">
        <v>16.54</v>
      </c>
      <c r="G15" s="1332">
        <v>13.5</v>
      </c>
      <c r="H15" s="1332">
        <f t="shared" si="0"/>
        <v>3.0399999999999991</v>
      </c>
    </row>
    <row r="16" spans="2:8" ht="15" customHeight="1" thickBot="1" x14ac:dyDescent="0.3">
      <c r="B16" s="4539"/>
      <c r="C16" s="4533"/>
      <c r="D16" s="1701" t="s">
        <v>1823</v>
      </c>
      <c r="E16" s="1702">
        <v>1</v>
      </c>
      <c r="F16" s="1332">
        <v>14.17</v>
      </c>
      <c r="G16" s="1332">
        <v>15</v>
      </c>
      <c r="H16" s="1332">
        <f t="shared" si="0"/>
        <v>-0.83000000000000007</v>
      </c>
    </row>
    <row r="17" spans="2:8" ht="15" customHeight="1" thickBot="1" x14ac:dyDescent="0.3">
      <c r="B17" s="4539"/>
      <c r="C17" s="4533"/>
      <c r="D17" s="1732" t="s">
        <v>1824</v>
      </c>
      <c r="E17" s="1733">
        <v>1</v>
      </c>
      <c r="F17" s="1734">
        <v>9.49</v>
      </c>
      <c r="G17" s="1734">
        <v>13.5</v>
      </c>
      <c r="H17" s="1734">
        <f t="shared" si="0"/>
        <v>-4.01</v>
      </c>
    </row>
    <row r="18" spans="2:8" ht="15" customHeight="1" thickBot="1" x14ac:dyDescent="0.3">
      <c r="B18" s="4539"/>
      <c r="C18" s="4533"/>
      <c r="D18" s="4535" t="s">
        <v>1825</v>
      </c>
      <c r="E18" s="4537">
        <v>2</v>
      </c>
      <c r="F18" s="1332">
        <v>24.75</v>
      </c>
      <c r="G18" s="1332">
        <v>23</v>
      </c>
      <c r="H18" s="1332">
        <f t="shared" si="0"/>
        <v>1.75</v>
      </c>
    </row>
    <row r="19" spans="2:8" ht="15" customHeight="1" thickBot="1" x14ac:dyDescent="0.3">
      <c r="B19" s="4539"/>
      <c r="C19" s="4534"/>
      <c r="D19" s="4536"/>
      <c r="E19" s="4538"/>
      <c r="F19" s="1332">
        <v>31.09</v>
      </c>
      <c r="G19" s="1332">
        <v>23</v>
      </c>
      <c r="H19" s="1332">
        <f t="shared" si="0"/>
        <v>8.09</v>
      </c>
    </row>
    <row r="20" spans="2:8" ht="15" customHeight="1" thickBot="1" x14ac:dyDescent="0.3">
      <c r="B20" s="4539"/>
      <c r="C20" s="4541" t="s">
        <v>1826</v>
      </c>
      <c r="D20" s="1333" t="s">
        <v>1827</v>
      </c>
      <c r="E20" s="1334">
        <v>1</v>
      </c>
      <c r="F20" s="1332">
        <v>12.19</v>
      </c>
      <c r="G20" s="1332">
        <v>9</v>
      </c>
      <c r="H20" s="1332">
        <f t="shared" si="0"/>
        <v>3.1899999999999995</v>
      </c>
    </row>
    <row r="21" spans="2:8" ht="15" customHeight="1" thickBot="1" x14ac:dyDescent="0.3">
      <c r="B21" s="4539"/>
      <c r="C21" s="4541"/>
      <c r="D21" s="1333" t="s">
        <v>1828</v>
      </c>
      <c r="E21" s="1334">
        <v>1</v>
      </c>
      <c r="F21" s="1332">
        <v>2.14</v>
      </c>
      <c r="G21" s="1332">
        <v>3</v>
      </c>
      <c r="H21" s="1332">
        <f t="shared" si="0"/>
        <v>-0.85999999999999988</v>
      </c>
    </row>
    <row r="22" spans="2:8" ht="15" customHeight="1" thickBot="1" x14ac:dyDescent="0.3">
      <c r="B22" s="4539"/>
      <c r="C22" s="4541"/>
      <c r="D22" s="1333" t="s">
        <v>1829</v>
      </c>
      <c r="E22" s="1334">
        <v>1</v>
      </c>
      <c r="F22" s="1332">
        <v>23.29</v>
      </c>
      <c r="G22" s="1332">
        <v>9</v>
      </c>
      <c r="H22" s="1332">
        <f t="shared" si="0"/>
        <v>14.29</v>
      </c>
    </row>
    <row r="23" spans="2:8" ht="15" customHeight="1" thickBot="1" x14ac:dyDescent="0.3">
      <c r="B23" s="4539"/>
      <c r="C23" s="4541"/>
      <c r="D23" s="1701" t="s">
        <v>1830</v>
      </c>
      <c r="E23" s="1702">
        <v>1</v>
      </c>
      <c r="F23" s="1332">
        <v>15.18</v>
      </c>
      <c r="G23" s="1332">
        <v>9</v>
      </c>
      <c r="H23" s="1332">
        <f t="shared" si="0"/>
        <v>6.18</v>
      </c>
    </row>
    <row r="24" spans="2:8" ht="15" customHeight="1" thickBot="1" x14ac:dyDescent="0.3">
      <c r="B24" s="4539"/>
      <c r="C24" s="4541"/>
      <c r="D24" s="1333" t="s">
        <v>1831</v>
      </c>
      <c r="E24" s="1334">
        <v>1</v>
      </c>
      <c r="F24" s="1332">
        <v>2.65</v>
      </c>
      <c r="G24" s="1332">
        <v>2.5</v>
      </c>
      <c r="H24" s="1332">
        <f t="shared" si="0"/>
        <v>0.14999999999999991</v>
      </c>
    </row>
    <row r="25" spans="2:8" ht="15" customHeight="1" thickBot="1" x14ac:dyDescent="0.3">
      <c r="B25" s="4539"/>
      <c r="C25" s="4541"/>
      <c r="D25" s="1333" t="s">
        <v>1832</v>
      </c>
      <c r="E25" s="1334">
        <v>1</v>
      </c>
      <c r="F25" s="1332">
        <v>2.65</v>
      </c>
      <c r="G25" s="1332">
        <v>2.5</v>
      </c>
      <c r="H25" s="1332">
        <f t="shared" si="0"/>
        <v>0.14999999999999991</v>
      </c>
    </row>
    <row r="26" spans="2:8" ht="15.75" customHeight="1" thickBot="1" x14ac:dyDescent="0.3">
      <c r="B26" s="4539"/>
      <c r="C26" s="4542" t="s">
        <v>1833</v>
      </c>
      <c r="D26" s="1333" t="s">
        <v>1834</v>
      </c>
      <c r="E26" s="1334">
        <v>1</v>
      </c>
      <c r="F26" s="1332">
        <v>28.33</v>
      </c>
      <c r="G26" s="1332">
        <v>12</v>
      </c>
      <c r="H26" s="1332">
        <f t="shared" si="0"/>
        <v>16.329999999999998</v>
      </c>
    </row>
    <row r="27" spans="2:8" ht="15.75" customHeight="1" thickBot="1" x14ac:dyDescent="0.3">
      <c r="B27" s="4539"/>
      <c r="C27" s="4542"/>
      <c r="D27" s="1333" t="s">
        <v>1835</v>
      </c>
      <c r="E27" s="1334">
        <v>1</v>
      </c>
      <c r="F27" s="1332">
        <v>1.82</v>
      </c>
      <c r="G27" s="1332">
        <v>3</v>
      </c>
      <c r="H27" s="1332">
        <f t="shared" si="0"/>
        <v>-1.18</v>
      </c>
    </row>
    <row r="28" spans="2:8" ht="15.75" customHeight="1" thickBot="1" x14ac:dyDescent="0.3">
      <c r="B28" s="4539"/>
      <c r="C28" s="4542"/>
      <c r="D28" s="1333" t="s">
        <v>1836</v>
      </c>
      <c r="E28" s="1334">
        <v>1</v>
      </c>
      <c r="F28" s="1332">
        <v>1.82</v>
      </c>
      <c r="G28" s="1332">
        <v>3</v>
      </c>
      <c r="H28" s="1332">
        <f t="shared" si="0"/>
        <v>-1.18</v>
      </c>
    </row>
    <row r="29" spans="2:8" ht="20.25" customHeight="1" thickBot="1" x14ac:dyDescent="0.3">
      <c r="B29" s="4543" t="s">
        <v>1837</v>
      </c>
      <c r="C29" s="4540" t="s">
        <v>1837</v>
      </c>
      <c r="D29" s="4540"/>
      <c r="E29" s="4540"/>
      <c r="F29" s="4540"/>
      <c r="G29" s="4540"/>
      <c r="H29" s="4540"/>
    </row>
    <row r="30" spans="2:8" ht="15" customHeight="1" thickBot="1" x14ac:dyDescent="0.3">
      <c r="B30" s="4543"/>
      <c r="C30" s="4544" t="s">
        <v>1838</v>
      </c>
      <c r="D30" s="1701" t="s">
        <v>1839</v>
      </c>
      <c r="E30" s="1702">
        <v>1</v>
      </c>
      <c r="F30" s="1335">
        <v>5.42</v>
      </c>
      <c r="G30" s="1332">
        <v>5</v>
      </c>
      <c r="H30" s="1332">
        <f t="shared" si="0"/>
        <v>0.41999999999999993</v>
      </c>
    </row>
    <row r="31" spans="2:8" ht="15.75" customHeight="1" thickBot="1" x14ac:dyDescent="0.3">
      <c r="B31" s="4543"/>
      <c r="C31" s="4544"/>
      <c r="D31" s="1701" t="s">
        <v>1840</v>
      </c>
      <c r="E31" s="1702">
        <v>1</v>
      </c>
      <c r="F31" s="1335">
        <v>12.64</v>
      </c>
      <c r="G31" s="1332">
        <v>10</v>
      </c>
      <c r="H31" s="1332">
        <f t="shared" si="0"/>
        <v>2.6400000000000006</v>
      </c>
    </row>
    <row r="32" spans="2:8" ht="15.75" customHeight="1" thickBot="1" x14ac:dyDescent="0.3">
      <c r="B32" s="4543"/>
      <c r="C32" s="4544"/>
      <c r="D32" s="1701" t="s">
        <v>1841</v>
      </c>
      <c r="E32" s="1702">
        <v>1</v>
      </c>
      <c r="F32" s="1335">
        <v>2.88</v>
      </c>
      <c r="G32" s="1332">
        <v>18</v>
      </c>
      <c r="H32" s="1332">
        <f t="shared" si="0"/>
        <v>-15.120000000000001</v>
      </c>
    </row>
    <row r="33" spans="2:8" ht="15.75" customHeight="1" thickBot="1" x14ac:dyDescent="0.3">
      <c r="B33" s="4543"/>
      <c r="C33" s="4544"/>
      <c r="D33" s="1701" t="s">
        <v>1842</v>
      </c>
      <c r="E33" s="1702">
        <v>1</v>
      </c>
      <c r="F33" s="1335">
        <v>2.98</v>
      </c>
      <c r="G33" s="1332">
        <v>0</v>
      </c>
      <c r="H33" s="1332">
        <f t="shared" si="0"/>
        <v>2.98</v>
      </c>
    </row>
    <row r="34" spans="2:8" ht="15.75" customHeight="1" thickBot="1" x14ac:dyDescent="0.3">
      <c r="B34" s="4543" t="s">
        <v>1843</v>
      </c>
      <c r="C34" s="4540" t="s">
        <v>1843</v>
      </c>
      <c r="D34" s="4540"/>
      <c r="E34" s="4540"/>
      <c r="F34" s="4540"/>
      <c r="G34" s="4540"/>
      <c r="H34" s="4540"/>
    </row>
    <row r="35" spans="2:8" ht="36" customHeight="1" thickBot="1" x14ac:dyDescent="0.3">
      <c r="B35" s="4543"/>
      <c r="C35" s="1336" t="s">
        <v>1844</v>
      </c>
      <c r="D35" s="1337" t="s">
        <v>1845</v>
      </c>
      <c r="E35" s="1334">
        <v>1</v>
      </c>
      <c r="F35" s="1332">
        <v>17.91</v>
      </c>
      <c r="G35" s="1332">
        <v>15</v>
      </c>
      <c r="H35" s="1332">
        <f t="shared" si="0"/>
        <v>2.91</v>
      </c>
    </row>
    <row r="36" spans="2:8" ht="36" customHeight="1" thickBot="1" x14ac:dyDescent="0.3">
      <c r="B36" s="4543"/>
      <c r="C36" s="1336" t="s">
        <v>1844</v>
      </c>
      <c r="D36" s="1337" t="s">
        <v>1846</v>
      </c>
      <c r="E36" s="1334">
        <v>1</v>
      </c>
      <c r="F36" s="1332">
        <v>14.15</v>
      </c>
      <c r="G36" s="1332">
        <v>30</v>
      </c>
      <c r="H36" s="1332">
        <f t="shared" si="0"/>
        <v>-15.85</v>
      </c>
    </row>
    <row r="37" spans="2:8" ht="15.75" customHeight="1" thickBot="1" x14ac:dyDescent="0.3">
      <c r="B37" s="4543"/>
      <c r="C37" s="4540" t="s">
        <v>1847</v>
      </c>
      <c r="D37" s="4540"/>
      <c r="E37" s="4540"/>
      <c r="F37" s="4540"/>
      <c r="G37" s="4540"/>
      <c r="H37" s="4540"/>
    </row>
    <row r="38" spans="2:8" ht="15.75" customHeight="1" thickBot="1" x14ac:dyDescent="0.3">
      <c r="B38" s="4543"/>
      <c r="C38" s="1336"/>
      <c r="D38" s="1333" t="s">
        <v>3333</v>
      </c>
      <c r="E38" s="1336">
        <v>1</v>
      </c>
      <c r="F38" s="1332">
        <v>14.15</v>
      </c>
      <c r="G38" s="1332">
        <v>18</v>
      </c>
      <c r="H38" s="1332">
        <f>F38-G38</f>
        <v>-3.8499999999999996</v>
      </c>
    </row>
    <row r="39" spans="2:8" ht="15.75" customHeight="1" thickBot="1" x14ac:dyDescent="0.3">
      <c r="B39" s="4545"/>
      <c r="C39" s="4540" t="s">
        <v>1848</v>
      </c>
      <c r="D39" s="4540"/>
      <c r="E39" s="4540"/>
      <c r="F39" s="4540"/>
      <c r="G39" s="4540"/>
      <c r="H39" s="4540"/>
    </row>
    <row r="40" spans="2:8" ht="50.25" customHeight="1" thickBot="1" x14ac:dyDescent="0.3">
      <c r="B40" s="4545"/>
      <c r="C40" s="1714" t="s">
        <v>1849</v>
      </c>
      <c r="D40" s="1337" t="s">
        <v>1850</v>
      </c>
      <c r="E40" s="1334">
        <v>1</v>
      </c>
      <c r="F40" s="1332">
        <v>18.7</v>
      </c>
      <c r="G40" s="1332">
        <v>22</v>
      </c>
      <c r="H40" s="1332">
        <f>F40-G40</f>
        <v>-3.3000000000000007</v>
      </c>
    </row>
    <row r="41" spans="2:8" ht="20.25" customHeight="1" thickBot="1" x14ac:dyDescent="0.3">
      <c r="B41" s="4543" t="s">
        <v>1851</v>
      </c>
      <c r="C41" s="4540" t="s">
        <v>1852</v>
      </c>
      <c r="D41" s="4540"/>
      <c r="E41" s="4540"/>
      <c r="F41" s="4540"/>
      <c r="G41" s="4540"/>
      <c r="H41" s="4540"/>
    </row>
    <row r="42" spans="2:8" ht="15.6" customHeight="1" thickBot="1" x14ac:dyDescent="0.3">
      <c r="B42" s="4543"/>
      <c r="C42" s="4544" t="s">
        <v>1853</v>
      </c>
      <c r="D42" s="1701" t="s">
        <v>1854</v>
      </c>
      <c r="E42" s="1334">
        <v>1</v>
      </c>
      <c r="F42" s="1332">
        <f>15.64+2.87</f>
        <v>18.510000000000002</v>
      </c>
      <c r="G42" s="1332">
        <v>30</v>
      </c>
      <c r="H42" s="1332">
        <f t="shared" ref="H42:H47" si="1">F42-G42</f>
        <v>-11.489999999999998</v>
      </c>
    </row>
    <row r="43" spans="2:8" ht="15.6" customHeight="1" thickBot="1" x14ac:dyDescent="0.3">
      <c r="B43" s="4543"/>
      <c r="C43" s="4544"/>
      <c r="D43" s="1701" t="s">
        <v>1855</v>
      </c>
      <c r="E43" s="1334">
        <v>1</v>
      </c>
      <c r="F43" s="1332">
        <v>23.26</v>
      </c>
      <c r="G43" s="1332">
        <v>30</v>
      </c>
      <c r="H43" s="1332">
        <f t="shared" si="1"/>
        <v>-6.7399999999999984</v>
      </c>
    </row>
    <row r="44" spans="2:8" ht="15.6" customHeight="1" thickBot="1" x14ac:dyDescent="0.3">
      <c r="B44" s="4543"/>
      <c r="C44" s="4544"/>
      <c r="D44" s="1701" t="s">
        <v>1856</v>
      </c>
      <c r="E44" s="1334">
        <v>1</v>
      </c>
      <c r="F44" s="1332">
        <f>16.86+2.3</f>
        <v>19.16</v>
      </c>
      <c r="G44" s="1332">
        <v>18</v>
      </c>
      <c r="H44" s="1332">
        <f t="shared" si="1"/>
        <v>1.1600000000000001</v>
      </c>
    </row>
    <row r="45" spans="2:8" ht="15.75" customHeight="1" thickBot="1" x14ac:dyDescent="0.3">
      <c r="B45" s="4543"/>
      <c r="C45" s="4542" t="s">
        <v>1857</v>
      </c>
      <c r="D45" s="1333" t="s">
        <v>1858</v>
      </c>
      <c r="E45" s="1334">
        <v>1</v>
      </c>
      <c r="F45" s="1334">
        <v>11.05</v>
      </c>
      <c r="G45" s="1332">
        <v>9</v>
      </c>
      <c r="H45" s="1332">
        <f t="shared" si="1"/>
        <v>2.0500000000000007</v>
      </c>
    </row>
    <row r="46" spans="2:8" ht="15.75" customHeight="1" thickBot="1" x14ac:dyDescent="0.3">
      <c r="B46" s="4543"/>
      <c r="C46" s="4542"/>
      <c r="D46" s="1333" t="s">
        <v>1859</v>
      </c>
      <c r="E46" s="1334">
        <v>1</v>
      </c>
      <c r="F46" s="1334">
        <v>6.21</v>
      </c>
      <c r="G46" s="1332">
        <v>3</v>
      </c>
      <c r="H46" s="1332">
        <f t="shared" si="1"/>
        <v>3.21</v>
      </c>
    </row>
    <row r="47" spans="2:8" ht="15.75" customHeight="1" thickBot="1" x14ac:dyDescent="0.3">
      <c r="B47" s="4543"/>
      <c r="C47" s="4542"/>
      <c r="D47" s="1333" t="s">
        <v>1860</v>
      </c>
      <c r="E47" s="1334">
        <v>1</v>
      </c>
      <c r="F47" s="1334">
        <v>1.76</v>
      </c>
      <c r="G47" s="1332">
        <v>4</v>
      </c>
      <c r="H47" s="1332">
        <f t="shared" si="1"/>
        <v>-2.2400000000000002</v>
      </c>
    </row>
    <row r="48" spans="2:8" ht="20.25" customHeight="1" thickBot="1" x14ac:dyDescent="0.3">
      <c r="B48" s="4543" t="s">
        <v>331</v>
      </c>
      <c r="C48" s="4540" t="s">
        <v>1861</v>
      </c>
      <c r="D48" s="4540"/>
      <c r="E48" s="4540"/>
      <c r="F48" s="4540"/>
      <c r="G48" s="4540"/>
      <c r="H48" s="4540"/>
    </row>
    <row r="49" spans="2:8" ht="33.6" customHeight="1" thickBot="1" x14ac:dyDescent="0.3">
      <c r="B49" s="4543"/>
      <c r="C49" s="4544" t="s">
        <v>1862</v>
      </c>
      <c r="D49" s="1701" t="s">
        <v>1863</v>
      </c>
      <c r="E49" s="1334">
        <v>1</v>
      </c>
      <c r="F49" s="1335">
        <f>19.19+4.28</f>
        <v>23.470000000000002</v>
      </c>
      <c r="G49" s="1332">
        <v>18</v>
      </c>
      <c r="H49" s="1332">
        <f>F49-G49</f>
        <v>5.4700000000000024</v>
      </c>
    </row>
    <row r="50" spans="2:8" ht="16.899999999999999" customHeight="1" thickBot="1" x14ac:dyDescent="0.3">
      <c r="B50" s="4543"/>
      <c r="C50" s="4544"/>
      <c r="D50" s="1701" t="s">
        <v>1864</v>
      </c>
      <c r="E50" s="1334">
        <v>1</v>
      </c>
      <c r="F50" s="1335">
        <v>14.01</v>
      </c>
      <c r="G50" s="1332">
        <v>18</v>
      </c>
      <c r="H50" s="1332">
        <f>F50-G50</f>
        <v>-3.99</v>
      </c>
    </row>
    <row r="51" spans="2:8" ht="17.25" thickBot="1" x14ac:dyDescent="0.3">
      <c r="B51" s="4543"/>
      <c r="C51" s="4545" t="s">
        <v>1865</v>
      </c>
      <c r="D51" s="1333" t="s">
        <v>1866</v>
      </c>
      <c r="E51" s="1334">
        <v>1</v>
      </c>
      <c r="F51" s="1335">
        <v>11.2</v>
      </c>
      <c r="G51" s="1332">
        <v>15</v>
      </c>
      <c r="H51" s="1332">
        <f>F51-G51</f>
        <v>-3.8000000000000007</v>
      </c>
    </row>
    <row r="52" spans="2:8" ht="17.25" thickBot="1" x14ac:dyDescent="0.3">
      <c r="B52" s="4543"/>
      <c r="C52" s="4545"/>
      <c r="D52" s="1333" t="s">
        <v>1867</v>
      </c>
      <c r="E52" s="1334">
        <v>1</v>
      </c>
      <c r="F52" s="1335">
        <v>3.77</v>
      </c>
      <c r="G52" s="1332">
        <v>0</v>
      </c>
      <c r="H52" s="1332">
        <f>F52-G52</f>
        <v>3.77</v>
      </c>
    </row>
    <row r="53" spans="2:8" ht="15.75" hidden="1" customHeight="1" x14ac:dyDescent="0.25">
      <c r="B53" s="4543"/>
      <c r="C53" s="4545"/>
      <c r="D53" s="4545"/>
      <c r="E53" s="4545"/>
      <c r="F53" s="4545"/>
      <c r="G53" s="4545"/>
      <c r="H53" s="4545"/>
    </row>
    <row r="54" spans="2:8" ht="15.75" hidden="1" customHeight="1" x14ac:dyDescent="0.25">
      <c r="B54" s="4543"/>
      <c r="C54" s="1336"/>
      <c r="D54" s="1333"/>
      <c r="E54" s="1334"/>
      <c r="F54" s="1335"/>
      <c r="G54" s="1334"/>
      <c r="H54" s="1332"/>
    </row>
    <row r="55" spans="2:8" ht="15.75" customHeight="1" thickBot="1" x14ac:dyDescent="0.3">
      <c r="B55" s="4543"/>
      <c r="C55" s="4540" t="s">
        <v>1869</v>
      </c>
      <c r="D55" s="4540"/>
      <c r="E55" s="4540"/>
      <c r="F55" s="4540"/>
      <c r="G55" s="4540"/>
      <c r="H55" s="4540"/>
    </row>
    <row r="56" spans="2:8" ht="15" customHeight="1" thickBot="1" x14ac:dyDescent="0.3">
      <c r="B56" s="4543"/>
      <c r="C56" s="1336" t="s">
        <v>1868</v>
      </c>
      <c r="D56" s="1701" t="s">
        <v>1870</v>
      </c>
      <c r="E56" s="1334">
        <v>1</v>
      </c>
      <c r="F56" s="1335">
        <v>6.24</v>
      </c>
      <c r="G56" s="1332">
        <v>6.5</v>
      </c>
      <c r="H56" s="1332">
        <f>F56-G56</f>
        <v>-0.25999999999999979</v>
      </c>
    </row>
    <row r="57" spans="2:8" ht="15.75" customHeight="1" thickBot="1" x14ac:dyDescent="0.3">
      <c r="B57" s="4543" t="s">
        <v>1871</v>
      </c>
      <c r="C57" s="4540" t="s">
        <v>1871</v>
      </c>
      <c r="D57" s="4540"/>
      <c r="E57" s="4540"/>
      <c r="F57" s="4540"/>
      <c r="G57" s="4540"/>
      <c r="H57" s="4540"/>
    </row>
    <row r="58" spans="2:8" ht="15" customHeight="1" thickBot="1" x14ac:dyDescent="0.3">
      <c r="B58" s="4543"/>
      <c r="C58" s="4542" t="s">
        <v>1872</v>
      </c>
      <c r="D58" s="1333" t="s">
        <v>1873</v>
      </c>
      <c r="E58" s="1334">
        <v>1</v>
      </c>
      <c r="F58" s="1335">
        <v>10.3</v>
      </c>
      <c r="G58" s="1332">
        <v>15</v>
      </c>
      <c r="H58" s="1332">
        <f>F58-G58</f>
        <v>-4.6999999999999993</v>
      </c>
    </row>
    <row r="59" spans="2:8" ht="15" customHeight="1" thickBot="1" x14ac:dyDescent="0.3">
      <c r="B59" s="4543"/>
      <c r="C59" s="4542"/>
      <c r="D59" s="1333" t="s">
        <v>1874</v>
      </c>
      <c r="E59" s="1334">
        <v>1</v>
      </c>
      <c r="F59" s="1335">
        <v>7.08</v>
      </c>
      <c r="G59" s="1332">
        <v>15</v>
      </c>
      <c r="H59" s="1332">
        <f>F59-G59</f>
        <v>-7.92</v>
      </c>
    </row>
    <row r="60" spans="2:8" ht="15" customHeight="1" thickBot="1" x14ac:dyDescent="0.3">
      <c r="B60" s="4543"/>
      <c r="C60" s="1338" t="s">
        <v>1875</v>
      </c>
      <c r="D60" s="1333" t="s">
        <v>1876</v>
      </c>
      <c r="E60" s="1334">
        <v>1</v>
      </c>
      <c r="F60" s="1335">
        <f>5.59+3.45</f>
        <v>9.0399999999999991</v>
      </c>
      <c r="G60" s="1332">
        <v>24</v>
      </c>
      <c r="H60" s="1332">
        <f t="shared" ref="H60:H66" si="2">F60-G60</f>
        <v>-14.96</v>
      </c>
    </row>
    <row r="61" spans="2:8" ht="15" customHeight="1" thickBot="1" x14ac:dyDescent="0.3">
      <c r="B61" s="4543"/>
      <c r="C61" s="4542" t="s">
        <v>1877</v>
      </c>
      <c r="D61" s="1333" t="s">
        <v>1831</v>
      </c>
      <c r="E61" s="1334">
        <v>1</v>
      </c>
      <c r="F61" s="1335">
        <v>1.85</v>
      </c>
      <c r="G61" s="1332">
        <v>3</v>
      </c>
      <c r="H61" s="1332">
        <f t="shared" si="2"/>
        <v>-1.1499999999999999</v>
      </c>
    </row>
    <row r="62" spans="2:8" ht="15" customHeight="1" thickBot="1" x14ac:dyDescent="0.3">
      <c r="B62" s="4543"/>
      <c r="C62" s="4542"/>
      <c r="D62" s="1333" t="s">
        <v>1832</v>
      </c>
      <c r="E62" s="1334">
        <v>1</v>
      </c>
      <c r="F62" s="1335">
        <v>1.8</v>
      </c>
      <c r="G62" s="1332">
        <v>2.5</v>
      </c>
      <c r="H62" s="1332">
        <f t="shared" si="2"/>
        <v>-0.7</v>
      </c>
    </row>
    <row r="63" spans="2:8" ht="15.75" customHeight="1" thickBot="1" x14ac:dyDescent="0.3">
      <c r="B63" s="4543"/>
      <c r="C63" s="4540" t="s">
        <v>1878</v>
      </c>
      <c r="D63" s="4540"/>
      <c r="E63" s="4540"/>
      <c r="F63" s="4540"/>
      <c r="G63" s="4540"/>
      <c r="H63" s="4540"/>
    </row>
    <row r="64" spans="2:8" ht="15" customHeight="1" thickBot="1" x14ac:dyDescent="0.3">
      <c r="B64" s="4543"/>
      <c r="C64" s="1338" t="s">
        <v>1879</v>
      </c>
      <c r="D64" s="1333" t="s">
        <v>1880</v>
      </c>
      <c r="E64" s="1334">
        <v>1</v>
      </c>
      <c r="F64" s="1335">
        <v>29.76</v>
      </c>
      <c r="G64" s="1332">
        <v>12</v>
      </c>
      <c r="H64" s="1332">
        <f t="shared" si="2"/>
        <v>17.760000000000002</v>
      </c>
    </row>
    <row r="65" spans="2:8" ht="15.75" customHeight="1" thickBot="1" x14ac:dyDescent="0.3">
      <c r="B65" s="4543" t="s">
        <v>3334</v>
      </c>
      <c r="C65" s="4540" t="s">
        <v>2205</v>
      </c>
      <c r="D65" s="4540"/>
      <c r="E65" s="4540"/>
      <c r="F65" s="4540"/>
      <c r="G65" s="4540"/>
      <c r="H65" s="4540"/>
    </row>
    <row r="66" spans="2:8" ht="15.75" customHeight="1" thickBot="1" x14ac:dyDescent="0.3">
      <c r="B66" s="4543"/>
      <c r="C66" s="1338" t="s">
        <v>1881</v>
      </c>
      <c r="D66" s="1333" t="s">
        <v>1882</v>
      </c>
      <c r="E66" s="1334">
        <v>1</v>
      </c>
      <c r="F66" s="1335">
        <v>45.96</v>
      </c>
      <c r="G66" s="1332">
        <v>20</v>
      </c>
      <c r="H66" s="1332">
        <f t="shared" si="2"/>
        <v>25.96</v>
      </c>
    </row>
    <row r="67" spans="2:8" ht="19.5" customHeight="1" thickBot="1" x14ac:dyDescent="0.3">
      <c r="B67" s="4543"/>
      <c r="C67" s="4540" t="s">
        <v>1883</v>
      </c>
      <c r="D67" s="4540"/>
      <c r="E67" s="4540"/>
      <c r="F67" s="4540"/>
      <c r="G67" s="4540"/>
      <c r="H67" s="4540"/>
    </row>
    <row r="68" spans="2:8" ht="15" customHeight="1" thickBot="1" x14ac:dyDescent="0.3">
      <c r="B68" s="4543"/>
      <c r="C68" s="1338" t="s">
        <v>1884</v>
      </c>
      <c r="D68" s="1333" t="s">
        <v>1885</v>
      </c>
      <c r="E68" s="1334">
        <v>1</v>
      </c>
      <c r="F68" s="1335">
        <v>9.41</v>
      </c>
      <c r="G68" s="1332">
        <v>20</v>
      </c>
      <c r="H68" s="1332">
        <f>F68-G68</f>
        <v>-10.59</v>
      </c>
    </row>
    <row r="69" spans="2:8" ht="19.5" customHeight="1" thickBot="1" x14ac:dyDescent="0.3">
      <c r="B69" s="4543"/>
      <c r="C69" s="4540" t="s">
        <v>1886</v>
      </c>
      <c r="D69" s="4540"/>
      <c r="E69" s="4540"/>
      <c r="F69" s="4540"/>
      <c r="G69" s="4540"/>
      <c r="H69" s="4540"/>
    </row>
    <row r="70" spans="2:8" ht="15" customHeight="1" thickBot="1" x14ac:dyDescent="0.3">
      <c r="B70" s="4543"/>
      <c r="C70" s="1338" t="s">
        <v>3335</v>
      </c>
      <c r="D70" s="1333" t="s">
        <v>1887</v>
      </c>
      <c r="E70" s="1334">
        <v>1</v>
      </c>
      <c r="F70" s="1335">
        <v>9.33</v>
      </c>
      <c r="G70" s="1332">
        <v>30</v>
      </c>
      <c r="H70" s="1332">
        <f>F70-G70</f>
        <v>-20.67</v>
      </c>
    </row>
    <row r="71" spans="2:8" ht="20.25" customHeight="1" thickBot="1" x14ac:dyDescent="0.3">
      <c r="B71" s="4543"/>
      <c r="C71" s="4540" t="s">
        <v>1888</v>
      </c>
      <c r="D71" s="4540"/>
      <c r="E71" s="4540"/>
      <c r="F71" s="4540"/>
      <c r="G71" s="4540"/>
      <c r="H71" s="4540"/>
    </row>
    <row r="72" spans="2:8" ht="15" customHeight="1" thickBot="1" x14ac:dyDescent="0.3">
      <c r="B72" s="4543"/>
      <c r="C72" s="4542" t="s">
        <v>3336</v>
      </c>
      <c r="D72" s="1333" t="s">
        <v>1889</v>
      </c>
      <c r="E72" s="1334">
        <v>1</v>
      </c>
      <c r="F72" s="1335">
        <v>23.27</v>
      </c>
      <c r="G72" s="1332">
        <v>20</v>
      </c>
      <c r="H72" s="1332">
        <f>F72-G72</f>
        <v>3.2699999999999996</v>
      </c>
    </row>
    <row r="73" spans="2:8" ht="15.75" customHeight="1" thickBot="1" x14ac:dyDescent="0.3">
      <c r="B73" s="4543"/>
      <c r="C73" s="4542"/>
      <c r="D73" s="1333" t="s">
        <v>1890</v>
      </c>
      <c r="E73" s="1334">
        <v>1</v>
      </c>
      <c r="F73" s="1335">
        <v>17.46</v>
      </c>
      <c r="G73" s="1332">
        <v>8</v>
      </c>
      <c r="H73" s="1332">
        <f>F73-G73</f>
        <v>9.4600000000000009</v>
      </c>
    </row>
    <row r="74" spans="2:8" ht="15.75" customHeight="1" thickBot="1" x14ac:dyDescent="0.3">
      <c r="B74" s="4543"/>
      <c r="C74" s="4540" t="s">
        <v>1891</v>
      </c>
      <c r="D74" s="4540"/>
      <c r="E74" s="4540"/>
      <c r="F74" s="4540"/>
      <c r="G74" s="4540"/>
      <c r="H74" s="4540"/>
    </row>
    <row r="75" spans="2:8" ht="15.75" customHeight="1" thickBot="1" x14ac:dyDescent="0.3">
      <c r="B75" s="4543"/>
      <c r="C75" s="1338" t="s">
        <v>282</v>
      </c>
      <c r="D75" s="1333" t="s">
        <v>1892</v>
      </c>
      <c r="E75" s="1334">
        <v>1</v>
      </c>
      <c r="F75" s="1335">
        <v>10.64</v>
      </c>
      <c r="G75" s="1332">
        <v>6</v>
      </c>
      <c r="H75" s="1332">
        <f>F75-G75</f>
        <v>4.6400000000000006</v>
      </c>
    </row>
    <row r="76" spans="2:8" ht="18" customHeight="1" thickBot="1" x14ac:dyDescent="0.3">
      <c r="B76" s="4543"/>
      <c r="C76" s="4540" t="s">
        <v>1893</v>
      </c>
      <c r="D76" s="4540"/>
      <c r="E76" s="4540"/>
      <c r="F76" s="4540"/>
      <c r="G76" s="4540"/>
      <c r="H76" s="4540"/>
    </row>
    <row r="77" spans="2:8" ht="15" customHeight="1" thickBot="1" x14ac:dyDescent="0.3">
      <c r="B77" s="4543"/>
      <c r="C77" s="1338" t="s">
        <v>557</v>
      </c>
      <c r="D77" s="1333" t="s">
        <v>1894</v>
      </c>
      <c r="E77" s="1334">
        <v>1</v>
      </c>
      <c r="F77" s="1335">
        <v>7.39</v>
      </c>
      <c r="G77" s="1332">
        <v>15</v>
      </c>
      <c r="H77" s="1332">
        <f>F77-G77</f>
        <v>-7.61</v>
      </c>
    </row>
    <row r="78" spans="2:8" ht="19.5" customHeight="1" thickBot="1" x14ac:dyDescent="0.3">
      <c r="B78" s="4543" t="s">
        <v>3337</v>
      </c>
      <c r="C78" s="4540" t="s">
        <v>1895</v>
      </c>
      <c r="D78" s="4540"/>
      <c r="E78" s="4540"/>
      <c r="F78" s="4540"/>
      <c r="G78" s="4540"/>
      <c r="H78" s="4540"/>
    </row>
    <row r="79" spans="2:8" ht="14.45" customHeight="1" thickBot="1" x14ac:dyDescent="0.3">
      <c r="B79" s="4543"/>
      <c r="C79" s="1338" t="s">
        <v>3338</v>
      </c>
      <c r="D79" s="1333" t="s">
        <v>1896</v>
      </c>
      <c r="E79" s="1334">
        <v>1</v>
      </c>
      <c r="F79" s="1335">
        <v>38.869999999999997</v>
      </c>
      <c r="G79" s="1332">
        <v>72</v>
      </c>
      <c r="H79" s="1332">
        <f>F79-G79</f>
        <v>-33.130000000000003</v>
      </c>
    </row>
    <row r="80" spans="2:8" ht="15.75" customHeight="1" thickBot="1" x14ac:dyDescent="0.3">
      <c r="B80" s="4543"/>
      <c r="C80" s="4540" t="s">
        <v>2211</v>
      </c>
      <c r="D80" s="4540"/>
      <c r="E80" s="4540"/>
      <c r="F80" s="4540"/>
      <c r="G80" s="4540"/>
      <c r="H80" s="4540"/>
    </row>
    <row r="81" spans="2:8" ht="15" customHeight="1" thickBot="1" x14ac:dyDescent="0.3">
      <c r="B81" s="4543"/>
      <c r="C81" s="4542" t="s">
        <v>3339</v>
      </c>
      <c r="D81" s="1333" t="s">
        <v>3340</v>
      </c>
      <c r="E81" s="1334">
        <v>1</v>
      </c>
      <c r="F81" s="1335">
        <v>17.3</v>
      </c>
      <c r="G81" s="1335">
        <v>15</v>
      </c>
      <c r="H81" s="1332">
        <f>F81-G81</f>
        <v>2.3000000000000007</v>
      </c>
    </row>
    <row r="82" spans="2:8" ht="15" customHeight="1" thickBot="1" x14ac:dyDescent="0.3">
      <c r="B82" s="4543"/>
      <c r="C82" s="4542"/>
      <c r="D82" s="1333" t="s">
        <v>3341</v>
      </c>
      <c r="E82" s="1334">
        <v>1</v>
      </c>
      <c r="F82" s="1335">
        <v>16.5</v>
      </c>
      <c r="G82" s="1335">
        <v>15</v>
      </c>
      <c r="H82" s="1332">
        <f t="shared" ref="H82:H87" si="3">F82-G82</f>
        <v>1.5</v>
      </c>
    </row>
    <row r="83" spans="2:8" ht="15" customHeight="1" thickBot="1" x14ac:dyDescent="0.3">
      <c r="B83" s="4543"/>
      <c r="C83" s="4542"/>
      <c r="D83" s="1333" t="s">
        <v>3342</v>
      </c>
      <c r="E83" s="1334">
        <v>1</v>
      </c>
      <c r="F83" s="1335">
        <v>16</v>
      </c>
      <c r="G83" s="1335">
        <v>15</v>
      </c>
      <c r="H83" s="1332">
        <f t="shared" si="3"/>
        <v>1</v>
      </c>
    </row>
    <row r="84" spans="2:8" ht="15" customHeight="1" thickBot="1" x14ac:dyDescent="0.3">
      <c r="B84" s="4543"/>
      <c r="C84" s="4542"/>
      <c r="D84" s="1333" t="s">
        <v>3343</v>
      </c>
      <c r="E84" s="1334">
        <v>1</v>
      </c>
      <c r="F84" s="1335">
        <v>15.61</v>
      </c>
      <c r="G84" s="1335">
        <v>15</v>
      </c>
      <c r="H84" s="1332">
        <f t="shared" si="3"/>
        <v>0.60999999999999943</v>
      </c>
    </row>
    <row r="85" spans="2:8" ht="15" customHeight="1" thickBot="1" x14ac:dyDescent="0.3">
      <c r="B85" s="4543"/>
      <c r="C85" s="4542"/>
      <c r="D85" s="1333" t="s">
        <v>3344</v>
      </c>
      <c r="E85" s="1334">
        <v>1</v>
      </c>
      <c r="F85" s="1335">
        <f>12.12+10.83</f>
        <v>22.95</v>
      </c>
      <c r="G85" s="1335">
        <v>15</v>
      </c>
      <c r="H85" s="1332">
        <f t="shared" si="3"/>
        <v>7.9499999999999993</v>
      </c>
    </row>
    <row r="86" spans="2:8" ht="15" customHeight="1" thickBot="1" x14ac:dyDescent="0.3">
      <c r="B86" s="4543"/>
      <c r="C86" s="4542"/>
      <c r="D86" s="1333" t="s">
        <v>3345</v>
      </c>
      <c r="E86" s="1334">
        <v>1</v>
      </c>
      <c r="F86" s="1335">
        <v>6.88</v>
      </c>
      <c r="G86" s="1335">
        <v>0</v>
      </c>
      <c r="H86" s="1332">
        <f t="shared" si="3"/>
        <v>6.88</v>
      </c>
    </row>
    <row r="87" spans="2:8" ht="15" customHeight="1" thickBot="1" x14ac:dyDescent="0.3">
      <c r="B87" s="4543"/>
      <c r="C87" s="4542"/>
      <c r="D87" s="1333" t="s">
        <v>3346</v>
      </c>
      <c r="E87" s="1334">
        <v>1</v>
      </c>
      <c r="F87" s="1335">
        <v>3.8</v>
      </c>
      <c r="G87" s="1335">
        <v>2.5</v>
      </c>
      <c r="H87" s="1332">
        <f t="shared" si="3"/>
        <v>1.2999999999999998</v>
      </c>
    </row>
    <row r="88" spans="2:8" ht="16.149999999999999" customHeight="1" thickBot="1" x14ac:dyDescent="0.3">
      <c r="B88" s="4542" t="s">
        <v>1897</v>
      </c>
      <c r="C88" s="4542"/>
      <c r="D88" s="4542"/>
      <c r="E88" s="4542"/>
      <c r="F88" s="1339">
        <f>SUM(F8:F87)</f>
        <v>835.0899999999998</v>
      </c>
      <c r="G88" s="1339">
        <f>SUM(G8:G87)</f>
        <v>859</v>
      </c>
      <c r="H88" s="1339">
        <f>SUM(H8:H87)</f>
        <v>-23.910000000000004</v>
      </c>
    </row>
    <row r="90" spans="2:8" x14ac:dyDescent="0.25">
      <c r="F90" s="1345"/>
      <c r="G90" s="1346"/>
      <c r="H90" s="1345"/>
    </row>
    <row r="92" spans="2:8" ht="17.25" thickBot="1" x14ac:dyDescent="0.3"/>
    <row r="93" spans="2:8" ht="48" customHeight="1" thickBot="1" x14ac:dyDescent="0.3">
      <c r="D93" s="1342" t="s">
        <v>1898</v>
      </c>
      <c r="E93" s="1343" t="str">
        <f>F6</f>
        <v>AREA  NETA EXISTENTE (M2)</v>
      </c>
      <c r="F93" s="793" t="str">
        <f>G6</f>
        <v>ÁREA MÍNIMA NORMATIVA NTS 113 (M2)</v>
      </c>
      <c r="G93" s="794" t="str">
        <f>H6</f>
        <v>BRECHA (M2)</v>
      </c>
      <c r="H93" s="1331"/>
    </row>
    <row r="94" spans="2:8" ht="17.25" thickBot="1" x14ac:dyDescent="0.3">
      <c r="D94" s="1347" t="str">
        <f>C7</f>
        <v>UPSS CONSULTA EXTERNA</v>
      </c>
      <c r="E94" s="1348">
        <f>SUM(F8:F28)</f>
        <v>286.41999999999996</v>
      </c>
      <c r="F94" s="1348">
        <f>SUM(G8:G28)</f>
        <v>249.5</v>
      </c>
      <c r="G94" s="1348">
        <f>SUM(H8:H28)</f>
        <v>36.919999999999987</v>
      </c>
      <c r="H94" s="1345"/>
    </row>
    <row r="95" spans="2:8" ht="17.25" thickBot="1" x14ac:dyDescent="0.3">
      <c r="D95" s="1347" t="str">
        <f>C29</f>
        <v>UPSS PATOLOGIA CLINICA</v>
      </c>
      <c r="E95" s="1348">
        <f>SUM(F30:F33)</f>
        <v>23.92</v>
      </c>
      <c r="F95" s="1348">
        <f>SUM(G30:G33)</f>
        <v>33</v>
      </c>
      <c r="G95" s="1348">
        <f>SUM(H30:H33)</f>
        <v>-9.08</v>
      </c>
      <c r="H95" s="1345"/>
    </row>
    <row r="96" spans="2:8" ht="17.25" thickBot="1" x14ac:dyDescent="0.3">
      <c r="D96" s="1347" t="str">
        <f>C34</f>
        <v>UPSS FARMACIA</v>
      </c>
      <c r="E96" s="1348">
        <f>SUM(F35:F36)</f>
        <v>32.06</v>
      </c>
      <c r="F96" s="1348">
        <f>SUM(G35:G36)</f>
        <v>45</v>
      </c>
      <c r="G96" s="1348">
        <f>SUM(H35:H36)</f>
        <v>-12.94</v>
      </c>
      <c r="H96" s="1345"/>
    </row>
    <row r="97" spans="4:8" ht="17.25" thickBot="1" x14ac:dyDescent="0.3">
      <c r="D97" s="1347" t="s">
        <v>1270</v>
      </c>
      <c r="E97" s="1348">
        <f>SUM(F38)</f>
        <v>14.15</v>
      </c>
      <c r="F97" s="1348">
        <f>SUM(G38)</f>
        <v>18</v>
      </c>
      <c r="G97" s="1348">
        <f>SUM(H38)</f>
        <v>-3.8499999999999996</v>
      </c>
      <c r="H97" s="1345"/>
    </row>
    <row r="98" spans="4:8" ht="17.25" thickBot="1" x14ac:dyDescent="0.3">
      <c r="D98" s="1347" t="str">
        <f>C39</f>
        <v>AADS URGENCIAS Y EMERGENCIAS</v>
      </c>
      <c r="E98" s="1348">
        <f>SUM(F40)</f>
        <v>18.7</v>
      </c>
      <c r="F98" s="1348">
        <f>SUM(G40)</f>
        <v>22</v>
      </c>
      <c r="G98" s="1348">
        <f>SUM(H40)</f>
        <v>-3.3000000000000007</v>
      </c>
      <c r="H98" s="1345"/>
    </row>
    <row r="99" spans="4:8" ht="17.25" thickBot="1" x14ac:dyDescent="0.3">
      <c r="D99" s="1347" t="str">
        <f>C41</f>
        <v>AADS ATENCION DE GESTANTE EN PERIODO DE PARTO</v>
      </c>
      <c r="E99" s="1348">
        <f>SUM(F42:F47)</f>
        <v>79.95</v>
      </c>
      <c r="F99" s="1348">
        <f>SUM(G42:G47)</f>
        <v>94</v>
      </c>
      <c r="G99" s="1348">
        <f>SUM(H42:H47)</f>
        <v>-14.049999999999995</v>
      </c>
      <c r="H99" s="1345"/>
    </row>
    <row r="100" spans="4:8" ht="17.25" thickBot="1" x14ac:dyDescent="0.3">
      <c r="D100" s="1347" t="str">
        <f>C48</f>
        <v>AADS INTERNAMIENTO</v>
      </c>
      <c r="E100" s="1348">
        <f>SUM(F49:F52)</f>
        <v>52.45000000000001</v>
      </c>
      <c r="F100" s="1348">
        <f>SUM(G49:G52)</f>
        <v>51</v>
      </c>
      <c r="G100" s="1348">
        <f>SUM(H49:H52)</f>
        <v>1.4500000000000015</v>
      </c>
      <c r="H100" s="1345"/>
    </row>
    <row r="101" spans="4:8" ht="17.25" thickBot="1" x14ac:dyDescent="0.3">
      <c r="D101" s="1347" t="str">
        <f>C55</f>
        <v>AADS DESINFECCION Y ESTERILIZACION</v>
      </c>
      <c r="E101" s="1348">
        <f>SUM(F56)</f>
        <v>6.24</v>
      </c>
      <c r="F101" s="1348">
        <f>SUM(G56)</f>
        <v>6.5</v>
      </c>
      <c r="G101" s="1348">
        <f>SUM(H56)</f>
        <v>-0.25999999999999979</v>
      </c>
      <c r="H101" s="1345"/>
    </row>
    <row r="102" spans="4:8" ht="17.25" thickBot="1" x14ac:dyDescent="0.3">
      <c r="D102" s="1347" t="str">
        <f>C57</f>
        <v>UPS ADMINISTRACION</v>
      </c>
      <c r="E102" s="1348">
        <f>SUM(F58:F62)</f>
        <v>30.070000000000004</v>
      </c>
      <c r="F102" s="1348">
        <f>SUM(G58:G62)</f>
        <v>59.5</v>
      </c>
      <c r="G102" s="1348">
        <f>SUM(H58:H62)</f>
        <v>-29.429999999999996</v>
      </c>
      <c r="H102" s="1345"/>
    </row>
    <row r="103" spans="4:8" ht="17.25" thickBot="1" x14ac:dyDescent="0.3">
      <c r="D103" s="1347" t="str">
        <f>C63</f>
        <v>UPS GESTION DE LA INFORMACION</v>
      </c>
      <c r="E103" s="1348">
        <f>SUM(F64)</f>
        <v>29.76</v>
      </c>
      <c r="F103" s="1348">
        <f>SUM(G64)</f>
        <v>12</v>
      </c>
      <c r="G103" s="1348">
        <f>SUM(H64)</f>
        <v>17.760000000000002</v>
      </c>
      <c r="H103" s="1345"/>
    </row>
    <row r="104" spans="4:8" ht="17.25" thickBot="1" x14ac:dyDescent="0.3">
      <c r="D104" s="1347" t="str">
        <f>C65</f>
        <v>UPS TRANSPORTE</v>
      </c>
      <c r="E104" s="1348">
        <f>SUM(F66)</f>
        <v>45.96</v>
      </c>
      <c r="F104" s="1348">
        <f>SUM(G66)</f>
        <v>20</v>
      </c>
      <c r="G104" s="1348">
        <f>SUM(H66)</f>
        <v>25.96</v>
      </c>
      <c r="H104" s="1345"/>
    </row>
    <row r="105" spans="4:8" ht="17.25" thickBot="1" x14ac:dyDescent="0.3">
      <c r="D105" s="1347" t="str">
        <f>C67</f>
        <v>UPS CASA DE FUERZA</v>
      </c>
      <c r="E105" s="1348">
        <f>F68</f>
        <v>9.41</v>
      </c>
      <c r="F105" s="1348">
        <f>G68</f>
        <v>20</v>
      </c>
      <c r="G105" s="1348">
        <f>H68</f>
        <v>-10.59</v>
      </c>
      <c r="H105" s="1345"/>
    </row>
    <row r="106" spans="4:8" ht="17.25" thickBot="1" x14ac:dyDescent="0.3">
      <c r="D106" s="1347" t="str">
        <f>C69</f>
        <v>UPS CADENA DE FRÍO</v>
      </c>
      <c r="E106" s="1348">
        <f>F70</f>
        <v>9.33</v>
      </c>
      <c r="F106" s="1348">
        <f>G70</f>
        <v>30</v>
      </c>
      <c r="G106" s="1348">
        <f>H70</f>
        <v>-20.67</v>
      </c>
      <c r="H106" s="1345"/>
    </row>
    <row r="107" spans="4:8" ht="17.25" thickBot="1" x14ac:dyDescent="0.3">
      <c r="D107" s="1347" t="str">
        <f>C71</f>
        <v>UPS ALMACÉN</v>
      </c>
      <c r="E107" s="1348">
        <f>SUM(F72:F73)</f>
        <v>40.730000000000004</v>
      </c>
      <c r="F107" s="1348">
        <f>SUM(G72:G73)</f>
        <v>28</v>
      </c>
      <c r="G107" s="1348">
        <f>SUM(H72:H73)</f>
        <v>12.73</v>
      </c>
      <c r="H107" s="1345"/>
    </row>
    <row r="108" spans="4:8" ht="17.25" thickBot="1" x14ac:dyDescent="0.3">
      <c r="D108" s="1347" t="str">
        <f>C74</f>
        <v>UPS LAVANDERIA</v>
      </c>
      <c r="E108" s="1348">
        <f>SUM(F75)</f>
        <v>10.64</v>
      </c>
      <c r="F108" s="1348">
        <f>SUM(G75)</f>
        <v>6</v>
      </c>
      <c r="G108" s="1348">
        <f>SUM(H75)</f>
        <v>4.6400000000000006</v>
      </c>
      <c r="H108" s="1345"/>
    </row>
    <row r="109" spans="4:8" ht="17.25" thickBot="1" x14ac:dyDescent="0.3">
      <c r="D109" s="1347" t="str">
        <f>C76</f>
        <v>UPS SALUD AMBIENTAL</v>
      </c>
      <c r="E109" s="1348">
        <f>SUM(F77)</f>
        <v>7.39</v>
      </c>
      <c r="F109" s="1348">
        <f>SUM(G77)</f>
        <v>15</v>
      </c>
      <c r="G109" s="1348">
        <f>SUM(H77)</f>
        <v>-7.61</v>
      </c>
      <c r="H109" s="1345"/>
    </row>
    <row r="110" spans="4:8" ht="17.25" thickBot="1" x14ac:dyDescent="0.3">
      <c r="D110" s="1347" t="str">
        <f>C78</f>
        <v>UPS SALA DE USO MULTIPLE</v>
      </c>
      <c r="E110" s="1348">
        <f>SUM(F79)</f>
        <v>38.869999999999997</v>
      </c>
      <c r="F110" s="1348">
        <f>SUM(G79)</f>
        <v>72</v>
      </c>
      <c r="G110" s="1348">
        <f>SUM(H79)</f>
        <v>-33.130000000000003</v>
      </c>
      <c r="H110" s="1345"/>
    </row>
    <row r="111" spans="4:8" ht="17.25" thickBot="1" x14ac:dyDescent="0.3">
      <c r="D111" s="1347" t="str">
        <f>C80</f>
        <v>UPS CASA MATERNA</v>
      </c>
      <c r="E111" s="1348">
        <f>SUM(F81:F87)</f>
        <v>99.039999999999992</v>
      </c>
      <c r="F111" s="1348">
        <f>SUM(G81:G87)</f>
        <v>77.5</v>
      </c>
      <c r="G111" s="1348">
        <f>SUM(H81:H87)</f>
        <v>21.54</v>
      </c>
      <c r="H111" s="1345"/>
    </row>
    <row r="112" spans="4:8" ht="21" customHeight="1" thickBot="1" x14ac:dyDescent="0.3">
      <c r="D112" s="1340" t="s">
        <v>1899</v>
      </c>
      <c r="E112" s="1341">
        <f>SUM(E94:E111)</f>
        <v>835.08999999999992</v>
      </c>
      <c r="F112" s="1341">
        <f>SUM(F94:F111)</f>
        <v>859</v>
      </c>
      <c r="G112" s="1341">
        <f>SUM(G94:G111)</f>
        <v>-23.910000000000004</v>
      </c>
      <c r="H112" s="1349"/>
    </row>
  </sheetData>
  <mergeCells count="56">
    <mergeCell ref="B88:E88"/>
    <mergeCell ref="C78:H78"/>
    <mergeCell ref="C80:H80"/>
    <mergeCell ref="B78:B87"/>
    <mergeCell ref="C81:C87"/>
    <mergeCell ref="C74:H74"/>
    <mergeCell ref="C76:H76"/>
    <mergeCell ref="B65:B77"/>
    <mergeCell ref="C67:H67"/>
    <mergeCell ref="C69:H69"/>
    <mergeCell ref="C71:H71"/>
    <mergeCell ref="C72:C73"/>
    <mergeCell ref="B63:B64"/>
    <mergeCell ref="C63:H63"/>
    <mergeCell ref="C65:H65"/>
    <mergeCell ref="B53:B54"/>
    <mergeCell ref="C53:H53"/>
    <mergeCell ref="B55:B56"/>
    <mergeCell ref="C55:H55"/>
    <mergeCell ref="B57:B62"/>
    <mergeCell ref="C57:H57"/>
    <mergeCell ref="C58:C59"/>
    <mergeCell ref="B48:B52"/>
    <mergeCell ref="C48:H48"/>
    <mergeCell ref="C49:C50"/>
    <mergeCell ref="C51:C52"/>
    <mergeCell ref="C61:C62"/>
    <mergeCell ref="B37:B38"/>
    <mergeCell ref="C37:H37"/>
    <mergeCell ref="B39:B40"/>
    <mergeCell ref="C39:H39"/>
    <mergeCell ref="B41:B47"/>
    <mergeCell ref="C41:H41"/>
    <mergeCell ref="C42:C44"/>
    <mergeCell ref="C45:C47"/>
    <mergeCell ref="B29:B33"/>
    <mergeCell ref="C29:H29"/>
    <mergeCell ref="C30:C33"/>
    <mergeCell ref="B34:B36"/>
    <mergeCell ref="C34:H34"/>
    <mergeCell ref="B2:H2"/>
    <mergeCell ref="B3:H3"/>
    <mergeCell ref="B4:H4"/>
    <mergeCell ref="D10:D11"/>
    <mergeCell ref="E10:E11"/>
    <mergeCell ref="C8:C19"/>
    <mergeCell ref="D18:D19"/>
    <mergeCell ref="E18:E19"/>
    <mergeCell ref="D13:D14"/>
    <mergeCell ref="E13:E14"/>
    <mergeCell ref="B7:B28"/>
    <mergeCell ref="C7:H7"/>
    <mergeCell ref="D8:D9"/>
    <mergeCell ref="E8:E9"/>
    <mergeCell ref="C20:C25"/>
    <mergeCell ref="C26:C2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9FF66"/>
  </sheetPr>
  <dimension ref="A1:AW749"/>
  <sheetViews>
    <sheetView topLeftCell="A16" zoomScale="85" zoomScaleNormal="85" workbookViewId="0">
      <selection activeCell="G497" sqref="G497"/>
    </sheetView>
  </sheetViews>
  <sheetFormatPr baseColWidth="10" defaultColWidth="11.42578125" defaultRowHeight="15" x14ac:dyDescent="0.25"/>
  <cols>
    <col min="1" max="1" width="2.7109375" style="1662" customWidth="1"/>
    <col min="2" max="2" width="7.7109375" style="1690" customWidth="1"/>
    <col min="3" max="3" width="4.85546875" style="1666" customWidth="1"/>
    <col min="4" max="4" width="25.28515625" style="1666" customWidth="1"/>
    <col min="5" max="5" width="43.85546875" style="1666" customWidth="1"/>
    <col min="6" max="6" width="12.28515625" style="1666" customWidth="1"/>
    <col min="7" max="8" width="14.140625" style="1666" customWidth="1"/>
    <col min="9" max="9" width="11.42578125" style="1666" customWidth="1"/>
    <col min="10" max="10" width="12.42578125" style="1666" customWidth="1"/>
    <col min="11" max="14" width="11.42578125" style="1666" customWidth="1"/>
    <col min="15" max="15" width="14.28515625" style="1666" customWidth="1"/>
    <col min="16" max="16" width="13" style="1666" customWidth="1"/>
    <col min="17" max="17" width="13.28515625" style="1666" customWidth="1"/>
    <col min="18" max="18" width="13.7109375" style="1666" customWidth="1"/>
    <col min="19" max="19" width="4" style="1662" customWidth="1"/>
    <col min="20" max="49" width="11.42578125" style="1662"/>
    <col min="50" max="16384" width="11.42578125" style="1666"/>
  </cols>
  <sheetData>
    <row r="1" spans="2:19" s="130" customFormat="1" ht="12" thickBot="1" x14ac:dyDescent="0.3">
      <c r="B1" s="129"/>
    </row>
    <row r="2" spans="2:19" s="130" customFormat="1" ht="11.25" x14ac:dyDescent="0.25">
      <c r="B2" s="1613"/>
      <c r="C2" s="1614"/>
      <c r="D2" s="1614"/>
      <c r="E2" s="1614"/>
      <c r="F2" s="1614"/>
      <c r="G2" s="1614"/>
      <c r="H2" s="1614"/>
      <c r="I2" s="1614"/>
      <c r="J2" s="1614"/>
      <c r="K2" s="1614"/>
      <c r="L2" s="1614"/>
      <c r="M2" s="1614"/>
      <c r="N2" s="1614"/>
      <c r="O2" s="1614"/>
      <c r="P2" s="1614"/>
      <c r="Q2" s="1614"/>
      <c r="R2" s="1614"/>
      <c r="S2" s="1615"/>
    </row>
    <row r="3" spans="2:19" s="130" customFormat="1" ht="11.25" x14ac:dyDescent="0.25">
      <c r="B3" s="1616"/>
      <c r="C3" s="1617"/>
      <c r="D3" s="1617"/>
      <c r="E3" s="1617"/>
      <c r="F3" s="1617"/>
      <c r="G3" s="1617"/>
      <c r="H3" s="1617"/>
      <c r="I3" s="1617"/>
      <c r="J3" s="1617"/>
      <c r="K3" s="1617"/>
      <c r="L3" s="1617"/>
      <c r="M3" s="1617"/>
      <c r="N3" s="1617"/>
      <c r="O3" s="1617"/>
      <c r="P3" s="1617"/>
      <c r="Q3" s="1617"/>
      <c r="R3" s="1617"/>
      <c r="S3" s="1618"/>
    </row>
    <row r="4" spans="2:19" s="130" customFormat="1" ht="15.75" x14ac:dyDescent="0.25">
      <c r="B4" s="1616"/>
      <c r="C4" s="1617"/>
      <c r="D4" s="1619"/>
      <c r="E4" s="1617"/>
      <c r="F4" s="1617"/>
      <c r="G4" s="1617"/>
      <c r="H4" s="1617"/>
      <c r="I4" s="1617"/>
      <c r="J4" s="1617"/>
      <c r="K4" s="1617"/>
      <c r="L4" s="1617"/>
      <c r="M4" s="1617"/>
      <c r="N4" s="1617"/>
      <c r="O4" s="1617"/>
      <c r="P4" s="1617"/>
      <c r="Q4" s="1617"/>
      <c r="R4" s="1617"/>
      <c r="S4" s="1618"/>
    </row>
    <row r="5" spans="2:19" s="130" customFormat="1" ht="15.75" x14ac:dyDescent="0.25">
      <c r="B5" s="1616"/>
      <c r="C5" s="1617"/>
      <c r="D5" s="1619"/>
      <c r="E5" s="1617"/>
      <c r="F5" s="1617"/>
      <c r="G5" s="1617"/>
      <c r="H5" s="1617"/>
      <c r="I5" s="1617"/>
      <c r="J5" s="1617"/>
      <c r="K5" s="1617"/>
      <c r="L5" s="1617"/>
      <c r="M5" s="1617"/>
      <c r="N5" s="1617"/>
      <c r="O5" s="1617"/>
      <c r="P5" s="1617"/>
      <c r="Q5" s="1617"/>
      <c r="R5" s="1617"/>
      <c r="S5" s="1618"/>
    </row>
    <row r="6" spans="2:19" s="130" customFormat="1" ht="24" customHeight="1" x14ac:dyDescent="0.25">
      <c r="B6" s="1616"/>
      <c r="C6" s="4557" t="s">
        <v>3273</v>
      </c>
      <c r="D6" s="4557"/>
      <c r="E6" s="4557"/>
      <c r="F6" s="4557"/>
      <c r="G6" s="4557"/>
      <c r="H6" s="4557"/>
      <c r="I6" s="4557"/>
      <c r="J6" s="4557"/>
      <c r="K6" s="4557"/>
      <c r="L6" s="4557"/>
      <c r="M6" s="4557"/>
      <c r="N6" s="4557"/>
      <c r="O6" s="4557"/>
      <c r="P6" s="4557"/>
      <c r="Q6" s="4557"/>
      <c r="R6" s="4557"/>
      <c r="S6" s="1618"/>
    </row>
    <row r="7" spans="2:19" s="130" customFormat="1" ht="18.600000000000001" hidden="1" customHeight="1" x14ac:dyDescent="0.25">
      <c r="B7" s="1616"/>
      <c r="C7" s="1617"/>
      <c r="D7" s="1617"/>
      <c r="E7" s="1617"/>
      <c r="F7" s="1617"/>
      <c r="G7" s="1617"/>
      <c r="H7" s="1617"/>
      <c r="I7" s="1617"/>
      <c r="J7" s="1617"/>
      <c r="K7" s="1617"/>
      <c r="L7" s="1617"/>
      <c r="M7" s="1617"/>
      <c r="N7" s="1617"/>
      <c r="O7" s="1617"/>
      <c r="P7" s="1617"/>
      <c r="Q7" s="1617"/>
      <c r="R7" s="1617"/>
      <c r="S7" s="1618"/>
    </row>
    <row r="8" spans="2:19" s="130" customFormat="1" ht="11.45" hidden="1" customHeight="1" x14ac:dyDescent="0.25">
      <c r="B8" s="1616"/>
      <c r="C8" s="1620" t="s">
        <v>1429</v>
      </c>
      <c r="D8" s="1617"/>
      <c r="E8" s="1617"/>
      <c r="F8" s="1617" t="s">
        <v>3274</v>
      </c>
      <c r="G8" s="1617"/>
      <c r="H8" s="1617"/>
      <c r="I8" s="1617"/>
      <c r="J8" s="1617"/>
      <c r="K8" s="1617"/>
      <c r="L8" s="1617"/>
      <c r="M8" s="1617"/>
      <c r="N8" s="1617"/>
      <c r="O8" s="1617"/>
      <c r="P8" s="1617"/>
      <c r="Q8" s="1617"/>
      <c r="R8" s="1617"/>
      <c r="S8" s="1618"/>
    </row>
    <row r="9" spans="2:19" s="130" customFormat="1" ht="11.45" hidden="1" customHeight="1" x14ac:dyDescent="0.25">
      <c r="B9" s="1616"/>
      <c r="C9" s="1620" t="s">
        <v>3214</v>
      </c>
      <c r="D9" s="1617"/>
      <c r="E9" s="1617"/>
      <c r="F9" s="1617" t="s">
        <v>3275</v>
      </c>
      <c r="G9" s="1617"/>
      <c r="H9" s="1617"/>
      <c r="I9" s="1617"/>
      <c r="J9" s="1617"/>
      <c r="K9" s="1617"/>
      <c r="L9" s="1617"/>
      <c r="M9" s="1617"/>
      <c r="N9" s="1617"/>
      <c r="O9" s="1617"/>
      <c r="P9" s="1617"/>
      <c r="Q9" s="1617"/>
      <c r="R9" s="1617"/>
      <c r="S9" s="1618"/>
    </row>
    <row r="10" spans="2:19" s="130" customFormat="1" ht="11.45" customHeight="1" x14ac:dyDescent="0.25">
      <c r="B10" s="1616"/>
      <c r="C10" s="1617"/>
      <c r="D10" s="1617"/>
      <c r="E10" s="1617"/>
      <c r="F10" s="1617"/>
      <c r="G10" s="1617"/>
      <c r="H10" s="1617"/>
      <c r="I10" s="1617"/>
      <c r="J10" s="1617"/>
      <c r="K10" s="1617"/>
      <c r="L10" s="1617"/>
      <c r="M10" s="1617"/>
      <c r="N10" s="1617"/>
      <c r="O10" s="1617"/>
      <c r="P10" s="1617"/>
      <c r="Q10" s="1617"/>
      <c r="R10" s="1617"/>
      <c r="S10" s="1618"/>
    </row>
    <row r="11" spans="2:19" s="1662" customFormat="1" ht="15.75" thickBot="1" x14ac:dyDescent="0.3">
      <c r="B11" s="1663"/>
      <c r="C11" s="4558"/>
      <c r="D11" s="4558"/>
      <c r="E11" s="1664"/>
      <c r="F11" s="1664"/>
      <c r="G11" s="1664"/>
      <c r="H11" s="1664"/>
      <c r="I11" s="1664"/>
      <c r="J11" s="1664"/>
      <c r="K11" s="1664"/>
      <c r="L11" s="1664"/>
      <c r="M11" s="1664"/>
      <c r="N11" s="1664"/>
      <c r="O11" s="1664"/>
      <c r="P11" s="1664"/>
      <c r="Q11" s="1664"/>
      <c r="R11" s="1664"/>
      <c r="S11" s="1665"/>
    </row>
    <row r="12" spans="2:19" ht="14.1" customHeight="1" thickBot="1" x14ac:dyDescent="0.3">
      <c r="B12" s="1663"/>
      <c r="C12" s="4546" t="s">
        <v>1292</v>
      </c>
      <c r="D12" s="4549"/>
      <c r="E12" s="4549" t="s">
        <v>3215</v>
      </c>
      <c r="F12" s="4559" t="s">
        <v>3276</v>
      </c>
      <c r="G12" s="4559"/>
      <c r="H12" s="4559"/>
      <c r="I12" s="4559"/>
      <c r="J12" s="4559"/>
      <c r="K12" s="4559" t="s">
        <v>3217</v>
      </c>
      <c r="L12" s="4559"/>
      <c r="M12" s="4559"/>
      <c r="N12" s="4559"/>
      <c r="O12" s="4559"/>
      <c r="P12" s="4559"/>
      <c r="Q12" s="4549" t="s">
        <v>3277</v>
      </c>
      <c r="R12" s="4554" t="s">
        <v>3278</v>
      </c>
      <c r="S12" s="1665"/>
    </row>
    <row r="13" spans="2:19" ht="41.1" customHeight="1" thickBot="1" x14ac:dyDescent="0.3">
      <c r="B13" s="1663"/>
      <c r="C13" s="4547"/>
      <c r="D13" s="4550"/>
      <c r="E13" s="4550"/>
      <c r="F13" s="4550" t="s">
        <v>323</v>
      </c>
      <c r="G13" s="4550" t="s">
        <v>3279</v>
      </c>
      <c r="H13" s="4550" t="s">
        <v>3280</v>
      </c>
      <c r="I13" s="4550" t="s">
        <v>3281</v>
      </c>
      <c r="J13" s="4550" t="s">
        <v>3282</v>
      </c>
      <c r="K13" s="1642" t="s">
        <v>3283</v>
      </c>
      <c r="L13" s="1642" t="s">
        <v>3284</v>
      </c>
      <c r="M13" s="1642" t="s">
        <v>3285</v>
      </c>
      <c r="N13" s="4550" t="s">
        <v>3286</v>
      </c>
      <c r="O13" s="4550" t="s">
        <v>3287</v>
      </c>
      <c r="P13" s="4550"/>
      <c r="Q13" s="4550"/>
      <c r="R13" s="4560"/>
      <c r="S13" s="1665"/>
    </row>
    <row r="14" spans="2:19" ht="15.75" thickBot="1" x14ac:dyDescent="0.3">
      <c r="B14" s="1663"/>
      <c r="C14" s="4547"/>
      <c r="D14" s="4550"/>
      <c r="E14" s="4550"/>
      <c r="F14" s="4550"/>
      <c r="G14" s="4550"/>
      <c r="H14" s="4550"/>
      <c r="I14" s="4550"/>
      <c r="J14" s="4550"/>
      <c r="K14" s="4550" t="s">
        <v>3288</v>
      </c>
      <c r="L14" s="4550"/>
      <c r="M14" s="4550"/>
      <c r="N14" s="4550"/>
      <c r="O14" s="1642" t="s">
        <v>3289</v>
      </c>
      <c r="P14" s="1642" t="s">
        <v>3290</v>
      </c>
      <c r="Q14" s="4550"/>
      <c r="R14" s="4560"/>
      <c r="S14" s="1665"/>
    </row>
    <row r="15" spans="2:19" ht="15.75" thickBot="1" x14ac:dyDescent="0.3">
      <c r="B15" s="1663"/>
      <c r="C15" s="4548"/>
      <c r="D15" s="4551"/>
      <c r="E15" s="4551"/>
      <c r="F15" s="4551"/>
      <c r="G15" s="4551"/>
      <c r="H15" s="4551"/>
      <c r="I15" s="4551"/>
      <c r="J15" s="4551"/>
      <c r="K15" s="1643">
        <v>0</v>
      </c>
      <c r="L15" s="1643" t="s">
        <v>3291</v>
      </c>
      <c r="M15" s="1643" t="s">
        <v>3292</v>
      </c>
      <c r="N15" s="4551"/>
      <c r="O15" s="1644" t="s">
        <v>3227</v>
      </c>
      <c r="P15" s="1644" t="s">
        <v>3228</v>
      </c>
      <c r="Q15" s="4551"/>
      <c r="R15" s="4561"/>
      <c r="S15" s="1665"/>
    </row>
    <row r="16" spans="2:19" ht="19.5" customHeight="1" thickBot="1" x14ac:dyDescent="0.3">
      <c r="B16" s="1663">
        <v>1</v>
      </c>
      <c r="C16" s="4571" t="s">
        <v>294</v>
      </c>
      <c r="D16" s="4572"/>
      <c r="E16" s="1703" t="str">
        <f>D54</f>
        <v>Consultorio de Medicina General 1</v>
      </c>
      <c r="F16" s="1705">
        <v>1</v>
      </c>
      <c r="G16" s="1721">
        <f>'16.1 Areas Actuales'!F8</f>
        <v>10.9</v>
      </c>
      <c r="H16" s="1722">
        <f>'16.1 Areas Actuales'!G8</f>
        <v>13.5</v>
      </c>
      <c r="I16" s="1634">
        <f>+G16-H16</f>
        <v>-2.5999999999999996</v>
      </c>
      <c r="J16" s="1635">
        <f>IF(I16&gt;-0.1,1,0)</f>
        <v>0</v>
      </c>
      <c r="K16" s="1634">
        <f>L67</f>
        <v>0</v>
      </c>
      <c r="L16" s="1634">
        <f>M67</f>
        <v>0.10833333333333331</v>
      </c>
      <c r="M16" s="1634">
        <f>N67</f>
        <v>0</v>
      </c>
      <c r="N16" s="1634">
        <f>SUM(K16:M16)</f>
        <v>0.10833333333333331</v>
      </c>
      <c r="O16" s="1636">
        <f>IF(N16&gt;=0.63,1,0)</f>
        <v>0</v>
      </c>
      <c r="P16" s="1637">
        <f>IF(N6&lt;0.63,0,0)</f>
        <v>0</v>
      </c>
      <c r="Q16" s="1638">
        <v>14400</v>
      </c>
      <c r="R16" s="1639">
        <f>+J16*O16*Q16</f>
        <v>0</v>
      </c>
      <c r="S16" s="1665"/>
    </row>
    <row r="17" spans="1:49" ht="19.5" customHeight="1" thickBot="1" x14ac:dyDescent="0.3">
      <c r="B17" s="1663">
        <v>2</v>
      </c>
      <c r="C17" s="4573"/>
      <c r="D17" s="4574"/>
      <c r="E17" s="1703" t="str">
        <f>D69</f>
        <v>Consultorio de Medicina General 2</v>
      </c>
      <c r="F17" s="1705">
        <v>1</v>
      </c>
      <c r="G17" s="1721">
        <f>'16.1 Areas Actuales'!F9</f>
        <v>8.56</v>
      </c>
      <c r="H17" s="1722">
        <f>'16.1 Areas Actuales'!G9</f>
        <v>13.5</v>
      </c>
      <c r="I17" s="1634">
        <f>+G17-H17</f>
        <v>-4.9399999999999995</v>
      </c>
      <c r="J17" s="1635">
        <f>IF(I17&gt;-0.1,1,0)</f>
        <v>0</v>
      </c>
      <c r="K17" s="1634">
        <f>L82</f>
        <v>0</v>
      </c>
      <c r="L17" s="1634">
        <f t="shared" ref="L17:M17" si="0">M82</f>
        <v>0.10833333333333331</v>
      </c>
      <c r="M17" s="1634">
        <f t="shared" si="0"/>
        <v>0</v>
      </c>
      <c r="N17" s="1634">
        <f>SUM(K17:M17)</f>
        <v>0.10833333333333331</v>
      </c>
      <c r="O17" s="1636">
        <f>IF(N17&gt;=0.63,1,0)</f>
        <v>0</v>
      </c>
      <c r="P17" s="1637">
        <f>IF(N7&lt;0.63,0,0)</f>
        <v>0</v>
      </c>
      <c r="Q17" s="1638">
        <v>14400</v>
      </c>
      <c r="R17" s="1639">
        <f t="shared" ref="R17:R38" si="1">+J17*O17*Q17</f>
        <v>0</v>
      </c>
      <c r="S17" s="1665"/>
    </row>
    <row r="18" spans="1:49" ht="19.5" customHeight="1" thickBot="1" x14ac:dyDescent="0.3">
      <c r="B18" s="1663">
        <v>3</v>
      </c>
      <c r="C18" s="4573"/>
      <c r="D18" s="4574"/>
      <c r="E18" s="1703" t="s">
        <v>3347</v>
      </c>
      <c r="F18" s="1705">
        <v>1</v>
      </c>
      <c r="G18" s="1721">
        <f>'16.1 Areas Actuales'!F10</f>
        <v>19.599999999999998</v>
      </c>
      <c r="H18" s="1722">
        <f>'16.1 Areas Actuales'!G10</f>
        <v>17</v>
      </c>
      <c r="I18" s="1640">
        <f t="shared" ref="I18:I38" si="2">+G18-H18</f>
        <v>2.5999999999999979</v>
      </c>
      <c r="J18" s="1635">
        <f t="shared" ref="J18:J38" si="3">IF(I18&gt;-0.1,1,0)</f>
        <v>1</v>
      </c>
      <c r="K18" s="1634">
        <f>L97</f>
        <v>0</v>
      </c>
      <c r="L18" s="1634">
        <f>M97</f>
        <v>0.10999999999999996</v>
      </c>
      <c r="M18" s="1634">
        <f>N97</f>
        <v>0</v>
      </c>
      <c r="N18" s="1634">
        <f t="shared" ref="N18:N27" si="4">SUM(K18:M18)</f>
        <v>0.10999999999999996</v>
      </c>
      <c r="O18" s="1636">
        <f t="shared" ref="O18:O40" si="5">IF(N18&gt;=0.63,1,0)</f>
        <v>0</v>
      </c>
      <c r="P18" s="1637">
        <f>IF(N7&lt;0.63,0,0)</f>
        <v>0</v>
      </c>
      <c r="Q18" s="1638">
        <v>7200</v>
      </c>
      <c r="R18" s="1639">
        <f t="shared" si="1"/>
        <v>0</v>
      </c>
      <c r="S18" s="1665"/>
    </row>
    <row r="19" spans="1:49" ht="19.5" customHeight="1" thickBot="1" x14ac:dyDescent="0.3">
      <c r="B19" s="1663">
        <v>4</v>
      </c>
      <c r="C19" s="4573"/>
      <c r="D19" s="4574"/>
      <c r="E19" s="1703" t="s">
        <v>3348</v>
      </c>
      <c r="F19" s="1705">
        <v>1</v>
      </c>
      <c r="G19" s="1721">
        <f>'16.1 Areas Actuales'!F11</f>
        <v>15.58</v>
      </c>
      <c r="H19" s="1722">
        <f>'16.1 Areas Actuales'!G11</f>
        <v>17</v>
      </c>
      <c r="I19" s="1640">
        <f t="shared" si="2"/>
        <v>-1.42</v>
      </c>
      <c r="J19" s="1635">
        <f>IF(I19&gt;-0.1,1,0)</f>
        <v>0</v>
      </c>
      <c r="K19" s="1634">
        <f>L111</f>
        <v>0</v>
      </c>
      <c r="L19" s="1634">
        <f t="shared" ref="L19:M19" si="6">M111</f>
        <v>0.10999999999999996</v>
      </c>
      <c r="M19" s="1634">
        <f t="shared" si="6"/>
        <v>0</v>
      </c>
      <c r="N19" s="1634">
        <f>SUM(K19:M19)</f>
        <v>0.10999999999999996</v>
      </c>
      <c r="O19" s="1636">
        <f t="shared" ref="O19" si="7">IF(N19&gt;=0.63,1,0)</f>
        <v>0</v>
      </c>
      <c r="P19" s="1637">
        <f>IF(N8&lt;0.63,0,0)</f>
        <v>0</v>
      </c>
      <c r="Q19" s="1638">
        <v>7200</v>
      </c>
      <c r="R19" s="1639">
        <f t="shared" si="1"/>
        <v>0</v>
      </c>
      <c r="S19" s="1665"/>
    </row>
    <row r="20" spans="1:49" ht="15" customHeight="1" thickBot="1" x14ac:dyDescent="0.3">
      <c r="B20" s="1663">
        <v>5</v>
      </c>
      <c r="C20" s="4573"/>
      <c r="D20" s="4574"/>
      <c r="E20" s="1704" t="str">
        <f>D112</f>
        <v>Consultorio de Medicina Familiar</v>
      </c>
      <c r="F20" s="1705">
        <v>1</v>
      </c>
      <c r="G20" s="1721">
        <f>'16.1 Areas Actuales'!F12</f>
        <v>8.19</v>
      </c>
      <c r="H20" s="1722">
        <f>'16.1 Areas Actuales'!G12</f>
        <v>13.5</v>
      </c>
      <c r="I20" s="1640">
        <f t="shared" si="2"/>
        <v>-5.3100000000000005</v>
      </c>
      <c r="J20" s="1635">
        <f t="shared" si="3"/>
        <v>0</v>
      </c>
      <c r="K20" s="1634">
        <f>L125</f>
        <v>0</v>
      </c>
      <c r="L20" s="1634">
        <f>M125</f>
        <v>0.10999999999999996</v>
      </c>
      <c r="M20" s="1634">
        <f>N125</f>
        <v>0</v>
      </c>
      <c r="N20" s="1634">
        <f t="shared" si="4"/>
        <v>0.10999999999999996</v>
      </c>
      <c r="O20" s="1636">
        <f t="shared" si="5"/>
        <v>0</v>
      </c>
      <c r="P20" s="1637">
        <f t="shared" ref="P20:P27" si="8">IF(N8&lt;0.63,0,0)</f>
        <v>0</v>
      </c>
      <c r="Q20" s="1638">
        <v>14400</v>
      </c>
      <c r="R20" s="1639">
        <f t="shared" si="1"/>
        <v>0</v>
      </c>
      <c r="S20" s="1665"/>
    </row>
    <row r="21" spans="1:49" ht="15.75" thickBot="1" x14ac:dyDescent="0.3">
      <c r="B21" s="1663">
        <v>6</v>
      </c>
      <c r="C21" s="4573"/>
      <c r="D21" s="4574"/>
      <c r="E21" s="1704" t="str">
        <f>D127</f>
        <v>Consultorio CRED (Crecimiento y Desarrollo) 1</v>
      </c>
      <c r="F21" s="1705">
        <v>1</v>
      </c>
      <c r="G21" s="1721">
        <f>'16.1 Areas Actuales'!F13</f>
        <v>13.98</v>
      </c>
      <c r="H21" s="1722">
        <f>'16.1 Areas Actuales'!G13</f>
        <v>17</v>
      </c>
      <c r="I21" s="1640">
        <f t="shared" si="2"/>
        <v>-3.0199999999999996</v>
      </c>
      <c r="J21" s="1635">
        <f t="shared" si="3"/>
        <v>0</v>
      </c>
      <c r="K21" s="1634">
        <f>L140</f>
        <v>0</v>
      </c>
      <c r="L21" s="1634">
        <f>M140</f>
        <v>0.10999999999999996</v>
      </c>
      <c r="M21" s="1634">
        <f>N140</f>
        <v>0</v>
      </c>
      <c r="N21" s="1634">
        <f t="shared" si="4"/>
        <v>0.10999999999999996</v>
      </c>
      <c r="O21" s="1636">
        <f t="shared" si="5"/>
        <v>0</v>
      </c>
      <c r="P21" s="1637">
        <f t="shared" si="8"/>
        <v>0</v>
      </c>
      <c r="Q21" s="1638">
        <v>8640</v>
      </c>
      <c r="R21" s="1639">
        <f t="shared" si="1"/>
        <v>0</v>
      </c>
      <c r="S21" s="1665"/>
    </row>
    <row r="22" spans="1:49" ht="15.75" thickBot="1" x14ac:dyDescent="0.3">
      <c r="B22" s="1663">
        <v>7</v>
      </c>
      <c r="C22" s="4573"/>
      <c r="D22" s="4574"/>
      <c r="E22" s="1704" t="s">
        <v>3349</v>
      </c>
      <c r="F22" s="1705">
        <v>1</v>
      </c>
      <c r="G22" s="1721">
        <f>'16.1 Areas Actuales'!F14</f>
        <v>23.5</v>
      </c>
      <c r="H22" s="1722">
        <f>'16.1 Areas Actuales'!G14</f>
        <v>17</v>
      </c>
      <c r="I22" s="1640">
        <f t="shared" si="2"/>
        <v>6.5</v>
      </c>
      <c r="J22" s="1635">
        <f>IF(I22&gt;-0.1,1,0)</f>
        <v>1</v>
      </c>
      <c r="K22" s="1634">
        <f>L155</f>
        <v>0</v>
      </c>
      <c r="L22" s="1634">
        <f t="shared" ref="L22:M22" si="9">M155</f>
        <v>0.10999999999999996</v>
      </c>
      <c r="M22" s="1634">
        <f t="shared" si="9"/>
        <v>0</v>
      </c>
      <c r="N22" s="1634">
        <f t="shared" si="4"/>
        <v>0.10999999999999996</v>
      </c>
      <c r="O22" s="1636">
        <f t="shared" ref="O22" si="10">IF(N22&gt;=0.63,1,0)</f>
        <v>0</v>
      </c>
      <c r="P22" s="1637">
        <f t="shared" si="8"/>
        <v>0</v>
      </c>
      <c r="Q22" s="1638">
        <v>8640</v>
      </c>
      <c r="R22" s="1639">
        <f t="shared" si="1"/>
        <v>0</v>
      </c>
      <c r="S22" s="1665"/>
    </row>
    <row r="23" spans="1:49" ht="15.75" thickBot="1" x14ac:dyDescent="0.3">
      <c r="B23" s="1663">
        <v>8</v>
      </c>
      <c r="C23" s="4573"/>
      <c r="D23" s="4574"/>
      <c r="E23" s="1703" t="str">
        <f>D157</f>
        <v>Atención Integral y Consejería del Adolescente</v>
      </c>
      <c r="F23" s="1705">
        <v>1</v>
      </c>
      <c r="G23" s="1721">
        <f>'16.1 Areas Actuales'!F15</f>
        <v>16.54</v>
      </c>
      <c r="H23" s="1722">
        <f>'16.1 Areas Actuales'!G15</f>
        <v>13.5</v>
      </c>
      <c r="I23" s="1640">
        <f t="shared" si="2"/>
        <v>3.0399999999999991</v>
      </c>
      <c r="J23" s="1635">
        <f t="shared" si="3"/>
        <v>1</v>
      </c>
      <c r="K23" s="1634">
        <f>L170</f>
        <v>0</v>
      </c>
      <c r="L23" s="1634">
        <f>M170</f>
        <v>7.3333333333333306E-2</v>
      </c>
      <c r="M23" s="1634">
        <f>N170</f>
        <v>0.57999999999999985</v>
      </c>
      <c r="N23" s="1634">
        <f t="shared" si="4"/>
        <v>0.6533333333333331</v>
      </c>
      <c r="O23" s="1636">
        <f t="shared" si="5"/>
        <v>1</v>
      </c>
      <c r="P23" s="1637">
        <f t="shared" si="8"/>
        <v>0</v>
      </c>
      <c r="Q23" s="1638">
        <v>7200</v>
      </c>
      <c r="R23" s="1639">
        <f t="shared" si="1"/>
        <v>7200</v>
      </c>
      <c r="S23" s="1665"/>
    </row>
    <row r="24" spans="1:49" ht="15" customHeight="1" thickBot="1" x14ac:dyDescent="0.3">
      <c r="B24" s="1663">
        <v>9</v>
      </c>
      <c r="C24" s="4573"/>
      <c r="D24" s="4574"/>
      <c r="E24" s="1703" t="str">
        <f>D173</f>
        <v>Consultorio de Psicología</v>
      </c>
      <c r="F24" s="1705">
        <v>1</v>
      </c>
      <c r="G24" s="1721">
        <f>'16.1 Areas Actuales'!F16</f>
        <v>14.17</v>
      </c>
      <c r="H24" s="1722">
        <f>'16.1 Areas Actuales'!G16</f>
        <v>15</v>
      </c>
      <c r="I24" s="1640">
        <f t="shared" si="2"/>
        <v>-0.83000000000000007</v>
      </c>
      <c r="J24" s="1635">
        <f t="shared" si="3"/>
        <v>0</v>
      </c>
      <c r="K24" s="1634">
        <f>L186</f>
        <v>0</v>
      </c>
      <c r="L24" s="1634">
        <f>M186</f>
        <v>0.10999999999999996</v>
      </c>
      <c r="M24" s="1634">
        <f>N186</f>
        <v>0</v>
      </c>
      <c r="N24" s="1634">
        <f t="shared" si="4"/>
        <v>0.10999999999999996</v>
      </c>
      <c r="O24" s="1636">
        <f t="shared" si="5"/>
        <v>0</v>
      </c>
      <c r="P24" s="1637">
        <f t="shared" si="8"/>
        <v>0</v>
      </c>
      <c r="Q24" s="1638">
        <v>10800</v>
      </c>
      <c r="R24" s="1639">
        <f t="shared" si="1"/>
        <v>0</v>
      </c>
      <c r="S24" s="1665"/>
    </row>
    <row r="25" spans="1:49" ht="15" customHeight="1" thickBot="1" x14ac:dyDescent="0.3">
      <c r="B25" s="1663">
        <v>10</v>
      </c>
      <c r="C25" s="4573"/>
      <c r="D25" s="4574"/>
      <c r="E25" s="1735" t="str">
        <f>D188</f>
        <v>Consultorio de Nutrición</v>
      </c>
      <c r="F25" s="1736">
        <v>1</v>
      </c>
      <c r="G25" s="1737">
        <f>'16.1 Areas Actuales'!F17</f>
        <v>9.49</v>
      </c>
      <c r="H25" s="1738">
        <f>'16.1 Areas Actuales'!G17</f>
        <v>13.5</v>
      </c>
      <c r="I25" s="1640">
        <f t="shared" si="2"/>
        <v>-4.01</v>
      </c>
      <c r="J25" s="1635">
        <f t="shared" si="3"/>
        <v>0</v>
      </c>
      <c r="K25" s="1634">
        <f>L201</f>
        <v>0</v>
      </c>
      <c r="L25" s="1634">
        <f>M201</f>
        <v>4.9999999999999982E-2</v>
      </c>
      <c r="M25" s="1634">
        <f>N201</f>
        <v>0.11999999999999997</v>
      </c>
      <c r="N25" s="1634">
        <f t="shared" si="4"/>
        <v>0.16999999999999996</v>
      </c>
      <c r="O25" s="1636">
        <f t="shared" si="5"/>
        <v>0</v>
      </c>
      <c r="P25" s="1637">
        <f t="shared" si="8"/>
        <v>0</v>
      </c>
      <c r="Q25" s="1638">
        <v>10800</v>
      </c>
      <c r="R25" s="1639">
        <f t="shared" si="1"/>
        <v>0</v>
      </c>
      <c r="S25" s="1665"/>
    </row>
    <row r="26" spans="1:49" ht="25.15" customHeight="1" thickBot="1" x14ac:dyDescent="0.3">
      <c r="B26" s="1663">
        <v>11</v>
      </c>
      <c r="C26" s="4573"/>
      <c r="D26" s="4574"/>
      <c r="E26" s="1703" t="str">
        <f>D204</f>
        <v>Consultorio Odontológico General con Soporte Radiología Oral 1</v>
      </c>
      <c r="F26" s="1736">
        <v>1</v>
      </c>
      <c r="G26" s="1721">
        <f>'16.1 Areas Actuales'!F18</f>
        <v>24.75</v>
      </c>
      <c r="H26" s="1722">
        <f>'16.1 Areas Actuales'!G18</f>
        <v>23</v>
      </c>
      <c r="I26" s="1640">
        <f t="shared" si="2"/>
        <v>1.75</v>
      </c>
      <c r="J26" s="1635">
        <f t="shared" si="3"/>
        <v>1</v>
      </c>
      <c r="K26" s="1634">
        <f>L217</f>
        <v>0</v>
      </c>
      <c r="L26" s="1634">
        <f>M217</f>
        <v>0.10999999999999996</v>
      </c>
      <c r="M26" s="1634">
        <f>N217</f>
        <v>0</v>
      </c>
      <c r="N26" s="1634">
        <f t="shared" si="4"/>
        <v>0.10999999999999996</v>
      </c>
      <c r="O26" s="1636">
        <f t="shared" si="5"/>
        <v>0</v>
      </c>
      <c r="P26" s="1637">
        <f t="shared" si="8"/>
        <v>0</v>
      </c>
      <c r="Q26" s="1638">
        <v>7200</v>
      </c>
      <c r="R26" s="1639">
        <f t="shared" si="1"/>
        <v>0</v>
      </c>
      <c r="S26" s="1665"/>
    </row>
    <row r="27" spans="1:49" ht="25.15" customHeight="1" thickBot="1" x14ac:dyDescent="0.3">
      <c r="B27" s="1663"/>
      <c r="C27" s="4573"/>
      <c r="D27" s="4574"/>
      <c r="E27" s="1703" t="s">
        <v>3801</v>
      </c>
      <c r="F27" s="1736">
        <v>1</v>
      </c>
      <c r="G27" s="1721">
        <f>'16.1 Areas Actuales'!F19</f>
        <v>31.09</v>
      </c>
      <c r="H27" s="1721">
        <f>'16.1 Areas Actuales'!G19</f>
        <v>23</v>
      </c>
      <c r="I27" s="1640">
        <f t="shared" si="2"/>
        <v>8.09</v>
      </c>
      <c r="J27" s="1635">
        <f t="shared" si="3"/>
        <v>1</v>
      </c>
      <c r="K27" s="1634">
        <f>L232</f>
        <v>0</v>
      </c>
      <c r="L27" s="1634">
        <f t="shared" ref="L27:M27" si="11">M232</f>
        <v>0.10999999999999996</v>
      </c>
      <c r="M27" s="1634">
        <f t="shared" si="11"/>
        <v>0</v>
      </c>
      <c r="N27" s="1634">
        <f t="shared" si="4"/>
        <v>0.10999999999999996</v>
      </c>
      <c r="O27" s="1636">
        <f t="shared" ref="O27" si="12">IF(N27&gt;=0.63,1,0)</f>
        <v>0</v>
      </c>
      <c r="P27" s="1637">
        <f t="shared" si="8"/>
        <v>0</v>
      </c>
      <c r="Q27" s="1638">
        <v>7200</v>
      </c>
      <c r="R27" s="1639">
        <f t="shared" si="1"/>
        <v>0</v>
      </c>
      <c r="S27" s="1665"/>
    </row>
    <row r="28" spans="1:49" ht="27.75" customHeight="1" thickBot="1" x14ac:dyDescent="0.3">
      <c r="B28" s="1663">
        <v>12</v>
      </c>
      <c r="C28" s="4575"/>
      <c r="D28" s="4576"/>
      <c r="E28" s="1706" t="str">
        <f>D234</f>
        <v xml:space="preserve">Referencia y Contrareferencia, Servicio Social y Seguros </v>
      </c>
      <c r="F28" s="1705">
        <v>1</v>
      </c>
      <c r="G28" s="1721">
        <f>'16.1 Areas Actuales'!F23</f>
        <v>15.18</v>
      </c>
      <c r="H28" s="1722">
        <f>'16.1 Areas Actuales'!G23</f>
        <v>9</v>
      </c>
      <c r="I28" s="1640">
        <f t="shared" si="2"/>
        <v>6.18</v>
      </c>
      <c r="J28" s="1635">
        <f t="shared" si="3"/>
        <v>1</v>
      </c>
      <c r="K28" s="1634">
        <f>L247</f>
        <v>0</v>
      </c>
      <c r="L28" s="1634">
        <f>M247</f>
        <v>0.10999999999999996</v>
      </c>
      <c r="M28" s="1634">
        <f>N247</f>
        <v>0</v>
      </c>
      <c r="N28" s="1634">
        <f>SUM(K28:M28)</f>
        <v>0.10999999999999996</v>
      </c>
      <c r="O28" s="1636">
        <f t="shared" si="5"/>
        <v>0</v>
      </c>
      <c r="P28" s="1637">
        <f>IF(N15&lt;0.63,0,0)</f>
        <v>0</v>
      </c>
      <c r="Q28" s="1638">
        <v>8640</v>
      </c>
      <c r="R28" s="1639">
        <f t="shared" si="1"/>
        <v>0</v>
      </c>
      <c r="S28" s="1665"/>
    </row>
    <row r="29" spans="1:49" s="1719" customFormat="1" ht="15.75" thickBot="1" x14ac:dyDescent="0.3">
      <c r="A29" s="1662"/>
      <c r="B29" s="1663"/>
      <c r="C29" s="4571" t="s">
        <v>3309</v>
      </c>
      <c r="D29" s="4572"/>
      <c r="E29" s="1706" t="str">
        <f>'16.1 Areas Actuales'!D30</f>
        <v>Toma de muestras</v>
      </c>
      <c r="F29" s="1705">
        <f>'16.1 Areas Actuales'!E30</f>
        <v>1</v>
      </c>
      <c r="G29" s="1721">
        <f>'16.1 Areas Actuales'!F30</f>
        <v>5.42</v>
      </c>
      <c r="H29" s="1721">
        <f>'16.1 Areas Actuales'!G30</f>
        <v>5</v>
      </c>
      <c r="I29" s="1640">
        <f t="shared" si="2"/>
        <v>0.41999999999999993</v>
      </c>
      <c r="J29" s="1635">
        <f t="shared" si="3"/>
        <v>1</v>
      </c>
      <c r="K29" s="1720">
        <f>L273</f>
        <v>0</v>
      </c>
      <c r="L29" s="1720">
        <f t="shared" ref="L29:M29" si="13">M273</f>
        <v>0.10999999999999996</v>
      </c>
      <c r="M29" s="1720">
        <f t="shared" si="13"/>
        <v>0</v>
      </c>
      <c r="N29" s="1634">
        <f t="shared" ref="N29:N38" si="14">SUM(K29:M29)</f>
        <v>0.10999999999999996</v>
      </c>
      <c r="O29" s="1636">
        <f t="shared" si="5"/>
        <v>0</v>
      </c>
      <c r="P29" s="1637">
        <f t="shared" ref="P29:P38" si="15">IF(N16&lt;0.63,0,0)</f>
        <v>0</v>
      </c>
      <c r="Q29" s="1638">
        <f>Q254</f>
        <v>43200</v>
      </c>
      <c r="R29" s="1639">
        <f t="shared" si="1"/>
        <v>0</v>
      </c>
      <c r="S29" s="1665"/>
      <c r="T29" s="1662"/>
      <c r="U29" s="1662"/>
      <c r="V29" s="1662"/>
      <c r="W29" s="1662"/>
      <c r="X29" s="1662"/>
      <c r="Y29" s="1662"/>
      <c r="Z29" s="1662"/>
      <c r="AA29" s="1662"/>
      <c r="AB29" s="1662"/>
      <c r="AC29" s="1662"/>
      <c r="AD29" s="1662"/>
      <c r="AE29" s="1662"/>
      <c r="AF29" s="1662"/>
      <c r="AG29" s="1662"/>
      <c r="AH29" s="1662"/>
      <c r="AI29" s="1662"/>
      <c r="AJ29" s="1662"/>
      <c r="AK29" s="1662"/>
      <c r="AL29" s="1662"/>
      <c r="AM29" s="1662"/>
      <c r="AN29" s="1662"/>
      <c r="AO29" s="1662"/>
      <c r="AP29" s="1662"/>
      <c r="AQ29" s="1662"/>
      <c r="AR29" s="1662"/>
      <c r="AS29" s="1662"/>
      <c r="AT29" s="1662"/>
      <c r="AU29" s="1662"/>
      <c r="AV29" s="1662"/>
      <c r="AW29" s="1662"/>
    </row>
    <row r="30" spans="1:49" s="1719" customFormat="1" ht="15.75" thickBot="1" x14ac:dyDescent="0.3">
      <c r="A30" s="1662"/>
      <c r="B30" s="1663"/>
      <c r="C30" s="4573"/>
      <c r="D30" s="4574"/>
      <c r="E30" s="1706" t="str">
        <f>'16.1 Areas Actuales'!D31</f>
        <v>Laboratorio de Hematología y Bioquímica</v>
      </c>
      <c r="F30" s="1705">
        <f>'16.1 Areas Actuales'!E31</f>
        <v>1</v>
      </c>
      <c r="G30" s="1721">
        <f>'16.1 Areas Actuales'!F31</f>
        <v>12.64</v>
      </c>
      <c r="H30" s="1721">
        <f>'16.1 Areas Actuales'!G31</f>
        <v>10</v>
      </c>
      <c r="I30" s="1640">
        <f t="shared" si="2"/>
        <v>2.6400000000000006</v>
      </c>
      <c r="J30" s="1635">
        <f t="shared" si="3"/>
        <v>1</v>
      </c>
      <c r="K30" s="1720">
        <f>L288</f>
        <v>0</v>
      </c>
      <c r="L30" s="1720">
        <f t="shared" ref="L30:M30" si="16">M288</f>
        <v>0.10999999999999996</v>
      </c>
      <c r="M30" s="1720">
        <f t="shared" si="16"/>
        <v>0</v>
      </c>
      <c r="N30" s="1634">
        <f t="shared" si="14"/>
        <v>0.10999999999999996</v>
      </c>
      <c r="O30" s="1636">
        <f t="shared" si="5"/>
        <v>0</v>
      </c>
      <c r="P30" s="1637">
        <f t="shared" si="15"/>
        <v>0</v>
      </c>
      <c r="Q30" s="1638">
        <v>43200</v>
      </c>
      <c r="R30" s="1639">
        <f t="shared" si="1"/>
        <v>0</v>
      </c>
      <c r="S30" s="1665"/>
      <c r="T30" s="1662"/>
      <c r="U30" s="1662"/>
      <c r="V30" s="1662"/>
      <c r="W30" s="1662"/>
      <c r="X30" s="1662"/>
      <c r="Y30" s="1662"/>
      <c r="Z30" s="1662"/>
      <c r="AA30" s="1662"/>
      <c r="AB30" s="1662"/>
      <c r="AC30" s="1662"/>
      <c r="AD30" s="1662"/>
      <c r="AE30" s="1662"/>
      <c r="AF30" s="1662"/>
      <c r="AG30" s="1662"/>
      <c r="AH30" s="1662"/>
      <c r="AI30" s="1662"/>
      <c r="AJ30" s="1662"/>
      <c r="AK30" s="1662"/>
      <c r="AL30" s="1662"/>
      <c r="AM30" s="1662"/>
      <c r="AN30" s="1662"/>
      <c r="AO30" s="1662"/>
      <c r="AP30" s="1662"/>
      <c r="AQ30" s="1662"/>
      <c r="AR30" s="1662"/>
      <c r="AS30" s="1662"/>
      <c r="AT30" s="1662"/>
      <c r="AU30" s="1662"/>
      <c r="AV30" s="1662"/>
      <c r="AW30" s="1662"/>
    </row>
    <row r="31" spans="1:49" s="1719" customFormat="1" ht="15.75" thickBot="1" x14ac:dyDescent="0.3">
      <c r="A31" s="1662"/>
      <c r="B31" s="1663"/>
      <c r="C31" s="4573"/>
      <c r="D31" s="4574"/>
      <c r="E31" s="1706" t="str">
        <f>'16.1 Areas Actuales'!D32</f>
        <v>Laboratorio de Microbiología</v>
      </c>
      <c r="F31" s="1705">
        <f>'16.1 Areas Actuales'!E32</f>
        <v>1</v>
      </c>
      <c r="G31" s="1721">
        <f>'16.1 Areas Actuales'!F32</f>
        <v>2.88</v>
      </c>
      <c r="H31" s="1721">
        <f>'16.1 Areas Actuales'!G32</f>
        <v>18</v>
      </c>
      <c r="I31" s="1640">
        <f t="shared" si="2"/>
        <v>-15.120000000000001</v>
      </c>
      <c r="J31" s="1635">
        <f t="shared" si="3"/>
        <v>0</v>
      </c>
      <c r="K31" s="1720">
        <f>L303</f>
        <v>0</v>
      </c>
      <c r="L31" s="1720">
        <f t="shared" ref="L31:M31" si="17">M303</f>
        <v>0.10999999999999996</v>
      </c>
      <c r="M31" s="1720">
        <f t="shared" si="17"/>
        <v>0</v>
      </c>
      <c r="N31" s="1634">
        <f t="shared" si="14"/>
        <v>0.10999999999999996</v>
      </c>
      <c r="O31" s="1636">
        <f t="shared" si="5"/>
        <v>0</v>
      </c>
      <c r="P31" s="1637">
        <f t="shared" si="15"/>
        <v>0</v>
      </c>
      <c r="Q31" s="1638">
        <v>43200</v>
      </c>
      <c r="R31" s="1639">
        <f t="shared" si="1"/>
        <v>0</v>
      </c>
      <c r="S31" s="1665"/>
      <c r="T31" s="1662"/>
      <c r="U31" s="1662"/>
      <c r="V31" s="1662"/>
      <c r="W31" s="1662"/>
      <c r="X31" s="1662"/>
      <c r="Y31" s="1662"/>
      <c r="Z31" s="1662"/>
      <c r="AA31" s="1662"/>
      <c r="AB31" s="1662"/>
      <c r="AC31" s="1662"/>
      <c r="AD31" s="1662"/>
      <c r="AE31" s="1662"/>
      <c r="AF31" s="1662"/>
      <c r="AG31" s="1662"/>
      <c r="AH31" s="1662"/>
      <c r="AI31" s="1662"/>
      <c r="AJ31" s="1662"/>
      <c r="AK31" s="1662"/>
      <c r="AL31" s="1662"/>
      <c r="AM31" s="1662"/>
      <c r="AN31" s="1662"/>
      <c r="AO31" s="1662"/>
      <c r="AP31" s="1662"/>
      <c r="AQ31" s="1662"/>
      <c r="AR31" s="1662"/>
      <c r="AS31" s="1662"/>
      <c r="AT31" s="1662"/>
      <c r="AU31" s="1662"/>
      <c r="AV31" s="1662"/>
      <c r="AW31" s="1662"/>
    </row>
    <row r="32" spans="1:49" s="1719" customFormat="1" ht="15.75" thickBot="1" x14ac:dyDescent="0.3">
      <c r="A32" s="1662"/>
      <c r="B32" s="1663"/>
      <c r="C32" s="4575"/>
      <c r="D32" s="4576"/>
      <c r="E32" s="1706" t="str">
        <f>'16.1 Areas Actuales'!D33</f>
        <v>Parasitología</v>
      </c>
      <c r="F32" s="1705">
        <f>'16.1 Areas Actuales'!E33</f>
        <v>1</v>
      </c>
      <c r="G32" s="1721">
        <f>'16.1 Areas Actuales'!F33</f>
        <v>2.98</v>
      </c>
      <c r="H32" s="1721">
        <f>'16.1 Areas Actuales'!G33</f>
        <v>0</v>
      </c>
      <c r="I32" s="1640">
        <f t="shared" si="2"/>
        <v>2.98</v>
      </c>
      <c r="J32" s="1635">
        <f t="shared" si="3"/>
        <v>1</v>
      </c>
      <c r="K32" s="1720">
        <f>L318</f>
        <v>0</v>
      </c>
      <c r="L32" s="1720">
        <f t="shared" ref="L32:M32" si="18">M318</f>
        <v>0.10999999999999996</v>
      </c>
      <c r="M32" s="1720">
        <f t="shared" si="18"/>
        <v>0</v>
      </c>
      <c r="N32" s="1634">
        <f t="shared" si="14"/>
        <v>0.10999999999999996</v>
      </c>
      <c r="O32" s="1636">
        <f t="shared" si="5"/>
        <v>0</v>
      </c>
      <c r="P32" s="1637">
        <f t="shared" si="15"/>
        <v>0</v>
      </c>
      <c r="Q32" s="1638">
        <v>43200</v>
      </c>
      <c r="R32" s="1639">
        <f t="shared" si="1"/>
        <v>0</v>
      </c>
      <c r="S32" s="1665"/>
      <c r="T32" s="1662"/>
      <c r="U32" s="1662"/>
      <c r="V32" s="1662"/>
      <c r="W32" s="1662"/>
      <c r="X32" s="1662"/>
      <c r="Y32" s="1662"/>
      <c r="Z32" s="1662"/>
      <c r="AA32" s="1662"/>
      <c r="AB32" s="1662"/>
      <c r="AC32" s="1662"/>
      <c r="AD32" s="1662"/>
      <c r="AE32" s="1662"/>
      <c r="AF32" s="1662"/>
      <c r="AG32" s="1662"/>
      <c r="AH32" s="1662"/>
      <c r="AI32" s="1662"/>
      <c r="AJ32" s="1662"/>
      <c r="AK32" s="1662"/>
      <c r="AL32" s="1662"/>
      <c r="AM32" s="1662"/>
      <c r="AN32" s="1662"/>
      <c r="AO32" s="1662"/>
      <c r="AP32" s="1662"/>
      <c r="AQ32" s="1662"/>
      <c r="AR32" s="1662"/>
      <c r="AS32" s="1662"/>
      <c r="AT32" s="1662"/>
      <c r="AU32" s="1662"/>
      <c r="AV32" s="1662"/>
      <c r="AW32" s="1662"/>
    </row>
    <row r="33" spans="1:49" s="1719" customFormat="1" ht="30.75" customHeight="1" thickBot="1" x14ac:dyDescent="0.3">
      <c r="A33" s="1662"/>
      <c r="B33" s="1663"/>
      <c r="C33" s="4577" t="s">
        <v>3310</v>
      </c>
      <c r="D33" s="4578"/>
      <c r="E33" s="1706" t="str">
        <f>'16.1 Areas Actuales'!D40</f>
        <v>Tópico de urgencias y emergencias</v>
      </c>
      <c r="F33" s="1705">
        <f>'16.1 Areas Actuales'!E40</f>
        <v>1</v>
      </c>
      <c r="G33" s="1721">
        <f>'16.1 Areas Actuales'!F40</f>
        <v>18.7</v>
      </c>
      <c r="H33" s="1721">
        <f>'16.1 Areas Actuales'!G40</f>
        <v>22</v>
      </c>
      <c r="I33" s="1640">
        <f t="shared" si="2"/>
        <v>-3.3000000000000007</v>
      </c>
      <c r="J33" s="1635">
        <f t="shared" si="3"/>
        <v>0</v>
      </c>
      <c r="K33" s="1720">
        <f>L343</f>
        <v>0</v>
      </c>
      <c r="L33" s="1720">
        <f t="shared" ref="L33:M33" si="19">M343</f>
        <v>7.3333333333333306E-2</v>
      </c>
      <c r="M33" s="1720">
        <f t="shared" si="19"/>
        <v>0.57999999999999985</v>
      </c>
      <c r="N33" s="1634">
        <f t="shared" si="14"/>
        <v>0.6533333333333331</v>
      </c>
      <c r="O33" s="1636">
        <f t="shared" si="5"/>
        <v>1</v>
      </c>
      <c r="P33" s="1637">
        <f t="shared" si="15"/>
        <v>0</v>
      </c>
      <c r="Q33" s="1638">
        <f>Q326</f>
        <v>17520</v>
      </c>
      <c r="R33" s="1639">
        <f t="shared" si="1"/>
        <v>0</v>
      </c>
      <c r="S33" s="1665"/>
      <c r="T33" s="1662"/>
      <c r="U33" s="1662"/>
      <c r="V33" s="1662"/>
      <c r="W33" s="1662"/>
      <c r="X33" s="1662"/>
      <c r="Y33" s="1662"/>
      <c r="Z33" s="1662"/>
      <c r="AA33" s="1662"/>
      <c r="AB33" s="1662"/>
      <c r="AC33" s="1662"/>
      <c r="AD33" s="1662"/>
      <c r="AE33" s="1662"/>
      <c r="AF33" s="1662"/>
      <c r="AG33" s="1662"/>
      <c r="AH33" s="1662"/>
      <c r="AI33" s="1662"/>
      <c r="AJ33" s="1662"/>
      <c r="AK33" s="1662"/>
      <c r="AL33" s="1662"/>
      <c r="AM33" s="1662"/>
      <c r="AN33" s="1662"/>
      <c r="AO33" s="1662"/>
      <c r="AP33" s="1662"/>
      <c r="AQ33" s="1662"/>
      <c r="AR33" s="1662"/>
      <c r="AS33" s="1662"/>
      <c r="AT33" s="1662"/>
      <c r="AU33" s="1662"/>
      <c r="AV33" s="1662"/>
      <c r="AW33" s="1662"/>
    </row>
    <row r="34" spans="1:49" s="1719" customFormat="1" ht="15.75" thickBot="1" x14ac:dyDescent="0.3">
      <c r="A34" s="1662"/>
      <c r="B34" s="1663"/>
      <c r="C34" s="4571" t="s">
        <v>3802</v>
      </c>
      <c r="D34" s="4572"/>
      <c r="E34" s="1706" t="str">
        <f>'16.1 Areas Actuales'!D42</f>
        <v>Sala de Dilatación, incluye SS.HH. de 2.87 m2</v>
      </c>
      <c r="F34" s="1705">
        <f>'16.1 Areas Actuales'!E42</f>
        <v>1</v>
      </c>
      <c r="G34" s="1721">
        <f>'16.1 Areas Actuales'!F42</f>
        <v>18.510000000000002</v>
      </c>
      <c r="H34" s="1721">
        <f>'16.1 Areas Actuales'!G42</f>
        <v>30</v>
      </c>
      <c r="I34" s="1640">
        <f t="shared" si="2"/>
        <v>-11.489999999999998</v>
      </c>
      <c r="J34" s="1635">
        <f t="shared" si="3"/>
        <v>0</v>
      </c>
      <c r="K34" s="1720">
        <f>L369</f>
        <v>0</v>
      </c>
      <c r="L34" s="1720">
        <f t="shared" ref="L34:M34" si="20">M369</f>
        <v>7.3333333333333306E-2</v>
      </c>
      <c r="M34" s="1720">
        <f t="shared" si="20"/>
        <v>0.57999999999999985</v>
      </c>
      <c r="N34" s="1634">
        <f t="shared" si="14"/>
        <v>0.6533333333333331</v>
      </c>
      <c r="O34" s="1636">
        <f t="shared" si="5"/>
        <v>1</v>
      </c>
      <c r="P34" s="1637">
        <f t="shared" si="15"/>
        <v>0</v>
      </c>
      <c r="Q34" s="1638">
        <f>Q350</f>
        <v>973</v>
      </c>
      <c r="R34" s="1639">
        <f t="shared" si="1"/>
        <v>0</v>
      </c>
      <c r="S34" s="1665"/>
      <c r="T34" s="1662"/>
      <c r="U34" s="1662"/>
      <c r="V34" s="1662"/>
      <c r="W34" s="1662"/>
      <c r="X34" s="1662"/>
      <c r="Y34" s="1662"/>
      <c r="Z34" s="1662"/>
      <c r="AA34" s="1662"/>
      <c r="AB34" s="1662"/>
      <c r="AC34" s="1662"/>
      <c r="AD34" s="1662"/>
      <c r="AE34" s="1662"/>
      <c r="AF34" s="1662"/>
      <c r="AG34" s="1662"/>
      <c r="AH34" s="1662"/>
      <c r="AI34" s="1662"/>
      <c r="AJ34" s="1662"/>
      <c r="AK34" s="1662"/>
      <c r="AL34" s="1662"/>
      <c r="AM34" s="1662"/>
      <c r="AN34" s="1662"/>
      <c r="AO34" s="1662"/>
      <c r="AP34" s="1662"/>
      <c r="AQ34" s="1662"/>
      <c r="AR34" s="1662"/>
      <c r="AS34" s="1662"/>
      <c r="AT34" s="1662"/>
      <c r="AU34" s="1662"/>
      <c r="AV34" s="1662"/>
      <c r="AW34" s="1662"/>
    </row>
    <row r="35" spans="1:49" s="1719" customFormat="1" ht="15.75" thickBot="1" x14ac:dyDescent="0.3">
      <c r="A35" s="1662"/>
      <c r="B35" s="1663"/>
      <c r="C35" s="4573"/>
      <c r="D35" s="4574"/>
      <c r="E35" s="1706" t="str">
        <f>'16.1 Areas Actuales'!D43</f>
        <v>Sala de Partos</v>
      </c>
      <c r="F35" s="1705">
        <f>'16.1 Areas Actuales'!E43</f>
        <v>1</v>
      </c>
      <c r="G35" s="1721">
        <f>'16.1 Areas Actuales'!F43</f>
        <v>23.26</v>
      </c>
      <c r="H35" s="1721">
        <f>'16.1 Areas Actuales'!G43</f>
        <v>30</v>
      </c>
      <c r="I35" s="1640">
        <f t="shared" si="2"/>
        <v>-6.7399999999999984</v>
      </c>
      <c r="J35" s="1635">
        <f t="shared" si="3"/>
        <v>0</v>
      </c>
      <c r="K35" s="1720">
        <f>L384</f>
        <v>0</v>
      </c>
      <c r="L35" s="1720">
        <f t="shared" ref="L35:M35" si="21">M384</f>
        <v>7.3333333333333306E-2</v>
      </c>
      <c r="M35" s="1720">
        <f t="shared" si="21"/>
        <v>0.57999999999999985</v>
      </c>
      <c r="N35" s="1634">
        <f t="shared" si="14"/>
        <v>0.6533333333333331</v>
      </c>
      <c r="O35" s="1636">
        <f t="shared" si="5"/>
        <v>1</v>
      </c>
      <c r="P35" s="1637">
        <f t="shared" si="15"/>
        <v>0</v>
      </c>
      <c r="Q35" s="1638">
        <v>973</v>
      </c>
      <c r="R35" s="1639">
        <f t="shared" si="1"/>
        <v>0</v>
      </c>
      <c r="S35" s="1665"/>
      <c r="T35" s="1662"/>
      <c r="U35" s="1662"/>
      <c r="V35" s="1662"/>
      <c r="W35" s="1662"/>
      <c r="X35" s="1662"/>
      <c r="Y35" s="1662"/>
      <c r="Z35" s="1662"/>
      <c r="AA35" s="1662"/>
      <c r="AB35" s="1662"/>
      <c r="AC35" s="1662"/>
      <c r="AD35" s="1662"/>
      <c r="AE35" s="1662"/>
      <c r="AF35" s="1662"/>
      <c r="AG35" s="1662"/>
      <c r="AH35" s="1662"/>
      <c r="AI35" s="1662"/>
      <c r="AJ35" s="1662"/>
      <c r="AK35" s="1662"/>
      <c r="AL35" s="1662"/>
      <c r="AM35" s="1662"/>
      <c r="AN35" s="1662"/>
      <c r="AO35" s="1662"/>
      <c r="AP35" s="1662"/>
      <c r="AQ35" s="1662"/>
      <c r="AR35" s="1662"/>
      <c r="AS35" s="1662"/>
      <c r="AT35" s="1662"/>
      <c r="AU35" s="1662"/>
      <c r="AV35" s="1662"/>
      <c r="AW35" s="1662"/>
    </row>
    <row r="36" spans="1:49" s="1719" customFormat="1" ht="25.5" customHeight="1" thickBot="1" x14ac:dyDescent="0.3">
      <c r="A36" s="1662"/>
      <c r="B36" s="1663"/>
      <c r="C36" s="4575"/>
      <c r="D36" s="4576"/>
      <c r="E36" s="1706" t="str">
        <f>'16.1 Areas Actuales'!D44</f>
        <v>Sala de Puerperio  Inmediato, incluye SS.HH. de 2.30 m2</v>
      </c>
      <c r="F36" s="1705">
        <f>'16.1 Areas Actuales'!E44</f>
        <v>1</v>
      </c>
      <c r="G36" s="1721">
        <f>'16.1 Areas Actuales'!F44</f>
        <v>19.16</v>
      </c>
      <c r="H36" s="1721">
        <f>'16.1 Areas Actuales'!G44</f>
        <v>18</v>
      </c>
      <c r="I36" s="1640">
        <f t="shared" si="2"/>
        <v>1.1600000000000001</v>
      </c>
      <c r="J36" s="1635">
        <f t="shared" si="3"/>
        <v>1</v>
      </c>
      <c r="K36" s="1720">
        <f>L399</f>
        <v>0</v>
      </c>
      <c r="L36" s="1720">
        <f t="shared" ref="L36:M36" si="22">M399</f>
        <v>7.3333333333333306E-2</v>
      </c>
      <c r="M36" s="1720">
        <f t="shared" si="22"/>
        <v>0.57999999999999985</v>
      </c>
      <c r="N36" s="1634">
        <f t="shared" si="14"/>
        <v>0.6533333333333331</v>
      </c>
      <c r="O36" s="1636">
        <f t="shared" si="5"/>
        <v>1</v>
      </c>
      <c r="P36" s="1637">
        <f t="shared" si="15"/>
        <v>0</v>
      </c>
      <c r="Q36" s="1638">
        <v>973</v>
      </c>
      <c r="R36" s="1639">
        <f t="shared" si="1"/>
        <v>973</v>
      </c>
      <c r="S36" s="1665"/>
      <c r="T36" s="1662"/>
      <c r="U36" s="1662"/>
      <c r="V36" s="1662"/>
      <c r="W36" s="1662"/>
      <c r="X36" s="1662"/>
      <c r="Y36" s="1662"/>
      <c r="Z36" s="1662"/>
      <c r="AA36" s="1662"/>
      <c r="AB36" s="1662"/>
      <c r="AC36" s="1662"/>
      <c r="AD36" s="1662"/>
      <c r="AE36" s="1662"/>
      <c r="AF36" s="1662"/>
      <c r="AG36" s="1662"/>
      <c r="AH36" s="1662"/>
      <c r="AI36" s="1662"/>
      <c r="AJ36" s="1662"/>
      <c r="AK36" s="1662"/>
      <c r="AL36" s="1662"/>
      <c r="AM36" s="1662"/>
      <c r="AN36" s="1662"/>
      <c r="AO36" s="1662"/>
      <c r="AP36" s="1662"/>
      <c r="AQ36" s="1662"/>
      <c r="AR36" s="1662"/>
      <c r="AS36" s="1662"/>
      <c r="AT36" s="1662"/>
      <c r="AU36" s="1662"/>
      <c r="AV36" s="1662"/>
      <c r="AW36" s="1662"/>
    </row>
    <row r="37" spans="1:49" s="1719" customFormat="1" ht="26.25" thickBot="1" x14ac:dyDescent="0.3">
      <c r="A37" s="1662"/>
      <c r="B37" s="1663"/>
      <c r="C37" s="4571" t="s">
        <v>331</v>
      </c>
      <c r="D37" s="4572"/>
      <c r="E37" s="1706" t="str">
        <f>'16.1 Areas Actuales'!D49</f>
        <v xml:space="preserve">Sala de Internamiento Varones y Mujeres (3 camas) , Incluye SS.HH. De 4.28 m2 </v>
      </c>
      <c r="F37" s="1705">
        <f>'16.1 Areas Actuales'!E49</f>
        <v>1</v>
      </c>
      <c r="G37" s="1721">
        <f>'16.1 Areas Actuales'!F49</f>
        <v>23.470000000000002</v>
      </c>
      <c r="H37" s="1721">
        <f>'16.1 Areas Actuales'!G49</f>
        <v>18</v>
      </c>
      <c r="I37" s="1640">
        <f t="shared" si="2"/>
        <v>5.4700000000000024</v>
      </c>
      <c r="J37" s="1635">
        <f t="shared" si="3"/>
        <v>1</v>
      </c>
      <c r="K37" s="1720">
        <f>L424</f>
        <v>0</v>
      </c>
      <c r="L37" s="1720">
        <f t="shared" ref="L37:M37" si="23">M424</f>
        <v>7.3333333333333306E-2</v>
      </c>
      <c r="M37" s="1720">
        <f t="shared" si="23"/>
        <v>0.57999999999999985</v>
      </c>
      <c r="N37" s="1634">
        <f t="shared" si="14"/>
        <v>0.6533333333333331</v>
      </c>
      <c r="O37" s="1636">
        <f t="shared" si="5"/>
        <v>1</v>
      </c>
      <c r="P37" s="1637">
        <f t="shared" si="15"/>
        <v>0</v>
      </c>
      <c r="Q37" s="1638">
        <f>Q406</f>
        <v>117</v>
      </c>
      <c r="R37" s="1639">
        <f t="shared" si="1"/>
        <v>117</v>
      </c>
      <c r="S37" s="1665"/>
      <c r="T37" s="1662"/>
      <c r="U37" s="1662"/>
      <c r="V37" s="1662"/>
      <c r="W37" s="1662"/>
      <c r="X37" s="1662"/>
      <c r="Y37" s="1662"/>
      <c r="Z37" s="1662"/>
      <c r="AA37" s="1662"/>
      <c r="AB37" s="1662"/>
      <c r="AC37" s="1662"/>
      <c r="AD37" s="1662"/>
      <c r="AE37" s="1662"/>
      <c r="AF37" s="1662"/>
      <c r="AG37" s="1662"/>
      <c r="AH37" s="1662"/>
      <c r="AI37" s="1662"/>
      <c r="AJ37" s="1662"/>
      <c r="AK37" s="1662"/>
      <c r="AL37" s="1662"/>
      <c r="AM37" s="1662"/>
      <c r="AN37" s="1662"/>
      <c r="AO37" s="1662"/>
      <c r="AP37" s="1662"/>
      <c r="AQ37" s="1662"/>
      <c r="AR37" s="1662"/>
      <c r="AS37" s="1662"/>
      <c r="AT37" s="1662"/>
      <c r="AU37" s="1662"/>
      <c r="AV37" s="1662"/>
      <c r="AW37" s="1662"/>
    </row>
    <row r="38" spans="1:49" s="1719" customFormat="1" ht="15.75" thickBot="1" x14ac:dyDescent="0.3">
      <c r="A38" s="1662"/>
      <c r="B38" s="1663"/>
      <c r="C38" s="4575"/>
      <c r="D38" s="4576"/>
      <c r="E38" s="1706" t="str">
        <f>'16.1 Areas Actuales'!D50</f>
        <v>Sala de Internamiento Niños (2 camas)</v>
      </c>
      <c r="F38" s="1705">
        <f>'16.1 Areas Actuales'!E50</f>
        <v>1</v>
      </c>
      <c r="G38" s="1721">
        <f>'16.1 Areas Actuales'!F50</f>
        <v>14.01</v>
      </c>
      <c r="H38" s="1721">
        <f>'16.1 Areas Actuales'!G50</f>
        <v>18</v>
      </c>
      <c r="I38" s="1640">
        <f t="shared" si="2"/>
        <v>-3.99</v>
      </c>
      <c r="J38" s="1635">
        <f t="shared" si="3"/>
        <v>0</v>
      </c>
      <c r="K38" s="1720">
        <f>L439</f>
        <v>0</v>
      </c>
      <c r="L38" s="1720">
        <f t="shared" ref="L38:M38" si="24">M439</f>
        <v>7.3333333333333306E-2</v>
      </c>
      <c r="M38" s="1720">
        <f t="shared" si="24"/>
        <v>0.57999999999999985</v>
      </c>
      <c r="N38" s="1634">
        <f t="shared" si="14"/>
        <v>0.6533333333333331</v>
      </c>
      <c r="O38" s="1636">
        <f t="shared" si="5"/>
        <v>1</v>
      </c>
      <c r="P38" s="1637">
        <f t="shared" si="15"/>
        <v>0</v>
      </c>
      <c r="Q38" s="1638">
        <f>Q407</f>
        <v>117</v>
      </c>
      <c r="R38" s="1639">
        <f t="shared" si="1"/>
        <v>0</v>
      </c>
      <c r="S38" s="1665"/>
      <c r="T38" s="1662"/>
      <c r="U38" s="1662"/>
      <c r="V38" s="1662"/>
      <c r="W38" s="1662"/>
      <c r="X38" s="1662"/>
      <c r="Y38" s="1662"/>
      <c r="Z38" s="1662"/>
      <c r="AA38" s="1662"/>
      <c r="AB38" s="1662"/>
      <c r="AC38" s="1662"/>
      <c r="AD38" s="1662"/>
      <c r="AE38" s="1662"/>
      <c r="AF38" s="1662"/>
      <c r="AG38" s="1662"/>
      <c r="AH38" s="1662"/>
      <c r="AI38" s="1662"/>
      <c r="AJ38" s="1662"/>
      <c r="AK38" s="1662"/>
      <c r="AL38" s="1662"/>
      <c r="AM38" s="1662"/>
      <c r="AN38" s="1662"/>
      <c r="AO38" s="1662"/>
      <c r="AP38" s="1662"/>
      <c r="AQ38" s="1662"/>
      <c r="AR38" s="1662"/>
      <c r="AS38" s="1662"/>
      <c r="AT38" s="1662"/>
      <c r="AU38" s="1662"/>
      <c r="AV38" s="1662"/>
      <c r="AW38" s="1662"/>
    </row>
    <row r="39" spans="1:49" s="1719" customFormat="1" ht="30.75" customHeight="1" thickBot="1" x14ac:dyDescent="0.3">
      <c r="A39" s="1662"/>
      <c r="B39" s="1663"/>
      <c r="C39" s="4577" t="s">
        <v>2675</v>
      </c>
      <c r="D39" s="4578"/>
      <c r="E39" s="1706" t="str">
        <f>'16.1 Areas Actuales'!D56</f>
        <v>Esterilización</v>
      </c>
      <c r="F39" s="1705">
        <f>'16.1 Areas Actuales'!E56</f>
        <v>1</v>
      </c>
      <c r="G39" s="1721">
        <f>'16.1 Areas Actuales'!F56</f>
        <v>6.24</v>
      </c>
      <c r="H39" s="1721">
        <f>'16.1 Areas Actuales'!G56</f>
        <v>6.5</v>
      </c>
      <c r="I39" s="1640">
        <f t="shared" ref="I39:I40" si="25">+G39-H39</f>
        <v>-0.25999999999999979</v>
      </c>
      <c r="J39" s="1635">
        <f t="shared" ref="J39:J40" si="26">IF(I39&gt;-0.1,1,0)</f>
        <v>0</v>
      </c>
      <c r="K39" s="1720">
        <f>L462</f>
        <v>0</v>
      </c>
      <c r="L39" s="1720">
        <f t="shared" ref="L39:M39" si="27">M462</f>
        <v>0.10999999999999996</v>
      </c>
      <c r="M39" s="1720">
        <f t="shared" si="27"/>
        <v>0</v>
      </c>
      <c r="N39" s="1634">
        <f t="shared" ref="N39:N40" si="28">SUM(K39:M39)</f>
        <v>0.10999999999999996</v>
      </c>
      <c r="O39" s="1636">
        <f t="shared" si="5"/>
        <v>0</v>
      </c>
      <c r="P39" s="1637">
        <f t="shared" ref="P39:P40" si="29">IF(N26&lt;0.63,0,0)</f>
        <v>0</v>
      </c>
      <c r="Q39" s="1638">
        <f>Q445</f>
        <v>14931.016454833145</v>
      </c>
      <c r="R39" s="1639">
        <f t="shared" ref="R39:R40" si="30">+J39*O39*Q39</f>
        <v>0</v>
      </c>
      <c r="S39" s="1665"/>
      <c r="T39" s="1662"/>
      <c r="U39" s="1662"/>
      <c r="V39" s="1662"/>
      <c r="W39" s="1662"/>
      <c r="X39" s="1662"/>
      <c r="Y39" s="1662"/>
      <c r="Z39" s="1662"/>
      <c r="AA39" s="1662"/>
      <c r="AB39" s="1662"/>
      <c r="AC39" s="1662"/>
      <c r="AD39" s="1662"/>
      <c r="AE39" s="1662"/>
      <c r="AF39" s="1662"/>
      <c r="AG39" s="1662"/>
      <c r="AH39" s="1662"/>
      <c r="AI39" s="1662"/>
      <c r="AJ39" s="1662"/>
      <c r="AK39" s="1662"/>
      <c r="AL39" s="1662"/>
      <c r="AM39" s="1662"/>
      <c r="AN39" s="1662"/>
      <c r="AO39" s="1662"/>
      <c r="AP39" s="1662"/>
      <c r="AQ39" s="1662"/>
      <c r="AR39" s="1662"/>
      <c r="AS39" s="1662"/>
      <c r="AT39" s="1662"/>
      <c r="AU39" s="1662"/>
      <c r="AV39" s="1662"/>
      <c r="AW39" s="1662"/>
    </row>
    <row r="40" spans="1:49" s="1719" customFormat="1" ht="14.25" customHeight="1" thickBot="1" x14ac:dyDescent="0.3">
      <c r="A40" s="1662"/>
      <c r="B40" s="1663"/>
      <c r="C40" s="4577" t="s">
        <v>1843</v>
      </c>
      <c r="D40" s="4578"/>
      <c r="E40" s="1706" t="str">
        <f>'16.1 Areas Actuales'!D35</f>
        <v>Dispensación y expendio en UPSS Consulta Externa</v>
      </c>
      <c r="F40" s="1705">
        <f>'16.1 Areas Actuales'!E35</f>
        <v>1</v>
      </c>
      <c r="G40" s="1721">
        <f>'16.1 Areas Actuales'!F35</f>
        <v>17.91</v>
      </c>
      <c r="H40" s="1721">
        <f>'16.1 Areas Actuales'!G35</f>
        <v>15</v>
      </c>
      <c r="I40" s="1640">
        <f t="shared" si="25"/>
        <v>2.91</v>
      </c>
      <c r="J40" s="1635">
        <f t="shared" si="26"/>
        <v>1</v>
      </c>
      <c r="K40" s="1720">
        <f>L485</f>
        <v>0</v>
      </c>
      <c r="L40" s="1720">
        <f t="shared" ref="L40:M40" si="31">M485</f>
        <v>7.3333333333333306E-2</v>
      </c>
      <c r="M40" s="1720">
        <f t="shared" si="31"/>
        <v>0.57999999999999985</v>
      </c>
      <c r="N40" s="1634">
        <f t="shared" si="28"/>
        <v>0.6533333333333331</v>
      </c>
      <c r="O40" s="1636">
        <f t="shared" si="5"/>
        <v>1</v>
      </c>
      <c r="P40" s="1637">
        <f t="shared" si="29"/>
        <v>0</v>
      </c>
      <c r="Q40" s="1638">
        <f>Q468</f>
        <v>14931.016454833145</v>
      </c>
      <c r="R40" s="1639">
        <f t="shared" si="30"/>
        <v>14931.016454833145</v>
      </c>
      <c r="S40" s="1665"/>
      <c r="T40" s="1662"/>
      <c r="U40" s="1662"/>
      <c r="V40" s="1662"/>
      <c r="W40" s="1662"/>
      <c r="X40" s="1662"/>
      <c r="Y40" s="1662"/>
      <c r="Z40" s="1662"/>
      <c r="AA40" s="1662"/>
      <c r="AB40" s="1662"/>
      <c r="AC40" s="1662"/>
      <c r="AD40" s="1662"/>
      <c r="AE40" s="1662"/>
      <c r="AF40" s="1662"/>
      <c r="AG40" s="1662"/>
      <c r="AH40" s="1662"/>
      <c r="AI40" s="1662"/>
      <c r="AJ40" s="1662"/>
      <c r="AK40" s="1662"/>
      <c r="AL40" s="1662"/>
      <c r="AM40" s="1662"/>
      <c r="AN40" s="1662"/>
      <c r="AO40" s="1662"/>
      <c r="AP40" s="1662"/>
      <c r="AQ40" s="1662"/>
      <c r="AR40" s="1662"/>
      <c r="AS40" s="1662"/>
      <c r="AT40" s="1662"/>
      <c r="AU40" s="1662"/>
      <c r="AV40" s="1662"/>
      <c r="AW40" s="1662"/>
    </row>
    <row r="41" spans="1:49" s="1729" customFormat="1" ht="15" customHeight="1" thickBot="1" x14ac:dyDescent="0.3">
      <c r="A41" s="1662"/>
      <c r="B41" s="1663"/>
      <c r="C41" s="4577"/>
      <c r="D41" s="4578"/>
      <c r="E41" s="1641" t="s">
        <v>0</v>
      </c>
      <c r="F41" s="1723">
        <f>SUM(F16:F40)</f>
        <v>25</v>
      </c>
      <c r="G41" s="1724">
        <f>SUM(G16:G40)</f>
        <v>376.71000000000004</v>
      </c>
      <c r="H41" s="1724">
        <f>SUM(H16:H40)</f>
        <v>396</v>
      </c>
      <c r="I41" s="1724">
        <f>SUM(I16:I38)</f>
        <v>-21.939999999999998</v>
      </c>
      <c r="J41" s="1725">
        <f>SUM(J16:J38)</f>
        <v>11</v>
      </c>
      <c r="K41" s="1726"/>
      <c r="L41" s="1726"/>
      <c r="M41" s="1726"/>
      <c r="N41" s="1726"/>
      <c r="O41" s="1726"/>
      <c r="P41" s="1726"/>
      <c r="Q41" s="1727"/>
      <c r="R41" s="1728"/>
      <c r="S41" s="1665"/>
      <c r="T41" s="1662"/>
      <c r="U41" s="1662"/>
      <c r="V41" s="1662"/>
      <c r="W41" s="1662"/>
      <c r="X41" s="1662"/>
      <c r="Y41" s="1662"/>
      <c r="Z41" s="1662"/>
      <c r="AA41" s="1662"/>
      <c r="AB41" s="1662"/>
      <c r="AC41" s="1662"/>
      <c r="AD41" s="1662"/>
      <c r="AE41" s="1662"/>
      <c r="AF41" s="1662"/>
      <c r="AG41" s="1662"/>
      <c r="AH41" s="1662"/>
      <c r="AI41" s="1662"/>
      <c r="AJ41" s="1662"/>
      <c r="AK41" s="1662"/>
      <c r="AL41" s="1662"/>
      <c r="AM41" s="1662"/>
      <c r="AN41" s="1662"/>
      <c r="AO41" s="1662"/>
      <c r="AP41" s="1662"/>
      <c r="AQ41" s="1662"/>
      <c r="AR41" s="1662"/>
      <c r="AS41" s="1662"/>
      <c r="AT41" s="1662"/>
      <c r="AU41" s="1662"/>
      <c r="AV41" s="1662"/>
      <c r="AW41" s="1662"/>
    </row>
    <row r="42" spans="1:49" s="1662" customFormat="1" x14ac:dyDescent="0.25">
      <c r="B42" s="1663"/>
      <c r="C42" s="1667"/>
      <c r="D42" s="1621"/>
      <c r="E42" s="1622"/>
      <c r="F42" s="1623"/>
      <c r="G42" s="1624"/>
      <c r="H42" s="1624"/>
      <c r="I42" s="1624"/>
      <c r="J42" s="1625"/>
      <c r="K42" s="1626"/>
      <c r="L42" s="1626"/>
      <c r="M42" s="1626"/>
      <c r="N42" s="1626"/>
      <c r="O42" s="1626"/>
      <c r="P42" s="1626"/>
      <c r="Q42" s="1627"/>
      <c r="R42" s="1628"/>
      <c r="S42" s="1665"/>
    </row>
    <row r="43" spans="1:49" s="1662" customFormat="1" x14ac:dyDescent="0.25">
      <c r="B43" s="1663"/>
      <c r="C43" s="1668"/>
      <c r="D43" s="1629" t="s">
        <v>3191</v>
      </c>
      <c r="E43" s="1667"/>
      <c r="F43" s="1667"/>
      <c r="G43" s="1624"/>
      <c r="H43" s="1624"/>
      <c r="I43" s="1624"/>
      <c r="J43" s="1625"/>
      <c r="K43" s="1626"/>
      <c r="L43" s="1626"/>
      <c r="M43" s="1626"/>
      <c r="N43" s="1626"/>
      <c r="O43" s="1626"/>
      <c r="P43" s="1626"/>
      <c r="Q43" s="1627"/>
      <c r="R43" s="1628"/>
      <c r="S43" s="1665"/>
    </row>
    <row r="44" spans="1:49" s="1662" customFormat="1" x14ac:dyDescent="0.25">
      <c r="B44" s="1663"/>
      <c r="C44" s="1668"/>
      <c r="D44" s="1667"/>
      <c r="E44" s="1667"/>
      <c r="F44" s="1667"/>
      <c r="G44" s="1624"/>
      <c r="H44" s="1624"/>
      <c r="I44" s="1624"/>
      <c r="J44" s="1625"/>
      <c r="K44" s="1626"/>
      <c r="L44" s="1626"/>
      <c r="M44" s="1626"/>
      <c r="N44" s="1626"/>
      <c r="O44" s="1626"/>
      <c r="P44" s="1626"/>
      <c r="Q44" s="1627"/>
      <c r="R44" s="1628"/>
      <c r="S44" s="1665"/>
    </row>
    <row r="45" spans="1:49" s="1662" customFormat="1" x14ac:dyDescent="0.25">
      <c r="B45" s="1663"/>
      <c r="C45" s="1668" t="s">
        <v>3192</v>
      </c>
      <c r="D45" s="1630" t="s">
        <v>3193</v>
      </c>
      <c r="E45" s="1667"/>
      <c r="F45" s="1667"/>
      <c r="G45" s="1624"/>
      <c r="H45" s="1624"/>
      <c r="I45" s="1624"/>
      <c r="J45" s="1625"/>
      <c r="K45" s="1626"/>
      <c r="L45" s="1626"/>
      <c r="M45" s="1626"/>
      <c r="N45" s="1626"/>
      <c r="O45" s="1626"/>
      <c r="P45" s="1626"/>
      <c r="Q45" s="1627"/>
      <c r="R45" s="1628"/>
      <c r="S45" s="1665"/>
    </row>
    <row r="46" spans="1:49" s="1662" customFormat="1" x14ac:dyDescent="0.25">
      <c r="B46" s="1663"/>
      <c r="C46" s="1668"/>
      <c r="D46" s="1631" t="s">
        <v>3293</v>
      </c>
      <c r="E46" s="1667"/>
      <c r="F46" s="1667"/>
      <c r="G46" s="1624"/>
      <c r="H46" s="1624"/>
      <c r="I46" s="1624"/>
      <c r="J46" s="1625"/>
      <c r="K46" s="1626"/>
      <c r="L46" s="1626"/>
      <c r="M46" s="1626"/>
      <c r="N46" s="1626"/>
      <c r="O46" s="1626"/>
      <c r="P46" s="1626"/>
      <c r="Q46" s="1627"/>
      <c r="R46" s="1628"/>
      <c r="S46" s="1665"/>
    </row>
    <row r="47" spans="1:49" s="1662" customFormat="1" x14ac:dyDescent="0.25">
      <c r="B47" s="1663"/>
      <c r="C47" s="1668"/>
      <c r="D47" s="1631" t="s">
        <v>3294</v>
      </c>
      <c r="E47" s="1667"/>
      <c r="F47" s="1667"/>
      <c r="G47" s="1624"/>
      <c r="H47" s="1624"/>
      <c r="I47" s="1624"/>
      <c r="J47" s="1625"/>
      <c r="K47" s="1626"/>
      <c r="L47" s="1626"/>
      <c r="M47" s="1626"/>
      <c r="N47" s="1626"/>
      <c r="O47" s="1626"/>
      <c r="P47" s="1626"/>
      <c r="Q47" s="1627"/>
      <c r="R47" s="1628"/>
      <c r="S47" s="1665"/>
    </row>
    <row r="48" spans="1:49" s="1662" customFormat="1" x14ac:dyDescent="0.25">
      <c r="B48" s="1663"/>
      <c r="C48" s="1668"/>
      <c r="D48" s="1631"/>
      <c r="E48" s="1667"/>
      <c r="F48" s="1667"/>
      <c r="G48" s="1624"/>
      <c r="H48" s="1624"/>
      <c r="I48" s="1624"/>
      <c r="J48" s="1625"/>
      <c r="K48" s="1626"/>
      <c r="L48" s="1626"/>
      <c r="M48" s="1626"/>
      <c r="N48" s="1626"/>
      <c r="O48" s="1626"/>
      <c r="P48" s="1626"/>
      <c r="Q48" s="1627"/>
      <c r="R48" s="1628"/>
      <c r="S48" s="1665"/>
    </row>
    <row r="49" spans="2:49" s="1662" customFormat="1" x14ac:dyDescent="0.25">
      <c r="B49" s="1663"/>
      <c r="C49" s="1668" t="s">
        <v>3208</v>
      </c>
      <c r="D49" s="1630" t="s">
        <v>3209</v>
      </c>
      <c r="E49" s="1667"/>
      <c r="F49" s="1667"/>
      <c r="G49" s="1624"/>
      <c r="H49" s="1624"/>
      <c r="I49" s="1624"/>
      <c r="J49" s="1625"/>
      <c r="K49" s="1626"/>
      <c r="L49" s="1626"/>
      <c r="M49" s="1626"/>
      <c r="N49" s="1626"/>
      <c r="O49" s="1626"/>
      <c r="P49" s="1626"/>
      <c r="Q49" s="1627"/>
      <c r="R49" s="1628"/>
      <c r="S49" s="1665"/>
    </row>
    <row r="50" spans="2:49" s="1662" customFormat="1" x14ac:dyDescent="0.25">
      <c r="B50" s="1663"/>
      <c r="C50" s="1668"/>
      <c r="D50" s="1631" t="s">
        <v>3295</v>
      </c>
      <c r="E50" s="1667"/>
      <c r="F50" s="1667"/>
      <c r="G50" s="1624"/>
      <c r="H50" s="1624"/>
      <c r="I50" s="1624"/>
      <c r="J50" s="1625"/>
      <c r="K50" s="1626"/>
      <c r="L50" s="1626"/>
      <c r="M50" s="1626"/>
      <c r="N50" s="1626"/>
      <c r="O50" s="1626"/>
      <c r="P50" s="1626"/>
      <c r="Q50" s="1627"/>
      <c r="R50" s="1628"/>
      <c r="S50" s="1665"/>
    </row>
    <row r="51" spans="2:49" s="1662" customFormat="1" x14ac:dyDescent="0.25">
      <c r="B51" s="1663"/>
      <c r="C51" s="1668"/>
      <c r="D51" s="1631" t="s">
        <v>3296</v>
      </c>
      <c r="E51" s="1667"/>
      <c r="F51" s="1667"/>
      <c r="G51" s="1624"/>
      <c r="H51" s="1624"/>
      <c r="I51" s="1624"/>
      <c r="J51" s="1625"/>
      <c r="K51" s="1626"/>
      <c r="L51" s="1626"/>
      <c r="M51" s="1626"/>
      <c r="N51" s="1626"/>
      <c r="O51" s="1626"/>
      <c r="P51" s="1626"/>
      <c r="Q51" s="1627"/>
      <c r="R51" s="1628"/>
      <c r="S51" s="1665"/>
    </row>
    <row r="52" spans="2:49" s="1662" customFormat="1" x14ac:dyDescent="0.25">
      <c r="B52" s="1663"/>
      <c r="C52" s="1667"/>
      <c r="D52" s="1621"/>
      <c r="E52" s="1622"/>
      <c r="F52" s="1623"/>
      <c r="G52" s="1624"/>
      <c r="H52" s="1624"/>
      <c r="I52" s="1624"/>
      <c r="J52" s="1625"/>
      <c r="K52" s="1626"/>
      <c r="L52" s="1626"/>
      <c r="M52" s="1626"/>
      <c r="N52" s="1626"/>
      <c r="O52" s="1626"/>
      <c r="P52" s="1626"/>
      <c r="Q52" s="1627"/>
      <c r="R52" s="1628"/>
      <c r="S52" s="1665"/>
    </row>
    <row r="53" spans="2:49" s="1662" customFormat="1" x14ac:dyDescent="0.25">
      <c r="B53" s="1663"/>
      <c r="C53" s="1621"/>
      <c r="D53" s="1621"/>
      <c r="E53" s="1622"/>
      <c r="F53" s="1623"/>
      <c r="G53" s="1624"/>
      <c r="H53" s="1624"/>
      <c r="I53" s="1624"/>
      <c r="J53" s="1625"/>
      <c r="K53" s="1626"/>
      <c r="L53" s="1626"/>
      <c r="M53" s="1626"/>
      <c r="N53" s="1626"/>
      <c r="O53" s="1626"/>
      <c r="P53" s="1626"/>
      <c r="Q53" s="1627"/>
      <c r="R53" s="1628"/>
      <c r="S53" s="1665"/>
    </row>
    <row r="54" spans="2:49" s="1669" customFormat="1" ht="15" customHeight="1" thickBot="1" x14ac:dyDescent="0.3">
      <c r="B54" s="1670">
        <v>1</v>
      </c>
      <c r="C54" s="1631"/>
      <c r="D54" s="1671" t="s">
        <v>3797</v>
      </c>
      <c r="E54" s="1667"/>
      <c r="F54" s="1667"/>
      <c r="G54" s="1667"/>
      <c r="H54" s="1671"/>
      <c r="I54" s="1667"/>
      <c r="J54" s="1667"/>
      <c r="K54" s="1667"/>
      <c r="L54" s="1667"/>
      <c r="M54" s="1667"/>
      <c r="N54" s="1667"/>
      <c r="O54" s="1667"/>
      <c r="P54" s="1667"/>
      <c r="Q54" s="1667"/>
      <c r="R54" s="1667"/>
      <c r="S54" s="1672"/>
      <c r="T54" s="1662"/>
      <c r="U54" s="1662"/>
      <c r="V54" s="1662"/>
      <c r="W54" s="1662"/>
      <c r="X54" s="1662"/>
      <c r="Y54" s="1662"/>
      <c r="Z54" s="1662"/>
      <c r="AA54" s="1662"/>
      <c r="AB54" s="1662"/>
      <c r="AC54" s="1662"/>
      <c r="AD54" s="1662"/>
      <c r="AE54" s="1662"/>
      <c r="AF54" s="1662"/>
      <c r="AG54" s="1662"/>
      <c r="AH54" s="1662"/>
      <c r="AI54" s="1662"/>
      <c r="AJ54" s="1662"/>
      <c r="AK54" s="1662"/>
      <c r="AL54" s="1662"/>
      <c r="AM54" s="1662"/>
      <c r="AN54" s="1662"/>
      <c r="AO54" s="1662"/>
      <c r="AP54" s="1662"/>
      <c r="AQ54" s="1662"/>
      <c r="AR54" s="1662"/>
      <c r="AS54" s="1662"/>
      <c r="AT54" s="1662"/>
      <c r="AU54" s="1662"/>
      <c r="AV54" s="1662"/>
      <c r="AW54" s="1662"/>
    </row>
    <row r="55" spans="2:49" s="1669" customFormat="1" ht="12.6" customHeight="1" thickBot="1" x14ac:dyDescent="0.3">
      <c r="B55" s="1670"/>
      <c r="C55" s="4546" t="s">
        <v>62</v>
      </c>
      <c r="D55" s="4549" t="s">
        <v>5</v>
      </c>
      <c r="E55" s="4549"/>
      <c r="F55" s="4549"/>
      <c r="G55" s="4549"/>
      <c r="H55" s="4549" t="s">
        <v>3297</v>
      </c>
      <c r="I55" s="4549" t="s">
        <v>3298</v>
      </c>
      <c r="J55" s="4549"/>
      <c r="K55" s="4549"/>
      <c r="L55" s="4549" t="s">
        <v>3299</v>
      </c>
      <c r="M55" s="4549"/>
      <c r="N55" s="4554"/>
      <c r="O55" s="1667"/>
      <c r="P55" s="1667"/>
      <c r="Q55" s="1667"/>
      <c r="R55" s="1667"/>
      <c r="S55" s="1672"/>
      <c r="T55" s="1662"/>
      <c r="U55" s="1662"/>
      <c r="V55" s="1662"/>
      <c r="W55" s="1662"/>
      <c r="X55" s="1662"/>
      <c r="Y55" s="1662"/>
      <c r="Z55" s="1662"/>
      <c r="AA55" s="1662"/>
      <c r="AB55" s="1662"/>
      <c r="AC55" s="1662"/>
      <c r="AD55" s="1662"/>
      <c r="AE55" s="1662"/>
      <c r="AF55" s="1662"/>
      <c r="AG55" s="1662"/>
      <c r="AH55" s="1662"/>
      <c r="AI55" s="1662"/>
      <c r="AJ55" s="1662"/>
      <c r="AK55" s="1662"/>
      <c r="AL55" s="1662"/>
      <c r="AM55" s="1662"/>
      <c r="AN55" s="1662"/>
      <c r="AO55" s="1662"/>
      <c r="AP55" s="1662"/>
      <c r="AQ55" s="1662"/>
      <c r="AR55" s="1662"/>
      <c r="AS55" s="1662"/>
      <c r="AT55" s="1662"/>
      <c r="AU55" s="1662"/>
      <c r="AV55" s="1662"/>
      <c r="AW55" s="1662"/>
    </row>
    <row r="56" spans="2:49" s="1669" customFormat="1" ht="17.100000000000001" customHeight="1" thickBot="1" x14ac:dyDescent="0.3">
      <c r="B56" s="1670"/>
      <c r="C56" s="4547"/>
      <c r="D56" s="4550"/>
      <c r="E56" s="4550"/>
      <c r="F56" s="4550"/>
      <c r="G56" s="4550"/>
      <c r="H56" s="4550"/>
      <c r="I56" s="1642" t="s">
        <v>3283</v>
      </c>
      <c r="J56" s="1642" t="s">
        <v>3284</v>
      </c>
      <c r="K56" s="1642" t="s">
        <v>3285</v>
      </c>
      <c r="L56" s="1642" t="s">
        <v>3283</v>
      </c>
      <c r="M56" s="1642" t="s">
        <v>3284</v>
      </c>
      <c r="N56" s="1693" t="s">
        <v>3285</v>
      </c>
      <c r="O56" s="1667"/>
      <c r="P56" s="1667"/>
      <c r="Q56" s="1667"/>
      <c r="R56" s="1667"/>
      <c r="S56" s="1672"/>
      <c r="T56" s="1662"/>
      <c r="U56" s="1662"/>
      <c r="V56" s="1662"/>
      <c r="W56" s="1662"/>
      <c r="X56" s="1662"/>
      <c r="Y56" s="1662"/>
      <c r="Z56" s="1662"/>
      <c r="AA56" s="1662"/>
      <c r="AB56" s="1662"/>
      <c r="AC56" s="1662"/>
      <c r="AD56" s="1662"/>
      <c r="AE56" s="1662"/>
      <c r="AF56" s="1662"/>
      <c r="AG56" s="1662"/>
      <c r="AH56" s="1662"/>
      <c r="AI56" s="1662"/>
      <c r="AJ56" s="1662"/>
      <c r="AK56" s="1662"/>
      <c r="AL56" s="1662"/>
      <c r="AM56" s="1662"/>
      <c r="AN56" s="1662"/>
      <c r="AO56" s="1662"/>
      <c r="AP56" s="1662"/>
      <c r="AQ56" s="1662"/>
      <c r="AR56" s="1662"/>
      <c r="AS56" s="1662"/>
      <c r="AT56" s="1662"/>
      <c r="AU56" s="1662"/>
      <c r="AV56" s="1662"/>
      <c r="AW56" s="1662"/>
    </row>
    <row r="57" spans="2:49" s="1669" customFormat="1" ht="12.75" customHeight="1" thickBot="1" x14ac:dyDescent="0.3">
      <c r="B57" s="1670"/>
      <c r="C57" s="4548"/>
      <c r="D57" s="4551"/>
      <c r="E57" s="4551"/>
      <c r="F57" s="4551"/>
      <c r="G57" s="4551"/>
      <c r="H57" s="4551"/>
      <c r="I57" s="1694">
        <v>0</v>
      </c>
      <c r="J57" s="1694">
        <v>0.5</v>
      </c>
      <c r="K57" s="1694">
        <v>1</v>
      </c>
      <c r="L57" s="1644">
        <v>0</v>
      </c>
      <c r="M57" s="1644">
        <v>0.5</v>
      </c>
      <c r="N57" s="1695">
        <v>1</v>
      </c>
      <c r="O57" s="1667"/>
      <c r="P57" s="1667"/>
      <c r="Q57" s="1667"/>
      <c r="R57" s="1667"/>
      <c r="S57" s="1672"/>
      <c r="T57" s="1662"/>
      <c r="U57" s="1662"/>
      <c r="V57" s="1662"/>
      <c r="W57" s="1662"/>
      <c r="X57" s="1662"/>
      <c r="Y57" s="1662"/>
      <c r="Z57" s="1662"/>
      <c r="AA57" s="1662"/>
      <c r="AB57" s="1662"/>
      <c r="AC57" s="1662"/>
      <c r="AD57" s="1662"/>
      <c r="AE57" s="1662"/>
      <c r="AF57" s="1662"/>
      <c r="AG57" s="1662"/>
      <c r="AH57" s="1662"/>
      <c r="AI57" s="1662"/>
      <c r="AJ57" s="1662"/>
      <c r="AK57" s="1662"/>
      <c r="AL57" s="1662"/>
      <c r="AM57" s="1662"/>
      <c r="AN57" s="1662"/>
      <c r="AO57" s="1662"/>
      <c r="AP57" s="1662"/>
      <c r="AQ57" s="1662"/>
      <c r="AR57" s="1662"/>
      <c r="AS57" s="1662"/>
      <c r="AT57" s="1662"/>
      <c r="AU57" s="1662"/>
      <c r="AV57" s="1662"/>
      <c r="AW57" s="1662"/>
    </row>
    <row r="58" spans="2:49" s="1669" customFormat="1" ht="12" customHeight="1" thickBot="1" x14ac:dyDescent="0.3">
      <c r="B58" s="1670"/>
      <c r="C58" s="1645">
        <v>1</v>
      </c>
      <c r="D58" s="4552" t="s">
        <v>3300</v>
      </c>
      <c r="E58" s="4552"/>
      <c r="F58" s="4552"/>
      <c r="G58" s="4552"/>
      <c r="H58" s="1646">
        <v>0.39999999999999986</v>
      </c>
      <c r="I58" s="1645">
        <v>0</v>
      </c>
      <c r="J58" s="1645"/>
      <c r="K58" s="1645"/>
      <c r="L58" s="1645">
        <f>H58*I58</f>
        <v>0</v>
      </c>
      <c r="M58" s="1645">
        <f>H58*J58</f>
        <v>0</v>
      </c>
      <c r="N58" s="1647">
        <f>H58*K58</f>
        <v>0</v>
      </c>
      <c r="O58" s="1667"/>
      <c r="P58" s="1667"/>
      <c r="Q58" s="1667"/>
      <c r="R58" s="1667"/>
      <c r="S58" s="1672"/>
      <c r="T58" s="1662"/>
      <c r="U58" s="1662"/>
      <c r="V58" s="1662"/>
      <c r="W58" s="1662"/>
      <c r="X58" s="1662"/>
      <c r="Y58" s="1662"/>
      <c r="Z58" s="1662"/>
      <c r="AA58" s="1662"/>
      <c r="AB58" s="1662"/>
      <c r="AC58" s="1662"/>
      <c r="AD58" s="1662"/>
      <c r="AE58" s="1662"/>
      <c r="AF58" s="1662"/>
      <c r="AG58" s="1662"/>
      <c r="AH58" s="1662"/>
      <c r="AI58" s="1662"/>
      <c r="AJ58" s="1662"/>
      <c r="AK58" s="1662"/>
      <c r="AL58" s="1662"/>
      <c r="AM58" s="1662"/>
      <c r="AN58" s="1662"/>
      <c r="AO58" s="1662"/>
      <c r="AP58" s="1662"/>
      <c r="AQ58" s="1662"/>
      <c r="AR58" s="1662"/>
      <c r="AS58" s="1662"/>
      <c r="AT58" s="1662"/>
      <c r="AU58" s="1662"/>
      <c r="AV58" s="1662"/>
      <c r="AW58" s="1662"/>
    </row>
    <row r="59" spans="2:49" s="1669" customFormat="1" ht="12" customHeight="1" thickBot="1" x14ac:dyDescent="0.3">
      <c r="B59" s="1670"/>
      <c r="C59" s="1645">
        <v>2</v>
      </c>
      <c r="D59" s="4552" t="s">
        <v>3301</v>
      </c>
      <c r="E59" s="4552"/>
      <c r="F59" s="4552"/>
      <c r="G59" s="4552"/>
      <c r="H59" s="1646">
        <v>0.1333333333333333</v>
      </c>
      <c r="I59" s="1645">
        <v>0</v>
      </c>
      <c r="J59" s="1645"/>
      <c r="K59" s="1645"/>
      <c r="L59" s="1645">
        <f t="shared" ref="L59:L66" si="32">H59*I59</f>
        <v>0</v>
      </c>
      <c r="M59" s="1645">
        <f t="shared" ref="M59:M66" si="33">H59*J59</f>
        <v>0</v>
      </c>
      <c r="N59" s="1647">
        <f t="shared" ref="N59:N66" si="34">H59*K59</f>
        <v>0</v>
      </c>
      <c r="O59" s="1667"/>
      <c r="P59" s="1667"/>
      <c r="Q59" s="1667"/>
      <c r="R59" s="1667"/>
      <c r="S59" s="1672"/>
      <c r="T59" s="1662"/>
      <c r="U59" s="1662"/>
      <c r="V59" s="1662"/>
      <c r="W59" s="1662"/>
      <c r="X59" s="1662"/>
      <c r="Y59" s="1662"/>
      <c r="Z59" s="1662"/>
      <c r="AA59" s="1662"/>
      <c r="AB59" s="1662"/>
      <c r="AC59" s="1662"/>
      <c r="AD59" s="1662"/>
      <c r="AE59" s="1662"/>
      <c r="AF59" s="1662"/>
      <c r="AG59" s="1662"/>
      <c r="AH59" s="1662"/>
      <c r="AI59" s="1662"/>
      <c r="AJ59" s="1662"/>
      <c r="AK59" s="1662"/>
      <c r="AL59" s="1662"/>
      <c r="AM59" s="1662"/>
      <c r="AN59" s="1662"/>
      <c r="AO59" s="1662"/>
      <c r="AP59" s="1662"/>
      <c r="AQ59" s="1662"/>
      <c r="AR59" s="1662"/>
      <c r="AS59" s="1662"/>
      <c r="AT59" s="1662"/>
      <c r="AU59" s="1662"/>
      <c r="AV59" s="1662"/>
      <c r="AW59" s="1662"/>
    </row>
    <row r="60" spans="2:49" s="1669" customFormat="1" ht="12" customHeight="1" thickBot="1" x14ac:dyDescent="0.3">
      <c r="B60" s="1670"/>
      <c r="C60" s="1645">
        <v>3</v>
      </c>
      <c r="D60" s="4552" t="s">
        <v>3302</v>
      </c>
      <c r="E60" s="4552"/>
      <c r="F60" s="4552"/>
      <c r="G60" s="4552"/>
      <c r="H60" s="1646">
        <v>9.9999999999999964E-2</v>
      </c>
      <c r="I60" s="1645">
        <v>0</v>
      </c>
      <c r="J60" s="1645"/>
      <c r="K60" s="1645"/>
      <c r="L60" s="1645">
        <f t="shared" si="32"/>
        <v>0</v>
      </c>
      <c r="M60" s="1645">
        <f t="shared" si="33"/>
        <v>0</v>
      </c>
      <c r="N60" s="1645">
        <f t="shared" si="34"/>
        <v>0</v>
      </c>
      <c r="O60" s="1667"/>
      <c r="P60" s="1667"/>
      <c r="Q60" s="1667"/>
      <c r="R60" s="1667"/>
      <c r="S60" s="1672"/>
      <c r="T60" s="1662"/>
      <c r="U60" s="1662"/>
      <c r="V60" s="1662"/>
      <c r="W60" s="1662"/>
      <c r="X60" s="1662"/>
      <c r="Y60" s="1662"/>
      <c r="Z60" s="1662"/>
      <c r="AA60" s="1662"/>
      <c r="AB60" s="1662"/>
      <c r="AC60" s="1662"/>
      <c r="AD60" s="1662"/>
      <c r="AE60" s="1662"/>
      <c r="AF60" s="1662"/>
      <c r="AG60" s="1662"/>
      <c r="AH60" s="1662"/>
      <c r="AI60" s="1662"/>
      <c r="AJ60" s="1662"/>
      <c r="AK60" s="1662"/>
      <c r="AL60" s="1662"/>
      <c r="AM60" s="1662"/>
      <c r="AN60" s="1662"/>
      <c r="AO60" s="1662"/>
      <c r="AP60" s="1662"/>
      <c r="AQ60" s="1662"/>
      <c r="AR60" s="1662"/>
      <c r="AS60" s="1662"/>
      <c r="AT60" s="1662"/>
      <c r="AU60" s="1662"/>
      <c r="AV60" s="1662"/>
      <c r="AW60" s="1662"/>
    </row>
    <row r="61" spans="2:49" s="1669" customFormat="1" ht="12" customHeight="1" thickBot="1" x14ac:dyDescent="0.3">
      <c r="B61" s="1670"/>
      <c r="C61" s="1645">
        <v>4</v>
      </c>
      <c r="D61" s="4552" t="s">
        <v>3303</v>
      </c>
      <c r="E61" s="4552"/>
      <c r="F61" s="4552"/>
      <c r="G61" s="4552"/>
      <c r="H61" s="1646">
        <v>7.9999999999999974E-2</v>
      </c>
      <c r="I61" s="1645"/>
      <c r="J61" s="1645">
        <v>0.5</v>
      </c>
      <c r="K61" s="1645"/>
      <c r="L61" s="1645">
        <f t="shared" si="32"/>
        <v>0</v>
      </c>
      <c r="M61" s="1645">
        <f t="shared" si="33"/>
        <v>3.9999999999999987E-2</v>
      </c>
      <c r="N61" s="1645">
        <f t="shared" si="34"/>
        <v>0</v>
      </c>
      <c r="O61" s="1667"/>
      <c r="P61" s="1667"/>
      <c r="Q61" s="1667"/>
      <c r="R61" s="1667"/>
      <c r="S61" s="1672"/>
      <c r="T61" s="1662"/>
      <c r="U61" s="1662"/>
      <c r="V61" s="1662"/>
      <c r="W61" s="1662"/>
      <c r="X61" s="1662"/>
      <c r="Y61" s="1662"/>
      <c r="Z61" s="1662"/>
      <c r="AA61" s="1662"/>
      <c r="AB61" s="1662"/>
      <c r="AC61" s="1662"/>
      <c r="AD61" s="1662"/>
      <c r="AE61" s="1662"/>
      <c r="AF61" s="1662"/>
      <c r="AG61" s="1662"/>
      <c r="AH61" s="1662"/>
      <c r="AI61" s="1662"/>
      <c r="AJ61" s="1662"/>
      <c r="AK61" s="1662"/>
      <c r="AL61" s="1662"/>
      <c r="AM61" s="1662"/>
      <c r="AN61" s="1662"/>
      <c r="AO61" s="1662"/>
      <c r="AP61" s="1662"/>
      <c r="AQ61" s="1662"/>
      <c r="AR61" s="1662"/>
      <c r="AS61" s="1662"/>
      <c r="AT61" s="1662"/>
      <c r="AU61" s="1662"/>
      <c r="AV61" s="1662"/>
      <c r="AW61" s="1662"/>
    </row>
    <row r="62" spans="2:49" s="1669" customFormat="1" ht="12" customHeight="1" thickBot="1" x14ac:dyDescent="0.3">
      <c r="B62" s="1670"/>
      <c r="C62" s="1645">
        <v>5</v>
      </c>
      <c r="D62" s="4552" t="s">
        <v>3304</v>
      </c>
      <c r="E62" s="4552"/>
      <c r="F62" s="4552"/>
      <c r="G62" s="4552"/>
      <c r="H62" s="1646">
        <v>7.0000000000000007E-2</v>
      </c>
      <c r="I62" s="1645"/>
      <c r="J62" s="1645">
        <v>0.5</v>
      </c>
      <c r="K62" s="1645"/>
      <c r="L62" s="1645">
        <f t="shared" si="32"/>
        <v>0</v>
      </c>
      <c r="M62" s="1645">
        <f t="shared" si="33"/>
        <v>3.5000000000000003E-2</v>
      </c>
      <c r="N62" s="1645">
        <f>H62*K62</f>
        <v>0</v>
      </c>
      <c r="O62" s="1667"/>
      <c r="P62" s="1667"/>
      <c r="Q62" s="1667"/>
      <c r="R62" s="1667"/>
      <c r="S62" s="1672"/>
      <c r="T62" s="1662"/>
      <c r="U62" s="1662"/>
      <c r="V62" s="1662"/>
      <c r="W62" s="1662"/>
      <c r="X62" s="1662"/>
      <c r="Y62" s="1662"/>
      <c r="Z62" s="1662"/>
      <c r="AA62" s="1662"/>
      <c r="AB62" s="1662"/>
      <c r="AC62" s="1662"/>
      <c r="AD62" s="1662"/>
      <c r="AE62" s="1662"/>
      <c r="AF62" s="1662"/>
      <c r="AG62" s="1662"/>
      <c r="AH62" s="1662"/>
      <c r="AI62" s="1662"/>
      <c r="AJ62" s="1662"/>
      <c r="AK62" s="1662"/>
      <c r="AL62" s="1662"/>
      <c r="AM62" s="1662"/>
      <c r="AN62" s="1662"/>
      <c r="AO62" s="1662"/>
      <c r="AP62" s="1662"/>
      <c r="AQ62" s="1662"/>
      <c r="AR62" s="1662"/>
      <c r="AS62" s="1662"/>
      <c r="AT62" s="1662"/>
      <c r="AU62" s="1662"/>
      <c r="AV62" s="1662"/>
      <c r="AW62" s="1662"/>
    </row>
    <row r="63" spans="2:49" s="1669" customFormat="1" ht="12" customHeight="1" thickBot="1" x14ac:dyDescent="0.3">
      <c r="B63" s="1670"/>
      <c r="C63" s="1645">
        <v>6</v>
      </c>
      <c r="D63" s="4552" t="s">
        <v>3305</v>
      </c>
      <c r="E63" s="4552"/>
      <c r="F63" s="4552"/>
      <c r="G63" s="4552"/>
      <c r="H63" s="1646">
        <v>6.6666666666666652E-2</v>
      </c>
      <c r="I63" s="1645"/>
      <c r="J63" s="1645">
        <v>0.5</v>
      </c>
      <c r="K63" s="1645"/>
      <c r="L63" s="1645">
        <f t="shared" si="32"/>
        <v>0</v>
      </c>
      <c r="M63" s="1647">
        <f t="shared" si="33"/>
        <v>3.3333333333333326E-2</v>
      </c>
      <c r="N63" s="1645">
        <f t="shared" si="34"/>
        <v>0</v>
      </c>
      <c r="O63" s="1667"/>
      <c r="P63" s="1667"/>
      <c r="Q63" s="1667"/>
      <c r="R63" s="1667"/>
      <c r="S63" s="1672"/>
      <c r="T63" s="1662"/>
      <c r="U63" s="1662"/>
      <c r="V63" s="1662"/>
      <c r="W63" s="1662"/>
      <c r="X63" s="1662"/>
      <c r="Y63" s="1662"/>
      <c r="Z63" s="1662"/>
      <c r="AA63" s="1662"/>
      <c r="AB63" s="1662"/>
      <c r="AC63" s="1662"/>
      <c r="AD63" s="1662"/>
      <c r="AE63" s="1662"/>
      <c r="AF63" s="1662"/>
      <c r="AG63" s="1662"/>
      <c r="AH63" s="1662"/>
      <c r="AI63" s="1662"/>
      <c r="AJ63" s="1662"/>
      <c r="AK63" s="1662"/>
      <c r="AL63" s="1662"/>
      <c r="AM63" s="1662"/>
      <c r="AN63" s="1662"/>
      <c r="AO63" s="1662"/>
      <c r="AP63" s="1662"/>
      <c r="AQ63" s="1662"/>
      <c r="AR63" s="1662"/>
      <c r="AS63" s="1662"/>
      <c r="AT63" s="1662"/>
      <c r="AU63" s="1662"/>
      <c r="AV63" s="1662"/>
      <c r="AW63" s="1662"/>
    </row>
    <row r="64" spans="2:49" s="1669" customFormat="1" ht="12" customHeight="1" thickBot="1" x14ac:dyDescent="0.3">
      <c r="B64" s="1670"/>
      <c r="C64" s="1645">
        <v>7</v>
      </c>
      <c r="D64" s="4552" t="s">
        <v>3306</v>
      </c>
      <c r="E64" s="4552"/>
      <c r="F64" s="4552"/>
      <c r="G64" s="4552"/>
      <c r="H64" s="1646">
        <v>4.6666666666666655E-2</v>
      </c>
      <c r="I64" s="1645">
        <v>0</v>
      </c>
      <c r="J64" s="1645"/>
      <c r="K64" s="1645"/>
      <c r="L64" s="1645">
        <f t="shared" si="32"/>
        <v>0</v>
      </c>
      <c r="M64" s="1645">
        <f t="shared" si="33"/>
        <v>0</v>
      </c>
      <c r="N64" s="1647">
        <f t="shared" si="34"/>
        <v>0</v>
      </c>
      <c r="O64" s="1667"/>
      <c r="P64" s="1667"/>
      <c r="Q64" s="1667"/>
      <c r="R64" s="1667"/>
      <c r="S64" s="1672"/>
      <c r="T64" s="1662"/>
      <c r="U64" s="1662"/>
      <c r="V64" s="1662"/>
      <c r="W64" s="1662"/>
      <c r="X64" s="1662"/>
      <c r="Y64" s="1662"/>
      <c r="Z64" s="1662"/>
      <c r="AA64" s="1662"/>
      <c r="AB64" s="1662"/>
      <c r="AC64" s="1662"/>
      <c r="AD64" s="1662"/>
      <c r="AE64" s="1662"/>
      <c r="AF64" s="1662"/>
      <c r="AG64" s="1662"/>
      <c r="AH64" s="1662"/>
      <c r="AI64" s="1662"/>
      <c r="AJ64" s="1662"/>
      <c r="AK64" s="1662"/>
      <c r="AL64" s="1662"/>
      <c r="AM64" s="1662"/>
      <c r="AN64" s="1662"/>
      <c r="AO64" s="1662"/>
      <c r="AP64" s="1662"/>
      <c r="AQ64" s="1662"/>
      <c r="AR64" s="1662"/>
      <c r="AS64" s="1662"/>
      <c r="AT64" s="1662"/>
      <c r="AU64" s="1662"/>
      <c r="AV64" s="1662"/>
      <c r="AW64" s="1662"/>
    </row>
    <row r="65" spans="2:49" s="1669" customFormat="1" ht="12" customHeight="1" thickBot="1" x14ac:dyDescent="0.3">
      <c r="B65" s="1670"/>
      <c r="C65" s="1645">
        <v>8</v>
      </c>
      <c r="D65" s="4552" t="s">
        <v>3307</v>
      </c>
      <c r="E65" s="4552"/>
      <c r="F65" s="4552"/>
      <c r="G65" s="4552"/>
      <c r="H65" s="1646">
        <v>3.3333333333333326E-2</v>
      </c>
      <c r="I65" s="1645">
        <v>0</v>
      </c>
      <c r="J65" s="1645"/>
      <c r="K65" s="1645"/>
      <c r="L65" s="1645">
        <f t="shared" si="32"/>
        <v>0</v>
      </c>
      <c r="M65" s="1647">
        <f t="shared" si="33"/>
        <v>0</v>
      </c>
      <c r="N65" s="1645">
        <f t="shared" si="34"/>
        <v>0</v>
      </c>
      <c r="O65" s="1667"/>
      <c r="P65" s="1667"/>
      <c r="Q65" s="1667"/>
      <c r="R65" s="1667"/>
      <c r="S65" s="1672"/>
      <c r="T65" s="1662"/>
      <c r="U65" s="1662"/>
      <c r="V65" s="1662"/>
      <c r="W65" s="1662"/>
      <c r="X65" s="1662"/>
      <c r="Y65" s="1662"/>
      <c r="Z65" s="1662"/>
      <c r="AA65" s="1662"/>
      <c r="AB65" s="1662"/>
      <c r="AC65" s="1662"/>
      <c r="AD65" s="1662"/>
      <c r="AE65" s="1662"/>
      <c r="AF65" s="1662"/>
      <c r="AG65" s="1662"/>
      <c r="AH65" s="1662"/>
      <c r="AI65" s="1662"/>
      <c r="AJ65" s="1662"/>
      <c r="AK65" s="1662"/>
      <c r="AL65" s="1662"/>
      <c r="AM65" s="1662"/>
      <c r="AN65" s="1662"/>
      <c r="AO65" s="1662"/>
      <c r="AP65" s="1662"/>
      <c r="AQ65" s="1662"/>
      <c r="AR65" s="1662"/>
      <c r="AS65" s="1662"/>
      <c r="AT65" s="1662"/>
      <c r="AU65" s="1662"/>
      <c r="AV65" s="1662"/>
      <c r="AW65" s="1662"/>
    </row>
    <row r="66" spans="2:49" s="1669" customFormat="1" ht="12" customHeight="1" thickBot="1" x14ac:dyDescent="0.3">
      <c r="B66" s="1670"/>
      <c r="C66" s="1645">
        <v>9</v>
      </c>
      <c r="D66" s="4552" t="s">
        <v>3308</v>
      </c>
      <c r="E66" s="4552"/>
      <c r="F66" s="4552"/>
      <c r="G66" s="4552"/>
      <c r="H66" s="1646">
        <v>6.6666666666666652E-2</v>
      </c>
      <c r="I66" s="1645">
        <v>0</v>
      </c>
      <c r="J66" s="1645"/>
      <c r="K66" s="1645"/>
      <c r="L66" s="1645">
        <f t="shared" si="32"/>
        <v>0</v>
      </c>
      <c r="M66" s="1645">
        <f t="shared" si="33"/>
        <v>0</v>
      </c>
      <c r="N66" s="1645">
        <f t="shared" si="34"/>
        <v>0</v>
      </c>
      <c r="O66" s="1667"/>
      <c r="P66" s="1667"/>
      <c r="Q66" s="1667"/>
      <c r="R66" s="1667"/>
      <c r="S66" s="1672"/>
      <c r="T66" s="1662"/>
      <c r="U66" s="1662"/>
      <c r="V66" s="1662"/>
      <c r="W66" s="1662"/>
      <c r="X66" s="1662"/>
      <c r="Y66" s="1662"/>
      <c r="Z66" s="1662"/>
      <c r="AA66" s="1662"/>
      <c r="AB66" s="1662"/>
      <c r="AC66" s="1662"/>
      <c r="AD66" s="1662"/>
      <c r="AE66" s="1662"/>
      <c r="AF66" s="1662"/>
      <c r="AG66" s="1662"/>
      <c r="AH66" s="1662"/>
      <c r="AI66" s="1662"/>
      <c r="AJ66" s="1662"/>
      <c r="AK66" s="1662"/>
      <c r="AL66" s="1662"/>
      <c r="AM66" s="1662"/>
      <c r="AN66" s="1662"/>
      <c r="AO66" s="1662"/>
      <c r="AP66" s="1662"/>
      <c r="AQ66" s="1662"/>
      <c r="AR66" s="1662"/>
      <c r="AS66" s="1662"/>
      <c r="AT66" s="1662"/>
      <c r="AU66" s="1662"/>
      <c r="AV66" s="1662"/>
      <c r="AW66" s="1662"/>
    </row>
    <row r="67" spans="2:49" s="1669" customFormat="1" thickBot="1" x14ac:dyDescent="0.3">
      <c r="B67" s="1670"/>
      <c r="C67" s="1667"/>
      <c r="D67" s="1667"/>
      <c r="E67" s="1667"/>
      <c r="F67" s="1667"/>
      <c r="G67" s="1667"/>
      <c r="H67" s="1647">
        <v>1</v>
      </c>
      <c r="I67" s="1648">
        <v>0</v>
      </c>
      <c r="J67" s="1648">
        <v>9.9999999999999978E-2</v>
      </c>
      <c r="K67" s="1648">
        <v>0.57999999999999985</v>
      </c>
      <c r="L67" s="1648">
        <f>SUM(L58:L66)</f>
        <v>0</v>
      </c>
      <c r="M67" s="1648">
        <f>SUM(M58:M66)</f>
        <v>0.10833333333333331</v>
      </c>
      <c r="N67" s="1649">
        <f>SUM(N58:N66)</f>
        <v>0</v>
      </c>
      <c r="O67" s="1667"/>
      <c r="P67" s="1667"/>
      <c r="Q67" s="1667"/>
      <c r="R67" s="1667"/>
      <c r="S67" s="1672"/>
      <c r="T67" s="1662"/>
      <c r="U67" s="1662"/>
      <c r="V67" s="1662"/>
      <c r="W67" s="1662"/>
      <c r="X67" s="1662"/>
      <c r="Y67" s="1662"/>
      <c r="Z67" s="1662"/>
      <c r="AA67" s="1662"/>
      <c r="AB67" s="1662"/>
      <c r="AC67" s="1662"/>
      <c r="AD67" s="1662"/>
      <c r="AE67" s="1662"/>
      <c r="AF67" s="1662"/>
      <c r="AG67" s="1662"/>
      <c r="AH67" s="1662"/>
      <c r="AI67" s="1662"/>
      <c r="AJ67" s="1662"/>
      <c r="AK67" s="1662"/>
      <c r="AL67" s="1662"/>
      <c r="AM67" s="1662"/>
      <c r="AN67" s="1662"/>
      <c r="AO67" s="1662"/>
      <c r="AP67" s="1662"/>
      <c r="AQ67" s="1662"/>
      <c r="AR67" s="1662"/>
      <c r="AS67" s="1662"/>
      <c r="AT67" s="1662"/>
      <c r="AU67" s="1662"/>
      <c r="AV67" s="1662"/>
      <c r="AW67" s="1662"/>
    </row>
    <row r="68" spans="2:49" s="1669" customFormat="1" ht="14.25" x14ac:dyDescent="0.25">
      <c r="B68" s="1670"/>
      <c r="C68" s="1667"/>
      <c r="D68" s="1667"/>
      <c r="E68" s="1667"/>
      <c r="F68" s="1667"/>
      <c r="G68" s="1667"/>
      <c r="H68" s="1632"/>
      <c r="I68" s="1633"/>
      <c r="J68" s="1633"/>
      <c r="K68" s="1633"/>
      <c r="L68" s="1633"/>
      <c r="M68" s="1633"/>
      <c r="N68" s="1622"/>
      <c r="O68" s="1667"/>
      <c r="P68" s="1667"/>
      <c r="Q68" s="1667"/>
      <c r="R68" s="1667"/>
      <c r="S68" s="1672"/>
      <c r="T68" s="1662"/>
      <c r="U68" s="1662"/>
      <c r="V68" s="1662"/>
      <c r="W68" s="1662"/>
      <c r="X68" s="1662"/>
      <c r="Y68" s="1662"/>
      <c r="Z68" s="1662"/>
      <c r="AA68" s="1662"/>
      <c r="AB68" s="1662"/>
      <c r="AC68" s="1662"/>
      <c r="AD68" s="1662"/>
      <c r="AE68" s="1662"/>
      <c r="AF68" s="1662"/>
      <c r="AG68" s="1662"/>
      <c r="AH68" s="1662"/>
      <c r="AI68" s="1662"/>
      <c r="AJ68" s="1662"/>
      <c r="AK68" s="1662"/>
      <c r="AL68" s="1662"/>
      <c r="AM68" s="1662"/>
      <c r="AN68" s="1662"/>
      <c r="AO68" s="1662"/>
      <c r="AP68" s="1662"/>
      <c r="AQ68" s="1662"/>
      <c r="AR68" s="1662"/>
      <c r="AS68" s="1662"/>
      <c r="AT68" s="1662"/>
      <c r="AU68" s="1662"/>
      <c r="AV68" s="1662"/>
      <c r="AW68" s="1662"/>
    </row>
    <row r="69" spans="2:49" s="1669" customFormat="1" ht="15" customHeight="1" thickBot="1" x14ac:dyDescent="0.3">
      <c r="B69" s="1670">
        <v>2</v>
      </c>
      <c r="C69" s="1631"/>
      <c r="D69" s="1671" t="s">
        <v>3798</v>
      </c>
      <c r="E69" s="1667"/>
      <c r="F69" s="1667"/>
      <c r="G69" s="1667"/>
      <c r="H69" s="1671"/>
      <c r="I69" s="1667"/>
      <c r="J69" s="1667"/>
      <c r="K69" s="1667"/>
      <c r="L69" s="1667"/>
      <c r="M69" s="1667"/>
      <c r="N69" s="1667"/>
      <c r="O69" s="1667"/>
      <c r="P69" s="1667"/>
      <c r="Q69" s="1667"/>
      <c r="R69" s="1667"/>
      <c r="S69" s="1672"/>
      <c r="T69" s="1662"/>
      <c r="U69" s="1662"/>
      <c r="V69" s="1662"/>
      <c r="W69" s="1662"/>
      <c r="X69" s="1662"/>
      <c r="Y69" s="1662"/>
      <c r="Z69" s="1662"/>
      <c r="AA69" s="1662"/>
      <c r="AB69" s="1662"/>
      <c r="AC69" s="1662"/>
      <c r="AD69" s="1662"/>
      <c r="AE69" s="1662"/>
      <c r="AF69" s="1662"/>
      <c r="AG69" s="1662"/>
      <c r="AH69" s="1662"/>
      <c r="AI69" s="1662"/>
      <c r="AJ69" s="1662"/>
      <c r="AK69" s="1662"/>
      <c r="AL69" s="1662"/>
      <c r="AM69" s="1662"/>
      <c r="AN69" s="1662"/>
      <c r="AO69" s="1662"/>
      <c r="AP69" s="1662"/>
      <c r="AQ69" s="1662"/>
      <c r="AR69" s="1662"/>
      <c r="AS69" s="1662"/>
      <c r="AT69" s="1662"/>
      <c r="AU69" s="1662"/>
      <c r="AV69" s="1662"/>
      <c r="AW69" s="1662"/>
    </row>
    <row r="70" spans="2:49" s="1669" customFormat="1" ht="12.6" customHeight="1" thickBot="1" x14ac:dyDescent="0.3">
      <c r="B70" s="1670"/>
      <c r="C70" s="4546" t="s">
        <v>62</v>
      </c>
      <c r="D70" s="4549" t="s">
        <v>5</v>
      </c>
      <c r="E70" s="4549"/>
      <c r="F70" s="4549"/>
      <c r="G70" s="4549"/>
      <c r="H70" s="4549" t="s">
        <v>3297</v>
      </c>
      <c r="I70" s="4549" t="s">
        <v>3298</v>
      </c>
      <c r="J70" s="4549"/>
      <c r="K70" s="4549"/>
      <c r="L70" s="4549" t="s">
        <v>3299</v>
      </c>
      <c r="M70" s="4549"/>
      <c r="N70" s="4554"/>
      <c r="O70" s="1667"/>
      <c r="P70" s="1667"/>
      <c r="Q70" s="1667"/>
      <c r="R70" s="1667"/>
      <c r="S70" s="1672"/>
      <c r="T70" s="1662"/>
      <c r="U70" s="1662"/>
      <c r="V70" s="1662"/>
      <c r="W70" s="1662"/>
      <c r="X70" s="1662"/>
      <c r="Y70" s="1662"/>
      <c r="Z70" s="1662"/>
      <c r="AA70" s="1662"/>
      <c r="AB70" s="1662"/>
      <c r="AC70" s="1662"/>
      <c r="AD70" s="1662"/>
      <c r="AE70" s="1662"/>
      <c r="AF70" s="1662"/>
      <c r="AG70" s="1662"/>
      <c r="AH70" s="1662"/>
      <c r="AI70" s="1662"/>
      <c r="AJ70" s="1662"/>
      <c r="AK70" s="1662"/>
      <c r="AL70" s="1662"/>
      <c r="AM70" s="1662"/>
      <c r="AN70" s="1662"/>
      <c r="AO70" s="1662"/>
      <c r="AP70" s="1662"/>
      <c r="AQ70" s="1662"/>
      <c r="AR70" s="1662"/>
      <c r="AS70" s="1662"/>
      <c r="AT70" s="1662"/>
      <c r="AU70" s="1662"/>
      <c r="AV70" s="1662"/>
      <c r="AW70" s="1662"/>
    </row>
    <row r="71" spans="2:49" s="1669" customFormat="1" ht="17.100000000000001" customHeight="1" thickBot="1" x14ac:dyDescent="0.3">
      <c r="B71" s="1670"/>
      <c r="C71" s="4547"/>
      <c r="D71" s="4550"/>
      <c r="E71" s="4550"/>
      <c r="F71" s="4550"/>
      <c r="G71" s="4550"/>
      <c r="H71" s="4550"/>
      <c r="I71" s="1642" t="s">
        <v>3283</v>
      </c>
      <c r="J71" s="1642" t="s">
        <v>3284</v>
      </c>
      <c r="K71" s="1642" t="s">
        <v>3285</v>
      </c>
      <c r="L71" s="1642" t="s">
        <v>3283</v>
      </c>
      <c r="M71" s="1642" t="s">
        <v>3284</v>
      </c>
      <c r="N71" s="1693" t="s">
        <v>3285</v>
      </c>
      <c r="O71" s="1667"/>
      <c r="P71" s="1667"/>
      <c r="Q71" s="1667"/>
      <c r="R71" s="1667"/>
      <c r="S71" s="1672"/>
      <c r="T71" s="1662"/>
      <c r="U71" s="1662"/>
      <c r="V71" s="1662"/>
      <c r="W71" s="1662"/>
      <c r="X71" s="1662"/>
      <c r="Y71" s="1662"/>
      <c r="Z71" s="1662"/>
      <c r="AA71" s="1662"/>
      <c r="AB71" s="1662"/>
      <c r="AC71" s="1662"/>
      <c r="AD71" s="1662"/>
      <c r="AE71" s="1662"/>
      <c r="AF71" s="1662"/>
      <c r="AG71" s="1662"/>
      <c r="AH71" s="1662"/>
      <c r="AI71" s="1662"/>
      <c r="AJ71" s="1662"/>
      <c r="AK71" s="1662"/>
      <c r="AL71" s="1662"/>
      <c r="AM71" s="1662"/>
      <c r="AN71" s="1662"/>
      <c r="AO71" s="1662"/>
      <c r="AP71" s="1662"/>
      <c r="AQ71" s="1662"/>
      <c r="AR71" s="1662"/>
      <c r="AS71" s="1662"/>
      <c r="AT71" s="1662"/>
      <c r="AU71" s="1662"/>
      <c r="AV71" s="1662"/>
      <c r="AW71" s="1662"/>
    </row>
    <row r="72" spans="2:49" s="1669" customFormat="1" ht="12.75" customHeight="1" thickBot="1" x14ac:dyDescent="0.3">
      <c r="B72" s="1670"/>
      <c r="C72" s="4548"/>
      <c r="D72" s="4551"/>
      <c r="E72" s="4551"/>
      <c r="F72" s="4551"/>
      <c r="G72" s="4551"/>
      <c r="H72" s="4551"/>
      <c r="I72" s="1694">
        <v>0</v>
      </c>
      <c r="J72" s="1694">
        <v>0.5</v>
      </c>
      <c r="K72" s="1694">
        <v>1</v>
      </c>
      <c r="L72" s="1644">
        <v>0</v>
      </c>
      <c r="M72" s="1644">
        <v>0.5</v>
      </c>
      <c r="N72" s="1695">
        <v>1</v>
      </c>
      <c r="O72" s="1667"/>
      <c r="P72" s="1667"/>
      <c r="Q72" s="1667"/>
      <c r="R72" s="1667"/>
      <c r="S72" s="1672"/>
      <c r="T72" s="1662"/>
      <c r="U72" s="1662"/>
      <c r="V72" s="1662"/>
      <c r="W72" s="1662"/>
      <c r="X72" s="1662"/>
      <c r="Y72" s="1662"/>
      <c r="Z72" s="1662"/>
      <c r="AA72" s="1662"/>
      <c r="AB72" s="1662"/>
      <c r="AC72" s="1662"/>
      <c r="AD72" s="1662"/>
      <c r="AE72" s="1662"/>
      <c r="AF72" s="1662"/>
      <c r="AG72" s="1662"/>
      <c r="AH72" s="1662"/>
      <c r="AI72" s="1662"/>
      <c r="AJ72" s="1662"/>
      <c r="AK72" s="1662"/>
      <c r="AL72" s="1662"/>
      <c r="AM72" s="1662"/>
      <c r="AN72" s="1662"/>
      <c r="AO72" s="1662"/>
      <c r="AP72" s="1662"/>
      <c r="AQ72" s="1662"/>
      <c r="AR72" s="1662"/>
      <c r="AS72" s="1662"/>
      <c r="AT72" s="1662"/>
      <c r="AU72" s="1662"/>
      <c r="AV72" s="1662"/>
      <c r="AW72" s="1662"/>
    </row>
    <row r="73" spans="2:49" s="1669" customFormat="1" ht="12.75" customHeight="1" thickBot="1" x14ac:dyDescent="0.3">
      <c r="B73" s="1670"/>
      <c r="C73" s="1645">
        <v>1</v>
      </c>
      <c r="D73" s="4552" t="s">
        <v>3300</v>
      </c>
      <c r="E73" s="4552"/>
      <c r="F73" s="4552"/>
      <c r="G73" s="4552"/>
      <c r="H73" s="1646">
        <v>0.39999999999999986</v>
      </c>
      <c r="I73" s="1645">
        <v>0</v>
      </c>
      <c r="J73" s="1645"/>
      <c r="K73" s="1645"/>
      <c r="L73" s="1645">
        <f>H73*I73</f>
        <v>0</v>
      </c>
      <c r="M73" s="1645">
        <f>H73*J73</f>
        <v>0</v>
      </c>
      <c r="N73" s="1647">
        <f t="shared" ref="N73:N81" si="35">H73*K73</f>
        <v>0</v>
      </c>
      <c r="O73" s="1667"/>
      <c r="P73" s="1667"/>
      <c r="Q73" s="1667"/>
      <c r="R73" s="1667"/>
      <c r="S73" s="1672"/>
      <c r="T73" s="1662"/>
      <c r="U73" s="1662"/>
      <c r="V73" s="1662"/>
      <c r="W73" s="1662"/>
      <c r="X73" s="1662"/>
      <c r="Y73" s="1662"/>
      <c r="Z73" s="1662"/>
      <c r="AA73" s="1662"/>
      <c r="AB73" s="1662"/>
      <c r="AC73" s="1662"/>
      <c r="AD73" s="1662"/>
      <c r="AE73" s="1662"/>
      <c r="AF73" s="1662"/>
      <c r="AG73" s="1662"/>
      <c r="AH73" s="1662"/>
      <c r="AI73" s="1662"/>
      <c r="AJ73" s="1662"/>
      <c r="AK73" s="1662"/>
      <c r="AL73" s="1662"/>
      <c r="AM73" s="1662"/>
      <c r="AN73" s="1662"/>
      <c r="AO73" s="1662"/>
      <c r="AP73" s="1662"/>
      <c r="AQ73" s="1662"/>
      <c r="AR73" s="1662"/>
      <c r="AS73" s="1662"/>
      <c r="AT73" s="1662"/>
      <c r="AU73" s="1662"/>
      <c r="AV73" s="1662"/>
      <c r="AW73" s="1662"/>
    </row>
    <row r="74" spans="2:49" s="1669" customFormat="1" ht="12.75" customHeight="1" thickBot="1" x14ac:dyDescent="0.3">
      <c r="B74" s="1670"/>
      <c r="C74" s="1645">
        <v>2</v>
      </c>
      <c r="D74" s="4552" t="s">
        <v>3301</v>
      </c>
      <c r="E74" s="4552"/>
      <c r="F74" s="4552"/>
      <c r="G74" s="4552"/>
      <c r="H74" s="1646">
        <v>0.1333333333333333</v>
      </c>
      <c r="I74" s="1645">
        <v>0</v>
      </c>
      <c r="J74" s="1645"/>
      <c r="K74" s="1645"/>
      <c r="L74" s="1645">
        <f t="shared" ref="L74:L81" si="36">H74*I74</f>
        <v>0</v>
      </c>
      <c r="M74" s="1645">
        <f t="shared" ref="M74:M81" si="37">H74*J74</f>
        <v>0</v>
      </c>
      <c r="N74" s="1647">
        <f t="shared" si="35"/>
        <v>0</v>
      </c>
      <c r="O74" s="1667"/>
      <c r="P74" s="1667"/>
      <c r="Q74" s="1667"/>
      <c r="R74" s="1667"/>
      <c r="S74" s="1672"/>
      <c r="T74" s="1662"/>
      <c r="U74" s="1662"/>
      <c r="V74" s="1662"/>
      <c r="W74" s="1662"/>
      <c r="X74" s="1662"/>
      <c r="Y74" s="1662"/>
      <c r="Z74" s="1662"/>
      <c r="AA74" s="1662"/>
      <c r="AB74" s="1662"/>
      <c r="AC74" s="1662"/>
      <c r="AD74" s="1662"/>
      <c r="AE74" s="1662"/>
      <c r="AF74" s="1662"/>
      <c r="AG74" s="1662"/>
      <c r="AH74" s="1662"/>
      <c r="AI74" s="1662"/>
      <c r="AJ74" s="1662"/>
      <c r="AK74" s="1662"/>
      <c r="AL74" s="1662"/>
      <c r="AM74" s="1662"/>
      <c r="AN74" s="1662"/>
      <c r="AO74" s="1662"/>
      <c r="AP74" s="1662"/>
      <c r="AQ74" s="1662"/>
      <c r="AR74" s="1662"/>
      <c r="AS74" s="1662"/>
      <c r="AT74" s="1662"/>
      <c r="AU74" s="1662"/>
      <c r="AV74" s="1662"/>
      <c r="AW74" s="1662"/>
    </row>
    <row r="75" spans="2:49" s="1669" customFormat="1" ht="12.75" customHeight="1" thickBot="1" x14ac:dyDescent="0.3">
      <c r="B75" s="1670"/>
      <c r="C75" s="1645">
        <v>3</v>
      </c>
      <c r="D75" s="4552" t="s">
        <v>3302</v>
      </c>
      <c r="E75" s="4552"/>
      <c r="F75" s="4552"/>
      <c r="G75" s="4552"/>
      <c r="H75" s="1646">
        <v>9.9999999999999964E-2</v>
      </c>
      <c r="I75" s="1645">
        <v>0</v>
      </c>
      <c r="J75" s="1645"/>
      <c r="K75" s="1645"/>
      <c r="L75" s="1645">
        <f t="shared" si="36"/>
        <v>0</v>
      </c>
      <c r="M75" s="1645">
        <f t="shared" si="37"/>
        <v>0</v>
      </c>
      <c r="N75" s="1645">
        <f t="shared" si="35"/>
        <v>0</v>
      </c>
      <c r="O75" s="1667"/>
      <c r="P75" s="1667"/>
      <c r="Q75" s="1667"/>
      <c r="R75" s="1667"/>
      <c r="S75" s="1672"/>
      <c r="T75" s="1662"/>
      <c r="U75" s="1662"/>
      <c r="V75" s="1662"/>
      <c r="W75" s="1662"/>
      <c r="X75" s="1662"/>
      <c r="Y75" s="1662"/>
      <c r="Z75" s="1662"/>
      <c r="AA75" s="1662"/>
      <c r="AB75" s="1662"/>
      <c r="AC75" s="1662"/>
      <c r="AD75" s="1662"/>
      <c r="AE75" s="1662"/>
      <c r="AF75" s="1662"/>
      <c r="AG75" s="1662"/>
      <c r="AH75" s="1662"/>
      <c r="AI75" s="1662"/>
      <c r="AJ75" s="1662"/>
      <c r="AK75" s="1662"/>
      <c r="AL75" s="1662"/>
      <c r="AM75" s="1662"/>
      <c r="AN75" s="1662"/>
      <c r="AO75" s="1662"/>
      <c r="AP75" s="1662"/>
      <c r="AQ75" s="1662"/>
      <c r="AR75" s="1662"/>
      <c r="AS75" s="1662"/>
      <c r="AT75" s="1662"/>
      <c r="AU75" s="1662"/>
      <c r="AV75" s="1662"/>
      <c r="AW75" s="1662"/>
    </row>
    <row r="76" spans="2:49" s="1669" customFormat="1" ht="12.75" customHeight="1" thickBot="1" x14ac:dyDescent="0.3">
      <c r="B76" s="1670"/>
      <c r="C76" s="1645">
        <v>4</v>
      </c>
      <c r="D76" s="4552" t="s">
        <v>3303</v>
      </c>
      <c r="E76" s="4552"/>
      <c r="F76" s="4552"/>
      <c r="G76" s="4552"/>
      <c r="H76" s="1646">
        <v>7.9999999999999974E-2</v>
      </c>
      <c r="I76" s="1645"/>
      <c r="J76" s="1645">
        <v>0.5</v>
      </c>
      <c r="K76" s="1645"/>
      <c r="L76" s="1645">
        <f t="shared" si="36"/>
        <v>0</v>
      </c>
      <c r="M76" s="1645">
        <f t="shared" si="37"/>
        <v>3.9999999999999987E-2</v>
      </c>
      <c r="N76" s="1645">
        <f t="shared" si="35"/>
        <v>0</v>
      </c>
      <c r="O76" s="1667"/>
      <c r="P76" s="1667"/>
      <c r="Q76" s="1667"/>
      <c r="R76" s="1667"/>
      <c r="S76" s="1672"/>
      <c r="T76" s="1662"/>
      <c r="U76" s="1662"/>
      <c r="V76" s="1662"/>
      <c r="W76" s="1662"/>
      <c r="X76" s="1662"/>
      <c r="Y76" s="1662"/>
      <c r="Z76" s="1662"/>
      <c r="AA76" s="1662"/>
      <c r="AB76" s="1662"/>
      <c r="AC76" s="1662"/>
      <c r="AD76" s="1662"/>
      <c r="AE76" s="1662"/>
      <c r="AF76" s="1662"/>
      <c r="AG76" s="1662"/>
      <c r="AH76" s="1662"/>
      <c r="AI76" s="1662"/>
      <c r="AJ76" s="1662"/>
      <c r="AK76" s="1662"/>
      <c r="AL76" s="1662"/>
      <c r="AM76" s="1662"/>
      <c r="AN76" s="1662"/>
      <c r="AO76" s="1662"/>
      <c r="AP76" s="1662"/>
      <c r="AQ76" s="1662"/>
      <c r="AR76" s="1662"/>
      <c r="AS76" s="1662"/>
      <c r="AT76" s="1662"/>
      <c r="AU76" s="1662"/>
      <c r="AV76" s="1662"/>
      <c r="AW76" s="1662"/>
    </row>
    <row r="77" spans="2:49" s="1669" customFormat="1" ht="12.75" customHeight="1" thickBot="1" x14ac:dyDescent="0.3">
      <c r="B77" s="1670"/>
      <c r="C77" s="1645">
        <v>5</v>
      </c>
      <c r="D77" s="4552" t="s">
        <v>3304</v>
      </c>
      <c r="E77" s="4552"/>
      <c r="F77" s="4552"/>
      <c r="G77" s="4552"/>
      <c r="H77" s="1646">
        <v>7.0000000000000007E-2</v>
      </c>
      <c r="I77" s="1645"/>
      <c r="J77" s="1645">
        <v>0.5</v>
      </c>
      <c r="K77" s="1645"/>
      <c r="L77" s="1645">
        <f t="shared" si="36"/>
        <v>0</v>
      </c>
      <c r="M77" s="1645">
        <f t="shared" si="37"/>
        <v>3.5000000000000003E-2</v>
      </c>
      <c r="N77" s="1645">
        <f t="shared" si="35"/>
        <v>0</v>
      </c>
      <c r="O77" s="1667"/>
      <c r="P77" s="1667"/>
      <c r="Q77" s="1667"/>
      <c r="R77" s="1667"/>
      <c r="S77" s="1672"/>
    </row>
    <row r="78" spans="2:49" s="1669" customFormat="1" ht="13.5" customHeight="1" thickBot="1" x14ac:dyDescent="0.3">
      <c r="B78" s="1670"/>
      <c r="C78" s="1645">
        <v>6</v>
      </c>
      <c r="D78" s="4552" t="s">
        <v>3305</v>
      </c>
      <c r="E78" s="4552"/>
      <c r="F78" s="4552"/>
      <c r="G78" s="4552"/>
      <c r="H78" s="1646">
        <v>6.6666666666666652E-2</v>
      </c>
      <c r="I78" s="1645"/>
      <c r="J78" s="1645">
        <v>0.5</v>
      </c>
      <c r="K78" s="1645"/>
      <c r="L78" s="1645">
        <f t="shared" si="36"/>
        <v>0</v>
      </c>
      <c r="M78" s="1647">
        <f t="shared" si="37"/>
        <v>3.3333333333333326E-2</v>
      </c>
      <c r="N78" s="1645">
        <f t="shared" si="35"/>
        <v>0</v>
      </c>
      <c r="O78" s="1667"/>
      <c r="P78" s="1667"/>
      <c r="Q78" s="1667"/>
      <c r="R78" s="1667"/>
      <c r="S78" s="1672"/>
    </row>
    <row r="79" spans="2:49" s="1669" customFormat="1" ht="13.5" customHeight="1" thickBot="1" x14ac:dyDescent="0.3">
      <c r="B79" s="1670"/>
      <c r="C79" s="1645">
        <v>7</v>
      </c>
      <c r="D79" s="4552" t="s">
        <v>3306</v>
      </c>
      <c r="E79" s="4552"/>
      <c r="F79" s="4552"/>
      <c r="G79" s="4552"/>
      <c r="H79" s="1646">
        <v>4.6666666666666655E-2</v>
      </c>
      <c r="I79" s="1645">
        <v>0</v>
      </c>
      <c r="J79" s="1645"/>
      <c r="K79" s="1645"/>
      <c r="L79" s="1645">
        <f t="shared" si="36"/>
        <v>0</v>
      </c>
      <c r="M79" s="1645">
        <f t="shared" si="37"/>
        <v>0</v>
      </c>
      <c r="N79" s="1647">
        <f t="shared" si="35"/>
        <v>0</v>
      </c>
      <c r="O79" s="1667"/>
      <c r="P79" s="1667"/>
      <c r="Q79" s="1667"/>
      <c r="R79" s="1667"/>
      <c r="S79" s="1672"/>
    </row>
    <row r="80" spans="2:49" s="1669" customFormat="1" ht="13.5" customHeight="1" thickBot="1" x14ac:dyDescent="0.3">
      <c r="B80" s="1670"/>
      <c r="C80" s="1645">
        <v>8</v>
      </c>
      <c r="D80" s="4552" t="s">
        <v>3307</v>
      </c>
      <c r="E80" s="4552"/>
      <c r="F80" s="4552"/>
      <c r="G80" s="4552"/>
      <c r="H80" s="1646">
        <v>3.3333333333333326E-2</v>
      </c>
      <c r="I80" s="1645">
        <v>0</v>
      </c>
      <c r="J80" s="1645"/>
      <c r="K80" s="1645"/>
      <c r="L80" s="1645">
        <f t="shared" si="36"/>
        <v>0</v>
      </c>
      <c r="M80" s="1647">
        <f t="shared" si="37"/>
        <v>0</v>
      </c>
      <c r="N80" s="1645">
        <f t="shared" si="35"/>
        <v>0</v>
      </c>
      <c r="O80" s="1667"/>
      <c r="P80" s="1667"/>
      <c r="Q80" s="1667"/>
      <c r="R80" s="1667"/>
      <c r="S80" s="1672"/>
    </row>
    <row r="81" spans="2:19" s="1669" customFormat="1" ht="13.5" customHeight="1" thickBot="1" x14ac:dyDescent="0.3">
      <c r="B81" s="1670"/>
      <c r="C81" s="1645">
        <v>9</v>
      </c>
      <c r="D81" s="4552" t="s">
        <v>3308</v>
      </c>
      <c r="E81" s="4552"/>
      <c r="F81" s="4552"/>
      <c r="G81" s="4552"/>
      <c r="H81" s="1646">
        <v>6.6666666666666652E-2</v>
      </c>
      <c r="I81" s="1645">
        <v>0</v>
      </c>
      <c r="J81" s="1645"/>
      <c r="K81" s="1645"/>
      <c r="L81" s="1645">
        <f t="shared" si="36"/>
        <v>0</v>
      </c>
      <c r="M81" s="1645">
        <f t="shared" si="37"/>
        <v>0</v>
      </c>
      <c r="N81" s="1645">
        <f t="shared" si="35"/>
        <v>0</v>
      </c>
      <c r="O81" s="1667"/>
      <c r="P81" s="1667"/>
      <c r="Q81" s="1667"/>
      <c r="R81" s="1667"/>
      <c r="S81" s="1672"/>
    </row>
    <row r="82" spans="2:19" s="1669" customFormat="1" ht="13.5" thickBot="1" x14ac:dyDescent="0.3">
      <c r="B82" s="1670"/>
      <c r="C82" s="1730"/>
      <c r="D82" s="1731"/>
      <c r="E82" s="1731"/>
      <c r="F82" s="1731"/>
      <c r="G82" s="1731"/>
      <c r="H82" s="1647">
        <v>1</v>
      </c>
      <c r="I82" s="1648">
        <v>0</v>
      </c>
      <c r="J82" s="1648">
        <v>9.9999999999999978E-2</v>
      </c>
      <c r="K82" s="1648">
        <v>0.57999999999999985</v>
      </c>
      <c r="L82" s="1648">
        <f>SUM(L73:L81)</f>
        <v>0</v>
      </c>
      <c r="M82" s="1648">
        <f>SUM(M73:M81)</f>
        <v>0.10833333333333331</v>
      </c>
      <c r="N82" s="1649">
        <f>SUM(N73:N81)</f>
        <v>0</v>
      </c>
      <c r="O82" s="1667"/>
      <c r="P82" s="1667"/>
      <c r="Q82" s="1667"/>
      <c r="R82" s="1667"/>
      <c r="S82" s="1672"/>
    </row>
    <row r="83" spans="2:19" s="1669" customFormat="1" ht="12.75" x14ac:dyDescent="0.25">
      <c r="B83" s="1670"/>
      <c r="C83" s="1667"/>
      <c r="D83" s="1667"/>
      <c r="E83" s="1667"/>
      <c r="F83" s="1667"/>
      <c r="G83" s="1667"/>
      <c r="H83" s="1632"/>
      <c r="I83" s="1633"/>
      <c r="J83" s="1633"/>
      <c r="K83" s="1633"/>
      <c r="L83" s="1633"/>
      <c r="M83" s="1633"/>
      <c r="N83" s="1622"/>
      <c r="O83" s="1667"/>
      <c r="P83" s="1667"/>
      <c r="Q83" s="1667"/>
      <c r="R83" s="1667"/>
      <c r="S83" s="1672"/>
    </row>
    <row r="84" spans="2:19" s="1669" customFormat="1" ht="13.5" thickBot="1" x14ac:dyDescent="0.3">
      <c r="B84" s="1670">
        <v>3</v>
      </c>
      <c r="C84" s="1631"/>
      <c r="D84" s="1671" t="s">
        <v>3347</v>
      </c>
      <c r="E84" s="1667"/>
      <c r="F84" s="1667"/>
      <c r="G84" s="1667"/>
      <c r="H84" s="1671"/>
      <c r="I84" s="1667"/>
      <c r="J84" s="1667"/>
      <c r="K84" s="1667"/>
      <c r="L84" s="1667"/>
      <c r="M84" s="1667"/>
      <c r="N84" s="1667"/>
      <c r="O84" s="1667"/>
      <c r="P84" s="1667"/>
      <c r="Q84" s="1667"/>
      <c r="R84" s="1667"/>
      <c r="S84" s="1672"/>
    </row>
    <row r="85" spans="2:19" s="1669" customFormat="1" ht="13.5" thickBot="1" x14ac:dyDescent="0.3">
      <c r="B85" s="1670"/>
      <c r="C85" s="4546" t="s">
        <v>62</v>
      </c>
      <c r="D85" s="4549" t="s">
        <v>5</v>
      </c>
      <c r="E85" s="4549"/>
      <c r="F85" s="4549"/>
      <c r="G85" s="4549"/>
      <c r="H85" s="4549" t="s">
        <v>3297</v>
      </c>
      <c r="I85" s="4549" t="s">
        <v>3298</v>
      </c>
      <c r="J85" s="4549"/>
      <c r="K85" s="4549"/>
      <c r="L85" s="4549" t="s">
        <v>3299</v>
      </c>
      <c r="M85" s="4549"/>
      <c r="N85" s="4554"/>
      <c r="O85" s="1667"/>
      <c r="P85" s="1667"/>
      <c r="Q85" s="1667"/>
      <c r="R85" s="1667"/>
      <c r="S85" s="1672"/>
    </row>
    <row r="86" spans="2:19" s="1669" customFormat="1" ht="13.5" thickBot="1" x14ac:dyDescent="0.3">
      <c r="B86" s="1670"/>
      <c r="C86" s="4547"/>
      <c r="D86" s="4550"/>
      <c r="E86" s="4550"/>
      <c r="F86" s="4550"/>
      <c r="G86" s="4550"/>
      <c r="H86" s="4550"/>
      <c r="I86" s="1642" t="s">
        <v>3283</v>
      </c>
      <c r="J86" s="1642" t="s">
        <v>3284</v>
      </c>
      <c r="K86" s="1642" t="s">
        <v>3285</v>
      </c>
      <c r="L86" s="1642" t="s">
        <v>3283</v>
      </c>
      <c r="M86" s="1642" t="s">
        <v>3284</v>
      </c>
      <c r="N86" s="1693" t="s">
        <v>3285</v>
      </c>
      <c r="O86" s="1667"/>
      <c r="P86" s="1667"/>
      <c r="Q86" s="1667"/>
      <c r="R86" s="1667"/>
      <c r="S86" s="1672"/>
    </row>
    <row r="87" spans="2:19" s="1669" customFormat="1" ht="13.5" thickBot="1" x14ac:dyDescent="0.3">
      <c r="B87" s="1670"/>
      <c r="C87" s="4548"/>
      <c r="D87" s="4551"/>
      <c r="E87" s="4551"/>
      <c r="F87" s="4551"/>
      <c r="G87" s="4551"/>
      <c r="H87" s="4551"/>
      <c r="I87" s="1694">
        <v>0</v>
      </c>
      <c r="J87" s="1694">
        <v>0.5</v>
      </c>
      <c r="K87" s="1694">
        <v>1</v>
      </c>
      <c r="L87" s="1644">
        <v>0</v>
      </c>
      <c r="M87" s="1644">
        <v>0.5</v>
      </c>
      <c r="N87" s="1695">
        <v>1</v>
      </c>
      <c r="O87" s="1667"/>
      <c r="P87" s="1667"/>
      <c r="Q87" s="1667"/>
      <c r="R87" s="1667"/>
      <c r="S87" s="1672"/>
    </row>
    <row r="88" spans="2:19" s="86" customFormat="1" ht="13.5" thickBot="1" x14ac:dyDescent="0.3">
      <c r="B88" s="1673"/>
      <c r="C88" s="1650">
        <v>1</v>
      </c>
      <c r="D88" s="4552" t="s">
        <v>3300</v>
      </c>
      <c r="E88" s="4552"/>
      <c r="F88" s="4552"/>
      <c r="G88" s="4552"/>
      <c r="H88" s="1651">
        <v>0.39999999999999986</v>
      </c>
      <c r="I88" s="1645">
        <v>0</v>
      </c>
      <c r="J88" s="1645"/>
      <c r="K88" s="1645"/>
      <c r="L88" s="1650">
        <f>H88*I88</f>
        <v>0</v>
      </c>
      <c r="M88" s="1652">
        <f>H88*J88</f>
        <v>0</v>
      </c>
      <c r="N88" s="1652">
        <f t="shared" ref="N88:N96" si="38">H88*K88</f>
        <v>0</v>
      </c>
      <c r="O88" s="1674"/>
      <c r="P88" s="1674"/>
      <c r="Q88" s="1674"/>
      <c r="R88" s="1674"/>
      <c r="S88" s="1675"/>
    </row>
    <row r="89" spans="2:19" s="86" customFormat="1" ht="13.5" thickBot="1" x14ac:dyDescent="0.3">
      <c r="B89" s="1673"/>
      <c r="C89" s="1650">
        <v>2</v>
      </c>
      <c r="D89" s="4552" t="s">
        <v>3301</v>
      </c>
      <c r="E89" s="4552"/>
      <c r="F89" s="4552"/>
      <c r="G89" s="4552"/>
      <c r="H89" s="1651">
        <v>0.1333333333333333</v>
      </c>
      <c r="I89" s="1645">
        <v>0</v>
      </c>
      <c r="J89" s="1645"/>
      <c r="K89" s="1645"/>
      <c r="L89" s="1650">
        <f t="shared" ref="L89:L96" si="39">H89*I89</f>
        <v>0</v>
      </c>
      <c r="M89" s="1652">
        <f t="shared" ref="M89:M96" si="40">H89*J89</f>
        <v>0</v>
      </c>
      <c r="N89" s="1652">
        <f t="shared" si="38"/>
        <v>0</v>
      </c>
      <c r="O89" s="1674"/>
      <c r="P89" s="1674"/>
      <c r="Q89" s="1674"/>
      <c r="R89" s="1674"/>
      <c r="S89" s="1675"/>
    </row>
    <row r="90" spans="2:19" s="86" customFormat="1" ht="13.5" thickBot="1" x14ac:dyDescent="0.3">
      <c r="B90" s="1673"/>
      <c r="C90" s="1650">
        <v>3</v>
      </c>
      <c r="D90" s="4552" t="s">
        <v>3302</v>
      </c>
      <c r="E90" s="4552"/>
      <c r="F90" s="4552"/>
      <c r="G90" s="4552"/>
      <c r="H90" s="1651">
        <v>9.9999999999999964E-2</v>
      </c>
      <c r="I90" s="1645">
        <v>0</v>
      </c>
      <c r="J90" s="1645"/>
      <c r="K90" s="1645"/>
      <c r="L90" s="1650">
        <f t="shared" si="39"/>
        <v>0</v>
      </c>
      <c r="M90" s="1652">
        <f t="shared" si="40"/>
        <v>0</v>
      </c>
      <c r="N90" s="1652">
        <f t="shared" si="38"/>
        <v>0</v>
      </c>
      <c r="O90" s="1674"/>
      <c r="P90" s="1674"/>
      <c r="Q90" s="1674"/>
      <c r="R90" s="1674"/>
      <c r="S90" s="1675"/>
    </row>
    <row r="91" spans="2:19" s="86" customFormat="1" ht="13.5" thickBot="1" x14ac:dyDescent="0.3">
      <c r="B91" s="1673"/>
      <c r="C91" s="1650">
        <v>4</v>
      </c>
      <c r="D91" s="4552" t="s">
        <v>3303</v>
      </c>
      <c r="E91" s="4552"/>
      <c r="F91" s="4552"/>
      <c r="G91" s="4552"/>
      <c r="H91" s="1651">
        <v>7.9999999999999974E-2</v>
      </c>
      <c r="I91" s="1645"/>
      <c r="J91" s="1645">
        <v>0.5</v>
      </c>
      <c r="K91" s="1645"/>
      <c r="L91" s="1650">
        <f t="shared" si="39"/>
        <v>0</v>
      </c>
      <c r="M91" s="1652">
        <f t="shared" si="40"/>
        <v>3.9999999999999987E-2</v>
      </c>
      <c r="N91" s="1652">
        <f t="shared" si="38"/>
        <v>0</v>
      </c>
      <c r="O91" s="1674"/>
      <c r="P91" s="1674"/>
      <c r="Q91" s="1674"/>
      <c r="R91" s="1674"/>
      <c r="S91" s="1675"/>
    </row>
    <row r="92" spans="2:19" s="86" customFormat="1" ht="13.5" thickBot="1" x14ac:dyDescent="0.3">
      <c r="B92" s="1673"/>
      <c r="C92" s="1650">
        <v>5</v>
      </c>
      <c r="D92" s="4552" t="s">
        <v>3304</v>
      </c>
      <c r="E92" s="4552"/>
      <c r="F92" s="4552"/>
      <c r="G92" s="4552"/>
      <c r="H92" s="1651">
        <v>7.3333333333333306E-2</v>
      </c>
      <c r="I92" s="1645"/>
      <c r="J92" s="1645">
        <v>0.5</v>
      </c>
      <c r="K92" s="1645"/>
      <c r="L92" s="1650">
        <f t="shared" si="39"/>
        <v>0</v>
      </c>
      <c r="M92" s="1652">
        <f t="shared" si="40"/>
        <v>3.6666666666666653E-2</v>
      </c>
      <c r="N92" s="1652">
        <f t="shared" si="38"/>
        <v>0</v>
      </c>
      <c r="O92" s="1674"/>
      <c r="P92" s="1674"/>
      <c r="Q92" s="1674"/>
      <c r="R92" s="1674"/>
      <c r="S92" s="1675"/>
    </row>
    <row r="93" spans="2:19" s="86" customFormat="1" ht="13.5" thickBot="1" x14ac:dyDescent="0.3">
      <c r="B93" s="1673"/>
      <c r="C93" s="1650">
        <v>6</v>
      </c>
      <c r="D93" s="4552" t="s">
        <v>3305</v>
      </c>
      <c r="E93" s="4552"/>
      <c r="F93" s="4552"/>
      <c r="G93" s="4552"/>
      <c r="H93" s="1651">
        <v>6.6666666666666652E-2</v>
      </c>
      <c r="I93" s="1645"/>
      <c r="J93" s="1645">
        <v>0.5</v>
      </c>
      <c r="K93" s="1645"/>
      <c r="L93" s="1650">
        <f t="shared" si="39"/>
        <v>0</v>
      </c>
      <c r="M93" s="1652">
        <f t="shared" si="40"/>
        <v>3.3333333333333326E-2</v>
      </c>
      <c r="N93" s="1652">
        <f t="shared" si="38"/>
        <v>0</v>
      </c>
      <c r="O93" s="1674"/>
      <c r="P93" s="1674"/>
      <c r="Q93" s="1674"/>
      <c r="R93" s="1674"/>
      <c r="S93" s="1675"/>
    </row>
    <row r="94" spans="2:19" s="86" customFormat="1" ht="13.5" thickBot="1" x14ac:dyDescent="0.3">
      <c r="B94" s="1673"/>
      <c r="C94" s="1650">
        <v>7</v>
      </c>
      <c r="D94" s="4552" t="s">
        <v>3306</v>
      </c>
      <c r="E94" s="4552"/>
      <c r="F94" s="4552"/>
      <c r="G94" s="4552"/>
      <c r="H94" s="1651">
        <v>4.6666666666666655E-2</v>
      </c>
      <c r="I94" s="1645">
        <v>0</v>
      </c>
      <c r="J94" s="1645"/>
      <c r="K94" s="1645"/>
      <c r="L94" s="1650">
        <f t="shared" si="39"/>
        <v>0</v>
      </c>
      <c r="M94" s="1652">
        <f t="shared" si="40"/>
        <v>0</v>
      </c>
      <c r="N94" s="1652">
        <f t="shared" si="38"/>
        <v>0</v>
      </c>
      <c r="O94" s="1674"/>
      <c r="P94" s="1674"/>
      <c r="Q94" s="1674"/>
      <c r="R94" s="1674"/>
      <c r="S94" s="1675"/>
    </row>
    <row r="95" spans="2:19" s="86" customFormat="1" ht="13.5" thickBot="1" x14ac:dyDescent="0.3">
      <c r="B95" s="1673"/>
      <c r="C95" s="1650">
        <v>8</v>
      </c>
      <c r="D95" s="4552" t="s">
        <v>3307</v>
      </c>
      <c r="E95" s="4552"/>
      <c r="F95" s="4552"/>
      <c r="G95" s="4552"/>
      <c r="H95" s="1651">
        <v>3.3333333333333326E-2</v>
      </c>
      <c r="I95" s="1645">
        <v>0</v>
      </c>
      <c r="J95" s="1645"/>
      <c r="K95" s="1645"/>
      <c r="L95" s="1650">
        <f t="shared" si="39"/>
        <v>0</v>
      </c>
      <c r="M95" s="1652">
        <f t="shared" si="40"/>
        <v>0</v>
      </c>
      <c r="N95" s="1652">
        <f t="shared" si="38"/>
        <v>0</v>
      </c>
      <c r="O95" s="1674"/>
      <c r="P95" s="1674"/>
      <c r="Q95" s="1674"/>
      <c r="R95" s="1674"/>
      <c r="S95" s="1675"/>
    </row>
    <row r="96" spans="2:19" s="86" customFormat="1" ht="13.5" thickBot="1" x14ac:dyDescent="0.3">
      <c r="B96" s="1673"/>
      <c r="C96" s="1650">
        <v>9</v>
      </c>
      <c r="D96" s="4552" t="s">
        <v>3308</v>
      </c>
      <c r="E96" s="4552"/>
      <c r="F96" s="4552"/>
      <c r="G96" s="4552"/>
      <c r="H96" s="1651">
        <v>6.6666666666666652E-2</v>
      </c>
      <c r="I96" s="1645">
        <v>0</v>
      </c>
      <c r="J96" s="1645"/>
      <c r="K96" s="1645"/>
      <c r="L96" s="1650">
        <f t="shared" si="39"/>
        <v>0</v>
      </c>
      <c r="M96" s="1652">
        <f t="shared" si="40"/>
        <v>0</v>
      </c>
      <c r="N96" s="1652">
        <f t="shared" si="38"/>
        <v>0</v>
      </c>
      <c r="O96" s="1674"/>
      <c r="P96" s="1674"/>
      <c r="Q96" s="1674"/>
      <c r="R96" s="1674"/>
      <c r="S96" s="1675"/>
    </row>
    <row r="97" spans="2:19" s="1669" customFormat="1" ht="13.5" thickBot="1" x14ac:dyDescent="0.3">
      <c r="B97" s="1670"/>
      <c r="C97" s="1667"/>
      <c r="D97" s="1667"/>
      <c r="E97" s="1667"/>
      <c r="F97" s="1667"/>
      <c r="G97" s="1667"/>
      <c r="H97" s="1647">
        <v>1</v>
      </c>
      <c r="I97" s="1648">
        <v>0</v>
      </c>
      <c r="J97" s="1648">
        <v>9.9999999999999978E-2</v>
      </c>
      <c r="K97" s="1648">
        <v>0.57999999999999985</v>
      </c>
      <c r="L97" s="1648">
        <f>SUM(L88:L96)</f>
        <v>0</v>
      </c>
      <c r="M97" s="1648">
        <f>SUM(M88:M96)</f>
        <v>0.10999999999999996</v>
      </c>
      <c r="N97" s="1648">
        <f>SUM(N88:N96)</f>
        <v>0</v>
      </c>
      <c r="O97" s="1667"/>
      <c r="P97" s="1667"/>
      <c r="Q97" s="1667"/>
      <c r="R97" s="1667"/>
      <c r="S97" s="1672"/>
    </row>
    <row r="98" spans="2:19" s="1669" customFormat="1" ht="13.5" thickBot="1" x14ac:dyDescent="0.3">
      <c r="B98" s="1670">
        <v>4</v>
      </c>
      <c r="C98" s="1631"/>
      <c r="D98" s="1671" t="s">
        <v>3348</v>
      </c>
      <c r="E98" s="1667"/>
      <c r="F98" s="1667"/>
      <c r="G98" s="1667"/>
      <c r="H98" s="1671"/>
      <c r="I98" s="1667"/>
      <c r="J98" s="1667"/>
      <c r="K98" s="1667"/>
      <c r="L98" s="1667"/>
      <c r="M98" s="1667"/>
      <c r="N98" s="1667"/>
      <c r="O98" s="1667"/>
      <c r="P98" s="1667"/>
      <c r="Q98" s="1667"/>
      <c r="R98" s="1667"/>
      <c r="S98" s="1672"/>
    </row>
    <row r="99" spans="2:19" s="1669" customFormat="1" ht="13.5" thickBot="1" x14ac:dyDescent="0.3">
      <c r="B99" s="1670"/>
      <c r="C99" s="4546" t="s">
        <v>62</v>
      </c>
      <c r="D99" s="4549" t="s">
        <v>5</v>
      </c>
      <c r="E99" s="4549"/>
      <c r="F99" s="4549"/>
      <c r="G99" s="4549"/>
      <c r="H99" s="4549" t="s">
        <v>3297</v>
      </c>
      <c r="I99" s="4549" t="s">
        <v>3298</v>
      </c>
      <c r="J99" s="4549"/>
      <c r="K99" s="4549"/>
      <c r="L99" s="4549" t="s">
        <v>3299</v>
      </c>
      <c r="M99" s="4549"/>
      <c r="N99" s="4554"/>
      <c r="O99" s="1667"/>
      <c r="P99" s="1667"/>
      <c r="Q99" s="1667"/>
      <c r="R99" s="1667"/>
      <c r="S99" s="1672"/>
    </row>
    <row r="100" spans="2:19" s="1669" customFormat="1" ht="13.5" thickBot="1" x14ac:dyDescent="0.3">
      <c r="B100" s="1670"/>
      <c r="C100" s="4547"/>
      <c r="D100" s="4550"/>
      <c r="E100" s="4550"/>
      <c r="F100" s="4550"/>
      <c r="G100" s="4550"/>
      <c r="H100" s="4550"/>
      <c r="I100" s="1642" t="s">
        <v>3283</v>
      </c>
      <c r="J100" s="1642" t="s">
        <v>3284</v>
      </c>
      <c r="K100" s="1642" t="s">
        <v>3285</v>
      </c>
      <c r="L100" s="1642" t="s">
        <v>3283</v>
      </c>
      <c r="M100" s="1642" t="s">
        <v>3284</v>
      </c>
      <c r="N100" s="1693" t="s">
        <v>3285</v>
      </c>
      <c r="O100" s="1667"/>
      <c r="P100" s="1667"/>
      <c r="Q100" s="1667"/>
      <c r="R100" s="1667"/>
      <c r="S100" s="1672"/>
    </row>
    <row r="101" spans="2:19" s="1669" customFormat="1" ht="13.5" thickBot="1" x14ac:dyDescent="0.3">
      <c r="B101" s="1670"/>
      <c r="C101" s="4548"/>
      <c r="D101" s="4551"/>
      <c r="E101" s="4551"/>
      <c r="F101" s="4551"/>
      <c r="G101" s="4551"/>
      <c r="H101" s="4551"/>
      <c r="I101" s="1694">
        <v>0</v>
      </c>
      <c r="J101" s="1694">
        <v>0.5</v>
      </c>
      <c r="K101" s="1694">
        <v>1</v>
      </c>
      <c r="L101" s="1644">
        <v>0</v>
      </c>
      <c r="M101" s="1644">
        <v>0.5</v>
      </c>
      <c r="N101" s="1695">
        <v>1</v>
      </c>
      <c r="O101" s="1667"/>
      <c r="P101" s="1667"/>
      <c r="Q101" s="1667"/>
      <c r="R101" s="1667"/>
      <c r="S101" s="1672"/>
    </row>
    <row r="102" spans="2:19" s="1669" customFormat="1" ht="13.5" thickBot="1" x14ac:dyDescent="0.3">
      <c r="B102" s="1673"/>
      <c r="C102" s="1650">
        <v>1</v>
      </c>
      <c r="D102" s="4552" t="s">
        <v>3300</v>
      </c>
      <c r="E102" s="4552"/>
      <c r="F102" s="4552"/>
      <c r="G102" s="4552"/>
      <c r="H102" s="1651">
        <v>0.39999999999999986</v>
      </c>
      <c r="I102" s="1645">
        <v>0</v>
      </c>
      <c r="J102" s="1645"/>
      <c r="K102" s="1645"/>
      <c r="L102" s="1650">
        <f>H102*I102</f>
        <v>0</v>
      </c>
      <c r="M102" s="1652">
        <f>H102*J102</f>
        <v>0</v>
      </c>
      <c r="N102" s="1652">
        <f t="shared" ref="N102:N110" si="41">H102*K102</f>
        <v>0</v>
      </c>
      <c r="O102" s="1667"/>
      <c r="P102" s="1667"/>
      <c r="Q102" s="1667"/>
      <c r="R102" s="1667"/>
      <c r="S102" s="1672"/>
    </row>
    <row r="103" spans="2:19" s="1669" customFormat="1" ht="13.5" thickBot="1" x14ac:dyDescent="0.3">
      <c r="B103" s="1673"/>
      <c r="C103" s="1650">
        <v>2</v>
      </c>
      <c r="D103" s="4552" t="s">
        <v>3301</v>
      </c>
      <c r="E103" s="4552"/>
      <c r="F103" s="4552"/>
      <c r="G103" s="4552"/>
      <c r="H103" s="1651">
        <v>0.1333333333333333</v>
      </c>
      <c r="I103" s="1645">
        <v>0</v>
      </c>
      <c r="J103" s="1645"/>
      <c r="K103" s="1645"/>
      <c r="L103" s="1650">
        <f t="shared" ref="L103:L110" si="42">H103*I103</f>
        <v>0</v>
      </c>
      <c r="M103" s="1652">
        <f t="shared" ref="M103:M110" si="43">H103*J103</f>
        <v>0</v>
      </c>
      <c r="N103" s="1652">
        <f t="shared" si="41"/>
        <v>0</v>
      </c>
      <c r="O103" s="1667"/>
      <c r="P103" s="1667"/>
      <c r="Q103" s="1667"/>
      <c r="R103" s="1667"/>
      <c r="S103" s="1672"/>
    </row>
    <row r="104" spans="2:19" s="1669" customFormat="1" ht="13.5" thickBot="1" x14ac:dyDescent="0.3">
      <c r="B104" s="1673"/>
      <c r="C104" s="1650">
        <v>3</v>
      </c>
      <c r="D104" s="4552" t="s">
        <v>3302</v>
      </c>
      <c r="E104" s="4552"/>
      <c r="F104" s="4552"/>
      <c r="G104" s="4552"/>
      <c r="H104" s="1651">
        <v>9.9999999999999964E-2</v>
      </c>
      <c r="I104" s="1645">
        <v>0</v>
      </c>
      <c r="J104" s="1645"/>
      <c r="K104" s="1645"/>
      <c r="L104" s="1650">
        <f t="shared" si="42"/>
        <v>0</v>
      </c>
      <c r="M104" s="1652">
        <f t="shared" si="43"/>
        <v>0</v>
      </c>
      <c r="N104" s="1652">
        <f t="shared" si="41"/>
        <v>0</v>
      </c>
      <c r="O104" s="1667"/>
      <c r="P104" s="1667"/>
      <c r="Q104" s="1667"/>
      <c r="R104" s="1667"/>
      <c r="S104" s="1672"/>
    </row>
    <row r="105" spans="2:19" s="1669" customFormat="1" ht="13.5" thickBot="1" x14ac:dyDescent="0.3">
      <c r="B105" s="1673"/>
      <c r="C105" s="1650">
        <v>4</v>
      </c>
      <c r="D105" s="4552" t="s">
        <v>3303</v>
      </c>
      <c r="E105" s="4552"/>
      <c r="F105" s="4552"/>
      <c r="G105" s="4552"/>
      <c r="H105" s="1651">
        <v>7.9999999999999974E-2</v>
      </c>
      <c r="I105" s="1645"/>
      <c r="J105" s="1645">
        <v>0.5</v>
      </c>
      <c r="K105" s="1645"/>
      <c r="L105" s="1650">
        <f t="shared" si="42"/>
        <v>0</v>
      </c>
      <c r="M105" s="1652">
        <f t="shared" si="43"/>
        <v>3.9999999999999987E-2</v>
      </c>
      <c r="N105" s="1652">
        <f t="shared" si="41"/>
        <v>0</v>
      </c>
      <c r="O105" s="1667"/>
      <c r="P105" s="1667"/>
      <c r="Q105" s="1667"/>
      <c r="R105" s="1667"/>
      <c r="S105" s="1672"/>
    </row>
    <row r="106" spans="2:19" s="1669" customFormat="1" ht="13.5" thickBot="1" x14ac:dyDescent="0.3">
      <c r="B106" s="1673"/>
      <c r="C106" s="1650">
        <v>5</v>
      </c>
      <c r="D106" s="4552" t="s">
        <v>3304</v>
      </c>
      <c r="E106" s="4552"/>
      <c r="F106" s="4552"/>
      <c r="G106" s="4552"/>
      <c r="H106" s="1651">
        <v>7.3333333333333306E-2</v>
      </c>
      <c r="I106" s="1645"/>
      <c r="J106" s="1645">
        <v>0.5</v>
      </c>
      <c r="K106" s="1645"/>
      <c r="L106" s="1650">
        <f t="shared" si="42"/>
        <v>0</v>
      </c>
      <c r="M106" s="1652">
        <f t="shared" si="43"/>
        <v>3.6666666666666653E-2</v>
      </c>
      <c r="N106" s="1652">
        <f t="shared" si="41"/>
        <v>0</v>
      </c>
      <c r="O106" s="1667"/>
      <c r="P106" s="1667"/>
      <c r="Q106" s="1667"/>
      <c r="R106" s="1667"/>
      <c r="S106" s="1672"/>
    </row>
    <row r="107" spans="2:19" s="1669" customFormat="1" ht="13.5" thickBot="1" x14ac:dyDescent="0.3">
      <c r="B107" s="1673"/>
      <c r="C107" s="1650">
        <v>6</v>
      </c>
      <c r="D107" s="4552" t="s">
        <v>3305</v>
      </c>
      <c r="E107" s="4552"/>
      <c r="F107" s="4552"/>
      <c r="G107" s="4552"/>
      <c r="H107" s="1651">
        <v>6.6666666666666652E-2</v>
      </c>
      <c r="I107" s="1645"/>
      <c r="J107" s="1645">
        <v>0.5</v>
      </c>
      <c r="K107" s="1645"/>
      <c r="L107" s="1650">
        <f t="shared" si="42"/>
        <v>0</v>
      </c>
      <c r="M107" s="1652">
        <f t="shared" si="43"/>
        <v>3.3333333333333326E-2</v>
      </c>
      <c r="N107" s="1652">
        <f t="shared" si="41"/>
        <v>0</v>
      </c>
      <c r="O107" s="1667"/>
      <c r="P107" s="1667"/>
      <c r="Q107" s="1667"/>
      <c r="R107" s="1667"/>
      <c r="S107" s="1672"/>
    </row>
    <row r="108" spans="2:19" s="1669" customFormat="1" ht="13.5" thickBot="1" x14ac:dyDescent="0.3">
      <c r="B108" s="1673"/>
      <c r="C108" s="1650">
        <v>7</v>
      </c>
      <c r="D108" s="4552" t="s">
        <v>3306</v>
      </c>
      <c r="E108" s="4552"/>
      <c r="F108" s="4552"/>
      <c r="G108" s="4552"/>
      <c r="H108" s="1651">
        <v>4.6666666666666655E-2</v>
      </c>
      <c r="I108" s="1645">
        <v>0</v>
      </c>
      <c r="J108" s="1645"/>
      <c r="K108" s="1645"/>
      <c r="L108" s="1650">
        <f t="shared" si="42"/>
        <v>0</v>
      </c>
      <c r="M108" s="1652">
        <f t="shared" si="43"/>
        <v>0</v>
      </c>
      <c r="N108" s="1652">
        <f t="shared" si="41"/>
        <v>0</v>
      </c>
      <c r="O108" s="1667"/>
      <c r="P108" s="1667"/>
      <c r="Q108" s="1667"/>
      <c r="R108" s="1667"/>
      <c r="S108" s="1672"/>
    </row>
    <row r="109" spans="2:19" s="1669" customFormat="1" ht="13.5" thickBot="1" x14ac:dyDescent="0.3">
      <c r="B109" s="1673"/>
      <c r="C109" s="1650">
        <v>8</v>
      </c>
      <c r="D109" s="4552" t="s">
        <v>3307</v>
      </c>
      <c r="E109" s="4552"/>
      <c r="F109" s="4552"/>
      <c r="G109" s="4552"/>
      <c r="H109" s="1651">
        <v>3.3333333333333326E-2</v>
      </c>
      <c r="I109" s="1645">
        <v>0</v>
      </c>
      <c r="J109" s="1645"/>
      <c r="K109" s="1645"/>
      <c r="L109" s="1650">
        <f t="shared" si="42"/>
        <v>0</v>
      </c>
      <c r="M109" s="1652">
        <f t="shared" si="43"/>
        <v>0</v>
      </c>
      <c r="N109" s="1652">
        <f t="shared" si="41"/>
        <v>0</v>
      </c>
      <c r="O109" s="1667"/>
      <c r="P109" s="1667"/>
      <c r="Q109" s="1667"/>
      <c r="R109" s="1667"/>
      <c r="S109" s="1672"/>
    </row>
    <row r="110" spans="2:19" s="1669" customFormat="1" ht="13.5" thickBot="1" x14ac:dyDescent="0.3">
      <c r="B110" s="1673"/>
      <c r="C110" s="1650">
        <v>9</v>
      </c>
      <c r="D110" s="4552" t="s">
        <v>3308</v>
      </c>
      <c r="E110" s="4552"/>
      <c r="F110" s="4552"/>
      <c r="G110" s="4552"/>
      <c r="H110" s="1651">
        <v>6.6666666666666652E-2</v>
      </c>
      <c r="I110" s="1645">
        <v>0</v>
      </c>
      <c r="J110" s="1645"/>
      <c r="K110" s="1645"/>
      <c r="L110" s="1650">
        <f t="shared" si="42"/>
        <v>0</v>
      </c>
      <c r="M110" s="1652">
        <f t="shared" si="43"/>
        <v>0</v>
      </c>
      <c r="N110" s="1652">
        <f t="shared" si="41"/>
        <v>0</v>
      </c>
      <c r="O110" s="1667"/>
      <c r="P110" s="1667"/>
      <c r="Q110" s="1667"/>
      <c r="R110" s="1667"/>
      <c r="S110" s="1672"/>
    </row>
    <row r="111" spans="2:19" s="1669" customFormat="1" ht="13.5" thickBot="1" x14ac:dyDescent="0.3">
      <c r="B111" s="1670"/>
      <c r="C111" s="1667"/>
      <c r="D111" s="1667"/>
      <c r="E111" s="1667"/>
      <c r="F111" s="1667"/>
      <c r="G111" s="1667"/>
      <c r="H111" s="1647">
        <v>1</v>
      </c>
      <c r="I111" s="1648">
        <v>0</v>
      </c>
      <c r="J111" s="1648">
        <v>9.9999999999999978E-2</v>
      </c>
      <c r="K111" s="1648">
        <v>0.57999999999999985</v>
      </c>
      <c r="L111" s="1648">
        <f>SUM(L102:L110)</f>
        <v>0</v>
      </c>
      <c r="M111" s="1648">
        <f>SUM(M102:M110)</f>
        <v>0.10999999999999996</v>
      </c>
      <c r="N111" s="1648">
        <f>SUM(N102:N110)</f>
        <v>0</v>
      </c>
      <c r="O111" s="1667"/>
      <c r="P111" s="1667"/>
      <c r="Q111" s="1667"/>
      <c r="R111" s="1667"/>
      <c r="S111" s="1672"/>
    </row>
    <row r="112" spans="2:19" s="1669" customFormat="1" ht="13.5" thickBot="1" x14ac:dyDescent="0.3">
      <c r="B112" s="1670">
        <v>5</v>
      </c>
      <c r="C112" s="1631"/>
      <c r="D112" s="1671" t="s">
        <v>1820</v>
      </c>
      <c r="E112" s="1667"/>
      <c r="F112" s="1667"/>
      <c r="G112" s="1667"/>
      <c r="H112" s="1671"/>
      <c r="I112" s="1667"/>
      <c r="J112" s="1667"/>
      <c r="K112" s="1667"/>
      <c r="L112" s="1667"/>
      <c r="M112" s="1667"/>
      <c r="N112" s="1667"/>
      <c r="O112" s="1667"/>
      <c r="P112" s="1667"/>
      <c r="Q112" s="1667"/>
      <c r="R112" s="1667"/>
      <c r="S112" s="1672"/>
    </row>
    <row r="113" spans="2:19" s="1669" customFormat="1" ht="13.5" thickBot="1" x14ac:dyDescent="0.3">
      <c r="B113" s="1670"/>
      <c r="C113" s="4546" t="s">
        <v>62</v>
      </c>
      <c r="D113" s="4549" t="s">
        <v>5</v>
      </c>
      <c r="E113" s="4549"/>
      <c r="F113" s="4549"/>
      <c r="G113" s="4549"/>
      <c r="H113" s="4549" t="s">
        <v>3297</v>
      </c>
      <c r="I113" s="4549" t="s">
        <v>3298</v>
      </c>
      <c r="J113" s="4549"/>
      <c r="K113" s="4549"/>
      <c r="L113" s="4549" t="s">
        <v>3299</v>
      </c>
      <c r="M113" s="4549"/>
      <c r="N113" s="4554"/>
      <c r="O113" s="1667"/>
      <c r="P113" s="1667"/>
      <c r="Q113" s="1667"/>
      <c r="R113" s="1667"/>
      <c r="S113" s="1672"/>
    </row>
    <row r="114" spans="2:19" s="1669" customFormat="1" ht="13.5" thickBot="1" x14ac:dyDescent="0.3">
      <c r="B114" s="1670"/>
      <c r="C114" s="4547"/>
      <c r="D114" s="4550"/>
      <c r="E114" s="4550"/>
      <c r="F114" s="4550"/>
      <c r="G114" s="4550"/>
      <c r="H114" s="4550"/>
      <c r="I114" s="1642" t="s">
        <v>3283</v>
      </c>
      <c r="J114" s="1642" t="s">
        <v>3284</v>
      </c>
      <c r="K114" s="1642" t="s">
        <v>3285</v>
      </c>
      <c r="L114" s="1642" t="s">
        <v>3283</v>
      </c>
      <c r="M114" s="1642" t="s">
        <v>3284</v>
      </c>
      <c r="N114" s="1693" t="s">
        <v>3285</v>
      </c>
      <c r="O114" s="1667"/>
      <c r="P114" s="1667"/>
      <c r="Q114" s="1667"/>
      <c r="R114" s="1667"/>
      <c r="S114" s="1672"/>
    </row>
    <row r="115" spans="2:19" s="1669" customFormat="1" ht="13.5" thickBot="1" x14ac:dyDescent="0.3">
      <c r="B115" s="1670"/>
      <c r="C115" s="4548"/>
      <c r="D115" s="4551"/>
      <c r="E115" s="4551"/>
      <c r="F115" s="4551"/>
      <c r="G115" s="4551"/>
      <c r="H115" s="4551"/>
      <c r="I115" s="1694">
        <v>0</v>
      </c>
      <c r="J115" s="1694">
        <v>0.5</v>
      </c>
      <c r="K115" s="1694">
        <v>1</v>
      </c>
      <c r="L115" s="1644">
        <v>0</v>
      </c>
      <c r="M115" s="1644">
        <v>0.5</v>
      </c>
      <c r="N115" s="1695">
        <v>1</v>
      </c>
      <c r="O115" s="1667"/>
      <c r="P115" s="1667"/>
      <c r="Q115" s="1667"/>
      <c r="R115" s="1667"/>
      <c r="S115" s="1672"/>
    </row>
    <row r="116" spans="2:19" s="1669" customFormat="1" ht="13.5" thickBot="1" x14ac:dyDescent="0.3">
      <c r="B116" s="1670"/>
      <c r="C116" s="1645">
        <v>1</v>
      </c>
      <c r="D116" s="4552" t="s">
        <v>3300</v>
      </c>
      <c r="E116" s="4552"/>
      <c r="F116" s="4552"/>
      <c r="G116" s="4552"/>
      <c r="H116" s="1646">
        <v>0.39999999999999986</v>
      </c>
      <c r="I116" s="1645">
        <v>0</v>
      </c>
      <c r="J116" s="1645"/>
      <c r="K116" s="1645"/>
      <c r="L116" s="1645">
        <f>H116*I116</f>
        <v>0</v>
      </c>
      <c r="M116" s="1647">
        <f>H116*J116</f>
        <v>0</v>
      </c>
      <c r="N116" s="1647">
        <f t="shared" ref="N116:N124" si="44">H116*K116</f>
        <v>0</v>
      </c>
      <c r="O116" s="1667"/>
      <c r="P116" s="1667"/>
      <c r="Q116" s="1667"/>
      <c r="R116" s="1667"/>
      <c r="S116" s="1672"/>
    </row>
    <row r="117" spans="2:19" s="1669" customFormat="1" ht="13.5" thickBot="1" x14ac:dyDescent="0.3">
      <c r="B117" s="1670"/>
      <c r="C117" s="1645">
        <v>2</v>
      </c>
      <c r="D117" s="4552" t="s">
        <v>3301</v>
      </c>
      <c r="E117" s="4552"/>
      <c r="F117" s="4552"/>
      <c r="G117" s="4552"/>
      <c r="H117" s="1646">
        <v>0.1333333333333333</v>
      </c>
      <c r="I117" s="1645">
        <v>0</v>
      </c>
      <c r="J117" s="1645"/>
      <c r="K117" s="1645"/>
      <c r="L117" s="1645">
        <f t="shared" ref="L117:L124" si="45">H117*I117</f>
        <v>0</v>
      </c>
      <c r="M117" s="1647">
        <f t="shared" ref="M117:M124" si="46">H117*J117</f>
        <v>0</v>
      </c>
      <c r="N117" s="1647">
        <f t="shared" si="44"/>
        <v>0</v>
      </c>
      <c r="O117" s="1667"/>
      <c r="P117" s="1667"/>
      <c r="Q117" s="1667"/>
      <c r="R117" s="1667"/>
      <c r="S117" s="1672"/>
    </row>
    <row r="118" spans="2:19" s="1669" customFormat="1" ht="13.5" thickBot="1" x14ac:dyDescent="0.3">
      <c r="B118" s="1670"/>
      <c r="C118" s="1645">
        <v>3</v>
      </c>
      <c r="D118" s="4552" t="s">
        <v>3302</v>
      </c>
      <c r="E118" s="4552"/>
      <c r="F118" s="4552"/>
      <c r="G118" s="4552"/>
      <c r="H118" s="1646">
        <v>9.9999999999999964E-2</v>
      </c>
      <c r="I118" s="1645">
        <v>0</v>
      </c>
      <c r="J118" s="1645"/>
      <c r="K118" s="1645"/>
      <c r="L118" s="1645">
        <f t="shared" si="45"/>
        <v>0</v>
      </c>
      <c r="M118" s="1647">
        <f t="shared" si="46"/>
        <v>0</v>
      </c>
      <c r="N118" s="1647">
        <f t="shared" si="44"/>
        <v>0</v>
      </c>
      <c r="O118" s="1667"/>
      <c r="P118" s="1667"/>
      <c r="Q118" s="1667"/>
      <c r="R118" s="1667"/>
      <c r="S118" s="1672"/>
    </row>
    <row r="119" spans="2:19" s="1669" customFormat="1" ht="13.5" thickBot="1" x14ac:dyDescent="0.3">
      <c r="B119" s="1670"/>
      <c r="C119" s="1645">
        <v>4</v>
      </c>
      <c r="D119" s="4552" t="s">
        <v>3303</v>
      </c>
      <c r="E119" s="4552"/>
      <c r="F119" s="4552"/>
      <c r="G119" s="4552"/>
      <c r="H119" s="1646">
        <v>7.9999999999999974E-2</v>
      </c>
      <c r="I119" s="1645"/>
      <c r="J119" s="1645">
        <v>0.5</v>
      </c>
      <c r="K119" s="1645"/>
      <c r="L119" s="1645">
        <f t="shared" si="45"/>
        <v>0</v>
      </c>
      <c r="M119" s="1647">
        <f t="shared" si="46"/>
        <v>3.9999999999999987E-2</v>
      </c>
      <c r="N119" s="1647">
        <f t="shared" si="44"/>
        <v>0</v>
      </c>
      <c r="O119" s="1667"/>
      <c r="P119" s="1667"/>
      <c r="Q119" s="1667"/>
      <c r="R119" s="1667"/>
      <c r="S119" s="1672"/>
    </row>
    <row r="120" spans="2:19" s="1669" customFormat="1" ht="13.5" thickBot="1" x14ac:dyDescent="0.3">
      <c r="B120" s="1670"/>
      <c r="C120" s="1645">
        <v>5</v>
      </c>
      <c r="D120" s="4552" t="s">
        <v>3304</v>
      </c>
      <c r="E120" s="4552"/>
      <c r="F120" s="4552"/>
      <c r="G120" s="4552"/>
      <c r="H120" s="1646">
        <v>7.3333333333333306E-2</v>
      </c>
      <c r="I120" s="1645"/>
      <c r="J120" s="1645">
        <v>0.5</v>
      </c>
      <c r="K120" s="1645"/>
      <c r="L120" s="1645">
        <f t="shared" si="45"/>
        <v>0</v>
      </c>
      <c r="M120" s="1647">
        <f t="shared" si="46"/>
        <v>3.6666666666666653E-2</v>
      </c>
      <c r="N120" s="1647">
        <f t="shared" si="44"/>
        <v>0</v>
      </c>
      <c r="O120" s="1667"/>
      <c r="P120" s="1667"/>
      <c r="Q120" s="1667"/>
      <c r="R120" s="1667"/>
      <c r="S120" s="1672"/>
    </row>
    <row r="121" spans="2:19" s="1669" customFormat="1" ht="13.5" thickBot="1" x14ac:dyDescent="0.3">
      <c r="B121" s="1670"/>
      <c r="C121" s="1645">
        <v>6</v>
      </c>
      <c r="D121" s="4552" t="s">
        <v>3305</v>
      </c>
      <c r="E121" s="4552"/>
      <c r="F121" s="4552"/>
      <c r="G121" s="4552"/>
      <c r="H121" s="1646">
        <v>6.6666666666666652E-2</v>
      </c>
      <c r="I121" s="1645"/>
      <c r="J121" s="1645">
        <v>0.5</v>
      </c>
      <c r="K121" s="1645"/>
      <c r="L121" s="1645">
        <f t="shared" si="45"/>
        <v>0</v>
      </c>
      <c r="M121" s="1647">
        <f t="shared" si="46"/>
        <v>3.3333333333333326E-2</v>
      </c>
      <c r="N121" s="1647">
        <f t="shared" si="44"/>
        <v>0</v>
      </c>
      <c r="O121" s="1667"/>
      <c r="P121" s="1667"/>
      <c r="Q121" s="1667"/>
      <c r="R121" s="1667"/>
      <c r="S121" s="1672"/>
    </row>
    <row r="122" spans="2:19" s="1669" customFormat="1" ht="13.5" thickBot="1" x14ac:dyDescent="0.3">
      <c r="B122" s="1670"/>
      <c r="C122" s="1645">
        <v>7</v>
      </c>
      <c r="D122" s="4552" t="s">
        <v>3306</v>
      </c>
      <c r="E122" s="4552"/>
      <c r="F122" s="4552"/>
      <c r="G122" s="4552"/>
      <c r="H122" s="1646">
        <v>4.6666666666666655E-2</v>
      </c>
      <c r="I122" s="1645">
        <v>0</v>
      </c>
      <c r="J122" s="1645"/>
      <c r="K122" s="1645"/>
      <c r="L122" s="1645">
        <f t="shared" si="45"/>
        <v>0</v>
      </c>
      <c r="M122" s="1647">
        <f t="shared" si="46"/>
        <v>0</v>
      </c>
      <c r="N122" s="1647">
        <f t="shared" si="44"/>
        <v>0</v>
      </c>
      <c r="O122" s="1667"/>
      <c r="P122" s="1667"/>
      <c r="Q122" s="1667"/>
      <c r="R122" s="1667"/>
      <c r="S122" s="1672"/>
    </row>
    <row r="123" spans="2:19" s="1669" customFormat="1" ht="13.5" thickBot="1" x14ac:dyDescent="0.3">
      <c r="B123" s="1670"/>
      <c r="C123" s="1645">
        <v>8</v>
      </c>
      <c r="D123" s="4552" t="s">
        <v>3307</v>
      </c>
      <c r="E123" s="4552"/>
      <c r="F123" s="4552"/>
      <c r="G123" s="4552"/>
      <c r="H123" s="1646">
        <v>3.3333333333333326E-2</v>
      </c>
      <c r="I123" s="1645">
        <v>0</v>
      </c>
      <c r="J123" s="1645"/>
      <c r="K123" s="1645"/>
      <c r="L123" s="1645">
        <f t="shared" si="45"/>
        <v>0</v>
      </c>
      <c r="M123" s="1647">
        <f t="shared" si="46"/>
        <v>0</v>
      </c>
      <c r="N123" s="1647">
        <f t="shared" si="44"/>
        <v>0</v>
      </c>
      <c r="O123" s="1667"/>
      <c r="P123" s="1667"/>
      <c r="Q123" s="1667"/>
      <c r="R123" s="1667"/>
      <c r="S123" s="1672"/>
    </row>
    <row r="124" spans="2:19" s="1669" customFormat="1" ht="13.5" thickBot="1" x14ac:dyDescent="0.3">
      <c r="B124" s="1670"/>
      <c r="C124" s="1645">
        <v>9</v>
      </c>
      <c r="D124" s="4552" t="s">
        <v>3308</v>
      </c>
      <c r="E124" s="4552"/>
      <c r="F124" s="4552"/>
      <c r="G124" s="4552"/>
      <c r="H124" s="1646">
        <v>6.6666666666666652E-2</v>
      </c>
      <c r="I124" s="1645">
        <v>0</v>
      </c>
      <c r="J124" s="1645"/>
      <c r="K124" s="1645"/>
      <c r="L124" s="1645">
        <f t="shared" si="45"/>
        <v>0</v>
      </c>
      <c r="M124" s="1647">
        <f t="shared" si="46"/>
        <v>0</v>
      </c>
      <c r="N124" s="1647">
        <f t="shared" si="44"/>
        <v>0</v>
      </c>
      <c r="O124" s="1667"/>
      <c r="P124" s="1667"/>
      <c r="Q124" s="1667"/>
      <c r="R124" s="1667"/>
      <c r="S124" s="1672"/>
    </row>
    <row r="125" spans="2:19" s="1669" customFormat="1" ht="13.5" thickBot="1" x14ac:dyDescent="0.3">
      <c r="B125" s="1670"/>
      <c r="C125" s="1667"/>
      <c r="D125" s="1667"/>
      <c r="E125" s="1667"/>
      <c r="F125" s="1667"/>
      <c r="G125" s="1667"/>
      <c r="H125" s="1647">
        <v>1</v>
      </c>
      <c r="I125" s="1648">
        <v>0</v>
      </c>
      <c r="J125" s="1648">
        <v>9.9999999999999978E-2</v>
      </c>
      <c r="K125" s="1648">
        <v>0.57999999999999985</v>
      </c>
      <c r="L125" s="1648">
        <f>SUM(L116:L124)</f>
        <v>0</v>
      </c>
      <c r="M125" s="1648">
        <f>SUM(M116:M124)</f>
        <v>0.10999999999999996</v>
      </c>
      <c r="N125" s="1648">
        <f>SUM(N116:N124)</f>
        <v>0</v>
      </c>
      <c r="O125" s="1667"/>
      <c r="P125" s="1667"/>
      <c r="Q125" s="1667"/>
      <c r="R125" s="1667"/>
      <c r="S125" s="1672"/>
    </row>
    <row r="126" spans="2:19" s="1669" customFormat="1" ht="12.75" x14ac:dyDescent="0.25">
      <c r="B126" s="1670"/>
      <c r="C126" s="1667"/>
      <c r="D126" s="1667"/>
      <c r="E126" s="1667"/>
      <c r="F126" s="1667"/>
      <c r="G126" s="1667"/>
      <c r="H126" s="1632"/>
      <c r="I126" s="1633"/>
      <c r="J126" s="1633"/>
      <c r="K126" s="1633"/>
      <c r="L126" s="1633"/>
      <c r="M126" s="1633"/>
      <c r="N126" s="1622"/>
      <c r="O126" s="1667"/>
      <c r="P126" s="1667"/>
      <c r="Q126" s="1667"/>
      <c r="R126" s="1667"/>
      <c r="S126" s="1672"/>
    </row>
    <row r="127" spans="2:19" s="1669" customFormat="1" ht="13.5" thickBot="1" x14ac:dyDescent="0.3">
      <c r="B127" s="1670">
        <v>6</v>
      </c>
      <c r="C127" s="1631"/>
      <c r="D127" s="1671" t="s">
        <v>3799</v>
      </c>
      <c r="E127" s="1667"/>
      <c r="F127" s="1667"/>
      <c r="G127" s="1667"/>
      <c r="H127" s="1671"/>
      <c r="I127" s="1667"/>
      <c r="J127" s="1667"/>
      <c r="K127" s="1667"/>
      <c r="L127" s="1667"/>
      <c r="M127" s="1667"/>
      <c r="N127" s="1667"/>
      <c r="O127" s="1667"/>
      <c r="P127" s="1667"/>
      <c r="Q127" s="1667"/>
      <c r="R127" s="1667"/>
      <c r="S127" s="1672"/>
    </row>
    <row r="128" spans="2:19" s="1669" customFormat="1" ht="13.5" thickBot="1" x14ac:dyDescent="0.3">
      <c r="B128" s="1670"/>
      <c r="C128" s="4546" t="s">
        <v>62</v>
      </c>
      <c r="D128" s="4549" t="s">
        <v>5</v>
      </c>
      <c r="E128" s="4549"/>
      <c r="F128" s="4549"/>
      <c r="G128" s="4549"/>
      <c r="H128" s="4549" t="s">
        <v>3297</v>
      </c>
      <c r="I128" s="4549" t="s">
        <v>3298</v>
      </c>
      <c r="J128" s="4549"/>
      <c r="K128" s="4549"/>
      <c r="L128" s="4549" t="s">
        <v>3299</v>
      </c>
      <c r="M128" s="4549"/>
      <c r="N128" s="4554"/>
      <c r="O128" s="1667"/>
      <c r="P128" s="1667"/>
      <c r="Q128" s="1667"/>
      <c r="R128" s="1667"/>
      <c r="S128" s="1672"/>
    </row>
    <row r="129" spans="2:19" s="1669" customFormat="1" ht="13.5" thickBot="1" x14ac:dyDescent="0.3">
      <c r="B129" s="1670"/>
      <c r="C129" s="4547"/>
      <c r="D129" s="4550"/>
      <c r="E129" s="4550"/>
      <c r="F129" s="4550"/>
      <c r="G129" s="4550"/>
      <c r="H129" s="4550"/>
      <c r="I129" s="1642" t="s">
        <v>3283</v>
      </c>
      <c r="J129" s="1642" t="s">
        <v>3284</v>
      </c>
      <c r="K129" s="1642" t="s">
        <v>3285</v>
      </c>
      <c r="L129" s="1642" t="s">
        <v>3283</v>
      </c>
      <c r="M129" s="1642" t="s">
        <v>3284</v>
      </c>
      <c r="N129" s="1693" t="s">
        <v>3285</v>
      </c>
      <c r="O129" s="1667"/>
      <c r="P129" s="1667"/>
      <c r="Q129" s="1667"/>
      <c r="R129" s="1667"/>
      <c r="S129" s="1672"/>
    </row>
    <row r="130" spans="2:19" s="1669" customFormat="1" ht="13.5" thickBot="1" x14ac:dyDescent="0.3">
      <c r="B130" s="1670"/>
      <c r="C130" s="4548"/>
      <c r="D130" s="4551"/>
      <c r="E130" s="4551"/>
      <c r="F130" s="4551"/>
      <c r="G130" s="4551"/>
      <c r="H130" s="4551"/>
      <c r="I130" s="1694">
        <v>0</v>
      </c>
      <c r="J130" s="1694">
        <v>0.5</v>
      </c>
      <c r="K130" s="1694">
        <v>1</v>
      </c>
      <c r="L130" s="1644">
        <v>0</v>
      </c>
      <c r="M130" s="1644">
        <v>0.5</v>
      </c>
      <c r="N130" s="1695">
        <v>1</v>
      </c>
      <c r="O130" s="1667"/>
      <c r="P130" s="1667"/>
      <c r="Q130" s="1667"/>
      <c r="R130" s="1667"/>
      <c r="S130" s="1672"/>
    </row>
    <row r="131" spans="2:19" s="1669" customFormat="1" ht="13.5" thickBot="1" x14ac:dyDescent="0.3">
      <c r="B131" s="1670"/>
      <c r="C131" s="1645">
        <v>1</v>
      </c>
      <c r="D131" s="4552" t="s">
        <v>3300</v>
      </c>
      <c r="E131" s="4552"/>
      <c r="F131" s="4552"/>
      <c r="G131" s="4552"/>
      <c r="H131" s="1646">
        <v>0.39999999999999986</v>
      </c>
      <c r="I131" s="1645">
        <v>0</v>
      </c>
      <c r="J131" s="1645"/>
      <c r="K131" s="1645"/>
      <c r="L131" s="1645">
        <f>H131*I131</f>
        <v>0</v>
      </c>
      <c r="M131" s="1647">
        <f>H131*J131</f>
        <v>0</v>
      </c>
      <c r="N131" s="1647">
        <f t="shared" ref="N131:N139" si="47">H131*K131</f>
        <v>0</v>
      </c>
      <c r="O131" s="1667"/>
      <c r="P131" s="1667"/>
      <c r="Q131" s="1667"/>
      <c r="R131" s="1667"/>
      <c r="S131" s="1672"/>
    </row>
    <row r="132" spans="2:19" s="1669" customFormat="1" ht="13.5" thickBot="1" x14ac:dyDescent="0.3">
      <c r="B132" s="1670"/>
      <c r="C132" s="1645">
        <v>2</v>
      </c>
      <c r="D132" s="4552" t="s">
        <v>3301</v>
      </c>
      <c r="E132" s="4552"/>
      <c r="F132" s="4552"/>
      <c r="G132" s="4552"/>
      <c r="H132" s="1646">
        <v>0.1333333333333333</v>
      </c>
      <c r="I132" s="1645">
        <v>0</v>
      </c>
      <c r="J132" s="1645"/>
      <c r="K132" s="1645"/>
      <c r="L132" s="1645">
        <f t="shared" ref="L132:L139" si="48">H132*I132</f>
        <v>0</v>
      </c>
      <c r="M132" s="1647">
        <f t="shared" ref="M132:M139" si="49">H132*J132</f>
        <v>0</v>
      </c>
      <c r="N132" s="1647">
        <f t="shared" si="47"/>
        <v>0</v>
      </c>
      <c r="O132" s="1667"/>
      <c r="P132" s="1667"/>
      <c r="Q132" s="1667"/>
      <c r="R132" s="1667"/>
      <c r="S132" s="1672"/>
    </row>
    <row r="133" spans="2:19" s="1669" customFormat="1" ht="13.5" thickBot="1" x14ac:dyDescent="0.3">
      <c r="B133" s="1670"/>
      <c r="C133" s="1645">
        <v>3</v>
      </c>
      <c r="D133" s="4552" t="s">
        <v>3302</v>
      </c>
      <c r="E133" s="4552"/>
      <c r="F133" s="4552"/>
      <c r="G133" s="4552"/>
      <c r="H133" s="1646">
        <v>9.9999999999999964E-2</v>
      </c>
      <c r="I133" s="1645">
        <v>0</v>
      </c>
      <c r="J133" s="1645"/>
      <c r="K133" s="1645"/>
      <c r="L133" s="1645">
        <f t="shared" si="48"/>
        <v>0</v>
      </c>
      <c r="M133" s="1647">
        <f t="shared" si="49"/>
        <v>0</v>
      </c>
      <c r="N133" s="1647">
        <f t="shared" si="47"/>
        <v>0</v>
      </c>
      <c r="O133" s="1667"/>
      <c r="P133" s="1667"/>
      <c r="Q133" s="1667"/>
      <c r="R133" s="1667"/>
      <c r="S133" s="1672"/>
    </row>
    <row r="134" spans="2:19" s="1669" customFormat="1" ht="13.5" thickBot="1" x14ac:dyDescent="0.3">
      <c r="B134" s="1670"/>
      <c r="C134" s="1645">
        <v>4</v>
      </c>
      <c r="D134" s="4552" t="s">
        <v>3303</v>
      </c>
      <c r="E134" s="4552"/>
      <c r="F134" s="4552"/>
      <c r="G134" s="4552"/>
      <c r="H134" s="1646">
        <v>7.9999999999999974E-2</v>
      </c>
      <c r="I134" s="1645"/>
      <c r="J134" s="1645">
        <v>0.5</v>
      </c>
      <c r="K134" s="1645"/>
      <c r="L134" s="1645">
        <f t="shared" si="48"/>
        <v>0</v>
      </c>
      <c r="M134" s="1647">
        <f t="shared" si="49"/>
        <v>3.9999999999999987E-2</v>
      </c>
      <c r="N134" s="1647">
        <f t="shared" si="47"/>
        <v>0</v>
      </c>
      <c r="O134" s="1667"/>
      <c r="P134" s="1667"/>
      <c r="Q134" s="1667"/>
      <c r="R134" s="1667"/>
      <c r="S134" s="1672"/>
    </row>
    <row r="135" spans="2:19" s="1669" customFormat="1" ht="13.5" thickBot="1" x14ac:dyDescent="0.3">
      <c r="B135" s="1670"/>
      <c r="C135" s="1645">
        <v>5</v>
      </c>
      <c r="D135" s="4552" t="s">
        <v>3304</v>
      </c>
      <c r="E135" s="4552"/>
      <c r="F135" s="4552"/>
      <c r="G135" s="4552"/>
      <c r="H135" s="1646">
        <v>7.3333333333333306E-2</v>
      </c>
      <c r="I135" s="1645"/>
      <c r="J135" s="1645">
        <v>0.5</v>
      </c>
      <c r="K135" s="1645"/>
      <c r="L135" s="1645">
        <f t="shared" si="48"/>
        <v>0</v>
      </c>
      <c r="M135" s="1647">
        <f t="shared" si="49"/>
        <v>3.6666666666666653E-2</v>
      </c>
      <c r="N135" s="1647">
        <f t="shared" si="47"/>
        <v>0</v>
      </c>
      <c r="O135" s="1667"/>
      <c r="P135" s="1667"/>
      <c r="Q135" s="1667"/>
      <c r="R135" s="1667"/>
      <c r="S135" s="1672"/>
    </row>
    <row r="136" spans="2:19" s="1669" customFormat="1" ht="13.5" thickBot="1" x14ac:dyDescent="0.3">
      <c r="B136" s="1670"/>
      <c r="C136" s="1645">
        <v>6</v>
      </c>
      <c r="D136" s="4552" t="s">
        <v>3305</v>
      </c>
      <c r="E136" s="4552"/>
      <c r="F136" s="4552"/>
      <c r="G136" s="4552"/>
      <c r="H136" s="1646">
        <v>6.6666666666666652E-2</v>
      </c>
      <c r="I136" s="1645"/>
      <c r="J136" s="1645">
        <v>0.5</v>
      </c>
      <c r="K136" s="1645"/>
      <c r="L136" s="1645">
        <f t="shared" si="48"/>
        <v>0</v>
      </c>
      <c r="M136" s="1647">
        <f t="shared" si="49"/>
        <v>3.3333333333333326E-2</v>
      </c>
      <c r="N136" s="1647">
        <f t="shared" si="47"/>
        <v>0</v>
      </c>
      <c r="O136" s="1667"/>
      <c r="P136" s="1667"/>
      <c r="Q136" s="1667"/>
      <c r="R136" s="1667"/>
      <c r="S136" s="1672"/>
    </row>
    <row r="137" spans="2:19" s="1669" customFormat="1" ht="13.5" thickBot="1" x14ac:dyDescent="0.3">
      <c r="B137" s="1670"/>
      <c r="C137" s="1645">
        <v>7</v>
      </c>
      <c r="D137" s="4552" t="s">
        <v>3306</v>
      </c>
      <c r="E137" s="4552"/>
      <c r="F137" s="4552"/>
      <c r="G137" s="4552"/>
      <c r="H137" s="1646">
        <v>4.6666666666666655E-2</v>
      </c>
      <c r="I137" s="1645">
        <v>0</v>
      </c>
      <c r="J137" s="1645"/>
      <c r="K137" s="1645"/>
      <c r="L137" s="1645">
        <f t="shared" si="48"/>
        <v>0</v>
      </c>
      <c r="M137" s="1647">
        <f t="shared" si="49"/>
        <v>0</v>
      </c>
      <c r="N137" s="1647">
        <f t="shared" si="47"/>
        <v>0</v>
      </c>
      <c r="O137" s="1667"/>
      <c r="P137" s="1667"/>
      <c r="Q137" s="1667"/>
      <c r="R137" s="1667"/>
      <c r="S137" s="1672"/>
    </row>
    <row r="138" spans="2:19" s="1669" customFormat="1" ht="13.5" thickBot="1" x14ac:dyDescent="0.3">
      <c r="B138" s="1670"/>
      <c r="C138" s="1645">
        <v>8</v>
      </c>
      <c r="D138" s="4552" t="s">
        <v>3307</v>
      </c>
      <c r="E138" s="4552"/>
      <c r="F138" s="4552"/>
      <c r="G138" s="4552"/>
      <c r="H138" s="1646">
        <v>3.3333333333333326E-2</v>
      </c>
      <c r="I138" s="1645">
        <v>0</v>
      </c>
      <c r="J138" s="1645"/>
      <c r="K138" s="1645"/>
      <c r="L138" s="1645">
        <f t="shared" si="48"/>
        <v>0</v>
      </c>
      <c r="M138" s="1647">
        <f t="shared" si="49"/>
        <v>0</v>
      </c>
      <c r="N138" s="1647">
        <f t="shared" si="47"/>
        <v>0</v>
      </c>
      <c r="O138" s="1667"/>
      <c r="P138" s="1667"/>
      <c r="Q138" s="1667"/>
      <c r="R138" s="1667"/>
      <c r="S138" s="1672"/>
    </row>
    <row r="139" spans="2:19" s="1669" customFormat="1" ht="13.5" thickBot="1" x14ac:dyDescent="0.3">
      <c r="B139" s="1670"/>
      <c r="C139" s="1645">
        <v>9</v>
      </c>
      <c r="D139" s="4552" t="s">
        <v>3308</v>
      </c>
      <c r="E139" s="4552"/>
      <c r="F139" s="4552"/>
      <c r="G139" s="4552"/>
      <c r="H139" s="1646">
        <v>6.6666666666666652E-2</v>
      </c>
      <c r="I139" s="1645">
        <v>0</v>
      </c>
      <c r="J139" s="1645"/>
      <c r="K139" s="1645"/>
      <c r="L139" s="1645">
        <f t="shared" si="48"/>
        <v>0</v>
      </c>
      <c r="M139" s="1647">
        <f t="shared" si="49"/>
        <v>0</v>
      </c>
      <c r="N139" s="1647">
        <f t="shared" si="47"/>
        <v>0</v>
      </c>
      <c r="O139" s="1667"/>
      <c r="P139" s="1667"/>
      <c r="Q139" s="1667"/>
      <c r="R139" s="1667"/>
      <c r="S139" s="1672"/>
    </row>
    <row r="140" spans="2:19" s="1669" customFormat="1" ht="13.5" thickBot="1" x14ac:dyDescent="0.3">
      <c r="B140" s="1670"/>
      <c r="C140" s="1667"/>
      <c r="D140" s="1667"/>
      <c r="E140" s="1667"/>
      <c r="F140" s="1667"/>
      <c r="G140" s="1667"/>
      <c r="H140" s="1647">
        <v>1</v>
      </c>
      <c r="I140" s="1648">
        <v>0</v>
      </c>
      <c r="J140" s="1648">
        <v>9.9999999999999978E-2</v>
      </c>
      <c r="K140" s="1648">
        <v>0.57999999999999985</v>
      </c>
      <c r="L140" s="1648">
        <f>SUM(L131:L139)</f>
        <v>0</v>
      </c>
      <c r="M140" s="1648">
        <f>SUM(M131:M139)</f>
        <v>0.10999999999999996</v>
      </c>
      <c r="N140" s="1648">
        <f>SUM(N131:N139)</f>
        <v>0</v>
      </c>
      <c r="O140" s="1667"/>
      <c r="P140" s="1667"/>
      <c r="Q140" s="1667"/>
      <c r="R140" s="1667"/>
      <c r="S140" s="1672"/>
    </row>
    <row r="141" spans="2:19" s="1669" customFormat="1" ht="12.75" x14ac:dyDescent="0.25">
      <c r="B141" s="1670"/>
      <c r="C141" s="1667"/>
      <c r="D141" s="1667"/>
      <c r="E141" s="1667"/>
      <c r="F141" s="1667"/>
      <c r="G141" s="1667"/>
      <c r="H141" s="1632"/>
      <c r="I141" s="1633"/>
      <c r="J141" s="1633"/>
      <c r="K141" s="1633"/>
      <c r="L141" s="1633"/>
      <c r="M141" s="1633"/>
      <c r="N141" s="1622"/>
      <c r="O141" s="1667"/>
      <c r="P141" s="1667"/>
      <c r="Q141" s="1667"/>
      <c r="R141" s="1667"/>
      <c r="S141" s="1672"/>
    </row>
    <row r="142" spans="2:19" s="1669" customFormat="1" ht="13.5" thickBot="1" x14ac:dyDescent="0.3">
      <c r="B142" s="1670">
        <v>7</v>
      </c>
      <c r="C142" s="1631"/>
      <c r="D142" s="1671" t="s">
        <v>3349</v>
      </c>
      <c r="E142" s="1667"/>
      <c r="F142" s="1667"/>
      <c r="G142" s="1667"/>
      <c r="H142" s="1671"/>
      <c r="I142" s="1667"/>
      <c r="J142" s="1667"/>
      <c r="K142" s="1667"/>
      <c r="L142" s="1667"/>
      <c r="M142" s="1667"/>
      <c r="N142" s="1667"/>
      <c r="O142" s="1667"/>
      <c r="P142" s="1667"/>
      <c r="Q142" s="1667"/>
      <c r="R142" s="1667"/>
      <c r="S142" s="1672"/>
    </row>
    <row r="143" spans="2:19" s="1669" customFormat="1" ht="13.5" thickBot="1" x14ac:dyDescent="0.3">
      <c r="B143" s="1670"/>
      <c r="C143" s="4546" t="s">
        <v>62</v>
      </c>
      <c r="D143" s="4549" t="s">
        <v>5</v>
      </c>
      <c r="E143" s="4549"/>
      <c r="F143" s="4549"/>
      <c r="G143" s="4549"/>
      <c r="H143" s="4549" t="s">
        <v>3297</v>
      </c>
      <c r="I143" s="4549" t="s">
        <v>3298</v>
      </c>
      <c r="J143" s="4549"/>
      <c r="K143" s="4549"/>
      <c r="L143" s="4549" t="s">
        <v>3299</v>
      </c>
      <c r="M143" s="4549"/>
      <c r="N143" s="4554"/>
      <c r="O143" s="1667"/>
      <c r="P143" s="1667"/>
      <c r="Q143" s="1667"/>
      <c r="R143" s="1667"/>
      <c r="S143" s="1672"/>
    </row>
    <row r="144" spans="2:19" s="1669" customFormat="1" ht="13.5" thickBot="1" x14ac:dyDescent="0.3">
      <c r="B144" s="1670"/>
      <c r="C144" s="4547"/>
      <c r="D144" s="4550"/>
      <c r="E144" s="4550"/>
      <c r="F144" s="4550"/>
      <c r="G144" s="4550"/>
      <c r="H144" s="4550"/>
      <c r="I144" s="1642" t="s">
        <v>3283</v>
      </c>
      <c r="J144" s="1642" t="s">
        <v>3284</v>
      </c>
      <c r="K144" s="1642" t="s">
        <v>3285</v>
      </c>
      <c r="L144" s="1642" t="s">
        <v>3283</v>
      </c>
      <c r="M144" s="1642" t="s">
        <v>3284</v>
      </c>
      <c r="N144" s="1693" t="s">
        <v>3285</v>
      </c>
      <c r="O144" s="1667"/>
      <c r="P144" s="1667"/>
      <c r="Q144" s="1667"/>
      <c r="R144" s="1667"/>
      <c r="S144" s="1672"/>
    </row>
    <row r="145" spans="2:19" s="1669" customFormat="1" ht="13.5" thickBot="1" x14ac:dyDescent="0.3">
      <c r="B145" s="1670"/>
      <c r="C145" s="4548"/>
      <c r="D145" s="4551"/>
      <c r="E145" s="4551"/>
      <c r="F145" s="4551"/>
      <c r="G145" s="4551"/>
      <c r="H145" s="4551"/>
      <c r="I145" s="1694">
        <v>0</v>
      </c>
      <c r="J145" s="1694">
        <v>0.5</v>
      </c>
      <c r="K145" s="1694">
        <v>1</v>
      </c>
      <c r="L145" s="1644">
        <v>0</v>
      </c>
      <c r="M145" s="1644">
        <v>0.5</v>
      </c>
      <c r="N145" s="1695">
        <v>1</v>
      </c>
      <c r="O145" s="1667"/>
      <c r="P145" s="1667"/>
      <c r="Q145" s="1667"/>
      <c r="R145" s="1667"/>
      <c r="S145" s="1672"/>
    </row>
    <row r="146" spans="2:19" s="1669" customFormat="1" ht="13.5" thickBot="1" x14ac:dyDescent="0.3">
      <c r="B146" s="1670"/>
      <c r="C146" s="1645">
        <v>1</v>
      </c>
      <c r="D146" s="4552" t="s">
        <v>3300</v>
      </c>
      <c r="E146" s="4552"/>
      <c r="F146" s="4552"/>
      <c r="G146" s="4552"/>
      <c r="H146" s="1646">
        <v>0.39999999999999986</v>
      </c>
      <c r="I146" s="1645">
        <v>0</v>
      </c>
      <c r="J146" s="1645"/>
      <c r="K146" s="1645"/>
      <c r="L146" s="1645">
        <f>H146*I146</f>
        <v>0</v>
      </c>
      <c r="M146" s="1647">
        <f>H146*J146</f>
        <v>0</v>
      </c>
      <c r="N146" s="1647">
        <f t="shared" ref="N146:N154" si="50">H146*K146</f>
        <v>0</v>
      </c>
      <c r="O146" s="1667"/>
      <c r="P146" s="1667"/>
      <c r="Q146" s="1667"/>
      <c r="R146" s="1667"/>
      <c r="S146" s="1672"/>
    </row>
    <row r="147" spans="2:19" s="1669" customFormat="1" ht="13.5" thickBot="1" x14ac:dyDescent="0.3">
      <c r="B147" s="1670"/>
      <c r="C147" s="1645">
        <v>2</v>
      </c>
      <c r="D147" s="4552" t="s">
        <v>3301</v>
      </c>
      <c r="E147" s="4552"/>
      <c r="F147" s="4552"/>
      <c r="G147" s="4552"/>
      <c r="H147" s="1646">
        <v>0.1333333333333333</v>
      </c>
      <c r="I147" s="1645">
        <v>0</v>
      </c>
      <c r="J147" s="1645"/>
      <c r="K147" s="1645"/>
      <c r="L147" s="1645">
        <f t="shared" ref="L147:L154" si="51">H147*I147</f>
        <v>0</v>
      </c>
      <c r="M147" s="1647">
        <f t="shared" ref="M147:M154" si="52">H147*J147</f>
        <v>0</v>
      </c>
      <c r="N147" s="1647">
        <f t="shared" si="50"/>
        <v>0</v>
      </c>
      <c r="O147" s="1667"/>
      <c r="P147" s="1667"/>
      <c r="Q147" s="1667"/>
      <c r="R147" s="1667"/>
      <c r="S147" s="1672"/>
    </row>
    <row r="148" spans="2:19" s="1669" customFormat="1" ht="13.5" thickBot="1" x14ac:dyDescent="0.3">
      <c r="B148" s="1670"/>
      <c r="C148" s="1645">
        <v>3</v>
      </c>
      <c r="D148" s="4552" t="s">
        <v>3302</v>
      </c>
      <c r="E148" s="4552"/>
      <c r="F148" s="4552"/>
      <c r="G148" s="4552"/>
      <c r="H148" s="1646">
        <v>9.9999999999999964E-2</v>
      </c>
      <c r="I148" s="1645">
        <v>0</v>
      </c>
      <c r="J148" s="1645"/>
      <c r="K148" s="1645"/>
      <c r="L148" s="1645">
        <f t="shared" si="51"/>
        <v>0</v>
      </c>
      <c r="M148" s="1647">
        <f t="shared" si="52"/>
        <v>0</v>
      </c>
      <c r="N148" s="1647">
        <f t="shared" si="50"/>
        <v>0</v>
      </c>
      <c r="O148" s="1667"/>
      <c r="P148" s="1667"/>
      <c r="Q148" s="1667"/>
      <c r="R148" s="1667"/>
      <c r="S148" s="1672"/>
    </row>
    <row r="149" spans="2:19" s="1669" customFormat="1" ht="13.5" thickBot="1" x14ac:dyDescent="0.3">
      <c r="B149" s="1670"/>
      <c r="C149" s="1645">
        <v>4</v>
      </c>
      <c r="D149" s="4552" t="s">
        <v>3303</v>
      </c>
      <c r="E149" s="4552"/>
      <c r="F149" s="4552"/>
      <c r="G149" s="4552"/>
      <c r="H149" s="1646">
        <v>7.9999999999999974E-2</v>
      </c>
      <c r="I149" s="1645"/>
      <c r="J149" s="1645">
        <v>0.5</v>
      </c>
      <c r="K149" s="1645"/>
      <c r="L149" s="1645">
        <f t="shared" si="51"/>
        <v>0</v>
      </c>
      <c r="M149" s="1647">
        <f t="shared" si="52"/>
        <v>3.9999999999999987E-2</v>
      </c>
      <c r="N149" s="1647">
        <f t="shared" si="50"/>
        <v>0</v>
      </c>
      <c r="O149" s="1667"/>
      <c r="P149" s="1667"/>
      <c r="Q149" s="1667"/>
      <c r="R149" s="1667"/>
      <c r="S149" s="1672"/>
    </row>
    <row r="150" spans="2:19" s="1669" customFormat="1" ht="13.5" thickBot="1" x14ac:dyDescent="0.3">
      <c r="B150" s="1670"/>
      <c r="C150" s="1645">
        <v>5</v>
      </c>
      <c r="D150" s="4552" t="s">
        <v>3304</v>
      </c>
      <c r="E150" s="4552"/>
      <c r="F150" s="4552"/>
      <c r="G150" s="4552"/>
      <c r="H150" s="1646">
        <v>7.3333333333333306E-2</v>
      </c>
      <c r="I150" s="1645"/>
      <c r="J150" s="1645">
        <v>0.5</v>
      </c>
      <c r="K150" s="1645"/>
      <c r="L150" s="1645">
        <f t="shared" si="51"/>
        <v>0</v>
      </c>
      <c r="M150" s="1647">
        <f t="shared" si="52"/>
        <v>3.6666666666666653E-2</v>
      </c>
      <c r="N150" s="1647">
        <f t="shared" si="50"/>
        <v>0</v>
      </c>
      <c r="O150" s="1667"/>
      <c r="P150" s="1667"/>
      <c r="Q150" s="1667"/>
      <c r="R150" s="1667"/>
      <c r="S150" s="1672"/>
    </row>
    <row r="151" spans="2:19" s="1669" customFormat="1" ht="13.5" thickBot="1" x14ac:dyDescent="0.3">
      <c r="B151" s="1670"/>
      <c r="C151" s="1645">
        <v>6</v>
      </c>
      <c r="D151" s="4552" t="s">
        <v>3305</v>
      </c>
      <c r="E151" s="4552"/>
      <c r="F151" s="4552"/>
      <c r="G151" s="4552"/>
      <c r="H151" s="1646">
        <v>6.6666666666666652E-2</v>
      </c>
      <c r="I151" s="1645"/>
      <c r="J151" s="1645">
        <v>0.5</v>
      </c>
      <c r="K151" s="1645"/>
      <c r="L151" s="1645">
        <f t="shared" si="51"/>
        <v>0</v>
      </c>
      <c r="M151" s="1647">
        <f t="shared" si="52"/>
        <v>3.3333333333333326E-2</v>
      </c>
      <c r="N151" s="1647">
        <f t="shared" si="50"/>
        <v>0</v>
      </c>
      <c r="O151" s="1667"/>
      <c r="P151" s="1667"/>
      <c r="Q151" s="1667"/>
      <c r="R151" s="1667"/>
      <c r="S151" s="1672"/>
    </row>
    <row r="152" spans="2:19" s="1669" customFormat="1" ht="13.5" thickBot="1" x14ac:dyDescent="0.3">
      <c r="B152" s="1670"/>
      <c r="C152" s="1645">
        <v>7</v>
      </c>
      <c r="D152" s="4552" t="s">
        <v>3306</v>
      </c>
      <c r="E152" s="4552"/>
      <c r="F152" s="4552"/>
      <c r="G152" s="4552"/>
      <c r="H152" s="1646">
        <v>4.6666666666666655E-2</v>
      </c>
      <c r="I152" s="1645">
        <v>0</v>
      </c>
      <c r="J152" s="1645"/>
      <c r="K152" s="1645"/>
      <c r="L152" s="1645">
        <f t="shared" si="51"/>
        <v>0</v>
      </c>
      <c r="M152" s="1647">
        <f t="shared" si="52"/>
        <v>0</v>
      </c>
      <c r="N152" s="1647">
        <f t="shared" si="50"/>
        <v>0</v>
      </c>
      <c r="O152" s="1667"/>
      <c r="P152" s="1667"/>
      <c r="Q152" s="1667"/>
      <c r="R152" s="1667"/>
      <c r="S152" s="1672"/>
    </row>
    <row r="153" spans="2:19" s="1669" customFormat="1" ht="13.5" thickBot="1" x14ac:dyDescent="0.3">
      <c r="B153" s="1670"/>
      <c r="C153" s="1645">
        <v>8</v>
      </c>
      <c r="D153" s="4552" t="s">
        <v>3307</v>
      </c>
      <c r="E153" s="4552"/>
      <c r="F153" s="4552"/>
      <c r="G153" s="4552"/>
      <c r="H153" s="1646">
        <v>3.3333333333333326E-2</v>
      </c>
      <c r="I153" s="1645">
        <v>0</v>
      </c>
      <c r="J153" s="1645"/>
      <c r="K153" s="1645"/>
      <c r="L153" s="1645">
        <f t="shared" si="51"/>
        <v>0</v>
      </c>
      <c r="M153" s="1647">
        <f t="shared" si="52"/>
        <v>0</v>
      </c>
      <c r="N153" s="1647">
        <f t="shared" si="50"/>
        <v>0</v>
      </c>
      <c r="O153" s="1667"/>
      <c r="P153" s="1667"/>
      <c r="Q153" s="1667"/>
      <c r="R153" s="1667"/>
      <c r="S153" s="1672"/>
    </row>
    <row r="154" spans="2:19" s="1669" customFormat="1" ht="13.5" thickBot="1" x14ac:dyDescent="0.3">
      <c r="B154" s="1670"/>
      <c r="C154" s="1645">
        <v>9</v>
      </c>
      <c r="D154" s="4552" t="s">
        <v>3308</v>
      </c>
      <c r="E154" s="4552"/>
      <c r="F154" s="4552"/>
      <c r="G154" s="4552"/>
      <c r="H154" s="1646">
        <v>6.6666666666666652E-2</v>
      </c>
      <c r="I154" s="1645">
        <v>0</v>
      </c>
      <c r="J154" s="1645"/>
      <c r="K154" s="1645"/>
      <c r="L154" s="1645">
        <f t="shared" si="51"/>
        <v>0</v>
      </c>
      <c r="M154" s="1647">
        <f t="shared" si="52"/>
        <v>0</v>
      </c>
      <c r="N154" s="1647">
        <f t="shared" si="50"/>
        <v>0</v>
      </c>
      <c r="O154" s="1667"/>
      <c r="P154" s="1667"/>
      <c r="Q154" s="1667"/>
      <c r="R154" s="1667"/>
      <c r="S154" s="1672"/>
    </row>
    <row r="155" spans="2:19" s="1669" customFormat="1" ht="13.5" thickBot="1" x14ac:dyDescent="0.3">
      <c r="B155" s="1670"/>
      <c r="C155" s="1667"/>
      <c r="D155" s="1667"/>
      <c r="E155" s="1667"/>
      <c r="F155" s="1667"/>
      <c r="G155" s="1667"/>
      <c r="H155" s="1647">
        <v>1</v>
      </c>
      <c r="I155" s="1648">
        <v>0</v>
      </c>
      <c r="J155" s="1648">
        <v>9.9999999999999978E-2</v>
      </c>
      <c r="K155" s="1648">
        <v>0.57999999999999985</v>
      </c>
      <c r="L155" s="1648">
        <f>SUM(L146:L154)</f>
        <v>0</v>
      </c>
      <c r="M155" s="1648">
        <f>SUM(M146:M154)</f>
        <v>0.10999999999999996</v>
      </c>
      <c r="N155" s="1648">
        <f>SUM(N146:N154)</f>
        <v>0</v>
      </c>
      <c r="O155" s="1667"/>
      <c r="P155" s="1667"/>
      <c r="Q155" s="1667"/>
      <c r="R155" s="1667"/>
      <c r="S155" s="1672"/>
    </row>
    <row r="156" spans="2:19" s="1669" customFormat="1" ht="12.75" x14ac:dyDescent="0.25">
      <c r="B156" s="1670"/>
      <c r="C156" s="1667"/>
      <c r="D156" s="1667"/>
      <c r="E156" s="1667"/>
      <c r="F156" s="1667"/>
      <c r="G156" s="1667"/>
      <c r="H156" s="1632"/>
      <c r="I156" s="1633"/>
      <c r="J156" s="1633"/>
      <c r="K156" s="1633"/>
      <c r="L156" s="1633"/>
      <c r="M156" s="1633"/>
      <c r="N156" s="1622"/>
      <c r="O156" s="1667"/>
      <c r="P156" s="1667"/>
      <c r="Q156" s="1667"/>
      <c r="R156" s="1667"/>
      <c r="S156" s="1672"/>
    </row>
    <row r="157" spans="2:19" s="1669" customFormat="1" ht="13.5" thickBot="1" x14ac:dyDescent="0.3">
      <c r="B157" s="1670">
        <v>8</v>
      </c>
      <c r="C157" s="1631"/>
      <c r="D157" s="1671" t="s">
        <v>1822</v>
      </c>
      <c r="E157" s="1667"/>
      <c r="F157" s="1667"/>
      <c r="G157" s="1667"/>
      <c r="H157" s="1671"/>
      <c r="I157" s="1667"/>
      <c r="J157" s="1667"/>
      <c r="K157" s="1667"/>
      <c r="L157" s="1667"/>
      <c r="M157" s="1667"/>
      <c r="N157" s="1667"/>
      <c r="O157" s="1667"/>
      <c r="P157" s="1667"/>
      <c r="Q157" s="1667"/>
      <c r="R157" s="1667"/>
      <c r="S157" s="1672"/>
    </row>
    <row r="158" spans="2:19" s="1669" customFormat="1" ht="13.5" thickBot="1" x14ac:dyDescent="0.3">
      <c r="B158" s="1670"/>
      <c r="C158" s="4546" t="s">
        <v>62</v>
      </c>
      <c r="D158" s="4549" t="s">
        <v>5</v>
      </c>
      <c r="E158" s="4549"/>
      <c r="F158" s="4549"/>
      <c r="G158" s="4549"/>
      <c r="H158" s="4549" t="s">
        <v>3297</v>
      </c>
      <c r="I158" s="4549" t="s">
        <v>3298</v>
      </c>
      <c r="J158" s="4549"/>
      <c r="K158" s="4549"/>
      <c r="L158" s="4549" t="s">
        <v>3299</v>
      </c>
      <c r="M158" s="4549"/>
      <c r="N158" s="4554"/>
      <c r="O158" s="1667"/>
      <c r="P158" s="1667"/>
      <c r="Q158" s="1667"/>
      <c r="R158" s="1667"/>
      <c r="S158" s="1672"/>
    </row>
    <row r="159" spans="2:19" s="1669" customFormat="1" ht="13.5" thickBot="1" x14ac:dyDescent="0.3">
      <c r="B159" s="1670"/>
      <c r="C159" s="4547"/>
      <c r="D159" s="4550"/>
      <c r="E159" s="4550"/>
      <c r="F159" s="4550"/>
      <c r="G159" s="4550"/>
      <c r="H159" s="4550"/>
      <c r="I159" s="1642" t="s">
        <v>3283</v>
      </c>
      <c r="J159" s="1642" t="s">
        <v>3284</v>
      </c>
      <c r="K159" s="1642" t="s">
        <v>3285</v>
      </c>
      <c r="L159" s="1642" t="s">
        <v>3283</v>
      </c>
      <c r="M159" s="1642" t="s">
        <v>3284</v>
      </c>
      <c r="N159" s="1693" t="s">
        <v>3285</v>
      </c>
      <c r="O159" s="1667"/>
      <c r="P159" s="1667"/>
      <c r="Q159" s="1667"/>
      <c r="R159" s="1667"/>
      <c r="S159" s="1672"/>
    </row>
    <row r="160" spans="2:19" s="1669" customFormat="1" ht="13.5" thickBot="1" x14ac:dyDescent="0.3">
      <c r="B160" s="1670"/>
      <c r="C160" s="4548"/>
      <c r="D160" s="4551"/>
      <c r="E160" s="4551"/>
      <c r="F160" s="4551"/>
      <c r="G160" s="4551"/>
      <c r="H160" s="4551"/>
      <c r="I160" s="1694">
        <v>0</v>
      </c>
      <c r="J160" s="1694">
        <v>0.5</v>
      </c>
      <c r="K160" s="1694">
        <v>1</v>
      </c>
      <c r="L160" s="1644">
        <v>0</v>
      </c>
      <c r="M160" s="1644">
        <v>0.5</v>
      </c>
      <c r="N160" s="1695">
        <v>1</v>
      </c>
      <c r="O160" s="1667"/>
      <c r="P160" s="1667"/>
      <c r="Q160" s="1667"/>
      <c r="R160" s="1667"/>
      <c r="S160" s="1672"/>
    </row>
    <row r="161" spans="2:19" s="1669" customFormat="1" ht="13.5" thickBot="1" x14ac:dyDescent="0.3">
      <c r="B161" s="1670"/>
      <c r="C161" s="1645">
        <v>1</v>
      </c>
      <c r="D161" s="4552" t="s">
        <v>3300</v>
      </c>
      <c r="E161" s="4552"/>
      <c r="F161" s="4552"/>
      <c r="G161" s="4552"/>
      <c r="H161" s="1646">
        <v>0.39999999999999986</v>
      </c>
      <c r="I161" s="1645"/>
      <c r="J161" s="1645"/>
      <c r="K161" s="1645">
        <v>1</v>
      </c>
      <c r="L161" s="1645">
        <f>H161*I161</f>
        <v>0</v>
      </c>
      <c r="M161" s="1647">
        <f>H161*J161</f>
        <v>0</v>
      </c>
      <c r="N161" s="1647">
        <f t="shared" ref="N161:N169" si="53">H161*K161</f>
        <v>0.39999999999999986</v>
      </c>
      <c r="O161" s="1667"/>
      <c r="P161" s="1667"/>
      <c r="Q161" s="1667"/>
      <c r="R161" s="1667"/>
      <c r="S161" s="1672"/>
    </row>
    <row r="162" spans="2:19" s="1669" customFormat="1" ht="13.5" thickBot="1" x14ac:dyDescent="0.3">
      <c r="B162" s="1670"/>
      <c r="C162" s="1645">
        <v>2</v>
      </c>
      <c r="D162" s="4552" t="s">
        <v>3301</v>
      </c>
      <c r="E162" s="4552"/>
      <c r="F162" s="4552"/>
      <c r="G162" s="4552"/>
      <c r="H162" s="1646">
        <v>0.1333333333333333</v>
      </c>
      <c r="I162" s="1645"/>
      <c r="J162" s="1645"/>
      <c r="K162" s="1645">
        <v>1</v>
      </c>
      <c r="L162" s="1645">
        <f t="shared" ref="L162:L169" si="54">H162*I162</f>
        <v>0</v>
      </c>
      <c r="M162" s="1647">
        <f t="shared" ref="M162:M169" si="55">H162*J162</f>
        <v>0</v>
      </c>
      <c r="N162" s="1647">
        <f t="shared" si="53"/>
        <v>0.1333333333333333</v>
      </c>
      <c r="O162" s="1667"/>
      <c r="P162" s="1667"/>
      <c r="Q162" s="1667"/>
      <c r="R162" s="1667"/>
      <c r="S162" s="1672"/>
    </row>
    <row r="163" spans="2:19" s="1669" customFormat="1" ht="13.5" thickBot="1" x14ac:dyDescent="0.3">
      <c r="B163" s="1670"/>
      <c r="C163" s="1645">
        <v>3</v>
      </c>
      <c r="D163" s="4552" t="s">
        <v>3302</v>
      </c>
      <c r="E163" s="4552"/>
      <c r="F163" s="4552"/>
      <c r="G163" s="4552"/>
      <c r="H163" s="1646">
        <v>9.9999999999999964E-2</v>
      </c>
      <c r="I163" s="1645">
        <v>0</v>
      </c>
      <c r="J163" s="1645"/>
      <c r="K163" s="1645"/>
      <c r="L163" s="1645">
        <f t="shared" si="54"/>
        <v>0</v>
      </c>
      <c r="M163" s="1647">
        <f t="shared" si="55"/>
        <v>0</v>
      </c>
      <c r="N163" s="1647">
        <f t="shared" si="53"/>
        <v>0</v>
      </c>
      <c r="O163" s="1667"/>
      <c r="P163" s="1667"/>
      <c r="Q163" s="1667"/>
      <c r="R163" s="1667"/>
      <c r="S163" s="1672"/>
    </row>
    <row r="164" spans="2:19" s="1669" customFormat="1" ht="13.5" thickBot="1" x14ac:dyDescent="0.3">
      <c r="B164" s="1670"/>
      <c r="C164" s="1645">
        <v>4</v>
      </c>
      <c r="D164" s="4552" t="s">
        <v>3303</v>
      </c>
      <c r="E164" s="4552"/>
      <c r="F164" s="4552"/>
      <c r="G164" s="4552"/>
      <c r="H164" s="1646">
        <v>7.9999999999999974E-2</v>
      </c>
      <c r="I164" s="1645"/>
      <c r="J164" s="1645">
        <v>0.5</v>
      </c>
      <c r="K164" s="1645"/>
      <c r="L164" s="1645">
        <f t="shared" si="54"/>
        <v>0</v>
      </c>
      <c r="M164" s="1647">
        <f t="shared" si="55"/>
        <v>3.9999999999999987E-2</v>
      </c>
      <c r="N164" s="1647">
        <f t="shared" si="53"/>
        <v>0</v>
      </c>
      <c r="O164" s="1667"/>
      <c r="P164" s="1667"/>
      <c r="Q164" s="1667"/>
      <c r="R164" s="1667"/>
      <c r="S164" s="1672"/>
    </row>
    <row r="165" spans="2:19" s="1669" customFormat="1" ht="13.5" thickBot="1" x14ac:dyDescent="0.3">
      <c r="B165" s="1670"/>
      <c r="C165" s="1645">
        <v>5</v>
      </c>
      <c r="D165" s="4552" t="s">
        <v>3304</v>
      </c>
      <c r="E165" s="4552"/>
      <c r="F165" s="4552"/>
      <c r="G165" s="4552"/>
      <c r="H165" s="1646">
        <v>7.3333333333333306E-2</v>
      </c>
      <c r="I165" s="1645">
        <v>0</v>
      </c>
      <c r="J165" s="1645"/>
      <c r="K165" s="1645"/>
      <c r="L165" s="1645">
        <f t="shared" si="54"/>
        <v>0</v>
      </c>
      <c r="M165" s="1647">
        <f t="shared" si="55"/>
        <v>0</v>
      </c>
      <c r="N165" s="1647">
        <f t="shared" si="53"/>
        <v>0</v>
      </c>
      <c r="O165" s="1667"/>
      <c r="P165" s="1667"/>
      <c r="Q165" s="1667"/>
      <c r="R165" s="1667"/>
      <c r="S165" s="1672"/>
    </row>
    <row r="166" spans="2:19" s="1669" customFormat="1" ht="13.5" thickBot="1" x14ac:dyDescent="0.3">
      <c r="B166" s="1670"/>
      <c r="C166" s="1645">
        <v>6</v>
      </c>
      <c r="D166" s="4552" t="s">
        <v>3305</v>
      </c>
      <c r="E166" s="4552"/>
      <c r="F166" s="4552"/>
      <c r="G166" s="4552"/>
      <c r="H166" s="1646">
        <v>6.6666666666666652E-2</v>
      </c>
      <c r="I166" s="1645"/>
      <c r="J166" s="1645">
        <v>0.5</v>
      </c>
      <c r="K166" s="1645"/>
      <c r="L166" s="1645">
        <f t="shared" si="54"/>
        <v>0</v>
      </c>
      <c r="M166" s="1647">
        <f t="shared" si="55"/>
        <v>3.3333333333333326E-2</v>
      </c>
      <c r="N166" s="1647">
        <f t="shared" si="53"/>
        <v>0</v>
      </c>
      <c r="O166" s="1667"/>
      <c r="P166" s="1667"/>
      <c r="Q166" s="1667"/>
      <c r="R166" s="1667"/>
      <c r="S166" s="1672"/>
    </row>
    <row r="167" spans="2:19" s="1669" customFormat="1" ht="13.5" thickBot="1" x14ac:dyDescent="0.3">
      <c r="B167" s="1670"/>
      <c r="C167" s="1645">
        <v>7</v>
      </c>
      <c r="D167" s="4552" t="s">
        <v>3306</v>
      </c>
      <c r="E167" s="4552"/>
      <c r="F167" s="4552"/>
      <c r="G167" s="4552"/>
      <c r="H167" s="1646">
        <v>4.6666666666666655E-2</v>
      </c>
      <c r="I167" s="1645"/>
      <c r="J167" s="1645"/>
      <c r="K167" s="1645">
        <v>1</v>
      </c>
      <c r="L167" s="1645">
        <f t="shared" si="54"/>
        <v>0</v>
      </c>
      <c r="M167" s="1647">
        <f t="shared" si="55"/>
        <v>0</v>
      </c>
      <c r="N167" s="1647">
        <f t="shared" si="53"/>
        <v>4.6666666666666655E-2</v>
      </c>
      <c r="O167" s="1667"/>
      <c r="P167" s="1667"/>
      <c r="Q167" s="1667"/>
      <c r="R167" s="1667"/>
      <c r="S167" s="1672"/>
    </row>
    <row r="168" spans="2:19" s="1669" customFormat="1" ht="13.5" thickBot="1" x14ac:dyDescent="0.3">
      <c r="B168" s="1670"/>
      <c r="C168" s="1645">
        <v>8</v>
      </c>
      <c r="D168" s="4552" t="s">
        <v>3307</v>
      </c>
      <c r="E168" s="4552"/>
      <c r="F168" s="4552"/>
      <c r="G168" s="4552"/>
      <c r="H168" s="1646">
        <v>3.3333333333333326E-2</v>
      </c>
      <c r="I168" s="1645">
        <v>0</v>
      </c>
      <c r="J168" s="1645"/>
      <c r="K168" s="1645"/>
      <c r="L168" s="1645">
        <f t="shared" si="54"/>
        <v>0</v>
      </c>
      <c r="M168" s="1647">
        <f t="shared" si="55"/>
        <v>0</v>
      </c>
      <c r="N168" s="1647">
        <f t="shared" si="53"/>
        <v>0</v>
      </c>
      <c r="O168" s="1667"/>
      <c r="P168" s="1667"/>
      <c r="Q168" s="1667"/>
      <c r="R168" s="1667"/>
      <c r="S168" s="1672"/>
    </row>
    <row r="169" spans="2:19" s="1669" customFormat="1" ht="13.5" thickBot="1" x14ac:dyDescent="0.3">
      <c r="B169" s="1670"/>
      <c r="C169" s="1645">
        <v>9</v>
      </c>
      <c r="D169" s="4552" t="s">
        <v>3308</v>
      </c>
      <c r="E169" s="4552"/>
      <c r="F169" s="4552"/>
      <c r="G169" s="4552"/>
      <c r="H169" s="1646">
        <v>6.6666666666666652E-2</v>
      </c>
      <c r="I169" s="1645">
        <v>0</v>
      </c>
      <c r="J169" s="1645"/>
      <c r="K169" s="1645"/>
      <c r="L169" s="1645">
        <f t="shared" si="54"/>
        <v>0</v>
      </c>
      <c r="M169" s="1647">
        <f t="shared" si="55"/>
        <v>0</v>
      </c>
      <c r="N169" s="1647">
        <f t="shared" si="53"/>
        <v>0</v>
      </c>
      <c r="O169" s="1667"/>
      <c r="P169" s="1667"/>
      <c r="Q169" s="1667"/>
      <c r="R169" s="1667"/>
      <c r="S169" s="1672"/>
    </row>
    <row r="170" spans="2:19" s="1669" customFormat="1" ht="13.5" thickBot="1" x14ac:dyDescent="0.3">
      <c r="B170" s="1670"/>
      <c r="C170" s="1667"/>
      <c r="D170" s="1667"/>
      <c r="E170" s="1667"/>
      <c r="F170" s="1667"/>
      <c r="G170" s="1667"/>
      <c r="H170" s="1647">
        <v>1</v>
      </c>
      <c r="I170" s="1648">
        <v>0</v>
      </c>
      <c r="J170" s="1648">
        <v>9.9999999999999978E-2</v>
      </c>
      <c r="K170" s="1648">
        <v>0.57999999999999985</v>
      </c>
      <c r="L170" s="1648">
        <f>SUM(L161:L169)</f>
        <v>0</v>
      </c>
      <c r="M170" s="1648">
        <f>SUM(M161:M169)</f>
        <v>7.3333333333333306E-2</v>
      </c>
      <c r="N170" s="1648">
        <f>SUM(N161:N169)</f>
        <v>0.57999999999999985</v>
      </c>
      <c r="O170" s="1667"/>
      <c r="P170" s="1667"/>
      <c r="Q170" s="1667"/>
      <c r="R170" s="1667"/>
      <c r="S170" s="1672"/>
    </row>
    <row r="171" spans="2:19" s="1669" customFormat="1" ht="12.75" x14ac:dyDescent="0.25">
      <c r="B171" s="1670"/>
      <c r="C171" s="1667"/>
      <c r="D171" s="1667"/>
      <c r="E171" s="1667"/>
      <c r="F171" s="1667"/>
      <c r="G171" s="1667"/>
      <c r="H171" s="1632"/>
      <c r="I171" s="1633"/>
      <c r="J171" s="1633"/>
      <c r="K171" s="1633"/>
      <c r="L171" s="1633"/>
      <c r="M171" s="1633"/>
      <c r="N171" s="1633"/>
      <c r="O171" s="1667"/>
      <c r="P171" s="1667"/>
      <c r="Q171" s="1667"/>
      <c r="R171" s="1667"/>
      <c r="S171" s="1672"/>
    </row>
    <row r="172" spans="2:19" s="1669" customFormat="1" ht="12.75" x14ac:dyDescent="0.25">
      <c r="B172" s="1670"/>
      <c r="C172" s="1667"/>
      <c r="D172" s="1667"/>
      <c r="E172" s="1667"/>
      <c r="F172" s="1667"/>
      <c r="G172" s="1667"/>
      <c r="H172" s="1632"/>
      <c r="I172" s="1633"/>
      <c r="J172" s="1633"/>
      <c r="K172" s="1633"/>
      <c r="L172" s="1633"/>
      <c r="M172" s="1633"/>
      <c r="N172" s="1633"/>
      <c r="O172" s="1667"/>
      <c r="P172" s="1667"/>
      <c r="Q172" s="1667"/>
      <c r="R172" s="1667"/>
      <c r="S172" s="1672"/>
    </row>
    <row r="173" spans="2:19" s="1669" customFormat="1" ht="13.5" thickBot="1" x14ac:dyDescent="0.3">
      <c r="B173" s="1670">
        <v>9</v>
      </c>
      <c r="C173" s="1631"/>
      <c r="D173" s="1671" t="s">
        <v>1823</v>
      </c>
      <c r="E173" s="1667"/>
      <c r="F173" s="1667"/>
      <c r="G173" s="1667"/>
      <c r="H173" s="1671"/>
      <c r="I173" s="1667"/>
      <c r="J173" s="1667"/>
      <c r="K173" s="1667"/>
      <c r="L173" s="1667"/>
      <c r="M173" s="1667"/>
      <c r="N173" s="1667"/>
      <c r="O173" s="1667"/>
      <c r="P173" s="1667"/>
      <c r="Q173" s="1667"/>
      <c r="R173" s="1667"/>
      <c r="S173" s="1672"/>
    </row>
    <row r="174" spans="2:19" s="1669" customFormat="1" ht="13.5" thickBot="1" x14ac:dyDescent="0.3">
      <c r="B174" s="1670"/>
      <c r="C174" s="4546" t="s">
        <v>62</v>
      </c>
      <c r="D174" s="4549" t="s">
        <v>5</v>
      </c>
      <c r="E174" s="4549"/>
      <c r="F174" s="4549"/>
      <c r="G174" s="4549"/>
      <c r="H174" s="4549" t="s">
        <v>3297</v>
      </c>
      <c r="I174" s="4549" t="s">
        <v>3298</v>
      </c>
      <c r="J174" s="4549"/>
      <c r="K174" s="4549"/>
      <c r="L174" s="4549" t="s">
        <v>3299</v>
      </c>
      <c r="M174" s="4549"/>
      <c r="N174" s="4554"/>
      <c r="O174" s="1667"/>
      <c r="P174" s="1667"/>
      <c r="Q174" s="1667"/>
      <c r="R174" s="1667"/>
      <c r="S174" s="1672"/>
    </row>
    <row r="175" spans="2:19" s="1669" customFormat="1" ht="13.5" thickBot="1" x14ac:dyDescent="0.3">
      <c r="B175" s="1670"/>
      <c r="C175" s="4547"/>
      <c r="D175" s="4550"/>
      <c r="E175" s="4550"/>
      <c r="F175" s="4550"/>
      <c r="G175" s="4550"/>
      <c r="H175" s="4550"/>
      <c r="I175" s="1642" t="s">
        <v>3283</v>
      </c>
      <c r="J175" s="1642" t="s">
        <v>3284</v>
      </c>
      <c r="K175" s="1642" t="s">
        <v>3285</v>
      </c>
      <c r="L175" s="1642" t="s">
        <v>3283</v>
      </c>
      <c r="M175" s="1642" t="s">
        <v>3284</v>
      </c>
      <c r="N175" s="1693" t="s">
        <v>3285</v>
      </c>
      <c r="O175" s="1667"/>
      <c r="P175" s="1667"/>
      <c r="Q175" s="1667"/>
      <c r="R175" s="1667"/>
      <c r="S175" s="1672"/>
    </row>
    <row r="176" spans="2:19" s="1669" customFormat="1" ht="13.5" thickBot="1" x14ac:dyDescent="0.3">
      <c r="B176" s="1670"/>
      <c r="C176" s="4548"/>
      <c r="D176" s="4551"/>
      <c r="E176" s="4551"/>
      <c r="F176" s="4551"/>
      <c r="G176" s="4551"/>
      <c r="H176" s="4551"/>
      <c r="I176" s="1694">
        <v>0</v>
      </c>
      <c r="J176" s="1694">
        <v>0.5</v>
      </c>
      <c r="K176" s="1694">
        <v>1</v>
      </c>
      <c r="L176" s="1644">
        <v>0</v>
      </c>
      <c r="M176" s="1644">
        <v>0.5</v>
      </c>
      <c r="N176" s="1695">
        <v>1</v>
      </c>
      <c r="O176" s="1667"/>
      <c r="P176" s="1667"/>
      <c r="Q176" s="1667"/>
      <c r="R176" s="1667"/>
      <c r="S176" s="1672"/>
    </row>
    <row r="177" spans="2:19" s="1669" customFormat="1" ht="13.5" thickBot="1" x14ac:dyDescent="0.3">
      <c r="B177" s="1670"/>
      <c r="C177" s="1645">
        <v>1</v>
      </c>
      <c r="D177" s="4552" t="s">
        <v>3300</v>
      </c>
      <c r="E177" s="4552"/>
      <c r="F177" s="4552"/>
      <c r="G177" s="4552"/>
      <c r="H177" s="1646">
        <v>0.39999999999999986</v>
      </c>
      <c r="I177" s="1645">
        <v>0</v>
      </c>
      <c r="J177" s="1645"/>
      <c r="K177" s="1645"/>
      <c r="L177" s="1645">
        <f>H177*I177</f>
        <v>0</v>
      </c>
      <c r="M177" s="1647">
        <f>H177*J177</f>
        <v>0</v>
      </c>
      <c r="N177" s="1647">
        <f t="shared" ref="N177:N185" si="56">H177*K177</f>
        <v>0</v>
      </c>
      <c r="O177" s="1667"/>
      <c r="P177" s="1667"/>
      <c r="Q177" s="1667"/>
      <c r="R177" s="1667"/>
      <c r="S177" s="1672"/>
    </row>
    <row r="178" spans="2:19" s="1669" customFormat="1" ht="13.5" thickBot="1" x14ac:dyDescent="0.3">
      <c r="B178" s="1670"/>
      <c r="C178" s="1645">
        <v>2</v>
      </c>
      <c r="D178" s="4552" t="s">
        <v>3301</v>
      </c>
      <c r="E178" s="4552"/>
      <c r="F178" s="4552"/>
      <c r="G178" s="4552"/>
      <c r="H178" s="1646">
        <v>0.1333333333333333</v>
      </c>
      <c r="I178" s="1645">
        <v>0</v>
      </c>
      <c r="J178" s="1645"/>
      <c r="K178" s="1645"/>
      <c r="L178" s="1645">
        <f t="shared" ref="L178:L185" si="57">H178*I178</f>
        <v>0</v>
      </c>
      <c r="M178" s="1647">
        <f t="shared" ref="M178:M185" si="58">H178*J178</f>
        <v>0</v>
      </c>
      <c r="N178" s="1647">
        <f t="shared" si="56"/>
        <v>0</v>
      </c>
      <c r="O178" s="1667"/>
      <c r="P178" s="1667"/>
      <c r="Q178" s="1667"/>
      <c r="R178" s="1667"/>
      <c r="S178" s="1672"/>
    </row>
    <row r="179" spans="2:19" s="1669" customFormat="1" ht="13.5" thickBot="1" x14ac:dyDescent="0.3">
      <c r="B179" s="1670"/>
      <c r="C179" s="1645">
        <v>3</v>
      </c>
      <c r="D179" s="4552" t="s">
        <v>3302</v>
      </c>
      <c r="E179" s="4552"/>
      <c r="F179" s="4552"/>
      <c r="G179" s="4552"/>
      <c r="H179" s="1646">
        <v>9.9999999999999964E-2</v>
      </c>
      <c r="I179" s="1645">
        <v>0</v>
      </c>
      <c r="J179" s="1645"/>
      <c r="K179" s="1645"/>
      <c r="L179" s="1645">
        <f t="shared" si="57"/>
        <v>0</v>
      </c>
      <c r="M179" s="1647">
        <f t="shared" si="58"/>
        <v>0</v>
      </c>
      <c r="N179" s="1647">
        <f t="shared" si="56"/>
        <v>0</v>
      </c>
      <c r="O179" s="1667"/>
      <c r="P179" s="1667"/>
      <c r="Q179" s="1667"/>
      <c r="R179" s="1667"/>
      <c r="S179" s="1672"/>
    </row>
    <row r="180" spans="2:19" s="1669" customFormat="1" ht="13.5" thickBot="1" x14ac:dyDescent="0.3">
      <c r="B180" s="1670"/>
      <c r="C180" s="1645">
        <v>4</v>
      </c>
      <c r="D180" s="4552" t="s">
        <v>3303</v>
      </c>
      <c r="E180" s="4552"/>
      <c r="F180" s="4552"/>
      <c r="G180" s="4552"/>
      <c r="H180" s="1646">
        <v>7.9999999999999974E-2</v>
      </c>
      <c r="I180" s="1645"/>
      <c r="J180" s="1645">
        <v>0.5</v>
      </c>
      <c r="K180" s="1645"/>
      <c r="L180" s="1645">
        <f t="shared" si="57"/>
        <v>0</v>
      </c>
      <c r="M180" s="1647">
        <f t="shared" si="58"/>
        <v>3.9999999999999987E-2</v>
      </c>
      <c r="N180" s="1647">
        <f t="shared" si="56"/>
        <v>0</v>
      </c>
      <c r="O180" s="1667"/>
      <c r="P180" s="1667"/>
      <c r="Q180" s="1667"/>
      <c r="R180" s="1667"/>
      <c r="S180" s="1672"/>
    </row>
    <row r="181" spans="2:19" s="1669" customFormat="1" ht="13.5" thickBot="1" x14ac:dyDescent="0.3">
      <c r="B181" s="1670"/>
      <c r="C181" s="1645">
        <v>5</v>
      </c>
      <c r="D181" s="4552" t="s">
        <v>3304</v>
      </c>
      <c r="E181" s="4552"/>
      <c r="F181" s="4552"/>
      <c r="G181" s="4552"/>
      <c r="H181" s="1646">
        <v>7.3333333333333306E-2</v>
      </c>
      <c r="I181" s="1645"/>
      <c r="J181" s="1645">
        <v>0.5</v>
      </c>
      <c r="K181" s="1645"/>
      <c r="L181" s="1645">
        <f t="shared" si="57"/>
        <v>0</v>
      </c>
      <c r="M181" s="1647">
        <f t="shared" si="58"/>
        <v>3.6666666666666653E-2</v>
      </c>
      <c r="N181" s="1647">
        <f t="shared" si="56"/>
        <v>0</v>
      </c>
      <c r="O181" s="1667"/>
      <c r="P181" s="1667"/>
      <c r="Q181" s="1667"/>
      <c r="R181" s="1667"/>
      <c r="S181" s="1672"/>
    </row>
    <row r="182" spans="2:19" s="1669" customFormat="1" ht="13.5" thickBot="1" x14ac:dyDescent="0.3">
      <c r="B182" s="1670"/>
      <c r="C182" s="1645">
        <v>6</v>
      </c>
      <c r="D182" s="4552" t="s">
        <v>3305</v>
      </c>
      <c r="E182" s="4552"/>
      <c r="F182" s="4552"/>
      <c r="G182" s="4552"/>
      <c r="H182" s="1646">
        <v>6.6666666666666652E-2</v>
      </c>
      <c r="I182" s="1645"/>
      <c r="J182" s="1645">
        <v>0.5</v>
      </c>
      <c r="K182" s="1645"/>
      <c r="L182" s="1645">
        <f t="shared" si="57"/>
        <v>0</v>
      </c>
      <c r="M182" s="1647">
        <f t="shared" si="58"/>
        <v>3.3333333333333326E-2</v>
      </c>
      <c r="N182" s="1647">
        <f t="shared" si="56"/>
        <v>0</v>
      </c>
      <c r="O182" s="1667"/>
      <c r="P182" s="1667"/>
      <c r="Q182" s="1667"/>
      <c r="R182" s="1667"/>
      <c r="S182" s="1672"/>
    </row>
    <row r="183" spans="2:19" s="1669" customFormat="1" ht="13.5" thickBot="1" x14ac:dyDescent="0.3">
      <c r="B183" s="1670"/>
      <c r="C183" s="1645">
        <v>7</v>
      </c>
      <c r="D183" s="4552" t="s">
        <v>3306</v>
      </c>
      <c r="E183" s="4552"/>
      <c r="F183" s="4552"/>
      <c r="G183" s="4552"/>
      <c r="H183" s="1646">
        <v>4.6666666666666655E-2</v>
      </c>
      <c r="I183" s="1645">
        <v>0</v>
      </c>
      <c r="J183" s="1645"/>
      <c r="K183" s="1645"/>
      <c r="L183" s="1645">
        <f t="shared" si="57"/>
        <v>0</v>
      </c>
      <c r="M183" s="1647">
        <f t="shared" si="58"/>
        <v>0</v>
      </c>
      <c r="N183" s="1647">
        <f t="shared" si="56"/>
        <v>0</v>
      </c>
      <c r="O183" s="1667"/>
      <c r="P183" s="1667"/>
      <c r="Q183" s="1667"/>
      <c r="R183" s="1667"/>
      <c r="S183" s="1672"/>
    </row>
    <row r="184" spans="2:19" s="1669" customFormat="1" ht="13.5" thickBot="1" x14ac:dyDescent="0.3">
      <c r="B184" s="1670"/>
      <c r="C184" s="1645">
        <v>8</v>
      </c>
      <c r="D184" s="4552" t="s">
        <v>3307</v>
      </c>
      <c r="E184" s="4552"/>
      <c r="F184" s="4552"/>
      <c r="G184" s="4552"/>
      <c r="H184" s="1646">
        <v>3.3333333333333326E-2</v>
      </c>
      <c r="I184" s="1645">
        <v>0</v>
      </c>
      <c r="J184" s="1645"/>
      <c r="K184" s="1645"/>
      <c r="L184" s="1645">
        <f t="shared" si="57"/>
        <v>0</v>
      </c>
      <c r="M184" s="1647">
        <f t="shared" si="58"/>
        <v>0</v>
      </c>
      <c r="N184" s="1647">
        <f t="shared" si="56"/>
        <v>0</v>
      </c>
      <c r="O184" s="1667"/>
      <c r="P184" s="1667"/>
      <c r="Q184" s="1667"/>
      <c r="R184" s="1667"/>
      <c r="S184" s="1672"/>
    </row>
    <row r="185" spans="2:19" s="1669" customFormat="1" ht="13.5" thickBot="1" x14ac:dyDescent="0.3">
      <c r="B185" s="1670"/>
      <c r="C185" s="1645">
        <v>9</v>
      </c>
      <c r="D185" s="4552" t="s">
        <v>3308</v>
      </c>
      <c r="E185" s="4552"/>
      <c r="F185" s="4552"/>
      <c r="G185" s="4552"/>
      <c r="H185" s="1646">
        <v>6.6666666666666652E-2</v>
      </c>
      <c r="I185" s="1645">
        <v>0</v>
      </c>
      <c r="J185" s="1645"/>
      <c r="K185" s="1645"/>
      <c r="L185" s="1645">
        <f t="shared" si="57"/>
        <v>0</v>
      </c>
      <c r="M185" s="1647">
        <f t="shared" si="58"/>
        <v>0</v>
      </c>
      <c r="N185" s="1647">
        <f t="shared" si="56"/>
        <v>0</v>
      </c>
      <c r="O185" s="1667"/>
      <c r="P185" s="1667"/>
      <c r="Q185" s="1667"/>
      <c r="R185" s="1667"/>
      <c r="S185" s="1672"/>
    </row>
    <row r="186" spans="2:19" s="1669" customFormat="1" ht="13.5" thickBot="1" x14ac:dyDescent="0.3">
      <c r="B186" s="1670"/>
      <c r="C186" s="1667"/>
      <c r="D186" s="1667"/>
      <c r="E186" s="1667"/>
      <c r="F186" s="1667"/>
      <c r="G186" s="1667"/>
      <c r="H186" s="1647">
        <v>1</v>
      </c>
      <c r="I186" s="1648">
        <v>0</v>
      </c>
      <c r="J186" s="1648">
        <v>9.9999999999999978E-2</v>
      </c>
      <c r="K186" s="1648">
        <v>0.57999999999999985</v>
      </c>
      <c r="L186" s="1648">
        <f>SUM(L177:L185)</f>
        <v>0</v>
      </c>
      <c r="M186" s="1648">
        <f>SUM(M177:M185)</f>
        <v>0.10999999999999996</v>
      </c>
      <c r="N186" s="1648">
        <f>SUM(N177:N185)</f>
        <v>0</v>
      </c>
      <c r="O186" s="1667"/>
      <c r="P186" s="1667"/>
      <c r="Q186" s="1667"/>
      <c r="R186" s="1667"/>
      <c r="S186" s="1672"/>
    </row>
    <row r="187" spans="2:19" s="1669" customFormat="1" ht="12.75" x14ac:dyDescent="0.25">
      <c r="B187" s="1670"/>
      <c r="C187" s="1667"/>
      <c r="D187" s="1667"/>
      <c r="E187" s="1667"/>
      <c r="F187" s="1667"/>
      <c r="G187" s="1667"/>
      <c r="H187" s="1632"/>
      <c r="I187" s="1633"/>
      <c r="J187" s="1633"/>
      <c r="K187" s="1633"/>
      <c r="L187" s="1633"/>
      <c r="M187" s="1633"/>
      <c r="N187" s="1633"/>
      <c r="O187" s="1667"/>
      <c r="P187" s="1667"/>
      <c r="Q187" s="1667"/>
      <c r="R187" s="1667"/>
      <c r="S187" s="1672"/>
    </row>
    <row r="188" spans="2:19" s="1669" customFormat="1" ht="13.5" thickBot="1" x14ac:dyDescent="0.3">
      <c r="B188" s="1670">
        <v>10</v>
      </c>
      <c r="C188" s="1631"/>
      <c r="D188" s="1739" t="s">
        <v>1824</v>
      </c>
      <c r="E188" s="1667"/>
      <c r="F188" s="1667"/>
      <c r="G188" s="1667"/>
      <c r="H188" s="1671"/>
      <c r="I188" s="1667"/>
      <c r="J188" s="1667"/>
      <c r="K188" s="1667"/>
      <c r="L188" s="1667"/>
      <c r="M188" s="1667"/>
      <c r="N188" s="1667"/>
      <c r="O188" s="1667"/>
      <c r="P188" s="1667"/>
      <c r="Q188" s="1667"/>
      <c r="R188" s="1667"/>
      <c r="S188" s="1672"/>
    </row>
    <row r="189" spans="2:19" s="1669" customFormat="1" ht="13.5" thickBot="1" x14ac:dyDescent="0.3">
      <c r="B189" s="1670"/>
      <c r="C189" s="4546" t="s">
        <v>62</v>
      </c>
      <c r="D189" s="4549" t="s">
        <v>5</v>
      </c>
      <c r="E189" s="4549"/>
      <c r="F189" s="4549"/>
      <c r="G189" s="4549"/>
      <c r="H189" s="4549" t="s">
        <v>3297</v>
      </c>
      <c r="I189" s="4549" t="s">
        <v>3298</v>
      </c>
      <c r="J189" s="4549"/>
      <c r="K189" s="4549"/>
      <c r="L189" s="4549" t="s">
        <v>3299</v>
      </c>
      <c r="M189" s="4549"/>
      <c r="N189" s="4554"/>
      <c r="O189" s="1667"/>
      <c r="P189" s="1667"/>
      <c r="Q189" s="1667"/>
      <c r="R189" s="1667"/>
      <c r="S189" s="1672"/>
    </row>
    <row r="190" spans="2:19" s="1669" customFormat="1" ht="13.5" thickBot="1" x14ac:dyDescent="0.3">
      <c r="B190" s="1670"/>
      <c r="C190" s="4547"/>
      <c r="D190" s="4550"/>
      <c r="E190" s="4550"/>
      <c r="F190" s="4550"/>
      <c r="G190" s="4550"/>
      <c r="H190" s="4550"/>
      <c r="I190" s="1642" t="s">
        <v>3283</v>
      </c>
      <c r="J190" s="1642" t="s">
        <v>3284</v>
      </c>
      <c r="K190" s="1642" t="s">
        <v>3285</v>
      </c>
      <c r="L190" s="1642" t="s">
        <v>3283</v>
      </c>
      <c r="M190" s="1642" t="s">
        <v>3284</v>
      </c>
      <c r="N190" s="1693" t="s">
        <v>3285</v>
      </c>
      <c r="O190" s="1667"/>
      <c r="P190" s="1667"/>
      <c r="Q190" s="1667"/>
      <c r="R190" s="1667"/>
      <c r="S190" s="1672"/>
    </row>
    <row r="191" spans="2:19" s="1669" customFormat="1" ht="13.5" thickBot="1" x14ac:dyDescent="0.3">
      <c r="B191" s="1670"/>
      <c r="C191" s="4548"/>
      <c r="D191" s="4551"/>
      <c r="E191" s="4551"/>
      <c r="F191" s="4551"/>
      <c r="G191" s="4551"/>
      <c r="H191" s="4551"/>
      <c r="I191" s="1694">
        <v>0</v>
      </c>
      <c r="J191" s="1694">
        <v>0.5</v>
      </c>
      <c r="K191" s="1694">
        <v>1</v>
      </c>
      <c r="L191" s="1644">
        <v>0</v>
      </c>
      <c r="M191" s="1644">
        <v>0.5</v>
      </c>
      <c r="N191" s="1695">
        <v>1</v>
      </c>
      <c r="O191" s="1667"/>
      <c r="P191" s="1667"/>
      <c r="Q191" s="1667"/>
      <c r="R191" s="1667"/>
      <c r="S191" s="1672"/>
    </row>
    <row r="192" spans="2:19" s="1669" customFormat="1" ht="13.5" thickBot="1" x14ac:dyDescent="0.3">
      <c r="B192" s="1670"/>
      <c r="C192" s="1645">
        <v>1</v>
      </c>
      <c r="D192" s="4552" t="s">
        <v>3300</v>
      </c>
      <c r="E192" s="4552"/>
      <c r="F192" s="4552"/>
      <c r="G192" s="4552"/>
      <c r="H192" s="1646">
        <v>0.39999999999999986</v>
      </c>
      <c r="I192" s="1645">
        <v>0</v>
      </c>
      <c r="J192" s="1645"/>
      <c r="K192" s="1645"/>
      <c r="L192" s="1645">
        <f>H192*I192</f>
        <v>0</v>
      </c>
      <c r="M192" s="1647">
        <f>H192*J192</f>
        <v>0</v>
      </c>
      <c r="N192" s="1647">
        <f t="shared" ref="N192:N200" si="59">H192*K192</f>
        <v>0</v>
      </c>
      <c r="O192" s="1667"/>
      <c r="P192" s="1667"/>
      <c r="Q192" s="1667"/>
      <c r="R192" s="1667"/>
      <c r="S192" s="1672"/>
    </row>
    <row r="193" spans="2:19" s="1669" customFormat="1" ht="13.5" thickBot="1" x14ac:dyDescent="0.3">
      <c r="B193" s="1670"/>
      <c r="C193" s="1645">
        <v>2</v>
      </c>
      <c r="D193" s="4552" t="s">
        <v>3301</v>
      </c>
      <c r="E193" s="4552"/>
      <c r="F193" s="4552"/>
      <c r="G193" s="4552"/>
      <c r="H193" s="1646">
        <v>0.1333333333333333</v>
      </c>
      <c r="I193" s="1645">
        <v>0</v>
      </c>
      <c r="J193" s="1645"/>
      <c r="K193" s="1645"/>
      <c r="L193" s="1645">
        <f t="shared" ref="L193:L200" si="60">H193*I193</f>
        <v>0</v>
      </c>
      <c r="M193" s="1647">
        <f t="shared" ref="M193:M200" si="61">H193*J193</f>
        <v>0</v>
      </c>
      <c r="N193" s="1647">
        <f t="shared" si="59"/>
        <v>0</v>
      </c>
      <c r="O193" s="1667"/>
      <c r="P193" s="1667"/>
      <c r="Q193" s="1667"/>
      <c r="R193" s="1667"/>
      <c r="S193" s="1672"/>
    </row>
    <row r="194" spans="2:19" s="1669" customFormat="1" ht="13.5" thickBot="1" x14ac:dyDescent="0.3">
      <c r="B194" s="1670"/>
      <c r="C194" s="1645">
        <v>3</v>
      </c>
      <c r="D194" s="4552" t="s">
        <v>3302</v>
      </c>
      <c r="E194" s="4552"/>
      <c r="F194" s="4552"/>
      <c r="G194" s="4552"/>
      <c r="H194" s="1646">
        <v>9.9999999999999964E-2</v>
      </c>
      <c r="I194" s="1645"/>
      <c r="J194" s="1645">
        <v>0.5</v>
      </c>
      <c r="K194" s="1645"/>
      <c r="L194" s="1645">
        <f t="shared" si="60"/>
        <v>0</v>
      </c>
      <c r="M194" s="1647">
        <f t="shared" si="61"/>
        <v>4.9999999999999982E-2</v>
      </c>
      <c r="N194" s="1647">
        <f t="shared" si="59"/>
        <v>0</v>
      </c>
      <c r="O194" s="1667"/>
      <c r="P194" s="1667"/>
      <c r="Q194" s="1667"/>
      <c r="R194" s="1667"/>
      <c r="S194" s="1672"/>
    </row>
    <row r="195" spans="2:19" s="1669" customFormat="1" ht="13.5" thickBot="1" x14ac:dyDescent="0.3">
      <c r="B195" s="1670"/>
      <c r="C195" s="1645">
        <v>4</v>
      </c>
      <c r="D195" s="4552" t="s">
        <v>3303</v>
      </c>
      <c r="E195" s="4552"/>
      <c r="F195" s="4552"/>
      <c r="G195" s="4552"/>
      <c r="H195" s="1646">
        <v>7.9999999999999974E-2</v>
      </c>
      <c r="I195" s="1645">
        <v>0</v>
      </c>
      <c r="J195" s="1645"/>
      <c r="K195" s="1645"/>
      <c r="L195" s="1645">
        <f t="shared" si="60"/>
        <v>0</v>
      </c>
      <c r="M195" s="1647">
        <f t="shared" si="61"/>
        <v>0</v>
      </c>
      <c r="N195" s="1647">
        <f t="shared" si="59"/>
        <v>0</v>
      </c>
      <c r="O195" s="1667"/>
      <c r="P195" s="1667"/>
      <c r="Q195" s="1667"/>
      <c r="R195" s="1667"/>
      <c r="S195" s="1672"/>
    </row>
    <row r="196" spans="2:19" s="1669" customFormat="1" ht="13.5" thickBot="1" x14ac:dyDescent="0.3">
      <c r="B196" s="1670"/>
      <c r="C196" s="1645">
        <v>5</v>
      </c>
      <c r="D196" s="4552" t="s">
        <v>3304</v>
      </c>
      <c r="E196" s="4552"/>
      <c r="F196" s="4552"/>
      <c r="G196" s="4552"/>
      <c r="H196" s="1646">
        <v>7.3333333333333306E-2</v>
      </c>
      <c r="I196" s="1645">
        <v>0</v>
      </c>
      <c r="J196" s="1645"/>
      <c r="K196" s="1645">
        <v>1</v>
      </c>
      <c r="L196" s="1645">
        <f t="shared" si="60"/>
        <v>0</v>
      </c>
      <c r="M196" s="1647">
        <f t="shared" si="61"/>
        <v>0</v>
      </c>
      <c r="N196" s="1647">
        <f t="shared" si="59"/>
        <v>7.3333333333333306E-2</v>
      </c>
      <c r="O196" s="1667"/>
      <c r="P196" s="1667"/>
      <c r="Q196" s="1667"/>
      <c r="R196" s="1667"/>
      <c r="S196" s="1672"/>
    </row>
    <row r="197" spans="2:19" s="1669" customFormat="1" ht="13.5" thickBot="1" x14ac:dyDescent="0.3">
      <c r="B197" s="1670"/>
      <c r="C197" s="1645">
        <v>6</v>
      </c>
      <c r="D197" s="4552" t="s">
        <v>3305</v>
      </c>
      <c r="E197" s="4552"/>
      <c r="F197" s="4552"/>
      <c r="G197" s="4552"/>
      <c r="H197" s="1646">
        <v>6.6666666666666652E-2</v>
      </c>
      <c r="I197" s="1645">
        <v>0</v>
      </c>
      <c r="J197" s="1645"/>
      <c r="K197" s="1645"/>
      <c r="L197" s="1645">
        <f t="shared" si="60"/>
        <v>0</v>
      </c>
      <c r="M197" s="1647">
        <f t="shared" si="61"/>
        <v>0</v>
      </c>
      <c r="N197" s="1647">
        <f t="shared" si="59"/>
        <v>0</v>
      </c>
      <c r="O197" s="1667"/>
      <c r="P197" s="1667"/>
      <c r="Q197" s="1667"/>
      <c r="R197" s="1667"/>
      <c r="S197" s="1672"/>
    </row>
    <row r="198" spans="2:19" s="1669" customFormat="1" ht="13.5" thickBot="1" x14ac:dyDescent="0.3">
      <c r="B198" s="1670"/>
      <c r="C198" s="1645">
        <v>7</v>
      </c>
      <c r="D198" s="4552" t="s">
        <v>3306</v>
      </c>
      <c r="E198" s="4552"/>
      <c r="F198" s="4552"/>
      <c r="G198" s="4552"/>
      <c r="H198" s="1646">
        <v>4.6666666666666655E-2</v>
      </c>
      <c r="I198" s="1645"/>
      <c r="J198" s="1645"/>
      <c r="K198" s="1645">
        <v>1</v>
      </c>
      <c r="L198" s="1645">
        <f t="shared" si="60"/>
        <v>0</v>
      </c>
      <c r="M198" s="1647">
        <f t="shared" si="61"/>
        <v>0</v>
      </c>
      <c r="N198" s="1647">
        <f t="shared" si="59"/>
        <v>4.6666666666666655E-2</v>
      </c>
      <c r="O198" s="1667"/>
      <c r="P198" s="1667"/>
      <c r="Q198" s="1667"/>
      <c r="R198" s="1667"/>
      <c r="S198" s="1672"/>
    </row>
    <row r="199" spans="2:19" s="1669" customFormat="1" ht="13.5" thickBot="1" x14ac:dyDescent="0.3">
      <c r="B199" s="1670"/>
      <c r="C199" s="1645">
        <v>8</v>
      </c>
      <c r="D199" s="4552" t="s">
        <v>3307</v>
      </c>
      <c r="E199" s="4552"/>
      <c r="F199" s="4552"/>
      <c r="G199" s="4552"/>
      <c r="H199" s="1646">
        <v>3.3333333333333326E-2</v>
      </c>
      <c r="I199" s="1645">
        <v>0</v>
      </c>
      <c r="J199" s="1645"/>
      <c r="K199" s="1645"/>
      <c r="L199" s="1645">
        <f t="shared" si="60"/>
        <v>0</v>
      </c>
      <c r="M199" s="1647">
        <f t="shared" si="61"/>
        <v>0</v>
      </c>
      <c r="N199" s="1647">
        <f t="shared" si="59"/>
        <v>0</v>
      </c>
      <c r="O199" s="1667"/>
      <c r="P199" s="1667"/>
      <c r="Q199" s="1667"/>
      <c r="R199" s="1667"/>
      <c r="S199" s="1672"/>
    </row>
    <row r="200" spans="2:19" s="1669" customFormat="1" ht="13.5" thickBot="1" x14ac:dyDescent="0.3">
      <c r="B200" s="1670"/>
      <c r="C200" s="1645">
        <v>9</v>
      </c>
      <c r="D200" s="4552" t="s">
        <v>3308</v>
      </c>
      <c r="E200" s="4552"/>
      <c r="F200" s="4552"/>
      <c r="G200" s="4552"/>
      <c r="H200" s="1646">
        <v>6.6666666666666652E-2</v>
      </c>
      <c r="I200" s="1645">
        <v>0</v>
      </c>
      <c r="J200" s="1645"/>
      <c r="K200" s="1645"/>
      <c r="L200" s="1645">
        <f t="shared" si="60"/>
        <v>0</v>
      </c>
      <c r="M200" s="1647">
        <f t="shared" si="61"/>
        <v>0</v>
      </c>
      <c r="N200" s="1647">
        <f t="shared" si="59"/>
        <v>0</v>
      </c>
      <c r="O200" s="1667"/>
      <c r="P200" s="1667"/>
      <c r="Q200" s="1667"/>
      <c r="R200" s="1667"/>
      <c r="S200" s="1672"/>
    </row>
    <row r="201" spans="2:19" s="1669" customFormat="1" ht="13.5" thickBot="1" x14ac:dyDescent="0.3">
      <c r="B201" s="1670"/>
      <c r="C201" s="1667"/>
      <c r="D201" s="1667"/>
      <c r="E201" s="1667"/>
      <c r="F201" s="1667"/>
      <c r="G201" s="1667"/>
      <c r="H201" s="1647">
        <v>1</v>
      </c>
      <c r="I201" s="1648">
        <v>0</v>
      </c>
      <c r="J201" s="1648">
        <v>9.9999999999999978E-2</v>
      </c>
      <c r="K201" s="1648">
        <v>0.57999999999999985</v>
      </c>
      <c r="L201" s="1648">
        <f>SUM(L192:L200)</f>
        <v>0</v>
      </c>
      <c r="M201" s="1648">
        <f>SUM(M192:M200)</f>
        <v>4.9999999999999982E-2</v>
      </c>
      <c r="N201" s="1648">
        <f>SUM(N192:N200)</f>
        <v>0.11999999999999997</v>
      </c>
      <c r="O201" s="1667"/>
      <c r="P201" s="1667"/>
      <c r="Q201" s="1667"/>
      <c r="R201" s="1667"/>
      <c r="S201" s="1672"/>
    </row>
    <row r="202" spans="2:19" s="1669" customFormat="1" ht="12.75" x14ac:dyDescent="0.25">
      <c r="B202" s="1670"/>
      <c r="C202" s="1667"/>
      <c r="D202" s="1667"/>
      <c r="E202" s="1667"/>
      <c r="F202" s="1667"/>
      <c r="G202" s="1667"/>
      <c r="H202" s="1632"/>
      <c r="I202" s="1633"/>
      <c r="J202" s="1633"/>
      <c r="K202" s="1633"/>
      <c r="L202" s="1633"/>
      <c r="M202" s="1633"/>
      <c r="N202" s="1633"/>
      <c r="O202" s="1667"/>
      <c r="P202" s="1667"/>
      <c r="Q202" s="1667"/>
      <c r="R202" s="1667"/>
      <c r="S202" s="1672"/>
    </row>
    <row r="203" spans="2:19" s="1669" customFormat="1" ht="12.75" x14ac:dyDescent="0.25">
      <c r="B203" s="1670"/>
      <c r="C203" s="1667"/>
      <c r="D203" s="1667"/>
      <c r="E203" s="1667"/>
      <c r="F203" s="1667"/>
      <c r="G203" s="1667"/>
      <c r="H203" s="1632"/>
      <c r="I203" s="1633"/>
      <c r="J203" s="1633"/>
      <c r="K203" s="1633"/>
      <c r="L203" s="1633"/>
      <c r="M203" s="1633"/>
      <c r="N203" s="1633"/>
      <c r="O203" s="1667"/>
      <c r="P203" s="1667"/>
      <c r="Q203" s="1667"/>
      <c r="R203" s="1667"/>
      <c r="S203" s="1672"/>
    </row>
    <row r="204" spans="2:19" s="1669" customFormat="1" ht="13.5" thickBot="1" x14ac:dyDescent="0.3">
      <c r="B204" s="1670">
        <v>11</v>
      </c>
      <c r="C204" s="1631"/>
      <c r="D204" s="1671" t="s">
        <v>3800</v>
      </c>
      <c r="E204" s="1667"/>
      <c r="F204" s="1667"/>
      <c r="G204" s="1667"/>
      <c r="H204" s="1671"/>
      <c r="I204" s="1667"/>
      <c r="J204" s="1667"/>
      <c r="K204" s="1667"/>
      <c r="L204" s="1667"/>
      <c r="M204" s="1667"/>
      <c r="N204" s="1667"/>
      <c r="O204" s="1667"/>
      <c r="P204" s="1667"/>
      <c r="Q204" s="1667"/>
      <c r="R204" s="1667"/>
      <c r="S204" s="1672"/>
    </row>
    <row r="205" spans="2:19" s="1669" customFormat="1" ht="13.5" thickBot="1" x14ac:dyDescent="0.3">
      <c r="B205" s="1670"/>
      <c r="C205" s="4546" t="s">
        <v>62</v>
      </c>
      <c r="D205" s="4549" t="s">
        <v>5</v>
      </c>
      <c r="E205" s="4549"/>
      <c r="F205" s="4549"/>
      <c r="G205" s="4549"/>
      <c r="H205" s="4549" t="s">
        <v>3297</v>
      </c>
      <c r="I205" s="4549" t="s">
        <v>3298</v>
      </c>
      <c r="J205" s="4549"/>
      <c r="K205" s="4549"/>
      <c r="L205" s="4549" t="s">
        <v>3299</v>
      </c>
      <c r="M205" s="4549"/>
      <c r="N205" s="4554"/>
      <c r="O205" s="1667"/>
      <c r="P205" s="1667"/>
      <c r="Q205" s="1667"/>
      <c r="R205" s="1667"/>
      <c r="S205" s="1672"/>
    </row>
    <row r="206" spans="2:19" s="1669" customFormat="1" ht="13.5" thickBot="1" x14ac:dyDescent="0.3">
      <c r="B206" s="1670"/>
      <c r="C206" s="4547"/>
      <c r="D206" s="4550"/>
      <c r="E206" s="4550"/>
      <c r="F206" s="4550"/>
      <c r="G206" s="4550"/>
      <c r="H206" s="4550"/>
      <c r="I206" s="1642" t="s">
        <v>3283</v>
      </c>
      <c r="J206" s="1642" t="s">
        <v>3284</v>
      </c>
      <c r="K206" s="1642" t="s">
        <v>3285</v>
      </c>
      <c r="L206" s="1642" t="s">
        <v>3283</v>
      </c>
      <c r="M206" s="1642" t="s">
        <v>3284</v>
      </c>
      <c r="N206" s="1693" t="s">
        <v>3285</v>
      </c>
      <c r="O206" s="1667"/>
      <c r="P206" s="1667"/>
      <c r="Q206" s="1667"/>
      <c r="R206" s="1667"/>
      <c r="S206" s="1672"/>
    </row>
    <row r="207" spans="2:19" s="1669" customFormat="1" ht="13.5" thickBot="1" x14ac:dyDescent="0.3">
      <c r="B207" s="1670"/>
      <c r="C207" s="4548"/>
      <c r="D207" s="4551"/>
      <c r="E207" s="4551"/>
      <c r="F207" s="4551"/>
      <c r="G207" s="4551"/>
      <c r="H207" s="4551"/>
      <c r="I207" s="1694">
        <v>0</v>
      </c>
      <c r="J207" s="1694">
        <v>0.5</v>
      </c>
      <c r="K207" s="1694">
        <v>1</v>
      </c>
      <c r="L207" s="1644">
        <v>0</v>
      </c>
      <c r="M207" s="1644">
        <v>0.5</v>
      </c>
      <c r="N207" s="1695">
        <v>1</v>
      </c>
      <c r="O207" s="1667"/>
      <c r="P207" s="1667"/>
      <c r="Q207" s="1667"/>
      <c r="R207" s="1667"/>
      <c r="S207" s="1672"/>
    </row>
    <row r="208" spans="2:19" s="1669" customFormat="1" ht="13.5" thickBot="1" x14ac:dyDescent="0.3">
      <c r="B208" s="1670"/>
      <c r="C208" s="1645">
        <v>1</v>
      </c>
      <c r="D208" s="4552" t="s">
        <v>3300</v>
      </c>
      <c r="E208" s="4552"/>
      <c r="F208" s="4552"/>
      <c r="G208" s="4552"/>
      <c r="H208" s="1646">
        <v>0.39999999999999986</v>
      </c>
      <c r="I208" s="1645">
        <v>0</v>
      </c>
      <c r="J208" s="1645"/>
      <c r="K208" s="1645"/>
      <c r="L208" s="1645">
        <f>H208*I208</f>
        <v>0</v>
      </c>
      <c r="M208" s="1647">
        <f>H208*J208</f>
        <v>0</v>
      </c>
      <c r="N208" s="1647">
        <f t="shared" ref="N208:N216" si="62">H208*K208</f>
        <v>0</v>
      </c>
      <c r="O208" s="1667"/>
      <c r="P208" s="1667"/>
      <c r="Q208" s="1667"/>
      <c r="R208" s="1667"/>
      <c r="S208" s="1672"/>
    </row>
    <row r="209" spans="2:19" s="1669" customFormat="1" ht="13.5" thickBot="1" x14ac:dyDescent="0.3">
      <c r="B209" s="1670"/>
      <c r="C209" s="1645">
        <v>2</v>
      </c>
      <c r="D209" s="4552" t="s">
        <v>3301</v>
      </c>
      <c r="E209" s="4552"/>
      <c r="F209" s="4552"/>
      <c r="G209" s="4552"/>
      <c r="H209" s="1646">
        <v>0.1333333333333333</v>
      </c>
      <c r="I209" s="1645">
        <v>0</v>
      </c>
      <c r="J209" s="1645"/>
      <c r="K209" s="1645"/>
      <c r="L209" s="1645">
        <f t="shared" ref="L209:L216" si="63">H209*I209</f>
        <v>0</v>
      </c>
      <c r="M209" s="1647">
        <f t="shared" ref="M209:M216" si="64">H209*J209</f>
        <v>0</v>
      </c>
      <c r="N209" s="1647">
        <f t="shared" si="62"/>
        <v>0</v>
      </c>
      <c r="O209" s="1667"/>
      <c r="P209" s="1667"/>
      <c r="Q209" s="1667"/>
      <c r="R209" s="1667"/>
      <c r="S209" s="1672"/>
    </row>
    <row r="210" spans="2:19" s="1669" customFormat="1" ht="13.5" thickBot="1" x14ac:dyDescent="0.3">
      <c r="B210" s="1670"/>
      <c r="C210" s="1645">
        <v>3</v>
      </c>
      <c r="D210" s="4552" t="s">
        <v>3302</v>
      </c>
      <c r="E210" s="4552"/>
      <c r="F210" s="4552"/>
      <c r="G210" s="4552"/>
      <c r="H210" s="1646">
        <v>9.9999999999999964E-2</v>
      </c>
      <c r="I210" s="1645">
        <v>0</v>
      </c>
      <c r="J210" s="1645"/>
      <c r="K210" s="1645"/>
      <c r="L210" s="1645">
        <f t="shared" si="63"/>
        <v>0</v>
      </c>
      <c r="M210" s="1647">
        <f t="shared" si="64"/>
        <v>0</v>
      </c>
      <c r="N210" s="1647">
        <f t="shared" si="62"/>
        <v>0</v>
      </c>
      <c r="O210" s="1667"/>
      <c r="P210" s="1667"/>
      <c r="Q210" s="1667"/>
      <c r="R210" s="1667"/>
      <c r="S210" s="1672"/>
    </row>
    <row r="211" spans="2:19" s="1669" customFormat="1" ht="13.5" thickBot="1" x14ac:dyDescent="0.3">
      <c r="B211" s="1670"/>
      <c r="C211" s="1645">
        <v>4</v>
      </c>
      <c r="D211" s="4552" t="s">
        <v>3303</v>
      </c>
      <c r="E211" s="4552"/>
      <c r="F211" s="4552"/>
      <c r="G211" s="4552"/>
      <c r="H211" s="1646">
        <v>7.9999999999999974E-2</v>
      </c>
      <c r="I211" s="1645"/>
      <c r="J211" s="1645">
        <v>0.5</v>
      </c>
      <c r="K211" s="1645"/>
      <c r="L211" s="1645">
        <f t="shared" si="63"/>
        <v>0</v>
      </c>
      <c r="M211" s="1647">
        <f t="shared" si="64"/>
        <v>3.9999999999999987E-2</v>
      </c>
      <c r="N211" s="1647">
        <f t="shared" si="62"/>
        <v>0</v>
      </c>
      <c r="O211" s="1667"/>
      <c r="P211" s="1667"/>
      <c r="Q211" s="1667"/>
      <c r="R211" s="1667"/>
      <c r="S211" s="1672"/>
    </row>
    <row r="212" spans="2:19" s="1669" customFormat="1" ht="13.5" thickBot="1" x14ac:dyDescent="0.3">
      <c r="B212" s="1670"/>
      <c r="C212" s="1645">
        <v>5</v>
      </c>
      <c r="D212" s="4552" t="s">
        <v>3304</v>
      </c>
      <c r="E212" s="4552"/>
      <c r="F212" s="4552"/>
      <c r="G212" s="4552"/>
      <c r="H212" s="1646">
        <v>7.3333333333333306E-2</v>
      </c>
      <c r="I212" s="1645"/>
      <c r="J212" s="1645">
        <v>0.5</v>
      </c>
      <c r="K212" s="1645"/>
      <c r="L212" s="1645">
        <f t="shared" si="63"/>
        <v>0</v>
      </c>
      <c r="M212" s="1647">
        <f t="shared" si="64"/>
        <v>3.6666666666666653E-2</v>
      </c>
      <c r="N212" s="1647">
        <f t="shared" si="62"/>
        <v>0</v>
      </c>
      <c r="O212" s="1667"/>
      <c r="P212" s="1667"/>
      <c r="Q212" s="1667"/>
      <c r="R212" s="1667"/>
      <c r="S212" s="1672"/>
    </row>
    <row r="213" spans="2:19" s="1669" customFormat="1" ht="13.5" thickBot="1" x14ac:dyDescent="0.3">
      <c r="B213" s="1670"/>
      <c r="C213" s="1645">
        <v>6</v>
      </c>
      <c r="D213" s="4552" t="s">
        <v>3305</v>
      </c>
      <c r="E213" s="4552"/>
      <c r="F213" s="4552"/>
      <c r="G213" s="4552"/>
      <c r="H213" s="1646">
        <v>6.6666666666666652E-2</v>
      </c>
      <c r="I213" s="1645"/>
      <c r="J213" s="1645">
        <v>0.5</v>
      </c>
      <c r="K213" s="1645"/>
      <c r="L213" s="1645">
        <f t="shared" si="63"/>
        <v>0</v>
      </c>
      <c r="M213" s="1647">
        <f t="shared" si="64"/>
        <v>3.3333333333333326E-2</v>
      </c>
      <c r="N213" s="1647">
        <f t="shared" si="62"/>
        <v>0</v>
      </c>
      <c r="O213" s="1667"/>
      <c r="P213" s="1667"/>
      <c r="Q213" s="1667"/>
      <c r="R213" s="1667"/>
      <c r="S213" s="1672"/>
    </row>
    <row r="214" spans="2:19" s="1669" customFormat="1" ht="13.5" thickBot="1" x14ac:dyDescent="0.3">
      <c r="B214" s="1670"/>
      <c r="C214" s="1645">
        <v>7</v>
      </c>
      <c r="D214" s="4552" t="s">
        <v>3306</v>
      </c>
      <c r="E214" s="4552"/>
      <c r="F214" s="4552"/>
      <c r="G214" s="4552"/>
      <c r="H214" s="1646">
        <v>4.6666666666666655E-2</v>
      </c>
      <c r="I214" s="1645">
        <v>0</v>
      </c>
      <c r="J214" s="1645"/>
      <c r="K214" s="1645"/>
      <c r="L214" s="1645">
        <f t="shared" si="63"/>
        <v>0</v>
      </c>
      <c r="M214" s="1647">
        <f t="shared" si="64"/>
        <v>0</v>
      </c>
      <c r="N214" s="1647">
        <f t="shared" si="62"/>
        <v>0</v>
      </c>
      <c r="O214" s="1667"/>
      <c r="P214" s="1667"/>
      <c r="Q214" s="1667"/>
      <c r="R214" s="1667"/>
      <c r="S214" s="1672"/>
    </row>
    <row r="215" spans="2:19" s="1669" customFormat="1" ht="13.5" thickBot="1" x14ac:dyDescent="0.3">
      <c r="B215" s="1670"/>
      <c r="C215" s="1645">
        <v>8</v>
      </c>
      <c r="D215" s="4552" t="s">
        <v>3307</v>
      </c>
      <c r="E215" s="4552"/>
      <c r="F215" s="4552"/>
      <c r="G215" s="4552"/>
      <c r="H215" s="1646">
        <v>3.3333333333333326E-2</v>
      </c>
      <c r="I215" s="1645">
        <v>0</v>
      </c>
      <c r="J215" s="1645"/>
      <c r="K215" s="1645"/>
      <c r="L215" s="1645">
        <f t="shared" si="63"/>
        <v>0</v>
      </c>
      <c r="M215" s="1647">
        <f t="shared" si="64"/>
        <v>0</v>
      </c>
      <c r="N215" s="1647">
        <f t="shared" si="62"/>
        <v>0</v>
      </c>
      <c r="O215" s="1667"/>
      <c r="P215" s="1667"/>
      <c r="Q215" s="1667"/>
      <c r="R215" s="1667"/>
      <c r="S215" s="1672"/>
    </row>
    <row r="216" spans="2:19" s="1669" customFormat="1" ht="13.5" thickBot="1" x14ac:dyDescent="0.3">
      <c r="B216" s="1670"/>
      <c r="C216" s="1645">
        <v>9</v>
      </c>
      <c r="D216" s="4552" t="s">
        <v>3308</v>
      </c>
      <c r="E216" s="4552"/>
      <c r="F216" s="4552"/>
      <c r="G216" s="4552"/>
      <c r="H216" s="1646">
        <v>6.6666666666666652E-2</v>
      </c>
      <c r="I216" s="1645">
        <v>0</v>
      </c>
      <c r="J216" s="1645"/>
      <c r="K216" s="1645"/>
      <c r="L216" s="1645">
        <f t="shared" si="63"/>
        <v>0</v>
      </c>
      <c r="M216" s="1647">
        <f t="shared" si="64"/>
        <v>0</v>
      </c>
      <c r="N216" s="1647">
        <f t="shared" si="62"/>
        <v>0</v>
      </c>
      <c r="O216" s="1667"/>
      <c r="P216" s="1667"/>
      <c r="Q216" s="1667"/>
      <c r="R216" s="1667"/>
      <c r="S216" s="1672"/>
    </row>
    <row r="217" spans="2:19" s="1669" customFormat="1" ht="13.5" thickBot="1" x14ac:dyDescent="0.3">
      <c r="B217" s="1670"/>
      <c r="C217" s="1667"/>
      <c r="D217" s="1667"/>
      <c r="E217" s="1667"/>
      <c r="F217" s="1667"/>
      <c r="G217" s="1667"/>
      <c r="H217" s="1647">
        <v>1</v>
      </c>
      <c r="I217" s="1648">
        <v>0</v>
      </c>
      <c r="J217" s="1648">
        <v>9.9999999999999978E-2</v>
      </c>
      <c r="K217" s="1648">
        <v>0.57999999999999985</v>
      </c>
      <c r="L217" s="1648">
        <f>SUM(L208:L216)</f>
        <v>0</v>
      </c>
      <c r="M217" s="1648">
        <f>SUM(M208:M216)</f>
        <v>0.10999999999999996</v>
      </c>
      <c r="N217" s="1648">
        <f>SUM(N208:N216)</f>
        <v>0</v>
      </c>
      <c r="O217" s="1667"/>
      <c r="P217" s="1667"/>
      <c r="Q217" s="1667"/>
      <c r="R217" s="1667"/>
      <c r="S217" s="1672"/>
    </row>
    <row r="218" spans="2:19" s="1669" customFormat="1" ht="12.75" x14ac:dyDescent="0.25">
      <c r="B218" s="1670"/>
      <c r="C218" s="1667"/>
      <c r="D218" s="1667"/>
      <c r="E218" s="1667"/>
      <c r="F218" s="1667"/>
      <c r="G218" s="1667"/>
      <c r="H218" s="1632"/>
      <c r="I218" s="1633"/>
      <c r="J218" s="1633"/>
      <c r="K218" s="1633"/>
      <c r="L218" s="1633"/>
      <c r="M218" s="1633"/>
      <c r="N218" s="1633"/>
      <c r="O218" s="1667"/>
      <c r="P218" s="1667"/>
      <c r="Q218" s="1667"/>
      <c r="R218" s="1667"/>
      <c r="S218" s="1672"/>
    </row>
    <row r="219" spans="2:19" s="1669" customFormat="1" ht="13.5" thickBot="1" x14ac:dyDescent="0.3">
      <c r="B219" s="1670">
        <v>12</v>
      </c>
      <c r="C219" s="1631"/>
      <c r="D219" s="1671" t="s">
        <v>3801</v>
      </c>
      <c r="E219" s="1667"/>
      <c r="F219" s="1667"/>
      <c r="G219" s="1667"/>
      <c r="H219" s="1671"/>
      <c r="I219" s="1667"/>
      <c r="J219" s="1667"/>
      <c r="K219" s="1667"/>
      <c r="L219" s="1667"/>
      <c r="M219" s="1667"/>
      <c r="N219" s="1667"/>
      <c r="O219" s="1667"/>
      <c r="P219" s="1667"/>
      <c r="Q219" s="1667"/>
      <c r="R219" s="1667"/>
      <c r="S219" s="1672"/>
    </row>
    <row r="220" spans="2:19" s="1669" customFormat="1" ht="13.5" thickBot="1" x14ac:dyDescent="0.3">
      <c r="B220" s="1670"/>
      <c r="C220" s="4546" t="s">
        <v>62</v>
      </c>
      <c r="D220" s="4549" t="s">
        <v>5</v>
      </c>
      <c r="E220" s="4549"/>
      <c r="F220" s="4549"/>
      <c r="G220" s="4549"/>
      <c r="H220" s="4549" t="s">
        <v>3297</v>
      </c>
      <c r="I220" s="4549" t="s">
        <v>3298</v>
      </c>
      <c r="J220" s="4549"/>
      <c r="K220" s="4549"/>
      <c r="L220" s="4549" t="s">
        <v>3299</v>
      </c>
      <c r="M220" s="4549"/>
      <c r="N220" s="4554"/>
      <c r="O220" s="1667"/>
      <c r="P220" s="1667"/>
      <c r="Q220" s="1667"/>
      <c r="R220" s="1667"/>
      <c r="S220" s="1672"/>
    </row>
    <row r="221" spans="2:19" s="1669" customFormat="1" ht="13.5" thickBot="1" x14ac:dyDescent="0.3">
      <c r="B221" s="1670"/>
      <c r="C221" s="4547"/>
      <c r="D221" s="4550"/>
      <c r="E221" s="4550"/>
      <c r="F221" s="4550"/>
      <c r="G221" s="4550"/>
      <c r="H221" s="4550"/>
      <c r="I221" s="1642" t="s">
        <v>3283</v>
      </c>
      <c r="J221" s="1642" t="s">
        <v>3284</v>
      </c>
      <c r="K221" s="1642" t="s">
        <v>3285</v>
      </c>
      <c r="L221" s="1642" t="s">
        <v>3283</v>
      </c>
      <c r="M221" s="1642" t="s">
        <v>3284</v>
      </c>
      <c r="N221" s="1693" t="s">
        <v>3285</v>
      </c>
      <c r="O221" s="1667"/>
      <c r="P221" s="1667"/>
      <c r="Q221" s="1667"/>
      <c r="R221" s="1667"/>
      <c r="S221" s="1672"/>
    </row>
    <row r="222" spans="2:19" s="1669" customFormat="1" ht="13.5" thickBot="1" x14ac:dyDescent="0.3">
      <c r="B222" s="1670"/>
      <c r="C222" s="4548"/>
      <c r="D222" s="4551"/>
      <c r="E222" s="4551"/>
      <c r="F222" s="4551"/>
      <c r="G222" s="4551"/>
      <c r="H222" s="4551"/>
      <c r="I222" s="1694">
        <v>0</v>
      </c>
      <c r="J222" s="1694">
        <v>0.5</v>
      </c>
      <c r="K222" s="1694">
        <v>1</v>
      </c>
      <c r="L222" s="1644">
        <v>0</v>
      </c>
      <c r="M222" s="1644">
        <v>0.5</v>
      </c>
      <c r="N222" s="1695">
        <v>1</v>
      </c>
      <c r="O222" s="1667"/>
      <c r="P222" s="1667"/>
      <c r="Q222" s="1667"/>
      <c r="R222" s="1667"/>
      <c r="S222" s="1672"/>
    </row>
    <row r="223" spans="2:19" s="1669" customFormat="1" ht="13.5" thickBot="1" x14ac:dyDescent="0.3">
      <c r="B223" s="1670"/>
      <c r="C223" s="1645">
        <v>1</v>
      </c>
      <c r="D223" s="4552" t="s">
        <v>3300</v>
      </c>
      <c r="E223" s="4552"/>
      <c r="F223" s="4552"/>
      <c r="G223" s="4552"/>
      <c r="H223" s="1646">
        <v>0.39999999999999986</v>
      </c>
      <c r="I223" s="1645">
        <v>0</v>
      </c>
      <c r="J223" s="1645"/>
      <c r="K223" s="1645"/>
      <c r="L223" s="1645">
        <f>H223*I223</f>
        <v>0</v>
      </c>
      <c r="M223" s="1647">
        <f>H223*J223</f>
        <v>0</v>
      </c>
      <c r="N223" s="1647">
        <f t="shared" ref="N223:N231" si="65">H223*K223</f>
        <v>0</v>
      </c>
      <c r="O223" s="1667"/>
      <c r="P223" s="1667"/>
      <c r="Q223" s="1667"/>
      <c r="R223" s="1667"/>
      <c r="S223" s="1672"/>
    </row>
    <row r="224" spans="2:19" s="1669" customFormat="1" ht="13.5" thickBot="1" x14ac:dyDescent="0.3">
      <c r="B224" s="1670"/>
      <c r="C224" s="1645">
        <v>2</v>
      </c>
      <c r="D224" s="4552" t="s">
        <v>3301</v>
      </c>
      <c r="E224" s="4552"/>
      <c r="F224" s="4552"/>
      <c r="G224" s="4552"/>
      <c r="H224" s="1646">
        <v>0.1333333333333333</v>
      </c>
      <c r="I224" s="1645">
        <v>0</v>
      </c>
      <c r="J224" s="1645"/>
      <c r="K224" s="1645"/>
      <c r="L224" s="1645">
        <f t="shared" ref="L224:L231" si="66">H224*I224</f>
        <v>0</v>
      </c>
      <c r="M224" s="1647">
        <f t="shared" ref="M224:M231" si="67">H224*J224</f>
        <v>0</v>
      </c>
      <c r="N224" s="1647">
        <f t="shared" si="65"/>
        <v>0</v>
      </c>
      <c r="O224" s="1667"/>
      <c r="P224" s="1667"/>
      <c r="Q224" s="1667"/>
      <c r="R224" s="1667"/>
      <c r="S224" s="1672"/>
    </row>
    <row r="225" spans="2:19" s="1669" customFormat="1" ht="13.5" thickBot="1" x14ac:dyDescent="0.3">
      <c r="B225" s="1670"/>
      <c r="C225" s="1645">
        <v>3</v>
      </c>
      <c r="D225" s="4552" t="s">
        <v>3302</v>
      </c>
      <c r="E225" s="4552"/>
      <c r="F225" s="4552"/>
      <c r="G225" s="4552"/>
      <c r="H225" s="1646">
        <v>9.9999999999999964E-2</v>
      </c>
      <c r="I225" s="1645">
        <v>0</v>
      </c>
      <c r="J225" s="1645"/>
      <c r="K225" s="1645"/>
      <c r="L225" s="1645">
        <f t="shared" si="66"/>
        <v>0</v>
      </c>
      <c r="M225" s="1647">
        <f t="shared" si="67"/>
        <v>0</v>
      </c>
      <c r="N225" s="1647">
        <f t="shared" si="65"/>
        <v>0</v>
      </c>
      <c r="O225" s="1667"/>
      <c r="P225" s="1667"/>
      <c r="Q225" s="1667"/>
      <c r="R225" s="1667"/>
      <c r="S225" s="1672"/>
    </row>
    <row r="226" spans="2:19" s="1669" customFormat="1" ht="13.5" thickBot="1" x14ac:dyDescent="0.3">
      <c r="B226" s="1670"/>
      <c r="C226" s="1645">
        <v>4</v>
      </c>
      <c r="D226" s="4552" t="s">
        <v>3303</v>
      </c>
      <c r="E226" s="4552"/>
      <c r="F226" s="4552"/>
      <c r="G226" s="4552"/>
      <c r="H226" s="1646">
        <v>7.9999999999999974E-2</v>
      </c>
      <c r="I226" s="1645"/>
      <c r="J226" s="1645">
        <v>0.5</v>
      </c>
      <c r="K226" s="1645"/>
      <c r="L226" s="1645">
        <f t="shared" si="66"/>
        <v>0</v>
      </c>
      <c r="M226" s="1647">
        <f t="shared" si="67"/>
        <v>3.9999999999999987E-2</v>
      </c>
      <c r="N226" s="1647">
        <f t="shared" si="65"/>
        <v>0</v>
      </c>
      <c r="O226" s="1667"/>
      <c r="P226" s="1667"/>
      <c r="Q226" s="1667"/>
      <c r="R226" s="1667"/>
      <c r="S226" s="1672"/>
    </row>
    <row r="227" spans="2:19" s="1669" customFormat="1" ht="13.5" thickBot="1" x14ac:dyDescent="0.3">
      <c r="B227" s="1670"/>
      <c r="C227" s="1645">
        <v>5</v>
      </c>
      <c r="D227" s="4552" t="s">
        <v>3304</v>
      </c>
      <c r="E227" s="4552"/>
      <c r="F227" s="4552"/>
      <c r="G227" s="4552"/>
      <c r="H227" s="1646">
        <v>7.3333333333333306E-2</v>
      </c>
      <c r="I227" s="1645"/>
      <c r="J227" s="1645">
        <v>0.5</v>
      </c>
      <c r="K227" s="1645"/>
      <c r="L227" s="1645">
        <f t="shared" si="66"/>
        <v>0</v>
      </c>
      <c r="M227" s="1647">
        <f t="shared" si="67"/>
        <v>3.6666666666666653E-2</v>
      </c>
      <c r="N227" s="1647">
        <f t="shared" si="65"/>
        <v>0</v>
      </c>
      <c r="O227" s="1667"/>
      <c r="P227" s="1667"/>
      <c r="Q227" s="1667"/>
      <c r="R227" s="1667"/>
      <c r="S227" s="1672"/>
    </row>
    <row r="228" spans="2:19" s="1669" customFormat="1" ht="13.5" thickBot="1" x14ac:dyDescent="0.3">
      <c r="B228" s="1670"/>
      <c r="C228" s="1645">
        <v>6</v>
      </c>
      <c r="D228" s="4552" t="s">
        <v>3305</v>
      </c>
      <c r="E228" s="4552"/>
      <c r="F228" s="4552"/>
      <c r="G228" s="4552"/>
      <c r="H228" s="1646">
        <v>6.6666666666666652E-2</v>
      </c>
      <c r="I228" s="1645"/>
      <c r="J228" s="1645">
        <v>0.5</v>
      </c>
      <c r="K228" s="1645"/>
      <c r="L228" s="1645">
        <f t="shared" si="66"/>
        <v>0</v>
      </c>
      <c r="M228" s="1647">
        <f t="shared" si="67"/>
        <v>3.3333333333333326E-2</v>
      </c>
      <c r="N228" s="1647">
        <f t="shared" si="65"/>
        <v>0</v>
      </c>
      <c r="O228" s="1667"/>
      <c r="P228" s="1667"/>
      <c r="Q228" s="1667"/>
      <c r="R228" s="1667"/>
      <c r="S228" s="1672"/>
    </row>
    <row r="229" spans="2:19" s="1669" customFormat="1" ht="13.5" thickBot="1" x14ac:dyDescent="0.3">
      <c r="B229" s="1670"/>
      <c r="C229" s="1645">
        <v>7</v>
      </c>
      <c r="D229" s="4552" t="s">
        <v>3306</v>
      </c>
      <c r="E229" s="4552"/>
      <c r="F229" s="4552"/>
      <c r="G229" s="4552"/>
      <c r="H229" s="1646">
        <v>4.6666666666666655E-2</v>
      </c>
      <c r="I229" s="1645">
        <v>0</v>
      </c>
      <c r="J229" s="1645"/>
      <c r="K229" s="1645"/>
      <c r="L229" s="1645">
        <f t="shared" si="66"/>
        <v>0</v>
      </c>
      <c r="M229" s="1647">
        <f t="shared" si="67"/>
        <v>0</v>
      </c>
      <c r="N229" s="1647">
        <f t="shared" si="65"/>
        <v>0</v>
      </c>
      <c r="O229" s="1667"/>
      <c r="P229" s="1667"/>
      <c r="Q229" s="1667"/>
      <c r="R229" s="1667"/>
      <c r="S229" s="1672"/>
    </row>
    <row r="230" spans="2:19" s="1669" customFormat="1" ht="13.5" thickBot="1" x14ac:dyDescent="0.3">
      <c r="B230" s="1670"/>
      <c r="C230" s="1645">
        <v>8</v>
      </c>
      <c r="D230" s="4552" t="s">
        <v>3307</v>
      </c>
      <c r="E230" s="4552"/>
      <c r="F230" s="4552"/>
      <c r="G230" s="4552"/>
      <c r="H230" s="1646">
        <v>3.3333333333333326E-2</v>
      </c>
      <c r="I230" s="1645">
        <v>0</v>
      </c>
      <c r="J230" s="1645"/>
      <c r="K230" s="1645"/>
      <c r="L230" s="1645">
        <f t="shared" si="66"/>
        <v>0</v>
      </c>
      <c r="M230" s="1647">
        <f t="shared" si="67"/>
        <v>0</v>
      </c>
      <c r="N230" s="1647">
        <f t="shared" si="65"/>
        <v>0</v>
      </c>
      <c r="O230" s="1667"/>
      <c r="P230" s="1667"/>
      <c r="Q230" s="1667"/>
      <c r="R230" s="1667"/>
      <c r="S230" s="1672"/>
    </row>
    <row r="231" spans="2:19" s="1669" customFormat="1" ht="13.5" thickBot="1" x14ac:dyDescent="0.3">
      <c r="B231" s="1670"/>
      <c r="C231" s="1645">
        <v>9</v>
      </c>
      <c r="D231" s="4552" t="s">
        <v>3308</v>
      </c>
      <c r="E231" s="4552"/>
      <c r="F231" s="4552"/>
      <c r="G231" s="4552"/>
      <c r="H231" s="1646">
        <v>6.6666666666666652E-2</v>
      </c>
      <c r="I231" s="1645">
        <v>0</v>
      </c>
      <c r="J231" s="1645"/>
      <c r="K231" s="1645"/>
      <c r="L231" s="1645">
        <f t="shared" si="66"/>
        <v>0</v>
      </c>
      <c r="M231" s="1647">
        <f t="shared" si="67"/>
        <v>0</v>
      </c>
      <c r="N231" s="1647">
        <f t="shared" si="65"/>
        <v>0</v>
      </c>
      <c r="O231" s="1667"/>
      <c r="P231" s="1667"/>
      <c r="Q231" s="1667"/>
      <c r="R231" s="1667"/>
      <c r="S231" s="1672"/>
    </row>
    <row r="232" spans="2:19" s="1669" customFormat="1" ht="13.5" thickBot="1" x14ac:dyDescent="0.3">
      <c r="B232" s="1670"/>
      <c r="C232" s="1667"/>
      <c r="D232" s="1667"/>
      <c r="E232" s="1667"/>
      <c r="F232" s="1667"/>
      <c r="G232" s="1667"/>
      <c r="H232" s="1647">
        <v>1</v>
      </c>
      <c r="I232" s="1648">
        <v>0</v>
      </c>
      <c r="J232" s="1648">
        <v>9.9999999999999978E-2</v>
      </c>
      <c r="K232" s="1648">
        <v>0.57999999999999985</v>
      </c>
      <c r="L232" s="1648">
        <f>SUM(L223:L231)</f>
        <v>0</v>
      </c>
      <c r="M232" s="1648">
        <f>SUM(M223:M231)</f>
        <v>0.10999999999999996</v>
      </c>
      <c r="N232" s="1648">
        <f>SUM(N223:N231)</f>
        <v>0</v>
      </c>
      <c r="O232" s="1667"/>
      <c r="P232" s="1667"/>
      <c r="Q232" s="1667"/>
      <c r="R232" s="1667"/>
      <c r="S232" s="1672"/>
    </row>
    <row r="233" spans="2:19" s="1669" customFormat="1" ht="12.75" x14ac:dyDescent="0.25">
      <c r="B233" s="1670"/>
      <c r="C233" s="1667"/>
      <c r="D233" s="1667"/>
      <c r="E233" s="1667"/>
      <c r="F233" s="1667"/>
      <c r="G233" s="1667"/>
      <c r="H233" s="1632"/>
      <c r="I233" s="1633"/>
      <c r="J233" s="1633"/>
      <c r="K233" s="1633"/>
      <c r="L233" s="1633"/>
      <c r="M233" s="1633"/>
      <c r="N233" s="1633"/>
      <c r="O233" s="1667"/>
      <c r="P233" s="1667"/>
      <c r="Q233" s="1667"/>
      <c r="R233" s="1667"/>
      <c r="S233" s="1672"/>
    </row>
    <row r="234" spans="2:19" s="1669" customFormat="1" ht="13.5" thickBot="1" x14ac:dyDescent="0.3">
      <c r="B234" s="1670">
        <v>13</v>
      </c>
      <c r="C234" s="1631"/>
      <c r="D234" s="1671" t="s">
        <v>1830</v>
      </c>
      <c r="E234" s="1667"/>
      <c r="F234" s="1667"/>
      <c r="G234" s="1667"/>
      <c r="H234" s="1671"/>
      <c r="I234" s="1667"/>
      <c r="J234" s="1667"/>
      <c r="K234" s="1667"/>
      <c r="L234" s="1667"/>
      <c r="M234" s="1667"/>
      <c r="N234" s="1667"/>
      <c r="O234" s="1667"/>
      <c r="P234" s="1667"/>
      <c r="Q234" s="1667"/>
      <c r="R234" s="1667"/>
      <c r="S234" s="1672"/>
    </row>
    <row r="235" spans="2:19" s="1669" customFormat="1" ht="13.5" thickBot="1" x14ac:dyDescent="0.3">
      <c r="B235" s="1670"/>
      <c r="C235" s="4546" t="s">
        <v>62</v>
      </c>
      <c r="D235" s="4549" t="s">
        <v>5</v>
      </c>
      <c r="E235" s="4549"/>
      <c r="F235" s="4549"/>
      <c r="G235" s="4549"/>
      <c r="H235" s="4549" t="s">
        <v>3297</v>
      </c>
      <c r="I235" s="4549" t="s">
        <v>3298</v>
      </c>
      <c r="J235" s="4549"/>
      <c r="K235" s="4549"/>
      <c r="L235" s="4549" t="s">
        <v>3299</v>
      </c>
      <c r="M235" s="4549"/>
      <c r="N235" s="4554"/>
      <c r="O235" s="1667"/>
      <c r="P235" s="1667"/>
      <c r="Q235" s="1667"/>
      <c r="R235" s="1667"/>
      <c r="S235" s="1672"/>
    </row>
    <row r="236" spans="2:19" s="1669" customFormat="1" ht="13.5" thickBot="1" x14ac:dyDescent="0.3">
      <c r="B236" s="1670"/>
      <c r="C236" s="4547"/>
      <c r="D236" s="4550"/>
      <c r="E236" s="4550"/>
      <c r="F236" s="4550"/>
      <c r="G236" s="4550"/>
      <c r="H236" s="4550"/>
      <c r="I236" s="1642" t="s">
        <v>3283</v>
      </c>
      <c r="J236" s="1642" t="s">
        <v>3284</v>
      </c>
      <c r="K236" s="1642" t="s">
        <v>3285</v>
      </c>
      <c r="L236" s="1642" t="s">
        <v>3283</v>
      </c>
      <c r="M236" s="1642" t="s">
        <v>3284</v>
      </c>
      <c r="N236" s="1693" t="s">
        <v>3285</v>
      </c>
      <c r="O236" s="1667"/>
      <c r="P236" s="1667"/>
      <c r="Q236" s="1667"/>
      <c r="R236" s="1667"/>
      <c r="S236" s="1672"/>
    </row>
    <row r="237" spans="2:19" s="1669" customFormat="1" ht="13.5" thickBot="1" x14ac:dyDescent="0.3">
      <c r="B237" s="1670"/>
      <c r="C237" s="4548"/>
      <c r="D237" s="4551"/>
      <c r="E237" s="4551"/>
      <c r="F237" s="4551"/>
      <c r="G237" s="4551"/>
      <c r="H237" s="4551"/>
      <c r="I237" s="1694">
        <v>0</v>
      </c>
      <c r="J237" s="1694">
        <v>0.5</v>
      </c>
      <c r="K237" s="1694">
        <v>1</v>
      </c>
      <c r="L237" s="1644">
        <v>0</v>
      </c>
      <c r="M237" s="1644">
        <v>0.5</v>
      </c>
      <c r="N237" s="1695">
        <v>1</v>
      </c>
      <c r="O237" s="1667"/>
      <c r="P237" s="1667"/>
      <c r="Q237" s="1667"/>
      <c r="R237" s="1667"/>
      <c r="S237" s="1672"/>
    </row>
    <row r="238" spans="2:19" s="1669" customFormat="1" ht="13.5" thickBot="1" x14ac:dyDescent="0.3">
      <c r="B238" s="1670"/>
      <c r="C238" s="1645">
        <v>1</v>
      </c>
      <c r="D238" s="4552" t="s">
        <v>3300</v>
      </c>
      <c r="E238" s="4552"/>
      <c r="F238" s="4552"/>
      <c r="G238" s="4552"/>
      <c r="H238" s="1646">
        <v>0.39999999999999986</v>
      </c>
      <c r="I238" s="1645">
        <v>0</v>
      </c>
      <c r="J238" s="1645"/>
      <c r="K238" s="1645"/>
      <c r="L238" s="1645">
        <f>H238*I238</f>
        <v>0</v>
      </c>
      <c r="M238" s="1647">
        <f>H238*J238</f>
        <v>0</v>
      </c>
      <c r="N238" s="1647">
        <f t="shared" ref="N238:N246" si="68">H238*K238</f>
        <v>0</v>
      </c>
      <c r="O238" s="1667"/>
      <c r="P238" s="1667"/>
      <c r="Q238" s="1667"/>
      <c r="R238" s="1667"/>
      <c r="S238" s="1672"/>
    </row>
    <row r="239" spans="2:19" s="1669" customFormat="1" ht="13.5" thickBot="1" x14ac:dyDescent="0.3">
      <c r="B239" s="1670"/>
      <c r="C239" s="1645">
        <v>2</v>
      </c>
      <c r="D239" s="4552" t="s">
        <v>3301</v>
      </c>
      <c r="E239" s="4552"/>
      <c r="F239" s="4552"/>
      <c r="G239" s="4552"/>
      <c r="H239" s="1646">
        <v>0.1333333333333333</v>
      </c>
      <c r="I239" s="1645">
        <v>0</v>
      </c>
      <c r="J239" s="1645"/>
      <c r="K239" s="1645"/>
      <c r="L239" s="1645">
        <f t="shared" ref="L239:L246" si="69">H239*I239</f>
        <v>0</v>
      </c>
      <c r="M239" s="1647">
        <f t="shared" ref="M239:M246" si="70">H239*J239</f>
        <v>0</v>
      </c>
      <c r="N239" s="1647">
        <f t="shared" si="68"/>
        <v>0</v>
      </c>
      <c r="O239" s="1667"/>
      <c r="P239" s="1667"/>
      <c r="Q239" s="1667"/>
      <c r="R239" s="1667"/>
      <c r="S239" s="1672"/>
    </row>
    <row r="240" spans="2:19" s="1669" customFormat="1" ht="13.5" thickBot="1" x14ac:dyDescent="0.3">
      <c r="B240" s="1670"/>
      <c r="C240" s="1645">
        <v>3</v>
      </c>
      <c r="D240" s="4552" t="s">
        <v>3302</v>
      </c>
      <c r="E240" s="4552"/>
      <c r="F240" s="4552"/>
      <c r="G240" s="4552"/>
      <c r="H240" s="1646">
        <v>9.9999999999999964E-2</v>
      </c>
      <c r="I240" s="1645">
        <v>0</v>
      </c>
      <c r="J240" s="1645"/>
      <c r="K240" s="1645"/>
      <c r="L240" s="1645">
        <f t="shared" si="69"/>
        <v>0</v>
      </c>
      <c r="M240" s="1647">
        <f t="shared" si="70"/>
        <v>0</v>
      </c>
      <c r="N240" s="1647">
        <f t="shared" si="68"/>
        <v>0</v>
      </c>
      <c r="O240" s="1667"/>
      <c r="P240" s="1667"/>
      <c r="Q240" s="1667"/>
      <c r="R240" s="1667"/>
      <c r="S240" s="1672"/>
    </row>
    <row r="241" spans="2:19" s="1669" customFormat="1" ht="13.5" thickBot="1" x14ac:dyDescent="0.3">
      <c r="B241" s="1670"/>
      <c r="C241" s="1645">
        <v>4</v>
      </c>
      <c r="D241" s="4552" t="s">
        <v>3303</v>
      </c>
      <c r="E241" s="4552"/>
      <c r="F241" s="4552"/>
      <c r="G241" s="4552"/>
      <c r="H241" s="1646">
        <v>7.9999999999999974E-2</v>
      </c>
      <c r="I241" s="1645"/>
      <c r="J241" s="1645">
        <v>0.5</v>
      </c>
      <c r="K241" s="1645"/>
      <c r="L241" s="1645">
        <f t="shared" si="69"/>
        <v>0</v>
      </c>
      <c r="M241" s="1647">
        <f t="shared" si="70"/>
        <v>3.9999999999999987E-2</v>
      </c>
      <c r="N241" s="1647">
        <f t="shared" si="68"/>
        <v>0</v>
      </c>
      <c r="O241" s="1667"/>
      <c r="P241" s="1667"/>
      <c r="Q241" s="1667"/>
      <c r="R241" s="1667"/>
      <c r="S241" s="1672"/>
    </row>
    <row r="242" spans="2:19" s="1669" customFormat="1" ht="13.5" thickBot="1" x14ac:dyDescent="0.3">
      <c r="B242" s="1670"/>
      <c r="C242" s="1645">
        <v>5</v>
      </c>
      <c r="D242" s="4552" t="s">
        <v>3304</v>
      </c>
      <c r="E242" s="4552"/>
      <c r="F242" s="4552"/>
      <c r="G242" s="4552"/>
      <c r="H242" s="1646">
        <v>7.3333333333333306E-2</v>
      </c>
      <c r="I242" s="1645"/>
      <c r="J242" s="1645">
        <v>0.5</v>
      </c>
      <c r="K242" s="1645"/>
      <c r="L242" s="1645">
        <f t="shared" si="69"/>
        <v>0</v>
      </c>
      <c r="M242" s="1647">
        <f t="shared" si="70"/>
        <v>3.6666666666666653E-2</v>
      </c>
      <c r="N242" s="1647">
        <f t="shared" si="68"/>
        <v>0</v>
      </c>
      <c r="O242" s="1667"/>
      <c r="P242" s="1667"/>
      <c r="Q242" s="1667"/>
      <c r="R242" s="1667"/>
      <c r="S242" s="1672"/>
    </row>
    <row r="243" spans="2:19" s="1669" customFormat="1" ht="13.5" thickBot="1" x14ac:dyDescent="0.3">
      <c r="B243" s="1670"/>
      <c r="C243" s="1645">
        <v>6</v>
      </c>
      <c r="D243" s="4552" t="s">
        <v>3305</v>
      </c>
      <c r="E243" s="4552"/>
      <c r="F243" s="4552"/>
      <c r="G243" s="4552"/>
      <c r="H243" s="1646">
        <v>6.6666666666666652E-2</v>
      </c>
      <c r="I243" s="1645"/>
      <c r="J243" s="1645">
        <v>0.5</v>
      </c>
      <c r="K243" s="1645"/>
      <c r="L243" s="1645">
        <f t="shared" si="69"/>
        <v>0</v>
      </c>
      <c r="M243" s="1647">
        <f t="shared" si="70"/>
        <v>3.3333333333333326E-2</v>
      </c>
      <c r="N243" s="1647">
        <f t="shared" si="68"/>
        <v>0</v>
      </c>
      <c r="O243" s="1667"/>
      <c r="P243" s="1667"/>
      <c r="Q243" s="1667"/>
      <c r="R243" s="1667"/>
      <c r="S243" s="1672"/>
    </row>
    <row r="244" spans="2:19" s="1669" customFormat="1" ht="13.5" thickBot="1" x14ac:dyDescent="0.3">
      <c r="B244" s="1670"/>
      <c r="C244" s="1645">
        <v>7</v>
      </c>
      <c r="D244" s="4552" t="s">
        <v>3306</v>
      </c>
      <c r="E244" s="4552"/>
      <c r="F244" s="4552"/>
      <c r="G244" s="4552"/>
      <c r="H244" s="1646">
        <v>4.6666666666666655E-2</v>
      </c>
      <c r="I244" s="1645">
        <v>0</v>
      </c>
      <c r="J244" s="1645"/>
      <c r="K244" s="1645"/>
      <c r="L244" s="1645">
        <f t="shared" si="69"/>
        <v>0</v>
      </c>
      <c r="M244" s="1647">
        <f t="shared" si="70"/>
        <v>0</v>
      </c>
      <c r="N244" s="1647">
        <f t="shared" si="68"/>
        <v>0</v>
      </c>
      <c r="O244" s="1667"/>
      <c r="P244" s="1667"/>
      <c r="Q244" s="1667"/>
      <c r="R244" s="1667"/>
      <c r="S244" s="1672"/>
    </row>
    <row r="245" spans="2:19" s="1669" customFormat="1" ht="13.5" thickBot="1" x14ac:dyDescent="0.3">
      <c r="B245" s="1670"/>
      <c r="C245" s="1645">
        <v>8</v>
      </c>
      <c r="D245" s="4552" t="s">
        <v>3307</v>
      </c>
      <c r="E245" s="4552"/>
      <c r="F245" s="4552"/>
      <c r="G245" s="4552"/>
      <c r="H245" s="1646">
        <v>3.3333333333333326E-2</v>
      </c>
      <c r="I245" s="1645">
        <v>0</v>
      </c>
      <c r="J245" s="1645"/>
      <c r="K245" s="1645"/>
      <c r="L245" s="1645">
        <f t="shared" si="69"/>
        <v>0</v>
      </c>
      <c r="M245" s="1647">
        <f t="shared" si="70"/>
        <v>0</v>
      </c>
      <c r="N245" s="1647">
        <f t="shared" si="68"/>
        <v>0</v>
      </c>
      <c r="O245" s="1667"/>
      <c r="P245" s="1667"/>
      <c r="Q245" s="1667"/>
      <c r="R245" s="1667"/>
      <c r="S245" s="1672"/>
    </row>
    <row r="246" spans="2:19" s="1669" customFormat="1" ht="13.5" thickBot="1" x14ac:dyDescent="0.3">
      <c r="B246" s="1670"/>
      <c r="C246" s="1645">
        <v>9</v>
      </c>
      <c r="D246" s="4552" t="s">
        <v>3308</v>
      </c>
      <c r="E246" s="4552"/>
      <c r="F246" s="4552"/>
      <c r="G246" s="4552"/>
      <c r="H246" s="1646">
        <v>6.6666666666666652E-2</v>
      </c>
      <c r="I246" s="1645">
        <v>0</v>
      </c>
      <c r="J246" s="1645"/>
      <c r="K246" s="1645"/>
      <c r="L246" s="1645">
        <f t="shared" si="69"/>
        <v>0</v>
      </c>
      <c r="M246" s="1647">
        <f t="shared" si="70"/>
        <v>0</v>
      </c>
      <c r="N246" s="1647">
        <f t="shared" si="68"/>
        <v>0</v>
      </c>
      <c r="O246" s="1667"/>
      <c r="P246" s="1667"/>
      <c r="Q246" s="1667"/>
      <c r="R246" s="1667"/>
      <c r="S246" s="1672"/>
    </row>
    <row r="247" spans="2:19" s="1669" customFormat="1" ht="13.5" thickBot="1" x14ac:dyDescent="0.3">
      <c r="B247" s="1670"/>
      <c r="C247" s="1667"/>
      <c r="D247" s="1667"/>
      <c r="E247" s="1667"/>
      <c r="F247" s="1667"/>
      <c r="G247" s="1667"/>
      <c r="H247" s="1647">
        <v>1</v>
      </c>
      <c r="I247" s="1648">
        <v>0</v>
      </c>
      <c r="J247" s="1648">
        <v>9.9999999999999978E-2</v>
      </c>
      <c r="K247" s="1648">
        <v>0.57999999999999985</v>
      </c>
      <c r="L247" s="1648">
        <f>SUM(L238:L246)</f>
        <v>0</v>
      </c>
      <c r="M247" s="1648">
        <f>SUM(M238:M246)</f>
        <v>0.10999999999999996</v>
      </c>
      <c r="N247" s="1648">
        <f>SUM(N238:N246)</f>
        <v>0</v>
      </c>
      <c r="O247" s="1667"/>
      <c r="P247" s="1667"/>
      <c r="Q247" s="1667"/>
      <c r="R247" s="1667"/>
      <c r="S247" s="1672"/>
    </row>
    <row r="248" spans="2:19" s="1669" customFormat="1" ht="12.75" x14ac:dyDescent="0.25">
      <c r="B248" s="1670"/>
      <c r="C248" s="1667"/>
      <c r="D248" s="1667"/>
      <c r="E248" s="1667"/>
      <c r="F248" s="1667"/>
      <c r="G248" s="1667"/>
      <c r="H248" s="1632"/>
      <c r="I248" s="1633"/>
      <c r="J248" s="1633"/>
      <c r="K248" s="1633"/>
      <c r="L248" s="1633"/>
      <c r="M248" s="1633"/>
      <c r="N248" s="1633"/>
      <c r="O248" s="1667"/>
      <c r="P248" s="1667"/>
      <c r="Q248" s="1667"/>
      <c r="R248" s="1667"/>
      <c r="S248" s="1672"/>
    </row>
    <row r="249" spans="2:19" s="1669" customFormat="1" ht="13.5" thickBot="1" x14ac:dyDescent="0.3">
      <c r="B249" s="1670"/>
      <c r="C249" s="1667"/>
      <c r="D249" s="1667"/>
      <c r="E249" s="1667"/>
      <c r="F249" s="1667"/>
      <c r="G249" s="1667"/>
      <c r="H249" s="1632"/>
      <c r="I249" s="1633"/>
      <c r="J249" s="1633"/>
      <c r="K249" s="1633"/>
      <c r="L249" s="1633"/>
      <c r="M249" s="1633"/>
      <c r="N249" s="1633"/>
      <c r="O249" s="1667"/>
      <c r="P249" s="1667"/>
      <c r="Q249" s="1667"/>
      <c r="R249" s="1667"/>
      <c r="S249" s="1672"/>
    </row>
    <row r="250" spans="2:19" s="1662" customFormat="1" ht="14.1" customHeight="1" thickBot="1" x14ac:dyDescent="0.3">
      <c r="B250" s="1663"/>
      <c r="C250" s="4546" t="s">
        <v>1292</v>
      </c>
      <c r="D250" s="4549"/>
      <c r="E250" s="4549" t="s">
        <v>3215</v>
      </c>
      <c r="F250" s="4559" t="s">
        <v>3276</v>
      </c>
      <c r="G250" s="4559"/>
      <c r="H250" s="4559"/>
      <c r="I250" s="4559"/>
      <c r="J250" s="4559"/>
      <c r="K250" s="4559" t="s">
        <v>3217</v>
      </c>
      <c r="L250" s="4559"/>
      <c r="M250" s="4559"/>
      <c r="N250" s="4559"/>
      <c r="O250" s="4559"/>
      <c r="P250" s="4559"/>
      <c r="Q250" s="4549" t="s">
        <v>3277</v>
      </c>
      <c r="R250" s="4556" t="s">
        <v>3278</v>
      </c>
      <c r="S250" s="1665"/>
    </row>
    <row r="251" spans="2:19" s="1662" customFormat="1" ht="41.1" customHeight="1" thickBot="1" x14ac:dyDescent="0.3">
      <c r="B251" s="1663"/>
      <c r="C251" s="4547"/>
      <c r="D251" s="4550"/>
      <c r="E251" s="4550"/>
      <c r="F251" s="4550" t="s">
        <v>323</v>
      </c>
      <c r="G251" s="4550" t="s">
        <v>3279</v>
      </c>
      <c r="H251" s="4550" t="s">
        <v>3280</v>
      </c>
      <c r="I251" s="4550" t="s">
        <v>3281</v>
      </c>
      <c r="J251" s="4550" t="s">
        <v>3282</v>
      </c>
      <c r="K251" s="1642" t="s">
        <v>3283</v>
      </c>
      <c r="L251" s="1642" t="s">
        <v>3284</v>
      </c>
      <c r="M251" s="1642" t="s">
        <v>3285</v>
      </c>
      <c r="N251" s="4550" t="s">
        <v>3286</v>
      </c>
      <c r="O251" s="4550" t="s">
        <v>3287</v>
      </c>
      <c r="P251" s="4550"/>
      <c r="Q251" s="4550"/>
      <c r="R251" s="4568"/>
      <c r="S251" s="1665"/>
    </row>
    <row r="252" spans="2:19" s="1662" customFormat="1" ht="15.75" thickBot="1" x14ac:dyDescent="0.3">
      <c r="B252" s="1663"/>
      <c r="C252" s="4547"/>
      <c r="D252" s="4550"/>
      <c r="E252" s="4550"/>
      <c r="F252" s="4550"/>
      <c r="G252" s="4550"/>
      <c r="H252" s="4550"/>
      <c r="I252" s="4550"/>
      <c r="J252" s="4550"/>
      <c r="K252" s="4550" t="s">
        <v>3288</v>
      </c>
      <c r="L252" s="4550"/>
      <c r="M252" s="4550"/>
      <c r="N252" s="4550"/>
      <c r="O252" s="1642" t="s">
        <v>3289</v>
      </c>
      <c r="P252" s="1642" t="s">
        <v>3290</v>
      </c>
      <c r="Q252" s="4550"/>
      <c r="R252" s="4568"/>
      <c r="S252" s="1665"/>
    </row>
    <row r="253" spans="2:19" s="1662" customFormat="1" ht="15.75" thickBot="1" x14ac:dyDescent="0.3">
      <c r="B253" s="1663"/>
      <c r="C253" s="4548"/>
      <c r="D253" s="4551"/>
      <c r="E253" s="4551"/>
      <c r="F253" s="4551"/>
      <c r="G253" s="4551"/>
      <c r="H253" s="4551"/>
      <c r="I253" s="4551"/>
      <c r="J253" s="4551"/>
      <c r="K253" s="1643">
        <v>0</v>
      </c>
      <c r="L253" s="1643" t="s">
        <v>3291</v>
      </c>
      <c r="M253" s="1643" t="s">
        <v>3292</v>
      </c>
      <c r="N253" s="4551"/>
      <c r="O253" s="1644" t="s">
        <v>3227</v>
      </c>
      <c r="P253" s="1644" t="s">
        <v>3228</v>
      </c>
      <c r="Q253" s="4551"/>
      <c r="R253" s="4569"/>
      <c r="S253" s="1665"/>
    </row>
    <row r="254" spans="2:19" s="1662" customFormat="1" ht="15" customHeight="1" thickBot="1" x14ac:dyDescent="0.3">
      <c r="B254" s="1663">
        <v>14</v>
      </c>
      <c r="C254" s="4562" t="s">
        <v>3309</v>
      </c>
      <c r="D254" s="4562"/>
      <c r="E254" s="1676" t="str">
        <f>'16.1 Areas Actuales'!D30</f>
        <v>Toma de muestras</v>
      </c>
      <c r="F254" s="1653">
        <f>'16.1 Areas Actuales'!E30</f>
        <v>1</v>
      </c>
      <c r="G254" s="1652">
        <f>'16.1 Areas Actuales'!F30</f>
        <v>5.42</v>
      </c>
      <c r="H254" s="1652">
        <f>'16.1 Areas Actuales'!G30</f>
        <v>5</v>
      </c>
      <c r="I254" s="1654">
        <f>+G254-H254</f>
        <v>0.41999999999999993</v>
      </c>
      <c r="J254" s="1655">
        <f>IF(I254&gt;-0.1,1,0)</f>
        <v>1</v>
      </c>
      <c r="K254" s="1646">
        <f>L273</f>
        <v>0</v>
      </c>
      <c r="L254" s="1646">
        <f t="shared" ref="L254:M254" si="71">M273</f>
        <v>0.10999999999999996</v>
      </c>
      <c r="M254" s="1646">
        <f t="shared" si="71"/>
        <v>0</v>
      </c>
      <c r="N254" s="1646">
        <f>SUM(K254:M254)</f>
        <v>0.10999999999999996</v>
      </c>
      <c r="O254" s="1654">
        <f>IF(N254&gt;=0.63,1,0)</f>
        <v>0</v>
      </c>
      <c r="P254" s="1655">
        <f>IF(N254&lt;0.63,0,0)</f>
        <v>0</v>
      </c>
      <c r="Q254" s="1656">
        <v>43200</v>
      </c>
      <c r="R254" s="1657">
        <f>+J253*P254*Q254</f>
        <v>0</v>
      </c>
      <c r="S254" s="1665"/>
    </row>
    <row r="255" spans="2:19" s="1662" customFormat="1" ht="15" customHeight="1" thickBot="1" x14ac:dyDescent="0.3">
      <c r="B255" s="1663"/>
      <c r="C255" s="4562"/>
      <c r="D255" s="4562"/>
      <c r="E255" s="1676" t="str">
        <f>'16.1 Areas Actuales'!D31</f>
        <v>Laboratorio de Hematología y Bioquímica</v>
      </c>
      <c r="F255" s="1653">
        <f>'16.1 Areas Actuales'!E31</f>
        <v>1</v>
      </c>
      <c r="G255" s="1652">
        <f>'16.1 Areas Actuales'!F31</f>
        <v>12.64</v>
      </c>
      <c r="H255" s="1652">
        <f>'16.1 Areas Actuales'!G31</f>
        <v>10</v>
      </c>
      <c r="I255" s="1654">
        <f>+G255-H255</f>
        <v>2.6400000000000006</v>
      </c>
      <c r="J255" s="1655">
        <f t="shared" ref="J255:J257" si="72">IF(I255&gt;-0.1,1,0)</f>
        <v>1</v>
      </c>
      <c r="K255" s="1646">
        <f>L288</f>
        <v>0</v>
      </c>
      <c r="L255" s="1646">
        <f>M288</f>
        <v>0.10999999999999996</v>
      </c>
      <c r="M255" s="1646">
        <f>N288</f>
        <v>0</v>
      </c>
      <c r="N255" s="1646">
        <f>SUM(K255:M255)</f>
        <v>0.10999999999999996</v>
      </c>
      <c r="O255" s="1654">
        <f>IF(N255&gt;=0.63,1,0)</f>
        <v>0</v>
      </c>
      <c r="P255" s="1655">
        <f>IF(N255&lt;0.63,0,0)</f>
        <v>0</v>
      </c>
      <c r="Q255" s="1656">
        <v>43200</v>
      </c>
      <c r="R255" s="1657">
        <f>+J254*P255*Q255</f>
        <v>0</v>
      </c>
      <c r="S255" s="1665"/>
    </row>
    <row r="256" spans="2:19" s="1662" customFormat="1" ht="15" customHeight="1" thickBot="1" x14ac:dyDescent="0.3">
      <c r="B256" s="1663"/>
      <c r="C256" s="4562"/>
      <c r="D256" s="4562"/>
      <c r="E256" s="1676" t="str">
        <f>'16.1 Areas Actuales'!D32</f>
        <v>Laboratorio de Microbiología</v>
      </c>
      <c r="F256" s="1653">
        <f>'16.1 Areas Actuales'!E32</f>
        <v>1</v>
      </c>
      <c r="G256" s="1652">
        <f>'16.1 Areas Actuales'!F32</f>
        <v>2.88</v>
      </c>
      <c r="H256" s="1652">
        <f>'16.1 Areas Actuales'!G32</f>
        <v>18</v>
      </c>
      <c r="I256" s="1654">
        <f>+G256-H256</f>
        <v>-15.120000000000001</v>
      </c>
      <c r="J256" s="1655">
        <f t="shared" si="72"/>
        <v>0</v>
      </c>
      <c r="K256" s="1646">
        <f>L303</f>
        <v>0</v>
      </c>
      <c r="L256" s="1646">
        <f t="shared" ref="L256:M256" si="73">M303</f>
        <v>0.10999999999999996</v>
      </c>
      <c r="M256" s="1646">
        <f t="shared" si="73"/>
        <v>0</v>
      </c>
      <c r="N256" s="1646">
        <f t="shared" ref="N256:N257" si="74">SUM(K256:M256)</f>
        <v>0.10999999999999996</v>
      </c>
      <c r="O256" s="1654">
        <f t="shared" ref="O256:O257" si="75">IF(N256&gt;=0.63,1,0)</f>
        <v>0</v>
      </c>
      <c r="P256" s="1655">
        <f t="shared" ref="P256:P257" si="76">IF(N256&lt;0.63,0,0)</f>
        <v>0</v>
      </c>
      <c r="Q256" s="1656">
        <v>43200</v>
      </c>
      <c r="R256" s="1657">
        <f t="shared" ref="R256:R257" si="77">+J255*P256*Q256</f>
        <v>0</v>
      </c>
      <c r="S256" s="1665"/>
    </row>
    <row r="257" spans="2:19" s="1662" customFormat="1" ht="15" customHeight="1" thickBot="1" x14ac:dyDescent="0.3">
      <c r="B257" s="1663"/>
      <c r="C257" s="4562"/>
      <c r="D257" s="4562"/>
      <c r="E257" s="1676" t="str">
        <f>'16.1 Areas Actuales'!D33</f>
        <v>Parasitología</v>
      </c>
      <c r="F257" s="1653">
        <f>'16.1 Areas Actuales'!E33</f>
        <v>1</v>
      </c>
      <c r="G257" s="1652">
        <f>'16.1 Areas Actuales'!F33</f>
        <v>2.98</v>
      </c>
      <c r="H257" s="1652">
        <f>'16.1 Areas Actuales'!G33</f>
        <v>0</v>
      </c>
      <c r="I257" s="1654">
        <f>+G257-H257</f>
        <v>2.98</v>
      </c>
      <c r="J257" s="1655">
        <f t="shared" si="72"/>
        <v>1</v>
      </c>
      <c r="K257" s="1646">
        <f>L318</f>
        <v>0</v>
      </c>
      <c r="L257" s="1646">
        <f t="shared" ref="L257:M257" si="78">M318</f>
        <v>0.10999999999999996</v>
      </c>
      <c r="M257" s="1646">
        <f t="shared" si="78"/>
        <v>0</v>
      </c>
      <c r="N257" s="1646">
        <f t="shared" si="74"/>
        <v>0.10999999999999996</v>
      </c>
      <c r="O257" s="1654">
        <f t="shared" si="75"/>
        <v>0</v>
      </c>
      <c r="P257" s="1655">
        <f t="shared" si="76"/>
        <v>0</v>
      </c>
      <c r="Q257" s="1656">
        <v>43200</v>
      </c>
      <c r="R257" s="1657">
        <f t="shared" si="77"/>
        <v>0</v>
      </c>
      <c r="S257" s="1665"/>
    </row>
    <row r="258" spans="2:19" s="1662" customFormat="1" ht="15" customHeight="1" thickBot="1" x14ac:dyDescent="0.3">
      <c r="B258" s="1663"/>
      <c r="C258" s="4562"/>
      <c r="D258" s="4562"/>
      <c r="E258" s="1649" t="s">
        <v>0</v>
      </c>
      <c r="F258" s="1707">
        <f>SUM(F254:F254)</f>
        <v>1</v>
      </c>
      <c r="G258" s="1708">
        <f>SUM(G254:G254)</f>
        <v>5.42</v>
      </c>
      <c r="H258" s="1708">
        <f>SUM(H254:H254)</f>
        <v>5</v>
      </c>
      <c r="I258" s="1708">
        <f>SUM(I254:I254)</f>
        <v>0.41999999999999993</v>
      </c>
      <c r="J258" s="1709">
        <f>SUM(J254:J254)</f>
        <v>1</v>
      </c>
      <c r="K258" s="1710"/>
      <c r="L258" s="1710"/>
      <c r="M258" s="1710"/>
      <c r="N258" s="1710"/>
      <c r="O258" s="1710"/>
      <c r="P258" s="1710"/>
      <c r="Q258" s="1711"/>
      <c r="R258" s="1712"/>
      <c r="S258" s="1665"/>
    </row>
    <row r="259" spans="2:19" s="1669" customFormat="1" ht="12.75" x14ac:dyDescent="0.25">
      <c r="B259" s="1670"/>
      <c r="C259" s="1667"/>
      <c r="D259" s="1667"/>
      <c r="E259" s="1667"/>
      <c r="F259" s="1667"/>
      <c r="G259" s="1667"/>
      <c r="H259" s="1632"/>
      <c r="I259" s="1632"/>
      <c r="J259" s="1632"/>
      <c r="K259" s="1632"/>
      <c r="L259" s="1632"/>
      <c r="M259" s="1632"/>
      <c r="N259" s="1632"/>
      <c r="O259" s="1667"/>
      <c r="P259" s="1667"/>
      <c r="Q259" s="1667"/>
      <c r="R259" s="1667"/>
      <c r="S259" s="1672"/>
    </row>
    <row r="260" spans="2:19" s="1669" customFormat="1" ht="13.5" thickBot="1" x14ac:dyDescent="0.3">
      <c r="B260" s="1713">
        <v>14.1</v>
      </c>
      <c r="C260" s="1631"/>
      <c r="D260" s="1667" t="str">
        <f>E254</f>
        <v>Toma de muestras</v>
      </c>
      <c r="E260" s="1667"/>
      <c r="F260" s="1667"/>
      <c r="G260" s="1667"/>
      <c r="H260" s="1667"/>
      <c r="I260" s="1667"/>
      <c r="J260" s="1667"/>
      <c r="K260" s="1667"/>
      <c r="L260" s="1667"/>
      <c r="M260" s="1667"/>
      <c r="N260" s="1667"/>
      <c r="O260" s="1667"/>
      <c r="P260" s="1667"/>
      <c r="Q260" s="1667"/>
      <c r="R260" s="1667"/>
      <c r="S260" s="1672"/>
    </row>
    <row r="261" spans="2:19" s="1669" customFormat="1" ht="13.5" thickBot="1" x14ac:dyDescent="0.3">
      <c r="B261" s="1670"/>
      <c r="C261" s="4563" t="s">
        <v>62</v>
      </c>
      <c r="D261" s="4555" t="s">
        <v>5</v>
      </c>
      <c r="E261" s="4555"/>
      <c r="F261" s="4555"/>
      <c r="G261" s="4555"/>
      <c r="H261" s="4555" t="s">
        <v>3297</v>
      </c>
      <c r="I261" s="4555" t="s">
        <v>3298</v>
      </c>
      <c r="J261" s="4555"/>
      <c r="K261" s="4555"/>
      <c r="L261" s="4555" t="s">
        <v>3299</v>
      </c>
      <c r="M261" s="4555"/>
      <c r="N261" s="4556"/>
      <c r="O261" s="1667"/>
      <c r="P261" s="1667"/>
      <c r="Q261" s="1667"/>
      <c r="R261" s="1667"/>
      <c r="S261" s="1672"/>
    </row>
    <row r="262" spans="2:19" s="1669" customFormat="1" ht="13.5" thickBot="1" x14ac:dyDescent="0.3">
      <c r="B262" s="1670"/>
      <c r="C262" s="4564"/>
      <c r="D262" s="4566"/>
      <c r="E262" s="4566"/>
      <c r="F262" s="4566"/>
      <c r="G262" s="4566"/>
      <c r="H262" s="4566"/>
      <c r="I262" s="1696" t="s">
        <v>3283</v>
      </c>
      <c r="J262" s="1696" t="s">
        <v>3284</v>
      </c>
      <c r="K262" s="1696" t="s">
        <v>3285</v>
      </c>
      <c r="L262" s="1696" t="s">
        <v>3283</v>
      </c>
      <c r="M262" s="1696" t="s">
        <v>3284</v>
      </c>
      <c r="N262" s="1698" t="s">
        <v>3285</v>
      </c>
      <c r="O262" s="1667"/>
      <c r="P262" s="1667"/>
      <c r="Q262" s="1667"/>
      <c r="R262" s="1667"/>
      <c r="S262" s="1672"/>
    </row>
    <row r="263" spans="2:19" s="1669" customFormat="1" ht="13.5" thickBot="1" x14ac:dyDescent="0.3">
      <c r="B263" s="1670"/>
      <c r="C263" s="4565"/>
      <c r="D263" s="4567"/>
      <c r="E263" s="4567"/>
      <c r="F263" s="4567"/>
      <c r="G263" s="4567"/>
      <c r="H263" s="4567"/>
      <c r="I263" s="1699">
        <v>0</v>
      </c>
      <c r="J263" s="1699">
        <v>0.5</v>
      </c>
      <c r="K263" s="1699">
        <v>1</v>
      </c>
      <c r="L263" s="1697">
        <v>0</v>
      </c>
      <c r="M263" s="1697">
        <v>0.5</v>
      </c>
      <c r="N263" s="1700">
        <v>1</v>
      </c>
      <c r="O263" s="1667"/>
      <c r="P263" s="1667"/>
      <c r="Q263" s="1667"/>
      <c r="R263" s="1667"/>
      <c r="S263" s="1672"/>
    </row>
    <row r="264" spans="2:19" s="1669" customFormat="1" ht="13.5" thickBot="1" x14ac:dyDescent="0.3">
      <c r="B264" s="1670"/>
      <c r="C264" s="1645">
        <v>1</v>
      </c>
      <c r="D264" s="4552" t="s">
        <v>3300</v>
      </c>
      <c r="E264" s="4552"/>
      <c r="F264" s="4552"/>
      <c r="G264" s="4552"/>
      <c r="H264" s="1646">
        <v>0.39999999999999986</v>
      </c>
      <c r="I264" s="1645">
        <v>0</v>
      </c>
      <c r="J264" s="1645"/>
      <c r="K264" s="1645"/>
      <c r="L264" s="1645">
        <f>H264*I264</f>
        <v>0</v>
      </c>
      <c r="M264" s="1647">
        <f>H264*J264</f>
        <v>0</v>
      </c>
      <c r="N264" s="1647">
        <f t="shared" ref="N264:N272" si="79">H264*K264</f>
        <v>0</v>
      </c>
      <c r="O264" s="1667"/>
      <c r="P264" s="1667"/>
      <c r="Q264" s="1667"/>
      <c r="R264" s="1667"/>
      <c r="S264" s="1672"/>
    </row>
    <row r="265" spans="2:19" s="1669" customFormat="1" ht="13.5" thickBot="1" x14ac:dyDescent="0.3">
      <c r="B265" s="1670"/>
      <c r="C265" s="1645">
        <v>2</v>
      </c>
      <c r="D265" s="4552" t="s">
        <v>3301</v>
      </c>
      <c r="E265" s="4552"/>
      <c r="F265" s="4552"/>
      <c r="G265" s="4552"/>
      <c r="H265" s="1646">
        <v>0.1333333333333333</v>
      </c>
      <c r="I265" s="1645">
        <v>0</v>
      </c>
      <c r="J265" s="1645"/>
      <c r="K265" s="1645"/>
      <c r="L265" s="1645">
        <f t="shared" ref="L265:L272" si="80">H265*I265</f>
        <v>0</v>
      </c>
      <c r="M265" s="1647">
        <f t="shared" ref="M265:M272" si="81">H265*J265</f>
        <v>0</v>
      </c>
      <c r="N265" s="1647">
        <f t="shared" si="79"/>
        <v>0</v>
      </c>
      <c r="O265" s="1667"/>
      <c r="P265" s="1667"/>
      <c r="Q265" s="1667"/>
      <c r="R265" s="1667"/>
      <c r="S265" s="1672"/>
    </row>
    <row r="266" spans="2:19" s="1669" customFormat="1" ht="13.5" thickBot="1" x14ac:dyDescent="0.3">
      <c r="B266" s="1670"/>
      <c r="C266" s="1645">
        <v>3</v>
      </c>
      <c r="D266" s="4552" t="s">
        <v>3302</v>
      </c>
      <c r="E266" s="4552"/>
      <c r="F266" s="4552"/>
      <c r="G266" s="4552"/>
      <c r="H266" s="1646">
        <v>9.9999999999999964E-2</v>
      </c>
      <c r="I266" s="1645">
        <v>0</v>
      </c>
      <c r="J266" s="1645"/>
      <c r="K266" s="1645"/>
      <c r="L266" s="1645">
        <f t="shared" si="80"/>
        <v>0</v>
      </c>
      <c r="M266" s="1647">
        <f t="shared" si="81"/>
        <v>0</v>
      </c>
      <c r="N266" s="1647">
        <f t="shared" si="79"/>
        <v>0</v>
      </c>
      <c r="O266" s="1667"/>
      <c r="P266" s="1667"/>
      <c r="Q266" s="1667"/>
      <c r="R266" s="1667"/>
      <c r="S266" s="1672"/>
    </row>
    <row r="267" spans="2:19" s="1669" customFormat="1" ht="13.5" thickBot="1" x14ac:dyDescent="0.3">
      <c r="B267" s="1670"/>
      <c r="C267" s="1645">
        <v>4</v>
      </c>
      <c r="D267" s="4552" t="s">
        <v>3303</v>
      </c>
      <c r="E267" s="4552"/>
      <c r="F267" s="4552"/>
      <c r="G267" s="4552"/>
      <c r="H267" s="1646">
        <v>7.9999999999999974E-2</v>
      </c>
      <c r="I267" s="1645"/>
      <c r="J267" s="1645">
        <v>0.5</v>
      </c>
      <c r="K267" s="1645"/>
      <c r="L267" s="1645">
        <f t="shared" si="80"/>
        <v>0</v>
      </c>
      <c r="M267" s="1647">
        <f t="shared" si="81"/>
        <v>3.9999999999999987E-2</v>
      </c>
      <c r="N267" s="1647">
        <f t="shared" si="79"/>
        <v>0</v>
      </c>
      <c r="O267" s="1667"/>
      <c r="P267" s="1667"/>
      <c r="Q267" s="1667"/>
      <c r="R267" s="1667"/>
      <c r="S267" s="1672"/>
    </row>
    <row r="268" spans="2:19" s="1669" customFormat="1" ht="13.5" thickBot="1" x14ac:dyDescent="0.3">
      <c r="B268" s="1670"/>
      <c r="C268" s="1645">
        <v>5</v>
      </c>
      <c r="D268" s="4552" t="s">
        <v>3304</v>
      </c>
      <c r="E268" s="4552"/>
      <c r="F268" s="4552"/>
      <c r="G268" s="4552"/>
      <c r="H268" s="1646">
        <v>7.3333333333333306E-2</v>
      </c>
      <c r="I268" s="1645"/>
      <c r="J268" s="1645">
        <v>0.5</v>
      </c>
      <c r="K268" s="1645"/>
      <c r="L268" s="1645">
        <f t="shared" si="80"/>
        <v>0</v>
      </c>
      <c r="M268" s="1647">
        <f t="shared" si="81"/>
        <v>3.6666666666666653E-2</v>
      </c>
      <c r="N268" s="1647">
        <f t="shared" si="79"/>
        <v>0</v>
      </c>
      <c r="O268" s="1667"/>
      <c r="P268" s="1667"/>
      <c r="Q268" s="1667"/>
      <c r="R268" s="1667"/>
      <c r="S268" s="1672"/>
    </row>
    <row r="269" spans="2:19" s="1669" customFormat="1" ht="13.5" thickBot="1" x14ac:dyDescent="0.3">
      <c r="B269" s="1670"/>
      <c r="C269" s="1645">
        <v>6</v>
      </c>
      <c r="D269" s="4552" t="s">
        <v>3305</v>
      </c>
      <c r="E269" s="4552"/>
      <c r="F269" s="4552"/>
      <c r="G269" s="4552"/>
      <c r="H269" s="1646">
        <v>6.6666666666666652E-2</v>
      </c>
      <c r="I269" s="1645"/>
      <c r="J269" s="1645">
        <v>0.5</v>
      </c>
      <c r="K269" s="1645"/>
      <c r="L269" s="1645">
        <f t="shared" si="80"/>
        <v>0</v>
      </c>
      <c r="M269" s="1647">
        <f t="shared" si="81"/>
        <v>3.3333333333333326E-2</v>
      </c>
      <c r="N269" s="1647">
        <f t="shared" si="79"/>
        <v>0</v>
      </c>
      <c r="O269" s="1667"/>
      <c r="P269" s="1667"/>
      <c r="Q269" s="1667"/>
      <c r="R269" s="1667"/>
      <c r="S269" s="1672"/>
    </row>
    <row r="270" spans="2:19" s="1669" customFormat="1" ht="13.5" thickBot="1" x14ac:dyDescent="0.3">
      <c r="B270" s="1670"/>
      <c r="C270" s="1645">
        <v>7</v>
      </c>
      <c r="D270" s="4552" t="s">
        <v>3306</v>
      </c>
      <c r="E270" s="4552"/>
      <c r="F270" s="4552"/>
      <c r="G270" s="4552"/>
      <c r="H270" s="1646">
        <v>4.6666666666666655E-2</v>
      </c>
      <c r="I270" s="1645">
        <v>0</v>
      </c>
      <c r="J270" s="1645"/>
      <c r="K270" s="1645"/>
      <c r="L270" s="1645">
        <f t="shared" si="80"/>
        <v>0</v>
      </c>
      <c r="M270" s="1647">
        <f t="shared" si="81"/>
        <v>0</v>
      </c>
      <c r="N270" s="1647">
        <f t="shared" si="79"/>
        <v>0</v>
      </c>
      <c r="O270" s="1667"/>
      <c r="P270" s="1667"/>
      <c r="Q270" s="1667"/>
      <c r="R270" s="1667"/>
      <c r="S270" s="1672"/>
    </row>
    <row r="271" spans="2:19" s="1669" customFormat="1" ht="13.5" thickBot="1" x14ac:dyDescent="0.3">
      <c r="B271" s="1670"/>
      <c r="C271" s="1645">
        <v>8</v>
      </c>
      <c r="D271" s="4552" t="s">
        <v>3307</v>
      </c>
      <c r="E271" s="4552"/>
      <c r="F271" s="4552"/>
      <c r="G271" s="4552"/>
      <c r="H271" s="1646">
        <v>3.3333333333333326E-2</v>
      </c>
      <c r="I271" s="1645">
        <v>0</v>
      </c>
      <c r="J271" s="1645"/>
      <c r="K271" s="1645"/>
      <c r="L271" s="1645">
        <f t="shared" si="80"/>
        <v>0</v>
      </c>
      <c r="M271" s="1647">
        <f t="shared" si="81"/>
        <v>0</v>
      </c>
      <c r="N271" s="1647">
        <f t="shared" si="79"/>
        <v>0</v>
      </c>
      <c r="O271" s="1667"/>
      <c r="P271" s="1667"/>
      <c r="Q271" s="1667"/>
      <c r="R271" s="1667"/>
      <c r="S271" s="1672"/>
    </row>
    <row r="272" spans="2:19" s="1669" customFormat="1" ht="13.5" thickBot="1" x14ac:dyDescent="0.3">
      <c r="B272" s="1670"/>
      <c r="C272" s="1645">
        <v>9</v>
      </c>
      <c r="D272" s="4552" t="s">
        <v>3308</v>
      </c>
      <c r="E272" s="4552"/>
      <c r="F272" s="4552"/>
      <c r="G272" s="4552"/>
      <c r="H272" s="1646">
        <v>6.6666666666666652E-2</v>
      </c>
      <c r="I272" s="1645">
        <v>0</v>
      </c>
      <c r="J272" s="1645"/>
      <c r="K272" s="1645"/>
      <c r="L272" s="1645">
        <f t="shared" si="80"/>
        <v>0</v>
      </c>
      <c r="M272" s="1647">
        <f t="shared" si="81"/>
        <v>0</v>
      </c>
      <c r="N272" s="1647">
        <f t="shared" si="79"/>
        <v>0</v>
      </c>
      <c r="O272" s="1667"/>
      <c r="P272" s="1667"/>
      <c r="Q272" s="1667"/>
      <c r="R272" s="1667"/>
      <c r="S272" s="1672"/>
    </row>
    <row r="273" spans="2:19" s="1669" customFormat="1" ht="13.5" thickBot="1" x14ac:dyDescent="0.3">
      <c r="B273" s="1670"/>
      <c r="C273" s="1667"/>
      <c r="D273" s="1667"/>
      <c r="E273" s="1667"/>
      <c r="F273" s="1667"/>
      <c r="G273" s="1667"/>
      <c r="H273" s="1648">
        <v>1</v>
      </c>
      <c r="I273" s="1648">
        <v>0</v>
      </c>
      <c r="J273" s="1648">
        <v>9.9999999999999978E-2</v>
      </c>
      <c r="K273" s="1648">
        <v>0.57999999999999985</v>
      </c>
      <c r="L273" s="1648">
        <f>SUM(L264:L272)</f>
        <v>0</v>
      </c>
      <c r="M273" s="1648">
        <f>SUM(M264:M272)</f>
        <v>0.10999999999999996</v>
      </c>
      <c r="N273" s="1648">
        <f>SUM(N264:N272)</f>
        <v>0</v>
      </c>
      <c r="O273" s="1667"/>
      <c r="P273" s="1667"/>
      <c r="Q273" s="1667"/>
      <c r="R273" s="1667"/>
      <c r="S273" s="1672"/>
    </row>
    <row r="274" spans="2:19" s="1669" customFormat="1" ht="12.75" x14ac:dyDescent="0.25">
      <c r="B274" s="1670"/>
      <c r="C274" s="1667"/>
      <c r="D274" s="1667"/>
      <c r="E274" s="1667"/>
      <c r="F274" s="1667"/>
      <c r="G274" s="1667"/>
      <c r="H274" s="1632"/>
      <c r="I274" s="1632"/>
      <c r="J274" s="1632"/>
      <c r="K274" s="1632"/>
      <c r="L274" s="1632"/>
      <c r="M274" s="1632"/>
      <c r="N274" s="1632"/>
      <c r="O274" s="1667"/>
      <c r="P274" s="1667"/>
      <c r="Q274" s="1667"/>
      <c r="R274" s="1667"/>
      <c r="S274" s="1672"/>
    </row>
    <row r="275" spans="2:19" s="1669" customFormat="1" ht="13.5" thickBot="1" x14ac:dyDescent="0.3">
      <c r="B275" s="1713">
        <v>14.2</v>
      </c>
      <c r="C275" s="1631"/>
      <c r="D275" s="1667" t="str">
        <f>E255</f>
        <v>Laboratorio de Hematología y Bioquímica</v>
      </c>
      <c r="E275" s="1667"/>
      <c r="F275" s="1667"/>
      <c r="G275" s="1667"/>
      <c r="H275" s="1667"/>
      <c r="I275" s="1667"/>
      <c r="J275" s="1667"/>
      <c r="K275" s="1667"/>
      <c r="L275" s="1667"/>
      <c r="M275" s="1667"/>
      <c r="N275" s="1667"/>
      <c r="O275" s="1667"/>
      <c r="P275" s="1667"/>
      <c r="Q275" s="1667"/>
      <c r="R275" s="1667"/>
      <c r="S275" s="1672"/>
    </row>
    <row r="276" spans="2:19" s="1669" customFormat="1" ht="13.5" thickBot="1" x14ac:dyDescent="0.3">
      <c r="B276" s="1670"/>
      <c r="C276" s="4563" t="s">
        <v>62</v>
      </c>
      <c r="D276" s="4555" t="s">
        <v>5</v>
      </c>
      <c r="E276" s="4555"/>
      <c r="F276" s="4555"/>
      <c r="G276" s="4555"/>
      <c r="H276" s="4555" t="s">
        <v>3297</v>
      </c>
      <c r="I276" s="4555" t="s">
        <v>3298</v>
      </c>
      <c r="J276" s="4555"/>
      <c r="K276" s="4555"/>
      <c r="L276" s="4555" t="s">
        <v>3299</v>
      </c>
      <c r="M276" s="4555"/>
      <c r="N276" s="4556"/>
      <c r="O276" s="1667"/>
      <c r="P276" s="1667"/>
      <c r="Q276" s="1667"/>
      <c r="R276" s="1667"/>
      <c r="S276" s="1672"/>
    </row>
    <row r="277" spans="2:19" s="1669" customFormat="1" ht="13.5" thickBot="1" x14ac:dyDescent="0.3">
      <c r="B277" s="1670"/>
      <c r="C277" s="4564"/>
      <c r="D277" s="4566"/>
      <c r="E277" s="4566"/>
      <c r="F277" s="4566"/>
      <c r="G277" s="4566"/>
      <c r="H277" s="4566"/>
      <c r="I277" s="1696" t="s">
        <v>3283</v>
      </c>
      <c r="J277" s="1696" t="s">
        <v>3284</v>
      </c>
      <c r="K277" s="1696" t="s">
        <v>3285</v>
      </c>
      <c r="L277" s="1696" t="s">
        <v>3283</v>
      </c>
      <c r="M277" s="1696" t="s">
        <v>3284</v>
      </c>
      <c r="N277" s="1698" t="s">
        <v>3285</v>
      </c>
      <c r="O277" s="1667"/>
      <c r="P277" s="1667"/>
      <c r="Q277" s="1667"/>
      <c r="R277" s="1667"/>
      <c r="S277" s="1672"/>
    </row>
    <row r="278" spans="2:19" s="1669" customFormat="1" ht="13.5" thickBot="1" x14ac:dyDescent="0.3">
      <c r="B278" s="1670"/>
      <c r="C278" s="4565"/>
      <c r="D278" s="4567"/>
      <c r="E278" s="4567"/>
      <c r="F278" s="4567"/>
      <c r="G278" s="4567"/>
      <c r="H278" s="4567"/>
      <c r="I278" s="1699">
        <v>0</v>
      </c>
      <c r="J278" s="1699">
        <v>0.5</v>
      </c>
      <c r="K278" s="1699">
        <v>1</v>
      </c>
      <c r="L278" s="1697">
        <v>0</v>
      </c>
      <c r="M278" s="1697">
        <v>0.5</v>
      </c>
      <c r="N278" s="1700">
        <v>1</v>
      </c>
      <c r="O278" s="1667"/>
      <c r="P278" s="1667"/>
      <c r="Q278" s="1667"/>
      <c r="R278" s="1667"/>
      <c r="S278" s="1672"/>
    </row>
    <row r="279" spans="2:19" s="1669" customFormat="1" ht="13.5" thickBot="1" x14ac:dyDescent="0.3">
      <c r="B279" s="1670"/>
      <c r="C279" s="1645">
        <v>1</v>
      </c>
      <c r="D279" s="4552" t="s">
        <v>3300</v>
      </c>
      <c r="E279" s="4552"/>
      <c r="F279" s="4552"/>
      <c r="G279" s="4552"/>
      <c r="H279" s="1646">
        <v>0.39999999999999986</v>
      </c>
      <c r="I279" s="1645">
        <v>0</v>
      </c>
      <c r="J279" s="1645"/>
      <c r="K279" s="1645"/>
      <c r="L279" s="1645">
        <f>H279*I279</f>
        <v>0</v>
      </c>
      <c r="M279" s="1647">
        <f>H279*J279</f>
        <v>0</v>
      </c>
      <c r="N279" s="1647">
        <f t="shared" ref="N279:N287" si="82">H279*K279</f>
        <v>0</v>
      </c>
      <c r="O279" s="1667"/>
      <c r="P279" s="1667"/>
      <c r="Q279" s="1667"/>
      <c r="R279" s="1667"/>
      <c r="S279" s="1672"/>
    </row>
    <row r="280" spans="2:19" s="1669" customFormat="1" ht="13.5" thickBot="1" x14ac:dyDescent="0.3">
      <c r="B280" s="1670"/>
      <c r="C280" s="1645">
        <v>2</v>
      </c>
      <c r="D280" s="4552" t="s">
        <v>3301</v>
      </c>
      <c r="E280" s="4552"/>
      <c r="F280" s="4552"/>
      <c r="G280" s="4552"/>
      <c r="H280" s="1646">
        <v>0.1333333333333333</v>
      </c>
      <c r="I280" s="1645">
        <v>0</v>
      </c>
      <c r="J280" s="1645"/>
      <c r="K280" s="1645"/>
      <c r="L280" s="1645">
        <f t="shared" ref="L280:L287" si="83">H280*I280</f>
        <v>0</v>
      </c>
      <c r="M280" s="1647">
        <f t="shared" ref="M280:M287" si="84">H280*J280</f>
        <v>0</v>
      </c>
      <c r="N280" s="1647">
        <f t="shared" si="82"/>
        <v>0</v>
      </c>
      <c r="O280" s="1667"/>
      <c r="P280" s="1667"/>
      <c r="Q280" s="1667"/>
      <c r="R280" s="1667"/>
      <c r="S280" s="1672"/>
    </row>
    <row r="281" spans="2:19" s="1669" customFormat="1" ht="13.5" thickBot="1" x14ac:dyDescent="0.3">
      <c r="B281" s="1670"/>
      <c r="C281" s="1645">
        <v>3</v>
      </c>
      <c r="D281" s="4552" t="s">
        <v>3302</v>
      </c>
      <c r="E281" s="4552"/>
      <c r="F281" s="4552"/>
      <c r="G281" s="4552"/>
      <c r="H281" s="1646">
        <v>9.9999999999999964E-2</v>
      </c>
      <c r="I281" s="1645">
        <v>0</v>
      </c>
      <c r="J281" s="1645"/>
      <c r="K281" s="1645"/>
      <c r="L281" s="1645">
        <f t="shared" si="83"/>
        <v>0</v>
      </c>
      <c r="M281" s="1647">
        <f t="shared" si="84"/>
        <v>0</v>
      </c>
      <c r="N281" s="1647">
        <f t="shared" si="82"/>
        <v>0</v>
      </c>
      <c r="O281" s="1667"/>
      <c r="P281" s="1667"/>
      <c r="Q281" s="1667"/>
      <c r="R281" s="1667"/>
      <c r="S281" s="1672"/>
    </row>
    <row r="282" spans="2:19" s="1669" customFormat="1" ht="13.5" thickBot="1" x14ac:dyDescent="0.3">
      <c r="B282" s="1670"/>
      <c r="C282" s="1645">
        <v>4</v>
      </c>
      <c r="D282" s="4552" t="s">
        <v>3303</v>
      </c>
      <c r="E282" s="4552"/>
      <c r="F282" s="4552"/>
      <c r="G282" s="4552"/>
      <c r="H282" s="1646">
        <v>7.9999999999999974E-2</v>
      </c>
      <c r="I282" s="1645"/>
      <c r="J282" s="1645">
        <v>0.5</v>
      </c>
      <c r="K282" s="1645"/>
      <c r="L282" s="1645">
        <f t="shared" si="83"/>
        <v>0</v>
      </c>
      <c r="M282" s="1647">
        <f t="shared" si="84"/>
        <v>3.9999999999999987E-2</v>
      </c>
      <c r="N282" s="1647">
        <f t="shared" si="82"/>
        <v>0</v>
      </c>
      <c r="O282" s="1667"/>
      <c r="P282" s="1667"/>
      <c r="Q282" s="1667"/>
      <c r="R282" s="1667"/>
      <c r="S282" s="1672"/>
    </row>
    <row r="283" spans="2:19" s="1669" customFormat="1" ht="13.5" thickBot="1" x14ac:dyDescent="0.3">
      <c r="B283" s="1670"/>
      <c r="C283" s="1645">
        <v>5</v>
      </c>
      <c r="D283" s="4552" t="s">
        <v>3304</v>
      </c>
      <c r="E283" s="4552"/>
      <c r="F283" s="4552"/>
      <c r="G283" s="4552"/>
      <c r="H283" s="1646">
        <v>7.3333333333333306E-2</v>
      </c>
      <c r="I283" s="1645"/>
      <c r="J283" s="1645">
        <v>0.5</v>
      </c>
      <c r="K283" s="1645"/>
      <c r="L283" s="1645">
        <f t="shared" si="83"/>
        <v>0</v>
      </c>
      <c r="M283" s="1647">
        <f t="shared" si="84"/>
        <v>3.6666666666666653E-2</v>
      </c>
      <c r="N283" s="1647">
        <f t="shared" si="82"/>
        <v>0</v>
      </c>
      <c r="O283" s="1667"/>
      <c r="P283" s="1667"/>
      <c r="Q283" s="1667"/>
      <c r="R283" s="1667"/>
      <c r="S283" s="1672"/>
    </row>
    <row r="284" spans="2:19" s="1669" customFormat="1" ht="13.5" thickBot="1" x14ac:dyDescent="0.3">
      <c r="B284" s="1670"/>
      <c r="C284" s="1645">
        <v>6</v>
      </c>
      <c r="D284" s="4552" t="s">
        <v>3305</v>
      </c>
      <c r="E284" s="4552"/>
      <c r="F284" s="4552"/>
      <c r="G284" s="4552"/>
      <c r="H284" s="1646">
        <v>6.6666666666666652E-2</v>
      </c>
      <c r="I284" s="1645"/>
      <c r="J284" s="1645">
        <v>0.5</v>
      </c>
      <c r="K284" s="1645"/>
      <c r="L284" s="1645">
        <f t="shared" si="83"/>
        <v>0</v>
      </c>
      <c r="M284" s="1647">
        <f t="shared" si="84"/>
        <v>3.3333333333333326E-2</v>
      </c>
      <c r="N284" s="1647">
        <f t="shared" si="82"/>
        <v>0</v>
      </c>
      <c r="O284" s="1667"/>
      <c r="P284" s="1667"/>
      <c r="Q284" s="1667"/>
      <c r="R284" s="1667"/>
      <c r="S284" s="1672"/>
    </row>
    <row r="285" spans="2:19" s="1669" customFormat="1" ht="13.5" thickBot="1" x14ac:dyDescent="0.3">
      <c r="B285" s="1670"/>
      <c r="C285" s="1645">
        <v>7</v>
      </c>
      <c r="D285" s="4552" t="s">
        <v>3306</v>
      </c>
      <c r="E285" s="4552"/>
      <c r="F285" s="4552"/>
      <c r="G285" s="4552"/>
      <c r="H285" s="1646">
        <v>4.6666666666666655E-2</v>
      </c>
      <c r="I285" s="1645">
        <v>0</v>
      </c>
      <c r="J285" s="1645"/>
      <c r="K285" s="1645"/>
      <c r="L285" s="1645">
        <f t="shared" si="83"/>
        <v>0</v>
      </c>
      <c r="M285" s="1647">
        <f t="shared" si="84"/>
        <v>0</v>
      </c>
      <c r="N285" s="1647">
        <f t="shared" si="82"/>
        <v>0</v>
      </c>
      <c r="O285" s="1667"/>
      <c r="P285" s="1667"/>
      <c r="Q285" s="1667"/>
      <c r="R285" s="1667"/>
      <c r="S285" s="1672"/>
    </row>
    <row r="286" spans="2:19" s="1669" customFormat="1" ht="13.5" thickBot="1" x14ac:dyDescent="0.3">
      <c r="B286" s="1670"/>
      <c r="C286" s="1645">
        <v>8</v>
      </c>
      <c r="D286" s="4552" t="s">
        <v>3307</v>
      </c>
      <c r="E286" s="4552"/>
      <c r="F286" s="4552"/>
      <c r="G286" s="4552"/>
      <c r="H286" s="1646">
        <v>3.3333333333333326E-2</v>
      </c>
      <c r="I286" s="1645">
        <v>0</v>
      </c>
      <c r="J286" s="1645"/>
      <c r="K286" s="1645"/>
      <c r="L286" s="1645">
        <f t="shared" si="83"/>
        <v>0</v>
      </c>
      <c r="M286" s="1647">
        <f t="shared" si="84"/>
        <v>0</v>
      </c>
      <c r="N286" s="1647">
        <f t="shared" si="82"/>
        <v>0</v>
      </c>
      <c r="O286" s="1667"/>
      <c r="P286" s="1667"/>
      <c r="Q286" s="1667"/>
      <c r="R286" s="1667"/>
      <c r="S286" s="1672"/>
    </row>
    <row r="287" spans="2:19" s="1669" customFormat="1" ht="13.5" thickBot="1" x14ac:dyDescent="0.3">
      <c r="B287" s="1670"/>
      <c r="C287" s="1645">
        <v>9</v>
      </c>
      <c r="D287" s="4552" t="s">
        <v>3308</v>
      </c>
      <c r="E287" s="4552"/>
      <c r="F287" s="4552"/>
      <c r="G287" s="4552"/>
      <c r="H287" s="1646">
        <v>6.6666666666666652E-2</v>
      </c>
      <c r="I287" s="1645">
        <v>0</v>
      </c>
      <c r="J287" s="1645"/>
      <c r="K287" s="1645"/>
      <c r="L287" s="1645">
        <f t="shared" si="83"/>
        <v>0</v>
      </c>
      <c r="M287" s="1647">
        <f t="shared" si="84"/>
        <v>0</v>
      </c>
      <c r="N287" s="1647">
        <f t="shared" si="82"/>
        <v>0</v>
      </c>
      <c r="O287" s="1667"/>
      <c r="P287" s="1667"/>
      <c r="Q287" s="1667"/>
      <c r="R287" s="1667"/>
      <c r="S287" s="1672"/>
    </row>
    <row r="288" spans="2:19" s="1669" customFormat="1" ht="13.5" thickBot="1" x14ac:dyDescent="0.3">
      <c r="B288" s="1670"/>
      <c r="C288" s="1667"/>
      <c r="D288" s="1667"/>
      <c r="E288" s="1667"/>
      <c r="F288" s="1667"/>
      <c r="G288" s="1667"/>
      <c r="H288" s="1648">
        <v>1</v>
      </c>
      <c r="I288" s="1648">
        <v>0</v>
      </c>
      <c r="J288" s="1648">
        <v>9.9999999999999978E-2</v>
      </c>
      <c r="K288" s="1648">
        <v>0.57999999999999985</v>
      </c>
      <c r="L288" s="1648">
        <f>SUM(L279:L287)</f>
        <v>0</v>
      </c>
      <c r="M288" s="1648">
        <f>SUM(M279:M287)</f>
        <v>0.10999999999999996</v>
      </c>
      <c r="N288" s="1648">
        <f>SUM(N279:N287)</f>
        <v>0</v>
      </c>
      <c r="O288" s="1667"/>
      <c r="P288" s="1667"/>
      <c r="Q288" s="1667"/>
      <c r="R288" s="1667"/>
      <c r="S288" s="1672"/>
    </row>
    <row r="289" spans="2:19" s="1669" customFormat="1" ht="12.75" x14ac:dyDescent="0.25">
      <c r="B289" s="1670"/>
      <c r="C289" s="1667"/>
      <c r="D289" s="1667"/>
      <c r="E289" s="1667"/>
      <c r="F289" s="1667"/>
      <c r="G289" s="1667"/>
      <c r="H289" s="1632"/>
      <c r="I289" s="1632"/>
      <c r="J289" s="1632"/>
      <c r="K289" s="1632"/>
      <c r="L289" s="1632"/>
      <c r="M289" s="1632"/>
      <c r="N289" s="1632"/>
      <c r="O289" s="1667"/>
      <c r="P289" s="1667"/>
      <c r="Q289" s="1667"/>
      <c r="R289" s="1667"/>
      <c r="S289" s="1672"/>
    </row>
    <row r="290" spans="2:19" s="1669" customFormat="1" ht="13.5" thickBot="1" x14ac:dyDescent="0.3">
      <c r="B290" s="1670">
        <v>14.3</v>
      </c>
      <c r="C290" s="1667"/>
      <c r="D290" s="1667" t="str">
        <f>E256</f>
        <v>Laboratorio de Microbiología</v>
      </c>
      <c r="E290" s="1667"/>
      <c r="F290" s="1667"/>
      <c r="G290" s="1667"/>
      <c r="H290" s="1632"/>
      <c r="I290" s="1632"/>
      <c r="J290" s="1632"/>
      <c r="K290" s="1632"/>
      <c r="L290" s="1632"/>
      <c r="M290" s="1632"/>
      <c r="N290" s="1632"/>
      <c r="O290" s="1667"/>
      <c r="P290" s="1667"/>
      <c r="Q290" s="1667"/>
      <c r="R290" s="1667"/>
      <c r="S290" s="1672"/>
    </row>
    <row r="291" spans="2:19" s="1669" customFormat="1" ht="13.5" thickBot="1" x14ac:dyDescent="0.3">
      <c r="B291" s="1670"/>
      <c r="C291" s="4563" t="s">
        <v>62</v>
      </c>
      <c r="D291" s="4555" t="s">
        <v>5</v>
      </c>
      <c r="E291" s="4555"/>
      <c r="F291" s="4555"/>
      <c r="G291" s="4555"/>
      <c r="H291" s="4555" t="s">
        <v>3297</v>
      </c>
      <c r="I291" s="4555" t="s">
        <v>3298</v>
      </c>
      <c r="J291" s="4555"/>
      <c r="K291" s="4555"/>
      <c r="L291" s="4555" t="s">
        <v>3299</v>
      </c>
      <c r="M291" s="4555"/>
      <c r="N291" s="4556"/>
      <c r="O291" s="1667"/>
      <c r="P291" s="1667"/>
      <c r="Q291" s="1667"/>
      <c r="R291" s="1667"/>
      <c r="S291" s="1672"/>
    </row>
    <row r="292" spans="2:19" s="1669" customFormat="1" ht="13.5" thickBot="1" x14ac:dyDescent="0.3">
      <c r="B292" s="1670"/>
      <c r="C292" s="4564"/>
      <c r="D292" s="4566"/>
      <c r="E292" s="4566"/>
      <c r="F292" s="4566"/>
      <c r="G292" s="4566"/>
      <c r="H292" s="4566"/>
      <c r="I292" s="1696" t="s">
        <v>3283</v>
      </c>
      <c r="J292" s="1696" t="s">
        <v>3284</v>
      </c>
      <c r="K292" s="1696" t="s">
        <v>3285</v>
      </c>
      <c r="L292" s="1696" t="s">
        <v>3283</v>
      </c>
      <c r="M292" s="1696" t="s">
        <v>3284</v>
      </c>
      <c r="N292" s="1698" t="s">
        <v>3285</v>
      </c>
      <c r="O292" s="1667"/>
      <c r="P292" s="1667"/>
      <c r="Q292" s="1667"/>
      <c r="R292" s="1667"/>
      <c r="S292" s="1672"/>
    </row>
    <row r="293" spans="2:19" s="1669" customFormat="1" ht="13.5" thickBot="1" x14ac:dyDescent="0.3">
      <c r="B293" s="1670"/>
      <c r="C293" s="4565"/>
      <c r="D293" s="4567"/>
      <c r="E293" s="4567"/>
      <c r="F293" s="4567"/>
      <c r="G293" s="4567"/>
      <c r="H293" s="4567"/>
      <c r="I293" s="1699">
        <v>0</v>
      </c>
      <c r="J293" s="1699">
        <v>0.5</v>
      </c>
      <c r="K293" s="1699">
        <v>1</v>
      </c>
      <c r="L293" s="1697">
        <v>0</v>
      </c>
      <c r="M293" s="1697">
        <v>0.5</v>
      </c>
      <c r="N293" s="1700">
        <v>1</v>
      </c>
      <c r="O293" s="1667"/>
      <c r="P293" s="1667"/>
      <c r="Q293" s="1667"/>
      <c r="R293" s="1667"/>
      <c r="S293" s="1672"/>
    </row>
    <row r="294" spans="2:19" s="1669" customFormat="1" ht="13.5" thickBot="1" x14ac:dyDescent="0.3">
      <c r="B294" s="1670"/>
      <c r="C294" s="1645">
        <v>1</v>
      </c>
      <c r="D294" s="4552" t="s">
        <v>3300</v>
      </c>
      <c r="E294" s="4552"/>
      <c r="F294" s="4552"/>
      <c r="G294" s="4552"/>
      <c r="H294" s="1646">
        <v>0.39999999999999986</v>
      </c>
      <c r="I294" s="1645">
        <v>0</v>
      </c>
      <c r="J294" s="1645"/>
      <c r="K294" s="1645"/>
      <c r="L294" s="1645">
        <f>H294*I294</f>
        <v>0</v>
      </c>
      <c r="M294" s="1647">
        <f>H294*J294</f>
        <v>0</v>
      </c>
      <c r="N294" s="1647">
        <f t="shared" ref="N294:N302" si="85">H294*K294</f>
        <v>0</v>
      </c>
      <c r="O294" s="1667"/>
      <c r="P294" s="1667"/>
      <c r="Q294" s="1667"/>
      <c r="R294" s="1667"/>
      <c r="S294" s="1672"/>
    </row>
    <row r="295" spans="2:19" s="1669" customFormat="1" ht="13.5" thickBot="1" x14ac:dyDescent="0.3">
      <c r="B295" s="1670"/>
      <c r="C295" s="1645">
        <v>2</v>
      </c>
      <c r="D295" s="4552" t="s">
        <v>3301</v>
      </c>
      <c r="E295" s="4552"/>
      <c r="F295" s="4552"/>
      <c r="G295" s="4552"/>
      <c r="H295" s="1646">
        <v>0.1333333333333333</v>
      </c>
      <c r="I295" s="1645">
        <v>0</v>
      </c>
      <c r="J295" s="1645"/>
      <c r="K295" s="1645"/>
      <c r="L295" s="1645">
        <f t="shared" ref="L295:L302" si="86">H295*I295</f>
        <v>0</v>
      </c>
      <c r="M295" s="1647">
        <f t="shared" ref="M295:M302" si="87">H295*J295</f>
        <v>0</v>
      </c>
      <c r="N295" s="1647">
        <f t="shared" si="85"/>
        <v>0</v>
      </c>
      <c r="O295" s="1667"/>
      <c r="P295" s="1667"/>
      <c r="Q295" s="1667"/>
      <c r="R295" s="1667"/>
      <c r="S295" s="1672"/>
    </row>
    <row r="296" spans="2:19" s="1669" customFormat="1" ht="13.5" thickBot="1" x14ac:dyDescent="0.3">
      <c r="B296" s="1670"/>
      <c r="C296" s="1645">
        <v>3</v>
      </c>
      <c r="D296" s="4552" t="s">
        <v>3302</v>
      </c>
      <c r="E296" s="4552"/>
      <c r="F296" s="4552"/>
      <c r="G296" s="4552"/>
      <c r="H296" s="1646">
        <v>9.9999999999999964E-2</v>
      </c>
      <c r="I296" s="1645">
        <v>0</v>
      </c>
      <c r="J296" s="1645"/>
      <c r="K296" s="1645"/>
      <c r="L296" s="1645">
        <f t="shared" si="86"/>
        <v>0</v>
      </c>
      <c r="M296" s="1647">
        <f t="shared" si="87"/>
        <v>0</v>
      </c>
      <c r="N296" s="1647">
        <f t="shared" si="85"/>
        <v>0</v>
      </c>
      <c r="O296" s="1667"/>
      <c r="P296" s="1667"/>
      <c r="Q296" s="1667"/>
      <c r="R296" s="1667"/>
      <c r="S296" s="1672"/>
    </row>
    <row r="297" spans="2:19" s="1669" customFormat="1" ht="13.5" thickBot="1" x14ac:dyDescent="0.3">
      <c r="B297" s="1670"/>
      <c r="C297" s="1645">
        <v>4</v>
      </c>
      <c r="D297" s="4552" t="s">
        <v>3303</v>
      </c>
      <c r="E297" s="4552"/>
      <c r="F297" s="4552"/>
      <c r="G297" s="4552"/>
      <c r="H297" s="1646">
        <v>7.9999999999999974E-2</v>
      </c>
      <c r="I297" s="1645"/>
      <c r="J297" s="1645">
        <v>0.5</v>
      </c>
      <c r="K297" s="1645"/>
      <c r="L297" s="1645">
        <f t="shared" si="86"/>
        <v>0</v>
      </c>
      <c r="M297" s="1647">
        <f t="shared" si="87"/>
        <v>3.9999999999999987E-2</v>
      </c>
      <c r="N297" s="1647">
        <f t="shared" si="85"/>
        <v>0</v>
      </c>
      <c r="O297" s="1667"/>
      <c r="P297" s="1667"/>
      <c r="Q297" s="1667"/>
      <c r="R297" s="1667"/>
      <c r="S297" s="1672"/>
    </row>
    <row r="298" spans="2:19" s="1669" customFormat="1" ht="13.5" thickBot="1" x14ac:dyDescent="0.3">
      <c r="B298" s="1670"/>
      <c r="C298" s="1645">
        <v>5</v>
      </c>
      <c r="D298" s="4552" t="s">
        <v>3304</v>
      </c>
      <c r="E298" s="4552"/>
      <c r="F298" s="4552"/>
      <c r="G298" s="4552"/>
      <c r="H298" s="1646">
        <v>7.3333333333333306E-2</v>
      </c>
      <c r="I298" s="1645"/>
      <c r="J298" s="1645">
        <v>0.5</v>
      </c>
      <c r="K298" s="1645"/>
      <c r="L298" s="1645">
        <f t="shared" si="86"/>
        <v>0</v>
      </c>
      <c r="M298" s="1647">
        <f t="shared" si="87"/>
        <v>3.6666666666666653E-2</v>
      </c>
      <c r="N298" s="1647">
        <f t="shared" si="85"/>
        <v>0</v>
      </c>
      <c r="O298" s="1667"/>
      <c r="P298" s="1667"/>
      <c r="Q298" s="1667"/>
      <c r="R298" s="1667"/>
      <c r="S298" s="1672"/>
    </row>
    <row r="299" spans="2:19" s="1669" customFormat="1" ht="13.5" thickBot="1" x14ac:dyDescent="0.3">
      <c r="B299" s="1670"/>
      <c r="C299" s="1645">
        <v>6</v>
      </c>
      <c r="D299" s="4552" t="s">
        <v>3305</v>
      </c>
      <c r="E299" s="4552"/>
      <c r="F299" s="4552"/>
      <c r="G299" s="4552"/>
      <c r="H299" s="1646">
        <v>6.6666666666666652E-2</v>
      </c>
      <c r="I299" s="1645"/>
      <c r="J299" s="1645">
        <v>0.5</v>
      </c>
      <c r="K299" s="1645"/>
      <c r="L299" s="1645">
        <f t="shared" si="86"/>
        <v>0</v>
      </c>
      <c r="M299" s="1647">
        <f t="shared" si="87"/>
        <v>3.3333333333333326E-2</v>
      </c>
      <c r="N299" s="1647">
        <f t="shared" si="85"/>
        <v>0</v>
      </c>
      <c r="O299" s="1667"/>
      <c r="P299" s="1667"/>
      <c r="Q299" s="1667"/>
      <c r="R299" s="1667"/>
      <c r="S299" s="1672"/>
    </row>
    <row r="300" spans="2:19" s="1669" customFormat="1" ht="13.5" thickBot="1" x14ac:dyDescent="0.3">
      <c r="B300" s="1670"/>
      <c r="C300" s="1645">
        <v>7</v>
      </c>
      <c r="D300" s="4552" t="s">
        <v>3306</v>
      </c>
      <c r="E300" s="4552"/>
      <c r="F300" s="4552"/>
      <c r="G300" s="4552"/>
      <c r="H300" s="1646">
        <v>4.6666666666666655E-2</v>
      </c>
      <c r="I300" s="1645">
        <v>0</v>
      </c>
      <c r="J300" s="1645"/>
      <c r="K300" s="1645"/>
      <c r="L300" s="1645">
        <f t="shared" si="86"/>
        <v>0</v>
      </c>
      <c r="M300" s="1647">
        <f t="shared" si="87"/>
        <v>0</v>
      </c>
      <c r="N300" s="1647">
        <f t="shared" si="85"/>
        <v>0</v>
      </c>
      <c r="O300" s="1667"/>
      <c r="P300" s="1667"/>
      <c r="Q300" s="1667"/>
      <c r="R300" s="1667"/>
      <c r="S300" s="1672"/>
    </row>
    <row r="301" spans="2:19" s="1669" customFormat="1" ht="13.5" thickBot="1" x14ac:dyDescent="0.3">
      <c r="B301" s="1670"/>
      <c r="C301" s="1645">
        <v>8</v>
      </c>
      <c r="D301" s="4552" t="s">
        <v>3307</v>
      </c>
      <c r="E301" s="4552"/>
      <c r="F301" s="4552"/>
      <c r="G301" s="4552"/>
      <c r="H301" s="1646">
        <v>3.3333333333333326E-2</v>
      </c>
      <c r="I301" s="1645">
        <v>0</v>
      </c>
      <c r="J301" s="1645"/>
      <c r="K301" s="1645"/>
      <c r="L301" s="1645">
        <f t="shared" si="86"/>
        <v>0</v>
      </c>
      <c r="M301" s="1647">
        <f t="shared" si="87"/>
        <v>0</v>
      </c>
      <c r="N301" s="1647">
        <f t="shared" si="85"/>
        <v>0</v>
      </c>
      <c r="O301" s="1667"/>
      <c r="P301" s="1667"/>
      <c r="Q301" s="1667"/>
      <c r="R301" s="1667"/>
      <c r="S301" s="1672"/>
    </row>
    <row r="302" spans="2:19" s="1669" customFormat="1" ht="13.5" thickBot="1" x14ac:dyDescent="0.3">
      <c r="B302" s="1670"/>
      <c r="C302" s="1645">
        <v>9</v>
      </c>
      <c r="D302" s="4552" t="s">
        <v>3308</v>
      </c>
      <c r="E302" s="4552"/>
      <c r="F302" s="4552"/>
      <c r="G302" s="4552"/>
      <c r="H302" s="1646">
        <v>6.6666666666666652E-2</v>
      </c>
      <c r="I302" s="1645">
        <v>0</v>
      </c>
      <c r="J302" s="1645"/>
      <c r="K302" s="1645"/>
      <c r="L302" s="1645">
        <f t="shared" si="86"/>
        <v>0</v>
      </c>
      <c r="M302" s="1647">
        <f t="shared" si="87"/>
        <v>0</v>
      </c>
      <c r="N302" s="1647">
        <f t="shared" si="85"/>
        <v>0</v>
      </c>
      <c r="O302" s="1667"/>
      <c r="P302" s="1667"/>
      <c r="Q302" s="1667"/>
      <c r="R302" s="1667"/>
      <c r="S302" s="1672"/>
    </row>
    <row r="303" spans="2:19" s="1669" customFormat="1" ht="13.5" thickBot="1" x14ac:dyDescent="0.3">
      <c r="B303" s="1670"/>
      <c r="C303" s="1667"/>
      <c r="D303" s="1667"/>
      <c r="E303" s="1667"/>
      <c r="F303" s="1667"/>
      <c r="G303" s="1667"/>
      <c r="H303" s="1648">
        <v>1</v>
      </c>
      <c r="I303" s="1648">
        <v>0</v>
      </c>
      <c r="J303" s="1648">
        <v>9.9999999999999978E-2</v>
      </c>
      <c r="K303" s="1648">
        <v>0.57999999999999985</v>
      </c>
      <c r="L303" s="1648">
        <f>SUM(L294:L302)</f>
        <v>0</v>
      </c>
      <c r="M303" s="1648">
        <f>SUM(M294:M302)</f>
        <v>0.10999999999999996</v>
      </c>
      <c r="N303" s="1648">
        <f>SUM(N294:N302)</f>
        <v>0</v>
      </c>
      <c r="O303" s="1667"/>
      <c r="P303" s="1667"/>
      <c r="Q303" s="1667"/>
      <c r="R303" s="1667"/>
      <c r="S303" s="1672"/>
    </row>
    <row r="304" spans="2:19" s="1669" customFormat="1" ht="12.75" x14ac:dyDescent="0.25">
      <c r="B304" s="1670"/>
      <c r="C304" s="1667"/>
      <c r="D304" s="1667"/>
      <c r="E304" s="1667"/>
      <c r="F304" s="1667"/>
      <c r="G304" s="1667"/>
      <c r="H304" s="1632"/>
      <c r="I304" s="1632"/>
      <c r="J304" s="1632"/>
      <c r="K304" s="1632"/>
      <c r="L304" s="1632"/>
      <c r="M304" s="1632"/>
      <c r="N304" s="1632"/>
      <c r="O304" s="1667"/>
      <c r="P304" s="1667"/>
      <c r="Q304" s="1667"/>
      <c r="R304" s="1667"/>
      <c r="S304" s="1672"/>
    </row>
    <row r="305" spans="2:19" s="1669" customFormat="1" ht="13.5" thickBot="1" x14ac:dyDescent="0.3">
      <c r="B305" s="1670">
        <v>14.4</v>
      </c>
      <c r="C305" s="1667"/>
      <c r="D305" s="1667" t="str">
        <f>E257</f>
        <v>Parasitología</v>
      </c>
      <c r="E305" s="1667"/>
      <c r="F305" s="1667"/>
      <c r="G305" s="1667"/>
      <c r="H305" s="1632"/>
      <c r="I305" s="1632"/>
      <c r="J305" s="1632"/>
      <c r="K305" s="1632"/>
      <c r="L305" s="1632"/>
      <c r="M305" s="1632"/>
      <c r="N305" s="1632"/>
      <c r="O305" s="1667"/>
      <c r="P305" s="1667"/>
      <c r="Q305" s="1667"/>
      <c r="R305" s="1667"/>
      <c r="S305" s="1672"/>
    </row>
    <row r="306" spans="2:19" s="1669" customFormat="1" ht="13.5" thickBot="1" x14ac:dyDescent="0.3">
      <c r="B306" s="1670"/>
      <c r="C306" s="4563" t="s">
        <v>62</v>
      </c>
      <c r="D306" s="4555" t="s">
        <v>5</v>
      </c>
      <c r="E306" s="4555"/>
      <c r="F306" s="4555"/>
      <c r="G306" s="4555"/>
      <c r="H306" s="4555" t="s">
        <v>3297</v>
      </c>
      <c r="I306" s="4555" t="s">
        <v>3298</v>
      </c>
      <c r="J306" s="4555"/>
      <c r="K306" s="4555"/>
      <c r="L306" s="4555" t="s">
        <v>3299</v>
      </c>
      <c r="M306" s="4555"/>
      <c r="N306" s="4556"/>
      <c r="O306" s="1667"/>
      <c r="P306" s="1667"/>
      <c r="Q306" s="1667"/>
      <c r="R306" s="1667"/>
      <c r="S306" s="1672"/>
    </row>
    <row r="307" spans="2:19" s="1669" customFormat="1" ht="13.9" customHeight="1" thickBot="1" x14ac:dyDescent="0.3">
      <c r="B307" s="1670"/>
      <c r="C307" s="4564"/>
      <c r="D307" s="4566"/>
      <c r="E307" s="4566"/>
      <c r="F307" s="4566"/>
      <c r="G307" s="4566"/>
      <c r="H307" s="4566"/>
      <c r="I307" s="1696" t="s">
        <v>3283</v>
      </c>
      <c r="J307" s="1696" t="s">
        <v>3284</v>
      </c>
      <c r="K307" s="1696" t="s">
        <v>3285</v>
      </c>
      <c r="L307" s="1696" t="s">
        <v>3283</v>
      </c>
      <c r="M307" s="1696" t="s">
        <v>3284</v>
      </c>
      <c r="N307" s="1698" t="s">
        <v>3285</v>
      </c>
      <c r="O307" s="1667"/>
      <c r="P307" s="1667"/>
      <c r="Q307" s="1667"/>
      <c r="R307" s="1667"/>
      <c r="S307" s="1672"/>
    </row>
    <row r="308" spans="2:19" s="1669" customFormat="1" ht="13.5" thickBot="1" x14ac:dyDescent="0.3">
      <c r="B308" s="1670"/>
      <c r="C308" s="4565"/>
      <c r="D308" s="4567"/>
      <c r="E308" s="4567"/>
      <c r="F308" s="4567"/>
      <c r="G308" s="4567"/>
      <c r="H308" s="4567"/>
      <c r="I308" s="1699">
        <v>0</v>
      </c>
      <c r="J308" s="1699">
        <v>0.5</v>
      </c>
      <c r="K308" s="1699">
        <v>1</v>
      </c>
      <c r="L308" s="1697">
        <v>0</v>
      </c>
      <c r="M308" s="1697">
        <v>0.5</v>
      </c>
      <c r="N308" s="1700">
        <v>1</v>
      </c>
      <c r="O308" s="1667"/>
      <c r="P308" s="1667"/>
      <c r="Q308" s="1667"/>
      <c r="R308" s="1667"/>
      <c r="S308" s="1672"/>
    </row>
    <row r="309" spans="2:19" s="1669" customFormat="1" ht="13.5" thickBot="1" x14ac:dyDescent="0.3">
      <c r="B309" s="1670"/>
      <c r="C309" s="1645">
        <v>1</v>
      </c>
      <c r="D309" s="4552" t="s">
        <v>3300</v>
      </c>
      <c r="E309" s="4552"/>
      <c r="F309" s="4552"/>
      <c r="G309" s="4552"/>
      <c r="H309" s="1646">
        <v>0.39999999999999986</v>
      </c>
      <c r="I309" s="1645">
        <v>0</v>
      </c>
      <c r="J309" s="1645"/>
      <c r="K309" s="1645"/>
      <c r="L309" s="1645">
        <f>H309*I309</f>
        <v>0</v>
      </c>
      <c r="M309" s="1647">
        <f>H309*J309</f>
        <v>0</v>
      </c>
      <c r="N309" s="1647">
        <f t="shared" ref="N309:N317" si="88">H309*K309</f>
        <v>0</v>
      </c>
      <c r="O309" s="1667"/>
      <c r="P309" s="1667"/>
      <c r="Q309" s="1667"/>
      <c r="R309" s="1667"/>
      <c r="S309" s="1672"/>
    </row>
    <row r="310" spans="2:19" s="1669" customFormat="1" ht="13.9" customHeight="1" thickBot="1" x14ac:dyDescent="0.3">
      <c r="B310" s="1670"/>
      <c r="C310" s="1645">
        <v>2</v>
      </c>
      <c r="D310" s="4552" t="s">
        <v>3301</v>
      </c>
      <c r="E310" s="4552"/>
      <c r="F310" s="4552"/>
      <c r="G310" s="4552"/>
      <c r="H310" s="1646">
        <v>0.1333333333333333</v>
      </c>
      <c r="I310" s="1645">
        <v>0</v>
      </c>
      <c r="J310" s="1645"/>
      <c r="K310" s="1645"/>
      <c r="L310" s="1645">
        <f t="shared" ref="L310:L317" si="89">H310*I310</f>
        <v>0</v>
      </c>
      <c r="M310" s="1647">
        <f t="shared" ref="M310:M317" si="90">H310*J310</f>
        <v>0</v>
      </c>
      <c r="N310" s="1647">
        <f t="shared" si="88"/>
        <v>0</v>
      </c>
      <c r="O310" s="1667"/>
      <c r="P310" s="1667"/>
      <c r="Q310" s="1667"/>
      <c r="R310" s="1667"/>
      <c r="S310" s="1672"/>
    </row>
    <row r="311" spans="2:19" s="1669" customFormat="1" ht="13.9" customHeight="1" thickBot="1" x14ac:dyDescent="0.3">
      <c r="B311" s="1670"/>
      <c r="C311" s="1645">
        <v>3</v>
      </c>
      <c r="D311" s="4552" t="s">
        <v>3302</v>
      </c>
      <c r="E311" s="4552"/>
      <c r="F311" s="4552"/>
      <c r="G311" s="4552"/>
      <c r="H311" s="1646">
        <v>9.9999999999999964E-2</v>
      </c>
      <c r="I311" s="1645">
        <v>0</v>
      </c>
      <c r="J311" s="1645"/>
      <c r="K311" s="1645"/>
      <c r="L311" s="1645">
        <f t="shared" si="89"/>
        <v>0</v>
      </c>
      <c r="M311" s="1647">
        <f t="shared" si="90"/>
        <v>0</v>
      </c>
      <c r="N311" s="1647">
        <f t="shared" si="88"/>
        <v>0</v>
      </c>
      <c r="O311" s="1667"/>
      <c r="P311" s="1667"/>
      <c r="Q311" s="1667"/>
      <c r="R311" s="1667"/>
      <c r="S311" s="1672"/>
    </row>
    <row r="312" spans="2:19" s="1669" customFormat="1" ht="13.9" customHeight="1" thickBot="1" x14ac:dyDescent="0.3">
      <c r="B312" s="1670"/>
      <c r="C312" s="1645">
        <v>4</v>
      </c>
      <c r="D312" s="4552" t="s">
        <v>3303</v>
      </c>
      <c r="E312" s="4552"/>
      <c r="F312" s="4552"/>
      <c r="G312" s="4552"/>
      <c r="H312" s="1646">
        <v>7.9999999999999974E-2</v>
      </c>
      <c r="I312" s="1645"/>
      <c r="J312" s="1645">
        <v>0.5</v>
      </c>
      <c r="K312" s="1645"/>
      <c r="L312" s="1645">
        <f t="shared" si="89"/>
        <v>0</v>
      </c>
      <c r="M312" s="1647">
        <f t="shared" si="90"/>
        <v>3.9999999999999987E-2</v>
      </c>
      <c r="N312" s="1647">
        <f t="shared" si="88"/>
        <v>0</v>
      </c>
      <c r="O312" s="1667"/>
      <c r="P312" s="1667"/>
      <c r="Q312" s="1667"/>
      <c r="R312" s="1667"/>
      <c r="S312" s="1672"/>
    </row>
    <row r="313" spans="2:19" s="1669" customFormat="1" ht="13.9" customHeight="1" thickBot="1" x14ac:dyDescent="0.3">
      <c r="B313" s="1670"/>
      <c r="C313" s="1645">
        <v>5</v>
      </c>
      <c r="D313" s="4552" t="s">
        <v>3304</v>
      </c>
      <c r="E313" s="4552"/>
      <c r="F313" s="4552"/>
      <c r="G313" s="4552"/>
      <c r="H313" s="1646">
        <v>7.3333333333333306E-2</v>
      </c>
      <c r="I313" s="1645"/>
      <c r="J313" s="1645">
        <v>0.5</v>
      </c>
      <c r="K313" s="1645"/>
      <c r="L313" s="1645">
        <f t="shared" si="89"/>
        <v>0</v>
      </c>
      <c r="M313" s="1647">
        <f t="shared" si="90"/>
        <v>3.6666666666666653E-2</v>
      </c>
      <c r="N313" s="1647">
        <f t="shared" si="88"/>
        <v>0</v>
      </c>
      <c r="O313" s="1667"/>
      <c r="P313" s="1667"/>
      <c r="Q313" s="1667"/>
      <c r="R313" s="1667"/>
      <c r="S313" s="1672"/>
    </row>
    <row r="314" spans="2:19" s="1669" customFormat="1" ht="13.9" customHeight="1" thickBot="1" x14ac:dyDescent="0.3">
      <c r="B314" s="1670"/>
      <c r="C314" s="1645">
        <v>6</v>
      </c>
      <c r="D314" s="4552" t="s">
        <v>3305</v>
      </c>
      <c r="E314" s="4552"/>
      <c r="F314" s="4552"/>
      <c r="G314" s="4552"/>
      <c r="H314" s="1646">
        <v>6.6666666666666652E-2</v>
      </c>
      <c r="I314" s="1645"/>
      <c r="J314" s="1645">
        <v>0.5</v>
      </c>
      <c r="K314" s="1645"/>
      <c r="L314" s="1645">
        <f t="shared" si="89"/>
        <v>0</v>
      </c>
      <c r="M314" s="1647">
        <f t="shared" si="90"/>
        <v>3.3333333333333326E-2</v>
      </c>
      <c r="N314" s="1647">
        <f t="shared" si="88"/>
        <v>0</v>
      </c>
      <c r="O314" s="1667"/>
      <c r="P314" s="1667"/>
      <c r="Q314" s="1667"/>
      <c r="R314" s="1667"/>
      <c r="S314" s="1672"/>
    </row>
    <row r="315" spans="2:19" s="1669" customFormat="1" ht="13.9" customHeight="1" thickBot="1" x14ac:dyDescent="0.3">
      <c r="B315" s="1670"/>
      <c r="C315" s="1645">
        <v>7</v>
      </c>
      <c r="D315" s="4552" t="s">
        <v>3306</v>
      </c>
      <c r="E315" s="4552"/>
      <c r="F315" s="4552"/>
      <c r="G315" s="4552"/>
      <c r="H315" s="1646">
        <v>4.6666666666666655E-2</v>
      </c>
      <c r="I315" s="1645">
        <v>0</v>
      </c>
      <c r="J315" s="1645"/>
      <c r="K315" s="1645"/>
      <c r="L315" s="1645">
        <f t="shared" si="89"/>
        <v>0</v>
      </c>
      <c r="M315" s="1647">
        <f t="shared" si="90"/>
        <v>0</v>
      </c>
      <c r="N315" s="1647">
        <f t="shared" si="88"/>
        <v>0</v>
      </c>
      <c r="O315" s="1667"/>
      <c r="P315" s="1667"/>
      <c r="Q315" s="1667"/>
      <c r="R315" s="1667"/>
      <c r="S315" s="1672"/>
    </row>
    <row r="316" spans="2:19" s="1669" customFormat="1" ht="13.9" customHeight="1" thickBot="1" x14ac:dyDescent="0.3">
      <c r="B316" s="1670"/>
      <c r="C316" s="1645">
        <v>8</v>
      </c>
      <c r="D316" s="4552" t="s">
        <v>3307</v>
      </c>
      <c r="E316" s="4552"/>
      <c r="F316" s="4552"/>
      <c r="G316" s="4552"/>
      <c r="H316" s="1646">
        <v>3.3333333333333326E-2</v>
      </c>
      <c r="I316" s="1645">
        <v>0</v>
      </c>
      <c r="J316" s="1645"/>
      <c r="K316" s="1645"/>
      <c r="L316" s="1645">
        <f t="shared" si="89"/>
        <v>0</v>
      </c>
      <c r="M316" s="1647">
        <f t="shared" si="90"/>
        <v>0</v>
      </c>
      <c r="N316" s="1647">
        <f t="shared" si="88"/>
        <v>0</v>
      </c>
      <c r="O316" s="1667"/>
      <c r="P316" s="1667"/>
      <c r="Q316" s="1667"/>
      <c r="R316" s="1667"/>
      <c r="S316" s="1672"/>
    </row>
    <row r="317" spans="2:19" s="1669" customFormat="1" ht="13.9" customHeight="1" thickBot="1" x14ac:dyDescent="0.3">
      <c r="B317" s="1670"/>
      <c r="C317" s="1645">
        <v>9</v>
      </c>
      <c r="D317" s="4552" t="s">
        <v>3308</v>
      </c>
      <c r="E317" s="4552"/>
      <c r="F317" s="4552"/>
      <c r="G317" s="4552"/>
      <c r="H317" s="1646">
        <v>6.6666666666666652E-2</v>
      </c>
      <c r="I317" s="1645">
        <v>0</v>
      </c>
      <c r="J317" s="1645"/>
      <c r="K317" s="1645"/>
      <c r="L317" s="1645">
        <f t="shared" si="89"/>
        <v>0</v>
      </c>
      <c r="M317" s="1647">
        <f t="shared" si="90"/>
        <v>0</v>
      </c>
      <c r="N317" s="1647">
        <f t="shared" si="88"/>
        <v>0</v>
      </c>
      <c r="O317" s="1667"/>
      <c r="P317" s="1667"/>
      <c r="Q317" s="1667"/>
      <c r="R317" s="1667"/>
      <c r="S317" s="1672"/>
    </row>
    <row r="318" spans="2:19" s="1669" customFormat="1" ht="13.9" customHeight="1" thickBot="1" x14ac:dyDescent="0.3">
      <c r="B318" s="1670"/>
      <c r="C318" s="1667"/>
      <c r="D318" s="1667"/>
      <c r="E318" s="1667"/>
      <c r="F318" s="1667"/>
      <c r="G318" s="1667"/>
      <c r="H318" s="1648">
        <v>1</v>
      </c>
      <c r="I318" s="1648">
        <v>0</v>
      </c>
      <c r="J318" s="1648">
        <v>9.9999999999999978E-2</v>
      </c>
      <c r="K318" s="1648">
        <v>0.57999999999999985</v>
      </c>
      <c r="L318" s="1648">
        <f>SUM(L309:L317)</f>
        <v>0</v>
      </c>
      <c r="M318" s="1648">
        <f>SUM(M309:M317)</f>
        <v>0.10999999999999996</v>
      </c>
      <c r="N318" s="1648">
        <f>SUM(N309:N317)</f>
        <v>0</v>
      </c>
      <c r="O318" s="1667"/>
      <c r="P318" s="1667"/>
      <c r="Q318" s="1667"/>
      <c r="R318" s="1667"/>
      <c r="S318" s="1672"/>
    </row>
    <row r="319" spans="2:19" s="1669" customFormat="1" ht="12.75" x14ac:dyDescent="0.25">
      <c r="B319" s="1670"/>
      <c r="C319" s="1667"/>
      <c r="D319" s="1667"/>
      <c r="E319" s="1667"/>
      <c r="F319" s="1667"/>
      <c r="G319" s="1667"/>
      <c r="H319" s="1632"/>
      <c r="I319" s="1632"/>
      <c r="J319" s="1632"/>
      <c r="K319" s="1632"/>
      <c r="L319" s="1632"/>
      <c r="M319" s="1632"/>
      <c r="N319" s="1632"/>
      <c r="O319" s="1667"/>
      <c r="P319" s="1667"/>
      <c r="Q319" s="1667"/>
      <c r="R319" s="1667"/>
      <c r="S319" s="1672"/>
    </row>
    <row r="320" spans="2:19" s="1669" customFormat="1" ht="12.75" x14ac:dyDescent="0.25">
      <c r="B320" s="1670"/>
      <c r="C320" s="1667"/>
      <c r="D320" s="1667"/>
      <c r="E320" s="1667"/>
      <c r="F320" s="1667"/>
      <c r="G320" s="1667"/>
      <c r="H320" s="1632"/>
      <c r="I320" s="1632"/>
      <c r="J320" s="1632"/>
      <c r="K320" s="1632"/>
      <c r="L320" s="1632"/>
      <c r="M320" s="1632"/>
      <c r="N320" s="1632"/>
      <c r="O320" s="1667"/>
      <c r="P320" s="1667"/>
      <c r="Q320" s="1667"/>
      <c r="R320" s="1667"/>
      <c r="S320" s="1672"/>
    </row>
    <row r="321" spans="2:19" s="1669" customFormat="1" ht="13.5" thickBot="1" x14ac:dyDescent="0.3">
      <c r="B321" s="1670"/>
      <c r="C321" s="1667"/>
      <c r="D321" s="1667"/>
      <c r="E321" s="1667"/>
      <c r="F321" s="1667"/>
      <c r="G321" s="1667"/>
      <c r="H321" s="1632"/>
      <c r="I321" s="1632"/>
      <c r="J321" s="1632"/>
      <c r="K321" s="1632"/>
      <c r="L321" s="1632"/>
      <c r="M321" s="1632"/>
      <c r="N321" s="1632"/>
      <c r="O321" s="1667"/>
      <c r="P321" s="1667"/>
      <c r="Q321" s="1667"/>
      <c r="R321" s="1667"/>
      <c r="S321" s="1672"/>
    </row>
    <row r="322" spans="2:19" s="1662" customFormat="1" ht="14.1" customHeight="1" thickBot="1" x14ac:dyDescent="0.3">
      <c r="B322" s="1663"/>
      <c r="C322" s="4546" t="s">
        <v>1292</v>
      </c>
      <c r="D322" s="4549"/>
      <c r="E322" s="4549" t="s">
        <v>3215</v>
      </c>
      <c r="F322" s="4559" t="s">
        <v>3276</v>
      </c>
      <c r="G322" s="4559"/>
      <c r="H322" s="4559"/>
      <c r="I322" s="4559"/>
      <c r="J322" s="4559"/>
      <c r="K322" s="4559" t="s">
        <v>3217</v>
      </c>
      <c r="L322" s="4559"/>
      <c r="M322" s="4559"/>
      <c r="N322" s="4559"/>
      <c r="O322" s="4559"/>
      <c r="P322" s="4559"/>
      <c r="Q322" s="4549" t="s">
        <v>3277</v>
      </c>
      <c r="R322" s="4554" t="s">
        <v>3278</v>
      </c>
      <c r="S322" s="1665"/>
    </row>
    <row r="323" spans="2:19" s="1677" customFormat="1" ht="41.1" customHeight="1" thickBot="1" x14ac:dyDescent="0.3">
      <c r="B323" s="1678"/>
      <c r="C323" s="4547"/>
      <c r="D323" s="4550"/>
      <c r="E323" s="4550"/>
      <c r="F323" s="4550" t="s">
        <v>323</v>
      </c>
      <c r="G323" s="4550" t="s">
        <v>3279</v>
      </c>
      <c r="H323" s="4550" t="s">
        <v>3280</v>
      </c>
      <c r="I323" s="4550" t="s">
        <v>3281</v>
      </c>
      <c r="J323" s="4550" t="s">
        <v>3282</v>
      </c>
      <c r="K323" s="1642" t="s">
        <v>3283</v>
      </c>
      <c r="L323" s="1642" t="s">
        <v>3284</v>
      </c>
      <c r="M323" s="1642" t="s">
        <v>3285</v>
      </c>
      <c r="N323" s="4550" t="s">
        <v>3286</v>
      </c>
      <c r="O323" s="4550" t="s">
        <v>3287</v>
      </c>
      <c r="P323" s="4550"/>
      <c r="Q323" s="4550"/>
      <c r="R323" s="4560"/>
      <c r="S323" s="1679"/>
    </row>
    <row r="324" spans="2:19" s="1677" customFormat="1" ht="15.75" thickBot="1" x14ac:dyDescent="0.3">
      <c r="B324" s="1678"/>
      <c r="C324" s="4547"/>
      <c r="D324" s="4550"/>
      <c r="E324" s="4550"/>
      <c r="F324" s="4550"/>
      <c r="G324" s="4550"/>
      <c r="H324" s="4550"/>
      <c r="I324" s="4550"/>
      <c r="J324" s="4550"/>
      <c r="K324" s="4550" t="s">
        <v>3288</v>
      </c>
      <c r="L324" s="4550"/>
      <c r="M324" s="4550"/>
      <c r="N324" s="4550"/>
      <c r="O324" s="1642" t="s">
        <v>3289</v>
      </c>
      <c r="P324" s="1642" t="s">
        <v>3290</v>
      </c>
      <c r="Q324" s="4550"/>
      <c r="R324" s="4560"/>
      <c r="S324" s="1679"/>
    </row>
    <row r="325" spans="2:19" s="1677" customFormat="1" ht="15.75" thickBot="1" x14ac:dyDescent="0.3">
      <c r="B325" s="1678"/>
      <c r="C325" s="4548"/>
      <c r="D325" s="4551"/>
      <c r="E325" s="4551"/>
      <c r="F325" s="4551"/>
      <c r="G325" s="4551"/>
      <c r="H325" s="4551"/>
      <c r="I325" s="4551"/>
      <c r="J325" s="4551"/>
      <c r="K325" s="1643">
        <v>0</v>
      </c>
      <c r="L325" s="1643" t="s">
        <v>3291</v>
      </c>
      <c r="M325" s="1643" t="s">
        <v>3292</v>
      </c>
      <c r="N325" s="4551"/>
      <c r="O325" s="1644" t="s">
        <v>3227</v>
      </c>
      <c r="P325" s="1644" t="s">
        <v>3228</v>
      </c>
      <c r="Q325" s="4551"/>
      <c r="R325" s="4561"/>
      <c r="S325" s="1679"/>
    </row>
    <row r="326" spans="2:19" s="1662" customFormat="1" ht="28.9" customHeight="1" thickBot="1" x14ac:dyDescent="0.3">
      <c r="B326" s="1663">
        <v>15</v>
      </c>
      <c r="C326" s="4562" t="s">
        <v>3310</v>
      </c>
      <c r="D326" s="4562"/>
      <c r="E326" s="1676" t="str">
        <f>'16.1 Areas Actuales'!D40</f>
        <v>Tópico de urgencias y emergencias</v>
      </c>
      <c r="F326" s="1653">
        <v>1</v>
      </c>
      <c r="G326" s="1652">
        <f>'16.1 Areas Actuales'!F40</f>
        <v>18.7</v>
      </c>
      <c r="H326" s="1659">
        <f>'16.1 Areas Actuales'!G40</f>
        <v>22</v>
      </c>
      <c r="I326" s="1654">
        <f>+G326-H326</f>
        <v>-3.3000000000000007</v>
      </c>
      <c r="J326" s="1655">
        <f>IF(I326&gt;-0.1,1,0)</f>
        <v>0</v>
      </c>
      <c r="K326" s="1646">
        <f>L343</f>
        <v>0</v>
      </c>
      <c r="L326" s="1646">
        <f>M343</f>
        <v>7.3333333333333306E-2</v>
      </c>
      <c r="M326" s="1646">
        <f>N343</f>
        <v>0.57999999999999985</v>
      </c>
      <c r="N326" s="1646">
        <f>SUM(K326:M326)</f>
        <v>0.6533333333333331</v>
      </c>
      <c r="O326" s="1654">
        <f>IF(N326&gt;=0.63,1,0)</f>
        <v>1</v>
      </c>
      <c r="P326" s="1655">
        <f>IF(N326&lt;0.63,0,0)</f>
        <v>0</v>
      </c>
      <c r="Q326" s="1656">
        <v>17520</v>
      </c>
      <c r="R326" s="1657">
        <f>+J326*O326*Q326</f>
        <v>0</v>
      </c>
      <c r="S326" s="1665"/>
    </row>
    <row r="327" spans="2:19" s="1662" customFormat="1" ht="15" customHeight="1" thickBot="1" x14ac:dyDescent="0.3">
      <c r="B327" s="1663"/>
      <c r="C327" s="4562"/>
      <c r="D327" s="4562"/>
      <c r="E327" s="1649" t="s">
        <v>0</v>
      </c>
      <c r="F327" s="1707">
        <f>SUM(F326:F326)</f>
        <v>1</v>
      </c>
      <c r="G327" s="1708">
        <f>SUM(G326:G326)</f>
        <v>18.7</v>
      </c>
      <c r="H327" s="1708">
        <f>SUM(H326:H326)</f>
        <v>22</v>
      </c>
      <c r="I327" s="1708">
        <f>SUM(I326:I326)</f>
        <v>-3.3000000000000007</v>
      </c>
      <c r="J327" s="1709">
        <f>SUM(J326:J326)</f>
        <v>0</v>
      </c>
      <c r="K327" s="1710"/>
      <c r="L327" s="1710"/>
      <c r="M327" s="1710"/>
      <c r="N327" s="1710"/>
      <c r="O327" s="1710"/>
      <c r="P327" s="1710"/>
      <c r="Q327" s="1711"/>
      <c r="R327" s="1712"/>
      <c r="S327" s="1665"/>
    </row>
    <row r="328" spans="2:19" s="1669" customFormat="1" ht="12.75" x14ac:dyDescent="0.25">
      <c r="B328" s="1670"/>
      <c r="C328" s="1667"/>
      <c r="D328" s="1667"/>
      <c r="E328" s="1667"/>
      <c r="F328" s="1667"/>
      <c r="G328" s="1667"/>
      <c r="H328" s="1632"/>
      <c r="I328" s="1633"/>
      <c r="J328" s="1633"/>
      <c r="K328" s="1633"/>
      <c r="L328" s="1633"/>
      <c r="M328" s="1633"/>
      <c r="N328" s="1633"/>
      <c r="O328" s="1667"/>
      <c r="P328" s="1667"/>
      <c r="Q328" s="1667"/>
      <c r="R328" s="1667"/>
      <c r="S328" s="1672"/>
    </row>
    <row r="329" spans="2:19" s="1669" customFormat="1" ht="12.75" x14ac:dyDescent="0.25">
      <c r="B329" s="1670"/>
      <c r="C329" s="1667"/>
      <c r="D329" s="1667"/>
      <c r="E329" s="1667"/>
      <c r="F329" s="1667"/>
      <c r="G329" s="1667"/>
      <c r="H329" s="1632"/>
      <c r="I329" s="1633"/>
      <c r="J329" s="1633"/>
      <c r="K329" s="1633"/>
      <c r="L329" s="1633"/>
      <c r="M329" s="1633"/>
      <c r="N329" s="1633"/>
      <c r="O329" s="1667"/>
      <c r="P329" s="1667"/>
      <c r="Q329" s="1667"/>
      <c r="R329" s="1667"/>
      <c r="S329" s="1672"/>
    </row>
    <row r="330" spans="2:19" s="1669" customFormat="1" ht="13.5" thickBot="1" x14ac:dyDescent="0.3">
      <c r="B330" s="1670">
        <v>15.1</v>
      </c>
      <c r="C330" s="1631"/>
      <c r="D330" s="1671" t="s">
        <v>1850</v>
      </c>
      <c r="E330" s="1667"/>
      <c r="F330" s="1667"/>
      <c r="G330" s="1667"/>
      <c r="H330" s="1671"/>
      <c r="I330" s="1667"/>
      <c r="J330" s="1667"/>
      <c r="K330" s="1667"/>
      <c r="L330" s="1667"/>
      <c r="M330" s="1667"/>
      <c r="N330" s="1667"/>
      <c r="O330" s="1667"/>
      <c r="P330" s="1667"/>
      <c r="Q330" s="1667"/>
      <c r="R330" s="1667"/>
      <c r="S330" s="1672"/>
    </row>
    <row r="331" spans="2:19" s="1680" customFormat="1" ht="13.5" thickBot="1" x14ac:dyDescent="0.3">
      <c r="B331" s="1681"/>
      <c r="C331" s="4546" t="s">
        <v>62</v>
      </c>
      <c r="D331" s="4549" t="s">
        <v>5</v>
      </c>
      <c r="E331" s="4549"/>
      <c r="F331" s="4549"/>
      <c r="G331" s="4549"/>
      <c r="H331" s="4549" t="s">
        <v>3297</v>
      </c>
      <c r="I331" s="4549" t="s">
        <v>3298</v>
      </c>
      <c r="J331" s="4549"/>
      <c r="K331" s="4549"/>
      <c r="L331" s="4549" t="s">
        <v>3299</v>
      </c>
      <c r="M331" s="4549"/>
      <c r="N331" s="4554"/>
      <c r="O331" s="1682"/>
      <c r="P331" s="1682"/>
      <c r="Q331" s="1682"/>
      <c r="R331" s="1682"/>
      <c r="S331" s="1683"/>
    </row>
    <row r="332" spans="2:19" s="1680" customFormat="1" ht="13.5" thickBot="1" x14ac:dyDescent="0.3">
      <c r="B332" s="1681"/>
      <c r="C332" s="4547"/>
      <c r="D332" s="4550"/>
      <c r="E332" s="4550"/>
      <c r="F332" s="4550"/>
      <c r="G332" s="4550"/>
      <c r="H332" s="4550"/>
      <c r="I332" s="1642" t="s">
        <v>3283</v>
      </c>
      <c r="J332" s="1642" t="s">
        <v>3284</v>
      </c>
      <c r="K332" s="1642" t="s">
        <v>3285</v>
      </c>
      <c r="L332" s="1642" t="s">
        <v>3283</v>
      </c>
      <c r="M332" s="1642" t="s">
        <v>3284</v>
      </c>
      <c r="N332" s="1693" t="s">
        <v>3285</v>
      </c>
      <c r="O332" s="1682"/>
      <c r="P332" s="1682"/>
      <c r="Q332" s="1682"/>
      <c r="R332" s="1682"/>
      <c r="S332" s="1683"/>
    </row>
    <row r="333" spans="2:19" s="1680" customFormat="1" ht="13.5" thickBot="1" x14ac:dyDescent="0.3">
      <c r="B333" s="1681"/>
      <c r="C333" s="4548"/>
      <c r="D333" s="4551"/>
      <c r="E333" s="4551"/>
      <c r="F333" s="4551"/>
      <c r="G333" s="4551"/>
      <c r="H333" s="4551"/>
      <c r="I333" s="1694">
        <v>0</v>
      </c>
      <c r="J333" s="1694">
        <v>0.5</v>
      </c>
      <c r="K333" s="1694">
        <v>1</v>
      </c>
      <c r="L333" s="1644">
        <v>0</v>
      </c>
      <c r="M333" s="1644">
        <v>0.5</v>
      </c>
      <c r="N333" s="1695">
        <v>1</v>
      </c>
      <c r="O333" s="1682"/>
      <c r="P333" s="1682"/>
      <c r="Q333" s="1682"/>
      <c r="R333" s="1682"/>
      <c r="S333" s="1683"/>
    </row>
    <row r="334" spans="2:19" s="1669" customFormat="1" ht="13.5" thickBot="1" x14ac:dyDescent="0.3">
      <c r="B334" s="1670"/>
      <c r="C334" s="1645">
        <v>1</v>
      </c>
      <c r="D334" s="4552" t="s">
        <v>3300</v>
      </c>
      <c r="E334" s="4552"/>
      <c r="F334" s="4552"/>
      <c r="G334" s="4552"/>
      <c r="H334" s="1646">
        <v>0.39999999999999986</v>
      </c>
      <c r="I334" s="1645"/>
      <c r="J334" s="1645"/>
      <c r="K334" s="1645">
        <v>1</v>
      </c>
      <c r="L334" s="1645">
        <f>H334*I334</f>
        <v>0</v>
      </c>
      <c r="M334" s="1647">
        <f>H334*J334</f>
        <v>0</v>
      </c>
      <c r="N334" s="1647">
        <f t="shared" ref="N334:N342" si="91">H334*K334</f>
        <v>0.39999999999999986</v>
      </c>
      <c r="O334" s="1667"/>
      <c r="P334" s="1667"/>
      <c r="Q334" s="1667"/>
      <c r="R334" s="1667"/>
      <c r="S334" s="1672"/>
    </row>
    <row r="335" spans="2:19" s="1669" customFormat="1" ht="13.5" thickBot="1" x14ac:dyDescent="0.3">
      <c r="B335" s="1670"/>
      <c r="C335" s="1645">
        <v>2</v>
      </c>
      <c r="D335" s="4552" t="s">
        <v>3301</v>
      </c>
      <c r="E335" s="4552"/>
      <c r="F335" s="4552"/>
      <c r="G335" s="4552"/>
      <c r="H335" s="1646">
        <v>0.1333333333333333</v>
      </c>
      <c r="I335" s="1645"/>
      <c r="J335" s="1645"/>
      <c r="K335" s="1645">
        <v>1</v>
      </c>
      <c r="L335" s="1645">
        <f t="shared" ref="L335:L342" si="92">H335*I335</f>
        <v>0</v>
      </c>
      <c r="M335" s="1647">
        <f t="shared" ref="M335:M342" si="93">H335*J335</f>
        <v>0</v>
      </c>
      <c r="N335" s="1647">
        <f t="shared" si="91"/>
        <v>0.1333333333333333</v>
      </c>
      <c r="O335" s="1667"/>
      <c r="P335" s="1667"/>
      <c r="Q335" s="1667"/>
      <c r="R335" s="1667"/>
      <c r="S335" s="1672"/>
    </row>
    <row r="336" spans="2:19" s="1669" customFormat="1" ht="13.5" thickBot="1" x14ac:dyDescent="0.3">
      <c r="B336" s="1670"/>
      <c r="C336" s="1645">
        <v>3</v>
      </c>
      <c r="D336" s="4552" t="s">
        <v>3302</v>
      </c>
      <c r="E336" s="4552"/>
      <c r="F336" s="4552"/>
      <c r="G336" s="4552"/>
      <c r="H336" s="1646">
        <v>9.9999999999999964E-2</v>
      </c>
      <c r="I336" s="1645">
        <v>0</v>
      </c>
      <c r="J336" s="1645"/>
      <c r="K336" s="1645"/>
      <c r="L336" s="1645">
        <f t="shared" si="92"/>
        <v>0</v>
      </c>
      <c r="M336" s="1647">
        <f t="shared" si="93"/>
        <v>0</v>
      </c>
      <c r="N336" s="1647">
        <f t="shared" si="91"/>
        <v>0</v>
      </c>
      <c r="O336" s="1667"/>
      <c r="P336" s="1667"/>
      <c r="Q336" s="1667"/>
      <c r="R336" s="1667"/>
      <c r="S336" s="1672"/>
    </row>
    <row r="337" spans="2:19" s="1669" customFormat="1" ht="13.5" thickBot="1" x14ac:dyDescent="0.3">
      <c r="B337" s="1670"/>
      <c r="C337" s="1645">
        <v>4</v>
      </c>
      <c r="D337" s="4552" t="s">
        <v>3303</v>
      </c>
      <c r="E337" s="4552"/>
      <c r="F337" s="4552"/>
      <c r="G337" s="4552"/>
      <c r="H337" s="1646">
        <v>7.9999999999999974E-2</v>
      </c>
      <c r="I337" s="1645"/>
      <c r="J337" s="1645">
        <v>0.5</v>
      </c>
      <c r="K337" s="1645"/>
      <c r="L337" s="1645">
        <f t="shared" si="92"/>
        <v>0</v>
      </c>
      <c r="M337" s="1647">
        <f t="shared" si="93"/>
        <v>3.9999999999999987E-2</v>
      </c>
      <c r="N337" s="1647">
        <f t="shared" si="91"/>
        <v>0</v>
      </c>
      <c r="O337" s="1667"/>
      <c r="P337" s="1667"/>
      <c r="Q337" s="1667"/>
      <c r="R337" s="1667"/>
      <c r="S337" s="1672"/>
    </row>
    <row r="338" spans="2:19" s="1669" customFormat="1" ht="13.5" thickBot="1" x14ac:dyDescent="0.3">
      <c r="B338" s="1670"/>
      <c r="C338" s="1645">
        <v>5</v>
      </c>
      <c r="D338" s="4552" t="s">
        <v>3304</v>
      </c>
      <c r="E338" s="4552"/>
      <c r="F338" s="4552"/>
      <c r="G338" s="4552"/>
      <c r="H338" s="1646">
        <v>7.3333333333333306E-2</v>
      </c>
      <c r="I338" s="1645">
        <v>0</v>
      </c>
      <c r="J338" s="1645"/>
      <c r="K338" s="1645"/>
      <c r="L338" s="1645">
        <f t="shared" si="92"/>
        <v>0</v>
      </c>
      <c r="M338" s="1647">
        <f t="shared" si="93"/>
        <v>0</v>
      </c>
      <c r="N338" s="1647">
        <f t="shared" si="91"/>
        <v>0</v>
      </c>
      <c r="O338" s="1667"/>
      <c r="P338" s="1667"/>
      <c r="Q338" s="1667"/>
      <c r="R338" s="1667"/>
      <c r="S338" s="1672"/>
    </row>
    <row r="339" spans="2:19" s="1669" customFormat="1" ht="13.5" thickBot="1" x14ac:dyDescent="0.3">
      <c r="B339" s="1670"/>
      <c r="C339" s="1645">
        <v>6</v>
      </c>
      <c r="D339" s="4552" t="s">
        <v>3305</v>
      </c>
      <c r="E339" s="4552"/>
      <c r="F339" s="4552"/>
      <c r="G339" s="4552"/>
      <c r="H339" s="1646">
        <v>6.6666666666666652E-2</v>
      </c>
      <c r="I339" s="1645"/>
      <c r="J339" s="1645">
        <v>0.5</v>
      </c>
      <c r="K339" s="1645"/>
      <c r="L339" s="1645">
        <f t="shared" si="92"/>
        <v>0</v>
      </c>
      <c r="M339" s="1647">
        <f t="shared" si="93"/>
        <v>3.3333333333333326E-2</v>
      </c>
      <c r="N339" s="1647">
        <f t="shared" si="91"/>
        <v>0</v>
      </c>
      <c r="O339" s="1667"/>
      <c r="P339" s="1667"/>
      <c r="Q339" s="1667"/>
      <c r="R339" s="1667"/>
      <c r="S339" s="1672"/>
    </row>
    <row r="340" spans="2:19" s="1669" customFormat="1" ht="13.5" thickBot="1" x14ac:dyDescent="0.3">
      <c r="B340" s="1670"/>
      <c r="C340" s="1645">
        <v>7</v>
      </c>
      <c r="D340" s="4552" t="s">
        <v>3306</v>
      </c>
      <c r="E340" s="4552"/>
      <c r="F340" s="4552"/>
      <c r="G340" s="4552"/>
      <c r="H340" s="1646">
        <v>4.6666666666666655E-2</v>
      </c>
      <c r="I340" s="1645"/>
      <c r="J340" s="1645"/>
      <c r="K340" s="1645">
        <v>1</v>
      </c>
      <c r="L340" s="1645">
        <f t="shared" si="92"/>
        <v>0</v>
      </c>
      <c r="M340" s="1647">
        <f t="shared" si="93"/>
        <v>0</v>
      </c>
      <c r="N340" s="1647">
        <f t="shared" si="91"/>
        <v>4.6666666666666655E-2</v>
      </c>
      <c r="O340" s="1667"/>
      <c r="P340" s="1667"/>
      <c r="Q340" s="1667"/>
      <c r="R340" s="1667"/>
      <c r="S340" s="1672"/>
    </row>
    <row r="341" spans="2:19" s="1669" customFormat="1" ht="13.5" thickBot="1" x14ac:dyDescent="0.3">
      <c r="B341" s="1670"/>
      <c r="C341" s="1645">
        <v>8</v>
      </c>
      <c r="D341" s="4552" t="s">
        <v>3307</v>
      </c>
      <c r="E341" s="4552"/>
      <c r="F341" s="4552"/>
      <c r="G341" s="4552"/>
      <c r="H341" s="1646">
        <v>3.3333333333333326E-2</v>
      </c>
      <c r="I341" s="1645">
        <v>0</v>
      </c>
      <c r="J341" s="1645"/>
      <c r="K341" s="1645"/>
      <c r="L341" s="1645">
        <f t="shared" si="92"/>
        <v>0</v>
      </c>
      <c r="M341" s="1647">
        <f t="shared" si="93"/>
        <v>0</v>
      </c>
      <c r="N341" s="1647">
        <f t="shared" si="91"/>
        <v>0</v>
      </c>
      <c r="O341" s="1667"/>
      <c r="P341" s="1667"/>
      <c r="Q341" s="1667"/>
      <c r="R341" s="1667"/>
      <c r="S341" s="1672"/>
    </row>
    <row r="342" spans="2:19" s="1669" customFormat="1" ht="13.5" thickBot="1" x14ac:dyDescent="0.3">
      <c r="B342" s="1670"/>
      <c r="C342" s="1645">
        <v>9</v>
      </c>
      <c r="D342" s="4552" t="s">
        <v>3308</v>
      </c>
      <c r="E342" s="4552"/>
      <c r="F342" s="4552"/>
      <c r="G342" s="4552"/>
      <c r="H342" s="1646">
        <v>6.6666666666666652E-2</v>
      </c>
      <c r="I342" s="1645">
        <v>0</v>
      </c>
      <c r="J342" s="1645"/>
      <c r="K342" s="1645"/>
      <c r="L342" s="1645">
        <f t="shared" si="92"/>
        <v>0</v>
      </c>
      <c r="M342" s="1647">
        <f t="shared" si="93"/>
        <v>0</v>
      </c>
      <c r="N342" s="1647">
        <f t="shared" si="91"/>
        <v>0</v>
      </c>
      <c r="O342" s="1667"/>
      <c r="P342" s="1667"/>
      <c r="Q342" s="1667"/>
      <c r="R342" s="1667"/>
      <c r="S342" s="1672"/>
    </row>
    <row r="343" spans="2:19" s="1669" customFormat="1" ht="13.5" thickBot="1" x14ac:dyDescent="0.3">
      <c r="B343" s="1670"/>
      <c r="C343" s="1667"/>
      <c r="D343" s="1667"/>
      <c r="E343" s="1667"/>
      <c r="F343" s="1667"/>
      <c r="G343" s="1667"/>
      <c r="H343" s="1647">
        <v>1</v>
      </c>
      <c r="I343" s="1648">
        <v>0</v>
      </c>
      <c r="J343" s="1648">
        <v>9.9999999999999978E-2</v>
      </c>
      <c r="K343" s="1648">
        <v>0.57999999999999985</v>
      </c>
      <c r="L343" s="1648">
        <f>SUM(L334:L342)</f>
        <v>0</v>
      </c>
      <c r="M343" s="1648">
        <f>SUM(M334:M342)</f>
        <v>7.3333333333333306E-2</v>
      </c>
      <c r="N343" s="1648">
        <f>SUM(N334:N342)</f>
        <v>0.57999999999999985</v>
      </c>
      <c r="O343" s="1667"/>
      <c r="P343" s="1667"/>
      <c r="Q343" s="1667"/>
      <c r="R343" s="1667"/>
      <c r="S343" s="1672"/>
    </row>
    <row r="344" spans="2:19" s="1669" customFormat="1" ht="12.75" x14ac:dyDescent="0.25">
      <c r="B344" s="1670"/>
      <c r="C344" s="1667"/>
      <c r="D344" s="1667"/>
      <c r="E344" s="1667"/>
      <c r="F344" s="1667"/>
      <c r="G344" s="1667"/>
      <c r="H344" s="1632"/>
      <c r="I344" s="1633"/>
      <c r="J344" s="1633"/>
      <c r="K344" s="1633"/>
      <c r="L344" s="1633"/>
      <c r="M344" s="1633"/>
      <c r="N344" s="1633"/>
      <c r="O344" s="1667"/>
      <c r="P344" s="1667"/>
      <c r="Q344" s="1667"/>
      <c r="R344" s="1667"/>
      <c r="S344" s="1672"/>
    </row>
    <row r="345" spans="2:19" s="1669" customFormat="1" ht="13.5" thickBot="1" x14ac:dyDescent="0.3">
      <c r="B345" s="1670"/>
      <c r="C345" s="1667"/>
      <c r="D345" s="1667"/>
      <c r="E345" s="1667"/>
      <c r="F345" s="1667"/>
      <c r="G345" s="1667"/>
      <c r="H345" s="1632"/>
      <c r="I345" s="1633"/>
      <c r="J345" s="1633"/>
      <c r="K345" s="1633"/>
      <c r="L345" s="1633"/>
      <c r="M345" s="1633"/>
      <c r="N345" s="1633"/>
      <c r="O345" s="1667"/>
      <c r="P345" s="1667"/>
      <c r="Q345" s="1667"/>
      <c r="R345" s="1667"/>
      <c r="S345" s="1672"/>
    </row>
    <row r="346" spans="2:19" s="1662" customFormat="1" ht="14.1" customHeight="1" thickBot="1" x14ac:dyDescent="0.3">
      <c r="B346" s="1663"/>
      <c r="C346" s="4546" t="s">
        <v>1292</v>
      </c>
      <c r="D346" s="4549"/>
      <c r="E346" s="4549" t="s">
        <v>3215</v>
      </c>
      <c r="F346" s="4559" t="s">
        <v>3276</v>
      </c>
      <c r="G346" s="4559"/>
      <c r="H346" s="4559"/>
      <c r="I346" s="4559"/>
      <c r="J346" s="4559"/>
      <c r="K346" s="4559" t="s">
        <v>3217</v>
      </c>
      <c r="L346" s="4559"/>
      <c r="M346" s="4559"/>
      <c r="N346" s="4559"/>
      <c r="O346" s="4559"/>
      <c r="P346" s="4559"/>
      <c r="Q346" s="4549" t="s">
        <v>3277</v>
      </c>
      <c r="R346" s="4556" t="s">
        <v>3278</v>
      </c>
      <c r="S346" s="1665"/>
    </row>
    <row r="347" spans="2:19" s="1677" customFormat="1" ht="41.1" customHeight="1" thickBot="1" x14ac:dyDescent="0.3">
      <c r="B347" s="1678"/>
      <c r="C347" s="4547"/>
      <c r="D347" s="4550"/>
      <c r="E347" s="4550"/>
      <c r="F347" s="4550" t="s">
        <v>323</v>
      </c>
      <c r="G347" s="4550" t="s">
        <v>3279</v>
      </c>
      <c r="H347" s="4550" t="s">
        <v>3280</v>
      </c>
      <c r="I347" s="4550" t="s">
        <v>3281</v>
      </c>
      <c r="J347" s="4550" t="s">
        <v>3282</v>
      </c>
      <c r="K347" s="1642" t="s">
        <v>3283</v>
      </c>
      <c r="L347" s="1642" t="s">
        <v>3284</v>
      </c>
      <c r="M347" s="1642" t="s">
        <v>3285</v>
      </c>
      <c r="N347" s="4550" t="s">
        <v>3286</v>
      </c>
      <c r="O347" s="4550" t="s">
        <v>3287</v>
      </c>
      <c r="P347" s="4550"/>
      <c r="Q347" s="4550"/>
      <c r="R347" s="4568"/>
      <c r="S347" s="1679"/>
    </row>
    <row r="348" spans="2:19" s="1677" customFormat="1" ht="15.75" thickBot="1" x14ac:dyDescent="0.3">
      <c r="B348" s="1678"/>
      <c r="C348" s="4547"/>
      <c r="D348" s="4550"/>
      <c r="E348" s="4550"/>
      <c r="F348" s="4550"/>
      <c r="G348" s="4550"/>
      <c r="H348" s="4550"/>
      <c r="I348" s="4550"/>
      <c r="J348" s="4550"/>
      <c r="K348" s="4550" t="s">
        <v>3288</v>
      </c>
      <c r="L348" s="4550"/>
      <c r="M348" s="4550"/>
      <c r="N348" s="4550"/>
      <c r="O348" s="1642" t="s">
        <v>3289</v>
      </c>
      <c r="P348" s="1642" t="s">
        <v>3290</v>
      </c>
      <c r="Q348" s="4550"/>
      <c r="R348" s="4568"/>
      <c r="S348" s="1679"/>
    </row>
    <row r="349" spans="2:19" s="1677" customFormat="1" ht="15.75" thickBot="1" x14ac:dyDescent="0.3">
      <c r="B349" s="1678"/>
      <c r="C349" s="4548"/>
      <c r="D349" s="4551"/>
      <c r="E349" s="4551"/>
      <c r="F349" s="4551"/>
      <c r="G349" s="4551"/>
      <c r="H349" s="4551"/>
      <c r="I349" s="4551"/>
      <c r="J349" s="4551"/>
      <c r="K349" s="1643">
        <v>0</v>
      </c>
      <c r="L349" s="1643" t="s">
        <v>3291</v>
      </c>
      <c r="M349" s="1643" t="s">
        <v>3292</v>
      </c>
      <c r="N349" s="4551"/>
      <c r="O349" s="1644" t="s">
        <v>3227</v>
      </c>
      <c r="P349" s="1644" t="s">
        <v>3228</v>
      </c>
      <c r="Q349" s="4551"/>
      <c r="R349" s="4569"/>
      <c r="S349" s="1679"/>
    </row>
    <row r="350" spans="2:19" s="1662" customFormat="1" ht="15" customHeight="1" thickBot="1" x14ac:dyDescent="0.3">
      <c r="B350" s="1663">
        <v>16</v>
      </c>
      <c r="C350" s="4570" t="str">
        <f>'16.1 Areas Actuales'!C41:H41</f>
        <v>AADS ATENCION DE GESTANTE EN PERIODO DE PARTO</v>
      </c>
      <c r="D350" s="4570"/>
      <c r="E350" s="1658" t="str">
        <f>'16.1 Areas Actuales'!D42</f>
        <v>Sala de Dilatación, incluye SS.HH. de 2.87 m2</v>
      </c>
      <c r="F350" s="1653">
        <v>1</v>
      </c>
      <c r="G350" s="1652">
        <f>'16.1 Areas Actuales'!F42</f>
        <v>18.510000000000002</v>
      </c>
      <c r="H350" s="1653">
        <v>30</v>
      </c>
      <c r="I350" s="1646">
        <f>+G350-H350</f>
        <v>-11.489999999999998</v>
      </c>
      <c r="J350" s="1655">
        <f>IF(I350&gt;-0.1,1,0)</f>
        <v>0</v>
      </c>
      <c r="K350" s="1646">
        <f>L369</f>
        <v>0</v>
      </c>
      <c r="L350" s="1646">
        <f>M369</f>
        <v>7.3333333333333306E-2</v>
      </c>
      <c r="M350" s="1646">
        <f>N369</f>
        <v>0.57999999999999985</v>
      </c>
      <c r="N350" s="1646">
        <f>SUM(K350:M350)</f>
        <v>0.6533333333333331</v>
      </c>
      <c r="O350" s="1654">
        <f>IF(N350&gt;=0.63,1,0)</f>
        <v>1</v>
      </c>
      <c r="P350" s="1655">
        <f>IF(N350&lt;0.63,0,0)</f>
        <v>0</v>
      </c>
      <c r="Q350" s="1656">
        <v>973</v>
      </c>
      <c r="R350" s="1657">
        <f>+J350*O350*Q350</f>
        <v>0</v>
      </c>
      <c r="S350" s="1665"/>
    </row>
    <row r="351" spans="2:19" s="1662" customFormat="1" ht="15" customHeight="1" thickBot="1" x14ac:dyDescent="0.3">
      <c r="B351" s="1663"/>
      <c r="C351" s="4570"/>
      <c r="D351" s="4570"/>
      <c r="E351" s="1658" t="str">
        <f>'16.1 Areas Actuales'!D43</f>
        <v>Sala de Partos</v>
      </c>
      <c r="F351" s="1653">
        <v>1</v>
      </c>
      <c r="G351" s="1652">
        <f>'16.1 Areas Actuales'!F43</f>
        <v>23.26</v>
      </c>
      <c r="H351" s="1653">
        <v>30</v>
      </c>
      <c r="I351" s="1646">
        <f>+G351-H351</f>
        <v>-6.7399999999999984</v>
      </c>
      <c r="J351" s="1655">
        <f>IF(I351&gt;-0.1,1,0)</f>
        <v>0</v>
      </c>
      <c r="K351" s="1646">
        <f>L384</f>
        <v>0</v>
      </c>
      <c r="L351" s="1646">
        <f>M384</f>
        <v>7.3333333333333306E-2</v>
      </c>
      <c r="M351" s="1646">
        <f>N384</f>
        <v>0.57999999999999985</v>
      </c>
      <c r="N351" s="1646">
        <f>SUM(K351:M351)</f>
        <v>0.6533333333333331</v>
      </c>
      <c r="O351" s="1654">
        <f>IF(N351&gt;=0.63,1,0)</f>
        <v>1</v>
      </c>
      <c r="P351" s="1655">
        <f>IF(N351&lt;0.63,0,0)</f>
        <v>0</v>
      </c>
      <c r="Q351" s="1656">
        <v>973</v>
      </c>
      <c r="R351" s="1657">
        <f>+J351*O351*Q351</f>
        <v>0</v>
      </c>
      <c r="S351" s="1665"/>
    </row>
    <row r="352" spans="2:19" s="1662" customFormat="1" ht="27" customHeight="1" thickBot="1" x14ac:dyDescent="0.3">
      <c r="B352" s="1663"/>
      <c r="C352" s="4570"/>
      <c r="D352" s="4570"/>
      <c r="E352" s="1658" t="str">
        <f>'16.1 Areas Actuales'!D44</f>
        <v>Sala de Puerperio  Inmediato, incluye SS.HH. de 2.30 m2</v>
      </c>
      <c r="F352" s="1653">
        <v>1</v>
      </c>
      <c r="G352" s="1652">
        <f>'16.1 Areas Actuales'!F44</f>
        <v>19.16</v>
      </c>
      <c r="H352" s="1653">
        <v>18</v>
      </c>
      <c r="I352" s="1646">
        <f>+G352-H352</f>
        <v>1.1600000000000001</v>
      </c>
      <c r="J352" s="1655">
        <f>IF(I352&gt;-0.1,1,0)</f>
        <v>1</v>
      </c>
      <c r="K352" s="1646">
        <f>L399</f>
        <v>0</v>
      </c>
      <c r="L352" s="1646">
        <f>M399</f>
        <v>7.3333333333333306E-2</v>
      </c>
      <c r="M352" s="1646">
        <f>N399</f>
        <v>0.57999999999999985</v>
      </c>
      <c r="N352" s="1646">
        <f>SUM(K352:M352)</f>
        <v>0.6533333333333331</v>
      </c>
      <c r="O352" s="1654">
        <f>IF(N352&gt;=0.63,1,0)</f>
        <v>1</v>
      </c>
      <c r="P352" s="1655">
        <f>IF(N352&lt;0.63,0,0)</f>
        <v>0</v>
      </c>
      <c r="Q352" s="1656">
        <v>973</v>
      </c>
      <c r="R352" s="1657">
        <f>+J352*O352*Q352</f>
        <v>973</v>
      </c>
      <c r="S352" s="1665"/>
    </row>
    <row r="353" spans="2:19" s="1715" customFormat="1" ht="15" customHeight="1" thickBot="1" x14ac:dyDescent="0.3">
      <c r="B353" s="1663"/>
      <c r="C353" s="4570"/>
      <c r="D353" s="4570"/>
      <c r="E353" s="1649" t="s">
        <v>0</v>
      </c>
      <c r="F353" s="1707">
        <f>SUM(F350:F352)</f>
        <v>3</v>
      </c>
      <c r="G353" s="1707">
        <f>SUM(G350:G352)</f>
        <v>60.930000000000007</v>
      </c>
      <c r="H353" s="1707">
        <f>SUM(H350:H352)</f>
        <v>78</v>
      </c>
      <c r="I353" s="1707">
        <f>SUM(I350:I352)</f>
        <v>-17.069999999999997</v>
      </c>
      <c r="J353" s="1707">
        <f>SUM(J350:J352)</f>
        <v>1</v>
      </c>
      <c r="K353" s="1710"/>
      <c r="L353" s="1710"/>
      <c r="M353" s="1710"/>
      <c r="N353" s="1716"/>
      <c r="O353" s="1710"/>
      <c r="P353" s="1710"/>
      <c r="Q353" s="1711"/>
      <c r="R353" s="1712"/>
      <c r="S353" s="1717"/>
    </row>
    <row r="354" spans="2:19" s="1669" customFormat="1" ht="12.75" x14ac:dyDescent="0.25">
      <c r="B354" s="1670"/>
      <c r="C354" s="1667"/>
      <c r="D354" s="1667"/>
      <c r="E354" s="1667"/>
      <c r="F354" s="1667"/>
      <c r="G354" s="1667"/>
      <c r="H354" s="1632"/>
      <c r="I354" s="1633"/>
      <c r="J354" s="1633"/>
      <c r="K354" s="1633"/>
      <c r="L354" s="1633"/>
      <c r="M354" s="1633"/>
      <c r="N354" s="1633"/>
      <c r="O354" s="1667"/>
      <c r="P354" s="1667"/>
      <c r="Q354" s="1667"/>
      <c r="R354" s="1667"/>
      <c r="S354" s="1672"/>
    </row>
    <row r="355" spans="2:19" s="1669" customFormat="1" ht="12.75" x14ac:dyDescent="0.25">
      <c r="B355" s="1670"/>
      <c r="C355" s="1667"/>
      <c r="D355" s="1667"/>
      <c r="E355" s="1667"/>
      <c r="F355" s="1667"/>
      <c r="G355" s="1667"/>
      <c r="H355" s="1632"/>
      <c r="I355" s="1633"/>
      <c r="J355" s="1633"/>
      <c r="K355" s="1633"/>
      <c r="L355" s="1633"/>
      <c r="M355" s="1633"/>
      <c r="N355" s="1633"/>
      <c r="O355" s="1667"/>
      <c r="P355" s="1667"/>
      <c r="Q355" s="1667"/>
      <c r="R355" s="1667"/>
      <c r="S355" s="1672"/>
    </row>
    <row r="356" spans="2:19" s="1669" customFormat="1" ht="13.5" thickBot="1" x14ac:dyDescent="0.3">
      <c r="B356" s="1670">
        <v>16.100000000000001</v>
      </c>
      <c r="C356" s="1631"/>
      <c r="D356" s="1671" t="str">
        <f>E350</f>
        <v>Sala de Dilatación, incluye SS.HH. de 2.87 m2</v>
      </c>
      <c r="E356" s="1667"/>
      <c r="F356" s="1667"/>
      <c r="G356" s="1667"/>
      <c r="H356" s="1671"/>
      <c r="I356" s="1667"/>
      <c r="J356" s="1667"/>
      <c r="K356" s="1667"/>
      <c r="L356" s="1667"/>
      <c r="M356" s="1667"/>
      <c r="N356" s="1667"/>
      <c r="O356" s="1667"/>
      <c r="P356" s="1667"/>
      <c r="Q356" s="1667"/>
      <c r="R356" s="1667"/>
      <c r="S356" s="1672"/>
    </row>
    <row r="357" spans="2:19" s="1680" customFormat="1" ht="13.5" thickBot="1" x14ac:dyDescent="0.3">
      <c r="B357" s="1681"/>
      <c r="C357" s="4546" t="s">
        <v>62</v>
      </c>
      <c r="D357" s="4549" t="s">
        <v>5</v>
      </c>
      <c r="E357" s="4549"/>
      <c r="F357" s="4549"/>
      <c r="G357" s="4549"/>
      <c r="H357" s="4549" t="s">
        <v>3297</v>
      </c>
      <c r="I357" s="4549" t="s">
        <v>3298</v>
      </c>
      <c r="J357" s="4549"/>
      <c r="K357" s="4549"/>
      <c r="L357" s="4549" t="s">
        <v>3299</v>
      </c>
      <c r="M357" s="4549"/>
      <c r="N357" s="4554"/>
      <c r="O357" s="1682"/>
      <c r="P357" s="1682"/>
      <c r="Q357" s="1682"/>
      <c r="R357" s="1682"/>
      <c r="S357" s="1683"/>
    </row>
    <row r="358" spans="2:19" s="1680" customFormat="1" ht="13.5" thickBot="1" x14ac:dyDescent="0.3">
      <c r="B358" s="1681"/>
      <c r="C358" s="4547"/>
      <c r="D358" s="4550"/>
      <c r="E358" s="4550"/>
      <c r="F358" s="4550"/>
      <c r="G358" s="4550"/>
      <c r="H358" s="4550"/>
      <c r="I358" s="1642" t="s">
        <v>3283</v>
      </c>
      <c r="J358" s="1642" t="s">
        <v>3284</v>
      </c>
      <c r="K358" s="1642" t="s">
        <v>3285</v>
      </c>
      <c r="L358" s="1642" t="s">
        <v>3283</v>
      </c>
      <c r="M358" s="1642" t="s">
        <v>3284</v>
      </c>
      <c r="N358" s="1693" t="s">
        <v>3285</v>
      </c>
      <c r="O358" s="1682"/>
      <c r="P358" s="1682"/>
      <c r="Q358" s="1682"/>
      <c r="R358" s="1682"/>
      <c r="S358" s="1683"/>
    </row>
    <row r="359" spans="2:19" s="1680" customFormat="1" ht="13.5" thickBot="1" x14ac:dyDescent="0.3">
      <c r="B359" s="1681"/>
      <c r="C359" s="4548"/>
      <c r="D359" s="4551"/>
      <c r="E359" s="4551"/>
      <c r="F359" s="4551"/>
      <c r="G359" s="4551"/>
      <c r="H359" s="4551"/>
      <c r="I359" s="1694">
        <v>0</v>
      </c>
      <c r="J359" s="1694">
        <v>0.5</v>
      </c>
      <c r="K359" s="1694">
        <v>1</v>
      </c>
      <c r="L359" s="1644">
        <v>0</v>
      </c>
      <c r="M359" s="1644">
        <v>0.5</v>
      </c>
      <c r="N359" s="1695">
        <v>1</v>
      </c>
      <c r="O359" s="1682"/>
      <c r="P359" s="1682"/>
      <c r="Q359" s="1682"/>
      <c r="R359" s="1682"/>
      <c r="S359" s="1683"/>
    </row>
    <row r="360" spans="2:19" s="1669" customFormat="1" ht="13.5" thickBot="1" x14ac:dyDescent="0.3">
      <c r="B360" s="1670"/>
      <c r="C360" s="1645">
        <v>1</v>
      </c>
      <c r="D360" s="4552" t="s">
        <v>3300</v>
      </c>
      <c r="E360" s="4552"/>
      <c r="F360" s="4552"/>
      <c r="G360" s="4552"/>
      <c r="H360" s="1646">
        <v>0.39999999999999986</v>
      </c>
      <c r="I360" s="1645"/>
      <c r="J360" s="1645"/>
      <c r="K360" s="1645">
        <v>1</v>
      </c>
      <c r="L360" s="1645">
        <f>H360*I360</f>
        <v>0</v>
      </c>
      <c r="M360" s="1647">
        <f>H360*J360</f>
        <v>0</v>
      </c>
      <c r="N360" s="1647">
        <f t="shared" ref="N360:N368" si="94">H360*K360</f>
        <v>0.39999999999999986</v>
      </c>
      <c r="O360" s="1667"/>
      <c r="P360" s="1667"/>
      <c r="Q360" s="1667"/>
      <c r="R360" s="1667"/>
      <c r="S360" s="1672"/>
    </row>
    <row r="361" spans="2:19" s="1669" customFormat="1" ht="13.5" thickBot="1" x14ac:dyDescent="0.3">
      <c r="B361" s="1670"/>
      <c r="C361" s="1645">
        <v>2</v>
      </c>
      <c r="D361" s="4552" t="s">
        <v>3301</v>
      </c>
      <c r="E361" s="4552"/>
      <c r="F361" s="4552"/>
      <c r="G361" s="4552"/>
      <c r="H361" s="1646">
        <v>0.1333333333333333</v>
      </c>
      <c r="I361" s="1645"/>
      <c r="J361" s="1645"/>
      <c r="K361" s="1645">
        <v>1</v>
      </c>
      <c r="L361" s="1645">
        <f t="shared" ref="L361:L368" si="95">H361*I361</f>
        <v>0</v>
      </c>
      <c r="M361" s="1647">
        <f t="shared" ref="M361:M368" si="96">H361*J361</f>
        <v>0</v>
      </c>
      <c r="N361" s="1647">
        <f t="shared" si="94"/>
        <v>0.1333333333333333</v>
      </c>
      <c r="O361" s="1667"/>
      <c r="P361" s="1667"/>
      <c r="Q361" s="1667"/>
      <c r="R361" s="1667"/>
      <c r="S361" s="1672"/>
    </row>
    <row r="362" spans="2:19" s="1669" customFormat="1" ht="13.5" thickBot="1" x14ac:dyDescent="0.3">
      <c r="B362" s="1670"/>
      <c r="C362" s="1645">
        <v>3</v>
      </c>
      <c r="D362" s="4552" t="s">
        <v>3302</v>
      </c>
      <c r="E362" s="4552"/>
      <c r="F362" s="4552"/>
      <c r="G362" s="4552"/>
      <c r="H362" s="1646">
        <v>9.9999999999999964E-2</v>
      </c>
      <c r="I362" s="1645">
        <v>0</v>
      </c>
      <c r="J362" s="1645"/>
      <c r="K362" s="1645"/>
      <c r="L362" s="1645">
        <f t="shared" si="95"/>
        <v>0</v>
      </c>
      <c r="M362" s="1647">
        <f t="shared" si="96"/>
        <v>0</v>
      </c>
      <c r="N362" s="1647">
        <f t="shared" si="94"/>
        <v>0</v>
      </c>
      <c r="O362" s="1667"/>
      <c r="P362" s="1667"/>
      <c r="Q362" s="1667"/>
      <c r="R362" s="1667"/>
      <c r="S362" s="1672"/>
    </row>
    <row r="363" spans="2:19" s="1669" customFormat="1" ht="13.5" thickBot="1" x14ac:dyDescent="0.3">
      <c r="B363" s="1670"/>
      <c r="C363" s="1645">
        <v>4</v>
      </c>
      <c r="D363" s="4552" t="s">
        <v>3303</v>
      </c>
      <c r="E363" s="4552"/>
      <c r="F363" s="4552"/>
      <c r="G363" s="4552"/>
      <c r="H363" s="1646">
        <v>7.9999999999999974E-2</v>
      </c>
      <c r="I363" s="1645"/>
      <c r="J363" s="1645">
        <v>0.5</v>
      </c>
      <c r="K363" s="1645"/>
      <c r="L363" s="1645">
        <f t="shared" si="95"/>
        <v>0</v>
      </c>
      <c r="M363" s="1647">
        <f t="shared" si="96"/>
        <v>3.9999999999999987E-2</v>
      </c>
      <c r="N363" s="1647">
        <f t="shared" si="94"/>
        <v>0</v>
      </c>
      <c r="O363" s="1667"/>
      <c r="P363" s="1667"/>
      <c r="Q363" s="1667"/>
      <c r="R363" s="1667"/>
      <c r="S363" s="1672"/>
    </row>
    <row r="364" spans="2:19" s="1669" customFormat="1" ht="13.5" thickBot="1" x14ac:dyDescent="0.3">
      <c r="B364" s="1670"/>
      <c r="C364" s="1645">
        <v>5</v>
      </c>
      <c r="D364" s="4552" t="s">
        <v>3304</v>
      </c>
      <c r="E364" s="4552"/>
      <c r="F364" s="4552"/>
      <c r="G364" s="4552"/>
      <c r="H364" s="1646">
        <v>7.3333333333333306E-2</v>
      </c>
      <c r="I364" s="1645">
        <v>0</v>
      </c>
      <c r="J364" s="1645"/>
      <c r="K364" s="1645"/>
      <c r="L364" s="1645">
        <f t="shared" si="95"/>
        <v>0</v>
      </c>
      <c r="M364" s="1647">
        <f t="shared" si="96"/>
        <v>0</v>
      </c>
      <c r="N364" s="1647">
        <f t="shared" si="94"/>
        <v>0</v>
      </c>
      <c r="O364" s="1667"/>
      <c r="P364" s="1667"/>
      <c r="Q364" s="1667"/>
      <c r="R364" s="1667"/>
      <c r="S364" s="1672"/>
    </row>
    <row r="365" spans="2:19" s="1669" customFormat="1" ht="13.5" thickBot="1" x14ac:dyDescent="0.3">
      <c r="B365" s="1670"/>
      <c r="C365" s="1645">
        <v>6</v>
      </c>
      <c r="D365" s="4552" t="s">
        <v>3305</v>
      </c>
      <c r="E365" s="4552"/>
      <c r="F365" s="4552"/>
      <c r="G365" s="4552"/>
      <c r="H365" s="1646">
        <v>6.6666666666666652E-2</v>
      </c>
      <c r="I365" s="1645"/>
      <c r="J365" s="1645">
        <v>0.5</v>
      </c>
      <c r="K365" s="1645"/>
      <c r="L365" s="1645">
        <f t="shared" si="95"/>
        <v>0</v>
      </c>
      <c r="M365" s="1647">
        <f t="shared" si="96"/>
        <v>3.3333333333333326E-2</v>
      </c>
      <c r="N365" s="1647">
        <f t="shared" si="94"/>
        <v>0</v>
      </c>
      <c r="O365" s="1667"/>
      <c r="P365" s="1667"/>
      <c r="Q365" s="1667"/>
      <c r="R365" s="1667"/>
      <c r="S365" s="1672"/>
    </row>
    <row r="366" spans="2:19" s="1669" customFormat="1" ht="13.5" thickBot="1" x14ac:dyDescent="0.3">
      <c r="B366" s="1670"/>
      <c r="C366" s="1645">
        <v>7</v>
      </c>
      <c r="D366" s="4552" t="s">
        <v>3306</v>
      </c>
      <c r="E366" s="4552"/>
      <c r="F366" s="4552"/>
      <c r="G366" s="4552"/>
      <c r="H366" s="1646">
        <v>4.6666666666666655E-2</v>
      </c>
      <c r="I366" s="1645"/>
      <c r="J366" s="1645"/>
      <c r="K366" s="1645">
        <v>1</v>
      </c>
      <c r="L366" s="1645">
        <f t="shared" si="95"/>
        <v>0</v>
      </c>
      <c r="M366" s="1647">
        <f t="shared" si="96"/>
        <v>0</v>
      </c>
      <c r="N366" s="1647">
        <f t="shared" si="94"/>
        <v>4.6666666666666655E-2</v>
      </c>
      <c r="O366" s="1667"/>
      <c r="P366" s="1667"/>
      <c r="Q366" s="1667"/>
      <c r="R366" s="1667"/>
      <c r="S366" s="1672"/>
    </row>
    <row r="367" spans="2:19" s="1669" customFormat="1" ht="13.5" thickBot="1" x14ac:dyDescent="0.3">
      <c r="B367" s="1670"/>
      <c r="C367" s="1645">
        <v>8</v>
      </c>
      <c r="D367" s="4552" t="s">
        <v>3307</v>
      </c>
      <c r="E367" s="4552"/>
      <c r="F367" s="4552"/>
      <c r="G367" s="4552"/>
      <c r="H367" s="1646">
        <v>3.3333333333333326E-2</v>
      </c>
      <c r="I367" s="1645">
        <v>0</v>
      </c>
      <c r="J367" s="1645"/>
      <c r="K367" s="1645"/>
      <c r="L367" s="1645">
        <f t="shared" si="95"/>
        <v>0</v>
      </c>
      <c r="M367" s="1647">
        <f t="shared" si="96"/>
        <v>0</v>
      </c>
      <c r="N367" s="1647">
        <f t="shared" si="94"/>
        <v>0</v>
      </c>
      <c r="O367" s="1667"/>
      <c r="P367" s="1667"/>
      <c r="Q367" s="1667"/>
      <c r="R367" s="1667"/>
      <c r="S367" s="1672"/>
    </row>
    <row r="368" spans="2:19" s="1669" customFormat="1" ht="13.5" thickBot="1" x14ac:dyDescent="0.3">
      <c r="B368" s="1670"/>
      <c r="C368" s="1645">
        <v>9</v>
      </c>
      <c r="D368" s="4552" t="s">
        <v>3308</v>
      </c>
      <c r="E368" s="4552"/>
      <c r="F368" s="4552"/>
      <c r="G368" s="4552"/>
      <c r="H368" s="1646">
        <v>6.6666666666666652E-2</v>
      </c>
      <c r="I368" s="1645">
        <v>0</v>
      </c>
      <c r="J368" s="1645"/>
      <c r="K368" s="1645"/>
      <c r="L368" s="1645">
        <f t="shared" si="95"/>
        <v>0</v>
      </c>
      <c r="M368" s="1647">
        <f t="shared" si="96"/>
        <v>0</v>
      </c>
      <c r="N368" s="1647">
        <f t="shared" si="94"/>
        <v>0</v>
      </c>
      <c r="O368" s="1667"/>
      <c r="P368" s="1667"/>
      <c r="Q368" s="1667"/>
      <c r="R368" s="1667"/>
      <c r="S368" s="1672"/>
    </row>
    <row r="369" spans="2:19" s="1669" customFormat="1" ht="13.5" thickBot="1" x14ac:dyDescent="0.3">
      <c r="B369" s="1670"/>
      <c r="C369" s="1667"/>
      <c r="D369" s="1667"/>
      <c r="E369" s="1667"/>
      <c r="F369" s="1667"/>
      <c r="G369" s="1667"/>
      <c r="H369" s="1647">
        <v>1</v>
      </c>
      <c r="I369" s="1648">
        <v>0</v>
      </c>
      <c r="J369" s="1648">
        <v>9.9999999999999978E-2</v>
      </c>
      <c r="K369" s="1648">
        <v>0.57999999999999985</v>
      </c>
      <c r="L369" s="1648">
        <f>SUM(L360:L368)</f>
        <v>0</v>
      </c>
      <c r="M369" s="1648">
        <f>SUM(M360:M368)</f>
        <v>7.3333333333333306E-2</v>
      </c>
      <c r="N369" s="1648">
        <f>SUM(N360:N368)</f>
        <v>0.57999999999999985</v>
      </c>
      <c r="O369" s="1667"/>
      <c r="P369" s="1667"/>
      <c r="Q369" s="1667"/>
      <c r="R369" s="1667"/>
      <c r="S369" s="1672"/>
    </row>
    <row r="370" spans="2:19" s="1669" customFormat="1" ht="12.75" x14ac:dyDescent="0.25">
      <c r="B370" s="1670"/>
      <c r="C370" s="1667"/>
      <c r="D370" s="1667"/>
      <c r="E370" s="1667"/>
      <c r="F370" s="1667"/>
      <c r="G370" s="1667"/>
      <c r="H370" s="1632"/>
      <c r="I370" s="1633"/>
      <c r="J370" s="1633"/>
      <c r="K370" s="1633"/>
      <c r="L370" s="1633"/>
      <c r="M370" s="1633"/>
      <c r="N370" s="1633"/>
      <c r="O370" s="1667"/>
      <c r="P370" s="1667"/>
      <c r="Q370" s="1667"/>
      <c r="R370" s="1667"/>
      <c r="S370" s="1672"/>
    </row>
    <row r="371" spans="2:19" s="1669" customFormat="1" ht="13.5" thickBot="1" x14ac:dyDescent="0.3">
      <c r="B371" s="1670">
        <v>16.2</v>
      </c>
      <c r="C371" s="1631"/>
      <c r="D371" s="1671" t="str">
        <f>E351</f>
        <v>Sala de Partos</v>
      </c>
      <c r="E371" s="1667"/>
      <c r="F371" s="1667"/>
      <c r="G371" s="1667"/>
      <c r="H371" s="1671"/>
      <c r="I371" s="1667"/>
      <c r="J371" s="1667"/>
      <c r="K371" s="1667"/>
      <c r="L371" s="1667"/>
      <c r="M371" s="1667"/>
      <c r="N371" s="1667"/>
      <c r="O371" s="1667"/>
      <c r="P371" s="1667"/>
      <c r="Q371" s="1667"/>
      <c r="R371" s="1667"/>
      <c r="S371" s="1672"/>
    </row>
    <row r="372" spans="2:19" s="1680" customFormat="1" ht="13.5" thickBot="1" x14ac:dyDescent="0.3">
      <c r="B372" s="1681"/>
      <c r="C372" s="4546" t="s">
        <v>62</v>
      </c>
      <c r="D372" s="4549" t="s">
        <v>5</v>
      </c>
      <c r="E372" s="4549"/>
      <c r="F372" s="4549"/>
      <c r="G372" s="4549"/>
      <c r="H372" s="4549" t="s">
        <v>3297</v>
      </c>
      <c r="I372" s="4549" t="s">
        <v>3298</v>
      </c>
      <c r="J372" s="4549"/>
      <c r="K372" s="4549"/>
      <c r="L372" s="4549" t="s">
        <v>3299</v>
      </c>
      <c r="M372" s="4549"/>
      <c r="N372" s="4554"/>
      <c r="O372" s="1682"/>
      <c r="P372" s="1682"/>
      <c r="Q372" s="1682"/>
      <c r="R372" s="1682"/>
      <c r="S372" s="1683"/>
    </row>
    <row r="373" spans="2:19" s="1680" customFormat="1" ht="13.5" thickBot="1" x14ac:dyDescent="0.3">
      <c r="B373" s="1681"/>
      <c r="C373" s="4547"/>
      <c r="D373" s="4550"/>
      <c r="E373" s="4550"/>
      <c r="F373" s="4550"/>
      <c r="G373" s="4550"/>
      <c r="H373" s="4550"/>
      <c r="I373" s="1642" t="s">
        <v>3283</v>
      </c>
      <c r="J373" s="1642" t="s">
        <v>3284</v>
      </c>
      <c r="K373" s="1642" t="s">
        <v>3285</v>
      </c>
      <c r="L373" s="1642" t="s">
        <v>3283</v>
      </c>
      <c r="M373" s="1642" t="s">
        <v>3284</v>
      </c>
      <c r="N373" s="1693" t="s">
        <v>3285</v>
      </c>
      <c r="O373" s="1682"/>
      <c r="P373" s="1682"/>
      <c r="Q373" s="1682"/>
      <c r="R373" s="1682"/>
      <c r="S373" s="1683"/>
    </row>
    <row r="374" spans="2:19" s="1680" customFormat="1" ht="13.5" thickBot="1" x14ac:dyDescent="0.3">
      <c r="B374" s="1681"/>
      <c r="C374" s="4548"/>
      <c r="D374" s="4551"/>
      <c r="E374" s="4551"/>
      <c r="F374" s="4551"/>
      <c r="G374" s="4551"/>
      <c r="H374" s="4551"/>
      <c r="I374" s="1694">
        <v>0</v>
      </c>
      <c r="J374" s="1694">
        <v>0.5</v>
      </c>
      <c r="K374" s="1694">
        <v>1</v>
      </c>
      <c r="L374" s="1644">
        <v>0</v>
      </c>
      <c r="M374" s="1644">
        <v>0.5</v>
      </c>
      <c r="N374" s="1695">
        <v>1</v>
      </c>
      <c r="O374" s="1682"/>
      <c r="P374" s="1682"/>
      <c r="Q374" s="1682"/>
      <c r="R374" s="1682"/>
      <c r="S374" s="1683"/>
    </row>
    <row r="375" spans="2:19" s="1669" customFormat="1" ht="13.5" thickBot="1" x14ac:dyDescent="0.3">
      <c r="B375" s="1670"/>
      <c r="C375" s="1645">
        <v>1</v>
      </c>
      <c r="D375" s="4552" t="s">
        <v>3300</v>
      </c>
      <c r="E375" s="4552"/>
      <c r="F375" s="4552"/>
      <c r="G375" s="4552"/>
      <c r="H375" s="1646">
        <v>0.39999999999999986</v>
      </c>
      <c r="I375" s="1645"/>
      <c r="J375" s="1645"/>
      <c r="K375" s="1645">
        <v>1</v>
      </c>
      <c r="L375" s="1645">
        <f>H375*I375</f>
        <v>0</v>
      </c>
      <c r="M375" s="1647">
        <f>H375*J375</f>
        <v>0</v>
      </c>
      <c r="N375" s="1647">
        <f t="shared" ref="N375:N383" si="97">H375*K375</f>
        <v>0.39999999999999986</v>
      </c>
      <c r="O375" s="1667"/>
      <c r="P375" s="1667"/>
      <c r="Q375" s="1667"/>
      <c r="R375" s="1667"/>
      <c r="S375" s="1672"/>
    </row>
    <row r="376" spans="2:19" s="1669" customFormat="1" ht="13.5" thickBot="1" x14ac:dyDescent="0.3">
      <c r="B376" s="1670"/>
      <c r="C376" s="1645">
        <v>2</v>
      </c>
      <c r="D376" s="4552" t="s">
        <v>3301</v>
      </c>
      <c r="E376" s="4552"/>
      <c r="F376" s="4552"/>
      <c r="G376" s="4552"/>
      <c r="H376" s="1646">
        <v>0.1333333333333333</v>
      </c>
      <c r="I376" s="1645"/>
      <c r="J376" s="1645"/>
      <c r="K376" s="1645">
        <v>1</v>
      </c>
      <c r="L376" s="1645">
        <f t="shared" ref="L376:L383" si="98">H376*I376</f>
        <v>0</v>
      </c>
      <c r="M376" s="1647">
        <f t="shared" ref="M376:M383" si="99">H376*J376</f>
        <v>0</v>
      </c>
      <c r="N376" s="1647">
        <f t="shared" si="97"/>
        <v>0.1333333333333333</v>
      </c>
      <c r="O376" s="1667"/>
      <c r="P376" s="1667"/>
      <c r="Q376" s="1667"/>
      <c r="R376" s="1667"/>
      <c r="S376" s="1672"/>
    </row>
    <row r="377" spans="2:19" s="1669" customFormat="1" ht="13.5" thickBot="1" x14ac:dyDescent="0.3">
      <c r="B377" s="1670"/>
      <c r="C377" s="1645">
        <v>3</v>
      </c>
      <c r="D377" s="4552" t="s">
        <v>3302</v>
      </c>
      <c r="E377" s="4552"/>
      <c r="F377" s="4552"/>
      <c r="G377" s="4552"/>
      <c r="H377" s="1646">
        <v>9.9999999999999964E-2</v>
      </c>
      <c r="I377" s="1645">
        <v>0</v>
      </c>
      <c r="J377" s="1645"/>
      <c r="K377" s="1645"/>
      <c r="L377" s="1645">
        <f t="shared" si="98"/>
        <v>0</v>
      </c>
      <c r="M377" s="1647">
        <f t="shared" si="99"/>
        <v>0</v>
      </c>
      <c r="N377" s="1647">
        <f t="shared" si="97"/>
        <v>0</v>
      </c>
      <c r="O377" s="1667"/>
      <c r="P377" s="1667"/>
      <c r="Q377" s="1667"/>
      <c r="R377" s="1667"/>
      <c r="S377" s="1672"/>
    </row>
    <row r="378" spans="2:19" s="1669" customFormat="1" ht="13.5" thickBot="1" x14ac:dyDescent="0.3">
      <c r="B378" s="1670"/>
      <c r="C378" s="1645">
        <v>4</v>
      </c>
      <c r="D378" s="4552" t="s">
        <v>3303</v>
      </c>
      <c r="E378" s="4552"/>
      <c r="F378" s="4552"/>
      <c r="G378" s="4552"/>
      <c r="H378" s="1646">
        <v>7.9999999999999974E-2</v>
      </c>
      <c r="I378" s="1645"/>
      <c r="J378" s="1645">
        <v>0.5</v>
      </c>
      <c r="K378" s="1645"/>
      <c r="L378" s="1645">
        <f t="shared" si="98"/>
        <v>0</v>
      </c>
      <c r="M378" s="1647">
        <f t="shared" si="99"/>
        <v>3.9999999999999987E-2</v>
      </c>
      <c r="N378" s="1647">
        <f t="shared" si="97"/>
        <v>0</v>
      </c>
      <c r="O378" s="1667"/>
      <c r="P378" s="1667"/>
      <c r="Q378" s="1667"/>
      <c r="R378" s="1667"/>
      <c r="S378" s="1672"/>
    </row>
    <row r="379" spans="2:19" s="1669" customFormat="1" ht="13.5" thickBot="1" x14ac:dyDescent="0.3">
      <c r="B379" s="1670"/>
      <c r="C379" s="1645">
        <v>5</v>
      </c>
      <c r="D379" s="4552" t="s">
        <v>3304</v>
      </c>
      <c r="E379" s="4552"/>
      <c r="F379" s="4552"/>
      <c r="G379" s="4552"/>
      <c r="H379" s="1646">
        <v>7.3333333333333306E-2</v>
      </c>
      <c r="I379" s="1645">
        <v>0</v>
      </c>
      <c r="J379" s="1645"/>
      <c r="K379" s="1645"/>
      <c r="L379" s="1645">
        <f t="shared" si="98"/>
        <v>0</v>
      </c>
      <c r="M379" s="1647">
        <f t="shared" si="99"/>
        <v>0</v>
      </c>
      <c r="N379" s="1647">
        <f t="shared" si="97"/>
        <v>0</v>
      </c>
      <c r="O379" s="1667"/>
      <c r="P379" s="1667"/>
      <c r="Q379" s="1667"/>
      <c r="R379" s="1667"/>
      <c r="S379" s="1672"/>
    </row>
    <row r="380" spans="2:19" s="1669" customFormat="1" ht="13.5" thickBot="1" x14ac:dyDescent="0.3">
      <c r="B380" s="1670"/>
      <c r="C380" s="1645">
        <v>6</v>
      </c>
      <c r="D380" s="4552" t="s">
        <v>3305</v>
      </c>
      <c r="E380" s="4552"/>
      <c r="F380" s="4552"/>
      <c r="G380" s="4552"/>
      <c r="H380" s="1646">
        <v>6.6666666666666652E-2</v>
      </c>
      <c r="I380" s="1645"/>
      <c r="J380" s="1645">
        <v>0.5</v>
      </c>
      <c r="K380" s="1645"/>
      <c r="L380" s="1645">
        <f t="shared" si="98"/>
        <v>0</v>
      </c>
      <c r="M380" s="1647">
        <f t="shared" si="99"/>
        <v>3.3333333333333326E-2</v>
      </c>
      <c r="N380" s="1647">
        <f t="shared" si="97"/>
        <v>0</v>
      </c>
      <c r="O380" s="1667"/>
      <c r="P380" s="1667"/>
      <c r="Q380" s="1667"/>
      <c r="R380" s="1667"/>
      <c r="S380" s="1672"/>
    </row>
    <row r="381" spans="2:19" s="1669" customFormat="1" ht="13.5" thickBot="1" x14ac:dyDescent="0.3">
      <c r="B381" s="1670"/>
      <c r="C381" s="1645">
        <v>7</v>
      </c>
      <c r="D381" s="4552" t="s">
        <v>3306</v>
      </c>
      <c r="E381" s="4552"/>
      <c r="F381" s="4552"/>
      <c r="G381" s="4552"/>
      <c r="H381" s="1646">
        <v>4.6666666666666655E-2</v>
      </c>
      <c r="I381" s="1645"/>
      <c r="J381" s="1645"/>
      <c r="K381" s="1645">
        <v>1</v>
      </c>
      <c r="L381" s="1645">
        <f t="shared" si="98"/>
        <v>0</v>
      </c>
      <c r="M381" s="1647">
        <f t="shared" si="99"/>
        <v>0</v>
      </c>
      <c r="N381" s="1647">
        <f t="shared" si="97"/>
        <v>4.6666666666666655E-2</v>
      </c>
      <c r="O381" s="1667"/>
      <c r="P381" s="1667"/>
      <c r="Q381" s="1667"/>
      <c r="R381" s="1667"/>
      <c r="S381" s="1672"/>
    </row>
    <row r="382" spans="2:19" s="1669" customFormat="1" ht="13.5" thickBot="1" x14ac:dyDescent="0.3">
      <c r="B382" s="1670"/>
      <c r="C382" s="1645">
        <v>8</v>
      </c>
      <c r="D382" s="4552" t="s">
        <v>3307</v>
      </c>
      <c r="E382" s="4552"/>
      <c r="F382" s="4552"/>
      <c r="G382" s="4552"/>
      <c r="H382" s="1646">
        <v>3.3333333333333326E-2</v>
      </c>
      <c r="I382" s="1645">
        <v>0</v>
      </c>
      <c r="J382" s="1645"/>
      <c r="K382" s="1645"/>
      <c r="L382" s="1645">
        <f t="shared" si="98"/>
        <v>0</v>
      </c>
      <c r="M382" s="1647">
        <f t="shared" si="99"/>
        <v>0</v>
      </c>
      <c r="N382" s="1647">
        <f t="shared" si="97"/>
        <v>0</v>
      </c>
      <c r="O382" s="1667"/>
      <c r="P382" s="1667"/>
      <c r="Q382" s="1667"/>
      <c r="R382" s="1667"/>
      <c r="S382" s="1672"/>
    </row>
    <row r="383" spans="2:19" s="1669" customFormat="1" ht="13.5" thickBot="1" x14ac:dyDescent="0.3">
      <c r="B383" s="1670"/>
      <c r="C383" s="1645">
        <v>9</v>
      </c>
      <c r="D383" s="4552" t="s">
        <v>3308</v>
      </c>
      <c r="E383" s="4552"/>
      <c r="F383" s="4552"/>
      <c r="G383" s="4552"/>
      <c r="H383" s="1646">
        <v>6.6666666666666652E-2</v>
      </c>
      <c r="I383" s="1645">
        <v>0</v>
      </c>
      <c r="J383" s="1645"/>
      <c r="K383" s="1645"/>
      <c r="L383" s="1645">
        <f t="shared" si="98"/>
        <v>0</v>
      </c>
      <c r="M383" s="1647">
        <f t="shared" si="99"/>
        <v>0</v>
      </c>
      <c r="N383" s="1647">
        <f t="shared" si="97"/>
        <v>0</v>
      </c>
      <c r="O383" s="1667"/>
      <c r="P383" s="1667"/>
      <c r="Q383" s="1667"/>
      <c r="R383" s="1667"/>
      <c r="S383" s="1672"/>
    </row>
    <row r="384" spans="2:19" s="1669" customFormat="1" ht="13.5" thickBot="1" x14ac:dyDescent="0.3">
      <c r="B384" s="1670"/>
      <c r="C384" s="1667"/>
      <c r="D384" s="1667"/>
      <c r="E384" s="1667"/>
      <c r="F384" s="1667"/>
      <c r="G384" s="1667"/>
      <c r="H384" s="1647">
        <v>1</v>
      </c>
      <c r="I384" s="1648">
        <v>0</v>
      </c>
      <c r="J384" s="1648">
        <v>9.9999999999999978E-2</v>
      </c>
      <c r="K384" s="1648">
        <v>0.57999999999999985</v>
      </c>
      <c r="L384" s="1648">
        <f>SUM(L375:L383)</f>
        <v>0</v>
      </c>
      <c r="M384" s="1648">
        <f>SUM(M375:M383)</f>
        <v>7.3333333333333306E-2</v>
      </c>
      <c r="N384" s="1648">
        <f>SUM(N375:N383)</f>
        <v>0.57999999999999985</v>
      </c>
      <c r="O384" s="1667"/>
      <c r="P384" s="1667"/>
      <c r="Q384" s="1667"/>
      <c r="R384" s="1667"/>
      <c r="S384" s="1672"/>
    </row>
    <row r="385" spans="2:19" s="1669" customFormat="1" ht="12.75" x14ac:dyDescent="0.25">
      <c r="B385" s="1670"/>
      <c r="C385" s="1667"/>
      <c r="D385" s="1667"/>
      <c r="E385" s="1667"/>
      <c r="F385" s="1667"/>
      <c r="G385" s="1667"/>
      <c r="H385" s="1632"/>
      <c r="I385" s="1633"/>
      <c r="J385" s="1633"/>
      <c r="K385" s="1633"/>
      <c r="L385" s="1633"/>
      <c r="M385" s="1633"/>
      <c r="N385" s="1633"/>
      <c r="O385" s="1667"/>
      <c r="P385" s="1667"/>
      <c r="Q385" s="1667"/>
      <c r="R385" s="1667"/>
      <c r="S385" s="1672"/>
    </row>
    <row r="386" spans="2:19" s="1669" customFormat="1" ht="13.5" thickBot="1" x14ac:dyDescent="0.3">
      <c r="B386" s="1670">
        <v>16.3</v>
      </c>
      <c r="C386" s="1631"/>
      <c r="D386" s="1671" t="str">
        <f>E352</f>
        <v>Sala de Puerperio  Inmediato, incluye SS.HH. de 2.30 m2</v>
      </c>
      <c r="E386" s="1667"/>
      <c r="F386" s="1667"/>
      <c r="G386" s="1667"/>
      <c r="H386" s="1671"/>
      <c r="I386" s="1667"/>
      <c r="J386" s="1667"/>
      <c r="K386" s="1667"/>
      <c r="L386" s="1667"/>
      <c r="M386" s="1667"/>
      <c r="N386" s="1667"/>
      <c r="O386" s="1667"/>
      <c r="P386" s="1667"/>
      <c r="Q386" s="1667"/>
      <c r="R386" s="1667"/>
      <c r="S386" s="1672"/>
    </row>
    <row r="387" spans="2:19" s="1680" customFormat="1" ht="13.5" thickBot="1" x14ac:dyDescent="0.3">
      <c r="B387" s="1681"/>
      <c r="C387" s="4546" t="s">
        <v>62</v>
      </c>
      <c r="D387" s="4549" t="s">
        <v>5</v>
      </c>
      <c r="E387" s="4549"/>
      <c r="F387" s="4549"/>
      <c r="G387" s="4549"/>
      <c r="H387" s="4549" t="s">
        <v>3297</v>
      </c>
      <c r="I387" s="4549" t="s">
        <v>3298</v>
      </c>
      <c r="J387" s="4549"/>
      <c r="K387" s="4549"/>
      <c r="L387" s="4549" t="s">
        <v>3299</v>
      </c>
      <c r="M387" s="4549"/>
      <c r="N387" s="4554"/>
      <c r="O387" s="1682"/>
      <c r="P387" s="1682"/>
      <c r="Q387" s="1682"/>
      <c r="R387" s="1682"/>
      <c r="S387" s="1683"/>
    </row>
    <row r="388" spans="2:19" s="1680" customFormat="1" ht="13.5" thickBot="1" x14ac:dyDescent="0.3">
      <c r="B388" s="1681"/>
      <c r="C388" s="4547"/>
      <c r="D388" s="4550"/>
      <c r="E388" s="4550"/>
      <c r="F388" s="4550"/>
      <c r="G388" s="4550"/>
      <c r="H388" s="4550"/>
      <c r="I388" s="1642" t="s">
        <v>3283</v>
      </c>
      <c r="J388" s="1642" t="s">
        <v>3284</v>
      </c>
      <c r="K388" s="1642" t="s">
        <v>3285</v>
      </c>
      <c r="L388" s="1642" t="s">
        <v>3283</v>
      </c>
      <c r="M388" s="1642" t="s">
        <v>3284</v>
      </c>
      <c r="N388" s="1693" t="s">
        <v>3285</v>
      </c>
      <c r="O388" s="1682"/>
      <c r="P388" s="1682"/>
      <c r="Q388" s="1682"/>
      <c r="R388" s="1682"/>
      <c r="S388" s="1683"/>
    </row>
    <row r="389" spans="2:19" s="1680" customFormat="1" ht="13.5" thickBot="1" x14ac:dyDescent="0.3">
      <c r="B389" s="1681"/>
      <c r="C389" s="4548"/>
      <c r="D389" s="4551"/>
      <c r="E389" s="4551"/>
      <c r="F389" s="4551"/>
      <c r="G389" s="4551"/>
      <c r="H389" s="4551"/>
      <c r="I389" s="1694">
        <v>0</v>
      </c>
      <c r="J389" s="1694">
        <v>0.5</v>
      </c>
      <c r="K389" s="1694">
        <v>1</v>
      </c>
      <c r="L389" s="1644">
        <v>0</v>
      </c>
      <c r="M389" s="1644">
        <v>0.5</v>
      </c>
      <c r="N389" s="1695">
        <v>1</v>
      </c>
      <c r="O389" s="1682"/>
      <c r="P389" s="1682"/>
      <c r="Q389" s="1682"/>
      <c r="R389" s="1682"/>
      <c r="S389" s="1683"/>
    </row>
    <row r="390" spans="2:19" s="1669" customFormat="1" ht="13.5" thickBot="1" x14ac:dyDescent="0.3">
      <c r="B390" s="1670"/>
      <c r="C390" s="1645">
        <v>1</v>
      </c>
      <c r="D390" s="4552" t="s">
        <v>3300</v>
      </c>
      <c r="E390" s="4552"/>
      <c r="F390" s="4552"/>
      <c r="G390" s="4552"/>
      <c r="H390" s="1646">
        <v>0.39999999999999986</v>
      </c>
      <c r="I390" s="1645"/>
      <c r="J390" s="1645"/>
      <c r="K390" s="1645">
        <v>1</v>
      </c>
      <c r="L390" s="1645">
        <f>H390*I390</f>
        <v>0</v>
      </c>
      <c r="M390" s="1647">
        <f>H390*J390</f>
        <v>0</v>
      </c>
      <c r="N390" s="1647">
        <f t="shared" ref="N390:N398" si="100">H390*K390</f>
        <v>0.39999999999999986</v>
      </c>
      <c r="O390" s="1667"/>
      <c r="P390" s="1667"/>
      <c r="Q390" s="1667"/>
      <c r="R390" s="1667"/>
      <c r="S390" s="1672"/>
    </row>
    <row r="391" spans="2:19" s="1669" customFormat="1" ht="13.5" thickBot="1" x14ac:dyDescent="0.3">
      <c r="B391" s="1670"/>
      <c r="C391" s="1645">
        <v>2</v>
      </c>
      <c r="D391" s="4552" t="s">
        <v>3301</v>
      </c>
      <c r="E391" s="4552"/>
      <c r="F391" s="4552"/>
      <c r="G391" s="4552"/>
      <c r="H391" s="1646">
        <v>0.1333333333333333</v>
      </c>
      <c r="I391" s="1645"/>
      <c r="J391" s="1645"/>
      <c r="K391" s="1645">
        <v>1</v>
      </c>
      <c r="L391" s="1645">
        <f t="shared" ref="L391:L398" si="101">H391*I391</f>
        <v>0</v>
      </c>
      <c r="M391" s="1647">
        <f t="shared" ref="M391:M398" si="102">H391*J391</f>
        <v>0</v>
      </c>
      <c r="N391" s="1647">
        <f t="shared" si="100"/>
        <v>0.1333333333333333</v>
      </c>
      <c r="O391" s="1667"/>
      <c r="P391" s="1667"/>
      <c r="Q391" s="1667"/>
      <c r="R391" s="1667"/>
      <c r="S391" s="1672"/>
    </row>
    <row r="392" spans="2:19" s="1669" customFormat="1" ht="13.5" thickBot="1" x14ac:dyDescent="0.3">
      <c r="B392" s="1670"/>
      <c r="C392" s="1645">
        <v>3</v>
      </c>
      <c r="D392" s="4552" t="s">
        <v>3302</v>
      </c>
      <c r="E392" s="4552"/>
      <c r="F392" s="4552"/>
      <c r="G392" s="4552"/>
      <c r="H392" s="1646">
        <v>9.9999999999999964E-2</v>
      </c>
      <c r="I392" s="1645">
        <v>0</v>
      </c>
      <c r="J392" s="1645"/>
      <c r="K392" s="1645"/>
      <c r="L392" s="1645">
        <f t="shared" si="101"/>
        <v>0</v>
      </c>
      <c r="M392" s="1647">
        <f t="shared" si="102"/>
        <v>0</v>
      </c>
      <c r="N392" s="1647">
        <f t="shared" si="100"/>
        <v>0</v>
      </c>
      <c r="O392" s="1667"/>
      <c r="P392" s="1667"/>
      <c r="Q392" s="1667"/>
      <c r="R392" s="1667"/>
      <c r="S392" s="1672"/>
    </row>
    <row r="393" spans="2:19" s="1669" customFormat="1" ht="13.5" thickBot="1" x14ac:dyDescent="0.3">
      <c r="B393" s="1670"/>
      <c r="C393" s="1645">
        <v>4</v>
      </c>
      <c r="D393" s="4552" t="s">
        <v>3303</v>
      </c>
      <c r="E393" s="4552"/>
      <c r="F393" s="4552"/>
      <c r="G393" s="4552"/>
      <c r="H393" s="1646">
        <v>7.9999999999999974E-2</v>
      </c>
      <c r="I393" s="1645"/>
      <c r="J393" s="1645">
        <v>0.5</v>
      </c>
      <c r="K393" s="1645"/>
      <c r="L393" s="1645">
        <f t="shared" si="101"/>
        <v>0</v>
      </c>
      <c r="M393" s="1647">
        <f t="shared" si="102"/>
        <v>3.9999999999999987E-2</v>
      </c>
      <c r="N393" s="1647">
        <f t="shared" si="100"/>
        <v>0</v>
      </c>
      <c r="O393" s="1667"/>
      <c r="P393" s="1667"/>
      <c r="Q393" s="1667"/>
      <c r="R393" s="1667"/>
      <c r="S393" s="1672"/>
    </row>
    <row r="394" spans="2:19" s="1669" customFormat="1" ht="13.5" thickBot="1" x14ac:dyDescent="0.3">
      <c r="B394" s="1670"/>
      <c r="C394" s="1645">
        <v>5</v>
      </c>
      <c r="D394" s="4552" t="s">
        <v>3304</v>
      </c>
      <c r="E394" s="4552"/>
      <c r="F394" s="4552"/>
      <c r="G394" s="4552"/>
      <c r="H394" s="1646">
        <v>7.3333333333333306E-2</v>
      </c>
      <c r="I394" s="1645">
        <v>0</v>
      </c>
      <c r="J394" s="1645"/>
      <c r="K394" s="1645"/>
      <c r="L394" s="1645">
        <f t="shared" si="101"/>
        <v>0</v>
      </c>
      <c r="M394" s="1647">
        <f t="shared" si="102"/>
        <v>0</v>
      </c>
      <c r="N394" s="1647">
        <f t="shared" si="100"/>
        <v>0</v>
      </c>
      <c r="O394" s="1667"/>
      <c r="P394" s="1667"/>
      <c r="Q394" s="1667"/>
      <c r="R394" s="1667"/>
      <c r="S394" s="1672"/>
    </row>
    <row r="395" spans="2:19" s="1669" customFormat="1" ht="13.5" thickBot="1" x14ac:dyDescent="0.3">
      <c r="B395" s="1670"/>
      <c r="C395" s="1645">
        <v>6</v>
      </c>
      <c r="D395" s="4552" t="s">
        <v>3305</v>
      </c>
      <c r="E395" s="4552"/>
      <c r="F395" s="4552"/>
      <c r="G395" s="4552"/>
      <c r="H395" s="1646">
        <v>6.6666666666666652E-2</v>
      </c>
      <c r="I395" s="1645"/>
      <c r="J395" s="1645">
        <v>0.5</v>
      </c>
      <c r="K395" s="1645"/>
      <c r="L395" s="1645">
        <f t="shared" si="101"/>
        <v>0</v>
      </c>
      <c r="M395" s="1647">
        <f t="shared" si="102"/>
        <v>3.3333333333333326E-2</v>
      </c>
      <c r="N395" s="1647">
        <f t="shared" si="100"/>
        <v>0</v>
      </c>
      <c r="O395" s="1667"/>
      <c r="P395" s="1667"/>
      <c r="Q395" s="1667"/>
      <c r="R395" s="1667"/>
      <c r="S395" s="1672"/>
    </row>
    <row r="396" spans="2:19" s="1669" customFormat="1" ht="13.5" thickBot="1" x14ac:dyDescent="0.3">
      <c r="B396" s="1670"/>
      <c r="C396" s="1645">
        <v>7</v>
      </c>
      <c r="D396" s="4552" t="s">
        <v>3306</v>
      </c>
      <c r="E396" s="4552"/>
      <c r="F396" s="4552"/>
      <c r="G396" s="4552"/>
      <c r="H396" s="1646">
        <v>4.6666666666666655E-2</v>
      </c>
      <c r="I396" s="1645"/>
      <c r="J396" s="1645"/>
      <c r="K396" s="1645">
        <v>1</v>
      </c>
      <c r="L396" s="1645">
        <f t="shared" si="101"/>
        <v>0</v>
      </c>
      <c r="M396" s="1647">
        <f t="shared" si="102"/>
        <v>0</v>
      </c>
      <c r="N396" s="1647">
        <f t="shared" si="100"/>
        <v>4.6666666666666655E-2</v>
      </c>
      <c r="O396" s="1667"/>
      <c r="P396" s="1667"/>
      <c r="Q396" s="1667"/>
      <c r="R396" s="1667"/>
      <c r="S396" s="1672"/>
    </row>
    <row r="397" spans="2:19" s="1669" customFormat="1" ht="13.5" thickBot="1" x14ac:dyDescent="0.3">
      <c r="B397" s="1670"/>
      <c r="C397" s="1645">
        <v>8</v>
      </c>
      <c r="D397" s="4552" t="s">
        <v>3307</v>
      </c>
      <c r="E397" s="4552"/>
      <c r="F397" s="4552"/>
      <c r="G397" s="4552"/>
      <c r="H397" s="1646">
        <v>3.3333333333333326E-2</v>
      </c>
      <c r="I397" s="1645">
        <v>0</v>
      </c>
      <c r="J397" s="1645"/>
      <c r="K397" s="1645"/>
      <c r="L397" s="1645">
        <f t="shared" si="101"/>
        <v>0</v>
      </c>
      <c r="M397" s="1647">
        <f t="shared" si="102"/>
        <v>0</v>
      </c>
      <c r="N397" s="1647">
        <f t="shared" si="100"/>
        <v>0</v>
      </c>
      <c r="O397" s="1667"/>
      <c r="P397" s="1667"/>
      <c r="Q397" s="1667"/>
      <c r="R397" s="1667"/>
      <c r="S397" s="1672"/>
    </row>
    <row r="398" spans="2:19" s="1669" customFormat="1" ht="13.5" thickBot="1" x14ac:dyDescent="0.3">
      <c r="B398" s="1670"/>
      <c r="C398" s="1645">
        <v>9</v>
      </c>
      <c r="D398" s="4552" t="s">
        <v>3308</v>
      </c>
      <c r="E398" s="4552"/>
      <c r="F398" s="4552"/>
      <c r="G398" s="4552"/>
      <c r="H398" s="1646">
        <v>6.6666666666666652E-2</v>
      </c>
      <c r="I398" s="1645">
        <v>0</v>
      </c>
      <c r="J398" s="1645"/>
      <c r="K398" s="1645"/>
      <c r="L398" s="1645">
        <f t="shared" si="101"/>
        <v>0</v>
      </c>
      <c r="M398" s="1647">
        <f t="shared" si="102"/>
        <v>0</v>
      </c>
      <c r="N398" s="1647">
        <f t="shared" si="100"/>
        <v>0</v>
      </c>
      <c r="O398" s="1667"/>
      <c r="P398" s="1667"/>
      <c r="Q398" s="1667"/>
      <c r="R398" s="1667"/>
      <c r="S398" s="1672"/>
    </row>
    <row r="399" spans="2:19" s="1669" customFormat="1" ht="13.5" thickBot="1" x14ac:dyDescent="0.3">
      <c r="B399" s="1670"/>
      <c r="C399" s="1667"/>
      <c r="D399" s="1667"/>
      <c r="E399" s="1667"/>
      <c r="F399" s="1667"/>
      <c r="G399" s="1667"/>
      <c r="H399" s="1647">
        <v>1</v>
      </c>
      <c r="I399" s="1648">
        <v>0</v>
      </c>
      <c r="J399" s="1648">
        <v>9.9999999999999978E-2</v>
      </c>
      <c r="K399" s="1648">
        <v>0.57999999999999985</v>
      </c>
      <c r="L399" s="1648">
        <f>SUM(L390:L398)</f>
        <v>0</v>
      </c>
      <c r="M399" s="1648">
        <f>SUM(M390:M398)</f>
        <v>7.3333333333333306E-2</v>
      </c>
      <c r="N399" s="1648">
        <f>SUM(N390:N398)</f>
        <v>0.57999999999999985</v>
      </c>
      <c r="O399" s="1667"/>
      <c r="P399" s="1667"/>
      <c r="Q399" s="1667"/>
      <c r="R399" s="1667"/>
      <c r="S399" s="1672"/>
    </row>
    <row r="400" spans="2:19" s="1669" customFormat="1" ht="12.75" x14ac:dyDescent="0.25">
      <c r="B400" s="1670"/>
      <c r="C400" s="1667"/>
      <c r="D400" s="1667"/>
      <c r="E400" s="1667"/>
      <c r="F400" s="1667"/>
      <c r="G400" s="1667"/>
      <c r="H400" s="1632"/>
      <c r="I400" s="1633"/>
      <c r="J400" s="1633"/>
      <c r="K400" s="1633"/>
      <c r="L400" s="1633"/>
      <c r="M400" s="1633"/>
      <c r="N400" s="1633"/>
      <c r="O400" s="1667"/>
      <c r="P400" s="1667"/>
      <c r="Q400" s="1667"/>
      <c r="R400" s="1667"/>
      <c r="S400" s="1672"/>
    </row>
    <row r="401" spans="2:19" s="1669" customFormat="1" ht="13.5" thickBot="1" x14ac:dyDescent="0.3">
      <c r="B401" s="1670"/>
      <c r="C401" s="1667"/>
      <c r="D401" s="1667"/>
      <c r="E401" s="1667"/>
      <c r="F401" s="1667"/>
      <c r="G401" s="1667"/>
      <c r="H401" s="1632"/>
      <c r="I401" s="1633"/>
      <c r="J401" s="1633"/>
      <c r="K401" s="1633"/>
      <c r="L401" s="1633"/>
      <c r="M401" s="1633"/>
      <c r="N401" s="1633"/>
      <c r="O401" s="1667"/>
      <c r="P401" s="1667"/>
      <c r="Q401" s="1667"/>
      <c r="R401" s="1667"/>
      <c r="S401" s="1672"/>
    </row>
    <row r="402" spans="2:19" s="1662" customFormat="1" ht="14.1" customHeight="1" thickBot="1" x14ac:dyDescent="0.3">
      <c r="B402" s="1663"/>
      <c r="C402" s="4546" t="s">
        <v>1292</v>
      </c>
      <c r="D402" s="4549"/>
      <c r="E402" s="4549" t="s">
        <v>3215</v>
      </c>
      <c r="F402" s="4559" t="s">
        <v>3276</v>
      </c>
      <c r="G402" s="4559"/>
      <c r="H402" s="4559"/>
      <c r="I402" s="4559"/>
      <c r="J402" s="4559"/>
      <c r="K402" s="4559" t="s">
        <v>3217</v>
      </c>
      <c r="L402" s="4559"/>
      <c r="M402" s="4559"/>
      <c r="N402" s="4559"/>
      <c r="O402" s="4559"/>
      <c r="P402" s="4559"/>
      <c r="Q402" s="4549" t="s">
        <v>3277</v>
      </c>
      <c r="R402" s="4556" t="s">
        <v>3278</v>
      </c>
      <c r="S402" s="1665"/>
    </row>
    <row r="403" spans="2:19" s="1677" customFormat="1" ht="41.1" customHeight="1" thickBot="1" x14ac:dyDescent="0.3">
      <c r="B403" s="1678"/>
      <c r="C403" s="4547"/>
      <c r="D403" s="4550"/>
      <c r="E403" s="4550"/>
      <c r="F403" s="4550" t="s">
        <v>323</v>
      </c>
      <c r="G403" s="4550" t="s">
        <v>3279</v>
      </c>
      <c r="H403" s="4550" t="s">
        <v>3280</v>
      </c>
      <c r="I403" s="4550" t="s">
        <v>3281</v>
      </c>
      <c r="J403" s="4550" t="s">
        <v>3282</v>
      </c>
      <c r="K403" s="1642" t="s">
        <v>3283</v>
      </c>
      <c r="L403" s="1642" t="s">
        <v>3284</v>
      </c>
      <c r="M403" s="1642" t="s">
        <v>3285</v>
      </c>
      <c r="N403" s="4550" t="s">
        <v>3286</v>
      </c>
      <c r="O403" s="4550" t="s">
        <v>3287</v>
      </c>
      <c r="P403" s="4550"/>
      <c r="Q403" s="4550"/>
      <c r="R403" s="4568"/>
      <c r="S403" s="1679"/>
    </row>
    <row r="404" spans="2:19" s="1677" customFormat="1" ht="15.75" thickBot="1" x14ac:dyDescent="0.3">
      <c r="B404" s="1678"/>
      <c r="C404" s="4547"/>
      <c r="D404" s="4550"/>
      <c r="E404" s="4550"/>
      <c r="F404" s="4550"/>
      <c r="G404" s="4550"/>
      <c r="H404" s="4550"/>
      <c r="I404" s="4550"/>
      <c r="J404" s="4550"/>
      <c r="K404" s="4550" t="s">
        <v>3288</v>
      </c>
      <c r="L404" s="4550"/>
      <c r="M404" s="4550"/>
      <c r="N404" s="4550"/>
      <c r="O404" s="1642" t="s">
        <v>3289</v>
      </c>
      <c r="P404" s="1642" t="s">
        <v>3290</v>
      </c>
      <c r="Q404" s="4550"/>
      <c r="R404" s="4568"/>
      <c r="S404" s="1679"/>
    </row>
    <row r="405" spans="2:19" s="1677" customFormat="1" ht="15.75" thickBot="1" x14ac:dyDescent="0.3">
      <c r="B405" s="1678"/>
      <c r="C405" s="4548"/>
      <c r="D405" s="4551"/>
      <c r="E405" s="4551"/>
      <c r="F405" s="4551"/>
      <c r="G405" s="4551"/>
      <c r="H405" s="4551"/>
      <c r="I405" s="4551"/>
      <c r="J405" s="4551"/>
      <c r="K405" s="1643">
        <v>0</v>
      </c>
      <c r="L405" s="1643" t="s">
        <v>3291</v>
      </c>
      <c r="M405" s="1643" t="s">
        <v>3292</v>
      </c>
      <c r="N405" s="4551"/>
      <c r="O405" s="1644" t="s">
        <v>3227</v>
      </c>
      <c r="P405" s="1644" t="s">
        <v>3228</v>
      </c>
      <c r="Q405" s="4551"/>
      <c r="R405" s="4569"/>
      <c r="S405" s="1679"/>
    </row>
    <row r="406" spans="2:19" s="1662" customFormat="1" ht="29.25" customHeight="1" thickBot="1" x14ac:dyDescent="0.3">
      <c r="B406" s="1663">
        <v>17</v>
      </c>
      <c r="C406" s="4570" t="s">
        <v>331</v>
      </c>
      <c r="D406" s="4570"/>
      <c r="E406" s="1658" t="str">
        <f>'16.1 Areas Actuales'!D49</f>
        <v xml:space="preserve">Sala de Internamiento Varones y Mujeres (3 camas) , Incluye SS.HH. De 4.28 m2 </v>
      </c>
      <c r="F406" s="1653">
        <v>1</v>
      </c>
      <c r="G406" s="1652">
        <f>'16.1 Areas Actuales'!F49</f>
        <v>23.470000000000002</v>
      </c>
      <c r="H406" s="1653">
        <f>'16.1 Areas Actuales'!G49</f>
        <v>18</v>
      </c>
      <c r="I406" s="1646">
        <f>+G406-H406</f>
        <v>5.4700000000000024</v>
      </c>
      <c r="J406" s="1655">
        <f>IF(I406&gt;-0.1,1,0)</f>
        <v>1</v>
      </c>
      <c r="K406" s="1646">
        <f>L424</f>
        <v>0</v>
      </c>
      <c r="L406" s="1646">
        <f>M424</f>
        <v>7.3333333333333306E-2</v>
      </c>
      <c r="M406" s="1646">
        <f>N424</f>
        <v>0.57999999999999985</v>
      </c>
      <c r="N406" s="1646">
        <f>SUM(K406:M406)</f>
        <v>0.6533333333333331</v>
      </c>
      <c r="O406" s="1654">
        <f>IF(N406&gt;=0.63,1,0)</f>
        <v>1</v>
      </c>
      <c r="P406" s="1655">
        <f>IF(N406&lt;0.63,0,0)</f>
        <v>0</v>
      </c>
      <c r="Q406" s="1656">
        <v>117</v>
      </c>
      <c r="R406" s="1657">
        <f>+J406*O406*Q406</f>
        <v>117</v>
      </c>
      <c r="S406" s="1665"/>
    </row>
    <row r="407" spans="2:19" s="1662" customFormat="1" ht="15" customHeight="1" thickBot="1" x14ac:dyDescent="0.3">
      <c r="B407" s="1663"/>
      <c r="C407" s="4570"/>
      <c r="D407" s="4570"/>
      <c r="E407" s="1658" t="str">
        <f>'16.1 Areas Actuales'!D50</f>
        <v>Sala de Internamiento Niños (2 camas)</v>
      </c>
      <c r="F407" s="1653">
        <v>0</v>
      </c>
      <c r="G407" s="1652">
        <f>'16.1 Areas Actuales'!F50</f>
        <v>14.01</v>
      </c>
      <c r="H407" s="1653">
        <v>18</v>
      </c>
      <c r="I407" s="1646">
        <f>+G407-H407</f>
        <v>-3.99</v>
      </c>
      <c r="J407" s="1655">
        <f>IF(I407&gt;-0.1,1,0)</f>
        <v>0</v>
      </c>
      <c r="K407" s="1646">
        <f>L439</f>
        <v>0</v>
      </c>
      <c r="L407" s="1646">
        <f>M439</f>
        <v>7.3333333333333306E-2</v>
      </c>
      <c r="M407" s="1646">
        <f>N439</f>
        <v>0.57999999999999985</v>
      </c>
      <c r="N407" s="1646">
        <f>SUM(K407:M407)</f>
        <v>0.6533333333333331</v>
      </c>
      <c r="O407" s="1654">
        <f>IF(N407&gt;=0.63,1,0)</f>
        <v>1</v>
      </c>
      <c r="P407" s="1655">
        <f>IF(N407&lt;0.63,0,0)</f>
        <v>0</v>
      </c>
      <c r="Q407" s="1656">
        <v>117</v>
      </c>
      <c r="R407" s="1657">
        <f>+J407*O407*Q407</f>
        <v>0</v>
      </c>
      <c r="S407" s="1665"/>
    </row>
    <row r="408" spans="2:19" s="1715" customFormat="1" ht="15" customHeight="1" thickBot="1" x14ac:dyDescent="0.3">
      <c r="B408" s="1663"/>
      <c r="C408" s="4570"/>
      <c r="D408" s="4570"/>
      <c r="E408" s="1649" t="s">
        <v>0</v>
      </c>
      <c r="F408" s="1707">
        <f>SUM(F406:F407)</f>
        <v>1</v>
      </c>
      <c r="G408" s="1707">
        <f>SUM(G406:G407)</f>
        <v>37.480000000000004</v>
      </c>
      <c r="H408" s="1707">
        <f>SUM(H406:H407)</f>
        <v>36</v>
      </c>
      <c r="I408" s="1707">
        <f>SUM(I406:I407)</f>
        <v>1.4800000000000022</v>
      </c>
      <c r="J408" s="1707">
        <f>SUM(J406:J407)</f>
        <v>1</v>
      </c>
      <c r="K408" s="1710"/>
      <c r="L408" s="1710"/>
      <c r="M408" s="1710"/>
      <c r="N408" s="1716"/>
      <c r="O408" s="1710"/>
      <c r="P408" s="1710"/>
      <c r="Q408" s="1711"/>
      <c r="R408" s="1712"/>
      <c r="S408" s="1717"/>
    </row>
    <row r="409" spans="2:19" s="1669" customFormat="1" ht="12.75" x14ac:dyDescent="0.25">
      <c r="B409" s="1670"/>
      <c r="C409" s="1667"/>
      <c r="D409" s="1667"/>
      <c r="E409" s="1667"/>
      <c r="F409" s="1667"/>
      <c r="G409" s="1667"/>
      <c r="H409" s="1632"/>
      <c r="I409" s="1633"/>
      <c r="J409" s="1633"/>
      <c r="K409" s="1633"/>
      <c r="L409" s="1633"/>
      <c r="M409" s="1633"/>
      <c r="N409" s="1633"/>
      <c r="O409" s="1667"/>
      <c r="P409" s="1667"/>
      <c r="Q409" s="1667"/>
      <c r="R409" s="1667"/>
      <c r="S409" s="1672"/>
    </row>
    <row r="410" spans="2:19" s="1669" customFormat="1" ht="12.75" x14ac:dyDescent="0.25">
      <c r="B410" s="1670"/>
      <c r="C410" s="1667"/>
      <c r="D410" s="1667"/>
      <c r="E410" s="1667"/>
      <c r="F410" s="1667"/>
      <c r="G410" s="1667"/>
      <c r="H410" s="1632"/>
      <c r="I410" s="1633"/>
      <c r="J410" s="1633"/>
      <c r="K410" s="1633"/>
      <c r="L410" s="1633"/>
      <c r="M410" s="1633"/>
      <c r="N410" s="1633"/>
      <c r="O410" s="1667"/>
      <c r="P410" s="1667"/>
      <c r="Q410" s="1667"/>
      <c r="R410" s="1667"/>
      <c r="S410" s="1672"/>
    </row>
    <row r="411" spans="2:19" s="1669" customFormat="1" ht="13.5" thickBot="1" x14ac:dyDescent="0.3">
      <c r="B411" s="1670">
        <v>17.100000000000001</v>
      </c>
      <c r="C411" s="1631"/>
      <c r="D411" s="1671" t="str">
        <f>E406</f>
        <v xml:space="preserve">Sala de Internamiento Varones y Mujeres (3 camas) , Incluye SS.HH. De 4.28 m2 </v>
      </c>
      <c r="E411" s="1667"/>
      <c r="F411" s="1667"/>
      <c r="G411" s="1667"/>
      <c r="H411" s="1671"/>
      <c r="I411" s="1667"/>
      <c r="J411" s="1667"/>
      <c r="K411" s="1667"/>
      <c r="L411" s="1667"/>
      <c r="M411" s="1667"/>
      <c r="N411" s="1667"/>
      <c r="O411" s="1667"/>
      <c r="P411" s="1667"/>
      <c r="Q411" s="1667"/>
      <c r="R411" s="1667"/>
      <c r="S411" s="1672"/>
    </row>
    <row r="412" spans="2:19" s="1680" customFormat="1" ht="13.5" thickBot="1" x14ac:dyDescent="0.3">
      <c r="B412" s="1681"/>
      <c r="C412" s="4546" t="s">
        <v>62</v>
      </c>
      <c r="D412" s="4549" t="s">
        <v>5</v>
      </c>
      <c r="E412" s="4549"/>
      <c r="F412" s="4549"/>
      <c r="G412" s="4549"/>
      <c r="H412" s="4549" t="s">
        <v>3297</v>
      </c>
      <c r="I412" s="4549" t="s">
        <v>3298</v>
      </c>
      <c r="J412" s="4549"/>
      <c r="K412" s="4549"/>
      <c r="L412" s="4549" t="s">
        <v>3299</v>
      </c>
      <c r="M412" s="4549"/>
      <c r="N412" s="4554"/>
      <c r="O412" s="1682"/>
      <c r="P412" s="1682"/>
      <c r="Q412" s="1682"/>
      <c r="R412" s="1682"/>
      <c r="S412" s="1683"/>
    </row>
    <row r="413" spans="2:19" s="1680" customFormat="1" ht="13.5" thickBot="1" x14ac:dyDescent="0.3">
      <c r="B413" s="1681"/>
      <c r="C413" s="4547"/>
      <c r="D413" s="4550"/>
      <c r="E413" s="4550"/>
      <c r="F413" s="4550"/>
      <c r="G413" s="4550"/>
      <c r="H413" s="4550"/>
      <c r="I413" s="1642" t="s">
        <v>3283</v>
      </c>
      <c r="J413" s="1642" t="s">
        <v>3284</v>
      </c>
      <c r="K413" s="1642" t="s">
        <v>3285</v>
      </c>
      <c r="L413" s="1642" t="s">
        <v>3283</v>
      </c>
      <c r="M413" s="1642" t="s">
        <v>3284</v>
      </c>
      <c r="N413" s="1693" t="s">
        <v>3285</v>
      </c>
      <c r="O413" s="1682"/>
      <c r="P413" s="1682"/>
      <c r="Q413" s="1682"/>
      <c r="R413" s="1682"/>
      <c r="S413" s="1683"/>
    </row>
    <row r="414" spans="2:19" s="1680" customFormat="1" ht="13.5" thickBot="1" x14ac:dyDescent="0.3">
      <c r="B414" s="1681"/>
      <c r="C414" s="4548"/>
      <c r="D414" s="4551"/>
      <c r="E414" s="4551"/>
      <c r="F414" s="4551"/>
      <c r="G414" s="4551"/>
      <c r="H414" s="4551"/>
      <c r="I414" s="1694">
        <v>0</v>
      </c>
      <c r="J414" s="1694">
        <v>0.5</v>
      </c>
      <c r="K414" s="1694">
        <v>1</v>
      </c>
      <c r="L414" s="1644">
        <v>0</v>
      </c>
      <c r="M414" s="1644">
        <v>0.5</v>
      </c>
      <c r="N414" s="1695">
        <v>1</v>
      </c>
      <c r="O414" s="1682"/>
      <c r="P414" s="1682"/>
      <c r="Q414" s="1682"/>
      <c r="R414" s="1682"/>
      <c r="S414" s="1683"/>
    </row>
    <row r="415" spans="2:19" s="1669" customFormat="1" ht="13.5" thickBot="1" x14ac:dyDescent="0.3">
      <c r="B415" s="1670"/>
      <c r="C415" s="1645">
        <v>1</v>
      </c>
      <c r="D415" s="4552" t="s">
        <v>3300</v>
      </c>
      <c r="E415" s="4552"/>
      <c r="F415" s="4552"/>
      <c r="G415" s="4552"/>
      <c r="H415" s="1646">
        <v>0.39999999999999986</v>
      </c>
      <c r="I415" s="1645"/>
      <c r="J415" s="1645"/>
      <c r="K415" s="1645">
        <v>1</v>
      </c>
      <c r="L415" s="1645">
        <f>H415*I415</f>
        <v>0</v>
      </c>
      <c r="M415" s="1647">
        <f>H415*J415</f>
        <v>0</v>
      </c>
      <c r="N415" s="1647">
        <f t="shared" ref="N415:N423" si="103">H415*K415</f>
        <v>0.39999999999999986</v>
      </c>
      <c r="O415" s="1667"/>
      <c r="P415" s="1667"/>
      <c r="Q415" s="1667"/>
      <c r="R415" s="1667"/>
      <c r="S415" s="1672"/>
    </row>
    <row r="416" spans="2:19" s="1669" customFormat="1" ht="13.5" thickBot="1" x14ac:dyDescent="0.3">
      <c r="B416" s="1670"/>
      <c r="C416" s="1645">
        <v>2</v>
      </c>
      <c r="D416" s="4552" t="s">
        <v>3301</v>
      </c>
      <c r="E416" s="4552"/>
      <c r="F416" s="4552"/>
      <c r="G416" s="4552"/>
      <c r="H416" s="1646">
        <v>0.1333333333333333</v>
      </c>
      <c r="I416" s="1645"/>
      <c r="J416" s="1645"/>
      <c r="K416" s="1645">
        <v>1</v>
      </c>
      <c r="L416" s="1645">
        <f t="shared" ref="L416:L423" si="104">H416*I416</f>
        <v>0</v>
      </c>
      <c r="M416" s="1647">
        <f t="shared" ref="M416:M423" si="105">H416*J416</f>
        <v>0</v>
      </c>
      <c r="N416" s="1647">
        <f t="shared" si="103"/>
        <v>0.1333333333333333</v>
      </c>
      <c r="O416" s="1667"/>
      <c r="P416" s="1667"/>
      <c r="Q416" s="1667"/>
      <c r="R416" s="1667"/>
      <c r="S416" s="1672"/>
    </row>
    <row r="417" spans="2:19" s="1669" customFormat="1" ht="13.5" thickBot="1" x14ac:dyDescent="0.3">
      <c r="B417" s="1670"/>
      <c r="C417" s="1645">
        <v>3</v>
      </c>
      <c r="D417" s="4552" t="s">
        <v>3302</v>
      </c>
      <c r="E417" s="4552"/>
      <c r="F417" s="4552"/>
      <c r="G417" s="4552"/>
      <c r="H417" s="1646">
        <v>9.9999999999999964E-2</v>
      </c>
      <c r="I417" s="1645">
        <v>0</v>
      </c>
      <c r="J417" s="1645"/>
      <c r="K417" s="1645"/>
      <c r="L417" s="1645">
        <f t="shared" si="104"/>
        <v>0</v>
      </c>
      <c r="M417" s="1647">
        <f t="shared" si="105"/>
        <v>0</v>
      </c>
      <c r="N417" s="1647">
        <f t="shared" si="103"/>
        <v>0</v>
      </c>
      <c r="O417" s="1667"/>
      <c r="P417" s="1667"/>
      <c r="Q417" s="1667"/>
      <c r="R417" s="1667"/>
      <c r="S417" s="1672"/>
    </row>
    <row r="418" spans="2:19" s="1669" customFormat="1" ht="13.5" thickBot="1" x14ac:dyDescent="0.3">
      <c r="B418" s="1670"/>
      <c r="C418" s="1645">
        <v>4</v>
      </c>
      <c r="D418" s="4552" t="s">
        <v>3303</v>
      </c>
      <c r="E418" s="4552"/>
      <c r="F418" s="4552"/>
      <c r="G418" s="4552"/>
      <c r="H418" s="1646">
        <v>7.9999999999999974E-2</v>
      </c>
      <c r="I418" s="1645"/>
      <c r="J418" s="1645">
        <v>0.5</v>
      </c>
      <c r="K418" s="1645"/>
      <c r="L418" s="1645">
        <f t="shared" si="104"/>
        <v>0</v>
      </c>
      <c r="M418" s="1647">
        <f t="shared" si="105"/>
        <v>3.9999999999999987E-2</v>
      </c>
      <c r="N418" s="1647">
        <f t="shared" si="103"/>
        <v>0</v>
      </c>
      <c r="O418" s="1667"/>
      <c r="P418" s="1667"/>
      <c r="Q418" s="1667"/>
      <c r="R418" s="1667"/>
      <c r="S418" s="1672"/>
    </row>
    <row r="419" spans="2:19" s="1669" customFormat="1" ht="13.5" thickBot="1" x14ac:dyDescent="0.3">
      <c r="B419" s="1670"/>
      <c r="C419" s="1645">
        <v>5</v>
      </c>
      <c r="D419" s="4552" t="s">
        <v>3304</v>
      </c>
      <c r="E419" s="4552"/>
      <c r="F419" s="4552"/>
      <c r="G419" s="4552"/>
      <c r="H419" s="1646">
        <v>7.3333333333333306E-2</v>
      </c>
      <c r="I419" s="1645">
        <v>0</v>
      </c>
      <c r="J419" s="1645"/>
      <c r="K419" s="1645"/>
      <c r="L419" s="1645">
        <f t="shared" si="104"/>
        <v>0</v>
      </c>
      <c r="M419" s="1647">
        <f t="shared" si="105"/>
        <v>0</v>
      </c>
      <c r="N419" s="1647">
        <f t="shared" si="103"/>
        <v>0</v>
      </c>
      <c r="O419" s="1667"/>
      <c r="P419" s="1667"/>
      <c r="Q419" s="1667"/>
      <c r="R419" s="1667"/>
      <c r="S419" s="1672"/>
    </row>
    <row r="420" spans="2:19" s="1669" customFormat="1" ht="13.5" thickBot="1" x14ac:dyDescent="0.3">
      <c r="B420" s="1670"/>
      <c r="C420" s="1645">
        <v>6</v>
      </c>
      <c r="D420" s="4552" t="s">
        <v>3305</v>
      </c>
      <c r="E420" s="4552"/>
      <c r="F420" s="4552"/>
      <c r="G420" s="4552"/>
      <c r="H420" s="1646">
        <v>6.6666666666666652E-2</v>
      </c>
      <c r="I420" s="1645"/>
      <c r="J420" s="1645">
        <v>0.5</v>
      </c>
      <c r="K420" s="1645"/>
      <c r="L420" s="1645">
        <f t="shared" si="104"/>
        <v>0</v>
      </c>
      <c r="M420" s="1647">
        <f t="shared" si="105"/>
        <v>3.3333333333333326E-2</v>
      </c>
      <c r="N420" s="1647">
        <f t="shared" si="103"/>
        <v>0</v>
      </c>
      <c r="O420" s="1667"/>
      <c r="P420" s="1667"/>
      <c r="Q420" s="1667"/>
      <c r="R420" s="1667"/>
      <c r="S420" s="1672"/>
    </row>
    <row r="421" spans="2:19" s="1669" customFormat="1" ht="13.5" thickBot="1" x14ac:dyDescent="0.3">
      <c r="B421" s="1670"/>
      <c r="C421" s="1645">
        <v>7</v>
      </c>
      <c r="D421" s="4552" t="s">
        <v>3306</v>
      </c>
      <c r="E421" s="4552"/>
      <c r="F421" s="4552"/>
      <c r="G421" s="4552"/>
      <c r="H421" s="1646">
        <v>4.6666666666666655E-2</v>
      </c>
      <c r="I421" s="1645"/>
      <c r="J421" s="1645"/>
      <c r="K421" s="1645">
        <v>1</v>
      </c>
      <c r="L421" s="1645">
        <f t="shared" si="104"/>
        <v>0</v>
      </c>
      <c r="M421" s="1647">
        <f t="shared" si="105"/>
        <v>0</v>
      </c>
      <c r="N421" s="1647">
        <f t="shared" si="103"/>
        <v>4.6666666666666655E-2</v>
      </c>
      <c r="O421" s="1667"/>
      <c r="P421" s="1667"/>
      <c r="Q421" s="1667"/>
      <c r="R421" s="1667"/>
      <c r="S421" s="1672"/>
    </row>
    <row r="422" spans="2:19" s="1669" customFormat="1" ht="13.5" thickBot="1" x14ac:dyDescent="0.3">
      <c r="B422" s="1670"/>
      <c r="C422" s="1645">
        <v>8</v>
      </c>
      <c r="D422" s="4552" t="s">
        <v>3307</v>
      </c>
      <c r="E422" s="4552"/>
      <c r="F422" s="4552"/>
      <c r="G422" s="4552"/>
      <c r="H422" s="1646">
        <v>3.3333333333333326E-2</v>
      </c>
      <c r="I422" s="1645">
        <v>0</v>
      </c>
      <c r="J422" s="1645"/>
      <c r="K422" s="1645"/>
      <c r="L422" s="1645">
        <f t="shared" si="104"/>
        <v>0</v>
      </c>
      <c r="M422" s="1647">
        <f t="shared" si="105"/>
        <v>0</v>
      </c>
      <c r="N422" s="1647">
        <f t="shared" si="103"/>
        <v>0</v>
      </c>
      <c r="O422" s="1667"/>
      <c r="P422" s="1667"/>
      <c r="Q422" s="1667"/>
      <c r="R422" s="1667"/>
      <c r="S422" s="1672"/>
    </row>
    <row r="423" spans="2:19" s="1669" customFormat="1" ht="13.5" thickBot="1" x14ac:dyDescent="0.3">
      <c r="B423" s="1670"/>
      <c r="C423" s="1645">
        <v>9</v>
      </c>
      <c r="D423" s="4552" t="s">
        <v>3308</v>
      </c>
      <c r="E423" s="4552"/>
      <c r="F423" s="4552"/>
      <c r="G423" s="4552"/>
      <c r="H423" s="1646">
        <v>6.6666666666666652E-2</v>
      </c>
      <c r="I423" s="1645">
        <v>0</v>
      </c>
      <c r="J423" s="1645"/>
      <c r="K423" s="1645"/>
      <c r="L423" s="1645">
        <f t="shared" si="104"/>
        <v>0</v>
      </c>
      <c r="M423" s="1647">
        <f t="shared" si="105"/>
        <v>0</v>
      </c>
      <c r="N423" s="1647">
        <f t="shared" si="103"/>
        <v>0</v>
      </c>
      <c r="O423" s="1667"/>
      <c r="P423" s="1667"/>
      <c r="Q423" s="1667"/>
      <c r="R423" s="1667"/>
      <c r="S423" s="1672"/>
    </row>
    <row r="424" spans="2:19" s="1669" customFormat="1" ht="13.5" thickBot="1" x14ac:dyDescent="0.3">
      <c r="B424" s="1670"/>
      <c r="C424" s="1667"/>
      <c r="D424" s="1667"/>
      <c r="E424" s="1667"/>
      <c r="F424" s="1667"/>
      <c r="G424" s="1667"/>
      <c r="H424" s="1647">
        <v>1</v>
      </c>
      <c r="I424" s="1648">
        <v>0</v>
      </c>
      <c r="J424" s="1648">
        <v>9.9999999999999978E-2</v>
      </c>
      <c r="K424" s="1648">
        <v>0.57999999999999985</v>
      </c>
      <c r="L424" s="1648">
        <f>SUM(L415:L423)</f>
        <v>0</v>
      </c>
      <c r="M424" s="1648">
        <f>SUM(M415:M423)</f>
        <v>7.3333333333333306E-2</v>
      </c>
      <c r="N424" s="1648">
        <f>SUM(N415:N423)</f>
        <v>0.57999999999999985</v>
      </c>
      <c r="O424" s="1667"/>
      <c r="P424" s="1667"/>
      <c r="Q424" s="1667"/>
      <c r="R424" s="1667"/>
      <c r="S424" s="1672"/>
    </row>
    <row r="425" spans="2:19" s="1669" customFormat="1" ht="12.75" x14ac:dyDescent="0.25">
      <c r="B425" s="1670"/>
      <c r="C425" s="1667"/>
      <c r="D425" s="1667"/>
      <c r="E425" s="1667"/>
      <c r="F425" s="1667"/>
      <c r="G425" s="1667"/>
      <c r="H425" s="1632"/>
      <c r="I425" s="1633"/>
      <c r="J425" s="1633"/>
      <c r="K425" s="1633"/>
      <c r="L425" s="1633"/>
      <c r="M425" s="1633"/>
      <c r="N425" s="1633"/>
      <c r="O425" s="1667"/>
      <c r="P425" s="1667"/>
      <c r="Q425" s="1667"/>
      <c r="R425" s="1667"/>
      <c r="S425" s="1672"/>
    </row>
    <row r="426" spans="2:19" s="1669" customFormat="1" ht="13.5" thickBot="1" x14ac:dyDescent="0.3">
      <c r="B426" s="1670">
        <v>17.2</v>
      </c>
      <c r="C426" s="1631"/>
      <c r="D426" s="1671" t="str">
        <f>E407</f>
        <v>Sala de Internamiento Niños (2 camas)</v>
      </c>
      <c r="E426" s="1667"/>
      <c r="F426" s="1667"/>
      <c r="G426" s="1667"/>
      <c r="H426" s="1671"/>
      <c r="I426" s="1667"/>
      <c r="J426" s="1667"/>
      <c r="K426" s="1667"/>
      <c r="L426" s="1667"/>
      <c r="M426" s="1667"/>
      <c r="N426" s="1667"/>
      <c r="O426" s="1667"/>
      <c r="P426" s="1667"/>
      <c r="Q426" s="1667"/>
      <c r="R426" s="1667"/>
      <c r="S426" s="1672"/>
    </row>
    <row r="427" spans="2:19" s="1680" customFormat="1" ht="13.5" thickBot="1" x14ac:dyDescent="0.3">
      <c r="B427" s="1681"/>
      <c r="C427" s="4546" t="s">
        <v>62</v>
      </c>
      <c r="D427" s="4549" t="s">
        <v>5</v>
      </c>
      <c r="E427" s="4549"/>
      <c r="F427" s="4549"/>
      <c r="G427" s="4549"/>
      <c r="H427" s="4549" t="s">
        <v>3297</v>
      </c>
      <c r="I427" s="4549" t="s">
        <v>3298</v>
      </c>
      <c r="J427" s="4549"/>
      <c r="K427" s="4549"/>
      <c r="L427" s="4549" t="s">
        <v>3299</v>
      </c>
      <c r="M427" s="4549"/>
      <c r="N427" s="4554"/>
      <c r="O427" s="1682"/>
      <c r="P427" s="1682"/>
      <c r="Q427" s="1682"/>
      <c r="R427" s="1682"/>
      <c r="S427" s="1683"/>
    </row>
    <row r="428" spans="2:19" s="1680" customFormat="1" ht="13.5" thickBot="1" x14ac:dyDescent="0.3">
      <c r="B428" s="1681"/>
      <c r="C428" s="4547"/>
      <c r="D428" s="4550"/>
      <c r="E428" s="4550"/>
      <c r="F428" s="4550"/>
      <c r="G428" s="4550"/>
      <c r="H428" s="4550"/>
      <c r="I428" s="1642" t="s">
        <v>3283</v>
      </c>
      <c r="J428" s="1642" t="s">
        <v>3284</v>
      </c>
      <c r="K428" s="1642" t="s">
        <v>3285</v>
      </c>
      <c r="L428" s="1642" t="s">
        <v>3283</v>
      </c>
      <c r="M428" s="1642" t="s">
        <v>3284</v>
      </c>
      <c r="N428" s="1693" t="s">
        <v>3285</v>
      </c>
      <c r="O428" s="1682"/>
      <c r="P428" s="1682"/>
      <c r="Q428" s="1682"/>
      <c r="R428" s="1682"/>
      <c r="S428" s="1683"/>
    </row>
    <row r="429" spans="2:19" s="1680" customFormat="1" ht="13.5" thickBot="1" x14ac:dyDescent="0.3">
      <c r="B429" s="1681"/>
      <c r="C429" s="4548"/>
      <c r="D429" s="4551"/>
      <c r="E429" s="4551"/>
      <c r="F429" s="4551"/>
      <c r="G429" s="4551"/>
      <c r="H429" s="4551"/>
      <c r="I429" s="1694">
        <v>0</v>
      </c>
      <c r="J429" s="1694">
        <v>0.5</v>
      </c>
      <c r="K429" s="1694">
        <v>1</v>
      </c>
      <c r="L429" s="1644">
        <v>0</v>
      </c>
      <c r="M429" s="1644">
        <v>0.5</v>
      </c>
      <c r="N429" s="1695">
        <v>1</v>
      </c>
      <c r="O429" s="1682"/>
      <c r="P429" s="1682"/>
      <c r="Q429" s="1682"/>
      <c r="R429" s="1682"/>
      <c r="S429" s="1683"/>
    </row>
    <row r="430" spans="2:19" s="1669" customFormat="1" ht="13.5" thickBot="1" x14ac:dyDescent="0.3">
      <c r="B430" s="1670"/>
      <c r="C430" s="1645">
        <v>1</v>
      </c>
      <c r="D430" s="4552" t="s">
        <v>3300</v>
      </c>
      <c r="E430" s="4552"/>
      <c r="F430" s="4552"/>
      <c r="G430" s="4552"/>
      <c r="H430" s="1646">
        <v>0.39999999999999986</v>
      </c>
      <c r="I430" s="1645"/>
      <c r="J430" s="1645"/>
      <c r="K430" s="1645">
        <v>1</v>
      </c>
      <c r="L430" s="1645">
        <f>H430*I430</f>
        <v>0</v>
      </c>
      <c r="M430" s="1647">
        <f>H430*J430</f>
        <v>0</v>
      </c>
      <c r="N430" s="1647">
        <f t="shared" ref="N430:N438" si="106">H430*K430</f>
        <v>0.39999999999999986</v>
      </c>
      <c r="O430" s="1667"/>
      <c r="P430" s="1667"/>
      <c r="Q430" s="1667"/>
      <c r="R430" s="1667"/>
      <c r="S430" s="1672"/>
    </row>
    <row r="431" spans="2:19" s="1669" customFormat="1" ht="13.5" thickBot="1" x14ac:dyDescent="0.3">
      <c r="B431" s="1670"/>
      <c r="C431" s="1645">
        <v>2</v>
      </c>
      <c r="D431" s="4552" t="s">
        <v>3301</v>
      </c>
      <c r="E431" s="4552"/>
      <c r="F431" s="4552"/>
      <c r="G431" s="4552"/>
      <c r="H431" s="1646">
        <v>0.1333333333333333</v>
      </c>
      <c r="I431" s="1645"/>
      <c r="J431" s="1645"/>
      <c r="K431" s="1645">
        <v>1</v>
      </c>
      <c r="L431" s="1645">
        <f t="shared" ref="L431:L438" si="107">H431*I431</f>
        <v>0</v>
      </c>
      <c r="M431" s="1647">
        <f t="shared" ref="M431:M438" si="108">H431*J431</f>
        <v>0</v>
      </c>
      <c r="N431" s="1647">
        <f t="shared" si="106"/>
        <v>0.1333333333333333</v>
      </c>
      <c r="O431" s="1667"/>
      <c r="P431" s="1667"/>
      <c r="Q431" s="1667"/>
      <c r="R431" s="1667"/>
      <c r="S431" s="1672"/>
    </row>
    <row r="432" spans="2:19" s="1669" customFormat="1" ht="13.5" thickBot="1" x14ac:dyDescent="0.3">
      <c r="B432" s="1670"/>
      <c r="C432" s="1645">
        <v>3</v>
      </c>
      <c r="D432" s="4552" t="s">
        <v>3302</v>
      </c>
      <c r="E432" s="4552"/>
      <c r="F432" s="4552"/>
      <c r="G432" s="4552"/>
      <c r="H432" s="1646">
        <v>9.9999999999999964E-2</v>
      </c>
      <c r="I432" s="1645">
        <v>0</v>
      </c>
      <c r="J432" s="1645"/>
      <c r="K432" s="1645"/>
      <c r="L432" s="1645">
        <f t="shared" si="107"/>
        <v>0</v>
      </c>
      <c r="M432" s="1647">
        <f t="shared" si="108"/>
        <v>0</v>
      </c>
      <c r="N432" s="1647">
        <f t="shared" si="106"/>
        <v>0</v>
      </c>
      <c r="O432" s="1667"/>
      <c r="P432" s="1667"/>
      <c r="Q432" s="1667"/>
      <c r="R432" s="1667"/>
      <c r="S432" s="1672"/>
    </row>
    <row r="433" spans="2:19" s="1669" customFormat="1" ht="13.5" thickBot="1" x14ac:dyDescent="0.3">
      <c r="B433" s="1670"/>
      <c r="C433" s="1645">
        <v>4</v>
      </c>
      <c r="D433" s="4552" t="s">
        <v>3303</v>
      </c>
      <c r="E433" s="4552"/>
      <c r="F433" s="4552"/>
      <c r="G433" s="4552"/>
      <c r="H433" s="1646">
        <v>7.9999999999999974E-2</v>
      </c>
      <c r="I433" s="1645"/>
      <c r="J433" s="1645">
        <v>0.5</v>
      </c>
      <c r="K433" s="1645"/>
      <c r="L433" s="1645">
        <f t="shared" si="107"/>
        <v>0</v>
      </c>
      <c r="M433" s="1647">
        <f t="shared" si="108"/>
        <v>3.9999999999999987E-2</v>
      </c>
      <c r="N433" s="1647">
        <f t="shared" si="106"/>
        <v>0</v>
      </c>
      <c r="O433" s="1667"/>
      <c r="P433" s="1667"/>
      <c r="Q433" s="1667"/>
      <c r="R433" s="1667"/>
      <c r="S433" s="1672"/>
    </row>
    <row r="434" spans="2:19" s="1669" customFormat="1" ht="13.5" thickBot="1" x14ac:dyDescent="0.3">
      <c r="B434" s="1670"/>
      <c r="C434" s="1645">
        <v>5</v>
      </c>
      <c r="D434" s="4552" t="s">
        <v>3304</v>
      </c>
      <c r="E434" s="4552"/>
      <c r="F434" s="4552"/>
      <c r="G434" s="4552"/>
      <c r="H434" s="1646">
        <v>7.3333333333333306E-2</v>
      </c>
      <c r="I434" s="1645">
        <v>0</v>
      </c>
      <c r="J434" s="1645"/>
      <c r="K434" s="1645"/>
      <c r="L434" s="1645">
        <f t="shared" si="107"/>
        <v>0</v>
      </c>
      <c r="M434" s="1647">
        <f t="shared" si="108"/>
        <v>0</v>
      </c>
      <c r="N434" s="1647">
        <f t="shared" si="106"/>
        <v>0</v>
      </c>
      <c r="O434" s="1667"/>
      <c r="P434" s="1667"/>
      <c r="Q434" s="1667"/>
      <c r="R434" s="1667"/>
      <c r="S434" s="1672"/>
    </row>
    <row r="435" spans="2:19" s="1669" customFormat="1" ht="13.5" thickBot="1" x14ac:dyDescent="0.3">
      <c r="B435" s="1670"/>
      <c r="C435" s="1645">
        <v>6</v>
      </c>
      <c r="D435" s="4552" t="s">
        <v>3305</v>
      </c>
      <c r="E435" s="4552"/>
      <c r="F435" s="4552"/>
      <c r="G435" s="4552"/>
      <c r="H435" s="1646">
        <v>6.6666666666666652E-2</v>
      </c>
      <c r="I435" s="1645"/>
      <c r="J435" s="1645">
        <v>0.5</v>
      </c>
      <c r="K435" s="1645"/>
      <c r="L435" s="1645">
        <f t="shared" si="107"/>
        <v>0</v>
      </c>
      <c r="M435" s="1647">
        <f t="shared" si="108"/>
        <v>3.3333333333333326E-2</v>
      </c>
      <c r="N435" s="1647">
        <f t="shared" si="106"/>
        <v>0</v>
      </c>
      <c r="O435" s="1667"/>
      <c r="P435" s="1667"/>
      <c r="Q435" s="1667"/>
      <c r="R435" s="1667"/>
      <c r="S435" s="1672"/>
    </row>
    <row r="436" spans="2:19" s="1669" customFormat="1" ht="13.5" thickBot="1" x14ac:dyDescent="0.3">
      <c r="B436" s="1670"/>
      <c r="C436" s="1645">
        <v>7</v>
      </c>
      <c r="D436" s="4552" t="s">
        <v>3306</v>
      </c>
      <c r="E436" s="4552"/>
      <c r="F436" s="4552"/>
      <c r="G436" s="4552"/>
      <c r="H436" s="1646">
        <v>4.6666666666666655E-2</v>
      </c>
      <c r="I436" s="1645"/>
      <c r="J436" s="1645"/>
      <c r="K436" s="1645">
        <v>1</v>
      </c>
      <c r="L436" s="1645">
        <f t="shared" si="107"/>
        <v>0</v>
      </c>
      <c r="M436" s="1647">
        <f t="shared" si="108"/>
        <v>0</v>
      </c>
      <c r="N436" s="1647">
        <f t="shared" si="106"/>
        <v>4.6666666666666655E-2</v>
      </c>
      <c r="O436" s="1667"/>
      <c r="P436" s="1667"/>
      <c r="Q436" s="1667"/>
      <c r="R436" s="1667"/>
      <c r="S436" s="1672"/>
    </row>
    <row r="437" spans="2:19" s="1669" customFormat="1" ht="13.5" thickBot="1" x14ac:dyDescent="0.3">
      <c r="B437" s="1670"/>
      <c r="C437" s="1645">
        <v>8</v>
      </c>
      <c r="D437" s="4552" t="s">
        <v>3307</v>
      </c>
      <c r="E437" s="4552"/>
      <c r="F437" s="4552"/>
      <c r="G437" s="4552"/>
      <c r="H437" s="1646">
        <v>3.3333333333333326E-2</v>
      </c>
      <c r="I437" s="1645">
        <v>0</v>
      </c>
      <c r="J437" s="1645"/>
      <c r="K437" s="1645"/>
      <c r="L437" s="1645">
        <f t="shared" si="107"/>
        <v>0</v>
      </c>
      <c r="M437" s="1647">
        <f t="shared" si="108"/>
        <v>0</v>
      </c>
      <c r="N437" s="1647">
        <f t="shared" si="106"/>
        <v>0</v>
      </c>
      <c r="O437" s="1667"/>
      <c r="P437" s="1667"/>
      <c r="Q437" s="1667"/>
      <c r="R437" s="1667"/>
      <c r="S437" s="1672"/>
    </row>
    <row r="438" spans="2:19" s="1669" customFormat="1" ht="13.5" thickBot="1" x14ac:dyDescent="0.3">
      <c r="B438" s="1670"/>
      <c r="C438" s="1645">
        <v>9</v>
      </c>
      <c r="D438" s="4552" t="s">
        <v>3308</v>
      </c>
      <c r="E438" s="4552"/>
      <c r="F438" s="4552"/>
      <c r="G438" s="4552"/>
      <c r="H438" s="1646">
        <v>6.6666666666666652E-2</v>
      </c>
      <c r="I438" s="1645">
        <v>0</v>
      </c>
      <c r="J438" s="1645"/>
      <c r="K438" s="1645"/>
      <c r="L438" s="1645">
        <f t="shared" si="107"/>
        <v>0</v>
      </c>
      <c r="M438" s="1647">
        <f t="shared" si="108"/>
        <v>0</v>
      </c>
      <c r="N438" s="1647">
        <f t="shared" si="106"/>
        <v>0</v>
      </c>
      <c r="O438" s="1667"/>
      <c r="P438" s="1667"/>
      <c r="Q438" s="1667"/>
      <c r="R438" s="1667"/>
      <c r="S438" s="1672"/>
    </row>
    <row r="439" spans="2:19" s="1669" customFormat="1" ht="13.5" thickBot="1" x14ac:dyDescent="0.3">
      <c r="B439" s="1670"/>
      <c r="C439" s="1667"/>
      <c r="D439" s="1667"/>
      <c r="E439" s="1667"/>
      <c r="F439" s="1667"/>
      <c r="G439" s="1667"/>
      <c r="H439" s="1647">
        <v>1</v>
      </c>
      <c r="I439" s="1648">
        <v>0</v>
      </c>
      <c r="J439" s="1648">
        <v>9.9999999999999978E-2</v>
      </c>
      <c r="K439" s="1648">
        <v>0.57999999999999985</v>
      </c>
      <c r="L439" s="1648">
        <f>SUM(L430:L438)</f>
        <v>0</v>
      </c>
      <c r="M439" s="1648">
        <f>SUM(M430:M438)</f>
        <v>7.3333333333333306E-2</v>
      </c>
      <c r="N439" s="1648">
        <f>SUM(N430:N438)</f>
        <v>0.57999999999999985</v>
      </c>
      <c r="O439" s="1667"/>
      <c r="P439" s="1667"/>
      <c r="Q439" s="1667"/>
      <c r="R439" s="1667"/>
      <c r="S439" s="1672"/>
    </row>
    <row r="440" spans="2:19" s="1669" customFormat="1" ht="13.5" thickBot="1" x14ac:dyDescent="0.3">
      <c r="B440" s="1670"/>
      <c r="C440" s="1667"/>
      <c r="D440" s="1667"/>
      <c r="E440" s="1667"/>
      <c r="F440" s="1667"/>
      <c r="G440" s="1667"/>
      <c r="H440" s="1632"/>
      <c r="I440" s="1633"/>
      <c r="J440" s="1633"/>
      <c r="K440" s="1633"/>
      <c r="L440" s="1633"/>
      <c r="M440" s="1633"/>
      <c r="N440" s="1633"/>
      <c r="O440" s="1667"/>
      <c r="P440" s="1667"/>
      <c r="Q440" s="1667"/>
      <c r="R440" s="1667"/>
      <c r="S440" s="1672"/>
    </row>
    <row r="441" spans="2:19" s="1669" customFormat="1" ht="15.75" thickBot="1" x14ac:dyDescent="0.3">
      <c r="B441" s="1663"/>
      <c r="C441" s="4546" t="s">
        <v>1292</v>
      </c>
      <c r="D441" s="4549"/>
      <c r="E441" s="4549" t="s">
        <v>3215</v>
      </c>
      <c r="F441" s="4559" t="s">
        <v>3276</v>
      </c>
      <c r="G441" s="4559"/>
      <c r="H441" s="4559"/>
      <c r="I441" s="4559"/>
      <c r="J441" s="4559"/>
      <c r="K441" s="4559" t="s">
        <v>3217</v>
      </c>
      <c r="L441" s="4559"/>
      <c r="M441" s="4559"/>
      <c r="N441" s="4559"/>
      <c r="O441" s="4559"/>
      <c r="P441" s="4559"/>
      <c r="Q441" s="4549" t="s">
        <v>3277</v>
      </c>
      <c r="R441" s="4554" t="s">
        <v>3278</v>
      </c>
      <c r="S441" s="1672"/>
    </row>
    <row r="442" spans="2:19" s="1669" customFormat="1" ht="15.75" thickBot="1" x14ac:dyDescent="0.3">
      <c r="B442" s="1678"/>
      <c r="C442" s="4547"/>
      <c r="D442" s="4550"/>
      <c r="E442" s="4550"/>
      <c r="F442" s="4550" t="s">
        <v>323</v>
      </c>
      <c r="G442" s="4550" t="s">
        <v>3279</v>
      </c>
      <c r="H442" s="4550" t="s">
        <v>3280</v>
      </c>
      <c r="I442" s="4550" t="s">
        <v>3281</v>
      </c>
      <c r="J442" s="4550" t="s">
        <v>3282</v>
      </c>
      <c r="K442" s="1642" t="s">
        <v>3283</v>
      </c>
      <c r="L442" s="1642" t="s">
        <v>3284</v>
      </c>
      <c r="M442" s="1642" t="s">
        <v>3285</v>
      </c>
      <c r="N442" s="4550" t="s">
        <v>3286</v>
      </c>
      <c r="O442" s="4550" t="s">
        <v>3287</v>
      </c>
      <c r="P442" s="4550"/>
      <c r="Q442" s="4550"/>
      <c r="R442" s="4560"/>
      <c r="S442" s="1672"/>
    </row>
    <row r="443" spans="2:19" s="1669" customFormat="1" ht="15.75" thickBot="1" x14ac:dyDescent="0.3">
      <c r="B443" s="1678"/>
      <c r="C443" s="4547"/>
      <c r="D443" s="4550"/>
      <c r="E443" s="4550"/>
      <c r="F443" s="4550"/>
      <c r="G443" s="4550"/>
      <c r="H443" s="4550"/>
      <c r="I443" s="4550"/>
      <c r="J443" s="4550"/>
      <c r="K443" s="4550" t="s">
        <v>3288</v>
      </c>
      <c r="L443" s="4550"/>
      <c r="M443" s="4550"/>
      <c r="N443" s="4550"/>
      <c r="O443" s="1642" t="s">
        <v>3289</v>
      </c>
      <c r="P443" s="1642" t="s">
        <v>3290</v>
      </c>
      <c r="Q443" s="4550"/>
      <c r="R443" s="4560"/>
      <c r="S443" s="1672"/>
    </row>
    <row r="444" spans="2:19" s="1669" customFormat="1" ht="15.75" thickBot="1" x14ac:dyDescent="0.3">
      <c r="B444" s="1678"/>
      <c r="C444" s="4548"/>
      <c r="D444" s="4551"/>
      <c r="E444" s="4551"/>
      <c r="F444" s="4551"/>
      <c r="G444" s="4551"/>
      <c r="H444" s="4551"/>
      <c r="I444" s="4551"/>
      <c r="J444" s="4551"/>
      <c r="K444" s="1643">
        <v>0</v>
      </c>
      <c r="L444" s="1643" t="s">
        <v>3291</v>
      </c>
      <c r="M444" s="1643" t="s">
        <v>3292</v>
      </c>
      <c r="N444" s="4551"/>
      <c r="O444" s="1644" t="s">
        <v>3227</v>
      </c>
      <c r="P444" s="1644" t="s">
        <v>3228</v>
      </c>
      <c r="Q444" s="4551"/>
      <c r="R444" s="4561"/>
      <c r="S444" s="1672"/>
    </row>
    <row r="445" spans="2:19" s="1669" customFormat="1" ht="15.75" thickBot="1" x14ac:dyDescent="0.3">
      <c r="B445" s="1663">
        <v>18</v>
      </c>
      <c r="C445" s="4562" t="s">
        <v>3803</v>
      </c>
      <c r="D445" s="4562"/>
      <c r="E445" s="1676" t="str">
        <f>'16.1 Areas Actuales'!D56</f>
        <v>Esterilización</v>
      </c>
      <c r="F445" s="1653">
        <v>1</v>
      </c>
      <c r="G445" s="1652">
        <f>'16.1 Areas Actuales'!F56</f>
        <v>6.24</v>
      </c>
      <c r="H445" s="1652">
        <f>'16.1 Areas Actuales'!G56</f>
        <v>6.5</v>
      </c>
      <c r="I445" s="1654">
        <f>+G445-H445</f>
        <v>-0.25999999999999979</v>
      </c>
      <c r="J445" s="1655">
        <f>IF(I445&gt;-0.1,1,0)</f>
        <v>0</v>
      </c>
      <c r="K445" s="1646">
        <f>L462</f>
        <v>0</v>
      </c>
      <c r="L445" s="1646">
        <f>M462</f>
        <v>0.10999999999999996</v>
      </c>
      <c r="M445" s="1646">
        <f>N462</f>
        <v>0</v>
      </c>
      <c r="N445" s="1646">
        <f>SUM(K445:M445)</f>
        <v>0.10999999999999996</v>
      </c>
      <c r="O445" s="1654">
        <f>IF(N445&gt;=0.63,1,0)</f>
        <v>0</v>
      </c>
      <c r="P445" s="1655">
        <f>IF(N445&lt;0.63,0,0)</f>
        <v>0</v>
      </c>
      <c r="Q445" s="1656">
        <v>14931.016454833145</v>
      </c>
      <c r="R445" s="1657">
        <f>+J445*O445*Q445</f>
        <v>0</v>
      </c>
      <c r="S445" s="1672"/>
    </row>
    <row r="446" spans="2:19" s="1669" customFormat="1" ht="15.75" thickBot="1" x14ac:dyDescent="0.3">
      <c r="B446" s="1663"/>
      <c r="C446" s="4562"/>
      <c r="D446" s="4562"/>
      <c r="E446" s="1649" t="s">
        <v>0</v>
      </c>
      <c r="F446" s="1707">
        <f>SUM(F445:F445)</f>
        <v>1</v>
      </c>
      <c r="G446" s="1708">
        <f>SUM(G445:G445)</f>
        <v>6.24</v>
      </c>
      <c r="H446" s="1708">
        <f>SUM(H445:H445)</f>
        <v>6.5</v>
      </c>
      <c r="I446" s="1708">
        <f>SUM(I445:I445)</f>
        <v>-0.25999999999999979</v>
      </c>
      <c r="J446" s="1709">
        <f>SUM(J445:J445)</f>
        <v>0</v>
      </c>
      <c r="K446" s="1710"/>
      <c r="L446" s="1710"/>
      <c r="M446" s="1710"/>
      <c r="N446" s="1710"/>
      <c r="O446" s="1710"/>
      <c r="P446" s="1710"/>
      <c r="Q446" s="1711"/>
      <c r="R446" s="1712"/>
      <c r="S446" s="1672"/>
    </row>
    <row r="447" spans="2:19" s="1669" customFormat="1" ht="12.75" x14ac:dyDescent="0.25">
      <c r="B447" s="1670"/>
      <c r="C447" s="1667"/>
      <c r="D447" s="1667"/>
      <c r="E447" s="1667"/>
      <c r="F447" s="1667"/>
      <c r="G447" s="1667"/>
      <c r="H447" s="1632"/>
      <c r="I447" s="1633"/>
      <c r="J447" s="1633"/>
      <c r="K447" s="1633"/>
      <c r="L447" s="1633"/>
      <c r="M447" s="1633"/>
      <c r="N447" s="1633"/>
      <c r="O447" s="1667"/>
      <c r="P447" s="1667"/>
      <c r="Q447" s="1667"/>
      <c r="R447" s="1667"/>
      <c r="S447" s="1672"/>
    </row>
    <row r="448" spans="2:19" s="1669" customFormat="1" ht="12.75" x14ac:dyDescent="0.25">
      <c r="B448" s="1670"/>
      <c r="C448" s="1667"/>
      <c r="D448" s="1667"/>
      <c r="E448" s="1667"/>
      <c r="F448" s="1667"/>
      <c r="G448" s="1667"/>
      <c r="H448" s="1632"/>
      <c r="I448" s="1633"/>
      <c r="J448" s="1633"/>
      <c r="K448" s="1633"/>
      <c r="L448" s="1633"/>
      <c r="M448" s="1633"/>
      <c r="N448" s="1633"/>
      <c r="O448" s="1667"/>
      <c r="P448" s="1667"/>
      <c r="Q448" s="1667"/>
      <c r="R448" s="1667"/>
      <c r="S448" s="1672"/>
    </row>
    <row r="449" spans="2:19" s="1669" customFormat="1" ht="13.5" thickBot="1" x14ac:dyDescent="0.3">
      <c r="B449" s="1670">
        <v>18.100000000000001</v>
      </c>
      <c r="C449" s="1631"/>
      <c r="D449" s="1671" t="str">
        <f>E445</f>
        <v>Esterilización</v>
      </c>
      <c r="E449" s="1667"/>
      <c r="F449" s="1667"/>
      <c r="G449" s="1667"/>
      <c r="H449" s="1671"/>
      <c r="I449" s="1667"/>
      <c r="J449" s="1667"/>
      <c r="K449" s="1667"/>
      <c r="L449" s="1667"/>
      <c r="M449" s="1667"/>
      <c r="N449" s="1667"/>
      <c r="O449" s="1667"/>
      <c r="P449" s="1667"/>
      <c r="Q449" s="1667"/>
      <c r="R449" s="1667"/>
      <c r="S449" s="1672"/>
    </row>
    <row r="450" spans="2:19" s="1669" customFormat="1" ht="13.5" thickBot="1" x14ac:dyDescent="0.3">
      <c r="B450" s="1681"/>
      <c r="C450" s="4546" t="s">
        <v>62</v>
      </c>
      <c r="D450" s="4549" t="s">
        <v>5</v>
      </c>
      <c r="E450" s="4549"/>
      <c r="F450" s="4549"/>
      <c r="G450" s="4549"/>
      <c r="H450" s="4549" t="s">
        <v>3297</v>
      </c>
      <c r="I450" s="4549" t="s">
        <v>3298</v>
      </c>
      <c r="J450" s="4549"/>
      <c r="K450" s="4549"/>
      <c r="L450" s="4549" t="s">
        <v>3299</v>
      </c>
      <c r="M450" s="4549"/>
      <c r="N450" s="4554"/>
      <c r="O450" s="1682"/>
      <c r="P450" s="1682"/>
      <c r="Q450" s="1682"/>
      <c r="R450" s="1682"/>
      <c r="S450" s="1672"/>
    </row>
    <row r="451" spans="2:19" s="1669" customFormat="1" ht="13.5" thickBot="1" x14ac:dyDescent="0.3">
      <c r="B451" s="1681"/>
      <c r="C451" s="4547"/>
      <c r="D451" s="4550"/>
      <c r="E451" s="4550"/>
      <c r="F451" s="4550"/>
      <c r="G451" s="4550"/>
      <c r="H451" s="4550"/>
      <c r="I451" s="1642" t="s">
        <v>3283</v>
      </c>
      <c r="J451" s="1642" t="s">
        <v>3284</v>
      </c>
      <c r="K451" s="1642" t="s">
        <v>3285</v>
      </c>
      <c r="L451" s="1642" t="s">
        <v>3283</v>
      </c>
      <c r="M451" s="1642" t="s">
        <v>3284</v>
      </c>
      <c r="N451" s="1693" t="s">
        <v>3285</v>
      </c>
      <c r="O451" s="1682"/>
      <c r="P451" s="1682"/>
      <c r="Q451" s="1682"/>
      <c r="R451" s="1682"/>
      <c r="S451" s="1672"/>
    </row>
    <row r="452" spans="2:19" s="1669" customFormat="1" ht="13.5" thickBot="1" x14ac:dyDescent="0.3">
      <c r="B452" s="1681"/>
      <c r="C452" s="4548"/>
      <c r="D452" s="4551"/>
      <c r="E452" s="4551"/>
      <c r="F452" s="4551"/>
      <c r="G452" s="4551"/>
      <c r="H452" s="4551"/>
      <c r="I452" s="1694">
        <v>0</v>
      </c>
      <c r="J452" s="1694">
        <v>0.5</v>
      </c>
      <c r="K452" s="1694">
        <v>1</v>
      </c>
      <c r="L452" s="1644">
        <v>0</v>
      </c>
      <c r="M452" s="1644">
        <v>0.5</v>
      </c>
      <c r="N452" s="1695">
        <v>1</v>
      </c>
      <c r="O452" s="1682"/>
      <c r="P452" s="1682"/>
      <c r="Q452" s="1682"/>
      <c r="R452" s="1682"/>
      <c r="S452" s="1672"/>
    </row>
    <row r="453" spans="2:19" s="1669" customFormat="1" ht="13.5" thickBot="1" x14ac:dyDescent="0.3">
      <c r="B453" s="1670"/>
      <c r="C453" s="1645">
        <v>1</v>
      </c>
      <c r="D453" s="4552" t="s">
        <v>3300</v>
      </c>
      <c r="E453" s="4552"/>
      <c r="F453" s="4552"/>
      <c r="G453" s="4552"/>
      <c r="H453" s="1646">
        <v>0.39999999999999986</v>
      </c>
      <c r="I453" s="1645">
        <v>0</v>
      </c>
      <c r="J453" s="1645"/>
      <c r="K453" s="1645"/>
      <c r="L453" s="1645">
        <f>H453*I453</f>
        <v>0</v>
      </c>
      <c r="M453" s="1647">
        <f>H453*J453</f>
        <v>0</v>
      </c>
      <c r="N453" s="1647">
        <f t="shared" ref="N453:N461" si="109">H453*K453</f>
        <v>0</v>
      </c>
      <c r="O453" s="1667"/>
      <c r="P453" s="1667"/>
      <c r="Q453" s="1667"/>
      <c r="R453" s="1667"/>
      <c r="S453" s="1672"/>
    </row>
    <row r="454" spans="2:19" s="1669" customFormat="1" ht="13.5" thickBot="1" x14ac:dyDescent="0.3">
      <c r="B454" s="1670"/>
      <c r="C454" s="1645">
        <v>2</v>
      </c>
      <c r="D454" s="4552" t="s">
        <v>3301</v>
      </c>
      <c r="E454" s="4552"/>
      <c r="F454" s="4552"/>
      <c r="G454" s="4552"/>
      <c r="H454" s="1646">
        <v>0.1333333333333333</v>
      </c>
      <c r="I454" s="1645">
        <v>0</v>
      </c>
      <c r="J454" s="1645"/>
      <c r="K454" s="1645"/>
      <c r="L454" s="1645">
        <f t="shared" ref="L454:L461" si="110">H454*I454</f>
        <v>0</v>
      </c>
      <c r="M454" s="1647">
        <f t="shared" ref="M454:M461" si="111">H454*J454</f>
        <v>0</v>
      </c>
      <c r="N454" s="1647">
        <f t="shared" si="109"/>
        <v>0</v>
      </c>
      <c r="O454" s="1667"/>
      <c r="P454" s="1667"/>
      <c r="Q454" s="1667"/>
      <c r="R454" s="1667"/>
      <c r="S454" s="1672"/>
    </row>
    <row r="455" spans="2:19" s="1669" customFormat="1" ht="13.5" thickBot="1" x14ac:dyDescent="0.3">
      <c r="B455" s="1670"/>
      <c r="C455" s="1645">
        <v>3</v>
      </c>
      <c r="D455" s="4552" t="s">
        <v>3302</v>
      </c>
      <c r="E455" s="4552"/>
      <c r="F455" s="4552"/>
      <c r="G455" s="4552"/>
      <c r="H455" s="1646">
        <v>9.9999999999999964E-2</v>
      </c>
      <c r="I455" s="1645">
        <v>0</v>
      </c>
      <c r="J455" s="1645"/>
      <c r="K455" s="1645"/>
      <c r="L455" s="1645">
        <f t="shared" si="110"/>
        <v>0</v>
      </c>
      <c r="M455" s="1647">
        <f t="shared" si="111"/>
        <v>0</v>
      </c>
      <c r="N455" s="1647">
        <f t="shared" si="109"/>
        <v>0</v>
      </c>
      <c r="O455" s="1667"/>
      <c r="P455" s="1667"/>
      <c r="Q455" s="1667"/>
      <c r="R455" s="1667"/>
      <c r="S455" s="1672"/>
    </row>
    <row r="456" spans="2:19" s="1669" customFormat="1" ht="13.5" thickBot="1" x14ac:dyDescent="0.3">
      <c r="B456" s="1670"/>
      <c r="C456" s="1645">
        <v>4</v>
      </c>
      <c r="D456" s="4552" t="s">
        <v>3303</v>
      </c>
      <c r="E456" s="4552"/>
      <c r="F456" s="4552"/>
      <c r="G456" s="4552"/>
      <c r="H456" s="1646">
        <v>7.9999999999999974E-2</v>
      </c>
      <c r="I456" s="1645"/>
      <c r="J456" s="1645">
        <v>0.5</v>
      </c>
      <c r="K456" s="1645"/>
      <c r="L456" s="1645">
        <f t="shared" si="110"/>
        <v>0</v>
      </c>
      <c r="M456" s="1647">
        <f t="shared" si="111"/>
        <v>3.9999999999999987E-2</v>
      </c>
      <c r="N456" s="1647">
        <f t="shared" si="109"/>
        <v>0</v>
      </c>
      <c r="O456" s="1667"/>
      <c r="P456" s="1667"/>
      <c r="Q456" s="1667"/>
      <c r="R456" s="1667"/>
      <c r="S456" s="1672"/>
    </row>
    <row r="457" spans="2:19" s="1669" customFormat="1" ht="13.5" thickBot="1" x14ac:dyDescent="0.3">
      <c r="B457" s="1670"/>
      <c r="C457" s="1645">
        <v>5</v>
      </c>
      <c r="D457" s="4552" t="s">
        <v>3304</v>
      </c>
      <c r="E457" s="4552"/>
      <c r="F457" s="4552"/>
      <c r="G457" s="4552"/>
      <c r="H457" s="1646">
        <v>7.3333333333333306E-2</v>
      </c>
      <c r="I457" s="1645"/>
      <c r="J457" s="1645">
        <v>0.5</v>
      </c>
      <c r="K457" s="1645"/>
      <c r="L457" s="1645">
        <f t="shared" si="110"/>
        <v>0</v>
      </c>
      <c r="M457" s="1647">
        <f t="shared" si="111"/>
        <v>3.6666666666666653E-2</v>
      </c>
      <c r="N457" s="1647">
        <f t="shared" si="109"/>
        <v>0</v>
      </c>
      <c r="O457" s="1667"/>
      <c r="P457" s="1667"/>
      <c r="Q457" s="1667"/>
      <c r="R457" s="1667"/>
      <c r="S457" s="1672"/>
    </row>
    <row r="458" spans="2:19" s="1669" customFormat="1" ht="13.5" thickBot="1" x14ac:dyDescent="0.3">
      <c r="B458" s="1670"/>
      <c r="C458" s="1645">
        <v>6</v>
      </c>
      <c r="D458" s="4552" t="s">
        <v>3305</v>
      </c>
      <c r="E458" s="4552"/>
      <c r="F458" s="4552"/>
      <c r="G458" s="4552"/>
      <c r="H458" s="1646">
        <v>6.6666666666666652E-2</v>
      </c>
      <c r="I458" s="1645"/>
      <c r="J458" s="1645">
        <v>0.5</v>
      </c>
      <c r="K458" s="1645"/>
      <c r="L458" s="1645">
        <f t="shared" si="110"/>
        <v>0</v>
      </c>
      <c r="M458" s="1647">
        <f t="shared" si="111"/>
        <v>3.3333333333333326E-2</v>
      </c>
      <c r="N458" s="1647">
        <f t="shared" si="109"/>
        <v>0</v>
      </c>
      <c r="O458" s="1667"/>
      <c r="P458" s="1667"/>
      <c r="Q458" s="1667"/>
      <c r="R458" s="1667"/>
      <c r="S458" s="1672"/>
    </row>
    <row r="459" spans="2:19" s="1669" customFormat="1" ht="13.5" thickBot="1" x14ac:dyDescent="0.3">
      <c r="B459" s="1670"/>
      <c r="C459" s="1645">
        <v>7</v>
      </c>
      <c r="D459" s="4552" t="s">
        <v>3306</v>
      </c>
      <c r="E459" s="4552"/>
      <c r="F459" s="4552"/>
      <c r="G459" s="4552"/>
      <c r="H459" s="1646">
        <v>4.6666666666666655E-2</v>
      </c>
      <c r="I459" s="1645">
        <v>0</v>
      </c>
      <c r="J459" s="1645"/>
      <c r="K459" s="1645"/>
      <c r="L459" s="1645">
        <f t="shared" si="110"/>
        <v>0</v>
      </c>
      <c r="M459" s="1647">
        <f t="shared" si="111"/>
        <v>0</v>
      </c>
      <c r="N459" s="1647">
        <f t="shared" si="109"/>
        <v>0</v>
      </c>
      <c r="O459" s="1667"/>
      <c r="P459" s="1667"/>
      <c r="Q459" s="1667"/>
      <c r="R459" s="1667"/>
      <c r="S459" s="1672"/>
    </row>
    <row r="460" spans="2:19" s="1669" customFormat="1" ht="13.5" thickBot="1" x14ac:dyDescent="0.3">
      <c r="B460" s="1670"/>
      <c r="C460" s="1645">
        <v>8</v>
      </c>
      <c r="D460" s="4552" t="s">
        <v>3307</v>
      </c>
      <c r="E460" s="4552"/>
      <c r="F460" s="4552"/>
      <c r="G460" s="4552"/>
      <c r="H460" s="1646">
        <v>3.3333333333333326E-2</v>
      </c>
      <c r="I460" s="1645">
        <v>0</v>
      </c>
      <c r="J460" s="1645"/>
      <c r="K460" s="1645"/>
      <c r="L460" s="1645">
        <f t="shared" si="110"/>
        <v>0</v>
      </c>
      <c r="M460" s="1647">
        <f t="shared" si="111"/>
        <v>0</v>
      </c>
      <c r="N460" s="1647">
        <f t="shared" si="109"/>
        <v>0</v>
      </c>
      <c r="O460" s="1667"/>
      <c r="P460" s="1667"/>
      <c r="Q460" s="1667"/>
      <c r="R460" s="1667"/>
      <c r="S460" s="1672"/>
    </row>
    <row r="461" spans="2:19" s="1669" customFormat="1" ht="13.5" thickBot="1" x14ac:dyDescent="0.3">
      <c r="B461" s="1670"/>
      <c r="C461" s="1645">
        <v>9</v>
      </c>
      <c r="D461" s="4552" t="s">
        <v>3308</v>
      </c>
      <c r="E461" s="4552"/>
      <c r="F461" s="4552"/>
      <c r="G461" s="4552"/>
      <c r="H461" s="1646">
        <v>6.6666666666666652E-2</v>
      </c>
      <c r="I461" s="1645">
        <v>0</v>
      </c>
      <c r="J461" s="1645"/>
      <c r="K461" s="1645"/>
      <c r="L461" s="1645">
        <f t="shared" si="110"/>
        <v>0</v>
      </c>
      <c r="M461" s="1647">
        <f t="shared" si="111"/>
        <v>0</v>
      </c>
      <c r="N461" s="1647">
        <f t="shared" si="109"/>
        <v>0</v>
      </c>
      <c r="O461" s="1667"/>
      <c r="P461" s="1667"/>
      <c r="Q461" s="1667"/>
      <c r="R461" s="1667"/>
      <c r="S461" s="1672"/>
    </row>
    <row r="462" spans="2:19" s="1669" customFormat="1" ht="13.5" thickBot="1" x14ac:dyDescent="0.3">
      <c r="B462" s="1670"/>
      <c r="C462" s="1667"/>
      <c r="D462" s="1667"/>
      <c r="E462" s="1667"/>
      <c r="F462" s="1667"/>
      <c r="G462" s="1667"/>
      <c r="H462" s="1647">
        <v>1</v>
      </c>
      <c r="I462" s="1648">
        <v>0</v>
      </c>
      <c r="J462" s="1648">
        <v>9.9999999999999978E-2</v>
      </c>
      <c r="K462" s="1648">
        <v>0.57999999999999985</v>
      </c>
      <c r="L462" s="1648">
        <f>SUM(L453:L461)</f>
        <v>0</v>
      </c>
      <c r="M462" s="1648">
        <f>SUM(M453:M461)</f>
        <v>0.10999999999999996</v>
      </c>
      <c r="N462" s="1648">
        <f>SUM(N453:N461)</f>
        <v>0</v>
      </c>
      <c r="O462" s="1667"/>
      <c r="P462" s="1667"/>
      <c r="Q462" s="1667"/>
      <c r="R462" s="1667"/>
      <c r="S462" s="1672"/>
    </row>
    <row r="463" spans="2:19" s="1669" customFormat="1" ht="13.5" thickBot="1" x14ac:dyDescent="0.3">
      <c r="B463" s="1670"/>
      <c r="C463" s="1667"/>
      <c r="D463" s="1667"/>
      <c r="E463" s="1667"/>
      <c r="F463" s="1667"/>
      <c r="G463" s="1667"/>
      <c r="H463" s="1632"/>
      <c r="I463" s="1633"/>
      <c r="J463" s="1633"/>
      <c r="K463" s="1633"/>
      <c r="L463" s="1633"/>
      <c r="M463" s="1633"/>
      <c r="N463" s="1633"/>
      <c r="O463" s="1667"/>
      <c r="P463" s="1667"/>
      <c r="Q463" s="1667"/>
      <c r="R463" s="1667"/>
      <c r="S463" s="1672"/>
    </row>
    <row r="464" spans="2:19" s="1669" customFormat="1" ht="15.75" thickBot="1" x14ac:dyDescent="0.3">
      <c r="B464" s="1663"/>
      <c r="C464" s="4546" t="s">
        <v>1292</v>
      </c>
      <c r="D464" s="4549"/>
      <c r="E464" s="4549" t="s">
        <v>3215</v>
      </c>
      <c r="F464" s="4559" t="s">
        <v>3276</v>
      </c>
      <c r="G464" s="4559"/>
      <c r="H464" s="4559"/>
      <c r="I464" s="4559"/>
      <c r="J464" s="4559"/>
      <c r="K464" s="4559" t="s">
        <v>3217</v>
      </c>
      <c r="L464" s="4559"/>
      <c r="M464" s="4559"/>
      <c r="N464" s="4559"/>
      <c r="O464" s="4559"/>
      <c r="P464" s="4559"/>
      <c r="Q464" s="4549" t="s">
        <v>3277</v>
      </c>
      <c r="R464" s="4554" t="s">
        <v>3278</v>
      </c>
      <c r="S464" s="1672"/>
    </row>
    <row r="465" spans="2:19" s="1669" customFormat="1" ht="15.75" thickBot="1" x14ac:dyDescent="0.3">
      <c r="B465" s="1678"/>
      <c r="C465" s="4547"/>
      <c r="D465" s="4550"/>
      <c r="E465" s="4550"/>
      <c r="F465" s="4550" t="s">
        <v>323</v>
      </c>
      <c r="G465" s="4550" t="s">
        <v>3279</v>
      </c>
      <c r="H465" s="4550" t="s">
        <v>3280</v>
      </c>
      <c r="I465" s="4550" t="s">
        <v>3281</v>
      </c>
      <c r="J465" s="4550" t="s">
        <v>3282</v>
      </c>
      <c r="K465" s="1642" t="s">
        <v>3283</v>
      </c>
      <c r="L465" s="1642" t="s">
        <v>3284</v>
      </c>
      <c r="M465" s="1642" t="s">
        <v>3285</v>
      </c>
      <c r="N465" s="4550" t="s">
        <v>3286</v>
      </c>
      <c r="O465" s="4550" t="s">
        <v>3287</v>
      </c>
      <c r="P465" s="4550"/>
      <c r="Q465" s="4550"/>
      <c r="R465" s="4560"/>
      <c r="S465" s="1672"/>
    </row>
    <row r="466" spans="2:19" s="1669" customFormat="1" ht="15.75" thickBot="1" x14ac:dyDescent="0.3">
      <c r="B466" s="1678"/>
      <c r="C466" s="4547"/>
      <c r="D466" s="4550"/>
      <c r="E466" s="4550"/>
      <c r="F466" s="4550"/>
      <c r="G466" s="4550"/>
      <c r="H466" s="4550"/>
      <c r="I466" s="4550"/>
      <c r="J466" s="4550"/>
      <c r="K466" s="4550" t="s">
        <v>3288</v>
      </c>
      <c r="L466" s="4550"/>
      <c r="M466" s="4550"/>
      <c r="N466" s="4550"/>
      <c r="O466" s="1642" t="s">
        <v>3289</v>
      </c>
      <c r="P466" s="1642" t="s">
        <v>3290</v>
      </c>
      <c r="Q466" s="4550"/>
      <c r="R466" s="4560"/>
      <c r="S466" s="1672"/>
    </row>
    <row r="467" spans="2:19" s="1669" customFormat="1" ht="15.75" thickBot="1" x14ac:dyDescent="0.3">
      <c r="B467" s="1678"/>
      <c r="C467" s="4548"/>
      <c r="D467" s="4551"/>
      <c r="E467" s="4551"/>
      <c r="F467" s="4551"/>
      <c r="G467" s="4551"/>
      <c r="H467" s="4551"/>
      <c r="I467" s="4551"/>
      <c r="J467" s="4551"/>
      <c r="K467" s="1643">
        <v>0</v>
      </c>
      <c r="L467" s="1643" t="s">
        <v>3291</v>
      </c>
      <c r="M467" s="1643" t="s">
        <v>3292</v>
      </c>
      <c r="N467" s="4551"/>
      <c r="O467" s="1644" t="s">
        <v>3227</v>
      </c>
      <c r="P467" s="1644" t="s">
        <v>3228</v>
      </c>
      <c r="Q467" s="4551"/>
      <c r="R467" s="4561"/>
      <c r="S467" s="1672"/>
    </row>
    <row r="468" spans="2:19" s="1669" customFormat="1" ht="15.75" thickBot="1" x14ac:dyDescent="0.3">
      <c r="B468" s="1663">
        <v>19</v>
      </c>
      <c r="C468" s="4562" t="str">
        <f>'16.1 Areas Actuales'!C34:H34</f>
        <v>UPSS FARMACIA</v>
      </c>
      <c r="D468" s="4562"/>
      <c r="E468" s="1676" t="str">
        <f>'16.1 Areas Actuales'!D35</f>
        <v>Dispensación y expendio en UPSS Consulta Externa</v>
      </c>
      <c r="F468" s="1653">
        <v>1</v>
      </c>
      <c r="G468" s="1652">
        <f>'16.1 Areas Actuales'!F35</f>
        <v>17.91</v>
      </c>
      <c r="H468" s="1652">
        <f>'16.1 Areas Actuales'!G35</f>
        <v>15</v>
      </c>
      <c r="I468" s="1654">
        <f>+G468-H468</f>
        <v>2.91</v>
      </c>
      <c r="J468" s="1655">
        <f>IF(I468&gt;-0.1,1,0)</f>
        <v>1</v>
      </c>
      <c r="K468" s="1646">
        <f>L485</f>
        <v>0</v>
      </c>
      <c r="L468" s="1646">
        <f>M485</f>
        <v>7.3333333333333306E-2</v>
      </c>
      <c r="M468" s="1646">
        <f>N485</f>
        <v>0.57999999999999985</v>
      </c>
      <c r="N468" s="1646">
        <f>SUM(K468:M468)</f>
        <v>0.6533333333333331</v>
      </c>
      <c r="O468" s="1654">
        <f>IF(N468&gt;=0.63,1,0)</f>
        <v>1</v>
      </c>
      <c r="P468" s="1655">
        <f>IF(N468&lt;0.63,0,0)</f>
        <v>0</v>
      </c>
      <c r="Q468" s="1656">
        <v>14931.016454833145</v>
      </c>
      <c r="R468" s="1657">
        <f>+J468*O468*Q468</f>
        <v>14931.016454833145</v>
      </c>
      <c r="S468" s="1672"/>
    </row>
    <row r="469" spans="2:19" s="1669" customFormat="1" ht="15.75" thickBot="1" x14ac:dyDescent="0.3">
      <c r="B469" s="1663"/>
      <c r="C469" s="4562"/>
      <c r="D469" s="4562"/>
      <c r="E469" s="1649" t="s">
        <v>0</v>
      </c>
      <c r="F469" s="1707">
        <f>SUM(F468:F468)</f>
        <v>1</v>
      </c>
      <c r="G469" s="1708">
        <f>SUM(G468:G468)</f>
        <v>17.91</v>
      </c>
      <c r="H469" s="1708">
        <f>SUM(H468:H468)</f>
        <v>15</v>
      </c>
      <c r="I469" s="1708">
        <f>SUM(I468:I468)</f>
        <v>2.91</v>
      </c>
      <c r="J469" s="1709">
        <f>SUM(J468:J468)</f>
        <v>1</v>
      </c>
      <c r="K469" s="1710"/>
      <c r="L469" s="1710"/>
      <c r="M469" s="1710"/>
      <c r="N469" s="1710"/>
      <c r="O469" s="1710"/>
      <c r="P469" s="1710"/>
      <c r="Q469" s="1711"/>
      <c r="R469" s="1712"/>
      <c r="S469" s="1672"/>
    </row>
    <row r="470" spans="2:19" s="1669" customFormat="1" ht="12.75" x14ac:dyDescent="0.25">
      <c r="B470" s="1670"/>
      <c r="C470" s="1667"/>
      <c r="D470" s="1667"/>
      <c r="E470" s="1667"/>
      <c r="F470" s="1667"/>
      <c r="G470" s="1667"/>
      <c r="H470" s="1632"/>
      <c r="I470" s="1633"/>
      <c r="J470" s="1633"/>
      <c r="K470" s="1633"/>
      <c r="L470" s="1633"/>
      <c r="M470" s="1633"/>
      <c r="N470" s="1633"/>
      <c r="O470" s="1667"/>
      <c r="P470" s="1667"/>
      <c r="Q470" s="1667"/>
      <c r="R470" s="1667"/>
      <c r="S470" s="1672"/>
    </row>
    <row r="471" spans="2:19" s="1669" customFormat="1" ht="12.75" x14ac:dyDescent="0.25">
      <c r="B471" s="1670"/>
      <c r="C471" s="1667"/>
      <c r="D471" s="1667"/>
      <c r="E471" s="1667"/>
      <c r="F471" s="1667"/>
      <c r="G471" s="1667"/>
      <c r="H471" s="1632"/>
      <c r="I471" s="1633"/>
      <c r="J471" s="1633"/>
      <c r="K471" s="1633"/>
      <c r="L471" s="1633"/>
      <c r="M471" s="1633"/>
      <c r="N471" s="1633"/>
      <c r="O471" s="1667"/>
      <c r="P471" s="1667"/>
      <c r="Q471" s="1667"/>
      <c r="R471" s="1667"/>
      <c r="S471" s="1672"/>
    </row>
    <row r="472" spans="2:19" s="1669" customFormat="1" ht="13.5" thickBot="1" x14ac:dyDescent="0.3">
      <c r="B472" s="1670">
        <v>19.100000000000001</v>
      </c>
      <c r="C472" s="1631"/>
      <c r="D472" s="1671" t="str">
        <f>E468</f>
        <v>Dispensación y expendio en UPSS Consulta Externa</v>
      </c>
      <c r="E472" s="1667"/>
      <c r="F472" s="1667"/>
      <c r="G472" s="1667"/>
      <c r="H472" s="1671"/>
      <c r="I472" s="1667"/>
      <c r="J472" s="1667"/>
      <c r="K472" s="1667"/>
      <c r="L472" s="1667"/>
      <c r="M472" s="1667"/>
      <c r="N472" s="1667"/>
      <c r="O472" s="1667"/>
      <c r="P472" s="1667"/>
      <c r="Q472" s="1667"/>
      <c r="R472" s="1667"/>
      <c r="S472" s="1672"/>
    </row>
    <row r="473" spans="2:19" s="1669" customFormat="1" ht="13.5" thickBot="1" x14ac:dyDescent="0.3">
      <c r="B473" s="1681"/>
      <c r="C473" s="4546" t="s">
        <v>62</v>
      </c>
      <c r="D473" s="4549" t="s">
        <v>5</v>
      </c>
      <c r="E473" s="4549"/>
      <c r="F473" s="4549"/>
      <c r="G473" s="4549"/>
      <c r="H473" s="4549" t="s">
        <v>3297</v>
      </c>
      <c r="I473" s="4549" t="s">
        <v>3298</v>
      </c>
      <c r="J473" s="4549"/>
      <c r="K473" s="4549"/>
      <c r="L473" s="4549" t="s">
        <v>3299</v>
      </c>
      <c r="M473" s="4549"/>
      <c r="N473" s="4554"/>
      <c r="O473" s="1682"/>
      <c r="P473" s="1682"/>
      <c r="Q473" s="1682"/>
      <c r="R473" s="1682"/>
      <c r="S473" s="1672"/>
    </row>
    <row r="474" spans="2:19" s="1669" customFormat="1" ht="13.5" thickBot="1" x14ac:dyDescent="0.3">
      <c r="B474" s="1681"/>
      <c r="C474" s="4547"/>
      <c r="D474" s="4550"/>
      <c r="E474" s="4550"/>
      <c r="F474" s="4550"/>
      <c r="G474" s="4550"/>
      <c r="H474" s="4550"/>
      <c r="I474" s="1642" t="s">
        <v>3283</v>
      </c>
      <c r="J474" s="1642" t="s">
        <v>3284</v>
      </c>
      <c r="K474" s="1642" t="s">
        <v>3285</v>
      </c>
      <c r="L474" s="1642" t="s">
        <v>3283</v>
      </c>
      <c r="M474" s="1642" t="s">
        <v>3284</v>
      </c>
      <c r="N474" s="1693" t="s">
        <v>3285</v>
      </c>
      <c r="O474" s="1682"/>
      <c r="P474" s="1682"/>
      <c r="Q474" s="1682"/>
      <c r="R474" s="1682"/>
      <c r="S474" s="1672"/>
    </row>
    <row r="475" spans="2:19" s="1669" customFormat="1" ht="13.5" thickBot="1" x14ac:dyDescent="0.3">
      <c r="B475" s="1681"/>
      <c r="C475" s="4548"/>
      <c r="D475" s="4551"/>
      <c r="E475" s="4551"/>
      <c r="F475" s="4551"/>
      <c r="G475" s="4551"/>
      <c r="H475" s="4551"/>
      <c r="I475" s="1694">
        <v>0</v>
      </c>
      <c r="J475" s="1694">
        <v>0.5</v>
      </c>
      <c r="K475" s="1694">
        <v>1</v>
      </c>
      <c r="L475" s="1644">
        <v>0</v>
      </c>
      <c r="M475" s="1644">
        <v>0.5</v>
      </c>
      <c r="N475" s="1695">
        <v>1</v>
      </c>
      <c r="O475" s="1682"/>
      <c r="P475" s="1682"/>
      <c r="Q475" s="1682"/>
      <c r="R475" s="1682"/>
      <c r="S475" s="1672"/>
    </row>
    <row r="476" spans="2:19" s="1669" customFormat="1" ht="13.5" thickBot="1" x14ac:dyDescent="0.3">
      <c r="B476" s="1670"/>
      <c r="C476" s="1645">
        <v>1</v>
      </c>
      <c r="D476" s="4552" t="s">
        <v>3300</v>
      </c>
      <c r="E476" s="4552"/>
      <c r="F476" s="4552"/>
      <c r="G476" s="4552"/>
      <c r="H476" s="1646">
        <v>0.39999999999999986</v>
      </c>
      <c r="I476" s="1645"/>
      <c r="J476" s="1645"/>
      <c r="K476" s="1645">
        <v>1</v>
      </c>
      <c r="L476" s="1645">
        <f>H476*I476</f>
        <v>0</v>
      </c>
      <c r="M476" s="1647">
        <f>H476*J476</f>
        <v>0</v>
      </c>
      <c r="N476" s="1647">
        <f t="shared" ref="N476:N484" si="112">H476*K476</f>
        <v>0.39999999999999986</v>
      </c>
      <c r="O476" s="1667"/>
      <c r="P476" s="1667"/>
      <c r="Q476" s="1667"/>
      <c r="R476" s="1667"/>
      <c r="S476" s="1672"/>
    </row>
    <row r="477" spans="2:19" s="1669" customFormat="1" ht="13.5" thickBot="1" x14ac:dyDescent="0.3">
      <c r="B477" s="1670"/>
      <c r="C477" s="1645">
        <v>2</v>
      </c>
      <c r="D477" s="4552" t="s">
        <v>3301</v>
      </c>
      <c r="E477" s="4552"/>
      <c r="F477" s="4552"/>
      <c r="G477" s="4552"/>
      <c r="H477" s="1646">
        <v>0.1333333333333333</v>
      </c>
      <c r="I477" s="1645"/>
      <c r="J477" s="1645"/>
      <c r="K477" s="1645">
        <v>1</v>
      </c>
      <c r="L477" s="1645">
        <f t="shared" ref="L477:L484" si="113">H477*I477</f>
        <v>0</v>
      </c>
      <c r="M477" s="1647">
        <f t="shared" ref="M477:M484" si="114">H477*J477</f>
        <v>0</v>
      </c>
      <c r="N477" s="1647">
        <f t="shared" si="112"/>
        <v>0.1333333333333333</v>
      </c>
      <c r="O477" s="1667"/>
      <c r="P477" s="1667"/>
      <c r="Q477" s="1667"/>
      <c r="R477" s="1667"/>
      <c r="S477" s="1672"/>
    </row>
    <row r="478" spans="2:19" s="1669" customFormat="1" ht="13.5" thickBot="1" x14ac:dyDescent="0.3">
      <c r="B478" s="1670"/>
      <c r="C478" s="1645">
        <v>3</v>
      </c>
      <c r="D478" s="4552" t="s">
        <v>3302</v>
      </c>
      <c r="E478" s="4552"/>
      <c r="F478" s="4552"/>
      <c r="G478" s="4552"/>
      <c r="H478" s="1646">
        <v>9.9999999999999964E-2</v>
      </c>
      <c r="I478" s="1645">
        <v>0</v>
      </c>
      <c r="J478" s="1645"/>
      <c r="K478" s="1645"/>
      <c r="L478" s="1645">
        <f t="shared" si="113"/>
        <v>0</v>
      </c>
      <c r="M478" s="1647">
        <f t="shared" si="114"/>
        <v>0</v>
      </c>
      <c r="N478" s="1647">
        <f t="shared" si="112"/>
        <v>0</v>
      </c>
      <c r="O478" s="1667"/>
      <c r="P478" s="1667"/>
      <c r="Q478" s="1667"/>
      <c r="R478" s="1667"/>
      <c r="S478" s="1672"/>
    </row>
    <row r="479" spans="2:19" s="1669" customFormat="1" ht="13.5" thickBot="1" x14ac:dyDescent="0.3">
      <c r="B479" s="1670"/>
      <c r="C479" s="1645">
        <v>4</v>
      </c>
      <c r="D479" s="4552" t="s">
        <v>3303</v>
      </c>
      <c r="E479" s="4552"/>
      <c r="F479" s="4552"/>
      <c r="G479" s="4552"/>
      <c r="H479" s="1646">
        <v>7.9999999999999974E-2</v>
      </c>
      <c r="I479" s="1645"/>
      <c r="J479" s="1645">
        <v>0.5</v>
      </c>
      <c r="K479" s="1645"/>
      <c r="L479" s="1645">
        <f t="shared" si="113"/>
        <v>0</v>
      </c>
      <c r="M479" s="1647">
        <f t="shared" si="114"/>
        <v>3.9999999999999987E-2</v>
      </c>
      <c r="N479" s="1647">
        <f t="shared" si="112"/>
        <v>0</v>
      </c>
      <c r="O479" s="1667"/>
      <c r="P479" s="1667"/>
      <c r="Q479" s="1667"/>
      <c r="R479" s="1667"/>
      <c r="S479" s="1672"/>
    </row>
    <row r="480" spans="2:19" s="1669" customFormat="1" ht="13.5" thickBot="1" x14ac:dyDescent="0.3">
      <c r="B480" s="1670"/>
      <c r="C480" s="1645">
        <v>5</v>
      </c>
      <c r="D480" s="4552" t="s">
        <v>3304</v>
      </c>
      <c r="E480" s="4552"/>
      <c r="F480" s="4552"/>
      <c r="G480" s="4552"/>
      <c r="H480" s="1646">
        <v>7.3333333333333306E-2</v>
      </c>
      <c r="I480" s="1645">
        <v>0</v>
      </c>
      <c r="J480" s="1645"/>
      <c r="K480" s="1645"/>
      <c r="L480" s="1645">
        <f t="shared" si="113"/>
        <v>0</v>
      </c>
      <c r="M480" s="1647">
        <f t="shared" si="114"/>
        <v>0</v>
      </c>
      <c r="N480" s="1647">
        <f t="shared" si="112"/>
        <v>0</v>
      </c>
      <c r="O480" s="1667"/>
      <c r="P480" s="1667"/>
      <c r="Q480" s="1667"/>
      <c r="R480" s="1667"/>
      <c r="S480" s="1672"/>
    </row>
    <row r="481" spans="2:19" s="1669" customFormat="1" ht="13.5" thickBot="1" x14ac:dyDescent="0.3">
      <c r="B481" s="1670"/>
      <c r="C481" s="1645">
        <v>6</v>
      </c>
      <c r="D481" s="4552" t="s">
        <v>3305</v>
      </c>
      <c r="E481" s="4552"/>
      <c r="F481" s="4552"/>
      <c r="G481" s="4552"/>
      <c r="H481" s="1646">
        <v>6.6666666666666652E-2</v>
      </c>
      <c r="I481" s="1645"/>
      <c r="J481" s="1645">
        <v>0.5</v>
      </c>
      <c r="K481" s="1645"/>
      <c r="L481" s="1645">
        <f t="shared" si="113"/>
        <v>0</v>
      </c>
      <c r="M481" s="1647">
        <f t="shared" si="114"/>
        <v>3.3333333333333326E-2</v>
      </c>
      <c r="N481" s="1647">
        <f t="shared" si="112"/>
        <v>0</v>
      </c>
      <c r="O481" s="1667"/>
      <c r="P481" s="1667"/>
      <c r="Q481" s="1667"/>
      <c r="R481" s="1667"/>
      <c r="S481" s="1672"/>
    </row>
    <row r="482" spans="2:19" s="1669" customFormat="1" ht="13.5" thickBot="1" x14ac:dyDescent="0.3">
      <c r="B482" s="1670"/>
      <c r="C482" s="1645">
        <v>7</v>
      </c>
      <c r="D482" s="4552" t="s">
        <v>3306</v>
      </c>
      <c r="E482" s="4552"/>
      <c r="F482" s="4552"/>
      <c r="G482" s="4552"/>
      <c r="H482" s="1646">
        <v>4.6666666666666655E-2</v>
      </c>
      <c r="I482" s="1645"/>
      <c r="J482" s="1645"/>
      <c r="K482" s="1645">
        <v>1</v>
      </c>
      <c r="L482" s="1645">
        <f t="shared" si="113"/>
        <v>0</v>
      </c>
      <c r="M482" s="1647">
        <f t="shared" si="114"/>
        <v>0</v>
      </c>
      <c r="N482" s="1647">
        <f t="shared" si="112"/>
        <v>4.6666666666666655E-2</v>
      </c>
      <c r="O482" s="1667"/>
      <c r="P482" s="1667"/>
      <c r="Q482" s="1667"/>
      <c r="R482" s="1667"/>
      <c r="S482" s="1672"/>
    </row>
    <row r="483" spans="2:19" s="1669" customFormat="1" ht="13.5" thickBot="1" x14ac:dyDescent="0.3">
      <c r="B483" s="1670"/>
      <c r="C483" s="1645">
        <v>8</v>
      </c>
      <c r="D483" s="4552" t="s">
        <v>3307</v>
      </c>
      <c r="E483" s="4552"/>
      <c r="F483" s="4552"/>
      <c r="G483" s="4552"/>
      <c r="H483" s="1646">
        <v>3.3333333333333326E-2</v>
      </c>
      <c r="I483" s="1645">
        <v>0</v>
      </c>
      <c r="J483" s="1645"/>
      <c r="K483" s="1645"/>
      <c r="L483" s="1645">
        <f t="shared" si="113"/>
        <v>0</v>
      </c>
      <c r="M483" s="1647">
        <f t="shared" si="114"/>
        <v>0</v>
      </c>
      <c r="N483" s="1647">
        <f t="shared" si="112"/>
        <v>0</v>
      </c>
      <c r="O483" s="1667"/>
      <c r="P483" s="1667"/>
      <c r="Q483" s="1667"/>
      <c r="R483" s="1667"/>
      <c r="S483" s="1672"/>
    </row>
    <row r="484" spans="2:19" s="1669" customFormat="1" ht="13.5" thickBot="1" x14ac:dyDescent="0.3">
      <c r="B484" s="1670"/>
      <c r="C484" s="1645">
        <v>9</v>
      </c>
      <c r="D484" s="4552" t="s">
        <v>3308</v>
      </c>
      <c r="E484" s="4552"/>
      <c r="F484" s="4552"/>
      <c r="G484" s="4552"/>
      <c r="H484" s="1646">
        <v>6.6666666666666652E-2</v>
      </c>
      <c r="I484" s="1645">
        <v>0</v>
      </c>
      <c r="J484" s="1645"/>
      <c r="K484" s="1645"/>
      <c r="L484" s="1645">
        <f t="shared" si="113"/>
        <v>0</v>
      </c>
      <c r="M484" s="1647">
        <f t="shared" si="114"/>
        <v>0</v>
      </c>
      <c r="N484" s="1647">
        <f t="shared" si="112"/>
        <v>0</v>
      </c>
      <c r="O484" s="1667"/>
      <c r="P484" s="1667"/>
      <c r="Q484" s="1667"/>
      <c r="R484" s="1667"/>
      <c r="S484" s="1672"/>
    </row>
    <row r="485" spans="2:19" s="1669" customFormat="1" ht="13.5" thickBot="1" x14ac:dyDescent="0.3">
      <c r="B485" s="1670"/>
      <c r="C485" s="1667"/>
      <c r="D485" s="1667"/>
      <c r="E485" s="1667"/>
      <c r="F485" s="1667"/>
      <c r="G485" s="1667"/>
      <c r="H485" s="1647">
        <v>1</v>
      </c>
      <c r="I485" s="1648">
        <v>0</v>
      </c>
      <c r="J485" s="1648">
        <v>9.9999999999999978E-2</v>
      </c>
      <c r="K485" s="1648">
        <v>0.57999999999999985</v>
      </c>
      <c r="L485" s="1648">
        <f>SUM(L476:L484)</f>
        <v>0</v>
      </c>
      <c r="M485" s="1648">
        <f>SUM(M476:M484)</f>
        <v>7.3333333333333306E-2</v>
      </c>
      <c r="N485" s="1648">
        <f>SUM(N476:N484)</f>
        <v>0.57999999999999985</v>
      </c>
      <c r="O485" s="1667"/>
      <c r="P485" s="1667"/>
      <c r="Q485" s="1667"/>
      <c r="R485" s="1667"/>
      <c r="S485" s="1672"/>
    </row>
    <row r="486" spans="2:19" s="1669" customFormat="1" ht="12.75" x14ac:dyDescent="0.25">
      <c r="B486" s="1670"/>
      <c r="C486" s="1667"/>
      <c r="D486" s="1667"/>
      <c r="E486" s="1667"/>
      <c r="F486" s="1667"/>
      <c r="G486" s="1667"/>
      <c r="H486" s="1632"/>
      <c r="I486" s="1633"/>
      <c r="J486" s="1633"/>
      <c r="K486" s="1633"/>
      <c r="L486" s="1633"/>
      <c r="M486" s="1633"/>
      <c r="N486" s="1633"/>
      <c r="O486" s="1667"/>
      <c r="P486" s="1667"/>
      <c r="Q486" s="1667"/>
      <c r="R486" s="1667"/>
      <c r="S486" s="1672"/>
    </row>
    <row r="487" spans="2:19" s="1669" customFormat="1" ht="11.25" x14ac:dyDescent="0.25">
      <c r="B487" s="1670" t="s">
        <v>3211</v>
      </c>
      <c r="C487" s="1684" t="s">
        <v>3311</v>
      </c>
      <c r="D487" s="1684"/>
      <c r="E487" s="1684"/>
      <c r="F487" s="1684"/>
      <c r="G487" s="1684"/>
      <c r="H487" s="1684"/>
      <c r="I487" s="1684"/>
      <c r="J487" s="1684"/>
      <c r="K487" s="1684"/>
      <c r="L487" s="1684"/>
      <c r="M487" s="1684"/>
      <c r="N487" s="1684"/>
      <c r="O487" s="1684"/>
      <c r="P487" s="1684"/>
      <c r="Q487" s="1684"/>
      <c r="R487" s="1684"/>
      <c r="S487" s="1672"/>
    </row>
    <row r="488" spans="2:19" s="1669" customFormat="1" ht="11.25" x14ac:dyDescent="0.25">
      <c r="B488" s="1670"/>
      <c r="C488" s="1684"/>
      <c r="D488" s="1684"/>
      <c r="E488" s="1684"/>
      <c r="F488" s="1684"/>
      <c r="G488" s="1684"/>
      <c r="H488" s="1684"/>
      <c r="I488" s="1684"/>
      <c r="J488" s="1684"/>
      <c r="K488" s="1684"/>
      <c r="L488" s="1684"/>
      <c r="M488" s="1684"/>
      <c r="N488" s="1684"/>
      <c r="O488" s="1684"/>
      <c r="P488" s="1684"/>
      <c r="Q488" s="1684"/>
      <c r="R488" s="1684"/>
      <c r="S488" s="1672"/>
    </row>
    <row r="489" spans="2:19" s="1669" customFormat="1" ht="11.25" x14ac:dyDescent="0.25">
      <c r="B489" s="1670"/>
      <c r="C489" s="1718" t="s">
        <v>3312</v>
      </c>
      <c r="D489" s="1684"/>
      <c r="E489" s="1684"/>
      <c r="F489" s="1684"/>
      <c r="G489" s="1684"/>
      <c r="H489" s="1684"/>
      <c r="I489" s="1684"/>
      <c r="J489" s="1684"/>
      <c r="K489" s="1684"/>
      <c r="L489" s="1684"/>
      <c r="M489" s="1684"/>
      <c r="N489" s="1684"/>
      <c r="O489" s="1684"/>
      <c r="P489" s="1684"/>
      <c r="Q489" s="1684"/>
      <c r="R489" s="1684"/>
      <c r="S489" s="1672"/>
    </row>
    <row r="490" spans="2:19" s="1669" customFormat="1" ht="12" thickBot="1" x14ac:dyDescent="0.3">
      <c r="B490" s="1685"/>
      <c r="C490" s="1686"/>
      <c r="D490" s="1686"/>
      <c r="E490" s="1686"/>
      <c r="F490" s="1686"/>
      <c r="G490" s="1686"/>
      <c r="H490" s="1686"/>
      <c r="I490" s="1686"/>
      <c r="J490" s="1686"/>
      <c r="K490" s="1686"/>
      <c r="L490" s="1686"/>
      <c r="M490" s="1686"/>
      <c r="N490" s="1686"/>
      <c r="O490" s="1686"/>
      <c r="P490" s="1686"/>
      <c r="Q490" s="1686"/>
      <c r="R490" s="1686"/>
      <c r="S490" s="1687"/>
    </row>
    <row r="491" spans="2:19" s="1669" customFormat="1" ht="11.25" x14ac:dyDescent="0.25">
      <c r="B491" s="1688"/>
    </row>
    <row r="492" spans="2:19" s="1669" customFormat="1" ht="11.25" x14ac:dyDescent="0.25">
      <c r="B492" s="1688"/>
    </row>
    <row r="493" spans="2:19" s="1669" customFormat="1" ht="11.25" x14ac:dyDescent="0.25">
      <c r="B493" s="1688"/>
      <c r="C493" s="1689" t="s">
        <v>3313</v>
      </c>
    </row>
    <row r="494" spans="2:19" s="1662" customFormat="1" x14ac:dyDescent="0.25">
      <c r="B494" s="1690"/>
    </row>
    <row r="495" spans="2:19" s="1662" customFormat="1" x14ac:dyDescent="0.25">
      <c r="B495" s="1690"/>
    </row>
    <row r="496" spans="2:19" s="1662" customFormat="1" ht="15.75" thickBot="1" x14ac:dyDescent="0.3">
      <c r="B496" s="1690"/>
      <c r="E496" s="4553" t="s">
        <v>3273</v>
      </c>
      <c r="F496" s="4553"/>
    </row>
    <row r="497" spans="2:6" s="1662" customFormat="1" ht="54.75" thickBot="1" x14ac:dyDescent="0.3">
      <c r="B497" s="1690"/>
      <c r="E497" s="1035" t="s">
        <v>418</v>
      </c>
      <c r="F497" s="1036" t="s">
        <v>3273</v>
      </c>
    </row>
    <row r="498" spans="2:6" s="1662" customFormat="1" ht="17.25" thickBot="1" x14ac:dyDescent="0.3">
      <c r="B498" s="1690"/>
      <c r="E498" s="1691" t="s">
        <v>71</v>
      </c>
      <c r="F498" s="1691"/>
    </row>
    <row r="499" spans="2:6" s="1662" customFormat="1" ht="17.25" thickBot="1" x14ac:dyDescent="0.3">
      <c r="B499" s="1690"/>
      <c r="E499" s="1660" t="s">
        <v>3314</v>
      </c>
      <c r="F499" s="1692">
        <f>R16</f>
        <v>0</v>
      </c>
    </row>
    <row r="500" spans="2:6" s="1662" customFormat="1" ht="24.75" thickBot="1" x14ac:dyDescent="0.3">
      <c r="B500" s="1690"/>
      <c r="E500" s="1660" t="s">
        <v>1300</v>
      </c>
      <c r="F500" s="1692">
        <f>R18</f>
        <v>0</v>
      </c>
    </row>
    <row r="501" spans="2:6" s="1662" customFormat="1" ht="24.75" thickBot="1" x14ac:dyDescent="0.3">
      <c r="B501" s="1690"/>
      <c r="E501" s="1660" t="s">
        <v>1965</v>
      </c>
      <c r="F501" s="1692">
        <v>0</v>
      </c>
    </row>
    <row r="502" spans="2:6" s="1662" customFormat="1" ht="24.75" thickBot="1" x14ac:dyDescent="0.3">
      <c r="B502" s="1690"/>
      <c r="E502" s="1660" t="s">
        <v>1967</v>
      </c>
      <c r="F502" s="1692">
        <f>R20</f>
        <v>0</v>
      </c>
    </row>
    <row r="503" spans="2:6" s="1662" customFormat="1" ht="17.25" thickBot="1" x14ac:dyDescent="0.3">
      <c r="B503" s="1690"/>
      <c r="E503" s="1660" t="s">
        <v>1305</v>
      </c>
      <c r="F503" s="1692">
        <v>0</v>
      </c>
    </row>
    <row r="504" spans="2:6" s="1662" customFormat="1" ht="17.25" thickBot="1" x14ac:dyDescent="0.3">
      <c r="B504" s="1690"/>
      <c r="E504" s="1691" t="s">
        <v>1225</v>
      </c>
      <c r="F504" s="1691"/>
    </row>
    <row r="505" spans="2:6" s="1662" customFormat="1" ht="17.25" thickBot="1" x14ac:dyDescent="0.3">
      <c r="B505" s="1690"/>
      <c r="E505" s="1660" t="s">
        <v>1226</v>
      </c>
      <c r="F505" s="1692">
        <f>R21</f>
        <v>0</v>
      </c>
    </row>
    <row r="506" spans="2:6" s="1662" customFormat="1" ht="17.25" thickBot="1" x14ac:dyDescent="0.3">
      <c r="B506" s="1690"/>
      <c r="E506" s="1660" t="s">
        <v>414</v>
      </c>
      <c r="F506" s="1692">
        <f>R20</f>
        <v>0</v>
      </c>
    </row>
    <row r="507" spans="2:6" s="1662" customFormat="1" ht="17.25" thickBot="1" x14ac:dyDescent="0.3">
      <c r="B507" s="1690"/>
      <c r="E507" s="1660" t="s">
        <v>1968</v>
      </c>
      <c r="F507" s="1692">
        <f>R21</f>
        <v>0</v>
      </c>
    </row>
    <row r="508" spans="2:6" s="1662" customFormat="1" ht="17.25" thickBot="1" x14ac:dyDescent="0.3">
      <c r="B508" s="1690"/>
      <c r="E508" s="1660" t="s">
        <v>1232</v>
      </c>
      <c r="F508" s="1692">
        <f>R22</f>
        <v>0</v>
      </c>
    </row>
    <row r="509" spans="2:6" s="1662" customFormat="1" ht="17.25" thickBot="1" x14ac:dyDescent="0.3">
      <c r="B509" s="1690"/>
      <c r="E509" s="1660" t="s">
        <v>1231</v>
      </c>
      <c r="F509" s="1692">
        <v>0</v>
      </c>
    </row>
    <row r="510" spans="2:6" s="1662" customFormat="1" ht="17.25" thickBot="1" x14ac:dyDescent="0.3">
      <c r="B510" s="1690"/>
      <c r="E510" s="1660" t="s">
        <v>1227</v>
      </c>
      <c r="F510" s="1692">
        <f>R23</f>
        <v>7200</v>
      </c>
    </row>
    <row r="511" spans="2:6" s="1662" customFormat="1" ht="17.25" thickBot="1" x14ac:dyDescent="0.3">
      <c r="B511" s="1690"/>
      <c r="E511" s="1660" t="s">
        <v>1229</v>
      </c>
      <c r="F511" s="1692">
        <v>0</v>
      </c>
    </row>
    <row r="512" spans="2:6" s="1662" customFormat="1" ht="17.25" thickBot="1" x14ac:dyDescent="0.3">
      <c r="B512" s="1690"/>
      <c r="E512" s="1660" t="s">
        <v>1313</v>
      </c>
      <c r="F512" s="1692">
        <v>0</v>
      </c>
    </row>
    <row r="513" spans="2:6" s="1662" customFormat="1" ht="17.25" thickBot="1" x14ac:dyDescent="0.3">
      <c r="B513" s="1690"/>
      <c r="E513" s="1660" t="s">
        <v>1314</v>
      </c>
      <c r="F513" s="1692">
        <v>0</v>
      </c>
    </row>
    <row r="514" spans="2:6" s="1662" customFormat="1" ht="17.25" thickBot="1" x14ac:dyDescent="0.3">
      <c r="B514" s="1690"/>
      <c r="E514" s="1660" t="s">
        <v>329</v>
      </c>
      <c r="F514" s="1692">
        <f>R21</f>
        <v>0</v>
      </c>
    </row>
    <row r="515" spans="2:6" s="1662" customFormat="1" ht="17.25" thickBot="1" x14ac:dyDescent="0.3">
      <c r="B515" s="1690"/>
      <c r="E515" s="1660" t="s">
        <v>412</v>
      </c>
      <c r="F515" s="1692">
        <v>0</v>
      </c>
    </row>
    <row r="516" spans="2:6" s="1662" customFormat="1" ht="17.25" thickBot="1" x14ac:dyDescent="0.3">
      <c r="B516" s="1690"/>
      <c r="E516" s="1660" t="s">
        <v>1234</v>
      </c>
      <c r="F516" s="1692">
        <v>0</v>
      </c>
    </row>
    <row r="517" spans="2:6" s="1662" customFormat="1" ht="17.25" thickBot="1" x14ac:dyDescent="0.3">
      <c r="B517" s="1690"/>
      <c r="E517" s="1660" t="s">
        <v>1233</v>
      </c>
      <c r="F517" s="1692">
        <f>R26</f>
        <v>0</v>
      </c>
    </row>
    <row r="518" spans="2:6" s="1662" customFormat="1" ht="17.25" thickBot="1" x14ac:dyDescent="0.3">
      <c r="B518" s="1690"/>
      <c r="E518" s="1660" t="s">
        <v>1746</v>
      </c>
      <c r="F518" s="1692">
        <f>R24</f>
        <v>0</v>
      </c>
    </row>
    <row r="519" spans="2:6" s="1662" customFormat="1" ht="17.25" thickBot="1" x14ac:dyDescent="0.3">
      <c r="B519" s="1690"/>
      <c r="E519" s="1660" t="s">
        <v>1235</v>
      </c>
      <c r="F519" s="1692">
        <f>R25</f>
        <v>0</v>
      </c>
    </row>
    <row r="520" spans="2:6" s="1662" customFormat="1" ht="17.25" thickBot="1" x14ac:dyDescent="0.3">
      <c r="B520" s="1690"/>
      <c r="E520" s="1660" t="s">
        <v>1798</v>
      </c>
      <c r="F520" s="1692">
        <f>R28</f>
        <v>0</v>
      </c>
    </row>
    <row r="521" spans="2:6" s="1662" customFormat="1" ht="17.25" thickBot="1" x14ac:dyDescent="0.3">
      <c r="B521" s="1690"/>
      <c r="E521" s="1660" t="s">
        <v>1971</v>
      </c>
      <c r="F521" s="1692">
        <v>0</v>
      </c>
    </row>
    <row r="522" spans="2:6" s="1662" customFormat="1" ht="17.25" thickBot="1" x14ac:dyDescent="0.3">
      <c r="B522" s="1690"/>
      <c r="E522" s="1691" t="s">
        <v>61</v>
      </c>
      <c r="F522" s="1691"/>
    </row>
    <row r="523" spans="2:6" s="1662" customFormat="1" ht="17.25" thickBot="1" x14ac:dyDescent="0.3">
      <c r="B523" s="1690"/>
      <c r="E523" s="1660" t="s">
        <v>1972</v>
      </c>
      <c r="F523" s="1692">
        <f>R33</f>
        <v>0</v>
      </c>
    </row>
    <row r="524" spans="2:6" s="1662" customFormat="1" ht="17.25" thickBot="1" x14ac:dyDescent="0.3">
      <c r="B524" s="1690"/>
      <c r="E524" s="1660" t="s">
        <v>1973</v>
      </c>
      <c r="F524" s="1692">
        <v>0</v>
      </c>
    </row>
    <row r="525" spans="2:6" s="1662" customFormat="1" ht="17.25" thickBot="1" x14ac:dyDescent="0.3">
      <c r="B525" s="1690"/>
      <c r="E525" s="1691" t="s">
        <v>2047</v>
      </c>
      <c r="F525" s="1691"/>
    </row>
    <row r="526" spans="2:6" s="1662" customFormat="1" ht="17.25" thickBot="1" x14ac:dyDescent="0.3">
      <c r="B526" s="1690"/>
      <c r="E526" s="1661" t="s">
        <v>1855</v>
      </c>
      <c r="F526" s="1692">
        <f>R351</f>
        <v>0</v>
      </c>
    </row>
    <row r="527" spans="2:6" s="1662" customFormat="1" ht="17.25" thickBot="1" x14ac:dyDescent="0.3">
      <c r="B527" s="1690"/>
      <c r="E527" s="1661" t="s">
        <v>1975</v>
      </c>
      <c r="F527" s="1692">
        <v>0</v>
      </c>
    </row>
    <row r="528" spans="2:6" s="1662" customFormat="1" ht="17.25" thickBot="1" x14ac:dyDescent="0.3">
      <c r="B528" s="1690"/>
      <c r="E528" s="1691" t="s">
        <v>427</v>
      </c>
      <c r="F528" s="1691"/>
    </row>
    <row r="529" spans="2:6" s="1662" customFormat="1" ht="17.25" thickBot="1" x14ac:dyDescent="0.3">
      <c r="B529" s="1690"/>
      <c r="E529" s="1661" t="s">
        <v>1777</v>
      </c>
      <c r="F529" s="1692">
        <f>R37</f>
        <v>117</v>
      </c>
    </row>
    <row r="530" spans="2:6" s="1662" customFormat="1" ht="17.25" thickBot="1" x14ac:dyDescent="0.3">
      <c r="B530" s="1690"/>
      <c r="E530" s="1661" t="s">
        <v>1778</v>
      </c>
      <c r="F530" s="1692">
        <f>R37</f>
        <v>117</v>
      </c>
    </row>
    <row r="531" spans="2:6" s="1662" customFormat="1" ht="17.25" thickBot="1" x14ac:dyDescent="0.3">
      <c r="B531" s="1690"/>
      <c r="E531" s="1661" t="s">
        <v>1779</v>
      </c>
      <c r="F531" s="1692">
        <f>R38</f>
        <v>0</v>
      </c>
    </row>
    <row r="532" spans="2:6" s="1662" customFormat="1" ht="17.25" thickBot="1" x14ac:dyDescent="0.3">
      <c r="B532" s="1690"/>
      <c r="E532" s="1661" t="s">
        <v>1976</v>
      </c>
      <c r="F532" s="1692">
        <v>0</v>
      </c>
    </row>
    <row r="533" spans="2:6" s="1662" customFormat="1" ht="17.25" thickBot="1" x14ac:dyDescent="0.3">
      <c r="B533" s="1690"/>
      <c r="E533" s="1661" t="s">
        <v>1977</v>
      </c>
      <c r="F533" s="1692">
        <v>0</v>
      </c>
    </row>
    <row r="534" spans="2:6" s="1662" customFormat="1" ht="17.25" thickBot="1" x14ac:dyDescent="0.3">
      <c r="B534" s="1690"/>
      <c r="E534" s="1691" t="s">
        <v>1224</v>
      </c>
      <c r="F534" s="1691"/>
    </row>
    <row r="535" spans="2:6" s="1662" customFormat="1" ht="17.25" thickBot="1" x14ac:dyDescent="0.3">
      <c r="B535" s="1690"/>
      <c r="E535" s="1660" t="s">
        <v>1978</v>
      </c>
      <c r="F535" s="1692">
        <f>R30</f>
        <v>0</v>
      </c>
    </row>
    <row r="536" spans="2:6" s="1662" customFormat="1" ht="17.25" thickBot="1" x14ac:dyDescent="0.3">
      <c r="B536" s="1690"/>
      <c r="E536" s="1660" t="s">
        <v>1979</v>
      </c>
      <c r="F536" s="1692">
        <f>R26</f>
        <v>0</v>
      </c>
    </row>
    <row r="537" spans="2:6" s="1662" customFormat="1" ht="17.25" thickBot="1" x14ac:dyDescent="0.3">
      <c r="B537" s="1690"/>
      <c r="E537" s="1660" t="s">
        <v>90</v>
      </c>
      <c r="F537" s="1692">
        <f>R18</f>
        <v>0</v>
      </c>
    </row>
    <row r="538" spans="2:6" s="1662" customFormat="1" ht="17.25" thickBot="1" x14ac:dyDescent="0.3">
      <c r="B538" s="1690"/>
      <c r="E538" s="1660" t="s">
        <v>91</v>
      </c>
      <c r="F538" s="1692">
        <f>R19</f>
        <v>0</v>
      </c>
    </row>
    <row r="539" spans="2:6" s="1662" customFormat="1" ht="17.25" thickBot="1" x14ac:dyDescent="0.3">
      <c r="B539" s="1690"/>
      <c r="E539" s="1660" t="s">
        <v>1982</v>
      </c>
      <c r="F539" s="1692">
        <f>R39</f>
        <v>0</v>
      </c>
    </row>
    <row r="540" spans="2:6" s="1662" customFormat="1" ht="17.25" thickBot="1" x14ac:dyDescent="0.3">
      <c r="B540" s="1690"/>
      <c r="E540" s="1660" t="s">
        <v>381</v>
      </c>
      <c r="F540" s="1692">
        <f>R40</f>
        <v>14931.016454833145</v>
      </c>
    </row>
    <row r="541" spans="2:6" s="1662" customFormat="1" ht="17.25" thickBot="1" x14ac:dyDescent="0.3">
      <c r="B541" s="1690"/>
      <c r="E541" s="1789"/>
      <c r="F541" s="1790">
        <f>SUM(F499:F540)</f>
        <v>22365.016454833145</v>
      </c>
    </row>
    <row r="542" spans="2:6" s="1662" customFormat="1" x14ac:dyDescent="0.25">
      <c r="B542" s="1690"/>
    </row>
    <row r="543" spans="2:6" s="1662" customFormat="1" x14ac:dyDescent="0.25">
      <c r="B543" s="1690"/>
    </row>
    <row r="544" spans="2:6" s="1662" customFormat="1" x14ac:dyDescent="0.25">
      <c r="B544" s="1690"/>
    </row>
    <row r="545" spans="2:2" s="1662" customFormat="1" x14ac:dyDescent="0.25">
      <c r="B545" s="1690"/>
    </row>
    <row r="546" spans="2:2" s="1662" customFormat="1" x14ac:dyDescent="0.25">
      <c r="B546" s="1690"/>
    </row>
    <row r="547" spans="2:2" s="1662" customFormat="1" x14ac:dyDescent="0.25">
      <c r="B547" s="1690"/>
    </row>
    <row r="548" spans="2:2" s="1662" customFormat="1" x14ac:dyDescent="0.25">
      <c r="B548" s="1690"/>
    </row>
    <row r="549" spans="2:2" s="1662" customFormat="1" x14ac:dyDescent="0.25">
      <c r="B549" s="1690"/>
    </row>
    <row r="550" spans="2:2" s="1662" customFormat="1" x14ac:dyDescent="0.25">
      <c r="B550" s="1690"/>
    </row>
    <row r="551" spans="2:2" s="1662" customFormat="1" x14ac:dyDescent="0.25">
      <c r="B551" s="1690"/>
    </row>
    <row r="552" spans="2:2" s="1662" customFormat="1" x14ac:dyDescent="0.25">
      <c r="B552" s="1690"/>
    </row>
    <row r="553" spans="2:2" s="1662" customFormat="1" x14ac:dyDescent="0.25">
      <c r="B553" s="1690"/>
    </row>
    <row r="554" spans="2:2" s="1662" customFormat="1" x14ac:dyDescent="0.25">
      <c r="B554" s="1690"/>
    </row>
    <row r="555" spans="2:2" s="1662" customFormat="1" x14ac:dyDescent="0.25">
      <c r="B555" s="1690"/>
    </row>
    <row r="556" spans="2:2" s="1662" customFormat="1" x14ac:dyDescent="0.25">
      <c r="B556" s="1690"/>
    </row>
    <row r="557" spans="2:2" s="1662" customFormat="1" x14ac:dyDescent="0.25">
      <c r="B557" s="1690"/>
    </row>
    <row r="558" spans="2:2" s="1662" customFormat="1" x14ac:dyDescent="0.25">
      <c r="B558" s="1690"/>
    </row>
    <row r="559" spans="2:2" s="1662" customFormat="1" x14ac:dyDescent="0.25">
      <c r="B559" s="1690"/>
    </row>
    <row r="560" spans="2:2" s="1662" customFormat="1" x14ac:dyDescent="0.25">
      <c r="B560" s="1690"/>
    </row>
    <row r="561" spans="2:2" s="1662" customFormat="1" x14ac:dyDescent="0.25">
      <c r="B561" s="1690"/>
    </row>
    <row r="562" spans="2:2" s="1662" customFormat="1" x14ac:dyDescent="0.25">
      <c r="B562" s="1690"/>
    </row>
    <row r="563" spans="2:2" s="1662" customFormat="1" x14ac:dyDescent="0.25">
      <c r="B563" s="1690"/>
    </row>
    <row r="564" spans="2:2" s="1662" customFormat="1" x14ac:dyDescent="0.25">
      <c r="B564" s="1690"/>
    </row>
    <row r="565" spans="2:2" s="1662" customFormat="1" x14ac:dyDescent="0.25">
      <c r="B565" s="1690"/>
    </row>
    <row r="566" spans="2:2" s="1662" customFormat="1" x14ac:dyDescent="0.25">
      <c r="B566" s="1690"/>
    </row>
    <row r="567" spans="2:2" s="1662" customFormat="1" x14ac:dyDescent="0.25">
      <c r="B567" s="1690"/>
    </row>
    <row r="568" spans="2:2" s="1662" customFormat="1" x14ac:dyDescent="0.25">
      <c r="B568" s="1690"/>
    </row>
    <row r="569" spans="2:2" s="1662" customFormat="1" x14ac:dyDescent="0.25">
      <c r="B569" s="1690"/>
    </row>
    <row r="570" spans="2:2" s="1662" customFormat="1" x14ac:dyDescent="0.25">
      <c r="B570" s="1690"/>
    </row>
    <row r="571" spans="2:2" s="1662" customFormat="1" x14ac:dyDescent="0.25">
      <c r="B571" s="1690"/>
    </row>
    <row r="572" spans="2:2" s="1662" customFormat="1" x14ac:dyDescent="0.25">
      <c r="B572" s="1690"/>
    </row>
    <row r="573" spans="2:2" s="1662" customFormat="1" x14ac:dyDescent="0.25">
      <c r="B573" s="1690"/>
    </row>
    <row r="574" spans="2:2" s="1662" customFormat="1" x14ac:dyDescent="0.25">
      <c r="B574" s="1690"/>
    </row>
    <row r="575" spans="2:2" s="1662" customFormat="1" x14ac:dyDescent="0.25">
      <c r="B575" s="1690"/>
    </row>
    <row r="576" spans="2:2" s="1662" customFormat="1" x14ac:dyDescent="0.25">
      <c r="B576" s="1690"/>
    </row>
    <row r="577" spans="2:2" s="1662" customFormat="1" x14ac:dyDescent="0.25">
      <c r="B577" s="1690"/>
    </row>
    <row r="578" spans="2:2" s="1662" customFormat="1" x14ac:dyDescent="0.25">
      <c r="B578" s="1690"/>
    </row>
    <row r="579" spans="2:2" s="1662" customFormat="1" x14ac:dyDescent="0.25">
      <c r="B579" s="1690"/>
    </row>
    <row r="580" spans="2:2" s="1662" customFormat="1" x14ac:dyDescent="0.25">
      <c r="B580" s="1690"/>
    </row>
    <row r="581" spans="2:2" s="1662" customFormat="1" x14ac:dyDescent="0.25">
      <c r="B581" s="1690"/>
    </row>
    <row r="582" spans="2:2" s="1662" customFormat="1" x14ac:dyDescent="0.25">
      <c r="B582" s="1690"/>
    </row>
    <row r="583" spans="2:2" s="1662" customFormat="1" x14ac:dyDescent="0.25">
      <c r="B583" s="1690"/>
    </row>
    <row r="584" spans="2:2" s="1662" customFormat="1" x14ac:dyDescent="0.25">
      <c r="B584" s="1690"/>
    </row>
    <row r="585" spans="2:2" s="1662" customFormat="1" x14ac:dyDescent="0.25">
      <c r="B585" s="1690"/>
    </row>
    <row r="586" spans="2:2" s="1662" customFormat="1" x14ac:dyDescent="0.25">
      <c r="B586" s="1690"/>
    </row>
    <row r="587" spans="2:2" s="1662" customFormat="1" x14ac:dyDescent="0.25">
      <c r="B587" s="1690"/>
    </row>
    <row r="588" spans="2:2" s="1662" customFormat="1" x14ac:dyDescent="0.25">
      <c r="B588" s="1690"/>
    </row>
    <row r="589" spans="2:2" s="1662" customFormat="1" x14ac:dyDescent="0.25">
      <c r="B589" s="1690"/>
    </row>
    <row r="590" spans="2:2" s="1662" customFormat="1" x14ac:dyDescent="0.25">
      <c r="B590" s="1690"/>
    </row>
    <row r="591" spans="2:2" s="1662" customFormat="1" x14ac:dyDescent="0.25">
      <c r="B591" s="1690"/>
    </row>
    <row r="592" spans="2:2" s="1662" customFormat="1" x14ac:dyDescent="0.25">
      <c r="B592" s="1690"/>
    </row>
    <row r="593" spans="2:2" s="1662" customFormat="1" x14ac:dyDescent="0.25">
      <c r="B593" s="1690"/>
    </row>
    <row r="594" spans="2:2" s="1662" customFormat="1" x14ac:dyDescent="0.25">
      <c r="B594" s="1690"/>
    </row>
    <row r="595" spans="2:2" s="1662" customFormat="1" x14ac:dyDescent="0.25">
      <c r="B595" s="1690"/>
    </row>
    <row r="596" spans="2:2" s="1662" customFormat="1" x14ac:dyDescent="0.25">
      <c r="B596" s="1690"/>
    </row>
    <row r="597" spans="2:2" s="1662" customFormat="1" x14ac:dyDescent="0.25">
      <c r="B597" s="1690"/>
    </row>
    <row r="598" spans="2:2" s="1662" customFormat="1" x14ac:dyDescent="0.25">
      <c r="B598" s="1690"/>
    </row>
    <row r="599" spans="2:2" s="1662" customFormat="1" x14ac:dyDescent="0.25">
      <c r="B599" s="1690"/>
    </row>
    <row r="600" spans="2:2" s="1662" customFormat="1" x14ac:dyDescent="0.25">
      <c r="B600" s="1690"/>
    </row>
    <row r="601" spans="2:2" s="1662" customFormat="1" x14ac:dyDescent="0.25">
      <c r="B601" s="1690"/>
    </row>
    <row r="602" spans="2:2" s="1662" customFormat="1" x14ac:dyDescent="0.25">
      <c r="B602" s="1690"/>
    </row>
    <row r="603" spans="2:2" s="1662" customFormat="1" x14ac:dyDescent="0.25">
      <c r="B603" s="1690"/>
    </row>
    <row r="604" spans="2:2" s="1662" customFormat="1" x14ac:dyDescent="0.25">
      <c r="B604" s="1690"/>
    </row>
    <row r="605" spans="2:2" s="1662" customFormat="1" x14ac:dyDescent="0.25">
      <c r="B605" s="1690"/>
    </row>
    <row r="606" spans="2:2" s="1662" customFormat="1" x14ac:dyDescent="0.25">
      <c r="B606" s="1690"/>
    </row>
    <row r="607" spans="2:2" s="1662" customFormat="1" x14ac:dyDescent="0.25">
      <c r="B607" s="1690"/>
    </row>
    <row r="608" spans="2:2" s="1662" customFormat="1" x14ac:dyDescent="0.25">
      <c r="B608" s="1690"/>
    </row>
    <row r="609" spans="2:2" s="1662" customFormat="1" x14ac:dyDescent="0.25">
      <c r="B609" s="1690"/>
    </row>
    <row r="610" spans="2:2" s="1662" customFormat="1" x14ac:dyDescent="0.25">
      <c r="B610" s="1690"/>
    </row>
    <row r="611" spans="2:2" s="1662" customFormat="1" x14ac:dyDescent="0.25">
      <c r="B611" s="1690"/>
    </row>
    <row r="612" spans="2:2" s="1662" customFormat="1" x14ac:dyDescent="0.25">
      <c r="B612" s="1690"/>
    </row>
    <row r="613" spans="2:2" s="1662" customFormat="1" x14ac:dyDescent="0.25">
      <c r="B613" s="1690"/>
    </row>
    <row r="614" spans="2:2" s="1662" customFormat="1" x14ac:dyDescent="0.25">
      <c r="B614" s="1690"/>
    </row>
    <row r="615" spans="2:2" s="1662" customFormat="1" x14ac:dyDescent="0.25">
      <c r="B615" s="1690"/>
    </row>
    <row r="616" spans="2:2" s="1662" customFormat="1" x14ac:dyDescent="0.25">
      <c r="B616" s="1690"/>
    </row>
    <row r="617" spans="2:2" s="1662" customFormat="1" x14ac:dyDescent="0.25">
      <c r="B617" s="1690"/>
    </row>
    <row r="618" spans="2:2" s="1662" customFormat="1" x14ac:dyDescent="0.25">
      <c r="B618" s="1690"/>
    </row>
    <row r="619" spans="2:2" s="1662" customFormat="1" x14ac:dyDescent="0.25">
      <c r="B619" s="1690"/>
    </row>
    <row r="620" spans="2:2" s="1662" customFormat="1" x14ac:dyDescent="0.25">
      <c r="B620" s="1690"/>
    </row>
    <row r="621" spans="2:2" s="1662" customFormat="1" x14ac:dyDescent="0.25">
      <c r="B621" s="1690"/>
    </row>
    <row r="622" spans="2:2" s="1662" customFormat="1" x14ac:dyDescent="0.25">
      <c r="B622" s="1690"/>
    </row>
    <row r="623" spans="2:2" s="1662" customFormat="1" x14ac:dyDescent="0.25">
      <c r="B623" s="1690"/>
    </row>
    <row r="624" spans="2:2" s="1662" customFormat="1" x14ac:dyDescent="0.25">
      <c r="B624" s="1690"/>
    </row>
    <row r="625" spans="2:2" s="1662" customFormat="1" x14ac:dyDescent="0.25">
      <c r="B625" s="1690"/>
    </row>
    <row r="626" spans="2:2" s="1662" customFormat="1" x14ac:dyDescent="0.25">
      <c r="B626" s="1690"/>
    </row>
    <row r="627" spans="2:2" s="1662" customFormat="1" x14ac:dyDescent="0.25">
      <c r="B627" s="1690"/>
    </row>
    <row r="628" spans="2:2" s="1662" customFormat="1" x14ac:dyDescent="0.25">
      <c r="B628" s="1690"/>
    </row>
    <row r="629" spans="2:2" s="1662" customFormat="1" x14ac:dyDescent="0.25">
      <c r="B629" s="1690"/>
    </row>
    <row r="630" spans="2:2" s="1662" customFormat="1" x14ac:dyDescent="0.25">
      <c r="B630" s="1690"/>
    </row>
    <row r="631" spans="2:2" s="1662" customFormat="1" x14ac:dyDescent="0.25">
      <c r="B631" s="1690"/>
    </row>
    <row r="632" spans="2:2" s="1662" customFormat="1" x14ac:dyDescent="0.25">
      <c r="B632" s="1690"/>
    </row>
    <row r="633" spans="2:2" s="1662" customFormat="1" x14ac:dyDescent="0.25">
      <c r="B633" s="1690"/>
    </row>
    <row r="634" spans="2:2" s="1662" customFormat="1" x14ac:dyDescent="0.25">
      <c r="B634" s="1690"/>
    </row>
    <row r="635" spans="2:2" s="1662" customFormat="1" x14ac:dyDescent="0.25">
      <c r="B635" s="1690"/>
    </row>
    <row r="636" spans="2:2" s="1662" customFormat="1" x14ac:dyDescent="0.25">
      <c r="B636" s="1690"/>
    </row>
    <row r="637" spans="2:2" s="1662" customFormat="1" x14ac:dyDescent="0.25">
      <c r="B637" s="1690"/>
    </row>
    <row r="638" spans="2:2" s="1662" customFormat="1" x14ac:dyDescent="0.25">
      <c r="B638" s="1690"/>
    </row>
    <row r="639" spans="2:2" s="1662" customFormat="1" x14ac:dyDescent="0.25">
      <c r="B639" s="1690"/>
    </row>
    <row r="640" spans="2:2" s="1662" customFormat="1" x14ac:dyDescent="0.25">
      <c r="B640" s="1690"/>
    </row>
    <row r="641" spans="2:2" s="1662" customFormat="1" x14ac:dyDescent="0.25">
      <c r="B641" s="1690"/>
    </row>
    <row r="642" spans="2:2" s="1662" customFormat="1" x14ac:dyDescent="0.25">
      <c r="B642" s="1690"/>
    </row>
    <row r="643" spans="2:2" s="1662" customFormat="1" x14ac:dyDescent="0.25">
      <c r="B643" s="1690"/>
    </row>
    <row r="644" spans="2:2" s="1662" customFormat="1" x14ac:dyDescent="0.25">
      <c r="B644" s="1690"/>
    </row>
    <row r="645" spans="2:2" s="1662" customFormat="1" x14ac:dyDescent="0.25">
      <c r="B645" s="1690"/>
    </row>
    <row r="646" spans="2:2" s="1662" customFormat="1" x14ac:dyDescent="0.25">
      <c r="B646" s="1690"/>
    </row>
    <row r="647" spans="2:2" s="1662" customFormat="1" x14ac:dyDescent="0.25">
      <c r="B647" s="1690"/>
    </row>
    <row r="648" spans="2:2" s="1662" customFormat="1" x14ac:dyDescent="0.25">
      <c r="B648" s="1690"/>
    </row>
    <row r="649" spans="2:2" s="1662" customFormat="1" x14ac:dyDescent="0.25">
      <c r="B649" s="1690"/>
    </row>
    <row r="650" spans="2:2" s="1662" customFormat="1" x14ac:dyDescent="0.25">
      <c r="B650" s="1690"/>
    </row>
    <row r="651" spans="2:2" s="1662" customFormat="1" x14ac:dyDescent="0.25">
      <c r="B651" s="1690"/>
    </row>
    <row r="652" spans="2:2" s="1662" customFormat="1" x14ac:dyDescent="0.25">
      <c r="B652" s="1690"/>
    </row>
    <row r="653" spans="2:2" s="1662" customFormat="1" x14ac:dyDescent="0.25">
      <c r="B653" s="1690"/>
    </row>
    <row r="654" spans="2:2" s="1662" customFormat="1" x14ac:dyDescent="0.25">
      <c r="B654" s="1690"/>
    </row>
    <row r="655" spans="2:2" s="1662" customFormat="1" x14ac:dyDescent="0.25">
      <c r="B655" s="1690"/>
    </row>
    <row r="656" spans="2:2" s="1662" customFormat="1" x14ac:dyDescent="0.25">
      <c r="B656" s="1690"/>
    </row>
    <row r="657" spans="2:2" s="1662" customFormat="1" x14ac:dyDescent="0.25">
      <c r="B657" s="1690"/>
    </row>
    <row r="658" spans="2:2" s="1662" customFormat="1" x14ac:dyDescent="0.25">
      <c r="B658" s="1690"/>
    </row>
    <row r="659" spans="2:2" s="1662" customFormat="1" x14ac:dyDescent="0.25">
      <c r="B659" s="1690"/>
    </row>
    <row r="660" spans="2:2" s="1662" customFormat="1" x14ac:dyDescent="0.25">
      <c r="B660" s="1690"/>
    </row>
    <row r="661" spans="2:2" s="1662" customFormat="1" x14ac:dyDescent="0.25">
      <c r="B661" s="1690"/>
    </row>
    <row r="662" spans="2:2" s="1662" customFormat="1" x14ac:dyDescent="0.25">
      <c r="B662" s="1690"/>
    </row>
    <row r="663" spans="2:2" s="1662" customFormat="1" x14ac:dyDescent="0.25">
      <c r="B663" s="1690"/>
    </row>
    <row r="664" spans="2:2" s="1662" customFormat="1" x14ac:dyDescent="0.25">
      <c r="B664" s="1690"/>
    </row>
    <row r="665" spans="2:2" s="1662" customFormat="1" x14ac:dyDescent="0.25">
      <c r="B665" s="1690"/>
    </row>
    <row r="666" spans="2:2" s="1662" customFormat="1" x14ac:dyDescent="0.25">
      <c r="B666" s="1690"/>
    </row>
    <row r="667" spans="2:2" s="1662" customFormat="1" x14ac:dyDescent="0.25">
      <c r="B667" s="1690"/>
    </row>
    <row r="668" spans="2:2" s="1662" customFormat="1" x14ac:dyDescent="0.25">
      <c r="B668" s="1690"/>
    </row>
    <row r="669" spans="2:2" s="1662" customFormat="1" x14ac:dyDescent="0.25">
      <c r="B669" s="1690"/>
    </row>
    <row r="670" spans="2:2" s="1662" customFormat="1" x14ac:dyDescent="0.25">
      <c r="B670" s="1690"/>
    </row>
    <row r="671" spans="2:2" s="1662" customFormat="1" x14ac:dyDescent="0.25">
      <c r="B671" s="1690"/>
    </row>
    <row r="672" spans="2:2" s="1662" customFormat="1" x14ac:dyDescent="0.25">
      <c r="B672" s="1690"/>
    </row>
    <row r="673" spans="2:2" s="1662" customFormat="1" x14ac:dyDescent="0.25">
      <c r="B673" s="1690"/>
    </row>
    <row r="674" spans="2:2" s="1662" customFormat="1" x14ac:dyDescent="0.25">
      <c r="B674" s="1690"/>
    </row>
    <row r="675" spans="2:2" s="1662" customFormat="1" x14ac:dyDescent="0.25">
      <c r="B675" s="1690"/>
    </row>
    <row r="676" spans="2:2" s="1662" customFormat="1" x14ac:dyDescent="0.25">
      <c r="B676" s="1690"/>
    </row>
    <row r="677" spans="2:2" s="1662" customFormat="1" x14ac:dyDescent="0.25">
      <c r="B677" s="1690"/>
    </row>
    <row r="678" spans="2:2" s="1662" customFormat="1" x14ac:dyDescent="0.25">
      <c r="B678" s="1690"/>
    </row>
    <row r="679" spans="2:2" s="1662" customFormat="1" x14ac:dyDescent="0.25">
      <c r="B679" s="1690"/>
    </row>
    <row r="680" spans="2:2" s="1662" customFormat="1" x14ac:dyDescent="0.25">
      <c r="B680" s="1690"/>
    </row>
    <row r="681" spans="2:2" s="1662" customFormat="1" x14ac:dyDescent="0.25">
      <c r="B681" s="1690"/>
    </row>
    <row r="682" spans="2:2" s="1662" customFormat="1" x14ac:dyDescent="0.25">
      <c r="B682" s="1690"/>
    </row>
    <row r="683" spans="2:2" s="1662" customFormat="1" x14ac:dyDescent="0.25">
      <c r="B683" s="1690"/>
    </row>
    <row r="684" spans="2:2" s="1662" customFormat="1" x14ac:dyDescent="0.25">
      <c r="B684" s="1690"/>
    </row>
    <row r="685" spans="2:2" s="1662" customFormat="1" x14ac:dyDescent="0.25">
      <c r="B685" s="1690"/>
    </row>
    <row r="686" spans="2:2" s="1662" customFormat="1" x14ac:dyDescent="0.25">
      <c r="B686" s="1690"/>
    </row>
    <row r="687" spans="2:2" s="1662" customFormat="1" x14ac:dyDescent="0.25">
      <c r="B687" s="1690"/>
    </row>
    <row r="688" spans="2:2" s="1662" customFormat="1" x14ac:dyDescent="0.25">
      <c r="B688" s="1690"/>
    </row>
    <row r="689" spans="2:2" s="1662" customFormat="1" x14ac:dyDescent="0.25">
      <c r="B689" s="1690"/>
    </row>
    <row r="690" spans="2:2" s="1662" customFormat="1" x14ac:dyDescent="0.25">
      <c r="B690" s="1690"/>
    </row>
    <row r="691" spans="2:2" s="1662" customFormat="1" x14ac:dyDescent="0.25">
      <c r="B691" s="1690"/>
    </row>
    <row r="692" spans="2:2" s="1662" customFormat="1" x14ac:dyDescent="0.25">
      <c r="B692" s="1690"/>
    </row>
    <row r="693" spans="2:2" s="1662" customFormat="1" x14ac:dyDescent="0.25">
      <c r="B693" s="1690"/>
    </row>
    <row r="694" spans="2:2" s="1662" customFormat="1" x14ac:dyDescent="0.25">
      <c r="B694" s="1690"/>
    </row>
    <row r="695" spans="2:2" s="1662" customFormat="1" x14ac:dyDescent="0.25">
      <c r="B695" s="1690"/>
    </row>
    <row r="696" spans="2:2" s="1662" customFormat="1" x14ac:dyDescent="0.25">
      <c r="B696" s="1690"/>
    </row>
    <row r="697" spans="2:2" s="1662" customFormat="1" x14ac:dyDescent="0.25">
      <c r="B697" s="1690"/>
    </row>
    <row r="698" spans="2:2" s="1662" customFormat="1" x14ac:dyDescent="0.25">
      <c r="B698" s="1690"/>
    </row>
    <row r="699" spans="2:2" s="1662" customFormat="1" x14ac:dyDescent="0.25">
      <c r="B699" s="1690"/>
    </row>
    <row r="700" spans="2:2" s="1662" customFormat="1" x14ac:dyDescent="0.25">
      <c r="B700" s="1690"/>
    </row>
    <row r="701" spans="2:2" s="1662" customFormat="1" x14ac:dyDescent="0.25">
      <c r="B701" s="1690"/>
    </row>
    <row r="702" spans="2:2" s="1662" customFormat="1" x14ac:dyDescent="0.25">
      <c r="B702" s="1690"/>
    </row>
    <row r="703" spans="2:2" s="1662" customFormat="1" x14ac:dyDescent="0.25">
      <c r="B703" s="1690"/>
    </row>
    <row r="704" spans="2:2" s="1662" customFormat="1" x14ac:dyDescent="0.25">
      <c r="B704" s="1690"/>
    </row>
    <row r="705" spans="2:2" s="1662" customFormat="1" x14ac:dyDescent="0.25">
      <c r="B705" s="1690"/>
    </row>
    <row r="706" spans="2:2" s="1662" customFormat="1" x14ac:dyDescent="0.25">
      <c r="B706" s="1690"/>
    </row>
    <row r="707" spans="2:2" s="1662" customFormat="1" x14ac:dyDescent="0.25">
      <c r="B707" s="1690"/>
    </row>
    <row r="708" spans="2:2" s="1662" customFormat="1" x14ac:dyDescent="0.25">
      <c r="B708" s="1690"/>
    </row>
    <row r="709" spans="2:2" s="1662" customFormat="1" x14ac:dyDescent="0.25">
      <c r="B709" s="1690"/>
    </row>
    <row r="710" spans="2:2" s="1662" customFormat="1" x14ac:dyDescent="0.25">
      <c r="B710" s="1690"/>
    </row>
    <row r="711" spans="2:2" s="1662" customFormat="1" x14ac:dyDescent="0.25">
      <c r="B711" s="1690"/>
    </row>
    <row r="712" spans="2:2" s="1662" customFormat="1" x14ac:dyDescent="0.25">
      <c r="B712" s="1690"/>
    </row>
    <row r="713" spans="2:2" s="1662" customFormat="1" x14ac:dyDescent="0.25">
      <c r="B713" s="1690"/>
    </row>
    <row r="714" spans="2:2" s="1662" customFormat="1" x14ac:dyDescent="0.25">
      <c r="B714" s="1690"/>
    </row>
    <row r="715" spans="2:2" s="1662" customFormat="1" x14ac:dyDescent="0.25">
      <c r="B715" s="1690"/>
    </row>
    <row r="716" spans="2:2" s="1662" customFormat="1" x14ac:dyDescent="0.25">
      <c r="B716" s="1690"/>
    </row>
    <row r="717" spans="2:2" s="1662" customFormat="1" x14ac:dyDescent="0.25">
      <c r="B717" s="1690"/>
    </row>
    <row r="718" spans="2:2" s="1662" customFormat="1" x14ac:dyDescent="0.25">
      <c r="B718" s="1690"/>
    </row>
    <row r="719" spans="2:2" s="1662" customFormat="1" x14ac:dyDescent="0.25">
      <c r="B719" s="1690"/>
    </row>
    <row r="720" spans="2:2" s="1662" customFormat="1" x14ac:dyDescent="0.25">
      <c r="B720" s="1690"/>
    </row>
    <row r="721" spans="2:2" s="1662" customFormat="1" x14ac:dyDescent="0.25">
      <c r="B721" s="1690"/>
    </row>
    <row r="722" spans="2:2" s="1662" customFormat="1" x14ac:dyDescent="0.25">
      <c r="B722" s="1690"/>
    </row>
    <row r="723" spans="2:2" s="1662" customFormat="1" x14ac:dyDescent="0.25">
      <c r="B723" s="1690"/>
    </row>
    <row r="724" spans="2:2" s="1662" customFormat="1" x14ac:dyDescent="0.25">
      <c r="B724" s="1690"/>
    </row>
    <row r="725" spans="2:2" s="1662" customFormat="1" x14ac:dyDescent="0.25">
      <c r="B725" s="1690"/>
    </row>
    <row r="726" spans="2:2" s="1662" customFormat="1" x14ac:dyDescent="0.25">
      <c r="B726" s="1690"/>
    </row>
    <row r="727" spans="2:2" s="1662" customFormat="1" x14ac:dyDescent="0.25">
      <c r="B727" s="1690"/>
    </row>
    <row r="728" spans="2:2" s="1662" customFormat="1" x14ac:dyDescent="0.25">
      <c r="B728" s="1690"/>
    </row>
    <row r="729" spans="2:2" s="1662" customFormat="1" x14ac:dyDescent="0.25">
      <c r="B729" s="1690"/>
    </row>
    <row r="730" spans="2:2" s="1662" customFormat="1" x14ac:dyDescent="0.25">
      <c r="B730" s="1690"/>
    </row>
    <row r="731" spans="2:2" s="1662" customFormat="1" x14ac:dyDescent="0.25">
      <c r="B731" s="1690"/>
    </row>
    <row r="732" spans="2:2" s="1662" customFormat="1" x14ac:dyDescent="0.25">
      <c r="B732" s="1690"/>
    </row>
    <row r="733" spans="2:2" s="1662" customFormat="1" x14ac:dyDescent="0.25">
      <c r="B733" s="1690"/>
    </row>
    <row r="734" spans="2:2" s="1662" customFormat="1" x14ac:dyDescent="0.25">
      <c r="B734" s="1690"/>
    </row>
    <row r="735" spans="2:2" s="1662" customFormat="1" x14ac:dyDescent="0.25">
      <c r="B735" s="1690"/>
    </row>
    <row r="736" spans="2:2" s="1662" customFormat="1" x14ac:dyDescent="0.25">
      <c r="B736" s="1690"/>
    </row>
    <row r="737" spans="2:2" s="1662" customFormat="1" x14ac:dyDescent="0.25">
      <c r="B737" s="1690"/>
    </row>
    <row r="738" spans="2:2" s="1662" customFormat="1" x14ac:dyDescent="0.25">
      <c r="B738" s="1690"/>
    </row>
    <row r="739" spans="2:2" s="1662" customFormat="1" x14ac:dyDescent="0.25">
      <c r="B739" s="1690"/>
    </row>
    <row r="740" spans="2:2" s="1662" customFormat="1" x14ac:dyDescent="0.25">
      <c r="B740" s="1690"/>
    </row>
    <row r="741" spans="2:2" s="1662" customFormat="1" x14ac:dyDescent="0.25">
      <c r="B741" s="1690"/>
    </row>
    <row r="742" spans="2:2" s="1662" customFormat="1" x14ac:dyDescent="0.25">
      <c r="B742" s="1690"/>
    </row>
    <row r="743" spans="2:2" s="1662" customFormat="1" x14ac:dyDescent="0.25">
      <c r="B743" s="1690"/>
    </row>
    <row r="744" spans="2:2" s="1662" customFormat="1" x14ac:dyDescent="0.25">
      <c r="B744" s="1690"/>
    </row>
    <row r="745" spans="2:2" s="1662" customFormat="1" x14ac:dyDescent="0.25">
      <c r="B745" s="1690"/>
    </row>
    <row r="746" spans="2:2" s="1662" customFormat="1" x14ac:dyDescent="0.25">
      <c r="B746" s="1690"/>
    </row>
    <row r="747" spans="2:2" s="1662" customFormat="1" x14ac:dyDescent="0.25">
      <c r="B747" s="1690"/>
    </row>
    <row r="748" spans="2:2" s="1662" customFormat="1" x14ac:dyDescent="0.25">
      <c r="B748" s="1690"/>
    </row>
    <row r="749" spans="2:2" s="1662" customFormat="1" x14ac:dyDescent="0.25">
      <c r="B749" s="1690"/>
    </row>
  </sheetData>
  <mergeCells count="465">
    <mergeCell ref="D479:G479"/>
    <mergeCell ref="D480:G480"/>
    <mergeCell ref="D481:G481"/>
    <mergeCell ref="D482:G482"/>
    <mergeCell ref="D483:G483"/>
    <mergeCell ref="D484:G484"/>
    <mergeCell ref="C39:D39"/>
    <mergeCell ref="C40:D40"/>
    <mergeCell ref="C41:D41"/>
    <mergeCell ref="C468:D469"/>
    <mergeCell ref="C473:C475"/>
    <mergeCell ref="D473:G475"/>
    <mergeCell ref="D456:G456"/>
    <mergeCell ref="D457:G457"/>
    <mergeCell ref="D458:G458"/>
    <mergeCell ref="D459:G459"/>
    <mergeCell ref="D460:G460"/>
    <mergeCell ref="D461:G461"/>
    <mergeCell ref="C445:D446"/>
    <mergeCell ref="C450:C452"/>
    <mergeCell ref="D450:G452"/>
    <mergeCell ref="D434:G434"/>
    <mergeCell ref="D435:G435"/>
    <mergeCell ref="D436:G436"/>
    <mergeCell ref="H473:H475"/>
    <mergeCell ref="I473:K473"/>
    <mergeCell ref="L473:N473"/>
    <mergeCell ref="D476:G476"/>
    <mergeCell ref="D477:G477"/>
    <mergeCell ref="D478:G478"/>
    <mergeCell ref="K464:P464"/>
    <mergeCell ref="Q464:Q467"/>
    <mergeCell ref="R464:R467"/>
    <mergeCell ref="F465:F467"/>
    <mergeCell ref="G465:G467"/>
    <mergeCell ref="H465:H467"/>
    <mergeCell ref="I465:I467"/>
    <mergeCell ref="J465:J467"/>
    <mergeCell ref="N465:N467"/>
    <mergeCell ref="O465:P465"/>
    <mergeCell ref="K466:M466"/>
    <mergeCell ref="C464:D467"/>
    <mergeCell ref="E464:E467"/>
    <mergeCell ref="F464:J464"/>
    <mergeCell ref="H450:H452"/>
    <mergeCell ref="I450:K450"/>
    <mergeCell ref="L450:N450"/>
    <mergeCell ref="D453:G453"/>
    <mergeCell ref="D454:G454"/>
    <mergeCell ref="D455:G455"/>
    <mergeCell ref="C441:D444"/>
    <mergeCell ref="E441:E444"/>
    <mergeCell ref="F441:J441"/>
    <mergeCell ref="K441:P441"/>
    <mergeCell ref="Q441:Q444"/>
    <mergeCell ref="R441:R444"/>
    <mergeCell ref="F442:F444"/>
    <mergeCell ref="G442:G444"/>
    <mergeCell ref="H442:H444"/>
    <mergeCell ref="I442:I444"/>
    <mergeCell ref="J442:J444"/>
    <mergeCell ref="N442:N444"/>
    <mergeCell ref="O442:P442"/>
    <mergeCell ref="K443:M443"/>
    <mergeCell ref="D437:G437"/>
    <mergeCell ref="D438:G438"/>
    <mergeCell ref="C16:D28"/>
    <mergeCell ref="C29:D32"/>
    <mergeCell ref="C33:D33"/>
    <mergeCell ref="C34:D36"/>
    <mergeCell ref="C37:D38"/>
    <mergeCell ref="I427:K427"/>
    <mergeCell ref="L427:N427"/>
    <mergeCell ref="D430:G430"/>
    <mergeCell ref="D431:G431"/>
    <mergeCell ref="D432:G432"/>
    <mergeCell ref="D433:G433"/>
    <mergeCell ref="D421:G421"/>
    <mergeCell ref="D422:G422"/>
    <mergeCell ref="D423:G423"/>
    <mergeCell ref="C427:C429"/>
    <mergeCell ref="D427:G429"/>
    <mergeCell ref="H427:H429"/>
    <mergeCell ref="D415:G415"/>
    <mergeCell ref="D416:G416"/>
    <mergeCell ref="D417:G417"/>
    <mergeCell ref="D418:G418"/>
    <mergeCell ref="D419:G419"/>
    <mergeCell ref="D420:G420"/>
    <mergeCell ref="K402:P402"/>
    <mergeCell ref="C406:D408"/>
    <mergeCell ref="C412:C414"/>
    <mergeCell ref="D412:G414"/>
    <mergeCell ref="H412:H414"/>
    <mergeCell ref="I412:K412"/>
    <mergeCell ref="L412:N412"/>
    <mergeCell ref="Q402:Q405"/>
    <mergeCell ref="R402:R405"/>
    <mergeCell ref="F403:F405"/>
    <mergeCell ref="G403:G405"/>
    <mergeCell ref="H403:H405"/>
    <mergeCell ref="I403:I405"/>
    <mergeCell ref="J403:J405"/>
    <mergeCell ref="N403:N405"/>
    <mergeCell ref="O403:P403"/>
    <mergeCell ref="K404:M404"/>
    <mergeCell ref="D393:G393"/>
    <mergeCell ref="D394:G394"/>
    <mergeCell ref="D395:G395"/>
    <mergeCell ref="D396:G396"/>
    <mergeCell ref="D397:G397"/>
    <mergeCell ref="D398:G398"/>
    <mergeCell ref="C402:D405"/>
    <mergeCell ref="E402:E405"/>
    <mergeCell ref="F402:J402"/>
    <mergeCell ref="D390:G390"/>
    <mergeCell ref="D391:G391"/>
    <mergeCell ref="D392:G392"/>
    <mergeCell ref="D379:G379"/>
    <mergeCell ref="D380:G380"/>
    <mergeCell ref="D381:G381"/>
    <mergeCell ref="D382:G382"/>
    <mergeCell ref="D383:G383"/>
    <mergeCell ref="C387:C389"/>
    <mergeCell ref="D387:G389"/>
    <mergeCell ref="H387:H389"/>
    <mergeCell ref="I387:K387"/>
    <mergeCell ref="L387:N387"/>
    <mergeCell ref="D360:G360"/>
    <mergeCell ref="D361:G361"/>
    <mergeCell ref="D362:G362"/>
    <mergeCell ref="D363:G363"/>
    <mergeCell ref="D364:G364"/>
    <mergeCell ref="D365:G365"/>
    <mergeCell ref="I372:K372"/>
    <mergeCell ref="L372:N372"/>
    <mergeCell ref="D375:G375"/>
    <mergeCell ref="D376:G376"/>
    <mergeCell ref="D377:G377"/>
    <mergeCell ref="D378:G378"/>
    <mergeCell ref="D366:G366"/>
    <mergeCell ref="D367:G367"/>
    <mergeCell ref="D368:G368"/>
    <mergeCell ref="C350:D353"/>
    <mergeCell ref="C357:C359"/>
    <mergeCell ref="D357:G359"/>
    <mergeCell ref="H357:H359"/>
    <mergeCell ref="I357:K357"/>
    <mergeCell ref="L357:N357"/>
    <mergeCell ref="K346:P346"/>
    <mergeCell ref="Q346:Q349"/>
    <mergeCell ref="C372:C374"/>
    <mergeCell ref="D372:G374"/>
    <mergeCell ref="H372:H374"/>
    <mergeCell ref="R346:R349"/>
    <mergeCell ref="F347:F349"/>
    <mergeCell ref="G347:G349"/>
    <mergeCell ref="H347:H349"/>
    <mergeCell ref="I347:I349"/>
    <mergeCell ref="J347:J349"/>
    <mergeCell ref="N347:N349"/>
    <mergeCell ref="O347:P347"/>
    <mergeCell ref="D340:G340"/>
    <mergeCell ref="D341:G341"/>
    <mergeCell ref="D342:G342"/>
    <mergeCell ref="C346:D349"/>
    <mergeCell ref="E346:E349"/>
    <mergeCell ref="F346:J346"/>
    <mergeCell ref="K348:M348"/>
    <mergeCell ref="D334:G334"/>
    <mergeCell ref="D335:G335"/>
    <mergeCell ref="D336:G336"/>
    <mergeCell ref="D337:G337"/>
    <mergeCell ref="D338:G338"/>
    <mergeCell ref="D339:G339"/>
    <mergeCell ref="K324:M324"/>
    <mergeCell ref="C326:D327"/>
    <mergeCell ref="C331:C333"/>
    <mergeCell ref="D331:G333"/>
    <mergeCell ref="H331:H333"/>
    <mergeCell ref="I331:K331"/>
    <mergeCell ref="L331:N331"/>
    <mergeCell ref="C322:D325"/>
    <mergeCell ref="E322:E325"/>
    <mergeCell ref="Q322:Q325"/>
    <mergeCell ref="R322:R325"/>
    <mergeCell ref="F323:F325"/>
    <mergeCell ref="G323:G325"/>
    <mergeCell ref="H323:H325"/>
    <mergeCell ref="I323:I325"/>
    <mergeCell ref="J323:J325"/>
    <mergeCell ref="N323:N325"/>
    <mergeCell ref="O323:P323"/>
    <mergeCell ref="F322:J322"/>
    <mergeCell ref="K322:P322"/>
    <mergeCell ref="C291:C293"/>
    <mergeCell ref="D291:G293"/>
    <mergeCell ref="H291:H293"/>
    <mergeCell ref="I291:K291"/>
    <mergeCell ref="H306:H308"/>
    <mergeCell ref="I306:K306"/>
    <mergeCell ref="D315:G315"/>
    <mergeCell ref="D316:G316"/>
    <mergeCell ref="D317:G317"/>
    <mergeCell ref="D301:G301"/>
    <mergeCell ref="D302:G302"/>
    <mergeCell ref="C306:C308"/>
    <mergeCell ref="D306:G308"/>
    <mergeCell ref="D310:G310"/>
    <mergeCell ref="D311:G311"/>
    <mergeCell ref="D312:G312"/>
    <mergeCell ref="D313:G313"/>
    <mergeCell ref="D314:G314"/>
    <mergeCell ref="L291:N291"/>
    <mergeCell ref="D294:G294"/>
    <mergeCell ref="D295:G295"/>
    <mergeCell ref="D296:G296"/>
    <mergeCell ref="D297:G297"/>
    <mergeCell ref="D298:G298"/>
    <mergeCell ref="D279:G279"/>
    <mergeCell ref="D280:G280"/>
    <mergeCell ref="D281:G281"/>
    <mergeCell ref="D282:G282"/>
    <mergeCell ref="D283:G283"/>
    <mergeCell ref="D284:G284"/>
    <mergeCell ref="D285:G285"/>
    <mergeCell ref="D286:G286"/>
    <mergeCell ref="D287:G287"/>
    <mergeCell ref="K250:P250"/>
    <mergeCell ref="C254:D258"/>
    <mergeCell ref="C276:C278"/>
    <mergeCell ref="D276:G278"/>
    <mergeCell ref="H276:H278"/>
    <mergeCell ref="I276:K276"/>
    <mergeCell ref="L276:N276"/>
    <mergeCell ref="Q250:Q253"/>
    <mergeCell ref="R250:R253"/>
    <mergeCell ref="F251:F253"/>
    <mergeCell ref="G251:G253"/>
    <mergeCell ref="H251:H253"/>
    <mergeCell ref="I251:I253"/>
    <mergeCell ref="J251:J253"/>
    <mergeCell ref="N251:N253"/>
    <mergeCell ref="O251:P251"/>
    <mergeCell ref="K252:M252"/>
    <mergeCell ref="C261:C263"/>
    <mergeCell ref="D261:G263"/>
    <mergeCell ref="H261:H263"/>
    <mergeCell ref="I261:K261"/>
    <mergeCell ref="L261:N261"/>
    <mergeCell ref="D264:G264"/>
    <mergeCell ref="D265:G265"/>
    <mergeCell ref="D213:G213"/>
    <mergeCell ref="D214:G214"/>
    <mergeCell ref="D215:G215"/>
    <mergeCell ref="D216:G216"/>
    <mergeCell ref="D241:G241"/>
    <mergeCell ref="D242:G242"/>
    <mergeCell ref="D243:G243"/>
    <mergeCell ref="D244:G244"/>
    <mergeCell ref="D245:G245"/>
    <mergeCell ref="C189:C191"/>
    <mergeCell ref="D189:G191"/>
    <mergeCell ref="H189:H191"/>
    <mergeCell ref="C235:C237"/>
    <mergeCell ref="D235:G237"/>
    <mergeCell ref="L205:N205"/>
    <mergeCell ref="D208:G208"/>
    <mergeCell ref="D209:G209"/>
    <mergeCell ref="D210:G210"/>
    <mergeCell ref="D211:G211"/>
    <mergeCell ref="D212:G212"/>
    <mergeCell ref="D199:G199"/>
    <mergeCell ref="D200:G200"/>
    <mergeCell ref="C205:C207"/>
    <mergeCell ref="D205:G207"/>
    <mergeCell ref="H205:H207"/>
    <mergeCell ref="I205:K205"/>
    <mergeCell ref="H235:H237"/>
    <mergeCell ref="I235:K235"/>
    <mergeCell ref="L235:N235"/>
    <mergeCell ref="I189:K189"/>
    <mergeCell ref="L189:N189"/>
    <mergeCell ref="D192:G192"/>
    <mergeCell ref="D193:G193"/>
    <mergeCell ref="D185:G185"/>
    <mergeCell ref="C128:C130"/>
    <mergeCell ref="D128:G130"/>
    <mergeCell ref="H128:H130"/>
    <mergeCell ref="C174:C176"/>
    <mergeCell ref="D174:G176"/>
    <mergeCell ref="H174:H176"/>
    <mergeCell ref="D177:G177"/>
    <mergeCell ref="D178:G178"/>
    <mergeCell ref="D179:G179"/>
    <mergeCell ref="C158:C160"/>
    <mergeCell ref="D158:G160"/>
    <mergeCell ref="H158:H160"/>
    <mergeCell ref="D138:G138"/>
    <mergeCell ref="D139:G139"/>
    <mergeCell ref="D150:G150"/>
    <mergeCell ref="D151:G151"/>
    <mergeCell ref="D152:G152"/>
    <mergeCell ref="D153:G153"/>
    <mergeCell ref="D154:G154"/>
    <mergeCell ref="I158:K158"/>
    <mergeCell ref="D180:G180"/>
    <mergeCell ref="D181:G181"/>
    <mergeCell ref="D182:G182"/>
    <mergeCell ref="D183:G183"/>
    <mergeCell ref="D184:G184"/>
    <mergeCell ref="I174:K174"/>
    <mergeCell ref="L174:N174"/>
    <mergeCell ref="D166:G166"/>
    <mergeCell ref="D167:G167"/>
    <mergeCell ref="D168:G168"/>
    <mergeCell ref="D169:G169"/>
    <mergeCell ref="L158:N158"/>
    <mergeCell ref="D161:G161"/>
    <mergeCell ref="D162:G162"/>
    <mergeCell ref="D163:G163"/>
    <mergeCell ref="D164:G164"/>
    <mergeCell ref="D165:G165"/>
    <mergeCell ref="I128:K128"/>
    <mergeCell ref="L128:N128"/>
    <mergeCell ref="D131:G131"/>
    <mergeCell ref="D132:G132"/>
    <mergeCell ref="D133:G133"/>
    <mergeCell ref="D134:G134"/>
    <mergeCell ref="D135:G135"/>
    <mergeCell ref="D136:G136"/>
    <mergeCell ref="D137:G137"/>
    <mergeCell ref="D119:G119"/>
    <mergeCell ref="D120:G120"/>
    <mergeCell ref="D121:G121"/>
    <mergeCell ref="D122:G122"/>
    <mergeCell ref="D123:G123"/>
    <mergeCell ref="D124:G124"/>
    <mergeCell ref="H113:H115"/>
    <mergeCell ref="I113:K113"/>
    <mergeCell ref="L113:N113"/>
    <mergeCell ref="D116:G116"/>
    <mergeCell ref="D117:G117"/>
    <mergeCell ref="D118:G118"/>
    <mergeCell ref="H70:H72"/>
    <mergeCell ref="I70:K70"/>
    <mergeCell ref="L70:N70"/>
    <mergeCell ref="D73:G73"/>
    <mergeCell ref="D74:G74"/>
    <mergeCell ref="D75:G75"/>
    <mergeCell ref="D76:G76"/>
    <mergeCell ref="D77:G77"/>
    <mergeCell ref="D92:G92"/>
    <mergeCell ref="I85:K85"/>
    <mergeCell ref="L85:N85"/>
    <mergeCell ref="D88:G88"/>
    <mergeCell ref="D89:G89"/>
    <mergeCell ref="D90:G90"/>
    <mergeCell ref="D91:G91"/>
    <mergeCell ref="D85:G87"/>
    <mergeCell ref="H85:H87"/>
    <mergeCell ref="O13:P13"/>
    <mergeCell ref="K14:M14"/>
    <mergeCell ref="D58:G58"/>
    <mergeCell ref="D299:G299"/>
    <mergeCell ref="D300:G300"/>
    <mergeCell ref="D59:G59"/>
    <mergeCell ref="D60:G60"/>
    <mergeCell ref="D61:G61"/>
    <mergeCell ref="D62:G62"/>
    <mergeCell ref="D63:G63"/>
    <mergeCell ref="D194:G194"/>
    <mergeCell ref="D195:G195"/>
    <mergeCell ref="D196:G196"/>
    <mergeCell ref="D197:G197"/>
    <mergeCell ref="D198:G198"/>
    <mergeCell ref="D272:G272"/>
    <mergeCell ref="C250:D253"/>
    <mergeCell ref="E250:E253"/>
    <mergeCell ref="F250:J250"/>
    <mergeCell ref="D266:G266"/>
    <mergeCell ref="H220:H222"/>
    <mergeCell ref="I220:K220"/>
    <mergeCell ref="L220:N220"/>
    <mergeCell ref="D70:G72"/>
    <mergeCell ref="C55:C57"/>
    <mergeCell ref="D55:G57"/>
    <mergeCell ref="C113:C115"/>
    <mergeCell ref="D113:G115"/>
    <mergeCell ref="C85:C87"/>
    <mergeCell ref="C70:C72"/>
    <mergeCell ref="D78:G78"/>
    <mergeCell ref="D79:G79"/>
    <mergeCell ref="D80:G80"/>
    <mergeCell ref="D81:G81"/>
    <mergeCell ref="D64:G64"/>
    <mergeCell ref="D65:G65"/>
    <mergeCell ref="D66:G66"/>
    <mergeCell ref="D93:G93"/>
    <mergeCell ref="D94:G94"/>
    <mergeCell ref="D95:G95"/>
    <mergeCell ref="D96:G96"/>
    <mergeCell ref="L306:N306"/>
    <mergeCell ref="D309:G309"/>
    <mergeCell ref="C6:R6"/>
    <mergeCell ref="C11:D11"/>
    <mergeCell ref="C12:D15"/>
    <mergeCell ref="E12:E15"/>
    <mergeCell ref="F12:J12"/>
    <mergeCell ref="K12:P12"/>
    <mergeCell ref="Q12:Q15"/>
    <mergeCell ref="R12:R15"/>
    <mergeCell ref="F13:F15"/>
    <mergeCell ref="G13:G15"/>
    <mergeCell ref="H55:H57"/>
    <mergeCell ref="I55:K55"/>
    <mergeCell ref="L55:N55"/>
    <mergeCell ref="H13:H15"/>
    <mergeCell ref="I13:I15"/>
    <mergeCell ref="J13:J15"/>
    <mergeCell ref="N13:N15"/>
    <mergeCell ref="D267:G267"/>
    <mergeCell ref="D268:G268"/>
    <mergeCell ref="D269:G269"/>
    <mergeCell ref="D270:G270"/>
    <mergeCell ref="D271:G271"/>
    <mergeCell ref="E496:F496"/>
    <mergeCell ref="C99:C101"/>
    <mergeCell ref="D99:G101"/>
    <mergeCell ref="H99:H101"/>
    <mergeCell ref="I99:K99"/>
    <mergeCell ref="L99:N99"/>
    <mergeCell ref="D102:G102"/>
    <mergeCell ref="D103:G103"/>
    <mergeCell ref="D104:G104"/>
    <mergeCell ref="D105:G105"/>
    <mergeCell ref="D106:G106"/>
    <mergeCell ref="D107:G107"/>
    <mergeCell ref="D108:G108"/>
    <mergeCell ref="D109:G109"/>
    <mergeCell ref="D110:G110"/>
    <mergeCell ref="C143:C145"/>
    <mergeCell ref="D143:G145"/>
    <mergeCell ref="H143:H145"/>
    <mergeCell ref="I143:K143"/>
    <mergeCell ref="L143:N143"/>
    <mergeCell ref="D146:G146"/>
    <mergeCell ref="D147:G147"/>
    <mergeCell ref="D148:G148"/>
    <mergeCell ref="D149:G149"/>
    <mergeCell ref="C220:C222"/>
    <mergeCell ref="D220:G222"/>
    <mergeCell ref="D229:G229"/>
    <mergeCell ref="D230:G230"/>
    <mergeCell ref="D231:G231"/>
    <mergeCell ref="D238:G238"/>
    <mergeCell ref="D239:G239"/>
    <mergeCell ref="D240:G240"/>
    <mergeCell ref="D246:G246"/>
    <mergeCell ref="D223:G223"/>
    <mergeCell ref="D224:G224"/>
    <mergeCell ref="D225:G225"/>
    <mergeCell ref="D226:G226"/>
    <mergeCell ref="D227:G227"/>
    <mergeCell ref="D228:G228"/>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0000"/>
  </sheetPr>
  <dimension ref="A1:O158"/>
  <sheetViews>
    <sheetView zoomScale="70" zoomScaleNormal="70" workbookViewId="0">
      <selection activeCell="H115" sqref="H115"/>
    </sheetView>
  </sheetViews>
  <sheetFormatPr baseColWidth="10" defaultColWidth="11.42578125" defaultRowHeight="13.5" x14ac:dyDescent="0.25"/>
  <cols>
    <col min="1" max="1" width="11.42578125" style="1759"/>
    <col min="2" max="2" width="12.42578125" style="1597" customWidth="1"/>
    <col min="3" max="3" width="44" style="1597" customWidth="1"/>
    <col min="4" max="4" width="24.42578125" style="1793" customWidth="1"/>
    <col min="5" max="5" width="61.140625" style="1759" customWidth="1"/>
    <col min="6" max="6" width="10.42578125" style="1759" customWidth="1"/>
    <col min="7" max="7" width="35.42578125" style="1759" customWidth="1"/>
    <col min="8" max="8" width="21.140625" style="1759" customWidth="1"/>
    <col min="9" max="9" width="13" style="1759" customWidth="1"/>
    <col min="10" max="10" width="6.42578125" style="1759" customWidth="1"/>
    <col min="11" max="11" width="8.42578125" style="1759" customWidth="1"/>
    <col min="12" max="12" width="18.7109375" style="1759" customWidth="1"/>
    <col min="13" max="13" width="36.42578125" style="1759" customWidth="1"/>
    <col min="14" max="16384" width="11.42578125" style="1759"/>
  </cols>
  <sheetData>
    <row r="1" spans="2:15" ht="14.25" thickBot="1" x14ac:dyDescent="0.3"/>
    <row r="2" spans="2:15" x14ac:dyDescent="0.25">
      <c r="B2" s="1794"/>
      <c r="C2" s="1795"/>
      <c r="D2" s="1795"/>
      <c r="E2" s="1795"/>
      <c r="F2" s="1796"/>
      <c r="G2" s="1796"/>
      <c r="H2" s="1795"/>
      <c r="I2" s="1795"/>
      <c r="J2" s="1795"/>
      <c r="K2" s="1795"/>
      <c r="L2" s="1795"/>
      <c r="M2" s="1795"/>
      <c r="N2" s="1795"/>
      <c r="O2" s="1797"/>
    </row>
    <row r="3" spans="2:15" x14ac:dyDescent="0.25">
      <c r="B3" s="1798"/>
      <c r="C3" s="1799" t="s">
        <v>3191</v>
      </c>
      <c r="D3" s="1800"/>
      <c r="E3" s="1800"/>
      <c r="F3" s="1801"/>
      <c r="G3" s="1801"/>
      <c r="H3" s="1800"/>
      <c r="I3" s="1800"/>
      <c r="J3" s="1800"/>
      <c r="K3" s="1800"/>
      <c r="L3" s="1800"/>
      <c r="M3" s="1800"/>
      <c r="N3" s="1800"/>
      <c r="O3" s="1802"/>
    </row>
    <row r="4" spans="2:15" x14ac:dyDescent="0.25">
      <c r="B4" s="1803"/>
      <c r="C4" s="1800"/>
      <c r="D4" s="1800"/>
      <c r="E4" s="1800"/>
      <c r="F4" s="1801"/>
      <c r="G4" s="1801"/>
      <c r="H4" s="1800"/>
      <c r="I4" s="1800"/>
      <c r="J4" s="1800"/>
      <c r="K4" s="1800"/>
      <c r="L4" s="1800"/>
      <c r="M4" s="1800"/>
      <c r="N4" s="1800"/>
      <c r="O4" s="1802"/>
    </row>
    <row r="5" spans="2:15" x14ac:dyDescent="0.25">
      <c r="B5" s="1798" t="s">
        <v>3192</v>
      </c>
      <c r="C5" s="1804" t="s">
        <v>3193</v>
      </c>
      <c r="D5" s="1800"/>
      <c r="E5" s="1800"/>
      <c r="F5" s="1801"/>
      <c r="G5" s="1801"/>
      <c r="H5" s="1800"/>
      <c r="I5" s="1800"/>
      <c r="J5" s="1800"/>
      <c r="K5" s="1800"/>
      <c r="L5" s="1800"/>
      <c r="M5" s="1800"/>
      <c r="N5" s="1800"/>
      <c r="O5" s="1802"/>
    </row>
    <row r="6" spans="2:15" x14ac:dyDescent="0.25">
      <c r="B6" s="1803"/>
      <c r="C6" s="1805" t="s">
        <v>3194</v>
      </c>
      <c r="D6" s="1805"/>
      <c r="E6" s="1805"/>
      <c r="F6" s="1806"/>
      <c r="G6" s="1807"/>
      <c r="H6" s="1806"/>
      <c r="I6" s="1808"/>
      <c r="J6" s="1806"/>
      <c r="K6" s="1806"/>
      <c r="L6" s="1809"/>
      <c r="M6" s="1800"/>
      <c r="N6" s="1800"/>
      <c r="O6" s="1810"/>
    </row>
    <row r="7" spans="2:15" x14ac:dyDescent="0.25">
      <c r="B7" s="1811"/>
      <c r="C7" s="1812"/>
      <c r="D7" s="1812"/>
      <c r="E7" s="1812"/>
      <c r="F7" s="1813"/>
      <c r="G7" s="1814"/>
      <c r="H7" s="1813"/>
      <c r="I7" s="1808"/>
      <c r="J7" s="1813"/>
      <c r="K7" s="1813"/>
      <c r="L7" s="1815"/>
      <c r="M7" s="1816"/>
      <c r="N7" s="1816"/>
      <c r="O7" s="1817"/>
    </row>
    <row r="8" spans="2:15" ht="30" customHeight="1" x14ac:dyDescent="0.25">
      <c r="B8" s="1803"/>
      <c r="C8" s="917" t="s">
        <v>1292</v>
      </c>
      <c r="D8" s="1329" t="s">
        <v>1898</v>
      </c>
      <c r="E8" s="1329"/>
      <c r="F8" s="918"/>
      <c r="G8" s="1807"/>
      <c r="H8" s="1806"/>
      <c r="I8" s="1808"/>
      <c r="J8" s="1806"/>
      <c r="K8" s="1806"/>
      <c r="L8" s="1809"/>
      <c r="M8" s="1800"/>
      <c r="N8" s="1800"/>
      <c r="O8" s="1810"/>
    </row>
    <row r="9" spans="2:15" ht="18.75" customHeight="1" x14ac:dyDescent="0.25">
      <c r="B9" s="1803"/>
      <c r="C9" s="1818" t="s">
        <v>294</v>
      </c>
      <c r="D9" s="1819" t="s">
        <v>3195</v>
      </c>
      <c r="E9" s="1819"/>
      <c r="F9" s="1819"/>
      <c r="G9" s="1807"/>
      <c r="H9" s="1806"/>
      <c r="I9" s="1808"/>
      <c r="J9" s="1806"/>
      <c r="K9" s="1806"/>
      <c r="L9" s="1809"/>
      <c r="M9" s="1800"/>
      <c r="N9" s="1800"/>
      <c r="O9" s="1810"/>
    </row>
    <row r="10" spans="2:15" ht="21" customHeight="1" x14ac:dyDescent="0.25">
      <c r="B10" s="1803"/>
      <c r="C10" s="1818" t="s">
        <v>295</v>
      </c>
      <c r="D10" s="1819" t="s">
        <v>3196</v>
      </c>
      <c r="E10" s="1819"/>
      <c r="F10" s="1819"/>
      <c r="G10" s="1807"/>
      <c r="H10" s="1806"/>
      <c r="I10" s="1808"/>
      <c r="J10" s="1806"/>
      <c r="K10" s="1806"/>
      <c r="L10" s="1809"/>
      <c r="M10" s="1800"/>
      <c r="N10" s="1800"/>
      <c r="O10" s="1810"/>
    </row>
    <row r="11" spans="2:15" x14ac:dyDescent="0.25">
      <c r="B11" s="1803"/>
      <c r="C11" s="1818" t="s">
        <v>331</v>
      </c>
      <c r="D11" s="1819" t="s">
        <v>3196</v>
      </c>
      <c r="E11" s="1819"/>
      <c r="F11" s="1819"/>
      <c r="G11" s="1807"/>
      <c r="H11" s="1806"/>
      <c r="I11" s="1808"/>
      <c r="J11" s="1806"/>
      <c r="K11" s="1806"/>
      <c r="L11" s="1809"/>
      <c r="M11" s="1800"/>
      <c r="N11" s="1800"/>
      <c r="O11" s="1810"/>
    </row>
    <row r="12" spans="2:15" ht="9.9499999999999993" customHeight="1" x14ac:dyDescent="0.25">
      <c r="B12" s="1803"/>
      <c r="C12" s="1818" t="s">
        <v>3197</v>
      </c>
      <c r="D12" s="1819" t="s">
        <v>3198</v>
      </c>
      <c r="E12" s="1819"/>
      <c r="F12" s="1819"/>
      <c r="G12" s="1807"/>
      <c r="H12" s="1806"/>
      <c r="I12" s="1808"/>
      <c r="J12" s="1806"/>
      <c r="K12" s="1806"/>
      <c r="L12" s="1809"/>
      <c r="M12" s="1800"/>
      <c r="N12" s="1800"/>
      <c r="O12" s="1810"/>
    </row>
    <row r="13" spans="2:15" ht="9.9499999999999993" customHeight="1" x14ac:dyDescent="0.25">
      <c r="B13" s="1803"/>
      <c r="C13" s="1818" t="s">
        <v>3199</v>
      </c>
      <c r="D13" s="1819" t="s">
        <v>3200</v>
      </c>
      <c r="E13" s="1819"/>
      <c r="F13" s="1819"/>
      <c r="G13" s="1807"/>
      <c r="H13" s="1806"/>
      <c r="I13" s="1808"/>
      <c r="J13" s="1806"/>
      <c r="K13" s="1806"/>
      <c r="L13" s="1809"/>
      <c r="M13" s="1800"/>
      <c r="N13" s="1800"/>
      <c r="O13" s="1810"/>
    </row>
    <row r="14" spans="2:15" ht="9.9499999999999993" customHeight="1" x14ac:dyDescent="0.25">
      <c r="B14" s="1803"/>
      <c r="C14" s="1818" t="s">
        <v>3201</v>
      </c>
      <c r="D14" s="1819" t="s">
        <v>3202</v>
      </c>
      <c r="E14" s="1819"/>
      <c r="F14" s="1819"/>
      <c r="G14" s="1807"/>
      <c r="H14" s="1806"/>
      <c r="I14" s="1808"/>
      <c r="J14" s="1806"/>
      <c r="K14" s="1806"/>
      <c r="L14" s="1809"/>
      <c r="M14" s="1800"/>
      <c r="N14" s="1800"/>
      <c r="O14" s="1810"/>
    </row>
    <row r="15" spans="2:15" ht="9.9499999999999993" customHeight="1" x14ac:dyDescent="0.25">
      <c r="B15" s="1803"/>
      <c r="C15" s="1818" t="s">
        <v>3203</v>
      </c>
      <c r="D15" s="1819" t="s">
        <v>3204</v>
      </c>
      <c r="E15" s="1819"/>
      <c r="F15" s="1819"/>
      <c r="G15" s="1807"/>
      <c r="H15" s="1806"/>
      <c r="I15" s="1808"/>
      <c r="J15" s="1806"/>
      <c r="K15" s="1806"/>
      <c r="L15" s="1809"/>
      <c r="M15" s="1800"/>
      <c r="N15" s="1800"/>
      <c r="O15" s="1810"/>
    </row>
    <row r="16" spans="2:15" ht="9.9499999999999993" customHeight="1" x14ac:dyDescent="0.25">
      <c r="B16" s="1803"/>
      <c r="C16" s="1818"/>
      <c r="D16" s="1819"/>
      <c r="E16" s="1819"/>
      <c r="F16" s="1820"/>
      <c r="G16" s="1807"/>
      <c r="H16" s="1806"/>
      <c r="I16" s="1808"/>
      <c r="J16" s="1806"/>
      <c r="K16" s="1806"/>
      <c r="L16" s="1809"/>
      <c r="M16" s="1800"/>
      <c r="N16" s="1800"/>
      <c r="O16" s="1810"/>
    </row>
    <row r="17" spans="2:15" ht="9.9499999999999993" customHeight="1" x14ac:dyDescent="0.25">
      <c r="B17" s="1803"/>
      <c r="C17" s="917" t="s">
        <v>3205</v>
      </c>
      <c r="D17" s="1329" t="s">
        <v>5</v>
      </c>
      <c r="E17" s="1329"/>
      <c r="F17" s="918"/>
      <c r="G17" s="1807"/>
      <c r="H17" s="1806"/>
      <c r="I17" s="1808"/>
      <c r="J17" s="1806"/>
      <c r="K17" s="1806"/>
      <c r="L17" s="1809"/>
      <c r="M17" s="1800"/>
      <c r="N17" s="1800"/>
      <c r="O17" s="1810"/>
    </row>
    <row r="18" spans="2:15" ht="9.9499999999999993" customHeight="1" x14ac:dyDescent="0.25">
      <c r="B18" s="1803"/>
      <c r="C18" s="1820" t="s">
        <v>460</v>
      </c>
      <c r="D18" s="1820" t="s">
        <v>3206</v>
      </c>
      <c r="E18" s="1820"/>
      <c r="F18" s="1820"/>
      <c r="G18" s="1807"/>
      <c r="H18" s="1806"/>
      <c r="I18" s="1806"/>
      <c r="J18" s="1806"/>
      <c r="K18" s="1806"/>
      <c r="L18" s="1809"/>
      <c r="M18" s="1800"/>
      <c r="N18" s="1800"/>
      <c r="O18" s="1810"/>
    </row>
    <row r="19" spans="2:15" ht="9.9499999999999993" customHeight="1" x14ac:dyDescent="0.25">
      <c r="B19" s="1803"/>
      <c r="C19" s="1595"/>
      <c r="D19" s="1821"/>
      <c r="E19" s="1821"/>
      <c r="F19" s="1815"/>
      <c r="G19" s="1807"/>
      <c r="H19" s="1806"/>
      <c r="I19" s="1806"/>
      <c r="J19" s="1806"/>
      <c r="K19" s="1806"/>
      <c r="L19" s="1809"/>
      <c r="M19" s="1800"/>
      <c r="N19" s="1800"/>
      <c r="O19" s="1810"/>
    </row>
    <row r="20" spans="2:15" ht="9.9499999999999993" customHeight="1" x14ac:dyDescent="0.25">
      <c r="B20" s="1803"/>
      <c r="C20" s="1805" t="s">
        <v>3207</v>
      </c>
      <c r="D20" s="1821"/>
      <c r="E20" s="1821"/>
      <c r="F20" s="1815"/>
      <c r="G20" s="1807"/>
      <c r="H20" s="1806"/>
      <c r="I20" s="1806"/>
      <c r="J20" s="1806"/>
      <c r="K20" s="1806"/>
      <c r="L20" s="1809"/>
      <c r="M20" s="1800"/>
      <c r="N20" s="1800"/>
      <c r="O20" s="1810"/>
    </row>
    <row r="21" spans="2:15" ht="9.9499999999999993" customHeight="1" x14ac:dyDescent="0.25">
      <c r="B21" s="1803"/>
      <c r="C21" s="1805"/>
      <c r="D21" s="1821"/>
      <c r="E21" s="1821"/>
      <c r="F21" s="1815"/>
      <c r="G21" s="1807"/>
      <c r="H21" s="1806"/>
      <c r="I21" s="1806"/>
      <c r="J21" s="1806"/>
      <c r="K21" s="1806"/>
      <c r="L21" s="1809"/>
      <c r="M21" s="1800"/>
      <c r="N21" s="1800"/>
      <c r="O21" s="1810"/>
    </row>
    <row r="22" spans="2:15" ht="9.9499999999999993" customHeight="1" x14ac:dyDescent="0.25">
      <c r="B22" s="1798" t="s">
        <v>3208</v>
      </c>
      <c r="C22" s="1804" t="s">
        <v>3209</v>
      </c>
      <c r="D22" s="1821"/>
      <c r="E22" s="1821"/>
      <c r="F22" s="1815"/>
      <c r="G22" s="1807"/>
      <c r="H22" s="1806"/>
      <c r="I22" s="1806"/>
      <c r="J22" s="1806"/>
      <c r="K22" s="1806"/>
      <c r="L22" s="1809"/>
      <c r="M22" s="1800"/>
      <c r="N22" s="1800"/>
      <c r="O22" s="1810"/>
    </row>
    <row r="23" spans="2:15" ht="9.9499999999999993" customHeight="1" x14ac:dyDescent="0.25">
      <c r="B23" s="1798"/>
      <c r="C23" s="1822" t="s">
        <v>3210</v>
      </c>
      <c r="D23" s="1821"/>
      <c r="E23" s="1821"/>
      <c r="F23" s="1815"/>
      <c r="G23" s="1807"/>
      <c r="H23" s="1806"/>
      <c r="I23" s="1806"/>
      <c r="J23" s="1806"/>
      <c r="K23" s="1806"/>
      <c r="L23" s="1809"/>
      <c r="M23" s="1800"/>
      <c r="N23" s="1800"/>
      <c r="O23" s="1810"/>
    </row>
    <row r="24" spans="2:15" ht="9.9499999999999993" customHeight="1" x14ac:dyDescent="0.25">
      <c r="B24" s="1798"/>
      <c r="C24" s="1804"/>
      <c r="D24" s="1821"/>
      <c r="E24" s="1821"/>
      <c r="F24" s="1815"/>
      <c r="G24" s="1807"/>
      <c r="H24" s="1806"/>
      <c r="I24" s="1806"/>
      <c r="J24" s="1806"/>
      <c r="K24" s="1806"/>
      <c r="L24" s="1809"/>
      <c r="M24" s="1800"/>
      <c r="N24" s="1800"/>
      <c r="O24" s="1810"/>
    </row>
    <row r="25" spans="2:15" ht="9.9499999999999993" customHeight="1" x14ac:dyDescent="0.25">
      <c r="B25" s="1823" t="s">
        <v>3211</v>
      </c>
      <c r="C25" s="1805" t="s">
        <v>3212</v>
      </c>
      <c r="D25" s="1595"/>
      <c r="E25" s="1595"/>
      <c r="F25" s="1806"/>
      <c r="G25" s="1807"/>
      <c r="H25" s="1806"/>
      <c r="I25" s="1806"/>
      <c r="J25" s="1806"/>
      <c r="K25" s="1806"/>
      <c r="L25" s="1809"/>
      <c r="M25" s="1800"/>
      <c r="N25" s="1800"/>
      <c r="O25" s="1810"/>
    </row>
    <row r="26" spans="2:15" ht="9.9499999999999993" customHeight="1" x14ac:dyDescent="0.25">
      <c r="B26" s="1823"/>
      <c r="C26" s="1805"/>
      <c r="D26" s="1595"/>
      <c r="E26" s="1595"/>
      <c r="F26" s="1806"/>
      <c r="G26" s="1807"/>
      <c r="H26" s="1806"/>
      <c r="I26" s="1806"/>
      <c r="J26" s="1806"/>
      <c r="K26" s="1806"/>
      <c r="L26" s="1809"/>
      <c r="M26" s="1800"/>
      <c r="N26" s="1800"/>
      <c r="O26" s="1810"/>
    </row>
    <row r="27" spans="2:15" ht="9.9499999999999993" customHeight="1" x14ac:dyDescent="0.25">
      <c r="B27" s="1823"/>
      <c r="C27" s="1824" t="s">
        <v>3213</v>
      </c>
      <c r="D27" s="1595"/>
      <c r="E27" s="1595"/>
      <c r="F27" s="1806"/>
      <c r="G27" s="1807"/>
      <c r="H27" s="1806"/>
      <c r="I27" s="1806"/>
      <c r="J27" s="1806"/>
      <c r="K27" s="1806"/>
      <c r="L27" s="1809"/>
      <c r="M27" s="1800"/>
      <c r="N27" s="1800"/>
      <c r="O27" s="1810"/>
    </row>
    <row r="28" spans="2:15" ht="9.9499999999999993" customHeight="1" thickBot="1" x14ac:dyDescent="0.3">
      <c r="B28" s="1825"/>
      <c r="C28" s="1826"/>
      <c r="D28" s="1826"/>
      <c r="E28" s="1826"/>
      <c r="F28" s="1827"/>
      <c r="G28" s="1827"/>
      <c r="H28" s="1826"/>
      <c r="I28" s="1826"/>
      <c r="J28" s="1826"/>
      <c r="K28" s="1826"/>
      <c r="L28" s="1826"/>
      <c r="M28" s="1826"/>
      <c r="N28" s="1826"/>
      <c r="O28" s="1828"/>
    </row>
    <row r="29" spans="2:15" ht="25.5" customHeight="1" thickBot="1" x14ac:dyDescent="0.3"/>
    <row r="30" spans="2:15" s="1832" customFormat="1" ht="29.25" customHeight="1" thickBot="1" x14ac:dyDescent="0.3">
      <c r="B30" s="1829"/>
      <c r="C30" s="523"/>
      <c r="D30" s="524"/>
      <c r="E30" s="524"/>
      <c r="F30" s="1830"/>
      <c r="G30" s="1830"/>
      <c r="H30" s="524"/>
      <c r="I30" s="524"/>
      <c r="J30" s="524"/>
      <c r="K30" s="524"/>
      <c r="L30" s="524"/>
      <c r="M30" s="524"/>
      <c r="N30" s="524"/>
      <c r="O30" s="1831"/>
    </row>
    <row r="31" spans="2:15" s="1832" customFormat="1" ht="35.25" customHeight="1" thickBot="1" x14ac:dyDescent="0.3">
      <c r="B31" s="1833"/>
      <c r="C31" s="4465" t="s">
        <v>3268</v>
      </c>
      <c r="D31" s="4465"/>
      <c r="E31" s="4465"/>
      <c r="F31" s="4465"/>
      <c r="G31" s="4465"/>
      <c r="H31" s="4465"/>
      <c r="I31" s="4465"/>
      <c r="J31" s="4465"/>
      <c r="K31" s="4465"/>
      <c r="L31" s="4465"/>
      <c r="M31" s="4465"/>
      <c r="N31" s="4465"/>
      <c r="O31" s="1834"/>
    </row>
    <row r="32" spans="2:15" s="1832" customFormat="1" ht="18.600000000000001" customHeight="1" x14ac:dyDescent="0.25">
      <c r="B32" s="1833"/>
      <c r="C32" s="529"/>
      <c r="D32" s="529"/>
      <c r="E32" s="529"/>
      <c r="F32" s="1835"/>
      <c r="G32" s="1835"/>
      <c r="H32" s="529"/>
      <c r="I32" s="529"/>
      <c r="J32" s="529"/>
      <c r="K32" s="529"/>
      <c r="L32" s="529"/>
      <c r="M32" s="529"/>
      <c r="N32" s="529"/>
      <c r="O32" s="1836"/>
    </row>
    <row r="33" spans="1:15" s="1832" customFormat="1" ht="11.45" customHeight="1" x14ac:dyDescent="0.25">
      <c r="B33" s="1833"/>
      <c r="C33" s="1837" t="s">
        <v>1429</v>
      </c>
      <c r="D33" s="529"/>
      <c r="E33" s="529"/>
      <c r="F33" s="4579" t="s">
        <v>3522</v>
      </c>
      <c r="G33" s="4579"/>
      <c r="H33" s="4579"/>
      <c r="I33" s="4579"/>
      <c r="J33" s="4579"/>
      <c r="K33" s="4579"/>
      <c r="L33" s="4579"/>
      <c r="M33" s="4579"/>
      <c r="N33" s="529"/>
      <c r="O33" s="1836"/>
    </row>
    <row r="34" spans="1:15" s="1832" customFormat="1" ht="11.45" customHeight="1" x14ac:dyDescent="0.25">
      <c r="B34" s="1833"/>
      <c r="C34" s="1838"/>
      <c r="D34" s="529"/>
      <c r="E34" s="529"/>
      <c r="F34" s="1835"/>
      <c r="G34" s="1835"/>
      <c r="H34" s="529"/>
      <c r="I34" s="529"/>
      <c r="J34" s="529"/>
      <c r="K34" s="529"/>
      <c r="L34" s="529"/>
      <c r="M34" s="529"/>
      <c r="N34" s="529"/>
      <c r="O34" s="1836"/>
    </row>
    <row r="35" spans="1:15" s="1832" customFormat="1" ht="11.45" customHeight="1" x14ac:dyDescent="0.25">
      <c r="B35" s="1833"/>
      <c r="C35" s="1837" t="s">
        <v>3214</v>
      </c>
      <c r="D35" s="529"/>
      <c r="E35" s="529"/>
      <c r="F35" s="4579" t="s">
        <v>3804</v>
      </c>
      <c r="G35" s="4579"/>
      <c r="H35" s="4579"/>
      <c r="I35" s="4579"/>
      <c r="J35" s="4579"/>
      <c r="K35" s="4579"/>
      <c r="L35" s="4579"/>
      <c r="M35" s="4579"/>
      <c r="N35" s="529"/>
      <c r="O35" s="1836"/>
    </row>
    <row r="36" spans="1:15" s="1840" customFormat="1" x14ac:dyDescent="0.25">
      <c r="A36" s="1839"/>
      <c r="B36" s="1803"/>
      <c r="C36" s="1800"/>
      <c r="D36" s="1800"/>
      <c r="E36" s="1800"/>
      <c r="F36" s="1801"/>
      <c r="G36" s="1801"/>
      <c r="H36" s="1800"/>
      <c r="I36" s="1800"/>
      <c r="J36" s="1800"/>
      <c r="K36" s="1800"/>
      <c r="L36" s="1800"/>
      <c r="M36" s="1800"/>
      <c r="N36" s="1800"/>
      <c r="O36" s="1802"/>
    </row>
    <row r="37" spans="1:15" s="1840" customFormat="1" ht="12" customHeight="1" thickBot="1" x14ac:dyDescent="0.3">
      <c r="A37" s="1839"/>
      <c r="B37" s="1803"/>
      <c r="C37" s="1800"/>
      <c r="D37" s="1800"/>
      <c r="E37" s="1800"/>
      <c r="F37" s="1801"/>
      <c r="G37" s="1801"/>
      <c r="H37" s="1800"/>
      <c r="I37" s="1800"/>
      <c r="J37" s="1800"/>
      <c r="K37" s="1800"/>
      <c r="L37" s="1800"/>
      <c r="M37" s="1800"/>
      <c r="N37" s="1800"/>
      <c r="O37" s="1802"/>
    </row>
    <row r="38" spans="1:15" s="1840" customFormat="1" ht="11.25" customHeight="1" x14ac:dyDescent="0.25">
      <c r="A38" s="1839"/>
      <c r="B38" s="1803"/>
      <c r="C38" s="4354" t="s">
        <v>1292</v>
      </c>
      <c r="D38" s="4355" t="s">
        <v>3215</v>
      </c>
      <c r="E38" s="4355" t="s">
        <v>5</v>
      </c>
      <c r="F38" s="4355" t="s">
        <v>3216</v>
      </c>
      <c r="G38" s="4355"/>
      <c r="H38" s="4355" t="s">
        <v>3217</v>
      </c>
      <c r="I38" s="4355"/>
      <c r="J38" s="4355"/>
      <c r="K38" s="4355"/>
      <c r="L38" s="4355"/>
      <c r="M38" s="4355"/>
      <c r="N38" s="4373" t="s">
        <v>3218</v>
      </c>
      <c r="O38" s="1802"/>
    </row>
    <row r="39" spans="1:15" s="1840" customFormat="1" ht="13.35" customHeight="1" x14ac:dyDescent="0.25">
      <c r="A39" s="1839"/>
      <c r="B39" s="1803"/>
      <c r="C39" s="4368"/>
      <c r="D39" s="4523"/>
      <c r="E39" s="4523"/>
      <c r="F39" s="4523" t="s">
        <v>3219</v>
      </c>
      <c r="G39" s="4523" t="s">
        <v>3220</v>
      </c>
      <c r="H39" s="4523" t="s">
        <v>3221</v>
      </c>
      <c r="I39" s="4523"/>
      <c r="J39" s="4523" t="s">
        <v>3222</v>
      </c>
      <c r="K39" s="4523"/>
      <c r="L39" s="4523" t="s">
        <v>3223</v>
      </c>
      <c r="M39" s="4523" t="s">
        <v>3224</v>
      </c>
      <c r="N39" s="4580"/>
      <c r="O39" s="1802"/>
    </row>
    <row r="40" spans="1:15" s="1840" customFormat="1" ht="40.5" x14ac:dyDescent="0.25">
      <c r="A40" s="1839"/>
      <c r="B40" s="1803"/>
      <c r="C40" s="4368"/>
      <c r="D40" s="4523"/>
      <c r="E40" s="4523"/>
      <c r="F40" s="4523"/>
      <c r="G40" s="4523"/>
      <c r="H40" s="1599" t="s">
        <v>3225</v>
      </c>
      <c r="I40" s="1599" t="s">
        <v>3226</v>
      </c>
      <c r="J40" s="1599" t="s">
        <v>3225</v>
      </c>
      <c r="K40" s="1599" t="s">
        <v>3226</v>
      </c>
      <c r="L40" s="4523"/>
      <c r="M40" s="4523"/>
      <c r="N40" s="4580"/>
      <c r="O40" s="1802"/>
    </row>
    <row r="41" spans="1:15" s="1840" customFormat="1" ht="26.1" customHeight="1" thickBot="1" x14ac:dyDescent="0.3">
      <c r="A41" s="1839"/>
      <c r="B41" s="1803"/>
      <c r="C41" s="4527"/>
      <c r="D41" s="4528"/>
      <c r="E41" s="4528"/>
      <c r="F41" s="4528"/>
      <c r="G41" s="4528"/>
      <c r="H41" s="1846" t="s">
        <v>3227</v>
      </c>
      <c r="I41" s="1846" t="s">
        <v>3228</v>
      </c>
      <c r="J41" s="1846" t="s">
        <v>3227</v>
      </c>
      <c r="K41" s="1846" t="s">
        <v>3228</v>
      </c>
      <c r="L41" s="1846" t="s">
        <v>3228</v>
      </c>
      <c r="M41" s="4528"/>
      <c r="N41" s="4581"/>
      <c r="O41" s="1802"/>
    </row>
    <row r="42" spans="1:15" s="1840" customFormat="1" ht="14.1" customHeight="1" x14ac:dyDescent="0.25">
      <c r="A42" s="1839"/>
      <c r="B42" s="1803"/>
      <c r="C42" s="4585" t="s">
        <v>3229</v>
      </c>
      <c r="D42" s="4588" t="s">
        <v>3230</v>
      </c>
      <c r="E42" s="1847" t="s">
        <v>3232</v>
      </c>
      <c r="F42" s="1848">
        <v>1</v>
      </c>
      <c r="G42" s="1849">
        <v>17520</v>
      </c>
      <c r="H42" s="1850"/>
      <c r="I42" s="1850">
        <v>0</v>
      </c>
      <c r="J42" s="1850"/>
      <c r="K42" s="1850"/>
      <c r="L42" s="1850"/>
      <c r="M42" s="1851">
        <f>SUM(H42:L42)</f>
        <v>0</v>
      </c>
      <c r="N42" s="1852">
        <f>+F42*G42*M42</f>
        <v>0</v>
      </c>
      <c r="O42" s="1802"/>
    </row>
    <row r="43" spans="1:15" s="1840" customFormat="1" ht="14.1" customHeight="1" x14ac:dyDescent="0.25">
      <c r="A43" s="1839"/>
      <c r="B43" s="1803"/>
      <c r="C43" s="4586"/>
      <c r="D43" s="4589"/>
      <c r="E43" s="1853" t="s">
        <v>3236</v>
      </c>
      <c r="F43" s="1854">
        <v>1</v>
      </c>
      <c r="G43" s="1855">
        <f>+G42</f>
        <v>17520</v>
      </c>
      <c r="H43" s="1856">
        <v>1</v>
      </c>
      <c r="I43" s="1856"/>
      <c r="J43" s="1856"/>
      <c r="K43" s="1856"/>
      <c r="L43" s="1856"/>
      <c r="M43" s="1857">
        <f t="shared" ref="M43:M100" si="0">SUM(H43:L43)</f>
        <v>1</v>
      </c>
      <c r="N43" s="1858">
        <f t="shared" ref="N43:N100" si="1">+F43*G43*M43</f>
        <v>17520</v>
      </c>
      <c r="O43" s="1802"/>
    </row>
    <row r="44" spans="1:15" s="1840" customFormat="1" ht="14.1" customHeight="1" x14ac:dyDescent="0.25">
      <c r="A44" s="1839"/>
      <c r="B44" s="1803"/>
      <c r="C44" s="4586"/>
      <c r="D44" s="4589"/>
      <c r="E44" s="1853" t="s">
        <v>3805</v>
      </c>
      <c r="F44" s="1854">
        <v>1</v>
      </c>
      <c r="G44" s="1855">
        <f t="shared" ref="G44:G61" si="2">+G43</f>
        <v>17520</v>
      </c>
      <c r="H44" s="1856">
        <v>1</v>
      </c>
      <c r="I44" s="1856"/>
      <c r="J44" s="1856"/>
      <c r="K44" s="1856"/>
      <c r="L44" s="1856"/>
      <c r="M44" s="1857">
        <f t="shared" si="0"/>
        <v>1</v>
      </c>
      <c r="N44" s="1858">
        <f t="shared" si="1"/>
        <v>17520</v>
      </c>
      <c r="O44" s="1802"/>
    </row>
    <row r="45" spans="1:15" s="1840" customFormat="1" ht="14.1" customHeight="1" x14ac:dyDescent="0.25">
      <c r="A45" s="1839"/>
      <c r="B45" s="1803"/>
      <c r="C45" s="4586"/>
      <c r="D45" s="4589"/>
      <c r="E45" s="1853" t="s">
        <v>3806</v>
      </c>
      <c r="F45" s="1854">
        <v>1</v>
      </c>
      <c r="G45" s="1855">
        <f t="shared" si="2"/>
        <v>17520</v>
      </c>
      <c r="H45" s="1856">
        <v>1</v>
      </c>
      <c r="I45" s="1856"/>
      <c r="J45" s="1856"/>
      <c r="K45" s="1856"/>
      <c r="L45" s="1856"/>
      <c r="M45" s="1857">
        <f t="shared" si="0"/>
        <v>1</v>
      </c>
      <c r="N45" s="1858">
        <f t="shared" si="1"/>
        <v>17520</v>
      </c>
      <c r="O45" s="1802"/>
    </row>
    <row r="46" spans="1:15" s="1840" customFormat="1" ht="14.1" customHeight="1" x14ac:dyDescent="0.25">
      <c r="A46" s="1839"/>
      <c r="B46" s="1803"/>
      <c r="C46" s="4586"/>
      <c r="D46" s="4589"/>
      <c r="E46" s="1853" t="s">
        <v>3241</v>
      </c>
      <c r="F46" s="1854">
        <v>1</v>
      </c>
      <c r="G46" s="1855">
        <f t="shared" si="2"/>
        <v>17520</v>
      </c>
      <c r="H46" s="1856"/>
      <c r="I46" s="1856"/>
      <c r="J46" s="1856"/>
      <c r="K46" s="1856"/>
      <c r="L46" s="1856">
        <v>0</v>
      </c>
      <c r="M46" s="1857">
        <f t="shared" si="0"/>
        <v>0</v>
      </c>
      <c r="N46" s="1858">
        <f t="shared" si="1"/>
        <v>0</v>
      </c>
      <c r="O46" s="1802"/>
    </row>
    <row r="47" spans="1:15" s="1840" customFormat="1" ht="14.1" customHeight="1" x14ac:dyDescent="0.25">
      <c r="A47" s="1839"/>
      <c r="B47" s="1803"/>
      <c r="C47" s="4586"/>
      <c r="D47" s="4589"/>
      <c r="E47" s="1853" t="s">
        <v>3231</v>
      </c>
      <c r="F47" s="1854">
        <v>1</v>
      </c>
      <c r="G47" s="1855">
        <f t="shared" si="2"/>
        <v>17520</v>
      </c>
      <c r="H47" s="1856"/>
      <c r="I47" s="1856"/>
      <c r="J47" s="1856"/>
      <c r="K47" s="1856"/>
      <c r="L47" s="1856">
        <v>0</v>
      </c>
      <c r="M47" s="1857">
        <f t="shared" si="0"/>
        <v>0</v>
      </c>
      <c r="N47" s="1858">
        <f t="shared" si="1"/>
        <v>0</v>
      </c>
      <c r="O47" s="1802"/>
    </row>
    <row r="48" spans="1:15" s="1840" customFormat="1" ht="14.1" customHeight="1" x14ac:dyDescent="0.25">
      <c r="A48" s="1839"/>
      <c r="B48" s="1803"/>
      <c r="C48" s="4586"/>
      <c r="D48" s="4589"/>
      <c r="E48" s="1853" t="s">
        <v>3231</v>
      </c>
      <c r="F48" s="1854">
        <v>1</v>
      </c>
      <c r="G48" s="1855">
        <f t="shared" si="2"/>
        <v>17520</v>
      </c>
      <c r="H48" s="1856"/>
      <c r="I48" s="1856"/>
      <c r="J48" s="1856"/>
      <c r="K48" s="1856"/>
      <c r="L48" s="1856">
        <v>0</v>
      </c>
      <c r="M48" s="1857">
        <f t="shared" si="0"/>
        <v>0</v>
      </c>
      <c r="N48" s="1858">
        <f t="shared" si="1"/>
        <v>0</v>
      </c>
      <c r="O48" s="1802"/>
    </row>
    <row r="49" spans="1:15" s="1840" customFormat="1" ht="14.1" customHeight="1" x14ac:dyDescent="0.25">
      <c r="A49" s="1839"/>
      <c r="B49" s="1803"/>
      <c r="C49" s="4586"/>
      <c r="D49" s="4589"/>
      <c r="E49" s="1853" t="s">
        <v>3231</v>
      </c>
      <c r="F49" s="1854">
        <v>1</v>
      </c>
      <c r="G49" s="1855">
        <f t="shared" si="2"/>
        <v>17520</v>
      </c>
      <c r="H49" s="1856">
        <v>1</v>
      </c>
      <c r="I49" s="1856"/>
      <c r="J49" s="1856"/>
      <c r="K49" s="1856"/>
      <c r="L49" s="1856"/>
      <c r="M49" s="1857">
        <f t="shared" si="0"/>
        <v>1</v>
      </c>
      <c r="N49" s="1858">
        <f t="shared" si="1"/>
        <v>17520</v>
      </c>
      <c r="O49" s="1802"/>
    </row>
    <row r="50" spans="1:15" s="1840" customFormat="1" ht="14.1" customHeight="1" x14ac:dyDescent="0.25">
      <c r="A50" s="1839"/>
      <c r="B50" s="1803"/>
      <c r="C50" s="4586"/>
      <c r="D50" s="4589"/>
      <c r="E50" s="1853" t="s">
        <v>3235</v>
      </c>
      <c r="F50" s="1854">
        <v>1</v>
      </c>
      <c r="G50" s="1855">
        <f t="shared" si="2"/>
        <v>17520</v>
      </c>
      <c r="H50" s="1856">
        <v>1</v>
      </c>
      <c r="I50" s="1856"/>
      <c r="J50" s="1856"/>
      <c r="K50" s="1856"/>
      <c r="L50" s="1856"/>
      <c r="M50" s="1857">
        <f t="shared" si="0"/>
        <v>1</v>
      </c>
      <c r="N50" s="1858">
        <f t="shared" si="1"/>
        <v>17520</v>
      </c>
      <c r="O50" s="1802"/>
    </row>
    <row r="51" spans="1:15" s="1840" customFormat="1" ht="14.1" customHeight="1" x14ac:dyDescent="0.25">
      <c r="A51" s="1839"/>
      <c r="B51" s="1803"/>
      <c r="C51" s="4586"/>
      <c r="D51" s="4589"/>
      <c r="E51" s="1853" t="s">
        <v>3807</v>
      </c>
      <c r="F51" s="1854">
        <v>1</v>
      </c>
      <c r="G51" s="1855">
        <f t="shared" si="2"/>
        <v>17520</v>
      </c>
      <c r="H51" s="1856"/>
      <c r="I51" s="1856"/>
      <c r="J51" s="1856"/>
      <c r="K51" s="1856"/>
      <c r="L51" s="1856">
        <v>0</v>
      </c>
      <c r="M51" s="1857">
        <f t="shared" si="0"/>
        <v>0</v>
      </c>
      <c r="N51" s="1858">
        <f t="shared" si="1"/>
        <v>0</v>
      </c>
      <c r="O51" s="1802"/>
    </row>
    <row r="52" spans="1:15" s="1840" customFormat="1" ht="14.1" customHeight="1" x14ac:dyDescent="0.25">
      <c r="A52" s="1839"/>
      <c r="B52" s="1803"/>
      <c r="C52" s="4586"/>
      <c r="D52" s="4589"/>
      <c r="E52" s="1853" t="s">
        <v>3238</v>
      </c>
      <c r="F52" s="1854">
        <v>1</v>
      </c>
      <c r="G52" s="1855">
        <f t="shared" si="2"/>
        <v>17520</v>
      </c>
      <c r="H52" s="1856">
        <v>1</v>
      </c>
      <c r="I52" s="1856"/>
      <c r="J52" s="1856"/>
      <c r="K52" s="1856"/>
      <c r="L52" s="1856"/>
      <c r="M52" s="1857">
        <f t="shared" si="0"/>
        <v>1</v>
      </c>
      <c r="N52" s="1858">
        <f t="shared" si="1"/>
        <v>17520</v>
      </c>
      <c r="O52" s="1802"/>
    </row>
    <row r="53" spans="1:15" s="1840" customFormat="1" ht="14.1" customHeight="1" x14ac:dyDescent="0.25">
      <c r="A53" s="1839"/>
      <c r="B53" s="1803"/>
      <c r="C53" s="4586"/>
      <c r="D53" s="4589"/>
      <c r="E53" s="1853" t="s">
        <v>3808</v>
      </c>
      <c r="F53" s="1854">
        <v>1</v>
      </c>
      <c r="G53" s="1855">
        <f t="shared" si="2"/>
        <v>17520</v>
      </c>
      <c r="H53" s="1856"/>
      <c r="I53" s="1856"/>
      <c r="J53" s="1856"/>
      <c r="K53" s="1856"/>
      <c r="L53" s="1856">
        <v>0</v>
      </c>
      <c r="M53" s="1857">
        <f t="shared" si="0"/>
        <v>0</v>
      </c>
      <c r="N53" s="1858">
        <f t="shared" si="1"/>
        <v>0</v>
      </c>
      <c r="O53" s="1802"/>
    </row>
    <row r="54" spans="1:15" s="1840" customFormat="1" ht="14.1" customHeight="1" x14ac:dyDescent="0.25">
      <c r="A54" s="1839"/>
      <c r="B54" s="1803"/>
      <c r="C54" s="4586"/>
      <c r="D54" s="4589"/>
      <c r="E54" s="1853" t="s">
        <v>3808</v>
      </c>
      <c r="F54" s="1854">
        <v>1</v>
      </c>
      <c r="G54" s="1855">
        <f t="shared" si="2"/>
        <v>17520</v>
      </c>
      <c r="H54" s="1856"/>
      <c r="I54" s="1856"/>
      <c r="J54" s="1856"/>
      <c r="K54" s="1856"/>
      <c r="L54" s="1856">
        <v>0</v>
      </c>
      <c r="M54" s="1857">
        <f t="shared" si="0"/>
        <v>0</v>
      </c>
      <c r="N54" s="1858">
        <f t="shared" si="1"/>
        <v>0</v>
      </c>
      <c r="O54" s="1802"/>
    </row>
    <row r="55" spans="1:15" s="1840" customFormat="1" ht="14.1" customHeight="1" x14ac:dyDescent="0.25">
      <c r="A55" s="1839"/>
      <c r="B55" s="1803"/>
      <c r="C55" s="4586"/>
      <c r="D55" s="4589"/>
      <c r="E55" s="1853" t="s">
        <v>3240</v>
      </c>
      <c r="F55" s="1854">
        <v>1</v>
      </c>
      <c r="G55" s="1855">
        <f t="shared" si="2"/>
        <v>17520</v>
      </c>
      <c r="H55" s="1856"/>
      <c r="I55" s="1856"/>
      <c r="J55" s="1856"/>
      <c r="K55" s="1856"/>
      <c r="L55" s="1856">
        <v>0</v>
      </c>
      <c r="M55" s="1857">
        <f t="shared" si="0"/>
        <v>0</v>
      </c>
      <c r="N55" s="1858">
        <f t="shared" si="1"/>
        <v>0</v>
      </c>
      <c r="O55" s="1802"/>
    </row>
    <row r="56" spans="1:15" s="1840" customFormat="1" ht="14.1" customHeight="1" x14ac:dyDescent="0.25">
      <c r="A56" s="1839"/>
      <c r="B56" s="1803"/>
      <c r="C56" s="4586"/>
      <c r="D56" s="4589"/>
      <c r="E56" s="1853" t="s">
        <v>3240</v>
      </c>
      <c r="F56" s="1854">
        <v>1</v>
      </c>
      <c r="G56" s="1855">
        <f t="shared" si="2"/>
        <v>17520</v>
      </c>
      <c r="H56" s="1856">
        <v>1</v>
      </c>
      <c r="I56" s="1856"/>
      <c r="J56" s="1856"/>
      <c r="K56" s="1856"/>
      <c r="L56" s="1856"/>
      <c r="M56" s="1857">
        <f t="shared" si="0"/>
        <v>1</v>
      </c>
      <c r="N56" s="1858">
        <f t="shared" si="1"/>
        <v>17520</v>
      </c>
      <c r="O56" s="1802"/>
    </row>
    <row r="57" spans="1:15" s="1840" customFormat="1" ht="14.1" customHeight="1" x14ac:dyDescent="0.25">
      <c r="A57" s="1839"/>
      <c r="B57" s="1803"/>
      <c r="C57" s="4586"/>
      <c r="D57" s="4589"/>
      <c r="E57" s="1853" t="s">
        <v>3809</v>
      </c>
      <c r="F57" s="1854">
        <v>1</v>
      </c>
      <c r="G57" s="1855">
        <f t="shared" si="2"/>
        <v>17520</v>
      </c>
      <c r="H57" s="1856"/>
      <c r="I57" s="1856"/>
      <c r="J57" s="1856"/>
      <c r="K57" s="1856"/>
      <c r="L57" s="1856">
        <v>0</v>
      </c>
      <c r="M57" s="1857">
        <f t="shared" si="0"/>
        <v>0</v>
      </c>
      <c r="N57" s="1858">
        <f t="shared" si="1"/>
        <v>0</v>
      </c>
      <c r="O57" s="1802"/>
    </row>
    <row r="58" spans="1:15" s="1840" customFormat="1" ht="14.1" customHeight="1" x14ac:dyDescent="0.25">
      <c r="A58" s="1839"/>
      <c r="B58" s="1803"/>
      <c r="C58" s="4586"/>
      <c r="D58" s="4589"/>
      <c r="E58" s="1853" t="s">
        <v>3810</v>
      </c>
      <c r="F58" s="1854">
        <v>1</v>
      </c>
      <c r="G58" s="1855">
        <f t="shared" si="2"/>
        <v>17520</v>
      </c>
      <c r="H58" s="1856"/>
      <c r="I58" s="1856"/>
      <c r="J58" s="1856"/>
      <c r="K58" s="1856"/>
      <c r="L58" s="1856">
        <v>0</v>
      </c>
      <c r="M58" s="1857">
        <f t="shared" si="0"/>
        <v>0</v>
      </c>
      <c r="N58" s="1858">
        <f t="shared" si="1"/>
        <v>0</v>
      </c>
      <c r="O58" s="1802"/>
    </row>
    <row r="59" spans="1:15" s="1840" customFormat="1" ht="14.1" customHeight="1" x14ac:dyDescent="0.25">
      <c r="A59" s="1839"/>
      <c r="B59" s="1803"/>
      <c r="C59" s="4586"/>
      <c r="D59" s="4589"/>
      <c r="E59" s="1853" t="s">
        <v>3811</v>
      </c>
      <c r="F59" s="1854">
        <v>1</v>
      </c>
      <c r="G59" s="1855">
        <f t="shared" si="2"/>
        <v>17520</v>
      </c>
      <c r="H59" s="1856"/>
      <c r="I59" s="1856"/>
      <c r="J59" s="1856"/>
      <c r="K59" s="1856"/>
      <c r="L59" s="1856">
        <v>0</v>
      </c>
      <c r="M59" s="1857">
        <f t="shared" si="0"/>
        <v>0</v>
      </c>
      <c r="N59" s="1858">
        <f t="shared" si="1"/>
        <v>0</v>
      </c>
      <c r="O59" s="1802"/>
    </row>
    <row r="60" spans="1:15" s="1840" customFormat="1" ht="14.1" customHeight="1" x14ac:dyDescent="0.25">
      <c r="A60" s="1839"/>
      <c r="B60" s="1803"/>
      <c r="C60" s="4586"/>
      <c r="D60" s="4589"/>
      <c r="E60" s="1853" t="s">
        <v>3812</v>
      </c>
      <c r="F60" s="1854">
        <v>1</v>
      </c>
      <c r="G60" s="1855">
        <f t="shared" si="2"/>
        <v>17520</v>
      </c>
      <c r="H60" s="1856"/>
      <c r="I60" s="1856"/>
      <c r="J60" s="1856"/>
      <c r="K60" s="1856"/>
      <c r="L60" s="1856">
        <v>0</v>
      </c>
      <c r="M60" s="1857">
        <f t="shared" si="0"/>
        <v>0</v>
      </c>
      <c r="N60" s="1858">
        <f t="shared" si="1"/>
        <v>0</v>
      </c>
      <c r="O60" s="1802"/>
    </row>
    <row r="61" spans="1:15" s="1840" customFormat="1" ht="14.1" customHeight="1" x14ac:dyDescent="0.25">
      <c r="A61" s="1839"/>
      <c r="B61" s="1803"/>
      <c r="C61" s="4586"/>
      <c r="D61" s="4589"/>
      <c r="E61" s="1853" t="s">
        <v>3231</v>
      </c>
      <c r="F61" s="1854">
        <v>1</v>
      </c>
      <c r="G61" s="1855">
        <f t="shared" si="2"/>
        <v>17520</v>
      </c>
      <c r="H61" s="1856">
        <v>1</v>
      </c>
      <c r="I61" s="1856"/>
      <c r="J61" s="1856"/>
      <c r="K61" s="1856"/>
      <c r="L61" s="1856"/>
      <c r="M61" s="1857">
        <f t="shared" si="0"/>
        <v>1</v>
      </c>
      <c r="N61" s="1858">
        <f t="shared" si="1"/>
        <v>17520</v>
      </c>
      <c r="O61" s="1802"/>
    </row>
    <row r="62" spans="1:15" s="1840" customFormat="1" ht="14.1" customHeight="1" thickBot="1" x14ac:dyDescent="0.3">
      <c r="A62" s="1839"/>
      <c r="B62" s="1803"/>
      <c r="C62" s="4587"/>
      <c r="D62" s="4590"/>
      <c r="E62" s="1859" t="s">
        <v>3237</v>
      </c>
      <c r="F62" s="1860">
        <v>1</v>
      </c>
      <c r="G62" s="1861">
        <f>+G61</f>
        <v>17520</v>
      </c>
      <c r="H62" s="1862">
        <v>1</v>
      </c>
      <c r="I62" s="1862"/>
      <c r="J62" s="1862"/>
      <c r="K62" s="1862"/>
      <c r="L62" s="1862"/>
      <c r="M62" s="1863">
        <f t="shared" si="0"/>
        <v>1</v>
      </c>
      <c r="N62" s="1864">
        <f t="shared" si="1"/>
        <v>17520</v>
      </c>
      <c r="O62" s="1802"/>
    </row>
    <row r="63" spans="1:15" s="1840" customFormat="1" ht="14.1" customHeight="1" x14ac:dyDescent="0.25">
      <c r="A63" s="1839"/>
      <c r="B63" s="1803"/>
      <c r="C63" s="4585" t="s">
        <v>331</v>
      </c>
      <c r="D63" s="4591" t="s">
        <v>3244</v>
      </c>
      <c r="E63" s="1847" t="s">
        <v>3813</v>
      </c>
      <c r="F63" s="1848">
        <v>1</v>
      </c>
      <c r="G63" s="1850">
        <v>117</v>
      </c>
      <c r="H63" s="1850"/>
      <c r="I63" s="1850"/>
      <c r="J63" s="1850"/>
      <c r="K63" s="1850"/>
      <c r="L63" s="1850">
        <v>0</v>
      </c>
      <c r="M63" s="1851">
        <f t="shared" si="0"/>
        <v>0</v>
      </c>
      <c r="N63" s="1852">
        <f t="shared" si="1"/>
        <v>0</v>
      </c>
      <c r="O63" s="1802"/>
    </row>
    <row r="64" spans="1:15" s="1840" customFormat="1" ht="14.1" customHeight="1" x14ac:dyDescent="0.25">
      <c r="A64" s="1839"/>
      <c r="B64" s="1803"/>
      <c r="C64" s="4586"/>
      <c r="D64" s="4592"/>
      <c r="E64" s="1853" t="s">
        <v>3813</v>
      </c>
      <c r="F64" s="1854">
        <v>1</v>
      </c>
      <c r="G64" s="1856">
        <v>117</v>
      </c>
      <c r="H64" s="1856"/>
      <c r="I64" s="1856"/>
      <c r="J64" s="1856"/>
      <c r="K64" s="1856"/>
      <c r="L64" s="1856">
        <v>0</v>
      </c>
      <c r="M64" s="1857">
        <f t="shared" si="0"/>
        <v>0</v>
      </c>
      <c r="N64" s="1858">
        <f t="shared" si="1"/>
        <v>0</v>
      </c>
      <c r="O64" s="1802"/>
    </row>
    <row r="65" spans="1:15" s="1840" customFormat="1" ht="14.1" customHeight="1" x14ac:dyDescent="0.25">
      <c r="A65" s="1839"/>
      <c r="B65" s="1803"/>
      <c r="C65" s="4586"/>
      <c r="D65" s="4592"/>
      <c r="E65" s="1853" t="s">
        <v>3814</v>
      </c>
      <c r="F65" s="1854">
        <v>1</v>
      </c>
      <c r="G65" s="1856">
        <v>117</v>
      </c>
      <c r="H65" s="1856"/>
      <c r="I65" s="1856"/>
      <c r="J65" s="1856"/>
      <c r="K65" s="1856"/>
      <c r="L65" s="1856">
        <v>0</v>
      </c>
      <c r="M65" s="1857">
        <f t="shared" si="0"/>
        <v>0</v>
      </c>
      <c r="N65" s="1858">
        <f t="shared" si="1"/>
        <v>0</v>
      </c>
      <c r="O65" s="1802"/>
    </row>
    <row r="66" spans="1:15" s="1840" customFormat="1" ht="14.1" customHeight="1" x14ac:dyDescent="0.25">
      <c r="A66" s="1839"/>
      <c r="B66" s="1803"/>
      <c r="C66" s="4586"/>
      <c r="D66" s="4592"/>
      <c r="E66" s="1853" t="s">
        <v>3246</v>
      </c>
      <c r="F66" s="1854">
        <v>1</v>
      </c>
      <c r="G66" s="1856">
        <v>117</v>
      </c>
      <c r="H66" s="1856"/>
      <c r="I66" s="1856"/>
      <c r="J66" s="1856"/>
      <c r="K66" s="1856"/>
      <c r="L66" s="1856">
        <v>0</v>
      </c>
      <c r="M66" s="1857">
        <f t="shared" si="0"/>
        <v>0</v>
      </c>
      <c r="N66" s="1858">
        <f t="shared" si="1"/>
        <v>0</v>
      </c>
      <c r="O66" s="1802"/>
    </row>
    <row r="67" spans="1:15" s="1840" customFormat="1" ht="14.1" customHeight="1" x14ac:dyDescent="0.25">
      <c r="A67" s="1839"/>
      <c r="B67" s="1803"/>
      <c r="C67" s="4586"/>
      <c r="D67" s="4592"/>
      <c r="E67" s="1853" t="s">
        <v>3246</v>
      </c>
      <c r="F67" s="1854">
        <v>1</v>
      </c>
      <c r="G67" s="1856">
        <v>117</v>
      </c>
      <c r="H67" s="1856"/>
      <c r="I67" s="1856"/>
      <c r="J67" s="1856"/>
      <c r="K67" s="1856"/>
      <c r="L67" s="1856">
        <v>0</v>
      </c>
      <c r="M67" s="1857">
        <f t="shared" si="0"/>
        <v>0</v>
      </c>
      <c r="N67" s="1858">
        <f t="shared" si="1"/>
        <v>0</v>
      </c>
      <c r="O67" s="1802"/>
    </row>
    <row r="68" spans="1:15" s="1840" customFormat="1" ht="14.1" customHeight="1" x14ac:dyDescent="0.25">
      <c r="A68" s="1839"/>
      <c r="B68" s="1803"/>
      <c r="C68" s="4586"/>
      <c r="D68" s="4592"/>
      <c r="E68" s="1853" t="s">
        <v>3245</v>
      </c>
      <c r="F68" s="1854">
        <v>1</v>
      </c>
      <c r="G68" s="1856">
        <v>117</v>
      </c>
      <c r="H68" s="1856">
        <v>1</v>
      </c>
      <c r="I68" s="1856"/>
      <c r="J68" s="1856"/>
      <c r="K68" s="1856"/>
      <c r="L68" s="1856"/>
      <c r="M68" s="1857">
        <f t="shared" si="0"/>
        <v>1</v>
      </c>
      <c r="N68" s="1858">
        <f t="shared" si="1"/>
        <v>117</v>
      </c>
      <c r="O68" s="1802"/>
    </row>
    <row r="69" spans="1:15" s="1840" customFormat="1" ht="14.1" customHeight="1" x14ac:dyDescent="0.25">
      <c r="A69" s="1839"/>
      <c r="B69" s="1803"/>
      <c r="C69" s="4586"/>
      <c r="D69" s="4592"/>
      <c r="E69" s="1853" t="s">
        <v>3245</v>
      </c>
      <c r="F69" s="1854">
        <v>1</v>
      </c>
      <c r="G69" s="1856">
        <v>117</v>
      </c>
      <c r="H69" s="1856">
        <v>1</v>
      </c>
      <c r="I69" s="1856"/>
      <c r="J69" s="1856"/>
      <c r="K69" s="1856"/>
      <c r="L69" s="1856"/>
      <c r="M69" s="1857">
        <f t="shared" si="0"/>
        <v>1</v>
      </c>
      <c r="N69" s="1858">
        <f t="shared" si="1"/>
        <v>117</v>
      </c>
      <c r="O69" s="1802"/>
    </row>
    <row r="70" spans="1:15" s="1840" customFormat="1" ht="14.1" customHeight="1" x14ac:dyDescent="0.25">
      <c r="A70" s="1839"/>
      <c r="B70" s="1803"/>
      <c r="C70" s="4586"/>
      <c r="D70" s="4592"/>
      <c r="E70" s="1853" t="s">
        <v>3245</v>
      </c>
      <c r="F70" s="1854">
        <v>1</v>
      </c>
      <c r="G70" s="1856">
        <v>117</v>
      </c>
      <c r="H70" s="1856">
        <v>1</v>
      </c>
      <c r="I70" s="1856"/>
      <c r="J70" s="1856"/>
      <c r="K70" s="1856"/>
      <c r="L70" s="1856"/>
      <c r="M70" s="1857">
        <f t="shared" si="0"/>
        <v>1</v>
      </c>
      <c r="N70" s="1858">
        <f t="shared" si="1"/>
        <v>117</v>
      </c>
      <c r="O70" s="1802"/>
    </row>
    <row r="71" spans="1:15" s="1840" customFormat="1" ht="14.1" customHeight="1" x14ac:dyDescent="0.25">
      <c r="A71" s="1839"/>
      <c r="B71" s="1803"/>
      <c r="C71" s="4586"/>
      <c r="D71" s="4592"/>
      <c r="E71" s="1853" t="s">
        <v>3813</v>
      </c>
      <c r="F71" s="1854">
        <v>1</v>
      </c>
      <c r="G71" s="1856">
        <v>117</v>
      </c>
      <c r="H71" s="1856"/>
      <c r="I71" s="1856"/>
      <c r="J71" s="1856"/>
      <c r="K71" s="1856"/>
      <c r="L71" s="1856">
        <v>0</v>
      </c>
      <c r="M71" s="1857">
        <f t="shared" si="0"/>
        <v>0</v>
      </c>
      <c r="N71" s="1858">
        <f t="shared" si="1"/>
        <v>0</v>
      </c>
      <c r="O71" s="1802"/>
    </row>
    <row r="72" spans="1:15" s="1840" customFormat="1" ht="14.1" customHeight="1" x14ac:dyDescent="0.25">
      <c r="A72" s="1839"/>
      <c r="B72" s="1803"/>
      <c r="C72" s="4586"/>
      <c r="D72" s="4592"/>
      <c r="E72" s="1853" t="s">
        <v>3813</v>
      </c>
      <c r="F72" s="1854">
        <v>1</v>
      </c>
      <c r="G72" s="1856">
        <v>117</v>
      </c>
      <c r="H72" s="1856"/>
      <c r="I72" s="1856"/>
      <c r="J72" s="1856"/>
      <c r="K72" s="1856"/>
      <c r="L72" s="1856">
        <v>0</v>
      </c>
      <c r="M72" s="1857">
        <f t="shared" si="0"/>
        <v>0</v>
      </c>
      <c r="N72" s="1858">
        <f t="shared" si="1"/>
        <v>0</v>
      </c>
      <c r="O72" s="1802"/>
    </row>
    <row r="73" spans="1:15" s="1840" customFormat="1" ht="14.1" customHeight="1" x14ac:dyDescent="0.25">
      <c r="A73" s="1839"/>
      <c r="B73" s="1803"/>
      <c r="C73" s="4586"/>
      <c r="D73" s="4592"/>
      <c r="E73" s="1853" t="s">
        <v>3246</v>
      </c>
      <c r="F73" s="1854">
        <v>1</v>
      </c>
      <c r="G73" s="1856">
        <v>117</v>
      </c>
      <c r="H73" s="1856"/>
      <c r="I73" s="1856"/>
      <c r="J73" s="1856"/>
      <c r="K73" s="1856"/>
      <c r="L73" s="1856">
        <v>0</v>
      </c>
      <c r="M73" s="1857">
        <f t="shared" si="0"/>
        <v>0</v>
      </c>
      <c r="N73" s="1858">
        <f t="shared" si="1"/>
        <v>0</v>
      </c>
      <c r="O73" s="1802"/>
    </row>
    <row r="74" spans="1:15" s="1840" customFormat="1" ht="14.1" customHeight="1" x14ac:dyDescent="0.25">
      <c r="A74" s="1839"/>
      <c r="B74" s="1803"/>
      <c r="C74" s="4586"/>
      <c r="D74" s="4592"/>
      <c r="E74" s="1853" t="s">
        <v>3246</v>
      </c>
      <c r="F74" s="1854">
        <v>1</v>
      </c>
      <c r="G74" s="1856">
        <v>117</v>
      </c>
      <c r="H74" s="1856"/>
      <c r="I74" s="1856"/>
      <c r="J74" s="1856"/>
      <c r="K74" s="1856"/>
      <c r="L74" s="1856">
        <v>0</v>
      </c>
      <c r="M74" s="1857">
        <f t="shared" si="0"/>
        <v>0</v>
      </c>
      <c r="N74" s="1858">
        <f t="shared" si="1"/>
        <v>0</v>
      </c>
      <c r="O74" s="1802"/>
    </row>
    <row r="75" spans="1:15" s="1840" customFormat="1" ht="14.1" customHeight="1" x14ac:dyDescent="0.25">
      <c r="A75" s="1839"/>
      <c r="B75" s="1803"/>
      <c r="C75" s="4586"/>
      <c r="D75" s="4592"/>
      <c r="E75" s="1853" t="s">
        <v>3246</v>
      </c>
      <c r="F75" s="1854">
        <v>1</v>
      </c>
      <c r="G75" s="1856">
        <v>117</v>
      </c>
      <c r="H75" s="1856"/>
      <c r="I75" s="1856"/>
      <c r="J75" s="1856"/>
      <c r="K75" s="1856"/>
      <c r="L75" s="1856">
        <v>0</v>
      </c>
      <c r="M75" s="1857">
        <f t="shared" si="0"/>
        <v>0</v>
      </c>
      <c r="N75" s="1858">
        <f t="shared" si="1"/>
        <v>0</v>
      </c>
      <c r="O75" s="1802"/>
    </row>
    <row r="76" spans="1:15" s="1840" customFormat="1" ht="14.1" customHeight="1" x14ac:dyDescent="0.25">
      <c r="A76" s="1839"/>
      <c r="B76" s="1803"/>
      <c r="C76" s="4586"/>
      <c r="D76" s="4592"/>
      <c r="E76" s="1853" t="s">
        <v>3815</v>
      </c>
      <c r="F76" s="1854">
        <v>1</v>
      </c>
      <c r="G76" s="1856">
        <v>117</v>
      </c>
      <c r="H76" s="1856"/>
      <c r="I76" s="1856"/>
      <c r="J76" s="1856"/>
      <c r="K76" s="1856"/>
      <c r="L76" s="1856">
        <v>0</v>
      </c>
      <c r="M76" s="1857">
        <f t="shared" si="0"/>
        <v>0</v>
      </c>
      <c r="N76" s="1858">
        <f t="shared" si="1"/>
        <v>0</v>
      </c>
      <c r="O76" s="1802"/>
    </row>
    <row r="77" spans="1:15" s="1840" customFormat="1" ht="14.1" customHeight="1" thickBot="1" x14ac:dyDescent="0.3">
      <c r="A77" s="1839"/>
      <c r="B77" s="1803"/>
      <c r="C77" s="4587"/>
      <c r="D77" s="4593"/>
      <c r="E77" s="1859" t="s">
        <v>3239</v>
      </c>
      <c r="F77" s="1860">
        <v>1</v>
      </c>
      <c r="G77" s="1862">
        <v>117</v>
      </c>
      <c r="H77" s="1862"/>
      <c r="I77" s="1862"/>
      <c r="J77" s="1862"/>
      <c r="K77" s="1862"/>
      <c r="L77" s="1862">
        <v>0</v>
      </c>
      <c r="M77" s="1863">
        <f t="shared" si="0"/>
        <v>0</v>
      </c>
      <c r="N77" s="1864">
        <f t="shared" si="1"/>
        <v>0</v>
      </c>
      <c r="O77" s="1802"/>
    </row>
    <row r="78" spans="1:15" s="1840" customFormat="1" ht="14.1" customHeight="1" x14ac:dyDescent="0.25">
      <c r="A78" s="1839"/>
      <c r="B78" s="1803"/>
      <c r="C78" s="4585" t="s">
        <v>3247</v>
      </c>
      <c r="D78" s="4591" t="s">
        <v>3248</v>
      </c>
      <c r="E78" s="1847" t="s">
        <v>3816</v>
      </c>
      <c r="F78" s="1848">
        <v>1</v>
      </c>
      <c r="G78" s="1850">
        <v>8760</v>
      </c>
      <c r="H78" s="1865"/>
      <c r="I78" s="1865"/>
      <c r="J78" s="1865"/>
      <c r="K78" s="1865"/>
      <c r="L78" s="1865">
        <v>0</v>
      </c>
      <c r="M78" s="1865">
        <f t="shared" si="0"/>
        <v>0</v>
      </c>
      <c r="N78" s="1852">
        <f t="shared" si="1"/>
        <v>0</v>
      </c>
      <c r="O78" s="1802"/>
    </row>
    <row r="79" spans="1:15" s="1840" customFormat="1" ht="14.1" customHeight="1" x14ac:dyDescent="0.25">
      <c r="A79" s="1839"/>
      <c r="B79" s="1803"/>
      <c r="C79" s="4586"/>
      <c r="D79" s="4592"/>
      <c r="E79" s="1866" t="s">
        <v>3234</v>
      </c>
      <c r="F79" s="1854">
        <v>1</v>
      </c>
      <c r="G79" s="1856">
        <v>8760</v>
      </c>
      <c r="H79" s="1856"/>
      <c r="I79" s="1856"/>
      <c r="J79" s="1856"/>
      <c r="K79" s="1856"/>
      <c r="L79" s="1857">
        <v>0</v>
      </c>
      <c r="M79" s="1856">
        <f t="shared" si="0"/>
        <v>0</v>
      </c>
      <c r="N79" s="1858">
        <f t="shared" si="1"/>
        <v>0</v>
      </c>
      <c r="O79" s="1802"/>
    </row>
    <row r="80" spans="1:15" s="1840" customFormat="1" ht="14.1" customHeight="1" x14ac:dyDescent="0.25">
      <c r="A80" s="1839"/>
      <c r="B80" s="1803"/>
      <c r="C80" s="4586"/>
      <c r="D80" s="4592"/>
      <c r="E80" s="1866" t="s">
        <v>3817</v>
      </c>
      <c r="F80" s="1854">
        <v>1</v>
      </c>
      <c r="G80" s="1856">
        <v>8760</v>
      </c>
      <c r="H80" s="1856"/>
      <c r="I80" s="1856"/>
      <c r="J80" s="1856"/>
      <c r="K80" s="1856"/>
      <c r="L80" s="1857">
        <v>0</v>
      </c>
      <c r="M80" s="1856">
        <f t="shared" si="0"/>
        <v>0</v>
      </c>
      <c r="N80" s="1858">
        <f>+F80*G80*M80</f>
        <v>0</v>
      </c>
      <c r="O80" s="1802"/>
    </row>
    <row r="81" spans="1:15" s="1840" customFormat="1" ht="14.1" customHeight="1" x14ac:dyDescent="0.25">
      <c r="A81" s="1839"/>
      <c r="B81" s="1803"/>
      <c r="C81" s="4586"/>
      <c r="D81" s="4592"/>
      <c r="E81" s="1866" t="s">
        <v>3246</v>
      </c>
      <c r="F81" s="1854">
        <v>1</v>
      </c>
      <c r="G81" s="1856">
        <v>8760</v>
      </c>
      <c r="H81" s="1856"/>
      <c r="I81" s="1856"/>
      <c r="J81" s="1856"/>
      <c r="K81" s="1856"/>
      <c r="L81" s="1857">
        <v>0</v>
      </c>
      <c r="M81" s="1856">
        <f t="shared" si="0"/>
        <v>0</v>
      </c>
      <c r="N81" s="1858">
        <f t="shared" si="1"/>
        <v>0</v>
      </c>
      <c r="O81" s="1802"/>
    </row>
    <row r="82" spans="1:15" s="1840" customFormat="1" ht="14.1" customHeight="1" x14ac:dyDescent="0.25">
      <c r="A82" s="1839"/>
      <c r="B82" s="1803"/>
      <c r="C82" s="4586"/>
      <c r="D82" s="4592"/>
      <c r="E82" s="1866" t="s">
        <v>3239</v>
      </c>
      <c r="F82" s="1854">
        <v>1</v>
      </c>
      <c r="G82" s="1856">
        <v>8760</v>
      </c>
      <c r="H82" s="1856"/>
      <c r="I82" s="1856"/>
      <c r="J82" s="1856"/>
      <c r="K82" s="1856"/>
      <c r="L82" s="1857">
        <v>0</v>
      </c>
      <c r="M82" s="1856">
        <f t="shared" si="0"/>
        <v>0</v>
      </c>
      <c r="N82" s="1858">
        <f t="shared" si="1"/>
        <v>0</v>
      </c>
      <c r="O82" s="1802"/>
    </row>
    <row r="83" spans="1:15" s="1840" customFormat="1" ht="14.1" customHeight="1" x14ac:dyDescent="0.25">
      <c r="A83" s="1839"/>
      <c r="B83" s="1803"/>
      <c r="C83" s="4586"/>
      <c r="D83" s="4592"/>
      <c r="E83" s="1866" t="s">
        <v>3240</v>
      </c>
      <c r="F83" s="1854">
        <v>1</v>
      </c>
      <c r="G83" s="1856">
        <v>8760</v>
      </c>
      <c r="H83" s="1856"/>
      <c r="I83" s="1856"/>
      <c r="J83" s="1856"/>
      <c r="K83" s="1856"/>
      <c r="L83" s="1857">
        <v>0</v>
      </c>
      <c r="M83" s="1856">
        <f t="shared" si="0"/>
        <v>0</v>
      </c>
      <c r="N83" s="1858">
        <f t="shared" si="1"/>
        <v>0</v>
      </c>
      <c r="O83" s="1802"/>
    </row>
    <row r="84" spans="1:15" s="1840" customFormat="1" ht="14.1" customHeight="1" x14ac:dyDescent="0.25">
      <c r="A84" s="1839"/>
      <c r="B84" s="1803"/>
      <c r="C84" s="4586"/>
      <c r="D84" s="4592"/>
      <c r="E84" s="1866" t="s">
        <v>3818</v>
      </c>
      <c r="F84" s="1854">
        <v>1</v>
      </c>
      <c r="G84" s="1856">
        <v>8760</v>
      </c>
      <c r="H84" s="1856"/>
      <c r="I84" s="1856"/>
      <c r="J84" s="1856"/>
      <c r="K84" s="1856"/>
      <c r="L84" s="1857">
        <v>0</v>
      </c>
      <c r="M84" s="1856">
        <f t="shared" si="0"/>
        <v>0</v>
      </c>
      <c r="N84" s="1858">
        <f t="shared" si="1"/>
        <v>0</v>
      </c>
      <c r="O84" s="1802"/>
    </row>
    <row r="85" spans="1:15" s="1840" customFormat="1" ht="14.1" customHeight="1" x14ac:dyDescent="0.25">
      <c r="A85" s="1839"/>
      <c r="B85" s="1803"/>
      <c r="C85" s="4586"/>
      <c r="D85" s="4592"/>
      <c r="E85" s="1866" t="s">
        <v>3819</v>
      </c>
      <c r="F85" s="1854">
        <v>1</v>
      </c>
      <c r="G85" s="1856">
        <v>8760</v>
      </c>
      <c r="H85" s="1856"/>
      <c r="I85" s="1856"/>
      <c r="J85" s="1856"/>
      <c r="K85" s="1856"/>
      <c r="L85" s="1857">
        <v>0</v>
      </c>
      <c r="M85" s="1856">
        <f t="shared" si="0"/>
        <v>0</v>
      </c>
      <c r="N85" s="1858">
        <f t="shared" si="1"/>
        <v>0</v>
      </c>
      <c r="O85" s="1802"/>
    </row>
    <row r="86" spans="1:15" s="1840" customFormat="1" ht="14.1" customHeight="1" x14ac:dyDescent="0.25">
      <c r="A86" s="1839"/>
      <c r="B86" s="1803"/>
      <c r="C86" s="4586"/>
      <c r="D86" s="4592"/>
      <c r="E86" s="1866" t="s">
        <v>3233</v>
      </c>
      <c r="F86" s="1854">
        <v>1</v>
      </c>
      <c r="G86" s="1856">
        <v>8760</v>
      </c>
      <c r="H86" s="1856"/>
      <c r="I86" s="1856"/>
      <c r="J86" s="1856"/>
      <c r="K86" s="1856"/>
      <c r="L86" s="1857">
        <v>0</v>
      </c>
      <c r="M86" s="1856">
        <f t="shared" si="0"/>
        <v>0</v>
      </c>
      <c r="N86" s="1858">
        <f t="shared" si="1"/>
        <v>0</v>
      </c>
      <c r="O86" s="1802"/>
    </row>
    <row r="87" spans="1:15" s="1840" customFormat="1" ht="14.1" customHeight="1" x14ac:dyDescent="0.25">
      <c r="A87" s="1839"/>
      <c r="B87" s="1803"/>
      <c r="C87" s="4586"/>
      <c r="D87" s="4592"/>
      <c r="E87" s="1866" t="s">
        <v>3817</v>
      </c>
      <c r="F87" s="1854">
        <v>1</v>
      </c>
      <c r="G87" s="1856">
        <v>8760</v>
      </c>
      <c r="H87" s="1856"/>
      <c r="I87" s="1856"/>
      <c r="J87" s="1856"/>
      <c r="K87" s="1856"/>
      <c r="L87" s="1857">
        <v>0</v>
      </c>
      <c r="M87" s="1856">
        <f t="shared" si="0"/>
        <v>0</v>
      </c>
      <c r="N87" s="1858">
        <f t="shared" si="1"/>
        <v>0</v>
      </c>
      <c r="O87" s="1802"/>
    </row>
    <row r="88" spans="1:15" s="1840" customFormat="1" ht="12" customHeight="1" x14ac:dyDescent="0.25">
      <c r="A88" s="1839"/>
      <c r="B88" s="1803"/>
      <c r="C88" s="4586"/>
      <c r="D88" s="4592"/>
      <c r="E88" s="1866" t="s">
        <v>3246</v>
      </c>
      <c r="F88" s="1854">
        <v>1</v>
      </c>
      <c r="G88" s="1856">
        <v>8760</v>
      </c>
      <c r="H88" s="1856"/>
      <c r="I88" s="1856"/>
      <c r="J88" s="1856"/>
      <c r="K88" s="1856"/>
      <c r="L88" s="1857">
        <v>0</v>
      </c>
      <c r="M88" s="1856">
        <f t="shared" si="0"/>
        <v>0</v>
      </c>
      <c r="N88" s="1858">
        <f t="shared" si="1"/>
        <v>0</v>
      </c>
      <c r="O88" s="1802"/>
    </row>
    <row r="89" spans="1:15" s="1840" customFormat="1" ht="12" customHeight="1" x14ac:dyDescent="0.25">
      <c r="A89" s="1839"/>
      <c r="B89" s="1803"/>
      <c r="C89" s="4586"/>
      <c r="D89" s="4592"/>
      <c r="E89" s="1866" t="s">
        <v>3246</v>
      </c>
      <c r="F89" s="1854">
        <v>1</v>
      </c>
      <c r="G89" s="1856">
        <v>8760</v>
      </c>
      <c r="H89" s="1856"/>
      <c r="I89" s="1856"/>
      <c r="J89" s="1856"/>
      <c r="K89" s="1856"/>
      <c r="L89" s="1857">
        <v>0</v>
      </c>
      <c r="M89" s="1856">
        <f t="shared" si="0"/>
        <v>0</v>
      </c>
      <c r="N89" s="1858">
        <f t="shared" si="1"/>
        <v>0</v>
      </c>
      <c r="O89" s="1802"/>
    </row>
    <row r="90" spans="1:15" s="1840" customFormat="1" ht="12" customHeight="1" x14ac:dyDescent="0.25">
      <c r="A90" s="1839"/>
      <c r="B90" s="1803"/>
      <c r="C90" s="4586"/>
      <c r="D90" s="4592"/>
      <c r="E90" s="1866" t="s">
        <v>3239</v>
      </c>
      <c r="F90" s="1854">
        <v>1</v>
      </c>
      <c r="G90" s="1856">
        <v>8760</v>
      </c>
      <c r="H90" s="1856"/>
      <c r="I90" s="1856"/>
      <c r="J90" s="1856"/>
      <c r="K90" s="1856"/>
      <c r="L90" s="1857">
        <v>0</v>
      </c>
      <c r="M90" s="1856">
        <f t="shared" si="0"/>
        <v>0</v>
      </c>
      <c r="N90" s="1858">
        <f t="shared" si="1"/>
        <v>0</v>
      </c>
      <c r="O90" s="1802"/>
    </row>
    <row r="91" spans="1:15" s="1840" customFormat="1" ht="12" customHeight="1" x14ac:dyDescent="0.25">
      <c r="A91" s="1839"/>
      <c r="B91" s="1803"/>
      <c r="C91" s="4586"/>
      <c r="D91" s="4592"/>
      <c r="E91" s="1866" t="s">
        <v>3239</v>
      </c>
      <c r="F91" s="1854">
        <v>1</v>
      </c>
      <c r="G91" s="1856">
        <v>8760</v>
      </c>
      <c r="H91" s="1856"/>
      <c r="I91" s="1856"/>
      <c r="J91" s="1856"/>
      <c r="K91" s="1856"/>
      <c r="L91" s="1857">
        <v>0</v>
      </c>
      <c r="M91" s="1856">
        <f t="shared" si="0"/>
        <v>0</v>
      </c>
      <c r="N91" s="1858">
        <f t="shared" si="1"/>
        <v>0</v>
      </c>
      <c r="O91" s="1802"/>
    </row>
    <row r="92" spans="1:15" s="1840" customFormat="1" ht="12" customHeight="1" thickBot="1" x14ac:dyDescent="0.3">
      <c r="A92" s="1839"/>
      <c r="B92" s="1803"/>
      <c r="C92" s="4587"/>
      <c r="D92" s="4593"/>
      <c r="E92" s="1859" t="s">
        <v>3820</v>
      </c>
      <c r="F92" s="1860">
        <v>1</v>
      </c>
      <c r="G92" s="1862">
        <v>8760</v>
      </c>
      <c r="H92" s="1862"/>
      <c r="I92" s="1862"/>
      <c r="J92" s="1862"/>
      <c r="K92" s="1862"/>
      <c r="L92" s="1863">
        <v>0</v>
      </c>
      <c r="M92" s="1862">
        <f t="shared" si="0"/>
        <v>0</v>
      </c>
      <c r="N92" s="1864">
        <f t="shared" si="1"/>
        <v>0</v>
      </c>
      <c r="O92" s="1802"/>
    </row>
    <row r="93" spans="1:15" s="1840" customFormat="1" ht="12" customHeight="1" x14ac:dyDescent="0.25">
      <c r="A93" s="1839"/>
      <c r="B93" s="1803"/>
      <c r="C93" s="4585" t="s">
        <v>3249</v>
      </c>
      <c r="D93" s="4591" t="s">
        <v>3250</v>
      </c>
      <c r="E93" s="1847" t="s">
        <v>3251</v>
      </c>
      <c r="F93" s="1848">
        <v>1</v>
      </c>
      <c r="G93" s="1850">
        <v>43200</v>
      </c>
      <c r="H93" s="1865"/>
      <c r="I93" s="1865">
        <v>0</v>
      </c>
      <c r="J93" s="1865"/>
      <c r="K93" s="1865"/>
      <c r="L93" s="1865"/>
      <c r="M93" s="1865">
        <f t="shared" si="0"/>
        <v>0</v>
      </c>
      <c r="N93" s="1852">
        <f t="shared" si="1"/>
        <v>0</v>
      </c>
      <c r="O93" s="1802"/>
    </row>
    <row r="94" spans="1:15" s="1840" customFormat="1" ht="12" customHeight="1" x14ac:dyDescent="0.25">
      <c r="A94" s="1839"/>
      <c r="B94" s="1803"/>
      <c r="C94" s="4586"/>
      <c r="D94" s="4592"/>
      <c r="E94" s="1853" t="s">
        <v>3821</v>
      </c>
      <c r="F94" s="1854">
        <v>1</v>
      </c>
      <c r="G94" s="1856">
        <f t="shared" ref="G94" si="3">+G93</f>
        <v>43200</v>
      </c>
      <c r="H94" s="1856">
        <v>1</v>
      </c>
      <c r="I94" s="1856"/>
      <c r="J94" s="1856"/>
      <c r="K94" s="1856"/>
      <c r="L94" s="1857"/>
      <c r="M94" s="1856">
        <f t="shared" si="0"/>
        <v>1</v>
      </c>
      <c r="N94" s="1858">
        <f t="shared" si="1"/>
        <v>43200</v>
      </c>
      <c r="O94" s="1802"/>
    </row>
    <row r="95" spans="1:15" s="1840" customFormat="1" ht="12" customHeight="1" x14ac:dyDescent="0.25">
      <c r="A95" s="1839"/>
      <c r="B95" s="1803"/>
      <c r="C95" s="4586"/>
      <c r="D95" s="4592"/>
      <c r="E95" s="1853" t="s">
        <v>3252</v>
      </c>
      <c r="F95" s="1854">
        <v>1</v>
      </c>
      <c r="G95" s="1856">
        <f>+G94</f>
        <v>43200</v>
      </c>
      <c r="H95" s="1856">
        <v>1</v>
      </c>
      <c r="I95" s="1856"/>
      <c r="J95" s="1856"/>
      <c r="K95" s="1856"/>
      <c r="L95" s="1857"/>
      <c r="M95" s="1856">
        <f t="shared" si="0"/>
        <v>1</v>
      </c>
      <c r="N95" s="1858">
        <f t="shared" si="1"/>
        <v>43200</v>
      </c>
      <c r="O95" s="1802"/>
    </row>
    <row r="96" spans="1:15" s="1840" customFormat="1" ht="12" customHeight="1" x14ac:dyDescent="0.25">
      <c r="A96" s="1839"/>
      <c r="B96" s="1803"/>
      <c r="C96" s="4586"/>
      <c r="D96" s="4592"/>
      <c r="E96" s="1853" t="s">
        <v>3253</v>
      </c>
      <c r="F96" s="1854">
        <v>1</v>
      </c>
      <c r="G96" s="1856">
        <f>+G94</f>
        <v>43200</v>
      </c>
      <c r="H96" s="1856"/>
      <c r="I96" s="1856"/>
      <c r="J96" s="1856"/>
      <c r="K96" s="1856"/>
      <c r="L96" s="1857">
        <v>0</v>
      </c>
      <c r="M96" s="1856">
        <f t="shared" si="0"/>
        <v>0</v>
      </c>
      <c r="N96" s="1858">
        <f t="shared" si="1"/>
        <v>0</v>
      </c>
      <c r="O96" s="1802"/>
    </row>
    <row r="97" spans="1:15" s="1840" customFormat="1" ht="12" customHeight="1" x14ac:dyDescent="0.25">
      <c r="A97" s="1839"/>
      <c r="B97" s="1803"/>
      <c r="C97" s="4586"/>
      <c r="D97" s="4592"/>
      <c r="E97" s="1853" t="s">
        <v>3822</v>
      </c>
      <c r="F97" s="1854">
        <v>1</v>
      </c>
      <c r="G97" s="1856">
        <f>+G96</f>
        <v>43200</v>
      </c>
      <c r="H97" s="1856">
        <v>1</v>
      </c>
      <c r="I97" s="1856"/>
      <c r="J97" s="1856"/>
      <c r="K97" s="1856"/>
      <c r="L97" s="1857"/>
      <c r="M97" s="1856">
        <f t="shared" si="0"/>
        <v>1</v>
      </c>
      <c r="N97" s="1858">
        <f t="shared" si="1"/>
        <v>43200</v>
      </c>
      <c r="O97" s="1802"/>
    </row>
    <row r="98" spans="1:15" s="1840" customFormat="1" ht="12" customHeight="1" x14ac:dyDescent="0.25">
      <c r="A98" s="1839"/>
      <c r="B98" s="1803"/>
      <c r="C98" s="4586"/>
      <c r="D98" s="4592"/>
      <c r="E98" s="1853" t="s">
        <v>3822</v>
      </c>
      <c r="F98" s="1854">
        <v>1</v>
      </c>
      <c r="G98" s="1856">
        <f t="shared" ref="G98:G100" si="4">+G97</f>
        <v>43200</v>
      </c>
      <c r="H98" s="1856">
        <v>1</v>
      </c>
      <c r="I98" s="1856"/>
      <c r="J98" s="1856"/>
      <c r="K98" s="1856"/>
      <c r="L98" s="1857"/>
      <c r="M98" s="1856">
        <f t="shared" si="0"/>
        <v>1</v>
      </c>
      <c r="N98" s="1858">
        <f t="shared" si="1"/>
        <v>43200</v>
      </c>
      <c r="O98" s="1802"/>
    </row>
    <row r="99" spans="1:15" s="1840" customFormat="1" ht="12" customHeight="1" x14ac:dyDescent="0.25">
      <c r="A99" s="1839"/>
      <c r="B99" s="1803"/>
      <c r="C99" s="4586"/>
      <c r="D99" s="4592"/>
      <c r="E99" s="1853" t="s">
        <v>3823</v>
      </c>
      <c r="F99" s="1854">
        <v>1</v>
      </c>
      <c r="G99" s="1856">
        <f t="shared" si="4"/>
        <v>43200</v>
      </c>
      <c r="H99" s="1856"/>
      <c r="I99" s="1856"/>
      <c r="J99" s="1856"/>
      <c r="K99" s="1856"/>
      <c r="L99" s="1857">
        <v>0</v>
      </c>
      <c r="M99" s="1856">
        <f t="shared" si="0"/>
        <v>0</v>
      </c>
      <c r="N99" s="1858">
        <f t="shared" si="1"/>
        <v>0</v>
      </c>
      <c r="O99" s="1802"/>
    </row>
    <row r="100" spans="1:15" s="1840" customFormat="1" ht="12" customHeight="1" thickBot="1" x14ac:dyDescent="0.3">
      <c r="A100" s="1839"/>
      <c r="B100" s="1803"/>
      <c r="C100" s="4587"/>
      <c r="D100" s="4593"/>
      <c r="E100" s="1859" t="s">
        <v>3812</v>
      </c>
      <c r="F100" s="1860">
        <v>1</v>
      </c>
      <c r="G100" s="1862">
        <f t="shared" si="4"/>
        <v>43200</v>
      </c>
      <c r="H100" s="1862"/>
      <c r="I100" s="1862"/>
      <c r="J100" s="1862"/>
      <c r="K100" s="1862"/>
      <c r="L100" s="1863">
        <v>0</v>
      </c>
      <c r="M100" s="1862">
        <f t="shared" si="0"/>
        <v>0</v>
      </c>
      <c r="N100" s="1864">
        <f t="shared" si="1"/>
        <v>0</v>
      </c>
      <c r="O100" s="1802"/>
    </row>
    <row r="101" spans="1:15" s="1840" customFormat="1" ht="12.6" customHeight="1" x14ac:dyDescent="0.25">
      <c r="A101" s="1839"/>
      <c r="B101" s="1803"/>
      <c r="C101" s="1815"/>
      <c r="D101" s="1809"/>
      <c r="E101" s="1808"/>
      <c r="F101" s="1815"/>
      <c r="G101" s="1807"/>
      <c r="H101" s="1816"/>
      <c r="I101" s="1816"/>
      <c r="J101" s="1816"/>
      <c r="K101" s="1816"/>
      <c r="L101" s="1816"/>
      <c r="M101" s="1842"/>
      <c r="N101" s="1842"/>
      <c r="O101" s="1802"/>
    </row>
    <row r="102" spans="1:15" s="1840" customFormat="1" ht="14.25" thickBot="1" x14ac:dyDescent="0.3">
      <c r="A102" s="1839"/>
      <c r="B102" s="1825"/>
      <c r="C102" s="1826"/>
      <c r="D102" s="1826"/>
      <c r="E102" s="1826"/>
      <c r="F102" s="1827"/>
      <c r="G102" s="1827"/>
      <c r="H102" s="1826"/>
      <c r="I102" s="1826"/>
      <c r="J102" s="1826"/>
      <c r="K102" s="1826"/>
      <c r="L102" s="1826"/>
      <c r="M102" s="1826"/>
      <c r="N102" s="1826"/>
      <c r="O102" s="1828"/>
    </row>
    <row r="103" spans="1:15" s="1840" customFormat="1" x14ac:dyDescent="0.25">
      <c r="A103" s="1839"/>
      <c r="B103" s="1839"/>
      <c r="F103" s="1843"/>
      <c r="G103" s="1843"/>
    </row>
    <row r="104" spans="1:15" s="1840" customFormat="1" x14ac:dyDescent="0.25">
      <c r="A104" s="1839"/>
      <c r="B104" s="1839"/>
      <c r="F104" s="1843"/>
      <c r="G104" s="1843"/>
    </row>
    <row r="105" spans="1:15" s="1840" customFormat="1" x14ac:dyDescent="0.25">
      <c r="A105" s="1839"/>
      <c r="B105" s="1839"/>
      <c r="F105" s="1843"/>
      <c r="G105" s="1843"/>
    </row>
    <row r="106" spans="1:15" s="1840" customFormat="1" ht="14.25" thickBot="1" x14ac:dyDescent="0.3">
      <c r="A106" s="1839"/>
      <c r="B106" s="1839"/>
      <c r="F106" s="1843"/>
      <c r="G106" s="1843"/>
    </row>
    <row r="107" spans="1:15" s="1840" customFormat="1" ht="46.5" customHeight="1" thickBot="1" x14ac:dyDescent="0.3">
      <c r="A107" s="1839"/>
      <c r="B107" s="1839"/>
      <c r="C107" s="1887" t="s">
        <v>3315</v>
      </c>
      <c r="D107" s="1888" t="s">
        <v>3254</v>
      </c>
      <c r="E107" s="1889" t="s">
        <v>3255</v>
      </c>
      <c r="F107" s="1890"/>
      <c r="G107" s="1887" t="s">
        <v>3269</v>
      </c>
      <c r="H107" s="1889" t="s">
        <v>3254</v>
      </c>
      <c r="I107" s="1759"/>
      <c r="J107" s="1759"/>
      <c r="K107" s="1759"/>
    </row>
    <row r="108" spans="1:15" s="1840" customFormat="1" ht="24.75" customHeight="1" thickBot="1" x14ac:dyDescent="0.3">
      <c r="A108" s="1839"/>
      <c r="B108" s="1839"/>
      <c r="C108" s="1885" t="s">
        <v>71</v>
      </c>
      <c r="D108" s="1886"/>
      <c r="E108" s="1886"/>
      <c r="F108" s="1844"/>
      <c r="G108" s="1877" t="s">
        <v>71</v>
      </c>
      <c r="H108" s="1878"/>
      <c r="I108" s="1759"/>
      <c r="J108" s="1759"/>
      <c r="K108" s="1759"/>
    </row>
    <row r="109" spans="1:15" s="1840" customFormat="1" ht="23.1" customHeight="1" thickBot="1" x14ac:dyDescent="0.3">
      <c r="A109" s="1839"/>
      <c r="B109" s="1839"/>
      <c r="C109" s="1592" t="s">
        <v>1298</v>
      </c>
      <c r="D109" s="1872">
        <v>0</v>
      </c>
      <c r="E109" s="1873"/>
      <c r="F109" s="1760"/>
      <c r="G109" s="1868" t="s">
        <v>3256</v>
      </c>
      <c r="H109" s="1869"/>
      <c r="I109" s="1759"/>
      <c r="J109" s="1759"/>
      <c r="K109" s="1759"/>
    </row>
    <row r="110" spans="1:15" s="1840" customFormat="1" ht="23.1" customHeight="1" thickBot="1" x14ac:dyDescent="0.3">
      <c r="A110" s="1839"/>
      <c r="B110" s="1839"/>
      <c r="C110" s="1592" t="s">
        <v>1300</v>
      </c>
      <c r="D110" s="1872">
        <v>0</v>
      </c>
      <c r="E110" s="1873"/>
      <c r="F110" s="1760"/>
      <c r="G110" s="1868" t="s">
        <v>3257</v>
      </c>
      <c r="H110" s="1869"/>
      <c r="I110" s="1759"/>
      <c r="J110" s="1759"/>
      <c r="K110" s="1759"/>
    </row>
    <row r="111" spans="1:15" s="1840" customFormat="1" ht="23.1" customHeight="1" thickBot="1" x14ac:dyDescent="0.3">
      <c r="A111" s="1839"/>
      <c r="B111" s="1839"/>
      <c r="C111" s="1592" t="s">
        <v>1965</v>
      </c>
      <c r="D111" s="1872">
        <v>0</v>
      </c>
      <c r="E111" s="1873"/>
      <c r="F111" s="1760"/>
      <c r="G111" s="1868" t="s">
        <v>3258</v>
      </c>
      <c r="H111" s="1869"/>
      <c r="I111" s="1759"/>
      <c r="J111" s="1759"/>
      <c r="K111" s="1759"/>
    </row>
    <row r="112" spans="1:15" s="1840" customFormat="1" ht="23.1" customHeight="1" thickBot="1" x14ac:dyDescent="0.3">
      <c r="A112" s="1839"/>
      <c r="B112" s="1839"/>
      <c r="C112" s="1592" t="s">
        <v>1967</v>
      </c>
      <c r="D112" s="1872">
        <v>0</v>
      </c>
      <c r="E112" s="1873"/>
      <c r="F112" s="1760"/>
      <c r="G112" s="1879" t="s">
        <v>3259</v>
      </c>
      <c r="H112" s="1880"/>
      <c r="I112" s="1759"/>
      <c r="J112" s="1759"/>
      <c r="K112" s="1759"/>
    </row>
    <row r="113" spans="1:11" s="1840" customFormat="1" ht="23.1" customHeight="1" thickBot="1" x14ac:dyDescent="0.3">
      <c r="A113" s="1839"/>
      <c r="B113" s="1839"/>
      <c r="C113" s="1884" t="s">
        <v>3259</v>
      </c>
      <c r="D113" s="1883"/>
      <c r="E113" s="1883"/>
      <c r="F113" s="1760"/>
      <c r="G113" s="1868" t="s">
        <v>3260</v>
      </c>
      <c r="H113" s="1870"/>
      <c r="I113" s="1759"/>
      <c r="J113" s="1759"/>
      <c r="K113" s="1759"/>
    </row>
    <row r="114" spans="1:11" s="1840" customFormat="1" ht="23.1" customHeight="1" thickBot="1" x14ac:dyDescent="0.3">
      <c r="A114" s="1839"/>
      <c r="B114" s="1839"/>
      <c r="C114" s="1592" t="s">
        <v>1305</v>
      </c>
      <c r="D114" s="1872">
        <v>0</v>
      </c>
      <c r="E114" s="1873"/>
      <c r="F114" s="1760"/>
      <c r="G114" s="1879" t="s">
        <v>1225</v>
      </c>
      <c r="H114" s="1880"/>
      <c r="I114" s="1759"/>
      <c r="J114" s="1759"/>
      <c r="K114" s="1759"/>
    </row>
    <row r="115" spans="1:11" s="1840" customFormat="1" ht="23.1" customHeight="1" thickBot="1" x14ac:dyDescent="0.3">
      <c r="A115" s="1839"/>
      <c r="B115" s="1839"/>
      <c r="C115" s="1884" t="s">
        <v>1225</v>
      </c>
      <c r="D115" s="1883"/>
      <c r="E115" s="1883"/>
      <c r="F115" s="1760"/>
      <c r="G115" s="1868" t="s">
        <v>1226</v>
      </c>
      <c r="H115" s="1869"/>
      <c r="I115" s="1759"/>
      <c r="J115" s="1759"/>
      <c r="K115" s="1759"/>
    </row>
    <row r="116" spans="1:11" s="1840" customFormat="1" ht="23.1" customHeight="1" thickBot="1" x14ac:dyDescent="0.3">
      <c r="A116" s="1839"/>
      <c r="B116" s="1839"/>
      <c r="C116" s="1592" t="s">
        <v>1226</v>
      </c>
      <c r="D116" s="1872">
        <v>0</v>
      </c>
      <c r="E116" s="1873"/>
      <c r="F116" s="1760"/>
      <c r="G116" s="1868" t="s">
        <v>414</v>
      </c>
      <c r="H116" s="1869"/>
      <c r="I116" s="1759"/>
      <c r="J116" s="1759"/>
      <c r="K116" s="1759"/>
    </row>
    <row r="117" spans="1:11" s="1840" customFormat="1" ht="23.1" customHeight="1" thickBot="1" x14ac:dyDescent="0.3">
      <c r="A117" s="1839"/>
      <c r="B117" s="1839"/>
      <c r="C117" s="1592" t="s">
        <v>414</v>
      </c>
      <c r="D117" s="1872">
        <v>0</v>
      </c>
      <c r="E117" s="1873"/>
      <c r="F117" s="1760"/>
      <c r="G117" s="1868" t="s">
        <v>1227</v>
      </c>
      <c r="H117" s="1869"/>
      <c r="I117" s="1759"/>
      <c r="J117" s="1759"/>
      <c r="K117" s="1759"/>
    </row>
    <row r="118" spans="1:11" s="1840" customFormat="1" ht="23.1" customHeight="1" thickBot="1" x14ac:dyDescent="0.3">
      <c r="A118" s="1839"/>
      <c r="B118" s="1839"/>
      <c r="C118" s="1592" t="s">
        <v>1968</v>
      </c>
      <c r="D118" s="1872">
        <v>0</v>
      </c>
      <c r="E118" s="1873"/>
      <c r="F118" s="1760"/>
      <c r="G118" s="1868" t="s">
        <v>58</v>
      </c>
      <c r="H118" s="1870"/>
      <c r="I118" s="1759"/>
      <c r="J118" s="1759"/>
      <c r="K118" s="1759"/>
    </row>
    <row r="119" spans="1:11" s="1840" customFormat="1" ht="23.1" customHeight="1" thickBot="1" x14ac:dyDescent="0.3">
      <c r="A119" s="1839"/>
      <c r="B119" s="1839"/>
      <c r="C119" s="1592" t="s">
        <v>1232</v>
      </c>
      <c r="D119" s="1872">
        <v>0</v>
      </c>
      <c r="E119" s="1873"/>
      <c r="F119" s="1760"/>
      <c r="G119" s="1868" t="s">
        <v>375</v>
      </c>
      <c r="H119" s="1871"/>
      <c r="I119" s="1759"/>
      <c r="J119" s="1759"/>
      <c r="K119" s="1759"/>
    </row>
    <row r="120" spans="1:11" s="1840" customFormat="1" ht="23.1" customHeight="1" thickBot="1" x14ac:dyDescent="0.3">
      <c r="A120" s="1839"/>
      <c r="B120" s="1839"/>
      <c r="C120" s="1592" t="s">
        <v>1231</v>
      </c>
      <c r="D120" s="1872">
        <v>0</v>
      </c>
      <c r="E120" s="1873"/>
      <c r="F120" s="1760"/>
      <c r="G120" s="1868" t="s">
        <v>1235</v>
      </c>
      <c r="H120" s="1871"/>
      <c r="I120" s="1759"/>
      <c r="J120" s="1759"/>
      <c r="K120" s="1759"/>
    </row>
    <row r="121" spans="1:11" s="1840" customFormat="1" ht="23.1" customHeight="1" thickBot="1" x14ac:dyDescent="0.3">
      <c r="A121" s="1839"/>
      <c r="B121" s="1839"/>
      <c r="C121" s="1592" t="s">
        <v>1227</v>
      </c>
      <c r="D121" s="1872">
        <v>0</v>
      </c>
      <c r="E121" s="1873"/>
      <c r="F121" s="1760"/>
      <c r="G121" s="1868" t="s">
        <v>1233</v>
      </c>
      <c r="H121" s="1870"/>
      <c r="I121" s="1759"/>
      <c r="J121" s="1759"/>
      <c r="K121" s="1759"/>
    </row>
    <row r="122" spans="1:11" s="1840" customFormat="1" ht="23.1" customHeight="1" thickBot="1" x14ac:dyDescent="0.3">
      <c r="A122" s="1839"/>
      <c r="B122" s="1839"/>
      <c r="C122" s="1592" t="s">
        <v>1229</v>
      </c>
      <c r="D122" s="1872">
        <v>0</v>
      </c>
      <c r="E122" s="1873"/>
      <c r="F122" s="1760"/>
      <c r="G122" s="1879" t="s">
        <v>61</v>
      </c>
      <c r="H122" s="1880"/>
      <c r="I122" s="1759"/>
      <c r="J122" s="1759"/>
      <c r="K122" s="1759"/>
    </row>
    <row r="123" spans="1:11" s="1840" customFormat="1" ht="23.1" customHeight="1" thickBot="1" x14ac:dyDescent="0.3">
      <c r="A123" s="1839"/>
      <c r="B123" s="1839"/>
      <c r="C123" s="1592" t="s">
        <v>1313</v>
      </c>
      <c r="D123" s="1872">
        <v>0</v>
      </c>
      <c r="E123" s="1873"/>
      <c r="F123" s="1760"/>
      <c r="G123" s="1868" t="s">
        <v>3261</v>
      </c>
      <c r="H123" s="1869">
        <f>N51+N53+N54+N62</f>
        <v>17520</v>
      </c>
      <c r="I123" s="1759"/>
      <c r="J123" s="1759"/>
      <c r="K123" s="1759"/>
    </row>
    <row r="124" spans="1:11" s="1840" customFormat="1" ht="23.1" customHeight="1" thickBot="1" x14ac:dyDescent="0.3">
      <c r="A124" s="1839"/>
      <c r="B124" s="1839"/>
      <c r="C124" s="1592" t="s">
        <v>1314</v>
      </c>
      <c r="D124" s="1872">
        <v>0</v>
      </c>
      <c r="E124" s="1022"/>
      <c r="F124" s="1760"/>
      <c r="G124" s="1879" t="s">
        <v>3262</v>
      </c>
      <c r="H124" s="1880"/>
      <c r="I124" s="1759"/>
      <c r="J124" s="1759"/>
      <c r="K124" s="1759"/>
    </row>
    <row r="125" spans="1:11" s="1840" customFormat="1" ht="23.1" customHeight="1" thickBot="1" x14ac:dyDescent="0.3">
      <c r="A125" s="1839"/>
      <c r="B125" s="1839"/>
      <c r="C125" s="1592" t="s">
        <v>329</v>
      </c>
      <c r="D125" s="1872">
        <v>0</v>
      </c>
      <c r="E125" s="1874"/>
      <c r="F125" s="1760"/>
      <c r="G125" s="1868" t="s">
        <v>1784</v>
      </c>
      <c r="H125" s="1869">
        <f>N80+N82+N84+N87+N90+N91</f>
        <v>0</v>
      </c>
      <c r="I125" s="1759"/>
      <c r="J125" s="1759"/>
      <c r="K125" s="1759"/>
    </row>
    <row r="126" spans="1:11" s="1840" customFormat="1" ht="23.1" customHeight="1" thickBot="1" x14ac:dyDescent="0.3">
      <c r="A126" s="1839"/>
      <c r="B126" s="1839"/>
      <c r="C126" s="1592" t="s">
        <v>412</v>
      </c>
      <c r="D126" s="1872">
        <v>0</v>
      </c>
      <c r="E126" s="1874"/>
      <c r="F126" s="1760"/>
      <c r="G126" s="1879" t="s">
        <v>427</v>
      </c>
      <c r="H126" s="1880"/>
      <c r="I126" s="1759"/>
      <c r="J126" s="1759"/>
      <c r="K126" s="1759"/>
    </row>
    <row r="127" spans="1:11" s="1840" customFormat="1" ht="23.1" customHeight="1" thickBot="1" x14ac:dyDescent="0.3">
      <c r="A127" s="1839"/>
      <c r="B127" s="1839"/>
      <c r="C127" s="1592" t="s">
        <v>1234</v>
      </c>
      <c r="D127" s="1872">
        <v>0</v>
      </c>
      <c r="E127" s="1874"/>
      <c r="F127" s="1760"/>
      <c r="G127" s="1868" t="s">
        <v>3263</v>
      </c>
      <c r="H127" s="1869">
        <f>N68</f>
        <v>117</v>
      </c>
      <c r="I127" s="1759"/>
      <c r="J127" s="1759"/>
      <c r="K127" s="1759"/>
    </row>
    <row r="128" spans="1:11" s="1840" customFormat="1" ht="23.1" customHeight="1" thickBot="1" x14ac:dyDescent="0.3">
      <c r="A128" s="1839"/>
      <c r="B128" s="1839"/>
      <c r="C128" s="1592" t="s">
        <v>1969</v>
      </c>
      <c r="D128" s="1872">
        <v>0</v>
      </c>
      <c r="E128" s="1874"/>
      <c r="F128" s="1760"/>
      <c r="G128" s="1868" t="s">
        <v>3264</v>
      </c>
      <c r="H128" s="1869">
        <f t="shared" ref="H128:H130" si="5">N69</f>
        <v>117</v>
      </c>
      <c r="I128" s="1759"/>
      <c r="J128" s="1759"/>
      <c r="K128" s="1759"/>
    </row>
    <row r="129" spans="1:11" s="1840" customFormat="1" ht="23.1" customHeight="1" thickBot="1" x14ac:dyDescent="0.3">
      <c r="A129" s="1839"/>
      <c r="B129" s="1839"/>
      <c r="C129" s="1592" t="s">
        <v>1970</v>
      </c>
      <c r="D129" s="1872">
        <v>0</v>
      </c>
      <c r="E129" s="1874"/>
      <c r="F129" s="1760"/>
      <c r="G129" s="1868" t="s">
        <v>3265</v>
      </c>
      <c r="H129" s="1869">
        <f t="shared" si="5"/>
        <v>117</v>
      </c>
      <c r="I129" s="1759"/>
      <c r="J129" s="1759"/>
      <c r="K129" s="1759"/>
    </row>
    <row r="130" spans="1:11" s="1840" customFormat="1" ht="23.1" customHeight="1" thickBot="1" x14ac:dyDescent="0.3">
      <c r="A130" s="1839"/>
      <c r="B130" s="1839"/>
      <c r="C130" s="1592" t="s">
        <v>1746</v>
      </c>
      <c r="D130" s="1872">
        <v>0</v>
      </c>
      <c r="E130" s="1874"/>
      <c r="F130" s="1760"/>
      <c r="G130" s="1868" t="s">
        <v>3266</v>
      </c>
      <c r="H130" s="1869">
        <f t="shared" si="5"/>
        <v>0</v>
      </c>
      <c r="I130" s="1759"/>
      <c r="J130" s="1759"/>
      <c r="K130" s="1759"/>
    </row>
    <row r="131" spans="1:11" s="1840" customFormat="1" ht="23.1" customHeight="1" thickBot="1" x14ac:dyDescent="0.3">
      <c r="A131" s="1839"/>
      <c r="B131" s="1839"/>
      <c r="C131" s="1592" t="s">
        <v>1235</v>
      </c>
      <c r="D131" s="1872">
        <v>0</v>
      </c>
      <c r="E131" s="1874"/>
      <c r="F131" s="1760"/>
      <c r="G131" s="1879" t="s">
        <v>1224</v>
      </c>
      <c r="H131" s="1880"/>
      <c r="I131" s="1759"/>
      <c r="J131" s="1759"/>
      <c r="K131" s="1759"/>
    </row>
    <row r="132" spans="1:11" s="1840" customFormat="1" ht="23.1" customHeight="1" thickBot="1" x14ac:dyDescent="0.3">
      <c r="A132" s="1839"/>
      <c r="B132" s="1839"/>
      <c r="C132" s="1592" t="s">
        <v>1798</v>
      </c>
      <c r="D132" s="1872">
        <v>0</v>
      </c>
      <c r="E132" s="1874"/>
      <c r="F132" s="1760"/>
      <c r="G132" s="1868" t="s">
        <v>1237</v>
      </c>
      <c r="H132" s="1869">
        <f>N93+N94+N96+N97+N98+N99</f>
        <v>129600</v>
      </c>
      <c r="I132" s="1759"/>
      <c r="J132" s="1759"/>
      <c r="K132" s="1759"/>
    </row>
    <row r="133" spans="1:11" s="1840" customFormat="1" ht="23.1" customHeight="1" thickBot="1" x14ac:dyDescent="0.3">
      <c r="A133" s="1839"/>
      <c r="B133" s="1839"/>
      <c r="C133" s="1592" t="s">
        <v>1971</v>
      </c>
      <c r="D133" s="1872">
        <v>0</v>
      </c>
      <c r="E133" s="1874"/>
      <c r="F133" s="1760"/>
      <c r="G133" s="1868" t="s">
        <v>3267</v>
      </c>
      <c r="H133" s="1869"/>
      <c r="I133" s="1759"/>
      <c r="J133" s="1759"/>
      <c r="K133" s="1759"/>
    </row>
    <row r="134" spans="1:11" s="1840" customFormat="1" ht="23.1" customHeight="1" thickBot="1" x14ac:dyDescent="0.3">
      <c r="A134" s="1839"/>
      <c r="B134" s="1839"/>
      <c r="C134" s="1884" t="s">
        <v>61</v>
      </c>
      <c r="D134" s="1882">
        <v>0</v>
      </c>
      <c r="E134" s="1883"/>
      <c r="F134" s="1760"/>
      <c r="G134" s="1868" t="s">
        <v>381</v>
      </c>
      <c r="H134" s="1869"/>
      <c r="I134" s="1759"/>
      <c r="J134" s="1759"/>
      <c r="K134" s="1759"/>
    </row>
    <row r="135" spans="1:11" s="1840" customFormat="1" ht="22.5" customHeight="1" thickBot="1" x14ac:dyDescent="0.3">
      <c r="A135" s="1839"/>
      <c r="B135" s="1839"/>
      <c r="C135" s="1592" t="s">
        <v>1972</v>
      </c>
      <c r="D135" s="1872">
        <v>0</v>
      </c>
      <c r="E135" s="1874"/>
      <c r="F135" s="1760"/>
      <c r="G135" s="1868" t="s">
        <v>98</v>
      </c>
      <c r="H135" s="1869"/>
      <c r="I135" s="1759"/>
      <c r="J135" s="1759"/>
      <c r="K135" s="1759"/>
    </row>
    <row r="136" spans="1:11" s="1840" customFormat="1" ht="23.1" customHeight="1" thickBot="1" x14ac:dyDescent="0.3">
      <c r="A136" s="1839"/>
      <c r="B136" s="1839"/>
      <c r="C136" s="1607" t="s">
        <v>1973</v>
      </c>
      <c r="D136" s="1872">
        <v>0</v>
      </c>
      <c r="E136" s="1874"/>
      <c r="F136" s="1760"/>
      <c r="G136" s="1843"/>
      <c r="I136" s="1759"/>
      <c r="J136" s="1759"/>
      <c r="K136" s="1759"/>
    </row>
    <row r="137" spans="1:11" s="1840" customFormat="1" ht="23.1" customHeight="1" thickBot="1" x14ac:dyDescent="0.3">
      <c r="A137" s="1839"/>
      <c r="B137" s="1839"/>
      <c r="C137" s="1884" t="s">
        <v>2047</v>
      </c>
      <c r="D137" s="1882">
        <v>0</v>
      </c>
      <c r="E137" s="1883"/>
      <c r="F137" s="1760"/>
      <c r="G137" s="1759"/>
      <c r="H137" s="1759"/>
      <c r="I137" s="1759"/>
      <c r="J137" s="1759"/>
      <c r="K137" s="1759"/>
    </row>
    <row r="138" spans="1:11" s="1840" customFormat="1" ht="23.1" customHeight="1" thickBot="1" x14ac:dyDescent="0.3">
      <c r="A138" s="1839"/>
      <c r="B138" s="1839"/>
      <c r="C138" s="1183" t="s">
        <v>1855</v>
      </c>
      <c r="D138" s="1872">
        <v>0</v>
      </c>
      <c r="E138" s="1874"/>
      <c r="F138" s="1760"/>
      <c r="G138" s="1759"/>
      <c r="H138" s="1759"/>
      <c r="I138" s="1759"/>
      <c r="J138" s="1759"/>
      <c r="K138" s="1759"/>
    </row>
    <row r="139" spans="1:11" s="1840" customFormat="1" ht="23.1" customHeight="1" thickBot="1" x14ac:dyDescent="0.3">
      <c r="A139" s="1839"/>
      <c r="B139" s="1839"/>
      <c r="C139" s="1183" t="s">
        <v>1975</v>
      </c>
      <c r="D139" s="1872">
        <v>0</v>
      </c>
      <c r="E139" s="1874"/>
      <c r="F139" s="1760"/>
      <c r="G139" s="1759"/>
      <c r="H139" s="1759"/>
      <c r="I139" s="1759"/>
      <c r="J139" s="1759"/>
      <c r="K139" s="1759"/>
    </row>
    <row r="140" spans="1:11" s="1840" customFormat="1" ht="23.1" customHeight="1" thickBot="1" x14ac:dyDescent="0.3">
      <c r="A140" s="1839"/>
      <c r="B140" s="1839"/>
      <c r="C140" s="1884" t="s">
        <v>427</v>
      </c>
      <c r="D140" s="1882">
        <v>0</v>
      </c>
      <c r="E140" s="1883"/>
      <c r="F140" s="1760"/>
      <c r="G140" s="1759"/>
      <c r="H140" s="1759"/>
      <c r="I140" s="1759"/>
      <c r="J140" s="1759"/>
      <c r="K140" s="1759"/>
    </row>
    <row r="141" spans="1:11" s="1840" customFormat="1" ht="23.1" customHeight="1" thickBot="1" x14ac:dyDescent="0.3">
      <c r="A141" s="1839"/>
      <c r="B141" s="1839"/>
      <c r="C141" s="1867" t="s">
        <v>1777</v>
      </c>
      <c r="D141" s="1875">
        <f>H127</f>
        <v>117</v>
      </c>
      <c r="E141" s="1874" t="str">
        <f>E68</f>
        <v>CAMA CLINICA METALICA RODABLE</v>
      </c>
      <c r="F141" s="1760"/>
      <c r="G141" s="1759"/>
      <c r="H141" s="1759"/>
      <c r="I141" s="1759"/>
      <c r="J141" s="1759"/>
      <c r="K141" s="1759"/>
    </row>
    <row r="142" spans="1:11" s="1840" customFormat="1" ht="23.1" customHeight="1" thickBot="1" x14ac:dyDescent="0.3">
      <c r="A142" s="1839"/>
      <c r="B142" s="1839"/>
      <c r="C142" s="1867" t="s">
        <v>1778</v>
      </c>
      <c r="D142" s="1875">
        <f>H128</f>
        <v>117</v>
      </c>
      <c r="E142" s="1874" t="str">
        <f t="shared" ref="E142:E143" si="6">E69</f>
        <v>CAMA CLINICA METALICA RODABLE</v>
      </c>
      <c r="F142" s="1760"/>
      <c r="G142" s="1759"/>
      <c r="H142" s="1759"/>
      <c r="I142" s="1759"/>
      <c r="J142" s="1759"/>
      <c r="K142" s="1759"/>
    </row>
    <row r="143" spans="1:11" s="1840" customFormat="1" ht="23.1" customHeight="1" thickBot="1" x14ac:dyDescent="0.3">
      <c r="A143" s="1839"/>
      <c r="B143" s="1839"/>
      <c r="C143" s="1867" t="s">
        <v>1779</v>
      </c>
      <c r="D143" s="1875">
        <f>H129</f>
        <v>117</v>
      </c>
      <c r="E143" s="1874" t="str">
        <f t="shared" si="6"/>
        <v>CAMA CLINICA METALICA RODABLE</v>
      </c>
      <c r="F143" s="1760"/>
      <c r="G143" s="1759"/>
      <c r="H143" s="1759"/>
      <c r="I143" s="1759"/>
      <c r="J143" s="1759"/>
      <c r="K143" s="1759"/>
    </row>
    <row r="144" spans="1:11" s="1840" customFormat="1" ht="23.1" customHeight="1" thickBot="1" x14ac:dyDescent="0.3">
      <c r="A144" s="1839"/>
      <c r="B144" s="1839"/>
      <c r="C144" s="1867" t="s">
        <v>1976</v>
      </c>
      <c r="D144" s="1875">
        <f>H130</f>
        <v>0</v>
      </c>
      <c r="E144" s="1874"/>
      <c r="F144" s="1760"/>
      <c r="G144" s="1759"/>
      <c r="H144" s="1759"/>
      <c r="I144" s="1759"/>
      <c r="J144" s="1759"/>
      <c r="K144" s="1759"/>
    </row>
    <row r="145" spans="1:11" s="1840" customFormat="1" ht="23.1" customHeight="1" thickBot="1" x14ac:dyDescent="0.3">
      <c r="A145" s="1839"/>
      <c r="B145" s="1839"/>
      <c r="C145" s="1867" t="s">
        <v>1977</v>
      </c>
      <c r="D145" s="1872">
        <v>0</v>
      </c>
      <c r="E145" s="1874"/>
      <c r="F145" s="1760"/>
      <c r="G145" s="1759"/>
      <c r="H145" s="1759"/>
      <c r="I145" s="1759"/>
      <c r="J145" s="1759"/>
      <c r="K145" s="1759"/>
    </row>
    <row r="146" spans="1:11" s="1840" customFormat="1" ht="23.1" customHeight="1" thickBot="1" x14ac:dyDescent="0.3">
      <c r="A146" s="1839"/>
      <c r="B146" s="1839"/>
      <c r="C146" s="1881" t="s">
        <v>1224</v>
      </c>
      <c r="D146" s="1882"/>
      <c r="E146" s="1883"/>
      <c r="F146" s="1760"/>
      <c r="G146" s="1759"/>
      <c r="H146" s="1759"/>
      <c r="I146" s="1759"/>
      <c r="J146" s="1759"/>
      <c r="K146" s="1759"/>
    </row>
    <row r="147" spans="1:11" s="1840" customFormat="1" ht="14.25" thickBot="1" x14ac:dyDescent="0.3">
      <c r="A147" s="1839"/>
      <c r="B147" s="1839"/>
      <c r="C147" s="4582" t="s">
        <v>1978</v>
      </c>
      <c r="D147" s="4584">
        <f>H132</f>
        <v>129600</v>
      </c>
      <c r="E147" s="1874" t="str">
        <f>E94</f>
        <v>CENTRIFUGA DE MESA 16 A 28 TUBOS</v>
      </c>
      <c r="F147" s="1760"/>
      <c r="G147" s="1759"/>
      <c r="H147" s="1759"/>
      <c r="I147" s="1759"/>
      <c r="J147" s="1759"/>
      <c r="K147" s="1759"/>
    </row>
    <row r="148" spans="1:11" s="1840" customFormat="1" ht="14.25" thickBot="1" x14ac:dyDescent="0.3">
      <c r="A148" s="1839"/>
      <c r="B148" s="1839"/>
      <c r="C148" s="4583"/>
      <c r="D148" s="4584"/>
      <c r="E148" s="1874" t="str">
        <f>E97</f>
        <v>MICROSCOPIO BINOCULAR CON LENTE DE INMERSION</v>
      </c>
      <c r="F148" s="1760"/>
      <c r="G148" s="1759"/>
      <c r="H148" s="1759"/>
      <c r="I148" s="1759"/>
      <c r="J148" s="1759"/>
      <c r="K148" s="1759"/>
    </row>
    <row r="149" spans="1:11" s="1840" customFormat="1" ht="14.25" thickBot="1" x14ac:dyDescent="0.3">
      <c r="A149" s="1839"/>
      <c r="B149" s="1839"/>
      <c r="C149" s="4583"/>
      <c r="D149" s="4584"/>
      <c r="E149" s="1874" t="str">
        <f>E98</f>
        <v>MICROSCOPIO BINOCULAR CON LENTE DE INMERSION</v>
      </c>
      <c r="F149" s="1760"/>
      <c r="G149" s="1759"/>
      <c r="H149" s="1759"/>
      <c r="I149" s="1759"/>
      <c r="J149" s="1759"/>
      <c r="K149" s="1759"/>
    </row>
    <row r="150" spans="1:11" s="1840" customFormat="1" ht="14.25" thickBot="1" x14ac:dyDescent="0.3">
      <c r="A150" s="1839"/>
      <c r="B150" s="1839"/>
      <c r="C150" s="1592" t="s">
        <v>1979</v>
      </c>
      <c r="D150" s="1872">
        <v>0</v>
      </c>
      <c r="E150" s="1873"/>
      <c r="F150" s="1760"/>
      <c r="G150" s="1759"/>
      <c r="H150" s="1759"/>
      <c r="I150" s="1759"/>
      <c r="J150" s="1759"/>
      <c r="K150" s="1759"/>
    </row>
    <row r="151" spans="1:11" s="1840" customFormat="1" ht="14.25" thickBot="1" x14ac:dyDescent="0.3">
      <c r="A151" s="1839"/>
      <c r="B151" s="1839"/>
      <c r="C151" s="1592" t="s">
        <v>90</v>
      </c>
      <c r="D151" s="1872">
        <v>0</v>
      </c>
      <c r="E151" s="1873"/>
      <c r="F151" s="1760"/>
      <c r="G151" s="1759"/>
      <c r="H151" s="1759"/>
      <c r="I151" s="1759"/>
      <c r="J151" s="1759"/>
      <c r="K151" s="1759"/>
    </row>
    <row r="152" spans="1:11" s="1840" customFormat="1" ht="14.25" thickBot="1" x14ac:dyDescent="0.3">
      <c r="A152" s="1839"/>
      <c r="B152" s="1839"/>
      <c r="C152" s="1592" t="s">
        <v>91</v>
      </c>
      <c r="D152" s="1872">
        <v>0</v>
      </c>
      <c r="E152" s="1873"/>
      <c r="F152" s="1760"/>
      <c r="G152" s="1759"/>
      <c r="H152" s="1759"/>
      <c r="I152" s="1759"/>
      <c r="J152" s="1759"/>
      <c r="K152" s="1759"/>
    </row>
    <row r="153" spans="1:11" s="1840" customFormat="1" ht="14.25" thickBot="1" x14ac:dyDescent="0.3">
      <c r="A153" s="1839"/>
      <c r="B153" s="1839"/>
      <c r="C153" s="1592" t="s">
        <v>3824</v>
      </c>
      <c r="D153" s="1872">
        <v>0</v>
      </c>
      <c r="E153" s="1873"/>
      <c r="F153" s="1760"/>
      <c r="G153" s="1759"/>
      <c r="H153" s="1759"/>
      <c r="I153" s="1759"/>
      <c r="J153" s="1759"/>
      <c r="K153" s="1759"/>
    </row>
    <row r="154" spans="1:11" s="1840" customFormat="1" ht="14.25" thickBot="1" x14ac:dyDescent="0.3">
      <c r="A154" s="1839"/>
      <c r="B154" s="1839"/>
      <c r="C154" s="1592" t="s">
        <v>1982</v>
      </c>
      <c r="D154" s="1872">
        <v>0</v>
      </c>
      <c r="E154" s="1874"/>
      <c r="F154" s="1760"/>
      <c r="G154" s="1759"/>
      <c r="H154" s="1759"/>
      <c r="I154" s="1759"/>
      <c r="J154" s="1759"/>
      <c r="K154" s="1759"/>
    </row>
    <row r="155" spans="1:11" s="1840" customFormat="1" ht="14.25" thickBot="1" x14ac:dyDescent="0.3">
      <c r="A155" s="1839"/>
      <c r="B155" s="1839"/>
      <c r="C155" s="1592" t="s">
        <v>381</v>
      </c>
      <c r="D155" s="1872">
        <v>0</v>
      </c>
      <c r="E155" s="1876"/>
      <c r="F155" s="1760"/>
      <c r="G155" s="1759"/>
      <c r="H155" s="1759"/>
      <c r="I155" s="1759"/>
      <c r="J155" s="1759"/>
      <c r="K155" s="1759"/>
    </row>
    <row r="156" spans="1:11" s="1840" customFormat="1" x14ac:dyDescent="0.25">
      <c r="A156" s="1839"/>
      <c r="B156" s="1839"/>
      <c r="C156" s="1597"/>
      <c r="D156" s="1793"/>
      <c r="E156" s="1759"/>
      <c r="F156" s="1760"/>
      <c r="G156" s="1759"/>
      <c r="H156" s="1759"/>
      <c r="I156" s="1759"/>
      <c r="J156" s="1759"/>
      <c r="K156" s="1759"/>
    </row>
    <row r="157" spans="1:11" s="1840" customFormat="1" x14ac:dyDescent="0.25">
      <c r="A157" s="1839"/>
      <c r="B157" s="1839"/>
      <c r="C157" s="1597"/>
      <c r="D157" s="1793"/>
      <c r="E157" s="1759"/>
      <c r="F157" s="1760"/>
      <c r="G157" s="1759"/>
      <c r="H157" s="1759"/>
      <c r="I157" s="1759"/>
      <c r="J157" s="1759"/>
      <c r="K157" s="1759"/>
    </row>
    <row r="158" spans="1:11" s="1840" customFormat="1" x14ac:dyDescent="0.25">
      <c r="A158" s="1839"/>
      <c r="B158" s="1839"/>
      <c r="C158" s="1597"/>
      <c r="D158" s="1793"/>
      <c r="E158" s="1759"/>
      <c r="F158" s="1760"/>
      <c r="G158" s="1759"/>
      <c r="H158" s="1759"/>
      <c r="I158" s="1759"/>
      <c r="J158" s="1759"/>
      <c r="K158" s="1759"/>
    </row>
  </sheetData>
  <mergeCells count="25">
    <mergeCell ref="C147:C149"/>
    <mergeCell ref="D147:D149"/>
    <mergeCell ref="C42:C62"/>
    <mergeCell ref="D42:D62"/>
    <mergeCell ref="C63:C77"/>
    <mergeCell ref="D63:D77"/>
    <mergeCell ref="C78:C92"/>
    <mergeCell ref="D78:D92"/>
    <mergeCell ref="C93:C100"/>
    <mergeCell ref="D93:D100"/>
    <mergeCell ref="C31:N31"/>
    <mergeCell ref="F33:M33"/>
    <mergeCell ref="F35:M35"/>
    <mergeCell ref="C38:C41"/>
    <mergeCell ref="D38:D41"/>
    <mergeCell ref="E38:E41"/>
    <mergeCell ref="F38:G38"/>
    <mergeCell ref="H38:M38"/>
    <mergeCell ref="N38:N41"/>
    <mergeCell ref="F39:F41"/>
    <mergeCell ref="G39:G41"/>
    <mergeCell ref="H39:I39"/>
    <mergeCell ref="J39:K39"/>
    <mergeCell ref="L39:L40"/>
    <mergeCell ref="M39:M41"/>
  </mergeCells>
  <conditionalFormatting sqref="C8:F18">
    <cfRule type="duplicateValues" dxfId="23" priority="1"/>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C2:Z239"/>
  <sheetViews>
    <sheetView topLeftCell="D153" zoomScale="70" zoomScaleNormal="70" workbookViewId="0">
      <selection activeCell="G244" sqref="G244"/>
    </sheetView>
  </sheetViews>
  <sheetFormatPr baseColWidth="10" defaultColWidth="11.42578125" defaultRowHeight="13.5" x14ac:dyDescent="0.25"/>
  <cols>
    <col min="1" max="2" width="11.42578125" style="691"/>
    <col min="3" max="3" width="4.140625" style="691" customWidth="1"/>
    <col min="4" max="4" width="35.28515625" style="691" customWidth="1"/>
    <col min="5" max="8" width="18" style="691" customWidth="1"/>
    <col min="9" max="9" width="11.85546875" style="691" customWidth="1"/>
    <col min="10" max="10" width="11.7109375" style="691" customWidth="1"/>
    <col min="11" max="11" width="11.5703125" style="691" customWidth="1"/>
    <col min="12" max="12" width="13.42578125" style="691" customWidth="1"/>
    <col min="13" max="13" width="11.140625" style="691" customWidth="1"/>
    <col min="14" max="14" width="10.42578125" style="691" customWidth="1"/>
    <col min="15" max="15" width="11" style="691" customWidth="1"/>
    <col min="16" max="16" width="10.5703125" style="691" customWidth="1"/>
    <col min="17" max="17" width="10.85546875" style="691" customWidth="1"/>
    <col min="18" max="18" width="10.7109375" style="691" customWidth="1"/>
    <col min="19" max="19" width="10.85546875" style="691" customWidth="1"/>
    <col min="20" max="20" width="11.42578125" style="691"/>
    <col min="21" max="21" width="10.42578125" style="691" customWidth="1"/>
    <col min="22" max="23" width="11.42578125" style="691"/>
    <col min="24" max="24" width="4.42578125" style="691" customWidth="1"/>
    <col min="25" max="25" width="12.85546875" style="691" customWidth="1"/>
    <col min="26" max="26" width="29.28515625" style="691" customWidth="1"/>
    <col min="27" max="16384" width="11.42578125" style="691"/>
  </cols>
  <sheetData>
    <row r="2" spans="4:26" x14ac:dyDescent="0.25">
      <c r="D2" s="1785" t="s">
        <v>3316</v>
      </c>
    </row>
    <row r="3" spans="4:26" ht="14.25" thickBot="1" x14ac:dyDescent="0.3">
      <c r="H3" s="1597"/>
    </row>
    <row r="4" spans="4:26" ht="58.15" customHeight="1" thickBot="1" x14ac:dyDescent="0.3">
      <c r="D4" s="1602" t="s">
        <v>3317</v>
      </c>
      <c r="E4" s="1603" t="s">
        <v>3318</v>
      </c>
      <c r="F4" s="1603" t="s">
        <v>3273</v>
      </c>
      <c r="G4" s="1603" t="s">
        <v>3254</v>
      </c>
      <c r="H4" s="1777" t="s">
        <v>3319</v>
      </c>
      <c r="Y4" s="1761"/>
      <c r="Z4" s="1761"/>
    </row>
    <row r="5" spans="4:26" ht="15.95" customHeight="1" thickBot="1" x14ac:dyDescent="0.3">
      <c r="D5" s="1781" t="s">
        <v>71</v>
      </c>
      <c r="E5" s="1782"/>
      <c r="F5" s="1782"/>
      <c r="G5" s="1782"/>
      <c r="H5" s="1782"/>
      <c r="Y5" s="1764"/>
      <c r="Z5" s="1764"/>
    </row>
    <row r="6" spans="4:26" ht="15.95" customHeight="1" thickBot="1" x14ac:dyDescent="0.3">
      <c r="D6" s="1608" t="s">
        <v>1298</v>
      </c>
      <c r="E6" s="1786">
        <f>'15.3 Consolddo y Ota Opt RH'!D144</f>
        <v>13067.727308970099</v>
      </c>
      <c r="F6" s="1786">
        <f>'16.2 Ota Opt INFRA'!R16</f>
        <v>0</v>
      </c>
      <c r="G6" s="1787">
        <f>'17 Ota Opt EQUIP'!H109</f>
        <v>0</v>
      </c>
      <c r="H6" s="1786">
        <f>MIN(E6:G6)</f>
        <v>0</v>
      </c>
      <c r="Y6" s="1765"/>
      <c r="Z6" s="1765"/>
    </row>
    <row r="7" spans="4:26" ht="25.9" customHeight="1" thickBot="1" x14ac:dyDescent="0.3">
      <c r="D7" s="1608" t="s">
        <v>1300</v>
      </c>
      <c r="E7" s="1786">
        <f>'15.3 Consolddo y Ota Opt RH'!D145</f>
        <v>0</v>
      </c>
      <c r="F7" s="1786">
        <f>'16.2 Ota Opt INFRA'!R18+'16.2 Ota Opt INFRA'!R19</f>
        <v>0</v>
      </c>
      <c r="G7" s="1787">
        <f>'17 Ota Opt EQUIP'!H110</f>
        <v>0</v>
      </c>
      <c r="H7" s="1786">
        <f>MIN(E7:G7)</f>
        <v>0</v>
      </c>
      <c r="Y7" s="1765"/>
      <c r="Z7" s="1765"/>
    </row>
    <row r="8" spans="4:26" ht="25.9" customHeight="1" thickBot="1" x14ac:dyDescent="0.3">
      <c r="D8" s="1608" t="s">
        <v>1965</v>
      </c>
      <c r="E8" s="1786">
        <f>'15.3 Consolddo y Ota Opt RH'!D146</f>
        <v>0</v>
      </c>
      <c r="F8" s="1786">
        <v>0</v>
      </c>
      <c r="G8" s="1787">
        <f>'17 Ota Opt EQUIP'!H111</f>
        <v>0</v>
      </c>
      <c r="H8" s="1786">
        <f>MIN(E8:G8)</f>
        <v>0</v>
      </c>
      <c r="Y8" s="1765"/>
      <c r="Z8" s="1765"/>
    </row>
    <row r="9" spans="4:26" ht="25.9" customHeight="1" thickBot="1" x14ac:dyDescent="0.3">
      <c r="D9" s="1608" t="s">
        <v>1967</v>
      </c>
      <c r="E9" s="1786">
        <f>'15.3 Consolddo y Ota Opt RH'!D147</f>
        <v>0</v>
      </c>
      <c r="F9" s="1786">
        <f>'16.2 Ota Opt INFRA'!R20</f>
        <v>0</v>
      </c>
      <c r="G9" s="1787">
        <f>'17 Ota Opt EQUIP'!H112</f>
        <v>0</v>
      </c>
      <c r="H9" s="1786">
        <f>MIN(E9:G9)</f>
        <v>0</v>
      </c>
      <c r="Y9" s="1765"/>
      <c r="Z9" s="1765"/>
    </row>
    <row r="10" spans="4:26" ht="15" customHeight="1" thickBot="1" x14ac:dyDescent="0.3">
      <c r="D10" s="1608" t="s">
        <v>1305</v>
      </c>
      <c r="E10" s="1786">
        <f>'15.3 Consolddo y Ota Opt RH'!D148</f>
        <v>0</v>
      </c>
      <c r="F10" s="1786">
        <v>0</v>
      </c>
      <c r="G10" s="1787">
        <f>'17 Ota Opt EQUIP'!H113</f>
        <v>0</v>
      </c>
      <c r="H10" s="1786">
        <f>MIN(E10:G10)</f>
        <v>0</v>
      </c>
      <c r="Y10" s="1765"/>
      <c r="Z10" s="1765"/>
    </row>
    <row r="11" spans="4:26" ht="15.95" customHeight="1" thickBot="1" x14ac:dyDescent="0.3">
      <c r="D11" s="1782" t="s">
        <v>1225</v>
      </c>
      <c r="E11" s="1782"/>
      <c r="F11" s="1782"/>
      <c r="G11" s="1782"/>
      <c r="H11" s="1782"/>
      <c r="Y11" s="1765"/>
      <c r="Z11" s="1765"/>
    </row>
    <row r="12" spans="4:26" ht="15.95" customHeight="1" thickBot="1" x14ac:dyDescent="0.3">
      <c r="D12" s="1608" t="s">
        <v>1226</v>
      </c>
      <c r="E12" s="1786">
        <f>'15.3 Consolddo y Ota Opt RH'!D150</f>
        <v>1716.8787326039389</v>
      </c>
      <c r="F12" s="1786">
        <f>'16.2 Ota Opt INFRA'!R21+'16.2 Ota Opt INFRA'!R22</f>
        <v>0</v>
      </c>
      <c r="G12" s="1786">
        <f>'17 Ota Opt EQUIP'!H115</f>
        <v>0</v>
      </c>
      <c r="H12" s="1786">
        <f t="shared" ref="H12:H13" si="0">MIN(E12:G12)</f>
        <v>0</v>
      </c>
      <c r="Y12" s="1765"/>
      <c r="Z12" s="1765"/>
    </row>
    <row r="13" spans="4:26" ht="15.95" customHeight="1" thickBot="1" x14ac:dyDescent="0.3">
      <c r="D13" s="1608" t="s">
        <v>414</v>
      </c>
      <c r="E13" s="1786">
        <f>'15.3 Consolddo y Ota Opt RH'!D151</f>
        <v>4276.9338538293223</v>
      </c>
      <c r="F13" s="1786">
        <f>F12</f>
        <v>0</v>
      </c>
      <c r="G13" s="1786">
        <f>'17 Ota Opt EQUIP'!H116</f>
        <v>0</v>
      </c>
      <c r="H13" s="1786">
        <f t="shared" si="0"/>
        <v>0</v>
      </c>
      <c r="Y13" s="1765"/>
      <c r="Z13" s="1766"/>
    </row>
    <row r="14" spans="4:26" ht="15.95" customHeight="1" thickBot="1" x14ac:dyDescent="0.3">
      <c r="D14" s="1608" t="s">
        <v>1228</v>
      </c>
      <c r="E14" s="1786">
        <f>'15.3 Consolddo y Ota Opt RH'!D153</f>
        <v>697.14681838074409</v>
      </c>
      <c r="F14" s="1786">
        <v>0</v>
      </c>
      <c r="G14" s="1786">
        <f>'17 Ota Opt EQUIP'!H117</f>
        <v>0</v>
      </c>
      <c r="H14" s="1786">
        <f t="shared" ref="H14:H26" si="1">MIN(E14:G14)</f>
        <v>0</v>
      </c>
      <c r="Y14" s="1124"/>
      <c r="Z14" s="1124"/>
    </row>
    <row r="15" spans="4:26" ht="15.95" customHeight="1" thickBot="1" x14ac:dyDescent="0.3">
      <c r="D15" s="1608" t="s">
        <v>1232</v>
      </c>
      <c r="E15" s="1786">
        <f>'15.3 Consolddo y Ota Opt RH'!D157</f>
        <v>103.12822757111599</v>
      </c>
      <c r="F15" s="1786">
        <v>0</v>
      </c>
      <c r="G15" s="1786">
        <f>'17 Ota Opt EQUIP'!H118</f>
        <v>0</v>
      </c>
      <c r="H15" s="1786">
        <f t="shared" si="1"/>
        <v>0</v>
      </c>
      <c r="Y15" s="1765"/>
      <c r="Z15" s="1765"/>
    </row>
    <row r="16" spans="4:26" ht="15.95" customHeight="1" thickBot="1" x14ac:dyDescent="0.3">
      <c r="D16" s="1608" t="s">
        <v>1231</v>
      </c>
      <c r="E16" s="1786">
        <f>'15.3 Consolddo y Ota Opt RH'!D156</f>
        <v>294.53421794310731</v>
      </c>
      <c r="F16" s="1786">
        <f>F20</f>
        <v>7200</v>
      </c>
      <c r="G16" s="1786">
        <f>'17 Ota Opt EQUIP'!H119</f>
        <v>0</v>
      </c>
      <c r="H16" s="1786">
        <f t="shared" si="1"/>
        <v>0</v>
      </c>
      <c r="Y16" s="1765"/>
      <c r="Z16" s="1765"/>
    </row>
    <row r="17" spans="4:26" ht="15.95" customHeight="1" thickBot="1" x14ac:dyDescent="0.3">
      <c r="D17" s="1608" t="s">
        <v>1227</v>
      </c>
      <c r="E17" s="1786">
        <f>'15.3 Consolddo y Ota Opt RH'!D152</f>
        <v>650.94537242888407</v>
      </c>
      <c r="F17" s="1786">
        <f>'16.2 Ota Opt INFRA'!R23</f>
        <v>7200</v>
      </c>
      <c r="G17" s="1786">
        <f>'17 Ota Opt EQUIP'!H120</f>
        <v>0</v>
      </c>
      <c r="H17" s="1786">
        <f t="shared" si="1"/>
        <v>0</v>
      </c>
      <c r="Y17" s="1765"/>
      <c r="Z17" s="1765"/>
    </row>
    <row r="18" spans="4:26" ht="15.95" customHeight="1" thickBot="1" x14ac:dyDescent="0.3">
      <c r="D18" s="1608" t="s">
        <v>1229</v>
      </c>
      <c r="E18" s="1786">
        <f>'15.3 Consolddo y Ota Opt RH'!D154</f>
        <v>212.85666170678346</v>
      </c>
      <c r="F18" s="1786">
        <v>0</v>
      </c>
      <c r="G18" s="1786">
        <f>'17 Ota Opt EQUIP'!H121</f>
        <v>0</v>
      </c>
      <c r="H18" s="1786">
        <f t="shared" si="1"/>
        <v>0</v>
      </c>
      <c r="Y18" s="1765"/>
      <c r="Z18" s="1765"/>
    </row>
    <row r="19" spans="4:26" ht="15.95" customHeight="1" thickBot="1" x14ac:dyDescent="0.3">
      <c r="D19" s="1608" t="s">
        <v>1313</v>
      </c>
      <c r="E19" s="1786">
        <v>0</v>
      </c>
      <c r="F19" s="1786">
        <f>F16</f>
        <v>7200</v>
      </c>
      <c r="G19" s="1786">
        <f>'17 Ota Opt EQUIP'!H122</f>
        <v>0</v>
      </c>
      <c r="H19" s="1786">
        <f t="shared" si="1"/>
        <v>0</v>
      </c>
      <c r="Y19" s="1124"/>
      <c r="Z19" s="1124"/>
    </row>
    <row r="20" spans="4:26" ht="15.95" customHeight="1" thickBot="1" x14ac:dyDescent="0.3">
      <c r="D20" s="1608" t="s">
        <v>1314</v>
      </c>
      <c r="E20" s="1786">
        <f>'15.3 Consolddo y Ota Opt RH'!D155</f>
        <v>218.63184245076593</v>
      </c>
      <c r="F20" s="1786">
        <f>F17</f>
        <v>7200</v>
      </c>
      <c r="G20" s="1786">
        <f>'17 Ota Opt EQUIP'!H123</f>
        <v>17520</v>
      </c>
      <c r="H20" s="1786">
        <f t="shared" si="1"/>
        <v>218.63184245076593</v>
      </c>
      <c r="Y20" s="1765"/>
      <c r="Z20" s="1766"/>
    </row>
    <row r="21" spans="4:26" ht="15.95" customHeight="1" thickBot="1" x14ac:dyDescent="0.3">
      <c r="D21" s="1608" t="s">
        <v>329</v>
      </c>
      <c r="E21" s="1786">
        <f>'15.3 Consolddo y Ota Opt RH'!D160</f>
        <v>864.24533726502</v>
      </c>
      <c r="F21" s="1786">
        <f>F16</f>
        <v>7200</v>
      </c>
      <c r="G21" s="1786">
        <f>'17 Ota Opt EQUIP'!H124</f>
        <v>0</v>
      </c>
      <c r="H21" s="1786">
        <f t="shared" si="1"/>
        <v>0</v>
      </c>
      <c r="Y21" s="1765"/>
      <c r="Z21" s="1765"/>
    </row>
    <row r="22" spans="4:26" ht="15.95" customHeight="1" thickBot="1" x14ac:dyDescent="0.3">
      <c r="D22" s="1608" t="s">
        <v>1223</v>
      </c>
      <c r="E22" s="1786">
        <f>'15.3 Consolddo y Ota Opt RH'!D161</f>
        <v>4313.4714338370804</v>
      </c>
      <c r="F22" s="1786">
        <f>F16</f>
        <v>7200</v>
      </c>
      <c r="G22" s="1786">
        <f>'17 Ota Opt EQUIP'!H125</f>
        <v>0</v>
      </c>
      <c r="H22" s="1786">
        <f t="shared" si="1"/>
        <v>0</v>
      </c>
      <c r="Y22" s="1765"/>
      <c r="Z22" s="1765"/>
    </row>
    <row r="23" spans="4:26" ht="15.95" customHeight="1" thickBot="1" x14ac:dyDescent="0.3">
      <c r="D23" s="1608" t="s">
        <v>1234</v>
      </c>
      <c r="E23" s="1786">
        <f>'15.3 Consolddo y Ota Opt RH'!D162</f>
        <v>918.22189458164382</v>
      </c>
      <c r="F23" s="1786">
        <f>F22</f>
        <v>7200</v>
      </c>
      <c r="G23" s="1786">
        <f>'17 Ota Opt EQUIP'!H126</f>
        <v>0</v>
      </c>
      <c r="H23" s="1786">
        <f t="shared" si="1"/>
        <v>0</v>
      </c>
      <c r="Y23" s="1765"/>
      <c r="Z23" s="1765"/>
    </row>
    <row r="24" spans="4:26" ht="15" customHeight="1" thickBot="1" x14ac:dyDescent="0.3">
      <c r="D24" s="1608" t="s">
        <v>1233</v>
      </c>
      <c r="E24" s="1786">
        <f>'15.3 Consolddo y Ota Opt RH'!D158</f>
        <v>6362.496000000001</v>
      </c>
      <c r="F24" s="1786">
        <f>'16.2 Ota Opt INFRA'!R26</f>
        <v>0</v>
      </c>
      <c r="G24" s="1786">
        <f>'17 Ota Opt EQUIP'!H127</f>
        <v>117</v>
      </c>
      <c r="H24" s="1786">
        <f t="shared" si="1"/>
        <v>0</v>
      </c>
      <c r="Y24" s="1765"/>
      <c r="Z24" s="1765"/>
    </row>
    <row r="25" spans="4:26" ht="15.95" customHeight="1" thickBot="1" x14ac:dyDescent="0.3">
      <c r="D25" s="1608" t="s">
        <v>375</v>
      </c>
      <c r="E25" s="1786">
        <f>'15.3 Consolddo y Ota Opt RH'!D159</f>
        <v>2019.8400000000001</v>
      </c>
      <c r="F25" s="1786">
        <f>'16.2 Ota Opt INFRA'!R24</f>
        <v>0</v>
      </c>
      <c r="G25" s="1786">
        <f>'17 Ota Opt EQUIP'!H128</f>
        <v>117</v>
      </c>
      <c r="H25" s="1786">
        <f t="shared" si="1"/>
        <v>0</v>
      </c>
      <c r="Y25" s="1765"/>
      <c r="Z25" s="1765"/>
    </row>
    <row r="26" spans="4:26" ht="15.95" customHeight="1" thickBot="1" x14ac:dyDescent="0.3">
      <c r="D26" s="1608" t="s">
        <v>1235</v>
      </c>
      <c r="E26" s="1786">
        <f>'15.3 Consolddo y Ota Opt RH'!D163</f>
        <v>0</v>
      </c>
      <c r="F26" s="1786">
        <f>'16.2 Ota Opt INFRA'!R25</f>
        <v>0</v>
      </c>
      <c r="G26" s="1786">
        <f>'17 Ota Opt EQUIP'!H129</f>
        <v>117</v>
      </c>
      <c r="H26" s="1786">
        <f t="shared" si="1"/>
        <v>0</v>
      </c>
      <c r="Y26" s="1765"/>
      <c r="Z26" s="1765"/>
    </row>
    <row r="27" spans="4:26" ht="15.95" customHeight="1" thickBot="1" x14ac:dyDescent="0.3">
      <c r="D27" s="1608" t="s">
        <v>1798</v>
      </c>
      <c r="E27" s="1786">
        <v>0</v>
      </c>
      <c r="F27" s="1786">
        <f>'16.2 Ota Opt INFRA'!R26</f>
        <v>0</v>
      </c>
      <c r="G27" s="1786">
        <f>'17 Ota Opt EQUIP'!H130</f>
        <v>0</v>
      </c>
      <c r="H27" s="1786">
        <f t="shared" ref="H27:H28" si="2">MIN(E27:G27)</f>
        <v>0</v>
      </c>
      <c r="Y27" s="1765"/>
      <c r="Z27" s="1765"/>
    </row>
    <row r="28" spans="4:26" ht="15.95" customHeight="1" thickBot="1" x14ac:dyDescent="0.3">
      <c r="D28" s="1608" t="s">
        <v>1971</v>
      </c>
      <c r="E28" s="1786">
        <v>0</v>
      </c>
      <c r="F28" s="1786">
        <f>'16.2 Ota Opt INFRA'!R27</f>
        <v>0</v>
      </c>
      <c r="G28" s="1786">
        <f>'17 Ota Opt EQUIP'!H131</f>
        <v>0</v>
      </c>
      <c r="H28" s="1786">
        <f t="shared" si="2"/>
        <v>0</v>
      </c>
      <c r="Y28" s="1765"/>
      <c r="Z28" s="1765"/>
    </row>
    <row r="29" spans="4:26" ht="15.95" hidden="1" customHeight="1" thickBot="1" x14ac:dyDescent="0.3">
      <c r="D29" s="1608"/>
      <c r="E29" s="1786"/>
      <c r="F29" s="1786"/>
      <c r="G29" s="1786">
        <f>'17 Ota Opt EQUIP'!H132</f>
        <v>129600</v>
      </c>
      <c r="H29" s="1786"/>
      <c r="Y29" s="1765"/>
      <c r="Z29" s="1765"/>
    </row>
    <row r="30" spans="4:26" ht="15.95" hidden="1" customHeight="1" thickBot="1" x14ac:dyDescent="0.3">
      <c r="D30" s="1608"/>
      <c r="E30" s="1786"/>
      <c r="F30" s="1786"/>
      <c r="G30" s="1786">
        <f>'17 Ota Opt EQUIP'!H133</f>
        <v>0</v>
      </c>
      <c r="H30" s="1786"/>
      <c r="Y30" s="1124"/>
      <c r="Z30" s="1124"/>
    </row>
    <row r="31" spans="4:26" ht="15.95" hidden="1" customHeight="1" thickBot="1" x14ac:dyDescent="0.3">
      <c r="D31" s="1608"/>
      <c r="E31" s="1786"/>
      <c r="F31" s="1786"/>
      <c r="G31" s="1786">
        <f>'17 Ota Opt EQUIP'!H134</f>
        <v>0</v>
      </c>
      <c r="H31" s="1786"/>
      <c r="Y31" s="1765"/>
      <c r="Z31" s="1766"/>
    </row>
    <row r="32" spans="4:26" ht="15.95" hidden="1" customHeight="1" thickBot="1" x14ac:dyDescent="0.3">
      <c r="D32" s="1608"/>
      <c r="E32" s="1786"/>
      <c r="F32" s="1786"/>
      <c r="G32" s="1786">
        <f>'17 Ota Opt EQUIP'!H135</f>
        <v>0</v>
      </c>
      <c r="H32" s="1786"/>
      <c r="Y32" s="1765"/>
      <c r="Z32" s="1766"/>
    </row>
    <row r="33" spans="4:26" ht="15.95" customHeight="1" thickBot="1" x14ac:dyDescent="0.3">
      <c r="D33" s="1782" t="s">
        <v>61</v>
      </c>
      <c r="E33" s="1782"/>
      <c r="F33" s="1782"/>
      <c r="G33" s="1782"/>
      <c r="H33" s="1782"/>
      <c r="Y33" s="1765"/>
      <c r="Z33" s="1765"/>
    </row>
    <row r="34" spans="4:26" ht="15.95" customHeight="1" thickBot="1" x14ac:dyDescent="0.3">
      <c r="D34" s="1169" t="s">
        <v>1236</v>
      </c>
      <c r="E34" s="1786">
        <f>'15.3 Consolddo y Ota Opt RH'!D165</f>
        <v>10584.341500869443</v>
      </c>
      <c r="F34" s="1786">
        <f>'16.2 Ota Opt INFRA'!R326</f>
        <v>0</v>
      </c>
      <c r="G34" s="1786">
        <f>'17 Ota Opt EQUIP'!H137</f>
        <v>0</v>
      </c>
      <c r="H34" s="1786">
        <f>MIN(E34:G34)</f>
        <v>0</v>
      </c>
      <c r="Y34" s="1765"/>
      <c r="Z34" s="1765"/>
    </row>
    <row r="35" spans="4:26" ht="15.95" customHeight="1" thickBot="1" x14ac:dyDescent="0.3">
      <c r="D35" s="1169" t="s">
        <v>1973</v>
      </c>
      <c r="E35" s="1786"/>
      <c r="F35" s="1786"/>
      <c r="G35" s="1786">
        <f>'17 Ota Opt EQUIP'!H138</f>
        <v>0</v>
      </c>
      <c r="H35" s="1786"/>
      <c r="Y35" s="1765"/>
      <c r="Z35" s="1765"/>
    </row>
    <row r="36" spans="4:26" ht="15.95" hidden="1" customHeight="1" thickBot="1" x14ac:dyDescent="0.3">
      <c r="D36" s="1783" t="s">
        <v>1278</v>
      </c>
      <c r="E36" s="1782"/>
      <c r="F36" s="1782"/>
      <c r="G36" s="1786">
        <f>'17 Ota Opt EQUIP'!H139</f>
        <v>0</v>
      </c>
      <c r="H36" s="1782"/>
      <c r="Y36" s="1765"/>
      <c r="Z36" s="1765"/>
    </row>
    <row r="37" spans="4:26" ht="15.95" hidden="1" customHeight="1" thickBot="1" x14ac:dyDescent="0.3">
      <c r="D37" s="1606" t="s">
        <v>1278</v>
      </c>
      <c r="E37" s="1786">
        <f>'15.3 Consolddo y Ota Opt RH'!D169</f>
        <v>1521.6856153248038</v>
      </c>
      <c r="F37" s="1786">
        <f>'16.2 Ota Opt INFRA'!R350+'16.2 Ota Opt INFRA'!R351+'16.2 Ota Opt INFRA'!R352</f>
        <v>973</v>
      </c>
      <c r="G37" s="1786">
        <f>'17 Ota Opt EQUIP'!H140</f>
        <v>0</v>
      </c>
      <c r="H37" s="1786">
        <f>MIN(E37:G37)</f>
        <v>0</v>
      </c>
      <c r="Y37" s="1124"/>
      <c r="Z37" s="1124"/>
    </row>
    <row r="38" spans="4:26" ht="15.95" hidden="1" customHeight="1" thickBot="1" x14ac:dyDescent="0.3">
      <c r="D38" s="1606"/>
      <c r="E38" s="1786"/>
      <c r="F38" s="1786"/>
      <c r="G38" s="1786">
        <f>'17 Ota Opt EQUIP'!H141</f>
        <v>0</v>
      </c>
      <c r="H38" s="1786"/>
      <c r="Y38" s="1765"/>
      <c r="Z38" s="1765"/>
    </row>
    <row r="39" spans="4:26" ht="15.95" customHeight="1" thickBot="1" x14ac:dyDescent="0.3">
      <c r="D39" s="1783" t="s">
        <v>427</v>
      </c>
      <c r="E39" s="1782"/>
      <c r="F39" s="1782"/>
      <c r="G39" s="1782"/>
      <c r="H39" s="1782"/>
      <c r="Y39" s="1124"/>
      <c r="Z39" s="1124"/>
    </row>
    <row r="40" spans="4:26" ht="15.95" customHeight="1" thickBot="1" x14ac:dyDescent="0.3">
      <c r="D40" s="1606" t="s">
        <v>1240</v>
      </c>
      <c r="E40" s="1786">
        <f>'15.3 Consolddo y Ota Opt RH'!D167</f>
        <v>6964.7740385382058</v>
      </c>
      <c r="F40" s="1786">
        <f>'16.2 Ota Opt INFRA'!R406+'16.2 Ota Opt INFRA'!R407</f>
        <v>117</v>
      </c>
      <c r="G40" s="1786">
        <f>'17 Ota Opt EQUIP'!H143</f>
        <v>0</v>
      </c>
      <c r="H40" s="1786">
        <f>MIN(E40:G40)</f>
        <v>0</v>
      </c>
      <c r="Y40" s="1124"/>
      <c r="Z40" s="1124"/>
    </row>
    <row r="41" spans="4:26" ht="15.95" hidden="1" customHeight="1" thickBot="1" x14ac:dyDescent="0.3">
      <c r="D41" s="1606"/>
      <c r="E41" s="1786"/>
      <c r="F41" s="1786"/>
      <c r="G41" s="1786">
        <f>'17 Ota Opt EQUIP'!H144</f>
        <v>0</v>
      </c>
      <c r="H41" s="1786"/>
      <c r="Y41" s="1124"/>
      <c r="Z41" s="1124"/>
    </row>
    <row r="42" spans="4:26" ht="15.95" hidden="1" customHeight="1" thickBot="1" x14ac:dyDescent="0.3">
      <c r="D42" s="1606"/>
      <c r="E42" s="1786"/>
      <c r="F42" s="1786"/>
      <c r="G42" s="1786">
        <f>'17 Ota Opt EQUIP'!H145</f>
        <v>0</v>
      </c>
      <c r="H42" s="1786"/>
      <c r="Y42" s="1124"/>
      <c r="Z42" s="1124"/>
    </row>
    <row r="43" spans="4:26" ht="15.95" hidden="1" customHeight="1" thickBot="1" x14ac:dyDescent="0.3">
      <c r="D43" s="1606"/>
      <c r="E43" s="1786"/>
      <c r="F43" s="1786"/>
      <c r="G43" s="1786">
        <f>'17 Ota Opt EQUIP'!H146</f>
        <v>0</v>
      </c>
      <c r="H43" s="1786"/>
      <c r="Y43" s="1124"/>
      <c r="Z43" s="1124"/>
    </row>
    <row r="44" spans="4:26" ht="15.95" hidden="1" customHeight="1" thickBot="1" x14ac:dyDescent="0.3">
      <c r="D44" s="1606"/>
      <c r="E44" s="1786"/>
      <c r="F44" s="1786"/>
      <c r="G44" s="1786">
        <f>'17 Ota Opt EQUIP'!H147</f>
        <v>0</v>
      </c>
      <c r="H44" s="1786"/>
      <c r="Y44" s="1124"/>
      <c r="Z44" s="1124"/>
    </row>
    <row r="45" spans="4:26" ht="15.95" customHeight="1" thickBot="1" x14ac:dyDescent="0.3">
      <c r="D45" s="1784" t="s">
        <v>1275</v>
      </c>
      <c r="E45" s="1782"/>
      <c r="F45" s="1782"/>
      <c r="G45" s="1782"/>
      <c r="H45" s="1782"/>
      <c r="Y45" s="1124"/>
      <c r="Z45" s="1124"/>
    </row>
    <row r="46" spans="4:26" ht="15.95" customHeight="1" thickBot="1" x14ac:dyDescent="0.3">
      <c r="D46" s="1606" t="s">
        <v>1275</v>
      </c>
      <c r="E46" s="1786">
        <f>'15.3 Consolddo y Ota Opt RH'!D171</f>
        <v>2603.2757644730332</v>
      </c>
      <c r="F46" s="1786">
        <v>0</v>
      </c>
      <c r="G46" s="1786">
        <f>'17 Ota Opt EQUIP'!H149</f>
        <v>0</v>
      </c>
      <c r="H46" s="1786">
        <f>MIN(E46:G46)</f>
        <v>0</v>
      </c>
      <c r="Y46" s="1124"/>
      <c r="Z46" s="1124"/>
    </row>
    <row r="47" spans="4:26" ht="15.95" customHeight="1" thickBot="1" x14ac:dyDescent="0.3">
      <c r="D47" s="1784" t="s">
        <v>1224</v>
      </c>
      <c r="E47" s="1782"/>
      <c r="F47" s="1782"/>
      <c r="G47" s="1782"/>
      <c r="H47" s="1782"/>
      <c r="Y47" s="1124"/>
      <c r="Z47" s="1124"/>
    </row>
    <row r="48" spans="4:26" ht="15.95" customHeight="1" thickBot="1" x14ac:dyDescent="0.3">
      <c r="D48" s="1606" t="s">
        <v>1237</v>
      </c>
      <c r="E48" s="1786">
        <f>'15.3 Consolddo y Ota Opt RH'!D173</f>
        <v>15148.800000000001</v>
      </c>
      <c r="F48" s="1786">
        <f>'16.2 Ota Opt INFRA'!R255+'16.2 Ota Opt INFRA'!R256</f>
        <v>0</v>
      </c>
      <c r="G48" s="1786">
        <f>'17 Ota Opt EQUIP'!H151</f>
        <v>0</v>
      </c>
      <c r="H48" s="1786">
        <f>MIN(E48:G48)</f>
        <v>0</v>
      </c>
      <c r="Y48" s="1124"/>
      <c r="Z48" s="1124"/>
    </row>
    <row r="49" spans="4:26" ht="15.95" hidden="1" customHeight="1" thickBot="1" x14ac:dyDescent="0.3">
      <c r="D49" s="1606" t="s">
        <v>1979</v>
      </c>
      <c r="E49" s="1786"/>
      <c r="F49" s="1786"/>
      <c r="G49" s="1786">
        <f>'17 Ota Opt EQUIP'!H152</f>
        <v>0</v>
      </c>
      <c r="H49" s="1786"/>
      <c r="Y49" s="1124"/>
      <c r="Z49" s="1124"/>
    </row>
    <row r="50" spans="4:26" ht="15.95" hidden="1" customHeight="1" thickBot="1" x14ac:dyDescent="0.3">
      <c r="D50" s="1606" t="s">
        <v>90</v>
      </c>
      <c r="E50" s="1786"/>
      <c r="F50" s="1786"/>
      <c r="G50" s="1786">
        <f>'17 Ota Opt EQUIP'!H153</f>
        <v>0</v>
      </c>
      <c r="H50" s="1786"/>
      <c r="Y50" s="1124"/>
      <c r="Z50" s="1124"/>
    </row>
    <row r="51" spans="4:26" ht="15.95" hidden="1" customHeight="1" thickBot="1" x14ac:dyDescent="0.3">
      <c r="D51" s="1606" t="s">
        <v>91</v>
      </c>
      <c r="E51" s="1786"/>
      <c r="F51" s="1786"/>
      <c r="G51" s="1786">
        <f>'17 Ota Opt EQUIP'!H154</f>
        <v>0</v>
      </c>
      <c r="H51" s="1786"/>
      <c r="Y51" s="1124"/>
      <c r="Z51" s="1124"/>
    </row>
    <row r="52" spans="4:26" ht="22.5" hidden="1" customHeight="1" thickBot="1" x14ac:dyDescent="0.3">
      <c r="D52" s="1606" t="s">
        <v>3320</v>
      </c>
      <c r="E52" s="1786"/>
      <c r="F52" s="1786"/>
      <c r="G52" s="1786">
        <f>'17 Ota Opt EQUIP'!H155</f>
        <v>0</v>
      </c>
      <c r="H52" s="1786"/>
      <c r="Y52" s="1124"/>
      <c r="Z52" s="1124"/>
    </row>
    <row r="53" spans="4:26" ht="15.95" hidden="1" customHeight="1" thickBot="1" x14ac:dyDescent="0.3">
      <c r="D53" s="1606" t="s">
        <v>1982</v>
      </c>
      <c r="E53" s="1786"/>
      <c r="F53" s="1786"/>
      <c r="G53" s="1786">
        <f>'17 Ota Opt EQUIP'!H156</f>
        <v>0</v>
      </c>
      <c r="H53" s="1786"/>
      <c r="Y53" s="1124"/>
      <c r="Z53" s="1124"/>
    </row>
    <row r="54" spans="4:26" ht="15.95" customHeight="1" thickBot="1" x14ac:dyDescent="0.3">
      <c r="D54" s="1606" t="s">
        <v>381</v>
      </c>
      <c r="E54" s="1786">
        <f>'15.3 Consolddo y Ota Opt RH'!D174</f>
        <v>15148.800000000001</v>
      </c>
      <c r="F54" s="1786">
        <f>'16.2 Ota Opt INFRA'!R40</f>
        <v>14931.016454833145</v>
      </c>
      <c r="G54" s="1786">
        <f>'17 Ota Opt EQUIP'!H157</f>
        <v>0</v>
      </c>
      <c r="H54" s="1786">
        <f>MIN(E54:G54)</f>
        <v>0</v>
      </c>
      <c r="Y54" s="1124"/>
      <c r="Z54" s="1124"/>
    </row>
    <row r="55" spans="4:26" ht="21.6" customHeight="1" x14ac:dyDescent="0.25">
      <c r="E55" s="1296"/>
      <c r="Y55" s="1124"/>
      <c r="Z55" s="1124"/>
    </row>
    <row r="57" spans="4:26" ht="14.25" thickBot="1" x14ac:dyDescent="0.3">
      <c r="D57" s="1785" t="s">
        <v>3321</v>
      </c>
    </row>
    <row r="58" spans="4:26" ht="14.25" thickBot="1" x14ac:dyDescent="0.3">
      <c r="D58" s="3990" t="s">
        <v>3205</v>
      </c>
      <c r="E58" s="1604" t="s">
        <v>1960</v>
      </c>
      <c r="F58" s="1604" t="s">
        <v>1960</v>
      </c>
      <c r="G58" s="1604" t="s">
        <v>1961</v>
      </c>
      <c r="H58" s="1604" t="s">
        <v>1962</v>
      </c>
      <c r="I58" s="1604" t="s">
        <v>1963</v>
      </c>
      <c r="J58" s="1604" t="s">
        <v>2001</v>
      </c>
      <c r="K58" s="1604" t="s">
        <v>2002</v>
      </c>
      <c r="L58" s="1604" t="s">
        <v>2003</v>
      </c>
      <c r="M58" s="1604" t="s">
        <v>2004</v>
      </c>
      <c r="N58" s="1604" t="s">
        <v>2005</v>
      </c>
      <c r="O58" s="1604" t="s">
        <v>2006</v>
      </c>
      <c r="P58" s="1604" t="s">
        <v>2007</v>
      </c>
      <c r="Q58" s="1604" t="s">
        <v>2008</v>
      </c>
      <c r="R58" s="1604" t="s">
        <v>2009</v>
      </c>
      <c r="S58" s="1604" t="s">
        <v>2010</v>
      </c>
      <c r="T58" s="1604" t="s">
        <v>2011</v>
      </c>
      <c r="U58" s="1778" t="s">
        <v>2012</v>
      </c>
    </row>
    <row r="59" spans="4:26" ht="14.25" thickBot="1" x14ac:dyDescent="0.3">
      <c r="D59" s="4595"/>
      <c r="E59" s="1779">
        <v>0</v>
      </c>
      <c r="F59" s="1779">
        <v>0</v>
      </c>
      <c r="G59" s="1779">
        <v>1</v>
      </c>
      <c r="H59" s="1779">
        <v>2</v>
      </c>
      <c r="I59" s="1779">
        <v>3</v>
      </c>
      <c r="J59" s="1779">
        <v>4</v>
      </c>
      <c r="K59" s="1779">
        <v>5</v>
      </c>
      <c r="L59" s="1779">
        <v>6</v>
      </c>
      <c r="M59" s="1779">
        <v>7</v>
      </c>
      <c r="N59" s="1779">
        <v>8</v>
      </c>
      <c r="O59" s="1779">
        <v>9</v>
      </c>
      <c r="P59" s="1779">
        <v>10</v>
      </c>
      <c r="Q59" s="1779">
        <v>11</v>
      </c>
      <c r="R59" s="1779">
        <v>12</v>
      </c>
      <c r="S59" s="1779">
        <v>13</v>
      </c>
      <c r="T59" s="1779">
        <v>14</v>
      </c>
      <c r="U59" s="1780">
        <v>15</v>
      </c>
    </row>
    <row r="60" spans="4:26" ht="14.25" thickBot="1" x14ac:dyDescent="0.3">
      <c r="D60" s="3992"/>
      <c r="E60" s="1605">
        <v>2018</v>
      </c>
      <c r="F60" s="1605">
        <v>2019</v>
      </c>
      <c r="G60" s="1605">
        <v>2020</v>
      </c>
      <c r="H60" s="1605">
        <v>2021</v>
      </c>
      <c r="I60" s="1605">
        <v>2022</v>
      </c>
      <c r="J60" s="1605">
        <v>2023</v>
      </c>
      <c r="K60" s="1605">
        <v>2024</v>
      </c>
      <c r="L60" s="1605">
        <v>2025</v>
      </c>
      <c r="M60" s="1605">
        <v>2026</v>
      </c>
      <c r="N60" s="1605">
        <v>2027</v>
      </c>
      <c r="O60" s="1605">
        <v>2028</v>
      </c>
      <c r="P60" s="1605">
        <v>2029</v>
      </c>
      <c r="Q60" s="1605">
        <v>2030</v>
      </c>
      <c r="R60" s="1605">
        <v>2031</v>
      </c>
      <c r="S60" s="1605">
        <v>2032</v>
      </c>
      <c r="T60" s="1605">
        <v>2033</v>
      </c>
      <c r="U60" s="1184">
        <v>2034</v>
      </c>
    </row>
    <row r="61" spans="4:26" ht="14.25" thickBot="1" x14ac:dyDescent="0.3">
      <c r="D61" s="1781" t="s">
        <v>71</v>
      </c>
      <c r="E61" s="1782"/>
      <c r="F61" s="1781"/>
      <c r="G61" s="1781"/>
      <c r="H61" s="1781"/>
      <c r="I61" s="1781"/>
      <c r="J61" s="1781"/>
      <c r="K61" s="1781"/>
      <c r="L61" s="1781"/>
      <c r="M61" s="1781"/>
      <c r="N61" s="1781"/>
      <c r="O61" s="1781"/>
      <c r="P61" s="1781"/>
      <c r="Q61" s="1781"/>
      <c r="R61" s="1781"/>
      <c r="S61" s="1781"/>
      <c r="T61" s="1781"/>
      <c r="U61" s="1781"/>
    </row>
    <row r="62" spans="4:26" ht="14.25" thickBot="1" x14ac:dyDescent="0.3">
      <c r="D62" s="1608" t="s">
        <v>1298</v>
      </c>
      <c r="E62" s="1169">
        <v>0</v>
      </c>
      <c r="F62" s="1169">
        <f t="shared" ref="F62:G88" si="3">E62</f>
        <v>0</v>
      </c>
      <c r="G62" s="1169">
        <f t="shared" si="3"/>
        <v>0</v>
      </c>
      <c r="H62" s="1169">
        <f>F62</f>
        <v>0</v>
      </c>
      <c r="I62" s="1169">
        <f t="shared" ref="I62:U65" si="4">H62</f>
        <v>0</v>
      </c>
      <c r="J62" s="1169">
        <f t="shared" si="4"/>
        <v>0</v>
      </c>
      <c r="K62" s="1169">
        <f t="shared" si="4"/>
        <v>0</v>
      </c>
      <c r="L62" s="1169">
        <f t="shared" si="4"/>
        <v>0</v>
      </c>
      <c r="M62" s="1169">
        <f t="shared" si="4"/>
        <v>0</v>
      </c>
      <c r="N62" s="1169">
        <f t="shared" si="4"/>
        <v>0</v>
      </c>
      <c r="O62" s="1169">
        <f t="shared" si="4"/>
        <v>0</v>
      </c>
      <c r="P62" s="1169">
        <f t="shared" si="4"/>
        <v>0</v>
      </c>
      <c r="Q62" s="1169">
        <f t="shared" si="4"/>
        <v>0</v>
      </c>
      <c r="R62" s="1169">
        <f t="shared" si="4"/>
        <v>0</v>
      </c>
      <c r="S62" s="1169">
        <f t="shared" si="4"/>
        <v>0</v>
      </c>
      <c r="T62" s="1169">
        <f t="shared" si="4"/>
        <v>0</v>
      </c>
      <c r="U62" s="1169">
        <f t="shared" si="4"/>
        <v>0</v>
      </c>
    </row>
    <row r="63" spans="4:26" ht="27.75" thickBot="1" x14ac:dyDescent="0.3">
      <c r="D63" s="1608" t="s">
        <v>1300</v>
      </c>
      <c r="E63" s="1169">
        <v>0</v>
      </c>
      <c r="F63" s="1169">
        <f t="shared" si="3"/>
        <v>0</v>
      </c>
      <c r="G63" s="1169">
        <f t="shared" si="3"/>
        <v>0</v>
      </c>
      <c r="H63" s="1169">
        <f>F63</f>
        <v>0</v>
      </c>
      <c r="I63" s="1169">
        <f t="shared" si="4"/>
        <v>0</v>
      </c>
      <c r="J63" s="1169">
        <f t="shared" si="4"/>
        <v>0</v>
      </c>
      <c r="K63" s="1169">
        <f t="shared" si="4"/>
        <v>0</v>
      </c>
      <c r="L63" s="1169">
        <f t="shared" si="4"/>
        <v>0</v>
      </c>
      <c r="M63" s="1169">
        <f t="shared" si="4"/>
        <v>0</v>
      </c>
      <c r="N63" s="1169">
        <f t="shared" si="4"/>
        <v>0</v>
      </c>
      <c r="O63" s="1169">
        <f t="shared" si="4"/>
        <v>0</v>
      </c>
      <c r="P63" s="1169">
        <f t="shared" si="4"/>
        <v>0</v>
      </c>
      <c r="Q63" s="1169">
        <f t="shared" si="4"/>
        <v>0</v>
      </c>
      <c r="R63" s="1169">
        <f t="shared" si="4"/>
        <v>0</v>
      </c>
      <c r="S63" s="1169">
        <f t="shared" si="4"/>
        <v>0</v>
      </c>
      <c r="T63" s="1169">
        <f t="shared" si="4"/>
        <v>0</v>
      </c>
      <c r="U63" s="1169">
        <f t="shared" si="4"/>
        <v>0</v>
      </c>
    </row>
    <row r="64" spans="4:26" ht="27.75" thickBot="1" x14ac:dyDescent="0.3">
      <c r="D64" s="1608" t="s">
        <v>1965</v>
      </c>
      <c r="E64" s="1169">
        <v>0</v>
      </c>
      <c r="F64" s="1169">
        <f t="shared" si="3"/>
        <v>0</v>
      </c>
      <c r="G64" s="1169">
        <f t="shared" si="3"/>
        <v>0</v>
      </c>
      <c r="H64" s="1169">
        <f>F64</f>
        <v>0</v>
      </c>
      <c r="I64" s="1169">
        <f t="shared" si="4"/>
        <v>0</v>
      </c>
      <c r="J64" s="1169">
        <f t="shared" si="4"/>
        <v>0</v>
      </c>
      <c r="K64" s="1169">
        <f t="shared" si="4"/>
        <v>0</v>
      </c>
      <c r="L64" s="1169">
        <f t="shared" si="4"/>
        <v>0</v>
      </c>
      <c r="M64" s="1169">
        <f t="shared" si="4"/>
        <v>0</v>
      </c>
      <c r="N64" s="1169">
        <f t="shared" si="4"/>
        <v>0</v>
      </c>
      <c r="O64" s="1169">
        <f t="shared" si="4"/>
        <v>0</v>
      </c>
      <c r="P64" s="1169">
        <f t="shared" si="4"/>
        <v>0</v>
      </c>
      <c r="Q64" s="1169">
        <f t="shared" si="4"/>
        <v>0</v>
      </c>
      <c r="R64" s="1169">
        <f t="shared" si="4"/>
        <v>0</v>
      </c>
      <c r="S64" s="1169">
        <f t="shared" si="4"/>
        <v>0</v>
      </c>
      <c r="T64" s="1169">
        <f t="shared" si="4"/>
        <v>0</v>
      </c>
      <c r="U64" s="1169">
        <f t="shared" si="4"/>
        <v>0</v>
      </c>
    </row>
    <row r="65" spans="4:21" ht="27.75" thickBot="1" x14ac:dyDescent="0.3">
      <c r="D65" s="1608" t="s">
        <v>1967</v>
      </c>
      <c r="E65" s="1169">
        <v>0</v>
      </c>
      <c r="F65" s="1169">
        <f t="shared" si="3"/>
        <v>0</v>
      </c>
      <c r="G65" s="1169">
        <f t="shared" si="3"/>
        <v>0</v>
      </c>
      <c r="H65" s="1169">
        <f>F65</f>
        <v>0</v>
      </c>
      <c r="I65" s="1169">
        <f t="shared" si="4"/>
        <v>0</v>
      </c>
      <c r="J65" s="1169">
        <f t="shared" si="4"/>
        <v>0</v>
      </c>
      <c r="K65" s="1169">
        <f t="shared" si="4"/>
        <v>0</v>
      </c>
      <c r="L65" s="1169">
        <f t="shared" si="4"/>
        <v>0</v>
      </c>
      <c r="M65" s="1169">
        <f t="shared" si="4"/>
        <v>0</v>
      </c>
      <c r="N65" s="1169">
        <f t="shared" si="4"/>
        <v>0</v>
      </c>
      <c r="O65" s="1169">
        <f t="shared" si="4"/>
        <v>0</v>
      </c>
      <c r="P65" s="1169">
        <f t="shared" si="4"/>
        <v>0</v>
      </c>
      <c r="Q65" s="1169">
        <f t="shared" si="4"/>
        <v>0</v>
      </c>
      <c r="R65" s="1169">
        <f t="shared" si="4"/>
        <v>0</v>
      </c>
      <c r="S65" s="1169">
        <f t="shared" si="4"/>
        <v>0</v>
      </c>
      <c r="T65" s="1169">
        <f t="shared" si="4"/>
        <v>0</v>
      </c>
      <c r="U65" s="1169">
        <f t="shared" si="4"/>
        <v>0</v>
      </c>
    </row>
    <row r="66" spans="4:21" ht="14.25" thickBot="1" x14ac:dyDescent="0.3">
      <c r="D66" s="1608" t="s">
        <v>1305</v>
      </c>
      <c r="E66" s="1169"/>
      <c r="F66" s="1169"/>
      <c r="G66" s="1169"/>
      <c r="H66" s="1169"/>
      <c r="I66" s="1169"/>
      <c r="J66" s="1169"/>
      <c r="K66" s="1169"/>
      <c r="L66" s="1169"/>
      <c r="M66" s="1169"/>
      <c r="N66" s="1169"/>
      <c r="O66" s="1169"/>
      <c r="P66" s="1169"/>
      <c r="Q66" s="1169"/>
      <c r="R66" s="1169"/>
      <c r="S66" s="1169"/>
      <c r="T66" s="1169"/>
      <c r="U66" s="1169"/>
    </row>
    <row r="67" spans="4:21" ht="14.25" thickBot="1" x14ac:dyDescent="0.3">
      <c r="D67" s="1782" t="s">
        <v>1225</v>
      </c>
      <c r="E67" s="1782"/>
      <c r="F67" s="1782"/>
      <c r="G67" s="1782"/>
      <c r="H67" s="1782"/>
      <c r="I67" s="1782"/>
      <c r="J67" s="1782"/>
      <c r="K67" s="1782"/>
      <c r="L67" s="1782"/>
      <c r="M67" s="1782"/>
      <c r="N67" s="1782"/>
      <c r="O67" s="1782"/>
      <c r="P67" s="1782"/>
      <c r="Q67" s="1782"/>
      <c r="R67" s="1782"/>
      <c r="S67" s="1782"/>
      <c r="T67" s="1782"/>
      <c r="U67" s="1782"/>
    </row>
    <row r="68" spans="4:21" ht="15" customHeight="1" thickBot="1" x14ac:dyDescent="0.3">
      <c r="D68" s="1608" t="s">
        <v>1226</v>
      </c>
      <c r="E68" s="1768">
        <f>H12</f>
        <v>0</v>
      </c>
      <c r="F68" s="1169">
        <f t="shared" si="3"/>
        <v>0</v>
      </c>
      <c r="G68" s="1169">
        <f t="shared" si="3"/>
        <v>0</v>
      </c>
      <c r="H68" s="1169">
        <f>F68</f>
        <v>0</v>
      </c>
      <c r="I68" s="1169">
        <f t="shared" ref="I68:U68" si="5">H68</f>
        <v>0</v>
      </c>
      <c r="J68" s="1169">
        <f t="shared" si="5"/>
        <v>0</v>
      </c>
      <c r="K68" s="1169">
        <f t="shared" si="5"/>
        <v>0</v>
      </c>
      <c r="L68" s="1169">
        <f t="shared" si="5"/>
        <v>0</v>
      </c>
      <c r="M68" s="1169">
        <f t="shared" si="5"/>
        <v>0</v>
      </c>
      <c r="N68" s="1169">
        <f t="shared" si="5"/>
        <v>0</v>
      </c>
      <c r="O68" s="1169">
        <f t="shared" si="5"/>
        <v>0</v>
      </c>
      <c r="P68" s="1169">
        <f t="shared" si="5"/>
        <v>0</v>
      </c>
      <c r="Q68" s="1169">
        <f t="shared" si="5"/>
        <v>0</v>
      </c>
      <c r="R68" s="1169">
        <f t="shared" si="5"/>
        <v>0</v>
      </c>
      <c r="S68" s="1169">
        <f t="shared" si="5"/>
        <v>0</v>
      </c>
      <c r="T68" s="1169">
        <f t="shared" si="5"/>
        <v>0</v>
      </c>
      <c r="U68" s="1169">
        <f t="shared" si="5"/>
        <v>0</v>
      </c>
    </row>
    <row r="69" spans="4:21" ht="15" customHeight="1" thickBot="1" x14ac:dyDescent="0.3">
      <c r="D69" s="1608" t="s">
        <v>414</v>
      </c>
      <c r="E69" s="1768">
        <f t="shared" ref="E69:E85" si="6">H13</f>
        <v>0</v>
      </c>
      <c r="F69" s="1169">
        <f>I14</f>
        <v>0</v>
      </c>
      <c r="G69" s="1169">
        <f>J14</f>
        <v>0</v>
      </c>
      <c r="H69" s="1169">
        <f t="shared" ref="H69:T69" si="7">J14</f>
        <v>0</v>
      </c>
      <c r="I69" s="1169">
        <f t="shared" si="7"/>
        <v>0</v>
      </c>
      <c r="J69" s="1169">
        <f t="shared" si="7"/>
        <v>0</v>
      </c>
      <c r="K69" s="1169">
        <f t="shared" si="7"/>
        <v>0</v>
      </c>
      <c r="L69" s="1169">
        <f t="shared" si="7"/>
        <v>0</v>
      </c>
      <c r="M69" s="1169">
        <f t="shared" si="7"/>
        <v>0</v>
      </c>
      <c r="N69" s="1169">
        <f t="shared" si="7"/>
        <v>0</v>
      </c>
      <c r="O69" s="1169">
        <f t="shared" si="7"/>
        <v>0</v>
      </c>
      <c r="P69" s="1169">
        <f t="shared" si="7"/>
        <v>0</v>
      </c>
      <c r="Q69" s="1169">
        <f t="shared" si="7"/>
        <v>0</v>
      </c>
      <c r="R69" s="1169">
        <f t="shared" si="7"/>
        <v>0</v>
      </c>
      <c r="S69" s="1169">
        <f t="shared" si="7"/>
        <v>0</v>
      </c>
      <c r="T69" s="1169">
        <f t="shared" si="7"/>
        <v>0</v>
      </c>
      <c r="U69" s="1169">
        <f>X14</f>
        <v>0</v>
      </c>
    </row>
    <row r="70" spans="4:21" ht="15" customHeight="1" thickBot="1" x14ac:dyDescent="0.3">
      <c r="D70" s="1608" t="s">
        <v>1968</v>
      </c>
      <c r="E70" s="1768">
        <f t="shared" si="6"/>
        <v>0</v>
      </c>
      <c r="F70" s="1169">
        <v>0</v>
      </c>
      <c r="G70" s="1169">
        <f>J15</f>
        <v>0</v>
      </c>
      <c r="H70" s="1169">
        <v>0</v>
      </c>
      <c r="I70" s="1169">
        <v>0</v>
      </c>
      <c r="J70" s="1169">
        <v>0</v>
      </c>
      <c r="K70" s="1169">
        <v>0</v>
      </c>
      <c r="L70" s="1169">
        <v>0</v>
      </c>
      <c r="M70" s="1169">
        <v>0</v>
      </c>
      <c r="N70" s="1169">
        <v>0</v>
      </c>
      <c r="O70" s="1169">
        <v>0</v>
      </c>
      <c r="P70" s="1169">
        <v>0</v>
      </c>
      <c r="Q70" s="1169">
        <v>0</v>
      </c>
      <c r="R70" s="1169">
        <v>0</v>
      </c>
      <c r="S70" s="1169">
        <v>0</v>
      </c>
      <c r="T70" s="1169">
        <v>0</v>
      </c>
      <c r="U70" s="1169">
        <v>0</v>
      </c>
    </row>
    <row r="71" spans="4:21" ht="15" customHeight="1" thickBot="1" x14ac:dyDescent="0.3">
      <c r="D71" s="1608" t="s">
        <v>1232</v>
      </c>
      <c r="E71" s="1768">
        <f t="shared" si="6"/>
        <v>0</v>
      </c>
      <c r="F71" s="1169">
        <f t="shared" si="3"/>
        <v>0</v>
      </c>
      <c r="G71" s="1169">
        <f t="shared" ref="G71:G79" si="8">J19</f>
        <v>0</v>
      </c>
      <c r="H71" s="1169">
        <f>F71</f>
        <v>0</v>
      </c>
      <c r="I71" s="1169">
        <f t="shared" ref="I71:U71" si="9">H71</f>
        <v>0</v>
      </c>
      <c r="J71" s="1169">
        <f t="shared" si="9"/>
        <v>0</v>
      </c>
      <c r="K71" s="1169">
        <f t="shared" si="9"/>
        <v>0</v>
      </c>
      <c r="L71" s="1169">
        <f t="shared" si="9"/>
        <v>0</v>
      </c>
      <c r="M71" s="1169">
        <f t="shared" si="9"/>
        <v>0</v>
      </c>
      <c r="N71" s="1169">
        <f t="shared" si="9"/>
        <v>0</v>
      </c>
      <c r="O71" s="1169">
        <f t="shared" si="9"/>
        <v>0</v>
      </c>
      <c r="P71" s="1169">
        <f t="shared" si="9"/>
        <v>0</v>
      </c>
      <c r="Q71" s="1169">
        <f t="shared" si="9"/>
        <v>0</v>
      </c>
      <c r="R71" s="1169">
        <f t="shared" si="9"/>
        <v>0</v>
      </c>
      <c r="S71" s="1169">
        <f t="shared" si="9"/>
        <v>0</v>
      </c>
      <c r="T71" s="1169">
        <f t="shared" si="9"/>
        <v>0</v>
      </c>
      <c r="U71" s="1169">
        <f t="shared" si="9"/>
        <v>0</v>
      </c>
    </row>
    <row r="72" spans="4:21" ht="15" customHeight="1" thickBot="1" x14ac:dyDescent="0.3">
      <c r="D72" s="1608" t="s">
        <v>1231</v>
      </c>
      <c r="E72" s="1768">
        <f t="shared" si="6"/>
        <v>0</v>
      </c>
      <c r="F72" s="1169">
        <v>0</v>
      </c>
      <c r="G72" s="1169">
        <f t="shared" si="8"/>
        <v>0</v>
      </c>
      <c r="H72" s="1169">
        <v>0</v>
      </c>
      <c r="I72" s="1169">
        <v>0</v>
      </c>
      <c r="J72" s="1169">
        <v>0</v>
      </c>
      <c r="K72" s="1169">
        <v>0</v>
      </c>
      <c r="L72" s="1169">
        <v>0</v>
      </c>
      <c r="M72" s="1169">
        <v>0</v>
      </c>
      <c r="N72" s="1169">
        <v>0</v>
      </c>
      <c r="O72" s="1169">
        <v>0</v>
      </c>
      <c r="P72" s="1169">
        <v>0</v>
      </c>
      <c r="Q72" s="1169">
        <v>0</v>
      </c>
      <c r="R72" s="1169">
        <v>0</v>
      </c>
      <c r="S72" s="1169">
        <v>0</v>
      </c>
      <c r="T72" s="1169">
        <v>0</v>
      </c>
      <c r="U72" s="1169">
        <v>0</v>
      </c>
    </row>
    <row r="73" spans="4:21" ht="15" customHeight="1" thickBot="1" x14ac:dyDescent="0.3">
      <c r="D73" s="1608" t="s">
        <v>1227</v>
      </c>
      <c r="E73" s="1768">
        <f t="shared" si="6"/>
        <v>0</v>
      </c>
      <c r="F73" s="1169">
        <f t="shared" si="3"/>
        <v>0</v>
      </c>
      <c r="G73" s="1169">
        <f t="shared" si="8"/>
        <v>0</v>
      </c>
      <c r="H73" s="1169">
        <f t="shared" ref="H73:H85" si="10">F73</f>
        <v>0</v>
      </c>
      <c r="I73" s="1169">
        <f t="shared" ref="I73:U85" si="11">H73</f>
        <v>0</v>
      </c>
      <c r="J73" s="1169">
        <f t="shared" si="11"/>
        <v>0</v>
      </c>
      <c r="K73" s="1169">
        <f t="shared" si="11"/>
        <v>0</v>
      </c>
      <c r="L73" s="1169">
        <f t="shared" si="11"/>
        <v>0</v>
      </c>
      <c r="M73" s="1169">
        <f t="shared" si="11"/>
        <v>0</v>
      </c>
      <c r="N73" s="1169">
        <f t="shared" si="11"/>
        <v>0</v>
      </c>
      <c r="O73" s="1169">
        <f t="shared" si="11"/>
        <v>0</v>
      </c>
      <c r="P73" s="1169">
        <f t="shared" si="11"/>
        <v>0</v>
      </c>
      <c r="Q73" s="1169">
        <f t="shared" si="11"/>
        <v>0</v>
      </c>
      <c r="R73" s="1169">
        <f t="shared" si="11"/>
        <v>0</v>
      </c>
      <c r="S73" s="1169">
        <f t="shared" si="11"/>
        <v>0</v>
      </c>
      <c r="T73" s="1169">
        <f t="shared" si="11"/>
        <v>0</v>
      </c>
      <c r="U73" s="1169">
        <f t="shared" si="11"/>
        <v>0</v>
      </c>
    </row>
    <row r="74" spans="4:21" ht="15" customHeight="1" thickBot="1" x14ac:dyDescent="0.3">
      <c r="D74" s="1608" t="s">
        <v>1229</v>
      </c>
      <c r="E74" s="1768">
        <f t="shared" si="6"/>
        <v>0</v>
      </c>
      <c r="F74" s="1169">
        <f t="shared" si="3"/>
        <v>0</v>
      </c>
      <c r="G74" s="1169">
        <f t="shared" si="8"/>
        <v>0</v>
      </c>
      <c r="H74" s="1169">
        <f t="shared" si="10"/>
        <v>0</v>
      </c>
      <c r="I74" s="1169">
        <f t="shared" si="11"/>
        <v>0</v>
      </c>
      <c r="J74" s="1169">
        <f t="shared" si="11"/>
        <v>0</v>
      </c>
      <c r="K74" s="1169">
        <f t="shared" si="11"/>
        <v>0</v>
      </c>
      <c r="L74" s="1169">
        <f t="shared" si="11"/>
        <v>0</v>
      </c>
      <c r="M74" s="1169">
        <f t="shared" si="11"/>
        <v>0</v>
      </c>
      <c r="N74" s="1169">
        <f t="shared" si="11"/>
        <v>0</v>
      </c>
      <c r="O74" s="1169">
        <f t="shared" si="11"/>
        <v>0</v>
      </c>
      <c r="P74" s="1169">
        <f t="shared" si="11"/>
        <v>0</v>
      </c>
      <c r="Q74" s="1169">
        <f t="shared" si="11"/>
        <v>0</v>
      </c>
      <c r="R74" s="1169">
        <f t="shared" si="11"/>
        <v>0</v>
      </c>
      <c r="S74" s="1169">
        <f t="shared" si="11"/>
        <v>0</v>
      </c>
      <c r="T74" s="1169">
        <f t="shared" si="11"/>
        <v>0</v>
      </c>
      <c r="U74" s="1169">
        <f t="shared" si="11"/>
        <v>0</v>
      </c>
    </row>
    <row r="75" spans="4:21" ht="15" customHeight="1" thickBot="1" x14ac:dyDescent="0.3">
      <c r="D75" s="1608" t="s">
        <v>1313</v>
      </c>
      <c r="E75" s="1768">
        <f t="shared" si="6"/>
        <v>0</v>
      </c>
      <c r="F75" s="1169">
        <f>E75</f>
        <v>0</v>
      </c>
      <c r="G75" s="1169">
        <f t="shared" si="8"/>
        <v>0</v>
      </c>
      <c r="H75" s="1169">
        <f t="shared" si="10"/>
        <v>0</v>
      </c>
      <c r="I75" s="1169">
        <f t="shared" si="11"/>
        <v>0</v>
      </c>
      <c r="J75" s="1169">
        <f t="shared" si="11"/>
        <v>0</v>
      </c>
      <c r="K75" s="1169">
        <f t="shared" si="11"/>
        <v>0</v>
      </c>
      <c r="L75" s="1169">
        <f t="shared" si="11"/>
        <v>0</v>
      </c>
      <c r="M75" s="1169">
        <f t="shared" si="11"/>
        <v>0</v>
      </c>
      <c r="N75" s="1169">
        <f t="shared" si="11"/>
        <v>0</v>
      </c>
      <c r="O75" s="1169">
        <f t="shared" si="11"/>
        <v>0</v>
      </c>
      <c r="P75" s="1169">
        <f t="shared" si="11"/>
        <v>0</v>
      </c>
      <c r="Q75" s="1169">
        <f t="shared" si="11"/>
        <v>0</v>
      </c>
      <c r="R75" s="1169">
        <f t="shared" si="11"/>
        <v>0</v>
      </c>
      <c r="S75" s="1169">
        <f t="shared" si="11"/>
        <v>0</v>
      </c>
      <c r="T75" s="1169">
        <f t="shared" si="11"/>
        <v>0</v>
      </c>
      <c r="U75" s="1169">
        <f t="shared" si="11"/>
        <v>0</v>
      </c>
    </row>
    <row r="76" spans="4:21" ht="15" customHeight="1" thickBot="1" x14ac:dyDescent="0.3">
      <c r="D76" s="1608" t="s">
        <v>1314</v>
      </c>
      <c r="E76" s="1768">
        <f t="shared" si="6"/>
        <v>218.63184245076593</v>
      </c>
      <c r="F76" s="1768">
        <f t="shared" si="3"/>
        <v>218.63184245076593</v>
      </c>
      <c r="G76" s="1768">
        <f t="shared" si="8"/>
        <v>0</v>
      </c>
      <c r="H76" s="1768">
        <f t="shared" si="10"/>
        <v>218.63184245076593</v>
      </c>
      <c r="I76" s="1768">
        <f t="shared" si="11"/>
        <v>218.63184245076593</v>
      </c>
      <c r="J76" s="1768">
        <f t="shared" si="11"/>
        <v>218.63184245076593</v>
      </c>
      <c r="K76" s="1768">
        <f t="shared" si="11"/>
        <v>218.63184245076593</v>
      </c>
      <c r="L76" s="1768">
        <f t="shared" si="11"/>
        <v>218.63184245076593</v>
      </c>
      <c r="M76" s="1768">
        <f t="shared" si="11"/>
        <v>218.63184245076593</v>
      </c>
      <c r="N76" s="1768">
        <f t="shared" si="11"/>
        <v>218.63184245076593</v>
      </c>
      <c r="O76" s="1768">
        <f t="shared" si="11"/>
        <v>218.63184245076593</v>
      </c>
      <c r="P76" s="1768">
        <f t="shared" si="11"/>
        <v>218.63184245076593</v>
      </c>
      <c r="Q76" s="1768">
        <f t="shared" si="11"/>
        <v>218.63184245076593</v>
      </c>
      <c r="R76" s="1768">
        <f t="shared" si="11"/>
        <v>218.63184245076593</v>
      </c>
      <c r="S76" s="1768">
        <f t="shared" si="11"/>
        <v>218.63184245076593</v>
      </c>
      <c r="T76" s="1768">
        <f t="shared" si="11"/>
        <v>218.63184245076593</v>
      </c>
      <c r="U76" s="1768">
        <f t="shared" si="11"/>
        <v>218.63184245076593</v>
      </c>
    </row>
    <row r="77" spans="4:21" ht="15" customHeight="1" thickBot="1" x14ac:dyDescent="0.3">
      <c r="D77" s="1608" t="s">
        <v>329</v>
      </c>
      <c r="E77" s="1768">
        <f t="shared" si="6"/>
        <v>0</v>
      </c>
      <c r="F77" s="1169">
        <f>E77</f>
        <v>0</v>
      </c>
      <c r="G77" s="1169">
        <f t="shared" si="8"/>
        <v>0</v>
      </c>
      <c r="H77" s="1169">
        <f t="shared" si="10"/>
        <v>0</v>
      </c>
      <c r="I77" s="1169">
        <f t="shared" si="11"/>
        <v>0</v>
      </c>
      <c r="J77" s="1169">
        <f t="shared" si="11"/>
        <v>0</v>
      </c>
      <c r="K77" s="1169">
        <f t="shared" si="11"/>
        <v>0</v>
      </c>
      <c r="L77" s="1169">
        <f t="shared" si="11"/>
        <v>0</v>
      </c>
      <c r="M77" s="1169">
        <f t="shared" si="11"/>
        <v>0</v>
      </c>
      <c r="N77" s="1169">
        <f t="shared" si="11"/>
        <v>0</v>
      </c>
      <c r="O77" s="1169">
        <f t="shared" si="11"/>
        <v>0</v>
      </c>
      <c r="P77" s="1169">
        <f t="shared" si="11"/>
        <v>0</v>
      </c>
      <c r="Q77" s="1169">
        <f t="shared" si="11"/>
        <v>0</v>
      </c>
      <c r="R77" s="1169">
        <f t="shared" si="11"/>
        <v>0</v>
      </c>
      <c r="S77" s="1169">
        <f t="shared" si="11"/>
        <v>0</v>
      </c>
      <c r="T77" s="1169">
        <f t="shared" si="11"/>
        <v>0</v>
      </c>
      <c r="U77" s="1169">
        <f t="shared" si="11"/>
        <v>0</v>
      </c>
    </row>
    <row r="78" spans="4:21" ht="15" customHeight="1" thickBot="1" x14ac:dyDescent="0.3">
      <c r="D78" s="1608" t="s">
        <v>412</v>
      </c>
      <c r="E78" s="1768">
        <f t="shared" si="6"/>
        <v>0</v>
      </c>
      <c r="F78" s="1169">
        <f t="shared" si="3"/>
        <v>0</v>
      </c>
      <c r="G78" s="1169">
        <f t="shared" si="8"/>
        <v>0</v>
      </c>
      <c r="H78" s="1169">
        <f t="shared" si="10"/>
        <v>0</v>
      </c>
      <c r="I78" s="1169">
        <f t="shared" si="11"/>
        <v>0</v>
      </c>
      <c r="J78" s="1169">
        <f t="shared" si="11"/>
        <v>0</v>
      </c>
      <c r="K78" s="1169">
        <f t="shared" si="11"/>
        <v>0</v>
      </c>
      <c r="L78" s="1169">
        <f t="shared" si="11"/>
        <v>0</v>
      </c>
      <c r="M78" s="1169">
        <f t="shared" si="11"/>
        <v>0</v>
      </c>
      <c r="N78" s="1169">
        <f t="shared" si="11"/>
        <v>0</v>
      </c>
      <c r="O78" s="1169">
        <f t="shared" si="11"/>
        <v>0</v>
      </c>
      <c r="P78" s="1169">
        <f t="shared" si="11"/>
        <v>0</v>
      </c>
      <c r="Q78" s="1169">
        <f t="shared" si="11"/>
        <v>0</v>
      </c>
      <c r="R78" s="1169">
        <f t="shared" si="11"/>
        <v>0</v>
      </c>
      <c r="S78" s="1169">
        <f t="shared" si="11"/>
        <v>0</v>
      </c>
      <c r="T78" s="1169">
        <f t="shared" si="11"/>
        <v>0</v>
      </c>
      <c r="U78" s="1169">
        <f t="shared" si="11"/>
        <v>0</v>
      </c>
    </row>
    <row r="79" spans="4:21" ht="15" customHeight="1" thickBot="1" x14ac:dyDescent="0.3">
      <c r="D79" s="1608" t="s">
        <v>1234</v>
      </c>
      <c r="E79" s="1768">
        <f t="shared" si="6"/>
        <v>0</v>
      </c>
      <c r="F79" s="1169">
        <f t="shared" si="3"/>
        <v>0</v>
      </c>
      <c r="G79" s="1169">
        <f t="shared" si="8"/>
        <v>0</v>
      </c>
      <c r="H79" s="1169">
        <f t="shared" si="10"/>
        <v>0</v>
      </c>
      <c r="I79" s="1169">
        <f t="shared" si="11"/>
        <v>0</v>
      </c>
      <c r="J79" s="1169">
        <f t="shared" si="11"/>
        <v>0</v>
      </c>
      <c r="K79" s="1169">
        <f t="shared" si="11"/>
        <v>0</v>
      </c>
      <c r="L79" s="1169">
        <f t="shared" si="11"/>
        <v>0</v>
      </c>
      <c r="M79" s="1169">
        <f t="shared" si="11"/>
        <v>0</v>
      </c>
      <c r="N79" s="1169">
        <f t="shared" si="11"/>
        <v>0</v>
      </c>
      <c r="O79" s="1169">
        <f t="shared" si="11"/>
        <v>0</v>
      </c>
      <c r="P79" s="1169">
        <f t="shared" si="11"/>
        <v>0</v>
      </c>
      <c r="Q79" s="1169">
        <f t="shared" si="11"/>
        <v>0</v>
      </c>
      <c r="R79" s="1169">
        <f t="shared" si="11"/>
        <v>0</v>
      </c>
      <c r="S79" s="1169">
        <f t="shared" si="11"/>
        <v>0</v>
      </c>
      <c r="T79" s="1169">
        <f t="shared" si="11"/>
        <v>0</v>
      </c>
      <c r="U79" s="1169">
        <f t="shared" si="11"/>
        <v>0</v>
      </c>
    </row>
    <row r="80" spans="4:21" ht="15" customHeight="1" thickBot="1" x14ac:dyDescent="0.3">
      <c r="D80" s="1608" t="s">
        <v>1969</v>
      </c>
      <c r="E80" s="1768">
        <f t="shared" si="6"/>
        <v>0</v>
      </c>
      <c r="F80" s="1169">
        <f t="shared" si="3"/>
        <v>0</v>
      </c>
      <c r="G80" s="1169">
        <f>J29</f>
        <v>0</v>
      </c>
      <c r="H80" s="1169">
        <f t="shared" si="10"/>
        <v>0</v>
      </c>
      <c r="I80" s="1169">
        <f t="shared" si="11"/>
        <v>0</v>
      </c>
      <c r="J80" s="1169">
        <f t="shared" si="11"/>
        <v>0</v>
      </c>
      <c r="K80" s="1169">
        <f t="shared" si="11"/>
        <v>0</v>
      </c>
      <c r="L80" s="1169">
        <f t="shared" si="11"/>
        <v>0</v>
      </c>
      <c r="M80" s="1169">
        <f t="shared" si="11"/>
        <v>0</v>
      </c>
      <c r="N80" s="1169">
        <f t="shared" si="11"/>
        <v>0</v>
      </c>
      <c r="O80" s="1169">
        <f t="shared" si="11"/>
        <v>0</v>
      </c>
      <c r="P80" s="1169">
        <f t="shared" si="11"/>
        <v>0</v>
      </c>
      <c r="Q80" s="1169">
        <f t="shared" si="11"/>
        <v>0</v>
      </c>
      <c r="R80" s="1169">
        <f t="shared" si="11"/>
        <v>0</v>
      </c>
      <c r="S80" s="1169">
        <f t="shared" si="11"/>
        <v>0</v>
      </c>
      <c r="T80" s="1169">
        <f t="shared" si="11"/>
        <v>0</v>
      </c>
      <c r="U80" s="1169">
        <f t="shared" si="11"/>
        <v>0</v>
      </c>
    </row>
    <row r="81" spans="4:21" ht="15" customHeight="1" thickBot="1" x14ac:dyDescent="0.3">
      <c r="D81" s="1608" t="s">
        <v>1970</v>
      </c>
      <c r="E81" s="1768">
        <f t="shared" si="6"/>
        <v>0</v>
      </c>
      <c r="F81" s="1169">
        <f t="shared" si="3"/>
        <v>0</v>
      </c>
      <c r="G81" s="1169">
        <f>J30</f>
        <v>0</v>
      </c>
      <c r="H81" s="1169">
        <f t="shared" si="10"/>
        <v>0</v>
      </c>
      <c r="I81" s="1169">
        <f t="shared" si="11"/>
        <v>0</v>
      </c>
      <c r="J81" s="1169">
        <f t="shared" si="11"/>
        <v>0</v>
      </c>
      <c r="K81" s="1169">
        <f t="shared" si="11"/>
        <v>0</v>
      </c>
      <c r="L81" s="1169">
        <f t="shared" si="11"/>
        <v>0</v>
      </c>
      <c r="M81" s="1169">
        <f t="shared" si="11"/>
        <v>0</v>
      </c>
      <c r="N81" s="1169">
        <f t="shared" si="11"/>
        <v>0</v>
      </c>
      <c r="O81" s="1169">
        <f t="shared" si="11"/>
        <v>0</v>
      </c>
      <c r="P81" s="1169">
        <f t="shared" si="11"/>
        <v>0</v>
      </c>
      <c r="Q81" s="1169">
        <f t="shared" si="11"/>
        <v>0</v>
      </c>
      <c r="R81" s="1169">
        <f t="shared" si="11"/>
        <v>0</v>
      </c>
      <c r="S81" s="1169">
        <f t="shared" si="11"/>
        <v>0</v>
      </c>
      <c r="T81" s="1169">
        <f t="shared" si="11"/>
        <v>0</v>
      </c>
      <c r="U81" s="1169">
        <f t="shared" si="11"/>
        <v>0</v>
      </c>
    </row>
    <row r="82" spans="4:21" ht="15" customHeight="1" thickBot="1" x14ac:dyDescent="0.3">
      <c r="D82" s="1608" t="s">
        <v>1746</v>
      </c>
      <c r="E82" s="1768">
        <f t="shared" si="6"/>
        <v>0</v>
      </c>
      <c r="F82" s="1169">
        <f t="shared" si="3"/>
        <v>0</v>
      </c>
      <c r="G82" s="1169">
        <f>J30</f>
        <v>0</v>
      </c>
      <c r="H82" s="1169">
        <f t="shared" si="10"/>
        <v>0</v>
      </c>
      <c r="I82" s="1169">
        <f t="shared" si="11"/>
        <v>0</v>
      </c>
      <c r="J82" s="1169">
        <f t="shared" si="11"/>
        <v>0</v>
      </c>
      <c r="K82" s="1169">
        <f t="shared" si="11"/>
        <v>0</v>
      </c>
      <c r="L82" s="1169">
        <f t="shared" si="11"/>
        <v>0</v>
      </c>
      <c r="M82" s="1169">
        <f t="shared" si="11"/>
        <v>0</v>
      </c>
      <c r="N82" s="1169">
        <f t="shared" si="11"/>
        <v>0</v>
      </c>
      <c r="O82" s="1169">
        <f t="shared" si="11"/>
        <v>0</v>
      </c>
      <c r="P82" s="1169">
        <f t="shared" si="11"/>
        <v>0</v>
      </c>
      <c r="Q82" s="1169">
        <f t="shared" si="11"/>
        <v>0</v>
      </c>
      <c r="R82" s="1169">
        <f t="shared" si="11"/>
        <v>0</v>
      </c>
      <c r="S82" s="1169">
        <f t="shared" si="11"/>
        <v>0</v>
      </c>
      <c r="T82" s="1169">
        <f t="shared" si="11"/>
        <v>0</v>
      </c>
      <c r="U82" s="1169">
        <f t="shared" si="11"/>
        <v>0</v>
      </c>
    </row>
    <row r="83" spans="4:21" ht="15" customHeight="1" thickBot="1" x14ac:dyDescent="0.3">
      <c r="D83" s="1608" t="s">
        <v>1235</v>
      </c>
      <c r="E83" s="1768">
        <f t="shared" si="6"/>
        <v>0</v>
      </c>
      <c r="F83" s="1169">
        <f t="shared" si="3"/>
        <v>0</v>
      </c>
      <c r="G83" s="1169">
        <f>J31</f>
        <v>0</v>
      </c>
      <c r="H83" s="1169">
        <f t="shared" si="10"/>
        <v>0</v>
      </c>
      <c r="I83" s="1169">
        <f t="shared" si="11"/>
        <v>0</v>
      </c>
      <c r="J83" s="1169">
        <f t="shared" si="11"/>
        <v>0</v>
      </c>
      <c r="K83" s="1169">
        <f t="shared" si="11"/>
        <v>0</v>
      </c>
      <c r="L83" s="1169">
        <f t="shared" si="11"/>
        <v>0</v>
      </c>
      <c r="M83" s="1169">
        <f t="shared" si="11"/>
        <v>0</v>
      </c>
      <c r="N83" s="1169">
        <f t="shared" si="11"/>
        <v>0</v>
      </c>
      <c r="O83" s="1169">
        <f t="shared" si="11"/>
        <v>0</v>
      </c>
      <c r="P83" s="1169">
        <f t="shared" si="11"/>
        <v>0</v>
      </c>
      <c r="Q83" s="1169">
        <f t="shared" si="11"/>
        <v>0</v>
      </c>
      <c r="R83" s="1169">
        <f t="shared" si="11"/>
        <v>0</v>
      </c>
      <c r="S83" s="1169">
        <f t="shared" si="11"/>
        <v>0</v>
      </c>
      <c r="T83" s="1169">
        <f t="shared" si="11"/>
        <v>0</v>
      </c>
      <c r="U83" s="1169">
        <f t="shared" si="11"/>
        <v>0</v>
      </c>
    </row>
    <row r="84" spans="4:21" ht="15" customHeight="1" thickBot="1" x14ac:dyDescent="0.3">
      <c r="D84" s="1608" t="s">
        <v>1798</v>
      </c>
      <c r="E84" s="1768">
        <f t="shared" si="6"/>
        <v>0</v>
      </c>
      <c r="F84" s="1169">
        <f t="shared" si="3"/>
        <v>0</v>
      </c>
      <c r="G84" s="1169">
        <f t="shared" si="3"/>
        <v>0</v>
      </c>
      <c r="H84" s="1169">
        <f t="shared" si="10"/>
        <v>0</v>
      </c>
      <c r="I84" s="1169">
        <f t="shared" si="11"/>
        <v>0</v>
      </c>
      <c r="J84" s="1169">
        <f t="shared" si="11"/>
        <v>0</v>
      </c>
      <c r="K84" s="1169">
        <f t="shared" si="11"/>
        <v>0</v>
      </c>
      <c r="L84" s="1169">
        <f t="shared" si="11"/>
        <v>0</v>
      </c>
      <c r="M84" s="1169">
        <f t="shared" si="11"/>
        <v>0</v>
      </c>
      <c r="N84" s="1169">
        <f t="shared" si="11"/>
        <v>0</v>
      </c>
      <c r="O84" s="1169">
        <f t="shared" si="11"/>
        <v>0</v>
      </c>
      <c r="P84" s="1169">
        <f t="shared" si="11"/>
        <v>0</v>
      </c>
      <c r="Q84" s="1169">
        <f t="shared" si="11"/>
        <v>0</v>
      </c>
      <c r="R84" s="1169">
        <f t="shared" si="11"/>
        <v>0</v>
      </c>
      <c r="S84" s="1169">
        <f t="shared" si="11"/>
        <v>0</v>
      </c>
      <c r="T84" s="1169">
        <f t="shared" si="11"/>
        <v>0</v>
      </c>
      <c r="U84" s="1169">
        <f t="shared" si="11"/>
        <v>0</v>
      </c>
    </row>
    <row r="85" spans="4:21" ht="15" customHeight="1" thickBot="1" x14ac:dyDescent="0.3">
      <c r="D85" s="1608" t="s">
        <v>1971</v>
      </c>
      <c r="E85" s="1768">
        <f t="shared" si="6"/>
        <v>0</v>
      </c>
      <c r="F85" s="1169">
        <f t="shared" si="3"/>
        <v>0</v>
      </c>
      <c r="G85" s="1169">
        <f t="shared" si="3"/>
        <v>0</v>
      </c>
      <c r="H85" s="1169">
        <f t="shared" si="10"/>
        <v>0</v>
      </c>
      <c r="I85" s="1169">
        <f t="shared" si="11"/>
        <v>0</v>
      </c>
      <c r="J85" s="1169">
        <f t="shared" si="11"/>
        <v>0</v>
      </c>
      <c r="K85" s="1169">
        <f t="shared" si="11"/>
        <v>0</v>
      </c>
      <c r="L85" s="1169">
        <f t="shared" si="11"/>
        <v>0</v>
      </c>
      <c r="M85" s="1169">
        <f t="shared" si="11"/>
        <v>0</v>
      </c>
      <c r="N85" s="1169">
        <f t="shared" si="11"/>
        <v>0</v>
      </c>
      <c r="O85" s="1169">
        <f t="shared" si="11"/>
        <v>0</v>
      </c>
      <c r="P85" s="1169">
        <f t="shared" si="11"/>
        <v>0</v>
      </c>
      <c r="Q85" s="1169">
        <f t="shared" si="11"/>
        <v>0</v>
      </c>
      <c r="R85" s="1169">
        <f t="shared" si="11"/>
        <v>0</v>
      </c>
      <c r="S85" s="1169">
        <f t="shared" si="11"/>
        <v>0</v>
      </c>
      <c r="T85" s="1169">
        <f t="shared" si="11"/>
        <v>0</v>
      </c>
      <c r="U85" s="1169">
        <f t="shared" si="11"/>
        <v>0</v>
      </c>
    </row>
    <row r="86" spans="4:21" ht="14.25" thickBot="1" x14ac:dyDescent="0.3">
      <c r="D86" s="1782" t="s">
        <v>61</v>
      </c>
      <c r="E86" s="1782"/>
      <c r="F86" s="1782"/>
      <c r="G86" s="1782"/>
      <c r="H86" s="1782"/>
      <c r="I86" s="1782"/>
      <c r="J86" s="1782"/>
      <c r="K86" s="1782"/>
      <c r="L86" s="1782"/>
      <c r="M86" s="1782"/>
      <c r="N86" s="1782"/>
      <c r="O86" s="1782"/>
      <c r="P86" s="1782"/>
      <c r="Q86" s="1782"/>
      <c r="R86" s="1782"/>
      <c r="S86" s="1782"/>
      <c r="T86" s="1782"/>
      <c r="U86" s="1782"/>
    </row>
    <row r="87" spans="4:21" ht="14.25" thickBot="1" x14ac:dyDescent="0.3">
      <c r="D87" s="1169" t="s">
        <v>1972</v>
      </c>
      <c r="E87" s="1169">
        <v>0</v>
      </c>
      <c r="F87" s="1169">
        <f t="shared" si="3"/>
        <v>0</v>
      </c>
      <c r="G87" s="1169">
        <f t="shared" si="3"/>
        <v>0</v>
      </c>
      <c r="H87" s="1169">
        <f>F87</f>
        <v>0</v>
      </c>
      <c r="I87" s="1169">
        <f t="shared" ref="I87:U88" si="12">H87</f>
        <v>0</v>
      </c>
      <c r="J87" s="1169">
        <f t="shared" si="12"/>
        <v>0</v>
      </c>
      <c r="K87" s="1169">
        <f t="shared" si="12"/>
        <v>0</v>
      </c>
      <c r="L87" s="1169">
        <f t="shared" si="12"/>
        <v>0</v>
      </c>
      <c r="M87" s="1169">
        <f t="shared" si="12"/>
        <v>0</v>
      </c>
      <c r="N87" s="1169">
        <f t="shared" si="12"/>
        <v>0</v>
      </c>
      <c r="O87" s="1169">
        <f t="shared" si="12"/>
        <v>0</v>
      </c>
      <c r="P87" s="1169">
        <f t="shared" si="12"/>
        <v>0</v>
      </c>
      <c r="Q87" s="1169">
        <f t="shared" si="12"/>
        <v>0</v>
      </c>
      <c r="R87" s="1169">
        <f t="shared" si="12"/>
        <v>0</v>
      </c>
      <c r="S87" s="1169">
        <f t="shared" si="12"/>
        <v>0</v>
      </c>
      <c r="T87" s="1169">
        <f t="shared" si="12"/>
        <v>0</v>
      </c>
      <c r="U87" s="1169">
        <f t="shared" si="12"/>
        <v>0</v>
      </c>
    </row>
    <row r="88" spans="4:21" ht="14.25" thickBot="1" x14ac:dyDescent="0.3">
      <c r="D88" s="1169" t="s">
        <v>1973</v>
      </c>
      <c r="E88" s="1169">
        <v>0</v>
      </c>
      <c r="F88" s="1169">
        <f t="shared" si="3"/>
        <v>0</v>
      </c>
      <c r="G88" s="1169">
        <f t="shared" si="3"/>
        <v>0</v>
      </c>
      <c r="H88" s="1169">
        <f>F88</f>
        <v>0</v>
      </c>
      <c r="I88" s="1169">
        <f t="shared" si="12"/>
        <v>0</v>
      </c>
      <c r="J88" s="1169">
        <f t="shared" si="12"/>
        <v>0</v>
      </c>
      <c r="K88" s="1169">
        <f t="shared" si="12"/>
        <v>0</v>
      </c>
      <c r="L88" s="1169">
        <f t="shared" si="12"/>
        <v>0</v>
      </c>
      <c r="M88" s="1169">
        <f t="shared" si="12"/>
        <v>0</v>
      </c>
      <c r="N88" s="1169">
        <f t="shared" si="12"/>
        <v>0</v>
      </c>
      <c r="O88" s="1169">
        <f t="shared" si="12"/>
        <v>0</v>
      </c>
      <c r="P88" s="1169">
        <f t="shared" si="12"/>
        <v>0</v>
      </c>
      <c r="Q88" s="1169">
        <f t="shared" si="12"/>
        <v>0</v>
      </c>
      <c r="R88" s="1169">
        <f t="shared" si="12"/>
        <v>0</v>
      </c>
      <c r="S88" s="1169">
        <f t="shared" si="12"/>
        <v>0</v>
      </c>
      <c r="T88" s="1169">
        <f t="shared" si="12"/>
        <v>0</v>
      </c>
      <c r="U88" s="1169">
        <f t="shared" si="12"/>
        <v>0</v>
      </c>
    </row>
    <row r="89" spans="4:21" ht="14.25" thickBot="1" x14ac:dyDescent="0.3">
      <c r="D89" s="1782" t="s">
        <v>2047</v>
      </c>
      <c r="E89" s="1782"/>
      <c r="F89" s="1782"/>
      <c r="G89" s="1782"/>
      <c r="H89" s="1782"/>
      <c r="I89" s="1782"/>
      <c r="J89" s="1782"/>
      <c r="K89" s="1782"/>
      <c r="L89" s="1782"/>
      <c r="M89" s="1782"/>
      <c r="N89" s="1782"/>
      <c r="O89" s="1782"/>
      <c r="P89" s="1782"/>
      <c r="Q89" s="1782"/>
      <c r="R89" s="1782"/>
      <c r="S89" s="1782"/>
      <c r="T89" s="1782"/>
      <c r="U89" s="1782"/>
    </row>
    <row r="90" spans="4:21" ht="14.25" thickBot="1" x14ac:dyDescent="0.3">
      <c r="D90" s="1606" t="s">
        <v>1855</v>
      </c>
      <c r="E90" s="1169">
        <v>0</v>
      </c>
      <c r="F90" s="1169">
        <f>E90</f>
        <v>0</v>
      </c>
      <c r="G90" s="1169">
        <f>F90</f>
        <v>0</v>
      </c>
      <c r="H90" s="1169">
        <f>F90</f>
        <v>0</v>
      </c>
      <c r="I90" s="1169">
        <f t="shared" ref="I90:U91" si="13">H90</f>
        <v>0</v>
      </c>
      <c r="J90" s="1169">
        <f t="shared" si="13"/>
        <v>0</v>
      </c>
      <c r="K90" s="1169">
        <f t="shared" si="13"/>
        <v>0</v>
      </c>
      <c r="L90" s="1169">
        <f t="shared" si="13"/>
        <v>0</v>
      </c>
      <c r="M90" s="1169">
        <f t="shared" si="13"/>
        <v>0</v>
      </c>
      <c r="N90" s="1169">
        <f t="shared" si="13"/>
        <v>0</v>
      </c>
      <c r="O90" s="1169">
        <f t="shared" si="13"/>
        <v>0</v>
      </c>
      <c r="P90" s="1169">
        <f t="shared" si="13"/>
        <v>0</v>
      </c>
      <c r="Q90" s="1169">
        <f t="shared" si="13"/>
        <v>0</v>
      </c>
      <c r="R90" s="1169">
        <f t="shared" si="13"/>
        <v>0</v>
      </c>
      <c r="S90" s="1169">
        <f t="shared" si="13"/>
        <v>0</v>
      </c>
      <c r="T90" s="1169">
        <f t="shared" si="13"/>
        <v>0</v>
      </c>
      <c r="U90" s="1169">
        <f t="shared" si="13"/>
        <v>0</v>
      </c>
    </row>
    <row r="91" spans="4:21" ht="14.25" thickBot="1" x14ac:dyDescent="0.3">
      <c r="D91" s="1606" t="s">
        <v>1975</v>
      </c>
      <c r="E91" s="1169">
        <v>0</v>
      </c>
      <c r="F91" s="1169">
        <f>E91</f>
        <v>0</v>
      </c>
      <c r="G91" s="1169">
        <f>F91</f>
        <v>0</v>
      </c>
      <c r="H91" s="1169">
        <f>F91</f>
        <v>0</v>
      </c>
      <c r="I91" s="1169">
        <f t="shared" si="13"/>
        <v>0</v>
      </c>
      <c r="J91" s="1169">
        <f t="shared" si="13"/>
        <v>0</v>
      </c>
      <c r="K91" s="1169">
        <f t="shared" si="13"/>
        <v>0</v>
      </c>
      <c r="L91" s="1169">
        <f t="shared" si="13"/>
        <v>0</v>
      </c>
      <c r="M91" s="1169">
        <f t="shared" si="13"/>
        <v>0</v>
      </c>
      <c r="N91" s="1169">
        <f t="shared" si="13"/>
        <v>0</v>
      </c>
      <c r="O91" s="1169">
        <f t="shared" si="13"/>
        <v>0</v>
      </c>
      <c r="P91" s="1169">
        <f t="shared" si="13"/>
        <v>0</v>
      </c>
      <c r="Q91" s="1169">
        <f t="shared" si="13"/>
        <v>0</v>
      </c>
      <c r="R91" s="1169">
        <f t="shared" si="13"/>
        <v>0</v>
      </c>
      <c r="S91" s="1169">
        <f t="shared" si="13"/>
        <v>0</v>
      </c>
      <c r="T91" s="1169">
        <f t="shared" si="13"/>
        <v>0</v>
      </c>
      <c r="U91" s="1169">
        <f t="shared" si="13"/>
        <v>0</v>
      </c>
    </row>
    <row r="92" spans="4:21" ht="14.25" thickBot="1" x14ac:dyDescent="0.3">
      <c r="D92" s="1782" t="s">
        <v>427</v>
      </c>
      <c r="E92" s="1782"/>
      <c r="F92" s="1782"/>
      <c r="G92" s="1782"/>
      <c r="H92" s="1782"/>
      <c r="I92" s="1782"/>
      <c r="J92" s="1782"/>
      <c r="K92" s="1782"/>
      <c r="L92" s="1782"/>
      <c r="M92" s="1782"/>
      <c r="N92" s="1782"/>
      <c r="O92" s="1782"/>
      <c r="P92" s="1782"/>
      <c r="Q92" s="1782"/>
      <c r="R92" s="1782"/>
      <c r="S92" s="1782"/>
      <c r="T92" s="1782"/>
      <c r="U92" s="1782"/>
    </row>
    <row r="93" spans="4:21" ht="14.25" thickBot="1" x14ac:dyDescent="0.3">
      <c r="D93" s="1169" t="s">
        <v>1777</v>
      </c>
      <c r="E93" s="1768">
        <f>H40</f>
        <v>0</v>
      </c>
      <c r="F93" s="1169">
        <f t="shared" ref="F93:G96" si="14">E93</f>
        <v>0</v>
      </c>
      <c r="G93" s="1169">
        <f t="shared" si="14"/>
        <v>0</v>
      </c>
      <c r="H93" s="1169">
        <f>F93</f>
        <v>0</v>
      </c>
      <c r="I93" s="1169">
        <f t="shared" ref="I93:U93" si="15">H93</f>
        <v>0</v>
      </c>
      <c r="J93" s="1169">
        <f t="shared" si="15"/>
        <v>0</v>
      </c>
      <c r="K93" s="1169">
        <f t="shared" si="15"/>
        <v>0</v>
      </c>
      <c r="L93" s="1169">
        <f t="shared" si="15"/>
        <v>0</v>
      </c>
      <c r="M93" s="1169">
        <f t="shared" si="15"/>
        <v>0</v>
      </c>
      <c r="N93" s="1169">
        <f t="shared" si="15"/>
        <v>0</v>
      </c>
      <c r="O93" s="1169">
        <f t="shared" si="15"/>
        <v>0</v>
      </c>
      <c r="P93" s="1169">
        <f t="shared" si="15"/>
        <v>0</v>
      </c>
      <c r="Q93" s="1169">
        <f t="shared" si="15"/>
        <v>0</v>
      </c>
      <c r="R93" s="1169">
        <f t="shared" si="15"/>
        <v>0</v>
      </c>
      <c r="S93" s="1169">
        <f t="shared" si="15"/>
        <v>0</v>
      </c>
      <c r="T93" s="1169">
        <f t="shared" si="15"/>
        <v>0</v>
      </c>
      <c r="U93" s="1169">
        <f t="shared" si="15"/>
        <v>0</v>
      </c>
    </row>
    <row r="94" spans="4:21" ht="14.25" thickBot="1" x14ac:dyDescent="0.3">
      <c r="D94" s="1169" t="s">
        <v>1778</v>
      </c>
      <c r="E94" s="1169">
        <v>0</v>
      </c>
      <c r="F94" s="1169">
        <v>0</v>
      </c>
      <c r="G94" s="1169">
        <f t="shared" si="14"/>
        <v>0</v>
      </c>
      <c r="H94" s="1169">
        <v>0</v>
      </c>
      <c r="I94" s="1169">
        <v>0</v>
      </c>
      <c r="J94" s="1169">
        <v>0</v>
      </c>
      <c r="K94" s="1169">
        <v>0</v>
      </c>
      <c r="L94" s="1169">
        <v>0</v>
      </c>
      <c r="M94" s="1169">
        <v>0</v>
      </c>
      <c r="N94" s="1169">
        <v>0</v>
      </c>
      <c r="O94" s="1169">
        <v>0</v>
      </c>
      <c r="P94" s="1169">
        <v>0</v>
      </c>
      <c r="Q94" s="1169">
        <v>0</v>
      </c>
      <c r="R94" s="1169">
        <v>0</v>
      </c>
      <c r="S94" s="1169">
        <v>0</v>
      </c>
      <c r="T94" s="1169">
        <v>0</v>
      </c>
      <c r="U94" s="1169">
        <v>0</v>
      </c>
    </row>
    <row r="95" spans="4:21" ht="14.25" thickBot="1" x14ac:dyDescent="0.3">
      <c r="D95" s="1169" t="s">
        <v>1779</v>
      </c>
      <c r="E95" s="1169">
        <v>0</v>
      </c>
      <c r="F95" s="1169">
        <f>E95</f>
        <v>0</v>
      </c>
      <c r="G95" s="1169">
        <f t="shared" si="14"/>
        <v>0</v>
      </c>
      <c r="H95" s="1169">
        <f>F95</f>
        <v>0</v>
      </c>
      <c r="I95" s="1169">
        <f t="shared" ref="I95:U96" si="16">H95</f>
        <v>0</v>
      </c>
      <c r="J95" s="1169">
        <f t="shared" si="16"/>
        <v>0</v>
      </c>
      <c r="K95" s="1169">
        <f t="shared" si="16"/>
        <v>0</v>
      </c>
      <c r="L95" s="1169">
        <f t="shared" si="16"/>
        <v>0</v>
      </c>
      <c r="M95" s="1169">
        <f t="shared" si="16"/>
        <v>0</v>
      </c>
      <c r="N95" s="1169">
        <f t="shared" si="16"/>
        <v>0</v>
      </c>
      <c r="O95" s="1169">
        <f t="shared" si="16"/>
        <v>0</v>
      </c>
      <c r="P95" s="1169">
        <f t="shared" si="16"/>
        <v>0</v>
      </c>
      <c r="Q95" s="1169">
        <f t="shared" si="16"/>
        <v>0</v>
      </c>
      <c r="R95" s="1169">
        <f t="shared" si="16"/>
        <v>0</v>
      </c>
      <c r="S95" s="1169">
        <f t="shared" si="16"/>
        <v>0</v>
      </c>
      <c r="T95" s="1169">
        <f t="shared" si="16"/>
        <v>0</v>
      </c>
      <c r="U95" s="1169">
        <f t="shared" si="16"/>
        <v>0</v>
      </c>
    </row>
    <row r="96" spans="4:21" ht="14.25" thickBot="1" x14ac:dyDescent="0.3">
      <c r="D96" s="1169" t="s">
        <v>1976</v>
      </c>
      <c r="E96" s="1169">
        <v>0</v>
      </c>
      <c r="F96" s="1169">
        <f>E96</f>
        <v>0</v>
      </c>
      <c r="G96" s="1169">
        <f t="shared" si="14"/>
        <v>0</v>
      </c>
      <c r="H96" s="1169">
        <f>F96</f>
        <v>0</v>
      </c>
      <c r="I96" s="1169">
        <f t="shared" si="16"/>
        <v>0</v>
      </c>
      <c r="J96" s="1169">
        <f t="shared" si="16"/>
        <v>0</v>
      </c>
      <c r="K96" s="1169">
        <f t="shared" si="16"/>
        <v>0</v>
      </c>
      <c r="L96" s="1169">
        <f t="shared" si="16"/>
        <v>0</v>
      </c>
      <c r="M96" s="1169">
        <f t="shared" si="16"/>
        <v>0</v>
      </c>
      <c r="N96" s="1169">
        <f t="shared" si="16"/>
        <v>0</v>
      </c>
      <c r="O96" s="1169">
        <f t="shared" si="16"/>
        <v>0</v>
      </c>
      <c r="P96" s="1169">
        <f t="shared" si="16"/>
        <v>0</v>
      </c>
      <c r="Q96" s="1169">
        <f t="shared" si="16"/>
        <v>0</v>
      </c>
      <c r="R96" s="1169">
        <f t="shared" si="16"/>
        <v>0</v>
      </c>
      <c r="S96" s="1169">
        <f t="shared" si="16"/>
        <v>0</v>
      </c>
      <c r="T96" s="1169">
        <f t="shared" si="16"/>
        <v>0</v>
      </c>
      <c r="U96" s="1169">
        <f t="shared" si="16"/>
        <v>0</v>
      </c>
    </row>
    <row r="97" spans="3:25" ht="14.25" thickBot="1" x14ac:dyDescent="0.3">
      <c r="D97" s="1606" t="s">
        <v>1977</v>
      </c>
      <c r="E97" s="1792">
        <v>0</v>
      </c>
      <c r="F97" s="1169">
        <f>E97</f>
        <v>0</v>
      </c>
      <c r="G97" s="1169">
        <f t="shared" ref="G97" si="17">F97</f>
        <v>0</v>
      </c>
      <c r="H97" s="1169">
        <f>F97</f>
        <v>0</v>
      </c>
      <c r="I97" s="1169">
        <f t="shared" ref="I97" si="18">H97</f>
        <v>0</v>
      </c>
      <c r="J97" s="1169">
        <f t="shared" ref="J97" si="19">I97</f>
        <v>0</v>
      </c>
      <c r="K97" s="1169">
        <f t="shared" ref="K97" si="20">J97</f>
        <v>0</v>
      </c>
      <c r="L97" s="1169">
        <f t="shared" ref="L97" si="21">K97</f>
        <v>0</v>
      </c>
      <c r="M97" s="1169">
        <f t="shared" ref="M97" si="22">L97</f>
        <v>0</v>
      </c>
      <c r="N97" s="1169">
        <f t="shared" ref="N97" si="23">M97</f>
        <v>0</v>
      </c>
      <c r="O97" s="1169">
        <f t="shared" ref="O97" si="24">N97</f>
        <v>0</v>
      </c>
      <c r="P97" s="1169">
        <f t="shared" ref="P97" si="25">O97</f>
        <v>0</v>
      </c>
      <c r="Q97" s="1169">
        <f t="shared" ref="Q97" si="26">P97</f>
        <v>0</v>
      </c>
      <c r="R97" s="1169">
        <f t="shared" ref="R97" si="27">Q97</f>
        <v>0</v>
      </c>
      <c r="S97" s="1169">
        <f t="shared" ref="S97" si="28">R97</f>
        <v>0</v>
      </c>
      <c r="T97" s="1169">
        <f t="shared" ref="T97" si="29">S97</f>
        <v>0</v>
      </c>
      <c r="U97" s="1169">
        <f t="shared" ref="U97" si="30">T97</f>
        <v>0</v>
      </c>
    </row>
    <row r="98" spans="3:25" ht="14.25" thickBot="1" x14ac:dyDescent="0.3">
      <c r="D98" s="1784" t="s">
        <v>1224</v>
      </c>
      <c r="E98" s="1784"/>
      <c r="F98" s="1784"/>
      <c r="G98" s="1784"/>
      <c r="H98" s="1784"/>
      <c r="I98" s="1784"/>
      <c r="J98" s="1784"/>
      <c r="K98" s="1784"/>
      <c r="L98" s="1784"/>
      <c r="M98" s="1784"/>
      <c r="N98" s="1784"/>
      <c r="O98" s="1784"/>
      <c r="P98" s="1784"/>
      <c r="Q98" s="1784"/>
      <c r="R98" s="1784"/>
      <c r="S98" s="1784"/>
      <c r="T98" s="1784"/>
      <c r="U98" s="1784"/>
    </row>
    <row r="99" spans="3:25" ht="14.25" thickBot="1" x14ac:dyDescent="0.3">
      <c r="D99" s="1169" t="s">
        <v>1978</v>
      </c>
      <c r="E99" s="1169">
        <v>0</v>
      </c>
      <c r="F99" s="1169">
        <v>0</v>
      </c>
      <c r="G99" s="1169">
        <v>0</v>
      </c>
      <c r="H99" s="1169">
        <v>0</v>
      </c>
      <c r="I99" s="1169">
        <v>0</v>
      </c>
      <c r="J99" s="1169">
        <v>0</v>
      </c>
      <c r="K99" s="1169">
        <v>0</v>
      </c>
      <c r="L99" s="1169">
        <v>0</v>
      </c>
      <c r="M99" s="1169">
        <v>0</v>
      </c>
      <c r="N99" s="1169">
        <v>0</v>
      </c>
      <c r="O99" s="1169">
        <v>0</v>
      </c>
      <c r="P99" s="1169">
        <v>0</v>
      </c>
      <c r="Q99" s="1169">
        <v>0</v>
      </c>
      <c r="R99" s="1169">
        <v>0</v>
      </c>
      <c r="S99" s="1169">
        <v>0</v>
      </c>
      <c r="T99" s="1169">
        <v>0</v>
      </c>
      <c r="U99" s="1169">
        <v>0</v>
      </c>
    </row>
    <row r="100" spans="3:25" ht="14.25" thickBot="1" x14ac:dyDescent="0.3">
      <c r="D100" s="1169" t="s">
        <v>1979</v>
      </c>
      <c r="E100" s="1169">
        <v>0</v>
      </c>
      <c r="F100" s="1169">
        <f>E100</f>
        <v>0</v>
      </c>
      <c r="G100" s="1169">
        <f>F100</f>
        <v>0</v>
      </c>
      <c r="H100" s="1169">
        <f>F100</f>
        <v>0</v>
      </c>
      <c r="I100" s="1169">
        <f t="shared" ref="I100:U100" si="31">H100</f>
        <v>0</v>
      </c>
      <c r="J100" s="1169">
        <f t="shared" si="31"/>
        <v>0</v>
      </c>
      <c r="K100" s="1169">
        <f t="shared" si="31"/>
        <v>0</v>
      </c>
      <c r="L100" s="1169">
        <f t="shared" si="31"/>
        <v>0</v>
      </c>
      <c r="M100" s="1169">
        <f t="shared" si="31"/>
        <v>0</v>
      </c>
      <c r="N100" s="1169">
        <f t="shared" si="31"/>
        <v>0</v>
      </c>
      <c r="O100" s="1169">
        <f t="shared" si="31"/>
        <v>0</v>
      </c>
      <c r="P100" s="1169">
        <f t="shared" si="31"/>
        <v>0</v>
      </c>
      <c r="Q100" s="1169">
        <f t="shared" si="31"/>
        <v>0</v>
      </c>
      <c r="R100" s="1169">
        <f t="shared" si="31"/>
        <v>0</v>
      </c>
      <c r="S100" s="1169">
        <f t="shared" si="31"/>
        <v>0</v>
      </c>
      <c r="T100" s="1169">
        <f t="shared" si="31"/>
        <v>0</v>
      </c>
      <c r="U100" s="1169">
        <f t="shared" si="31"/>
        <v>0</v>
      </c>
    </row>
    <row r="101" spans="3:25" ht="14.25" thickBot="1" x14ac:dyDescent="0.3">
      <c r="D101" s="1608" t="s">
        <v>90</v>
      </c>
      <c r="E101" s="1169">
        <v>0</v>
      </c>
      <c r="F101" s="1169">
        <v>0</v>
      </c>
      <c r="G101" s="1169">
        <v>0</v>
      </c>
      <c r="H101" s="1169">
        <v>0</v>
      </c>
      <c r="I101" s="1169">
        <v>0</v>
      </c>
      <c r="J101" s="1169">
        <v>0</v>
      </c>
      <c r="K101" s="1169">
        <v>0</v>
      </c>
      <c r="L101" s="1169">
        <v>0</v>
      </c>
      <c r="M101" s="1169">
        <v>0</v>
      </c>
      <c r="N101" s="1169">
        <v>0</v>
      </c>
      <c r="O101" s="1169">
        <v>0</v>
      </c>
      <c r="P101" s="1169">
        <v>0</v>
      </c>
      <c r="Q101" s="1169">
        <v>0</v>
      </c>
      <c r="R101" s="1169">
        <v>0</v>
      </c>
      <c r="S101" s="1169">
        <v>0</v>
      </c>
      <c r="T101" s="1169">
        <v>0</v>
      </c>
      <c r="U101" s="1169">
        <v>0</v>
      </c>
    </row>
    <row r="102" spans="3:25" ht="14.25" thickBot="1" x14ac:dyDescent="0.3">
      <c r="D102" s="1608" t="s">
        <v>91</v>
      </c>
      <c r="E102" s="1169">
        <v>0</v>
      </c>
      <c r="F102" s="1169">
        <v>0</v>
      </c>
      <c r="G102" s="1169">
        <v>0</v>
      </c>
      <c r="H102" s="1169">
        <v>0</v>
      </c>
      <c r="I102" s="1169">
        <v>0</v>
      </c>
      <c r="J102" s="1169">
        <v>0</v>
      </c>
      <c r="K102" s="1169">
        <v>0</v>
      </c>
      <c r="L102" s="1169">
        <v>0</v>
      </c>
      <c r="M102" s="1169">
        <v>0</v>
      </c>
      <c r="N102" s="1169">
        <v>0</v>
      </c>
      <c r="O102" s="1169">
        <v>0</v>
      </c>
      <c r="P102" s="1169">
        <v>0</v>
      </c>
      <c r="Q102" s="1169">
        <v>0</v>
      </c>
      <c r="R102" s="1169">
        <v>0</v>
      </c>
      <c r="S102" s="1169">
        <v>0</v>
      </c>
      <c r="T102" s="1169">
        <v>0</v>
      </c>
      <c r="U102" s="1169">
        <v>0</v>
      </c>
    </row>
    <row r="103" spans="3:25" ht="14.25" thickBot="1" x14ac:dyDescent="0.3">
      <c r="D103" s="1169" t="s">
        <v>1982</v>
      </c>
      <c r="E103" s="1169">
        <v>0</v>
      </c>
      <c r="F103" s="1169">
        <v>0</v>
      </c>
      <c r="G103" s="1169">
        <v>0</v>
      </c>
      <c r="H103" s="1169">
        <v>0</v>
      </c>
      <c r="I103" s="1169">
        <v>0</v>
      </c>
      <c r="J103" s="1169">
        <v>0</v>
      </c>
      <c r="K103" s="1169">
        <v>0</v>
      </c>
      <c r="L103" s="1169">
        <v>0</v>
      </c>
      <c r="M103" s="1169">
        <v>0</v>
      </c>
      <c r="N103" s="1169">
        <v>0</v>
      </c>
      <c r="O103" s="1169">
        <v>0</v>
      </c>
      <c r="P103" s="1169">
        <v>0</v>
      </c>
      <c r="Q103" s="1169">
        <v>0</v>
      </c>
      <c r="R103" s="1169">
        <v>0</v>
      </c>
      <c r="S103" s="1169">
        <v>0</v>
      </c>
      <c r="T103" s="1169">
        <v>0</v>
      </c>
      <c r="U103" s="1169">
        <v>0</v>
      </c>
    </row>
    <row r="104" spans="3:25" ht="14.25" thickBot="1" x14ac:dyDescent="0.3">
      <c r="D104" s="1169" t="s">
        <v>381</v>
      </c>
      <c r="E104" s="1768">
        <f>H54</f>
        <v>0</v>
      </c>
      <c r="F104" s="1169">
        <v>0</v>
      </c>
      <c r="G104" s="1169">
        <v>0</v>
      </c>
      <c r="H104" s="1169">
        <v>0</v>
      </c>
      <c r="I104" s="1169">
        <v>0</v>
      </c>
      <c r="J104" s="1169">
        <v>0</v>
      </c>
      <c r="K104" s="1169">
        <v>0</v>
      </c>
      <c r="L104" s="1169">
        <v>0</v>
      </c>
      <c r="M104" s="1169">
        <v>0</v>
      </c>
      <c r="N104" s="1169">
        <v>0</v>
      </c>
      <c r="O104" s="1169">
        <v>0</v>
      </c>
      <c r="P104" s="1169">
        <v>0</v>
      </c>
      <c r="Q104" s="1169">
        <v>0</v>
      </c>
      <c r="R104" s="1169">
        <v>0</v>
      </c>
      <c r="S104" s="1169">
        <v>0</v>
      </c>
      <c r="T104" s="1169">
        <v>0</v>
      </c>
      <c r="U104" s="1169">
        <v>0</v>
      </c>
    </row>
    <row r="105" spans="3:25" x14ac:dyDescent="0.25">
      <c r="D105" s="1769"/>
      <c r="E105" s="1788"/>
      <c r="F105" s="1788"/>
      <c r="G105" s="1788"/>
      <c r="H105" s="1788"/>
      <c r="I105" s="1788"/>
      <c r="J105" s="1788"/>
      <c r="K105" s="1788"/>
      <c r="L105" s="1788"/>
      <c r="M105" s="1788"/>
      <c r="N105" s="1788"/>
      <c r="O105" s="1788"/>
      <c r="P105" s="1788"/>
      <c r="Q105" s="1788"/>
      <c r="R105" s="1788"/>
      <c r="S105" s="1788"/>
      <c r="T105" s="1788"/>
    </row>
    <row r="106" spans="3:25" x14ac:dyDescent="0.25">
      <c r="D106" s="1785" t="s">
        <v>3322</v>
      </c>
      <c r="E106" s="1788"/>
      <c r="F106" s="1788"/>
      <c r="G106" s="1788"/>
      <c r="H106" s="1788"/>
      <c r="I106" s="1788"/>
      <c r="J106" s="1788"/>
      <c r="K106" s="1788"/>
      <c r="L106" s="1788"/>
      <c r="M106" s="1788"/>
      <c r="N106" s="1788"/>
      <c r="O106" s="1788"/>
      <c r="P106" s="1788"/>
      <c r="Q106" s="1788"/>
      <c r="R106" s="1788"/>
      <c r="S106" s="1788"/>
      <c r="T106" s="1788"/>
    </row>
    <row r="107" spans="3:25" ht="14.25" thickBot="1" x14ac:dyDescent="0.3">
      <c r="D107" s="1785"/>
      <c r="E107" s="1788"/>
      <c r="F107" s="1788"/>
      <c r="G107" s="1788"/>
      <c r="H107" s="1788"/>
      <c r="I107" s="1788"/>
      <c r="J107" s="1788"/>
      <c r="K107" s="1788"/>
      <c r="L107" s="1788"/>
      <c r="M107" s="1788"/>
      <c r="N107" s="1788"/>
      <c r="O107" s="1788"/>
      <c r="P107" s="1788"/>
      <c r="Q107" s="1788"/>
      <c r="R107" s="1788"/>
      <c r="S107" s="1788"/>
      <c r="T107" s="1788"/>
    </row>
    <row r="108" spans="3:25" ht="15" customHeight="1" thickBot="1" x14ac:dyDescent="0.3">
      <c r="D108" s="3990" t="s">
        <v>1292</v>
      </c>
      <c r="E108" s="3987" t="s">
        <v>3323</v>
      </c>
      <c r="F108" s="3987" t="s">
        <v>3324</v>
      </c>
      <c r="G108" s="3987"/>
      <c r="H108" s="3987"/>
      <c r="I108" s="3987"/>
      <c r="J108" s="3987"/>
      <c r="K108" s="3987"/>
      <c r="L108" s="3987"/>
      <c r="M108" s="3987"/>
      <c r="N108" s="3987"/>
      <c r="O108" s="3987"/>
      <c r="P108" s="3987"/>
      <c r="Q108" s="3987"/>
      <c r="R108" s="3987"/>
      <c r="S108" s="3987"/>
      <c r="T108" s="3987"/>
      <c r="U108" s="3987"/>
      <c r="V108" s="3993"/>
      <c r="Y108" s="1597"/>
    </row>
    <row r="109" spans="3:25" ht="14.25" thickBot="1" x14ac:dyDescent="0.3">
      <c r="D109" s="3991"/>
      <c r="E109" s="3988"/>
      <c r="F109" s="1588">
        <v>0</v>
      </c>
      <c r="G109" s="1588">
        <v>0</v>
      </c>
      <c r="H109" s="1588">
        <v>1</v>
      </c>
      <c r="I109" s="1588">
        <v>2</v>
      </c>
      <c r="J109" s="1588">
        <v>3</v>
      </c>
      <c r="K109" s="1588">
        <v>4</v>
      </c>
      <c r="L109" s="1588">
        <v>5</v>
      </c>
      <c r="M109" s="1588">
        <v>6</v>
      </c>
      <c r="N109" s="1588">
        <v>7</v>
      </c>
      <c r="O109" s="1588">
        <v>8</v>
      </c>
      <c r="P109" s="1588">
        <v>9</v>
      </c>
      <c r="Q109" s="1588">
        <v>10</v>
      </c>
      <c r="R109" s="1588">
        <v>11</v>
      </c>
      <c r="S109" s="1588">
        <v>12</v>
      </c>
      <c r="T109" s="1588">
        <v>13</v>
      </c>
      <c r="U109" s="1588">
        <v>14</v>
      </c>
      <c r="V109" s="1590">
        <v>15</v>
      </c>
    </row>
    <row r="110" spans="3:25" ht="14.25" thickBot="1" x14ac:dyDescent="0.3">
      <c r="D110" s="3992"/>
      <c r="E110" s="3989"/>
      <c r="F110" s="1589">
        <v>2018</v>
      </c>
      <c r="G110" s="1589">
        <v>2019</v>
      </c>
      <c r="H110" s="1589">
        <v>2020</v>
      </c>
      <c r="I110" s="1589">
        <v>2021</v>
      </c>
      <c r="J110" s="1589">
        <v>2022</v>
      </c>
      <c r="K110" s="1589">
        <v>2023</v>
      </c>
      <c r="L110" s="1589">
        <v>2024</v>
      </c>
      <c r="M110" s="1589">
        <v>2025</v>
      </c>
      <c r="N110" s="1589">
        <v>2026</v>
      </c>
      <c r="O110" s="1589">
        <v>2027</v>
      </c>
      <c r="P110" s="1589">
        <v>2028</v>
      </c>
      <c r="Q110" s="1589">
        <v>2029</v>
      </c>
      <c r="R110" s="1589">
        <v>2030</v>
      </c>
      <c r="S110" s="1589">
        <v>2031</v>
      </c>
      <c r="T110" s="1589">
        <v>2032</v>
      </c>
      <c r="U110" s="1589">
        <v>2033</v>
      </c>
      <c r="V110" s="1593">
        <v>2034</v>
      </c>
    </row>
    <row r="111" spans="3:25" ht="14.25" thickBot="1" x14ac:dyDescent="0.3">
      <c r="D111" s="1762" t="s">
        <v>71</v>
      </c>
      <c r="E111" s="1762"/>
      <c r="F111" s="1762"/>
      <c r="G111" s="1762"/>
      <c r="H111" s="1762"/>
      <c r="I111" s="1762"/>
      <c r="J111" s="1762"/>
      <c r="K111" s="1762"/>
      <c r="L111" s="1762"/>
      <c r="M111" s="1762"/>
      <c r="N111" s="1762"/>
      <c r="O111" s="1762"/>
      <c r="P111" s="1762"/>
      <c r="Q111" s="1762"/>
      <c r="R111" s="1762"/>
      <c r="S111" s="1762"/>
      <c r="T111" s="1762"/>
      <c r="U111" s="1762"/>
      <c r="V111" s="1762"/>
    </row>
    <row r="112" spans="3:25" ht="14.25" thickBot="1" x14ac:dyDescent="0.3">
      <c r="C112" s="1770"/>
      <c r="D112" s="4594" t="s">
        <v>1298</v>
      </c>
      <c r="E112" s="1558" t="s">
        <v>3325</v>
      </c>
      <c r="F112" s="1772">
        <f>'14 Dda Consolidda'!E10</f>
        <v>727.39241737423697</v>
      </c>
      <c r="G112" s="1772">
        <f>'14 Dda Consolidda'!F10</f>
        <v>733.00749502117742</v>
      </c>
      <c r="H112" s="1772">
        <f>'14 Dda Consolidda'!G10</f>
        <v>738.62681520914748</v>
      </c>
      <c r="I112" s="1772">
        <f>'14 Dda Consolidda'!H10</f>
        <v>744.25038038300841</v>
      </c>
      <c r="J112" s="1772">
        <f>'14 Dda Consolidda'!I10</f>
        <v>749.87819298887825</v>
      </c>
      <c r="K112" s="1772">
        <f>'14 Dda Consolidda'!J10</f>
        <v>755.5102554741336</v>
      </c>
      <c r="L112" s="1772">
        <f>'14 Dda Consolidda'!K10</f>
        <v>761.14657028741021</v>
      </c>
      <c r="M112" s="1772">
        <f>'14 Dda Consolidda'!L10</f>
        <v>766.78713987860363</v>
      </c>
      <c r="N112" s="1772">
        <f>'14 Dda Consolidda'!M10</f>
        <v>772.43196669886925</v>
      </c>
      <c r="O112" s="1772">
        <f>'14 Dda Consolidda'!N10</f>
        <v>778.08105320062305</v>
      </c>
      <c r="P112" s="1772">
        <f>'14 Dda Consolidda'!O10</f>
        <v>783.73440183754235</v>
      </c>
      <c r="Q112" s="1772">
        <f>'14 Dda Consolidda'!P10</f>
        <v>789.39201506456743</v>
      </c>
      <c r="R112" s="1772">
        <f>'14 Dda Consolidda'!Q10</f>
        <v>795.05389533790003</v>
      </c>
      <c r="S112" s="1772">
        <f>'14 Dda Consolidda'!R10</f>
        <v>800.72004511500563</v>
      </c>
      <c r="T112" s="1772">
        <f>'14 Dda Consolidda'!S10</f>
        <v>806.39046685461324</v>
      </c>
      <c r="U112" s="1772">
        <f>'14 Dda Consolidda'!T10</f>
        <v>812.06516301671672</v>
      </c>
      <c r="V112" s="1772">
        <f>'14 Dda Consolidda'!U10</f>
        <v>817.74413606257485</v>
      </c>
    </row>
    <row r="113" spans="3:22" ht="14.25" thickBot="1" x14ac:dyDescent="0.3">
      <c r="C113" s="1770"/>
      <c r="D113" s="4594"/>
      <c r="E113" s="1558" t="s">
        <v>3326</v>
      </c>
      <c r="F113" s="1772">
        <v>0</v>
      </c>
      <c r="G113" s="1772">
        <v>1</v>
      </c>
      <c r="H113" s="1772">
        <v>2</v>
      </c>
      <c r="I113" s="1772">
        <v>3</v>
      </c>
      <c r="J113" s="1772">
        <v>4</v>
      </c>
      <c r="K113" s="1772">
        <v>5</v>
      </c>
      <c r="L113" s="1772">
        <v>6</v>
      </c>
      <c r="M113" s="1772">
        <v>7</v>
      </c>
      <c r="N113" s="1772">
        <v>8</v>
      </c>
      <c r="O113" s="1772">
        <v>9</v>
      </c>
      <c r="P113" s="1772">
        <v>10</v>
      </c>
      <c r="Q113" s="1772">
        <v>11</v>
      </c>
      <c r="R113" s="1772">
        <v>12</v>
      </c>
      <c r="S113" s="1772">
        <v>13</v>
      </c>
      <c r="T113" s="1772">
        <v>14</v>
      </c>
      <c r="U113" s="1772">
        <v>15</v>
      </c>
      <c r="V113" s="1772">
        <v>16</v>
      </c>
    </row>
    <row r="114" spans="3:22" ht="14.25" thickBot="1" x14ac:dyDescent="0.3">
      <c r="C114" s="1770"/>
      <c r="D114" s="4594"/>
      <c r="E114" s="1558" t="s">
        <v>3323</v>
      </c>
      <c r="F114" s="1773">
        <f>F113-F112</f>
        <v>-727.39241737423697</v>
      </c>
      <c r="G114" s="1773">
        <f t="shared" ref="G114:V114" si="32">G113-G112</f>
        <v>-732.00749502117742</v>
      </c>
      <c r="H114" s="1773">
        <f t="shared" si="32"/>
        <v>-736.62681520914748</v>
      </c>
      <c r="I114" s="1773">
        <f t="shared" si="32"/>
        <v>-741.25038038300841</v>
      </c>
      <c r="J114" s="1773">
        <f t="shared" si="32"/>
        <v>-745.87819298887825</v>
      </c>
      <c r="K114" s="1773">
        <f t="shared" si="32"/>
        <v>-750.5102554741336</v>
      </c>
      <c r="L114" s="1773">
        <f t="shared" si="32"/>
        <v>-755.14657028741021</v>
      </c>
      <c r="M114" s="1773">
        <f t="shared" si="32"/>
        <v>-759.78713987860363</v>
      </c>
      <c r="N114" s="1773">
        <f t="shared" si="32"/>
        <v>-764.43196669886925</v>
      </c>
      <c r="O114" s="1773">
        <f t="shared" si="32"/>
        <v>-769.08105320062305</v>
      </c>
      <c r="P114" s="1773">
        <f t="shared" si="32"/>
        <v>-773.73440183754235</v>
      </c>
      <c r="Q114" s="1773">
        <f t="shared" si="32"/>
        <v>-778.39201506456743</v>
      </c>
      <c r="R114" s="1773">
        <f t="shared" si="32"/>
        <v>-783.05389533790003</v>
      </c>
      <c r="S114" s="1773">
        <f t="shared" si="32"/>
        <v>-787.72004511500563</v>
      </c>
      <c r="T114" s="1773">
        <f t="shared" si="32"/>
        <v>-792.39046685461324</v>
      </c>
      <c r="U114" s="1773">
        <f t="shared" si="32"/>
        <v>-797.06516301671672</v>
      </c>
      <c r="V114" s="1773">
        <f t="shared" si="32"/>
        <v>-801.74413606257485</v>
      </c>
    </row>
    <row r="115" spans="3:22" ht="23.45" customHeight="1" thickBot="1" x14ac:dyDescent="0.3">
      <c r="C115" s="1770"/>
      <c r="D115" s="4594" t="s">
        <v>1300</v>
      </c>
      <c r="E115" s="1558" t="s">
        <v>3325</v>
      </c>
      <c r="F115" s="1772">
        <f>'14 Dda Consolidda'!E11</f>
        <v>0</v>
      </c>
      <c r="G115" s="1772">
        <f>'14 Dda Consolidda'!F11</f>
        <v>0</v>
      </c>
      <c r="H115" s="1772">
        <f>'14 Dda Consolidda'!G11</f>
        <v>0</v>
      </c>
      <c r="I115" s="1772">
        <f>'14 Dda Consolidda'!H11</f>
        <v>0</v>
      </c>
      <c r="J115" s="1772">
        <f>'14 Dda Consolidda'!I11</f>
        <v>0</v>
      </c>
      <c r="K115" s="1772">
        <f>'14 Dda Consolidda'!J11</f>
        <v>0</v>
      </c>
      <c r="L115" s="1772">
        <f>'14 Dda Consolidda'!K11</f>
        <v>0</v>
      </c>
      <c r="M115" s="1772">
        <f>'14 Dda Consolidda'!L11</f>
        <v>0</v>
      </c>
      <c r="N115" s="1772">
        <f>'14 Dda Consolidda'!M11</f>
        <v>0</v>
      </c>
      <c r="O115" s="1772">
        <f>'14 Dda Consolidda'!N11</f>
        <v>0</v>
      </c>
      <c r="P115" s="1772">
        <f>'14 Dda Consolidda'!O11</f>
        <v>0</v>
      </c>
      <c r="Q115" s="1772">
        <f>'14 Dda Consolidda'!P11</f>
        <v>0</v>
      </c>
      <c r="R115" s="1772">
        <f>'14 Dda Consolidda'!Q11</f>
        <v>0</v>
      </c>
      <c r="S115" s="1772">
        <f>'14 Dda Consolidda'!R11</f>
        <v>0</v>
      </c>
      <c r="T115" s="1772">
        <f>'14 Dda Consolidda'!S11</f>
        <v>0</v>
      </c>
      <c r="U115" s="1772">
        <f>'14 Dda Consolidda'!T11</f>
        <v>0</v>
      </c>
      <c r="V115" s="1772">
        <f>'14 Dda Consolidda'!U11</f>
        <v>0</v>
      </c>
    </row>
    <row r="116" spans="3:22" ht="15" customHeight="1" thickBot="1" x14ac:dyDescent="0.3">
      <c r="C116" s="1770"/>
      <c r="D116" s="4594"/>
      <c r="E116" s="1558" t="s">
        <v>3326</v>
      </c>
      <c r="F116" s="1772">
        <v>0</v>
      </c>
      <c r="G116" s="1772">
        <v>1</v>
      </c>
      <c r="H116" s="1772">
        <v>2</v>
      </c>
      <c r="I116" s="1772">
        <v>3</v>
      </c>
      <c r="J116" s="1772">
        <v>4</v>
      </c>
      <c r="K116" s="1772">
        <v>5</v>
      </c>
      <c r="L116" s="1772">
        <v>6</v>
      </c>
      <c r="M116" s="1772">
        <v>7</v>
      </c>
      <c r="N116" s="1772">
        <v>8</v>
      </c>
      <c r="O116" s="1772">
        <v>9</v>
      </c>
      <c r="P116" s="1772">
        <v>10</v>
      </c>
      <c r="Q116" s="1772">
        <v>11</v>
      </c>
      <c r="R116" s="1772">
        <v>12</v>
      </c>
      <c r="S116" s="1772">
        <v>13</v>
      </c>
      <c r="T116" s="1772">
        <v>14</v>
      </c>
      <c r="U116" s="1772">
        <v>15</v>
      </c>
      <c r="V116" s="1772">
        <v>16</v>
      </c>
    </row>
    <row r="117" spans="3:22" ht="15" customHeight="1" thickBot="1" x14ac:dyDescent="0.3">
      <c r="C117" s="1770"/>
      <c r="D117" s="4594"/>
      <c r="E117" s="1558" t="s">
        <v>3323</v>
      </c>
      <c r="F117" s="1773">
        <f>F116-F115</f>
        <v>0</v>
      </c>
      <c r="G117" s="1773">
        <f t="shared" ref="G117:V117" si="33">G116-G115</f>
        <v>1</v>
      </c>
      <c r="H117" s="1773">
        <f t="shared" si="33"/>
        <v>2</v>
      </c>
      <c r="I117" s="1773">
        <f t="shared" si="33"/>
        <v>3</v>
      </c>
      <c r="J117" s="1773">
        <f t="shared" si="33"/>
        <v>4</v>
      </c>
      <c r="K117" s="1773">
        <f t="shared" si="33"/>
        <v>5</v>
      </c>
      <c r="L117" s="1773">
        <f t="shared" si="33"/>
        <v>6</v>
      </c>
      <c r="M117" s="1773">
        <f t="shared" si="33"/>
        <v>7</v>
      </c>
      <c r="N117" s="1773">
        <f t="shared" si="33"/>
        <v>8</v>
      </c>
      <c r="O117" s="1773">
        <f t="shared" si="33"/>
        <v>9</v>
      </c>
      <c r="P117" s="1773">
        <f t="shared" si="33"/>
        <v>10</v>
      </c>
      <c r="Q117" s="1773">
        <f t="shared" si="33"/>
        <v>11</v>
      </c>
      <c r="R117" s="1773">
        <f t="shared" si="33"/>
        <v>12</v>
      </c>
      <c r="S117" s="1773">
        <f t="shared" si="33"/>
        <v>13</v>
      </c>
      <c r="T117" s="1773">
        <f t="shared" si="33"/>
        <v>14</v>
      </c>
      <c r="U117" s="1773">
        <f t="shared" si="33"/>
        <v>15</v>
      </c>
      <c r="V117" s="1773">
        <f t="shared" si="33"/>
        <v>16</v>
      </c>
    </row>
    <row r="118" spans="3:22" ht="23.45" customHeight="1" thickBot="1" x14ac:dyDescent="0.3">
      <c r="C118" s="1770"/>
      <c r="D118" s="4594" t="s">
        <v>1965</v>
      </c>
      <c r="E118" s="1558" t="s">
        <v>3325</v>
      </c>
      <c r="F118" s="1772" t="e">
        <f>'14 Dda Consolidda'!E12</f>
        <v>#DIV/0!</v>
      </c>
      <c r="G118" s="1772" t="e">
        <f>'14 Dda Consolidda'!F12</f>
        <v>#DIV/0!</v>
      </c>
      <c r="H118" s="1772" t="e">
        <f>'14 Dda Consolidda'!G12</f>
        <v>#DIV/0!</v>
      </c>
      <c r="I118" s="1772" t="e">
        <f>'14 Dda Consolidda'!H12</f>
        <v>#DIV/0!</v>
      </c>
      <c r="J118" s="1772" t="e">
        <f>'14 Dda Consolidda'!I12</f>
        <v>#DIV/0!</v>
      </c>
      <c r="K118" s="1772" t="e">
        <f>'14 Dda Consolidda'!J12</f>
        <v>#DIV/0!</v>
      </c>
      <c r="L118" s="1772" t="e">
        <f>'14 Dda Consolidda'!K12</f>
        <v>#DIV/0!</v>
      </c>
      <c r="M118" s="1772" t="e">
        <f>'14 Dda Consolidda'!L12</f>
        <v>#DIV/0!</v>
      </c>
      <c r="N118" s="1772" t="e">
        <f>'14 Dda Consolidda'!M12</f>
        <v>#DIV/0!</v>
      </c>
      <c r="O118" s="1772" t="e">
        <f>'14 Dda Consolidda'!N12</f>
        <v>#DIV/0!</v>
      </c>
      <c r="P118" s="1772" t="e">
        <f>'14 Dda Consolidda'!O12</f>
        <v>#DIV/0!</v>
      </c>
      <c r="Q118" s="1772" t="e">
        <f>'14 Dda Consolidda'!P12</f>
        <v>#DIV/0!</v>
      </c>
      <c r="R118" s="1772" t="e">
        <f>'14 Dda Consolidda'!Q12</f>
        <v>#DIV/0!</v>
      </c>
      <c r="S118" s="1772" t="e">
        <f>'14 Dda Consolidda'!R12</f>
        <v>#DIV/0!</v>
      </c>
      <c r="T118" s="1772" t="e">
        <f>'14 Dda Consolidda'!S12</f>
        <v>#DIV/0!</v>
      </c>
      <c r="U118" s="1772" t="e">
        <f>'14 Dda Consolidda'!T12</f>
        <v>#DIV/0!</v>
      </c>
      <c r="V118" s="1772" t="e">
        <f>'14 Dda Consolidda'!U12</f>
        <v>#DIV/0!</v>
      </c>
    </row>
    <row r="119" spans="3:22" ht="15" customHeight="1" thickBot="1" x14ac:dyDescent="0.3">
      <c r="C119" s="1770"/>
      <c r="D119" s="4594"/>
      <c r="E119" s="1558" t="s">
        <v>3326</v>
      </c>
      <c r="F119" s="1772">
        <v>0</v>
      </c>
      <c r="G119" s="1772">
        <v>1</v>
      </c>
      <c r="H119" s="1772">
        <v>2</v>
      </c>
      <c r="I119" s="1772">
        <v>3</v>
      </c>
      <c r="J119" s="1772">
        <v>4</v>
      </c>
      <c r="K119" s="1772">
        <v>5</v>
      </c>
      <c r="L119" s="1772">
        <v>6</v>
      </c>
      <c r="M119" s="1772">
        <v>7</v>
      </c>
      <c r="N119" s="1772">
        <v>8</v>
      </c>
      <c r="O119" s="1772">
        <v>9</v>
      </c>
      <c r="P119" s="1772">
        <v>10</v>
      </c>
      <c r="Q119" s="1772">
        <v>11</v>
      </c>
      <c r="R119" s="1772">
        <v>12</v>
      </c>
      <c r="S119" s="1772">
        <v>13</v>
      </c>
      <c r="T119" s="1772">
        <v>14</v>
      </c>
      <c r="U119" s="1772">
        <v>15</v>
      </c>
      <c r="V119" s="1772">
        <v>16</v>
      </c>
    </row>
    <row r="120" spans="3:22" ht="15" customHeight="1" thickBot="1" x14ac:dyDescent="0.3">
      <c r="C120" s="1770"/>
      <c r="D120" s="4594"/>
      <c r="E120" s="1558" t="s">
        <v>3323</v>
      </c>
      <c r="F120" s="1773" t="e">
        <f>F119-F118</f>
        <v>#DIV/0!</v>
      </c>
      <c r="G120" s="1773" t="e">
        <f t="shared" ref="G120:V120" si="34">G119-G118</f>
        <v>#DIV/0!</v>
      </c>
      <c r="H120" s="1773" t="e">
        <f t="shared" si="34"/>
        <v>#DIV/0!</v>
      </c>
      <c r="I120" s="1773" t="e">
        <f t="shared" si="34"/>
        <v>#DIV/0!</v>
      </c>
      <c r="J120" s="1773" t="e">
        <f t="shared" si="34"/>
        <v>#DIV/0!</v>
      </c>
      <c r="K120" s="1773" t="e">
        <f t="shared" si="34"/>
        <v>#DIV/0!</v>
      </c>
      <c r="L120" s="1773" t="e">
        <f t="shared" si="34"/>
        <v>#DIV/0!</v>
      </c>
      <c r="M120" s="1773" t="e">
        <f t="shared" si="34"/>
        <v>#DIV/0!</v>
      </c>
      <c r="N120" s="1773" t="e">
        <f t="shared" si="34"/>
        <v>#DIV/0!</v>
      </c>
      <c r="O120" s="1773" t="e">
        <f t="shared" si="34"/>
        <v>#DIV/0!</v>
      </c>
      <c r="P120" s="1773" t="e">
        <f t="shared" si="34"/>
        <v>#DIV/0!</v>
      </c>
      <c r="Q120" s="1773" t="e">
        <f t="shared" si="34"/>
        <v>#DIV/0!</v>
      </c>
      <c r="R120" s="1773" t="e">
        <f t="shared" si="34"/>
        <v>#DIV/0!</v>
      </c>
      <c r="S120" s="1773" t="e">
        <f t="shared" si="34"/>
        <v>#DIV/0!</v>
      </c>
      <c r="T120" s="1773" t="e">
        <f t="shared" si="34"/>
        <v>#DIV/0!</v>
      </c>
      <c r="U120" s="1773" t="e">
        <f t="shared" si="34"/>
        <v>#DIV/0!</v>
      </c>
      <c r="V120" s="1773" t="e">
        <f t="shared" si="34"/>
        <v>#DIV/0!</v>
      </c>
    </row>
    <row r="121" spans="3:22" ht="23.45" customHeight="1" thickBot="1" x14ac:dyDescent="0.3">
      <c r="C121" s="1770"/>
      <c r="D121" s="4594" t="s">
        <v>1967</v>
      </c>
      <c r="E121" s="1558" t="s">
        <v>3325</v>
      </c>
      <c r="F121" s="1772">
        <f>'14 Dda Consolidda'!E13</f>
        <v>404.7510590293648</v>
      </c>
      <c r="G121" s="1772">
        <f>'14 Dda Consolidda'!F13</f>
        <v>407.87551918298493</v>
      </c>
      <c r="H121" s="1772">
        <f>'14 Dda Consolidda'!G13</f>
        <v>411.00234006093183</v>
      </c>
      <c r="I121" s="1772">
        <f>'14 Dda Consolidda'!H13</f>
        <v>414.13152302362653</v>
      </c>
      <c r="J121" s="1772">
        <f>'14 Dda Consolidda'!I13</f>
        <v>417.26306943219009</v>
      </c>
      <c r="K121" s="1772">
        <f>'14 Dda Consolidda'!J13</f>
        <v>420.39698064844322</v>
      </c>
      <c r="L121" s="1772">
        <f>'14 Dda Consolidda'!K13</f>
        <v>423.53325803490776</v>
      </c>
      <c r="M121" s="1772">
        <f>'14 Dda Consolidda'!L13</f>
        <v>426.67190295480634</v>
      </c>
      <c r="N121" s="1772">
        <f>'14 Dda Consolidda'!M13</f>
        <v>429.81291677206247</v>
      </c>
      <c r="O121" s="1772">
        <f>'14 Dda Consolidda'!N13</f>
        <v>432.95630085130153</v>
      </c>
      <c r="P121" s="1772">
        <f>'14 Dda Consolidda'!O13</f>
        <v>436.10205655785035</v>
      </c>
      <c r="Q121" s="1772">
        <f>'14 Dda Consolidda'!P13</f>
        <v>439.25018525773851</v>
      </c>
      <c r="R121" s="1772">
        <f>'14 Dda Consolidda'!Q13</f>
        <v>442.40068831769804</v>
      </c>
      <c r="S121" s="1772">
        <f>'14 Dda Consolidda'!R13</f>
        <v>445.55356710516355</v>
      </c>
      <c r="T121" s="1772">
        <f>'14 Dda Consolidda'!S13</f>
        <v>448.70882298827303</v>
      </c>
      <c r="U121" s="1772">
        <f>'14 Dda Consolidda'!T13</f>
        <v>451.86645733586835</v>
      </c>
      <c r="V121" s="1772">
        <f>'14 Dda Consolidda'!U13</f>
        <v>455.02647151749488</v>
      </c>
    </row>
    <row r="122" spans="3:22" ht="15" customHeight="1" thickBot="1" x14ac:dyDescent="0.3">
      <c r="C122" s="1770"/>
      <c r="D122" s="4594"/>
      <c r="E122" s="1558" t="s">
        <v>3326</v>
      </c>
      <c r="F122" s="1772">
        <v>0</v>
      </c>
      <c r="G122" s="1772">
        <v>1</v>
      </c>
      <c r="H122" s="1772">
        <v>2</v>
      </c>
      <c r="I122" s="1772">
        <v>3</v>
      </c>
      <c r="J122" s="1772">
        <v>4</v>
      </c>
      <c r="K122" s="1772">
        <v>5</v>
      </c>
      <c r="L122" s="1772">
        <v>6</v>
      </c>
      <c r="M122" s="1772">
        <v>7</v>
      </c>
      <c r="N122" s="1772">
        <v>8</v>
      </c>
      <c r="O122" s="1772">
        <v>9</v>
      </c>
      <c r="P122" s="1772">
        <v>10</v>
      </c>
      <c r="Q122" s="1772">
        <v>11</v>
      </c>
      <c r="R122" s="1772">
        <v>12</v>
      </c>
      <c r="S122" s="1772">
        <v>13</v>
      </c>
      <c r="T122" s="1772">
        <v>14</v>
      </c>
      <c r="U122" s="1772">
        <v>15</v>
      </c>
      <c r="V122" s="1772">
        <v>16</v>
      </c>
    </row>
    <row r="123" spans="3:22" ht="15" customHeight="1" thickBot="1" x14ac:dyDescent="0.3">
      <c r="C123" s="1770"/>
      <c r="D123" s="4594"/>
      <c r="E123" s="1558" t="s">
        <v>3323</v>
      </c>
      <c r="F123" s="1773">
        <f>F122-F121</f>
        <v>-404.7510590293648</v>
      </c>
      <c r="G123" s="1773">
        <f t="shared" ref="G123:V123" si="35">G122-G121</f>
        <v>-406.87551918298493</v>
      </c>
      <c r="H123" s="1773">
        <f t="shared" si="35"/>
        <v>-409.00234006093183</v>
      </c>
      <c r="I123" s="1773">
        <f t="shared" si="35"/>
        <v>-411.13152302362653</v>
      </c>
      <c r="J123" s="1773">
        <f t="shared" si="35"/>
        <v>-413.26306943219009</v>
      </c>
      <c r="K123" s="1773">
        <f t="shared" si="35"/>
        <v>-415.39698064844322</v>
      </c>
      <c r="L123" s="1773">
        <f t="shared" si="35"/>
        <v>-417.53325803490776</v>
      </c>
      <c r="M123" s="1773">
        <f t="shared" si="35"/>
        <v>-419.67190295480634</v>
      </c>
      <c r="N123" s="1773">
        <f t="shared" si="35"/>
        <v>-421.81291677206247</v>
      </c>
      <c r="O123" s="1773">
        <f t="shared" si="35"/>
        <v>-423.95630085130153</v>
      </c>
      <c r="P123" s="1773">
        <f t="shared" si="35"/>
        <v>-426.10205655785035</v>
      </c>
      <c r="Q123" s="1773">
        <f t="shared" si="35"/>
        <v>-428.25018525773851</v>
      </c>
      <c r="R123" s="1773">
        <f t="shared" si="35"/>
        <v>-430.40068831769804</v>
      </c>
      <c r="S123" s="1773">
        <f t="shared" si="35"/>
        <v>-432.55356710516355</v>
      </c>
      <c r="T123" s="1773">
        <f t="shared" si="35"/>
        <v>-434.70882298827303</v>
      </c>
      <c r="U123" s="1773">
        <f t="shared" si="35"/>
        <v>-436.86645733586835</v>
      </c>
      <c r="V123" s="1773">
        <f t="shared" si="35"/>
        <v>-439.02647151749488</v>
      </c>
    </row>
    <row r="124" spans="3:22" ht="14.25" thickBot="1" x14ac:dyDescent="0.3">
      <c r="C124" s="1770"/>
      <c r="D124" s="4594" t="s">
        <v>1305</v>
      </c>
      <c r="E124" s="1558" t="s">
        <v>3325</v>
      </c>
      <c r="F124" s="1772" t="e">
        <f>'14 Dda Consolidda'!E14</f>
        <v>#DIV/0!</v>
      </c>
      <c r="G124" s="1772" t="e">
        <f>'14 Dda Consolidda'!F14</f>
        <v>#DIV/0!</v>
      </c>
      <c r="H124" s="1772" t="e">
        <f>'14 Dda Consolidda'!G14</f>
        <v>#DIV/0!</v>
      </c>
      <c r="I124" s="1772" t="e">
        <f>'14 Dda Consolidda'!H14</f>
        <v>#DIV/0!</v>
      </c>
      <c r="J124" s="1772" t="e">
        <f>'14 Dda Consolidda'!I14</f>
        <v>#DIV/0!</v>
      </c>
      <c r="K124" s="1772" t="e">
        <f>'14 Dda Consolidda'!J14</f>
        <v>#DIV/0!</v>
      </c>
      <c r="L124" s="1772" t="e">
        <f>'14 Dda Consolidda'!K14</f>
        <v>#DIV/0!</v>
      </c>
      <c r="M124" s="1772" t="e">
        <f>'14 Dda Consolidda'!L14</f>
        <v>#DIV/0!</v>
      </c>
      <c r="N124" s="1772" t="e">
        <f>'14 Dda Consolidda'!M14</f>
        <v>#DIV/0!</v>
      </c>
      <c r="O124" s="1772" t="e">
        <f>'14 Dda Consolidda'!N14</f>
        <v>#DIV/0!</v>
      </c>
      <c r="P124" s="1772" t="e">
        <f>'14 Dda Consolidda'!O14</f>
        <v>#DIV/0!</v>
      </c>
      <c r="Q124" s="1772" t="e">
        <f>'14 Dda Consolidda'!P14</f>
        <v>#DIV/0!</v>
      </c>
      <c r="R124" s="1772" t="e">
        <f>'14 Dda Consolidda'!Q14</f>
        <v>#DIV/0!</v>
      </c>
      <c r="S124" s="1772" t="e">
        <f>'14 Dda Consolidda'!R14</f>
        <v>#DIV/0!</v>
      </c>
      <c r="T124" s="1772" t="e">
        <f>'14 Dda Consolidda'!S14</f>
        <v>#DIV/0!</v>
      </c>
      <c r="U124" s="1772" t="e">
        <f>'14 Dda Consolidda'!T14</f>
        <v>#DIV/0!</v>
      </c>
      <c r="V124" s="1772" t="e">
        <f>'14 Dda Consolidda'!U14</f>
        <v>#DIV/0!</v>
      </c>
    </row>
    <row r="125" spans="3:22" ht="14.25" thickBot="1" x14ac:dyDescent="0.3">
      <c r="C125" s="1770"/>
      <c r="D125" s="4594"/>
      <c r="E125" s="1558" t="s">
        <v>3326</v>
      </c>
      <c r="F125" s="1772">
        <v>0</v>
      </c>
      <c r="G125" s="1772">
        <v>1</v>
      </c>
      <c r="H125" s="1772">
        <v>2</v>
      </c>
      <c r="I125" s="1772">
        <v>3</v>
      </c>
      <c r="J125" s="1772">
        <v>4</v>
      </c>
      <c r="K125" s="1772">
        <v>5</v>
      </c>
      <c r="L125" s="1772">
        <v>6</v>
      </c>
      <c r="M125" s="1772">
        <v>7</v>
      </c>
      <c r="N125" s="1772">
        <v>8</v>
      </c>
      <c r="O125" s="1772">
        <v>9</v>
      </c>
      <c r="P125" s="1772">
        <v>10</v>
      </c>
      <c r="Q125" s="1772">
        <v>11</v>
      </c>
      <c r="R125" s="1772">
        <v>12</v>
      </c>
      <c r="S125" s="1772">
        <v>13</v>
      </c>
      <c r="T125" s="1772">
        <v>14</v>
      </c>
      <c r="U125" s="1772">
        <v>15</v>
      </c>
      <c r="V125" s="1772">
        <v>16</v>
      </c>
    </row>
    <row r="126" spans="3:22" ht="14.25" thickBot="1" x14ac:dyDescent="0.3">
      <c r="C126" s="1770"/>
      <c r="D126" s="4594"/>
      <c r="E126" s="1558" t="s">
        <v>3323</v>
      </c>
      <c r="F126" s="1773" t="e">
        <f>F125-F124</f>
        <v>#DIV/0!</v>
      </c>
      <c r="G126" s="1773" t="e">
        <f t="shared" ref="G126:V126" si="36">G125-G124</f>
        <v>#DIV/0!</v>
      </c>
      <c r="H126" s="1773" t="e">
        <f t="shared" si="36"/>
        <v>#DIV/0!</v>
      </c>
      <c r="I126" s="1773" t="e">
        <f t="shared" si="36"/>
        <v>#DIV/0!</v>
      </c>
      <c r="J126" s="1773" t="e">
        <f t="shared" si="36"/>
        <v>#DIV/0!</v>
      </c>
      <c r="K126" s="1773" t="e">
        <f t="shared" si="36"/>
        <v>#DIV/0!</v>
      </c>
      <c r="L126" s="1773" t="e">
        <f t="shared" si="36"/>
        <v>#DIV/0!</v>
      </c>
      <c r="M126" s="1773" t="e">
        <f t="shared" si="36"/>
        <v>#DIV/0!</v>
      </c>
      <c r="N126" s="1773" t="e">
        <f t="shared" si="36"/>
        <v>#DIV/0!</v>
      </c>
      <c r="O126" s="1773" t="e">
        <f t="shared" si="36"/>
        <v>#DIV/0!</v>
      </c>
      <c r="P126" s="1773" t="e">
        <f t="shared" si="36"/>
        <v>#DIV/0!</v>
      </c>
      <c r="Q126" s="1773" t="e">
        <f t="shared" si="36"/>
        <v>#DIV/0!</v>
      </c>
      <c r="R126" s="1773" t="e">
        <f t="shared" si="36"/>
        <v>#DIV/0!</v>
      </c>
      <c r="S126" s="1773" t="e">
        <f t="shared" si="36"/>
        <v>#DIV/0!</v>
      </c>
      <c r="T126" s="1773" t="e">
        <f t="shared" si="36"/>
        <v>#DIV/0!</v>
      </c>
      <c r="U126" s="1773" t="e">
        <f t="shared" si="36"/>
        <v>#DIV/0!</v>
      </c>
      <c r="V126" s="1773" t="e">
        <f t="shared" si="36"/>
        <v>#DIV/0!</v>
      </c>
    </row>
    <row r="127" spans="3:22" ht="14.25" thickBot="1" x14ac:dyDescent="0.3">
      <c r="C127" s="1770"/>
      <c r="D127" s="1763" t="s">
        <v>1225</v>
      </c>
      <c r="E127" s="1763"/>
      <c r="F127" s="1763"/>
      <c r="G127" s="1763"/>
      <c r="H127" s="1763"/>
      <c r="I127" s="1763"/>
      <c r="J127" s="1763"/>
      <c r="K127" s="1763"/>
      <c r="L127" s="1763"/>
      <c r="M127" s="1763"/>
      <c r="N127" s="1763"/>
      <c r="O127" s="1763"/>
      <c r="P127" s="1763"/>
      <c r="Q127" s="1763"/>
      <c r="R127" s="1763"/>
      <c r="S127" s="1763"/>
      <c r="T127" s="1763"/>
      <c r="U127" s="1763"/>
      <c r="V127" s="1763"/>
    </row>
    <row r="128" spans="3:22" ht="14.25" thickBot="1" x14ac:dyDescent="0.3">
      <c r="C128" s="1770"/>
      <c r="D128" s="4594" t="s">
        <v>1226</v>
      </c>
      <c r="E128" s="1558" t="s">
        <v>3325</v>
      </c>
      <c r="F128" s="1772">
        <f>'14 Dda Consolidda'!E16</f>
        <v>443.09966654316389</v>
      </c>
      <c r="G128" s="1772">
        <f>'14 Dda Consolidda'!F16</f>
        <v>443.27137091960986</v>
      </c>
      <c r="H128" s="1772">
        <f>'14 Dda Consolidda'!G16</f>
        <v>443.44314183276333</v>
      </c>
      <c r="I128" s="1772">
        <f>'14 Dda Consolidda'!H16</f>
        <v>443.61497930840773</v>
      </c>
      <c r="J128" s="1772">
        <f>'14 Dda Consolidda'!I16</f>
        <v>443.78688337233649</v>
      </c>
      <c r="K128" s="1772">
        <f>'14 Dda Consolidda'!J16</f>
        <v>443.95885405035307</v>
      </c>
      <c r="L128" s="1772">
        <f>'14 Dda Consolidda'!K16</f>
        <v>444.13089136827091</v>
      </c>
      <c r="M128" s="1772">
        <f>'14 Dda Consolidda'!L16</f>
        <v>444.30299535191352</v>
      </c>
      <c r="N128" s="1772">
        <f>'14 Dda Consolidda'!M16</f>
        <v>444.47516602711431</v>
      </c>
      <c r="O128" s="1772">
        <f>'14 Dda Consolidda'!N16</f>
        <v>444.64740341971674</v>
      </c>
      <c r="P128" s="1772">
        <f>'14 Dda Consolidda'!O16</f>
        <v>444.81970755557433</v>
      </c>
      <c r="Q128" s="1772">
        <f>'14 Dda Consolidda'!P16</f>
        <v>444.99207846055054</v>
      </c>
      <c r="R128" s="1772">
        <f>'14 Dda Consolidda'!Q16</f>
        <v>445.16451616051893</v>
      </c>
      <c r="S128" s="1772">
        <f>'14 Dda Consolidda'!R16</f>
        <v>445.33702068136307</v>
      </c>
      <c r="T128" s="1772">
        <f>'14 Dda Consolidda'!S16</f>
        <v>445.50959204897651</v>
      </c>
      <c r="U128" s="1772">
        <f>'14 Dda Consolidda'!T16</f>
        <v>445.68223028926286</v>
      </c>
      <c r="V128" s="1772">
        <f>'14 Dda Consolidda'!U16</f>
        <v>445.85493542813578</v>
      </c>
    </row>
    <row r="129" spans="3:22" ht="14.25" thickBot="1" x14ac:dyDescent="0.3">
      <c r="C129" s="1770"/>
      <c r="D129" s="4594"/>
      <c r="E129" s="1558" t="s">
        <v>3326</v>
      </c>
      <c r="F129" s="1772">
        <v>0</v>
      </c>
      <c r="G129" s="1772">
        <v>0</v>
      </c>
      <c r="H129" s="1772">
        <v>0</v>
      </c>
      <c r="I129" s="1772">
        <v>0</v>
      </c>
      <c r="J129" s="1772">
        <v>0</v>
      </c>
      <c r="K129" s="1772">
        <v>0</v>
      </c>
      <c r="L129" s="1772">
        <v>0</v>
      </c>
      <c r="M129" s="1772">
        <v>0</v>
      </c>
      <c r="N129" s="1772">
        <v>0</v>
      </c>
      <c r="O129" s="1772">
        <v>0</v>
      </c>
      <c r="P129" s="1772">
        <v>0</v>
      </c>
      <c r="Q129" s="1772">
        <v>0</v>
      </c>
      <c r="R129" s="1772">
        <v>0</v>
      </c>
      <c r="S129" s="1772">
        <v>0</v>
      </c>
      <c r="T129" s="1772">
        <v>0</v>
      </c>
      <c r="U129" s="1772">
        <v>0</v>
      </c>
      <c r="V129" s="1772">
        <v>0</v>
      </c>
    </row>
    <row r="130" spans="3:22" ht="14.25" thickBot="1" x14ac:dyDescent="0.3">
      <c r="C130" s="1770"/>
      <c r="D130" s="4594"/>
      <c r="E130" s="1558" t="s">
        <v>3323</v>
      </c>
      <c r="F130" s="1773">
        <f>F129-F128</f>
        <v>-443.09966654316389</v>
      </c>
      <c r="G130" s="1773">
        <f t="shared" ref="G130:V130" si="37">G129-G128</f>
        <v>-443.27137091960986</v>
      </c>
      <c r="H130" s="1773">
        <f t="shared" si="37"/>
        <v>-443.44314183276333</v>
      </c>
      <c r="I130" s="1773">
        <f t="shared" si="37"/>
        <v>-443.61497930840773</v>
      </c>
      <c r="J130" s="1773">
        <f t="shared" si="37"/>
        <v>-443.78688337233649</v>
      </c>
      <c r="K130" s="1773">
        <f t="shared" si="37"/>
        <v>-443.95885405035307</v>
      </c>
      <c r="L130" s="1773">
        <f t="shared" si="37"/>
        <v>-444.13089136827091</v>
      </c>
      <c r="M130" s="1773">
        <f t="shared" si="37"/>
        <v>-444.30299535191352</v>
      </c>
      <c r="N130" s="1773">
        <f t="shared" si="37"/>
        <v>-444.47516602711431</v>
      </c>
      <c r="O130" s="1773">
        <f t="shared" si="37"/>
        <v>-444.64740341971674</v>
      </c>
      <c r="P130" s="1773">
        <f t="shared" si="37"/>
        <v>-444.81970755557433</v>
      </c>
      <c r="Q130" s="1773">
        <f t="shared" si="37"/>
        <v>-444.99207846055054</v>
      </c>
      <c r="R130" s="1773">
        <f t="shared" si="37"/>
        <v>-445.16451616051893</v>
      </c>
      <c r="S130" s="1773">
        <f t="shared" si="37"/>
        <v>-445.33702068136307</v>
      </c>
      <c r="T130" s="1773">
        <f t="shared" si="37"/>
        <v>-445.50959204897651</v>
      </c>
      <c r="U130" s="1773">
        <f t="shared" si="37"/>
        <v>-445.68223028926286</v>
      </c>
      <c r="V130" s="1773">
        <f t="shared" si="37"/>
        <v>-445.85493542813578</v>
      </c>
    </row>
    <row r="131" spans="3:22" ht="14.25" thickBot="1" x14ac:dyDescent="0.3">
      <c r="C131" s="1769"/>
      <c r="D131" s="4594" t="s">
        <v>414</v>
      </c>
      <c r="E131" s="1558" t="s">
        <v>3325</v>
      </c>
      <c r="F131" s="1772">
        <f>'14 Dda Consolidda'!E17</f>
        <v>1155.2201406658853</v>
      </c>
      <c r="G131" s="1772">
        <f>'14 Dda Consolidda'!F17</f>
        <v>1155.6677969583361</v>
      </c>
      <c r="H131" s="1772">
        <f>'14 Dda Consolidda'!G17</f>
        <v>1156.1156267208894</v>
      </c>
      <c r="I131" s="1772">
        <f>'14 Dda Consolidda'!H17</f>
        <v>1156.5636300207659</v>
      </c>
      <c r="J131" s="1772">
        <f>'14 Dda Consolidda'!I17</f>
        <v>1157.011806925213</v>
      </c>
      <c r="K131" s="1772">
        <f>'14 Dda Consolidda'!J17</f>
        <v>1157.4601575015035</v>
      </c>
      <c r="L131" s="1772">
        <f>'14 Dda Consolidda'!K17</f>
        <v>1157.9086818169365</v>
      </c>
      <c r="M131" s="1772">
        <f>'14 Dda Consolidda'!L17</f>
        <v>1158.3573799388371</v>
      </c>
      <c r="N131" s="1772">
        <f>'14 Dda Consolidda'!M17</f>
        <v>1158.8062519345569</v>
      </c>
      <c r="O131" s="1772">
        <f>'14 Dda Consolidda'!N17</f>
        <v>1159.2552978714732</v>
      </c>
      <c r="P131" s="1772">
        <f>'14 Dda Consolidda'!O17</f>
        <v>1159.7045178169892</v>
      </c>
      <c r="Q131" s="1772">
        <f>'14 Dda Consolidda'!P17</f>
        <v>1160.1539118385349</v>
      </c>
      <c r="R131" s="1772">
        <f>'14 Dda Consolidda'!Q17</f>
        <v>1160.6034800035657</v>
      </c>
      <c r="S131" s="1772">
        <f>'14 Dda Consolidda'!R17</f>
        <v>1161.0532223795637</v>
      </c>
      <c r="T131" s="1772">
        <f>'14 Dda Consolidda'!S17</f>
        <v>1161.5031390340368</v>
      </c>
      <c r="U131" s="1772">
        <f>'14 Dda Consolidda'!T17</f>
        <v>1161.9532300345193</v>
      </c>
      <c r="V131" s="1772">
        <f>'14 Dda Consolidda'!U17</f>
        <v>1162.4034954485714</v>
      </c>
    </row>
    <row r="132" spans="3:22" ht="14.25" thickBot="1" x14ac:dyDescent="0.3">
      <c r="C132" s="1774"/>
      <c r="D132" s="4594"/>
      <c r="E132" s="1558" t="s">
        <v>3326</v>
      </c>
      <c r="F132" s="1772">
        <v>0</v>
      </c>
      <c r="G132" s="1772">
        <v>0</v>
      </c>
      <c r="H132" s="1772">
        <v>0</v>
      </c>
      <c r="I132" s="1772">
        <v>0</v>
      </c>
      <c r="J132" s="1772">
        <v>0</v>
      </c>
      <c r="K132" s="1772">
        <v>0</v>
      </c>
      <c r="L132" s="1772">
        <v>0</v>
      </c>
      <c r="M132" s="1772">
        <v>0</v>
      </c>
      <c r="N132" s="1772">
        <v>0</v>
      </c>
      <c r="O132" s="1772">
        <v>0</v>
      </c>
      <c r="P132" s="1772">
        <v>0</v>
      </c>
      <c r="Q132" s="1772">
        <v>0</v>
      </c>
      <c r="R132" s="1772">
        <v>0</v>
      </c>
      <c r="S132" s="1772">
        <v>0</v>
      </c>
      <c r="T132" s="1772">
        <v>0</v>
      </c>
      <c r="U132" s="1772">
        <v>0</v>
      </c>
      <c r="V132" s="1772">
        <v>0</v>
      </c>
    </row>
    <row r="133" spans="3:22" ht="14.25" thickBot="1" x14ac:dyDescent="0.3">
      <c r="C133" s="1774"/>
      <c r="D133" s="4594"/>
      <c r="E133" s="1558" t="s">
        <v>3323</v>
      </c>
      <c r="F133" s="1773">
        <f>F132-F131</f>
        <v>-1155.2201406658853</v>
      </c>
      <c r="G133" s="1773">
        <f t="shared" ref="G133:V133" si="38">G132-G131</f>
        <v>-1155.6677969583361</v>
      </c>
      <c r="H133" s="1773">
        <f t="shared" si="38"/>
        <v>-1156.1156267208894</v>
      </c>
      <c r="I133" s="1773">
        <f t="shared" si="38"/>
        <v>-1156.5636300207659</v>
      </c>
      <c r="J133" s="1773">
        <f t="shared" si="38"/>
        <v>-1157.011806925213</v>
      </c>
      <c r="K133" s="1773">
        <f t="shared" si="38"/>
        <v>-1157.4601575015035</v>
      </c>
      <c r="L133" s="1773">
        <f t="shared" si="38"/>
        <v>-1157.9086818169365</v>
      </c>
      <c r="M133" s="1773">
        <f t="shared" si="38"/>
        <v>-1158.3573799388371</v>
      </c>
      <c r="N133" s="1773">
        <f t="shared" si="38"/>
        <v>-1158.8062519345569</v>
      </c>
      <c r="O133" s="1773">
        <f t="shared" si="38"/>
        <v>-1159.2552978714732</v>
      </c>
      <c r="P133" s="1773">
        <f t="shared" si="38"/>
        <v>-1159.7045178169892</v>
      </c>
      <c r="Q133" s="1773">
        <f t="shared" si="38"/>
        <v>-1160.1539118385349</v>
      </c>
      <c r="R133" s="1773">
        <f t="shared" si="38"/>
        <v>-1160.6034800035657</v>
      </c>
      <c r="S133" s="1773">
        <f t="shared" si="38"/>
        <v>-1161.0532223795637</v>
      </c>
      <c r="T133" s="1773">
        <f t="shared" si="38"/>
        <v>-1161.5031390340368</v>
      </c>
      <c r="U133" s="1773">
        <f t="shared" si="38"/>
        <v>-1161.9532300345193</v>
      </c>
      <c r="V133" s="1773">
        <f t="shared" si="38"/>
        <v>-1162.4034954485714</v>
      </c>
    </row>
    <row r="134" spans="3:22" ht="14.25" thickBot="1" x14ac:dyDescent="0.3">
      <c r="C134" s="1770"/>
      <c r="D134" s="4594" t="s">
        <v>1968</v>
      </c>
      <c r="E134" s="1558" t="s">
        <v>3325</v>
      </c>
      <c r="F134" s="1772">
        <f>'14 Dda Consolidda'!E18</f>
        <v>136.02556502408294</v>
      </c>
      <c r="G134" s="1772">
        <f>'14 Dda Consolidda'!F18</f>
        <v>136.07827592997322</v>
      </c>
      <c r="H134" s="1772">
        <f>'14 Dda Consolidda'!G18</f>
        <v>136.13100726172684</v>
      </c>
      <c r="I134" s="1772">
        <f>'14 Dda Consolidda'!H18</f>
        <v>136.18375902725893</v>
      </c>
      <c r="J134" s="1772">
        <f>'14 Dda Consolidda'!I18</f>
        <v>136.23653123448776</v>
      </c>
      <c r="K134" s="1772">
        <f>'14 Dda Consolidda'!J18</f>
        <v>136.28932389133465</v>
      </c>
      <c r="L134" s="1772">
        <f>'14 Dda Consolidda'!K18</f>
        <v>136.34213700572394</v>
      </c>
      <c r="M134" s="1772">
        <f>'14 Dda Consolidda'!L18</f>
        <v>136.39497058558311</v>
      </c>
      <c r="N134" s="1772">
        <f>'14 Dda Consolidda'!M18</f>
        <v>136.44782463884266</v>
      </c>
      <c r="O134" s="1772">
        <f>'14 Dda Consolidda'!N18</f>
        <v>136.5006991734362</v>
      </c>
      <c r="P134" s="1772">
        <f>'14 Dda Consolidda'!O18</f>
        <v>136.55359419730038</v>
      </c>
      <c r="Q134" s="1772">
        <f>'14 Dda Consolidda'!P18</f>
        <v>136.60650971837495</v>
      </c>
      <c r="R134" s="1772">
        <f>'14 Dda Consolidda'!Q18</f>
        <v>136.65944574460275</v>
      </c>
      <c r="S134" s="1772">
        <f>'14 Dda Consolidda'!R18</f>
        <v>136.71240228392966</v>
      </c>
      <c r="T134" s="1772">
        <f>'14 Dda Consolidda'!S18</f>
        <v>136.76537934430465</v>
      </c>
      <c r="U134" s="1772">
        <f>'14 Dda Consolidda'!T18</f>
        <v>136.81837693367979</v>
      </c>
      <c r="V134" s="1772">
        <f>'14 Dda Consolidda'!U18</f>
        <v>136.8713950600102</v>
      </c>
    </row>
    <row r="135" spans="3:22" ht="14.25" thickBot="1" x14ac:dyDescent="0.3">
      <c r="C135" s="1770"/>
      <c r="D135" s="4594"/>
      <c r="E135" s="1558" t="s">
        <v>3326</v>
      </c>
      <c r="F135" s="1772">
        <v>0</v>
      </c>
      <c r="G135" s="1772">
        <v>0</v>
      </c>
      <c r="H135" s="1772">
        <v>0</v>
      </c>
      <c r="I135" s="1772">
        <v>0</v>
      </c>
      <c r="J135" s="1772">
        <v>0</v>
      </c>
      <c r="K135" s="1772">
        <v>0</v>
      </c>
      <c r="L135" s="1772">
        <v>0</v>
      </c>
      <c r="M135" s="1772">
        <v>0</v>
      </c>
      <c r="N135" s="1772">
        <v>0</v>
      </c>
      <c r="O135" s="1772">
        <v>0</v>
      </c>
      <c r="P135" s="1772">
        <v>0</v>
      </c>
      <c r="Q135" s="1772">
        <v>0</v>
      </c>
      <c r="R135" s="1772">
        <v>0</v>
      </c>
      <c r="S135" s="1772">
        <v>0</v>
      </c>
      <c r="T135" s="1772">
        <v>0</v>
      </c>
      <c r="U135" s="1772">
        <v>0</v>
      </c>
      <c r="V135" s="1772">
        <v>0</v>
      </c>
    </row>
    <row r="136" spans="3:22" ht="14.25" thickBot="1" x14ac:dyDescent="0.3">
      <c r="C136" s="1770"/>
      <c r="D136" s="4594"/>
      <c r="E136" s="1558" t="s">
        <v>3323</v>
      </c>
      <c r="F136" s="1773">
        <f>F135-F134</f>
        <v>-136.02556502408294</v>
      </c>
      <c r="G136" s="1773">
        <f t="shared" ref="G136:V136" si="39">G135-G134</f>
        <v>-136.07827592997322</v>
      </c>
      <c r="H136" s="1773">
        <f t="shared" si="39"/>
        <v>-136.13100726172684</v>
      </c>
      <c r="I136" s="1773">
        <f t="shared" si="39"/>
        <v>-136.18375902725893</v>
      </c>
      <c r="J136" s="1773">
        <f t="shared" si="39"/>
        <v>-136.23653123448776</v>
      </c>
      <c r="K136" s="1773">
        <f t="shared" si="39"/>
        <v>-136.28932389133465</v>
      </c>
      <c r="L136" s="1773">
        <f t="shared" si="39"/>
        <v>-136.34213700572394</v>
      </c>
      <c r="M136" s="1773">
        <f t="shared" si="39"/>
        <v>-136.39497058558311</v>
      </c>
      <c r="N136" s="1773">
        <f t="shared" si="39"/>
        <v>-136.44782463884266</v>
      </c>
      <c r="O136" s="1773">
        <f t="shared" si="39"/>
        <v>-136.5006991734362</v>
      </c>
      <c r="P136" s="1773">
        <f t="shared" si="39"/>
        <v>-136.55359419730038</v>
      </c>
      <c r="Q136" s="1773">
        <f t="shared" si="39"/>
        <v>-136.60650971837495</v>
      </c>
      <c r="R136" s="1773">
        <f t="shared" si="39"/>
        <v>-136.65944574460275</v>
      </c>
      <c r="S136" s="1773">
        <f t="shared" si="39"/>
        <v>-136.71240228392966</v>
      </c>
      <c r="T136" s="1773">
        <f t="shared" si="39"/>
        <v>-136.76537934430465</v>
      </c>
      <c r="U136" s="1773">
        <f t="shared" si="39"/>
        <v>-136.81837693367979</v>
      </c>
      <c r="V136" s="1773">
        <f t="shared" si="39"/>
        <v>-136.8713950600102</v>
      </c>
    </row>
    <row r="137" spans="3:22" ht="14.25" thickBot="1" x14ac:dyDescent="0.3">
      <c r="C137" s="1770"/>
      <c r="D137" s="4594" t="s">
        <v>1232</v>
      </c>
      <c r="E137" s="1558" t="s">
        <v>3325</v>
      </c>
      <c r="F137" s="1772" t="e">
        <f>'14 Dda Consolidda'!E19</f>
        <v>#DIV/0!</v>
      </c>
      <c r="G137" s="1772" t="e">
        <f>'14 Dda Consolidda'!F19</f>
        <v>#DIV/0!</v>
      </c>
      <c r="H137" s="1772" t="e">
        <f>'14 Dda Consolidda'!G19</f>
        <v>#DIV/0!</v>
      </c>
      <c r="I137" s="1772" t="e">
        <f>'14 Dda Consolidda'!H19</f>
        <v>#DIV/0!</v>
      </c>
      <c r="J137" s="1772" t="e">
        <f>'14 Dda Consolidda'!I19</f>
        <v>#DIV/0!</v>
      </c>
      <c r="K137" s="1772" t="e">
        <f>'14 Dda Consolidda'!J19</f>
        <v>#DIV/0!</v>
      </c>
      <c r="L137" s="1772" t="e">
        <f>'14 Dda Consolidda'!K19</f>
        <v>#DIV/0!</v>
      </c>
      <c r="M137" s="1772" t="e">
        <f>'14 Dda Consolidda'!L19</f>
        <v>#DIV/0!</v>
      </c>
      <c r="N137" s="1772" t="e">
        <f>'14 Dda Consolidda'!M19</f>
        <v>#DIV/0!</v>
      </c>
      <c r="O137" s="1772" t="e">
        <f>'14 Dda Consolidda'!N19</f>
        <v>#DIV/0!</v>
      </c>
      <c r="P137" s="1772" t="e">
        <f>'14 Dda Consolidda'!O19</f>
        <v>#DIV/0!</v>
      </c>
      <c r="Q137" s="1772" t="e">
        <f>'14 Dda Consolidda'!P19</f>
        <v>#DIV/0!</v>
      </c>
      <c r="R137" s="1772" t="e">
        <f>'14 Dda Consolidda'!Q19</f>
        <v>#DIV/0!</v>
      </c>
      <c r="S137" s="1772" t="e">
        <f>'14 Dda Consolidda'!R19</f>
        <v>#DIV/0!</v>
      </c>
      <c r="T137" s="1772" t="e">
        <f>'14 Dda Consolidda'!S19</f>
        <v>#DIV/0!</v>
      </c>
      <c r="U137" s="1772" t="e">
        <f>'14 Dda Consolidda'!T19</f>
        <v>#DIV/0!</v>
      </c>
      <c r="V137" s="1772" t="e">
        <f>'14 Dda Consolidda'!U19</f>
        <v>#DIV/0!</v>
      </c>
    </row>
    <row r="138" spans="3:22" ht="14.25" thickBot="1" x14ac:dyDescent="0.3">
      <c r="C138" s="1770"/>
      <c r="D138" s="4594"/>
      <c r="E138" s="1558" t="s">
        <v>3326</v>
      </c>
      <c r="F138" s="1772">
        <v>0</v>
      </c>
      <c r="G138" s="1772">
        <v>0</v>
      </c>
      <c r="H138" s="1772">
        <v>0</v>
      </c>
      <c r="I138" s="1772">
        <v>0</v>
      </c>
      <c r="J138" s="1772">
        <v>0</v>
      </c>
      <c r="K138" s="1772">
        <v>0</v>
      </c>
      <c r="L138" s="1772">
        <v>0</v>
      </c>
      <c r="M138" s="1772">
        <v>0</v>
      </c>
      <c r="N138" s="1772">
        <v>0</v>
      </c>
      <c r="O138" s="1772">
        <v>0</v>
      </c>
      <c r="P138" s="1772">
        <v>0</v>
      </c>
      <c r="Q138" s="1772">
        <v>0</v>
      </c>
      <c r="R138" s="1772">
        <v>0</v>
      </c>
      <c r="S138" s="1772">
        <v>0</v>
      </c>
      <c r="T138" s="1772">
        <v>0</v>
      </c>
      <c r="U138" s="1772">
        <v>0</v>
      </c>
      <c r="V138" s="1772">
        <v>0</v>
      </c>
    </row>
    <row r="139" spans="3:22" ht="14.25" thickBot="1" x14ac:dyDescent="0.3">
      <c r="C139" s="1770"/>
      <c r="D139" s="4594"/>
      <c r="E139" s="1558" t="s">
        <v>3323</v>
      </c>
      <c r="F139" s="1773" t="e">
        <f>F138-F137</f>
        <v>#DIV/0!</v>
      </c>
      <c r="G139" s="1773" t="e">
        <f t="shared" ref="G139:V139" si="40">G138-G137</f>
        <v>#DIV/0!</v>
      </c>
      <c r="H139" s="1773" t="e">
        <f t="shared" si="40"/>
        <v>#DIV/0!</v>
      </c>
      <c r="I139" s="1773" t="e">
        <f t="shared" si="40"/>
        <v>#DIV/0!</v>
      </c>
      <c r="J139" s="1773" t="e">
        <f t="shared" si="40"/>
        <v>#DIV/0!</v>
      </c>
      <c r="K139" s="1773" t="e">
        <f t="shared" si="40"/>
        <v>#DIV/0!</v>
      </c>
      <c r="L139" s="1773" t="e">
        <f t="shared" si="40"/>
        <v>#DIV/0!</v>
      </c>
      <c r="M139" s="1773" t="e">
        <f t="shared" si="40"/>
        <v>#DIV/0!</v>
      </c>
      <c r="N139" s="1773" t="e">
        <f t="shared" si="40"/>
        <v>#DIV/0!</v>
      </c>
      <c r="O139" s="1773" t="e">
        <f t="shared" si="40"/>
        <v>#DIV/0!</v>
      </c>
      <c r="P139" s="1773" t="e">
        <f t="shared" si="40"/>
        <v>#DIV/0!</v>
      </c>
      <c r="Q139" s="1773" t="e">
        <f t="shared" si="40"/>
        <v>#DIV/0!</v>
      </c>
      <c r="R139" s="1773" t="e">
        <f t="shared" si="40"/>
        <v>#DIV/0!</v>
      </c>
      <c r="S139" s="1773" t="e">
        <f t="shared" si="40"/>
        <v>#DIV/0!</v>
      </c>
      <c r="T139" s="1773" t="e">
        <f t="shared" si="40"/>
        <v>#DIV/0!</v>
      </c>
      <c r="U139" s="1773" t="e">
        <f t="shared" si="40"/>
        <v>#DIV/0!</v>
      </c>
      <c r="V139" s="1773" t="e">
        <f t="shared" si="40"/>
        <v>#DIV/0!</v>
      </c>
    </row>
    <row r="140" spans="3:22" ht="14.25" thickBot="1" x14ac:dyDescent="0.3">
      <c r="D140" s="4594" t="s">
        <v>1231</v>
      </c>
      <c r="E140" s="1558" t="s">
        <v>3325</v>
      </c>
      <c r="F140" s="1772" t="e">
        <f>'14 Dda Consolidda'!E20</f>
        <v>#REF!</v>
      </c>
      <c r="G140" s="1772" t="e">
        <f>'14 Dda Consolidda'!F20</f>
        <v>#REF!</v>
      </c>
      <c r="H140" s="1772" t="e">
        <f>'14 Dda Consolidda'!G20</f>
        <v>#REF!</v>
      </c>
      <c r="I140" s="1772" t="e">
        <f>'14 Dda Consolidda'!H20</f>
        <v>#REF!</v>
      </c>
      <c r="J140" s="1772" t="e">
        <f>'14 Dda Consolidda'!I20</f>
        <v>#REF!</v>
      </c>
      <c r="K140" s="1772" t="e">
        <f>'14 Dda Consolidda'!J20</f>
        <v>#REF!</v>
      </c>
      <c r="L140" s="1772" t="e">
        <f>'14 Dda Consolidda'!K20</f>
        <v>#REF!</v>
      </c>
      <c r="M140" s="1772" t="e">
        <f>'14 Dda Consolidda'!L20</f>
        <v>#REF!</v>
      </c>
      <c r="N140" s="1772" t="e">
        <f>'14 Dda Consolidda'!M20</f>
        <v>#REF!</v>
      </c>
      <c r="O140" s="1772" t="e">
        <f>'14 Dda Consolidda'!N20</f>
        <v>#REF!</v>
      </c>
      <c r="P140" s="1772" t="e">
        <f>'14 Dda Consolidda'!O20</f>
        <v>#REF!</v>
      </c>
      <c r="Q140" s="1772" t="e">
        <f>'14 Dda Consolidda'!P20</f>
        <v>#REF!</v>
      </c>
      <c r="R140" s="1772" t="e">
        <f>'14 Dda Consolidda'!Q20</f>
        <v>#REF!</v>
      </c>
      <c r="S140" s="1772" t="e">
        <f>'14 Dda Consolidda'!R20</f>
        <v>#REF!</v>
      </c>
      <c r="T140" s="1772" t="e">
        <f>'14 Dda Consolidda'!S20</f>
        <v>#REF!</v>
      </c>
      <c r="U140" s="1772" t="e">
        <f>'14 Dda Consolidda'!T20</f>
        <v>#REF!</v>
      </c>
      <c r="V140" s="1772" t="e">
        <f>'14 Dda Consolidda'!U20</f>
        <v>#REF!</v>
      </c>
    </row>
    <row r="141" spans="3:22" ht="14.25" thickBot="1" x14ac:dyDescent="0.3">
      <c r="D141" s="4594"/>
      <c r="E141" s="1558" t="s">
        <v>3326</v>
      </c>
      <c r="F141" s="1772">
        <v>0</v>
      </c>
      <c r="G141" s="1772">
        <v>0</v>
      </c>
      <c r="H141" s="1772">
        <v>0</v>
      </c>
      <c r="I141" s="1772">
        <v>0</v>
      </c>
      <c r="J141" s="1772">
        <v>0</v>
      </c>
      <c r="K141" s="1772">
        <v>0</v>
      </c>
      <c r="L141" s="1772">
        <v>0</v>
      </c>
      <c r="M141" s="1772">
        <v>0</v>
      </c>
      <c r="N141" s="1772">
        <v>0</v>
      </c>
      <c r="O141" s="1772">
        <v>0</v>
      </c>
      <c r="P141" s="1772">
        <v>0</v>
      </c>
      <c r="Q141" s="1772">
        <v>0</v>
      </c>
      <c r="R141" s="1772">
        <v>0</v>
      </c>
      <c r="S141" s="1772">
        <v>0</v>
      </c>
      <c r="T141" s="1772">
        <v>0</v>
      </c>
      <c r="U141" s="1772">
        <v>0</v>
      </c>
      <c r="V141" s="1772">
        <v>0</v>
      </c>
    </row>
    <row r="142" spans="3:22" ht="14.25" thickBot="1" x14ac:dyDescent="0.3">
      <c r="D142" s="4594"/>
      <c r="E142" s="1558" t="s">
        <v>3323</v>
      </c>
      <c r="F142" s="1773" t="e">
        <f>F141-F140</f>
        <v>#REF!</v>
      </c>
      <c r="G142" s="1773" t="e">
        <f t="shared" ref="G142:V142" si="41">G141-G140</f>
        <v>#REF!</v>
      </c>
      <c r="H142" s="1773" t="e">
        <f t="shared" si="41"/>
        <v>#REF!</v>
      </c>
      <c r="I142" s="1773" t="e">
        <f t="shared" si="41"/>
        <v>#REF!</v>
      </c>
      <c r="J142" s="1773" t="e">
        <f t="shared" si="41"/>
        <v>#REF!</v>
      </c>
      <c r="K142" s="1773" t="e">
        <f t="shared" si="41"/>
        <v>#REF!</v>
      </c>
      <c r="L142" s="1773" t="e">
        <f t="shared" si="41"/>
        <v>#REF!</v>
      </c>
      <c r="M142" s="1773" t="e">
        <f t="shared" si="41"/>
        <v>#REF!</v>
      </c>
      <c r="N142" s="1773" t="e">
        <f t="shared" si="41"/>
        <v>#REF!</v>
      </c>
      <c r="O142" s="1773" t="e">
        <f t="shared" si="41"/>
        <v>#REF!</v>
      </c>
      <c r="P142" s="1773" t="e">
        <f t="shared" si="41"/>
        <v>#REF!</v>
      </c>
      <c r="Q142" s="1773" t="e">
        <f t="shared" si="41"/>
        <v>#REF!</v>
      </c>
      <c r="R142" s="1773" t="e">
        <f t="shared" si="41"/>
        <v>#REF!</v>
      </c>
      <c r="S142" s="1773" t="e">
        <f t="shared" si="41"/>
        <v>#REF!</v>
      </c>
      <c r="T142" s="1773" t="e">
        <f t="shared" si="41"/>
        <v>#REF!</v>
      </c>
      <c r="U142" s="1773" t="e">
        <f t="shared" si="41"/>
        <v>#REF!</v>
      </c>
      <c r="V142" s="1773" t="e">
        <f t="shared" si="41"/>
        <v>#REF!</v>
      </c>
    </row>
    <row r="143" spans="3:22" ht="14.25" thickBot="1" x14ac:dyDescent="0.3">
      <c r="C143" s="1770"/>
      <c r="D143" s="4594" t="s">
        <v>1227</v>
      </c>
      <c r="E143" s="1558" t="s">
        <v>3325</v>
      </c>
      <c r="F143" s="1772">
        <f>'14 Dda Consolidda'!E21</f>
        <v>280.27982157439425</v>
      </c>
      <c r="G143" s="1772">
        <f>'14 Dda Consolidda'!F21</f>
        <v>280.66726211446218</v>
      </c>
      <c r="H143" s="1772">
        <f>'14 Dda Consolidda'!G21</f>
        <v>281.05496083927909</v>
      </c>
      <c r="I143" s="1772">
        <f>'14 Dda Consolidda'!H21</f>
        <v>281.44291789076323</v>
      </c>
      <c r="J143" s="1772">
        <f>'14 Dda Consolidda'!I21</f>
        <v>281.83113341090382</v>
      </c>
      <c r="K143" s="1772">
        <f>'14 Dda Consolidda'!J21</f>
        <v>282.21960754176155</v>
      </c>
      <c r="L143" s="1772">
        <f>'14 Dda Consolidda'!K21</f>
        <v>282.60834042546833</v>
      </c>
      <c r="M143" s="1772">
        <f>'14 Dda Consolidda'!L21</f>
        <v>282.99733220422746</v>
      </c>
      <c r="N143" s="1772">
        <f>'14 Dda Consolidda'!M21</f>
        <v>283.38658302031342</v>
      </c>
      <c r="O143" s="1772">
        <f>'14 Dda Consolidda'!N21</f>
        <v>283.77609301607214</v>
      </c>
      <c r="P143" s="1772">
        <f>'14 Dda Consolidda'!O21</f>
        <v>284.16586233392115</v>
      </c>
      <c r="Q143" s="1772">
        <f>'14 Dda Consolidda'!P21</f>
        <v>284.55589111634924</v>
      </c>
      <c r="R143" s="1772">
        <f>'14 Dda Consolidda'!Q21</f>
        <v>284.94617950591675</v>
      </c>
      <c r="S143" s="1772">
        <f>'14 Dda Consolidda'!R21</f>
        <v>285.33672764525556</v>
      </c>
      <c r="T143" s="1772">
        <f>'14 Dda Consolidda'!S21</f>
        <v>285.72753567706911</v>
      </c>
      <c r="U143" s="1772">
        <f>'14 Dda Consolidda'!T21</f>
        <v>286.11860374413237</v>
      </c>
      <c r="V143" s="1772">
        <f>'14 Dda Consolidda'!U21</f>
        <v>286.509931989292</v>
      </c>
    </row>
    <row r="144" spans="3:22" ht="14.25" thickBot="1" x14ac:dyDescent="0.3">
      <c r="C144" s="1770"/>
      <c r="D144" s="4594"/>
      <c r="E144" s="1558" t="s">
        <v>3326</v>
      </c>
      <c r="F144" s="1772">
        <v>0</v>
      </c>
      <c r="G144" s="1772">
        <v>0</v>
      </c>
      <c r="H144" s="1772">
        <v>0</v>
      </c>
      <c r="I144" s="1772">
        <v>0</v>
      </c>
      <c r="J144" s="1772">
        <v>0</v>
      </c>
      <c r="K144" s="1772">
        <v>0</v>
      </c>
      <c r="L144" s="1772">
        <v>0</v>
      </c>
      <c r="M144" s="1772">
        <v>0</v>
      </c>
      <c r="N144" s="1772">
        <v>0</v>
      </c>
      <c r="O144" s="1772">
        <v>0</v>
      </c>
      <c r="P144" s="1772">
        <v>0</v>
      </c>
      <c r="Q144" s="1772">
        <v>0</v>
      </c>
      <c r="R144" s="1772">
        <v>0</v>
      </c>
      <c r="S144" s="1772">
        <v>0</v>
      </c>
      <c r="T144" s="1772">
        <v>0</v>
      </c>
      <c r="U144" s="1772">
        <v>0</v>
      </c>
      <c r="V144" s="1772">
        <v>0</v>
      </c>
    </row>
    <row r="145" spans="3:22" ht="14.25" thickBot="1" x14ac:dyDescent="0.3">
      <c r="C145" s="1770"/>
      <c r="D145" s="4594"/>
      <c r="E145" s="1558" t="s">
        <v>3323</v>
      </c>
      <c r="F145" s="1773">
        <f>F144-F143</f>
        <v>-280.27982157439425</v>
      </c>
      <c r="G145" s="1773">
        <f t="shared" ref="G145:V145" si="42">G144-G143</f>
        <v>-280.66726211446218</v>
      </c>
      <c r="H145" s="1773">
        <f t="shared" si="42"/>
        <v>-281.05496083927909</v>
      </c>
      <c r="I145" s="1773">
        <f t="shared" si="42"/>
        <v>-281.44291789076323</v>
      </c>
      <c r="J145" s="1773">
        <f t="shared" si="42"/>
        <v>-281.83113341090382</v>
      </c>
      <c r="K145" s="1773">
        <f t="shared" si="42"/>
        <v>-282.21960754176155</v>
      </c>
      <c r="L145" s="1773">
        <f t="shared" si="42"/>
        <v>-282.60834042546833</v>
      </c>
      <c r="M145" s="1773">
        <f t="shared" si="42"/>
        <v>-282.99733220422746</v>
      </c>
      <c r="N145" s="1773">
        <f t="shared" si="42"/>
        <v>-283.38658302031342</v>
      </c>
      <c r="O145" s="1773">
        <f t="shared" si="42"/>
        <v>-283.77609301607214</v>
      </c>
      <c r="P145" s="1773">
        <f t="shared" si="42"/>
        <v>-284.16586233392115</v>
      </c>
      <c r="Q145" s="1773">
        <f t="shared" si="42"/>
        <v>-284.55589111634924</v>
      </c>
      <c r="R145" s="1773">
        <f t="shared" si="42"/>
        <v>-284.94617950591675</v>
      </c>
      <c r="S145" s="1773">
        <f t="shared" si="42"/>
        <v>-285.33672764525556</v>
      </c>
      <c r="T145" s="1773">
        <f t="shared" si="42"/>
        <v>-285.72753567706911</v>
      </c>
      <c r="U145" s="1773">
        <f t="shared" si="42"/>
        <v>-286.11860374413237</v>
      </c>
      <c r="V145" s="1773">
        <f t="shared" si="42"/>
        <v>-286.509931989292</v>
      </c>
    </row>
    <row r="146" spans="3:22" ht="14.25" thickBot="1" x14ac:dyDescent="0.3">
      <c r="C146" s="1769"/>
      <c r="D146" s="4594" t="s">
        <v>1229</v>
      </c>
      <c r="E146" s="1558" t="s">
        <v>3325</v>
      </c>
      <c r="F146" s="1772">
        <f>'14 Dda Consolidda'!E22</f>
        <v>153.0723640893867</v>
      </c>
      <c r="G146" s="1772">
        <f>'14 Dda Consolidda'!F22</f>
        <v>153.1316807551656</v>
      </c>
      <c r="H146" s="1772">
        <f>'14 Dda Consolidda'!G22</f>
        <v>153.19102040658831</v>
      </c>
      <c r="I146" s="1772">
        <f>'14 Dda Consolidda'!H22</f>
        <v>153.25038305256194</v>
      </c>
      <c r="J146" s="1772">
        <f>'14 Dda Consolidda'!I22</f>
        <v>153.30976870199706</v>
      </c>
      <c r="K146" s="1772">
        <f>'14 Dda Consolidda'!J22</f>
        <v>153.36917736380767</v>
      </c>
      <c r="L146" s="1772">
        <f>'14 Dda Consolidda'!K22</f>
        <v>153.42860904691122</v>
      </c>
      <c r="M146" s="1772">
        <f>'14 Dda Consolidda'!L22</f>
        <v>153.48806376022864</v>
      </c>
      <c r="N146" s="1772">
        <f>'14 Dda Consolidda'!M22</f>
        <v>153.54754151268435</v>
      </c>
      <c r="O146" s="1772">
        <f>'14 Dda Consolidda'!N22</f>
        <v>153.60704231320611</v>
      </c>
      <c r="P146" s="1772">
        <f>'14 Dda Consolidda'!O22</f>
        <v>153.66656617072528</v>
      </c>
      <c r="Q146" s="1772">
        <f>'14 Dda Consolidda'!P22</f>
        <v>153.72611309417658</v>
      </c>
      <c r="R146" s="1772">
        <f>'14 Dda Consolidda'!Q22</f>
        <v>153.78568309249823</v>
      </c>
      <c r="S146" s="1772">
        <f>'14 Dda Consolidda'!R22</f>
        <v>153.84527617463192</v>
      </c>
      <c r="T146" s="1772">
        <f>'14 Dda Consolidda'!S22</f>
        <v>153.90489234952281</v>
      </c>
      <c r="U146" s="1772">
        <f>'14 Dda Consolidda'!T22</f>
        <v>153.96453162611945</v>
      </c>
      <c r="V146" s="1772">
        <f>'14 Dda Consolidda'!U22</f>
        <v>154.02419401337403</v>
      </c>
    </row>
    <row r="147" spans="3:22" ht="14.25" thickBot="1" x14ac:dyDescent="0.3">
      <c r="C147" s="1769"/>
      <c r="D147" s="4594"/>
      <c r="E147" s="1558" t="s">
        <v>3326</v>
      </c>
      <c r="F147" s="1772">
        <v>0</v>
      </c>
      <c r="G147" s="1772">
        <v>0</v>
      </c>
      <c r="H147" s="1772">
        <v>0</v>
      </c>
      <c r="I147" s="1772">
        <v>0</v>
      </c>
      <c r="J147" s="1772">
        <v>0</v>
      </c>
      <c r="K147" s="1772">
        <v>0</v>
      </c>
      <c r="L147" s="1772">
        <v>0</v>
      </c>
      <c r="M147" s="1772">
        <v>0</v>
      </c>
      <c r="N147" s="1772">
        <v>0</v>
      </c>
      <c r="O147" s="1772">
        <v>0</v>
      </c>
      <c r="P147" s="1772">
        <v>0</v>
      </c>
      <c r="Q147" s="1772">
        <v>0</v>
      </c>
      <c r="R147" s="1772">
        <v>0</v>
      </c>
      <c r="S147" s="1772">
        <v>0</v>
      </c>
      <c r="T147" s="1772">
        <v>0</v>
      </c>
      <c r="U147" s="1772">
        <v>0</v>
      </c>
      <c r="V147" s="1772">
        <v>0</v>
      </c>
    </row>
    <row r="148" spans="3:22" ht="14.25" thickBot="1" x14ac:dyDescent="0.3">
      <c r="C148" s="1769"/>
      <c r="D148" s="4594"/>
      <c r="E148" s="1558" t="s">
        <v>3323</v>
      </c>
      <c r="F148" s="1773">
        <f>F147-F146</f>
        <v>-153.0723640893867</v>
      </c>
      <c r="G148" s="1773">
        <f t="shared" ref="G148:V148" si="43">G147-G146</f>
        <v>-153.1316807551656</v>
      </c>
      <c r="H148" s="1773">
        <f t="shared" si="43"/>
        <v>-153.19102040658831</v>
      </c>
      <c r="I148" s="1773">
        <f t="shared" si="43"/>
        <v>-153.25038305256194</v>
      </c>
      <c r="J148" s="1773">
        <f t="shared" si="43"/>
        <v>-153.30976870199706</v>
      </c>
      <c r="K148" s="1773">
        <f t="shared" si="43"/>
        <v>-153.36917736380767</v>
      </c>
      <c r="L148" s="1773">
        <f t="shared" si="43"/>
        <v>-153.42860904691122</v>
      </c>
      <c r="M148" s="1773">
        <f t="shared" si="43"/>
        <v>-153.48806376022864</v>
      </c>
      <c r="N148" s="1773">
        <f t="shared" si="43"/>
        <v>-153.54754151268435</v>
      </c>
      <c r="O148" s="1773">
        <f t="shared" si="43"/>
        <v>-153.60704231320611</v>
      </c>
      <c r="P148" s="1773">
        <f t="shared" si="43"/>
        <v>-153.66656617072528</v>
      </c>
      <c r="Q148" s="1773">
        <f t="shared" si="43"/>
        <v>-153.72611309417658</v>
      </c>
      <c r="R148" s="1773">
        <f t="shared" si="43"/>
        <v>-153.78568309249823</v>
      </c>
      <c r="S148" s="1773">
        <f t="shared" si="43"/>
        <v>-153.84527617463192</v>
      </c>
      <c r="T148" s="1773">
        <f t="shared" si="43"/>
        <v>-153.90489234952281</v>
      </c>
      <c r="U148" s="1773">
        <f t="shared" si="43"/>
        <v>-153.96453162611945</v>
      </c>
      <c r="V148" s="1773">
        <f t="shared" si="43"/>
        <v>-154.02419401337403</v>
      </c>
    </row>
    <row r="149" spans="3:22" ht="14.25" thickBot="1" x14ac:dyDescent="0.3">
      <c r="C149" s="1769"/>
      <c r="D149" s="4594" t="s">
        <v>1313</v>
      </c>
      <c r="E149" s="1558" t="s">
        <v>3325</v>
      </c>
      <c r="F149" s="1772">
        <f>'14 Dda Consolidda'!E23</f>
        <v>0</v>
      </c>
      <c r="G149" s="1772">
        <f>'14 Dda Consolidda'!F23</f>
        <v>0</v>
      </c>
      <c r="H149" s="1772">
        <f>'14 Dda Consolidda'!G23</f>
        <v>0</v>
      </c>
      <c r="I149" s="1772">
        <f>'14 Dda Consolidda'!H23</f>
        <v>0</v>
      </c>
      <c r="J149" s="1772">
        <f>'14 Dda Consolidda'!I23</f>
        <v>0</v>
      </c>
      <c r="K149" s="1772">
        <f>'14 Dda Consolidda'!J23</f>
        <v>0</v>
      </c>
      <c r="L149" s="1772">
        <f>'14 Dda Consolidda'!K23</f>
        <v>0</v>
      </c>
      <c r="M149" s="1772">
        <f>'14 Dda Consolidda'!L23</f>
        <v>0</v>
      </c>
      <c r="N149" s="1772">
        <f>'14 Dda Consolidda'!M23</f>
        <v>0</v>
      </c>
      <c r="O149" s="1772">
        <f>'14 Dda Consolidda'!N23</f>
        <v>0</v>
      </c>
      <c r="P149" s="1772">
        <f>'14 Dda Consolidda'!O23</f>
        <v>0</v>
      </c>
      <c r="Q149" s="1772">
        <f>'14 Dda Consolidda'!P23</f>
        <v>0</v>
      </c>
      <c r="R149" s="1772">
        <f>'14 Dda Consolidda'!Q23</f>
        <v>0</v>
      </c>
      <c r="S149" s="1772">
        <f>'14 Dda Consolidda'!R23</f>
        <v>0</v>
      </c>
      <c r="T149" s="1772">
        <f>'14 Dda Consolidda'!S23</f>
        <v>0</v>
      </c>
      <c r="U149" s="1772">
        <f>'14 Dda Consolidda'!T23</f>
        <v>0</v>
      </c>
      <c r="V149" s="1772">
        <f>'14 Dda Consolidda'!U23</f>
        <v>0</v>
      </c>
    </row>
    <row r="150" spans="3:22" ht="14.25" thickBot="1" x14ac:dyDescent="0.3">
      <c r="C150" s="1769"/>
      <c r="D150" s="4594"/>
      <c r="E150" s="1558" t="s">
        <v>3326</v>
      </c>
      <c r="F150" s="1772">
        <v>0</v>
      </c>
      <c r="G150" s="1772">
        <v>0</v>
      </c>
      <c r="H150" s="1772">
        <v>0</v>
      </c>
      <c r="I150" s="1772">
        <v>0</v>
      </c>
      <c r="J150" s="1772">
        <v>0</v>
      </c>
      <c r="K150" s="1772">
        <v>0</v>
      </c>
      <c r="L150" s="1772">
        <v>0</v>
      </c>
      <c r="M150" s="1772">
        <v>0</v>
      </c>
      <c r="N150" s="1772">
        <v>0</v>
      </c>
      <c r="O150" s="1772">
        <v>0</v>
      </c>
      <c r="P150" s="1772">
        <v>0</v>
      </c>
      <c r="Q150" s="1772">
        <v>0</v>
      </c>
      <c r="R150" s="1772">
        <v>0</v>
      </c>
      <c r="S150" s="1772">
        <v>0</v>
      </c>
      <c r="T150" s="1772">
        <v>0</v>
      </c>
      <c r="U150" s="1772">
        <v>0</v>
      </c>
      <c r="V150" s="1772">
        <v>0</v>
      </c>
    </row>
    <row r="151" spans="3:22" ht="14.25" thickBot="1" x14ac:dyDescent="0.3">
      <c r="C151" s="1769"/>
      <c r="D151" s="4594"/>
      <c r="E151" s="1558" t="s">
        <v>3323</v>
      </c>
      <c r="F151" s="1773">
        <f>F150-F149</f>
        <v>0</v>
      </c>
      <c r="G151" s="1773">
        <f t="shared" ref="G151:V151" si="44">G150-G149</f>
        <v>0</v>
      </c>
      <c r="H151" s="1773">
        <f t="shared" si="44"/>
        <v>0</v>
      </c>
      <c r="I151" s="1773">
        <f t="shared" si="44"/>
        <v>0</v>
      </c>
      <c r="J151" s="1773">
        <f t="shared" si="44"/>
        <v>0</v>
      </c>
      <c r="K151" s="1773">
        <f t="shared" si="44"/>
        <v>0</v>
      </c>
      <c r="L151" s="1773">
        <f t="shared" si="44"/>
        <v>0</v>
      </c>
      <c r="M151" s="1773">
        <f t="shared" si="44"/>
        <v>0</v>
      </c>
      <c r="N151" s="1773">
        <f t="shared" si="44"/>
        <v>0</v>
      </c>
      <c r="O151" s="1773">
        <f t="shared" si="44"/>
        <v>0</v>
      </c>
      <c r="P151" s="1773">
        <f t="shared" si="44"/>
        <v>0</v>
      </c>
      <c r="Q151" s="1773">
        <f t="shared" si="44"/>
        <v>0</v>
      </c>
      <c r="R151" s="1773">
        <f t="shared" si="44"/>
        <v>0</v>
      </c>
      <c r="S151" s="1773">
        <f t="shared" si="44"/>
        <v>0</v>
      </c>
      <c r="T151" s="1773">
        <f t="shared" si="44"/>
        <v>0</v>
      </c>
      <c r="U151" s="1773">
        <f t="shared" si="44"/>
        <v>0</v>
      </c>
      <c r="V151" s="1773">
        <f t="shared" si="44"/>
        <v>0</v>
      </c>
    </row>
    <row r="152" spans="3:22" ht="14.25" thickBot="1" x14ac:dyDescent="0.3">
      <c r="C152" s="1769"/>
      <c r="D152" s="4594" t="s">
        <v>1314</v>
      </c>
      <c r="E152" s="1558" t="s">
        <v>3325</v>
      </c>
      <c r="F152" s="1772">
        <f>'14 Dda Consolidda'!E24</f>
        <v>763.60836253827313</v>
      </c>
      <c r="G152" s="1772">
        <f>'14 Dda Consolidda'!F24</f>
        <v>763.90426638934468</v>
      </c>
      <c r="H152" s="1772">
        <f>'14 Dda Consolidda'!G24</f>
        <v>764.20028490533241</v>
      </c>
      <c r="I152" s="1772">
        <f>'14 Dda Consolidda'!H24</f>
        <v>764.49641813067012</v>
      </c>
      <c r="J152" s="1772">
        <f>'14 Dda Consolidda'!I24</f>
        <v>764.79266610980869</v>
      </c>
      <c r="K152" s="1772">
        <f>'14 Dda Consolidda'!J24</f>
        <v>765.08902888721559</v>
      </c>
      <c r="L152" s="1772">
        <f>'14 Dda Consolidda'!K24</f>
        <v>765.38550650737636</v>
      </c>
      <c r="M152" s="1772">
        <f>'14 Dda Consolidda'!L24</f>
        <v>765.68209901479315</v>
      </c>
      <c r="N152" s="1772">
        <f>'14 Dda Consolidda'!M24</f>
        <v>765.97880645398595</v>
      </c>
      <c r="O152" s="1772">
        <f>'14 Dda Consolidda'!N24</f>
        <v>766.27562886949158</v>
      </c>
      <c r="P152" s="1772">
        <f>'14 Dda Consolidda'!O24</f>
        <v>766.5725663058638</v>
      </c>
      <c r="Q152" s="1772">
        <f>'14 Dda Consolidda'!P24</f>
        <v>766.86961880767456</v>
      </c>
      <c r="R152" s="1772">
        <f>'14 Dda Consolidda'!Q24</f>
        <v>767.16678641951228</v>
      </c>
      <c r="S152" s="1772">
        <f>'14 Dda Consolidda'!R24</f>
        <v>767.46406918598302</v>
      </c>
      <c r="T152" s="1772">
        <f>'14 Dda Consolidda'!S24</f>
        <v>767.76146715171001</v>
      </c>
      <c r="U152" s="1772">
        <f>'14 Dda Consolidda'!T24</f>
        <v>768.05898036133374</v>
      </c>
      <c r="V152" s="1772">
        <f>'14 Dda Consolidda'!U24</f>
        <v>768.35660885951245</v>
      </c>
    </row>
    <row r="153" spans="3:22" ht="14.25" thickBot="1" x14ac:dyDescent="0.3">
      <c r="C153" s="1769"/>
      <c r="D153" s="4594"/>
      <c r="E153" s="1558" t="s">
        <v>3326</v>
      </c>
      <c r="F153" s="1772">
        <v>0</v>
      </c>
      <c r="G153" s="1772">
        <v>0</v>
      </c>
      <c r="H153" s="1772">
        <v>0</v>
      </c>
      <c r="I153" s="1772">
        <v>0</v>
      </c>
      <c r="J153" s="1772">
        <v>0</v>
      </c>
      <c r="K153" s="1772">
        <v>0</v>
      </c>
      <c r="L153" s="1772">
        <v>0</v>
      </c>
      <c r="M153" s="1772">
        <v>0</v>
      </c>
      <c r="N153" s="1772">
        <v>0</v>
      </c>
      <c r="O153" s="1772">
        <v>0</v>
      </c>
      <c r="P153" s="1772">
        <v>0</v>
      </c>
      <c r="Q153" s="1772">
        <v>0</v>
      </c>
      <c r="R153" s="1772">
        <v>0</v>
      </c>
      <c r="S153" s="1772">
        <v>0</v>
      </c>
      <c r="T153" s="1772">
        <v>0</v>
      </c>
      <c r="U153" s="1772">
        <v>0</v>
      </c>
      <c r="V153" s="1772">
        <v>0</v>
      </c>
    </row>
    <row r="154" spans="3:22" ht="14.25" thickBot="1" x14ac:dyDescent="0.3">
      <c r="C154" s="1769"/>
      <c r="D154" s="4594"/>
      <c r="E154" s="1558" t="s">
        <v>3323</v>
      </c>
      <c r="F154" s="1773">
        <f>F153-F152</f>
        <v>-763.60836253827313</v>
      </c>
      <c r="G154" s="1773">
        <f t="shared" ref="G154:V154" si="45">G153-G152</f>
        <v>-763.90426638934468</v>
      </c>
      <c r="H154" s="1773">
        <f t="shared" si="45"/>
        <v>-764.20028490533241</v>
      </c>
      <c r="I154" s="1773">
        <f t="shared" si="45"/>
        <v>-764.49641813067012</v>
      </c>
      <c r="J154" s="1773">
        <f t="shared" si="45"/>
        <v>-764.79266610980869</v>
      </c>
      <c r="K154" s="1773">
        <f t="shared" si="45"/>
        <v>-765.08902888721559</v>
      </c>
      <c r="L154" s="1773">
        <f t="shared" si="45"/>
        <v>-765.38550650737636</v>
      </c>
      <c r="M154" s="1773">
        <f t="shared" si="45"/>
        <v>-765.68209901479315</v>
      </c>
      <c r="N154" s="1773">
        <f t="shared" si="45"/>
        <v>-765.97880645398595</v>
      </c>
      <c r="O154" s="1773">
        <f t="shared" si="45"/>
        <v>-766.27562886949158</v>
      </c>
      <c r="P154" s="1773">
        <f t="shared" si="45"/>
        <v>-766.5725663058638</v>
      </c>
      <c r="Q154" s="1773">
        <f t="shared" si="45"/>
        <v>-766.86961880767456</v>
      </c>
      <c r="R154" s="1773">
        <f t="shared" si="45"/>
        <v>-767.16678641951228</v>
      </c>
      <c r="S154" s="1773">
        <f t="shared" si="45"/>
        <v>-767.46406918598302</v>
      </c>
      <c r="T154" s="1773">
        <f t="shared" si="45"/>
        <v>-767.76146715171001</v>
      </c>
      <c r="U154" s="1773">
        <f t="shared" si="45"/>
        <v>-768.05898036133374</v>
      </c>
      <c r="V154" s="1773">
        <f t="shared" si="45"/>
        <v>-768.35660885951245</v>
      </c>
    </row>
    <row r="155" spans="3:22" ht="14.25" thickBot="1" x14ac:dyDescent="0.3">
      <c r="C155" s="1769"/>
      <c r="D155" s="4594" t="s">
        <v>329</v>
      </c>
      <c r="E155" s="1558" t="s">
        <v>3325</v>
      </c>
      <c r="F155" s="1772">
        <f>'14 Dda Consolidda'!E25</f>
        <v>342</v>
      </c>
      <c r="G155" s="1772">
        <f>'14 Dda Consolidda'!F25</f>
        <v>342.13252751283397</v>
      </c>
      <c r="H155" s="1772">
        <f>'14 Dda Consolidda'!G25</f>
        <v>342.26510638105287</v>
      </c>
      <c r="I155" s="1772">
        <f>'14 Dda Consolidda'!H25</f>
        <v>342.39773662455735</v>
      </c>
      <c r="J155" s="1772">
        <f>'14 Dda Consolidda'!I25</f>
        <v>342.53041826325568</v>
      </c>
      <c r="K155" s="1772">
        <f>'14 Dda Consolidda'!J25</f>
        <v>342.66315131706392</v>
      </c>
      <c r="L155" s="1772">
        <f>'14 Dda Consolidda'!K25</f>
        <v>342.79593580590569</v>
      </c>
      <c r="M155" s="1772">
        <f>'14 Dda Consolidda'!L25</f>
        <v>342.92877174971261</v>
      </c>
      <c r="N155" s="1772">
        <f>'14 Dda Consolidda'!M25</f>
        <v>343.06165916842366</v>
      </c>
      <c r="O155" s="1772">
        <f>'14 Dda Consolidda'!N25</f>
        <v>343.19459808198593</v>
      </c>
      <c r="P155" s="1772">
        <f>'14 Dda Consolidda'!O25</f>
        <v>343.32758851035396</v>
      </c>
      <c r="Q155" s="1772">
        <f>'14 Dda Consolidda'!P25</f>
        <v>343.46063047349008</v>
      </c>
      <c r="R155" s="1772">
        <f>'14 Dda Consolidda'!Q25</f>
        <v>343.59372399136447</v>
      </c>
      <c r="S155" s="1772">
        <f>'14 Dda Consolidda'!R25</f>
        <v>343.72686908395491</v>
      </c>
      <c r="T155" s="1772">
        <f>'14 Dda Consolidda'!S25</f>
        <v>343.86006577124704</v>
      </c>
      <c r="U155" s="1772">
        <f>'14 Dda Consolidda'!T25</f>
        <v>343.99331407323416</v>
      </c>
      <c r="V155" s="1772">
        <f>'14 Dda Consolidda'!U25</f>
        <v>344.12661400991732</v>
      </c>
    </row>
    <row r="156" spans="3:22" ht="14.25" thickBot="1" x14ac:dyDescent="0.3">
      <c r="C156" s="1769"/>
      <c r="D156" s="4594"/>
      <c r="E156" s="1558" t="s">
        <v>3326</v>
      </c>
      <c r="F156" s="1772">
        <v>0</v>
      </c>
      <c r="G156" s="1772">
        <v>0</v>
      </c>
      <c r="H156" s="1772">
        <v>0</v>
      </c>
      <c r="I156" s="1772">
        <v>0</v>
      </c>
      <c r="J156" s="1772">
        <v>0</v>
      </c>
      <c r="K156" s="1772">
        <v>0</v>
      </c>
      <c r="L156" s="1772">
        <v>0</v>
      </c>
      <c r="M156" s="1772">
        <v>0</v>
      </c>
      <c r="N156" s="1772">
        <v>0</v>
      </c>
      <c r="O156" s="1772">
        <v>0</v>
      </c>
      <c r="P156" s="1772">
        <v>0</v>
      </c>
      <c r="Q156" s="1772">
        <v>0</v>
      </c>
      <c r="R156" s="1772">
        <v>0</v>
      </c>
      <c r="S156" s="1772">
        <v>0</v>
      </c>
      <c r="T156" s="1772">
        <v>0</v>
      </c>
      <c r="U156" s="1772">
        <v>0</v>
      </c>
      <c r="V156" s="1772">
        <v>0</v>
      </c>
    </row>
    <row r="157" spans="3:22" ht="14.25" thickBot="1" x14ac:dyDescent="0.3">
      <c r="C157" s="1769"/>
      <c r="D157" s="4594"/>
      <c r="E157" s="1558" t="s">
        <v>3323</v>
      </c>
      <c r="F157" s="1773">
        <f>F156-F155</f>
        <v>-342</v>
      </c>
      <c r="G157" s="1773">
        <f t="shared" ref="G157:V157" si="46">G156-G155</f>
        <v>-342.13252751283397</v>
      </c>
      <c r="H157" s="1773">
        <f t="shared" si="46"/>
        <v>-342.26510638105287</v>
      </c>
      <c r="I157" s="1773">
        <f t="shared" si="46"/>
        <v>-342.39773662455735</v>
      </c>
      <c r="J157" s="1773">
        <f t="shared" si="46"/>
        <v>-342.53041826325568</v>
      </c>
      <c r="K157" s="1773">
        <f t="shared" si="46"/>
        <v>-342.66315131706392</v>
      </c>
      <c r="L157" s="1773">
        <f t="shared" si="46"/>
        <v>-342.79593580590569</v>
      </c>
      <c r="M157" s="1773">
        <f t="shared" si="46"/>
        <v>-342.92877174971261</v>
      </c>
      <c r="N157" s="1773">
        <f t="shared" si="46"/>
        <v>-343.06165916842366</v>
      </c>
      <c r="O157" s="1773">
        <f t="shared" si="46"/>
        <v>-343.19459808198593</v>
      </c>
      <c r="P157" s="1773">
        <f t="shared" si="46"/>
        <v>-343.32758851035396</v>
      </c>
      <c r="Q157" s="1773">
        <f t="shared" si="46"/>
        <v>-343.46063047349008</v>
      </c>
      <c r="R157" s="1773">
        <f t="shared" si="46"/>
        <v>-343.59372399136447</v>
      </c>
      <c r="S157" s="1773">
        <f t="shared" si="46"/>
        <v>-343.72686908395491</v>
      </c>
      <c r="T157" s="1773">
        <f t="shared" si="46"/>
        <v>-343.86006577124704</v>
      </c>
      <c r="U157" s="1773">
        <f t="shared" si="46"/>
        <v>-343.99331407323416</v>
      </c>
      <c r="V157" s="1773">
        <f t="shared" si="46"/>
        <v>-344.12661400991732</v>
      </c>
    </row>
    <row r="158" spans="3:22" ht="14.25" thickBot="1" x14ac:dyDescent="0.3">
      <c r="C158" s="1770"/>
      <c r="D158" s="4594" t="s">
        <v>412</v>
      </c>
      <c r="E158" s="1558" t="s">
        <v>3325</v>
      </c>
      <c r="F158" s="1772">
        <f>'14 Dda Consolidda'!E26</f>
        <v>974.02368000000001</v>
      </c>
      <c r="G158" s="1772">
        <f>'14 Dda Consolidda'!F26</f>
        <v>974.40112133260743</v>
      </c>
      <c r="H158" s="1772">
        <f>'14 Dda Consolidda'!G26</f>
        <v>974.77870892650458</v>
      </c>
      <c r="I158" s="1772">
        <f>'14 Dda Consolidda'!H26</f>
        <v>975.15644283836889</v>
      </c>
      <c r="J158" s="1772">
        <f>'14 Dda Consolidda'!I26</f>
        <v>975.5343231248994</v>
      </c>
      <c r="K158" s="1772">
        <f>'14 Dda Consolidda'!J26</f>
        <v>975.91234984281709</v>
      </c>
      <c r="L158" s="1772">
        <f>'14 Dda Consolidda'!K26</f>
        <v>976.29052304886568</v>
      </c>
      <c r="M158" s="1772">
        <f>'14 Dda Consolidda'!L26</f>
        <v>976.66884279981025</v>
      </c>
      <c r="N158" s="1772">
        <f>'14 Dda Consolidda'!M26</f>
        <v>977.04730915243795</v>
      </c>
      <c r="O158" s="1772">
        <f>'14 Dda Consolidda'!N26</f>
        <v>977.42592216355808</v>
      </c>
      <c r="P158" s="1772">
        <f>'14 Dda Consolidda'!O26</f>
        <v>977.80468189000203</v>
      </c>
      <c r="Q158" s="1772">
        <f>'14 Dda Consolidda'!P26</f>
        <v>978.18358838862264</v>
      </c>
      <c r="R158" s="1772">
        <f>'14 Dda Consolidda'!Q26</f>
        <v>978.56264171629562</v>
      </c>
      <c r="S158" s="1772">
        <f>'14 Dda Consolidda'!R26</f>
        <v>978.94184192991804</v>
      </c>
      <c r="T158" s="1772">
        <f>'14 Dda Consolidda'!S26</f>
        <v>979.3211890864095</v>
      </c>
      <c r="U158" s="1772">
        <f>'14 Dda Consolidda'!T26</f>
        <v>979.70068324271119</v>
      </c>
      <c r="V158" s="1772">
        <f>'14 Dda Consolidda'!U26</f>
        <v>980.08032445578692</v>
      </c>
    </row>
    <row r="159" spans="3:22" ht="14.25" thickBot="1" x14ac:dyDescent="0.3">
      <c r="C159" s="1770"/>
      <c r="D159" s="4594"/>
      <c r="E159" s="1558" t="s">
        <v>3326</v>
      </c>
      <c r="F159" s="1772">
        <v>0</v>
      </c>
      <c r="G159" s="1772">
        <v>0</v>
      </c>
      <c r="H159" s="1772">
        <v>0</v>
      </c>
      <c r="I159" s="1772">
        <v>0</v>
      </c>
      <c r="J159" s="1772">
        <v>0</v>
      </c>
      <c r="K159" s="1772">
        <v>0</v>
      </c>
      <c r="L159" s="1772">
        <v>0</v>
      </c>
      <c r="M159" s="1772">
        <v>0</v>
      </c>
      <c r="N159" s="1772">
        <v>0</v>
      </c>
      <c r="O159" s="1772">
        <v>0</v>
      </c>
      <c r="P159" s="1772">
        <v>0</v>
      </c>
      <c r="Q159" s="1772">
        <v>0</v>
      </c>
      <c r="R159" s="1772">
        <v>0</v>
      </c>
      <c r="S159" s="1772">
        <v>0</v>
      </c>
      <c r="T159" s="1772">
        <v>0</v>
      </c>
      <c r="U159" s="1772">
        <v>0</v>
      </c>
      <c r="V159" s="1772">
        <v>0</v>
      </c>
    </row>
    <row r="160" spans="3:22" ht="14.25" thickBot="1" x14ac:dyDescent="0.3">
      <c r="C160" s="1770"/>
      <c r="D160" s="4594"/>
      <c r="E160" s="1558" t="s">
        <v>3323</v>
      </c>
      <c r="F160" s="1773">
        <f>F159-F158</f>
        <v>-974.02368000000001</v>
      </c>
      <c r="G160" s="1773">
        <f t="shared" ref="G160:V160" si="47">G159-G158</f>
        <v>-974.40112133260743</v>
      </c>
      <c r="H160" s="1773">
        <f t="shared" si="47"/>
        <v>-974.77870892650458</v>
      </c>
      <c r="I160" s="1773">
        <f t="shared" si="47"/>
        <v>-975.15644283836889</v>
      </c>
      <c r="J160" s="1773">
        <f t="shared" si="47"/>
        <v>-975.5343231248994</v>
      </c>
      <c r="K160" s="1773">
        <f t="shared" si="47"/>
        <v>-975.91234984281709</v>
      </c>
      <c r="L160" s="1773">
        <f t="shared" si="47"/>
        <v>-976.29052304886568</v>
      </c>
      <c r="M160" s="1773">
        <f t="shared" si="47"/>
        <v>-976.66884279981025</v>
      </c>
      <c r="N160" s="1773">
        <f t="shared" si="47"/>
        <v>-977.04730915243795</v>
      </c>
      <c r="O160" s="1773">
        <f t="shared" si="47"/>
        <v>-977.42592216355808</v>
      </c>
      <c r="P160" s="1773">
        <f t="shared" si="47"/>
        <v>-977.80468189000203</v>
      </c>
      <c r="Q160" s="1773">
        <f t="shared" si="47"/>
        <v>-978.18358838862264</v>
      </c>
      <c r="R160" s="1773">
        <f t="shared" si="47"/>
        <v>-978.56264171629562</v>
      </c>
      <c r="S160" s="1773">
        <f t="shared" si="47"/>
        <v>-978.94184192991804</v>
      </c>
      <c r="T160" s="1773">
        <f t="shared" si="47"/>
        <v>-979.3211890864095</v>
      </c>
      <c r="U160" s="1773">
        <f t="shared" si="47"/>
        <v>-979.70068324271119</v>
      </c>
      <c r="V160" s="1773">
        <f t="shared" si="47"/>
        <v>-980.08032445578692</v>
      </c>
    </row>
    <row r="161" spans="3:22" ht="14.25" thickBot="1" x14ac:dyDescent="0.3">
      <c r="C161" s="1770"/>
      <c r="D161" s="4594" t="s">
        <v>1234</v>
      </c>
      <c r="E161" s="1558" t="s">
        <v>3325</v>
      </c>
      <c r="F161" s="1772">
        <f>'14 Dda Consolidda'!E27</f>
        <v>228</v>
      </c>
      <c r="G161" s="1772">
        <f>'14 Dda Consolidda'!F27</f>
        <v>228.08835167522264</v>
      </c>
      <c r="H161" s="1772">
        <f>'14 Dda Consolidda'!G27</f>
        <v>228.17673758736859</v>
      </c>
      <c r="I161" s="1772">
        <f>'14 Dda Consolidda'!H27</f>
        <v>228.26515774970488</v>
      </c>
      <c r="J161" s="1772">
        <f>'14 Dda Consolidda'!I27</f>
        <v>228.3536121755038</v>
      </c>
      <c r="K161" s="1772">
        <f>'14 Dda Consolidda'!J27</f>
        <v>228.4421008780426</v>
      </c>
      <c r="L161" s="1772">
        <f>'14 Dda Consolidda'!K27</f>
        <v>228.53062387060379</v>
      </c>
      <c r="M161" s="1772">
        <f>'14 Dda Consolidda'!L27</f>
        <v>228.61918116647507</v>
      </c>
      <c r="N161" s="1772">
        <f>'14 Dda Consolidda'!M27</f>
        <v>228.70777277894911</v>
      </c>
      <c r="O161" s="1772">
        <f>'14 Dda Consolidda'!N27</f>
        <v>228.79639872132395</v>
      </c>
      <c r="P161" s="1772">
        <f>'14 Dda Consolidda'!O27</f>
        <v>228.88505900690262</v>
      </c>
      <c r="Q161" s="1772">
        <f>'14 Dda Consolidda'!P27</f>
        <v>228.97375364899341</v>
      </c>
      <c r="R161" s="1772">
        <f>'14 Dda Consolidda'!Q27</f>
        <v>229.06248266090964</v>
      </c>
      <c r="S161" s="1772">
        <f>'14 Dda Consolidda'!R27</f>
        <v>229.15124605596992</v>
      </c>
      <c r="T161" s="1772">
        <f>'14 Dda Consolidda'!S27</f>
        <v>229.24004384749804</v>
      </c>
      <c r="U161" s="1772">
        <f>'14 Dda Consolidda'!T27</f>
        <v>229.32887604882279</v>
      </c>
      <c r="V161" s="1772">
        <f>'14 Dda Consolidda'!U27</f>
        <v>229.41774267327821</v>
      </c>
    </row>
    <row r="162" spans="3:22" ht="14.25" thickBot="1" x14ac:dyDescent="0.3">
      <c r="C162" s="1770"/>
      <c r="D162" s="4594"/>
      <c r="E162" s="1558" t="s">
        <v>3326</v>
      </c>
      <c r="F162" s="1772">
        <v>0</v>
      </c>
      <c r="G162" s="1772">
        <v>0</v>
      </c>
      <c r="H162" s="1772">
        <v>0</v>
      </c>
      <c r="I162" s="1772">
        <v>0</v>
      </c>
      <c r="J162" s="1772">
        <v>0</v>
      </c>
      <c r="K162" s="1772">
        <v>0</v>
      </c>
      <c r="L162" s="1772">
        <v>0</v>
      </c>
      <c r="M162" s="1772">
        <v>0</v>
      </c>
      <c r="N162" s="1772">
        <v>0</v>
      </c>
      <c r="O162" s="1772">
        <v>0</v>
      </c>
      <c r="P162" s="1772">
        <v>0</v>
      </c>
      <c r="Q162" s="1772">
        <v>0</v>
      </c>
      <c r="R162" s="1772">
        <v>0</v>
      </c>
      <c r="S162" s="1772">
        <v>0</v>
      </c>
      <c r="T162" s="1772">
        <v>0</v>
      </c>
      <c r="U162" s="1772">
        <v>0</v>
      </c>
      <c r="V162" s="1772">
        <v>0</v>
      </c>
    </row>
    <row r="163" spans="3:22" ht="14.25" thickBot="1" x14ac:dyDescent="0.3">
      <c r="C163" s="1770"/>
      <c r="D163" s="4594"/>
      <c r="E163" s="1558" t="s">
        <v>3323</v>
      </c>
      <c r="F163" s="1773">
        <f>F162-F161</f>
        <v>-228</v>
      </c>
      <c r="G163" s="1773">
        <f t="shared" ref="G163:V163" si="48">G162-G161</f>
        <v>-228.08835167522264</v>
      </c>
      <c r="H163" s="1773">
        <f t="shared" si="48"/>
        <v>-228.17673758736859</v>
      </c>
      <c r="I163" s="1773">
        <f t="shared" si="48"/>
        <v>-228.26515774970488</v>
      </c>
      <c r="J163" s="1773">
        <f t="shared" si="48"/>
        <v>-228.3536121755038</v>
      </c>
      <c r="K163" s="1773">
        <f t="shared" si="48"/>
        <v>-228.4421008780426</v>
      </c>
      <c r="L163" s="1773">
        <f t="shared" si="48"/>
        <v>-228.53062387060379</v>
      </c>
      <c r="M163" s="1773">
        <f t="shared" si="48"/>
        <v>-228.61918116647507</v>
      </c>
      <c r="N163" s="1773">
        <f t="shared" si="48"/>
        <v>-228.70777277894911</v>
      </c>
      <c r="O163" s="1773">
        <f t="shared" si="48"/>
        <v>-228.79639872132395</v>
      </c>
      <c r="P163" s="1773">
        <f t="shared" si="48"/>
        <v>-228.88505900690262</v>
      </c>
      <c r="Q163" s="1773">
        <f t="shared" si="48"/>
        <v>-228.97375364899341</v>
      </c>
      <c r="R163" s="1773">
        <f t="shared" si="48"/>
        <v>-229.06248266090964</v>
      </c>
      <c r="S163" s="1773">
        <f t="shared" si="48"/>
        <v>-229.15124605596992</v>
      </c>
      <c r="T163" s="1773">
        <f t="shared" si="48"/>
        <v>-229.24004384749804</v>
      </c>
      <c r="U163" s="1773">
        <f t="shared" si="48"/>
        <v>-229.32887604882279</v>
      </c>
      <c r="V163" s="1773">
        <f t="shared" si="48"/>
        <v>-229.41774267327821</v>
      </c>
    </row>
    <row r="164" spans="3:22" ht="14.25" thickBot="1" x14ac:dyDescent="0.3">
      <c r="C164" s="1770"/>
      <c r="D164" s="4594" t="s">
        <v>1969</v>
      </c>
      <c r="E164" s="1558" t="s">
        <v>3325</v>
      </c>
      <c r="F164" s="1772">
        <f>'14 Dda Consolidda'!E28</f>
        <v>493.25628435343401</v>
      </c>
      <c r="G164" s="1772">
        <f>'14 Dda Consolidda'!F28</f>
        <v>495.24996846508338</v>
      </c>
      <c r="H164" s="1772">
        <f>'14 Dda Consolidda'!G28</f>
        <v>497.25171081433285</v>
      </c>
      <c r="I164" s="1772">
        <f>'14 Dda Consolidda'!H28</f>
        <v>499.26154397163464</v>
      </c>
      <c r="J164" s="1772">
        <f>'14 Dda Consolidda'!I28</f>
        <v>501.27950063908702</v>
      </c>
      <c r="K164" s="1772">
        <f>'14 Dda Consolidda'!J28</f>
        <v>503.30561365096622</v>
      </c>
      <c r="L164" s="1772">
        <f>'14 Dda Consolidda'!K28</f>
        <v>505.33991597426086</v>
      </c>
      <c r="M164" s="1772">
        <f>'14 Dda Consolidda'!L28</f>
        <v>507.38244070920825</v>
      </c>
      <c r="N164" s="1772">
        <f>'14 Dda Consolidda'!M28</f>
        <v>509.4332210898329</v>
      </c>
      <c r="O164" s="1772">
        <f>'14 Dda Consolidda'!N28</f>
        <v>511.49229048448746</v>
      </c>
      <c r="P164" s="1772">
        <f>'14 Dda Consolidda'!O28</f>
        <v>513.55968239639549</v>
      </c>
      <c r="Q164" s="1772">
        <f>'14 Dda Consolidda'!P28</f>
        <v>515.63543046419659</v>
      </c>
      <c r="R164" s="1772">
        <f>'14 Dda Consolidda'!Q28</f>
        <v>517.71956846249395</v>
      </c>
      <c r="S164" s="1772">
        <f>'14 Dda Consolidda'!R28</f>
        <v>519.81213030240372</v>
      </c>
      <c r="T164" s="1772">
        <f>'14 Dda Consolidda'!S28</f>
        <v>521.91315003210661</v>
      </c>
      <c r="U164" s="1772">
        <f>'14 Dda Consolidda'!T28</f>
        <v>524.02266183740244</v>
      </c>
      <c r="V164" s="1772">
        <f>'14 Dda Consolidda'!U28</f>
        <v>526.14070004226562</v>
      </c>
    </row>
    <row r="165" spans="3:22" ht="14.25" thickBot="1" x14ac:dyDescent="0.3">
      <c r="C165" s="1770"/>
      <c r="D165" s="4594"/>
      <c r="E165" s="1558" t="s">
        <v>3326</v>
      </c>
      <c r="F165" s="1772">
        <v>0</v>
      </c>
      <c r="G165" s="1772">
        <v>0</v>
      </c>
      <c r="H165" s="1772">
        <v>0</v>
      </c>
      <c r="I165" s="1772">
        <v>0</v>
      </c>
      <c r="J165" s="1772">
        <v>0</v>
      </c>
      <c r="K165" s="1772">
        <v>0</v>
      </c>
      <c r="L165" s="1772">
        <v>0</v>
      </c>
      <c r="M165" s="1772">
        <v>0</v>
      </c>
      <c r="N165" s="1772">
        <v>0</v>
      </c>
      <c r="O165" s="1772">
        <v>0</v>
      </c>
      <c r="P165" s="1772">
        <v>0</v>
      </c>
      <c r="Q165" s="1772">
        <v>0</v>
      </c>
      <c r="R165" s="1772">
        <v>0</v>
      </c>
      <c r="S165" s="1772">
        <v>0</v>
      </c>
      <c r="T165" s="1772">
        <v>0</v>
      </c>
      <c r="U165" s="1772">
        <v>0</v>
      </c>
      <c r="V165" s="1772">
        <v>0</v>
      </c>
    </row>
    <row r="166" spans="3:22" ht="14.25" thickBot="1" x14ac:dyDescent="0.3">
      <c r="C166" s="1769"/>
      <c r="D166" s="4594"/>
      <c r="E166" s="1558" t="s">
        <v>3323</v>
      </c>
      <c r="F166" s="1773">
        <f>F165-F164</f>
        <v>-493.25628435343401</v>
      </c>
      <c r="G166" s="1773">
        <f t="shared" ref="G166:V166" si="49">G165-G164</f>
        <v>-495.24996846508338</v>
      </c>
      <c r="H166" s="1773">
        <f t="shared" si="49"/>
        <v>-497.25171081433285</v>
      </c>
      <c r="I166" s="1773">
        <f t="shared" si="49"/>
        <v>-499.26154397163464</v>
      </c>
      <c r="J166" s="1773">
        <f t="shared" si="49"/>
        <v>-501.27950063908702</v>
      </c>
      <c r="K166" s="1773">
        <f t="shared" si="49"/>
        <v>-503.30561365096622</v>
      </c>
      <c r="L166" s="1773">
        <f t="shared" si="49"/>
        <v>-505.33991597426086</v>
      </c>
      <c r="M166" s="1773">
        <f t="shared" si="49"/>
        <v>-507.38244070920825</v>
      </c>
      <c r="N166" s="1773">
        <f t="shared" si="49"/>
        <v>-509.4332210898329</v>
      </c>
      <c r="O166" s="1773">
        <f t="shared" si="49"/>
        <v>-511.49229048448746</v>
      </c>
      <c r="P166" s="1773">
        <f t="shared" si="49"/>
        <v>-513.55968239639549</v>
      </c>
      <c r="Q166" s="1773">
        <f t="shared" si="49"/>
        <v>-515.63543046419659</v>
      </c>
      <c r="R166" s="1773">
        <f t="shared" si="49"/>
        <v>-517.71956846249395</v>
      </c>
      <c r="S166" s="1773">
        <f t="shared" si="49"/>
        <v>-519.81213030240372</v>
      </c>
      <c r="T166" s="1773">
        <f t="shared" si="49"/>
        <v>-521.91315003210661</v>
      </c>
      <c r="U166" s="1773">
        <f t="shared" si="49"/>
        <v>-524.02266183740244</v>
      </c>
      <c r="V166" s="1773">
        <f t="shared" si="49"/>
        <v>-526.14070004226562</v>
      </c>
    </row>
    <row r="167" spans="3:22" ht="14.25" thickBot="1" x14ac:dyDescent="0.3">
      <c r="C167" s="1769"/>
      <c r="D167" s="4594" t="s">
        <v>1970</v>
      </c>
      <c r="E167" s="1558" t="s">
        <v>3325</v>
      </c>
      <c r="F167" s="1773">
        <f>'14 Dda Consolidda'!E29</f>
        <v>119.63085488552655</v>
      </c>
      <c r="G167" s="1773">
        <f>'14 Dda Consolidda'!F29</f>
        <v>120.55434064521725</v>
      </c>
      <c r="H167" s="1773">
        <f>'14 Dda Consolidda'!G29</f>
        <v>121.47852415594045</v>
      </c>
      <c r="I167" s="1773">
        <f>'14 Dda Consolidda'!H29</f>
        <v>122.40340581979112</v>
      </c>
      <c r="J167" s="1773">
        <f>'14 Dda Consolidda'!I29</f>
        <v>123.32898603907097</v>
      </c>
      <c r="K167" s="1773">
        <f>'14 Dda Consolidda'!J29</f>
        <v>124.25526521628865</v>
      </c>
      <c r="L167" s="1773">
        <f>'14 Dda Consolidda'!K29</f>
        <v>125.18224375415994</v>
      </c>
      <c r="M167" s="1773">
        <f>'14 Dda Consolidda'!L29</f>
        <v>126.1099220556078</v>
      </c>
      <c r="N167" s="1773">
        <f>'14 Dda Consolidda'!M29</f>
        <v>127.03830052376233</v>
      </c>
      <c r="O167" s="1773">
        <f>'14 Dda Consolidda'!N29</f>
        <v>127.96737956196105</v>
      </c>
      <c r="P167" s="1773">
        <f>'14 Dda Consolidda'!O29</f>
        <v>128.89715957374889</v>
      </c>
      <c r="Q167" s="1773">
        <f>'14 Dda Consolidda'!P29</f>
        <v>129.82764096287838</v>
      </c>
      <c r="R167" s="1773">
        <f>'14 Dda Consolidda'!Q29</f>
        <v>130.75882413330976</v>
      </c>
      <c r="S167" s="1773">
        <f>'14 Dda Consolidda'!R29</f>
        <v>131.69070948921089</v>
      </c>
      <c r="T167" s="1773">
        <f>'14 Dda Consolidda'!S29</f>
        <v>132.62329743495758</v>
      </c>
      <c r="U167" s="1773">
        <f>'14 Dda Consolidda'!T29</f>
        <v>133.55658837513352</v>
      </c>
      <c r="V167" s="1773">
        <f>'14 Dda Consolidda'!U29</f>
        <v>134.49058271453052</v>
      </c>
    </row>
    <row r="168" spans="3:22" ht="14.25" thickBot="1" x14ac:dyDescent="0.3">
      <c r="C168" s="1769"/>
      <c r="D168" s="4594"/>
      <c r="E168" s="1558" t="s">
        <v>3326</v>
      </c>
      <c r="F168" s="1773">
        <v>0</v>
      </c>
      <c r="G168" s="1772">
        <v>0</v>
      </c>
      <c r="H168" s="1772">
        <v>0</v>
      </c>
      <c r="I168" s="1772">
        <v>0</v>
      </c>
      <c r="J168" s="1772">
        <v>0</v>
      </c>
      <c r="K168" s="1772">
        <v>0</v>
      </c>
      <c r="L168" s="1772">
        <v>0</v>
      </c>
      <c r="M168" s="1772">
        <v>0</v>
      </c>
      <c r="N168" s="1772">
        <v>0</v>
      </c>
      <c r="O168" s="1772">
        <v>0</v>
      </c>
      <c r="P168" s="1772">
        <v>0</v>
      </c>
      <c r="Q168" s="1772">
        <v>0</v>
      </c>
      <c r="R168" s="1772">
        <v>0</v>
      </c>
      <c r="S168" s="1772">
        <v>0</v>
      </c>
      <c r="T168" s="1772">
        <v>0</v>
      </c>
      <c r="U168" s="1772">
        <v>0</v>
      </c>
      <c r="V168" s="1772">
        <v>0</v>
      </c>
    </row>
    <row r="169" spans="3:22" ht="14.25" thickBot="1" x14ac:dyDescent="0.3">
      <c r="C169" s="1769"/>
      <c r="D169" s="4594"/>
      <c r="E169" s="1558" t="s">
        <v>3323</v>
      </c>
      <c r="F169" s="1773">
        <f>F168-F167</f>
        <v>-119.63085488552655</v>
      </c>
      <c r="G169" s="1773">
        <f t="shared" ref="G169:V169" si="50">G168-G167</f>
        <v>-120.55434064521725</v>
      </c>
      <c r="H169" s="1773">
        <f t="shared" si="50"/>
        <v>-121.47852415594045</v>
      </c>
      <c r="I169" s="1773">
        <f t="shared" si="50"/>
        <v>-122.40340581979112</v>
      </c>
      <c r="J169" s="1773">
        <f t="shared" si="50"/>
        <v>-123.32898603907097</v>
      </c>
      <c r="K169" s="1773">
        <f t="shared" si="50"/>
        <v>-124.25526521628865</v>
      </c>
      <c r="L169" s="1773">
        <f t="shared" si="50"/>
        <v>-125.18224375415994</v>
      </c>
      <c r="M169" s="1773">
        <f t="shared" si="50"/>
        <v>-126.1099220556078</v>
      </c>
      <c r="N169" s="1773">
        <f t="shared" si="50"/>
        <v>-127.03830052376233</v>
      </c>
      <c r="O169" s="1773">
        <f t="shared" si="50"/>
        <v>-127.96737956196105</v>
      </c>
      <c r="P169" s="1773">
        <f t="shared" si="50"/>
        <v>-128.89715957374889</v>
      </c>
      <c r="Q169" s="1773">
        <f t="shared" si="50"/>
        <v>-129.82764096287838</v>
      </c>
      <c r="R169" s="1773">
        <f t="shared" si="50"/>
        <v>-130.75882413330976</v>
      </c>
      <c r="S169" s="1773">
        <f t="shared" si="50"/>
        <v>-131.69070948921089</v>
      </c>
      <c r="T169" s="1773">
        <f t="shared" si="50"/>
        <v>-132.62329743495758</v>
      </c>
      <c r="U169" s="1773">
        <f t="shared" si="50"/>
        <v>-133.55658837513352</v>
      </c>
      <c r="V169" s="1773">
        <f t="shared" si="50"/>
        <v>-134.49058271453052</v>
      </c>
    </row>
    <row r="170" spans="3:22" ht="14.25" thickBot="1" x14ac:dyDescent="0.3">
      <c r="C170" s="1769"/>
      <c r="D170" s="4594" t="s">
        <v>2044</v>
      </c>
      <c r="E170" s="1558" t="s">
        <v>3325</v>
      </c>
      <c r="F170" s="1772">
        <f>'14 Dda Consolidda'!E30</f>
        <v>76</v>
      </c>
      <c r="G170" s="1772">
        <f>'14 Dda Consolidda'!F30</f>
        <v>76.029450558407547</v>
      </c>
      <c r="H170" s="1772">
        <f>'14 Dda Consolidda'!G30</f>
        <v>76.058912529122864</v>
      </c>
      <c r="I170" s="1772">
        <f>'14 Dda Consolidda'!H30</f>
        <v>76.088385916568299</v>
      </c>
      <c r="J170" s="1772">
        <f>'14 Dda Consolidda'!I30</f>
        <v>76.117870725167933</v>
      </c>
      <c r="K170" s="1772">
        <f>'14 Dda Consolidda'!J30</f>
        <v>76.147366959347536</v>
      </c>
      <c r="L170" s="1772">
        <f>'14 Dda Consolidda'!K30</f>
        <v>76.176874623534601</v>
      </c>
      <c r="M170" s="1772">
        <f>'14 Dda Consolidda'!L30</f>
        <v>76.206393722158353</v>
      </c>
      <c r="N170" s="1772">
        <f>'14 Dda Consolidda'!M30</f>
        <v>76.235924259649707</v>
      </c>
      <c r="O170" s="1772">
        <f>'14 Dda Consolidda'!N30</f>
        <v>76.265466240441313</v>
      </c>
      <c r="P170" s="1772">
        <f>'14 Dda Consolidda'!O30</f>
        <v>76.295019668967541</v>
      </c>
      <c r="Q170" s="1772">
        <f>'14 Dda Consolidda'!P30</f>
        <v>76.324584549664465</v>
      </c>
      <c r="R170" s="1772">
        <f>'14 Dda Consolidda'!Q30</f>
        <v>76.354160886969879</v>
      </c>
      <c r="S170" s="1772">
        <f>'14 Dda Consolidda'!R30</f>
        <v>76.383748685323312</v>
      </c>
      <c r="T170" s="1772">
        <f>'14 Dda Consolidda'!S30</f>
        <v>76.41334794916601</v>
      </c>
      <c r="U170" s="1772">
        <f>'14 Dda Consolidda'!T30</f>
        <v>76.442958682940926</v>
      </c>
      <c r="V170" s="1772">
        <f>'14 Dda Consolidda'!U30</f>
        <v>76.472580891092733</v>
      </c>
    </row>
    <row r="171" spans="3:22" ht="14.25" thickBot="1" x14ac:dyDescent="0.3">
      <c r="C171" s="1769"/>
      <c r="D171" s="4594"/>
      <c r="E171" s="1558" t="s">
        <v>3326</v>
      </c>
      <c r="F171" s="1772">
        <v>0</v>
      </c>
      <c r="G171" s="1772">
        <v>0</v>
      </c>
      <c r="H171" s="1772">
        <v>0</v>
      </c>
      <c r="I171" s="1772">
        <v>0</v>
      </c>
      <c r="J171" s="1772">
        <v>0</v>
      </c>
      <c r="K171" s="1772">
        <v>0</v>
      </c>
      <c r="L171" s="1772">
        <v>0</v>
      </c>
      <c r="M171" s="1772">
        <v>0</v>
      </c>
      <c r="N171" s="1772">
        <v>0</v>
      </c>
      <c r="O171" s="1772">
        <v>0</v>
      </c>
      <c r="P171" s="1772">
        <v>0</v>
      </c>
      <c r="Q171" s="1772">
        <v>0</v>
      </c>
      <c r="R171" s="1772">
        <v>0</v>
      </c>
      <c r="S171" s="1772">
        <v>0</v>
      </c>
      <c r="T171" s="1772">
        <v>0</v>
      </c>
      <c r="U171" s="1772">
        <v>0</v>
      </c>
      <c r="V171" s="1772">
        <v>0</v>
      </c>
    </row>
    <row r="172" spans="3:22" ht="14.25" thickBot="1" x14ac:dyDescent="0.3">
      <c r="C172" s="1769"/>
      <c r="D172" s="4594"/>
      <c r="E172" s="1558" t="s">
        <v>3323</v>
      </c>
      <c r="F172" s="1773">
        <f>F171-F170</f>
        <v>-76</v>
      </c>
      <c r="G172" s="1773">
        <f t="shared" ref="G172:V172" si="51">G171-G170</f>
        <v>-76.029450558407547</v>
      </c>
      <c r="H172" s="1773">
        <f t="shared" si="51"/>
        <v>-76.058912529122864</v>
      </c>
      <c r="I172" s="1773">
        <f t="shared" si="51"/>
        <v>-76.088385916568299</v>
      </c>
      <c r="J172" s="1773">
        <f t="shared" si="51"/>
        <v>-76.117870725167933</v>
      </c>
      <c r="K172" s="1773">
        <f t="shared" si="51"/>
        <v>-76.147366959347536</v>
      </c>
      <c r="L172" s="1773">
        <f t="shared" si="51"/>
        <v>-76.176874623534601</v>
      </c>
      <c r="M172" s="1773">
        <f t="shared" si="51"/>
        <v>-76.206393722158353</v>
      </c>
      <c r="N172" s="1773">
        <f t="shared" si="51"/>
        <v>-76.235924259649707</v>
      </c>
      <c r="O172" s="1773">
        <f t="shared" si="51"/>
        <v>-76.265466240441313</v>
      </c>
      <c r="P172" s="1773">
        <f t="shared" si="51"/>
        <v>-76.295019668967541</v>
      </c>
      <c r="Q172" s="1773">
        <f t="shared" si="51"/>
        <v>-76.324584549664465</v>
      </c>
      <c r="R172" s="1773">
        <f t="shared" si="51"/>
        <v>-76.354160886969879</v>
      </c>
      <c r="S172" s="1773">
        <f t="shared" si="51"/>
        <v>-76.383748685323312</v>
      </c>
      <c r="T172" s="1773">
        <f t="shared" si="51"/>
        <v>-76.41334794916601</v>
      </c>
      <c r="U172" s="1773">
        <f t="shared" si="51"/>
        <v>-76.442958682940926</v>
      </c>
      <c r="V172" s="1773">
        <f t="shared" si="51"/>
        <v>-76.472580891092733</v>
      </c>
    </row>
    <row r="173" spans="3:22" ht="14.25" thickBot="1" x14ac:dyDescent="0.3">
      <c r="C173" s="1770"/>
      <c r="D173" s="4594" t="s">
        <v>1235</v>
      </c>
      <c r="E173" s="1558" t="s">
        <v>3325</v>
      </c>
      <c r="F173" s="1772" t="e">
        <f>'14 Dda Consolidda'!E31</f>
        <v>#DIV/0!</v>
      </c>
      <c r="G173" s="1772" t="e">
        <f>'14 Dda Consolidda'!F31</f>
        <v>#DIV/0!</v>
      </c>
      <c r="H173" s="1772" t="e">
        <f>'14 Dda Consolidda'!G31</f>
        <v>#DIV/0!</v>
      </c>
      <c r="I173" s="1772" t="e">
        <f>'14 Dda Consolidda'!H31</f>
        <v>#DIV/0!</v>
      </c>
      <c r="J173" s="1772" t="e">
        <f>'14 Dda Consolidda'!I31</f>
        <v>#DIV/0!</v>
      </c>
      <c r="K173" s="1772" t="e">
        <f>'14 Dda Consolidda'!J31</f>
        <v>#DIV/0!</v>
      </c>
      <c r="L173" s="1772" t="e">
        <f>'14 Dda Consolidda'!K31</f>
        <v>#DIV/0!</v>
      </c>
      <c r="M173" s="1772" t="e">
        <f>'14 Dda Consolidda'!L31</f>
        <v>#DIV/0!</v>
      </c>
      <c r="N173" s="1772" t="e">
        <f>'14 Dda Consolidda'!M31</f>
        <v>#DIV/0!</v>
      </c>
      <c r="O173" s="1772" t="e">
        <f>'14 Dda Consolidda'!N31</f>
        <v>#DIV/0!</v>
      </c>
      <c r="P173" s="1772" t="e">
        <f>'14 Dda Consolidda'!O31</f>
        <v>#DIV/0!</v>
      </c>
      <c r="Q173" s="1772" t="e">
        <f>'14 Dda Consolidda'!P31</f>
        <v>#DIV/0!</v>
      </c>
      <c r="R173" s="1772" t="e">
        <f>'14 Dda Consolidda'!Q31</f>
        <v>#DIV/0!</v>
      </c>
      <c r="S173" s="1772" t="e">
        <f>'14 Dda Consolidda'!R31</f>
        <v>#DIV/0!</v>
      </c>
      <c r="T173" s="1772" t="e">
        <f>'14 Dda Consolidda'!S31</f>
        <v>#DIV/0!</v>
      </c>
      <c r="U173" s="1772" t="e">
        <f>'14 Dda Consolidda'!T31</f>
        <v>#DIV/0!</v>
      </c>
      <c r="V173" s="1772" t="e">
        <f>'14 Dda Consolidda'!U31</f>
        <v>#DIV/0!</v>
      </c>
    </row>
    <row r="174" spans="3:22" ht="14.25" thickBot="1" x14ac:dyDescent="0.3">
      <c r="C174" s="1770"/>
      <c r="D174" s="4594"/>
      <c r="E174" s="1558" t="s">
        <v>3326</v>
      </c>
      <c r="F174" s="1772">
        <v>0</v>
      </c>
      <c r="G174" s="1772">
        <v>1</v>
      </c>
      <c r="H174" s="1772">
        <v>2</v>
      </c>
      <c r="I174" s="1772">
        <v>3</v>
      </c>
      <c r="J174" s="1772">
        <v>4</v>
      </c>
      <c r="K174" s="1772">
        <v>5</v>
      </c>
      <c r="L174" s="1772">
        <v>6</v>
      </c>
      <c r="M174" s="1772">
        <v>7</v>
      </c>
      <c r="N174" s="1772">
        <v>8</v>
      </c>
      <c r="O174" s="1772">
        <v>9</v>
      </c>
      <c r="P174" s="1772">
        <v>10</v>
      </c>
      <c r="Q174" s="1772">
        <v>11</v>
      </c>
      <c r="R174" s="1772">
        <v>12</v>
      </c>
      <c r="S174" s="1772">
        <v>13</v>
      </c>
      <c r="T174" s="1772">
        <v>14</v>
      </c>
      <c r="U174" s="1772">
        <v>15</v>
      </c>
      <c r="V174" s="1772">
        <v>16</v>
      </c>
    </row>
    <row r="175" spans="3:22" ht="14.25" thickBot="1" x14ac:dyDescent="0.3">
      <c r="C175" s="1769"/>
      <c r="D175" s="4594"/>
      <c r="E175" s="1558" t="s">
        <v>3323</v>
      </c>
      <c r="F175" s="1773" t="e">
        <f>F174-F173</f>
        <v>#DIV/0!</v>
      </c>
      <c r="G175" s="1773" t="e">
        <f t="shared" ref="G175:V175" si="52">G174-G173</f>
        <v>#DIV/0!</v>
      </c>
      <c r="H175" s="1773" t="e">
        <f t="shared" si="52"/>
        <v>#DIV/0!</v>
      </c>
      <c r="I175" s="1773" t="e">
        <f t="shared" si="52"/>
        <v>#DIV/0!</v>
      </c>
      <c r="J175" s="1773" t="e">
        <f t="shared" si="52"/>
        <v>#DIV/0!</v>
      </c>
      <c r="K175" s="1773" t="e">
        <f t="shared" si="52"/>
        <v>#DIV/0!</v>
      </c>
      <c r="L175" s="1773" t="e">
        <f t="shared" si="52"/>
        <v>#DIV/0!</v>
      </c>
      <c r="M175" s="1773" t="e">
        <f t="shared" si="52"/>
        <v>#DIV/0!</v>
      </c>
      <c r="N175" s="1773" t="e">
        <f t="shared" si="52"/>
        <v>#DIV/0!</v>
      </c>
      <c r="O175" s="1773" t="e">
        <f t="shared" si="52"/>
        <v>#DIV/0!</v>
      </c>
      <c r="P175" s="1773" t="e">
        <f t="shared" si="52"/>
        <v>#DIV/0!</v>
      </c>
      <c r="Q175" s="1773" t="e">
        <f t="shared" si="52"/>
        <v>#DIV/0!</v>
      </c>
      <c r="R175" s="1773" t="e">
        <f t="shared" si="52"/>
        <v>#DIV/0!</v>
      </c>
      <c r="S175" s="1773" t="e">
        <f t="shared" si="52"/>
        <v>#DIV/0!</v>
      </c>
      <c r="T175" s="1773" t="e">
        <f t="shared" si="52"/>
        <v>#DIV/0!</v>
      </c>
      <c r="U175" s="1773" t="e">
        <f t="shared" si="52"/>
        <v>#DIV/0!</v>
      </c>
      <c r="V175" s="1773" t="e">
        <f t="shared" si="52"/>
        <v>#DIV/0!</v>
      </c>
    </row>
    <row r="176" spans="3:22" ht="14.25" thickBot="1" x14ac:dyDescent="0.3">
      <c r="C176" s="1770"/>
      <c r="D176" s="4594" t="s">
        <v>1798</v>
      </c>
      <c r="E176" s="1558" t="s">
        <v>3325</v>
      </c>
      <c r="F176" s="1772" t="e">
        <f>'14 Dda Consolidda'!E32</f>
        <v>#DIV/0!</v>
      </c>
      <c r="G176" s="1772" t="e">
        <f>'14 Dda Consolidda'!F32</f>
        <v>#DIV/0!</v>
      </c>
      <c r="H176" s="1772" t="e">
        <f>'14 Dda Consolidda'!G32</f>
        <v>#DIV/0!</v>
      </c>
      <c r="I176" s="1772" t="e">
        <f>'14 Dda Consolidda'!H32</f>
        <v>#DIV/0!</v>
      </c>
      <c r="J176" s="1772" t="e">
        <f>'14 Dda Consolidda'!I32</f>
        <v>#DIV/0!</v>
      </c>
      <c r="K176" s="1772" t="e">
        <f>'14 Dda Consolidda'!J32</f>
        <v>#DIV/0!</v>
      </c>
      <c r="L176" s="1772" t="e">
        <f>'14 Dda Consolidda'!K32</f>
        <v>#DIV/0!</v>
      </c>
      <c r="M176" s="1772" t="e">
        <f>'14 Dda Consolidda'!L32</f>
        <v>#DIV/0!</v>
      </c>
      <c r="N176" s="1772" t="e">
        <f>'14 Dda Consolidda'!M32</f>
        <v>#DIV/0!</v>
      </c>
      <c r="O176" s="1772" t="e">
        <f>'14 Dda Consolidda'!N32</f>
        <v>#DIV/0!</v>
      </c>
      <c r="P176" s="1772" t="e">
        <f>'14 Dda Consolidda'!O32</f>
        <v>#DIV/0!</v>
      </c>
      <c r="Q176" s="1772" t="e">
        <f>'14 Dda Consolidda'!P32</f>
        <v>#DIV/0!</v>
      </c>
      <c r="R176" s="1772" t="e">
        <f>'14 Dda Consolidda'!Q32</f>
        <v>#DIV/0!</v>
      </c>
      <c r="S176" s="1772" t="e">
        <f>'14 Dda Consolidda'!R32</f>
        <v>#DIV/0!</v>
      </c>
      <c r="T176" s="1772" t="e">
        <f>'14 Dda Consolidda'!S32</f>
        <v>#DIV/0!</v>
      </c>
      <c r="U176" s="1772" t="e">
        <f>'14 Dda Consolidda'!T32</f>
        <v>#DIV/0!</v>
      </c>
      <c r="V176" s="1772" t="e">
        <f>'14 Dda Consolidda'!U32</f>
        <v>#DIV/0!</v>
      </c>
    </row>
    <row r="177" spans="3:22" ht="14.25" thickBot="1" x14ac:dyDescent="0.3">
      <c r="C177" s="1770"/>
      <c r="D177" s="4594"/>
      <c r="E177" s="1558" t="s">
        <v>3326</v>
      </c>
      <c r="F177" s="1772">
        <v>0</v>
      </c>
      <c r="G177" s="1772">
        <v>1</v>
      </c>
      <c r="H177" s="1772">
        <v>2</v>
      </c>
      <c r="I177" s="1772">
        <v>3</v>
      </c>
      <c r="J177" s="1772">
        <v>4</v>
      </c>
      <c r="K177" s="1772">
        <v>5</v>
      </c>
      <c r="L177" s="1772">
        <v>6</v>
      </c>
      <c r="M177" s="1772">
        <v>7</v>
      </c>
      <c r="N177" s="1772">
        <v>8</v>
      </c>
      <c r="O177" s="1772">
        <v>9</v>
      </c>
      <c r="P177" s="1772">
        <v>10</v>
      </c>
      <c r="Q177" s="1772">
        <v>11</v>
      </c>
      <c r="R177" s="1772">
        <v>12</v>
      </c>
      <c r="S177" s="1772">
        <v>13</v>
      </c>
      <c r="T177" s="1772">
        <v>14</v>
      </c>
      <c r="U177" s="1772">
        <v>15</v>
      </c>
      <c r="V177" s="1772">
        <v>16</v>
      </c>
    </row>
    <row r="178" spans="3:22" ht="14.25" thickBot="1" x14ac:dyDescent="0.3">
      <c r="C178" s="1769"/>
      <c r="D178" s="4594"/>
      <c r="E178" s="1558" t="s">
        <v>3323</v>
      </c>
      <c r="F178" s="1773" t="e">
        <f>F177-F176</f>
        <v>#DIV/0!</v>
      </c>
      <c r="G178" s="1773" t="e">
        <f t="shared" ref="G178:V178" si="53">G177-G176</f>
        <v>#DIV/0!</v>
      </c>
      <c r="H178" s="1773" t="e">
        <f t="shared" si="53"/>
        <v>#DIV/0!</v>
      </c>
      <c r="I178" s="1773" t="e">
        <f t="shared" si="53"/>
        <v>#DIV/0!</v>
      </c>
      <c r="J178" s="1773" t="e">
        <f t="shared" si="53"/>
        <v>#DIV/0!</v>
      </c>
      <c r="K178" s="1773" t="e">
        <f t="shared" si="53"/>
        <v>#DIV/0!</v>
      </c>
      <c r="L178" s="1773" t="e">
        <f t="shared" si="53"/>
        <v>#DIV/0!</v>
      </c>
      <c r="M178" s="1773" t="e">
        <f t="shared" si="53"/>
        <v>#DIV/0!</v>
      </c>
      <c r="N178" s="1773" t="e">
        <f t="shared" si="53"/>
        <v>#DIV/0!</v>
      </c>
      <c r="O178" s="1773" t="e">
        <f t="shared" si="53"/>
        <v>#DIV/0!</v>
      </c>
      <c r="P178" s="1773" t="e">
        <f t="shared" si="53"/>
        <v>#DIV/0!</v>
      </c>
      <c r="Q178" s="1773" t="e">
        <f t="shared" si="53"/>
        <v>#DIV/0!</v>
      </c>
      <c r="R178" s="1773" t="e">
        <f t="shared" si="53"/>
        <v>#DIV/0!</v>
      </c>
      <c r="S178" s="1773" t="e">
        <f t="shared" si="53"/>
        <v>#DIV/0!</v>
      </c>
      <c r="T178" s="1773" t="e">
        <f t="shared" si="53"/>
        <v>#DIV/0!</v>
      </c>
      <c r="U178" s="1773" t="e">
        <f t="shared" si="53"/>
        <v>#DIV/0!</v>
      </c>
      <c r="V178" s="1773" t="e">
        <f t="shared" si="53"/>
        <v>#DIV/0!</v>
      </c>
    </row>
    <row r="179" spans="3:22" ht="14.25" thickBot="1" x14ac:dyDescent="0.3">
      <c r="C179" s="1770"/>
      <c r="D179" s="4594" t="s">
        <v>1971</v>
      </c>
      <c r="E179" s="1558" t="s">
        <v>3325</v>
      </c>
      <c r="F179" s="1772" t="e">
        <f>'14 Dda Consolidda'!E33</f>
        <v>#REF!</v>
      </c>
      <c r="G179" s="1772" t="e">
        <f>'14 Dda Consolidda'!F33</f>
        <v>#REF!</v>
      </c>
      <c r="H179" s="1772" t="e">
        <f>'14 Dda Consolidda'!G33</f>
        <v>#REF!</v>
      </c>
      <c r="I179" s="1772" t="e">
        <f>'14 Dda Consolidda'!H33</f>
        <v>#REF!</v>
      </c>
      <c r="J179" s="1772" t="e">
        <f>'14 Dda Consolidda'!I33</f>
        <v>#REF!</v>
      </c>
      <c r="K179" s="1772" t="e">
        <f>'14 Dda Consolidda'!J33</f>
        <v>#REF!</v>
      </c>
      <c r="L179" s="1772" t="e">
        <f>'14 Dda Consolidda'!K33</f>
        <v>#REF!</v>
      </c>
      <c r="M179" s="1772" t="e">
        <f>'14 Dda Consolidda'!L33</f>
        <v>#REF!</v>
      </c>
      <c r="N179" s="1772" t="e">
        <f>'14 Dda Consolidda'!M33</f>
        <v>#REF!</v>
      </c>
      <c r="O179" s="1772" t="e">
        <f>'14 Dda Consolidda'!N33</f>
        <v>#REF!</v>
      </c>
      <c r="P179" s="1772" t="e">
        <f>'14 Dda Consolidda'!O33</f>
        <v>#REF!</v>
      </c>
      <c r="Q179" s="1772" t="e">
        <f>'14 Dda Consolidda'!P33</f>
        <v>#REF!</v>
      </c>
      <c r="R179" s="1772" t="e">
        <f>'14 Dda Consolidda'!Q33</f>
        <v>#REF!</v>
      </c>
      <c r="S179" s="1772" t="e">
        <f>'14 Dda Consolidda'!R33</f>
        <v>#REF!</v>
      </c>
      <c r="T179" s="1772" t="e">
        <f>'14 Dda Consolidda'!S33</f>
        <v>#REF!</v>
      </c>
      <c r="U179" s="1772" t="e">
        <f>'14 Dda Consolidda'!T33</f>
        <v>#REF!</v>
      </c>
      <c r="V179" s="1772" t="e">
        <f>'14 Dda Consolidda'!U33</f>
        <v>#REF!</v>
      </c>
    </row>
    <row r="180" spans="3:22" ht="14.25" thickBot="1" x14ac:dyDescent="0.3">
      <c r="C180" s="1770"/>
      <c r="D180" s="4594"/>
      <c r="E180" s="1558" t="s">
        <v>3326</v>
      </c>
      <c r="F180" s="1772">
        <v>0</v>
      </c>
      <c r="G180" s="1772">
        <v>1</v>
      </c>
      <c r="H180" s="1772">
        <v>2</v>
      </c>
      <c r="I180" s="1772">
        <v>3</v>
      </c>
      <c r="J180" s="1772">
        <v>4</v>
      </c>
      <c r="K180" s="1772">
        <v>5</v>
      </c>
      <c r="L180" s="1772">
        <v>6</v>
      </c>
      <c r="M180" s="1772">
        <v>7</v>
      </c>
      <c r="N180" s="1772">
        <v>8</v>
      </c>
      <c r="O180" s="1772">
        <v>9</v>
      </c>
      <c r="P180" s="1772">
        <v>10</v>
      </c>
      <c r="Q180" s="1772">
        <v>11</v>
      </c>
      <c r="R180" s="1772">
        <v>12</v>
      </c>
      <c r="S180" s="1772">
        <v>13</v>
      </c>
      <c r="T180" s="1772">
        <v>14</v>
      </c>
      <c r="U180" s="1772">
        <v>15</v>
      </c>
      <c r="V180" s="1772">
        <v>16</v>
      </c>
    </row>
    <row r="181" spans="3:22" ht="14.25" thickBot="1" x14ac:dyDescent="0.3">
      <c r="C181" s="1770"/>
      <c r="D181" s="4594"/>
      <c r="E181" s="1558" t="s">
        <v>3323</v>
      </c>
      <c r="F181" s="1773" t="e">
        <f>F180-F179</f>
        <v>#REF!</v>
      </c>
      <c r="G181" s="1773" t="e">
        <f t="shared" ref="G181:V181" si="54">G180-G179</f>
        <v>#REF!</v>
      </c>
      <c r="H181" s="1773" t="e">
        <f t="shared" si="54"/>
        <v>#REF!</v>
      </c>
      <c r="I181" s="1773" t="e">
        <f t="shared" si="54"/>
        <v>#REF!</v>
      </c>
      <c r="J181" s="1773" t="e">
        <f t="shared" si="54"/>
        <v>#REF!</v>
      </c>
      <c r="K181" s="1773" t="e">
        <f t="shared" si="54"/>
        <v>#REF!</v>
      </c>
      <c r="L181" s="1773" t="e">
        <f t="shared" si="54"/>
        <v>#REF!</v>
      </c>
      <c r="M181" s="1773" t="e">
        <f t="shared" si="54"/>
        <v>#REF!</v>
      </c>
      <c r="N181" s="1773" t="e">
        <f t="shared" si="54"/>
        <v>#REF!</v>
      </c>
      <c r="O181" s="1773" t="e">
        <f t="shared" si="54"/>
        <v>#REF!</v>
      </c>
      <c r="P181" s="1773" t="e">
        <f t="shared" si="54"/>
        <v>#REF!</v>
      </c>
      <c r="Q181" s="1773" t="e">
        <f t="shared" si="54"/>
        <v>#REF!</v>
      </c>
      <c r="R181" s="1773" t="e">
        <f t="shared" si="54"/>
        <v>#REF!</v>
      </c>
      <c r="S181" s="1773" t="e">
        <f t="shared" si="54"/>
        <v>#REF!</v>
      </c>
      <c r="T181" s="1773" t="e">
        <f t="shared" si="54"/>
        <v>#REF!</v>
      </c>
      <c r="U181" s="1773" t="e">
        <f t="shared" si="54"/>
        <v>#REF!</v>
      </c>
      <c r="V181" s="1773" t="e">
        <f t="shared" si="54"/>
        <v>#REF!</v>
      </c>
    </row>
    <row r="182" spans="3:22" ht="14.25" thickBot="1" x14ac:dyDescent="0.3">
      <c r="D182" s="1763" t="s">
        <v>61</v>
      </c>
      <c r="E182" s="1763"/>
      <c r="F182" s="1763"/>
      <c r="G182" s="1763"/>
      <c r="H182" s="1763"/>
      <c r="I182" s="1763"/>
      <c r="J182" s="1763"/>
      <c r="K182" s="1763"/>
      <c r="L182" s="1763"/>
      <c r="M182" s="1763"/>
      <c r="N182" s="1763"/>
      <c r="O182" s="1763"/>
      <c r="P182" s="1763"/>
      <c r="Q182" s="1763"/>
      <c r="R182" s="1763"/>
      <c r="S182" s="1763"/>
      <c r="T182" s="1763"/>
      <c r="U182" s="1763"/>
      <c r="V182" s="1763"/>
    </row>
    <row r="183" spans="3:22" ht="14.25" thickBot="1" x14ac:dyDescent="0.3">
      <c r="D183" s="4594" t="s">
        <v>1972</v>
      </c>
      <c r="E183" s="1558" t="s">
        <v>3325</v>
      </c>
      <c r="F183" s="1772" t="e">
        <f>'14 Dda Consolidda'!E35</f>
        <v>#DIV/0!</v>
      </c>
      <c r="G183" s="1772" t="e">
        <f>'14 Dda Consolidda'!F35</f>
        <v>#DIV/0!</v>
      </c>
      <c r="H183" s="1772" t="e">
        <f>'14 Dda Consolidda'!G35</f>
        <v>#DIV/0!</v>
      </c>
      <c r="I183" s="1772" t="e">
        <f>'14 Dda Consolidda'!H35</f>
        <v>#DIV/0!</v>
      </c>
      <c r="J183" s="1772" t="e">
        <f>'14 Dda Consolidda'!I35</f>
        <v>#DIV/0!</v>
      </c>
      <c r="K183" s="1772" t="e">
        <f>'14 Dda Consolidda'!J35</f>
        <v>#DIV/0!</v>
      </c>
      <c r="L183" s="1772" t="e">
        <f>'14 Dda Consolidda'!K35</f>
        <v>#DIV/0!</v>
      </c>
      <c r="M183" s="1772" t="e">
        <f>'14 Dda Consolidda'!L35</f>
        <v>#DIV/0!</v>
      </c>
      <c r="N183" s="1772" t="e">
        <f>'14 Dda Consolidda'!M35</f>
        <v>#DIV/0!</v>
      </c>
      <c r="O183" s="1772" t="e">
        <f>'14 Dda Consolidda'!N35</f>
        <v>#DIV/0!</v>
      </c>
      <c r="P183" s="1772" t="e">
        <f>'14 Dda Consolidda'!O35</f>
        <v>#DIV/0!</v>
      </c>
      <c r="Q183" s="1772" t="e">
        <f>'14 Dda Consolidda'!P35</f>
        <v>#DIV/0!</v>
      </c>
      <c r="R183" s="1772" t="e">
        <f>'14 Dda Consolidda'!Q35</f>
        <v>#DIV/0!</v>
      </c>
      <c r="S183" s="1772" t="e">
        <f>'14 Dda Consolidda'!R35</f>
        <v>#DIV/0!</v>
      </c>
      <c r="T183" s="1772" t="e">
        <f>'14 Dda Consolidda'!S35</f>
        <v>#DIV/0!</v>
      </c>
      <c r="U183" s="1772" t="e">
        <f>'14 Dda Consolidda'!T35</f>
        <v>#DIV/0!</v>
      </c>
      <c r="V183" s="1772" t="e">
        <f>'14 Dda Consolidda'!U35</f>
        <v>#DIV/0!</v>
      </c>
    </row>
    <row r="184" spans="3:22" ht="14.25" thickBot="1" x14ac:dyDescent="0.3">
      <c r="D184" s="4594"/>
      <c r="E184" s="1558" t="s">
        <v>3326</v>
      </c>
      <c r="F184" s="1772">
        <v>0</v>
      </c>
      <c r="G184" s="1772">
        <v>1</v>
      </c>
      <c r="H184" s="1772">
        <v>2</v>
      </c>
      <c r="I184" s="1772">
        <v>3</v>
      </c>
      <c r="J184" s="1772">
        <v>4</v>
      </c>
      <c r="K184" s="1772">
        <v>5</v>
      </c>
      <c r="L184" s="1772">
        <v>6</v>
      </c>
      <c r="M184" s="1772">
        <v>7</v>
      </c>
      <c r="N184" s="1772">
        <v>8</v>
      </c>
      <c r="O184" s="1772">
        <v>9</v>
      </c>
      <c r="P184" s="1772">
        <v>10</v>
      </c>
      <c r="Q184" s="1772">
        <v>11</v>
      </c>
      <c r="R184" s="1772">
        <v>12</v>
      </c>
      <c r="S184" s="1772">
        <v>13</v>
      </c>
      <c r="T184" s="1772">
        <v>14</v>
      </c>
      <c r="U184" s="1772">
        <v>15</v>
      </c>
      <c r="V184" s="1772">
        <v>16</v>
      </c>
    </row>
    <row r="185" spans="3:22" ht="14.25" thickBot="1" x14ac:dyDescent="0.3">
      <c r="D185" s="4594"/>
      <c r="E185" s="1558" t="s">
        <v>3323</v>
      </c>
      <c r="F185" s="1773" t="e">
        <f>F184-F183</f>
        <v>#DIV/0!</v>
      </c>
      <c r="G185" s="1773" t="e">
        <f t="shared" ref="G185:V185" si="55">G184-G183</f>
        <v>#DIV/0!</v>
      </c>
      <c r="H185" s="1773" t="e">
        <f t="shared" si="55"/>
        <v>#DIV/0!</v>
      </c>
      <c r="I185" s="1773" t="e">
        <f t="shared" si="55"/>
        <v>#DIV/0!</v>
      </c>
      <c r="J185" s="1773" t="e">
        <f t="shared" si="55"/>
        <v>#DIV/0!</v>
      </c>
      <c r="K185" s="1773" t="e">
        <f t="shared" si="55"/>
        <v>#DIV/0!</v>
      </c>
      <c r="L185" s="1773" t="e">
        <f t="shared" si="55"/>
        <v>#DIV/0!</v>
      </c>
      <c r="M185" s="1773" t="e">
        <f t="shared" si="55"/>
        <v>#DIV/0!</v>
      </c>
      <c r="N185" s="1773" t="e">
        <f t="shared" si="55"/>
        <v>#DIV/0!</v>
      </c>
      <c r="O185" s="1773" t="e">
        <f t="shared" si="55"/>
        <v>#DIV/0!</v>
      </c>
      <c r="P185" s="1773" t="e">
        <f t="shared" si="55"/>
        <v>#DIV/0!</v>
      </c>
      <c r="Q185" s="1773" t="e">
        <f t="shared" si="55"/>
        <v>#DIV/0!</v>
      </c>
      <c r="R185" s="1773" t="e">
        <f t="shared" si="55"/>
        <v>#DIV/0!</v>
      </c>
      <c r="S185" s="1773" t="e">
        <f t="shared" si="55"/>
        <v>#DIV/0!</v>
      </c>
      <c r="T185" s="1773" t="e">
        <f t="shared" si="55"/>
        <v>#DIV/0!</v>
      </c>
      <c r="U185" s="1773" t="e">
        <f t="shared" si="55"/>
        <v>#DIV/0!</v>
      </c>
      <c r="V185" s="1773" t="e">
        <f t="shared" si="55"/>
        <v>#DIV/0!</v>
      </c>
    </row>
    <row r="186" spans="3:22" ht="14.25" thickBot="1" x14ac:dyDescent="0.3">
      <c r="D186" s="4594" t="s">
        <v>2046</v>
      </c>
      <c r="E186" s="1558" t="s">
        <v>3325</v>
      </c>
      <c r="F186" s="1772" t="e">
        <f>'14 Dda Consolidda'!E36</f>
        <v>#DIV/0!</v>
      </c>
      <c r="G186" s="1772" t="e">
        <f>'14 Dda Consolidda'!F36</f>
        <v>#DIV/0!</v>
      </c>
      <c r="H186" s="1772" t="e">
        <f>'14 Dda Consolidda'!G36</f>
        <v>#DIV/0!</v>
      </c>
      <c r="I186" s="1772" t="e">
        <f>'14 Dda Consolidda'!H36</f>
        <v>#DIV/0!</v>
      </c>
      <c r="J186" s="1772" t="e">
        <f>'14 Dda Consolidda'!I36</f>
        <v>#DIV/0!</v>
      </c>
      <c r="K186" s="1772" t="e">
        <f>'14 Dda Consolidda'!J36</f>
        <v>#DIV/0!</v>
      </c>
      <c r="L186" s="1772" t="e">
        <f>'14 Dda Consolidda'!K36</f>
        <v>#DIV/0!</v>
      </c>
      <c r="M186" s="1772" t="e">
        <f>'14 Dda Consolidda'!L36</f>
        <v>#DIV/0!</v>
      </c>
      <c r="N186" s="1772" t="e">
        <f>'14 Dda Consolidda'!M36</f>
        <v>#DIV/0!</v>
      </c>
      <c r="O186" s="1772" t="e">
        <f>'14 Dda Consolidda'!N36</f>
        <v>#DIV/0!</v>
      </c>
      <c r="P186" s="1772" t="e">
        <f>'14 Dda Consolidda'!O36</f>
        <v>#DIV/0!</v>
      </c>
      <c r="Q186" s="1772" t="e">
        <f>'14 Dda Consolidda'!P36</f>
        <v>#DIV/0!</v>
      </c>
      <c r="R186" s="1772" t="e">
        <f>'14 Dda Consolidda'!Q36</f>
        <v>#DIV/0!</v>
      </c>
      <c r="S186" s="1772" t="e">
        <f>'14 Dda Consolidda'!R36</f>
        <v>#DIV/0!</v>
      </c>
      <c r="T186" s="1772" t="e">
        <f>'14 Dda Consolidda'!S36</f>
        <v>#DIV/0!</v>
      </c>
      <c r="U186" s="1772" t="e">
        <f>'14 Dda Consolidda'!T36</f>
        <v>#DIV/0!</v>
      </c>
      <c r="V186" s="1772" t="e">
        <f>'14 Dda Consolidda'!U36</f>
        <v>#DIV/0!</v>
      </c>
    </row>
    <row r="187" spans="3:22" ht="14.25" thickBot="1" x14ac:dyDescent="0.3">
      <c r="D187" s="4594"/>
      <c r="E187" s="1558" t="s">
        <v>3326</v>
      </c>
      <c r="F187" s="1772">
        <v>0</v>
      </c>
      <c r="G187" s="1772">
        <v>1</v>
      </c>
      <c r="H187" s="1772">
        <v>2</v>
      </c>
      <c r="I187" s="1772">
        <v>3</v>
      </c>
      <c r="J187" s="1772">
        <v>4</v>
      </c>
      <c r="K187" s="1772">
        <v>5</v>
      </c>
      <c r="L187" s="1772">
        <v>6</v>
      </c>
      <c r="M187" s="1772">
        <v>7</v>
      </c>
      <c r="N187" s="1772">
        <v>8</v>
      </c>
      <c r="O187" s="1772">
        <v>9</v>
      </c>
      <c r="P187" s="1772">
        <v>10</v>
      </c>
      <c r="Q187" s="1772">
        <v>11</v>
      </c>
      <c r="R187" s="1772">
        <v>12</v>
      </c>
      <c r="S187" s="1772">
        <v>13</v>
      </c>
      <c r="T187" s="1772">
        <v>14</v>
      </c>
      <c r="U187" s="1772">
        <v>15</v>
      </c>
      <c r="V187" s="1772">
        <v>16</v>
      </c>
    </row>
    <row r="188" spans="3:22" ht="14.25" thickBot="1" x14ac:dyDescent="0.3">
      <c r="D188" s="4594"/>
      <c r="E188" s="1558" t="s">
        <v>3323</v>
      </c>
      <c r="F188" s="1773" t="e">
        <f>F187-F186</f>
        <v>#DIV/0!</v>
      </c>
      <c r="G188" s="1773" t="e">
        <f t="shared" ref="G188:V188" si="56">G187-G186</f>
        <v>#DIV/0!</v>
      </c>
      <c r="H188" s="1773" t="e">
        <f t="shared" si="56"/>
        <v>#DIV/0!</v>
      </c>
      <c r="I188" s="1773" t="e">
        <f t="shared" si="56"/>
        <v>#DIV/0!</v>
      </c>
      <c r="J188" s="1773" t="e">
        <f t="shared" si="56"/>
        <v>#DIV/0!</v>
      </c>
      <c r="K188" s="1773" t="e">
        <f t="shared" si="56"/>
        <v>#DIV/0!</v>
      </c>
      <c r="L188" s="1773" t="e">
        <f t="shared" si="56"/>
        <v>#DIV/0!</v>
      </c>
      <c r="M188" s="1773" t="e">
        <f t="shared" si="56"/>
        <v>#DIV/0!</v>
      </c>
      <c r="N188" s="1773" t="e">
        <f t="shared" si="56"/>
        <v>#DIV/0!</v>
      </c>
      <c r="O188" s="1773" t="e">
        <f t="shared" si="56"/>
        <v>#DIV/0!</v>
      </c>
      <c r="P188" s="1773" t="e">
        <f t="shared" si="56"/>
        <v>#DIV/0!</v>
      </c>
      <c r="Q188" s="1773" t="e">
        <f t="shared" si="56"/>
        <v>#DIV/0!</v>
      </c>
      <c r="R188" s="1773" t="e">
        <f t="shared" si="56"/>
        <v>#DIV/0!</v>
      </c>
      <c r="S188" s="1773" t="e">
        <f t="shared" si="56"/>
        <v>#DIV/0!</v>
      </c>
      <c r="T188" s="1773" t="e">
        <f t="shared" si="56"/>
        <v>#DIV/0!</v>
      </c>
      <c r="U188" s="1773" t="e">
        <f t="shared" si="56"/>
        <v>#DIV/0!</v>
      </c>
      <c r="V188" s="1773" t="e">
        <f t="shared" si="56"/>
        <v>#DIV/0!</v>
      </c>
    </row>
    <row r="189" spans="3:22" ht="14.25" thickBot="1" x14ac:dyDescent="0.3">
      <c r="D189" s="1763" t="s">
        <v>2047</v>
      </c>
      <c r="E189" s="1763"/>
      <c r="F189" s="1763"/>
      <c r="G189" s="1763"/>
      <c r="H189" s="1763"/>
      <c r="I189" s="1763"/>
      <c r="J189" s="1763"/>
      <c r="K189" s="1763"/>
      <c r="L189" s="1763"/>
      <c r="M189" s="1763"/>
      <c r="N189" s="1763"/>
      <c r="O189" s="1763"/>
      <c r="P189" s="1763"/>
      <c r="Q189" s="1763"/>
      <c r="R189" s="1763"/>
      <c r="S189" s="1763"/>
      <c r="T189" s="1763"/>
      <c r="U189" s="1763"/>
      <c r="V189" s="1763"/>
    </row>
    <row r="190" spans="3:22" ht="14.25" thickBot="1" x14ac:dyDescent="0.3">
      <c r="D190" s="4594" t="s">
        <v>1855</v>
      </c>
      <c r="E190" s="1558" t="s">
        <v>3325</v>
      </c>
      <c r="F190" s="1772">
        <f>'14 Dda Consolidda'!E38</f>
        <v>43.927999999999997</v>
      </c>
      <c r="G190" s="1772">
        <f>'14 Dda Consolidda'!F38</f>
        <v>43.945022422759564</v>
      </c>
      <c r="H190" s="1772">
        <f>'14 Dda Consolidda'!G38</f>
        <v>43.962051441833012</v>
      </c>
      <c r="I190" s="1772">
        <f>'14 Dda Consolidda'!H38</f>
        <v>43.979087059776482</v>
      </c>
      <c r="J190" s="1772">
        <f>'14 Dda Consolidda'!I38</f>
        <v>43.99612927914707</v>
      </c>
      <c r="K190" s="1772">
        <f>'14 Dda Consolidda'!J38</f>
        <v>44.013178102502877</v>
      </c>
      <c r="L190" s="1772">
        <f>'14 Dda Consolidda'!K38</f>
        <v>44.030233532403003</v>
      </c>
      <c r="M190" s="1772">
        <f>'14 Dda Consolidda'!L38</f>
        <v>44.047295571407531</v>
      </c>
      <c r="N190" s="1772">
        <f>'14 Dda Consolidda'!M38</f>
        <v>44.064364222077536</v>
      </c>
      <c r="O190" s="1772">
        <f>'14 Dda Consolidda'!N38</f>
        <v>44.081439486975071</v>
      </c>
      <c r="P190" s="1772">
        <f>'14 Dda Consolidda'!O38</f>
        <v>44.098521368663235</v>
      </c>
      <c r="Q190" s="1772">
        <f>'14 Dda Consolidda'!P38</f>
        <v>44.115609869706063</v>
      </c>
      <c r="R190" s="1772">
        <f>'14 Dda Consolidda'!Q38</f>
        <v>44.132704992668593</v>
      </c>
      <c r="S190" s="1772">
        <f>'14 Dda Consolidda'!R38</f>
        <v>44.149806740116873</v>
      </c>
      <c r="T190" s="1772">
        <f>'14 Dda Consolidda'!S38</f>
        <v>44.16691511461795</v>
      </c>
      <c r="U190" s="1772">
        <f>'14 Dda Consolidda'!T38</f>
        <v>44.184030118739855</v>
      </c>
      <c r="V190" s="1772">
        <f>'14 Dda Consolidda'!U38</f>
        <v>44.201151755051598</v>
      </c>
    </row>
    <row r="191" spans="3:22" ht="14.25" thickBot="1" x14ac:dyDescent="0.3">
      <c r="D191" s="4594"/>
      <c r="E191" s="1558" t="s">
        <v>3326</v>
      </c>
      <c r="F191" s="1772">
        <v>0</v>
      </c>
      <c r="G191" s="1772">
        <v>1</v>
      </c>
      <c r="H191" s="1772">
        <v>2</v>
      </c>
      <c r="I191" s="1772">
        <v>3</v>
      </c>
      <c r="J191" s="1772">
        <v>4</v>
      </c>
      <c r="K191" s="1772">
        <v>5</v>
      </c>
      <c r="L191" s="1772">
        <v>6</v>
      </c>
      <c r="M191" s="1772">
        <v>7</v>
      </c>
      <c r="N191" s="1772">
        <v>8</v>
      </c>
      <c r="O191" s="1772">
        <v>9</v>
      </c>
      <c r="P191" s="1772">
        <v>10</v>
      </c>
      <c r="Q191" s="1772">
        <v>11</v>
      </c>
      <c r="R191" s="1772">
        <v>12</v>
      </c>
      <c r="S191" s="1772">
        <v>13</v>
      </c>
      <c r="T191" s="1772">
        <v>14</v>
      </c>
      <c r="U191" s="1772">
        <v>15</v>
      </c>
      <c r="V191" s="1772">
        <v>16</v>
      </c>
    </row>
    <row r="192" spans="3:22" ht="14.25" thickBot="1" x14ac:dyDescent="0.3">
      <c r="D192" s="4594"/>
      <c r="E192" s="1558" t="s">
        <v>3323</v>
      </c>
      <c r="F192" s="1773">
        <f>F191-F190</f>
        <v>-43.927999999999997</v>
      </c>
      <c r="G192" s="1773">
        <f t="shared" ref="G192:V192" si="57">G191-G190</f>
        <v>-42.945022422759564</v>
      </c>
      <c r="H192" s="1773">
        <f t="shared" si="57"/>
        <v>-41.962051441833012</v>
      </c>
      <c r="I192" s="1773">
        <f t="shared" si="57"/>
        <v>-40.979087059776482</v>
      </c>
      <c r="J192" s="1773">
        <f t="shared" si="57"/>
        <v>-39.99612927914707</v>
      </c>
      <c r="K192" s="1773">
        <f t="shared" si="57"/>
        <v>-39.013178102502877</v>
      </c>
      <c r="L192" s="1773">
        <f t="shared" si="57"/>
        <v>-38.030233532403003</v>
      </c>
      <c r="M192" s="1773">
        <f t="shared" si="57"/>
        <v>-37.047295571407531</v>
      </c>
      <c r="N192" s="1773">
        <f t="shared" si="57"/>
        <v>-36.064364222077536</v>
      </c>
      <c r="O192" s="1773">
        <f t="shared" si="57"/>
        <v>-35.081439486975071</v>
      </c>
      <c r="P192" s="1773">
        <f t="shared" si="57"/>
        <v>-34.098521368663235</v>
      </c>
      <c r="Q192" s="1773">
        <f t="shared" si="57"/>
        <v>-33.115609869706063</v>
      </c>
      <c r="R192" s="1773">
        <f t="shared" si="57"/>
        <v>-32.132704992668593</v>
      </c>
      <c r="S192" s="1773">
        <f t="shared" si="57"/>
        <v>-31.149806740116873</v>
      </c>
      <c r="T192" s="1773">
        <f t="shared" si="57"/>
        <v>-30.16691511461795</v>
      </c>
      <c r="U192" s="1773">
        <f t="shared" si="57"/>
        <v>-29.184030118739855</v>
      </c>
      <c r="V192" s="1773">
        <f t="shared" si="57"/>
        <v>-28.201151755051598</v>
      </c>
    </row>
    <row r="193" spans="4:22" ht="14.25" thickBot="1" x14ac:dyDescent="0.3">
      <c r="D193" s="4594" t="s">
        <v>1975</v>
      </c>
      <c r="E193" s="1558" t="s">
        <v>3325</v>
      </c>
      <c r="F193" s="1772">
        <f>'14 Dda Consolidda'!E39</f>
        <v>43.927999999999997</v>
      </c>
      <c r="G193" s="1772">
        <f>'14 Dda Consolidda'!F39</f>
        <v>43.945022422759564</v>
      </c>
      <c r="H193" s="1772">
        <f>'14 Dda Consolidda'!G39</f>
        <v>43.962051441833012</v>
      </c>
      <c r="I193" s="1772">
        <f>'14 Dda Consolidda'!H39</f>
        <v>43.979087059776482</v>
      </c>
      <c r="J193" s="1772">
        <f>'14 Dda Consolidda'!I39</f>
        <v>43.99612927914707</v>
      </c>
      <c r="K193" s="1772">
        <f>'14 Dda Consolidda'!J39</f>
        <v>44.013178102502877</v>
      </c>
      <c r="L193" s="1772">
        <f>'14 Dda Consolidda'!K39</f>
        <v>44.030233532403003</v>
      </c>
      <c r="M193" s="1772">
        <f>'14 Dda Consolidda'!L39</f>
        <v>44.047295571407531</v>
      </c>
      <c r="N193" s="1772">
        <f>'14 Dda Consolidda'!M39</f>
        <v>44.064364222077536</v>
      </c>
      <c r="O193" s="1772">
        <f>'14 Dda Consolidda'!N39</f>
        <v>44.081439486975071</v>
      </c>
      <c r="P193" s="1772">
        <f>'14 Dda Consolidda'!O39</f>
        <v>44.098521368663235</v>
      </c>
      <c r="Q193" s="1772">
        <f>'14 Dda Consolidda'!P39</f>
        <v>44.115609869706063</v>
      </c>
      <c r="R193" s="1772">
        <f>'14 Dda Consolidda'!Q39</f>
        <v>44.132704992668593</v>
      </c>
      <c r="S193" s="1772">
        <f>'14 Dda Consolidda'!R39</f>
        <v>44.149806740116873</v>
      </c>
      <c r="T193" s="1772">
        <f>'14 Dda Consolidda'!S39</f>
        <v>44.16691511461795</v>
      </c>
      <c r="U193" s="1772">
        <f>'14 Dda Consolidda'!T39</f>
        <v>44.184030118739855</v>
      </c>
      <c r="V193" s="1772">
        <f>'14 Dda Consolidda'!U39</f>
        <v>44.201151755051598</v>
      </c>
    </row>
    <row r="194" spans="4:22" ht="14.25" thickBot="1" x14ac:dyDescent="0.3">
      <c r="D194" s="4594"/>
      <c r="E194" s="1558" t="s">
        <v>3326</v>
      </c>
      <c r="F194" s="1772">
        <v>0</v>
      </c>
      <c r="G194" s="1772">
        <v>1</v>
      </c>
      <c r="H194" s="1772">
        <v>2</v>
      </c>
      <c r="I194" s="1772">
        <v>3</v>
      </c>
      <c r="J194" s="1772">
        <v>4</v>
      </c>
      <c r="K194" s="1772">
        <v>5</v>
      </c>
      <c r="L194" s="1772">
        <v>6</v>
      </c>
      <c r="M194" s="1772">
        <v>7</v>
      </c>
      <c r="N194" s="1772">
        <v>8</v>
      </c>
      <c r="O194" s="1772">
        <v>9</v>
      </c>
      <c r="P194" s="1772">
        <v>10</v>
      </c>
      <c r="Q194" s="1772">
        <v>11</v>
      </c>
      <c r="R194" s="1772">
        <v>12</v>
      </c>
      <c r="S194" s="1772">
        <v>13</v>
      </c>
      <c r="T194" s="1772">
        <v>14</v>
      </c>
      <c r="U194" s="1772">
        <v>15</v>
      </c>
      <c r="V194" s="1772">
        <v>16</v>
      </c>
    </row>
    <row r="195" spans="4:22" ht="14.25" thickBot="1" x14ac:dyDescent="0.3">
      <c r="D195" s="4594"/>
      <c r="E195" s="1558" t="s">
        <v>3323</v>
      </c>
      <c r="F195" s="1773">
        <f>F194-F193</f>
        <v>-43.927999999999997</v>
      </c>
      <c r="G195" s="1773">
        <f t="shared" ref="G195:V195" si="58">G194-G193</f>
        <v>-42.945022422759564</v>
      </c>
      <c r="H195" s="1773">
        <f t="shared" si="58"/>
        <v>-41.962051441833012</v>
      </c>
      <c r="I195" s="1773">
        <f t="shared" si="58"/>
        <v>-40.979087059776482</v>
      </c>
      <c r="J195" s="1773">
        <f t="shared" si="58"/>
        <v>-39.99612927914707</v>
      </c>
      <c r="K195" s="1773">
        <f t="shared" si="58"/>
        <v>-39.013178102502877</v>
      </c>
      <c r="L195" s="1773">
        <f t="shared" si="58"/>
        <v>-38.030233532403003</v>
      </c>
      <c r="M195" s="1773">
        <f t="shared" si="58"/>
        <v>-37.047295571407531</v>
      </c>
      <c r="N195" s="1773">
        <f t="shared" si="58"/>
        <v>-36.064364222077536</v>
      </c>
      <c r="O195" s="1773">
        <f t="shared" si="58"/>
        <v>-35.081439486975071</v>
      </c>
      <c r="P195" s="1773">
        <f t="shared" si="58"/>
        <v>-34.098521368663235</v>
      </c>
      <c r="Q195" s="1773">
        <f t="shared" si="58"/>
        <v>-33.115609869706063</v>
      </c>
      <c r="R195" s="1773">
        <f t="shared" si="58"/>
        <v>-32.132704992668593</v>
      </c>
      <c r="S195" s="1773">
        <f t="shared" si="58"/>
        <v>-31.149806740116873</v>
      </c>
      <c r="T195" s="1773">
        <f t="shared" si="58"/>
        <v>-30.16691511461795</v>
      </c>
      <c r="U195" s="1773">
        <f t="shared" si="58"/>
        <v>-29.184030118739855</v>
      </c>
      <c r="V195" s="1773">
        <f t="shared" si="58"/>
        <v>-28.201151755051598</v>
      </c>
    </row>
    <row r="196" spans="4:22" ht="14.25" thickBot="1" x14ac:dyDescent="0.3">
      <c r="D196" s="1763" t="s">
        <v>427</v>
      </c>
      <c r="E196" s="1763"/>
      <c r="F196" s="1763"/>
      <c r="G196" s="1763"/>
      <c r="H196" s="1763"/>
      <c r="I196" s="1763"/>
      <c r="J196" s="1763"/>
      <c r="K196" s="1763"/>
      <c r="L196" s="1763"/>
      <c r="M196" s="1763"/>
      <c r="N196" s="1763"/>
      <c r="O196" s="1763"/>
      <c r="P196" s="1763"/>
      <c r="Q196" s="1763"/>
      <c r="R196" s="1763"/>
      <c r="S196" s="1763"/>
      <c r="T196" s="1763"/>
      <c r="U196" s="1763"/>
      <c r="V196" s="1763"/>
    </row>
    <row r="197" spans="4:22" ht="14.25" thickBot="1" x14ac:dyDescent="0.3">
      <c r="D197" s="4594" t="s">
        <v>1777</v>
      </c>
      <c r="E197" s="1558" t="s">
        <v>3325</v>
      </c>
      <c r="F197" s="1772" t="e">
        <f>'14 Dda Consolidda'!E41</f>
        <v>#DIV/0!</v>
      </c>
      <c r="G197" s="1772" t="e">
        <f>'14 Dda Consolidda'!F41</f>
        <v>#DIV/0!</v>
      </c>
      <c r="H197" s="1772" t="e">
        <f>'14 Dda Consolidda'!G41</f>
        <v>#DIV/0!</v>
      </c>
      <c r="I197" s="1772" t="e">
        <f>'14 Dda Consolidda'!H41</f>
        <v>#DIV/0!</v>
      </c>
      <c r="J197" s="1772" t="e">
        <f>'14 Dda Consolidda'!I41</f>
        <v>#DIV/0!</v>
      </c>
      <c r="K197" s="1772" t="e">
        <f>'14 Dda Consolidda'!J41</f>
        <v>#DIV/0!</v>
      </c>
      <c r="L197" s="1772" t="e">
        <f>'14 Dda Consolidda'!K41</f>
        <v>#DIV/0!</v>
      </c>
      <c r="M197" s="1772" t="e">
        <f>'14 Dda Consolidda'!L41</f>
        <v>#DIV/0!</v>
      </c>
      <c r="N197" s="1772" t="e">
        <f>'14 Dda Consolidda'!M41</f>
        <v>#DIV/0!</v>
      </c>
      <c r="O197" s="1772" t="e">
        <f>'14 Dda Consolidda'!N41</f>
        <v>#DIV/0!</v>
      </c>
      <c r="P197" s="1772" t="e">
        <f>'14 Dda Consolidda'!O41</f>
        <v>#DIV/0!</v>
      </c>
      <c r="Q197" s="1772" t="e">
        <f>'14 Dda Consolidda'!P41</f>
        <v>#DIV/0!</v>
      </c>
      <c r="R197" s="1772" t="e">
        <f>'14 Dda Consolidda'!Q41</f>
        <v>#DIV/0!</v>
      </c>
      <c r="S197" s="1772" t="e">
        <f>'14 Dda Consolidda'!R41</f>
        <v>#DIV/0!</v>
      </c>
      <c r="T197" s="1772" t="e">
        <f>'14 Dda Consolidda'!S41</f>
        <v>#DIV/0!</v>
      </c>
      <c r="U197" s="1772" t="e">
        <f>'14 Dda Consolidda'!T41</f>
        <v>#DIV/0!</v>
      </c>
      <c r="V197" s="1772" t="e">
        <f>'14 Dda Consolidda'!U41</f>
        <v>#DIV/0!</v>
      </c>
    </row>
    <row r="198" spans="4:22" ht="14.25" thickBot="1" x14ac:dyDescent="0.3">
      <c r="D198" s="4594"/>
      <c r="E198" s="1558" t="s">
        <v>3326</v>
      </c>
      <c r="F198" s="1772">
        <v>0</v>
      </c>
      <c r="G198" s="1772">
        <v>1</v>
      </c>
      <c r="H198" s="1772">
        <v>2</v>
      </c>
      <c r="I198" s="1772">
        <v>3</v>
      </c>
      <c r="J198" s="1772">
        <v>4</v>
      </c>
      <c r="K198" s="1772">
        <v>5</v>
      </c>
      <c r="L198" s="1772">
        <v>6</v>
      </c>
      <c r="M198" s="1772">
        <v>7</v>
      </c>
      <c r="N198" s="1772">
        <v>8</v>
      </c>
      <c r="O198" s="1772">
        <v>9</v>
      </c>
      <c r="P198" s="1772">
        <v>10</v>
      </c>
      <c r="Q198" s="1772">
        <v>11</v>
      </c>
      <c r="R198" s="1772">
        <v>12</v>
      </c>
      <c r="S198" s="1772">
        <v>13</v>
      </c>
      <c r="T198" s="1772">
        <v>14</v>
      </c>
      <c r="U198" s="1772">
        <v>15</v>
      </c>
      <c r="V198" s="1772">
        <v>16</v>
      </c>
    </row>
    <row r="199" spans="4:22" ht="14.25" thickBot="1" x14ac:dyDescent="0.3">
      <c r="D199" s="4594"/>
      <c r="E199" s="1558" t="s">
        <v>3323</v>
      </c>
      <c r="F199" s="1773" t="e">
        <f>F198-F197</f>
        <v>#DIV/0!</v>
      </c>
      <c r="G199" s="1773" t="e">
        <f t="shared" ref="G199:V199" si="59">G198-G197</f>
        <v>#DIV/0!</v>
      </c>
      <c r="H199" s="1773" t="e">
        <f t="shared" si="59"/>
        <v>#DIV/0!</v>
      </c>
      <c r="I199" s="1773" t="e">
        <f t="shared" si="59"/>
        <v>#DIV/0!</v>
      </c>
      <c r="J199" s="1773" t="e">
        <f t="shared" si="59"/>
        <v>#DIV/0!</v>
      </c>
      <c r="K199" s="1773" t="e">
        <f t="shared" si="59"/>
        <v>#DIV/0!</v>
      </c>
      <c r="L199" s="1773" t="e">
        <f t="shared" si="59"/>
        <v>#DIV/0!</v>
      </c>
      <c r="M199" s="1773" t="e">
        <f t="shared" si="59"/>
        <v>#DIV/0!</v>
      </c>
      <c r="N199" s="1773" t="e">
        <f t="shared" si="59"/>
        <v>#DIV/0!</v>
      </c>
      <c r="O199" s="1773" t="e">
        <f t="shared" si="59"/>
        <v>#DIV/0!</v>
      </c>
      <c r="P199" s="1773" t="e">
        <f t="shared" si="59"/>
        <v>#DIV/0!</v>
      </c>
      <c r="Q199" s="1773" t="e">
        <f t="shared" si="59"/>
        <v>#DIV/0!</v>
      </c>
      <c r="R199" s="1773" t="e">
        <f t="shared" si="59"/>
        <v>#DIV/0!</v>
      </c>
      <c r="S199" s="1773" t="e">
        <f t="shared" si="59"/>
        <v>#DIV/0!</v>
      </c>
      <c r="T199" s="1773" t="e">
        <f t="shared" si="59"/>
        <v>#DIV/0!</v>
      </c>
      <c r="U199" s="1773" t="e">
        <f t="shared" si="59"/>
        <v>#DIV/0!</v>
      </c>
      <c r="V199" s="1773" t="e">
        <f t="shared" si="59"/>
        <v>#DIV/0!</v>
      </c>
    </row>
    <row r="200" spans="4:22" ht="14.25" thickBot="1" x14ac:dyDescent="0.3">
      <c r="D200" s="4594" t="s">
        <v>1778</v>
      </c>
      <c r="E200" s="1558" t="s">
        <v>3325</v>
      </c>
      <c r="F200" s="1772" t="e">
        <f>'14 Dda Consolidda'!E42</f>
        <v>#DIV/0!</v>
      </c>
      <c r="G200" s="1772" t="e">
        <f>'14 Dda Consolidda'!F42</f>
        <v>#DIV/0!</v>
      </c>
      <c r="H200" s="1772" t="e">
        <f>'14 Dda Consolidda'!G42</f>
        <v>#DIV/0!</v>
      </c>
      <c r="I200" s="1772" t="e">
        <f>'14 Dda Consolidda'!H42</f>
        <v>#DIV/0!</v>
      </c>
      <c r="J200" s="1772" t="e">
        <f>'14 Dda Consolidda'!I42</f>
        <v>#DIV/0!</v>
      </c>
      <c r="K200" s="1772" t="e">
        <f>'14 Dda Consolidda'!J42</f>
        <v>#DIV/0!</v>
      </c>
      <c r="L200" s="1772" t="e">
        <f>'14 Dda Consolidda'!K42</f>
        <v>#DIV/0!</v>
      </c>
      <c r="M200" s="1772" t="e">
        <f>'14 Dda Consolidda'!L42</f>
        <v>#DIV/0!</v>
      </c>
      <c r="N200" s="1772" t="e">
        <f>'14 Dda Consolidda'!M42</f>
        <v>#DIV/0!</v>
      </c>
      <c r="O200" s="1772" t="e">
        <f>'14 Dda Consolidda'!N42</f>
        <v>#DIV/0!</v>
      </c>
      <c r="P200" s="1772" t="e">
        <f>'14 Dda Consolidda'!O42</f>
        <v>#DIV/0!</v>
      </c>
      <c r="Q200" s="1772" t="e">
        <f>'14 Dda Consolidda'!P42</f>
        <v>#DIV/0!</v>
      </c>
      <c r="R200" s="1772" t="e">
        <f>'14 Dda Consolidda'!Q42</f>
        <v>#DIV/0!</v>
      </c>
      <c r="S200" s="1772" t="e">
        <f>'14 Dda Consolidda'!R42</f>
        <v>#DIV/0!</v>
      </c>
      <c r="T200" s="1772" t="e">
        <f>'14 Dda Consolidda'!S42</f>
        <v>#DIV/0!</v>
      </c>
      <c r="U200" s="1772" t="e">
        <f>'14 Dda Consolidda'!T42</f>
        <v>#DIV/0!</v>
      </c>
      <c r="V200" s="1772" t="e">
        <f>'14 Dda Consolidda'!U42</f>
        <v>#DIV/0!</v>
      </c>
    </row>
    <row r="201" spans="4:22" ht="14.25" thickBot="1" x14ac:dyDescent="0.3">
      <c r="D201" s="4594"/>
      <c r="E201" s="1558" t="s">
        <v>3326</v>
      </c>
      <c r="F201" s="1772">
        <v>0</v>
      </c>
      <c r="G201" s="1772">
        <v>1</v>
      </c>
      <c r="H201" s="1772">
        <v>2</v>
      </c>
      <c r="I201" s="1772">
        <v>3</v>
      </c>
      <c r="J201" s="1772">
        <v>4</v>
      </c>
      <c r="K201" s="1772">
        <v>5</v>
      </c>
      <c r="L201" s="1772">
        <v>6</v>
      </c>
      <c r="M201" s="1772">
        <v>7</v>
      </c>
      <c r="N201" s="1772">
        <v>8</v>
      </c>
      <c r="O201" s="1772">
        <v>9</v>
      </c>
      <c r="P201" s="1772">
        <v>10</v>
      </c>
      <c r="Q201" s="1772">
        <v>11</v>
      </c>
      <c r="R201" s="1772">
        <v>12</v>
      </c>
      <c r="S201" s="1772">
        <v>13</v>
      </c>
      <c r="T201" s="1772">
        <v>14</v>
      </c>
      <c r="U201" s="1772">
        <v>15</v>
      </c>
      <c r="V201" s="1772">
        <v>16</v>
      </c>
    </row>
    <row r="202" spans="4:22" ht="14.25" thickBot="1" x14ac:dyDescent="0.3">
      <c r="D202" s="4594"/>
      <c r="E202" s="1558" t="s">
        <v>3323</v>
      </c>
      <c r="F202" s="1773" t="e">
        <f>F201-F200</f>
        <v>#DIV/0!</v>
      </c>
      <c r="G202" s="1773" t="e">
        <f t="shared" ref="G202:V202" si="60">G201-G200</f>
        <v>#DIV/0!</v>
      </c>
      <c r="H202" s="1773" t="e">
        <f t="shared" si="60"/>
        <v>#DIV/0!</v>
      </c>
      <c r="I202" s="1773" t="e">
        <f t="shared" si="60"/>
        <v>#DIV/0!</v>
      </c>
      <c r="J202" s="1773" t="e">
        <f t="shared" si="60"/>
        <v>#DIV/0!</v>
      </c>
      <c r="K202" s="1773" t="e">
        <f t="shared" si="60"/>
        <v>#DIV/0!</v>
      </c>
      <c r="L202" s="1773" t="e">
        <f t="shared" si="60"/>
        <v>#DIV/0!</v>
      </c>
      <c r="M202" s="1773" t="e">
        <f t="shared" si="60"/>
        <v>#DIV/0!</v>
      </c>
      <c r="N202" s="1773" t="e">
        <f t="shared" si="60"/>
        <v>#DIV/0!</v>
      </c>
      <c r="O202" s="1773" t="e">
        <f t="shared" si="60"/>
        <v>#DIV/0!</v>
      </c>
      <c r="P202" s="1773" t="e">
        <f t="shared" si="60"/>
        <v>#DIV/0!</v>
      </c>
      <c r="Q202" s="1773" t="e">
        <f t="shared" si="60"/>
        <v>#DIV/0!</v>
      </c>
      <c r="R202" s="1773" t="e">
        <f t="shared" si="60"/>
        <v>#DIV/0!</v>
      </c>
      <c r="S202" s="1773" t="e">
        <f t="shared" si="60"/>
        <v>#DIV/0!</v>
      </c>
      <c r="T202" s="1773" t="e">
        <f t="shared" si="60"/>
        <v>#DIV/0!</v>
      </c>
      <c r="U202" s="1773" t="e">
        <f t="shared" si="60"/>
        <v>#DIV/0!</v>
      </c>
      <c r="V202" s="1773" t="e">
        <f t="shared" si="60"/>
        <v>#DIV/0!</v>
      </c>
    </row>
    <row r="203" spans="4:22" ht="14.25" thickBot="1" x14ac:dyDescent="0.3">
      <c r="D203" s="4594" t="s">
        <v>1779</v>
      </c>
      <c r="E203" s="1558" t="s">
        <v>3325</v>
      </c>
      <c r="F203" s="1772" t="e">
        <f>'14 Dda Consolidda'!E43</f>
        <v>#DIV/0!</v>
      </c>
      <c r="G203" s="1772" t="e">
        <f>'14 Dda Consolidda'!F43</f>
        <v>#DIV/0!</v>
      </c>
      <c r="H203" s="1772" t="e">
        <f>'14 Dda Consolidda'!G43</f>
        <v>#DIV/0!</v>
      </c>
      <c r="I203" s="1772" t="e">
        <f>'14 Dda Consolidda'!H43</f>
        <v>#DIV/0!</v>
      </c>
      <c r="J203" s="1772" t="e">
        <f>'14 Dda Consolidda'!I43</f>
        <v>#DIV/0!</v>
      </c>
      <c r="K203" s="1772" t="e">
        <f>'14 Dda Consolidda'!J43</f>
        <v>#DIV/0!</v>
      </c>
      <c r="L203" s="1772" t="e">
        <f>'14 Dda Consolidda'!K43</f>
        <v>#DIV/0!</v>
      </c>
      <c r="M203" s="1772" t="e">
        <f>'14 Dda Consolidda'!L43</f>
        <v>#DIV/0!</v>
      </c>
      <c r="N203" s="1772" t="e">
        <f>'14 Dda Consolidda'!M43</f>
        <v>#DIV/0!</v>
      </c>
      <c r="O203" s="1772" t="e">
        <f>'14 Dda Consolidda'!N43</f>
        <v>#DIV/0!</v>
      </c>
      <c r="P203" s="1772" t="e">
        <f>'14 Dda Consolidda'!O43</f>
        <v>#DIV/0!</v>
      </c>
      <c r="Q203" s="1772" t="e">
        <f>'14 Dda Consolidda'!P43</f>
        <v>#DIV/0!</v>
      </c>
      <c r="R203" s="1772" t="e">
        <f>'14 Dda Consolidda'!Q43</f>
        <v>#DIV/0!</v>
      </c>
      <c r="S203" s="1772" t="e">
        <f>'14 Dda Consolidda'!R43</f>
        <v>#DIV/0!</v>
      </c>
      <c r="T203" s="1772" t="e">
        <f>'14 Dda Consolidda'!S43</f>
        <v>#DIV/0!</v>
      </c>
      <c r="U203" s="1772" t="e">
        <f>'14 Dda Consolidda'!T43</f>
        <v>#DIV/0!</v>
      </c>
      <c r="V203" s="1772" t="e">
        <f>'14 Dda Consolidda'!U43</f>
        <v>#DIV/0!</v>
      </c>
    </row>
    <row r="204" spans="4:22" ht="14.25" thickBot="1" x14ac:dyDescent="0.3">
      <c r="D204" s="4594"/>
      <c r="E204" s="1558" t="s">
        <v>3326</v>
      </c>
      <c r="F204" s="1772">
        <v>0</v>
      </c>
      <c r="G204" s="1772">
        <v>1</v>
      </c>
      <c r="H204" s="1772">
        <v>2</v>
      </c>
      <c r="I204" s="1772">
        <v>3</v>
      </c>
      <c r="J204" s="1772">
        <v>4</v>
      </c>
      <c r="K204" s="1772">
        <v>5</v>
      </c>
      <c r="L204" s="1772">
        <v>6</v>
      </c>
      <c r="M204" s="1772">
        <v>7</v>
      </c>
      <c r="N204" s="1772">
        <v>8</v>
      </c>
      <c r="O204" s="1772">
        <v>9</v>
      </c>
      <c r="P204" s="1772">
        <v>10</v>
      </c>
      <c r="Q204" s="1772">
        <v>11</v>
      </c>
      <c r="R204" s="1772">
        <v>12</v>
      </c>
      <c r="S204" s="1772">
        <v>13</v>
      </c>
      <c r="T204" s="1772">
        <v>14</v>
      </c>
      <c r="U204" s="1772">
        <v>15</v>
      </c>
      <c r="V204" s="1772">
        <v>16</v>
      </c>
    </row>
    <row r="205" spans="4:22" ht="14.25" thickBot="1" x14ac:dyDescent="0.3">
      <c r="D205" s="4594"/>
      <c r="E205" s="1558" t="s">
        <v>3323</v>
      </c>
      <c r="F205" s="1773" t="e">
        <f>F204-F203</f>
        <v>#DIV/0!</v>
      </c>
      <c r="G205" s="1773" t="e">
        <f t="shared" ref="G205:V205" si="61">G204-G203</f>
        <v>#DIV/0!</v>
      </c>
      <c r="H205" s="1773" t="e">
        <f t="shared" si="61"/>
        <v>#DIV/0!</v>
      </c>
      <c r="I205" s="1773" t="e">
        <f t="shared" si="61"/>
        <v>#DIV/0!</v>
      </c>
      <c r="J205" s="1773" t="e">
        <f t="shared" si="61"/>
        <v>#DIV/0!</v>
      </c>
      <c r="K205" s="1773" t="e">
        <f t="shared" si="61"/>
        <v>#DIV/0!</v>
      </c>
      <c r="L205" s="1773" t="e">
        <f t="shared" si="61"/>
        <v>#DIV/0!</v>
      </c>
      <c r="M205" s="1773" t="e">
        <f t="shared" si="61"/>
        <v>#DIV/0!</v>
      </c>
      <c r="N205" s="1773" t="e">
        <f t="shared" si="61"/>
        <v>#DIV/0!</v>
      </c>
      <c r="O205" s="1773" t="e">
        <f t="shared" si="61"/>
        <v>#DIV/0!</v>
      </c>
      <c r="P205" s="1773" t="e">
        <f t="shared" si="61"/>
        <v>#DIV/0!</v>
      </c>
      <c r="Q205" s="1773" t="e">
        <f t="shared" si="61"/>
        <v>#DIV/0!</v>
      </c>
      <c r="R205" s="1773" t="e">
        <f t="shared" si="61"/>
        <v>#DIV/0!</v>
      </c>
      <c r="S205" s="1773" t="e">
        <f t="shared" si="61"/>
        <v>#DIV/0!</v>
      </c>
      <c r="T205" s="1773" t="e">
        <f t="shared" si="61"/>
        <v>#DIV/0!</v>
      </c>
      <c r="U205" s="1773" t="e">
        <f t="shared" si="61"/>
        <v>#DIV/0!</v>
      </c>
      <c r="V205" s="1773" t="e">
        <f t="shared" si="61"/>
        <v>#DIV/0!</v>
      </c>
    </row>
    <row r="206" spans="4:22" ht="14.25" thickBot="1" x14ac:dyDescent="0.3">
      <c r="D206" s="4594" t="s">
        <v>1976</v>
      </c>
      <c r="E206" s="1558" t="s">
        <v>3325</v>
      </c>
      <c r="F206" s="1772">
        <f>'14 Dda Consolidda'!E44</f>
        <v>43.927999999999997</v>
      </c>
      <c r="G206" s="1772">
        <f>'14 Dda Consolidda'!F44</f>
        <v>43.945022422759564</v>
      </c>
      <c r="H206" s="1772">
        <f>'14 Dda Consolidda'!G44</f>
        <v>43.962051441833012</v>
      </c>
      <c r="I206" s="1772">
        <f>'14 Dda Consolidda'!H44</f>
        <v>43.979087059776482</v>
      </c>
      <c r="J206" s="1772">
        <f>'14 Dda Consolidda'!I44</f>
        <v>43.99612927914707</v>
      </c>
      <c r="K206" s="1772">
        <f>'14 Dda Consolidda'!J44</f>
        <v>44.013178102502877</v>
      </c>
      <c r="L206" s="1772">
        <f>'14 Dda Consolidda'!K44</f>
        <v>44.030233532403003</v>
      </c>
      <c r="M206" s="1772">
        <f>'14 Dda Consolidda'!L44</f>
        <v>44.047295571407531</v>
      </c>
      <c r="N206" s="1772">
        <f>'14 Dda Consolidda'!M44</f>
        <v>44.064364222077536</v>
      </c>
      <c r="O206" s="1772">
        <f>'14 Dda Consolidda'!N44</f>
        <v>44.081439486975071</v>
      </c>
      <c r="P206" s="1772">
        <f>'14 Dda Consolidda'!O44</f>
        <v>44.098521368663235</v>
      </c>
      <c r="Q206" s="1772">
        <f>'14 Dda Consolidda'!P44</f>
        <v>44.115609869706063</v>
      </c>
      <c r="R206" s="1772">
        <f>'14 Dda Consolidda'!Q44</f>
        <v>44.132704992668593</v>
      </c>
      <c r="S206" s="1772">
        <f>'14 Dda Consolidda'!R44</f>
        <v>44.149806740116873</v>
      </c>
      <c r="T206" s="1772">
        <f>'14 Dda Consolidda'!S44</f>
        <v>44.16691511461795</v>
      </c>
      <c r="U206" s="1772">
        <f>'14 Dda Consolidda'!T44</f>
        <v>44.184030118739855</v>
      </c>
      <c r="V206" s="1772">
        <f>'14 Dda Consolidda'!U44</f>
        <v>44.201151755051598</v>
      </c>
    </row>
    <row r="207" spans="4:22" ht="14.25" thickBot="1" x14ac:dyDescent="0.3">
      <c r="D207" s="4594"/>
      <c r="E207" s="1558" t="s">
        <v>3326</v>
      </c>
      <c r="F207" s="1772">
        <v>0</v>
      </c>
      <c r="G207" s="1772">
        <v>1</v>
      </c>
      <c r="H207" s="1772">
        <v>2</v>
      </c>
      <c r="I207" s="1772">
        <v>3</v>
      </c>
      <c r="J207" s="1772">
        <v>4</v>
      </c>
      <c r="K207" s="1772">
        <v>5</v>
      </c>
      <c r="L207" s="1772">
        <v>6</v>
      </c>
      <c r="M207" s="1772">
        <v>7</v>
      </c>
      <c r="N207" s="1772">
        <v>8</v>
      </c>
      <c r="O207" s="1772">
        <v>9</v>
      </c>
      <c r="P207" s="1772">
        <v>10</v>
      </c>
      <c r="Q207" s="1772">
        <v>11</v>
      </c>
      <c r="R207" s="1772">
        <v>12</v>
      </c>
      <c r="S207" s="1772">
        <v>13</v>
      </c>
      <c r="T207" s="1772">
        <v>14</v>
      </c>
      <c r="U207" s="1772">
        <v>15</v>
      </c>
      <c r="V207" s="1772">
        <v>16</v>
      </c>
    </row>
    <row r="208" spans="4:22" ht="14.25" thickBot="1" x14ac:dyDescent="0.3">
      <c r="D208" s="4594"/>
      <c r="E208" s="1558" t="s">
        <v>3323</v>
      </c>
      <c r="F208" s="1773">
        <f>F207-F206</f>
        <v>-43.927999999999997</v>
      </c>
      <c r="G208" s="1773">
        <f t="shared" ref="G208:V208" si="62">G207-G206</f>
        <v>-42.945022422759564</v>
      </c>
      <c r="H208" s="1773">
        <f t="shared" si="62"/>
        <v>-41.962051441833012</v>
      </c>
      <c r="I208" s="1773">
        <f t="shared" si="62"/>
        <v>-40.979087059776482</v>
      </c>
      <c r="J208" s="1773">
        <f t="shared" si="62"/>
        <v>-39.99612927914707</v>
      </c>
      <c r="K208" s="1773">
        <f t="shared" si="62"/>
        <v>-39.013178102502877</v>
      </c>
      <c r="L208" s="1773">
        <f t="shared" si="62"/>
        <v>-38.030233532403003</v>
      </c>
      <c r="M208" s="1773">
        <f t="shared" si="62"/>
        <v>-37.047295571407531</v>
      </c>
      <c r="N208" s="1773">
        <f t="shared" si="62"/>
        <v>-36.064364222077536</v>
      </c>
      <c r="O208" s="1773">
        <f t="shared" si="62"/>
        <v>-35.081439486975071</v>
      </c>
      <c r="P208" s="1773">
        <f t="shared" si="62"/>
        <v>-34.098521368663235</v>
      </c>
      <c r="Q208" s="1773">
        <f t="shared" si="62"/>
        <v>-33.115609869706063</v>
      </c>
      <c r="R208" s="1773">
        <f t="shared" si="62"/>
        <v>-32.132704992668593</v>
      </c>
      <c r="S208" s="1773">
        <f t="shared" si="62"/>
        <v>-31.149806740116873</v>
      </c>
      <c r="T208" s="1773">
        <f t="shared" si="62"/>
        <v>-30.16691511461795</v>
      </c>
      <c r="U208" s="1773">
        <f t="shared" si="62"/>
        <v>-29.184030118739855</v>
      </c>
      <c r="V208" s="1773">
        <f t="shared" si="62"/>
        <v>-28.201151755051598</v>
      </c>
    </row>
    <row r="209" spans="4:22" ht="14.25" thickBot="1" x14ac:dyDescent="0.3">
      <c r="D209" s="4594" t="s">
        <v>1977</v>
      </c>
      <c r="E209" s="1558" t="s">
        <v>3325</v>
      </c>
      <c r="F209" s="1772" t="e">
        <f>'14 Dda Consolidda'!E45</f>
        <v>#DIV/0!</v>
      </c>
      <c r="G209" s="1772" t="e">
        <f>'14 Dda Consolidda'!F45</f>
        <v>#DIV/0!</v>
      </c>
      <c r="H209" s="1772" t="e">
        <f>'14 Dda Consolidda'!G45</f>
        <v>#DIV/0!</v>
      </c>
      <c r="I209" s="1772" t="e">
        <f>'14 Dda Consolidda'!H45</f>
        <v>#DIV/0!</v>
      </c>
      <c r="J209" s="1772" t="e">
        <f>'14 Dda Consolidda'!I45</f>
        <v>#DIV/0!</v>
      </c>
      <c r="K209" s="1772" t="e">
        <f>'14 Dda Consolidda'!J45</f>
        <v>#DIV/0!</v>
      </c>
      <c r="L209" s="1772" t="e">
        <f>'14 Dda Consolidda'!K45</f>
        <v>#DIV/0!</v>
      </c>
      <c r="M209" s="1772" t="e">
        <f>'14 Dda Consolidda'!L45</f>
        <v>#DIV/0!</v>
      </c>
      <c r="N209" s="1772" t="e">
        <f>'14 Dda Consolidda'!M45</f>
        <v>#DIV/0!</v>
      </c>
      <c r="O209" s="1772" t="e">
        <f>'14 Dda Consolidda'!N45</f>
        <v>#DIV/0!</v>
      </c>
      <c r="P209" s="1772" t="e">
        <f>'14 Dda Consolidda'!O45</f>
        <v>#DIV/0!</v>
      </c>
      <c r="Q209" s="1772" t="e">
        <f>'14 Dda Consolidda'!P45</f>
        <v>#DIV/0!</v>
      </c>
      <c r="R209" s="1772" t="e">
        <f>'14 Dda Consolidda'!Q45</f>
        <v>#DIV/0!</v>
      </c>
      <c r="S209" s="1772" t="e">
        <f>'14 Dda Consolidda'!R45</f>
        <v>#DIV/0!</v>
      </c>
      <c r="T209" s="1772" t="e">
        <f>'14 Dda Consolidda'!S45</f>
        <v>#DIV/0!</v>
      </c>
      <c r="U209" s="1772" t="e">
        <f>'14 Dda Consolidda'!T45</f>
        <v>#DIV/0!</v>
      </c>
      <c r="V209" s="1772" t="e">
        <f>'14 Dda Consolidda'!U45</f>
        <v>#DIV/0!</v>
      </c>
    </row>
    <row r="210" spans="4:22" ht="14.25" thickBot="1" x14ac:dyDescent="0.3">
      <c r="D210" s="4594"/>
      <c r="E210" s="1558" t="s">
        <v>3326</v>
      </c>
      <c r="F210" s="1772">
        <v>0</v>
      </c>
      <c r="G210" s="1772">
        <v>1</v>
      </c>
      <c r="H210" s="1772">
        <v>2</v>
      </c>
      <c r="I210" s="1772">
        <v>3</v>
      </c>
      <c r="J210" s="1772">
        <v>4</v>
      </c>
      <c r="K210" s="1772">
        <v>5</v>
      </c>
      <c r="L210" s="1772">
        <v>6</v>
      </c>
      <c r="M210" s="1772">
        <v>7</v>
      </c>
      <c r="N210" s="1772">
        <v>8</v>
      </c>
      <c r="O210" s="1772">
        <v>9</v>
      </c>
      <c r="P210" s="1772">
        <v>10</v>
      </c>
      <c r="Q210" s="1772">
        <v>11</v>
      </c>
      <c r="R210" s="1772">
        <v>12</v>
      </c>
      <c r="S210" s="1772">
        <v>13</v>
      </c>
      <c r="T210" s="1772">
        <v>14</v>
      </c>
      <c r="U210" s="1772">
        <v>15</v>
      </c>
      <c r="V210" s="1772">
        <v>16</v>
      </c>
    </row>
    <row r="211" spans="4:22" ht="14.25" thickBot="1" x14ac:dyDescent="0.3">
      <c r="D211" s="4594"/>
      <c r="E211" s="1558" t="s">
        <v>3323</v>
      </c>
      <c r="F211" s="1773" t="e">
        <f>F210-F209</f>
        <v>#DIV/0!</v>
      </c>
      <c r="G211" s="1773" t="e">
        <f t="shared" ref="G211:V211" si="63">G210-G209</f>
        <v>#DIV/0!</v>
      </c>
      <c r="H211" s="1773" t="e">
        <f t="shared" si="63"/>
        <v>#DIV/0!</v>
      </c>
      <c r="I211" s="1773" t="e">
        <f t="shared" si="63"/>
        <v>#DIV/0!</v>
      </c>
      <c r="J211" s="1773" t="e">
        <f t="shared" si="63"/>
        <v>#DIV/0!</v>
      </c>
      <c r="K211" s="1773" t="e">
        <f t="shared" si="63"/>
        <v>#DIV/0!</v>
      </c>
      <c r="L211" s="1773" t="e">
        <f t="shared" si="63"/>
        <v>#DIV/0!</v>
      </c>
      <c r="M211" s="1773" t="e">
        <f t="shared" si="63"/>
        <v>#DIV/0!</v>
      </c>
      <c r="N211" s="1773" t="e">
        <f t="shared" si="63"/>
        <v>#DIV/0!</v>
      </c>
      <c r="O211" s="1773" t="e">
        <f t="shared" si="63"/>
        <v>#DIV/0!</v>
      </c>
      <c r="P211" s="1773" t="e">
        <f t="shared" si="63"/>
        <v>#DIV/0!</v>
      </c>
      <c r="Q211" s="1773" t="e">
        <f t="shared" si="63"/>
        <v>#DIV/0!</v>
      </c>
      <c r="R211" s="1773" t="e">
        <f t="shared" si="63"/>
        <v>#DIV/0!</v>
      </c>
      <c r="S211" s="1773" t="e">
        <f t="shared" si="63"/>
        <v>#DIV/0!</v>
      </c>
      <c r="T211" s="1773" t="e">
        <f t="shared" si="63"/>
        <v>#DIV/0!</v>
      </c>
      <c r="U211" s="1773" t="e">
        <f t="shared" si="63"/>
        <v>#DIV/0!</v>
      </c>
      <c r="V211" s="1773" t="e">
        <f t="shared" si="63"/>
        <v>#DIV/0!</v>
      </c>
    </row>
    <row r="212" spans="4:22" ht="14.25" thickBot="1" x14ac:dyDescent="0.3">
      <c r="D212" s="1767" t="s">
        <v>1224</v>
      </c>
      <c r="E212" s="1767"/>
      <c r="F212" s="1767"/>
      <c r="G212" s="1767"/>
      <c r="H212" s="1767"/>
      <c r="I212" s="1767"/>
      <c r="J212" s="1767"/>
      <c r="K212" s="1767"/>
      <c r="L212" s="1767"/>
      <c r="M212" s="1767"/>
      <c r="N212" s="1767"/>
      <c r="O212" s="1767"/>
      <c r="P212" s="1767"/>
      <c r="Q212" s="1767"/>
      <c r="R212" s="1767"/>
      <c r="S212" s="1767"/>
      <c r="T212" s="1767"/>
      <c r="U212" s="1767"/>
      <c r="V212" s="1767"/>
    </row>
    <row r="213" spans="4:22" ht="14.25" thickBot="1" x14ac:dyDescent="0.3">
      <c r="D213" s="4594" t="s">
        <v>1237</v>
      </c>
      <c r="E213" s="1558" t="s">
        <v>3325</v>
      </c>
      <c r="F213" s="1772" t="e">
        <f>'14 Dda Consolidda'!E47</f>
        <v>#DIV/0!</v>
      </c>
      <c r="G213" s="1772" t="e">
        <f>'14 Dda Consolidda'!F47</f>
        <v>#DIV/0!</v>
      </c>
      <c r="H213" s="1772" t="e">
        <f>'14 Dda Consolidda'!G47</f>
        <v>#DIV/0!</v>
      </c>
      <c r="I213" s="1772" t="e">
        <f>'14 Dda Consolidda'!H47</f>
        <v>#DIV/0!</v>
      </c>
      <c r="J213" s="1772" t="e">
        <f>'14 Dda Consolidda'!I47</f>
        <v>#DIV/0!</v>
      </c>
      <c r="K213" s="1772" t="e">
        <f>'14 Dda Consolidda'!J47</f>
        <v>#DIV/0!</v>
      </c>
      <c r="L213" s="1772" t="e">
        <f>'14 Dda Consolidda'!K47</f>
        <v>#DIV/0!</v>
      </c>
      <c r="M213" s="1772" t="e">
        <f>'14 Dda Consolidda'!L47</f>
        <v>#DIV/0!</v>
      </c>
      <c r="N213" s="1772" t="e">
        <f>'14 Dda Consolidda'!M47</f>
        <v>#DIV/0!</v>
      </c>
      <c r="O213" s="1772" t="e">
        <f>'14 Dda Consolidda'!N47</f>
        <v>#DIV/0!</v>
      </c>
      <c r="P213" s="1772" t="e">
        <f>'14 Dda Consolidda'!O47</f>
        <v>#DIV/0!</v>
      </c>
      <c r="Q213" s="1772" t="e">
        <f>'14 Dda Consolidda'!P47</f>
        <v>#DIV/0!</v>
      </c>
      <c r="R213" s="1772" t="e">
        <f>'14 Dda Consolidda'!Q47</f>
        <v>#DIV/0!</v>
      </c>
      <c r="S213" s="1772" t="e">
        <f>'14 Dda Consolidda'!R47</f>
        <v>#DIV/0!</v>
      </c>
      <c r="T213" s="1772" t="e">
        <f>'14 Dda Consolidda'!S47</f>
        <v>#DIV/0!</v>
      </c>
      <c r="U213" s="1772" t="e">
        <f>'14 Dda Consolidda'!T47</f>
        <v>#DIV/0!</v>
      </c>
      <c r="V213" s="1772" t="e">
        <f>'14 Dda Consolidda'!U47</f>
        <v>#DIV/0!</v>
      </c>
    </row>
    <row r="214" spans="4:22" ht="14.25" thickBot="1" x14ac:dyDescent="0.3">
      <c r="D214" s="4594"/>
      <c r="E214" s="1558" t="s">
        <v>3326</v>
      </c>
      <c r="F214" s="1772">
        <v>0</v>
      </c>
      <c r="G214" s="1772">
        <v>1</v>
      </c>
      <c r="H214" s="1772">
        <v>2</v>
      </c>
      <c r="I214" s="1772">
        <v>3</v>
      </c>
      <c r="J214" s="1772">
        <v>4</v>
      </c>
      <c r="K214" s="1772">
        <v>5</v>
      </c>
      <c r="L214" s="1772">
        <v>6</v>
      </c>
      <c r="M214" s="1772">
        <v>7</v>
      </c>
      <c r="N214" s="1772">
        <v>8</v>
      </c>
      <c r="O214" s="1772">
        <v>9</v>
      </c>
      <c r="P214" s="1772">
        <v>10</v>
      </c>
      <c r="Q214" s="1772">
        <v>11</v>
      </c>
      <c r="R214" s="1772">
        <v>12</v>
      </c>
      <c r="S214" s="1772">
        <v>13</v>
      </c>
      <c r="T214" s="1772">
        <v>14</v>
      </c>
      <c r="U214" s="1772">
        <v>15</v>
      </c>
      <c r="V214" s="1772">
        <v>16</v>
      </c>
    </row>
    <row r="215" spans="4:22" ht="14.25" thickBot="1" x14ac:dyDescent="0.3">
      <c r="D215" s="4594"/>
      <c r="E215" s="1558" t="s">
        <v>3323</v>
      </c>
      <c r="F215" s="1773" t="e">
        <f>F214-F213</f>
        <v>#DIV/0!</v>
      </c>
      <c r="G215" s="1773" t="e">
        <f t="shared" ref="G215:V215" si="64">G214-G213</f>
        <v>#DIV/0!</v>
      </c>
      <c r="H215" s="1773" t="e">
        <f t="shared" si="64"/>
        <v>#DIV/0!</v>
      </c>
      <c r="I215" s="1773" t="e">
        <f t="shared" si="64"/>
        <v>#DIV/0!</v>
      </c>
      <c r="J215" s="1773" t="e">
        <f t="shared" si="64"/>
        <v>#DIV/0!</v>
      </c>
      <c r="K215" s="1773" t="e">
        <f t="shared" si="64"/>
        <v>#DIV/0!</v>
      </c>
      <c r="L215" s="1773" t="e">
        <f t="shared" si="64"/>
        <v>#DIV/0!</v>
      </c>
      <c r="M215" s="1773" t="e">
        <f t="shared" si="64"/>
        <v>#DIV/0!</v>
      </c>
      <c r="N215" s="1773" t="e">
        <f t="shared" si="64"/>
        <v>#DIV/0!</v>
      </c>
      <c r="O215" s="1773" t="e">
        <f t="shared" si="64"/>
        <v>#DIV/0!</v>
      </c>
      <c r="P215" s="1773" t="e">
        <f t="shared" si="64"/>
        <v>#DIV/0!</v>
      </c>
      <c r="Q215" s="1773" t="e">
        <f t="shared" si="64"/>
        <v>#DIV/0!</v>
      </c>
      <c r="R215" s="1773" t="e">
        <f t="shared" si="64"/>
        <v>#DIV/0!</v>
      </c>
      <c r="S215" s="1773" t="e">
        <f t="shared" si="64"/>
        <v>#DIV/0!</v>
      </c>
      <c r="T215" s="1773" t="e">
        <f t="shared" si="64"/>
        <v>#DIV/0!</v>
      </c>
      <c r="U215" s="1773" t="e">
        <f t="shared" si="64"/>
        <v>#DIV/0!</v>
      </c>
      <c r="V215" s="1773" t="e">
        <f t="shared" si="64"/>
        <v>#DIV/0!</v>
      </c>
    </row>
    <row r="216" spans="4:22" ht="14.25" thickBot="1" x14ac:dyDescent="0.3">
      <c r="D216" s="4594" t="s">
        <v>1979</v>
      </c>
      <c r="E216" s="1558" t="s">
        <v>3325</v>
      </c>
      <c r="F216" s="1772" t="e">
        <f>'14 Dda Consolidda'!E48</f>
        <v>#DIV/0!</v>
      </c>
      <c r="G216" s="1772" t="e">
        <f>'14 Dda Consolidda'!F48</f>
        <v>#DIV/0!</v>
      </c>
      <c r="H216" s="1772" t="e">
        <f>'14 Dda Consolidda'!G48</f>
        <v>#DIV/0!</v>
      </c>
      <c r="I216" s="1772" t="e">
        <f>'14 Dda Consolidda'!H48</f>
        <v>#DIV/0!</v>
      </c>
      <c r="J216" s="1772" t="e">
        <f>'14 Dda Consolidda'!I48</f>
        <v>#DIV/0!</v>
      </c>
      <c r="K216" s="1772" t="e">
        <f>'14 Dda Consolidda'!J48</f>
        <v>#DIV/0!</v>
      </c>
      <c r="L216" s="1772" t="e">
        <f>'14 Dda Consolidda'!K48</f>
        <v>#DIV/0!</v>
      </c>
      <c r="M216" s="1772" t="e">
        <f>'14 Dda Consolidda'!L48</f>
        <v>#DIV/0!</v>
      </c>
      <c r="N216" s="1772" t="e">
        <f>'14 Dda Consolidda'!M48</f>
        <v>#DIV/0!</v>
      </c>
      <c r="O216" s="1772" t="e">
        <f>'14 Dda Consolidda'!N48</f>
        <v>#DIV/0!</v>
      </c>
      <c r="P216" s="1772" t="e">
        <f>'14 Dda Consolidda'!O48</f>
        <v>#DIV/0!</v>
      </c>
      <c r="Q216" s="1772" t="e">
        <f>'14 Dda Consolidda'!P48</f>
        <v>#DIV/0!</v>
      </c>
      <c r="R216" s="1772" t="e">
        <f>'14 Dda Consolidda'!Q48</f>
        <v>#DIV/0!</v>
      </c>
      <c r="S216" s="1772" t="e">
        <f>'14 Dda Consolidda'!R48</f>
        <v>#DIV/0!</v>
      </c>
      <c r="T216" s="1772" t="e">
        <f>'14 Dda Consolidda'!S48</f>
        <v>#DIV/0!</v>
      </c>
      <c r="U216" s="1772" t="e">
        <f>'14 Dda Consolidda'!T48</f>
        <v>#DIV/0!</v>
      </c>
      <c r="V216" s="1772" t="e">
        <f>'14 Dda Consolidda'!U48</f>
        <v>#DIV/0!</v>
      </c>
    </row>
    <row r="217" spans="4:22" ht="14.25" thickBot="1" x14ac:dyDescent="0.3">
      <c r="D217" s="4594"/>
      <c r="E217" s="1558" t="s">
        <v>3326</v>
      </c>
      <c r="F217" s="1772">
        <v>0</v>
      </c>
      <c r="G217" s="1772">
        <v>1</v>
      </c>
      <c r="H217" s="1772">
        <v>2</v>
      </c>
      <c r="I217" s="1772">
        <v>3</v>
      </c>
      <c r="J217" s="1772">
        <v>4</v>
      </c>
      <c r="K217" s="1772">
        <v>5</v>
      </c>
      <c r="L217" s="1772">
        <v>6</v>
      </c>
      <c r="M217" s="1772">
        <v>7</v>
      </c>
      <c r="N217" s="1772">
        <v>8</v>
      </c>
      <c r="O217" s="1772">
        <v>9</v>
      </c>
      <c r="P217" s="1772">
        <v>10</v>
      </c>
      <c r="Q217" s="1772">
        <v>11</v>
      </c>
      <c r="R217" s="1772">
        <v>12</v>
      </c>
      <c r="S217" s="1772">
        <v>13</v>
      </c>
      <c r="T217" s="1772">
        <v>14</v>
      </c>
      <c r="U217" s="1772">
        <v>15</v>
      </c>
      <c r="V217" s="1772">
        <v>16</v>
      </c>
    </row>
    <row r="218" spans="4:22" ht="14.25" thickBot="1" x14ac:dyDescent="0.3">
      <c r="D218" s="4594"/>
      <c r="E218" s="1558" t="s">
        <v>3323</v>
      </c>
      <c r="F218" s="1773" t="e">
        <f>F217-F216</f>
        <v>#DIV/0!</v>
      </c>
      <c r="G218" s="1773" t="e">
        <f t="shared" ref="G218:V218" si="65">G217-G216</f>
        <v>#DIV/0!</v>
      </c>
      <c r="H218" s="1773" t="e">
        <f t="shared" si="65"/>
        <v>#DIV/0!</v>
      </c>
      <c r="I218" s="1773" t="e">
        <f t="shared" si="65"/>
        <v>#DIV/0!</v>
      </c>
      <c r="J218" s="1773" t="e">
        <f t="shared" si="65"/>
        <v>#DIV/0!</v>
      </c>
      <c r="K218" s="1773" t="e">
        <f t="shared" si="65"/>
        <v>#DIV/0!</v>
      </c>
      <c r="L218" s="1773" t="e">
        <f t="shared" si="65"/>
        <v>#DIV/0!</v>
      </c>
      <c r="M218" s="1773" t="e">
        <f t="shared" si="65"/>
        <v>#DIV/0!</v>
      </c>
      <c r="N218" s="1773" t="e">
        <f t="shared" si="65"/>
        <v>#DIV/0!</v>
      </c>
      <c r="O218" s="1773" t="e">
        <f t="shared" si="65"/>
        <v>#DIV/0!</v>
      </c>
      <c r="P218" s="1773" t="e">
        <f t="shared" si="65"/>
        <v>#DIV/0!</v>
      </c>
      <c r="Q218" s="1773" t="e">
        <f t="shared" si="65"/>
        <v>#DIV/0!</v>
      </c>
      <c r="R218" s="1773" t="e">
        <f t="shared" si="65"/>
        <v>#DIV/0!</v>
      </c>
      <c r="S218" s="1773" t="e">
        <f t="shared" si="65"/>
        <v>#DIV/0!</v>
      </c>
      <c r="T218" s="1773" t="e">
        <f t="shared" si="65"/>
        <v>#DIV/0!</v>
      </c>
      <c r="U218" s="1773" t="e">
        <f t="shared" si="65"/>
        <v>#DIV/0!</v>
      </c>
      <c r="V218" s="1773" t="e">
        <f t="shared" si="65"/>
        <v>#DIV/0!</v>
      </c>
    </row>
    <row r="219" spans="4:22" ht="14.25" thickBot="1" x14ac:dyDescent="0.3">
      <c r="D219" s="4594" t="s">
        <v>3327</v>
      </c>
      <c r="E219" s="1558" t="s">
        <v>3325</v>
      </c>
      <c r="F219" s="1772" t="e">
        <f>'14 Dda Consolidda'!E49</f>
        <v>#DIV/0!</v>
      </c>
      <c r="G219" s="1772" t="e">
        <f>'14 Dda Consolidda'!F49</f>
        <v>#DIV/0!</v>
      </c>
      <c r="H219" s="1772" t="e">
        <f>'14 Dda Consolidda'!G49</f>
        <v>#DIV/0!</v>
      </c>
      <c r="I219" s="1772" t="e">
        <f>'14 Dda Consolidda'!H49</f>
        <v>#DIV/0!</v>
      </c>
      <c r="J219" s="1772" t="e">
        <f>'14 Dda Consolidda'!I49</f>
        <v>#DIV/0!</v>
      </c>
      <c r="K219" s="1772" t="e">
        <f>'14 Dda Consolidda'!J49</f>
        <v>#DIV/0!</v>
      </c>
      <c r="L219" s="1772" t="e">
        <f>'14 Dda Consolidda'!K49</f>
        <v>#DIV/0!</v>
      </c>
      <c r="M219" s="1772" t="e">
        <f>'14 Dda Consolidda'!L49</f>
        <v>#DIV/0!</v>
      </c>
      <c r="N219" s="1772" t="e">
        <f>'14 Dda Consolidda'!M49</f>
        <v>#DIV/0!</v>
      </c>
      <c r="O219" s="1772" t="e">
        <f>'14 Dda Consolidda'!N49</f>
        <v>#DIV/0!</v>
      </c>
      <c r="P219" s="1772" t="e">
        <f>'14 Dda Consolidda'!O49</f>
        <v>#DIV/0!</v>
      </c>
      <c r="Q219" s="1772" t="e">
        <f>'14 Dda Consolidda'!P49</f>
        <v>#DIV/0!</v>
      </c>
      <c r="R219" s="1772" t="e">
        <f>'14 Dda Consolidda'!Q49</f>
        <v>#DIV/0!</v>
      </c>
      <c r="S219" s="1772" t="e">
        <f>'14 Dda Consolidda'!R49</f>
        <v>#DIV/0!</v>
      </c>
      <c r="T219" s="1772" t="e">
        <f>'14 Dda Consolidda'!S49</f>
        <v>#DIV/0!</v>
      </c>
      <c r="U219" s="1772" t="e">
        <f>'14 Dda Consolidda'!T49</f>
        <v>#DIV/0!</v>
      </c>
      <c r="V219" s="1772" t="e">
        <f>'14 Dda Consolidda'!U49</f>
        <v>#DIV/0!</v>
      </c>
    </row>
    <row r="220" spans="4:22" ht="14.25" thickBot="1" x14ac:dyDescent="0.3">
      <c r="D220" s="4594"/>
      <c r="E220" s="1558" t="s">
        <v>3326</v>
      </c>
      <c r="F220" s="1772">
        <v>0</v>
      </c>
      <c r="G220" s="1772">
        <v>1</v>
      </c>
      <c r="H220" s="1772">
        <v>2</v>
      </c>
      <c r="I220" s="1772">
        <v>3</v>
      </c>
      <c r="J220" s="1772">
        <v>4</v>
      </c>
      <c r="K220" s="1772">
        <v>5</v>
      </c>
      <c r="L220" s="1772">
        <v>6</v>
      </c>
      <c r="M220" s="1772">
        <v>7</v>
      </c>
      <c r="N220" s="1772">
        <v>8</v>
      </c>
      <c r="O220" s="1772">
        <v>9</v>
      </c>
      <c r="P220" s="1772">
        <v>10</v>
      </c>
      <c r="Q220" s="1772">
        <v>11</v>
      </c>
      <c r="R220" s="1772">
        <v>12</v>
      </c>
      <c r="S220" s="1772">
        <v>13</v>
      </c>
      <c r="T220" s="1772">
        <v>14</v>
      </c>
      <c r="U220" s="1772">
        <v>15</v>
      </c>
      <c r="V220" s="1772">
        <v>16</v>
      </c>
    </row>
    <row r="221" spans="4:22" ht="14.25" thickBot="1" x14ac:dyDescent="0.3">
      <c r="D221" s="4594"/>
      <c r="E221" s="1558" t="s">
        <v>3323</v>
      </c>
      <c r="F221" s="1773" t="e">
        <f>F220-F219</f>
        <v>#DIV/0!</v>
      </c>
      <c r="G221" s="1773" t="e">
        <f t="shared" ref="G221:V221" si="66">G220-G219</f>
        <v>#DIV/0!</v>
      </c>
      <c r="H221" s="1773" t="e">
        <f t="shared" si="66"/>
        <v>#DIV/0!</v>
      </c>
      <c r="I221" s="1773" t="e">
        <f t="shared" si="66"/>
        <v>#DIV/0!</v>
      </c>
      <c r="J221" s="1773" t="e">
        <f t="shared" si="66"/>
        <v>#DIV/0!</v>
      </c>
      <c r="K221" s="1773" t="e">
        <f t="shared" si="66"/>
        <v>#DIV/0!</v>
      </c>
      <c r="L221" s="1773" t="e">
        <f t="shared" si="66"/>
        <v>#DIV/0!</v>
      </c>
      <c r="M221" s="1773" t="e">
        <f t="shared" si="66"/>
        <v>#DIV/0!</v>
      </c>
      <c r="N221" s="1773" t="e">
        <f t="shared" si="66"/>
        <v>#DIV/0!</v>
      </c>
      <c r="O221" s="1773" t="e">
        <f t="shared" si="66"/>
        <v>#DIV/0!</v>
      </c>
      <c r="P221" s="1773" t="e">
        <f t="shared" si="66"/>
        <v>#DIV/0!</v>
      </c>
      <c r="Q221" s="1773" t="e">
        <f t="shared" si="66"/>
        <v>#DIV/0!</v>
      </c>
      <c r="R221" s="1773" t="e">
        <f t="shared" si="66"/>
        <v>#DIV/0!</v>
      </c>
      <c r="S221" s="1773" t="e">
        <f t="shared" si="66"/>
        <v>#DIV/0!</v>
      </c>
      <c r="T221" s="1773" t="e">
        <f t="shared" si="66"/>
        <v>#DIV/0!</v>
      </c>
      <c r="U221" s="1773" t="e">
        <f t="shared" si="66"/>
        <v>#DIV/0!</v>
      </c>
      <c r="V221" s="1773" t="e">
        <f t="shared" si="66"/>
        <v>#DIV/0!</v>
      </c>
    </row>
    <row r="222" spans="4:22" ht="14.25" thickBot="1" x14ac:dyDescent="0.3">
      <c r="D222" s="4594" t="s">
        <v>91</v>
      </c>
      <c r="E222" s="1558" t="s">
        <v>3325</v>
      </c>
      <c r="F222" s="1772">
        <f>'14 Dda Consolidda'!E50</f>
        <v>228</v>
      </c>
      <c r="G222" s="1772">
        <f>'14 Dda Consolidda'!F50</f>
        <v>228.08835167522264</v>
      </c>
      <c r="H222" s="1772">
        <f>'14 Dda Consolidda'!G50</f>
        <v>228.17673758736859</v>
      </c>
      <c r="I222" s="1772">
        <f>'14 Dda Consolidda'!H50</f>
        <v>228.26515774970488</v>
      </c>
      <c r="J222" s="1772">
        <f>'14 Dda Consolidda'!I50</f>
        <v>228.3536121755038</v>
      </c>
      <c r="K222" s="1772">
        <f>'14 Dda Consolidda'!J50</f>
        <v>228.4421008780426</v>
      </c>
      <c r="L222" s="1772">
        <f>'14 Dda Consolidda'!K50</f>
        <v>228.53062387060379</v>
      </c>
      <c r="M222" s="1772">
        <f>'14 Dda Consolidda'!L50</f>
        <v>228.61918116647507</v>
      </c>
      <c r="N222" s="1772">
        <f>'14 Dda Consolidda'!M50</f>
        <v>228.70777277894911</v>
      </c>
      <c r="O222" s="1772">
        <f>'14 Dda Consolidda'!N50</f>
        <v>228.79639872132395</v>
      </c>
      <c r="P222" s="1772">
        <f>'14 Dda Consolidda'!O50</f>
        <v>228.88505900690262</v>
      </c>
      <c r="Q222" s="1772">
        <f>'14 Dda Consolidda'!P50</f>
        <v>228.97375364899341</v>
      </c>
      <c r="R222" s="1772">
        <f>'14 Dda Consolidda'!Q50</f>
        <v>229.06248266090964</v>
      </c>
      <c r="S222" s="1772">
        <f>'14 Dda Consolidda'!R50</f>
        <v>229.15124605596992</v>
      </c>
      <c r="T222" s="1772">
        <f>'14 Dda Consolidda'!S50</f>
        <v>229.24004384749804</v>
      </c>
      <c r="U222" s="1772">
        <f>'14 Dda Consolidda'!T50</f>
        <v>229.32887604882279</v>
      </c>
      <c r="V222" s="1772">
        <f>'14 Dda Consolidda'!U50</f>
        <v>229.41774267327821</v>
      </c>
    </row>
    <row r="223" spans="4:22" ht="14.25" thickBot="1" x14ac:dyDescent="0.3">
      <c r="D223" s="4594"/>
      <c r="E223" s="1558" t="s">
        <v>3326</v>
      </c>
      <c r="F223" s="1772">
        <v>0</v>
      </c>
      <c r="G223" s="1772">
        <v>1</v>
      </c>
      <c r="H223" s="1772">
        <v>2</v>
      </c>
      <c r="I223" s="1772">
        <v>3</v>
      </c>
      <c r="J223" s="1772">
        <v>4</v>
      </c>
      <c r="K223" s="1772">
        <v>5</v>
      </c>
      <c r="L223" s="1772">
        <v>6</v>
      </c>
      <c r="M223" s="1772">
        <v>7</v>
      </c>
      <c r="N223" s="1772">
        <v>8</v>
      </c>
      <c r="O223" s="1772">
        <v>9</v>
      </c>
      <c r="P223" s="1772">
        <v>10</v>
      </c>
      <c r="Q223" s="1772">
        <v>11</v>
      </c>
      <c r="R223" s="1772">
        <v>12</v>
      </c>
      <c r="S223" s="1772">
        <v>13</v>
      </c>
      <c r="T223" s="1772">
        <v>14</v>
      </c>
      <c r="U223" s="1772">
        <v>15</v>
      </c>
      <c r="V223" s="1772">
        <v>16</v>
      </c>
    </row>
    <row r="224" spans="4:22" ht="14.25" thickBot="1" x14ac:dyDescent="0.3">
      <c r="D224" s="4594"/>
      <c r="E224" s="1558" t="s">
        <v>3323</v>
      </c>
      <c r="F224" s="1773">
        <f>F223-F222</f>
        <v>-228</v>
      </c>
      <c r="G224" s="1773">
        <f t="shared" ref="G224:V224" si="67">G223-G222</f>
        <v>-227.08835167522264</v>
      </c>
      <c r="H224" s="1773">
        <f t="shared" si="67"/>
        <v>-226.17673758736859</v>
      </c>
      <c r="I224" s="1773">
        <f t="shared" si="67"/>
        <v>-225.26515774970488</v>
      </c>
      <c r="J224" s="1773">
        <f t="shared" si="67"/>
        <v>-224.3536121755038</v>
      </c>
      <c r="K224" s="1773">
        <f t="shared" si="67"/>
        <v>-223.4421008780426</v>
      </c>
      <c r="L224" s="1773">
        <f t="shared" si="67"/>
        <v>-222.53062387060379</v>
      </c>
      <c r="M224" s="1773">
        <f t="shared" si="67"/>
        <v>-221.61918116647507</v>
      </c>
      <c r="N224" s="1773">
        <f t="shared" si="67"/>
        <v>-220.70777277894911</v>
      </c>
      <c r="O224" s="1773">
        <f t="shared" si="67"/>
        <v>-219.79639872132395</v>
      </c>
      <c r="P224" s="1773">
        <f t="shared" si="67"/>
        <v>-218.88505900690262</v>
      </c>
      <c r="Q224" s="1773">
        <f t="shared" si="67"/>
        <v>-217.97375364899341</v>
      </c>
      <c r="R224" s="1773">
        <f t="shared" si="67"/>
        <v>-217.06248266090964</v>
      </c>
      <c r="S224" s="1773">
        <f t="shared" si="67"/>
        <v>-216.15124605596992</v>
      </c>
      <c r="T224" s="1773">
        <f t="shared" si="67"/>
        <v>-215.24004384749804</v>
      </c>
      <c r="U224" s="1773">
        <f t="shared" si="67"/>
        <v>-214.32887604882279</v>
      </c>
      <c r="V224" s="1773">
        <f t="shared" si="67"/>
        <v>-213.41774267327821</v>
      </c>
    </row>
    <row r="225" spans="3:22" ht="14.25" thickBot="1" x14ac:dyDescent="0.3">
      <c r="D225" s="4594" t="s">
        <v>1981</v>
      </c>
      <c r="E225" s="1558" t="s">
        <v>3325</v>
      </c>
      <c r="F225" s="1772">
        <f>'14 Dda Consolidda'!E51</f>
        <v>18.296161739879938</v>
      </c>
      <c r="G225" s="1772">
        <f>'14 Dda Consolidda'!F51</f>
        <v>18.303251636984598</v>
      </c>
      <c r="H225" s="1772">
        <f>'14 Dda Consolidda'!G51</f>
        <v>18.310344281476482</v>
      </c>
      <c r="I225" s="1772">
        <f>'14 Dda Consolidda'!H51</f>
        <v>18.317439674420221</v>
      </c>
      <c r="J225" s="1772">
        <f>'14 Dda Consolidda'!I51</f>
        <v>18.324537816880856</v>
      </c>
      <c r="K225" s="1772">
        <f>'14 Dda Consolidda'!J51</f>
        <v>18.331638709923844</v>
      </c>
      <c r="L225" s="1772">
        <f>'14 Dda Consolidda'!K51</f>
        <v>18.338742354615068</v>
      </c>
      <c r="M225" s="1772">
        <f>'14 Dda Consolidda'!L51</f>
        <v>18.3458487520208</v>
      </c>
      <c r="N225" s="1772">
        <f>'14 Dda Consolidda'!M51</f>
        <v>18.352957903207738</v>
      </c>
      <c r="O225" s="1772">
        <f>'14 Dda Consolidda'!N51</f>
        <v>18.360069809243001</v>
      </c>
      <c r="P225" s="1772">
        <f>'14 Dda Consolidda'!O51</f>
        <v>18.367184471194101</v>
      </c>
      <c r="Q225" s="1772">
        <f>'14 Dda Consolidda'!P51</f>
        <v>18.374301890128983</v>
      </c>
      <c r="R225" s="1772">
        <f>'14 Dda Consolidda'!Q51</f>
        <v>18.381422067115999</v>
      </c>
      <c r="S225" s="1772">
        <f>'14 Dda Consolidda'!R51</f>
        <v>18.388545003223911</v>
      </c>
      <c r="T225" s="1772">
        <f>'14 Dda Consolidda'!S51</f>
        <v>18.395670699521901</v>
      </c>
      <c r="U225" s="1772">
        <f>'14 Dda Consolidda'!T51</f>
        <v>18.402799157079563</v>
      </c>
      <c r="V225" s="1772">
        <f>'14 Dda Consolidda'!U51</f>
        <v>18.409930376966905</v>
      </c>
    </row>
    <row r="226" spans="3:22" ht="14.25" thickBot="1" x14ac:dyDescent="0.3">
      <c r="D226" s="4594"/>
      <c r="E226" s="1558" t="s">
        <v>3326</v>
      </c>
      <c r="F226" s="1772">
        <v>0</v>
      </c>
      <c r="G226" s="1772">
        <v>1</v>
      </c>
      <c r="H226" s="1772">
        <v>2</v>
      </c>
      <c r="I226" s="1772">
        <v>3</v>
      </c>
      <c r="J226" s="1772">
        <v>4</v>
      </c>
      <c r="K226" s="1772">
        <v>5</v>
      </c>
      <c r="L226" s="1772">
        <v>6</v>
      </c>
      <c r="M226" s="1772">
        <v>7</v>
      </c>
      <c r="N226" s="1772">
        <v>8</v>
      </c>
      <c r="O226" s="1772">
        <v>9</v>
      </c>
      <c r="P226" s="1772">
        <v>10</v>
      </c>
      <c r="Q226" s="1772">
        <v>11</v>
      </c>
      <c r="R226" s="1772">
        <v>12</v>
      </c>
      <c r="S226" s="1772">
        <v>13</v>
      </c>
      <c r="T226" s="1772">
        <v>14</v>
      </c>
      <c r="U226" s="1772">
        <v>15</v>
      </c>
      <c r="V226" s="1772">
        <v>16</v>
      </c>
    </row>
    <row r="227" spans="3:22" ht="14.25" thickBot="1" x14ac:dyDescent="0.3">
      <c r="D227" s="4594"/>
      <c r="E227" s="1558" t="s">
        <v>3323</v>
      </c>
      <c r="F227" s="1773">
        <f>F226-F225</f>
        <v>-18.296161739879938</v>
      </c>
      <c r="G227" s="1773">
        <f t="shared" ref="G227:V227" si="68">G226-G225</f>
        <v>-17.303251636984598</v>
      </c>
      <c r="H227" s="1773">
        <f t="shared" si="68"/>
        <v>-16.310344281476482</v>
      </c>
      <c r="I227" s="1773">
        <f t="shared" si="68"/>
        <v>-15.317439674420221</v>
      </c>
      <c r="J227" s="1773">
        <f t="shared" si="68"/>
        <v>-14.324537816880856</v>
      </c>
      <c r="K227" s="1773">
        <f t="shared" si="68"/>
        <v>-13.331638709923844</v>
      </c>
      <c r="L227" s="1773">
        <f t="shared" si="68"/>
        <v>-12.338742354615068</v>
      </c>
      <c r="M227" s="1773">
        <f t="shared" si="68"/>
        <v>-11.3458487520208</v>
      </c>
      <c r="N227" s="1773">
        <f t="shared" si="68"/>
        <v>-10.352957903207738</v>
      </c>
      <c r="O227" s="1773">
        <f t="shared" si="68"/>
        <v>-9.3600698092430008</v>
      </c>
      <c r="P227" s="1773">
        <f t="shared" si="68"/>
        <v>-8.3671844711941006</v>
      </c>
      <c r="Q227" s="1773">
        <f t="shared" si="68"/>
        <v>-7.374301890128983</v>
      </c>
      <c r="R227" s="1773">
        <f t="shared" si="68"/>
        <v>-6.3814220671159987</v>
      </c>
      <c r="S227" s="1773">
        <f t="shared" si="68"/>
        <v>-5.3885450032239106</v>
      </c>
      <c r="T227" s="1773">
        <f t="shared" si="68"/>
        <v>-4.3956706995219008</v>
      </c>
      <c r="U227" s="1773">
        <f t="shared" si="68"/>
        <v>-3.4027991570795635</v>
      </c>
      <c r="V227" s="1773">
        <f t="shared" si="68"/>
        <v>-2.4099303769669049</v>
      </c>
    </row>
    <row r="228" spans="3:22" ht="14.25" thickBot="1" x14ac:dyDescent="0.3">
      <c r="D228" s="4594" t="s">
        <v>1982</v>
      </c>
      <c r="E228" s="1558" t="s">
        <v>3325</v>
      </c>
      <c r="F228" s="1772" t="e">
        <f>'14 Dda Consolidda'!E52</f>
        <v>#DIV/0!</v>
      </c>
      <c r="G228" s="1772" t="e">
        <f>'14 Dda Consolidda'!F52</f>
        <v>#DIV/0!</v>
      </c>
      <c r="H228" s="1772" t="e">
        <f>'14 Dda Consolidda'!G52</f>
        <v>#DIV/0!</v>
      </c>
      <c r="I228" s="1772" t="e">
        <f>'14 Dda Consolidda'!H52</f>
        <v>#DIV/0!</v>
      </c>
      <c r="J228" s="1772" t="e">
        <f>'14 Dda Consolidda'!I52</f>
        <v>#DIV/0!</v>
      </c>
      <c r="K228" s="1772" t="e">
        <f>'14 Dda Consolidda'!J52</f>
        <v>#DIV/0!</v>
      </c>
      <c r="L228" s="1772" t="e">
        <f>'14 Dda Consolidda'!K52</f>
        <v>#DIV/0!</v>
      </c>
      <c r="M228" s="1772" t="e">
        <f>'14 Dda Consolidda'!L52</f>
        <v>#DIV/0!</v>
      </c>
      <c r="N228" s="1772" t="e">
        <f>'14 Dda Consolidda'!M52</f>
        <v>#DIV/0!</v>
      </c>
      <c r="O228" s="1772" t="e">
        <f>'14 Dda Consolidda'!N52</f>
        <v>#DIV/0!</v>
      </c>
      <c r="P228" s="1772" t="e">
        <f>'14 Dda Consolidda'!O52</f>
        <v>#DIV/0!</v>
      </c>
      <c r="Q228" s="1772" t="e">
        <f>'14 Dda Consolidda'!P52</f>
        <v>#DIV/0!</v>
      </c>
      <c r="R228" s="1772" t="e">
        <f>'14 Dda Consolidda'!Q52</f>
        <v>#DIV/0!</v>
      </c>
      <c r="S228" s="1772" t="e">
        <f>'14 Dda Consolidda'!R52</f>
        <v>#DIV/0!</v>
      </c>
      <c r="T228" s="1772" t="e">
        <f>'14 Dda Consolidda'!S52</f>
        <v>#DIV/0!</v>
      </c>
      <c r="U228" s="1772" t="e">
        <f>'14 Dda Consolidda'!T52</f>
        <v>#DIV/0!</v>
      </c>
      <c r="V228" s="1772" t="e">
        <f>'14 Dda Consolidda'!U52</f>
        <v>#DIV/0!</v>
      </c>
    </row>
    <row r="229" spans="3:22" ht="14.25" thickBot="1" x14ac:dyDescent="0.3">
      <c r="D229" s="4594"/>
      <c r="E229" s="1558" t="s">
        <v>3326</v>
      </c>
      <c r="F229" s="1772">
        <v>0</v>
      </c>
      <c r="G229" s="1772">
        <v>1</v>
      </c>
      <c r="H229" s="1772">
        <v>2</v>
      </c>
      <c r="I229" s="1772">
        <v>3</v>
      </c>
      <c r="J229" s="1772">
        <v>4</v>
      </c>
      <c r="K229" s="1772">
        <v>5</v>
      </c>
      <c r="L229" s="1772">
        <v>6</v>
      </c>
      <c r="M229" s="1772">
        <v>7</v>
      </c>
      <c r="N229" s="1772">
        <v>8</v>
      </c>
      <c r="O229" s="1772">
        <v>9</v>
      </c>
      <c r="P229" s="1772">
        <v>10</v>
      </c>
      <c r="Q229" s="1772">
        <v>11</v>
      </c>
      <c r="R229" s="1772">
        <v>12</v>
      </c>
      <c r="S229" s="1772">
        <v>13</v>
      </c>
      <c r="T229" s="1772">
        <v>14</v>
      </c>
      <c r="U229" s="1772">
        <v>15</v>
      </c>
      <c r="V229" s="1772">
        <v>16</v>
      </c>
    </row>
    <row r="230" spans="3:22" ht="14.25" thickBot="1" x14ac:dyDescent="0.3">
      <c r="D230" s="4594"/>
      <c r="E230" s="1558" t="s">
        <v>3323</v>
      </c>
      <c r="F230" s="1773" t="e">
        <f>F229-F228</f>
        <v>#DIV/0!</v>
      </c>
      <c r="G230" s="1773" t="e">
        <f t="shared" ref="G230:V230" si="69">G229-G228</f>
        <v>#DIV/0!</v>
      </c>
      <c r="H230" s="1773" t="e">
        <f t="shared" si="69"/>
        <v>#DIV/0!</v>
      </c>
      <c r="I230" s="1773" t="e">
        <f t="shared" si="69"/>
        <v>#DIV/0!</v>
      </c>
      <c r="J230" s="1773" t="e">
        <f t="shared" si="69"/>
        <v>#DIV/0!</v>
      </c>
      <c r="K230" s="1773" t="e">
        <f t="shared" si="69"/>
        <v>#DIV/0!</v>
      </c>
      <c r="L230" s="1773" t="e">
        <f t="shared" si="69"/>
        <v>#DIV/0!</v>
      </c>
      <c r="M230" s="1773" t="e">
        <f t="shared" si="69"/>
        <v>#DIV/0!</v>
      </c>
      <c r="N230" s="1773" t="e">
        <f t="shared" si="69"/>
        <v>#DIV/0!</v>
      </c>
      <c r="O230" s="1773" t="e">
        <f t="shared" si="69"/>
        <v>#DIV/0!</v>
      </c>
      <c r="P230" s="1773" t="e">
        <f t="shared" si="69"/>
        <v>#DIV/0!</v>
      </c>
      <c r="Q230" s="1773" t="e">
        <f t="shared" si="69"/>
        <v>#DIV/0!</v>
      </c>
      <c r="R230" s="1773" t="e">
        <f t="shared" si="69"/>
        <v>#DIV/0!</v>
      </c>
      <c r="S230" s="1773" t="e">
        <f t="shared" si="69"/>
        <v>#DIV/0!</v>
      </c>
      <c r="T230" s="1773" t="e">
        <f t="shared" si="69"/>
        <v>#DIV/0!</v>
      </c>
      <c r="U230" s="1773" t="e">
        <f t="shared" si="69"/>
        <v>#DIV/0!</v>
      </c>
      <c r="V230" s="1773" t="e">
        <f t="shared" si="69"/>
        <v>#DIV/0!</v>
      </c>
    </row>
    <row r="231" spans="3:22" ht="14.25" thickBot="1" x14ac:dyDescent="0.3">
      <c r="D231" s="4594" t="s">
        <v>381</v>
      </c>
      <c r="E231" s="1558" t="s">
        <v>3325</v>
      </c>
      <c r="F231" s="1772" t="e">
        <f>'14 Dda Consolidda'!E53</f>
        <v>#DIV/0!</v>
      </c>
      <c r="G231" s="1772" t="e">
        <f>'14 Dda Consolidda'!F53</f>
        <v>#DIV/0!</v>
      </c>
      <c r="H231" s="1772" t="e">
        <f>'14 Dda Consolidda'!G53</f>
        <v>#DIV/0!</v>
      </c>
      <c r="I231" s="1772" t="e">
        <f>'14 Dda Consolidda'!H53</f>
        <v>#DIV/0!</v>
      </c>
      <c r="J231" s="1772" t="e">
        <f>'14 Dda Consolidda'!I53</f>
        <v>#DIV/0!</v>
      </c>
      <c r="K231" s="1772" t="e">
        <f>'14 Dda Consolidda'!J53</f>
        <v>#DIV/0!</v>
      </c>
      <c r="L231" s="1772" t="e">
        <f>'14 Dda Consolidda'!K53</f>
        <v>#DIV/0!</v>
      </c>
      <c r="M231" s="1772" t="e">
        <f>'14 Dda Consolidda'!L53</f>
        <v>#DIV/0!</v>
      </c>
      <c r="N231" s="1772" t="e">
        <f>'14 Dda Consolidda'!M53</f>
        <v>#DIV/0!</v>
      </c>
      <c r="O231" s="1772" t="e">
        <f>'14 Dda Consolidda'!N53</f>
        <v>#DIV/0!</v>
      </c>
      <c r="P231" s="1772" t="e">
        <f>'14 Dda Consolidda'!O53</f>
        <v>#DIV/0!</v>
      </c>
      <c r="Q231" s="1772" t="e">
        <f>'14 Dda Consolidda'!P53</f>
        <v>#DIV/0!</v>
      </c>
      <c r="R231" s="1772" t="e">
        <f>'14 Dda Consolidda'!Q53</f>
        <v>#DIV/0!</v>
      </c>
      <c r="S231" s="1772" t="e">
        <f>'14 Dda Consolidda'!R53</f>
        <v>#DIV/0!</v>
      </c>
      <c r="T231" s="1772" t="e">
        <f>'14 Dda Consolidda'!S53</f>
        <v>#DIV/0!</v>
      </c>
      <c r="U231" s="1772" t="e">
        <f>'14 Dda Consolidda'!T53</f>
        <v>#DIV/0!</v>
      </c>
      <c r="V231" s="1772" t="e">
        <f>'14 Dda Consolidda'!U53</f>
        <v>#DIV/0!</v>
      </c>
    </row>
    <row r="232" spans="3:22" ht="14.25" thickBot="1" x14ac:dyDescent="0.3">
      <c r="D232" s="4594"/>
      <c r="E232" s="1558" t="s">
        <v>3326</v>
      </c>
      <c r="F232" s="1772">
        <v>0</v>
      </c>
      <c r="G232" s="1772">
        <v>1</v>
      </c>
      <c r="H232" s="1772">
        <v>2</v>
      </c>
      <c r="I232" s="1772">
        <v>3</v>
      </c>
      <c r="J232" s="1772">
        <v>4</v>
      </c>
      <c r="K232" s="1772">
        <v>5</v>
      </c>
      <c r="L232" s="1772">
        <v>6</v>
      </c>
      <c r="M232" s="1772">
        <v>7</v>
      </c>
      <c r="N232" s="1772">
        <v>8</v>
      </c>
      <c r="O232" s="1772">
        <v>9</v>
      </c>
      <c r="P232" s="1772">
        <v>10</v>
      </c>
      <c r="Q232" s="1772">
        <v>11</v>
      </c>
      <c r="R232" s="1772">
        <v>12</v>
      </c>
      <c r="S232" s="1772">
        <v>13</v>
      </c>
      <c r="T232" s="1772">
        <v>14</v>
      </c>
      <c r="U232" s="1772">
        <v>15</v>
      </c>
      <c r="V232" s="1772">
        <v>16</v>
      </c>
    </row>
    <row r="233" spans="3:22" ht="14.25" thickBot="1" x14ac:dyDescent="0.3">
      <c r="D233" s="4594"/>
      <c r="E233" s="1558" t="s">
        <v>3323</v>
      </c>
      <c r="F233" s="1773" t="e">
        <f>F232-F231</f>
        <v>#DIV/0!</v>
      </c>
      <c r="G233" s="1773" t="e">
        <f t="shared" ref="G233:V233" si="70">G232-G231</f>
        <v>#DIV/0!</v>
      </c>
      <c r="H233" s="1773" t="e">
        <f t="shared" si="70"/>
        <v>#DIV/0!</v>
      </c>
      <c r="I233" s="1773" t="e">
        <f t="shared" si="70"/>
        <v>#DIV/0!</v>
      </c>
      <c r="J233" s="1773" t="e">
        <f t="shared" si="70"/>
        <v>#DIV/0!</v>
      </c>
      <c r="K233" s="1773" t="e">
        <f t="shared" si="70"/>
        <v>#DIV/0!</v>
      </c>
      <c r="L233" s="1773" t="e">
        <f t="shared" si="70"/>
        <v>#DIV/0!</v>
      </c>
      <c r="M233" s="1773" t="e">
        <f t="shared" si="70"/>
        <v>#DIV/0!</v>
      </c>
      <c r="N233" s="1773" t="e">
        <f t="shared" si="70"/>
        <v>#DIV/0!</v>
      </c>
      <c r="O233" s="1773" t="e">
        <f t="shared" si="70"/>
        <v>#DIV/0!</v>
      </c>
      <c r="P233" s="1773" t="e">
        <f t="shared" si="70"/>
        <v>#DIV/0!</v>
      </c>
      <c r="Q233" s="1773" t="e">
        <f t="shared" si="70"/>
        <v>#DIV/0!</v>
      </c>
      <c r="R233" s="1773" t="e">
        <f t="shared" si="70"/>
        <v>#DIV/0!</v>
      </c>
      <c r="S233" s="1773" t="e">
        <f t="shared" si="70"/>
        <v>#DIV/0!</v>
      </c>
      <c r="T233" s="1773" t="e">
        <f t="shared" si="70"/>
        <v>#DIV/0!</v>
      </c>
      <c r="U233" s="1773" t="e">
        <f t="shared" si="70"/>
        <v>#DIV/0!</v>
      </c>
      <c r="V233" s="1773" t="e">
        <f t="shared" si="70"/>
        <v>#DIV/0!</v>
      </c>
    </row>
    <row r="234" spans="3:22" ht="14.25" thickBot="1" x14ac:dyDescent="0.3">
      <c r="D234" s="1140"/>
      <c r="E234" s="1594"/>
      <c r="F234" s="1775"/>
      <c r="G234" s="1775"/>
      <c r="H234" s="1775"/>
      <c r="I234" s="1775"/>
      <c r="J234" s="1775"/>
      <c r="K234" s="1775"/>
      <c r="L234" s="1775"/>
      <c r="M234" s="1775"/>
      <c r="N234" s="1775"/>
      <c r="O234" s="1775"/>
      <c r="P234" s="1775"/>
      <c r="Q234" s="1775"/>
      <c r="R234" s="1775"/>
      <c r="S234" s="1775"/>
      <c r="T234" s="1775"/>
      <c r="U234" s="1775"/>
      <c r="V234" s="1775"/>
    </row>
    <row r="235" spans="3:22" ht="14.25" thickBot="1" x14ac:dyDescent="0.3">
      <c r="C235" s="689"/>
      <c r="D235" s="4596" t="s">
        <v>3328</v>
      </c>
      <c r="E235" s="1558" t="s">
        <v>3325</v>
      </c>
      <c r="F235" s="1773" t="e">
        <f>F112+F115+F118+F121+F124+F128+F131+F134+F137+F140+F143+F146++F149+F152+F155+F158+F161+F164+F167+F170+F173+F176+F179+F183+F186+F190+F193+F197+F200+F203+F206+F209+F213+F216+F219+F222+F225+F228+F231</f>
        <v>#DIV/0!</v>
      </c>
      <c r="G235" s="1773" t="e">
        <f t="shared" ref="G235:V235" si="71">G112+G115+G118+G121+G124+G128+G131+G134+G137+G140+G143+G146++G149+G152+G155+G158+G161+G164+G167+G170+G173+G176+G179+G183+G186+G190+G193+G197+G200+G203+G206+G209+G213+G216+G219+G222+G225+G228+G231</f>
        <v>#DIV/0!</v>
      </c>
      <c r="H235" s="1773" t="e">
        <f t="shared" si="71"/>
        <v>#DIV/0!</v>
      </c>
      <c r="I235" s="1773" t="e">
        <f t="shared" si="71"/>
        <v>#DIV/0!</v>
      </c>
      <c r="J235" s="1773" t="e">
        <f t="shared" si="71"/>
        <v>#DIV/0!</v>
      </c>
      <c r="K235" s="1773" t="e">
        <f t="shared" si="71"/>
        <v>#DIV/0!</v>
      </c>
      <c r="L235" s="1773" t="e">
        <f t="shared" si="71"/>
        <v>#DIV/0!</v>
      </c>
      <c r="M235" s="1773" t="e">
        <f t="shared" si="71"/>
        <v>#DIV/0!</v>
      </c>
      <c r="N235" s="1773" t="e">
        <f t="shared" si="71"/>
        <v>#DIV/0!</v>
      </c>
      <c r="O235" s="1773" t="e">
        <f t="shared" si="71"/>
        <v>#DIV/0!</v>
      </c>
      <c r="P235" s="1773" t="e">
        <f t="shared" si="71"/>
        <v>#DIV/0!</v>
      </c>
      <c r="Q235" s="1773" t="e">
        <f t="shared" si="71"/>
        <v>#DIV/0!</v>
      </c>
      <c r="R235" s="1773" t="e">
        <f t="shared" si="71"/>
        <v>#DIV/0!</v>
      </c>
      <c r="S235" s="1773" t="e">
        <f t="shared" si="71"/>
        <v>#DIV/0!</v>
      </c>
      <c r="T235" s="1773" t="e">
        <f t="shared" si="71"/>
        <v>#DIV/0!</v>
      </c>
      <c r="U235" s="1773" t="e">
        <f t="shared" si="71"/>
        <v>#DIV/0!</v>
      </c>
      <c r="V235" s="1773" t="e">
        <f t="shared" si="71"/>
        <v>#DIV/0!</v>
      </c>
    </row>
    <row r="236" spans="3:22" ht="14.25" thickBot="1" x14ac:dyDescent="0.3">
      <c r="C236" s="1770"/>
      <c r="D236" s="4596"/>
      <c r="E236" s="1558" t="s">
        <v>3326</v>
      </c>
      <c r="F236" s="1773">
        <f>F113+F116+F119+F122+F125+F129+F132+F135+F138+F141+F144+F147+F150+F153+F156+F159+F162+F165+F168+F171+F174+F177+F180+F184+F187+F191+F194+F198+F201+F204+F207+F210+F214+F217+F220+F223+F226+F229+F232</f>
        <v>0</v>
      </c>
      <c r="G236" s="1773">
        <f t="shared" ref="G236:V236" si="72">G113+G116+G119+G122+G125+G129+G132+G135+G138+G141+G144+G147+G150+G153+G156+G159+G162+G165+G168+G171+G174+G177+G180+G184+G187+G191+G194+G198+G201+G204+G207+G210+G214+G217+G220+G223+G226+G229+G232</f>
        <v>24</v>
      </c>
      <c r="H236" s="1773">
        <f t="shared" si="72"/>
        <v>48</v>
      </c>
      <c r="I236" s="1773">
        <f t="shared" si="72"/>
        <v>72</v>
      </c>
      <c r="J236" s="1773">
        <f t="shared" si="72"/>
        <v>96</v>
      </c>
      <c r="K236" s="1773">
        <f t="shared" si="72"/>
        <v>120</v>
      </c>
      <c r="L236" s="1773">
        <f t="shared" si="72"/>
        <v>144</v>
      </c>
      <c r="M236" s="1773">
        <f t="shared" si="72"/>
        <v>168</v>
      </c>
      <c r="N236" s="1773">
        <f t="shared" si="72"/>
        <v>192</v>
      </c>
      <c r="O236" s="1773">
        <f t="shared" si="72"/>
        <v>216</v>
      </c>
      <c r="P236" s="1773">
        <f t="shared" si="72"/>
        <v>240</v>
      </c>
      <c r="Q236" s="1773">
        <f t="shared" si="72"/>
        <v>264</v>
      </c>
      <c r="R236" s="1773">
        <f t="shared" si="72"/>
        <v>288</v>
      </c>
      <c r="S236" s="1773">
        <f t="shared" si="72"/>
        <v>312</v>
      </c>
      <c r="T236" s="1773">
        <f t="shared" si="72"/>
        <v>336</v>
      </c>
      <c r="U236" s="1773">
        <f t="shared" si="72"/>
        <v>360</v>
      </c>
      <c r="V236" s="1773">
        <f t="shared" si="72"/>
        <v>384</v>
      </c>
    </row>
    <row r="237" spans="3:22" ht="14.25" thickBot="1" x14ac:dyDescent="0.3">
      <c r="C237" s="1770"/>
      <c r="D237" s="4596"/>
      <c r="E237" s="1558" t="s">
        <v>3323</v>
      </c>
      <c r="F237" s="1772" t="e">
        <f>F114+F117+F120+F123+F126+F130+F133+F136+F139+F142+F145+F148+F151+F154+F157+F160+F163+F166+F169+F172+F175+F178+F181+F185+F188+F192+F195+F199+F202+F205+F208+F211+F215+F218+F221+F224+F227+F230+F233</f>
        <v>#DIV/0!</v>
      </c>
      <c r="G237" s="1772" t="e">
        <f t="shared" ref="G237:V237" si="73">G114+G117+G120+G123+G126+G130+G133+G136+G139+G142+G145+G148+G151+G154+G157+G160+G163+G166+G169+G172+G175+G178+G181+G185+G188+G192+G195+G199+G202+G205+G208+G211+G215+G218+G221+G224+G227+G230+G233</f>
        <v>#DIV/0!</v>
      </c>
      <c r="H237" s="1772" t="e">
        <f t="shared" si="73"/>
        <v>#DIV/0!</v>
      </c>
      <c r="I237" s="1772" t="e">
        <f t="shared" si="73"/>
        <v>#DIV/0!</v>
      </c>
      <c r="J237" s="1772" t="e">
        <f t="shared" si="73"/>
        <v>#DIV/0!</v>
      </c>
      <c r="K237" s="1772" t="e">
        <f t="shared" si="73"/>
        <v>#DIV/0!</v>
      </c>
      <c r="L237" s="1772" t="e">
        <f t="shared" si="73"/>
        <v>#DIV/0!</v>
      </c>
      <c r="M237" s="1772" t="e">
        <f t="shared" si="73"/>
        <v>#DIV/0!</v>
      </c>
      <c r="N237" s="1772" t="e">
        <f t="shared" si="73"/>
        <v>#DIV/0!</v>
      </c>
      <c r="O237" s="1772" t="e">
        <f t="shared" si="73"/>
        <v>#DIV/0!</v>
      </c>
      <c r="P237" s="1772" t="e">
        <f t="shared" si="73"/>
        <v>#DIV/0!</v>
      </c>
      <c r="Q237" s="1772" t="e">
        <f t="shared" si="73"/>
        <v>#DIV/0!</v>
      </c>
      <c r="R237" s="1772" t="e">
        <f t="shared" si="73"/>
        <v>#DIV/0!</v>
      </c>
      <c r="S237" s="1772" t="e">
        <f t="shared" si="73"/>
        <v>#DIV/0!</v>
      </c>
      <c r="T237" s="1772" t="e">
        <f t="shared" si="73"/>
        <v>#DIV/0!</v>
      </c>
      <c r="U237" s="1772" t="e">
        <f t="shared" si="73"/>
        <v>#DIV/0!</v>
      </c>
      <c r="V237" s="1772" t="e">
        <f t="shared" si="73"/>
        <v>#DIV/0!</v>
      </c>
    </row>
    <row r="238" spans="3:22" x14ac:dyDescent="0.25">
      <c r="E238" s="695"/>
      <c r="F238" s="1776"/>
      <c r="G238" s="1776"/>
      <c r="H238" s="1776"/>
      <c r="I238" s="1776"/>
      <c r="J238" s="1776"/>
      <c r="K238" s="1776"/>
      <c r="L238" s="1776"/>
      <c r="M238" s="1776"/>
      <c r="N238" s="1776"/>
      <c r="O238" s="1776"/>
      <c r="P238" s="1776"/>
      <c r="Q238" s="1776"/>
      <c r="R238" s="1776"/>
      <c r="S238" s="1776"/>
      <c r="T238" s="1776"/>
      <c r="U238" s="1776"/>
    </row>
    <row r="239" spans="3:22" x14ac:dyDescent="0.25">
      <c r="F239" s="1436"/>
    </row>
  </sheetData>
  <mergeCells count="44">
    <mergeCell ref="D231:D233"/>
    <mergeCell ref="D235:D237"/>
    <mergeCell ref="D112:D114"/>
    <mergeCell ref="D115:D117"/>
    <mergeCell ref="F108:V108"/>
    <mergeCell ref="D213:D215"/>
    <mergeCell ref="D216:D218"/>
    <mergeCell ref="D219:D221"/>
    <mergeCell ref="D222:D224"/>
    <mergeCell ref="D225:D227"/>
    <mergeCell ref="D228:D230"/>
    <mergeCell ref="D193:D195"/>
    <mergeCell ref="D197:D199"/>
    <mergeCell ref="D200:D202"/>
    <mergeCell ref="D203:D205"/>
    <mergeCell ref="D206:D208"/>
    <mergeCell ref="D209:D211"/>
    <mergeCell ref="D173:D175"/>
    <mergeCell ref="D176:D178"/>
    <mergeCell ref="D179:D181"/>
    <mergeCell ref="D183:D185"/>
    <mergeCell ref="D186:D188"/>
    <mergeCell ref="D190:D192"/>
    <mergeCell ref="D170:D172"/>
    <mergeCell ref="D137:D139"/>
    <mergeCell ref="D140:D142"/>
    <mergeCell ref="D143:D145"/>
    <mergeCell ref="D146:D148"/>
    <mergeCell ref="D149:D151"/>
    <mergeCell ref="D152:D154"/>
    <mergeCell ref="D155:D157"/>
    <mergeCell ref="D158:D160"/>
    <mergeCell ref="D161:D163"/>
    <mergeCell ref="D164:D166"/>
    <mergeCell ref="D167:D169"/>
    <mergeCell ref="D134:D136"/>
    <mergeCell ref="D58:D60"/>
    <mergeCell ref="D108:D110"/>
    <mergeCell ref="E108:E110"/>
    <mergeCell ref="D118:D120"/>
    <mergeCell ref="D121:D123"/>
    <mergeCell ref="D124:D126"/>
    <mergeCell ref="D128:D130"/>
    <mergeCell ref="D131:D133"/>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F0"/>
  </sheetPr>
  <dimension ref="A1:AC102"/>
  <sheetViews>
    <sheetView topLeftCell="A82" zoomScale="70" zoomScaleNormal="70" workbookViewId="0">
      <selection activeCell="E7" sqref="E7"/>
    </sheetView>
  </sheetViews>
  <sheetFormatPr baseColWidth="10" defaultColWidth="11.5703125" defaultRowHeight="16.5" x14ac:dyDescent="0.25"/>
  <cols>
    <col min="1" max="1" width="3.42578125" style="21" customWidth="1"/>
    <col min="2" max="2" width="42.5703125" style="21" customWidth="1"/>
    <col min="3" max="3" width="11.28515625" style="1350" customWidth="1"/>
    <col min="4" max="19" width="11.28515625" style="21" customWidth="1"/>
    <col min="20" max="20" width="13" style="21" customWidth="1"/>
    <col min="21" max="16384" width="11.5703125" style="21"/>
  </cols>
  <sheetData>
    <row r="1" spans="2:20" ht="17.25" thickBot="1" x14ac:dyDescent="0.3"/>
    <row r="2" spans="2:20" ht="28.5" customHeight="1" thickBot="1" x14ac:dyDescent="0.3">
      <c r="C2" s="4598" t="s">
        <v>1998</v>
      </c>
      <c r="D2" s="4599"/>
      <c r="E2" s="4600" t="s">
        <v>1999</v>
      </c>
      <c r="F2" s="4601"/>
      <c r="G2" s="4599"/>
      <c r="H2" s="4605" t="s">
        <v>2000</v>
      </c>
      <c r="I2" s="4606"/>
      <c r="J2" s="4606"/>
      <c r="K2" s="4606"/>
      <c r="L2" s="4606"/>
      <c r="M2" s="4606"/>
      <c r="N2" s="4606"/>
      <c r="O2" s="4606"/>
      <c r="P2" s="4606"/>
      <c r="Q2" s="4606"/>
      <c r="R2" s="4606"/>
      <c r="S2" s="4607"/>
    </row>
    <row r="4" spans="2:20" x14ac:dyDescent="0.25">
      <c r="B4" s="4602" t="s">
        <v>2041</v>
      </c>
      <c r="C4" s="4602"/>
      <c r="D4" s="4602"/>
      <c r="E4" s="4602"/>
      <c r="F4" s="4602"/>
      <c r="G4" s="4602"/>
      <c r="H4" s="4602"/>
      <c r="I4" s="4602"/>
      <c r="J4" s="4602"/>
      <c r="K4" s="4602"/>
      <c r="L4" s="4602"/>
      <c r="M4" s="4602"/>
      <c r="N4" s="4602"/>
      <c r="O4" s="4602"/>
      <c r="P4" s="4602"/>
      <c r="Q4" s="4602"/>
      <c r="R4" s="4602"/>
      <c r="S4" s="4602"/>
    </row>
    <row r="5" spans="2:20" x14ac:dyDescent="0.25">
      <c r="B5" s="1351"/>
      <c r="C5" s="1351"/>
      <c r="D5" s="1351"/>
      <c r="E5" s="1351"/>
      <c r="F5" s="1351"/>
      <c r="G5" s="1351"/>
      <c r="H5" s="1351"/>
      <c r="I5" s="1351"/>
      <c r="J5" s="1351"/>
      <c r="K5" s="1351"/>
      <c r="L5" s="1351"/>
      <c r="M5" s="1351"/>
      <c r="N5" s="1351"/>
      <c r="O5" s="1351"/>
      <c r="P5" s="1351"/>
      <c r="Q5" s="1351"/>
      <c r="R5" s="1351"/>
      <c r="S5" s="1351"/>
    </row>
    <row r="6" spans="2:20" ht="17.25" thickBot="1" x14ac:dyDescent="0.3">
      <c r="C6" s="1350" t="e">
        <f>SUM(C10+C12+C14+C16+C18)</f>
        <v>#DIV/0!</v>
      </c>
      <c r="D6" s="1350" t="e">
        <f>SUM(D10+D12+D14+D16+D18)</f>
        <v>#DIV/0!</v>
      </c>
      <c r="E6" s="1350" t="e">
        <f t="shared" ref="E6:S6" si="0">SUM(E10+E12+E14+E16+E18)</f>
        <v>#DIV/0!</v>
      </c>
      <c r="F6" s="1350" t="e">
        <f t="shared" si="0"/>
        <v>#DIV/0!</v>
      </c>
      <c r="G6" s="1350" t="e">
        <f t="shared" si="0"/>
        <v>#DIV/0!</v>
      </c>
      <c r="H6" s="1350" t="e">
        <f t="shared" si="0"/>
        <v>#DIV/0!</v>
      </c>
      <c r="I6" s="1350" t="e">
        <f t="shared" si="0"/>
        <v>#DIV/0!</v>
      </c>
      <c r="J6" s="1350" t="e">
        <f t="shared" si="0"/>
        <v>#DIV/0!</v>
      </c>
      <c r="K6" s="1350" t="e">
        <f t="shared" si="0"/>
        <v>#DIV/0!</v>
      </c>
      <c r="L6" s="1350" t="e">
        <f t="shared" si="0"/>
        <v>#DIV/0!</v>
      </c>
      <c r="M6" s="1350" t="e">
        <f t="shared" si="0"/>
        <v>#DIV/0!</v>
      </c>
      <c r="N6" s="1350" t="e">
        <f t="shared" si="0"/>
        <v>#DIV/0!</v>
      </c>
      <c r="O6" s="1350" t="e">
        <f t="shared" si="0"/>
        <v>#DIV/0!</v>
      </c>
      <c r="P6" s="1350" t="e">
        <f t="shared" si="0"/>
        <v>#DIV/0!</v>
      </c>
      <c r="Q6" s="1350" t="e">
        <f t="shared" si="0"/>
        <v>#DIV/0!</v>
      </c>
      <c r="R6" s="1350" t="e">
        <f t="shared" si="0"/>
        <v>#DIV/0!</v>
      </c>
      <c r="S6" s="1350" t="e">
        <f t="shared" si="0"/>
        <v>#DIV/0!</v>
      </c>
    </row>
    <row r="7" spans="2:20" ht="17.25" thickBot="1" x14ac:dyDescent="0.3">
      <c r="B7" s="4603" t="s">
        <v>1292</v>
      </c>
      <c r="C7" s="1359">
        <v>0</v>
      </c>
      <c r="D7" s="1359">
        <v>0</v>
      </c>
      <c r="E7" s="1359">
        <v>1</v>
      </c>
      <c r="F7" s="1359">
        <v>2</v>
      </c>
      <c r="G7" s="1359">
        <v>3</v>
      </c>
      <c r="H7" s="1359">
        <v>4</v>
      </c>
      <c r="I7" s="1359">
        <v>5</v>
      </c>
      <c r="J7" s="1359">
        <v>6</v>
      </c>
      <c r="K7" s="1359">
        <v>7</v>
      </c>
      <c r="L7" s="1359">
        <v>8</v>
      </c>
      <c r="M7" s="1359">
        <v>9</v>
      </c>
      <c r="N7" s="1359">
        <v>10</v>
      </c>
      <c r="O7" s="1359">
        <v>11</v>
      </c>
      <c r="P7" s="1359">
        <v>12</v>
      </c>
      <c r="Q7" s="1359">
        <v>13</v>
      </c>
      <c r="R7" s="1359">
        <v>14</v>
      </c>
      <c r="S7" s="1360">
        <v>15</v>
      </c>
    </row>
    <row r="8" spans="2:20" ht="17.25" thickBot="1" x14ac:dyDescent="0.3">
      <c r="B8" s="4604"/>
      <c r="C8" s="1361">
        <v>2018</v>
      </c>
      <c r="D8" s="1361">
        <f>C8+1</f>
        <v>2019</v>
      </c>
      <c r="E8" s="1361">
        <f t="shared" ref="E8:S8" si="1">D8+1</f>
        <v>2020</v>
      </c>
      <c r="F8" s="1361">
        <f t="shared" si="1"/>
        <v>2021</v>
      </c>
      <c r="G8" s="1361">
        <f t="shared" si="1"/>
        <v>2022</v>
      </c>
      <c r="H8" s="1361">
        <f t="shared" si="1"/>
        <v>2023</v>
      </c>
      <c r="I8" s="1361">
        <f t="shared" si="1"/>
        <v>2024</v>
      </c>
      <c r="J8" s="1361">
        <f t="shared" si="1"/>
        <v>2025</v>
      </c>
      <c r="K8" s="1361">
        <f t="shared" si="1"/>
        <v>2026</v>
      </c>
      <c r="L8" s="1361">
        <f t="shared" si="1"/>
        <v>2027</v>
      </c>
      <c r="M8" s="1361">
        <f t="shared" si="1"/>
        <v>2028</v>
      </c>
      <c r="N8" s="1361">
        <f t="shared" si="1"/>
        <v>2029</v>
      </c>
      <c r="O8" s="1361">
        <f t="shared" si="1"/>
        <v>2030</v>
      </c>
      <c r="P8" s="1361">
        <f t="shared" si="1"/>
        <v>2031</v>
      </c>
      <c r="Q8" s="1361">
        <f t="shared" si="1"/>
        <v>2032</v>
      </c>
      <c r="R8" s="1361">
        <f t="shared" si="1"/>
        <v>2033</v>
      </c>
      <c r="S8" s="1362">
        <f t="shared" si="1"/>
        <v>2034</v>
      </c>
    </row>
    <row r="9" spans="2:20" ht="17.25" thickBot="1" x14ac:dyDescent="0.3">
      <c r="B9" s="1379" t="s">
        <v>71</v>
      </c>
      <c r="C9" s="1379"/>
      <c r="D9" s="1379"/>
      <c r="E9" s="1379"/>
      <c r="F9" s="1379"/>
      <c r="G9" s="1379"/>
      <c r="H9" s="1379"/>
      <c r="I9" s="1379"/>
      <c r="J9" s="1379"/>
      <c r="K9" s="1379"/>
      <c r="L9" s="1379"/>
      <c r="M9" s="1379"/>
      <c r="N9" s="1379"/>
      <c r="O9" s="1379"/>
      <c r="P9" s="1379"/>
      <c r="Q9" s="1379"/>
      <c r="R9" s="1379"/>
      <c r="S9" s="1379"/>
    </row>
    <row r="10" spans="2:20" ht="17.25" thickBot="1" x14ac:dyDescent="0.3">
      <c r="B10" s="4597" t="s">
        <v>1298</v>
      </c>
      <c r="C10" s="1354">
        <f>'14 Dda Consolidda'!E10*C11</f>
        <v>727.39241737423697</v>
      </c>
      <c r="D10" s="1354">
        <f>'14 Dda Consolidda'!F10*D11</f>
        <v>733.00749502117742</v>
      </c>
      <c r="E10" s="1354">
        <f>'14 Dda Consolidda'!G10*E11</f>
        <v>738.62681520914748</v>
      </c>
      <c r="F10" s="1354">
        <f>'14 Dda Consolidda'!H10*F11</f>
        <v>744.25038038300841</v>
      </c>
      <c r="G10" s="1354">
        <f>'14 Dda Consolidda'!I10*G11</f>
        <v>749.87819298887825</v>
      </c>
      <c r="H10" s="1354">
        <f>'14 Dda Consolidda'!J10*H11</f>
        <v>755.5102554741336</v>
      </c>
      <c r="I10" s="1354">
        <f>'14 Dda Consolidda'!K10*I11</f>
        <v>761.14657028741021</v>
      </c>
      <c r="J10" s="1354">
        <f>'14 Dda Consolidda'!L10*J11</f>
        <v>766.78713987860363</v>
      </c>
      <c r="K10" s="1354">
        <f>'14 Dda Consolidda'!M10*K11</f>
        <v>772.43196669886925</v>
      </c>
      <c r="L10" s="1354">
        <f>'14 Dda Consolidda'!N10*L11</f>
        <v>778.08105320062305</v>
      </c>
      <c r="M10" s="1354">
        <f>'14 Dda Consolidda'!O10*M11</f>
        <v>783.73440183754235</v>
      </c>
      <c r="N10" s="1354">
        <f>'14 Dda Consolidda'!P10*N11</f>
        <v>789.39201506456743</v>
      </c>
      <c r="O10" s="1354">
        <f>'14 Dda Consolidda'!Q10*O11</f>
        <v>795.05389533790003</v>
      </c>
      <c r="P10" s="1354">
        <f>'14 Dda Consolidda'!R10*P11</f>
        <v>800.72004511500563</v>
      </c>
      <c r="Q10" s="1354">
        <f>'14 Dda Consolidda'!S10*Q11</f>
        <v>806.39046685461324</v>
      </c>
      <c r="R10" s="1354">
        <f>'14 Dda Consolidda'!T10*R11</f>
        <v>812.06516301671672</v>
      </c>
      <c r="S10" s="1354">
        <f>'14 Dda Consolidda'!U10*S11</f>
        <v>817.74413606257485</v>
      </c>
      <c r="T10" s="1352">
        <f>SUM(H10:S10)</f>
        <v>9439.0571088285578</v>
      </c>
    </row>
    <row r="11" spans="2:20" ht="17.25" thickBot="1" x14ac:dyDescent="0.3">
      <c r="B11" s="4597"/>
      <c r="C11" s="1355">
        <f>'14 Dda Consolidda'!Z10</f>
        <v>1</v>
      </c>
      <c r="D11" s="1355">
        <f>'14 Dda Consolidda'!AA10</f>
        <v>1</v>
      </c>
      <c r="E11" s="1355">
        <f>'14 Dda Consolidda'!AB10</f>
        <v>1</v>
      </c>
      <c r="F11" s="1355">
        <f>'14 Dda Consolidda'!AC10</f>
        <v>1</v>
      </c>
      <c r="G11" s="1355">
        <f>'14 Dda Consolidda'!AD10</f>
        <v>1</v>
      </c>
      <c r="H11" s="1355">
        <f>'14 Dda Consolidda'!AE10</f>
        <v>1</v>
      </c>
      <c r="I11" s="1355">
        <f>'14 Dda Consolidda'!AF10</f>
        <v>1</v>
      </c>
      <c r="J11" s="1355">
        <f>'14 Dda Consolidda'!AG10</f>
        <v>1</v>
      </c>
      <c r="K11" s="1355">
        <f>'14 Dda Consolidda'!AH10</f>
        <v>1</v>
      </c>
      <c r="L11" s="1355">
        <f>'14 Dda Consolidda'!AI10</f>
        <v>1</v>
      </c>
      <c r="M11" s="1355">
        <f>'14 Dda Consolidda'!AJ10</f>
        <v>1</v>
      </c>
      <c r="N11" s="1355">
        <f>'14 Dda Consolidda'!AK10</f>
        <v>1</v>
      </c>
      <c r="O11" s="1355">
        <f>'14 Dda Consolidda'!AL10</f>
        <v>1</v>
      </c>
      <c r="P11" s="1355">
        <f>'14 Dda Consolidda'!AM10</f>
        <v>1</v>
      </c>
      <c r="Q11" s="1355">
        <f>'14 Dda Consolidda'!AN10</f>
        <v>1</v>
      </c>
      <c r="R11" s="1355">
        <f>'14 Dda Consolidda'!AO10</f>
        <v>1</v>
      </c>
      <c r="S11" s="1355">
        <f>'14 Dda Consolidda'!AP10</f>
        <v>1</v>
      </c>
      <c r="T11" s="1352"/>
    </row>
    <row r="12" spans="2:20" ht="17.25" thickBot="1" x14ac:dyDescent="0.3">
      <c r="B12" s="4597" t="s">
        <v>1300</v>
      </c>
      <c r="C12" s="1354" t="e">
        <f>'14 Dda Consolidda'!E11*C13</f>
        <v>#DIV/0!</v>
      </c>
      <c r="D12" s="1354" t="e">
        <f>'14 Dda Consolidda'!F11*D13</f>
        <v>#DIV/0!</v>
      </c>
      <c r="E12" s="1354" t="e">
        <f>'14 Dda Consolidda'!G11*E13</f>
        <v>#DIV/0!</v>
      </c>
      <c r="F12" s="1354" t="e">
        <f>'14 Dda Consolidda'!H11*F13</f>
        <v>#DIV/0!</v>
      </c>
      <c r="G12" s="1354" t="e">
        <f>'14 Dda Consolidda'!I11*G13</f>
        <v>#DIV/0!</v>
      </c>
      <c r="H12" s="1354" t="e">
        <f>'14 Dda Consolidda'!J11*H13</f>
        <v>#DIV/0!</v>
      </c>
      <c r="I12" s="1354" t="e">
        <f>'14 Dda Consolidda'!K11*I13</f>
        <v>#DIV/0!</v>
      </c>
      <c r="J12" s="1354" t="e">
        <f>'14 Dda Consolidda'!L11*J13</f>
        <v>#DIV/0!</v>
      </c>
      <c r="K12" s="1354" t="e">
        <f>'14 Dda Consolidda'!M11*K13</f>
        <v>#DIV/0!</v>
      </c>
      <c r="L12" s="1354" t="e">
        <f>'14 Dda Consolidda'!N11*L13</f>
        <v>#DIV/0!</v>
      </c>
      <c r="M12" s="1354" t="e">
        <f>'14 Dda Consolidda'!O11*M13</f>
        <v>#DIV/0!</v>
      </c>
      <c r="N12" s="1354" t="e">
        <f>'14 Dda Consolidda'!P11*N13</f>
        <v>#DIV/0!</v>
      </c>
      <c r="O12" s="1354" t="e">
        <f>'14 Dda Consolidda'!Q11*O13</f>
        <v>#DIV/0!</v>
      </c>
      <c r="P12" s="1354" t="e">
        <f>'14 Dda Consolidda'!R11*P13</f>
        <v>#DIV/0!</v>
      </c>
      <c r="Q12" s="1354">
        <f>'14 Dda Consolidda'!S11*Q13</f>
        <v>0</v>
      </c>
      <c r="R12" s="1354">
        <f>'14 Dda Consolidda'!T11*R13</f>
        <v>0</v>
      </c>
      <c r="S12" s="1354">
        <f>'14 Dda Consolidda'!U11*S13</f>
        <v>0</v>
      </c>
      <c r="T12" s="1352" t="e">
        <f>SUM(H12:S12)</f>
        <v>#DIV/0!</v>
      </c>
    </row>
    <row r="13" spans="2:20" ht="17.25" thickBot="1" x14ac:dyDescent="0.3">
      <c r="B13" s="4597"/>
      <c r="C13" s="1356" t="e">
        <f>'14 Dda Consolidda'!Z11</f>
        <v>#DIV/0!</v>
      </c>
      <c r="D13" s="1356" t="e">
        <f>'14 Dda Consolidda'!AA11</f>
        <v>#DIV/0!</v>
      </c>
      <c r="E13" s="1356" t="e">
        <f>'14 Dda Consolidda'!AB11</f>
        <v>#DIV/0!</v>
      </c>
      <c r="F13" s="1356" t="e">
        <f>'14 Dda Consolidda'!AC11</f>
        <v>#DIV/0!</v>
      </c>
      <c r="G13" s="1356" t="e">
        <f>'14 Dda Consolidda'!AD11</f>
        <v>#DIV/0!</v>
      </c>
      <c r="H13" s="1356" t="e">
        <f>'14 Dda Consolidda'!AE11</f>
        <v>#DIV/0!</v>
      </c>
      <c r="I13" s="1356" t="e">
        <f>'14 Dda Consolidda'!AF11</f>
        <v>#DIV/0!</v>
      </c>
      <c r="J13" s="1356" t="e">
        <f>'14 Dda Consolidda'!AG11</f>
        <v>#DIV/0!</v>
      </c>
      <c r="K13" s="1356" t="e">
        <f>'14 Dda Consolidda'!AH11</f>
        <v>#DIV/0!</v>
      </c>
      <c r="L13" s="1356" t="e">
        <f>'14 Dda Consolidda'!AI11</f>
        <v>#DIV/0!</v>
      </c>
      <c r="M13" s="1356" t="e">
        <f>'14 Dda Consolidda'!AJ11</f>
        <v>#DIV/0!</v>
      </c>
      <c r="N13" s="1356" t="e">
        <f>'14 Dda Consolidda'!AK11</f>
        <v>#DIV/0!</v>
      </c>
      <c r="O13" s="1356" t="e">
        <f>'14 Dda Consolidda'!AL11</f>
        <v>#DIV/0!</v>
      </c>
      <c r="P13" s="1356" t="e">
        <f>'14 Dda Consolidda'!AM11</f>
        <v>#DIV/0!</v>
      </c>
      <c r="Q13" s="1356">
        <f>'14 Dda Consolidda'!AN11</f>
        <v>1</v>
      </c>
      <c r="R13" s="1356">
        <f>'14 Dda Consolidda'!AO11</f>
        <v>1</v>
      </c>
      <c r="S13" s="1356">
        <f>'14 Dda Consolidda'!AP11</f>
        <v>1</v>
      </c>
      <c r="T13" s="1352"/>
    </row>
    <row r="14" spans="2:20" ht="17.25" thickBot="1" x14ac:dyDescent="0.3">
      <c r="B14" s="4597" t="s">
        <v>1965</v>
      </c>
      <c r="C14" s="1354" t="e">
        <f>'14 Dda Consolidda'!E12*C15</f>
        <v>#DIV/0!</v>
      </c>
      <c r="D14" s="1354" t="e">
        <f>'14 Dda Consolidda'!F12*D15</f>
        <v>#DIV/0!</v>
      </c>
      <c r="E14" s="1354" t="e">
        <f>'14 Dda Consolidda'!G12*E15</f>
        <v>#DIV/0!</v>
      </c>
      <c r="F14" s="1354" t="e">
        <f>'14 Dda Consolidda'!H12*F15</f>
        <v>#DIV/0!</v>
      </c>
      <c r="G14" s="1354" t="e">
        <f>'14 Dda Consolidda'!I12*G15</f>
        <v>#DIV/0!</v>
      </c>
      <c r="H14" s="1354" t="e">
        <f>'14 Dda Consolidda'!J12*H15</f>
        <v>#DIV/0!</v>
      </c>
      <c r="I14" s="1354" t="e">
        <f>'14 Dda Consolidda'!K12*I15</f>
        <v>#DIV/0!</v>
      </c>
      <c r="J14" s="1354" t="e">
        <f>'14 Dda Consolidda'!L12*J15</f>
        <v>#DIV/0!</v>
      </c>
      <c r="K14" s="1354" t="e">
        <f>'14 Dda Consolidda'!M12*K15</f>
        <v>#DIV/0!</v>
      </c>
      <c r="L14" s="1354" t="e">
        <f>'14 Dda Consolidda'!N12*L15</f>
        <v>#DIV/0!</v>
      </c>
      <c r="M14" s="1354" t="e">
        <f>'14 Dda Consolidda'!O12*M15</f>
        <v>#DIV/0!</v>
      </c>
      <c r="N14" s="1354" t="e">
        <f>'14 Dda Consolidda'!P12*N15</f>
        <v>#DIV/0!</v>
      </c>
      <c r="O14" s="1354" t="e">
        <f>'14 Dda Consolidda'!Q12*O15</f>
        <v>#DIV/0!</v>
      </c>
      <c r="P14" s="1354" t="e">
        <f>'14 Dda Consolidda'!R12*P15</f>
        <v>#DIV/0!</v>
      </c>
      <c r="Q14" s="1354" t="e">
        <f>'14 Dda Consolidda'!S12*Q15</f>
        <v>#DIV/0!</v>
      </c>
      <c r="R14" s="1354" t="e">
        <f>'14 Dda Consolidda'!T12*R15</f>
        <v>#DIV/0!</v>
      </c>
      <c r="S14" s="1354" t="e">
        <f>'14 Dda Consolidda'!U12*S15</f>
        <v>#DIV/0!</v>
      </c>
      <c r="T14" s="1352" t="e">
        <f>SUM(H14:S14)</f>
        <v>#DIV/0!</v>
      </c>
    </row>
    <row r="15" spans="2:20" ht="17.25" thickBot="1" x14ac:dyDescent="0.3">
      <c r="B15" s="4597"/>
      <c r="C15" s="1355" t="e">
        <f>'14 Dda Consolidda'!Z12</f>
        <v>#DIV/0!</v>
      </c>
      <c r="D15" s="1355" t="e">
        <f>'14 Dda Consolidda'!AA12</f>
        <v>#DIV/0!</v>
      </c>
      <c r="E15" s="1355" t="e">
        <f>'14 Dda Consolidda'!AB12</f>
        <v>#DIV/0!</v>
      </c>
      <c r="F15" s="1355" t="e">
        <f>'14 Dda Consolidda'!AC12</f>
        <v>#DIV/0!</v>
      </c>
      <c r="G15" s="1355" t="e">
        <f>'14 Dda Consolidda'!AD12</f>
        <v>#DIV/0!</v>
      </c>
      <c r="H15" s="1355" t="e">
        <f>'14 Dda Consolidda'!AE12</f>
        <v>#DIV/0!</v>
      </c>
      <c r="I15" s="1355" t="e">
        <f>'14 Dda Consolidda'!AF12</f>
        <v>#DIV/0!</v>
      </c>
      <c r="J15" s="1355" t="e">
        <f>'14 Dda Consolidda'!AG12</f>
        <v>#DIV/0!</v>
      </c>
      <c r="K15" s="1355" t="e">
        <f>'14 Dda Consolidda'!AH12</f>
        <v>#DIV/0!</v>
      </c>
      <c r="L15" s="1355" t="e">
        <f>'14 Dda Consolidda'!AI12</f>
        <v>#DIV/0!</v>
      </c>
      <c r="M15" s="1355" t="e">
        <f>'14 Dda Consolidda'!AJ12</f>
        <v>#DIV/0!</v>
      </c>
      <c r="N15" s="1355" t="e">
        <f>'14 Dda Consolidda'!AK12</f>
        <v>#DIV/0!</v>
      </c>
      <c r="O15" s="1355" t="e">
        <f>'14 Dda Consolidda'!AL12</f>
        <v>#DIV/0!</v>
      </c>
      <c r="P15" s="1355" t="e">
        <f>'14 Dda Consolidda'!AM12</f>
        <v>#DIV/0!</v>
      </c>
      <c r="Q15" s="1355">
        <f>'14 Dda Consolidda'!AN12</f>
        <v>1</v>
      </c>
      <c r="R15" s="1355">
        <f>'14 Dda Consolidda'!AO12</f>
        <v>1</v>
      </c>
      <c r="S15" s="1355">
        <f>'14 Dda Consolidda'!AP12</f>
        <v>1</v>
      </c>
      <c r="T15" s="1352"/>
    </row>
    <row r="16" spans="2:20" ht="17.25" thickBot="1" x14ac:dyDescent="0.3">
      <c r="B16" s="4597" t="s">
        <v>1967</v>
      </c>
      <c r="C16" s="1354">
        <f>'14 Dda Consolidda'!E13*C17</f>
        <v>0</v>
      </c>
      <c r="D16" s="1354">
        <f>'14 Dda Consolidda'!F13*D17</f>
        <v>29.133965655927494</v>
      </c>
      <c r="E16" s="1354">
        <f>'14 Dda Consolidda'!G13*E17</f>
        <v>58.714620008704543</v>
      </c>
      <c r="F16" s="1354">
        <f>'14 Dda Consolidda'!H13*F17</f>
        <v>88.742469219348536</v>
      </c>
      <c r="G16" s="1354">
        <f>'14 Dda Consolidda'!I13*G17</f>
        <v>119.21801983776859</v>
      </c>
      <c r="H16" s="1354">
        <f>'14 Dda Consolidda'!J13*H17</f>
        <v>150.14177880301543</v>
      </c>
      <c r="I16" s="1354">
        <f>'14 Dda Consolidda'!K13*I17</f>
        <v>181.51425344353186</v>
      </c>
      <c r="J16" s="1354">
        <f>'14 Dda Consolidda'!L13*J17</f>
        <v>213.33595147740311</v>
      </c>
      <c r="K16" s="1354">
        <f>'14 Dda Consolidda'!M13*K17</f>
        <v>245.60738101260705</v>
      </c>
      <c r="L16" s="1354">
        <f>'14 Dda Consolidda'!N13*L17</f>
        <v>278.32905054726518</v>
      </c>
      <c r="M16" s="1354">
        <f>'14 Dda Consolidda'!O13*M17</f>
        <v>311.50146896989304</v>
      </c>
      <c r="N16" s="1354">
        <f>'14 Dda Consolidda'!P13*N17</f>
        <v>345.12514555965157</v>
      </c>
      <c r="O16" s="1354">
        <f>'14 Dda Consolidda'!Q13*O17</f>
        <v>379.20058998659817</v>
      </c>
      <c r="P16" s="1354">
        <f>'14 Dda Consolidda'!R13*P17</f>
        <v>413.72831231193743</v>
      </c>
      <c r="Q16" s="1354">
        <f>'14 Dda Consolidda'!S13*Q17</f>
        <v>448.70882298827303</v>
      </c>
      <c r="R16" s="1354">
        <f>'14 Dda Consolidda'!T13*R17</f>
        <v>451.86645733586835</v>
      </c>
      <c r="S16" s="1354">
        <f>'14 Dda Consolidda'!U13*S17</f>
        <v>455.02647151749488</v>
      </c>
      <c r="T16" s="1352">
        <f>SUM(H16:S16)</f>
        <v>3874.085683953539</v>
      </c>
    </row>
    <row r="17" spans="2:29" ht="17.25" thickBot="1" x14ac:dyDescent="0.3">
      <c r="B17" s="4597"/>
      <c r="C17" s="1355">
        <f>'14 Dda Consolidda'!Z13</f>
        <v>0</v>
      </c>
      <c r="D17" s="1355">
        <f>'14 Dda Consolidda'!AA13</f>
        <v>7.1428571428571425E-2</v>
      </c>
      <c r="E17" s="1355">
        <f>'14 Dda Consolidda'!AB13</f>
        <v>0.14285714285714285</v>
      </c>
      <c r="F17" s="1355">
        <f>'14 Dda Consolidda'!AC13</f>
        <v>0.21428571428571427</v>
      </c>
      <c r="G17" s="1355">
        <f>'14 Dda Consolidda'!AD13</f>
        <v>0.2857142857142857</v>
      </c>
      <c r="H17" s="1355">
        <f>'14 Dda Consolidda'!AE13</f>
        <v>0.3571428571428571</v>
      </c>
      <c r="I17" s="1355">
        <f>'14 Dda Consolidda'!AF13</f>
        <v>0.42857142857142849</v>
      </c>
      <c r="J17" s="1355">
        <f>'14 Dda Consolidda'!AG13</f>
        <v>0.49999999999999989</v>
      </c>
      <c r="K17" s="1355">
        <f>'14 Dda Consolidda'!AH13</f>
        <v>0.57142857142857129</v>
      </c>
      <c r="L17" s="1355">
        <f>'14 Dda Consolidda'!AI13</f>
        <v>0.64285714285714268</v>
      </c>
      <c r="M17" s="1355">
        <f>'14 Dda Consolidda'!AJ13</f>
        <v>0.71428571428571408</v>
      </c>
      <c r="N17" s="1355">
        <f>'14 Dda Consolidda'!AK13</f>
        <v>0.78571428571428548</v>
      </c>
      <c r="O17" s="1355">
        <f>'14 Dda Consolidda'!AL13</f>
        <v>0.85714285714285687</v>
      </c>
      <c r="P17" s="1355">
        <f>'14 Dda Consolidda'!AM13</f>
        <v>0.92857142857142827</v>
      </c>
      <c r="Q17" s="1355">
        <f>'14 Dda Consolidda'!AN13</f>
        <v>1</v>
      </c>
      <c r="R17" s="1355">
        <f>'14 Dda Consolidda'!AO13</f>
        <v>1</v>
      </c>
      <c r="S17" s="1355">
        <f>'14 Dda Consolidda'!AP13</f>
        <v>1</v>
      </c>
      <c r="T17" s="1352"/>
    </row>
    <row r="18" spans="2:29" ht="17.25" thickBot="1" x14ac:dyDescent="0.3">
      <c r="B18" s="4597" t="s">
        <v>1305</v>
      </c>
      <c r="C18" s="1354" t="e">
        <f>'14 Dda Consolidda'!E14*C19</f>
        <v>#DIV/0!</v>
      </c>
      <c r="D18" s="1354" t="e">
        <f>'14 Dda Consolidda'!F14*D19</f>
        <v>#DIV/0!</v>
      </c>
      <c r="E18" s="1354" t="e">
        <f>'14 Dda Consolidda'!G14*E19</f>
        <v>#DIV/0!</v>
      </c>
      <c r="F18" s="1354" t="e">
        <f>'14 Dda Consolidda'!H14*F19</f>
        <v>#DIV/0!</v>
      </c>
      <c r="G18" s="1354" t="e">
        <f>'14 Dda Consolidda'!I14*G19</f>
        <v>#DIV/0!</v>
      </c>
      <c r="H18" s="1354" t="e">
        <f>'14 Dda Consolidda'!J14*H19</f>
        <v>#DIV/0!</v>
      </c>
      <c r="I18" s="1354" t="e">
        <f>'14 Dda Consolidda'!K14*I19</f>
        <v>#DIV/0!</v>
      </c>
      <c r="J18" s="1354" t="e">
        <f>'14 Dda Consolidda'!L14*J19</f>
        <v>#DIV/0!</v>
      </c>
      <c r="K18" s="1354" t="e">
        <f>'14 Dda Consolidda'!M14*K19</f>
        <v>#DIV/0!</v>
      </c>
      <c r="L18" s="1354" t="e">
        <f>'14 Dda Consolidda'!N14*L19</f>
        <v>#DIV/0!</v>
      </c>
      <c r="M18" s="1354" t="e">
        <f>'14 Dda Consolidda'!O14*M19</f>
        <v>#DIV/0!</v>
      </c>
      <c r="N18" s="1354" t="e">
        <f>'14 Dda Consolidda'!P14*N19</f>
        <v>#DIV/0!</v>
      </c>
      <c r="O18" s="1354" t="e">
        <f>'14 Dda Consolidda'!Q14*O19</f>
        <v>#DIV/0!</v>
      </c>
      <c r="P18" s="1354" t="e">
        <f>'14 Dda Consolidda'!R14*P19</f>
        <v>#DIV/0!</v>
      </c>
      <c r="Q18" s="1354" t="e">
        <f>'14 Dda Consolidda'!S14*Q19</f>
        <v>#DIV/0!</v>
      </c>
      <c r="R18" s="1354" t="e">
        <f>'14 Dda Consolidda'!T14*R19</f>
        <v>#DIV/0!</v>
      </c>
      <c r="S18" s="1354" t="e">
        <f>'14 Dda Consolidda'!U14*S19</f>
        <v>#DIV/0!</v>
      </c>
      <c r="T18" s="1352" t="e">
        <f>SUM(H18:S18)</f>
        <v>#DIV/0!</v>
      </c>
    </row>
    <row r="19" spans="2:29" ht="17.25" thickBot="1" x14ac:dyDescent="0.3">
      <c r="B19" s="4597"/>
      <c r="C19" s="1355" t="e">
        <f>'14 Dda Consolidda'!Z14</f>
        <v>#DIV/0!</v>
      </c>
      <c r="D19" s="1355" t="e">
        <f>'14 Dda Consolidda'!AA14</f>
        <v>#DIV/0!</v>
      </c>
      <c r="E19" s="1355" t="e">
        <f>'14 Dda Consolidda'!AB14</f>
        <v>#DIV/0!</v>
      </c>
      <c r="F19" s="1355" t="e">
        <f>'14 Dda Consolidda'!AC14</f>
        <v>#DIV/0!</v>
      </c>
      <c r="G19" s="1355" t="e">
        <f>'14 Dda Consolidda'!AD14</f>
        <v>#DIV/0!</v>
      </c>
      <c r="H19" s="1355" t="e">
        <f>'14 Dda Consolidda'!AE14</f>
        <v>#DIV/0!</v>
      </c>
      <c r="I19" s="1355" t="e">
        <f>'14 Dda Consolidda'!AF14</f>
        <v>#DIV/0!</v>
      </c>
      <c r="J19" s="1355" t="e">
        <f>'14 Dda Consolidda'!AG14</f>
        <v>#DIV/0!</v>
      </c>
      <c r="K19" s="1355" t="e">
        <f>'14 Dda Consolidda'!AH14</f>
        <v>#DIV/0!</v>
      </c>
      <c r="L19" s="1355" t="e">
        <f>'14 Dda Consolidda'!AI14</f>
        <v>#DIV/0!</v>
      </c>
      <c r="M19" s="1355" t="e">
        <f>'14 Dda Consolidda'!AJ14</f>
        <v>#DIV/0!</v>
      </c>
      <c r="N19" s="1355" t="e">
        <f>'14 Dda Consolidda'!AK14</f>
        <v>#DIV/0!</v>
      </c>
      <c r="O19" s="1355" t="e">
        <f>'14 Dda Consolidda'!AL14</f>
        <v>#DIV/0!</v>
      </c>
      <c r="P19" s="1355" t="e">
        <f>'14 Dda Consolidda'!AM14</f>
        <v>#DIV/0!</v>
      </c>
      <c r="Q19" s="1355">
        <f>'14 Dda Consolidda'!AN14</f>
        <v>1</v>
      </c>
      <c r="R19" s="1355">
        <f>'14 Dda Consolidda'!AO14</f>
        <v>1</v>
      </c>
      <c r="S19" s="1355">
        <f>'14 Dda Consolidda'!AP14</f>
        <v>1</v>
      </c>
      <c r="T19" s="1352"/>
    </row>
    <row r="20" spans="2:29" ht="17.25" thickBot="1" x14ac:dyDescent="0.3">
      <c r="B20" s="1380" t="s">
        <v>1225</v>
      </c>
      <c r="C20" s="1380"/>
      <c r="D20" s="1380"/>
      <c r="E20" s="1380"/>
      <c r="F20" s="1380"/>
      <c r="G20" s="1380"/>
      <c r="H20" s="1380"/>
      <c r="I20" s="1380"/>
      <c r="J20" s="1380"/>
      <c r="K20" s="1380"/>
      <c r="L20" s="1380"/>
      <c r="M20" s="1380"/>
      <c r="N20" s="1380"/>
      <c r="O20" s="1380"/>
      <c r="P20" s="1380"/>
      <c r="Q20" s="1380"/>
      <c r="R20" s="1380"/>
      <c r="S20" s="1380"/>
      <c r="T20" s="1352"/>
    </row>
    <row r="21" spans="2:29" ht="17.25" thickBot="1" x14ac:dyDescent="0.3">
      <c r="B21" s="4597" t="s">
        <v>1226</v>
      </c>
      <c r="C21" s="1354">
        <f>'14 Dda Consolidda'!E16*C22</f>
        <v>46.8</v>
      </c>
      <c r="D21" s="1354">
        <f>'14 Dda Consolidda'!F16*D22</f>
        <v>75.136223599272085</v>
      </c>
      <c r="E21" s="1354">
        <f>'14 Dda Consolidda'!G16*E22</f>
        <v>103.4944011606536</v>
      </c>
      <c r="F21" s="1354">
        <f>'14 Dda Consolidda'!H16*F22</f>
        <v>131.87454544376533</v>
      </c>
      <c r="G21" s="1354">
        <f>'14 Dda Consolidda'!I16*G22</f>
        <v>160.27666921482037</v>
      </c>
      <c r="H21" s="1354">
        <f>'14 Dda Consolidda'!J16*H22</f>
        <v>188.70078524662719</v>
      </c>
      <c r="I21" s="1354">
        <f>'14 Dda Consolidda'!K16*I22</f>
        <v>217.14690631859293</v>
      </c>
      <c r="J21" s="1354">
        <f>'14 Dda Consolidda'!L16*J22</f>
        <v>245.61504521672654</v>
      </c>
      <c r="K21" s="1354">
        <f>'14 Dda Consolidda'!M16*K22</f>
        <v>274.10521473364201</v>
      </c>
      <c r="L21" s="1354">
        <f>'14 Dda Consolidda'!N16*L22</f>
        <v>302.6174276685615</v>
      </c>
      <c r="M21" s="1354">
        <f>'14 Dda Consolidda'!O16*M22</f>
        <v>331.15169682731874</v>
      </c>
      <c r="N21" s="1354">
        <f>'14 Dda Consolidda'!P16*N22</f>
        <v>359.70803502236191</v>
      </c>
      <c r="O21" s="1354">
        <f>'14 Dda Consolidda'!Q16*O22</f>
        <v>388.28645507275712</v>
      </c>
      <c r="P21" s="1354">
        <f>'14 Dda Consolidda'!R16*P22</f>
        <v>416.88696980419149</v>
      </c>
      <c r="Q21" s="1354">
        <f>'14 Dda Consolidda'!S16*Q22</f>
        <v>445.50959204897651</v>
      </c>
      <c r="R21" s="1354">
        <f>'14 Dda Consolidda'!T16*R22</f>
        <v>445.68223028926286</v>
      </c>
      <c r="S21" s="1354">
        <f>'14 Dda Consolidda'!U16*S22</f>
        <v>445.85493542813578</v>
      </c>
      <c r="T21" s="1352">
        <f>SUM(H21:S21)</f>
        <v>4061.2652936771551</v>
      </c>
    </row>
    <row r="22" spans="2:29" ht="17.25" thickBot="1" x14ac:dyDescent="0.3">
      <c r="B22" s="4597"/>
      <c r="C22" s="1355">
        <f>'14 Dda Consolidda'!Z16</f>
        <v>0.10561957846890198</v>
      </c>
      <c r="D22" s="1355">
        <f>'14 Dda Consolidda'!AA16</f>
        <v>0.16950389429255183</v>
      </c>
      <c r="E22" s="1355">
        <f>'14 Dda Consolidda'!AB16</f>
        <v>0.2333882101162017</v>
      </c>
      <c r="F22" s="1355">
        <f>'14 Dda Consolidda'!AC16</f>
        <v>0.29727252593985154</v>
      </c>
      <c r="G22" s="1355">
        <f>'14 Dda Consolidda'!AD16</f>
        <v>0.36115684176350138</v>
      </c>
      <c r="H22" s="1355">
        <f>'14 Dda Consolidda'!AE16</f>
        <v>0.42504115758715122</v>
      </c>
      <c r="I22" s="1355">
        <f>'14 Dda Consolidda'!AF16</f>
        <v>0.48892547341080106</v>
      </c>
      <c r="J22" s="1355">
        <f>'14 Dda Consolidda'!AG16</f>
        <v>0.5528097892344509</v>
      </c>
      <c r="K22" s="1355">
        <f>'14 Dda Consolidda'!AH16</f>
        <v>0.61669410505810074</v>
      </c>
      <c r="L22" s="1355">
        <f>'14 Dda Consolidda'!AI16</f>
        <v>0.68057842088175058</v>
      </c>
      <c r="M22" s="1355">
        <f>'14 Dda Consolidda'!AJ16</f>
        <v>0.74446273670540042</v>
      </c>
      <c r="N22" s="1355">
        <f>'14 Dda Consolidda'!AK16</f>
        <v>0.80834705252905026</v>
      </c>
      <c r="O22" s="1355">
        <f>'14 Dda Consolidda'!AL16</f>
        <v>0.8722313683527001</v>
      </c>
      <c r="P22" s="1355">
        <f>'14 Dda Consolidda'!AM16</f>
        <v>0.93611568417634994</v>
      </c>
      <c r="Q22" s="1355">
        <f>'14 Dda Consolidda'!AN16</f>
        <v>1</v>
      </c>
      <c r="R22" s="1355">
        <f>'14 Dda Consolidda'!AO16</f>
        <v>1</v>
      </c>
      <c r="S22" s="1355">
        <f>'14 Dda Consolidda'!AP16</f>
        <v>1</v>
      </c>
      <c r="T22" s="1352"/>
    </row>
    <row r="23" spans="2:29" ht="17.25" thickBot="1" x14ac:dyDescent="0.3">
      <c r="B23" s="4597" t="s">
        <v>414</v>
      </c>
      <c r="C23" s="1354">
        <f>'14 Dda Consolidda'!E17*C24</f>
        <v>1155.2201406658853</v>
      </c>
      <c r="D23" s="1354">
        <f>'14 Dda Consolidda'!F17*D24</f>
        <v>1155.6677969583361</v>
      </c>
      <c r="E23" s="1354">
        <f>'14 Dda Consolidda'!G17*E24</f>
        <v>1156.1156267208894</v>
      </c>
      <c r="F23" s="1354">
        <f>'14 Dda Consolidda'!H17*F24</f>
        <v>1156.5636300207659</v>
      </c>
      <c r="G23" s="1354">
        <f>'14 Dda Consolidda'!I17*G24</f>
        <v>1157.011806925213</v>
      </c>
      <c r="H23" s="1354">
        <f>'14 Dda Consolidda'!J17*H24</f>
        <v>1157.4601575015035</v>
      </c>
      <c r="I23" s="1354">
        <f>'14 Dda Consolidda'!K17*I24</f>
        <v>1157.9086818169365</v>
      </c>
      <c r="J23" s="1354">
        <f>'14 Dda Consolidda'!L17*J24</f>
        <v>1158.3573799388371</v>
      </c>
      <c r="K23" s="1354">
        <f>'14 Dda Consolidda'!M17*K24</f>
        <v>1158.8062519345569</v>
      </c>
      <c r="L23" s="1354">
        <f>'14 Dda Consolidda'!N17*L24</f>
        <v>1159.2552978714732</v>
      </c>
      <c r="M23" s="1354">
        <f>'14 Dda Consolidda'!O17*M24</f>
        <v>1159.7045178169892</v>
      </c>
      <c r="N23" s="1354">
        <f>'14 Dda Consolidda'!P17*N24</f>
        <v>1160.1539118385349</v>
      </c>
      <c r="O23" s="1354">
        <f>'14 Dda Consolidda'!Q17*O24</f>
        <v>1160.6034800035657</v>
      </c>
      <c r="P23" s="1354">
        <f>'14 Dda Consolidda'!R17*P24</f>
        <v>1161.0532223795637</v>
      </c>
      <c r="Q23" s="1354">
        <f>'14 Dda Consolidda'!S17*Q24</f>
        <v>1161.5031390340368</v>
      </c>
      <c r="R23" s="1354">
        <f>'14 Dda Consolidda'!T17*R24</f>
        <v>1161.9532300345193</v>
      </c>
      <c r="S23" s="1354">
        <f>'14 Dda Consolidda'!U17*S24</f>
        <v>1162.4034954485714</v>
      </c>
      <c r="T23" s="1352">
        <f>SUM(H23:S23)</f>
        <v>13919.162765619087</v>
      </c>
    </row>
    <row r="24" spans="2:29" ht="17.25" thickBot="1" x14ac:dyDescent="0.3">
      <c r="B24" s="4597"/>
      <c r="C24" s="1355">
        <f>'14 Dda Consolidda'!Z17</f>
        <v>1</v>
      </c>
      <c r="D24" s="1355">
        <f>'14 Dda Consolidda'!AA17</f>
        <v>1</v>
      </c>
      <c r="E24" s="1355">
        <f>'14 Dda Consolidda'!AB17</f>
        <v>1</v>
      </c>
      <c r="F24" s="1355">
        <f>'14 Dda Consolidda'!AC17</f>
        <v>1</v>
      </c>
      <c r="G24" s="1355">
        <f>'14 Dda Consolidda'!AD17</f>
        <v>1</v>
      </c>
      <c r="H24" s="1355">
        <f>'14 Dda Consolidda'!AE17</f>
        <v>1</v>
      </c>
      <c r="I24" s="1355">
        <f>'14 Dda Consolidda'!AF17</f>
        <v>1</v>
      </c>
      <c r="J24" s="1355">
        <f>'14 Dda Consolidda'!AG17</f>
        <v>1</v>
      </c>
      <c r="K24" s="1355">
        <f>'14 Dda Consolidda'!AH17</f>
        <v>1</v>
      </c>
      <c r="L24" s="1355">
        <f>'14 Dda Consolidda'!AI17</f>
        <v>1</v>
      </c>
      <c r="M24" s="1355">
        <f>'14 Dda Consolidda'!AJ17</f>
        <v>1</v>
      </c>
      <c r="N24" s="1355">
        <f>'14 Dda Consolidda'!AK17</f>
        <v>1</v>
      </c>
      <c r="O24" s="1355">
        <f>'14 Dda Consolidda'!AL17</f>
        <v>1</v>
      </c>
      <c r="P24" s="1355">
        <f>'14 Dda Consolidda'!AM17</f>
        <v>1</v>
      </c>
      <c r="Q24" s="1355">
        <f>'14 Dda Consolidda'!AN17</f>
        <v>1</v>
      </c>
      <c r="R24" s="1355">
        <f>'14 Dda Consolidda'!AO17</f>
        <v>1</v>
      </c>
      <c r="S24" s="1355">
        <f>'14 Dda Consolidda'!AP17</f>
        <v>1</v>
      </c>
      <c r="T24" s="1352"/>
    </row>
    <row r="25" spans="2:29" ht="17.25" thickBot="1" x14ac:dyDescent="0.3">
      <c r="B25" s="4597" t="s">
        <v>2042</v>
      </c>
      <c r="C25" s="1354">
        <f>'14 Dda Consolidda'!E18*C26</f>
        <v>7.5000000000000009</v>
      </c>
      <c r="D25" s="1354">
        <f>'14 Dda Consolidda'!F18*D26</f>
        <v>16.686861278310808</v>
      </c>
      <c r="E25" s="1354">
        <f>'14 Dda Consolidda'!G18*E26</f>
        <v>25.880841382898062</v>
      </c>
      <c r="F25" s="1354">
        <f>'14 Dda Consolidda'!H18*F26</f>
        <v>35.081944451439782</v>
      </c>
      <c r="G25" s="1354">
        <f>'14 Dda Consolidda'!I18*G26</f>
        <v>44.290174623751767</v>
      </c>
      <c r="H25" s="1354">
        <f>'14 Dda Consolidda'!J18*H26</f>
        <v>53.505536041788659</v>
      </c>
      <c r="I25" s="1354">
        <f>'14 Dda Consolidda'!K18*I26</f>
        <v>62.728032849644933</v>
      </c>
      <c r="J25" s="1354">
        <f>'14 Dda Consolidda'!L18*J26</f>
        <v>71.957669193555958</v>
      </c>
      <c r="K25" s="1354">
        <f>'14 Dda Consolidda'!M18*K26</f>
        <v>81.194449221899035</v>
      </c>
      <c r="L25" s="1354">
        <f>'14 Dda Consolidda'!N18*L26</f>
        <v>90.43837708519446</v>
      </c>
      <c r="M25" s="1354">
        <f>'14 Dda Consolidda'!O18*M26</f>
        <v>99.689456936106495</v>
      </c>
      <c r="N25" s="1354">
        <f>'14 Dda Consolidda'!P18*N26</f>
        <v>108.94769292944444</v>
      </c>
      <c r="O25" s="1354">
        <f>'14 Dda Consolidda'!Q18*O26</f>
        <v>118.21308922216376</v>
      </c>
      <c r="P25" s="1354">
        <f>'14 Dda Consolidda'!R18*P26</f>
        <v>127.48564997336692</v>
      </c>
      <c r="Q25" s="1354">
        <f>'14 Dda Consolidda'!S18*Q26</f>
        <v>136.76537934430465</v>
      </c>
      <c r="R25" s="1354">
        <f>'14 Dda Consolidda'!T18*R26</f>
        <v>136.81837693367979</v>
      </c>
      <c r="S25" s="1354">
        <f>'14 Dda Consolidda'!U18*S26</f>
        <v>136.8713950600102</v>
      </c>
      <c r="T25" s="1352">
        <f>SUM(H25:S25)</f>
        <v>1224.6151047911592</v>
      </c>
    </row>
    <row r="26" spans="2:29" ht="17.25" thickBot="1" x14ac:dyDescent="0.3">
      <c r="B26" s="4597"/>
      <c r="C26" s="1355">
        <f>'14 Dda Consolidda'!Z18</f>
        <v>5.5136694331482078E-2</v>
      </c>
      <c r="D26" s="1355">
        <f>'14 Dda Consolidda'!AA18</f>
        <v>0.12262693045066193</v>
      </c>
      <c r="E26" s="1355">
        <f>'14 Dda Consolidda'!AB18</f>
        <v>0.19011716656984179</v>
      </c>
      <c r="F26" s="1355">
        <f>'14 Dda Consolidda'!AC18</f>
        <v>0.25760740268902166</v>
      </c>
      <c r="G26" s="1355">
        <f>'14 Dda Consolidda'!AD18</f>
        <v>0.32509763880820153</v>
      </c>
      <c r="H26" s="1355">
        <f>'14 Dda Consolidda'!AE18</f>
        <v>0.3925878749273814</v>
      </c>
      <c r="I26" s="1355">
        <f>'14 Dda Consolidda'!AF18</f>
        <v>0.46007811104656127</v>
      </c>
      <c r="J26" s="1355">
        <f>'14 Dda Consolidda'!AG18</f>
        <v>0.52756834716574108</v>
      </c>
      <c r="K26" s="1355">
        <f>'14 Dda Consolidda'!AH18</f>
        <v>0.59505858328492089</v>
      </c>
      <c r="L26" s="1355">
        <f>'14 Dda Consolidda'!AI18</f>
        <v>0.66254881940410071</v>
      </c>
      <c r="M26" s="1355">
        <f>'14 Dda Consolidda'!AJ18</f>
        <v>0.73003905552328052</v>
      </c>
      <c r="N26" s="1355">
        <f>'14 Dda Consolidda'!AK18</f>
        <v>0.79752929164246034</v>
      </c>
      <c r="O26" s="1355">
        <f>'14 Dda Consolidda'!AL18</f>
        <v>0.86501952776164015</v>
      </c>
      <c r="P26" s="1355">
        <f>'14 Dda Consolidda'!AM18</f>
        <v>0.93250976388081996</v>
      </c>
      <c r="Q26" s="1355">
        <f>'14 Dda Consolidda'!AN18</f>
        <v>1</v>
      </c>
      <c r="R26" s="1355">
        <f>'14 Dda Consolidda'!AO18</f>
        <v>1</v>
      </c>
      <c r="S26" s="1355">
        <f>'14 Dda Consolidda'!AP18</f>
        <v>1</v>
      </c>
      <c r="T26" s="1352"/>
    </row>
    <row r="27" spans="2:29" ht="17.25" thickBot="1" x14ac:dyDescent="0.3">
      <c r="B27" s="4597" t="s">
        <v>1232</v>
      </c>
      <c r="C27" s="1354" t="e">
        <f>'14 Dda Consolidda'!E19*C28</f>
        <v>#DIV/0!</v>
      </c>
      <c r="D27" s="1354" t="e">
        <f>'14 Dda Consolidda'!F19*D28</f>
        <v>#DIV/0!</v>
      </c>
      <c r="E27" s="1354" t="e">
        <f>'14 Dda Consolidda'!G19*E28</f>
        <v>#DIV/0!</v>
      </c>
      <c r="F27" s="1354" t="e">
        <f>'14 Dda Consolidda'!H19*F28</f>
        <v>#DIV/0!</v>
      </c>
      <c r="G27" s="1354" t="e">
        <f>'14 Dda Consolidda'!I19*G28</f>
        <v>#DIV/0!</v>
      </c>
      <c r="H27" s="1354" t="e">
        <f>'14 Dda Consolidda'!J19*H28</f>
        <v>#DIV/0!</v>
      </c>
      <c r="I27" s="1354" t="e">
        <f>'14 Dda Consolidda'!K19*I28</f>
        <v>#DIV/0!</v>
      </c>
      <c r="J27" s="1354" t="e">
        <f>'14 Dda Consolidda'!L19*J28</f>
        <v>#DIV/0!</v>
      </c>
      <c r="K27" s="1354" t="e">
        <f>'14 Dda Consolidda'!M19*K28</f>
        <v>#DIV/0!</v>
      </c>
      <c r="L27" s="1354" t="e">
        <f>'14 Dda Consolidda'!N19*L28</f>
        <v>#DIV/0!</v>
      </c>
      <c r="M27" s="1354" t="e">
        <f>'14 Dda Consolidda'!O19*M28</f>
        <v>#DIV/0!</v>
      </c>
      <c r="N27" s="1354" t="e">
        <f>'14 Dda Consolidda'!P19*N28</f>
        <v>#DIV/0!</v>
      </c>
      <c r="O27" s="1354" t="e">
        <f>'14 Dda Consolidda'!Q19*O28</f>
        <v>#DIV/0!</v>
      </c>
      <c r="P27" s="1354" t="e">
        <f>'14 Dda Consolidda'!R19*P28</f>
        <v>#DIV/0!</v>
      </c>
      <c r="Q27" s="1354" t="e">
        <f>'14 Dda Consolidda'!S19*Q28</f>
        <v>#DIV/0!</v>
      </c>
      <c r="R27" s="1354" t="e">
        <f>'14 Dda Consolidda'!T19*R28</f>
        <v>#DIV/0!</v>
      </c>
      <c r="S27" s="1354" t="e">
        <f>'14 Dda Consolidda'!U19*S28</f>
        <v>#DIV/0!</v>
      </c>
      <c r="T27" s="1352" t="e">
        <f>SUM(H27:S27)</f>
        <v>#DIV/0!</v>
      </c>
      <c r="Z27" s="21" t="s">
        <v>3271</v>
      </c>
      <c r="AA27" s="21" t="s">
        <v>3519</v>
      </c>
      <c r="AB27" s="21" t="s">
        <v>3520</v>
      </c>
    </row>
    <row r="28" spans="2:29" ht="17.25" thickBot="1" x14ac:dyDescent="0.3">
      <c r="B28" s="4597"/>
      <c r="C28" s="1355">
        <f>'14 Dda Consolidda'!Z19</f>
        <v>1</v>
      </c>
      <c r="D28" s="1355">
        <f>'14 Dda Consolidda'!AA19</f>
        <v>1</v>
      </c>
      <c r="E28" s="1355">
        <f>'14 Dda Consolidda'!AB19</f>
        <v>1</v>
      </c>
      <c r="F28" s="1355">
        <f>'14 Dda Consolidda'!AC19</f>
        <v>1</v>
      </c>
      <c r="G28" s="1355">
        <f>'14 Dda Consolidda'!AD19</f>
        <v>1</v>
      </c>
      <c r="H28" s="1355">
        <f>'14 Dda Consolidda'!AE19</f>
        <v>1</v>
      </c>
      <c r="I28" s="1355">
        <f>'14 Dda Consolidda'!AF19</f>
        <v>1</v>
      </c>
      <c r="J28" s="1355">
        <f>'14 Dda Consolidda'!AG19</f>
        <v>1</v>
      </c>
      <c r="K28" s="1355">
        <f>'14 Dda Consolidda'!AH19</f>
        <v>1</v>
      </c>
      <c r="L28" s="1355">
        <f>'14 Dda Consolidda'!AI19</f>
        <v>1</v>
      </c>
      <c r="M28" s="1355">
        <f>'14 Dda Consolidda'!AJ19</f>
        <v>1</v>
      </c>
      <c r="N28" s="1355">
        <f>'14 Dda Consolidda'!AK19</f>
        <v>1</v>
      </c>
      <c r="O28" s="1355">
        <f>'14 Dda Consolidda'!AL19</f>
        <v>1</v>
      </c>
      <c r="P28" s="1355">
        <f>'14 Dda Consolidda'!AM19</f>
        <v>1</v>
      </c>
      <c r="Q28" s="1355">
        <f>'14 Dda Consolidda'!AN19</f>
        <v>1</v>
      </c>
      <c r="R28" s="1355">
        <f>'14 Dda Consolidda'!AO19</f>
        <v>1</v>
      </c>
      <c r="S28" s="1355">
        <f>'14 Dda Consolidda'!AP19</f>
        <v>1</v>
      </c>
      <c r="T28" s="1352"/>
      <c r="Y28" s="21">
        <v>2017</v>
      </c>
      <c r="Z28" s="1352" t="e">
        <f>C10+C12+C14+C16+C18</f>
        <v>#DIV/0!</v>
      </c>
      <c r="AA28" s="1352" t="e">
        <f>C58</f>
        <v>#DIV/0!</v>
      </c>
      <c r="AB28" s="1352" t="e">
        <f>C79</f>
        <v>#DIV/0!</v>
      </c>
      <c r="AC28" s="1352" t="e">
        <f>SUM(Z28:AB28)</f>
        <v>#DIV/0!</v>
      </c>
    </row>
    <row r="29" spans="2:29" ht="17.25" thickBot="1" x14ac:dyDescent="0.3">
      <c r="B29" s="4597" t="s">
        <v>1231</v>
      </c>
      <c r="C29" s="1354" t="e">
        <f>'14 Dda Consolidda'!E20*C30</f>
        <v>#REF!</v>
      </c>
      <c r="D29" s="1354" t="e">
        <f>'14 Dda Consolidda'!F20*D30</f>
        <v>#REF!</v>
      </c>
      <c r="E29" s="1354" t="e">
        <f>'14 Dda Consolidda'!G20*E30</f>
        <v>#REF!</v>
      </c>
      <c r="F29" s="1354" t="e">
        <f>'14 Dda Consolidda'!H20*F30</f>
        <v>#REF!</v>
      </c>
      <c r="G29" s="1354" t="e">
        <f>'14 Dda Consolidda'!I20*G30</f>
        <v>#REF!</v>
      </c>
      <c r="H29" s="1354" t="e">
        <f>'14 Dda Consolidda'!J20*H30</f>
        <v>#REF!</v>
      </c>
      <c r="I29" s="1354" t="e">
        <f>'14 Dda Consolidda'!K20*I30</f>
        <v>#REF!</v>
      </c>
      <c r="J29" s="1354" t="e">
        <f>'14 Dda Consolidda'!L20*J30</f>
        <v>#REF!</v>
      </c>
      <c r="K29" s="1354" t="e">
        <f>'14 Dda Consolidda'!M20*K30</f>
        <v>#REF!</v>
      </c>
      <c r="L29" s="1354" t="e">
        <f>'14 Dda Consolidda'!N20*L30</f>
        <v>#REF!</v>
      </c>
      <c r="M29" s="1354" t="e">
        <f>'14 Dda Consolidda'!O20*M30</f>
        <v>#REF!</v>
      </c>
      <c r="N29" s="1354" t="e">
        <f>'14 Dda Consolidda'!P20*N30</f>
        <v>#REF!</v>
      </c>
      <c r="O29" s="1354" t="e">
        <f>'14 Dda Consolidda'!Q20*O30</f>
        <v>#REF!</v>
      </c>
      <c r="P29" s="1354" t="e">
        <f>'14 Dda Consolidda'!R20*P30</f>
        <v>#REF!</v>
      </c>
      <c r="Q29" s="1354" t="e">
        <f>'14 Dda Consolidda'!S20*Q30</f>
        <v>#REF!</v>
      </c>
      <c r="R29" s="1354" t="e">
        <f>'14 Dda Consolidda'!T20*R30</f>
        <v>#REF!</v>
      </c>
      <c r="S29" s="1354" t="e">
        <f>'14 Dda Consolidda'!U20*S30</f>
        <v>#REF!</v>
      </c>
      <c r="T29" s="1352" t="e">
        <f>SUM(H29:S29)</f>
        <v>#REF!</v>
      </c>
      <c r="Y29" s="21">
        <v>2023</v>
      </c>
      <c r="Z29" s="1352" t="e">
        <f>I10+I12+I14+I16+I18</f>
        <v>#DIV/0!</v>
      </c>
      <c r="AA29" s="1352" t="e">
        <f>I58</f>
        <v>#DIV/0!</v>
      </c>
      <c r="AB29" s="1352" t="e">
        <f>I79</f>
        <v>#DIV/0!</v>
      </c>
      <c r="AC29" s="1352" t="e">
        <f>SUM(Z29:AB29)</f>
        <v>#DIV/0!</v>
      </c>
    </row>
    <row r="30" spans="2:29" ht="17.25" thickBot="1" x14ac:dyDescent="0.3">
      <c r="B30" s="4597"/>
      <c r="C30" s="1355" t="e">
        <f>'14 Dda Consolidda'!Z20</f>
        <v>#REF!</v>
      </c>
      <c r="D30" s="1355" t="e">
        <f>'14 Dda Consolidda'!AA20</f>
        <v>#REF!</v>
      </c>
      <c r="E30" s="1355" t="e">
        <f>'14 Dda Consolidda'!AB20</f>
        <v>#REF!</v>
      </c>
      <c r="F30" s="1355" t="e">
        <f>'14 Dda Consolidda'!AC20</f>
        <v>#REF!</v>
      </c>
      <c r="G30" s="1355" t="e">
        <f>'14 Dda Consolidda'!AD20</f>
        <v>#REF!</v>
      </c>
      <c r="H30" s="1355" t="e">
        <f>'14 Dda Consolidda'!AE20</f>
        <v>#REF!</v>
      </c>
      <c r="I30" s="1355" t="e">
        <f>'14 Dda Consolidda'!AF20</f>
        <v>#REF!</v>
      </c>
      <c r="J30" s="1355" t="e">
        <f>'14 Dda Consolidda'!AG20</f>
        <v>#REF!</v>
      </c>
      <c r="K30" s="1355" t="e">
        <f>'14 Dda Consolidda'!AH20</f>
        <v>#REF!</v>
      </c>
      <c r="L30" s="1355" t="e">
        <f>'14 Dda Consolidda'!AI20</f>
        <v>#REF!</v>
      </c>
      <c r="M30" s="1355" t="e">
        <f>'14 Dda Consolidda'!AJ20</f>
        <v>#REF!</v>
      </c>
      <c r="N30" s="1355" t="e">
        <f>'14 Dda Consolidda'!AK20</f>
        <v>#REF!</v>
      </c>
      <c r="O30" s="1355" t="e">
        <f>'14 Dda Consolidda'!AL20</f>
        <v>#REF!</v>
      </c>
      <c r="P30" s="1355" t="e">
        <f>'14 Dda Consolidda'!AM20</f>
        <v>#REF!</v>
      </c>
      <c r="Q30" s="1355">
        <f>'14 Dda Consolidda'!AN20</f>
        <v>1</v>
      </c>
      <c r="R30" s="1355">
        <f>'14 Dda Consolidda'!AO20</f>
        <v>1</v>
      </c>
      <c r="S30" s="1355">
        <f>'14 Dda Consolidda'!AP20</f>
        <v>1</v>
      </c>
      <c r="T30" s="1352"/>
      <c r="Y30" s="21">
        <v>2028</v>
      </c>
      <c r="Z30" s="1352" t="e">
        <f>N10+N12+N14+N16+N18</f>
        <v>#DIV/0!</v>
      </c>
      <c r="AA30" s="1352" t="e">
        <f>N58</f>
        <v>#DIV/0!</v>
      </c>
      <c r="AB30" s="1352" t="e">
        <f>N79</f>
        <v>#DIV/0!</v>
      </c>
      <c r="AC30" s="1352" t="e">
        <f>SUM(Z30:AB30)</f>
        <v>#DIV/0!</v>
      </c>
    </row>
    <row r="31" spans="2:29" ht="17.25" thickBot="1" x14ac:dyDescent="0.3">
      <c r="B31" s="4597" t="s">
        <v>1227</v>
      </c>
      <c r="C31" s="1354">
        <f>'14 Dda Consolidda'!E21*C32</f>
        <v>280.27982157439425</v>
      </c>
      <c r="D31" s="1354">
        <f>'14 Dda Consolidda'!F21*D32</f>
        <v>280.66726211446218</v>
      </c>
      <c r="E31" s="1354">
        <f>'14 Dda Consolidda'!G21*E32</f>
        <v>281.05496083927909</v>
      </c>
      <c r="F31" s="1354">
        <f>'14 Dda Consolidda'!H21*F32</f>
        <v>281.44291789076323</v>
      </c>
      <c r="G31" s="1354">
        <f>'14 Dda Consolidda'!I21*G32</f>
        <v>281.83113341090382</v>
      </c>
      <c r="H31" s="1354">
        <f>'14 Dda Consolidda'!J21*H32</f>
        <v>282.21960754176155</v>
      </c>
      <c r="I31" s="1354">
        <f>'14 Dda Consolidda'!K21*I32</f>
        <v>282.60834042546833</v>
      </c>
      <c r="J31" s="1354">
        <f>'14 Dda Consolidda'!L21*J32</f>
        <v>282.99733220422746</v>
      </c>
      <c r="K31" s="1354">
        <f>'14 Dda Consolidda'!M21*K32</f>
        <v>283.38658302031342</v>
      </c>
      <c r="L31" s="1354">
        <f>'14 Dda Consolidda'!N21*L32</f>
        <v>283.77609301607214</v>
      </c>
      <c r="M31" s="1354">
        <f>'14 Dda Consolidda'!O21*M32</f>
        <v>284.16586233392115</v>
      </c>
      <c r="N31" s="1354">
        <f>'14 Dda Consolidda'!P21*N32</f>
        <v>284.55589111634924</v>
      </c>
      <c r="O31" s="1354">
        <f>'14 Dda Consolidda'!Q21*O32</f>
        <v>284.94617950591675</v>
      </c>
      <c r="P31" s="1354">
        <f>'14 Dda Consolidda'!R21*P32</f>
        <v>285.33672764525556</v>
      </c>
      <c r="Q31" s="1354">
        <f>'14 Dda Consolidda'!S21*Q32</f>
        <v>285.72753567706911</v>
      </c>
      <c r="R31" s="1354">
        <f>'14 Dda Consolidda'!T21*R32</f>
        <v>286.11860374413237</v>
      </c>
      <c r="S31" s="1354">
        <f>'14 Dda Consolidda'!U21*S32</f>
        <v>286.509931989292</v>
      </c>
      <c r="T31" s="1352">
        <f>SUM(H31:S31)</f>
        <v>3412.3486882197794</v>
      </c>
      <c r="Y31" s="21">
        <v>2033</v>
      </c>
      <c r="Z31" s="1352" t="e">
        <f>S10+S12+S14+S16+S18</f>
        <v>#DIV/0!</v>
      </c>
      <c r="AA31" s="1352" t="e">
        <f>S58</f>
        <v>#DIV/0!</v>
      </c>
      <c r="AB31" s="1352" t="e">
        <f>S79</f>
        <v>#DIV/0!</v>
      </c>
      <c r="AC31" s="1352" t="e">
        <f>SUM(Z31:AB31)</f>
        <v>#DIV/0!</v>
      </c>
    </row>
    <row r="32" spans="2:29" ht="17.25" thickBot="1" x14ac:dyDescent="0.3">
      <c r="B32" s="4597"/>
      <c r="C32" s="1355">
        <f>'14 Dda Consolidda'!Z21</f>
        <v>1</v>
      </c>
      <c r="D32" s="1355">
        <f>'14 Dda Consolidda'!AA21</f>
        <v>1</v>
      </c>
      <c r="E32" s="1355">
        <f>'14 Dda Consolidda'!AB21</f>
        <v>1</v>
      </c>
      <c r="F32" s="1355">
        <f>'14 Dda Consolidda'!AC21</f>
        <v>1</v>
      </c>
      <c r="G32" s="1355">
        <f>'14 Dda Consolidda'!AD21</f>
        <v>1</v>
      </c>
      <c r="H32" s="1355">
        <f>'14 Dda Consolidda'!AE21</f>
        <v>1</v>
      </c>
      <c r="I32" s="1355">
        <f>'14 Dda Consolidda'!AF21</f>
        <v>1</v>
      </c>
      <c r="J32" s="1355">
        <f>'14 Dda Consolidda'!AG21</f>
        <v>1</v>
      </c>
      <c r="K32" s="1355">
        <f>'14 Dda Consolidda'!AH21</f>
        <v>1</v>
      </c>
      <c r="L32" s="1355">
        <f>'14 Dda Consolidda'!AI21</f>
        <v>1</v>
      </c>
      <c r="M32" s="1355">
        <f>'14 Dda Consolidda'!AJ21</f>
        <v>1</v>
      </c>
      <c r="N32" s="1355">
        <f>'14 Dda Consolidda'!AK21</f>
        <v>1</v>
      </c>
      <c r="O32" s="1355">
        <f>'14 Dda Consolidda'!AL21</f>
        <v>1</v>
      </c>
      <c r="P32" s="1355">
        <f>'14 Dda Consolidda'!AM21</f>
        <v>1</v>
      </c>
      <c r="Q32" s="1355">
        <f>'14 Dda Consolidda'!AN21</f>
        <v>1</v>
      </c>
      <c r="R32" s="1355">
        <f>'14 Dda Consolidda'!AO21</f>
        <v>1</v>
      </c>
      <c r="S32" s="1355">
        <f>'14 Dda Consolidda'!AP21</f>
        <v>1</v>
      </c>
      <c r="T32" s="1352"/>
    </row>
    <row r="33" spans="1:20" ht="17.25" thickBot="1" x14ac:dyDescent="0.3">
      <c r="B33" s="4597" t="s">
        <v>1229</v>
      </c>
      <c r="C33" s="1354">
        <f>'14 Dda Consolidda'!E22*C34</f>
        <v>8.6</v>
      </c>
      <c r="D33" s="1354">
        <f>'14 Dda Consolidda'!F22*D34</f>
        <v>18.926786005472323</v>
      </c>
      <c r="E33" s="1354">
        <f>'14 Dda Consolidda'!G22*E34</f>
        <v>29.261574130457614</v>
      </c>
      <c r="F33" s="1354">
        <f>'14 Dda Consolidda'!H22*F34</f>
        <v>39.604369026025829</v>
      </c>
      <c r="G33" s="1354">
        <f>'14 Dda Consolidda'!I22*G34</f>
        <v>49.955175345649941</v>
      </c>
      <c r="H33" s="1354">
        <f>'14 Dda Consolidda'!J22*H34</f>
        <v>60.313997745207146</v>
      </c>
      <c r="I33" s="1354">
        <f>'14 Dda Consolidda'!K22*I34</f>
        <v>70.680840882979965</v>
      </c>
      <c r="J33" s="1354">
        <f>'14 Dda Consolidda'!L22*J34</f>
        <v>81.055709419657489</v>
      </c>
      <c r="K33" s="1354">
        <f>'14 Dda Consolidda'!M22*K34</f>
        <v>91.438608018336467</v>
      </c>
      <c r="L33" s="1354">
        <f>'14 Dda Consolidda'!N22*L34</f>
        <v>101.82954134452253</v>
      </c>
      <c r="M33" s="1354">
        <f>'14 Dda Consolidda'!O22*M34</f>
        <v>112.2285140661313</v>
      </c>
      <c r="N33" s="1354">
        <f>'14 Dda Consolidda'!P22*N34</f>
        <v>122.63553085348964</v>
      </c>
      <c r="O33" s="1354">
        <f>'14 Dda Consolidda'!Q22*O34</f>
        <v>133.05059637933675</v>
      </c>
      <c r="P33" s="1354">
        <f>'14 Dda Consolidda'!R22*P34</f>
        <v>143.47371531882533</v>
      </c>
      <c r="Q33" s="1354">
        <f>'14 Dda Consolidda'!S22*Q34</f>
        <v>153.90489234952281</v>
      </c>
      <c r="R33" s="1354">
        <f>'14 Dda Consolidda'!T22*R34</f>
        <v>153.96453162611945</v>
      </c>
      <c r="S33" s="1354">
        <f>'14 Dda Consolidda'!U22*S34</f>
        <v>154.02419401337403</v>
      </c>
      <c r="T33" s="1352">
        <f>SUM(H33:S33)</f>
        <v>1378.6006720175026</v>
      </c>
    </row>
    <row r="34" spans="1:20" ht="17.25" thickBot="1" x14ac:dyDescent="0.3">
      <c r="B34" s="4597"/>
      <c r="C34" s="1355">
        <f>'14 Dda Consolidda'!Z22</f>
        <v>5.6182577770720422E-2</v>
      </c>
      <c r="D34" s="1355">
        <f>'14 Dda Consolidda'!AA22</f>
        <v>0.12359810792995468</v>
      </c>
      <c r="E34" s="1355">
        <f>'14 Dda Consolidda'!AB22</f>
        <v>0.19101363808918892</v>
      </c>
      <c r="F34" s="1355">
        <f>'14 Dda Consolidda'!AC22</f>
        <v>0.25842916824842316</v>
      </c>
      <c r="G34" s="1355">
        <f>'14 Dda Consolidda'!AD22</f>
        <v>0.3258446984076574</v>
      </c>
      <c r="H34" s="1355">
        <f>'14 Dda Consolidda'!AE22</f>
        <v>0.39326022856689163</v>
      </c>
      <c r="I34" s="1355">
        <f>'14 Dda Consolidda'!AF22</f>
        <v>0.46067575872612587</v>
      </c>
      <c r="J34" s="1355">
        <f>'14 Dda Consolidda'!AG22</f>
        <v>0.52809128888536017</v>
      </c>
      <c r="K34" s="1355">
        <f>'14 Dda Consolidda'!AH22</f>
        <v>0.59550681904459446</v>
      </c>
      <c r="L34" s="1355">
        <f>'14 Dda Consolidda'!AI22</f>
        <v>0.66292234920382875</v>
      </c>
      <c r="M34" s="1355">
        <f>'14 Dda Consolidda'!AJ22</f>
        <v>0.73033787936306305</v>
      </c>
      <c r="N34" s="1355">
        <f>'14 Dda Consolidda'!AK22</f>
        <v>0.79775340952229734</v>
      </c>
      <c r="O34" s="1355">
        <f>'14 Dda Consolidda'!AL22</f>
        <v>0.86516893968153163</v>
      </c>
      <c r="P34" s="1355">
        <f>'14 Dda Consolidda'!AM22</f>
        <v>0.93258446984076593</v>
      </c>
      <c r="Q34" s="1355">
        <f>'14 Dda Consolidda'!AN22</f>
        <v>1</v>
      </c>
      <c r="R34" s="1355">
        <f>'14 Dda Consolidda'!AO22</f>
        <v>1</v>
      </c>
      <c r="S34" s="1355">
        <f>'14 Dda Consolidda'!AP22</f>
        <v>1</v>
      </c>
      <c r="T34" s="1352"/>
    </row>
    <row r="35" spans="1:20" ht="17.25" thickBot="1" x14ac:dyDescent="0.3">
      <c r="B35" s="4597" t="s">
        <v>1313</v>
      </c>
      <c r="C35" s="1354" t="e">
        <f>'14 Dda Consolidda'!E23*C36</f>
        <v>#DIV/0!</v>
      </c>
      <c r="D35" s="1354" t="e">
        <f>'14 Dda Consolidda'!F23*D36</f>
        <v>#DIV/0!</v>
      </c>
      <c r="E35" s="1354" t="e">
        <f>'14 Dda Consolidda'!G23*E36</f>
        <v>#DIV/0!</v>
      </c>
      <c r="F35" s="1354" t="e">
        <f>'14 Dda Consolidda'!H23*F36</f>
        <v>#DIV/0!</v>
      </c>
      <c r="G35" s="1354" t="e">
        <f>'14 Dda Consolidda'!I23*G36</f>
        <v>#DIV/0!</v>
      </c>
      <c r="H35" s="1354" t="e">
        <f>'14 Dda Consolidda'!J23*H36</f>
        <v>#DIV/0!</v>
      </c>
      <c r="I35" s="1354" t="e">
        <f>'14 Dda Consolidda'!K23*I36</f>
        <v>#DIV/0!</v>
      </c>
      <c r="J35" s="1354" t="e">
        <f>'14 Dda Consolidda'!L23*J36</f>
        <v>#DIV/0!</v>
      </c>
      <c r="K35" s="1354" t="e">
        <f>'14 Dda Consolidda'!M23*K36</f>
        <v>#DIV/0!</v>
      </c>
      <c r="L35" s="1354" t="e">
        <f>'14 Dda Consolidda'!N23*L36</f>
        <v>#DIV/0!</v>
      </c>
      <c r="M35" s="1354" t="e">
        <f>'14 Dda Consolidda'!O23*M36</f>
        <v>#DIV/0!</v>
      </c>
      <c r="N35" s="1354" t="e">
        <f>'14 Dda Consolidda'!P23*N36</f>
        <v>#DIV/0!</v>
      </c>
      <c r="O35" s="1354" t="e">
        <f>'14 Dda Consolidda'!Q23*O36</f>
        <v>#DIV/0!</v>
      </c>
      <c r="P35" s="1354" t="e">
        <f>'14 Dda Consolidda'!R23*P36</f>
        <v>#DIV/0!</v>
      </c>
      <c r="Q35" s="1354">
        <f>'14 Dda Consolidda'!S23*Q36</f>
        <v>0</v>
      </c>
      <c r="R35" s="1354">
        <f>'14 Dda Consolidda'!T23*R36</f>
        <v>0</v>
      </c>
      <c r="S35" s="1354">
        <f>'14 Dda Consolidda'!U23*S36</f>
        <v>0</v>
      </c>
      <c r="T35" s="1352" t="e">
        <f>SUM(H35:S35)</f>
        <v>#DIV/0!</v>
      </c>
    </row>
    <row r="36" spans="1:20" ht="17.25" thickBot="1" x14ac:dyDescent="0.3">
      <c r="A36" s="21" t="s">
        <v>2043</v>
      </c>
      <c r="B36" s="4597"/>
      <c r="C36" s="1355" t="e">
        <f>'14 Dda Consolidda'!Z23</f>
        <v>#DIV/0!</v>
      </c>
      <c r="D36" s="1355" t="e">
        <f>'14 Dda Consolidda'!AA23</f>
        <v>#DIV/0!</v>
      </c>
      <c r="E36" s="1355" t="e">
        <f>'14 Dda Consolidda'!AB23</f>
        <v>#DIV/0!</v>
      </c>
      <c r="F36" s="1355" t="e">
        <f>'14 Dda Consolidda'!AC23</f>
        <v>#DIV/0!</v>
      </c>
      <c r="G36" s="1355" t="e">
        <f>'14 Dda Consolidda'!AD23</f>
        <v>#DIV/0!</v>
      </c>
      <c r="H36" s="1355" t="e">
        <f>'14 Dda Consolidda'!AE23</f>
        <v>#DIV/0!</v>
      </c>
      <c r="I36" s="1355" t="e">
        <f>'14 Dda Consolidda'!AF23</f>
        <v>#DIV/0!</v>
      </c>
      <c r="J36" s="1355" t="e">
        <f>'14 Dda Consolidda'!AG23</f>
        <v>#DIV/0!</v>
      </c>
      <c r="K36" s="1355" t="e">
        <f>'14 Dda Consolidda'!AH23</f>
        <v>#DIV/0!</v>
      </c>
      <c r="L36" s="1355" t="e">
        <f>'14 Dda Consolidda'!AI23</f>
        <v>#DIV/0!</v>
      </c>
      <c r="M36" s="1355" t="e">
        <f>'14 Dda Consolidda'!AJ23</f>
        <v>#DIV/0!</v>
      </c>
      <c r="N36" s="1355" t="e">
        <f>'14 Dda Consolidda'!AK23</f>
        <v>#DIV/0!</v>
      </c>
      <c r="O36" s="1355" t="e">
        <f>'14 Dda Consolidda'!AL23</f>
        <v>#DIV/0!</v>
      </c>
      <c r="P36" s="1355" t="e">
        <f>'14 Dda Consolidda'!AM23</f>
        <v>#DIV/0!</v>
      </c>
      <c r="Q36" s="1355">
        <f>'14 Dda Consolidda'!AN23</f>
        <v>1</v>
      </c>
      <c r="R36" s="1355">
        <f>'14 Dda Consolidda'!AO23</f>
        <v>1</v>
      </c>
      <c r="S36" s="1355">
        <f>'14 Dda Consolidda'!AP23</f>
        <v>1</v>
      </c>
      <c r="T36" s="1352"/>
    </row>
    <row r="37" spans="1:20" ht="17.25" thickBot="1" x14ac:dyDescent="0.3">
      <c r="B37" s="4597" t="s">
        <v>1314</v>
      </c>
      <c r="C37" s="1354" t="e">
        <f>'14 Dda Consolidda'!E24*C38</f>
        <v>#REF!</v>
      </c>
      <c r="D37" s="1354" t="e">
        <f>'14 Dda Consolidda'!F24*D38</f>
        <v>#REF!</v>
      </c>
      <c r="E37" s="1354" t="e">
        <f>'14 Dda Consolidda'!G24*E38</f>
        <v>#REF!</v>
      </c>
      <c r="F37" s="1354" t="e">
        <f>'14 Dda Consolidda'!H24*F38</f>
        <v>#REF!</v>
      </c>
      <c r="G37" s="1354" t="e">
        <f>'14 Dda Consolidda'!I24*G38</f>
        <v>#REF!</v>
      </c>
      <c r="H37" s="1354" t="e">
        <f>'14 Dda Consolidda'!J24*H38</f>
        <v>#REF!</v>
      </c>
      <c r="I37" s="1354" t="e">
        <f>'14 Dda Consolidda'!K24*I38</f>
        <v>#REF!</v>
      </c>
      <c r="J37" s="1354" t="e">
        <f>'14 Dda Consolidda'!L24*J38</f>
        <v>#REF!</v>
      </c>
      <c r="K37" s="1354" t="e">
        <f>'14 Dda Consolidda'!M24*K38</f>
        <v>#REF!</v>
      </c>
      <c r="L37" s="1354" t="e">
        <f>'14 Dda Consolidda'!N24*L38</f>
        <v>#REF!</v>
      </c>
      <c r="M37" s="1354" t="e">
        <f>'14 Dda Consolidda'!O24*M38</f>
        <v>#REF!</v>
      </c>
      <c r="N37" s="1354" t="e">
        <f>'14 Dda Consolidda'!P24*N38</f>
        <v>#REF!</v>
      </c>
      <c r="O37" s="1354" t="e">
        <f>'14 Dda Consolidda'!Q24*O38</f>
        <v>#REF!</v>
      </c>
      <c r="P37" s="1354" t="e">
        <f>'14 Dda Consolidda'!R24*P38</f>
        <v>#REF!</v>
      </c>
      <c r="Q37" s="1354">
        <f>'14 Dda Consolidda'!S24*Q38</f>
        <v>767.76146715171001</v>
      </c>
      <c r="R37" s="1354">
        <f>'14 Dda Consolidda'!T24*R38</f>
        <v>768.05898036133374</v>
      </c>
      <c r="S37" s="1354">
        <f>'14 Dda Consolidda'!U24*S38</f>
        <v>768.35660885951245</v>
      </c>
      <c r="T37" s="1352" t="e">
        <f>SUM(H37:S37)</f>
        <v>#REF!</v>
      </c>
    </row>
    <row r="38" spans="1:20" ht="17.25" thickBot="1" x14ac:dyDescent="0.3">
      <c r="B38" s="4597"/>
      <c r="C38" s="1355" t="e">
        <f>'14 Dda Consolidda'!Z24</f>
        <v>#REF!</v>
      </c>
      <c r="D38" s="1355" t="e">
        <f>'14 Dda Consolidda'!AA24</f>
        <v>#REF!</v>
      </c>
      <c r="E38" s="1355" t="e">
        <f>'14 Dda Consolidda'!AB24</f>
        <v>#REF!</v>
      </c>
      <c r="F38" s="1355" t="e">
        <f>'14 Dda Consolidda'!AC24</f>
        <v>#REF!</v>
      </c>
      <c r="G38" s="1355" t="e">
        <f>'14 Dda Consolidda'!AD24</f>
        <v>#REF!</v>
      </c>
      <c r="H38" s="1355" t="e">
        <f>'14 Dda Consolidda'!AE24</f>
        <v>#REF!</v>
      </c>
      <c r="I38" s="1355" t="e">
        <f>'14 Dda Consolidda'!AF24</f>
        <v>#REF!</v>
      </c>
      <c r="J38" s="1355" t="e">
        <f>'14 Dda Consolidda'!AG24</f>
        <v>#REF!</v>
      </c>
      <c r="K38" s="1355" t="e">
        <f>'14 Dda Consolidda'!AH24</f>
        <v>#REF!</v>
      </c>
      <c r="L38" s="1355" t="e">
        <f>'14 Dda Consolidda'!AI24</f>
        <v>#REF!</v>
      </c>
      <c r="M38" s="1355" t="e">
        <f>'14 Dda Consolidda'!AJ24</f>
        <v>#REF!</v>
      </c>
      <c r="N38" s="1355" t="e">
        <f>'14 Dda Consolidda'!AK24</f>
        <v>#REF!</v>
      </c>
      <c r="O38" s="1355" t="e">
        <f>'14 Dda Consolidda'!AL24</f>
        <v>#REF!</v>
      </c>
      <c r="P38" s="1355" t="e">
        <f>'14 Dda Consolidda'!AM24</f>
        <v>#REF!</v>
      </c>
      <c r="Q38" s="1355">
        <f>'14 Dda Consolidda'!AN24</f>
        <v>1</v>
      </c>
      <c r="R38" s="1355">
        <f>'14 Dda Consolidda'!AO24</f>
        <v>1</v>
      </c>
      <c r="S38" s="1355">
        <f>'14 Dda Consolidda'!AP24</f>
        <v>1</v>
      </c>
      <c r="T38" s="1352"/>
    </row>
    <row r="39" spans="1:20" ht="17.25" thickBot="1" x14ac:dyDescent="0.3">
      <c r="B39" s="4597" t="s">
        <v>329</v>
      </c>
      <c r="C39" s="1354">
        <f>'14 Dda Consolidda'!E25*C40</f>
        <v>4.2</v>
      </c>
      <c r="D39" s="1354">
        <f>'14 Dda Consolidda'!F25*D40</f>
        <v>28.339548958143261</v>
      </c>
      <c r="E39" s="1354">
        <f>'14 Dda Consolidda'!G25*E40</f>
        <v>52.497805790778024</v>
      </c>
      <c r="F39" s="1354">
        <f>'14 Dda Consolidda'!H25*F40</f>
        <v>76.674781371940341</v>
      </c>
      <c r="G39" s="1354">
        <f>'14 Dda Consolidda'!I25*G40</f>
        <v>100.87048658128455</v>
      </c>
      <c r="H39" s="1354">
        <f>'14 Dda Consolidda'!J25*H40</f>
        <v>125.08493230408611</v>
      </c>
      <c r="I39" s="1354">
        <f>'14 Dda Consolidda'!K25*I40</f>
        <v>149.3181294312441</v>
      </c>
      <c r="J39" s="1354">
        <f>'14 Dda Consolidda'!L25*J40</f>
        <v>173.57008885928434</v>
      </c>
      <c r="K39" s="1354">
        <f>'14 Dda Consolidda'!M25*K40</f>
        <v>197.84082149036158</v>
      </c>
      <c r="L39" s="1354">
        <f>'14 Dda Consolidda'!N25*L40</f>
        <v>222.13033823226277</v>
      </c>
      <c r="M39" s="1354">
        <f>'14 Dda Consolidda'!O25*M40</f>
        <v>246.4386499984094</v>
      </c>
      <c r="N39" s="1354">
        <f>'14 Dda Consolidda'!P25*N40</f>
        <v>270.76576770786033</v>
      </c>
      <c r="O39" s="1354">
        <f>'14 Dda Consolidda'!Q25*O40</f>
        <v>295.11170228531472</v>
      </c>
      <c r="P39" s="1354">
        <f>'14 Dda Consolidda'!R25*P40</f>
        <v>319.47646466111439</v>
      </c>
      <c r="Q39" s="1354">
        <f>'14 Dda Consolidda'!S25*Q40</f>
        <v>343.86006577124704</v>
      </c>
      <c r="R39" s="1354">
        <f>'14 Dda Consolidda'!T25*R40</f>
        <v>343.99331407323416</v>
      </c>
      <c r="S39" s="1354">
        <f>'14 Dda Consolidda'!U25*S40</f>
        <v>344.12661400991732</v>
      </c>
      <c r="T39" s="1352">
        <f>SUM(H39:S39)</f>
        <v>3031.7168888243359</v>
      </c>
    </row>
    <row r="40" spans="1:20" ht="17.25" thickBot="1" x14ac:dyDescent="0.3">
      <c r="B40" s="4597"/>
      <c r="C40" s="1355">
        <f>'14 Dda Consolidda'!Z25</f>
        <v>1.2280701754385965E-2</v>
      </c>
      <c r="D40" s="1355">
        <f>'14 Dda Consolidda'!AA25</f>
        <v>8.2832080200501243E-2</v>
      </c>
      <c r="E40" s="1355">
        <f>'14 Dda Consolidda'!AB25</f>
        <v>0.15338345864661651</v>
      </c>
      <c r="F40" s="1355">
        <f>'14 Dda Consolidda'!AC25</f>
        <v>0.22393483709273179</v>
      </c>
      <c r="G40" s="1355">
        <f>'14 Dda Consolidda'!AD25</f>
        <v>0.29448621553884707</v>
      </c>
      <c r="H40" s="1355">
        <f>'14 Dda Consolidda'!AE25</f>
        <v>0.36503759398496238</v>
      </c>
      <c r="I40" s="1355">
        <f>'14 Dda Consolidda'!AF25</f>
        <v>0.43558897243107764</v>
      </c>
      <c r="J40" s="1355">
        <f>'14 Dda Consolidda'!AG25</f>
        <v>0.50614035087719289</v>
      </c>
      <c r="K40" s="1355">
        <f>'14 Dda Consolidda'!AH25</f>
        <v>0.57669172932330814</v>
      </c>
      <c r="L40" s="1355">
        <f>'14 Dda Consolidda'!AI25</f>
        <v>0.6472431077694234</v>
      </c>
      <c r="M40" s="1355">
        <f>'14 Dda Consolidda'!AJ25</f>
        <v>0.71779448621553865</v>
      </c>
      <c r="N40" s="1355">
        <f>'14 Dda Consolidda'!AK25</f>
        <v>0.78834586466165391</v>
      </c>
      <c r="O40" s="1355">
        <f>'14 Dda Consolidda'!AL25</f>
        <v>0.85889724310776916</v>
      </c>
      <c r="P40" s="1355">
        <f>'14 Dda Consolidda'!AM25</f>
        <v>0.92944862155388441</v>
      </c>
      <c r="Q40" s="1355">
        <f>'14 Dda Consolidda'!AN25</f>
        <v>1</v>
      </c>
      <c r="R40" s="1355">
        <f>'14 Dda Consolidda'!AO25</f>
        <v>1</v>
      </c>
      <c r="S40" s="1355">
        <f>'14 Dda Consolidda'!AP25</f>
        <v>1</v>
      </c>
      <c r="T40" s="1352"/>
    </row>
    <row r="41" spans="1:20" ht="17.25" thickBot="1" x14ac:dyDescent="0.3">
      <c r="B41" s="4597" t="s">
        <v>412</v>
      </c>
      <c r="C41" s="1354">
        <f>'14 Dda Consolidda'!E26*C42</f>
        <v>59.4</v>
      </c>
      <c r="D41" s="1354">
        <f>'14 Dda Consolidda'!F26*D42</f>
        <v>124.77859675045158</v>
      </c>
      <c r="E41" s="1354">
        <f>'14 Dda Consolidda'!G26*E42</f>
        <v>190.20785395449948</v>
      </c>
      <c r="F41" s="1354">
        <f>'14 Dda Consolidda'!H26*F42</f>
        <v>255.68780105736261</v>
      </c>
      <c r="G41" s="1354">
        <f>'14 Dda Consolidda'!I26*G42</f>
        <v>321.21846751947288</v>
      </c>
      <c r="H41" s="1354">
        <f>'14 Dda Consolidda'!J26*H42</f>
        <v>386.79988281648275</v>
      </c>
      <c r="I41" s="1354">
        <f>'14 Dda Consolidda'!K26*I42</f>
        <v>452.43207643927286</v>
      </c>
      <c r="J41" s="1354">
        <f>'14 Dda Consolidda'!L26*J42</f>
        <v>518.1150778939591</v>
      </c>
      <c r="K41" s="1354">
        <f>'14 Dda Consolidda'!M26*K42</f>
        <v>583.84891670189984</v>
      </c>
      <c r="L41" s="1354">
        <f>'14 Dda Consolidda'!N26*L42</f>
        <v>649.63362239970377</v>
      </c>
      <c r="M41" s="1354">
        <f>'14 Dda Consolidda'!O26*M42</f>
        <v>715.46922453923696</v>
      </c>
      <c r="N41" s="1354">
        <f>'14 Dda Consolidda'!P26*N42</f>
        <v>781.35575268763034</v>
      </c>
      <c r="O41" s="1354">
        <f>'14 Dda Consolidda'!Q26*O42</f>
        <v>847.29323642728718</v>
      </c>
      <c r="P41" s="1354">
        <f>'14 Dda Consolidda'!R26*P42</f>
        <v>913.28170535589015</v>
      </c>
      <c r="Q41" s="1354">
        <f>'14 Dda Consolidda'!S26*Q42</f>
        <v>979.3211890864095</v>
      </c>
      <c r="R41" s="1354">
        <f>'14 Dda Consolidda'!T26*R42</f>
        <v>979.70068324271119</v>
      </c>
      <c r="S41" s="1354">
        <f>'14 Dda Consolidda'!U26*S42</f>
        <v>980.08032445578692</v>
      </c>
      <c r="T41" s="1352">
        <f>SUM(H41:S41)</f>
        <v>8787.3316920462712</v>
      </c>
    </row>
    <row r="42" spans="1:20" ht="17.25" thickBot="1" x14ac:dyDescent="0.3">
      <c r="B42" s="4597"/>
      <c r="C42" s="1355">
        <f>'14 Dda Consolidda'!Z26</f>
        <v>6.0984143629855075E-2</v>
      </c>
      <c r="D42" s="1355">
        <f>'14 Dda Consolidda'!AA26</f>
        <v>0.12805670479915116</v>
      </c>
      <c r="E42" s="1355">
        <f>'14 Dda Consolidda'!AB26</f>
        <v>0.19512926596844721</v>
      </c>
      <c r="F42" s="1355">
        <f>'14 Dda Consolidda'!AC26</f>
        <v>0.26220182713774326</v>
      </c>
      <c r="G42" s="1355">
        <f>'14 Dda Consolidda'!AD26</f>
        <v>0.32927438830703931</v>
      </c>
      <c r="H42" s="1355">
        <f>'14 Dda Consolidda'!AE26</f>
        <v>0.39634694947633536</v>
      </c>
      <c r="I42" s="1355">
        <f>'14 Dda Consolidda'!AF26</f>
        <v>0.46341951064563142</v>
      </c>
      <c r="J42" s="1355">
        <f>'14 Dda Consolidda'!AG26</f>
        <v>0.53049207181492752</v>
      </c>
      <c r="K42" s="1355">
        <f>'14 Dda Consolidda'!AH26</f>
        <v>0.59756463298422358</v>
      </c>
      <c r="L42" s="1355">
        <f>'14 Dda Consolidda'!AI26</f>
        <v>0.66463719415351963</v>
      </c>
      <c r="M42" s="1355">
        <f>'14 Dda Consolidda'!AJ26</f>
        <v>0.73170975532281568</v>
      </c>
      <c r="N42" s="1355">
        <f>'14 Dda Consolidda'!AK26</f>
        <v>0.79878231649211173</v>
      </c>
      <c r="O42" s="1355">
        <f>'14 Dda Consolidda'!AL26</f>
        <v>0.86585487766140778</v>
      </c>
      <c r="P42" s="1355">
        <f>'14 Dda Consolidda'!AM26</f>
        <v>0.93292743883070384</v>
      </c>
      <c r="Q42" s="1355">
        <f>'14 Dda Consolidda'!AN26</f>
        <v>1</v>
      </c>
      <c r="R42" s="1355">
        <f>'14 Dda Consolidda'!AO26</f>
        <v>1</v>
      </c>
      <c r="S42" s="1355">
        <f>'14 Dda Consolidda'!AP26</f>
        <v>1</v>
      </c>
      <c r="T42" s="1352"/>
    </row>
    <row r="43" spans="1:20" ht="17.25" thickBot="1" x14ac:dyDescent="0.3">
      <c r="B43" s="4597" t="s">
        <v>1234</v>
      </c>
      <c r="C43" s="1354">
        <f>'14 Dda Consolidda'!E27*C44</f>
        <v>0</v>
      </c>
      <c r="D43" s="1354">
        <f>'14 Dda Consolidda'!F27*D44</f>
        <v>16.29202511965876</v>
      </c>
      <c r="E43" s="1354">
        <f>'14 Dda Consolidda'!G27*E44</f>
        <v>32.59667679819551</v>
      </c>
      <c r="F43" s="1354">
        <f>'14 Dda Consolidda'!H27*F44</f>
        <v>48.913962374936759</v>
      </c>
      <c r="G43" s="1354">
        <f>'14 Dda Consolidda'!I27*G44</f>
        <v>65.243889193001081</v>
      </c>
      <c r="H43" s="1354">
        <f>'14 Dda Consolidda'!J27*H44</f>
        <v>81.586464599300911</v>
      </c>
      <c r="I43" s="1354">
        <f>'14 Dda Consolidda'!K27*I44</f>
        <v>97.941695944544463</v>
      </c>
      <c r="J43" s="1354">
        <f>'14 Dda Consolidda'!L27*J44</f>
        <v>114.30959058323751</v>
      </c>
      <c r="K43" s="1354">
        <f>'14 Dda Consolidda'!M27*K44</f>
        <v>130.69015587368517</v>
      </c>
      <c r="L43" s="1354">
        <f>'14 Dda Consolidda'!N27*L44</f>
        <v>147.08339917799393</v>
      </c>
      <c r="M43" s="1354">
        <f>'14 Dda Consolidda'!O27*M44</f>
        <v>163.48932786207325</v>
      </c>
      <c r="N43" s="1354">
        <f>'14 Dda Consolidda'!P27*N44</f>
        <v>179.90794929563762</v>
      </c>
      <c r="O43" s="1354">
        <f>'14 Dda Consolidda'!Q27*O44</f>
        <v>196.33927085220819</v>
      </c>
      <c r="P43" s="1354">
        <f>'14 Dda Consolidda'!R27*P44</f>
        <v>212.78329990911485</v>
      </c>
      <c r="Q43" s="1354">
        <f>'14 Dda Consolidda'!S27*Q44</f>
        <v>229.24004384749804</v>
      </c>
      <c r="R43" s="1354">
        <f>'14 Dda Consolidda'!T27*R44</f>
        <v>229.32887604882279</v>
      </c>
      <c r="S43" s="1354">
        <f>'14 Dda Consolidda'!U27*S44</f>
        <v>229.41774267327821</v>
      </c>
      <c r="T43" s="1352">
        <f>SUM(H43:S43)</f>
        <v>2012.1178166673953</v>
      </c>
    </row>
    <row r="44" spans="1:20" ht="17.25" thickBot="1" x14ac:dyDescent="0.3">
      <c r="B44" s="4597"/>
      <c r="C44" s="1355">
        <f>'14 Dda Consolidda'!Z27</f>
        <v>0</v>
      </c>
      <c r="D44" s="1355">
        <f>'14 Dda Consolidda'!AA27</f>
        <v>7.1428571428571425E-2</v>
      </c>
      <c r="E44" s="1355">
        <f>'14 Dda Consolidda'!AB27</f>
        <v>0.14285714285714285</v>
      </c>
      <c r="F44" s="1355">
        <f>'14 Dda Consolidda'!AC27</f>
        <v>0.21428571428571427</v>
      </c>
      <c r="G44" s="1355">
        <f>'14 Dda Consolidda'!AD27</f>
        <v>0.2857142857142857</v>
      </c>
      <c r="H44" s="1355">
        <f>'14 Dda Consolidda'!AE27</f>
        <v>0.3571428571428571</v>
      </c>
      <c r="I44" s="1355">
        <f>'14 Dda Consolidda'!AF27</f>
        <v>0.42857142857142849</v>
      </c>
      <c r="J44" s="1355">
        <f>'14 Dda Consolidda'!AG27</f>
        <v>0.49999999999999989</v>
      </c>
      <c r="K44" s="1355">
        <f>'14 Dda Consolidda'!AH27</f>
        <v>0.57142857142857129</v>
      </c>
      <c r="L44" s="1355">
        <f>'14 Dda Consolidda'!AI27</f>
        <v>0.64285714285714268</v>
      </c>
      <c r="M44" s="1355">
        <f>'14 Dda Consolidda'!AJ27</f>
        <v>0.71428571428571408</v>
      </c>
      <c r="N44" s="1355">
        <f>'14 Dda Consolidda'!AK27</f>
        <v>0.78571428571428548</v>
      </c>
      <c r="O44" s="1355">
        <f>'14 Dda Consolidda'!AL27</f>
        <v>0.85714285714285687</v>
      </c>
      <c r="P44" s="1355">
        <f>'14 Dda Consolidda'!AM27</f>
        <v>0.92857142857142827</v>
      </c>
      <c r="Q44" s="1355">
        <f>'14 Dda Consolidda'!AN27</f>
        <v>1</v>
      </c>
      <c r="R44" s="1355">
        <f>'14 Dda Consolidda'!AO27</f>
        <v>1</v>
      </c>
      <c r="S44" s="1355">
        <f>'14 Dda Consolidda'!AP27</f>
        <v>1</v>
      </c>
      <c r="T44" s="1352"/>
    </row>
    <row r="45" spans="1:20" ht="17.25" thickBot="1" x14ac:dyDescent="0.3">
      <c r="B45" s="4597" t="s">
        <v>1969</v>
      </c>
      <c r="C45" s="1354">
        <f>'14 Dda Consolidda'!E28*C46</f>
        <v>3.8</v>
      </c>
      <c r="D45" s="1354">
        <f>'14 Dda Consolidda'!F28*D46</f>
        <v>38.917831248385667</v>
      </c>
      <c r="E45" s="1354">
        <f>'14 Dda Consolidda'!G28*E46</f>
        <v>74.319484735897205</v>
      </c>
      <c r="F45" s="1354">
        <f>'14 Dda Consolidda'!H28*F46</f>
        <v>110.00668110143185</v>
      </c>
      <c r="G45" s="1354">
        <f>'14 Dda Consolidda'!I28*G46</f>
        <v>145.98115025637651</v>
      </c>
      <c r="H45" s="1354">
        <f>'14 Dda Consolidda'!J28*H46</f>
        <v>182.24463143145476</v>
      </c>
      <c r="I45" s="1354">
        <f>'14 Dda Consolidda'!K28*I46</f>
        <v>218.79887322380077</v>
      </c>
      <c r="J45" s="1354">
        <f>'14 Dda Consolidda'!L28*J46</f>
        <v>255.64563364426178</v>
      </c>
      <c r="K45" s="1354">
        <f>'14 Dda Consolidda'!M28*K46</f>
        <v>292.78668016492981</v>
      </c>
      <c r="L45" s="1354">
        <f>'14 Dda Consolidda'!N28*L46</f>
        <v>330.22378976690396</v>
      </c>
      <c r="M45" s="1354">
        <f>'14 Dda Consolidda'!O28*M46</f>
        <v>367.95874898828379</v>
      </c>
      <c r="N45" s="1354">
        <f>'14 Dda Consolidda'!P28*N46</f>
        <v>405.99335397239611</v>
      </c>
      <c r="O45" s="1354">
        <f>'14 Dda Consolidda'!Q28*O46</f>
        <v>444.32941051625471</v>
      </c>
      <c r="P45" s="1354">
        <f>'14 Dda Consolidda'!R28*P46</f>
        <v>482.96873411925543</v>
      </c>
      <c r="Q45" s="1354">
        <f>'14 Dda Consolidda'!S28*Q46</f>
        <v>521.91315003210661</v>
      </c>
      <c r="R45" s="1354">
        <f>'14 Dda Consolidda'!T28*R46</f>
        <v>524.02266183740244</v>
      </c>
      <c r="S45" s="1354">
        <f>'14 Dda Consolidda'!U28*S46</f>
        <v>526.14070004226562</v>
      </c>
      <c r="T45" s="1352">
        <f>SUM(H45:S45)</f>
        <v>4553.0263677393168</v>
      </c>
    </row>
    <row r="46" spans="1:20" ht="17.25" thickBot="1" x14ac:dyDescent="0.3">
      <c r="B46" s="4597"/>
      <c r="C46" s="1355">
        <f>'14 Dda Consolidda'!Z28</f>
        <v>7.7039059015357163E-3</v>
      </c>
      <c r="D46" s="1355">
        <f>'14 Dda Consolidda'!AA28</f>
        <v>7.8582198337140308E-2</v>
      </c>
      <c r="E46" s="1355">
        <f>'14 Dda Consolidda'!AB28</f>
        <v>0.1494604907727449</v>
      </c>
      <c r="F46" s="1355">
        <f>'14 Dda Consolidda'!AC28</f>
        <v>0.22033878320834949</v>
      </c>
      <c r="G46" s="1355">
        <f>'14 Dda Consolidda'!AD28</f>
        <v>0.29121707564395405</v>
      </c>
      <c r="H46" s="1355">
        <f>'14 Dda Consolidda'!AE28</f>
        <v>0.36209536807955867</v>
      </c>
      <c r="I46" s="1355">
        <f>'14 Dda Consolidda'!AF28</f>
        <v>0.43297366051516328</v>
      </c>
      <c r="J46" s="1355">
        <f>'14 Dda Consolidda'!AG28</f>
        <v>0.5038519529507679</v>
      </c>
      <c r="K46" s="1355">
        <f>'14 Dda Consolidda'!AH28</f>
        <v>0.57473024538637252</v>
      </c>
      <c r="L46" s="1355">
        <f>'14 Dda Consolidda'!AI28</f>
        <v>0.64560853782197714</v>
      </c>
      <c r="M46" s="1355">
        <f>'14 Dda Consolidda'!AJ28</f>
        <v>0.71648683025758175</v>
      </c>
      <c r="N46" s="1355">
        <f>'14 Dda Consolidda'!AK28</f>
        <v>0.78736512269318637</v>
      </c>
      <c r="O46" s="1355">
        <f>'14 Dda Consolidda'!AL28</f>
        <v>0.85824341512879099</v>
      </c>
      <c r="P46" s="1355">
        <f>'14 Dda Consolidda'!AM28</f>
        <v>0.9291217075643956</v>
      </c>
      <c r="Q46" s="1355">
        <f>'14 Dda Consolidda'!AN28</f>
        <v>1</v>
      </c>
      <c r="R46" s="1355">
        <f>'14 Dda Consolidda'!AO28</f>
        <v>1</v>
      </c>
      <c r="S46" s="1355">
        <f>'14 Dda Consolidda'!AP28</f>
        <v>1</v>
      </c>
      <c r="T46" s="1352"/>
    </row>
    <row r="47" spans="1:20" ht="17.25" thickBot="1" x14ac:dyDescent="0.3">
      <c r="B47" s="4597" t="s">
        <v>1970</v>
      </c>
      <c r="C47" s="1354">
        <f>'14 Dda Consolidda'!E29*C48</f>
        <v>2</v>
      </c>
      <c r="D47" s="1354">
        <f>'14 Dda Consolidda'!F29*D48</f>
        <v>10.482503331437796</v>
      </c>
      <c r="E47" s="1354">
        <f>'14 Dda Consolidda'!G29*E48</f>
        <v>19.094837316939312</v>
      </c>
      <c r="F47" s="1354">
        <f>'14 Dda Consolidda'!H29*F48</f>
        <v>27.83714906637049</v>
      </c>
      <c r="G47" s="1354">
        <f>'14 Dda Consolidda'!I29*G48</f>
        <v>36.709585802622428</v>
      </c>
      <c r="H47" s="1354">
        <f>'14 Dda Consolidda'!J29*H48</f>
        <v>45.712294861684079</v>
      </c>
      <c r="I47" s="1354">
        <f>'14 Dda Consolidda'!K29*I48</f>
        <v>54.845423692714981</v>
      </c>
      <c r="J47" s="1354">
        <f>'14 Dda Consolidda'!L29*J48</f>
        <v>64.109119858118035</v>
      </c>
      <c r="K47" s="1354">
        <f>'14 Dda Consolidda'!M29*K48</f>
        <v>73.503531033612276</v>
      </c>
      <c r="L47" s="1354">
        <f>'14 Dda Consolidda'!N29*L48</f>
        <v>83.028805008305682</v>
      </c>
      <c r="M47" s="1354">
        <f>'14 Dda Consolidda'!O29*M48</f>
        <v>92.685089684768144</v>
      </c>
      <c r="N47" s="1354">
        <f>'14 Dda Consolidda'!P29*N48</f>
        <v>102.47253307910434</v>
      </c>
      <c r="O47" s="1354">
        <f>'14 Dda Consolidda'!Q29*O48</f>
        <v>112.39128332102685</v>
      </c>
      <c r="P47" s="1354">
        <f>'14 Dda Consolidda'!R29*P48</f>
        <v>122.44148865392889</v>
      </c>
      <c r="Q47" s="1354">
        <f>'14 Dda Consolidda'!S29*Q48</f>
        <v>132.62329743495758</v>
      </c>
      <c r="R47" s="1354">
        <f>'14 Dda Consolidda'!T29*R48</f>
        <v>133.55658837513352</v>
      </c>
      <c r="S47" s="1354">
        <f>'14 Dda Consolidda'!U29*S48</f>
        <v>134.49058271453052</v>
      </c>
      <c r="T47" s="1352">
        <f>SUM(H47:S47)</f>
        <v>1151.860037717885</v>
      </c>
    </row>
    <row r="48" spans="1:20" ht="17.25" thickBot="1" x14ac:dyDescent="0.3">
      <c r="B48" s="4597"/>
      <c r="C48" s="1355">
        <f>'14 Dda Consolidda'!Z29</f>
        <v>1.6718095025850799E-2</v>
      </c>
      <c r="D48" s="1355">
        <f>'14 Dda Consolidda'!AA29</f>
        <v>8.6952516809718605E-2</v>
      </c>
      <c r="E48" s="1355">
        <f>'14 Dda Consolidda'!AB29</f>
        <v>0.1571869385935864</v>
      </c>
      <c r="F48" s="1355">
        <f>'14 Dda Consolidda'!AC29</f>
        <v>0.2274213603774542</v>
      </c>
      <c r="G48" s="1355">
        <f>'14 Dda Consolidda'!AD29</f>
        <v>0.29765578216132199</v>
      </c>
      <c r="H48" s="1355">
        <f>'14 Dda Consolidda'!AE29</f>
        <v>0.36789020394518979</v>
      </c>
      <c r="I48" s="1355">
        <f>'14 Dda Consolidda'!AF29</f>
        <v>0.43812462572905758</v>
      </c>
      <c r="J48" s="1355">
        <f>'14 Dda Consolidda'!AG29</f>
        <v>0.50835904751292538</v>
      </c>
      <c r="K48" s="1355">
        <f>'14 Dda Consolidda'!AH29</f>
        <v>0.57859346929679323</v>
      </c>
      <c r="L48" s="1355">
        <f>'14 Dda Consolidda'!AI29</f>
        <v>0.64882789108066108</v>
      </c>
      <c r="M48" s="1355">
        <f>'14 Dda Consolidda'!AJ29</f>
        <v>0.71906231286452893</v>
      </c>
      <c r="N48" s="1355">
        <f>'14 Dda Consolidda'!AK29</f>
        <v>0.78929673464839678</v>
      </c>
      <c r="O48" s="1355">
        <f>'14 Dda Consolidda'!AL29</f>
        <v>0.85953115643226463</v>
      </c>
      <c r="P48" s="1355">
        <f>'14 Dda Consolidda'!AM29</f>
        <v>0.92976557821613248</v>
      </c>
      <c r="Q48" s="1355">
        <f>'14 Dda Consolidda'!AN29</f>
        <v>1</v>
      </c>
      <c r="R48" s="1355">
        <f>'14 Dda Consolidda'!AO29</f>
        <v>1</v>
      </c>
      <c r="S48" s="1355">
        <f>'14 Dda Consolidda'!AP29</f>
        <v>1</v>
      </c>
      <c r="T48" s="1352"/>
    </row>
    <row r="49" spans="2:20" ht="17.25" thickBot="1" x14ac:dyDescent="0.3">
      <c r="B49" s="4597" t="s">
        <v>2044</v>
      </c>
      <c r="C49" s="1354">
        <f>'14 Dda Consolidda'!E30*C50</f>
        <v>76</v>
      </c>
      <c r="D49" s="1354">
        <f>'14 Dda Consolidda'!F30*D50</f>
        <v>76.029450558407547</v>
      </c>
      <c r="E49" s="1354">
        <f>'14 Dda Consolidda'!G30*E50</f>
        <v>76.058912529122864</v>
      </c>
      <c r="F49" s="1354">
        <f>'14 Dda Consolidda'!H30*F50</f>
        <v>76.088385916568299</v>
      </c>
      <c r="G49" s="1354">
        <f>'14 Dda Consolidda'!I30*G50</f>
        <v>76.117870725167933</v>
      </c>
      <c r="H49" s="1354">
        <f>'14 Dda Consolidda'!J30*H50</f>
        <v>76.147366959347536</v>
      </c>
      <c r="I49" s="1354">
        <f>'14 Dda Consolidda'!K30*I50</f>
        <v>76.176874623534601</v>
      </c>
      <c r="J49" s="1354">
        <f>'14 Dda Consolidda'!L30*J50</f>
        <v>76.206393722158353</v>
      </c>
      <c r="K49" s="1354">
        <f>'14 Dda Consolidda'!M30*K50</f>
        <v>76.235924259649707</v>
      </c>
      <c r="L49" s="1354">
        <f>'14 Dda Consolidda'!N30*L50</f>
        <v>76.265466240441313</v>
      </c>
      <c r="M49" s="1354">
        <f>'14 Dda Consolidda'!O30*M50</f>
        <v>76.295019668967541</v>
      </c>
      <c r="N49" s="1354">
        <f>'14 Dda Consolidda'!P30*N50</f>
        <v>76.324584549664465</v>
      </c>
      <c r="O49" s="1354">
        <f>'14 Dda Consolidda'!Q30*O50</f>
        <v>76.354160886969879</v>
      </c>
      <c r="P49" s="1354">
        <f>'14 Dda Consolidda'!R30*P50</f>
        <v>76.383748685323312</v>
      </c>
      <c r="Q49" s="1354">
        <f>'14 Dda Consolidda'!S30*Q50</f>
        <v>76.41334794916601</v>
      </c>
      <c r="R49" s="1354">
        <f>'14 Dda Consolidda'!T30*R50</f>
        <v>76.442958682940926</v>
      </c>
      <c r="S49" s="1354">
        <f>'14 Dda Consolidda'!U30*S50</f>
        <v>76.472580891092733</v>
      </c>
      <c r="T49" s="1352">
        <f>SUM(H49:S49)</f>
        <v>915.71842711925649</v>
      </c>
    </row>
    <row r="50" spans="2:20" ht="17.25" thickBot="1" x14ac:dyDescent="0.3">
      <c r="B50" s="4597"/>
      <c r="C50" s="1355">
        <f>'14 Dda Consolidda'!Z30</f>
        <v>1</v>
      </c>
      <c r="D50" s="1355">
        <f>'14 Dda Consolidda'!AA30</f>
        <v>1</v>
      </c>
      <c r="E50" s="1355">
        <f>'14 Dda Consolidda'!AB30</f>
        <v>1</v>
      </c>
      <c r="F50" s="1355">
        <f>'14 Dda Consolidda'!AC30</f>
        <v>1</v>
      </c>
      <c r="G50" s="1355">
        <f>'14 Dda Consolidda'!AD30</f>
        <v>1</v>
      </c>
      <c r="H50" s="1355">
        <f>'14 Dda Consolidda'!AE30</f>
        <v>1</v>
      </c>
      <c r="I50" s="1355">
        <f>'14 Dda Consolidda'!AF30</f>
        <v>1</v>
      </c>
      <c r="J50" s="1355">
        <f>'14 Dda Consolidda'!AG30</f>
        <v>1</v>
      </c>
      <c r="K50" s="1355">
        <f>'14 Dda Consolidda'!AH30</f>
        <v>1</v>
      </c>
      <c r="L50" s="1355">
        <f>'14 Dda Consolidda'!AI30</f>
        <v>1</v>
      </c>
      <c r="M50" s="1355">
        <f>'14 Dda Consolidda'!AJ30</f>
        <v>1</v>
      </c>
      <c r="N50" s="1355">
        <f>'14 Dda Consolidda'!AK30</f>
        <v>1</v>
      </c>
      <c r="O50" s="1355">
        <f>'14 Dda Consolidda'!AL30</f>
        <v>1</v>
      </c>
      <c r="P50" s="1355">
        <f>'14 Dda Consolidda'!AM30</f>
        <v>1</v>
      </c>
      <c r="Q50" s="1355">
        <f>'14 Dda Consolidda'!AN30</f>
        <v>1</v>
      </c>
      <c r="R50" s="1355">
        <f>'14 Dda Consolidda'!AO30</f>
        <v>1</v>
      </c>
      <c r="S50" s="1355">
        <f>'14 Dda Consolidda'!AP30</f>
        <v>1</v>
      </c>
      <c r="T50" s="1352"/>
    </row>
    <row r="51" spans="2:20" ht="17.25" thickBot="1" x14ac:dyDescent="0.3">
      <c r="B51" s="4597" t="s">
        <v>1235</v>
      </c>
      <c r="C51" s="1354" t="e">
        <f>'14 Dda Consolidda'!E31*C52</f>
        <v>#DIV/0!</v>
      </c>
      <c r="D51" s="1354" t="e">
        <f>'14 Dda Consolidda'!F31*D52</f>
        <v>#DIV/0!</v>
      </c>
      <c r="E51" s="1354" t="e">
        <f>'14 Dda Consolidda'!G31*E52</f>
        <v>#DIV/0!</v>
      </c>
      <c r="F51" s="1354" t="e">
        <f>'14 Dda Consolidda'!H31*F52</f>
        <v>#DIV/0!</v>
      </c>
      <c r="G51" s="1354" t="e">
        <f>'14 Dda Consolidda'!I31*G52</f>
        <v>#DIV/0!</v>
      </c>
      <c r="H51" s="1354" t="e">
        <f>'14 Dda Consolidda'!J31*H52</f>
        <v>#DIV/0!</v>
      </c>
      <c r="I51" s="1354" t="e">
        <f>'14 Dda Consolidda'!K31*I52</f>
        <v>#DIV/0!</v>
      </c>
      <c r="J51" s="1354" t="e">
        <f>'14 Dda Consolidda'!L31*J52</f>
        <v>#DIV/0!</v>
      </c>
      <c r="K51" s="1354" t="e">
        <f>'14 Dda Consolidda'!M31*K52</f>
        <v>#DIV/0!</v>
      </c>
      <c r="L51" s="1354" t="e">
        <f>'14 Dda Consolidda'!N31*L52</f>
        <v>#DIV/0!</v>
      </c>
      <c r="M51" s="1354" t="e">
        <f>'14 Dda Consolidda'!O31*M52</f>
        <v>#DIV/0!</v>
      </c>
      <c r="N51" s="1354" t="e">
        <f>'14 Dda Consolidda'!P31*N52</f>
        <v>#DIV/0!</v>
      </c>
      <c r="O51" s="1354" t="e">
        <f>'14 Dda Consolidda'!Q31*O52</f>
        <v>#DIV/0!</v>
      </c>
      <c r="P51" s="1354" t="e">
        <f>'14 Dda Consolidda'!R31*P52</f>
        <v>#DIV/0!</v>
      </c>
      <c r="Q51" s="1354" t="e">
        <f>'14 Dda Consolidda'!S31*Q52</f>
        <v>#DIV/0!</v>
      </c>
      <c r="R51" s="1354" t="e">
        <f>'14 Dda Consolidda'!T31*R52</f>
        <v>#DIV/0!</v>
      </c>
      <c r="S51" s="1354" t="e">
        <f>'14 Dda Consolidda'!U31*S52</f>
        <v>#DIV/0!</v>
      </c>
      <c r="T51" s="1352" t="e">
        <f>SUM(H51:S51)</f>
        <v>#DIV/0!</v>
      </c>
    </row>
    <row r="52" spans="2:20" ht="17.25" thickBot="1" x14ac:dyDescent="0.3">
      <c r="B52" s="4597"/>
      <c r="C52" s="1355" t="e">
        <f>'14 Dda Consolidda'!Z31</f>
        <v>#DIV/0!</v>
      </c>
      <c r="D52" s="1355" t="e">
        <f>'14 Dda Consolidda'!AA31</f>
        <v>#DIV/0!</v>
      </c>
      <c r="E52" s="1355" t="e">
        <f>'14 Dda Consolidda'!AB31</f>
        <v>#DIV/0!</v>
      </c>
      <c r="F52" s="1355" t="e">
        <f>'14 Dda Consolidda'!AC31</f>
        <v>#DIV/0!</v>
      </c>
      <c r="G52" s="1355" t="e">
        <f>'14 Dda Consolidda'!AD31</f>
        <v>#DIV/0!</v>
      </c>
      <c r="H52" s="1355" t="e">
        <f>'14 Dda Consolidda'!AE31</f>
        <v>#DIV/0!</v>
      </c>
      <c r="I52" s="1355" t="e">
        <f>'14 Dda Consolidda'!AF31</f>
        <v>#DIV/0!</v>
      </c>
      <c r="J52" s="1355" t="e">
        <f>'14 Dda Consolidda'!AG31</f>
        <v>#DIV/0!</v>
      </c>
      <c r="K52" s="1355" t="e">
        <f>'14 Dda Consolidda'!AH31</f>
        <v>#DIV/0!</v>
      </c>
      <c r="L52" s="1355" t="e">
        <f>'14 Dda Consolidda'!AI31</f>
        <v>#DIV/0!</v>
      </c>
      <c r="M52" s="1355" t="e">
        <f>'14 Dda Consolidda'!AJ31</f>
        <v>#DIV/0!</v>
      </c>
      <c r="N52" s="1355" t="e">
        <f>'14 Dda Consolidda'!AK31</f>
        <v>#DIV/0!</v>
      </c>
      <c r="O52" s="1355" t="e">
        <f>'14 Dda Consolidda'!AL31</f>
        <v>#DIV/0!</v>
      </c>
      <c r="P52" s="1355" t="e">
        <f>'14 Dda Consolidda'!AM31</f>
        <v>#DIV/0!</v>
      </c>
      <c r="Q52" s="1355">
        <f>'14 Dda Consolidda'!AN31</f>
        <v>1</v>
      </c>
      <c r="R52" s="1355">
        <f>'14 Dda Consolidda'!AO31</f>
        <v>1</v>
      </c>
      <c r="S52" s="1355">
        <f>'14 Dda Consolidda'!AP31</f>
        <v>1</v>
      </c>
      <c r="T52" s="1352"/>
    </row>
    <row r="53" spans="2:20" ht="17.25" thickBot="1" x14ac:dyDescent="0.3">
      <c r="B53" s="4597" t="s">
        <v>1798</v>
      </c>
      <c r="C53" s="1354" t="e">
        <f>'14 Dda Consolidda'!E32*C54</f>
        <v>#DIV/0!</v>
      </c>
      <c r="D53" s="1354" t="e">
        <f>'14 Dda Consolidda'!F32*D54</f>
        <v>#DIV/0!</v>
      </c>
      <c r="E53" s="1354" t="e">
        <f>'14 Dda Consolidda'!G32*E54</f>
        <v>#DIV/0!</v>
      </c>
      <c r="F53" s="1354" t="e">
        <f>'14 Dda Consolidda'!H32*F54</f>
        <v>#DIV/0!</v>
      </c>
      <c r="G53" s="1354" t="e">
        <f>'14 Dda Consolidda'!I32*G54</f>
        <v>#DIV/0!</v>
      </c>
      <c r="H53" s="1354" t="e">
        <f>'14 Dda Consolidda'!J32*H54</f>
        <v>#DIV/0!</v>
      </c>
      <c r="I53" s="1354" t="e">
        <f>'14 Dda Consolidda'!K32*I54</f>
        <v>#DIV/0!</v>
      </c>
      <c r="J53" s="1354" t="e">
        <f>'14 Dda Consolidda'!L32*J54</f>
        <v>#DIV/0!</v>
      </c>
      <c r="K53" s="1354" t="e">
        <f>'14 Dda Consolidda'!M32*K54</f>
        <v>#DIV/0!</v>
      </c>
      <c r="L53" s="1354" t="e">
        <f>'14 Dda Consolidda'!N32*L54</f>
        <v>#DIV/0!</v>
      </c>
      <c r="M53" s="1354" t="e">
        <f>'14 Dda Consolidda'!O32*M54</f>
        <v>#DIV/0!</v>
      </c>
      <c r="N53" s="1354" t="e">
        <f>'14 Dda Consolidda'!P32*N54</f>
        <v>#DIV/0!</v>
      </c>
      <c r="O53" s="1354" t="e">
        <f>'14 Dda Consolidda'!Q32*O54</f>
        <v>#DIV/0!</v>
      </c>
      <c r="P53" s="1354" t="e">
        <f>'14 Dda Consolidda'!R32*P54</f>
        <v>#DIV/0!</v>
      </c>
      <c r="Q53" s="1354" t="e">
        <f>'14 Dda Consolidda'!S32*Q54</f>
        <v>#DIV/0!</v>
      </c>
      <c r="R53" s="1354" t="e">
        <f>'14 Dda Consolidda'!T32*R54</f>
        <v>#DIV/0!</v>
      </c>
      <c r="S53" s="1354" t="e">
        <f>'14 Dda Consolidda'!U32*S54</f>
        <v>#DIV/0!</v>
      </c>
      <c r="T53" s="1352" t="e">
        <f>SUM(H53:S53)</f>
        <v>#DIV/0!</v>
      </c>
    </row>
    <row r="54" spans="2:20" ht="17.25" thickBot="1" x14ac:dyDescent="0.3">
      <c r="B54" s="4597"/>
      <c r="C54" s="1355">
        <f>'14 Dda Consolidda'!Z32</f>
        <v>1</v>
      </c>
      <c r="D54" s="1355">
        <f>'14 Dda Consolidda'!AA32</f>
        <v>1</v>
      </c>
      <c r="E54" s="1355">
        <f>'14 Dda Consolidda'!AB32</f>
        <v>1</v>
      </c>
      <c r="F54" s="1355">
        <f>'14 Dda Consolidda'!AC32</f>
        <v>1</v>
      </c>
      <c r="G54" s="1355">
        <f>'14 Dda Consolidda'!AD32</f>
        <v>1</v>
      </c>
      <c r="H54" s="1355">
        <f>'14 Dda Consolidda'!AE32</f>
        <v>1</v>
      </c>
      <c r="I54" s="1355">
        <f>'14 Dda Consolidda'!AF32</f>
        <v>1</v>
      </c>
      <c r="J54" s="1355">
        <f>'14 Dda Consolidda'!AG32</f>
        <v>1</v>
      </c>
      <c r="K54" s="1355">
        <f>'14 Dda Consolidda'!AH32</f>
        <v>1</v>
      </c>
      <c r="L54" s="1355">
        <f>'14 Dda Consolidda'!AI32</f>
        <v>1</v>
      </c>
      <c r="M54" s="1355">
        <f>'14 Dda Consolidda'!AJ32</f>
        <v>1</v>
      </c>
      <c r="N54" s="1355">
        <f>'14 Dda Consolidda'!AK32</f>
        <v>1</v>
      </c>
      <c r="O54" s="1355">
        <f>'14 Dda Consolidda'!AL32</f>
        <v>1</v>
      </c>
      <c r="P54" s="1355">
        <f>'14 Dda Consolidda'!AM32</f>
        <v>1</v>
      </c>
      <c r="Q54" s="1355">
        <f>'14 Dda Consolidda'!AN32</f>
        <v>1</v>
      </c>
      <c r="R54" s="1355">
        <f>'14 Dda Consolidda'!AO32</f>
        <v>1</v>
      </c>
      <c r="S54" s="1355">
        <f>'14 Dda Consolidda'!AP32</f>
        <v>1</v>
      </c>
      <c r="T54" s="1352"/>
    </row>
    <row r="55" spans="2:20" ht="17.25" thickBot="1" x14ac:dyDescent="0.3">
      <c r="B55" s="4597" t="s">
        <v>2045</v>
      </c>
      <c r="C55" s="1354" t="e">
        <f>'14 Dda Consolidda'!E33*C56</f>
        <v>#REF!</v>
      </c>
      <c r="D55" s="1354" t="e">
        <f>'14 Dda Consolidda'!F33*D56</f>
        <v>#REF!</v>
      </c>
      <c r="E55" s="1354" t="e">
        <f>'14 Dda Consolidda'!G33*E56</f>
        <v>#REF!</v>
      </c>
      <c r="F55" s="1354" t="e">
        <f>'14 Dda Consolidda'!H33*F56</f>
        <v>#REF!</v>
      </c>
      <c r="G55" s="1354" t="e">
        <f>'14 Dda Consolidda'!I33*G56</f>
        <v>#REF!</v>
      </c>
      <c r="H55" s="1354" t="e">
        <f>'14 Dda Consolidda'!J33*H56</f>
        <v>#REF!</v>
      </c>
      <c r="I55" s="1354" t="e">
        <f>'14 Dda Consolidda'!K33*I56</f>
        <v>#REF!</v>
      </c>
      <c r="J55" s="1354" t="e">
        <f>'14 Dda Consolidda'!L33*J56</f>
        <v>#REF!</v>
      </c>
      <c r="K55" s="1354" t="e">
        <f>'14 Dda Consolidda'!M33*K56</f>
        <v>#REF!</v>
      </c>
      <c r="L55" s="1354" t="e">
        <f>'14 Dda Consolidda'!N33*L56</f>
        <v>#REF!</v>
      </c>
      <c r="M55" s="1354" t="e">
        <f>'14 Dda Consolidda'!O33*M56</f>
        <v>#REF!</v>
      </c>
      <c r="N55" s="1354" t="e">
        <f>'14 Dda Consolidda'!P33*N56</f>
        <v>#REF!</v>
      </c>
      <c r="O55" s="1354" t="e">
        <f>'14 Dda Consolidda'!Q33*O56</f>
        <v>#REF!</v>
      </c>
      <c r="P55" s="1354" t="e">
        <f>'14 Dda Consolidda'!R33*P56</f>
        <v>#REF!</v>
      </c>
      <c r="Q55" s="1354" t="e">
        <f>'14 Dda Consolidda'!S33*Q56</f>
        <v>#REF!</v>
      </c>
      <c r="R55" s="1354" t="e">
        <f>'14 Dda Consolidda'!T33*R56</f>
        <v>#REF!</v>
      </c>
      <c r="S55" s="1354" t="e">
        <f>'14 Dda Consolidda'!U33*S56</f>
        <v>#REF!</v>
      </c>
      <c r="T55" s="1352" t="e">
        <f>SUM(H55:S55)</f>
        <v>#REF!</v>
      </c>
    </row>
    <row r="56" spans="2:20" ht="17.25" thickBot="1" x14ac:dyDescent="0.3">
      <c r="B56" s="4597"/>
      <c r="C56" s="1355" t="e">
        <f>'14 Dda Consolidda'!Z33</f>
        <v>#REF!</v>
      </c>
      <c r="D56" s="1355" t="e">
        <f>'14 Dda Consolidda'!AA33</f>
        <v>#REF!</v>
      </c>
      <c r="E56" s="1355" t="e">
        <f>'14 Dda Consolidda'!AB33</f>
        <v>#REF!</v>
      </c>
      <c r="F56" s="1355" t="e">
        <f>'14 Dda Consolidda'!AC33</f>
        <v>#REF!</v>
      </c>
      <c r="G56" s="1355" t="e">
        <f>'14 Dda Consolidda'!AD33</f>
        <v>#REF!</v>
      </c>
      <c r="H56" s="1355" t="e">
        <f>'14 Dda Consolidda'!AE33</f>
        <v>#REF!</v>
      </c>
      <c r="I56" s="1355" t="e">
        <f>'14 Dda Consolidda'!AF33</f>
        <v>#REF!</v>
      </c>
      <c r="J56" s="1355" t="e">
        <f>'14 Dda Consolidda'!AG33</f>
        <v>#REF!</v>
      </c>
      <c r="K56" s="1355" t="e">
        <f>'14 Dda Consolidda'!AH33</f>
        <v>#REF!</v>
      </c>
      <c r="L56" s="1355" t="e">
        <f>'14 Dda Consolidda'!AI33</f>
        <v>#REF!</v>
      </c>
      <c r="M56" s="1355" t="e">
        <f>'14 Dda Consolidda'!AJ33</f>
        <v>#REF!</v>
      </c>
      <c r="N56" s="1355" t="e">
        <f>'14 Dda Consolidda'!AK33</f>
        <v>#REF!</v>
      </c>
      <c r="O56" s="1355" t="e">
        <f>'14 Dda Consolidda'!AL33</f>
        <v>#REF!</v>
      </c>
      <c r="P56" s="1355" t="e">
        <f>'14 Dda Consolidda'!AM33</f>
        <v>#REF!</v>
      </c>
      <c r="Q56" s="1355">
        <f>'14 Dda Consolidda'!AN33</f>
        <v>1</v>
      </c>
      <c r="R56" s="1355">
        <f>'14 Dda Consolidda'!AO33</f>
        <v>1</v>
      </c>
      <c r="S56" s="1355">
        <f>'14 Dda Consolidda'!AP33</f>
        <v>1</v>
      </c>
      <c r="T56" s="1352"/>
    </row>
    <row r="57" spans="2:20" ht="17.25" thickBot="1" x14ac:dyDescent="0.3">
      <c r="B57" s="1380" t="s">
        <v>61</v>
      </c>
      <c r="C57" s="1380"/>
      <c r="D57" s="1380"/>
      <c r="E57" s="1380"/>
      <c r="F57" s="1380"/>
      <c r="G57" s="1380"/>
      <c r="H57" s="1380"/>
      <c r="I57" s="1380"/>
      <c r="J57" s="1380"/>
      <c r="K57" s="1380"/>
      <c r="L57" s="1380"/>
      <c r="M57" s="1380"/>
      <c r="N57" s="1380"/>
      <c r="O57" s="1380"/>
      <c r="P57" s="1380"/>
      <c r="Q57" s="1380"/>
      <c r="R57" s="1380"/>
      <c r="S57" s="1380"/>
      <c r="T57" s="1352"/>
    </row>
    <row r="58" spans="2:20" ht="17.25" thickBot="1" x14ac:dyDescent="0.3">
      <c r="B58" s="4597" t="s">
        <v>1972</v>
      </c>
      <c r="C58" s="1354" t="e">
        <f>'14 Dda Consolidda'!E35*C59</f>
        <v>#DIV/0!</v>
      </c>
      <c r="D58" s="1354" t="e">
        <f>'14 Dda Consolidda'!F35*D59</f>
        <v>#DIV/0!</v>
      </c>
      <c r="E58" s="1354" t="e">
        <f>'14 Dda Consolidda'!G35*E59</f>
        <v>#DIV/0!</v>
      </c>
      <c r="F58" s="1354" t="e">
        <f>'14 Dda Consolidda'!H35*F59</f>
        <v>#DIV/0!</v>
      </c>
      <c r="G58" s="1354" t="e">
        <f>'14 Dda Consolidda'!I35*G59</f>
        <v>#DIV/0!</v>
      </c>
      <c r="H58" s="1354" t="e">
        <f>'14 Dda Consolidda'!J35*H59</f>
        <v>#DIV/0!</v>
      </c>
      <c r="I58" s="1354" t="e">
        <f>'14 Dda Consolidda'!K35*I59</f>
        <v>#DIV/0!</v>
      </c>
      <c r="J58" s="1354" t="e">
        <f>'14 Dda Consolidda'!L35*J59</f>
        <v>#DIV/0!</v>
      </c>
      <c r="K58" s="1354" t="e">
        <f>'14 Dda Consolidda'!M35*K59</f>
        <v>#DIV/0!</v>
      </c>
      <c r="L58" s="1354" t="e">
        <f>'14 Dda Consolidda'!N35*L59</f>
        <v>#DIV/0!</v>
      </c>
      <c r="M58" s="1354" t="e">
        <f>'14 Dda Consolidda'!O35*M59</f>
        <v>#DIV/0!</v>
      </c>
      <c r="N58" s="1354" t="e">
        <f>'14 Dda Consolidda'!P35*N59</f>
        <v>#DIV/0!</v>
      </c>
      <c r="O58" s="1354" t="e">
        <f>'14 Dda Consolidda'!Q35*O59</f>
        <v>#DIV/0!</v>
      </c>
      <c r="P58" s="1354" t="e">
        <f>'14 Dda Consolidda'!R35*P59</f>
        <v>#DIV/0!</v>
      </c>
      <c r="Q58" s="1354" t="e">
        <f>'14 Dda Consolidda'!S35*Q59</f>
        <v>#DIV/0!</v>
      </c>
      <c r="R58" s="1354" t="e">
        <f>'14 Dda Consolidda'!T35*R59</f>
        <v>#DIV/0!</v>
      </c>
      <c r="S58" s="1354" t="e">
        <f>'14 Dda Consolidda'!U35*S59</f>
        <v>#DIV/0!</v>
      </c>
      <c r="T58" s="1352" t="e">
        <f>SUM(H58:S58)</f>
        <v>#DIV/0!</v>
      </c>
    </row>
    <row r="59" spans="2:20" ht="17.25" thickBot="1" x14ac:dyDescent="0.3">
      <c r="B59" s="4597"/>
      <c r="C59" s="1355" t="e">
        <f>'14 Dda Consolidda'!Z35</f>
        <v>#DIV/0!</v>
      </c>
      <c r="D59" s="1355" t="e">
        <f>'14 Dda Consolidda'!AA35</f>
        <v>#DIV/0!</v>
      </c>
      <c r="E59" s="1355" t="e">
        <f>'14 Dda Consolidda'!AB35</f>
        <v>#DIV/0!</v>
      </c>
      <c r="F59" s="1355" t="e">
        <f>'14 Dda Consolidda'!AC35</f>
        <v>#DIV/0!</v>
      </c>
      <c r="G59" s="1355" t="e">
        <f>'14 Dda Consolidda'!AD35</f>
        <v>#DIV/0!</v>
      </c>
      <c r="H59" s="1355" t="e">
        <f>'14 Dda Consolidda'!AE35</f>
        <v>#DIV/0!</v>
      </c>
      <c r="I59" s="1355" t="e">
        <f>'14 Dda Consolidda'!AF35</f>
        <v>#DIV/0!</v>
      </c>
      <c r="J59" s="1355" t="e">
        <f>'14 Dda Consolidda'!AG35</f>
        <v>#DIV/0!</v>
      </c>
      <c r="K59" s="1355" t="e">
        <f>'14 Dda Consolidda'!AH35</f>
        <v>#DIV/0!</v>
      </c>
      <c r="L59" s="1355" t="e">
        <f>'14 Dda Consolidda'!AI35</f>
        <v>#DIV/0!</v>
      </c>
      <c r="M59" s="1355" t="e">
        <f>'14 Dda Consolidda'!AJ35</f>
        <v>#DIV/0!</v>
      </c>
      <c r="N59" s="1355" t="e">
        <f>'14 Dda Consolidda'!AK35</f>
        <v>#DIV/0!</v>
      </c>
      <c r="O59" s="1355" t="e">
        <f>'14 Dda Consolidda'!AL35</f>
        <v>#DIV/0!</v>
      </c>
      <c r="P59" s="1355" t="e">
        <f>'14 Dda Consolidda'!AM35</f>
        <v>#DIV/0!</v>
      </c>
      <c r="Q59" s="1355">
        <f>'14 Dda Consolidda'!AN35</f>
        <v>1</v>
      </c>
      <c r="R59" s="1355">
        <f>'14 Dda Consolidda'!AO35</f>
        <v>1</v>
      </c>
      <c r="S59" s="1355">
        <f>'14 Dda Consolidda'!AP35</f>
        <v>1</v>
      </c>
      <c r="T59" s="1352"/>
    </row>
    <row r="60" spans="2:20" s="1899" customFormat="1" ht="17.25" thickBot="1" x14ac:dyDescent="0.3">
      <c r="B60" s="4608" t="s">
        <v>2046</v>
      </c>
      <c r="C60" s="1897" t="e">
        <f>'14 Dda Consolidda'!E36*C61</f>
        <v>#DIV/0!</v>
      </c>
      <c r="D60" s="1897" t="e">
        <f>'14 Dda Consolidda'!F36*D61</f>
        <v>#DIV/0!</v>
      </c>
      <c r="E60" s="1897" t="e">
        <f>'14 Dda Consolidda'!G36*E61</f>
        <v>#DIV/0!</v>
      </c>
      <c r="F60" s="1897" t="e">
        <f>'14 Dda Consolidda'!H36*F61</f>
        <v>#DIV/0!</v>
      </c>
      <c r="G60" s="1897" t="e">
        <f>'14 Dda Consolidda'!I36*G61</f>
        <v>#DIV/0!</v>
      </c>
      <c r="H60" s="1897" t="e">
        <f>'14 Dda Consolidda'!J36*H61</f>
        <v>#DIV/0!</v>
      </c>
      <c r="I60" s="1897" t="e">
        <f>'14 Dda Consolidda'!K36*I61</f>
        <v>#DIV/0!</v>
      </c>
      <c r="J60" s="1897" t="e">
        <f>'14 Dda Consolidda'!L36*J61</f>
        <v>#DIV/0!</v>
      </c>
      <c r="K60" s="1897" t="e">
        <f>'14 Dda Consolidda'!M36*K61</f>
        <v>#DIV/0!</v>
      </c>
      <c r="L60" s="1897" t="e">
        <f>'14 Dda Consolidda'!N36*L61</f>
        <v>#DIV/0!</v>
      </c>
      <c r="M60" s="1897" t="e">
        <f>'14 Dda Consolidda'!O36*M61</f>
        <v>#DIV/0!</v>
      </c>
      <c r="N60" s="1897" t="e">
        <f>'14 Dda Consolidda'!P36*N61</f>
        <v>#DIV/0!</v>
      </c>
      <c r="O60" s="1897" t="e">
        <f>'14 Dda Consolidda'!Q36*O61</f>
        <v>#DIV/0!</v>
      </c>
      <c r="P60" s="1897" t="e">
        <f>'14 Dda Consolidda'!R36*P61</f>
        <v>#DIV/0!</v>
      </c>
      <c r="Q60" s="1897" t="e">
        <f>'14 Dda Consolidda'!S36*Q61</f>
        <v>#DIV/0!</v>
      </c>
      <c r="R60" s="1897" t="e">
        <f>'14 Dda Consolidda'!T36*R61</f>
        <v>#DIV/0!</v>
      </c>
      <c r="S60" s="1897" t="e">
        <f>'14 Dda Consolidda'!U36*S61</f>
        <v>#DIV/0!</v>
      </c>
      <c r="T60" s="1898" t="e">
        <f>SUM(H60:S60)</f>
        <v>#DIV/0!</v>
      </c>
    </row>
    <row r="61" spans="2:20" s="1899" customFormat="1" ht="17.25" thickBot="1" x14ac:dyDescent="0.3">
      <c r="B61" s="4608"/>
      <c r="C61" s="1900" t="e">
        <f>'14 Dda Consolidda'!Z36</f>
        <v>#DIV/0!</v>
      </c>
      <c r="D61" s="1900" t="e">
        <f>'14 Dda Consolidda'!AA36</f>
        <v>#DIV/0!</v>
      </c>
      <c r="E61" s="1900" t="e">
        <f>'14 Dda Consolidda'!AB36</f>
        <v>#DIV/0!</v>
      </c>
      <c r="F61" s="1900" t="e">
        <f>'14 Dda Consolidda'!AC36</f>
        <v>#DIV/0!</v>
      </c>
      <c r="G61" s="1900" t="e">
        <f>'14 Dda Consolidda'!AD36</f>
        <v>#DIV/0!</v>
      </c>
      <c r="H61" s="1900" t="e">
        <f>'14 Dda Consolidda'!AE36</f>
        <v>#DIV/0!</v>
      </c>
      <c r="I61" s="1900" t="e">
        <f>'14 Dda Consolidda'!AF36</f>
        <v>#DIV/0!</v>
      </c>
      <c r="J61" s="1900" t="e">
        <f>'14 Dda Consolidda'!AG36</f>
        <v>#DIV/0!</v>
      </c>
      <c r="K61" s="1900" t="e">
        <f>'14 Dda Consolidda'!AH36</f>
        <v>#DIV/0!</v>
      </c>
      <c r="L61" s="1900" t="e">
        <f>'14 Dda Consolidda'!AI36</f>
        <v>#DIV/0!</v>
      </c>
      <c r="M61" s="1900" t="e">
        <f>'14 Dda Consolidda'!AJ36</f>
        <v>#DIV/0!</v>
      </c>
      <c r="N61" s="1900" t="e">
        <f>'14 Dda Consolidda'!AK36</f>
        <v>#DIV/0!</v>
      </c>
      <c r="O61" s="1900" t="e">
        <f>'14 Dda Consolidda'!AL36</f>
        <v>#DIV/0!</v>
      </c>
      <c r="P61" s="1900" t="e">
        <f>'14 Dda Consolidda'!AM36</f>
        <v>#DIV/0!</v>
      </c>
      <c r="Q61" s="1900">
        <f>'14 Dda Consolidda'!AN36</f>
        <v>1</v>
      </c>
      <c r="R61" s="1900">
        <f>'14 Dda Consolidda'!AO36</f>
        <v>1</v>
      </c>
      <c r="S61" s="1900">
        <f>'14 Dda Consolidda'!AP36</f>
        <v>1</v>
      </c>
      <c r="T61" s="1898"/>
    </row>
    <row r="62" spans="2:20" ht="17.25" thickBot="1" x14ac:dyDescent="0.3">
      <c r="B62" s="1380" t="s">
        <v>2047</v>
      </c>
      <c r="C62" s="1380"/>
      <c r="D62" s="1380"/>
      <c r="E62" s="1380"/>
      <c r="F62" s="1380"/>
      <c r="G62" s="1380"/>
      <c r="H62" s="1380"/>
      <c r="I62" s="1380"/>
      <c r="J62" s="1380"/>
      <c r="K62" s="1380"/>
      <c r="L62" s="1380"/>
      <c r="M62" s="1380"/>
      <c r="N62" s="1380"/>
      <c r="O62" s="1380"/>
      <c r="P62" s="1380"/>
      <c r="Q62" s="1380"/>
      <c r="R62" s="1380"/>
      <c r="S62" s="1380"/>
      <c r="T62" s="1352"/>
    </row>
    <row r="63" spans="2:20" ht="17.25" thickBot="1" x14ac:dyDescent="0.3">
      <c r="B63" s="4597" t="s">
        <v>1855</v>
      </c>
      <c r="C63" s="1354">
        <f>'14 Dda Consolidda'!E38*C64</f>
        <v>0</v>
      </c>
      <c r="D63" s="1354">
        <f>'14 Dda Consolidda'!F38*D64</f>
        <v>3.1389301730542543</v>
      </c>
      <c r="E63" s="1354">
        <f>'14 Dda Consolidda'!G38*E64</f>
        <v>6.280293063119001</v>
      </c>
      <c r="F63" s="1354">
        <f>'14 Dda Consolidda'!H38*F64</f>
        <v>9.4240900842378164</v>
      </c>
      <c r="G63" s="1354">
        <f>'14 Dda Consolidda'!I38*G64</f>
        <v>12.570322651184876</v>
      </c>
      <c r="H63" s="1354">
        <f>'14 Dda Consolidda'!J38*H64</f>
        <v>15.718992179465312</v>
      </c>
      <c r="I63" s="1354">
        <f>'14 Dda Consolidda'!K38*I64</f>
        <v>18.87010008531557</v>
      </c>
      <c r="J63" s="1354">
        <f>'14 Dda Consolidda'!L38*J64</f>
        <v>22.023647785703762</v>
      </c>
      <c r="K63" s="1354">
        <f>'14 Dda Consolidda'!M38*K64</f>
        <v>25.179636698330015</v>
      </c>
      <c r="L63" s="1354">
        <f>'14 Dda Consolidda'!N38*L64</f>
        <v>28.338068241626825</v>
      </c>
      <c r="M63" s="1354">
        <f>'14 Dda Consolidda'!O38*M64</f>
        <v>31.498943834759444</v>
      </c>
      <c r="N63" s="1354">
        <f>'14 Dda Consolidda'!P38*N64</f>
        <v>34.66226489762618</v>
      </c>
      <c r="O63" s="1354">
        <f>'14 Dda Consolidda'!Q38*O64</f>
        <v>37.828032850858783</v>
      </c>
      <c r="P63" s="1354">
        <f>'14 Dda Consolidda'!R38*P64</f>
        <v>40.996249115822799</v>
      </c>
      <c r="Q63" s="1354">
        <f>'14 Dda Consolidda'!S38*Q64</f>
        <v>44.16691511461795</v>
      </c>
      <c r="R63" s="1354">
        <f>'14 Dda Consolidda'!T38*R64</f>
        <v>44.184030118739855</v>
      </c>
      <c r="S63" s="1354">
        <f>'14 Dda Consolidda'!U38*S64</f>
        <v>44.201151755051598</v>
      </c>
      <c r="T63" s="1352">
        <f>SUM(H63:S63)</f>
        <v>387.66803267791806</v>
      </c>
    </row>
    <row r="64" spans="2:20" ht="17.25" thickBot="1" x14ac:dyDescent="0.3">
      <c r="B64" s="4597"/>
      <c r="C64" s="1355">
        <f>'14 Dda Consolidda'!Z38</f>
        <v>0</v>
      </c>
      <c r="D64" s="1355">
        <f>'14 Dda Consolidda'!AA38</f>
        <v>7.1428571428571425E-2</v>
      </c>
      <c r="E64" s="1355">
        <f>'14 Dda Consolidda'!AB38</f>
        <v>0.14285714285714285</v>
      </c>
      <c r="F64" s="1355">
        <f>'14 Dda Consolidda'!AC38</f>
        <v>0.21428571428571427</v>
      </c>
      <c r="G64" s="1355">
        <f>'14 Dda Consolidda'!AD38</f>
        <v>0.2857142857142857</v>
      </c>
      <c r="H64" s="1355">
        <f>'14 Dda Consolidda'!AE38</f>
        <v>0.3571428571428571</v>
      </c>
      <c r="I64" s="1355">
        <f>'14 Dda Consolidda'!AF38</f>
        <v>0.42857142857142849</v>
      </c>
      <c r="J64" s="1355">
        <f>'14 Dda Consolidda'!AG38</f>
        <v>0.49999999999999989</v>
      </c>
      <c r="K64" s="1355">
        <f>'14 Dda Consolidda'!AH38</f>
        <v>0.57142857142857129</v>
      </c>
      <c r="L64" s="1355">
        <f>'14 Dda Consolidda'!AI38</f>
        <v>0.64285714285714268</v>
      </c>
      <c r="M64" s="1355">
        <f>'14 Dda Consolidda'!AJ38</f>
        <v>0.71428571428571408</v>
      </c>
      <c r="N64" s="1355">
        <f>'14 Dda Consolidda'!AK38</f>
        <v>0.78571428571428548</v>
      </c>
      <c r="O64" s="1355">
        <f>'14 Dda Consolidda'!AL38</f>
        <v>0.85714285714285687</v>
      </c>
      <c r="P64" s="1355">
        <f>'14 Dda Consolidda'!AM38</f>
        <v>0.92857142857142827</v>
      </c>
      <c r="Q64" s="1355">
        <f>'14 Dda Consolidda'!AN38</f>
        <v>1</v>
      </c>
      <c r="R64" s="1355">
        <f>'14 Dda Consolidda'!AO38</f>
        <v>1</v>
      </c>
      <c r="S64" s="1355">
        <f>'14 Dda Consolidda'!AP38</f>
        <v>1</v>
      </c>
      <c r="T64" s="1352"/>
    </row>
    <row r="65" spans="2:20" ht="17.25" thickBot="1" x14ac:dyDescent="0.3">
      <c r="B65" s="4597" t="s">
        <v>1975</v>
      </c>
      <c r="C65" s="1354">
        <f>'14 Dda Consolidda'!E39*C66</f>
        <v>0</v>
      </c>
      <c r="D65" s="1354">
        <f>'14 Dda Consolidda'!F39*D66</f>
        <v>3.1389301730542543</v>
      </c>
      <c r="E65" s="1354">
        <f>'14 Dda Consolidda'!G39*E66</f>
        <v>6.280293063119001</v>
      </c>
      <c r="F65" s="1354">
        <f>'14 Dda Consolidda'!H39*F66</f>
        <v>9.4240900842378164</v>
      </c>
      <c r="G65" s="1354">
        <f>'14 Dda Consolidda'!I39*G66</f>
        <v>12.570322651184876</v>
      </c>
      <c r="H65" s="1354">
        <f>'14 Dda Consolidda'!J39*H66</f>
        <v>15.718992179465312</v>
      </c>
      <c r="I65" s="1354">
        <f>'14 Dda Consolidda'!K39*I66</f>
        <v>18.87010008531557</v>
      </c>
      <c r="J65" s="1354">
        <f>'14 Dda Consolidda'!L39*J66</f>
        <v>22.023647785703762</v>
      </c>
      <c r="K65" s="1354">
        <f>'14 Dda Consolidda'!M39*K66</f>
        <v>25.179636698330015</v>
      </c>
      <c r="L65" s="1354">
        <f>'14 Dda Consolidda'!N39*L66</f>
        <v>28.338068241626825</v>
      </c>
      <c r="M65" s="1354">
        <f>'14 Dda Consolidda'!O39*M66</f>
        <v>31.498943834759444</v>
      </c>
      <c r="N65" s="1354">
        <f>'14 Dda Consolidda'!P39*N66</f>
        <v>34.66226489762618</v>
      </c>
      <c r="O65" s="1354">
        <f>'14 Dda Consolidda'!Q39*O66</f>
        <v>37.828032850858783</v>
      </c>
      <c r="P65" s="1354">
        <f>'14 Dda Consolidda'!R39*P66</f>
        <v>40.996249115822799</v>
      </c>
      <c r="Q65" s="1354">
        <f>'14 Dda Consolidda'!S39*Q66</f>
        <v>44.16691511461795</v>
      </c>
      <c r="R65" s="1354">
        <f>'14 Dda Consolidda'!T39*R66</f>
        <v>44.184030118739855</v>
      </c>
      <c r="S65" s="1354">
        <f>'14 Dda Consolidda'!U39*S66</f>
        <v>44.201151755051598</v>
      </c>
      <c r="T65" s="1352">
        <f>SUM(H65:S65)</f>
        <v>387.66803267791806</v>
      </c>
    </row>
    <row r="66" spans="2:20" ht="17.25" thickBot="1" x14ac:dyDescent="0.3">
      <c r="B66" s="4597"/>
      <c r="C66" s="1355">
        <f>'14 Dda Consolidda'!Z39</f>
        <v>0</v>
      </c>
      <c r="D66" s="1355">
        <f>'14 Dda Consolidda'!AA39</f>
        <v>7.1428571428571425E-2</v>
      </c>
      <c r="E66" s="1355">
        <f>'14 Dda Consolidda'!AB39</f>
        <v>0.14285714285714285</v>
      </c>
      <c r="F66" s="1355">
        <f>'14 Dda Consolidda'!AC39</f>
        <v>0.21428571428571427</v>
      </c>
      <c r="G66" s="1355">
        <f>'14 Dda Consolidda'!AD39</f>
        <v>0.2857142857142857</v>
      </c>
      <c r="H66" s="1355">
        <f>'14 Dda Consolidda'!AE39</f>
        <v>0.3571428571428571</v>
      </c>
      <c r="I66" s="1355">
        <f>'14 Dda Consolidda'!AF39</f>
        <v>0.42857142857142849</v>
      </c>
      <c r="J66" s="1355">
        <f>'14 Dda Consolidda'!AG39</f>
        <v>0.49999999999999989</v>
      </c>
      <c r="K66" s="1355">
        <f>'14 Dda Consolidda'!AH39</f>
        <v>0.57142857142857129</v>
      </c>
      <c r="L66" s="1355">
        <f>'14 Dda Consolidda'!AI39</f>
        <v>0.64285714285714268</v>
      </c>
      <c r="M66" s="1355">
        <f>'14 Dda Consolidda'!AJ39</f>
        <v>0.71428571428571408</v>
      </c>
      <c r="N66" s="1355">
        <f>'14 Dda Consolidda'!AK39</f>
        <v>0.78571428571428548</v>
      </c>
      <c r="O66" s="1355">
        <f>'14 Dda Consolidda'!AL39</f>
        <v>0.85714285714285687</v>
      </c>
      <c r="P66" s="1355">
        <f>'14 Dda Consolidda'!AM39</f>
        <v>0.92857142857142827</v>
      </c>
      <c r="Q66" s="1355">
        <f>'14 Dda Consolidda'!AN39</f>
        <v>1</v>
      </c>
      <c r="R66" s="1355">
        <f>'14 Dda Consolidda'!AO39</f>
        <v>1</v>
      </c>
      <c r="S66" s="1355">
        <f>'14 Dda Consolidda'!AP39</f>
        <v>1</v>
      </c>
      <c r="T66" s="1352"/>
    </row>
    <row r="67" spans="2:20" ht="17.25" thickBot="1" x14ac:dyDescent="0.3">
      <c r="B67" s="1380" t="s">
        <v>427</v>
      </c>
      <c r="C67" s="1380"/>
      <c r="D67" s="1380"/>
      <c r="E67" s="1380"/>
      <c r="F67" s="1380"/>
      <c r="G67" s="1380"/>
      <c r="H67" s="1380"/>
      <c r="I67" s="1380"/>
      <c r="J67" s="1380"/>
      <c r="K67" s="1380"/>
      <c r="L67" s="1380"/>
      <c r="M67" s="1380"/>
      <c r="N67" s="1380"/>
      <c r="O67" s="1380"/>
      <c r="P67" s="1380"/>
      <c r="Q67" s="1380"/>
      <c r="R67" s="1380"/>
      <c r="S67" s="1380"/>
      <c r="T67" s="1352"/>
    </row>
    <row r="68" spans="2:20" s="1899" customFormat="1" ht="17.25" thickBot="1" x14ac:dyDescent="0.3">
      <c r="B68" s="4608" t="s">
        <v>1777</v>
      </c>
      <c r="C68" s="1897" t="e">
        <f>'14 Dda Consolidda'!E41*C69</f>
        <v>#DIV/0!</v>
      </c>
      <c r="D68" s="1897" t="e">
        <f>'14 Dda Consolidda'!F41*D69</f>
        <v>#DIV/0!</v>
      </c>
      <c r="E68" s="1897" t="e">
        <f>'14 Dda Consolidda'!G41*E69</f>
        <v>#DIV/0!</v>
      </c>
      <c r="F68" s="1897" t="e">
        <f>'14 Dda Consolidda'!H41*F69</f>
        <v>#DIV/0!</v>
      </c>
      <c r="G68" s="1897" t="e">
        <f>'14 Dda Consolidda'!I41*G69</f>
        <v>#DIV/0!</v>
      </c>
      <c r="H68" s="1897" t="e">
        <f>'14 Dda Consolidda'!J41*H69</f>
        <v>#DIV/0!</v>
      </c>
      <c r="I68" s="1897" t="e">
        <f>'14 Dda Consolidda'!K41*I69</f>
        <v>#DIV/0!</v>
      </c>
      <c r="J68" s="1897" t="e">
        <f>'14 Dda Consolidda'!L41*J69</f>
        <v>#DIV/0!</v>
      </c>
      <c r="K68" s="1897" t="e">
        <f>'14 Dda Consolidda'!M41*K69</f>
        <v>#DIV/0!</v>
      </c>
      <c r="L68" s="1897" t="e">
        <f>'14 Dda Consolidda'!N41*L69</f>
        <v>#DIV/0!</v>
      </c>
      <c r="M68" s="1897" t="e">
        <f>'14 Dda Consolidda'!O41*M69</f>
        <v>#DIV/0!</v>
      </c>
      <c r="N68" s="1897" t="e">
        <f>'14 Dda Consolidda'!P41*N69</f>
        <v>#DIV/0!</v>
      </c>
      <c r="O68" s="1897" t="e">
        <f>'14 Dda Consolidda'!Q41*O69</f>
        <v>#DIV/0!</v>
      </c>
      <c r="P68" s="1897" t="e">
        <f>'14 Dda Consolidda'!R41*P69</f>
        <v>#DIV/0!</v>
      </c>
      <c r="Q68" s="1897" t="e">
        <f>'14 Dda Consolidda'!S41*Q69</f>
        <v>#DIV/0!</v>
      </c>
      <c r="R68" s="1897" t="e">
        <f>'14 Dda Consolidda'!T41*R69</f>
        <v>#DIV/0!</v>
      </c>
      <c r="S68" s="1897" t="e">
        <f>'14 Dda Consolidda'!U41*S69</f>
        <v>#DIV/0!</v>
      </c>
      <c r="T68" s="1898" t="e">
        <f>SUM(H68:S68)</f>
        <v>#DIV/0!</v>
      </c>
    </row>
    <row r="69" spans="2:20" s="1899" customFormat="1" ht="17.25" thickBot="1" x14ac:dyDescent="0.3">
      <c r="B69" s="4608"/>
      <c r="C69" s="1900" t="e">
        <f>'14 Dda Consolidda'!Z41</f>
        <v>#DIV/0!</v>
      </c>
      <c r="D69" s="1900" t="e">
        <f>'14 Dda Consolidda'!AA41</f>
        <v>#DIV/0!</v>
      </c>
      <c r="E69" s="1900" t="e">
        <f>'14 Dda Consolidda'!AB41</f>
        <v>#DIV/0!</v>
      </c>
      <c r="F69" s="1900" t="e">
        <f>'14 Dda Consolidda'!AC41</f>
        <v>#DIV/0!</v>
      </c>
      <c r="G69" s="1900" t="e">
        <f>'14 Dda Consolidda'!AD41</f>
        <v>#DIV/0!</v>
      </c>
      <c r="H69" s="1900" t="e">
        <f>'14 Dda Consolidda'!AE41</f>
        <v>#DIV/0!</v>
      </c>
      <c r="I69" s="1900" t="e">
        <f>'14 Dda Consolidda'!AF41</f>
        <v>#DIV/0!</v>
      </c>
      <c r="J69" s="1900" t="e">
        <f>'14 Dda Consolidda'!AG41</f>
        <v>#DIV/0!</v>
      </c>
      <c r="K69" s="1900" t="e">
        <f>'14 Dda Consolidda'!AH41</f>
        <v>#DIV/0!</v>
      </c>
      <c r="L69" s="1900" t="e">
        <f>'14 Dda Consolidda'!AI41</f>
        <v>#DIV/0!</v>
      </c>
      <c r="M69" s="1900" t="e">
        <f>'14 Dda Consolidda'!AJ41</f>
        <v>#DIV/0!</v>
      </c>
      <c r="N69" s="1900" t="e">
        <f>'14 Dda Consolidda'!AK41</f>
        <v>#DIV/0!</v>
      </c>
      <c r="O69" s="1900" t="e">
        <f>'14 Dda Consolidda'!AL41</f>
        <v>#DIV/0!</v>
      </c>
      <c r="P69" s="1900" t="e">
        <f>'14 Dda Consolidda'!AM41</f>
        <v>#DIV/0!</v>
      </c>
      <c r="Q69" s="1900">
        <f>'14 Dda Consolidda'!AN41</f>
        <v>1</v>
      </c>
      <c r="R69" s="1900">
        <f>'14 Dda Consolidda'!AO41</f>
        <v>1</v>
      </c>
      <c r="S69" s="1900">
        <f>'14 Dda Consolidda'!AP41</f>
        <v>1</v>
      </c>
      <c r="T69" s="1898"/>
    </row>
    <row r="70" spans="2:20" s="1899" customFormat="1" ht="17.25" thickBot="1" x14ac:dyDescent="0.3">
      <c r="B70" s="4608" t="s">
        <v>1778</v>
      </c>
      <c r="C70" s="1897" t="e">
        <f>'14 Dda Consolidda'!E42*C71</f>
        <v>#DIV/0!</v>
      </c>
      <c r="D70" s="1897" t="e">
        <f>'14 Dda Consolidda'!F42*D71</f>
        <v>#DIV/0!</v>
      </c>
      <c r="E70" s="1897" t="e">
        <f>'14 Dda Consolidda'!G42*E71</f>
        <v>#DIV/0!</v>
      </c>
      <c r="F70" s="1897" t="e">
        <f>'14 Dda Consolidda'!H42*F71</f>
        <v>#DIV/0!</v>
      </c>
      <c r="G70" s="1897" t="e">
        <f>'14 Dda Consolidda'!I42*G71</f>
        <v>#DIV/0!</v>
      </c>
      <c r="H70" s="1897" t="e">
        <f>'14 Dda Consolidda'!J42*H71</f>
        <v>#DIV/0!</v>
      </c>
      <c r="I70" s="1897" t="e">
        <f>'14 Dda Consolidda'!K42*I71</f>
        <v>#DIV/0!</v>
      </c>
      <c r="J70" s="1897" t="e">
        <f>'14 Dda Consolidda'!L42*J71</f>
        <v>#DIV/0!</v>
      </c>
      <c r="K70" s="1897" t="e">
        <f>'14 Dda Consolidda'!M42*K71</f>
        <v>#DIV/0!</v>
      </c>
      <c r="L70" s="1897" t="e">
        <f>'14 Dda Consolidda'!N42*L71</f>
        <v>#DIV/0!</v>
      </c>
      <c r="M70" s="1897" t="e">
        <f>'14 Dda Consolidda'!O42*M71</f>
        <v>#DIV/0!</v>
      </c>
      <c r="N70" s="1897" t="e">
        <f>'14 Dda Consolidda'!P42*N71</f>
        <v>#DIV/0!</v>
      </c>
      <c r="O70" s="1897" t="e">
        <f>'14 Dda Consolidda'!Q42*O71</f>
        <v>#DIV/0!</v>
      </c>
      <c r="P70" s="1897" t="e">
        <f>'14 Dda Consolidda'!R42*P71</f>
        <v>#DIV/0!</v>
      </c>
      <c r="Q70" s="1897" t="e">
        <f>'14 Dda Consolidda'!S42*Q71</f>
        <v>#DIV/0!</v>
      </c>
      <c r="R70" s="1897" t="e">
        <f>'14 Dda Consolidda'!T42*R71</f>
        <v>#DIV/0!</v>
      </c>
      <c r="S70" s="1897" t="e">
        <f>'14 Dda Consolidda'!U42*S71</f>
        <v>#DIV/0!</v>
      </c>
      <c r="T70" s="1898" t="e">
        <f>SUM(H70:S70)</f>
        <v>#DIV/0!</v>
      </c>
    </row>
    <row r="71" spans="2:20" s="1899" customFormat="1" ht="17.25" thickBot="1" x14ac:dyDescent="0.3">
      <c r="B71" s="4608"/>
      <c r="C71" s="1900" t="e">
        <f>'14 Dda Consolidda'!Z42</f>
        <v>#DIV/0!</v>
      </c>
      <c r="D71" s="1900" t="e">
        <f>'14 Dda Consolidda'!AA42</f>
        <v>#DIV/0!</v>
      </c>
      <c r="E71" s="1900" t="e">
        <f>'14 Dda Consolidda'!AB42</f>
        <v>#DIV/0!</v>
      </c>
      <c r="F71" s="1900" t="e">
        <f>'14 Dda Consolidda'!AC42</f>
        <v>#DIV/0!</v>
      </c>
      <c r="G71" s="1900" t="e">
        <f>'14 Dda Consolidda'!AD42</f>
        <v>#DIV/0!</v>
      </c>
      <c r="H71" s="1900" t="e">
        <f>'14 Dda Consolidda'!AE42</f>
        <v>#DIV/0!</v>
      </c>
      <c r="I71" s="1900" t="e">
        <f>'14 Dda Consolidda'!AF42</f>
        <v>#DIV/0!</v>
      </c>
      <c r="J71" s="1900" t="e">
        <f>'14 Dda Consolidda'!AG42</f>
        <v>#DIV/0!</v>
      </c>
      <c r="K71" s="1900" t="e">
        <f>'14 Dda Consolidda'!AH42</f>
        <v>#DIV/0!</v>
      </c>
      <c r="L71" s="1900" t="e">
        <f>'14 Dda Consolidda'!AI42</f>
        <v>#DIV/0!</v>
      </c>
      <c r="M71" s="1900" t="e">
        <f>'14 Dda Consolidda'!AJ42</f>
        <v>#DIV/0!</v>
      </c>
      <c r="N71" s="1900" t="e">
        <f>'14 Dda Consolidda'!AK42</f>
        <v>#DIV/0!</v>
      </c>
      <c r="O71" s="1900" t="e">
        <f>'14 Dda Consolidda'!AL42</f>
        <v>#DIV/0!</v>
      </c>
      <c r="P71" s="1900" t="e">
        <f>'14 Dda Consolidda'!AM42</f>
        <v>#DIV/0!</v>
      </c>
      <c r="Q71" s="1900">
        <f>'14 Dda Consolidda'!AN42</f>
        <v>1</v>
      </c>
      <c r="R71" s="1900">
        <f>'14 Dda Consolidda'!AO42</f>
        <v>1</v>
      </c>
      <c r="S71" s="1900">
        <f>'14 Dda Consolidda'!AP42</f>
        <v>1</v>
      </c>
      <c r="T71" s="1898"/>
    </row>
    <row r="72" spans="2:20" s="1899" customFormat="1" ht="17.25" thickBot="1" x14ac:dyDescent="0.3">
      <c r="B72" s="4608" t="s">
        <v>1779</v>
      </c>
      <c r="C72" s="1897" t="e">
        <f>'14 Dda Consolidda'!E43*C73</f>
        <v>#DIV/0!</v>
      </c>
      <c r="D72" s="1897" t="e">
        <f>'14 Dda Consolidda'!F43*D73</f>
        <v>#DIV/0!</v>
      </c>
      <c r="E72" s="1897" t="e">
        <f>'14 Dda Consolidda'!G43*E73</f>
        <v>#DIV/0!</v>
      </c>
      <c r="F72" s="1897" t="e">
        <f>'14 Dda Consolidda'!H43*F73</f>
        <v>#DIV/0!</v>
      </c>
      <c r="G72" s="1897" t="e">
        <f>'14 Dda Consolidda'!I43*G73</f>
        <v>#DIV/0!</v>
      </c>
      <c r="H72" s="1897" t="e">
        <f>'14 Dda Consolidda'!J43*H73</f>
        <v>#DIV/0!</v>
      </c>
      <c r="I72" s="1897" t="e">
        <f>'14 Dda Consolidda'!K43*I73</f>
        <v>#DIV/0!</v>
      </c>
      <c r="J72" s="1897" t="e">
        <f>'14 Dda Consolidda'!L43*J73</f>
        <v>#DIV/0!</v>
      </c>
      <c r="K72" s="1897" t="e">
        <f>'14 Dda Consolidda'!M43*K73</f>
        <v>#DIV/0!</v>
      </c>
      <c r="L72" s="1897" t="e">
        <f>'14 Dda Consolidda'!N43*L73</f>
        <v>#DIV/0!</v>
      </c>
      <c r="M72" s="1897" t="e">
        <f>'14 Dda Consolidda'!O43*M73</f>
        <v>#DIV/0!</v>
      </c>
      <c r="N72" s="1897" t="e">
        <f>'14 Dda Consolidda'!P43*N73</f>
        <v>#DIV/0!</v>
      </c>
      <c r="O72" s="1897" t="e">
        <f>'14 Dda Consolidda'!Q43*O73</f>
        <v>#DIV/0!</v>
      </c>
      <c r="P72" s="1897" t="e">
        <f>'14 Dda Consolidda'!R43*P73</f>
        <v>#DIV/0!</v>
      </c>
      <c r="Q72" s="1897" t="e">
        <f>'14 Dda Consolidda'!S43*Q73</f>
        <v>#DIV/0!</v>
      </c>
      <c r="R72" s="1897" t="e">
        <f>'14 Dda Consolidda'!T43*R73</f>
        <v>#DIV/0!</v>
      </c>
      <c r="S72" s="1897" t="e">
        <f>'14 Dda Consolidda'!U43*S73</f>
        <v>#DIV/0!</v>
      </c>
      <c r="T72" s="1898" t="e">
        <f>SUM(H72:S72)</f>
        <v>#DIV/0!</v>
      </c>
    </row>
    <row r="73" spans="2:20" s="1899" customFormat="1" ht="17.25" thickBot="1" x14ac:dyDescent="0.3">
      <c r="B73" s="4608"/>
      <c r="C73" s="1900" t="e">
        <f>'14 Dda Consolidda'!Z43</f>
        <v>#DIV/0!</v>
      </c>
      <c r="D73" s="1900" t="e">
        <f>'14 Dda Consolidda'!AA43</f>
        <v>#DIV/0!</v>
      </c>
      <c r="E73" s="1900" t="e">
        <f>'14 Dda Consolidda'!AB43</f>
        <v>#DIV/0!</v>
      </c>
      <c r="F73" s="1900" t="e">
        <f>'14 Dda Consolidda'!AC43</f>
        <v>#DIV/0!</v>
      </c>
      <c r="G73" s="1900" t="e">
        <f>'14 Dda Consolidda'!AD43</f>
        <v>#DIV/0!</v>
      </c>
      <c r="H73" s="1900" t="e">
        <f>'14 Dda Consolidda'!AE43</f>
        <v>#DIV/0!</v>
      </c>
      <c r="I73" s="1900" t="e">
        <f>'14 Dda Consolidda'!AF43</f>
        <v>#DIV/0!</v>
      </c>
      <c r="J73" s="1900" t="e">
        <f>'14 Dda Consolidda'!AG43</f>
        <v>#DIV/0!</v>
      </c>
      <c r="K73" s="1900" t="e">
        <f>'14 Dda Consolidda'!AH43</f>
        <v>#DIV/0!</v>
      </c>
      <c r="L73" s="1900" t="e">
        <f>'14 Dda Consolidda'!AI43</f>
        <v>#DIV/0!</v>
      </c>
      <c r="M73" s="1900" t="e">
        <f>'14 Dda Consolidda'!AJ43</f>
        <v>#DIV/0!</v>
      </c>
      <c r="N73" s="1900" t="e">
        <f>'14 Dda Consolidda'!AK43</f>
        <v>#DIV/0!</v>
      </c>
      <c r="O73" s="1900" t="e">
        <f>'14 Dda Consolidda'!AL43</f>
        <v>#DIV/0!</v>
      </c>
      <c r="P73" s="1900" t="e">
        <f>'14 Dda Consolidda'!AM43</f>
        <v>#DIV/0!</v>
      </c>
      <c r="Q73" s="1900">
        <f>'14 Dda Consolidda'!AN43</f>
        <v>1</v>
      </c>
      <c r="R73" s="1900">
        <f>'14 Dda Consolidda'!AO43</f>
        <v>1</v>
      </c>
      <c r="S73" s="1900">
        <f>'14 Dda Consolidda'!AP43</f>
        <v>1</v>
      </c>
      <c r="T73" s="1898"/>
    </row>
    <row r="74" spans="2:20" s="1899" customFormat="1" ht="17.25" thickBot="1" x14ac:dyDescent="0.3">
      <c r="B74" s="4608" t="s">
        <v>1976</v>
      </c>
      <c r="C74" s="1897">
        <f>'14 Dda Consolidda'!E44*C75</f>
        <v>0</v>
      </c>
      <c r="D74" s="1897">
        <f>'14 Dda Consolidda'!F44*D75</f>
        <v>3.1389301730542543</v>
      </c>
      <c r="E74" s="1897">
        <f>'14 Dda Consolidda'!G44*E75</f>
        <v>6.280293063119001</v>
      </c>
      <c r="F74" s="1897">
        <f>'14 Dda Consolidda'!H44*F75</f>
        <v>9.4240900842378164</v>
      </c>
      <c r="G74" s="1897">
        <f>'14 Dda Consolidda'!I44*G75</f>
        <v>12.570322651184876</v>
      </c>
      <c r="H74" s="1897">
        <f>'14 Dda Consolidda'!J44*H75</f>
        <v>15.718992179465312</v>
      </c>
      <c r="I74" s="1897">
        <f>'14 Dda Consolidda'!K44*I75</f>
        <v>18.87010008531557</v>
      </c>
      <c r="J74" s="1897">
        <f>'14 Dda Consolidda'!L44*J75</f>
        <v>22.023647785703762</v>
      </c>
      <c r="K74" s="1897">
        <f>'14 Dda Consolidda'!M44*K75</f>
        <v>25.179636698330015</v>
      </c>
      <c r="L74" s="1897">
        <f>'14 Dda Consolidda'!N44*L75</f>
        <v>28.338068241626825</v>
      </c>
      <c r="M74" s="1897">
        <f>'14 Dda Consolidda'!O44*M75</f>
        <v>31.498943834759444</v>
      </c>
      <c r="N74" s="1897">
        <f>'14 Dda Consolidda'!P44*N75</f>
        <v>34.66226489762618</v>
      </c>
      <c r="O74" s="1897">
        <f>'14 Dda Consolidda'!Q44*O75</f>
        <v>37.828032850858783</v>
      </c>
      <c r="P74" s="1897">
        <f>'14 Dda Consolidda'!R44*P75</f>
        <v>40.996249115822799</v>
      </c>
      <c r="Q74" s="1897">
        <f>'14 Dda Consolidda'!S44*Q75</f>
        <v>44.16691511461795</v>
      </c>
      <c r="R74" s="1897">
        <f>'14 Dda Consolidda'!T44*R75</f>
        <v>44.184030118739855</v>
      </c>
      <c r="S74" s="1897">
        <f>'14 Dda Consolidda'!U44*S75</f>
        <v>44.201151755051598</v>
      </c>
      <c r="T74" s="1898">
        <f>SUM(H74:S74)</f>
        <v>387.66803267791806</v>
      </c>
    </row>
    <row r="75" spans="2:20" s="1899" customFormat="1" ht="17.25" thickBot="1" x14ac:dyDescent="0.3">
      <c r="B75" s="4608"/>
      <c r="C75" s="1900">
        <f>'14 Dda Consolidda'!Z44</f>
        <v>0</v>
      </c>
      <c r="D75" s="1900">
        <f>'14 Dda Consolidda'!AA44</f>
        <v>7.1428571428571425E-2</v>
      </c>
      <c r="E75" s="1900">
        <f>'14 Dda Consolidda'!AB44</f>
        <v>0.14285714285714285</v>
      </c>
      <c r="F75" s="1900">
        <f>'14 Dda Consolidda'!AC44</f>
        <v>0.21428571428571427</v>
      </c>
      <c r="G75" s="1900">
        <f>'14 Dda Consolidda'!AD44</f>
        <v>0.2857142857142857</v>
      </c>
      <c r="H75" s="1900">
        <f>'14 Dda Consolidda'!AE44</f>
        <v>0.3571428571428571</v>
      </c>
      <c r="I75" s="1900">
        <f>'14 Dda Consolidda'!AF44</f>
        <v>0.42857142857142849</v>
      </c>
      <c r="J75" s="1900">
        <f>'14 Dda Consolidda'!AG44</f>
        <v>0.49999999999999989</v>
      </c>
      <c r="K75" s="1900">
        <f>'14 Dda Consolidda'!AH44</f>
        <v>0.57142857142857129</v>
      </c>
      <c r="L75" s="1900">
        <f>'14 Dda Consolidda'!AI44</f>
        <v>0.64285714285714268</v>
      </c>
      <c r="M75" s="1900">
        <f>'14 Dda Consolidda'!AJ44</f>
        <v>0.71428571428571408</v>
      </c>
      <c r="N75" s="1900">
        <f>'14 Dda Consolidda'!AK44</f>
        <v>0.78571428571428548</v>
      </c>
      <c r="O75" s="1900">
        <f>'14 Dda Consolidda'!AL44</f>
        <v>0.85714285714285687</v>
      </c>
      <c r="P75" s="1900">
        <f>'14 Dda Consolidda'!AM44</f>
        <v>0.92857142857142827</v>
      </c>
      <c r="Q75" s="1900">
        <f>'14 Dda Consolidda'!AN44</f>
        <v>1</v>
      </c>
      <c r="R75" s="1900">
        <f>'14 Dda Consolidda'!AO44</f>
        <v>1</v>
      </c>
      <c r="S75" s="1900">
        <f>'14 Dda Consolidda'!AP44</f>
        <v>1</v>
      </c>
      <c r="T75" s="1898"/>
    </row>
    <row r="76" spans="2:20" s="1899" customFormat="1" ht="17.25" thickBot="1" x14ac:dyDescent="0.3">
      <c r="B76" s="4608" t="s">
        <v>1977</v>
      </c>
      <c r="C76" s="1897" t="e">
        <f>'14 Dda Consolidda'!E45*C77</f>
        <v>#DIV/0!</v>
      </c>
      <c r="D76" s="1897" t="e">
        <f>'14 Dda Consolidda'!F45*D77</f>
        <v>#DIV/0!</v>
      </c>
      <c r="E76" s="1897" t="e">
        <f>'14 Dda Consolidda'!G45*E77</f>
        <v>#DIV/0!</v>
      </c>
      <c r="F76" s="1897" t="e">
        <f>'14 Dda Consolidda'!H45*F77</f>
        <v>#DIV/0!</v>
      </c>
      <c r="G76" s="1897" t="e">
        <f>'14 Dda Consolidda'!I45*G77</f>
        <v>#DIV/0!</v>
      </c>
      <c r="H76" s="1897" t="e">
        <f>'14 Dda Consolidda'!J45*H77</f>
        <v>#DIV/0!</v>
      </c>
      <c r="I76" s="1897" t="e">
        <f>'14 Dda Consolidda'!K45*I77</f>
        <v>#DIV/0!</v>
      </c>
      <c r="J76" s="1897" t="e">
        <f>'14 Dda Consolidda'!L45*J77</f>
        <v>#DIV/0!</v>
      </c>
      <c r="K76" s="1897" t="e">
        <f>'14 Dda Consolidda'!M45*K77</f>
        <v>#DIV/0!</v>
      </c>
      <c r="L76" s="1897" t="e">
        <f>'14 Dda Consolidda'!N45*L77</f>
        <v>#DIV/0!</v>
      </c>
      <c r="M76" s="1897" t="e">
        <f>'14 Dda Consolidda'!O45*M77</f>
        <v>#DIV/0!</v>
      </c>
      <c r="N76" s="1897" t="e">
        <f>'14 Dda Consolidda'!P45*N77</f>
        <v>#DIV/0!</v>
      </c>
      <c r="O76" s="1897" t="e">
        <f>'14 Dda Consolidda'!Q45*O77</f>
        <v>#DIV/0!</v>
      </c>
      <c r="P76" s="1897" t="e">
        <f>'14 Dda Consolidda'!R45*P77</f>
        <v>#DIV/0!</v>
      </c>
      <c r="Q76" s="1897" t="e">
        <f>'14 Dda Consolidda'!S45*Q77</f>
        <v>#DIV/0!</v>
      </c>
      <c r="R76" s="1897" t="e">
        <f>'14 Dda Consolidda'!T45*R77</f>
        <v>#DIV/0!</v>
      </c>
      <c r="S76" s="1897" t="e">
        <f>'14 Dda Consolidda'!U45*S77</f>
        <v>#DIV/0!</v>
      </c>
      <c r="T76" s="1898" t="e">
        <f>SUM(H76:S76)</f>
        <v>#DIV/0!</v>
      </c>
    </row>
    <row r="77" spans="2:20" s="1899" customFormat="1" ht="17.25" thickBot="1" x14ac:dyDescent="0.3">
      <c r="B77" s="4608"/>
      <c r="C77" s="1900" t="e">
        <f>'14 Dda Consolidda'!Z45</f>
        <v>#DIV/0!</v>
      </c>
      <c r="D77" s="1900" t="e">
        <f>'14 Dda Consolidda'!AA45</f>
        <v>#DIV/0!</v>
      </c>
      <c r="E77" s="1900" t="e">
        <f>'14 Dda Consolidda'!AB45</f>
        <v>#DIV/0!</v>
      </c>
      <c r="F77" s="1900" t="e">
        <f>'14 Dda Consolidda'!AC45</f>
        <v>#DIV/0!</v>
      </c>
      <c r="G77" s="1900" t="e">
        <f>'14 Dda Consolidda'!AD45</f>
        <v>#DIV/0!</v>
      </c>
      <c r="H77" s="1900" t="e">
        <f>'14 Dda Consolidda'!AE45</f>
        <v>#DIV/0!</v>
      </c>
      <c r="I77" s="1900" t="e">
        <f>'14 Dda Consolidda'!AF45</f>
        <v>#DIV/0!</v>
      </c>
      <c r="J77" s="1900" t="e">
        <f>'14 Dda Consolidda'!AG45</f>
        <v>#DIV/0!</v>
      </c>
      <c r="K77" s="1900" t="e">
        <f>'14 Dda Consolidda'!AH45</f>
        <v>#DIV/0!</v>
      </c>
      <c r="L77" s="1900" t="e">
        <f>'14 Dda Consolidda'!AI45</f>
        <v>#DIV/0!</v>
      </c>
      <c r="M77" s="1900" t="e">
        <f>'14 Dda Consolidda'!AJ45</f>
        <v>#DIV/0!</v>
      </c>
      <c r="N77" s="1900" t="e">
        <f>'14 Dda Consolidda'!AK45</f>
        <v>#DIV/0!</v>
      </c>
      <c r="O77" s="1900" t="e">
        <f>'14 Dda Consolidda'!AL45</f>
        <v>#DIV/0!</v>
      </c>
      <c r="P77" s="1900" t="e">
        <f>'14 Dda Consolidda'!AM45</f>
        <v>#DIV/0!</v>
      </c>
      <c r="Q77" s="1900">
        <f>'14 Dda Consolidda'!AN45</f>
        <v>1</v>
      </c>
      <c r="R77" s="1900">
        <f>'14 Dda Consolidda'!AO45</f>
        <v>1</v>
      </c>
      <c r="S77" s="1900">
        <f>'14 Dda Consolidda'!AP45</f>
        <v>1</v>
      </c>
      <c r="T77" s="1898"/>
    </row>
    <row r="78" spans="2:20" ht="17.25" thickBot="1" x14ac:dyDescent="0.3">
      <c r="B78" s="1381" t="s">
        <v>1224</v>
      </c>
      <c r="C78" s="1381"/>
      <c r="D78" s="1381"/>
      <c r="E78" s="1381"/>
      <c r="F78" s="1381"/>
      <c r="G78" s="1381"/>
      <c r="H78" s="1381"/>
      <c r="I78" s="1381"/>
      <c r="J78" s="1381"/>
      <c r="K78" s="1381"/>
      <c r="L78" s="1381"/>
      <c r="M78" s="1381"/>
      <c r="N78" s="1381"/>
      <c r="O78" s="1381"/>
      <c r="P78" s="1381"/>
      <c r="Q78" s="1381"/>
      <c r="R78" s="1381"/>
      <c r="S78" s="1381"/>
      <c r="T78" s="1352"/>
    </row>
    <row r="79" spans="2:20" ht="17.25" thickBot="1" x14ac:dyDescent="0.3">
      <c r="B79" s="4597" t="s">
        <v>1978</v>
      </c>
      <c r="C79" s="1354" t="e">
        <f>'14 Dda Consolidda'!E47*C80</f>
        <v>#DIV/0!</v>
      </c>
      <c r="D79" s="1354" t="e">
        <f>'14 Dda Consolidda'!F47*D80</f>
        <v>#DIV/0!</v>
      </c>
      <c r="E79" s="1354" t="e">
        <f>'14 Dda Consolidda'!G47*E80</f>
        <v>#DIV/0!</v>
      </c>
      <c r="F79" s="1354" t="e">
        <f>'14 Dda Consolidda'!H47*F80</f>
        <v>#DIV/0!</v>
      </c>
      <c r="G79" s="1354" t="e">
        <f>'14 Dda Consolidda'!I47*G80</f>
        <v>#DIV/0!</v>
      </c>
      <c r="H79" s="1354" t="e">
        <f>'14 Dda Consolidda'!J47*H80</f>
        <v>#DIV/0!</v>
      </c>
      <c r="I79" s="1354" t="e">
        <f>'14 Dda Consolidda'!K47*I80</f>
        <v>#DIV/0!</v>
      </c>
      <c r="J79" s="1354" t="e">
        <f>'14 Dda Consolidda'!L47*J80</f>
        <v>#DIV/0!</v>
      </c>
      <c r="K79" s="1354" t="e">
        <f>'14 Dda Consolidda'!M47*K80</f>
        <v>#DIV/0!</v>
      </c>
      <c r="L79" s="1354" t="e">
        <f>'14 Dda Consolidda'!N47*L80</f>
        <v>#DIV/0!</v>
      </c>
      <c r="M79" s="1354" t="e">
        <f>'14 Dda Consolidda'!O47*M80</f>
        <v>#DIV/0!</v>
      </c>
      <c r="N79" s="1354" t="e">
        <f>'14 Dda Consolidda'!P47*N80</f>
        <v>#DIV/0!</v>
      </c>
      <c r="O79" s="1354" t="e">
        <f>'14 Dda Consolidda'!Q47*O80</f>
        <v>#DIV/0!</v>
      </c>
      <c r="P79" s="1354" t="e">
        <f>'14 Dda Consolidda'!R47*P80</f>
        <v>#DIV/0!</v>
      </c>
      <c r="Q79" s="1354" t="e">
        <f>'14 Dda Consolidda'!S47*Q80</f>
        <v>#DIV/0!</v>
      </c>
      <c r="R79" s="1354" t="e">
        <f>'14 Dda Consolidda'!T47*R80</f>
        <v>#DIV/0!</v>
      </c>
      <c r="S79" s="1354" t="e">
        <f>'14 Dda Consolidda'!U47*S80</f>
        <v>#DIV/0!</v>
      </c>
      <c r="T79" s="1352" t="e">
        <f t="shared" ref="T79:T89" si="2">SUM(H79:S79)</f>
        <v>#DIV/0!</v>
      </c>
    </row>
    <row r="80" spans="2:20" ht="17.25" thickBot="1" x14ac:dyDescent="0.3">
      <c r="B80" s="4597"/>
      <c r="C80" s="1355" t="e">
        <f>'14 Dda Consolidda'!Z47</f>
        <v>#DIV/0!</v>
      </c>
      <c r="D80" s="1355" t="e">
        <f>'14 Dda Consolidda'!AA47</f>
        <v>#DIV/0!</v>
      </c>
      <c r="E80" s="1355" t="e">
        <f>'14 Dda Consolidda'!AB47</f>
        <v>#DIV/0!</v>
      </c>
      <c r="F80" s="1355" t="e">
        <f>'14 Dda Consolidda'!AC47</f>
        <v>#DIV/0!</v>
      </c>
      <c r="G80" s="1355" t="e">
        <f>'14 Dda Consolidda'!AD47</f>
        <v>#DIV/0!</v>
      </c>
      <c r="H80" s="1355" t="e">
        <f>'14 Dda Consolidda'!AE47</f>
        <v>#DIV/0!</v>
      </c>
      <c r="I80" s="1355" t="e">
        <f>'14 Dda Consolidda'!AF47</f>
        <v>#DIV/0!</v>
      </c>
      <c r="J80" s="1355" t="e">
        <f>'14 Dda Consolidda'!AG47</f>
        <v>#DIV/0!</v>
      </c>
      <c r="K80" s="1355" t="e">
        <f>'14 Dda Consolidda'!AH47</f>
        <v>#DIV/0!</v>
      </c>
      <c r="L80" s="1355" t="e">
        <f>'14 Dda Consolidda'!AI47</f>
        <v>#DIV/0!</v>
      </c>
      <c r="M80" s="1355" t="e">
        <f>'14 Dda Consolidda'!AJ47</f>
        <v>#DIV/0!</v>
      </c>
      <c r="N80" s="1355" t="e">
        <f>'14 Dda Consolidda'!AK47</f>
        <v>#DIV/0!</v>
      </c>
      <c r="O80" s="1355" t="e">
        <f>'14 Dda Consolidda'!AL47</f>
        <v>#DIV/0!</v>
      </c>
      <c r="P80" s="1355" t="e">
        <f>'14 Dda Consolidda'!AM47</f>
        <v>#DIV/0!</v>
      </c>
      <c r="Q80" s="1355">
        <f>'14 Dda Consolidda'!AN47</f>
        <v>1</v>
      </c>
      <c r="R80" s="1355">
        <f>'14 Dda Consolidda'!AO47</f>
        <v>1</v>
      </c>
      <c r="S80" s="1355">
        <f>'14 Dda Consolidda'!AP47</f>
        <v>1</v>
      </c>
      <c r="T80" s="1352"/>
    </row>
    <row r="81" spans="2:20" ht="17.25" thickBot="1" x14ac:dyDescent="0.3">
      <c r="B81" s="4597" t="s">
        <v>1979</v>
      </c>
      <c r="C81" s="1354" t="e">
        <f>'14 Dda Consolidda'!E48*C82</f>
        <v>#DIV/0!</v>
      </c>
      <c r="D81" s="1354" t="e">
        <f>'14 Dda Consolidda'!F48*D82</f>
        <v>#DIV/0!</v>
      </c>
      <c r="E81" s="1354" t="e">
        <f>'14 Dda Consolidda'!G48*E82</f>
        <v>#DIV/0!</v>
      </c>
      <c r="F81" s="1354" t="e">
        <f>'14 Dda Consolidda'!H48*F82</f>
        <v>#DIV/0!</v>
      </c>
      <c r="G81" s="1354" t="e">
        <f>'14 Dda Consolidda'!I48*G82</f>
        <v>#DIV/0!</v>
      </c>
      <c r="H81" s="1354" t="e">
        <f>'14 Dda Consolidda'!J48*H82</f>
        <v>#DIV/0!</v>
      </c>
      <c r="I81" s="1354" t="e">
        <f>'14 Dda Consolidda'!K48*I82</f>
        <v>#DIV/0!</v>
      </c>
      <c r="J81" s="1354" t="e">
        <f>'14 Dda Consolidda'!L48*J82</f>
        <v>#DIV/0!</v>
      </c>
      <c r="K81" s="1354" t="e">
        <f>'14 Dda Consolidda'!M48*K82</f>
        <v>#DIV/0!</v>
      </c>
      <c r="L81" s="1354" t="e">
        <f>'14 Dda Consolidda'!N48*L82</f>
        <v>#DIV/0!</v>
      </c>
      <c r="M81" s="1354" t="e">
        <f>'14 Dda Consolidda'!O48*M82</f>
        <v>#DIV/0!</v>
      </c>
      <c r="N81" s="1354" t="e">
        <f>'14 Dda Consolidda'!P48*N82</f>
        <v>#DIV/0!</v>
      </c>
      <c r="O81" s="1354" t="e">
        <f>'14 Dda Consolidda'!Q48*O82</f>
        <v>#DIV/0!</v>
      </c>
      <c r="P81" s="1354" t="e">
        <f>'14 Dda Consolidda'!R48*P82</f>
        <v>#DIV/0!</v>
      </c>
      <c r="Q81" s="1354" t="e">
        <f>'14 Dda Consolidda'!S48*Q82</f>
        <v>#DIV/0!</v>
      </c>
      <c r="R81" s="1354" t="e">
        <f>'14 Dda Consolidda'!T48*R82</f>
        <v>#DIV/0!</v>
      </c>
      <c r="S81" s="1354" t="e">
        <f>'14 Dda Consolidda'!U48*S82</f>
        <v>#DIV/0!</v>
      </c>
      <c r="T81" s="1352" t="e">
        <f t="shared" si="2"/>
        <v>#DIV/0!</v>
      </c>
    </row>
    <row r="82" spans="2:20" ht="17.25" thickBot="1" x14ac:dyDescent="0.3">
      <c r="B82" s="4597"/>
      <c r="C82" s="1355" t="e">
        <f>'14 Dda Consolidda'!Z48</f>
        <v>#DIV/0!</v>
      </c>
      <c r="D82" s="1355" t="e">
        <f>'14 Dda Consolidda'!AA48</f>
        <v>#DIV/0!</v>
      </c>
      <c r="E82" s="1355" t="e">
        <f>'14 Dda Consolidda'!AB48</f>
        <v>#DIV/0!</v>
      </c>
      <c r="F82" s="1355" t="e">
        <f>'14 Dda Consolidda'!AC48</f>
        <v>#DIV/0!</v>
      </c>
      <c r="G82" s="1355" t="e">
        <f>'14 Dda Consolidda'!AD48</f>
        <v>#DIV/0!</v>
      </c>
      <c r="H82" s="1355" t="e">
        <f>'14 Dda Consolidda'!AE48</f>
        <v>#DIV/0!</v>
      </c>
      <c r="I82" s="1355" t="e">
        <f>'14 Dda Consolidda'!AF48</f>
        <v>#DIV/0!</v>
      </c>
      <c r="J82" s="1355" t="e">
        <f>'14 Dda Consolidda'!AG48</f>
        <v>#DIV/0!</v>
      </c>
      <c r="K82" s="1355" t="e">
        <f>'14 Dda Consolidda'!AH48</f>
        <v>#DIV/0!</v>
      </c>
      <c r="L82" s="1355" t="e">
        <f>'14 Dda Consolidda'!AI48</f>
        <v>#DIV/0!</v>
      </c>
      <c r="M82" s="1355" t="e">
        <f>'14 Dda Consolidda'!AJ48</f>
        <v>#DIV/0!</v>
      </c>
      <c r="N82" s="1355" t="e">
        <f>'14 Dda Consolidda'!AK48</f>
        <v>#DIV/0!</v>
      </c>
      <c r="O82" s="1355" t="e">
        <f>'14 Dda Consolidda'!AL48</f>
        <v>#DIV/0!</v>
      </c>
      <c r="P82" s="1355" t="e">
        <f>'14 Dda Consolidda'!AM48</f>
        <v>#DIV/0!</v>
      </c>
      <c r="Q82" s="1355">
        <f>'14 Dda Consolidda'!AN48</f>
        <v>1</v>
      </c>
      <c r="R82" s="1355">
        <f>'14 Dda Consolidda'!AO48</f>
        <v>1</v>
      </c>
      <c r="S82" s="1355">
        <f>'14 Dda Consolidda'!AP48</f>
        <v>1</v>
      </c>
      <c r="T82" s="1352"/>
    </row>
    <row r="83" spans="2:20" ht="17.25" thickBot="1" x14ac:dyDescent="0.3">
      <c r="B83" s="4597" t="s">
        <v>1980</v>
      </c>
      <c r="C83" s="1354" t="e">
        <f>'14 Dda Consolidda'!E49*C84</f>
        <v>#DIV/0!</v>
      </c>
      <c r="D83" s="1354" t="e">
        <f>'14 Dda Consolidda'!F49*D84</f>
        <v>#DIV/0!</v>
      </c>
      <c r="E83" s="1354" t="e">
        <f>'14 Dda Consolidda'!G49*E84</f>
        <v>#DIV/0!</v>
      </c>
      <c r="F83" s="1354" t="e">
        <f>'14 Dda Consolidda'!H49*F84</f>
        <v>#DIV/0!</v>
      </c>
      <c r="G83" s="1354" t="e">
        <f>'14 Dda Consolidda'!I49*G84</f>
        <v>#DIV/0!</v>
      </c>
      <c r="H83" s="1354" t="e">
        <f>'14 Dda Consolidda'!J49*H84</f>
        <v>#DIV/0!</v>
      </c>
      <c r="I83" s="1354" t="e">
        <f>'14 Dda Consolidda'!K49*I84</f>
        <v>#DIV/0!</v>
      </c>
      <c r="J83" s="1354" t="e">
        <f>'14 Dda Consolidda'!L49*J84</f>
        <v>#DIV/0!</v>
      </c>
      <c r="K83" s="1354" t="e">
        <f>'14 Dda Consolidda'!M49*K84</f>
        <v>#DIV/0!</v>
      </c>
      <c r="L83" s="1354" t="e">
        <f>'14 Dda Consolidda'!N49*L84</f>
        <v>#DIV/0!</v>
      </c>
      <c r="M83" s="1354" t="e">
        <f>'14 Dda Consolidda'!O49*M84</f>
        <v>#DIV/0!</v>
      </c>
      <c r="N83" s="1354" t="e">
        <f>'14 Dda Consolidda'!P49*N84</f>
        <v>#DIV/0!</v>
      </c>
      <c r="O83" s="1354" t="e">
        <f>'14 Dda Consolidda'!Q49*O84</f>
        <v>#DIV/0!</v>
      </c>
      <c r="P83" s="1354" t="e">
        <f>'14 Dda Consolidda'!R49*P84</f>
        <v>#DIV/0!</v>
      </c>
      <c r="Q83" s="1354" t="e">
        <f>'14 Dda Consolidda'!S49*Q84</f>
        <v>#DIV/0!</v>
      </c>
      <c r="R83" s="1354" t="e">
        <f>'14 Dda Consolidda'!T49*R84</f>
        <v>#DIV/0!</v>
      </c>
      <c r="S83" s="1354" t="e">
        <f>'14 Dda Consolidda'!U49*S84</f>
        <v>#DIV/0!</v>
      </c>
      <c r="T83" s="1352" t="e">
        <f t="shared" si="2"/>
        <v>#DIV/0!</v>
      </c>
    </row>
    <row r="84" spans="2:20" ht="17.25" thickBot="1" x14ac:dyDescent="0.3">
      <c r="B84" s="4597"/>
      <c r="C84" s="1355" t="e">
        <f>'14 Dda Consolidda'!Z49</f>
        <v>#DIV/0!</v>
      </c>
      <c r="D84" s="1355" t="e">
        <f>'14 Dda Consolidda'!AA49</f>
        <v>#DIV/0!</v>
      </c>
      <c r="E84" s="1355" t="e">
        <f>'14 Dda Consolidda'!AB49</f>
        <v>#DIV/0!</v>
      </c>
      <c r="F84" s="1355" t="e">
        <f>'14 Dda Consolidda'!AC49</f>
        <v>#DIV/0!</v>
      </c>
      <c r="G84" s="1355" t="e">
        <f>'14 Dda Consolidda'!AD49</f>
        <v>#DIV/0!</v>
      </c>
      <c r="H84" s="1355" t="e">
        <f>'14 Dda Consolidda'!AE49</f>
        <v>#DIV/0!</v>
      </c>
      <c r="I84" s="1355" t="e">
        <f>'14 Dda Consolidda'!AF49</f>
        <v>#DIV/0!</v>
      </c>
      <c r="J84" s="1355" t="e">
        <f>'14 Dda Consolidda'!AG49</f>
        <v>#DIV/0!</v>
      </c>
      <c r="K84" s="1355" t="e">
        <f>'14 Dda Consolidda'!AH49</f>
        <v>#DIV/0!</v>
      </c>
      <c r="L84" s="1355" t="e">
        <f>'14 Dda Consolidda'!AI49</f>
        <v>#DIV/0!</v>
      </c>
      <c r="M84" s="1355" t="e">
        <f>'14 Dda Consolidda'!AJ49</f>
        <v>#DIV/0!</v>
      </c>
      <c r="N84" s="1355" t="e">
        <f>'14 Dda Consolidda'!AK49</f>
        <v>#DIV/0!</v>
      </c>
      <c r="O84" s="1355" t="e">
        <f>'14 Dda Consolidda'!AL49</f>
        <v>#DIV/0!</v>
      </c>
      <c r="P84" s="1355" t="e">
        <f>'14 Dda Consolidda'!AM49</f>
        <v>#DIV/0!</v>
      </c>
      <c r="Q84" s="1355">
        <f>'14 Dda Consolidda'!AN49</f>
        <v>1</v>
      </c>
      <c r="R84" s="1355">
        <f>'14 Dda Consolidda'!AO49</f>
        <v>1</v>
      </c>
      <c r="S84" s="1355">
        <f>'14 Dda Consolidda'!AP49</f>
        <v>1</v>
      </c>
      <c r="T84" s="1352"/>
    </row>
    <row r="85" spans="2:20" ht="17.25" thickBot="1" x14ac:dyDescent="0.3">
      <c r="B85" s="4597" t="s">
        <v>2048</v>
      </c>
      <c r="C85" s="1354">
        <f>'14 Dda Consolidda'!E50*C86</f>
        <v>2.4</v>
      </c>
      <c r="D85" s="1354">
        <f>'14 Dda Consolidda'!F50*D86</f>
        <v>18.521460136033117</v>
      </c>
      <c r="E85" s="1354">
        <f>'14 Dda Consolidda'!G50*E86</f>
        <v>34.655414280186811</v>
      </c>
      <c r="F85" s="1354">
        <f>'14 Dda Consolidda'!H50*F86</f>
        <v>50.801869694671161</v>
      </c>
      <c r="G85" s="1354">
        <f>'14 Dda Consolidda'!I50*G86</f>
        <v>66.960833645448488</v>
      </c>
      <c r="H85" s="1354">
        <f>'14 Dda Consolidda'!J50*H86</f>
        <v>83.13231340223507</v>
      </c>
      <c r="I85" s="1354">
        <f>'14 Dda Consolidda'!K50*I86</f>
        <v>99.31631623850302</v>
      </c>
      <c r="J85" s="1354">
        <f>'14 Dda Consolidda'!L50*J86</f>
        <v>115.51284943148217</v>
      </c>
      <c r="K85" s="1354">
        <f>'14 Dda Consolidda'!M50*K86</f>
        <v>131.72192026216169</v>
      </c>
      <c r="L85" s="1354">
        <f>'14 Dda Consolidda'!N50*L86</f>
        <v>147.94353601529221</v>
      </c>
      <c r="M85" s="1354">
        <f>'14 Dda Consolidda'!O50*M86</f>
        <v>164.17770397938733</v>
      </c>
      <c r="N85" s="1354">
        <f>'14 Dda Consolidda'!P50*N86</f>
        <v>180.42443144672569</v>
      </c>
      <c r="O85" s="1354">
        <f>'14 Dda Consolidda'!Q50*O86</f>
        <v>196.68372571335254</v>
      </c>
      <c r="P85" s="1354">
        <f>'14 Dda Consolidda'!R50*P86</f>
        <v>212.95559407908189</v>
      </c>
      <c r="Q85" s="1354">
        <f>'14 Dda Consolidda'!S50*Q86</f>
        <v>229.24004384749804</v>
      </c>
      <c r="R85" s="1354">
        <f>'14 Dda Consolidda'!T50*R86</f>
        <v>229.32887604882279</v>
      </c>
      <c r="S85" s="1354">
        <f>'14 Dda Consolidda'!U50*S86</f>
        <v>229.41774267327821</v>
      </c>
      <c r="T85" s="1352">
        <f t="shared" si="2"/>
        <v>2019.855053137821</v>
      </c>
    </row>
    <row r="86" spans="2:20" ht="17.25" thickBot="1" x14ac:dyDescent="0.3">
      <c r="B86" s="4597"/>
      <c r="C86" s="1355">
        <f>'14 Dda Consolidda'!Z50</f>
        <v>1.0526315789473684E-2</v>
      </c>
      <c r="D86" s="1355">
        <f>'14 Dda Consolidda'!AA50</f>
        <v>8.1203007518796999E-2</v>
      </c>
      <c r="E86" s="1355">
        <f>'14 Dda Consolidda'!AB50</f>
        <v>0.15187969924812031</v>
      </c>
      <c r="F86" s="1355">
        <f>'14 Dda Consolidda'!AC50</f>
        <v>0.22255639097744362</v>
      </c>
      <c r="G86" s="1355">
        <f>'14 Dda Consolidda'!AD50</f>
        <v>0.29323308270676696</v>
      </c>
      <c r="H86" s="1355">
        <f>'14 Dda Consolidda'!AE50</f>
        <v>0.36390977443609029</v>
      </c>
      <c r="I86" s="1355">
        <f>'14 Dda Consolidda'!AF50</f>
        <v>0.43458646616541363</v>
      </c>
      <c r="J86" s="1355">
        <f>'14 Dda Consolidda'!AG50</f>
        <v>0.50526315789473697</v>
      </c>
      <c r="K86" s="1355">
        <f>'14 Dda Consolidda'!AH50</f>
        <v>0.57593984962406031</v>
      </c>
      <c r="L86" s="1355">
        <f>'14 Dda Consolidda'!AI50</f>
        <v>0.64661654135338364</v>
      </c>
      <c r="M86" s="1355">
        <f>'14 Dda Consolidda'!AJ50</f>
        <v>0.71729323308270698</v>
      </c>
      <c r="N86" s="1355">
        <f>'14 Dda Consolidda'!AK50</f>
        <v>0.78796992481203032</v>
      </c>
      <c r="O86" s="1355">
        <f>'14 Dda Consolidda'!AL50</f>
        <v>0.85864661654135366</v>
      </c>
      <c r="P86" s="1355">
        <f>'14 Dda Consolidda'!AM50</f>
        <v>0.929323308270677</v>
      </c>
      <c r="Q86" s="1355">
        <f>'14 Dda Consolidda'!AN50</f>
        <v>1</v>
      </c>
      <c r="R86" s="1355">
        <f>'14 Dda Consolidda'!AO50</f>
        <v>1</v>
      </c>
      <c r="S86" s="1355">
        <f>'14 Dda Consolidda'!AP50</f>
        <v>1</v>
      </c>
      <c r="T86" s="1352"/>
    </row>
    <row r="87" spans="2:20" ht="17.25" thickBot="1" x14ac:dyDescent="0.3">
      <c r="B87" s="4597" t="s">
        <v>1981</v>
      </c>
      <c r="C87" s="1354">
        <f>'14 Dda Consolidda'!E51*C88</f>
        <v>18.296161739879938</v>
      </c>
      <c r="D87" s="1354">
        <f>'14 Dda Consolidda'!F51*D88</f>
        <v>18.303251636984598</v>
      </c>
      <c r="E87" s="1354">
        <f>'14 Dda Consolidda'!G51*E88</f>
        <v>18.310344281476482</v>
      </c>
      <c r="F87" s="1354">
        <f>'14 Dda Consolidda'!H51*F88</f>
        <v>18.317439674420221</v>
      </c>
      <c r="G87" s="1354">
        <f>'14 Dda Consolidda'!I51*G88</f>
        <v>18.324537816880856</v>
      </c>
      <c r="H87" s="1354">
        <f>'14 Dda Consolidda'!J51*H88</f>
        <v>18.331638709923844</v>
      </c>
      <c r="I87" s="1354">
        <f>'14 Dda Consolidda'!K51*I88</f>
        <v>18.338742354615068</v>
      </c>
      <c r="J87" s="1354">
        <f>'14 Dda Consolidda'!L51*J88</f>
        <v>18.3458487520208</v>
      </c>
      <c r="K87" s="1354">
        <f>'14 Dda Consolidda'!M51*K88</f>
        <v>18.352957903207738</v>
      </c>
      <c r="L87" s="1354">
        <f>'14 Dda Consolidda'!N51*L88</f>
        <v>18.360069809243001</v>
      </c>
      <c r="M87" s="1354">
        <f>'14 Dda Consolidda'!O51*M88</f>
        <v>18.367184471194101</v>
      </c>
      <c r="N87" s="1354">
        <f>'14 Dda Consolidda'!P51*N88</f>
        <v>18.374301890128983</v>
      </c>
      <c r="O87" s="1354">
        <f>'14 Dda Consolidda'!Q51*O88</f>
        <v>18.381422067115999</v>
      </c>
      <c r="P87" s="1354">
        <f>'14 Dda Consolidda'!R51*P88</f>
        <v>18.388545003223911</v>
      </c>
      <c r="Q87" s="1354">
        <f>'14 Dda Consolidda'!S51*Q88</f>
        <v>18.395670699521901</v>
      </c>
      <c r="R87" s="1354">
        <f>'14 Dda Consolidda'!T51*R88</f>
        <v>18.402799157079563</v>
      </c>
      <c r="S87" s="1354">
        <f>'14 Dda Consolidda'!U51*S88</f>
        <v>18.409930376966905</v>
      </c>
      <c r="T87" s="1352">
        <f t="shared" si="2"/>
        <v>220.44911119424179</v>
      </c>
    </row>
    <row r="88" spans="2:20" ht="17.25" thickBot="1" x14ac:dyDescent="0.3">
      <c r="B88" s="4597"/>
      <c r="C88" s="1355">
        <f>'14 Dda Consolidda'!Z51</f>
        <v>1</v>
      </c>
      <c r="D88" s="1355">
        <f>'14 Dda Consolidda'!AA51</f>
        <v>1</v>
      </c>
      <c r="E88" s="1355">
        <f>'14 Dda Consolidda'!AB51</f>
        <v>1</v>
      </c>
      <c r="F88" s="1355">
        <f>'14 Dda Consolidda'!AC51</f>
        <v>1</v>
      </c>
      <c r="G88" s="1355">
        <f>'14 Dda Consolidda'!AD51</f>
        <v>1</v>
      </c>
      <c r="H88" s="1355">
        <f>'14 Dda Consolidda'!AE51</f>
        <v>1</v>
      </c>
      <c r="I88" s="1355">
        <f>'14 Dda Consolidda'!AF51</f>
        <v>1</v>
      </c>
      <c r="J88" s="1355">
        <f>'14 Dda Consolidda'!AG51</f>
        <v>1</v>
      </c>
      <c r="K88" s="1355">
        <f>'14 Dda Consolidda'!AH51</f>
        <v>1</v>
      </c>
      <c r="L88" s="1355">
        <f>'14 Dda Consolidda'!AI51</f>
        <v>1</v>
      </c>
      <c r="M88" s="1355">
        <f>'14 Dda Consolidda'!AJ51</f>
        <v>1</v>
      </c>
      <c r="N88" s="1355">
        <f>'14 Dda Consolidda'!AK51</f>
        <v>1</v>
      </c>
      <c r="O88" s="1355">
        <f>'14 Dda Consolidda'!AL51</f>
        <v>1</v>
      </c>
      <c r="P88" s="1355">
        <f>'14 Dda Consolidda'!AM51</f>
        <v>1</v>
      </c>
      <c r="Q88" s="1355">
        <f>'14 Dda Consolidda'!AN51</f>
        <v>1</v>
      </c>
      <c r="R88" s="1355">
        <f>'14 Dda Consolidda'!AO51</f>
        <v>1</v>
      </c>
      <c r="S88" s="1355">
        <f>'14 Dda Consolidda'!AP51</f>
        <v>1</v>
      </c>
      <c r="T88" s="1352"/>
    </row>
    <row r="89" spans="2:20" ht="17.25" thickBot="1" x14ac:dyDescent="0.3">
      <c r="B89" s="4597" t="s">
        <v>1982</v>
      </c>
      <c r="C89" s="1354" t="e">
        <f>'14 Dda Consolidda'!E52*C90</f>
        <v>#DIV/0!</v>
      </c>
      <c r="D89" s="1354" t="e">
        <f>'14 Dda Consolidda'!F52*D90</f>
        <v>#DIV/0!</v>
      </c>
      <c r="E89" s="1354" t="e">
        <f>'14 Dda Consolidda'!G52*E90</f>
        <v>#DIV/0!</v>
      </c>
      <c r="F89" s="1354" t="e">
        <f>'14 Dda Consolidda'!H52*F90</f>
        <v>#DIV/0!</v>
      </c>
      <c r="G89" s="1354" t="e">
        <f>'14 Dda Consolidda'!I52*G90</f>
        <v>#DIV/0!</v>
      </c>
      <c r="H89" s="1354" t="e">
        <f>'14 Dda Consolidda'!J52*H90</f>
        <v>#DIV/0!</v>
      </c>
      <c r="I89" s="1354" t="e">
        <f>'14 Dda Consolidda'!K52*I90</f>
        <v>#DIV/0!</v>
      </c>
      <c r="J89" s="1354" t="e">
        <f>'14 Dda Consolidda'!L52*J90</f>
        <v>#DIV/0!</v>
      </c>
      <c r="K89" s="1354" t="e">
        <f>'14 Dda Consolidda'!M52*K90</f>
        <v>#DIV/0!</v>
      </c>
      <c r="L89" s="1354" t="e">
        <f>'14 Dda Consolidda'!N52*L90</f>
        <v>#DIV/0!</v>
      </c>
      <c r="M89" s="1354" t="e">
        <f>'14 Dda Consolidda'!O52*M90</f>
        <v>#DIV/0!</v>
      </c>
      <c r="N89" s="1354" t="e">
        <f>'14 Dda Consolidda'!P52*N90</f>
        <v>#DIV/0!</v>
      </c>
      <c r="O89" s="1354" t="e">
        <f>'14 Dda Consolidda'!Q52*O90</f>
        <v>#DIV/0!</v>
      </c>
      <c r="P89" s="1354" t="e">
        <f>'14 Dda Consolidda'!R52*P90</f>
        <v>#DIV/0!</v>
      </c>
      <c r="Q89" s="1354" t="e">
        <f>'14 Dda Consolidda'!S52*Q90</f>
        <v>#DIV/0!</v>
      </c>
      <c r="R89" s="1354" t="e">
        <f>'14 Dda Consolidda'!T52*R90</f>
        <v>#DIV/0!</v>
      </c>
      <c r="S89" s="1354" t="e">
        <f>'14 Dda Consolidda'!U52*S90</f>
        <v>#DIV/0!</v>
      </c>
      <c r="T89" s="1352" t="e">
        <f t="shared" si="2"/>
        <v>#DIV/0!</v>
      </c>
    </row>
    <row r="90" spans="2:20" ht="17.25" thickBot="1" x14ac:dyDescent="0.3">
      <c r="B90" s="4597"/>
      <c r="C90" s="1355">
        <f>'14 Dda Consolidda'!Z52</f>
        <v>1</v>
      </c>
      <c r="D90" s="1355">
        <f>'14 Dda Consolidda'!AA52</f>
        <v>1</v>
      </c>
      <c r="E90" s="1355">
        <f>'14 Dda Consolidda'!AB52</f>
        <v>1</v>
      </c>
      <c r="F90" s="1355">
        <f>'14 Dda Consolidda'!AC52</f>
        <v>1</v>
      </c>
      <c r="G90" s="1355">
        <f>'14 Dda Consolidda'!AD52</f>
        <v>1</v>
      </c>
      <c r="H90" s="1355">
        <f>'14 Dda Consolidda'!AE52</f>
        <v>1</v>
      </c>
      <c r="I90" s="1355">
        <f>'14 Dda Consolidda'!AF52</f>
        <v>1</v>
      </c>
      <c r="J90" s="1355">
        <f>'14 Dda Consolidda'!AG52</f>
        <v>1</v>
      </c>
      <c r="K90" s="1355">
        <f>'14 Dda Consolidda'!AH52</f>
        <v>1</v>
      </c>
      <c r="L90" s="1355">
        <f>'14 Dda Consolidda'!AI52</f>
        <v>1</v>
      </c>
      <c r="M90" s="1355">
        <f>'14 Dda Consolidda'!AJ52</f>
        <v>1</v>
      </c>
      <c r="N90" s="1355">
        <f>'14 Dda Consolidda'!AK52</f>
        <v>1</v>
      </c>
      <c r="O90" s="1355">
        <f>'14 Dda Consolidda'!AL52</f>
        <v>1</v>
      </c>
      <c r="P90" s="1355">
        <f>'14 Dda Consolidda'!AM52</f>
        <v>1</v>
      </c>
      <c r="Q90" s="1355">
        <f>'14 Dda Consolidda'!AN52</f>
        <v>1</v>
      </c>
      <c r="R90" s="1355">
        <f>'14 Dda Consolidda'!AO52</f>
        <v>1</v>
      </c>
      <c r="S90" s="1355">
        <f>'14 Dda Consolidda'!AP52</f>
        <v>1</v>
      </c>
      <c r="T90" s="1352"/>
    </row>
    <row r="91" spans="2:20" ht="17.25" thickBot="1" x14ac:dyDescent="0.3">
      <c r="B91" s="4597" t="s">
        <v>381</v>
      </c>
      <c r="C91" s="1354" t="e">
        <f>'14 Dda Consolidda'!E53*C92</f>
        <v>#DIV/0!</v>
      </c>
      <c r="D91" s="1354" t="e">
        <f>'14 Dda Consolidda'!F53*D92</f>
        <v>#DIV/0!</v>
      </c>
      <c r="E91" s="1354" t="e">
        <f>'14 Dda Consolidda'!G53*E92</f>
        <v>#DIV/0!</v>
      </c>
      <c r="F91" s="1354" t="e">
        <f>'14 Dda Consolidda'!H53*F92</f>
        <v>#DIV/0!</v>
      </c>
      <c r="G91" s="1354" t="e">
        <f>'14 Dda Consolidda'!I53*G92</f>
        <v>#DIV/0!</v>
      </c>
      <c r="H91" s="1354" t="e">
        <f>'14 Dda Consolidda'!J53*H92</f>
        <v>#DIV/0!</v>
      </c>
      <c r="I91" s="1354" t="e">
        <f>'14 Dda Consolidda'!K53*I92</f>
        <v>#DIV/0!</v>
      </c>
      <c r="J91" s="1354" t="e">
        <f>'14 Dda Consolidda'!L53*J92</f>
        <v>#DIV/0!</v>
      </c>
      <c r="K91" s="1354" t="e">
        <f>'14 Dda Consolidda'!M53*K92</f>
        <v>#DIV/0!</v>
      </c>
      <c r="L91" s="1354" t="e">
        <f>'14 Dda Consolidda'!N53*L92</f>
        <v>#DIV/0!</v>
      </c>
      <c r="M91" s="1354" t="e">
        <f>'14 Dda Consolidda'!O53*M92</f>
        <v>#DIV/0!</v>
      </c>
      <c r="N91" s="1354" t="e">
        <f>'14 Dda Consolidda'!P53*N92</f>
        <v>#DIV/0!</v>
      </c>
      <c r="O91" s="1354" t="e">
        <f>'14 Dda Consolidda'!Q53*O92</f>
        <v>#DIV/0!</v>
      </c>
      <c r="P91" s="1354" t="e">
        <f>'14 Dda Consolidda'!R53*P92</f>
        <v>#DIV/0!</v>
      </c>
      <c r="Q91" s="1354" t="e">
        <f>'14 Dda Consolidda'!S53*Q92</f>
        <v>#DIV/0!</v>
      </c>
      <c r="R91" s="1354" t="e">
        <f>'14 Dda Consolidda'!T53*R92</f>
        <v>#DIV/0!</v>
      </c>
      <c r="S91" s="1354" t="e">
        <f>'14 Dda Consolidda'!U53*S92</f>
        <v>#DIV/0!</v>
      </c>
      <c r="T91" s="1352" t="e">
        <f>SUM(H91:S91)</f>
        <v>#DIV/0!</v>
      </c>
    </row>
    <row r="92" spans="2:20" ht="17.25" thickBot="1" x14ac:dyDescent="0.3">
      <c r="B92" s="4597"/>
      <c r="C92" s="1355">
        <f>'14 Dda Consolidda'!Z53</f>
        <v>1</v>
      </c>
      <c r="D92" s="1355">
        <f>'14 Dda Consolidda'!AA53</f>
        <v>1</v>
      </c>
      <c r="E92" s="1355">
        <f>'14 Dda Consolidda'!AB53</f>
        <v>1</v>
      </c>
      <c r="F92" s="1355">
        <f>'14 Dda Consolidda'!AC53</f>
        <v>1</v>
      </c>
      <c r="G92" s="1355">
        <f>'14 Dda Consolidda'!AD53</f>
        <v>1</v>
      </c>
      <c r="H92" s="1355">
        <f>'14 Dda Consolidda'!AE53</f>
        <v>1</v>
      </c>
      <c r="I92" s="1355">
        <f>'14 Dda Consolidda'!AF53</f>
        <v>1</v>
      </c>
      <c r="J92" s="1355">
        <f>'14 Dda Consolidda'!AG53</f>
        <v>1</v>
      </c>
      <c r="K92" s="1355">
        <f>'14 Dda Consolidda'!AH53</f>
        <v>1</v>
      </c>
      <c r="L92" s="1355">
        <f>'14 Dda Consolidda'!AI53</f>
        <v>1</v>
      </c>
      <c r="M92" s="1355">
        <f>'14 Dda Consolidda'!AJ53</f>
        <v>1</v>
      </c>
      <c r="N92" s="1355">
        <f>'14 Dda Consolidda'!AK53</f>
        <v>1</v>
      </c>
      <c r="O92" s="1355">
        <f>'14 Dda Consolidda'!AL53</f>
        <v>1</v>
      </c>
      <c r="P92" s="1355">
        <f>'14 Dda Consolidda'!AM53</f>
        <v>1</v>
      </c>
      <c r="Q92" s="1355">
        <f>'14 Dda Consolidda'!AN53</f>
        <v>1</v>
      </c>
      <c r="R92" s="1355">
        <f>'14 Dda Consolidda'!AO53</f>
        <v>1</v>
      </c>
      <c r="S92" s="1355">
        <f>'14 Dda Consolidda'!AP53</f>
        <v>1</v>
      </c>
      <c r="T92" s="1352"/>
    </row>
    <row r="93" spans="2:20" ht="17.25" thickBot="1" x14ac:dyDescent="0.3">
      <c r="B93" s="791" t="s">
        <v>150</v>
      </c>
      <c r="C93" s="1382" t="e">
        <f>C10+C12+C14+C16+C18+C21+C23+C25+C27+C29+C31+C33+C35+C37+C39+C41+C43+C45+C47+C49+C51+C53+C55+C58+C60+C63+C65+C68+C70+C72+C74+C76+C79+C81+C83+C85+C87+C89+C91</f>
        <v>#DIV/0!</v>
      </c>
      <c r="D93" s="1382" t="e">
        <f>D10+D12+D14+D16+D18+D21+D23+D25+D27+D29+D31+D33+D35+D37+D39+D41+D43+D45+D47+D49+D51+D53+D55+D58+D60+D63+D65+D68+D70+D72+D74+D76+D79+D81+D83+D85+D87+D89+D91</f>
        <v>#DIV/0!</v>
      </c>
      <c r="E93" s="1382" t="e">
        <f t="shared" ref="E93:S93" si="3">E10+E12+E14+E16+E18+E21+E23+E25+E27+E29+E31+E33+E35+E37+E39+E41+E43+E45+E47+E49+E51+E53+E55+E58+E60+E63+E65+E68+E70+E72+E74+E76+E79+E81+E83+E85+E87+E89+E91</f>
        <v>#DIV/0!</v>
      </c>
      <c r="F93" s="1382" t="e">
        <f t="shared" si="3"/>
        <v>#DIV/0!</v>
      </c>
      <c r="G93" s="1382" t="e">
        <f t="shared" si="3"/>
        <v>#DIV/0!</v>
      </c>
      <c r="H93" s="1382" t="e">
        <f t="shared" si="3"/>
        <v>#DIV/0!</v>
      </c>
      <c r="I93" s="1382" t="e">
        <f t="shared" si="3"/>
        <v>#DIV/0!</v>
      </c>
      <c r="J93" s="1382" t="e">
        <f t="shared" si="3"/>
        <v>#DIV/0!</v>
      </c>
      <c r="K93" s="1382" t="e">
        <f t="shared" si="3"/>
        <v>#DIV/0!</v>
      </c>
      <c r="L93" s="1382" t="e">
        <f t="shared" si="3"/>
        <v>#DIV/0!</v>
      </c>
      <c r="M93" s="1382" t="e">
        <f t="shared" si="3"/>
        <v>#DIV/0!</v>
      </c>
      <c r="N93" s="1382" t="e">
        <f t="shared" si="3"/>
        <v>#DIV/0!</v>
      </c>
      <c r="O93" s="1382" t="e">
        <f t="shared" si="3"/>
        <v>#DIV/0!</v>
      </c>
      <c r="P93" s="1382" t="e">
        <f t="shared" si="3"/>
        <v>#DIV/0!</v>
      </c>
      <c r="Q93" s="1382" t="e">
        <f t="shared" si="3"/>
        <v>#DIV/0!</v>
      </c>
      <c r="R93" s="1382" t="e">
        <f t="shared" si="3"/>
        <v>#DIV/0!</v>
      </c>
      <c r="S93" s="1382" t="e">
        <f t="shared" si="3"/>
        <v>#DIV/0!</v>
      </c>
    </row>
    <row r="94" spans="2:20" x14ac:dyDescent="0.25">
      <c r="G94" s="711"/>
      <c r="H94" s="711"/>
      <c r="I94" s="711"/>
      <c r="J94" s="711"/>
      <c r="K94" s="711"/>
      <c r="L94" s="711"/>
      <c r="M94" s="711"/>
      <c r="N94" s="711"/>
      <c r="O94" s="711"/>
      <c r="P94" s="711"/>
      <c r="Q94" s="711"/>
      <c r="R94" s="711"/>
      <c r="S94" s="711"/>
    </row>
    <row r="95" spans="2:20" ht="17.25" thickBot="1" x14ac:dyDescent="0.3"/>
    <row r="96" spans="2:20" ht="17.25" thickBot="1" x14ac:dyDescent="0.3">
      <c r="B96" s="1357" t="s">
        <v>150</v>
      </c>
      <c r="C96" s="1383" t="e">
        <f>C93-C91</f>
        <v>#DIV/0!</v>
      </c>
      <c r="D96" s="1902" t="e">
        <f>D93-D91</f>
        <v>#DIV/0!</v>
      </c>
      <c r="E96" s="1384" t="e">
        <f t="shared" ref="E96:R96" si="4">E93-E91</f>
        <v>#DIV/0!</v>
      </c>
      <c r="F96" s="1384" t="e">
        <f t="shared" si="4"/>
        <v>#DIV/0!</v>
      </c>
      <c r="G96" s="1384" t="e">
        <f t="shared" si="4"/>
        <v>#DIV/0!</v>
      </c>
      <c r="H96" s="1358" t="e">
        <f t="shared" si="4"/>
        <v>#DIV/0!</v>
      </c>
      <c r="I96" s="1358" t="e">
        <f t="shared" si="4"/>
        <v>#DIV/0!</v>
      </c>
      <c r="J96" s="1358" t="e">
        <f t="shared" si="4"/>
        <v>#DIV/0!</v>
      </c>
      <c r="K96" s="1358" t="e">
        <f t="shared" si="4"/>
        <v>#DIV/0!</v>
      </c>
      <c r="L96" s="1358" t="e">
        <f t="shared" si="4"/>
        <v>#DIV/0!</v>
      </c>
      <c r="M96" s="1358" t="e">
        <f t="shared" si="4"/>
        <v>#DIV/0!</v>
      </c>
      <c r="N96" s="1358" t="e">
        <f t="shared" si="4"/>
        <v>#DIV/0!</v>
      </c>
      <c r="O96" s="1358" t="e">
        <f t="shared" si="4"/>
        <v>#DIV/0!</v>
      </c>
      <c r="P96" s="1358" t="e">
        <f t="shared" si="4"/>
        <v>#DIV/0!</v>
      </c>
      <c r="Q96" s="1358" t="e">
        <f t="shared" si="4"/>
        <v>#DIV/0!</v>
      </c>
      <c r="R96" s="1358" t="e">
        <f t="shared" si="4"/>
        <v>#DIV/0!</v>
      </c>
      <c r="S96" s="1903" t="e">
        <f>S93-S91</f>
        <v>#DIV/0!</v>
      </c>
      <c r="T96" s="1901" t="e">
        <f>SUM(E96:S96)</f>
        <v>#DIV/0!</v>
      </c>
    </row>
    <row r="102" spans="4:22" ht="68.25" customHeight="1" x14ac:dyDescent="0.25">
      <c r="D102" s="21" t="s">
        <v>2049</v>
      </c>
      <c r="S102" s="1561" t="s">
        <v>2050</v>
      </c>
      <c r="T102" s="1353" t="s">
        <v>2051</v>
      </c>
      <c r="V102" s="21" t="s">
        <v>2052</v>
      </c>
    </row>
  </sheetData>
  <mergeCells count="44">
    <mergeCell ref="B76:B77"/>
    <mergeCell ref="B51:B52"/>
    <mergeCell ref="B60:B61"/>
    <mergeCell ref="B65:B66"/>
    <mergeCell ref="B68:B69"/>
    <mergeCell ref="B70:B71"/>
    <mergeCell ref="B72:B73"/>
    <mergeCell ref="B74:B75"/>
    <mergeCell ref="B63:B64"/>
    <mergeCell ref="B58:B59"/>
    <mergeCell ref="B91:B92"/>
    <mergeCell ref="B79:B80"/>
    <mergeCell ref="B81:B82"/>
    <mergeCell ref="B83:B84"/>
    <mergeCell ref="B85:B86"/>
    <mergeCell ref="B87:B88"/>
    <mergeCell ref="B89:B90"/>
    <mergeCell ref="B49:B50"/>
    <mergeCell ref="B31:B32"/>
    <mergeCell ref="B33:B34"/>
    <mergeCell ref="B35:B36"/>
    <mergeCell ref="B55:B56"/>
    <mergeCell ref="B53:B54"/>
    <mergeCell ref="B37:B38"/>
    <mergeCell ref="B39:B40"/>
    <mergeCell ref="B41:B42"/>
    <mergeCell ref="B43:B44"/>
    <mergeCell ref="B45:B46"/>
    <mergeCell ref="B47:B48"/>
    <mergeCell ref="B12:B13"/>
    <mergeCell ref="C2:D2"/>
    <mergeCell ref="E2:G2"/>
    <mergeCell ref="B4:S4"/>
    <mergeCell ref="B7:B8"/>
    <mergeCell ref="B10:B11"/>
    <mergeCell ref="H2:S2"/>
    <mergeCell ref="B25:B26"/>
    <mergeCell ref="B27:B28"/>
    <mergeCell ref="B29:B30"/>
    <mergeCell ref="B14:B15"/>
    <mergeCell ref="B16:B17"/>
    <mergeCell ref="B18:B19"/>
    <mergeCell ref="B21:B22"/>
    <mergeCell ref="B23:B24"/>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A0FE6"/>
  </sheetPr>
  <dimension ref="A1:N126"/>
  <sheetViews>
    <sheetView showGridLines="0" topLeftCell="A9" zoomScale="75" zoomScaleNormal="75" zoomScaleSheetLayoutView="70" workbookViewId="0">
      <selection activeCell="G27" sqref="G27"/>
    </sheetView>
  </sheetViews>
  <sheetFormatPr baseColWidth="10" defaultColWidth="11.5703125" defaultRowHeight="18" x14ac:dyDescent="0.25"/>
  <cols>
    <col min="1" max="1" width="4.140625" style="1385" customWidth="1"/>
    <col min="2" max="2" width="16.140625" style="1385" customWidth="1"/>
    <col min="3" max="3" width="47.140625" style="1385" customWidth="1"/>
    <col min="4" max="4" width="23.140625" style="1385" customWidth="1"/>
    <col min="5" max="5" width="21.28515625" style="1376" customWidth="1"/>
    <col min="6" max="6" width="32" style="1385" customWidth="1"/>
    <col min="7" max="7" width="23.140625" style="1385" customWidth="1"/>
    <col min="8" max="8" width="23.85546875" style="1375" customWidth="1"/>
    <col min="9" max="9" width="22.28515625" style="1385" customWidth="1"/>
    <col min="10" max="10" width="35.140625" style="1385" customWidth="1"/>
    <col min="11" max="11" width="18.85546875" style="1385" customWidth="1"/>
    <col min="12" max="12" width="41.42578125" style="1385" customWidth="1"/>
    <col min="13" max="16384" width="11.5703125" style="1385"/>
  </cols>
  <sheetData>
    <row r="1" spans="1:13" x14ac:dyDescent="0.25">
      <c r="A1" s="1365"/>
      <c r="B1" s="1365"/>
      <c r="C1" s="1365"/>
      <c r="D1" s="1365"/>
      <c r="E1" s="1363"/>
      <c r="F1" s="1365"/>
      <c r="G1" s="1365"/>
      <c r="H1" s="1364"/>
      <c r="I1" s="1365"/>
      <c r="J1" s="1365"/>
      <c r="K1" s="1365"/>
      <c r="L1" s="1365"/>
      <c r="M1" s="1365"/>
    </row>
    <row r="2" spans="1:13" x14ac:dyDescent="0.25">
      <c r="A2" s="1365"/>
      <c r="B2" s="1365"/>
      <c r="C2" s="1365"/>
      <c r="D2" s="1365"/>
      <c r="E2" s="1363"/>
      <c r="F2" s="1365"/>
      <c r="G2" s="1365"/>
      <c r="H2" s="1364"/>
      <c r="I2" s="1365"/>
      <c r="J2" s="1365"/>
      <c r="K2" s="1365"/>
      <c r="L2" s="1365"/>
      <c r="M2" s="1365"/>
    </row>
    <row r="3" spans="1:13" ht="18.75" thickBot="1" x14ac:dyDescent="0.3">
      <c r="A3" s="1365"/>
      <c r="B3" s="1365"/>
      <c r="C3" s="1365"/>
      <c r="D3" s="1365"/>
      <c r="E3" s="1363"/>
      <c r="F3" s="1365"/>
      <c r="G3" s="1365"/>
      <c r="H3" s="1364"/>
      <c r="I3" s="1365"/>
      <c r="J3" s="1365"/>
      <c r="K3" s="1365"/>
      <c r="L3" s="1365"/>
      <c r="M3" s="1365"/>
    </row>
    <row r="4" spans="1:13" x14ac:dyDescent="0.25">
      <c r="A4" s="1365"/>
      <c r="B4" s="4631" t="s">
        <v>2055</v>
      </c>
      <c r="C4" s="4632"/>
      <c r="D4" s="4632"/>
      <c r="E4" s="4632"/>
      <c r="F4" s="4632"/>
      <c r="G4" s="4632"/>
      <c r="H4" s="4632"/>
      <c r="I4" s="4632"/>
      <c r="J4" s="4632"/>
      <c r="K4" s="4632"/>
      <c r="L4" s="4633"/>
      <c r="M4" s="1365"/>
    </row>
    <row r="5" spans="1:13" x14ac:dyDescent="0.25">
      <c r="A5" s="1365"/>
      <c r="B5" s="1533"/>
      <c r="C5" s="1534"/>
      <c r="D5" s="1534"/>
      <c r="E5" s="1535"/>
      <c r="F5" s="1534"/>
      <c r="G5" s="1534"/>
      <c r="H5" s="1536"/>
      <c r="I5" s="1534"/>
      <c r="J5" s="1534"/>
      <c r="K5" s="1534"/>
      <c r="L5" s="1537"/>
      <c r="M5" s="1365"/>
    </row>
    <row r="6" spans="1:13" x14ac:dyDescent="0.25">
      <c r="A6" s="1365"/>
      <c r="B6" s="1538" t="s">
        <v>2056</v>
      </c>
      <c r="C6" s="1534"/>
      <c r="D6" s="1539" t="s">
        <v>5992</v>
      </c>
      <c r="E6" s="1535"/>
      <c r="F6" s="1534"/>
      <c r="G6" s="1534"/>
      <c r="H6" s="1536"/>
      <c r="I6" s="1534"/>
      <c r="J6" s="1534"/>
      <c r="K6" s="1534"/>
      <c r="L6" s="1537"/>
      <c r="M6" s="1365"/>
    </row>
    <row r="7" spans="1:13" x14ac:dyDescent="0.25">
      <c r="A7" s="1365"/>
      <c r="B7" s="1538" t="s">
        <v>2057</v>
      </c>
      <c r="C7" s="1534"/>
      <c r="D7" s="1539" t="s">
        <v>5993</v>
      </c>
      <c r="E7" s="1535"/>
      <c r="F7" s="1534"/>
      <c r="G7" s="1534"/>
      <c r="H7" s="1536"/>
      <c r="I7" s="1534"/>
      <c r="J7" s="1534"/>
      <c r="K7" s="1534"/>
      <c r="L7" s="1537"/>
      <c r="M7" s="1365"/>
    </row>
    <row r="8" spans="1:13" x14ac:dyDescent="0.25">
      <c r="A8" s="1365"/>
      <c r="B8" s="1538" t="s">
        <v>2059</v>
      </c>
      <c r="C8" s="1534"/>
      <c r="D8" s="1539" t="s">
        <v>5994</v>
      </c>
      <c r="E8" s="1535"/>
      <c r="F8" s="1534"/>
      <c r="G8" s="1534"/>
      <c r="H8" s="1536"/>
      <c r="I8" s="1534"/>
      <c r="J8" s="1534"/>
      <c r="K8" s="1534"/>
      <c r="L8" s="1537"/>
      <c r="M8" s="1365"/>
    </row>
    <row r="9" spans="1:13" ht="18.75" thickBot="1" x14ac:dyDescent="0.3">
      <c r="A9" s="1365"/>
      <c r="B9" s="1533"/>
      <c r="C9" s="1534"/>
      <c r="D9" s="1534"/>
      <c r="E9" s="1535"/>
      <c r="F9" s="1534"/>
      <c r="G9" s="1534"/>
      <c r="H9" s="1536"/>
      <c r="I9" s="1534"/>
      <c r="J9" s="1534"/>
      <c r="K9" s="1534"/>
      <c r="L9" s="1537"/>
      <c r="M9" s="1365"/>
    </row>
    <row r="10" spans="1:13" ht="112.5" customHeight="1" thickBot="1" x14ac:dyDescent="0.3">
      <c r="A10" s="1365"/>
      <c r="B10" s="1522" t="s">
        <v>2060</v>
      </c>
      <c r="C10" s="4634" t="s">
        <v>2061</v>
      </c>
      <c r="D10" s="4634"/>
      <c r="E10" s="1378" t="s">
        <v>2062</v>
      </c>
      <c r="F10" s="1523" t="s">
        <v>2063</v>
      </c>
      <c r="G10" s="1523" t="s">
        <v>2064</v>
      </c>
      <c r="H10" s="1523" t="s">
        <v>2065</v>
      </c>
      <c r="I10" s="4634" t="s">
        <v>2066</v>
      </c>
      <c r="J10" s="4634"/>
      <c r="K10" s="1523" t="s">
        <v>2067</v>
      </c>
      <c r="L10" s="1524" t="s">
        <v>2068</v>
      </c>
      <c r="M10" s="1365"/>
    </row>
    <row r="11" spans="1:13" ht="18.75" thickBot="1" x14ac:dyDescent="0.3">
      <c r="A11" s="1365"/>
      <c r="B11" s="4623" t="s">
        <v>1816</v>
      </c>
      <c r="C11" s="4623"/>
      <c r="D11" s="4623"/>
      <c r="E11" s="4623"/>
      <c r="F11" s="4623"/>
      <c r="G11" s="4623"/>
      <c r="H11" s="4623"/>
      <c r="I11" s="4623"/>
      <c r="J11" s="4623"/>
      <c r="K11" s="4623"/>
      <c r="L11" s="4623"/>
      <c r="M11" s="1365"/>
    </row>
    <row r="12" spans="1:13" s="1531" customFormat="1" ht="30.75" hidden="1" customHeight="1" thickBot="1" x14ac:dyDescent="0.3">
      <c r="B12" s="1520" t="s">
        <v>2069</v>
      </c>
      <c r="C12" s="4625" t="s">
        <v>1298</v>
      </c>
      <c r="D12" s="4625"/>
      <c r="E12" s="1526">
        <f>'20 Plan de PROD'!S10</f>
        <v>817.74413606257485</v>
      </c>
      <c r="F12" s="1526">
        <v>14400</v>
      </c>
      <c r="G12" s="1513">
        <f>E12/F12</f>
        <v>5.6787787226567701E-2</v>
      </c>
      <c r="H12" s="1520" t="s">
        <v>1576</v>
      </c>
      <c r="I12" s="4625" t="s">
        <v>2070</v>
      </c>
      <c r="J12" s="4635"/>
      <c r="K12" s="4609">
        <v>1</v>
      </c>
      <c r="L12" s="4609" t="s">
        <v>3681</v>
      </c>
    </row>
    <row r="13" spans="1:13" s="1531" customFormat="1" ht="40.5" hidden="1" customHeight="1" thickBot="1" x14ac:dyDescent="0.3">
      <c r="B13" s="1520" t="s">
        <v>2077</v>
      </c>
      <c r="C13" s="4625" t="s">
        <v>1303</v>
      </c>
      <c r="D13" s="4625"/>
      <c r="E13" s="1526">
        <f>'20 Plan de PROD'!S16</f>
        <v>455.02647151749488</v>
      </c>
      <c r="F13" s="1526">
        <v>14400</v>
      </c>
      <c r="G13" s="1513">
        <f>E13/F13</f>
        <v>3.1599060522048257E-2</v>
      </c>
      <c r="H13" s="1520" t="s">
        <v>2078</v>
      </c>
      <c r="I13" s="4625" t="s">
        <v>2079</v>
      </c>
      <c r="J13" s="4635"/>
      <c r="K13" s="4611"/>
      <c r="L13" s="4611"/>
    </row>
    <row r="14" spans="1:13" s="1531" customFormat="1" ht="36.75" hidden="1" thickBot="1" x14ac:dyDescent="0.3">
      <c r="B14" s="1520" t="s">
        <v>2071</v>
      </c>
      <c r="C14" s="4625" t="s">
        <v>1300</v>
      </c>
      <c r="D14" s="4625"/>
      <c r="E14" s="1526">
        <f>'20 Plan de PROD'!S12</f>
        <v>0</v>
      </c>
      <c r="F14" s="1526">
        <v>10800</v>
      </c>
      <c r="G14" s="1513">
        <f t="shared" ref="G14:G20" si="0">E14/F14</f>
        <v>0</v>
      </c>
      <c r="H14" s="1520" t="s">
        <v>2072</v>
      </c>
      <c r="I14" s="4625" t="s">
        <v>2073</v>
      </c>
      <c r="J14" s="4635"/>
      <c r="K14" s="1526">
        <v>1</v>
      </c>
      <c r="L14" s="1526" t="s">
        <v>3676</v>
      </c>
    </row>
    <row r="15" spans="1:13" s="1531" customFormat="1" ht="36.6" hidden="1" customHeight="1" thickBot="1" x14ac:dyDescent="0.3">
      <c r="B15" s="1520" t="s">
        <v>2075</v>
      </c>
      <c r="C15" s="4625" t="s">
        <v>1302</v>
      </c>
      <c r="D15" s="4625"/>
      <c r="E15" s="1526" t="e">
        <f>'20 Plan de PROD'!S14</f>
        <v>#DIV/0!</v>
      </c>
      <c r="F15" s="1526">
        <v>12000</v>
      </c>
      <c r="G15" s="1513" t="e">
        <f t="shared" si="0"/>
        <v>#DIV/0!</v>
      </c>
      <c r="H15" s="1520" t="s">
        <v>1675</v>
      </c>
      <c r="I15" s="4625" t="s">
        <v>2076</v>
      </c>
      <c r="J15" s="4636"/>
      <c r="K15" s="1572">
        <v>1</v>
      </c>
      <c r="L15" s="1572" t="s">
        <v>2074</v>
      </c>
    </row>
    <row r="16" spans="1:13" s="1531" customFormat="1" ht="36.75" hidden="1" customHeight="1" thickBot="1" x14ac:dyDescent="0.3">
      <c r="B16" s="1520" t="s">
        <v>2080</v>
      </c>
      <c r="C16" s="4625" t="s">
        <v>1305</v>
      </c>
      <c r="D16" s="4625"/>
      <c r="E16" s="1526" t="e">
        <f>'20 Plan de PROD'!S18</f>
        <v>#DIV/0!</v>
      </c>
      <c r="F16" s="1526">
        <v>7200</v>
      </c>
      <c r="G16" s="1513" t="e">
        <f t="shared" si="0"/>
        <v>#DIV/0!</v>
      </c>
      <c r="H16" s="1520" t="s">
        <v>2081</v>
      </c>
      <c r="I16" s="4637" t="s">
        <v>2082</v>
      </c>
      <c r="J16" s="4638"/>
      <c r="K16" s="1526">
        <v>1</v>
      </c>
      <c r="L16" s="1572" t="s">
        <v>2074</v>
      </c>
    </row>
    <row r="17" spans="1:12" s="1531" customFormat="1" ht="36.75" customHeight="1" thickBot="1" x14ac:dyDescent="0.3">
      <c r="B17" s="4624" t="s">
        <v>2083</v>
      </c>
      <c r="C17" s="4625" t="s">
        <v>2084</v>
      </c>
      <c r="D17" s="1516" t="s">
        <v>43</v>
      </c>
      <c r="E17" s="1526">
        <f>'20 Plan de PROD'!S21</f>
        <v>445.85493542813578</v>
      </c>
      <c r="F17" s="1526">
        <v>7200</v>
      </c>
      <c r="G17" s="1513">
        <f t="shared" si="0"/>
        <v>6.1924296587241079E-2</v>
      </c>
      <c r="H17" s="1520" t="s">
        <v>2085</v>
      </c>
      <c r="I17" s="4625" t="s">
        <v>2086</v>
      </c>
      <c r="J17" s="4625"/>
      <c r="K17" s="4609">
        <v>1</v>
      </c>
      <c r="L17" s="4609" t="s">
        <v>3681</v>
      </c>
    </row>
    <row r="18" spans="1:12" s="1531" customFormat="1" ht="36.75" hidden="1" customHeight="1" thickBot="1" x14ac:dyDescent="0.3">
      <c r="B18" s="4624"/>
      <c r="C18" s="4625"/>
      <c r="D18" s="1516" t="s">
        <v>1307</v>
      </c>
      <c r="E18" s="1526">
        <f>'20 Plan de PROD'!S25</f>
        <v>136.8713950600102</v>
      </c>
      <c r="F18" s="1526">
        <v>5400</v>
      </c>
      <c r="G18" s="1513">
        <f>E18/F18</f>
        <v>2.5346554640742629E-2</v>
      </c>
      <c r="H18" s="1520" t="s">
        <v>1641</v>
      </c>
      <c r="I18" s="4625" t="s">
        <v>46</v>
      </c>
      <c r="J18" s="4625"/>
      <c r="K18" s="4610"/>
      <c r="L18" s="4611"/>
    </row>
    <row r="19" spans="1:12" s="1531" customFormat="1" ht="39.75" customHeight="1" thickBot="1" x14ac:dyDescent="0.3">
      <c r="B19" s="4624"/>
      <c r="C19" s="4625"/>
      <c r="D19" s="1516" t="s">
        <v>414</v>
      </c>
      <c r="E19" s="1526">
        <f>'20 Plan de PROD'!S23</f>
        <v>1162.4034954485714</v>
      </c>
      <c r="F19" s="1526">
        <v>14400</v>
      </c>
      <c r="G19" s="1573">
        <f t="shared" si="0"/>
        <v>8.0722464961706347E-2</v>
      </c>
      <c r="H19" s="1520" t="s">
        <v>2087</v>
      </c>
      <c r="I19" s="4625" t="s">
        <v>2088</v>
      </c>
      <c r="J19" s="4625"/>
      <c r="K19" s="4611"/>
      <c r="L19" s="1572" t="s">
        <v>2074</v>
      </c>
    </row>
    <row r="20" spans="1:12" s="1531" customFormat="1" ht="36.75" thickBot="1" x14ac:dyDescent="0.3">
      <c r="B20" s="4624" t="s">
        <v>2089</v>
      </c>
      <c r="C20" s="4625" t="s">
        <v>1309</v>
      </c>
      <c r="D20" s="1516" t="s">
        <v>42</v>
      </c>
      <c r="E20" s="1526" t="e">
        <f>'20 Plan de PROD'!S27</f>
        <v>#DIV/0!</v>
      </c>
      <c r="F20" s="1526">
        <v>14400</v>
      </c>
      <c r="G20" s="1513" t="e">
        <f t="shared" si="0"/>
        <v>#DIV/0!</v>
      </c>
      <c r="H20" s="1520" t="s">
        <v>1724</v>
      </c>
      <c r="I20" s="4625" t="s">
        <v>2090</v>
      </c>
      <c r="J20" s="4625"/>
      <c r="K20" s="4609">
        <v>1</v>
      </c>
      <c r="L20" s="1526" t="s">
        <v>2074</v>
      </c>
    </row>
    <row r="21" spans="1:12" s="1531" customFormat="1" ht="39.75" customHeight="1" thickBot="1" x14ac:dyDescent="0.3">
      <c r="B21" s="4624"/>
      <c r="C21" s="4625"/>
      <c r="D21" s="1516" t="s">
        <v>1310</v>
      </c>
      <c r="E21" s="1526" t="e">
        <f>'20 Plan de PROD'!S29</f>
        <v>#REF!</v>
      </c>
      <c r="F21" s="1526">
        <v>5400</v>
      </c>
      <c r="G21" s="1513" t="e">
        <f t="shared" ref="G21:G27" si="1">E21/F21</f>
        <v>#REF!</v>
      </c>
      <c r="H21" s="1520" t="s">
        <v>1689</v>
      </c>
      <c r="I21" s="4625" t="s">
        <v>2091</v>
      </c>
      <c r="J21" s="4625"/>
      <c r="K21" s="4610"/>
      <c r="L21" s="4609" t="s">
        <v>3681</v>
      </c>
    </row>
    <row r="22" spans="1:12" s="1531" customFormat="1" ht="39.75" customHeight="1" thickBot="1" x14ac:dyDescent="0.3">
      <c r="B22" s="4624"/>
      <c r="C22" s="4625"/>
      <c r="D22" s="1516" t="s">
        <v>1227</v>
      </c>
      <c r="E22" s="1526">
        <f>'20 Plan de PROD'!S31</f>
        <v>286.509931989292</v>
      </c>
      <c r="F22" s="1526">
        <v>7200</v>
      </c>
      <c r="G22" s="1513">
        <f t="shared" si="1"/>
        <v>3.9793046109623892E-2</v>
      </c>
      <c r="H22" s="1520" t="s">
        <v>1687</v>
      </c>
      <c r="I22" s="4625" t="s">
        <v>2092</v>
      </c>
      <c r="J22" s="4625"/>
      <c r="K22" s="4610"/>
      <c r="L22" s="4610"/>
    </row>
    <row r="23" spans="1:12" s="1531" customFormat="1" ht="26.25" customHeight="1" thickBot="1" x14ac:dyDescent="0.3">
      <c r="B23" s="4624"/>
      <c r="C23" s="4625"/>
      <c r="D23" s="1516" t="s">
        <v>1314</v>
      </c>
      <c r="E23" s="1526">
        <f>'20 Plan de PROD'!S37</f>
        <v>768.35660885951245</v>
      </c>
      <c r="F23" s="1526">
        <v>10800</v>
      </c>
      <c r="G23" s="1513">
        <f>E23/F23</f>
        <v>7.1144130449954851E-2</v>
      </c>
      <c r="H23" s="1520" t="s">
        <v>1686</v>
      </c>
      <c r="I23" s="4625" t="s">
        <v>2095</v>
      </c>
      <c r="J23" s="4625"/>
      <c r="K23" s="4610"/>
      <c r="L23" s="4611"/>
    </row>
    <row r="24" spans="1:12" s="1531" customFormat="1" ht="26.25" customHeight="1" thickBot="1" x14ac:dyDescent="0.3">
      <c r="B24" s="4624"/>
      <c r="C24" s="4625"/>
      <c r="D24" s="1516" t="s">
        <v>1311</v>
      </c>
      <c r="E24" s="1526">
        <f>'20 Plan de PROD'!S33</f>
        <v>154.02419401337403</v>
      </c>
      <c r="F24" s="1526">
        <v>7200</v>
      </c>
      <c r="G24" s="1513">
        <f t="shared" si="1"/>
        <v>2.1392249168524169E-2</v>
      </c>
      <c r="H24" s="1520" t="s">
        <v>1688</v>
      </c>
      <c r="I24" s="4625" t="s">
        <v>2093</v>
      </c>
      <c r="J24" s="4625"/>
      <c r="K24" s="4610"/>
      <c r="L24" s="4609" t="s">
        <v>3681</v>
      </c>
    </row>
    <row r="25" spans="1:12" s="1531" customFormat="1" ht="41.45" customHeight="1" thickBot="1" x14ac:dyDescent="0.3">
      <c r="B25" s="4624"/>
      <c r="C25" s="4625"/>
      <c r="D25" s="1516" t="s">
        <v>1313</v>
      </c>
      <c r="E25" s="1526">
        <f>'20 Plan de PROD'!S35</f>
        <v>0</v>
      </c>
      <c r="F25" s="1526">
        <v>10800</v>
      </c>
      <c r="G25" s="1513">
        <f t="shared" si="1"/>
        <v>0</v>
      </c>
      <c r="H25" s="1520" t="s">
        <v>1997</v>
      </c>
      <c r="I25" s="4625" t="s">
        <v>2094</v>
      </c>
      <c r="J25" s="4625"/>
      <c r="K25" s="4611"/>
      <c r="L25" s="4611"/>
    </row>
    <row r="26" spans="1:12" s="1531" customFormat="1" ht="36.75" thickBot="1" x14ac:dyDescent="0.3">
      <c r="B26" s="4624" t="s">
        <v>2096</v>
      </c>
      <c r="C26" s="4639" t="s">
        <v>2097</v>
      </c>
      <c r="D26" s="1516" t="s">
        <v>329</v>
      </c>
      <c r="E26" s="1526">
        <f>'20 Plan de PROD'!S39</f>
        <v>344.12661400991732</v>
      </c>
      <c r="F26" s="1526">
        <v>8640</v>
      </c>
      <c r="G26" s="1513">
        <f t="shared" si="1"/>
        <v>3.9829469214110798E-2</v>
      </c>
      <c r="H26" s="1520" t="s">
        <v>2098</v>
      </c>
      <c r="I26" s="4625" t="s">
        <v>2099</v>
      </c>
      <c r="J26" s="4640"/>
      <c r="K26" s="4609">
        <v>1</v>
      </c>
      <c r="L26" s="1526" t="s">
        <v>2074</v>
      </c>
    </row>
    <row r="27" spans="1:12" s="1531" customFormat="1" ht="39" customHeight="1" thickBot="1" x14ac:dyDescent="0.3">
      <c r="B27" s="4624"/>
      <c r="C27" s="4639"/>
      <c r="D27" s="1516" t="s">
        <v>1316</v>
      </c>
      <c r="E27" s="1526">
        <f>'20 Plan de PROD'!S41</f>
        <v>980.08032445578692</v>
      </c>
      <c r="F27" s="1526">
        <v>10800</v>
      </c>
      <c r="G27" s="1513">
        <f>E27/F27</f>
        <v>9.0748178190350637E-2</v>
      </c>
      <c r="H27" s="1520" t="s">
        <v>2100</v>
      </c>
      <c r="I27" s="4625" t="s">
        <v>2101</v>
      </c>
      <c r="J27" s="4640"/>
      <c r="K27" s="4611"/>
      <c r="L27" s="1526" t="s">
        <v>2074</v>
      </c>
    </row>
    <row r="28" spans="1:12" s="1531" customFormat="1" ht="32.25" hidden="1" customHeight="1" thickBot="1" x14ac:dyDescent="0.3">
      <c r="A28" s="1532"/>
      <c r="B28" s="4624"/>
      <c r="C28" s="4639"/>
      <c r="D28" s="1516" t="s">
        <v>1234</v>
      </c>
      <c r="E28" s="1526">
        <f>'20 Plan de PROD'!S43</f>
        <v>229.41774267327821</v>
      </c>
      <c r="F28" s="1526" t="s">
        <v>2102</v>
      </c>
      <c r="G28" s="1513">
        <v>1</v>
      </c>
      <c r="H28" s="1520" t="s">
        <v>2103</v>
      </c>
      <c r="I28" s="4625" t="s">
        <v>2104</v>
      </c>
      <c r="J28" s="4625"/>
      <c r="K28" s="1526">
        <v>0</v>
      </c>
      <c r="L28" s="1526" t="s">
        <v>3677</v>
      </c>
    </row>
    <row r="29" spans="1:12" s="1531" customFormat="1" ht="54.75" hidden="1" customHeight="1" thickBot="1" x14ac:dyDescent="0.3">
      <c r="A29" s="1532"/>
      <c r="B29" s="1520" t="s">
        <v>2105</v>
      </c>
      <c r="C29" s="4625" t="s">
        <v>2106</v>
      </c>
      <c r="D29" s="4625"/>
      <c r="E29" s="1526">
        <f>'20 Plan de PROD'!S47</f>
        <v>134.49058271453052</v>
      </c>
      <c r="F29" s="1526">
        <v>7200</v>
      </c>
      <c r="G29" s="1513">
        <f>E29/F29</f>
        <v>1.8679247599240351E-2</v>
      </c>
      <c r="H29" s="1520" t="s">
        <v>2107</v>
      </c>
      <c r="I29" s="4625" t="s">
        <v>2108</v>
      </c>
      <c r="J29" s="4625"/>
      <c r="K29" s="1526">
        <v>1</v>
      </c>
      <c r="L29" s="1526" t="s">
        <v>2074</v>
      </c>
    </row>
    <row r="30" spans="1:12" s="1531" customFormat="1" ht="36.75" hidden="1" thickBot="1" x14ac:dyDescent="0.3">
      <c r="A30" s="1532"/>
      <c r="B30" s="1520" t="s">
        <v>2109</v>
      </c>
      <c r="C30" s="4625" t="s">
        <v>1320</v>
      </c>
      <c r="D30" s="4625"/>
      <c r="E30" s="1526">
        <f>'20 Plan de PROD'!S45</f>
        <v>526.14070004226562</v>
      </c>
      <c r="F30" s="1526">
        <v>10800</v>
      </c>
      <c r="G30" s="1513">
        <f>E30/F30</f>
        <v>4.8716731485394967E-2</v>
      </c>
      <c r="H30" s="1520" t="s">
        <v>2110</v>
      </c>
      <c r="I30" s="4625" t="s">
        <v>2111</v>
      </c>
      <c r="J30" s="4625"/>
      <c r="K30" s="1526">
        <v>1</v>
      </c>
      <c r="L30" s="1526" t="s">
        <v>2074</v>
      </c>
    </row>
    <row r="31" spans="1:12" s="1531" customFormat="1" ht="36.75" hidden="1" thickBot="1" x14ac:dyDescent="0.3">
      <c r="B31" s="1520" t="s">
        <v>2112</v>
      </c>
      <c r="C31" s="4625" t="s">
        <v>2113</v>
      </c>
      <c r="D31" s="4625"/>
      <c r="E31" s="1526" t="e">
        <f>'20 Plan de PROD'!S51</f>
        <v>#DIV/0!</v>
      </c>
      <c r="F31" s="1526">
        <v>10800</v>
      </c>
      <c r="G31" s="1513" t="e">
        <f>E31/F31</f>
        <v>#DIV/0!</v>
      </c>
      <c r="H31" s="1520" t="s">
        <v>1759</v>
      </c>
      <c r="I31" s="4625" t="s">
        <v>2114</v>
      </c>
      <c r="J31" s="4625"/>
      <c r="K31" s="1526">
        <v>1</v>
      </c>
      <c r="L31" s="1516" t="s">
        <v>2074</v>
      </c>
    </row>
    <row r="32" spans="1:12" s="1531" customFormat="1" ht="37.5" hidden="1" customHeight="1" thickBot="1" x14ac:dyDescent="0.3">
      <c r="B32" s="1520" t="s">
        <v>2115</v>
      </c>
      <c r="C32" s="4625" t="s">
        <v>2116</v>
      </c>
      <c r="D32" s="4625"/>
      <c r="E32" s="1526" t="e">
        <f>'20 Plan de PROD'!S53</f>
        <v>#DIV/0!</v>
      </c>
      <c r="F32" s="1526">
        <v>8640</v>
      </c>
      <c r="G32" s="1513" t="e">
        <f>E32/F32</f>
        <v>#DIV/0!</v>
      </c>
      <c r="H32" s="1520" t="s">
        <v>1796</v>
      </c>
      <c r="I32" s="4625" t="s">
        <v>2117</v>
      </c>
      <c r="J32" s="4625"/>
      <c r="K32" s="1526">
        <v>1</v>
      </c>
      <c r="L32" s="1516"/>
    </row>
    <row r="33" spans="1:13" s="1531" customFormat="1" ht="36.75" hidden="1" thickBot="1" x14ac:dyDescent="0.3">
      <c r="B33" s="1520" t="s">
        <v>2118</v>
      </c>
      <c r="C33" s="4625" t="s">
        <v>1323</v>
      </c>
      <c r="D33" s="4625"/>
      <c r="E33" s="1526">
        <f>'20 Plan de PROD'!S49</f>
        <v>76.472580891092733</v>
      </c>
      <c r="F33" s="1526">
        <v>7200</v>
      </c>
      <c r="G33" s="1513">
        <f>E33/F33</f>
        <v>1.0621191790429547E-2</v>
      </c>
      <c r="H33" s="1520" t="s">
        <v>2119</v>
      </c>
      <c r="I33" s="4625" t="s">
        <v>2120</v>
      </c>
      <c r="J33" s="4625"/>
      <c r="K33" s="1526">
        <v>1</v>
      </c>
      <c r="L33" s="1516" t="s">
        <v>2074</v>
      </c>
    </row>
    <row r="34" spans="1:13" ht="18.75" hidden="1" thickBot="1" x14ac:dyDescent="0.3">
      <c r="A34" s="1365"/>
      <c r="B34" s="4623" t="s">
        <v>1837</v>
      </c>
      <c r="C34" s="4623"/>
      <c r="D34" s="4623"/>
      <c r="E34" s="4623"/>
      <c r="F34" s="4623"/>
      <c r="G34" s="4623"/>
      <c r="H34" s="4623"/>
      <c r="I34" s="4623"/>
      <c r="J34" s="4623"/>
      <c r="K34" s="4623"/>
      <c r="L34" s="4623"/>
      <c r="M34" s="1365"/>
    </row>
    <row r="35" spans="1:13" ht="18.75" hidden="1" thickBot="1" x14ac:dyDescent="0.3">
      <c r="A35" s="1365"/>
      <c r="B35" s="4644" t="s">
        <v>2128</v>
      </c>
      <c r="C35" s="4641" t="s">
        <v>2129</v>
      </c>
      <c r="D35" s="4641"/>
      <c r="E35" s="4622" t="e">
        <f>'20 Plan de PROD'!S79</f>
        <v>#DIV/0!</v>
      </c>
      <c r="F35" s="4627">
        <v>43200</v>
      </c>
      <c r="G35" s="4628" t="e">
        <f>+E35/F35</f>
        <v>#DIV/0!</v>
      </c>
      <c r="H35" s="4648" t="s">
        <v>2130</v>
      </c>
      <c r="I35" s="4629" t="s">
        <v>2131</v>
      </c>
      <c r="J35" s="4629"/>
      <c r="K35" s="1521">
        <v>1</v>
      </c>
      <c r="L35" s="1521"/>
      <c r="M35" s="1365"/>
    </row>
    <row r="36" spans="1:13" ht="18.75" hidden="1" thickBot="1" x14ac:dyDescent="0.3">
      <c r="A36" s="1365"/>
      <c r="B36" s="4644"/>
      <c r="C36" s="4641"/>
      <c r="D36" s="4641"/>
      <c r="E36" s="4622"/>
      <c r="F36" s="4627"/>
      <c r="G36" s="4628"/>
      <c r="H36" s="4648"/>
      <c r="I36" s="4629" t="s">
        <v>2132</v>
      </c>
      <c r="J36" s="4629"/>
      <c r="K36" s="4616">
        <v>1</v>
      </c>
      <c r="L36" s="4612" t="s">
        <v>3681</v>
      </c>
      <c r="M36" s="1365"/>
    </row>
    <row r="37" spans="1:13" ht="18.75" hidden="1" thickBot="1" x14ac:dyDescent="0.3">
      <c r="A37" s="1365"/>
      <c r="B37" s="4644"/>
      <c r="C37" s="4641"/>
      <c r="D37" s="4641"/>
      <c r="E37" s="4622"/>
      <c r="F37" s="4627"/>
      <c r="G37" s="4628"/>
      <c r="H37" s="4648"/>
      <c r="I37" s="4629" t="s">
        <v>2133</v>
      </c>
      <c r="J37" s="4629"/>
      <c r="K37" s="4617"/>
      <c r="L37" s="4613"/>
      <c r="M37" s="1365"/>
    </row>
    <row r="38" spans="1:13" ht="18.75" hidden="1" thickBot="1" x14ac:dyDescent="0.3">
      <c r="A38" s="1365"/>
      <c r="B38" s="4644"/>
      <c r="C38" s="4641"/>
      <c r="D38" s="4641"/>
      <c r="E38" s="4622"/>
      <c r="F38" s="4627"/>
      <c r="G38" s="4628"/>
      <c r="H38" s="4648"/>
      <c r="I38" s="4629" t="s">
        <v>2134</v>
      </c>
      <c r="J38" s="4629"/>
      <c r="K38" s="1521">
        <v>1</v>
      </c>
      <c r="L38" s="1521"/>
      <c r="M38" s="1365"/>
    </row>
    <row r="39" spans="1:13" ht="18.75" thickBot="1" x14ac:dyDescent="0.3">
      <c r="A39" s="1365"/>
      <c r="B39" s="4623" t="s">
        <v>1843</v>
      </c>
      <c r="C39" s="4623"/>
      <c r="D39" s="4623"/>
      <c r="E39" s="4623"/>
      <c r="F39" s="4623"/>
      <c r="G39" s="4623"/>
      <c r="H39" s="4623"/>
      <c r="I39" s="4623"/>
      <c r="J39" s="4623"/>
      <c r="K39" s="4623"/>
      <c r="L39" s="4623"/>
      <c r="M39" s="1365"/>
    </row>
    <row r="40" spans="1:13" ht="18.75" thickBot="1" x14ac:dyDescent="0.3">
      <c r="A40" s="1365"/>
      <c r="B40" s="4644" t="s">
        <v>2135</v>
      </c>
      <c r="C40" s="4645" t="s">
        <v>2136</v>
      </c>
      <c r="D40" s="4625" t="s">
        <v>2137</v>
      </c>
      <c r="E40" s="4646" t="e">
        <f>'20 Plan de PROD'!S91</f>
        <v>#DIV/0!</v>
      </c>
      <c r="F40" s="4647" t="s">
        <v>2102</v>
      </c>
      <c r="G40" s="4651">
        <v>1</v>
      </c>
      <c r="H40" s="4649" t="s">
        <v>2138</v>
      </c>
      <c r="I40" s="4650" t="s">
        <v>2139</v>
      </c>
      <c r="J40" s="4650"/>
      <c r="K40" s="1521">
        <v>1</v>
      </c>
      <c r="L40" s="1521"/>
      <c r="M40" s="1365"/>
    </row>
    <row r="41" spans="1:13" ht="18.75" hidden="1" thickBot="1" x14ac:dyDescent="0.3">
      <c r="A41" s="1365"/>
      <c r="B41" s="4644"/>
      <c r="C41" s="4645"/>
      <c r="D41" s="4625"/>
      <c r="E41" s="4646"/>
      <c r="F41" s="4647"/>
      <c r="G41" s="4651"/>
      <c r="H41" s="4649"/>
      <c r="I41" s="4650" t="s">
        <v>2140</v>
      </c>
      <c r="J41" s="4650"/>
      <c r="K41" s="1377">
        <v>1</v>
      </c>
      <c r="L41" s="1521"/>
      <c r="M41" s="1365"/>
    </row>
    <row r="42" spans="1:13" ht="18.75" hidden="1" thickBot="1" x14ac:dyDescent="0.3">
      <c r="A42" s="1365"/>
      <c r="B42" s="4644"/>
      <c r="C42" s="4645"/>
      <c r="D42" s="4625"/>
      <c r="E42" s="4646"/>
      <c r="F42" s="4647"/>
      <c r="G42" s="4651"/>
      <c r="H42" s="4652" t="s">
        <v>2141</v>
      </c>
      <c r="I42" s="4650" t="s">
        <v>2142</v>
      </c>
      <c r="J42" s="4650"/>
      <c r="K42" s="4614">
        <v>1</v>
      </c>
      <c r="L42" s="4616" t="s">
        <v>3681</v>
      </c>
      <c r="M42" s="1365"/>
    </row>
    <row r="43" spans="1:13" ht="18.75" hidden="1" thickBot="1" x14ac:dyDescent="0.3">
      <c r="A43" s="1365"/>
      <c r="B43" s="4644"/>
      <c r="C43" s="4645"/>
      <c r="D43" s="4625"/>
      <c r="E43" s="4646"/>
      <c r="F43" s="4647"/>
      <c r="G43" s="4651"/>
      <c r="H43" s="4653"/>
      <c r="I43" s="4650" t="s">
        <v>2143</v>
      </c>
      <c r="J43" s="4650"/>
      <c r="K43" s="4615"/>
      <c r="L43" s="4617"/>
      <c r="M43" s="1365"/>
    </row>
    <row r="44" spans="1:13" ht="18.75" hidden="1" thickBot="1" x14ac:dyDescent="0.3">
      <c r="A44" s="1365"/>
      <c r="B44" s="4644"/>
      <c r="C44" s="4645"/>
      <c r="D44" s="4625" t="s">
        <v>2144</v>
      </c>
      <c r="E44" s="4646"/>
      <c r="F44" s="4647"/>
      <c r="G44" s="4651"/>
      <c r="H44" s="4649" t="s">
        <v>2145</v>
      </c>
      <c r="I44" s="4650" t="s">
        <v>2146</v>
      </c>
      <c r="J44" s="4650"/>
      <c r="K44" s="4616">
        <v>1</v>
      </c>
      <c r="L44" s="4616" t="s">
        <v>3681</v>
      </c>
      <c r="M44" s="1365"/>
    </row>
    <row r="45" spans="1:13" ht="18.75" hidden="1" thickBot="1" x14ac:dyDescent="0.3">
      <c r="A45" s="1365"/>
      <c r="B45" s="4644"/>
      <c r="C45" s="4645"/>
      <c r="D45" s="4625"/>
      <c r="E45" s="4646"/>
      <c r="F45" s="4647"/>
      <c r="G45" s="4651"/>
      <c r="H45" s="4649"/>
      <c r="I45" s="4650" t="s">
        <v>2147</v>
      </c>
      <c r="J45" s="4650"/>
      <c r="K45" s="4617"/>
      <c r="L45" s="4617"/>
      <c r="M45" s="1365"/>
    </row>
    <row r="46" spans="1:13" ht="18.75" hidden="1" thickBot="1" x14ac:dyDescent="0.3">
      <c r="A46" s="1365"/>
      <c r="B46" s="4644"/>
      <c r="C46" s="4645"/>
      <c r="D46" s="4625"/>
      <c r="E46" s="4646"/>
      <c r="F46" s="4647"/>
      <c r="G46" s="4651"/>
      <c r="H46" s="4649" t="s">
        <v>2148</v>
      </c>
      <c r="I46" s="4650" t="s">
        <v>2149</v>
      </c>
      <c r="J46" s="4650"/>
      <c r="K46" s="4622">
        <v>1</v>
      </c>
      <c r="L46" s="4622" t="s">
        <v>3681</v>
      </c>
      <c r="M46" s="1365"/>
    </row>
    <row r="47" spans="1:13" ht="56.25" hidden="1" customHeight="1" thickBot="1" x14ac:dyDescent="0.3">
      <c r="A47" s="1365"/>
      <c r="B47" s="4644"/>
      <c r="C47" s="4645"/>
      <c r="D47" s="1525" t="s">
        <v>2150</v>
      </c>
      <c r="E47" s="4646"/>
      <c r="F47" s="4647"/>
      <c r="G47" s="4651"/>
      <c r="H47" s="4649"/>
      <c r="I47" s="4650" t="s">
        <v>2151</v>
      </c>
      <c r="J47" s="4650"/>
      <c r="K47" s="4622"/>
      <c r="L47" s="4622"/>
      <c r="M47" s="1365"/>
    </row>
    <row r="48" spans="1:13" ht="18.75" thickBot="1" x14ac:dyDescent="0.3">
      <c r="A48" s="1365"/>
      <c r="B48" s="4623" t="s">
        <v>2671</v>
      </c>
      <c r="C48" s="4623"/>
      <c r="D48" s="4623"/>
      <c r="E48" s="4623"/>
      <c r="F48" s="4623"/>
      <c r="G48" s="4623"/>
      <c r="H48" s="4623"/>
      <c r="I48" s="4623"/>
      <c r="J48" s="4623"/>
      <c r="K48" s="4623"/>
      <c r="L48" s="4623"/>
      <c r="M48" s="1365"/>
    </row>
    <row r="49" spans="1:13" ht="18.75" thickBot="1" x14ac:dyDescent="0.3">
      <c r="A49" s="1365"/>
      <c r="B49" s="1515" t="s">
        <v>2121</v>
      </c>
      <c r="C49" s="4641" t="s">
        <v>2122</v>
      </c>
      <c r="D49" s="4641"/>
      <c r="E49" s="4642" t="e">
        <f>'20 Plan de PROD'!S55</f>
        <v>#REF!</v>
      </c>
      <c r="F49" s="4622" t="s">
        <v>2102</v>
      </c>
      <c r="G49" s="4643">
        <v>1</v>
      </c>
      <c r="H49" s="4644" t="s">
        <v>1631</v>
      </c>
      <c r="I49" s="4625" t="s">
        <v>2670</v>
      </c>
      <c r="J49" s="4625"/>
      <c r="K49" s="4622">
        <v>1</v>
      </c>
      <c r="L49" s="4622" t="s">
        <v>3681</v>
      </c>
      <c r="M49" s="1365"/>
    </row>
    <row r="50" spans="1:13" ht="18.75" thickBot="1" x14ac:dyDescent="0.3">
      <c r="A50" s="1365"/>
      <c r="B50" s="1515" t="s">
        <v>2123</v>
      </c>
      <c r="C50" s="4641" t="s">
        <v>2124</v>
      </c>
      <c r="D50" s="4641"/>
      <c r="E50" s="4642"/>
      <c r="F50" s="4622"/>
      <c r="G50" s="4643"/>
      <c r="H50" s="4644"/>
      <c r="I50" s="4625"/>
      <c r="J50" s="4625"/>
      <c r="K50" s="4622"/>
      <c r="L50" s="4622"/>
      <c r="M50" s="1365"/>
    </row>
    <row r="51" spans="1:13" ht="18.75" thickBot="1" x14ac:dyDescent="0.3">
      <c r="A51" s="1365"/>
      <c r="B51" s="1515" t="s">
        <v>2125</v>
      </c>
      <c r="C51" s="4641" t="s">
        <v>1333</v>
      </c>
      <c r="D51" s="4641"/>
      <c r="E51" s="4642"/>
      <c r="F51" s="4622"/>
      <c r="G51" s="4643"/>
      <c r="H51" s="4644"/>
      <c r="I51" s="4625"/>
      <c r="J51" s="4625"/>
      <c r="K51" s="4622"/>
      <c r="L51" s="4622"/>
      <c r="M51" s="1365"/>
    </row>
    <row r="52" spans="1:13" ht="18.75" thickBot="1" x14ac:dyDescent="0.3">
      <c r="A52" s="1365"/>
      <c r="B52" s="1515" t="s">
        <v>2126</v>
      </c>
      <c r="C52" s="4641" t="s">
        <v>2127</v>
      </c>
      <c r="D52" s="4641"/>
      <c r="E52" s="4642"/>
      <c r="F52" s="4622"/>
      <c r="G52" s="4643"/>
      <c r="H52" s="4644"/>
      <c r="I52" s="4625"/>
      <c r="J52" s="4625"/>
      <c r="K52" s="4622"/>
      <c r="L52" s="4622"/>
      <c r="M52" s="1365"/>
    </row>
    <row r="53" spans="1:13" ht="18.75" thickBot="1" x14ac:dyDescent="0.3">
      <c r="A53" s="1365"/>
      <c r="B53" s="4623" t="s">
        <v>2672</v>
      </c>
      <c r="C53" s="4623"/>
      <c r="D53" s="4623"/>
      <c r="E53" s="4623"/>
      <c r="F53" s="4623"/>
      <c r="G53" s="4623"/>
      <c r="H53" s="4623"/>
      <c r="I53" s="4623"/>
      <c r="J53" s="4623"/>
      <c r="K53" s="4623"/>
      <c r="L53" s="4623"/>
      <c r="M53" s="1365"/>
    </row>
    <row r="54" spans="1:13" s="1530" customFormat="1" ht="18.75" thickBot="1" x14ac:dyDescent="0.3">
      <c r="B54" s="4624" t="s">
        <v>2152</v>
      </c>
      <c r="C54" s="4625" t="s">
        <v>2153</v>
      </c>
      <c r="D54" s="4625"/>
      <c r="E54" s="4626" t="e">
        <f>'20 Plan de PROD'!S58</f>
        <v>#DIV/0!</v>
      </c>
      <c r="F54" s="4627">
        <v>17520</v>
      </c>
      <c r="G54" s="4628" t="e">
        <f>+E54/F54</f>
        <v>#DIV/0!</v>
      </c>
      <c r="H54" s="4624" t="s">
        <v>2154</v>
      </c>
      <c r="I54" s="4629" t="s">
        <v>2155</v>
      </c>
      <c r="J54" s="4629"/>
      <c r="K54" s="1518">
        <v>1</v>
      </c>
      <c r="L54" s="1518"/>
    </row>
    <row r="55" spans="1:13" s="1530" customFormat="1" ht="18.75" hidden="1" thickBot="1" x14ac:dyDescent="0.3">
      <c r="B55" s="4624"/>
      <c r="C55" s="4625"/>
      <c r="D55" s="4625"/>
      <c r="E55" s="4626"/>
      <c r="F55" s="4627"/>
      <c r="G55" s="4628"/>
      <c r="H55" s="4624"/>
      <c r="I55" s="4630" t="s">
        <v>2156</v>
      </c>
      <c r="J55" s="4630"/>
      <c r="K55" s="1518">
        <v>1</v>
      </c>
      <c r="L55" s="1518"/>
    </row>
    <row r="56" spans="1:13" s="1530" customFormat="1" ht="37.5" hidden="1" customHeight="1" thickBot="1" x14ac:dyDescent="0.3">
      <c r="B56" s="1520" t="s">
        <v>2157</v>
      </c>
      <c r="C56" s="4625" t="s">
        <v>1340</v>
      </c>
      <c r="D56" s="4625"/>
      <c r="E56" s="1527" t="e">
        <f>'20 Plan de PROD'!S60</f>
        <v>#DIV/0!</v>
      </c>
      <c r="F56" s="1526">
        <v>292</v>
      </c>
      <c r="G56" s="1513" t="e">
        <f>+E56/F56</f>
        <v>#DIV/0!</v>
      </c>
      <c r="H56" s="1520" t="s">
        <v>2158</v>
      </c>
      <c r="I56" s="4629" t="s">
        <v>2159</v>
      </c>
      <c r="J56" s="4629"/>
      <c r="K56" s="1518">
        <v>1</v>
      </c>
      <c r="L56" s="1518" t="s">
        <v>3187</v>
      </c>
    </row>
    <row r="57" spans="1:13" ht="18.75" hidden="1" thickBot="1" x14ac:dyDescent="0.3">
      <c r="A57" s="1365"/>
      <c r="B57" s="4623" t="s">
        <v>2673</v>
      </c>
      <c r="C57" s="4623"/>
      <c r="D57" s="4623"/>
      <c r="E57" s="4623"/>
      <c r="F57" s="4623"/>
      <c r="G57" s="4623"/>
      <c r="H57" s="4623"/>
      <c r="I57" s="4623"/>
      <c r="J57" s="4623"/>
      <c r="K57" s="4623"/>
      <c r="L57" s="4623"/>
      <c r="M57" s="1365"/>
    </row>
    <row r="58" spans="1:13" ht="18.75" hidden="1" thickBot="1" x14ac:dyDescent="0.3">
      <c r="A58" s="1365"/>
      <c r="B58" s="4644" t="s">
        <v>2161</v>
      </c>
      <c r="C58" s="4625" t="s">
        <v>2162</v>
      </c>
      <c r="D58" s="4625"/>
      <c r="E58" s="4626">
        <f>'20 Plan de PROD'!S63</f>
        <v>44.201151755051598</v>
      </c>
      <c r="F58" s="4646">
        <v>973</v>
      </c>
      <c r="G58" s="4628">
        <f>+E58/F58</f>
        <v>4.5427699645479547E-2</v>
      </c>
      <c r="H58" s="4624" t="s">
        <v>2163</v>
      </c>
      <c r="I58" s="4629" t="s">
        <v>2164</v>
      </c>
      <c r="J58" s="4629"/>
      <c r="K58" s="1521">
        <v>1</v>
      </c>
      <c r="L58" s="1521" t="s">
        <v>2160</v>
      </c>
      <c r="M58" s="1365"/>
    </row>
    <row r="59" spans="1:13" ht="18.75" hidden="1" thickBot="1" x14ac:dyDescent="0.3">
      <c r="A59" s="1365"/>
      <c r="B59" s="4644"/>
      <c r="C59" s="4625"/>
      <c r="D59" s="4625"/>
      <c r="E59" s="4626"/>
      <c r="F59" s="4646"/>
      <c r="G59" s="4628"/>
      <c r="H59" s="4624"/>
      <c r="I59" s="4629" t="s">
        <v>2165</v>
      </c>
      <c r="J59" s="4629"/>
      <c r="K59" s="1521">
        <v>1</v>
      </c>
      <c r="L59" s="1521" t="s">
        <v>2166</v>
      </c>
      <c r="M59" s="1365"/>
    </row>
    <row r="60" spans="1:13" ht="36.75" hidden="1" thickBot="1" x14ac:dyDescent="0.3">
      <c r="A60" s="1365"/>
      <c r="B60" s="4644"/>
      <c r="C60" s="4625"/>
      <c r="D60" s="4625"/>
      <c r="E60" s="4626"/>
      <c r="F60" s="4646"/>
      <c r="G60" s="4628"/>
      <c r="H60" s="4624"/>
      <c r="I60" s="4629" t="s">
        <v>2167</v>
      </c>
      <c r="J60" s="4629"/>
      <c r="K60" s="1521">
        <v>1</v>
      </c>
      <c r="L60" s="1521" t="s">
        <v>3678</v>
      </c>
      <c r="M60" s="1365"/>
    </row>
    <row r="61" spans="1:13" ht="18.75" hidden="1" thickBot="1" x14ac:dyDescent="0.3">
      <c r="A61" s="1365"/>
      <c r="B61" s="4644"/>
      <c r="C61" s="4625"/>
      <c r="D61" s="4625"/>
      <c r="E61" s="4626"/>
      <c r="F61" s="4646"/>
      <c r="G61" s="4628"/>
      <c r="H61" s="4624"/>
      <c r="I61" s="4629" t="s">
        <v>2168</v>
      </c>
      <c r="J61" s="4629"/>
      <c r="K61" s="1377">
        <v>1</v>
      </c>
      <c r="L61" s="1377" t="s">
        <v>2169</v>
      </c>
      <c r="M61" s="1365"/>
    </row>
    <row r="62" spans="1:13" ht="39" hidden="1" customHeight="1" thickBot="1" x14ac:dyDescent="0.3">
      <c r="A62" s="1365"/>
      <c r="B62" s="4644" t="s">
        <v>2170</v>
      </c>
      <c r="C62" s="4639" t="s">
        <v>2171</v>
      </c>
      <c r="D62" s="4639"/>
      <c r="E62" s="4626">
        <f>'20 Plan de PROD'!S65</f>
        <v>44.201151755051598</v>
      </c>
      <c r="F62" s="4627" t="s">
        <v>2102</v>
      </c>
      <c r="G62" s="4628">
        <v>1</v>
      </c>
      <c r="H62" s="4624"/>
      <c r="I62" s="4629" t="s">
        <v>2676</v>
      </c>
      <c r="J62" s="4629"/>
      <c r="K62" s="4616">
        <v>1</v>
      </c>
      <c r="L62" s="4616" t="s">
        <v>3679</v>
      </c>
      <c r="M62" s="1365"/>
    </row>
    <row r="63" spans="1:13" ht="39" hidden="1" customHeight="1" thickBot="1" x14ac:dyDescent="0.3">
      <c r="A63" s="1365"/>
      <c r="B63" s="4644"/>
      <c r="C63" s="4639"/>
      <c r="D63" s="4639"/>
      <c r="E63" s="4626"/>
      <c r="F63" s="4627"/>
      <c r="G63" s="4628"/>
      <c r="H63" s="4624"/>
      <c r="I63" s="4629" t="s">
        <v>2677</v>
      </c>
      <c r="J63" s="4629"/>
      <c r="K63" s="4617"/>
      <c r="L63" s="4617"/>
      <c r="M63" s="1365"/>
    </row>
    <row r="64" spans="1:13" ht="18.75" hidden="1" thickBot="1" x14ac:dyDescent="0.3">
      <c r="A64" s="1365"/>
      <c r="B64" s="4623" t="s">
        <v>2674</v>
      </c>
      <c r="C64" s="4623"/>
      <c r="D64" s="4623"/>
      <c r="E64" s="4623"/>
      <c r="F64" s="4623"/>
      <c r="G64" s="4623"/>
      <c r="H64" s="4623"/>
      <c r="I64" s="4623"/>
      <c r="J64" s="4623"/>
      <c r="K64" s="4623"/>
      <c r="L64" s="4623"/>
      <c r="M64" s="1365"/>
    </row>
    <row r="65" spans="1:13" ht="17.45" hidden="1" customHeight="1" thickBot="1" x14ac:dyDescent="0.3">
      <c r="A65" s="1365"/>
      <c r="B65" s="4644" t="s">
        <v>2172</v>
      </c>
      <c r="C65" s="4641" t="s">
        <v>1347</v>
      </c>
      <c r="D65" s="4641"/>
      <c r="E65" s="1517" t="e">
        <f>'20 Plan de PROD'!S68</f>
        <v>#DIV/0!</v>
      </c>
      <c r="F65" s="1518">
        <v>117</v>
      </c>
      <c r="G65" s="1519" t="e">
        <f>+E65/F65</f>
        <v>#DIV/0!</v>
      </c>
      <c r="H65" s="4624" t="s">
        <v>1776</v>
      </c>
      <c r="I65" s="4629" t="s">
        <v>2173</v>
      </c>
      <c r="J65" s="4629"/>
      <c r="K65" s="1518">
        <v>1</v>
      </c>
      <c r="L65" s="1518" t="s">
        <v>2174</v>
      </c>
      <c r="M65" s="1365"/>
    </row>
    <row r="66" spans="1:13" ht="17.45" hidden="1" customHeight="1" thickBot="1" x14ac:dyDescent="0.3">
      <c r="A66" s="1365"/>
      <c r="B66" s="4644"/>
      <c r="C66" s="4641"/>
      <c r="D66" s="4641"/>
      <c r="E66" s="1517" t="e">
        <f>'20 Plan de PROD'!S70</f>
        <v>#DIV/0!</v>
      </c>
      <c r="F66" s="1518">
        <v>117</v>
      </c>
      <c r="G66" s="1519" t="e">
        <f>+E66/F66</f>
        <v>#DIV/0!</v>
      </c>
      <c r="H66" s="4624"/>
      <c r="I66" s="4629" t="s">
        <v>2175</v>
      </c>
      <c r="J66" s="4629"/>
      <c r="K66" s="1518">
        <v>1</v>
      </c>
      <c r="L66" s="1518" t="s">
        <v>2174</v>
      </c>
      <c r="M66" s="1365"/>
    </row>
    <row r="67" spans="1:13" ht="17.45" hidden="1" customHeight="1" thickBot="1" x14ac:dyDescent="0.3">
      <c r="A67" s="1365"/>
      <c r="B67" s="4644"/>
      <c r="C67" s="4641"/>
      <c r="D67" s="4641"/>
      <c r="E67" s="1517">
        <f>'20 Plan de PROD'!S74</f>
        <v>44.201151755051598</v>
      </c>
      <c r="F67" s="1518">
        <v>117</v>
      </c>
      <c r="G67" s="1519">
        <f>+E67/F67</f>
        <v>0.37778762183804782</v>
      </c>
      <c r="H67" s="4624"/>
      <c r="I67" s="4629" t="s">
        <v>2176</v>
      </c>
      <c r="J67" s="4629"/>
      <c r="K67" s="1518">
        <v>1</v>
      </c>
      <c r="L67" s="1518" t="s">
        <v>2174</v>
      </c>
      <c r="M67" s="1365"/>
    </row>
    <row r="68" spans="1:13" ht="17.45" hidden="1" customHeight="1" thickBot="1" x14ac:dyDescent="0.3">
      <c r="A68" s="1365"/>
      <c r="B68" s="4644"/>
      <c r="C68" s="4641"/>
      <c r="D68" s="4641"/>
      <c r="E68" s="1517" t="e">
        <f>'20 Plan de PROD'!S72</f>
        <v>#DIV/0!</v>
      </c>
      <c r="F68" s="1518">
        <v>117</v>
      </c>
      <c r="G68" s="1519" t="e">
        <f>+E68/F68</f>
        <v>#DIV/0!</v>
      </c>
      <c r="H68" s="4624"/>
      <c r="I68" s="4629" t="s">
        <v>2177</v>
      </c>
      <c r="J68" s="4629"/>
      <c r="K68" s="1518">
        <v>1</v>
      </c>
      <c r="L68" s="1518" t="s">
        <v>2174</v>
      </c>
      <c r="M68" s="1365"/>
    </row>
    <row r="69" spans="1:13" ht="17.45" hidden="1" customHeight="1" thickBot="1" x14ac:dyDescent="0.3">
      <c r="A69" s="1365"/>
      <c r="B69" s="1515" t="s">
        <v>2178</v>
      </c>
      <c r="C69" s="4641" t="s">
        <v>2179</v>
      </c>
      <c r="D69" s="4641"/>
      <c r="E69" s="1517" t="e">
        <f>'20 Plan de PROD'!S76</f>
        <v>#DIV/0!</v>
      </c>
      <c r="F69" s="1518">
        <v>97</v>
      </c>
      <c r="G69" s="1519" t="e">
        <f>+E69/F69</f>
        <v>#DIV/0!</v>
      </c>
      <c r="H69" s="1520"/>
      <c r="I69" s="4629" t="s">
        <v>2180</v>
      </c>
      <c r="J69" s="4629"/>
      <c r="K69" s="1518">
        <v>1</v>
      </c>
      <c r="L69" s="1518" t="s">
        <v>2181</v>
      </c>
      <c r="M69" s="1365"/>
    </row>
    <row r="70" spans="1:13" ht="18.75" hidden="1" thickBot="1" x14ac:dyDescent="0.3">
      <c r="A70" s="1365"/>
      <c r="B70" s="4623" t="s">
        <v>3691</v>
      </c>
      <c r="C70" s="4623"/>
      <c r="D70" s="4623"/>
      <c r="E70" s="4623"/>
      <c r="F70" s="4623"/>
      <c r="G70" s="4623"/>
      <c r="H70" s="4623"/>
      <c r="I70" s="4623"/>
      <c r="J70" s="4623"/>
      <c r="K70" s="4623"/>
      <c r="L70" s="4623"/>
      <c r="M70" s="1365" t="s">
        <v>1639</v>
      </c>
    </row>
    <row r="71" spans="1:13" s="1531" customFormat="1" ht="18.75" hidden="1" thickBot="1" x14ac:dyDescent="0.3">
      <c r="B71" s="1520" t="s">
        <v>2182</v>
      </c>
      <c r="C71" s="4625" t="s">
        <v>2679</v>
      </c>
      <c r="D71" s="4625"/>
      <c r="E71" s="4647" t="e">
        <f>'20 Plan de PROD'!S81</f>
        <v>#DIV/0!</v>
      </c>
      <c r="F71" s="4646">
        <v>14400</v>
      </c>
      <c r="G71" s="4660" t="e">
        <f>E71/F71</f>
        <v>#DIV/0!</v>
      </c>
      <c r="H71" s="4624" t="s">
        <v>1924</v>
      </c>
      <c r="I71" s="4625" t="s">
        <v>2678</v>
      </c>
      <c r="J71" s="4625"/>
      <c r="K71" s="4646">
        <v>1</v>
      </c>
      <c r="L71" s="4646"/>
    </row>
    <row r="72" spans="1:13" s="1531" customFormat="1" ht="18.75" hidden="1" thickBot="1" x14ac:dyDescent="0.3">
      <c r="B72" s="1520" t="s">
        <v>2183</v>
      </c>
      <c r="C72" s="4625" t="s">
        <v>2184</v>
      </c>
      <c r="D72" s="4625"/>
      <c r="E72" s="4647"/>
      <c r="F72" s="4646"/>
      <c r="G72" s="4660"/>
      <c r="H72" s="4624"/>
      <c r="I72" s="4625"/>
      <c r="J72" s="4625"/>
      <c r="K72" s="4646"/>
      <c r="L72" s="4646"/>
    </row>
    <row r="73" spans="1:13" s="1531" customFormat="1" ht="38.25" hidden="1" customHeight="1" thickBot="1" x14ac:dyDescent="0.3">
      <c r="B73" s="1520" t="s">
        <v>2185</v>
      </c>
      <c r="C73" s="4625" t="s">
        <v>90</v>
      </c>
      <c r="D73" s="4625"/>
      <c r="E73" s="1526" t="e">
        <f>'20 Plan de PROD'!S83</f>
        <v>#DIV/0!</v>
      </c>
      <c r="F73" s="1526">
        <v>10800</v>
      </c>
      <c r="G73" s="1513" t="e">
        <f>E73/F73</f>
        <v>#DIV/0!</v>
      </c>
      <c r="H73" s="1520" t="s">
        <v>2186</v>
      </c>
      <c r="I73" s="4636" t="s">
        <v>3189</v>
      </c>
      <c r="J73" s="4636"/>
      <c r="K73" s="1526">
        <v>1</v>
      </c>
      <c r="L73" s="1516"/>
    </row>
    <row r="74" spans="1:13" s="1531" customFormat="1" ht="36.75" hidden="1" thickBot="1" x14ac:dyDescent="0.3">
      <c r="B74" s="1520" t="s">
        <v>2187</v>
      </c>
      <c r="C74" s="4625" t="s">
        <v>2048</v>
      </c>
      <c r="D74" s="4625"/>
      <c r="E74" s="1526">
        <f>'20 Plan de PROD'!S85</f>
        <v>229.41774267327821</v>
      </c>
      <c r="F74" s="1526">
        <v>8640</v>
      </c>
      <c r="G74" s="1513">
        <f>E74/F74</f>
        <v>2.6552979476073869E-2</v>
      </c>
      <c r="H74" s="1520" t="s">
        <v>2188</v>
      </c>
      <c r="I74" s="4636" t="s">
        <v>3188</v>
      </c>
      <c r="J74" s="4636"/>
      <c r="K74" s="1526">
        <v>0</v>
      </c>
      <c r="L74" s="1526" t="s">
        <v>3680</v>
      </c>
    </row>
    <row r="75" spans="1:13" ht="18.75" hidden="1" thickBot="1" x14ac:dyDescent="0.3">
      <c r="A75" s="1365"/>
      <c r="B75" s="4623" t="s">
        <v>2189</v>
      </c>
      <c r="C75" s="4623"/>
      <c r="D75" s="4623"/>
      <c r="E75" s="4623"/>
      <c r="F75" s="4623"/>
      <c r="G75" s="4623"/>
      <c r="H75" s="4623"/>
      <c r="I75" s="4623"/>
      <c r="J75" s="4623"/>
      <c r="K75" s="4623"/>
      <c r="L75" s="4623"/>
      <c r="M75" s="1365"/>
    </row>
    <row r="76" spans="1:13" s="1531" customFormat="1" ht="36.75" hidden="1" thickBot="1" x14ac:dyDescent="0.3">
      <c r="B76" s="1520" t="s">
        <v>2190</v>
      </c>
      <c r="C76" s="4625" t="s">
        <v>1346</v>
      </c>
      <c r="D76" s="4625"/>
      <c r="E76" s="1527">
        <f>'20 Plan de PROD'!S87</f>
        <v>18.409930376966905</v>
      </c>
      <c r="F76" s="1526">
        <v>5400</v>
      </c>
      <c r="G76" s="1513">
        <f>+E76/F76</f>
        <v>3.4092463661049826E-3</v>
      </c>
      <c r="H76" s="1520" t="s">
        <v>1935</v>
      </c>
      <c r="I76" s="4625" t="s">
        <v>2191</v>
      </c>
      <c r="J76" s="4625"/>
      <c r="K76" s="1526">
        <v>0</v>
      </c>
      <c r="L76" s="1526" t="s">
        <v>2669</v>
      </c>
    </row>
    <row r="77" spans="1:13" ht="18.75" hidden="1" thickBot="1" x14ac:dyDescent="0.3">
      <c r="A77" s="1365"/>
      <c r="B77" s="4623" t="s">
        <v>2675</v>
      </c>
      <c r="C77" s="4623"/>
      <c r="D77" s="4623"/>
      <c r="E77" s="4623"/>
      <c r="F77" s="4623"/>
      <c r="G77" s="4623"/>
      <c r="H77" s="4623"/>
      <c r="I77" s="4623"/>
      <c r="J77" s="4623"/>
      <c r="K77" s="4623"/>
      <c r="L77" s="4623"/>
      <c r="M77" s="1365"/>
    </row>
    <row r="78" spans="1:13" ht="36" hidden="1" customHeight="1" thickBot="1" x14ac:dyDescent="0.3">
      <c r="A78" s="1365"/>
      <c r="B78" s="4644" t="s">
        <v>2192</v>
      </c>
      <c r="C78" s="4658" t="s">
        <v>1982</v>
      </c>
      <c r="D78" s="4658"/>
      <c r="E78" s="4642" t="e">
        <f>'20 Plan de PROD'!S91</f>
        <v>#DIV/0!</v>
      </c>
      <c r="F78" s="4622" t="s">
        <v>2102</v>
      </c>
      <c r="G78" s="4628">
        <v>1</v>
      </c>
      <c r="H78" s="4659"/>
      <c r="I78" s="1529" t="s">
        <v>2193</v>
      </c>
      <c r="J78" s="1529" t="s">
        <v>2194</v>
      </c>
      <c r="K78" s="1528">
        <v>1</v>
      </c>
      <c r="L78" s="1388"/>
      <c r="M78" s="1365"/>
    </row>
    <row r="79" spans="1:13" ht="18.75" hidden="1" thickBot="1" x14ac:dyDescent="0.3">
      <c r="A79" s="1365"/>
      <c r="B79" s="4644"/>
      <c r="C79" s="4658"/>
      <c r="D79" s="4658"/>
      <c r="E79" s="4642"/>
      <c r="F79" s="4622"/>
      <c r="G79" s="4628"/>
      <c r="H79" s="4659"/>
      <c r="I79" s="1529" t="s">
        <v>2195</v>
      </c>
      <c r="J79" s="1529" t="s">
        <v>2196</v>
      </c>
      <c r="K79" s="1528">
        <v>1</v>
      </c>
      <c r="L79" s="1388"/>
      <c r="M79" s="1365"/>
    </row>
    <row r="80" spans="1:13" ht="18.75" hidden="1" thickBot="1" x14ac:dyDescent="0.3">
      <c r="A80" s="1365"/>
      <c r="B80" s="4644"/>
      <c r="C80" s="4658"/>
      <c r="D80" s="4658"/>
      <c r="E80" s="4642"/>
      <c r="F80" s="4622"/>
      <c r="G80" s="4628"/>
      <c r="H80" s="4659"/>
      <c r="I80" s="4650" t="s">
        <v>2197</v>
      </c>
      <c r="J80" s="1529" t="s">
        <v>1870</v>
      </c>
      <c r="K80" s="4618">
        <v>1</v>
      </c>
      <c r="L80" s="4620" t="s">
        <v>3681</v>
      </c>
      <c r="M80" s="1365"/>
    </row>
    <row r="81" spans="1:14" ht="36.75" hidden="1" thickBot="1" x14ac:dyDescent="0.3">
      <c r="A81" s="1365"/>
      <c r="B81" s="4644"/>
      <c r="C81" s="4658"/>
      <c r="D81" s="4658"/>
      <c r="E81" s="4642"/>
      <c r="F81" s="4622"/>
      <c r="G81" s="4628"/>
      <c r="H81" s="4659"/>
      <c r="I81" s="4650"/>
      <c r="J81" s="1529" t="s">
        <v>2198</v>
      </c>
      <c r="K81" s="4619"/>
      <c r="L81" s="4621"/>
      <c r="M81" s="1365"/>
    </row>
    <row r="82" spans="1:14" x14ac:dyDescent="0.25">
      <c r="A82" s="1365"/>
      <c r="B82" s="1366"/>
      <c r="C82" s="1367"/>
      <c r="D82" s="1367"/>
      <c r="E82" s="1368"/>
      <c r="F82" s="1369"/>
      <c r="G82" s="1370"/>
      <c r="H82" s="1371"/>
      <c r="I82" s="1372"/>
      <c r="J82" s="1386"/>
      <c r="K82" s="1373"/>
      <c r="L82" s="1373"/>
      <c r="M82" s="1365"/>
    </row>
    <row r="83" spans="1:14" x14ac:dyDescent="0.25">
      <c r="A83" s="1365"/>
      <c r="B83" s="4655" t="s">
        <v>2199</v>
      </c>
      <c r="C83" s="4655"/>
      <c r="D83" s="4655"/>
      <c r="E83" s="4655"/>
      <c r="F83" s="4655"/>
      <c r="G83" s="4655"/>
      <c r="H83" s="4655"/>
      <c r="I83" s="4655"/>
      <c r="J83" s="4655"/>
      <c r="K83" s="4655"/>
      <c r="L83" s="4655"/>
      <c r="M83" s="1365"/>
    </row>
    <row r="84" spans="1:14" x14ac:dyDescent="0.25">
      <c r="A84" s="1365"/>
      <c r="B84" s="4655" t="s">
        <v>2200</v>
      </c>
      <c r="C84" s="4655"/>
      <c r="D84" s="4655"/>
      <c r="E84" s="4655"/>
      <c r="F84" s="4655"/>
      <c r="G84" s="4655"/>
      <c r="H84" s="4655"/>
      <c r="I84" s="4655"/>
      <c r="J84" s="4655"/>
      <c r="K84" s="4655"/>
      <c r="L84" s="4655"/>
      <c r="M84" s="1365"/>
    </row>
    <row r="85" spans="1:14" x14ac:dyDescent="0.25">
      <c r="A85" s="1365"/>
      <c r="B85" s="4655" t="s">
        <v>2201</v>
      </c>
      <c r="C85" s="4655"/>
      <c r="D85" s="4655"/>
      <c r="E85" s="4655"/>
      <c r="F85" s="4655"/>
      <c r="G85" s="4655"/>
      <c r="H85" s="4655"/>
      <c r="I85" s="4655"/>
      <c r="J85" s="4655"/>
      <c r="K85" s="4655"/>
      <c r="L85" s="4655"/>
      <c r="M85" s="1365"/>
    </row>
    <row r="86" spans="1:14" x14ac:dyDescent="0.25">
      <c r="A86" s="1365"/>
      <c r="B86" s="4655" t="s">
        <v>2202</v>
      </c>
      <c r="C86" s="4655"/>
      <c r="D86" s="4655"/>
      <c r="E86" s="4655"/>
      <c r="F86" s="4655"/>
      <c r="G86" s="4655"/>
      <c r="H86" s="4655"/>
      <c r="I86" s="4655"/>
      <c r="J86" s="4655"/>
      <c r="K86" s="4655"/>
      <c r="L86" s="4655"/>
      <c r="M86" s="1365"/>
    </row>
    <row r="87" spans="1:14" x14ac:dyDescent="0.25">
      <c r="A87" s="1365"/>
      <c r="B87" s="4655" t="s">
        <v>2203</v>
      </c>
      <c r="C87" s="4655"/>
      <c r="D87" s="4655"/>
      <c r="E87" s="4655"/>
      <c r="F87" s="4655"/>
      <c r="G87" s="4655"/>
      <c r="H87" s="4655"/>
      <c r="I87" s="4655"/>
      <c r="J87" s="4655"/>
      <c r="K87" s="4655"/>
      <c r="L87" s="4655"/>
      <c r="M87" s="1374"/>
    </row>
    <row r="88" spans="1:14" ht="18.75" thickBot="1" x14ac:dyDescent="0.3">
      <c r="A88" s="1365"/>
      <c r="B88" s="1365"/>
      <c r="C88" s="1365"/>
      <c r="D88" s="1365"/>
      <c r="E88" s="1363"/>
      <c r="F88" s="1365"/>
      <c r="G88" s="1365"/>
      <c r="H88" s="1364"/>
      <c r="I88" s="1365"/>
      <c r="J88" s="1365"/>
      <c r="K88" s="1365"/>
      <c r="L88" s="1365"/>
      <c r="M88" s="1365"/>
    </row>
    <row r="89" spans="1:14" ht="20.45" customHeight="1" thickBot="1" x14ac:dyDescent="0.3">
      <c r="A89" s="1365"/>
      <c r="C89" s="1365"/>
      <c r="D89" s="4656" t="s">
        <v>1877</v>
      </c>
      <c r="E89" s="4634"/>
      <c r="F89" s="4657"/>
      <c r="G89" s="1365"/>
      <c r="H89" s="1364"/>
      <c r="I89" s="1365"/>
      <c r="J89" s="1365"/>
      <c r="K89" s="1365"/>
      <c r="L89" s="1365"/>
      <c r="M89" s="1365"/>
    </row>
    <row r="90" spans="1:14" ht="17.45" customHeight="1" thickBot="1" x14ac:dyDescent="0.3">
      <c r="A90" s="1365"/>
      <c r="D90" s="4654" t="s">
        <v>1871</v>
      </c>
      <c r="E90" s="4654"/>
      <c r="F90" s="4654"/>
      <c r="G90" s="1365"/>
      <c r="H90" s="1364"/>
      <c r="I90" s="1365"/>
      <c r="J90" s="1365"/>
      <c r="K90" s="1387"/>
      <c r="L90" s="1365"/>
      <c r="M90" s="1365"/>
      <c r="N90" s="1365"/>
    </row>
    <row r="91" spans="1:14" ht="15" customHeight="1" thickBot="1" x14ac:dyDescent="0.3">
      <c r="A91" s="1365"/>
      <c r="D91" s="4654" t="s">
        <v>2204</v>
      </c>
      <c r="E91" s="4654"/>
      <c r="F91" s="4654"/>
      <c r="G91" s="1365"/>
      <c r="H91" s="1364"/>
      <c r="I91" s="1365"/>
      <c r="J91" s="1365"/>
      <c r="K91" s="1365"/>
      <c r="L91" s="1365"/>
      <c r="M91" s="1365"/>
      <c r="N91" s="1365"/>
    </row>
    <row r="92" spans="1:14" ht="18.75" thickBot="1" x14ac:dyDescent="0.3">
      <c r="A92" s="1365"/>
      <c r="D92" s="4654" t="s">
        <v>2205</v>
      </c>
      <c r="E92" s="4654"/>
      <c r="F92" s="4654"/>
      <c r="G92" s="1365"/>
      <c r="H92" s="1364"/>
      <c r="I92" s="1365"/>
      <c r="J92" s="1365"/>
      <c r="K92" s="1365"/>
      <c r="L92" s="1365"/>
      <c r="M92" s="1365"/>
      <c r="N92" s="1365"/>
    </row>
    <row r="93" spans="1:14" ht="15" customHeight="1" thickBot="1" x14ac:dyDescent="0.3">
      <c r="A93" s="1365"/>
      <c r="D93" s="4654" t="s">
        <v>1883</v>
      </c>
      <c r="E93" s="4654"/>
      <c r="F93" s="4654"/>
      <c r="G93" s="1365"/>
      <c r="H93" s="1364"/>
      <c r="I93" s="1365"/>
      <c r="J93" s="1365"/>
      <c r="K93" s="1365"/>
      <c r="L93" s="1365"/>
      <c r="M93" s="1365"/>
      <c r="N93" s="1365"/>
    </row>
    <row r="94" spans="1:14" ht="18.75" thickBot="1" x14ac:dyDescent="0.3">
      <c r="A94" s="1365"/>
      <c r="D94" s="4654" t="s">
        <v>2206</v>
      </c>
      <c r="E94" s="4654"/>
      <c r="F94" s="4654"/>
      <c r="G94" s="1365"/>
      <c r="H94" s="1364"/>
      <c r="I94" s="1365"/>
      <c r="J94" s="1365"/>
      <c r="K94" s="1365"/>
      <c r="L94" s="1365"/>
      <c r="M94" s="1365"/>
      <c r="N94" s="1365"/>
    </row>
    <row r="95" spans="1:14" ht="18.75" thickBot="1" x14ac:dyDescent="0.3">
      <c r="A95" s="1365"/>
      <c r="D95" s="4654" t="s">
        <v>2207</v>
      </c>
      <c r="E95" s="4654"/>
      <c r="F95" s="4654"/>
      <c r="G95" s="1365"/>
      <c r="H95" s="1364"/>
      <c r="I95" s="1365"/>
      <c r="J95" s="1365"/>
      <c r="K95" s="1365"/>
      <c r="L95" s="1365"/>
      <c r="M95" s="1365"/>
      <c r="N95" s="1365"/>
    </row>
    <row r="96" spans="1:14" ht="18.75" thickBot="1" x14ac:dyDescent="0.3">
      <c r="A96" s="1365"/>
      <c r="D96" s="4654" t="s">
        <v>2208</v>
      </c>
      <c r="E96" s="4654"/>
      <c r="F96" s="4654"/>
      <c r="G96" s="1365"/>
      <c r="H96" s="1364"/>
      <c r="I96" s="1365"/>
      <c r="J96" s="1365"/>
      <c r="K96" s="1365"/>
      <c r="L96" s="1365"/>
      <c r="M96" s="1365"/>
      <c r="N96" s="1365"/>
    </row>
    <row r="97" spans="1:14" ht="18.75" thickBot="1" x14ac:dyDescent="0.3">
      <c r="A97" s="1365"/>
      <c r="D97" s="4654" t="s">
        <v>1891</v>
      </c>
      <c r="E97" s="4654"/>
      <c r="F97" s="4654"/>
      <c r="G97" s="1365"/>
      <c r="H97" s="1364"/>
      <c r="I97" s="1365"/>
      <c r="J97" s="1365"/>
      <c r="K97" s="1365"/>
      <c r="L97" s="1365"/>
      <c r="M97" s="1365"/>
      <c r="N97" s="1365"/>
    </row>
    <row r="98" spans="1:14" ht="18.75" thickBot="1" x14ac:dyDescent="0.3">
      <c r="A98" s="1365"/>
      <c r="D98" s="4654" t="s">
        <v>2209</v>
      </c>
      <c r="E98" s="4654"/>
      <c r="F98" s="4654"/>
      <c r="G98" s="1365"/>
      <c r="H98" s="1364"/>
      <c r="I98" s="1365"/>
      <c r="J98" s="1365"/>
      <c r="K98" s="1365"/>
      <c r="L98" s="1365"/>
      <c r="M98" s="1365"/>
      <c r="N98" s="1365"/>
    </row>
    <row r="99" spans="1:14" ht="18.75" thickBot="1" x14ac:dyDescent="0.3">
      <c r="A99" s="1365"/>
      <c r="D99" s="4654" t="s">
        <v>1893</v>
      </c>
      <c r="E99" s="4654"/>
      <c r="F99" s="4654"/>
      <c r="G99" s="1365"/>
      <c r="H99" s="1364"/>
      <c r="I99" s="1365"/>
      <c r="J99" s="1365"/>
      <c r="K99" s="1365"/>
      <c r="L99" s="1365"/>
      <c r="M99" s="1365"/>
      <c r="N99" s="1365"/>
    </row>
    <row r="100" spans="1:14" ht="18.75" thickBot="1" x14ac:dyDescent="0.3">
      <c r="D100" s="4654" t="s">
        <v>2210</v>
      </c>
      <c r="E100" s="4654"/>
      <c r="F100" s="4654"/>
      <c r="J100" s="1365"/>
      <c r="K100" s="1365"/>
      <c r="L100" s="1365"/>
    </row>
    <row r="101" spans="1:14" ht="18.75" thickBot="1" x14ac:dyDescent="0.3">
      <c r="D101" s="4654" t="s">
        <v>2211</v>
      </c>
      <c r="E101" s="4654"/>
      <c r="F101" s="4654"/>
      <c r="J101" s="1365"/>
      <c r="K101" s="1365"/>
      <c r="L101" s="1365"/>
    </row>
    <row r="102" spans="1:14" ht="15" customHeight="1" thickBot="1" x14ac:dyDescent="0.3">
      <c r="D102" s="4654" t="s">
        <v>2212</v>
      </c>
      <c r="E102" s="4654"/>
      <c r="F102" s="4654"/>
      <c r="J102" s="1365"/>
      <c r="K102" s="1365"/>
      <c r="L102" s="1365"/>
    </row>
    <row r="103" spans="1:14" ht="18.75" thickBot="1" x14ac:dyDescent="0.3">
      <c r="D103" s="4654" t="s">
        <v>2213</v>
      </c>
      <c r="E103" s="4654"/>
      <c r="F103" s="4654"/>
      <c r="J103" s="1365"/>
      <c r="K103" s="1365"/>
      <c r="L103" s="1365"/>
    </row>
    <row r="104" spans="1:14" x14ac:dyDescent="0.25">
      <c r="E104" s="1363"/>
      <c r="F104" s="1365"/>
      <c r="J104" s="1365"/>
      <c r="K104" s="1365"/>
      <c r="L104" s="1365"/>
    </row>
    <row r="105" spans="1:14" x14ac:dyDescent="0.25">
      <c r="E105" s="1363"/>
      <c r="F105" s="1365"/>
      <c r="J105" s="1365"/>
      <c r="K105" s="1365"/>
      <c r="L105" s="1365"/>
    </row>
    <row r="106" spans="1:14" x14ac:dyDescent="0.25">
      <c r="E106" s="1363"/>
      <c r="F106" s="1365"/>
      <c r="J106" s="1365"/>
      <c r="K106" s="1365"/>
      <c r="L106" s="1365"/>
    </row>
    <row r="107" spans="1:14" ht="13.9" customHeight="1" x14ac:dyDescent="0.25">
      <c r="E107" s="1363"/>
      <c r="F107" s="1365"/>
      <c r="J107" s="1365"/>
      <c r="K107" s="1365"/>
      <c r="L107" s="1365"/>
    </row>
    <row r="108" spans="1:14" ht="22.9" customHeight="1" x14ac:dyDescent="0.25">
      <c r="E108" s="1363"/>
      <c r="F108" s="1365"/>
      <c r="J108" s="1365"/>
      <c r="K108" s="1365"/>
      <c r="L108" s="1365"/>
    </row>
    <row r="109" spans="1:14" ht="15" customHeight="1" x14ac:dyDescent="0.25">
      <c r="E109" s="1363"/>
      <c r="F109" s="1365"/>
      <c r="J109" s="1365"/>
      <c r="K109" s="1365"/>
      <c r="L109" s="1365"/>
    </row>
    <row r="110" spans="1:14" ht="15" customHeight="1" x14ac:dyDescent="0.25">
      <c r="E110" s="1363"/>
      <c r="F110" s="1365"/>
      <c r="J110" s="1365"/>
      <c r="K110" s="1365"/>
      <c r="L110" s="1365"/>
    </row>
    <row r="111" spans="1:14" ht="13.9" customHeight="1" x14ac:dyDescent="0.25">
      <c r="E111" s="1363"/>
      <c r="F111" s="1365"/>
      <c r="J111" s="1365"/>
      <c r="K111" s="1365"/>
      <c r="L111" s="1365"/>
    </row>
    <row r="112" spans="1:14" ht="13.9" customHeight="1" x14ac:dyDescent="0.25">
      <c r="E112" s="1363"/>
      <c r="F112" s="1365"/>
      <c r="J112" s="1365"/>
      <c r="K112" s="1365"/>
      <c r="L112" s="1365"/>
    </row>
    <row r="113" spans="5:12" ht="13.9" customHeight="1" x14ac:dyDescent="0.25">
      <c r="E113" s="1363"/>
      <c r="F113" s="1365"/>
      <c r="J113" s="1365"/>
      <c r="K113" s="1365"/>
      <c r="L113" s="1365"/>
    </row>
    <row r="114" spans="5:12" ht="13.9" customHeight="1" x14ac:dyDescent="0.25">
      <c r="E114" s="1363"/>
      <c r="F114" s="1365"/>
      <c r="J114" s="1365"/>
      <c r="K114" s="1365"/>
      <c r="L114" s="1365"/>
    </row>
    <row r="115" spans="5:12" x14ac:dyDescent="0.25">
      <c r="E115" s="1363"/>
      <c r="F115" s="1365"/>
      <c r="J115" s="1365"/>
      <c r="K115" s="1365"/>
      <c r="L115" s="1365"/>
    </row>
    <row r="116" spans="5:12" x14ac:dyDescent="0.25">
      <c r="E116" s="1363"/>
      <c r="F116" s="1365"/>
      <c r="J116" s="1365"/>
      <c r="K116" s="1365"/>
      <c r="L116" s="1365"/>
    </row>
    <row r="117" spans="5:12" x14ac:dyDescent="0.25">
      <c r="E117" s="1363"/>
      <c r="F117" s="1365"/>
      <c r="J117" s="1365"/>
      <c r="K117" s="1365"/>
      <c r="L117" s="1365"/>
    </row>
    <row r="118" spans="5:12" x14ac:dyDescent="0.25">
      <c r="E118" s="1363"/>
      <c r="F118" s="1365"/>
      <c r="J118" s="1365"/>
      <c r="K118" s="1365"/>
      <c r="L118" s="1365"/>
    </row>
    <row r="119" spans="5:12" x14ac:dyDescent="0.25">
      <c r="E119" s="1363"/>
      <c r="F119" s="1365"/>
      <c r="J119" s="1365"/>
      <c r="K119" s="1365"/>
      <c r="L119" s="1365"/>
    </row>
    <row r="120" spans="5:12" x14ac:dyDescent="0.25">
      <c r="E120" s="1363"/>
      <c r="F120" s="1365"/>
      <c r="J120" s="1365"/>
      <c r="K120" s="1365"/>
      <c r="L120" s="1365"/>
    </row>
    <row r="121" spans="5:12" x14ac:dyDescent="0.25">
      <c r="E121" s="1363"/>
      <c r="F121" s="1365"/>
      <c r="J121" s="1365"/>
      <c r="K121" s="1365"/>
      <c r="L121" s="1365"/>
    </row>
    <row r="122" spans="5:12" x14ac:dyDescent="0.25">
      <c r="F122" s="1365"/>
      <c r="J122" s="1365"/>
      <c r="K122" s="1365"/>
      <c r="L122" s="1365"/>
    </row>
    <row r="123" spans="5:12" x14ac:dyDescent="0.25">
      <c r="F123" s="1365"/>
      <c r="J123" s="1365"/>
      <c r="K123" s="1365"/>
      <c r="L123" s="1365"/>
    </row>
    <row r="124" spans="5:12" x14ac:dyDescent="0.25">
      <c r="J124" s="1365"/>
      <c r="K124" s="1365"/>
      <c r="L124" s="1365"/>
    </row>
    <row r="125" spans="5:12" x14ac:dyDescent="0.25">
      <c r="J125" s="1365"/>
      <c r="K125" s="1365"/>
      <c r="L125" s="1365"/>
    </row>
    <row r="126" spans="5:12" x14ac:dyDescent="0.25">
      <c r="J126" s="1365"/>
      <c r="K126" s="1365"/>
      <c r="L126" s="1365"/>
    </row>
  </sheetData>
  <mergeCells count="189">
    <mergeCell ref="K20:K25"/>
    <mergeCell ref="K26:K27"/>
    <mergeCell ref="K36:K37"/>
    <mergeCell ref="B62:B63"/>
    <mergeCell ref="C62:D63"/>
    <mergeCell ref="E62:E63"/>
    <mergeCell ref="F62:F63"/>
    <mergeCell ref="G62:G63"/>
    <mergeCell ref="H58:H63"/>
    <mergeCell ref="I63:J63"/>
    <mergeCell ref="I62:J62"/>
    <mergeCell ref="B57:L57"/>
    <mergeCell ref="B58:B61"/>
    <mergeCell ref="C58:D61"/>
    <mergeCell ref="E58:E61"/>
    <mergeCell ref="F58:F61"/>
    <mergeCell ref="G58:G61"/>
    <mergeCell ref="I58:J58"/>
    <mergeCell ref="I44:J44"/>
    <mergeCell ref="K44:K45"/>
    <mergeCell ref="L44:L45"/>
    <mergeCell ref="I45:J45"/>
    <mergeCell ref="H46:H47"/>
    <mergeCell ref="G35:G38"/>
    <mergeCell ref="C76:D76"/>
    <mergeCell ref="I76:J76"/>
    <mergeCell ref="H65:H68"/>
    <mergeCell ref="I65:J65"/>
    <mergeCell ref="I66:J66"/>
    <mergeCell ref="I67:J67"/>
    <mergeCell ref="I68:J68"/>
    <mergeCell ref="I69:J69"/>
    <mergeCell ref="B70:L70"/>
    <mergeCell ref="C69:D69"/>
    <mergeCell ref="B65:B68"/>
    <mergeCell ref="C65:D68"/>
    <mergeCell ref="B64:L64"/>
    <mergeCell ref="C56:D56"/>
    <mergeCell ref="I56:J56"/>
    <mergeCell ref="B77:L77"/>
    <mergeCell ref="B78:B81"/>
    <mergeCell ref="C78:D81"/>
    <mergeCell ref="E78:E81"/>
    <mergeCell ref="F78:F81"/>
    <mergeCell ref="G78:G81"/>
    <mergeCell ref="H78:H81"/>
    <mergeCell ref="L71:L72"/>
    <mergeCell ref="B75:L75"/>
    <mergeCell ref="I73:J73"/>
    <mergeCell ref="I74:J74"/>
    <mergeCell ref="C74:D74"/>
    <mergeCell ref="C71:D71"/>
    <mergeCell ref="E71:E72"/>
    <mergeCell ref="F71:F72"/>
    <mergeCell ref="G71:G72"/>
    <mergeCell ref="H71:H72"/>
    <mergeCell ref="I71:J72"/>
    <mergeCell ref="K71:K72"/>
    <mergeCell ref="C72:D72"/>
    <mergeCell ref="C73:D73"/>
    <mergeCell ref="D100:F100"/>
    <mergeCell ref="D101:F101"/>
    <mergeCell ref="D102:F102"/>
    <mergeCell ref="D103:F103"/>
    <mergeCell ref="D94:F94"/>
    <mergeCell ref="D95:F95"/>
    <mergeCell ref="D96:F96"/>
    <mergeCell ref="D97:F97"/>
    <mergeCell ref="D98:F98"/>
    <mergeCell ref="D99:F99"/>
    <mergeCell ref="D90:F90"/>
    <mergeCell ref="D91:F91"/>
    <mergeCell ref="D92:F92"/>
    <mergeCell ref="D93:F93"/>
    <mergeCell ref="I80:I81"/>
    <mergeCell ref="B83:L83"/>
    <mergeCell ref="B84:L84"/>
    <mergeCell ref="B85:L85"/>
    <mergeCell ref="B86:L86"/>
    <mergeCell ref="B87:L87"/>
    <mergeCell ref="D89:F89"/>
    <mergeCell ref="H35:H38"/>
    <mergeCell ref="D44:D46"/>
    <mergeCell ref="H44:H45"/>
    <mergeCell ref="I46:J46"/>
    <mergeCell ref="K46:K47"/>
    <mergeCell ref="L46:L47"/>
    <mergeCell ref="G40:G47"/>
    <mergeCell ref="H40:H41"/>
    <mergeCell ref="I40:J40"/>
    <mergeCell ref="I41:J41"/>
    <mergeCell ref="H42:H43"/>
    <mergeCell ref="I42:J42"/>
    <mergeCell ref="L42:L43"/>
    <mergeCell ref="I43:J43"/>
    <mergeCell ref="I47:J47"/>
    <mergeCell ref="B40:B47"/>
    <mergeCell ref="C40:C47"/>
    <mergeCell ref="D40:D43"/>
    <mergeCell ref="E40:E47"/>
    <mergeCell ref="F40:F47"/>
    <mergeCell ref="B35:B38"/>
    <mergeCell ref="C35:D38"/>
    <mergeCell ref="E35:E38"/>
    <mergeCell ref="F35:F38"/>
    <mergeCell ref="C29:D29"/>
    <mergeCell ref="I29:J29"/>
    <mergeCell ref="C30:D30"/>
    <mergeCell ref="I30:J30"/>
    <mergeCell ref="C50:D50"/>
    <mergeCell ref="C51:D51"/>
    <mergeCell ref="C52:D52"/>
    <mergeCell ref="B34:L34"/>
    <mergeCell ref="C32:D32"/>
    <mergeCell ref="I32:J32"/>
    <mergeCell ref="C33:D33"/>
    <mergeCell ref="I33:J33"/>
    <mergeCell ref="C49:D49"/>
    <mergeCell ref="E49:E52"/>
    <mergeCell ref="F49:F52"/>
    <mergeCell ref="G49:G52"/>
    <mergeCell ref="H49:H52"/>
    <mergeCell ref="I49:J52"/>
    <mergeCell ref="B48:L48"/>
    <mergeCell ref="I35:J35"/>
    <mergeCell ref="I36:J36"/>
    <mergeCell ref="I37:J37"/>
    <mergeCell ref="I38:J38"/>
    <mergeCell ref="B39:L39"/>
    <mergeCell ref="I23:J23"/>
    <mergeCell ref="B26:B28"/>
    <mergeCell ref="C26:C28"/>
    <mergeCell ref="I26:J26"/>
    <mergeCell ref="I27:J27"/>
    <mergeCell ref="I28:J28"/>
    <mergeCell ref="B20:B25"/>
    <mergeCell ref="C20:C25"/>
    <mergeCell ref="I20:J20"/>
    <mergeCell ref="I21:J21"/>
    <mergeCell ref="I22:J22"/>
    <mergeCell ref="I24:J24"/>
    <mergeCell ref="I25:J25"/>
    <mergeCell ref="B4:L4"/>
    <mergeCell ref="C10:D10"/>
    <mergeCell ref="I10:J10"/>
    <mergeCell ref="B11:L11"/>
    <mergeCell ref="C12:D12"/>
    <mergeCell ref="I12:J12"/>
    <mergeCell ref="C16:D16"/>
    <mergeCell ref="B17:B19"/>
    <mergeCell ref="C17:C19"/>
    <mergeCell ref="I17:J17"/>
    <mergeCell ref="I19:J19"/>
    <mergeCell ref="I18:J18"/>
    <mergeCell ref="C14:D14"/>
    <mergeCell ref="I14:J14"/>
    <mergeCell ref="C15:D15"/>
    <mergeCell ref="I15:J15"/>
    <mergeCell ref="C13:D13"/>
    <mergeCell ref="I13:J13"/>
    <mergeCell ref="I16:J16"/>
    <mergeCell ref="K12:K13"/>
    <mergeCell ref="L12:L13"/>
    <mergeCell ref="L17:L18"/>
    <mergeCell ref="K17:K19"/>
    <mergeCell ref="L21:L23"/>
    <mergeCell ref="L24:L25"/>
    <mergeCell ref="L36:L37"/>
    <mergeCell ref="K42:K43"/>
    <mergeCell ref="K62:K63"/>
    <mergeCell ref="L62:L63"/>
    <mergeCell ref="K80:K81"/>
    <mergeCell ref="L80:L81"/>
    <mergeCell ref="K49:K52"/>
    <mergeCell ref="L49:L52"/>
    <mergeCell ref="B53:L53"/>
    <mergeCell ref="B54:B55"/>
    <mergeCell ref="C54:D55"/>
    <mergeCell ref="E54:E55"/>
    <mergeCell ref="F54:F55"/>
    <mergeCell ref="G54:G55"/>
    <mergeCell ref="H54:H55"/>
    <mergeCell ref="I54:J54"/>
    <mergeCell ref="I55:J55"/>
    <mergeCell ref="I59:J59"/>
    <mergeCell ref="I60:J60"/>
    <mergeCell ref="I61:J61"/>
    <mergeCell ref="C31:D31"/>
    <mergeCell ref="I31:J31"/>
  </mergeCells>
  <pageMargins left="0.70866141732283472" right="0.70866141732283472" top="0.74803149606299213" bottom="0.74803149606299213" header="0.31496062992125984" footer="0.31496062992125984"/>
  <pageSetup paperSize="9" scale="42" pageOrder="overThenDown" orientation="landscape" r:id="rId1"/>
  <rowBreaks count="2" manualBreakCount="2">
    <brk id="33" max="11" man="1"/>
    <brk id="69" max="11"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0000"/>
  </sheetPr>
  <dimension ref="I2:I3"/>
  <sheetViews>
    <sheetView topLeftCell="B1" workbookViewId="0">
      <selection activeCell="I30" sqref="I30"/>
    </sheetView>
  </sheetViews>
  <sheetFormatPr baseColWidth="10" defaultColWidth="11.42578125" defaultRowHeight="11.25" x14ac:dyDescent="0.2"/>
  <cols>
    <col min="1" max="16384" width="11.42578125" style="26"/>
  </cols>
  <sheetData>
    <row r="2" spans="9:9" x14ac:dyDescent="0.2">
      <c r="I2" s="228" t="s">
        <v>2680</v>
      </c>
    </row>
    <row r="3" spans="9:9" x14ac:dyDescent="0.2">
      <c r="I3" s="228"/>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G2:I31"/>
  <sheetViews>
    <sheetView workbookViewId="0">
      <selection activeCell="G27" sqref="G27"/>
    </sheetView>
  </sheetViews>
  <sheetFormatPr baseColWidth="10" defaultColWidth="11.42578125" defaultRowHeight="11.25" x14ac:dyDescent="0.2"/>
  <cols>
    <col min="1" max="6" width="11.42578125" style="26"/>
    <col min="7" max="7" width="45.7109375" style="26" bestFit="1" customWidth="1"/>
    <col min="8" max="16384" width="11.42578125" style="26"/>
  </cols>
  <sheetData>
    <row r="2" spans="9:9" x14ac:dyDescent="0.2">
      <c r="I2" s="228" t="s">
        <v>2681</v>
      </c>
    </row>
    <row r="31" spans="7:7" ht="12" x14ac:dyDescent="0.2">
      <c r="G31" s="229"/>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C000"/>
  </sheetPr>
  <dimension ref="A2:U145"/>
  <sheetViews>
    <sheetView topLeftCell="A19" zoomScale="85" zoomScaleNormal="85" workbookViewId="0">
      <selection activeCell="E15" sqref="E15"/>
    </sheetView>
  </sheetViews>
  <sheetFormatPr baseColWidth="10" defaultColWidth="11.42578125" defaultRowHeight="13.5" x14ac:dyDescent="0.25"/>
  <cols>
    <col min="1" max="1" width="23" style="691" customWidth="1"/>
    <col min="2" max="2" width="46.140625" style="691" customWidth="1"/>
    <col min="3" max="3" width="24.140625" style="691" customWidth="1"/>
    <col min="4" max="4" width="25.85546875" style="691" customWidth="1"/>
    <col min="5" max="5" width="8" style="691" customWidth="1"/>
    <col min="6" max="6" width="7.42578125" style="691" customWidth="1"/>
    <col min="7" max="7" width="6.5703125" style="691" customWidth="1"/>
    <col min="8" max="21" width="6.7109375" style="691" customWidth="1"/>
    <col min="22" max="22" width="10.42578125" style="691" customWidth="1"/>
    <col min="23" max="34" width="7.140625" style="691" customWidth="1"/>
    <col min="35" max="36" width="6.7109375" style="691" customWidth="1"/>
    <col min="37" max="16384" width="11.42578125" style="691"/>
  </cols>
  <sheetData>
    <row r="2" spans="1:21" x14ac:dyDescent="0.25">
      <c r="A2" s="689" t="s">
        <v>2682</v>
      </c>
    </row>
    <row r="3" spans="1:21" ht="14.25" thickBot="1" x14ac:dyDescent="0.3"/>
    <row r="4" spans="1:21" ht="12" customHeight="1" thickBot="1" x14ac:dyDescent="0.3">
      <c r="A4" s="4667" t="s">
        <v>2683</v>
      </c>
      <c r="B4" s="4669" t="s">
        <v>2684</v>
      </c>
      <c r="C4" s="4669" t="s">
        <v>2685</v>
      </c>
      <c r="D4" s="4669"/>
      <c r="E4" s="1438">
        <v>0</v>
      </c>
      <c r="F4" s="1438">
        <v>0</v>
      </c>
      <c r="G4" s="1438">
        <v>1</v>
      </c>
      <c r="H4" s="1438">
        <f>G4+1</f>
        <v>2</v>
      </c>
      <c r="I4" s="1438">
        <f t="shared" ref="I4:U4" si="0">H4+1</f>
        <v>3</v>
      </c>
      <c r="J4" s="1438">
        <f t="shared" si="0"/>
        <v>4</v>
      </c>
      <c r="K4" s="1438">
        <f t="shared" si="0"/>
        <v>5</v>
      </c>
      <c r="L4" s="1438">
        <f t="shared" si="0"/>
        <v>6</v>
      </c>
      <c r="M4" s="1438">
        <f t="shared" si="0"/>
        <v>7</v>
      </c>
      <c r="N4" s="1438">
        <f t="shared" si="0"/>
        <v>8</v>
      </c>
      <c r="O4" s="1438">
        <f t="shared" si="0"/>
        <v>9</v>
      </c>
      <c r="P4" s="1438">
        <f t="shared" si="0"/>
        <v>10</v>
      </c>
      <c r="Q4" s="1438">
        <f t="shared" si="0"/>
        <v>11</v>
      </c>
      <c r="R4" s="1438">
        <f t="shared" si="0"/>
        <v>12</v>
      </c>
      <c r="S4" s="1438">
        <f t="shared" si="0"/>
        <v>13</v>
      </c>
      <c r="T4" s="1438">
        <f t="shared" si="0"/>
        <v>14</v>
      </c>
      <c r="U4" s="1439">
        <f t="shared" si="0"/>
        <v>15</v>
      </c>
    </row>
    <row r="5" spans="1:21" ht="13.5" customHeight="1" thickBot="1" x14ac:dyDescent="0.3">
      <c r="A5" s="4668"/>
      <c r="B5" s="4670"/>
      <c r="C5" s="4670"/>
      <c r="D5" s="4670"/>
      <c r="E5" s="1440">
        <v>2018</v>
      </c>
      <c r="F5" s="1440">
        <f>E5+1</f>
        <v>2019</v>
      </c>
      <c r="G5" s="1440">
        <f t="shared" ref="G5:U5" si="1">F5+1</f>
        <v>2020</v>
      </c>
      <c r="H5" s="1440">
        <f t="shared" si="1"/>
        <v>2021</v>
      </c>
      <c r="I5" s="1440">
        <f t="shared" si="1"/>
        <v>2022</v>
      </c>
      <c r="J5" s="1440">
        <f t="shared" si="1"/>
        <v>2023</v>
      </c>
      <c r="K5" s="1440">
        <f t="shared" si="1"/>
        <v>2024</v>
      </c>
      <c r="L5" s="1440">
        <f t="shared" si="1"/>
        <v>2025</v>
      </c>
      <c r="M5" s="1440">
        <f t="shared" si="1"/>
        <v>2026</v>
      </c>
      <c r="N5" s="1440">
        <f t="shared" si="1"/>
        <v>2027</v>
      </c>
      <c r="O5" s="1440">
        <f t="shared" si="1"/>
        <v>2028</v>
      </c>
      <c r="P5" s="1440">
        <f t="shared" si="1"/>
        <v>2029</v>
      </c>
      <c r="Q5" s="1440">
        <f t="shared" si="1"/>
        <v>2030</v>
      </c>
      <c r="R5" s="1440">
        <f t="shared" si="1"/>
        <v>2031</v>
      </c>
      <c r="S5" s="1440">
        <f t="shared" si="1"/>
        <v>2032</v>
      </c>
      <c r="T5" s="1440">
        <f t="shared" si="1"/>
        <v>2033</v>
      </c>
      <c r="U5" s="1441">
        <f t="shared" si="1"/>
        <v>2034</v>
      </c>
    </row>
    <row r="6" spans="1:21" ht="15" customHeight="1" thickBot="1" x14ac:dyDescent="0.3">
      <c r="A6" s="1171" t="s">
        <v>629</v>
      </c>
      <c r="B6" s="1171" t="s">
        <v>1298</v>
      </c>
      <c r="C6" s="4662" t="s">
        <v>2070</v>
      </c>
      <c r="D6" s="4662"/>
      <c r="E6" s="909">
        <f>'14 Dda Consolidda'!E10</f>
        <v>727.39241737423697</v>
      </c>
      <c r="F6" s="909">
        <f>'14 Dda Consolidda'!F10</f>
        <v>733.00749502117742</v>
      </c>
      <c r="G6" s="909">
        <f>'14 Dda Consolidda'!G10</f>
        <v>738.62681520914748</v>
      </c>
      <c r="H6" s="909">
        <f>'14 Dda Consolidda'!H10</f>
        <v>744.25038038300841</v>
      </c>
      <c r="I6" s="909">
        <f>'14 Dda Consolidda'!I10</f>
        <v>749.87819298887825</v>
      </c>
      <c r="J6" s="909">
        <f>'14 Dda Consolidda'!J10</f>
        <v>755.5102554741336</v>
      </c>
      <c r="K6" s="909">
        <f>'14 Dda Consolidda'!K10</f>
        <v>761.14657028741021</v>
      </c>
      <c r="L6" s="909">
        <f>'14 Dda Consolidda'!L10</f>
        <v>766.78713987860363</v>
      </c>
      <c r="M6" s="909">
        <f>'14 Dda Consolidda'!M10</f>
        <v>772.43196669886925</v>
      </c>
      <c r="N6" s="909">
        <f>'14 Dda Consolidda'!N10</f>
        <v>778.08105320062305</v>
      </c>
      <c r="O6" s="909">
        <f>'14 Dda Consolidda'!O10</f>
        <v>783.73440183754235</v>
      </c>
      <c r="P6" s="909">
        <f>'14 Dda Consolidda'!P10</f>
        <v>789.39201506456743</v>
      </c>
      <c r="Q6" s="909">
        <f>'14 Dda Consolidda'!Q10</f>
        <v>795.05389533790003</v>
      </c>
      <c r="R6" s="909">
        <f>'14 Dda Consolidda'!R10</f>
        <v>800.72004511500563</v>
      </c>
      <c r="S6" s="909">
        <f>'14 Dda Consolidda'!S10</f>
        <v>806.39046685461324</v>
      </c>
      <c r="T6" s="909">
        <f>'14 Dda Consolidda'!T10</f>
        <v>812.06516301671672</v>
      </c>
      <c r="U6" s="909">
        <f>'14 Dda Consolidda'!U10</f>
        <v>817.74413606257485</v>
      </c>
    </row>
    <row r="7" spans="1:21" ht="14.25" thickBot="1" x14ac:dyDescent="0.3">
      <c r="A7" s="1171" t="s">
        <v>629</v>
      </c>
      <c r="B7" s="1171" t="s">
        <v>1298</v>
      </c>
      <c r="C7" s="4662" t="s">
        <v>2686</v>
      </c>
      <c r="D7" s="4662">
        <v>0</v>
      </c>
      <c r="E7" s="1437"/>
      <c r="F7" s="1437"/>
      <c r="G7" s="1437"/>
      <c r="H7" s="1437"/>
      <c r="I7" s="1437"/>
      <c r="J7" s="1437"/>
      <c r="K7" s="1437"/>
      <c r="L7" s="1437"/>
      <c r="M7" s="1437"/>
      <c r="N7" s="1437"/>
      <c r="O7" s="1437"/>
      <c r="P7" s="1437"/>
      <c r="Q7" s="1437"/>
      <c r="R7" s="1437"/>
      <c r="S7" s="1437"/>
      <c r="T7" s="1437"/>
      <c r="U7" s="1437"/>
    </row>
    <row r="8" spans="1:21" ht="14.25" thickBot="1" x14ac:dyDescent="0.3">
      <c r="A8" s="1171" t="s">
        <v>629</v>
      </c>
      <c r="B8" s="1171" t="s">
        <v>1298</v>
      </c>
      <c r="C8" s="4662" t="s">
        <v>2687</v>
      </c>
      <c r="D8" s="4662">
        <v>0</v>
      </c>
      <c r="E8" s="1437"/>
      <c r="F8" s="1437"/>
      <c r="G8" s="1437"/>
      <c r="H8" s="1437"/>
      <c r="I8" s="1437"/>
      <c r="J8" s="1437"/>
      <c r="K8" s="1437"/>
      <c r="L8" s="1437"/>
      <c r="M8" s="1437"/>
      <c r="N8" s="1437"/>
      <c r="O8" s="1437"/>
      <c r="P8" s="1437"/>
      <c r="Q8" s="1437"/>
      <c r="R8" s="1437"/>
      <c r="S8" s="1437"/>
      <c r="T8" s="1437"/>
      <c r="U8" s="1437"/>
    </row>
    <row r="9" spans="1:21" ht="30" customHeight="1" thickBot="1" x14ac:dyDescent="0.3">
      <c r="A9" s="1171" t="s">
        <v>629</v>
      </c>
      <c r="B9" s="1171" t="s">
        <v>2688</v>
      </c>
      <c r="C9" s="4662" t="s">
        <v>2689</v>
      </c>
      <c r="D9" s="4662">
        <v>0</v>
      </c>
      <c r="E9" s="1437"/>
      <c r="F9" s="1437"/>
      <c r="G9" s="1437"/>
      <c r="H9" s="1437"/>
      <c r="I9" s="1437"/>
      <c r="J9" s="1437"/>
      <c r="K9" s="1437"/>
      <c r="L9" s="1437"/>
      <c r="M9" s="1437"/>
      <c r="N9" s="1437"/>
      <c r="O9" s="1437"/>
      <c r="P9" s="1437"/>
      <c r="Q9" s="1437"/>
      <c r="R9" s="1437"/>
      <c r="S9" s="1437"/>
      <c r="T9" s="1437"/>
      <c r="U9" s="1437"/>
    </row>
    <row r="10" spans="1:21" ht="14.25" thickBot="1" x14ac:dyDescent="0.3">
      <c r="A10" s="1171" t="s">
        <v>629</v>
      </c>
      <c r="B10" s="1171" t="s">
        <v>2690</v>
      </c>
      <c r="C10" s="4662" t="s">
        <v>2076</v>
      </c>
      <c r="D10" s="4662">
        <v>0</v>
      </c>
      <c r="E10" s="1437" t="e">
        <f>'14 Dda Consolidda'!E12</f>
        <v>#DIV/0!</v>
      </c>
      <c r="F10" s="1437" t="e">
        <f>'14 Dda Consolidda'!F12</f>
        <v>#DIV/0!</v>
      </c>
      <c r="G10" s="1437" t="e">
        <f>'14 Dda Consolidda'!G12</f>
        <v>#DIV/0!</v>
      </c>
      <c r="H10" s="1437" t="e">
        <f>'14 Dda Consolidda'!H12</f>
        <v>#DIV/0!</v>
      </c>
      <c r="I10" s="1437" t="e">
        <f>'14 Dda Consolidda'!I12</f>
        <v>#DIV/0!</v>
      </c>
      <c r="J10" s="1437" t="e">
        <f>'14 Dda Consolidda'!J12</f>
        <v>#DIV/0!</v>
      </c>
      <c r="K10" s="1437" t="e">
        <f>'14 Dda Consolidda'!K12</f>
        <v>#DIV/0!</v>
      </c>
      <c r="L10" s="1437" t="e">
        <f>'14 Dda Consolidda'!L12</f>
        <v>#DIV/0!</v>
      </c>
      <c r="M10" s="1437" t="e">
        <f>'14 Dda Consolidda'!M12</f>
        <v>#DIV/0!</v>
      </c>
      <c r="N10" s="1437" t="e">
        <f>'14 Dda Consolidda'!N12</f>
        <v>#DIV/0!</v>
      </c>
      <c r="O10" s="1437" t="e">
        <f>'14 Dda Consolidda'!O12</f>
        <v>#DIV/0!</v>
      </c>
      <c r="P10" s="1437" t="e">
        <f>'14 Dda Consolidda'!P12</f>
        <v>#DIV/0!</v>
      </c>
      <c r="Q10" s="1437" t="e">
        <f>'14 Dda Consolidda'!Q12</f>
        <v>#DIV/0!</v>
      </c>
      <c r="R10" s="1437" t="e">
        <f>'14 Dda Consolidda'!R12</f>
        <v>#DIV/0!</v>
      </c>
      <c r="S10" s="1437" t="e">
        <f>'14 Dda Consolidda'!S12</f>
        <v>#DIV/0!</v>
      </c>
      <c r="T10" s="1437" t="e">
        <f>'14 Dda Consolidda'!T12</f>
        <v>#DIV/0!</v>
      </c>
      <c r="U10" s="1437" t="e">
        <f>'14 Dda Consolidda'!U12</f>
        <v>#DIV/0!</v>
      </c>
    </row>
    <row r="11" spans="1:21" ht="22.5" customHeight="1" thickBot="1" x14ac:dyDescent="0.3">
      <c r="A11" s="1171" t="s">
        <v>629</v>
      </c>
      <c r="B11" s="1171" t="s">
        <v>2691</v>
      </c>
      <c r="C11" s="4662" t="s">
        <v>2692</v>
      </c>
      <c r="D11" s="4662">
        <v>0</v>
      </c>
      <c r="E11" s="1437"/>
      <c r="F11" s="1437"/>
      <c r="G11" s="1437"/>
      <c r="H11" s="1437"/>
      <c r="I11" s="1437"/>
      <c r="J11" s="1437"/>
      <c r="K11" s="1437"/>
      <c r="L11" s="1437"/>
      <c r="M11" s="1437"/>
      <c r="N11" s="1437"/>
      <c r="O11" s="1437"/>
      <c r="P11" s="1437"/>
      <c r="Q11" s="1437"/>
      <c r="R11" s="1437"/>
      <c r="S11" s="1437"/>
      <c r="T11" s="1437"/>
      <c r="U11" s="1437"/>
    </row>
    <row r="12" spans="1:21" ht="30" customHeight="1" thickBot="1" x14ac:dyDescent="0.3">
      <c r="A12" s="1171" t="s">
        <v>629</v>
      </c>
      <c r="B12" s="1171" t="s">
        <v>2693</v>
      </c>
      <c r="C12" s="4662" t="s">
        <v>2694</v>
      </c>
      <c r="D12" s="4662">
        <v>0</v>
      </c>
      <c r="E12" s="1437">
        <f>'14 Dda Consolidda'!E11</f>
        <v>0</v>
      </c>
      <c r="F12" s="1437">
        <f>'14 Dda Consolidda'!F11</f>
        <v>0</v>
      </c>
      <c r="G12" s="1437">
        <f>'14 Dda Consolidda'!G11</f>
        <v>0</v>
      </c>
      <c r="H12" s="1437">
        <f>'14 Dda Consolidda'!H11</f>
        <v>0</v>
      </c>
      <c r="I12" s="1437">
        <f>'14 Dda Consolidda'!I11</f>
        <v>0</v>
      </c>
      <c r="J12" s="1437">
        <f>'14 Dda Consolidda'!J11</f>
        <v>0</v>
      </c>
      <c r="K12" s="1437">
        <f>'14 Dda Consolidda'!K11</f>
        <v>0</v>
      </c>
      <c r="L12" s="1437">
        <f>'14 Dda Consolidda'!L11</f>
        <v>0</v>
      </c>
      <c r="M12" s="1437">
        <f>'14 Dda Consolidda'!M11</f>
        <v>0</v>
      </c>
      <c r="N12" s="1437">
        <f>'14 Dda Consolidda'!N11</f>
        <v>0</v>
      </c>
      <c r="O12" s="1437">
        <f>'14 Dda Consolidda'!O11</f>
        <v>0</v>
      </c>
      <c r="P12" s="1437">
        <f>'14 Dda Consolidda'!P11</f>
        <v>0</v>
      </c>
      <c r="Q12" s="1437">
        <f>'14 Dda Consolidda'!Q11</f>
        <v>0</v>
      </c>
      <c r="R12" s="1437">
        <f>'14 Dda Consolidda'!R11</f>
        <v>0</v>
      </c>
      <c r="S12" s="1437">
        <f>'14 Dda Consolidda'!S11</f>
        <v>0</v>
      </c>
      <c r="T12" s="1437">
        <f>'14 Dda Consolidda'!T11</f>
        <v>0</v>
      </c>
      <c r="U12" s="1437">
        <f>'14 Dda Consolidda'!U11</f>
        <v>0</v>
      </c>
    </row>
    <row r="13" spans="1:21" ht="30" customHeight="1" thickBot="1" x14ac:dyDescent="0.3">
      <c r="A13" s="1171" t="s">
        <v>629</v>
      </c>
      <c r="B13" s="1171" t="s">
        <v>1303</v>
      </c>
      <c r="C13" s="4662" t="s">
        <v>2079</v>
      </c>
      <c r="D13" s="4662">
        <v>0</v>
      </c>
      <c r="E13" s="1437">
        <f>'14 Dda Consolidda'!E13</f>
        <v>404.7510590293648</v>
      </c>
      <c r="F13" s="1437">
        <f>'14 Dda Consolidda'!F13</f>
        <v>407.87551918298493</v>
      </c>
      <c r="G13" s="1437">
        <f>'14 Dda Consolidda'!G13</f>
        <v>411.00234006093183</v>
      </c>
      <c r="H13" s="1437">
        <f>'14 Dda Consolidda'!H13</f>
        <v>414.13152302362653</v>
      </c>
      <c r="I13" s="1437">
        <f>'14 Dda Consolidda'!I13</f>
        <v>417.26306943219009</v>
      </c>
      <c r="J13" s="1437">
        <f>'14 Dda Consolidda'!J13</f>
        <v>420.39698064844322</v>
      </c>
      <c r="K13" s="1437">
        <f>'14 Dda Consolidda'!K13</f>
        <v>423.53325803490776</v>
      </c>
      <c r="L13" s="1437">
        <f>'14 Dda Consolidda'!L13</f>
        <v>426.67190295480634</v>
      </c>
      <c r="M13" s="1437">
        <f>'14 Dda Consolidda'!M13</f>
        <v>429.81291677206247</v>
      </c>
      <c r="N13" s="1437">
        <f>'14 Dda Consolidda'!N13</f>
        <v>432.95630085130153</v>
      </c>
      <c r="O13" s="1437">
        <f>'14 Dda Consolidda'!O13</f>
        <v>436.10205655785035</v>
      </c>
      <c r="P13" s="1437">
        <f>'14 Dda Consolidda'!P13</f>
        <v>439.25018525773851</v>
      </c>
      <c r="Q13" s="1437">
        <f>'14 Dda Consolidda'!Q13</f>
        <v>442.40068831769804</v>
      </c>
      <c r="R13" s="1437">
        <f>'14 Dda Consolidda'!R13</f>
        <v>445.55356710516355</v>
      </c>
      <c r="S13" s="1437">
        <f>'14 Dda Consolidda'!S13</f>
        <v>448.70882298827303</v>
      </c>
      <c r="T13" s="1437">
        <f>'14 Dda Consolidda'!T13</f>
        <v>451.86645733586835</v>
      </c>
      <c r="U13" s="1437">
        <f>'14 Dda Consolidda'!U13</f>
        <v>455.02647151749488</v>
      </c>
    </row>
    <row r="14" spans="1:21" ht="30" customHeight="1" thickBot="1" x14ac:dyDescent="0.3">
      <c r="A14" s="1171" t="s">
        <v>629</v>
      </c>
      <c r="B14" s="1171" t="s">
        <v>2695</v>
      </c>
      <c r="C14" s="4662" t="s">
        <v>2696</v>
      </c>
      <c r="D14" s="4662">
        <v>0</v>
      </c>
      <c r="E14" s="1444"/>
      <c r="F14" s="1444"/>
      <c r="G14" s="1444"/>
      <c r="H14" s="1444"/>
      <c r="I14" s="1444"/>
      <c r="J14" s="1444"/>
      <c r="K14" s="1444"/>
      <c r="L14" s="1444"/>
      <c r="M14" s="1444"/>
      <c r="N14" s="1444"/>
      <c r="O14" s="1444"/>
      <c r="P14" s="1444"/>
      <c r="Q14" s="1444"/>
      <c r="R14" s="1444"/>
      <c r="S14" s="1444"/>
      <c r="T14" s="1444"/>
      <c r="U14" s="1444"/>
    </row>
    <row r="15" spans="1:21" ht="30" customHeight="1" thickBot="1" x14ac:dyDescent="0.3">
      <c r="A15" s="1171" t="s">
        <v>629</v>
      </c>
      <c r="B15" s="1171" t="s">
        <v>2697</v>
      </c>
      <c r="C15" s="4662" t="s">
        <v>2698</v>
      </c>
      <c r="D15" s="4662">
        <v>0</v>
      </c>
      <c r="E15" s="1444"/>
      <c r="F15" s="1444"/>
      <c r="G15" s="1444"/>
      <c r="H15" s="1444"/>
      <c r="I15" s="1444"/>
      <c r="J15" s="1444"/>
      <c r="K15" s="1444"/>
      <c r="L15" s="1444"/>
      <c r="M15" s="1444"/>
      <c r="N15" s="1444"/>
      <c r="O15" s="1444"/>
      <c r="P15" s="1444"/>
      <c r="Q15" s="1444"/>
      <c r="R15" s="1444"/>
      <c r="S15" s="1444"/>
      <c r="T15" s="1444"/>
      <c r="U15" s="1444"/>
    </row>
    <row r="16" spans="1:21" ht="30" customHeight="1" thickBot="1" x14ac:dyDescent="0.3">
      <c r="A16" s="1171" t="s">
        <v>629</v>
      </c>
      <c r="B16" s="1171" t="s">
        <v>2699</v>
      </c>
      <c r="C16" s="4662" t="s">
        <v>2700</v>
      </c>
      <c r="D16" s="4662">
        <v>0</v>
      </c>
      <c r="E16" s="1444"/>
      <c r="F16" s="1444"/>
      <c r="G16" s="1444"/>
      <c r="H16" s="1444"/>
      <c r="I16" s="1444"/>
      <c r="J16" s="1444"/>
      <c r="K16" s="1444"/>
      <c r="L16" s="1444"/>
      <c r="M16" s="1444"/>
      <c r="N16" s="1444"/>
      <c r="O16" s="1444"/>
      <c r="P16" s="1444"/>
      <c r="Q16" s="1444"/>
      <c r="R16" s="1444"/>
      <c r="S16" s="1444"/>
      <c r="T16" s="1444"/>
      <c r="U16" s="1444"/>
    </row>
    <row r="17" spans="1:21" ht="30" customHeight="1" thickBot="1" x14ac:dyDescent="0.3">
      <c r="A17" s="1171" t="s">
        <v>629</v>
      </c>
      <c r="B17" s="1171" t="s">
        <v>2701</v>
      </c>
      <c r="C17" s="4662" t="s">
        <v>2702</v>
      </c>
      <c r="D17" s="4662">
        <v>0</v>
      </c>
      <c r="E17" s="1444"/>
      <c r="F17" s="1444"/>
      <c r="G17" s="1444"/>
      <c r="H17" s="1444"/>
      <c r="I17" s="1444"/>
      <c r="J17" s="1444"/>
      <c r="K17" s="1444"/>
      <c r="L17" s="1444"/>
      <c r="M17" s="1444"/>
      <c r="N17" s="1444"/>
      <c r="O17" s="1444"/>
      <c r="P17" s="1444"/>
      <c r="Q17" s="1444"/>
      <c r="R17" s="1444"/>
      <c r="S17" s="1444"/>
      <c r="T17" s="1444"/>
      <c r="U17" s="1444"/>
    </row>
    <row r="18" spans="1:21" ht="30" customHeight="1" thickBot="1" x14ac:dyDescent="0.3">
      <c r="A18" s="1171" t="s">
        <v>629</v>
      </c>
      <c r="B18" s="1171" t="s">
        <v>2703</v>
      </c>
      <c r="C18" s="4662" t="s">
        <v>2704</v>
      </c>
      <c r="D18" s="4662">
        <v>0</v>
      </c>
      <c r="E18" s="1444"/>
      <c r="F18" s="1444"/>
      <c r="G18" s="1444"/>
      <c r="H18" s="1444"/>
      <c r="I18" s="1444"/>
      <c r="J18" s="1444"/>
      <c r="K18" s="1444"/>
      <c r="L18" s="1444"/>
      <c r="M18" s="1444"/>
      <c r="N18" s="1444"/>
      <c r="O18" s="1444"/>
      <c r="P18" s="1444"/>
      <c r="Q18" s="1444"/>
      <c r="R18" s="1444"/>
      <c r="S18" s="1444"/>
      <c r="T18" s="1444"/>
      <c r="U18" s="1444"/>
    </row>
    <row r="19" spans="1:21" ht="14.25" thickBot="1" x14ac:dyDescent="0.3">
      <c r="A19" s="1171" t="s">
        <v>629</v>
      </c>
      <c r="B19" s="1171" t="s">
        <v>2705</v>
      </c>
      <c r="C19" s="4662" t="s">
        <v>2706</v>
      </c>
      <c r="D19" s="4662">
        <v>0</v>
      </c>
      <c r="E19" s="1444"/>
      <c r="F19" s="1444"/>
      <c r="G19" s="1444"/>
      <c r="H19" s="1444"/>
      <c r="I19" s="1444"/>
      <c r="J19" s="1444"/>
      <c r="K19" s="1444"/>
      <c r="L19" s="1444"/>
      <c r="M19" s="1444"/>
      <c r="N19" s="1444"/>
      <c r="O19" s="1444"/>
      <c r="P19" s="1444"/>
      <c r="Q19" s="1444"/>
      <c r="R19" s="1444"/>
      <c r="S19" s="1444"/>
      <c r="T19" s="1444"/>
      <c r="U19" s="1444"/>
    </row>
    <row r="20" spans="1:21" ht="30" customHeight="1" thickBot="1" x14ac:dyDescent="0.3">
      <c r="A20" s="1171" t="s">
        <v>629</v>
      </c>
      <c r="B20" s="1171" t="s">
        <v>2707</v>
      </c>
      <c r="C20" s="4662" t="s">
        <v>2708</v>
      </c>
      <c r="D20" s="4662">
        <v>0</v>
      </c>
      <c r="E20" s="1444"/>
      <c r="F20" s="1444"/>
      <c r="G20" s="1444"/>
      <c r="H20" s="1444"/>
      <c r="I20" s="1444"/>
      <c r="J20" s="1444"/>
      <c r="K20" s="1444"/>
      <c r="L20" s="1444"/>
      <c r="M20" s="1444"/>
      <c r="N20" s="1444"/>
      <c r="O20" s="1444"/>
      <c r="P20" s="1444"/>
      <c r="Q20" s="1444"/>
      <c r="R20" s="1444"/>
      <c r="S20" s="1444"/>
      <c r="T20" s="1444"/>
      <c r="U20" s="1444"/>
    </row>
    <row r="21" spans="1:21" ht="30" customHeight="1" thickBot="1" x14ac:dyDescent="0.3">
      <c r="A21" s="1171" t="s">
        <v>629</v>
      </c>
      <c r="B21" s="1171" t="s">
        <v>2709</v>
      </c>
      <c r="C21" s="4662" t="s">
        <v>2710</v>
      </c>
      <c r="D21" s="4662">
        <v>0</v>
      </c>
      <c r="E21" s="1444"/>
      <c r="F21" s="1444"/>
      <c r="G21" s="1444"/>
      <c r="H21" s="1444"/>
      <c r="I21" s="1444"/>
      <c r="J21" s="1444"/>
      <c r="K21" s="1444"/>
      <c r="L21" s="1444"/>
      <c r="M21" s="1444"/>
      <c r="N21" s="1444"/>
      <c r="O21" s="1444"/>
      <c r="P21" s="1444"/>
      <c r="Q21" s="1444"/>
      <c r="R21" s="1444"/>
      <c r="S21" s="1444"/>
      <c r="T21" s="1444"/>
      <c r="U21" s="1444"/>
    </row>
    <row r="22" spans="1:21" ht="30" customHeight="1" thickBot="1" x14ac:dyDescent="0.3">
      <c r="A22" s="1171" t="s">
        <v>629</v>
      </c>
      <c r="B22" s="1171" t="s">
        <v>2711</v>
      </c>
      <c r="C22" s="4662" t="s">
        <v>2712</v>
      </c>
      <c r="D22" s="4662">
        <v>0</v>
      </c>
      <c r="E22" s="1444"/>
      <c r="F22" s="1444"/>
      <c r="G22" s="1444"/>
      <c r="H22" s="1444"/>
      <c r="I22" s="1444"/>
      <c r="J22" s="1444"/>
      <c r="K22" s="1444"/>
      <c r="L22" s="1444"/>
      <c r="M22" s="1444"/>
      <c r="N22" s="1444"/>
      <c r="O22" s="1444"/>
      <c r="P22" s="1444"/>
      <c r="Q22" s="1444"/>
      <c r="R22" s="1444"/>
      <c r="S22" s="1444"/>
      <c r="T22" s="1444"/>
      <c r="U22" s="1444"/>
    </row>
    <row r="23" spans="1:21" ht="30" customHeight="1" thickBot="1" x14ac:dyDescent="0.3">
      <c r="A23" s="1171" t="s">
        <v>629</v>
      </c>
      <c r="B23" s="1171" t="s">
        <v>2713</v>
      </c>
      <c r="C23" s="4662" t="s">
        <v>2714</v>
      </c>
      <c r="D23" s="4662">
        <v>0</v>
      </c>
      <c r="E23" s="1444"/>
      <c r="F23" s="1444"/>
      <c r="G23" s="1444"/>
      <c r="H23" s="1444"/>
      <c r="I23" s="1444"/>
      <c r="J23" s="1444"/>
      <c r="K23" s="1444"/>
      <c r="L23" s="1444"/>
      <c r="M23" s="1444"/>
      <c r="N23" s="1444"/>
      <c r="O23" s="1444"/>
      <c r="P23" s="1444"/>
      <c r="Q23" s="1444"/>
      <c r="R23" s="1444"/>
      <c r="S23" s="1444"/>
      <c r="T23" s="1444"/>
      <c r="U23" s="1444"/>
    </row>
    <row r="24" spans="1:21" ht="30" customHeight="1" thickBot="1" x14ac:dyDescent="0.3">
      <c r="A24" s="1171" t="s">
        <v>629</v>
      </c>
      <c r="B24" s="1171" t="s">
        <v>2715</v>
      </c>
      <c r="C24" s="4662" t="s">
        <v>2716</v>
      </c>
      <c r="D24" s="4662">
        <v>0</v>
      </c>
      <c r="E24" s="1444"/>
      <c r="F24" s="1444"/>
      <c r="G24" s="1444"/>
      <c r="H24" s="1444"/>
      <c r="I24" s="1444"/>
      <c r="J24" s="1444"/>
      <c r="K24" s="1444"/>
      <c r="L24" s="1444"/>
      <c r="M24" s="1444"/>
      <c r="N24" s="1444"/>
      <c r="O24" s="1444"/>
      <c r="P24" s="1444"/>
      <c r="Q24" s="1444"/>
      <c r="R24" s="1444"/>
      <c r="S24" s="1444"/>
      <c r="T24" s="1444"/>
      <c r="U24" s="1444"/>
    </row>
    <row r="25" spans="1:21" ht="30" customHeight="1" thickBot="1" x14ac:dyDescent="0.3">
      <c r="A25" s="1171" t="s">
        <v>629</v>
      </c>
      <c r="B25" s="1171" t="s">
        <v>2717</v>
      </c>
      <c r="C25" s="4662" t="s">
        <v>2718</v>
      </c>
      <c r="D25" s="4662">
        <v>0</v>
      </c>
      <c r="E25" s="1444"/>
      <c r="F25" s="1444"/>
      <c r="G25" s="1444"/>
      <c r="H25" s="1444"/>
      <c r="I25" s="1444"/>
      <c r="J25" s="1444"/>
      <c r="K25" s="1444"/>
      <c r="L25" s="1444"/>
      <c r="M25" s="1444"/>
      <c r="N25" s="1444"/>
      <c r="O25" s="1444"/>
      <c r="P25" s="1444"/>
      <c r="Q25" s="1444"/>
      <c r="R25" s="1444"/>
      <c r="S25" s="1444"/>
      <c r="T25" s="1444"/>
      <c r="U25" s="1444"/>
    </row>
    <row r="26" spans="1:21" ht="14.25" thickBot="1" x14ac:dyDescent="0.3">
      <c r="A26" s="1171" t="s">
        <v>629</v>
      </c>
      <c r="B26" s="1171" t="s">
        <v>2719</v>
      </c>
      <c r="C26" s="4662" t="s">
        <v>2720</v>
      </c>
      <c r="D26" s="4662">
        <v>0</v>
      </c>
      <c r="E26" s="1444"/>
      <c r="F26" s="1444"/>
      <c r="G26" s="1444"/>
      <c r="H26" s="1444"/>
      <c r="I26" s="1444"/>
      <c r="J26" s="1444"/>
      <c r="K26" s="1444"/>
      <c r="L26" s="1444"/>
      <c r="M26" s="1444"/>
      <c r="N26" s="1444"/>
      <c r="O26" s="1444"/>
      <c r="P26" s="1444"/>
      <c r="Q26" s="1444"/>
      <c r="R26" s="1444"/>
      <c r="S26" s="1444"/>
      <c r="T26" s="1444"/>
      <c r="U26" s="1444"/>
    </row>
    <row r="27" spans="1:21" ht="30" customHeight="1" thickBot="1" x14ac:dyDescent="0.3">
      <c r="A27" s="1171" t="s">
        <v>629</v>
      </c>
      <c r="B27" s="1171" t="s">
        <v>2721</v>
      </c>
      <c r="C27" s="4662" t="s">
        <v>2722</v>
      </c>
      <c r="D27" s="4662">
        <v>0</v>
      </c>
      <c r="E27" s="1444"/>
      <c r="F27" s="1444"/>
      <c r="G27" s="1444"/>
      <c r="H27" s="1444"/>
      <c r="I27" s="1444"/>
      <c r="J27" s="1444"/>
      <c r="K27" s="1444"/>
      <c r="L27" s="1444"/>
      <c r="M27" s="1444"/>
      <c r="N27" s="1444"/>
      <c r="O27" s="1444"/>
      <c r="P27" s="1444"/>
      <c r="Q27" s="1444"/>
      <c r="R27" s="1444"/>
      <c r="S27" s="1444"/>
      <c r="T27" s="1444"/>
      <c r="U27" s="1444"/>
    </row>
    <row r="28" spans="1:21" ht="30" customHeight="1" thickBot="1" x14ac:dyDescent="0.3">
      <c r="A28" s="1171" t="s">
        <v>629</v>
      </c>
      <c r="B28" s="1171" t="s">
        <v>2723</v>
      </c>
      <c r="C28" s="4662" t="s">
        <v>2724</v>
      </c>
      <c r="D28" s="4662">
        <v>0</v>
      </c>
      <c r="E28" s="1444"/>
      <c r="F28" s="1444"/>
      <c r="G28" s="1444"/>
      <c r="H28" s="1444"/>
      <c r="I28" s="1444"/>
      <c r="J28" s="1444"/>
      <c r="K28" s="1444"/>
      <c r="L28" s="1444"/>
      <c r="M28" s="1444"/>
      <c r="N28" s="1444"/>
      <c r="O28" s="1444"/>
      <c r="P28" s="1444"/>
      <c r="Q28" s="1444"/>
      <c r="R28" s="1444"/>
      <c r="S28" s="1444"/>
      <c r="T28" s="1444"/>
      <c r="U28" s="1444"/>
    </row>
    <row r="29" spans="1:21" ht="14.25" thickBot="1" x14ac:dyDescent="0.3">
      <c r="A29" s="1171" t="s">
        <v>629</v>
      </c>
      <c r="B29" s="1171" t="s">
        <v>2725</v>
      </c>
      <c r="C29" s="4662" t="s">
        <v>2726</v>
      </c>
      <c r="D29" s="4662">
        <v>0</v>
      </c>
      <c r="E29" s="1437" t="e">
        <f>'14 Dda Consolidda'!E14</f>
        <v>#DIV/0!</v>
      </c>
      <c r="F29" s="1437" t="e">
        <f>'14 Dda Consolidda'!F14</f>
        <v>#DIV/0!</v>
      </c>
      <c r="G29" s="1437" t="e">
        <f>'14 Dda Consolidda'!G14</f>
        <v>#DIV/0!</v>
      </c>
      <c r="H29" s="1437" t="e">
        <f>'14 Dda Consolidda'!H14</f>
        <v>#DIV/0!</v>
      </c>
      <c r="I29" s="1437" t="e">
        <f>'14 Dda Consolidda'!I14</f>
        <v>#DIV/0!</v>
      </c>
      <c r="J29" s="1437" t="e">
        <f>'14 Dda Consolidda'!J14</f>
        <v>#DIV/0!</v>
      </c>
      <c r="K29" s="1437" t="e">
        <f>'14 Dda Consolidda'!K14</f>
        <v>#DIV/0!</v>
      </c>
      <c r="L29" s="1437" t="e">
        <f>'14 Dda Consolidda'!L14</f>
        <v>#DIV/0!</v>
      </c>
      <c r="M29" s="1437" t="e">
        <f>'14 Dda Consolidda'!M14</f>
        <v>#DIV/0!</v>
      </c>
      <c r="N29" s="1437" t="e">
        <f>'14 Dda Consolidda'!N14</f>
        <v>#DIV/0!</v>
      </c>
      <c r="O29" s="1437" t="e">
        <f>'14 Dda Consolidda'!O14</f>
        <v>#DIV/0!</v>
      </c>
      <c r="P29" s="1437" t="e">
        <f>'14 Dda Consolidda'!P14</f>
        <v>#DIV/0!</v>
      </c>
      <c r="Q29" s="1437" t="e">
        <f>'14 Dda Consolidda'!Q14</f>
        <v>#DIV/0!</v>
      </c>
      <c r="R29" s="1437" t="e">
        <f>'14 Dda Consolidda'!R14</f>
        <v>#DIV/0!</v>
      </c>
      <c r="S29" s="1437" t="e">
        <f>'14 Dda Consolidda'!S14</f>
        <v>#DIV/0!</v>
      </c>
      <c r="T29" s="1437" t="e">
        <f>'14 Dda Consolidda'!T14</f>
        <v>#DIV/0!</v>
      </c>
      <c r="U29" s="1437" t="e">
        <f>'14 Dda Consolidda'!U14</f>
        <v>#DIV/0!</v>
      </c>
    </row>
    <row r="30" spans="1:21" ht="21.75" customHeight="1" thickBot="1" x14ac:dyDescent="0.3">
      <c r="A30" s="1171" t="s">
        <v>629</v>
      </c>
      <c r="B30" s="1171" t="s">
        <v>2727</v>
      </c>
      <c r="C30" s="4662" t="s">
        <v>2726</v>
      </c>
      <c r="D30" s="4662">
        <v>0</v>
      </c>
      <c r="E30" s="1444"/>
      <c r="F30" s="1444"/>
      <c r="G30" s="1444"/>
      <c r="H30" s="1444"/>
      <c r="I30" s="1444"/>
      <c r="J30" s="1444"/>
      <c r="K30" s="1444"/>
      <c r="L30" s="1444"/>
      <c r="M30" s="1444"/>
      <c r="N30" s="1444"/>
      <c r="O30" s="1444"/>
      <c r="P30" s="1444"/>
      <c r="Q30" s="1444"/>
      <c r="R30" s="1444"/>
      <c r="S30" s="1444"/>
      <c r="T30" s="1444"/>
      <c r="U30" s="1444"/>
    </row>
    <row r="31" spans="1:21" ht="14.25" thickBot="1" x14ac:dyDescent="0.3">
      <c r="A31" s="1171" t="s">
        <v>629</v>
      </c>
      <c r="B31" s="4662" t="s">
        <v>2728</v>
      </c>
      <c r="C31" s="4661" t="s">
        <v>2086</v>
      </c>
      <c r="D31" s="4661"/>
      <c r="E31" s="909">
        <f>'14 Dda Consolidda'!E16</f>
        <v>443.09966654316389</v>
      </c>
      <c r="F31" s="909">
        <f>'14 Dda Consolidda'!F16</f>
        <v>443.27137091960986</v>
      </c>
      <c r="G31" s="909">
        <f>'14 Dda Consolidda'!G16</f>
        <v>443.44314183276333</v>
      </c>
      <c r="H31" s="909">
        <f>'14 Dda Consolidda'!H16</f>
        <v>443.61497930840773</v>
      </c>
      <c r="I31" s="909">
        <f>'14 Dda Consolidda'!I16</f>
        <v>443.78688337233649</v>
      </c>
      <c r="J31" s="909">
        <f>'14 Dda Consolidda'!J16</f>
        <v>443.95885405035307</v>
      </c>
      <c r="K31" s="909">
        <f>'14 Dda Consolidda'!K16</f>
        <v>444.13089136827091</v>
      </c>
      <c r="L31" s="909">
        <f>'14 Dda Consolidda'!L16</f>
        <v>444.30299535191352</v>
      </c>
      <c r="M31" s="909">
        <f>'14 Dda Consolidda'!M16</f>
        <v>444.47516602711431</v>
      </c>
      <c r="N31" s="909">
        <f>'14 Dda Consolidda'!N16</f>
        <v>444.64740341971674</v>
      </c>
      <c r="O31" s="909">
        <f>'14 Dda Consolidda'!O16</f>
        <v>444.81970755557433</v>
      </c>
      <c r="P31" s="909">
        <f>'14 Dda Consolidda'!P16</f>
        <v>444.99207846055054</v>
      </c>
      <c r="Q31" s="909">
        <f>'14 Dda Consolidda'!Q16</f>
        <v>445.16451616051893</v>
      </c>
      <c r="R31" s="909">
        <f>'14 Dda Consolidda'!R16</f>
        <v>445.33702068136307</v>
      </c>
      <c r="S31" s="909">
        <f>'14 Dda Consolidda'!S16</f>
        <v>445.50959204897651</v>
      </c>
      <c r="T31" s="909">
        <f>'14 Dda Consolidda'!T16</f>
        <v>445.68223028926286</v>
      </c>
      <c r="U31" s="909">
        <f>'14 Dda Consolidda'!U16</f>
        <v>445.85493542813578</v>
      </c>
    </row>
    <row r="32" spans="1:21" ht="14.25" thickBot="1" x14ac:dyDescent="0.3">
      <c r="A32" s="1171" t="s">
        <v>629</v>
      </c>
      <c r="B32" s="4662"/>
      <c r="C32" s="4661" t="s">
        <v>2088</v>
      </c>
      <c r="D32" s="4661"/>
      <c r="E32" s="909">
        <f>'14 Dda Consolidda'!E17</f>
        <v>1155.2201406658853</v>
      </c>
      <c r="F32" s="909">
        <f>'14 Dda Consolidda'!F17</f>
        <v>1155.6677969583361</v>
      </c>
      <c r="G32" s="909">
        <f>'14 Dda Consolidda'!G17</f>
        <v>1156.1156267208894</v>
      </c>
      <c r="H32" s="909">
        <f>'14 Dda Consolidda'!H17</f>
        <v>1156.5636300207659</v>
      </c>
      <c r="I32" s="909">
        <f>'14 Dda Consolidda'!I17</f>
        <v>1157.011806925213</v>
      </c>
      <c r="J32" s="909">
        <f>'14 Dda Consolidda'!J17</f>
        <v>1157.4601575015035</v>
      </c>
      <c r="K32" s="909">
        <f>'14 Dda Consolidda'!K17</f>
        <v>1157.9086818169365</v>
      </c>
      <c r="L32" s="909">
        <f>'14 Dda Consolidda'!L17</f>
        <v>1158.3573799388371</v>
      </c>
      <c r="M32" s="909">
        <f>'14 Dda Consolidda'!M17</f>
        <v>1158.8062519345569</v>
      </c>
      <c r="N32" s="909">
        <f>'14 Dda Consolidda'!N17</f>
        <v>1159.2552978714732</v>
      </c>
      <c r="O32" s="909">
        <f>'14 Dda Consolidda'!O17</f>
        <v>1159.7045178169892</v>
      </c>
      <c r="P32" s="909">
        <f>'14 Dda Consolidda'!P17</f>
        <v>1160.1539118385349</v>
      </c>
      <c r="Q32" s="909">
        <f>'14 Dda Consolidda'!Q17</f>
        <v>1160.6034800035657</v>
      </c>
      <c r="R32" s="909">
        <f>'14 Dda Consolidda'!R17</f>
        <v>1161.0532223795637</v>
      </c>
      <c r="S32" s="909">
        <f>'14 Dda Consolidda'!S17</f>
        <v>1161.5031390340368</v>
      </c>
      <c r="T32" s="909">
        <f>'14 Dda Consolidda'!T17</f>
        <v>1161.9532300345193</v>
      </c>
      <c r="U32" s="909">
        <f>'14 Dda Consolidda'!U17</f>
        <v>1162.4034954485714</v>
      </c>
    </row>
    <row r="33" spans="1:21" ht="14.25" thickBot="1" x14ac:dyDescent="0.3">
      <c r="A33" s="1171" t="s">
        <v>629</v>
      </c>
      <c r="B33" s="4662"/>
      <c r="C33" s="4661" t="s">
        <v>46</v>
      </c>
      <c r="D33" s="4661">
        <v>0</v>
      </c>
      <c r="E33" s="909">
        <f>'14 Dda Consolidda'!E18</f>
        <v>136.02556502408294</v>
      </c>
      <c r="F33" s="909">
        <f>'14 Dda Consolidda'!F18</f>
        <v>136.07827592997322</v>
      </c>
      <c r="G33" s="909">
        <f>'14 Dda Consolidda'!G18</f>
        <v>136.13100726172684</v>
      </c>
      <c r="H33" s="909">
        <f>'14 Dda Consolidda'!H18</f>
        <v>136.18375902725893</v>
      </c>
      <c r="I33" s="909">
        <f>'14 Dda Consolidda'!I18</f>
        <v>136.23653123448776</v>
      </c>
      <c r="J33" s="909">
        <f>'14 Dda Consolidda'!J18</f>
        <v>136.28932389133465</v>
      </c>
      <c r="K33" s="909">
        <f>'14 Dda Consolidda'!K18</f>
        <v>136.34213700572394</v>
      </c>
      <c r="L33" s="909">
        <f>'14 Dda Consolidda'!L18</f>
        <v>136.39497058558311</v>
      </c>
      <c r="M33" s="909">
        <f>'14 Dda Consolidda'!M18</f>
        <v>136.44782463884266</v>
      </c>
      <c r="N33" s="909">
        <f>'14 Dda Consolidda'!N18</f>
        <v>136.5006991734362</v>
      </c>
      <c r="O33" s="909">
        <f>'14 Dda Consolidda'!O18</f>
        <v>136.55359419730038</v>
      </c>
      <c r="P33" s="909">
        <f>'14 Dda Consolidda'!P18</f>
        <v>136.60650971837495</v>
      </c>
      <c r="Q33" s="909">
        <f>'14 Dda Consolidda'!Q18</f>
        <v>136.65944574460275</v>
      </c>
      <c r="R33" s="909">
        <f>'14 Dda Consolidda'!R18</f>
        <v>136.71240228392966</v>
      </c>
      <c r="S33" s="909">
        <f>'14 Dda Consolidda'!S18</f>
        <v>136.76537934430465</v>
      </c>
      <c r="T33" s="909">
        <f>'14 Dda Consolidda'!T18</f>
        <v>136.81837693367979</v>
      </c>
      <c r="U33" s="909">
        <f>'14 Dda Consolidda'!U18</f>
        <v>136.8713950600102</v>
      </c>
    </row>
    <row r="34" spans="1:21" ht="30" customHeight="1" thickBot="1" x14ac:dyDescent="0.3">
      <c r="A34" s="1171" t="s">
        <v>629</v>
      </c>
      <c r="B34" s="1171" t="s">
        <v>2729</v>
      </c>
      <c r="C34" s="4661" t="s">
        <v>2092</v>
      </c>
      <c r="D34" s="4661">
        <v>0</v>
      </c>
      <c r="E34" s="909">
        <f>'14 Dda Consolidda'!E21</f>
        <v>280.27982157439425</v>
      </c>
      <c r="F34" s="909">
        <f>'14 Dda Consolidda'!F21</f>
        <v>280.66726211446218</v>
      </c>
      <c r="G34" s="909">
        <f>'14 Dda Consolidda'!G21</f>
        <v>281.05496083927909</v>
      </c>
      <c r="H34" s="909">
        <f>'14 Dda Consolidda'!H21</f>
        <v>281.44291789076323</v>
      </c>
      <c r="I34" s="909">
        <f>'14 Dda Consolidda'!I21</f>
        <v>281.83113341090382</v>
      </c>
      <c r="J34" s="909">
        <f>'14 Dda Consolidda'!J21</f>
        <v>282.21960754176155</v>
      </c>
      <c r="K34" s="909">
        <f>'14 Dda Consolidda'!K21</f>
        <v>282.60834042546833</v>
      </c>
      <c r="L34" s="909">
        <f>'14 Dda Consolidda'!L21</f>
        <v>282.99733220422746</v>
      </c>
      <c r="M34" s="909">
        <f>'14 Dda Consolidda'!M21</f>
        <v>283.38658302031342</v>
      </c>
      <c r="N34" s="909">
        <f>'14 Dda Consolidda'!N21</f>
        <v>283.77609301607214</v>
      </c>
      <c r="O34" s="909">
        <f>'14 Dda Consolidda'!O21</f>
        <v>284.16586233392115</v>
      </c>
      <c r="P34" s="909">
        <f>'14 Dda Consolidda'!P21</f>
        <v>284.55589111634924</v>
      </c>
      <c r="Q34" s="909">
        <f>'14 Dda Consolidda'!Q21</f>
        <v>284.94617950591675</v>
      </c>
      <c r="R34" s="909">
        <f>'14 Dda Consolidda'!R21</f>
        <v>285.33672764525556</v>
      </c>
      <c r="S34" s="909">
        <f>'14 Dda Consolidda'!S21</f>
        <v>285.72753567706911</v>
      </c>
      <c r="T34" s="909">
        <f>'14 Dda Consolidda'!T21</f>
        <v>286.11860374413237</v>
      </c>
      <c r="U34" s="909">
        <f>'14 Dda Consolidda'!U21</f>
        <v>286.509931989292</v>
      </c>
    </row>
    <row r="35" spans="1:21" ht="30" customHeight="1" thickBot="1" x14ac:dyDescent="0.3">
      <c r="A35" s="1171" t="s">
        <v>629</v>
      </c>
      <c r="B35" s="1171" t="s">
        <v>2729</v>
      </c>
      <c r="C35" s="4661" t="s">
        <v>2093</v>
      </c>
      <c r="D35" s="4661">
        <v>0</v>
      </c>
      <c r="E35" s="909">
        <f>'14 Dda Consolidda'!E22</f>
        <v>153.0723640893867</v>
      </c>
      <c r="F35" s="909">
        <f>'14 Dda Consolidda'!F22</f>
        <v>153.1316807551656</v>
      </c>
      <c r="G35" s="909">
        <f>'14 Dda Consolidda'!G22</f>
        <v>153.19102040658831</v>
      </c>
      <c r="H35" s="909">
        <f>'14 Dda Consolidda'!H22</f>
        <v>153.25038305256194</v>
      </c>
      <c r="I35" s="909">
        <f>'14 Dda Consolidda'!I22</f>
        <v>153.30976870199706</v>
      </c>
      <c r="J35" s="909">
        <f>'14 Dda Consolidda'!J22</f>
        <v>153.36917736380767</v>
      </c>
      <c r="K35" s="909">
        <f>'14 Dda Consolidda'!K22</f>
        <v>153.42860904691122</v>
      </c>
      <c r="L35" s="909">
        <f>'14 Dda Consolidda'!L22</f>
        <v>153.48806376022864</v>
      </c>
      <c r="M35" s="909">
        <f>'14 Dda Consolidda'!M22</f>
        <v>153.54754151268435</v>
      </c>
      <c r="N35" s="909">
        <f>'14 Dda Consolidda'!N22</f>
        <v>153.60704231320611</v>
      </c>
      <c r="O35" s="909">
        <f>'14 Dda Consolidda'!O22</f>
        <v>153.66656617072528</v>
      </c>
      <c r="P35" s="909">
        <f>'14 Dda Consolidda'!P22</f>
        <v>153.72611309417658</v>
      </c>
      <c r="Q35" s="909">
        <f>'14 Dda Consolidda'!Q22</f>
        <v>153.78568309249823</v>
      </c>
      <c r="R35" s="909">
        <f>'14 Dda Consolidda'!R22</f>
        <v>153.84527617463192</v>
      </c>
      <c r="S35" s="909">
        <f>'14 Dda Consolidda'!S22</f>
        <v>153.90489234952281</v>
      </c>
      <c r="T35" s="909">
        <f>'14 Dda Consolidda'!T22</f>
        <v>153.96453162611945</v>
      </c>
      <c r="U35" s="909">
        <f>'14 Dda Consolidda'!U22</f>
        <v>154.02419401337403</v>
      </c>
    </row>
    <row r="36" spans="1:21" ht="30" customHeight="1" thickBot="1" x14ac:dyDescent="0.3">
      <c r="A36" s="1171" t="s">
        <v>629</v>
      </c>
      <c r="B36" s="1171" t="s">
        <v>2729</v>
      </c>
      <c r="C36" s="4666" t="s">
        <v>2730</v>
      </c>
      <c r="D36" s="4666">
        <v>0</v>
      </c>
      <c r="E36" s="909">
        <f>'14 Dda Consolidda'!E23</f>
        <v>0</v>
      </c>
      <c r="F36" s="909">
        <f>'14 Dda Consolidda'!F23</f>
        <v>0</v>
      </c>
      <c r="G36" s="909">
        <f>'14 Dda Consolidda'!G23</f>
        <v>0</v>
      </c>
      <c r="H36" s="909">
        <f>'14 Dda Consolidda'!H23</f>
        <v>0</v>
      </c>
      <c r="I36" s="909">
        <f>'14 Dda Consolidda'!I23</f>
        <v>0</v>
      </c>
      <c r="J36" s="909">
        <f>'14 Dda Consolidda'!J23</f>
        <v>0</v>
      </c>
      <c r="K36" s="909">
        <f>'14 Dda Consolidda'!K23</f>
        <v>0</v>
      </c>
      <c r="L36" s="909">
        <f>'14 Dda Consolidda'!L23</f>
        <v>0</v>
      </c>
      <c r="M36" s="909">
        <f>'14 Dda Consolidda'!M23</f>
        <v>0</v>
      </c>
      <c r="N36" s="909">
        <f>'14 Dda Consolidda'!N23</f>
        <v>0</v>
      </c>
      <c r="O36" s="909">
        <f>'14 Dda Consolidda'!O23</f>
        <v>0</v>
      </c>
      <c r="P36" s="909">
        <f>'14 Dda Consolidda'!P23</f>
        <v>0</v>
      </c>
      <c r="Q36" s="909">
        <f>'14 Dda Consolidda'!Q23</f>
        <v>0</v>
      </c>
      <c r="R36" s="909">
        <f>'14 Dda Consolidda'!R23</f>
        <v>0</v>
      </c>
      <c r="S36" s="909">
        <f>'14 Dda Consolidda'!S23</f>
        <v>0</v>
      </c>
      <c r="T36" s="909">
        <f>'14 Dda Consolidda'!T23</f>
        <v>0</v>
      </c>
      <c r="U36" s="909">
        <f>'14 Dda Consolidda'!U23</f>
        <v>0</v>
      </c>
    </row>
    <row r="37" spans="1:21" ht="30" customHeight="1" thickBot="1" x14ac:dyDescent="0.3">
      <c r="A37" s="1171" t="s">
        <v>629</v>
      </c>
      <c r="B37" s="1171" t="s">
        <v>2729</v>
      </c>
      <c r="C37" s="4661" t="s">
        <v>2095</v>
      </c>
      <c r="D37" s="4661">
        <v>0</v>
      </c>
      <c r="E37" s="909">
        <f>'14 Dda Consolidda'!E24</f>
        <v>763.60836253827313</v>
      </c>
      <c r="F37" s="909">
        <f>'14 Dda Consolidda'!F24</f>
        <v>763.90426638934468</v>
      </c>
      <c r="G37" s="909">
        <f>'14 Dda Consolidda'!G24</f>
        <v>764.20028490533241</v>
      </c>
      <c r="H37" s="909">
        <f>'14 Dda Consolidda'!H24</f>
        <v>764.49641813067012</v>
      </c>
      <c r="I37" s="909">
        <f>'14 Dda Consolidda'!I24</f>
        <v>764.79266610980869</v>
      </c>
      <c r="J37" s="909">
        <f>'14 Dda Consolidda'!J24</f>
        <v>765.08902888721559</v>
      </c>
      <c r="K37" s="909">
        <f>'14 Dda Consolidda'!K24</f>
        <v>765.38550650737636</v>
      </c>
      <c r="L37" s="909">
        <f>'14 Dda Consolidda'!L24</f>
        <v>765.68209901479315</v>
      </c>
      <c r="M37" s="909">
        <f>'14 Dda Consolidda'!M24</f>
        <v>765.97880645398595</v>
      </c>
      <c r="N37" s="909">
        <f>'14 Dda Consolidda'!N24</f>
        <v>766.27562886949158</v>
      </c>
      <c r="O37" s="909">
        <f>'14 Dda Consolidda'!O24</f>
        <v>766.5725663058638</v>
      </c>
      <c r="P37" s="909">
        <f>'14 Dda Consolidda'!P24</f>
        <v>766.86961880767456</v>
      </c>
      <c r="Q37" s="909">
        <f>'14 Dda Consolidda'!Q24</f>
        <v>767.16678641951228</v>
      </c>
      <c r="R37" s="909">
        <f>'14 Dda Consolidda'!R24</f>
        <v>767.46406918598302</v>
      </c>
      <c r="S37" s="909">
        <f>'14 Dda Consolidda'!S24</f>
        <v>767.76146715171001</v>
      </c>
      <c r="T37" s="909">
        <f>'14 Dda Consolidda'!T24</f>
        <v>768.05898036133374</v>
      </c>
      <c r="U37" s="909">
        <f>'14 Dda Consolidda'!U24</f>
        <v>768.35660885951245</v>
      </c>
    </row>
    <row r="38" spans="1:21" ht="30" customHeight="1" thickBot="1" x14ac:dyDescent="0.3">
      <c r="A38" s="1171" t="s">
        <v>629</v>
      </c>
      <c r="B38" s="1171" t="s">
        <v>2729</v>
      </c>
      <c r="C38" s="4661" t="s">
        <v>2091</v>
      </c>
      <c r="D38" s="4661">
        <v>0</v>
      </c>
      <c r="E38" s="909" t="e">
        <f>'14 Dda Consolidda'!E20</f>
        <v>#REF!</v>
      </c>
      <c r="F38" s="909" t="e">
        <f>'14 Dda Consolidda'!F20</f>
        <v>#REF!</v>
      </c>
      <c r="G38" s="909" t="e">
        <f>'14 Dda Consolidda'!G20</f>
        <v>#REF!</v>
      </c>
      <c r="H38" s="909" t="e">
        <f>'14 Dda Consolidda'!H20</f>
        <v>#REF!</v>
      </c>
      <c r="I38" s="909" t="e">
        <f>'14 Dda Consolidda'!I20</f>
        <v>#REF!</v>
      </c>
      <c r="J38" s="909" t="e">
        <f>'14 Dda Consolidda'!J20</f>
        <v>#REF!</v>
      </c>
      <c r="K38" s="909" t="e">
        <f>'14 Dda Consolidda'!K20</f>
        <v>#REF!</v>
      </c>
      <c r="L38" s="909" t="e">
        <f>'14 Dda Consolidda'!L20</f>
        <v>#REF!</v>
      </c>
      <c r="M38" s="909" t="e">
        <f>'14 Dda Consolidda'!M20</f>
        <v>#REF!</v>
      </c>
      <c r="N38" s="909" t="e">
        <f>'14 Dda Consolidda'!N20</f>
        <v>#REF!</v>
      </c>
      <c r="O38" s="909" t="e">
        <f>'14 Dda Consolidda'!O20</f>
        <v>#REF!</v>
      </c>
      <c r="P38" s="909" t="e">
        <f>'14 Dda Consolidda'!P20</f>
        <v>#REF!</v>
      </c>
      <c r="Q38" s="909" t="e">
        <f>'14 Dda Consolidda'!Q20</f>
        <v>#REF!</v>
      </c>
      <c r="R38" s="909" t="e">
        <f>'14 Dda Consolidda'!R20</f>
        <v>#REF!</v>
      </c>
      <c r="S38" s="909" t="e">
        <f>'14 Dda Consolidda'!S20</f>
        <v>#REF!</v>
      </c>
      <c r="T38" s="909" t="e">
        <f>'14 Dda Consolidda'!T20</f>
        <v>#REF!</v>
      </c>
      <c r="U38" s="909" t="e">
        <f>'14 Dda Consolidda'!U20</f>
        <v>#REF!</v>
      </c>
    </row>
    <row r="39" spans="1:21" ht="30" customHeight="1" thickBot="1" x14ac:dyDescent="0.3">
      <c r="A39" s="1171" t="s">
        <v>629</v>
      </c>
      <c r="B39" s="1171" t="s">
        <v>2729</v>
      </c>
      <c r="C39" s="4661" t="s">
        <v>2090</v>
      </c>
      <c r="D39" s="4661">
        <v>0</v>
      </c>
      <c r="E39" s="909" t="e">
        <f>'14 Dda Consolidda'!E19</f>
        <v>#DIV/0!</v>
      </c>
      <c r="F39" s="909" t="e">
        <f>'14 Dda Consolidda'!F19</f>
        <v>#DIV/0!</v>
      </c>
      <c r="G39" s="909" t="e">
        <f>'14 Dda Consolidda'!G19</f>
        <v>#DIV/0!</v>
      </c>
      <c r="H39" s="909" t="e">
        <f>'14 Dda Consolidda'!H19</f>
        <v>#DIV/0!</v>
      </c>
      <c r="I39" s="909" t="e">
        <f>'14 Dda Consolidda'!I19</f>
        <v>#DIV/0!</v>
      </c>
      <c r="J39" s="909" t="e">
        <f>'14 Dda Consolidda'!J19</f>
        <v>#DIV/0!</v>
      </c>
      <c r="K39" s="909" t="e">
        <f>'14 Dda Consolidda'!K19</f>
        <v>#DIV/0!</v>
      </c>
      <c r="L39" s="909" t="e">
        <f>'14 Dda Consolidda'!L19</f>
        <v>#DIV/0!</v>
      </c>
      <c r="M39" s="909" t="e">
        <f>'14 Dda Consolidda'!M19</f>
        <v>#DIV/0!</v>
      </c>
      <c r="N39" s="909" t="e">
        <f>'14 Dda Consolidda'!N19</f>
        <v>#DIV/0!</v>
      </c>
      <c r="O39" s="909" t="e">
        <f>'14 Dda Consolidda'!O19</f>
        <v>#DIV/0!</v>
      </c>
      <c r="P39" s="909" t="e">
        <f>'14 Dda Consolidda'!P19</f>
        <v>#DIV/0!</v>
      </c>
      <c r="Q39" s="909" t="e">
        <f>'14 Dda Consolidda'!Q19</f>
        <v>#DIV/0!</v>
      </c>
      <c r="R39" s="909" t="e">
        <f>'14 Dda Consolidda'!R19</f>
        <v>#DIV/0!</v>
      </c>
      <c r="S39" s="909" t="e">
        <f>'14 Dda Consolidda'!S19</f>
        <v>#DIV/0!</v>
      </c>
      <c r="T39" s="909" t="e">
        <f>'14 Dda Consolidda'!T19</f>
        <v>#DIV/0!</v>
      </c>
      <c r="U39" s="909" t="e">
        <f>'14 Dda Consolidda'!U19</f>
        <v>#DIV/0!</v>
      </c>
    </row>
    <row r="40" spans="1:21" ht="27.75" thickBot="1" x14ac:dyDescent="0.3">
      <c r="A40" s="1171" t="s">
        <v>629</v>
      </c>
      <c r="B40" s="1171" t="s">
        <v>2731</v>
      </c>
      <c r="C40" s="4662" t="s">
        <v>2732</v>
      </c>
      <c r="D40" s="4662">
        <v>0</v>
      </c>
      <c r="E40" s="1444"/>
      <c r="F40" s="1444"/>
      <c r="G40" s="1444"/>
      <c r="H40" s="1444"/>
      <c r="I40" s="1444"/>
      <c r="J40" s="1444"/>
      <c r="K40" s="1444"/>
      <c r="L40" s="1444"/>
      <c r="M40" s="1444"/>
      <c r="N40" s="1444"/>
      <c r="O40" s="1444"/>
      <c r="P40" s="1444"/>
      <c r="Q40" s="1444"/>
      <c r="R40" s="1444"/>
      <c r="S40" s="1444"/>
      <c r="T40" s="1444"/>
      <c r="U40" s="1444"/>
    </row>
    <row r="41" spans="1:21" ht="30" customHeight="1" thickBot="1" x14ac:dyDescent="0.3">
      <c r="A41" s="1171" t="s">
        <v>629</v>
      </c>
      <c r="B41" s="1171" t="s">
        <v>2733</v>
      </c>
      <c r="C41" s="4662" t="s">
        <v>2734</v>
      </c>
      <c r="D41" s="4662">
        <v>0</v>
      </c>
      <c r="E41" s="1444"/>
      <c r="F41" s="1444"/>
      <c r="G41" s="1444"/>
      <c r="H41" s="1444"/>
      <c r="I41" s="1444"/>
      <c r="J41" s="1444"/>
      <c r="K41" s="1444"/>
      <c r="L41" s="1444"/>
      <c r="M41" s="1444"/>
      <c r="N41" s="1444"/>
      <c r="O41" s="1444"/>
      <c r="P41" s="1444"/>
      <c r="Q41" s="1444"/>
      <c r="R41" s="1444"/>
      <c r="S41" s="1444"/>
      <c r="T41" s="1444"/>
      <c r="U41" s="1444"/>
    </row>
    <row r="42" spans="1:21" ht="14.25" thickBot="1" x14ac:dyDescent="0.3">
      <c r="A42" s="1171" t="s">
        <v>629</v>
      </c>
      <c r="B42" s="1171" t="s">
        <v>2735</v>
      </c>
      <c r="C42" s="4661" t="s">
        <v>2736</v>
      </c>
      <c r="D42" s="4661">
        <v>0</v>
      </c>
      <c r="E42" s="1437">
        <f>'14 Dda Consolidda'!E30</f>
        <v>76</v>
      </c>
      <c r="F42" s="1437">
        <f>'14 Dda Consolidda'!F30</f>
        <v>76.029450558407547</v>
      </c>
      <c r="G42" s="1437">
        <f>'14 Dda Consolidda'!G30</f>
        <v>76.058912529122864</v>
      </c>
      <c r="H42" s="1437">
        <f>'14 Dda Consolidda'!H30</f>
        <v>76.088385916568299</v>
      </c>
      <c r="I42" s="1437">
        <f>'14 Dda Consolidda'!I30</f>
        <v>76.117870725167933</v>
      </c>
      <c r="J42" s="1437">
        <f>'14 Dda Consolidda'!J30</f>
        <v>76.147366959347536</v>
      </c>
      <c r="K42" s="1437">
        <f>'14 Dda Consolidda'!K30</f>
        <v>76.176874623534601</v>
      </c>
      <c r="L42" s="1437">
        <f>'14 Dda Consolidda'!L30</f>
        <v>76.206393722158353</v>
      </c>
      <c r="M42" s="1437">
        <f>'14 Dda Consolidda'!M30</f>
        <v>76.235924259649707</v>
      </c>
      <c r="N42" s="1437">
        <f>'14 Dda Consolidda'!N30</f>
        <v>76.265466240441313</v>
      </c>
      <c r="O42" s="1437">
        <f>'14 Dda Consolidda'!O30</f>
        <v>76.295019668967541</v>
      </c>
      <c r="P42" s="1437">
        <f>'14 Dda Consolidda'!P30</f>
        <v>76.324584549664465</v>
      </c>
      <c r="Q42" s="1437">
        <f>'14 Dda Consolidda'!Q30</f>
        <v>76.354160886969879</v>
      </c>
      <c r="R42" s="1437">
        <f>'14 Dda Consolidda'!R30</f>
        <v>76.383748685323312</v>
      </c>
      <c r="S42" s="1437">
        <f>'14 Dda Consolidda'!S30</f>
        <v>76.41334794916601</v>
      </c>
      <c r="T42" s="1437">
        <f>'14 Dda Consolidda'!T30</f>
        <v>76.442958682940926</v>
      </c>
      <c r="U42" s="1437">
        <f>'14 Dda Consolidda'!U30</f>
        <v>76.472580891092733</v>
      </c>
    </row>
    <row r="43" spans="1:21" ht="27.75" customHeight="1" thickBot="1" x14ac:dyDescent="0.3">
      <c r="A43" s="1171" t="s">
        <v>629</v>
      </c>
      <c r="B43" s="4662" t="s">
        <v>2097</v>
      </c>
      <c r="C43" s="4661" t="s">
        <v>2099</v>
      </c>
      <c r="D43" s="4661"/>
      <c r="E43" s="909">
        <f>'14 Dda Consolidda'!E25</f>
        <v>342</v>
      </c>
      <c r="F43" s="909">
        <f>'14 Dda Consolidda'!F25</f>
        <v>342.13252751283397</v>
      </c>
      <c r="G43" s="909">
        <f>'14 Dda Consolidda'!G25</f>
        <v>342.26510638105287</v>
      </c>
      <c r="H43" s="909">
        <f>'14 Dda Consolidda'!H25</f>
        <v>342.39773662455735</v>
      </c>
      <c r="I43" s="909">
        <f>'14 Dda Consolidda'!I25</f>
        <v>342.53041826325568</v>
      </c>
      <c r="J43" s="909">
        <f>'14 Dda Consolidda'!J25</f>
        <v>342.66315131706392</v>
      </c>
      <c r="K43" s="909">
        <f>'14 Dda Consolidda'!K25</f>
        <v>342.79593580590569</v>
      </c>
      <c r="L43" s="909">
        <f>'14 Dda Consolidda'!L25</f>
        <v>342.92877174971261</v>
      </c>
      <c r="M43" s="909">
        <f>'14 Dda Consolidda'!M25</f>
        <v>343.06165916842366</v>
      </c>
      <c r="N43" s="909">
        <f>'14 Dda Consolidda'!N25</f>
        <v>343.19459808198593</v>
      </c>
      <c r="O43" s="909">
        <f>'14 Dda Consolidda'!O25</f>
        <v>343.32758851035396</v>
      </c>
      <c r="P43" s="909">
        <f>'14 Dda Consolidda'!P25</f>
        <v>343.46063047349008</v>
      </c>
      <c r="Q43" s="909">
        <f>'14 Dda Consolidda'!Q25</f>
        <v>343.59372399136447</v>
      </c>
      <c r="R43" s="909">
        <f>'14 Dda Consolidda'!R25</f>
        <v>343.72686908395491</v>
      </c>
      <c r="S43" s="909">
        <f>'14 Dda Consolidda'!S25</f>
        <v>343.86006577124704</v>
      </c>
      <c r="T43" s="909">
        <f>'14 Dda Consolidda'!T25</f>
        <v>343.99331407323416</v>
      </c>
      <c r="U43" s="909">
        <f>'14 Dda Consolidda'!U25</f>
        <v>344.12661400991732</v>
      </c>
    </row>
    <row r="44" spans="1:21" ht="22.5" customHeight="1" thickBot="1" x14ac:dyDescent="0.3">
      <c r="A44" s="1171"/>
      <c r="B44" s="4662"/>
      <c r="C44" s="4661" t="s">
        <v>2101</v>
      </c>
      <c r="D44" s="4661"/>
      <c r="E44" s="909">
        <f>'14 Dda Consolidda'!E26</f>
        <v>974.02368000000001</v>
      </c>
      <c r="F44" s="909">
        <f>'14 Dda Consolidda'!F26</f>
        <v>974.40112133260743</v>
      </c>
      <c r="G44" s="909">
        <f>'14 Dda Consolidda'!G26</f>
        <v>974.77870892650458</v>
      </c>
      <c r="H44" s="909">
        <f>'14 Dda Consolidda'!H26</f>
        <v>975.15644283836889</v>
      </c>
      <c r="I44" s="909">
        <f>'14 Dda Consolidda'!I26</f>
        <v>975.5343231248994</v>
      </c>
      <c r="J44" s="909">
        <f>'14 Dda Consolidda'!J26</f>
        <v>975.91234984281709</v>
      </c>
      <c r="K44" s="909">
        <f>'14 Dda Consolidda'!K26</f>
        <v>976.29052304886568</v>
      </c>
      <c r="L44" s="909">
        <f>'14 Dda Consolidda'!L26</f>
        <v>976.66884279981025</v>
      </c>
      <c r="M44" s="909">
        <f>'14 Dda Consolidda'!M26</f>
        <v>977.04730915243795</v>
      </c>
      <c r="N44" s="909">
        <f>'14 Dda Consolidda'!N26</f>
        <v>977.42592216355808</v>
      </c>
      <c r="O44" s="909">
        <f>'14 Dda Consolidda'!O26</f>
        <v>977.80468189000203</v>
      </c>
      <c r="P44" s="909">
        <f>'14 Dda Consolidda'!P26</f>
        <v>978.18358838862264</v>
      </c>
      <c r="Q44" s="909">
        <f>'14 Dda Consolidda'!Q26</f>
        <v>978.56264171629562</v>
      </c>
      <c r="R44" s="909">
        <f>'14 Dda Consolidda'!R26</f>
        <v>978.94184192991804</v>
      </c>
      <c r="S44" s="909">
        <f>'14 Dda Consolidda'!S26</f>
        <v>979.3211890864095</v>
      </c>
      <c r="T44" s="909">
        <f>'14 Dda Consolidda'!T26</f>
        <v>979.70068324271119</v>
      </c>
      <c r="U44" s="909">
        <f>'14 Dda Consolidda'!U26</f>
        <v>980.08032445578692</v>
      </c>
    </row>
    <row r="45" spans="1:21" ht="22.5" customHeight="1" thickBot="1" x14ac:dyDescent="0.3">
      <c r="A45" s="1171"/>
      <c r="B45" s="4662"/>
      <c r="C45" s="4661" t="s">
        <v>2104</v>
      </c>
      <c r="D45" s="4661"/>
      <c r="E45" s="909">
        <f>'14 Dda Consolidda'!E27</f>
        <v>228</v>
      </c>
      <c r="F45" s="909">
        <f>'14 Dda Consolidda'!F27</f>
        <v>228.08835167522264</v>
      </c>
      <c r="G45" s="909">
        <f>'14 Dda Consolidda'!G27</f>
        <v>228.17673758736859</v>
      </c>
      <c r="H45" s="909">
        <f>'14 Dda Consolidda'!H27</f>
        <v>228.26515774970488</v>
      </c>
      <c r="I45" s="909">
        <f>'14 Dda Consolidda'!I27</f>
        <v>228.3536121755038</v>
      </c>
      <c r="J45" s="909">
        <f>'14 Dda Consolidda'!J27</f>
        <v>228.4421008780426</v>
      </c>
      <c r="K45" s="909">
        <f>'14 Dda Consolidda'!K27</f>
        <v>228.53062387060379</v>
      </c>
      <c r="L45" s="909">
        <f>'14 Dda Consolidda'!L27</f>
        <v>228.61918116647507</v>
      </c>
      <c r="M45" s="909">
        <f>'14 Dda Consolidda'!M27</f>
        <v>228.70777277894911</v>
      </c>
      <c r="N45" s="909">
        <f>'14 Dda Consolidda'!N27</f>
        <v>228.79639872132395</v>
      </c>
      <c r="O45" s="909">
        <f>'14 Dda Consolidda'!O27</f>
        <v>228.88505900690262</v>
      </c>
      <c r="P45" s="909">
        <f>'14 Dda Consolidda'!P27</f>
        <v>228.97375364899341</v>
      </c>
      <c r="Q45" s="909">
        <f>'14 Dda Consolidda'!Q27</f>
        <v>229.06248266090964</v>
      </c>
      <c r="R45" s="909">
        <f>'14 Dda Consolidda'!R27</f>
        <v>229.15124605596992</v>
      </c>
      <c r="S45" s="909">
        <f>'14 Dda Consolidda'!S27</f>
        <v>229.24004384749804</v>
      </c>
      <c r="T45" s="909">
        <f>'14 Dda Consolidda'!T27</f>
        <v>229.32887604882279</v>
      </c>
      <c r="U45" s="909">
        <f>'14 Dda Consolidda'!U27</f>
        <v>229.41774267327821</v>
      </c>
    </row>
    <row r="46" spans="1:21" ht="14.25" thickBot="1" x14ac:dyDescent="0.3">
      <c r="A46" s="1171" t="s">
        <v>629</v>
      </c>
      <c r="B46" s="1171" t="s">
        <v>2737</v>
      </c>
      <c r="C46" s="4661" t="s">
        <v>2738</v>
      </c>
      <c r="D46" s="4661">
        <v>0</v>
      </c>
      <c r="E46" s="909">
        <f>'14 Dda Consolidda'!E28</f>
        <v>493.25628435343401</v>
      </c>
      <c r="F46" s="909">
        <f>'14 Dda Consolidda'!F28</f>
        <v>495.24996846508338</v>
      </c>
      <c r="G46" s="909">
        <f>'14 Dda Consolidda'!G28</f>
        <v>497.25171081433285</v>
      </c>
      <c r="H46" s="909">
        <f>'14 Dda Consolidda'!H28</f>
        <v>499.26154397163464</v>
      </c>
      <c r="I46" s="909">
        <f>'14 Dda Consolidda'!I28</f>
        <v>501.27950063908702</v>
      </c>
      <c r="J46" s="909">
        <f>'14 Dda Consolidda'!J28</f>
        <v>503.30561365096622</v>
      </c>
      <c r="K46" s="909">
        <f>'14 Dda Consolidda'!K28</f>
        <v>505.33991597426086</v>
      </c>
      <c r="L46" s="909">
        <f>'14 Dda Consolidda'!L28</f>
        <v>507.38244070920825</v>
      </c>
      <c r="M46" s="909">
        <f>'14 Dda Consolidda'!M28</f>
        <v>509.4332210898329</v>
      </c>
      <c r="N46" s="909">
        <f>'14 Dda Consolidda'!N28</f>
        <v>511.49229048448746</v>
      </c>
      <c r="O46" s="909">
        <f>'14 Dda Consolidda'!O28</f>
        <v>513.55968239639549</v>
      </c>
      <c r="P46" s="909">
        <f>'14 Dda Consolidda'!P28</f>
        <v>515.63543046419659</v>
      </c>
      <c r="Q46" s="909">
        <f>'14 Dda Consolidda'!Q28</f>
        <v>517.71956846249395</v>
      </c>
      <c r="R46" s="909">
        <f>'14 Dda Consolidda'!R28</f>
        <v>519.81213030240372</v>
      </c>
      <c r="S46" s="909">
        <f>'14 Dda Consolidda'!S28</f>
        <v>521.91315003210661</v>
      </c>
      <c r="T46" s="909">
        <f>'14 Dda Consolidda'!T28</f>
        <v>524.02266183740244</v>
      </c>
      <c r="U46" s="909">
        <f>'14 Dda Consolidda'!U28</f>
        <v>526.14070004226562</v>
      </c>
    </row>
    <row r="47" spans="1:21" ht="29.25" customHeight="1" thickBot="1" x14ac:dyDescent="0.3">
      <c r="A47" s="1171" t="s">
        <v>629</v>
      </c>
      <c r="B47" s="1171" t="s">
        <v>1318</v>
      </c>
      <c r="C47" s="4661" t="s">
        <v>2108</v>
      </c>
      <c r="D47" s="4661">
        <v>0</v>
      </c>
      <c r="E47" s="1437">
        <f>'14 Dda Consolidda'!E29</f>
        <v>119.63085488552655</v>
      </c>
      <c r="F47" s="1437">
        <f>'14 Dda Consolidda'!F29</f>
        <v>120.55434064521725</v>
      </c>
      <c r="G47" s="1437">
        <f>'14 Dda Consolidda'!G29</f>
        <v>121.47852415594045</v>
      </c>
      <c r="H47" s="1437">
        <f>'14 Dda Consolidda'!H29</f>
        <v>122.40340581979112</v>
      </c>
      <c r="I47" s="1437">
        <f>'14 Dda Consolidda'!I29</f>
        <v>123.32898603907097</v>
      </c>
      <c r="J47" s="1437">
        <f>'14 Dda Consolidda'!J29</f>
        <v>124.25526521628865</v>
      </c>
      <c r="K47" s="1437">
        <f>'14 Dda Consolidda'!K29</f>
        <v>125.18224375415994</v>
      </c>
      <c r="L47" s="1437">
        <f>'14 Dda Consolidda'!L29</f>
        <v>126.1099220556078</v>
      </c>
      <c r="M47" s="1437">
        <f>'14 Dda Consolidda'!M29</f>
        <v>127.03830052376233</v>
      </c>
      <c r="N47" s="1437">
        <f>'14 Dda Consolidda'!N29</f>
        <v>127.96737956196105</v>
      </c>
      <c r="O47" s="1437">
        <f>'14 Dda Consolidda'!O29</f>
        <v>128.89715957374889</v>
      </c>
      <c r="P47" s="1437">
        <f>'14 Dda Consolidda'!P29</f>
        <v>129.82764096287838</v>
      </c>
      <c r="Q47" s="1437">
        <f>'14 Dda Consolidda'!Q29</f>
        <v>130.75882413330976</v>
      </c>
      <c r="R47" s="1437">
        <f>'14 Dda Consolidda'!R29</f>
        <v>131.69070948921089</v>
      </c>
      <c r="S47" s="1437">
        <f>'14 Dda Consolidda'!S29</f>
        <v>132.62329743495758</v>
      </c>
      <c r="T47" s="1437">
        <f>'14 Dda Consolidda'!T29</f>
        <v>133.55658837513352</v>
      </c>
      <c r="U47" s="1437">
        <f>'14 Dda Consolidda'!U29</f>
        <v>134.49058271453052</v>
      </c>
    </row>
    <row r="48" spans="1:21" ht="21" customHeight="1" thickBot="1" x14ac:dyDescent="0.3">
      <c r="A48" s="1171" t="s">
        <v>629</v>
      </c>
      <c r="B48" s="1171" t="s">
        <v>2739</v>
      </c>
      <c r="C48" s="4661" t="s">
        <v>2114</v>
      </c>
      <c r="D48" s="4661">
        <v>0</v>
      </c>
      <c r="E48" s="1437" t="e">
        <f>'14 Dda Consolidda'!E31</f>
        <v>#DIV/0!</v>
      </c>
      <c r="F48" s="1437" t="e">
        <f>'14 Dda Consolidda'!F31</f>
        <v>#DIV/0!</v>
      </c>
      <c r="G48" s="1437" t="e">
        <f>'14 Dda Consolidda'!G31</f>
        <v>#DIV/0!</v>
      </c>
      <c r="H48" s="1437" t="e">
        <f>'14 Dda Consolidda'!H31</f>
        <v>#DIV/0!</v>
      </c>
      <c r="I48" s="1437" t="e">
        <f>'14 Dda Consolidda'!I31</f>
        <v>#DIV/0!</v>
      </c>
      <c r="J48" s="1437" t="e">
        <f>'14 Dda Consolidda'!J31</f>
        <v>#DIV/0!</v>
      </c>
      <c r="K48" s="1437" t="e">
        <f>'14 Dda Consolidda'!K31</f>
        <v>#DIV/0!</v>
      </c>
      <c r="L48" s="1437" t="e">
        <f>'14 Dda Consolidda'!L31</f>
        <v>#DIV/0!</v>
      </c>
      <c r="M48" s="1437" t="e">
        <f>'14 Dda Consolidda'!M31</f>
        <v>#DIV/0!</v>
      </c>
      <c r="N48" s="1437" t="e">
        <f>'14 Dda Consolidda'!N31</f>
        <v>#DIV/0!</v>
      </c>
      <c r="O48" s="1437" t="e">
        <f>'14 Dda Consolidda'!O31</f>
        <v>#DIV/0!</v>
      </c>
      <c r="P48" s="1437" t="e">
        <f>'14 Dda Consolidda'!P31</f>
        <v>#DIV/0!</v>
      </c>
      <c r="Q48" s="1437" t="e">
        <f>'14 Dda Consolidda'!Q31</f>
        <v>#DIV/0!</v>
      </c>
      <c r="R48" s="1437" t="e">
        <f>'14 Dda Consolidda'!R31</f>
        <v>#DIV/0!</v>
      </c>
      <c r="S48" s="1437" t="e">
        <f>'14 Dda Consolidda'!S31</f>
        <v>#DIV/0!</v>
      </c>
      <c r="T48" s="1437" t="e">
        <f>'14 Dda Consolidda'!T31</f>
        <v>#DIV/0!</v>
      </c>
      <c r="U48" s="1437" t="e">
        <f>'14 Dda Consolidda'!U31</f>
        <v>#DIV/0!</v>
      </c>
    </row>
    <row r="49" spans="1:21" ht="27" customHeight="1" thickBot="1" x14ac:dyDescent="0.3">
      <c r="A49" s="1171" t="s">
        <v>629</v>
      </c>
      <c r="B49" s="1171" t="s">
        <v>1321</v>
      </c>
      <c r="C49" s="4661" t="s">
        <v>2117</v>
      </c>
      <c r="D49" s="4661">
        <v>0</v>
      </c>
      <c r="E49" s="1437" t="e">
        <f>'14 Dda Consolidda'!E32</f>
        <v>#DIV/0!</v>
      </c>
      <c r="F49" s="1437" t="e">
        <f>'14 Dda Consolidda'!F32</f>
        <v>#DIV/0!</v>
      </c>
      <c r="G49" s="1437" t="e">
        <f>'14 Dda Consolidda'!G32</f>
        <v>#DIV/0!</v>
      </c>
      <c r="H49" s="1437" t="e">
        <f>'14 Dda Consolidda'!H32</f>
        <v>#DIV/0!</v>
      </c>
      <c r="I49" s="1437" t="e">
        <f>'14 Dda Consolidda'!I32</f>
        <v>#DIV/0!</v>
      </c>
      <c r="J49" s="1437" t="e">
        <f>'14 Dda Consolidda'!J32</f>
        <v>#DIV/0!</v>
      </c>
      <c r="K49" s="1437" t="e">
        <f>'14 Dda Consolidda'!K32</f>
        <v>#DIV/0!</v>
      </c>
      <c r="L49" s="1437" t="e">
        <f>'14 Dda Consolidda'!L32</f>
        <v>#DIV/0!</v>
      </c>
      <c r="M49" s="1437" t="e">
        <f>'14 Dda Consolidda'!M32</f>
        <v>#DIV/0!</v>
      </c>
      <c r="N49" s="1437" t="e">
        <f>'14 Dda Consolidda'!N32</f>
        <v>#DIV/0!</v>
      </c>
      <c r="O49" s="1437" t="e">
        <f>'14 Dda Consolidda'!O32</f>
        <v>#DIV/0!</v>
      </c>
      <c r="P49" s="1437" t="e">
        <f>'14 Dda Consolidda'!P32</f>
        <v>#DIV/0!</v>
      </c>
      <c r="Q49" s="1437" t="e">
        <f>'14 Dda Consolidda'!Q32</f>
        <v>#DIV/0!</v>
      </c>
      <c r="R49" s="1437" t="e">
        <f>'14 Dda Consolidda'!R32</f>
        <v>#DIV/0!</v>
      </c>
      <c r="S49" s="1437" t="e">
        <f>'14 Dda Consolidda'!S32</f>
        <v>#DIV/0!</v>
      </c>
      <c r="T49" s="1437" t="e">
        <f>'14 Dda Consolidda'!T32</f>
        <v>#DIV/0!</v>
      </c>
      <c r="U49" s="1437" t="e">
        <f>'14 Dda Consolidda'!U32</f>
        <v>#DIV/0!</v>
      </c>
    </row>
    <row r="50" spans="1:21" ht="27.75" thickBot="1" x14ac:dyDescent="0.3">
      <c r="A50" s="1171" t="s">
        <v>629</v>
      </c>
      <c r="B50" s="1171" t="s">
        <v>2740</v>
      </c>
      <c r="C50" s="4662" t="s">
        <v>2741</v>
      </c>
      <c r="D50" s="4662">
        <v>0</v>
      </c>
      <c r="E50" s="1444"/>
      <c r="F50" s="1444"/>
      <c r="G50" s="1444"/>
      <c r="H50" s="1444"/>
      <c r="I50" s="1444"/>
      <c r="J50" s="1444"/>
      <c r="K50" s="1444"/>
      <c r="L50" s="1444"/>
      <c r="M50" s="1444"/>
      <c r="N50" s="1444"/>
      <c r="O50" s="1444"/>
      <c r="P50" s="1444"/>
      <c r="Q50" s="1444"/>
      <c r="R50" s="1444"/>
      <c r="S50" s="1444"/>
      <c r="T50" s="1444"/>
      <c r="U50" s="1444"/>
    </row>
    <row r="51" spans="1:21" ht="22.5" customHeight="1" thickBot="1" x14ac:dyDescent="0.3">
      <c r="A51" s="1171" t="s">
        <v>629</v>
      </c>
      <c r="B51" s="4662" t="s">
        <v>2742</v>
      </c>
      <c r="C51" s="4662" t="s">
        <v>2743</v>
      </c>
      <c r="D51" s="4662">
        <v>0</v>
      </c>
      <c r="E51" s="1444"/>
      <c r="F51" s="1444"/>
      <c r="G51" s="1444"/>
      <c r="H51" s="1444"/>
      <c r="I51" s="1444"/>
      <c r="J51" s="1444"/>
      <c r="K51" s="1444"/>
      <c r="L51" s="1444"/>
      <c r="M51" s="1444"/>
      <c r="N51" s="1444"/>
      <c r="O51" s="1444"/>
      <c r="P51" s="1444"/>
      <c r="Q51" s="1444"/>
      <c r="R51" s="1444"/>
      <c r="S51" s="1444"/>
      <c r="T51" s="1444"/>
      <c r="U51" s="1444"/>
    </row>
    <row r="52" spans="1:21" ht="22.5" customHeight="1" thickBot="1" x14ac:dyDescent="0.3">
      <c r="A52" s="1171" t="s">
        <v>629</v>
      </c>
      <c r="B52" s="4662"/>
      <c r="C52" s="4662" t="s">
        <v>2744</v>
      </c>
      <c r="D52" s="4662">
        <v>0</v>
      </c>
      <c r="E52" s="1444"/>
      <c r="F52" s="1444"/>
      <c r="G52" s="1444"/>
      <c r="H52" s="1444"/>
      <c r="I52" s="1444"/>
      <c r="J52" s="1444"/>
      <c r="K52" s="1444"/>
      <c r="L52" s="1444"/>
      <c r="M52" s="1444"/>
      <c r="N52" s="1444"/>
      <c r="O52" s="1444"/>
      <c r="P52" s="1444"/>
      <c r="Q52" s="1444"/>
      <c r="R52" s="1444"/>
      <c r="S52" s="1444"/>
      <c r="T52" s="1444"/>
      <c r="U52" s="1444"/>
    </row>
    <row r="53" spans="1:21" ht="22.5" customHeight="1" thickBot="1" x14ac:dyDescent="0.3">
      <c r="A53" s="1171" t="s">
        <v>629</v>
      </c>
      <c r="B53" s="4662" t="s">
        <v>2745</v>
      </c>
      <c r="C53" s="4662" t="s">
        <v>2746</v>
      </c>
      <c r="D53" s="4662">
        <v>0</v>
      </c>
      <c r="E53" s="1444"/>
      <c r="F53" s="1444"/>
      <c r="G53" s="1444"/>
      <c r="H53" s="1444"/>
      <c r="I53" s="1444"/>
      <c r="J53" s="1444"/>
      <c r="K53" s="1444"/>
      <c r="L53" s="1444"/>
      <c r="M53" s="1444"/>
      <c r="N53" s="1444"/>
      <c r="O53" s="1444"/>
      <c r="P53" s="1444"/>
      <c r="Q53" s="1444"/>
      <c r="R53" s="1444"/>
      <c r="S53" s="1444"/>
      <c r="T53" s="1444"/>
      <c r="U53" s="1444"/>
    </row>
    <row r="54" spans="1:21" ht="22.5" customHeight="1" thickBot="1" x14ac:dyDescent="0.3">
      <c r="A54" s="1171" t="s">
        <v>629</v>
      </c>
      <c r="B54" s="4662"/>
      <c r="C54" s="4662" t="s">
        <v>131</v>
      </c>
      <c r="D54" s="4662">
        <v>0</v>
      </c>
      <c r="E54" s="1444"/>
      <c r="F54" s="1444"/>
      <c r="G54" s="1444"/>
      <c r="H54" s="1444"/>
      <c r="I54" s="1444"/>
      <c r="J54" s="1444"/>
      <c r="K54" s="1444"/>
      <c r="L54" s="1444"/>
      <c r="M54" s="1444"/>
      <c r="N54" s="1444"/>
      <c r="O54" s="1444"/>
      <c r="P54" s="1444"/>
      <c r="Q54" s="1444"/>
      <c r="R54" s="1444"/>
      <c r="S54" s="1444"/>
      <c r="T54" s="1444"/>
      <c r="U54" s="1444"/>
    </row>
    <row r="55" spans="1:21" ht="22.5" customHeight="1" thickBot="1" x14ac:dyDescent="0.3">
      <c r="A55" s="1171" t="s">
        <v>629</v>
      </c>
      <c r="B55" s="4662" t="s">
        <v>2747</v>
      </c>
      <c r="C55" s="4662" t="s">
        <v>2748</v>
      </c>
      <c r="D55" s="4662">
        <v>0</v>
      </c>
      <c r="E55" s="1444"/>
      <c r="F55" s="1444"/>
      <c r="G55" s="1444"/>
      <c r="H55" s="1444"/>
      <c r="I55" s="1444"/>
      <c r="J55" s="1444"/>
      <c r="K55" s="1444"/>
      <c r="L55" s="1444"/>
      <c r="M55" s="1444"/>
      <c r="N55" s="1444"/>
      <c r="O55" s="1444"/>
      <c r="P55" s="1444"/>
      <c r="Q55" s="1444"/>
      <c r="R55" s="1444"/>
      <c r="S55" s="1444"/>
      <c r="T55" s="1444"/>
      <c r="U55" s="1444"/>
    </row>
    <row r="56" spans="1:21" ht="22.5" customHeight="1" thickBot="1" x14ac:dyDescent="0.3">
      <c r="A56" s="1171" t="s">
        <v>629</v>
      </c>
      <c r="B56" s="4662"/>
      <c r="C56" s="4662" t="s">
        <v>2749</v>
      </c>
      <c r="D56" s="4662">
        <v>0</v>
      </c>
      <c r="E56" s="1444"/>
      <c r="F56" s="1444"/>
      <c r="G56" s="1444"/>
      <c r="H56" s="1444"/>
      <c r="I56" s="1444"/>
      <c r="J56" s="1444"/>
      <c r="K56" s="1444"/>
      <c r="L56" s="1444"/>
      <c r="M56" s="1444"/>
      <c r="N56" s="1444"/>
      <c r="O56" s="1444"/>
      <c r="P56" s="1444"/>
      <c r="Q56" s="1444"/>
      <c r="R56" s="1444"/>
      <c r="S56" s="1444"/>
      <c r="T56" s="1444"/>
      <c r="U56" s="1444"/>
    </row>
    <row r="57" spans="1:21" ht="22.5" customHeight="1" thickBot="1" x14ac:dyDescent="0.3">
      <c r="A57" s="1171" t="s">
        <v>629</v>
      </c>
      <c r="B57" s="4662"/>
      <c r="C57" s="4662" t="s">
        <v>2750</v>
      </c>
      <c r="D57" s="4662">
        <v>0</v>
      </c>
      <c r="E57" s="1444"/>
      <c r="F57" s="1444"/>
      <c r="G57" s="1444"/>
      <c r="H57" s="1444"/>
      <c r="I57" s="1444"/>
      <c r="J57" s="1444"/>
      <c r="K57" s="1444"/>
      <c r="L57" s="1444"/>
      <c r="M57" s="1444"/>
      <c r="N57" s="1444"/>
      <c r="O57" s="1444"/>
      <c r="P57" s="1444"/>
      <c r="Q57" s="1444"/>
      <c r="R57" s="1444"/>
      <c r="S57" s="1444"/>
      <c r="T57" s="1444"/>
      <c r="U57" s="1444"/>
    </row>
    <row r="58" spans="1:21" ht="22.5" customHeight="1" thickBot="1" x14ac:dyDescent="0.3">
      <c r="A58" s="1171" t="s">
        <v>629</v>
      </c>
      <c r="B58" s="4662"/>
      <c r="C58" s="4662" t="s">
        <v>2751</v>
      </c>
      <c r="D58" s="4662">
        <v>0</v>
      </c>
      <c r="E58" s="1444"/>
      <c r="F58" s="1444"/>
      <c r="G58" s="1444"/>
      <c r="H58" s="1444"/>
      <c r="I58" s="1444"/>
      <c r="J58" s="1444"/>
      <c r="K58" s="1444"/>
      <c r="L58" s="1444"/>
      <c r="M58" s="1444"/>
      <c r="N58" s="1444"/>
      <c r="O58" s="1444"/>
      <c r="P58" s="1444"/>
      <c r="Q58" s="1444"/>
      <c r="R58" s="1444"/>
      <c r="S58" s="1444"/>
      <c r="T58" s="1444"/>
      <c r="U58" s="1444"/>
    </row>
    <row r="59" spans="1:21" ht="22.5" customHeight="1" thickBot="1" x14ac:dyDescent="0.3">
      <c r="A59" s="1171" t="s">
        <v>629</v>
      </c>
      <c r="B59" s="4662" t="s">
        <v>2752</v>
      </c>
      <c r="C59" s="4662" t="s">
        <v>2753</v>
      </c>
      <c r="D59" s="4662">
        <v>0</v>
      </c>
      <c r="E59" s="1444"/>
      <c r="F59" s="1444"/>
      <c r="G59" s="1444"/>
      <c r="H59" s="1444"/>
      <c r="I59" s="1444"/>
      <c r="J59" s="1444"/>
      <c r="K59" s="1444"/>
      <c r="L59" s="1444"/>
      <c r="M59" s="1444"/>
      <c r="N59" s="1444"/>
      <c r="O59" s="1444"/>
      <c r="P59" s="1444"/>
      <c r="Q59" s="1444"/>
      <c r="R59" s="1444"/>
      <c r="S59" s="1444"/>
      <c r="T59" s="1444"/>
      <c r="U59" s="1444"/>
    </row>
    <row r="60" spans="1:21" ht="22.5" customHeight="1" thickBot="1" x14ac:dyDescent="0.3">
      <c r="A60" s="1171" t="s">
        <v>629</v>
      </c>
      <c r="B60" s="4662"/>
      <c r="C60" s="4662" t="s">
        <v>2754</v>
      </c>
      <c r="D60" s="4662">
        <v>0</v>
      </c>
      <c r="E60" s="1444"/>
      <c r="F60" s="1444"/>
      <c r="G60" s="1444"/>
      <c r="H60" s="1444"/>
      <c r="I60" s="1444"/>
      <c r="J60" s="1444"/>
      <c r="K60" s="1444"/>
      <c r="L60" s="1444"/>
      <c r="M60" s="1444"/>
      <c r="N60" s="1444"/>
      <c r="O60" s="1444"/>
      <c r="P60" s="1444"/>
      <c r="Q60" s="1444"/>
      <c r="R60" s="1444"/>
      <c r="S60" s="1444"/>
      <c r="T60" s="1444"/>
      <c r="U60" s="1444"/>
    </row>
    <row r="61" spans="1:21" ht="30" customHeight="1" thickBot="1" x14ac:dyDescent="0.3">
      <c r="A61" s="1171" t="s">
        <v>629</v>
      </c>
      <c r="B61" s="1171" t="s">
        <v>2755</v>
      </c>
      <c r="C61" s="4662" t="s">
        <v>2756</v>
      </c>
      <c r="D61" s="4662">
        <v>0</v>
      </c>
      <c r="E61" s="1444"/>
      <c r="F61" s="1444"/>
      <c r="G61" s="1444"/>
      <c r="H61" s="1444"/>
      <c r="I61" s="1444"/>
      <c r="J61" s="1444"/>
      <c r="K61" s="1444"/>
      <c r="L61" s="1444"/>
      <c r="M61" s="1444"/>
      <c r="N61" s="1444"/>
      <c r="O61" s="1444"/>
      <c r="P61" s="1444"/>
      <c r="Q61" s="1444"/>
      <c r="R61" s="1444"/>
      <c r="S61" s="1444"/>
      <c r="T61" s="1444"/>
      <c r="U61" s="1444"/>
    </row>
    <row r="62" spans="1:21" ht="14.25" thickBot="1" x14ac:dyDescent="0.3">
      <c r="A62" s="1171" t="s">
        <v>629</v>
      </c>
      <c r="B62" s="4662" t="s">
        <v>2697</v>
      </c>
      <c r="C62" s="4662" t="s">
        <v>2757</v>
      </c>
      <c r="D62" s="4662">
        <v>0</v>
      </c>
      <c r="E62" s="1444"/>
      <c r="F62" s="1444"/>
      <c r="G62" s="1444"/>
      <c r="H62" s="1444"/>
      <c r="I62" s="1444"/>
      <c r="J62" s="1444"/>
      <c r="K62" s="1444"/>
      <c r="L62" s="1444"/>
      <c r="M62" s="1444"/>
      <c r="N62" s="1444"/>
      <c r="O62" s="1444"/>
      <c r="P62" s="1444"/>
      <c r="Q62" s="1444"/>
      <c r="R62" s="1444"/>
      <c r="S62" s="1444"/>
      <c r="T62" s="1444"/>
      <c r="U62" s="1444"/>
    </row>
    <row r="63" spans="1:21" ht="22.5" customHeight="1" thickBot="1" x14ac:dyDescent="0.3">
      <c r="A63" s="1171" t="s">
        <v>629</v>
      </c>
      <c r="B63" s="4662"/>
      <c r="C63" s="4662" t="s">
        <v>2758</v>
      </c>
      <c r="D63" s="4662">
        <v>0</v>
      </c>
      <c r="E63" s="1444"/>
      <c r="F63" s="1444"/>
      <c r="G63" s="1444"/>
      <c r="H63" s="1444"/>
      <c r="I63" s="1444"/>
      <c r="J63" s="1444"/>
      <c r="K63" s="1444"/>
      <c r="L63" s="1444"/>
      <c r="M63" s="1444"/>
      <c r="N63" s="1444"/>
      <c r="O63" s="1444"/>
      <c r="P63" s="1444"/>
      <c r="Q63" s="1444"/>
      <c r="R63" s="1444"/>
      <c r="S63" s="1444"/>
      <c r="T63" s="1444"/>
      <c r="U63" s="1444"/>
    </row>
    <row r="64" spans="1:21" ht="15" customHeight="1" thickBot="1" x14ac:dyDescent="0.3">
      <c r="A64" s="1171" t="s">
        <v>629</v>
      </c>
      <c r="B64" s="4662"/>
      <c r="C64" s="4662" t="s">
        <v>2759</v>
      </c>
      <c r="D64" s="4662"/>
      <c r="E64" s="1444"/>
      <c r="F64" s="1444"/>
      <c r="G64" s="1444"/>
      <c r="H64" s="1444"/>
      <c r="I64" s="1444"/>
      <c r="J64" s="1444"/>
      <c r="K64" s="1444"/>
      <c r="L64" s="1444"/>
      <c r="M64" s="1444"/>
      <c r="N64" s="1444"/>
      <c r="O64" s="1444"/>
      <c r="P64" s="1444"/>
      <c r="Q64" s="1444"/>
      <c r="R64" s="1444"/>
      <c r="S64" s="1444"/>
      <c r="T64" s="1444"/>
      <c r="U64" s="1444"/>
    </row>
    <row r="65" spans="1:21" ht="22.5" customHeight="1" thickBot="1" x14ac:dyDescent="0.3">
      <c r="A65" s="1171" t="s">
        <v>629</v>
      </c>
      <c r="B65" s="4662" t="s">
        <v>2760</v>
      </c>
      <c r="C65" s="4662" t="s">
        <v>2761</v>
      </c>
      <c r="D65" s="4662">
        <v>0</v>
      </c>
      <c r="E65" s="1444"/>
      <c r="F65" s="1444"/>
      <c r="G65" s="1444"/>
      <c r="H65" s="1444"/>
      <c r="I65" s="1444"/>
      <c r="J65" s="1444"/>
      <c r="K65" s="1444"/>
      <c r="L65" s="1444"/>
      <c r="M65" s="1444"/>
      <c r="N65" s="1444"/>
      <c r="O65" s="1444"/>
      <c r="P65" s="1444"/>
      <c r="Q65" s="1444"/>
      <c r="R65" s="1444"/>
      <c r="S65" s="1444"/>
      <c r="T65" s="1444"/>
      <c r="U65" s="1444"/>
    </row>
    <row r="66" spans="1:21" ht="15" customHeight="1" thickBot="1" x14ac:dyDescent="0.3">
      <c r="A66" s="1171" t="s">
        <v>629</v>
      </c>
      <c r="B66" s="4662"/>
      <c r="C66" s="4662" t="s">
        <v>2762</v>
      </c>
      <c r="D66" s="4662"/>
      <c r="E66" s="1444"/>
      <c r="F66" s="1444"/>
      <c r="G66" s="1444"/>
      <c r="H66" s="1444"/>
      <c r="I66" s="1444"/>
      <c r="J66" s="1444"/>
      <c r="K66" s="1444"/>
      <c r="L66" s="1444"/>
      <c r="M66" s="1444"/>
      <c r="N66" s="1444"/>
      <c r="O66" s="1444"/>
      <c r="P66" s="1444"/>
      <c r="Q66" s="1444"/>
      <c r="R66" s="1444"/>
      <c r="S66" s="1444"/>
      <c r="T66" s="1444"/>
      <c r="U66" s="1444"/>
    </row>
    <row r="67" spans="1:21" ht="30" customHeight="1" thickBot="1" x14ac:dyDescent="0.3">
      <c r="A67" s="1171" t="s">
        <v>629</v>
      </c>
      <c r="B67" s="1171" t="s">
        <v>2763</v>
      </c>
      <c r="C67" s="4662" t="s">
        <v>2764</v>
      </c>
      <c r="D67" s="4662">
        <v>0</v>
      </c>
      <c r="E67" s="1444"/>
      <c r="F67" s="1444"/>
      <c r="G67" s="1444"/>
      <c r="H67" s="1444"/>
      <c r="I67" s="1444"/>
      <c r="J67" s="1444"/>
      <c r="K67" s="1444"/>
      <c r="L67" s="1444"/>
      <c r="M67" s="1444"/>
      <c r="N67" s="1444"/>
      <c r="O67" s="1444"/>
      <c r="P67" s="1444"/>
      <c r="Q67" s="1444"/>
      <c r="R67" s="1444"/>
      <c r="S67" s="1444"/>
      <c r="T67" s="1444"/>
      <c r="U67" s="1444"/>
    </row>
    <row r="68" spans="1:21" ht="14.25" thickBot="1" x14ac:dyDescent="0.3">
      <c r="A68" s="1171" t="s">
        <v>1275</v>
      </c>
      <c r="B68" s="1171" t="s">
        <v>2765</v>
      </c>
      <c r="C68" s="4661" t="s">
        <v>2766</v>
      </c>
      <c r="D68" s="4661"/>
      <c r="E68" s="1437"/>
      <c r="F68" s="1437"/>
      <c r="G68" s="1437"/>
      <c r="H68" s="1437"/>
      <c r="I68" s="1437"/>
      <c r="J68" s="1437"/>
      <c r="K68" s="1437"/>
      <c r="L68" s="1437"/>
      <c r="M68" s="1437"/>
      <c r="N68" s="1437"/>
      <c r="O68" s="1437"/>
      <c r="P68" s="1437"/>
      <c r="Q68" s="1437"/>
      <c r="R68" s="1437"/>
      <c r="S68" s="1437"/>
      <c r="T68" s="1437"/>
      <c r="U68" s="1437"/>
    </row>
    <row r="69" spans="1:21" ht="14.25" thickBot="1" x14ac:dyDescent="0.3">
      <c r="A69" s="1171" t="s">
        <v>1275</v>
      </c>
      <c r="B69" s="1171" t="s">
        <v>2767</v>
      </c>
      <c r="C69" s="4661"/>
      <c r="D69" s="4661"/>
      <c r="E69" s="1437"/>
      <c r="F69" s="1437"/>
      <c r="G69" s="1437"/>
      <c r="H69" s="1437"/>
      <c r="I69" s="1437"/>
      <c r="J69" s="1437"/>
      <c r="K69" s="1437"/>
      <c r="L69" s="1437"/>
      <c r="M69" s="1437"/>
      <c r="N69" s="1437"/>
      <c r="O69" s="1437"/>
      <c r="P69" s="1437"/>
      <c r="Q69" s="1437"/>
      <c r="R69" s="1437"/>
      <c r="S69" s="1437"/>
      <c r="T69" s="1437"/>
      <c r="U69" s="1437"/>
    </row>
    <row r="70" spans="1:21" ht="14.25" thickBot="1" x14ac:dyDescent="0.3">
      <c r="A70" s="1171" t="s">
        <v>1275</v>
      </c>
      <c r="B70" s="1171" t="s">
        <v>2124</v>
      </c>
      <c r="C70" s="4661"/>
      <c r="D70" s="4661"/>
      <c r="E70" s="1437" t="e">
        <f>'14 Dda Consolidda'!E33</f>
        <v>#REF!</v>
      </c>
      <c r="F70" s="1437" t="e">
        <f>'14 Dda Consolidda'!F33</f>
        <v>#REF!</v>
      </c>
      <c r="G70" s="1437" t="e">
        <f>'14 Dda Consolidda'!G33</f>
        <v>#REF!</v>
      </c>
      <c r="H70" s="1437" t="e">
        <f>'14 Dda Consolidda'!H33</f>
        <v>#REF!</v>
      </c>
      <c r="I70" s="1437" t="e">
        <f>'14 Dda Consolidda'!I33</f>
        <v>#REF!</v>
      </c>
      <c r="J70" s="1437" t="e">
        <f>'14 Dda Consolidda'!J33</f>
        <v>#REF!</v>
      </c>
      <c r="K70" s="1437" t="e">
        <f>'14 Dda Consolidda'!K33</f>
        <v>#REF!</v>
      </c>
      <c r="L70" s="1437" t="e">
        <f>'14 Dda Consolidda'!L33</f>
        <v>#REF!</v>
      </c>
      <c r="M70" s="1437" t="e">
        <f>'14 Dda Consolidda'!M33</f>
        <v>#REF!</v>
      </c>
      <c r="N70" s="1437" t="e">
        <f>'14 Dda Consolidda'!N33</f>
        <v>#REF!</v>
      </c>
      <c r="O70" s="1437" t="e">
        <f>'14 Dda Consolidda'!O33</f>
        <v>#REF!</v>
      </c>
      <c r="P70" s="1437" t="e">
        <f>'14 Dda Consolidda'!P33</f>
        <v>#REF!</v>
      </c>
      <c r="Q70" s="1437" t="e">
        <f>'14 Dda Consolidda'!Q33</f>
        <v>#REF!</v>
      </c>
      <c r="R70" s="1437" t="e">
        <f>'14 Dda Consolidda'!R33</f>
        <v>#REF!</v>
      </c>
      <c r="S70" s="1437" t="e">
        <f>'14 Dda Consolidda'!S33</f>
        <v>#REF!</v>
      </c>
      <c r="T70" s="1437" t="e">
        <f>'14 Dda Consolidda'!T33</f>
        <v>#REF!</v>
      </c>
      <c r="U70" s="1437" t="e">
        <f>'14 Dda Consolidda'!U33</f>
        <v>#REF!</v>
      </c>
    </row>
    <row r="71" spans="1:21" ht="30" customHeight="1" thickBot="1" x14ac:dyDescent="0.3">
      <c r="A71" s="1171" t="s">
        <v>1275</v>
      </c>
      <c r="B71" s="1171" t="s">
        <v>2768</v>
      </c>
      <c r="C71" s="4661"/>
      <c r="D71" s="4661"/>
      <c r="E71" s="1437"/>
      <c r="F71" s="1437"/>
      <c r="G71" s="1437"/>
      <c r="H71" s="1437"/>
      <c r="I71" s="1437"/>
      <c r="J71" s="1437"/>
      <c r="K71" s="1437"/>
      <c r="L71" s="1437"/>
      <c r="M71" s="1437"/>
      <c r="N71" s="1437"/>
      <c r="O71" s="1437"/>
      <c r="P71" s="1437"/>
      <c r="Q71" s="1437"/>
      <c r="R71" s="1437"/>
      <c r="S71" s="1437"/>
      <c r="T71" s="1437"/>
      <c r="U71" s="1437"/>
    </row>
    <row r="72" spans="1:21" ht="27.75" thickBot="1" x14ac:dyDescent="0.3">
      <c r="A72" s="1171" t="s">
        <v>2769</v>
      </c>
      <c r="B72" s="1171" t="s">
        <v>1358</v>
      </c>
      <c r="C72" s="4662" t="s">
        <v>2770</v>
      </c>
      <c r="D72" s="4662">
        <v>0</v>
      </c>
      <c r="E72" s="1444"/>
      <c r="F72" s="1444"/>
      <c r="G72" s="1444"/>
      <c r="H72" s="1444"/>
      <c r="I72" s="1444"/>
      <c r="J72" s="1444"/>
      <c r="K72" s="1444"/>
      <c r="L72" s="1444"/>
      <c r="M72" s="1444"/>
      <c r="N72" s="1444"/>
      <c r="O72" s="1444"/>
      <c r="P72" s="1444"/>
      <c r="Q72" s="1444"/>
      <c r="R72" s="1444"/>
      <c r="S72" s="1444"/>
      <c r="T72" s="1444"/>
      <c r="U72" s="1444"/>
    </row>
    <row r="73" spans="1:21" ht="14.25" thickBot="1" x14ac:dyDescent="0.3">
      <c r="A73" s="1171" t="s">
        <v>61</v>
      </c>
      <c r="B73" s="1171" t="s">
        <v>2771</v>
      </c>
      <c r="C73" s="4661" t="s">
        <v>2772</v>
      </c>
      <c r="D73" s="4661">
        <v>0</v>
      </c>
      <c r="E73" s="909" t="e">
        <f>'14 Dda Consolidda'!E35</f>
        <v>#DIV/0!</v>
      </c>
      <c r="F73" s="909" t="e">
        <f>'14 Dda Consolidda'!F35</f>
        <v>#DIV/0!</v>
      </c>
      <c r="G73" s="909" t="e">
        <f>'14 Dda Consolidda'!G35</f>
        <v>#DIV/0!</v>
      </c>
      <c r="H73" s="909" t="e">
        <f>'14 Dda Consolidda'!H35</f>
        <v>#DIV/0!</v>
      </c>
      <c r="I73" s="909" t="e">
        <f>'14 Dda Consolidda'!I35</f>
        <v>#DIV/0!</v>
      </c>
      <c r="J73" s="909" t="e">
        <f>'14 Dda Consolidda'!J35</f>
        <v>#DIV/0!</v>
      </c>
      <c r="K73" s="909" t="e">
        <f>'14 Dda Consolidda'!K35</f>
        <v>#DIV/0!</v>
      </c>
      <c r="L73" s="909" t="e">
        <f>'14 Dda Consolidda'!L35</f>
        <v>#DIV/0!</v>
      </c>
      <c r="M73" s="909" t="e">
        <f>'14 Dda Consolidda'!M35</f>
        <v>#DIV/0!</v>
      </c>
      <c r="N73" s="909" t="e">
        <f>'14 Dda Consolidda'!N35</f>
        <v>#DIV/0!</v>
      </c>
      <c r="O73" s="909" t="e">
        <f>'14 Dda Consolidda'!O35</f>
        <v>#DIV/0!</v>
      </c>
      <c r="P73" s="909" t="e">
        <f>'14 Dda Consolidda'!P35</f>
        <v>#DIV/0!</v>
      </c>
      <c r="Q73" s="909" t="e">
        <f>'14 Dda Consolidda'!Q35</f>
        <v>#DIV/0!</v>
      </c>
      <c r="R73" s="909" t="e">
        <f>'14 Dda Consolidda'!R35</f>
        <v>#DIV/0!</v>
      </c>
      <c r="S73" s="909" t="e">
        <f>'14 Dda Consolidda'!S35</f>
        <v>#DIV/0!</v>
      </c>
      <c r="T73" s="909" t="e">
        <f>'14 Dda Consolidda'!T35</f>
        <v>#DIV/0!</v>
      </c>
      <c r="U73" s="909" t="e">
        <f>'14 Dda Consolidda'!U35</f>
        <v>#DIV/0!</v>
      </c>
    </row>
    <row r="74" spans="1:21" ht="27.75" thickBot="1" x14ac:dyDescent="0.3">
      <c r="A74" s="1171" t="s">
        <v>2769</v>
      </c>
      <c r="B74" s="1171" t="s">
        <v>2153</v>
      </c>
      <c r="C74" s="4661" t="s">
        <v>2155</v>
      </c>
      <c r="D74" s="4661"/>
      <c r="E74" s="909" t="e">
        <f>'14 Dda Consolidda'!E35</f>
        <v>#DIV/0!</v>
      </c>
      <c r="F74" s="909" t="e">
        <f>'14 Dda Consolidda'!F35</f>
        <v>#DIV/0!</v>
      </c>
      <c r="G74" s="909" t="e">
        <f>'14 Dda Consolidda'!G35</f>
        <v>#DIV/0!</v>
      </c>
      <c r="H74" s="909" t="e">
        <f>'14 Dda Consolidda'!H35</f>
        <v>#DIV/0!</v>
      </c>
      <c r="I74" s="909" t="e">
        <f>'14 Dda Consolidda'!I35</f>
        <v>#DIV/0!</v>
      </c>
      <c r="J74" s="909" t="e">
        <f>'14 Dda Consolidda'!J35</f>
        <v>#DIV/0!</v>
      </c>
      <c r="K74" s="909" t="e">
        <f>'14 Dda Consolidda'!K35</f>
        <v>#DIV/0!</v>
      </c>
      <c r="L74" s="909" t="e">
        <f>'14 Dda Consolidda'!L35</f>
        <v>#DIV/0!</v>
      </c>
      <c r="M74" s="909" t="e">
        <f>'14 Dda Consolidda'!M35</f>
        <v>#DIV/0!</v>
      </c>
      <c r="N74" s="909" t="e">
        <f>'14 Dda Consolidda'!N35</f>
        <v>#DIV/0!</v>
      </c>
      <c r="O74" s="909" t="e">
        <f>'14 Dda Consolidda'!O35</f>
        <v>#DIV/0!</v>
      </c>
      <c r="P74" s="909" t="e">
        <f>'14 Dda Consolidda'!P35</f>
        <v>#DIV/0!</v>
      </c>
      <c r="Q74" s="909" t="e">
        <f>'14 Dda Consolidda'!Q35</f>
        <v>#DIV/0!</v>
      </c>
      <c r="R74" s="909" t="e">
        <f>'14 Dda Consolidda'!R35</f>
        <v>#DIV/0!</v>
      </c>
      <c r="S74" s="909" t="e">
        <f>'14 Dda Consolidda'!S35</f>
        <v>#DIV/0!</v>
      </c>
      <c r="T74" s="909" t="e">
        <f>'14 Dda Consolidda'!T35</f>
        <v>#DIV/0!</v>
      </c>
      <c r="U74" s="909" t="e">
        <f>'14 Dda Consolidda'!U35</f>
        <v>#DIV/0!</v>
      </c>
    </row>
    <row r="75" spans="1:21" ht="27.75" thickBot="1" x14ac:dyDescent="0.3">
      <c r="A75" s="4662" t="s">
        <v>61</v>
      </c>
      <c r="B75" s="1171" t="s">
        <v>2773</v>
      </c>
      <c r="C75" s="4662" t="s">
        <v>2774</v>
      </c>
      <c r="D75" s="4662" t="s">
        <v>2775</v>
      </c>
      <c r="E75" s="1444"/>
      <c r="F75" s="1444"/>
      <c r="G75" s="1444"/>
      <c r="H75" s="1444"/>
      <c r="I75" s="1444"/>
      <c r="J75" s="1444"/>
      <c r="K75" s="1444"/>
      <c r="L75" s="1444"/>
      <c r="M75" s="1444"/>
      <c r="N75" s="1444"/>
      <c r="O75" s="1444"/>
      <c r="P75" s="1444"/>
      <c r="Q75" s="1444"/>
      <c r="R75" s="1444"/>
      <c r="S75" s="1444"/>
      <c r="T75" s="1444"/>
      <c r="U75" s="1444"/>
    </row>
    <row r="76" spans="1:21" ht="23.25" customHeight="1" thickBot="1" x14ac:dyDescent="0.3">
      <c r="A76" s="4662"/>
      <c r="B76" s="1171" t="s">
        <v>2776</v>
      </c>
      <c r="C76" s="4661" t="s">
        <v>2777</v>
      </c>
      <c r="D76" s="4661" t="s">
        <v>2778</v>
      </c>
      <c r="E76" s="909" t="e">
        <f>'14 Dda Consolidda'!E36</f>
        <v>#DIV/0!</v>
      </c>
      <c r="F76" s="909" t="e">
        <f>'14 Dda Consolidda'!F36</f>
        <v>#DIV/0!</v>
      </c>
      <c r="G76" s="909" t="e">
        <f>'14 Dda Consolidda'!G36</f>
        <v>#DIV/0!</v>
      </c>
      <c r="H76" s="909" t="e">
        <f>'14 Dda Consolidda'!H36</f>
        <v>#DIV/0!</v>
      </c>
      <c r="I76" s="909" t="e">
        <f>'14 Dda Consolidda'!I36</f>
        <v>#DIV/0!</v>
      </c>
      <c r="J76" s="909" t="e">
        <f>'14 Dda Consolidda'!J36</f>
        <v>#DIV/0!</v>
      </c>
      <c r="K76" s="909" t="e">
        <f>'14 Dda Consolidda'!K36</f>
        <v>#DIV/0!</v>
      </c>
      <c r="L76" s="909" t="e">
        <f>'14 Dda Consolidda'!L36</f>
        <v>#DIV/0!</v>
      </c>
      <c r="M76" s="909" t="e">
        <f>'14 Dda Consolidda'!M36</f>
        <v>#DIV/0!</v>
      </c>
      <c r="N76" s="909" t="e">
        <f>'14 Dda Consolidda'!N36</f>
        <v>#DIV/0!</v>
      </c>
      <c r="O76" s="909" t="e">
        <f>'14 Dda Consolidda'!O36</f>
        <v>#DIV/0!</v>
      </c>
      <c r="P76" s="909" t="e">
        <f>'14 Dda Consolidda'!P36</f>
        <v>#DIV/0!</v>
      </c>
      <c r="Q76" s="909" t="e">
        <f>'14 Dda Consolidda'!Q36</f>
        <v>#DIV/0!</v>
      </c>
      <c r="R76" s="909" t="e">
        <f>'14 Dda Consolidda'!R36</f>
        <v>#DIV/0!</v>
      </c>
      <c r="S76" s="909" t="e">
        <f>'14 Dda Consolidda'!S36</f>
        <v>#DIV/0!</v>
      </c>
      <c r="T76" s="909" t="e">
        <f>'14 Dda Consolidda'!T36</f>
        <v>#DIV/0!</v>
      </c>
      <c r="U76" s="909" t="e">
        <f>'14 Dda Consolidda'!U36</f>
        <v>#DIV/0!</v>
      </c>
    </row>
    <row r="77" spans="1:21" ht="30" customHeight="1" thickBot="1" x14ac:dyDescent="0.3">
      <c r="A77" s="4662" t="s">
        <v>61</v>
      </c>
      <c r="B77" s="1171" t="s">
        <v>2779</v>
      </c>
      <c r="C77" s="4662" t="s">
        <v>2780</v>
      </c>
      <c r="D77" s="4662" t="s">
        <v>2775</v>
      </c>
      <c r="E77" s="1444"/>
      <c r="F77" s="1444"/>
      <c r="G77" s="1444"/>
      <c r="H77" s="1444"/>
      <c r="I77" s="1444"/>
      <c r="J77" s="1444"/>
      <c r="K77" s="1444"/>
      <c r="L77" s="1444"/>
      <c r="M77" s="1444"/>
      <c r="N77" s="1444"/>
      <c r="O77" s="1444"/>
      <c r="P77" s="1444"/>
      <c r="Q77" s="1444"/>
      <c r="R77" s="1444"/>
      <c r="S77" s="1444"/>
      <c r="T77" s="1444"/>
      <c r="U77" s="1444"/>
    </row>
    <row r="78" spans="1:21" ht="14.25" thickBot="1" x14ac:dyDescent="0.3">
      <c r="A78" s="4662"/>
      <c r="B78" s="1171" t="s">
        <v>2776</v>
      </c>
      <c r="C78" s="4662" t="s">
        <v>2781</v>
      </c>
      <c r="D78" s="4662" t="s">
        <v>2778</v>
      </c>
      <c r="E78" s="1444"/>
      <c r="F78" s="1444"/>
      <c r="G78" s="1444"/>
      <c r="H78" s="1444"/>
      <c r="I78" s="1444"/>
      <c r="J78" s="1444"/>
      <c r="K78" s="1444"/>
      <c r="L78" s="1444"/>
      <c r="M78" s="1444"/>
      <c r="N78" s="1444"/>
      <c r="O78" s="1444"/>
      <c r="P78" s="1444"/>
      <c r="Q78" s="1444"/>
      <c r="R78" s="1444"/>
      <c r="S78" s="1444"/>
      <c r="T78" s="1444"/>
      <c r="U78" s="1444"/>
    </row>
    <row r="79" spans="1:21" ht="27.75" thickBot="1" x14ac:dyDescent="0.3">
      <c r="A79" s="4662" t="s">
        <v>61</v>
      </c>
      <c r="B79" s="1171" t="s">
        <v>2782</v>
      </c>
      <c r="C79" s="4662" t="s">
        <v>2783</v>
      </c>
      <c r="D79" s="4662" t="s">
        <v>2775</v>
      </c>
      <c r="E79" s="1444"/>
      <c r="F79" s="1444"/>
      <c r="G79" s="1444"/>
      <c r="H79" s="1444"/>
      <c r="I79" s="1444"/>
      <c r="J79" s="1444"/>
      <c r="K79" s="1444"/>
      <c r="L79" s="1444"/>
      <c r="M79" s="1444"/>
      <c r="N79" s="1444"/>
      <c r="O79" s="1444"/>
      <c r="P79" s="1444"/>
      <c r="Q79" s="1444"/>
      <c r="R79" s="1444"/>
      <c r="S79" s="1444"/>
      <c r="T79" s="1444"/>
      <c r="U79" s="1444"/>
    </row>
    <row r="80" spans="1:21" ht="26.25" customHeight="1" thickBot="1" x14ac:dyDescent="0.3">
      <c r="A80" s="4662"/>
      <c r="B80" s="1171" t="s">
        <v>2776</v>
      </c>
      <c r="C80" s="4662" t="s">
        <v>2784</v>
      </c>
      <c r="D80" s="4662" t="s">
        <v>2778</v>
      </c>
      <c r="E80" s="1444"/>
      <c r="F80" s="1444"/>
      <c r="G80" s="1444"/>
      <c r="H80" s="1444"/>
      <c r="I80" s="1444"/>
      <c r="J80" s="1444"/>
      <c r="K80" s="1444"/>
      <c r="L80" s="1444"/>
      <c r="M80" s="1444"/>
      <c r="N80" s="1444"/>
      <c r="O80" s="1444"/>
      <c r="P80" s="1444"/>
      <c r="Q80" s="1444"/>
      <c r="R80" s="1444"/>
      <c r="S80" s="1444"/>
      <c r="T80" s="1444"/>
      <c r="U80" s="1444"/>
    </row>
    <row r="81" spans="1:21" ht="27.75" thickBot="1" x14ac:dyDescent="0.3">
      <c r="A81" s="4662" t="s">
        <v>61</v>
      </c>
      <c r="B81" s="1171" t="s">
        <v>2785</v>
      </c>
      <c r="C81" s="4662" t="s">
        <v>2786</v>
      </c>
      <c r="D81" s="4662" t="s">
        <v>2787</v>
      </c>
      <c r="E81" s="1444"/>
      <c r="F81" s="1444"/>
      <c r="G81" s="1444"/>
      <c r="H81" s="1444"/>
      <c r="I81" s="1444"/>
      <c r="J81" s="1444"/>
      <c r="K81" s="1444"/>
      <c r="L81" s="1444"/>
      <c r="M81" s="1444"/>
      <c r="N81" s="1444"/>
      <c r="O81" s="1444"/>
      <c r="P81" s="1444"/>
      <c r="Q81" s="1444"/>
      <c r="R81" s="1444"/>
      <c r="S81" s="1444"/>
      <c r="T81" s="1444"/>
      <c r="U81" s="1444"/>
    </row>
    <row r="82" spans="1:21" ht="14.25" thickBot="1" x14ac:dyDescent="0.3">
      <c r="A82" s="4662"/>
      <c r="B82" s="1171" t="s">
        <v>2776</v>
      </c>
      <c r="C82" s="4662" t="s">
        <v>2788</v>
      </c>
      <c r="D82" s="4662" t="s">
        <v>2778</v>
      </c>
      <c r="E82" s="1444"/>
      <c r="F82" s="1444"/>
      <c r="G82" s="1444"/>
      <c r="H82" s="1444"/>
      <c r="I82" s="1444"/>
      <c r="J82" s="1444"/>
      <c r="K82" s="1444"/>
      <c r="L82" s="1444"/>
      <c r="M82" s="1444"/>
      <c r="N82" s="1444"/>
      <c r="O82" s="1444"/>
      <c r="P82" s="1444"/>
      <c r="Q82" s="1444"/>
      <c r="R82" s="1444"/>
      <c r="S82" s="1444"/>
      <c r="T82" s="1444"/>
      <c r="U82" s="1444"/>
    </row>
    <row r="83" spans="1:21" ht="27.75" thickBot="1" x14ac:dyDescent="0.3">
      <c r="A83" s="4662" t="s">
        <v>61</v>
      </c>
      <c r="B83" s="1171" t="s">
        <v>2789</v>
      </c>
      <c r="C83" s="4662" t="s">
        <v>2790</v>
      </c>
      <c r="D83" s="4662" t="s">
        <v>2787</v>
      </c>
      <c r="E83" s="1444"/>
      <c r="F83" s="1444"/>
      <c r="G83" s="1444"/>
      <c r="H83" s="1444"/>
      <c r="I83" s="1444"/>
      <c r="J83" s="1444"/>
      <c r="K83" s="1444"/>
      <c r="L83" s="1444"/>
      <c r="M83" s="1444"/>
      <c r="N83" s="1444"/>
      <c r="O83" s="1444"/>
      <c r="P83" s="1444"/>
      <c r="Q83" s="1444"/>
      <c r="R83" s="1444"/>
      <c r="S83" s="1444"/>
      <c r="T83" s="1444"/>
      <c r="U83" s="1444"/>
    </row>
    <row r="84" spans="1:21" ht="14.25" thickBot="1" x14ac:dyDescent="0.3">
      <c r="A84" s="4662"/>
      <c r="B84" s="1171" t="s">
        <v>2776</v>
      </c>
      <c r="C84" s="4662" t="s">
        <v>2791</v>
      </c>
      <c r="D84" s="4662" t="s">
        <v>2778</v>
      </c>
      <c r="E84" s="1444"/>
      <c r="F84" s="1444"/>
      <c r="G84" s="1444"/>
      <c r="H84" s="1444"/>
      <c r="I84" s="1444"/>
      <c r="J84" s="1444"/>
      <c r="K84" s="1444"/>
      <c r="L84" s="1444"/>
      <c r="M84" s="1444"/>
      <c r="N84" s="1444"/>
      <c r="O84" s="1444"/>
      <c r="P84" s="1444"/>
      <c r="Q84" s="1444"/>
      <c r="R84" s="1444"/>
      <c r="S84" s="1444"/>
      <c r="T84" s="1444"/>
      <c r="U84" s="1444"/>
    </row>
    <row r="85" spans="1:21" ht="14.25" thickBot="1" x14ac:dyDescent="0.3">
      <c r="A85" s="1171" t="s">
        <v>61</v>
      </c>
      <c r="B85" s="1171" t="s">
        <v>2792</v>
      </c>
      <c r="C85" s="4662" t="s">
        <v>2793</v>
      </c>
      <c r="D85" s="4662"/>
      <c r="E85" s="1444"/>
      <c r="F85" s="1444"/>
      <c r="G85" s="1444"/>
      <c r="H85" s="1444"/>
      <c r="I85" s="1444"/>
      <c r="J85" s="1444"/>
      <c r="K85" s="1444"/>
      <c r="L85" s="1444"/>
      <c r="M85" s="1444"/>
      <c r="N85" s="1444"/>
      <c r="O85" s="1444"/>
      <c r="P85" s="1444"/>
      <c r="Q85" s="1444"/>
      <c r="R85" s="1444"/>
      <c r="S85" s="1444"/>
      <c r="T85" s="1444"/>
      <c r="U85" s="1444"/>
    </row>
    <row r="86" spans="1:21" ht="27.75" thickBot="1" x14ac:dyDescent="0.3">
      <c r="A86" s="1171" t="s">
        <v>2794</v>
      </c>
      <c r="B86" s="1171" t="s">
        <v>2795</v>
      </c>
      <c r="C86" s="4662" t="s">
        <v>2165</v>
      </c>
      <c r="D86" s="4662">
        <v>0</v>
      </c>
      <c r="E86" s="1444"/>
      <c r="F86" s="1444"/>
      <c r="G86" s="1444"/>
      <c r="H86" s="1444"/>
      <c r="I86" s="1444"/>
      <c r="J86" s="1444"/>
      <c r="K86" s="1444"/>
      <c r="L86" s="1444"/>
      <c r="M86" s="1444"/>
      <c r="N86" s="1444"/>
      <c r="O86" s="1444"/>
      <c r="P86" s="1444"/>
      <c r="Q86" s="1444"/>
      <c r="R86" s="1444"/>
      <c r="S86" s="1444"/>
      <c r="T86" s="1444"/>
      <c r="U86" s="1444"/>
    </row>
    <row r="87" spans="1:21" ht="24.75" customHeight="1" thickBot="1" x14ac:dyDescent="0.3">
      <c r="A87" s="1171" t="s">
        <v>1278</v>
      </c>
      <c r="B87" s="1171" t="s">
        <v>2796</v>
      </c>
      <c r="C87" s="4661" t="s">
        <v>2165</v>
      </c>
      <c r="D87" s="4661">
        <v>0</v>
      </c>
      <c r="E87" s="1437">
        <f>'14 Dda Consolidda'!E38</f>
        <v>43.927999999999997</v>
      </c>
      <c r="F87" s="1437">
        <f>'14 Dda Consolidda'!F38</f>
        <v>43.945022422759564</v>
      </c>
      <c r="G87" s="1437">
        <f>'14 Dda Consolidda'!G38</f>
        <v>43.962051441833012</v>
      </c>
      <c r="H87" s="1437">
        <f>'14 Dda Consolidda'!H38</f>
        <v>43.979087059776482</v>
      </c>
      <c r="I87" s="1437">
        <f>'14 Dda Consolidda'!I38</f>
        <v>43.99612927914707</v>
      </c>
      <c r="J87" s="1437">
        <f>'14 Dda Consolidda'!J38</f>
        <v>44.013178102502877</v>
      </c>
      <c r="K87" s="1437">
        <f>'14 Dda Consolidda'!K38</f>
        <v>44.030233532403003</v>
      </c>
      <c r="L87" s="1437">
        <f>'14 Dda Consolidda'!L38</f>
        <v>44.047295571407531</v>
      </c>
      <c r="M87" s="1437">
        <f>'14 Dda Consolidda'!M38</f>
        <v>44.064364222077536</v>
      </c>
      <c r="N87" s="1437">
        <f>'14 Dda Consolidda'!N38</f>
        <v>44.081439486975071</v>
      </c>
      <c r="O87" s="1437">
        <f>'14 Dda Consolidda'!O38</f>
        <v>44.098521368663235</v>
      </c>
      <c r="P87" s="1437">
        <f>'14 Dda Consolidda'!P38</f>
        <v>44.115609869706063</v>
      </c>
      <c r="Q87" s="1437">
        <f>'14 Dda Consolidda'!Q38</f>
        <v>44.132704992668593</v>
      </c>
      <c r="R87" s="1437">
        <f>'14 Dda Consolidda'!R38</f>
        <v>44.149806740116873</v>
      </c>
      <c r="S87" s="1437">
        <f>'14 Dda Consolidda'!S38</f>
        <v>44.16691511461795</v>
      </c>
      <c r="T87" s="1437">
        <f>'14 Dda Consolidda'!T38</f>
        <v>44.184030118739855</v>
      </c>
      <c r="U87" s="1437">
        <f>'14 Dda Consolidda'!U38</f>
        <v>44.201151755051598</v>
      </c>
    </row>
    <row r="88" spans="1:21" ht="27.75" thickBot="1" x14ac:dyDescent="0.3">
      <c r="A88" s="1171" t="s">
        <v>1278</v>
      </c>
      <c r="B88" s="1171" t="s">
        <v>2796</v>
      </c>
      <c r="C88" s="4662" t="s">
        <v>2797</v>
      </c>
      <c r="D88" s="4662"/>
      <c r="E88" s="1444"/>
      <c r="F88" s="1444"/>
      <c r="G88" s="1444"/>
      <c r="H88" s="1444"/>
      <c r="I88" s="1444"/>
      <c r="J88" s="1444"/>
      <c r="K88" s="1444"/>
      <c r="L88" s="1444"/>
      <c r="M88" s="1444"/>
      <c r="N88" s="1444"/>
      <c r="O88" s="1444"/>
      <c r="P88" s="1444"/>
      <c r="Q88" s="1444"/>
      <c r="R88" s="1444"/>
      <c r="S88" s="1444"/>
      <c r="T88" s="1444"/>
      <c r="U88" s="1444"/>
    </row>
    <row r="89" spans="1:21" ht="27.75" thickBot="1" x14ac:dyDescent="0.3">
      <c r="A89" s="1171" t="s">
        <v>1278</v>
      </c>
      <c r="B89" s="1171" t="s">
        <v>2796</v>
      </c>
      <c r="C89" s="4662" t="s">
        <v>2798</v>
      </c>
      <c r="D89" s="4662"/>
      <c r="E89" s="1444"/>
      <c r="F89" s="1444"/>
      <c r="G89" s="1444"/>
      <c r="H89" s="1444"/>
      <c r="I89" s="1444"/>
      <c r="J89" s="1444"/>
      <c r="K89" s="1444"/>
      <c r="L89" s="1444"/>
      <c r="M89" s="1444"/>
      <c r="N89" s="1444"/>
      <c r="O89" s="1444"/>
      <c r="P89" s="1444"/>
      <c r="Q89" s="1444"/>
      <c r="R89" s="1444"/>
      <c r="S89" s="1444"/>
      <c r="T89" s="1444"/>
      <c r="U89" s="1444"/>
    </row>
    <row r="90" spans="1:21" ht="30" customHeight="1" thickBot="1" x14ac:dyDescent="0.3">
      <c r="A90" s="1171" t="s">
        <v>2799</v>
      </c>
      <c r="B90" s="1171" t="s">
        <v>2800</v>
      </c>
      <c r="C90" s="4662" t="s">
        <v>2801</v>
      </c>
      <c r="D90" s="4662"/>
      <c r="E90" s="1444"/>
      <c r="F90" s="1444"/>
      <c r="G90" s="1444"/>
      <c r="H90" s="1444"/>
      <c r="I90" s="1444"/>
      <c r="J90" s="1444"/>
      <c r="K90" s="1444"/>
      <c r="L90" s="1444"/>
      <c r="M90" s="1444"/>
      <c r="N90" s="1444"/>
      <c r="O90" s="1444"/>
      <c r="P90" s="1444"/>
      <c r="Q90" s="1444"/>
      <c r="R90" s="1444"/>
      <c r="S90" s="1444"/>
      <c r="T90" s="1444"/>
      <c r="U90" s="1444"/>
    </row>
    <row r="91" spans="1:21" ht="27.75" thickBot="1" x14ac:dyDescent="0.3">
      <c r="A91" s="1171" t="s">
        <v>2799</v>
      </c>
      <c r="B91" s="1171" t="s">
        <v>2802</v>
      </c>
      <c r="C91" s="4662" t="s">
        <v>2803</v>
      </c>
      <c r="D91" s="4662">
        <v>0</v>
      </c>
      <c r="E91" s="1444"/>
      <c r="F91" s="1444"/>
      <c r="G91" s="1444"/>
      <c r="H91" s="1444"/>
      <c r="I91" s="1444"/>
      <c r="J91" s="1444"/>
      <c r="K91" s="1444"/>
      <c r="L91" s="1444"/>
      <c r="M91" s="1444"/>
      <c r="N91" s="1444"/>
      <c r="O91" s="1444"/>
      <c r="P91" s="1444"/>
      <c r="Q91" s="1444"/>
      <c r="R91" s="1444"/>
      <c r="S91" s="1444"/>
      <c r="T91" s="1444"/>
      <c r="U91" s="1444"/>
    </row>
    <row r="92" spans="1:21" ht="22.5" customHeight="1" thickBot="1" x14ac:dyDescent="0.3">
      <c r="A92" s="4662" t="s">
        <v>2799</v>
      </c>
      <c r="B92" s="4662" t="s">
        <v>2804</v>
      </c>
      <c r="C92" s="4662" t="s">
        <v>2805</v>
      </c>
      <c r="D92" s="1171" t="s">
        <v>2806</v>
      </c>
      <c r="E92" s="1444"/>
      <c r="F92" s="1444"/>
      <c r="G92" s="1444"/>
      <c r="H92" s="1444"/>
      <c r="I92" s="1444"/>
      <c r="J92" s="1444"/>
      <c r="K92" s="1444"/>
      <c r="L92" s="1444"/>
      <c r="M92" s="1444"/>
      <c r="N92" s="1444"/>
      <c r="O92" s="1444"/>
      <c r="P92" s="1444"/>
      <c r="Q92" s="1444"/>
      <c r="R92" s="1444"/>
      <c r="S92" s="1444"/>
      <c r="T92" s="1444"/>
      <c r="U92" s="1444"/>
    </row>
    <row r="93" spans="1:21" ht="32.25" customHeight="1" thickBot="1" x14ac:dyDescent="0.3">
      <c r="A93" s="4662"/>
      <c r="B93" s="4662"/>
      <c r="C93" s="4662"/>
      <c r="D93" s="1171" t="s">
        <v>2807</v>
      </c>
      <c r="E93" s="1444"/>
      <c r="F93" s="1444"/>
      <c r="G93" s="1444"/>
      <c r="H93" s="1444"/>
      <c r="I93" s="1444"/>
      <c r="J93" s="1444"/>
      <c r="K93" s="1444"/>
      <c r="L93" s="1444"/>
      <c r="M93" s="1444"/>
      <c r="N93" s="1444"/>
      <c r="O93" s="1444"/>
      <c r="P93" s="1444"/>
      <c r="Q93" s="1444"/>
      <c r="R93" s="1444"/>
      <c r="S93" s="1444"/>
      <c r="T93" s="1444"/>
      <c r="U93" s="1444"/>
    </row>
    <row r="94" spans="1:21" ht="32.25" customHeight="1" thickBot="1" x14ac:dyDescent="0.3">
      <c r="A94" s="4662"/>
      <c r="B94" s="4662"/>
      <c r="C94" s="4662"/>
      <c r="D94" s="1166" t="s">
        <v>2808</v>
      </c>
      <c r="E94" s="1444"/>
      <c r="F94" s="1444"/>
      <c r="G94" s="1444"/>
      <c r="H94" s="1444"/>
      <c r="I94" s="1444"/>
      <c r="J94" s="1444"/>
      <c r="K94" s="1444"/>
      <c r="L94" s="1444"/>
      <c r="M94" s="1444"/>
      <c r="N94" s="1444"/>
      <c r="O94" s="1444"/>
      <c r="P94" s="1444"/>
      <c r="Q94" s="1444"/>
      <c r="R94" s="1444"/>
      <c r="S94" s="1444"/>
      <c r="T94" s="1444"/>
      <c r="U94" s="1444"/>
    </row>
    <row r="95" spans="1:21" ht="30" customHeight="1" thickBot="1" x14ac:dyDescent="0.3">
      <c r="A95" s="1171" t="s">
        <v>2799</v>
      </c>
      <c r="B95" s="1171" t="s">
        <v>2809</v>
      </c>
      <c r="C95" s="4662" t="s">
        <v>2810</v>
      </c>
      <c r="D95" s="4662"/>
      <c r="E95" s="1444"/>
      <c r="F95" s="1444"/>
      <c r="G95" s="1444"/>
      <c r="H95" s="1444"/>
      <c r="I95" s="1444"/>
      <c r="J95" s="1444"/>
      <c r="K95" s="1444"/>
      <c r="L95" s="1444"/>
      <c r="M95" s="1444"/>
      <c r="N95" s="1444"/>
      <c r="O95" s="1444"/>
      <c r="P95" s="1444"/>
      <c r="Q95" s="1444"/>
      <c r="R95" s="1444"/>
      <c r="S95" s="1444"/>
      <c r="T95" s="1444"/>
      <c r="U95" s="1444"/>
    </row>
    <row r="96" spans="1:21" ht="30" customHeight="1" thickBot="1" x14ac:dyDescent="0.3">
      <c r="A96" s="1171" t="s">
        <v>2799</v>
      </c>
      <c r="B96" s="1171" t="s">
        <v>2811</v>
      </c>
      <c r="C96" s="4662" t="s">
        <v>2812</v>
      </c>
      <c r="D96" s="4662">
        <v>0</v>
      </c>
      <c r="E96" s="1444"/>
      <c r="F96" s="1444"/>
      <c r="G96" s="1444"/>
      <c r="H96" s="1444"/>
      <c r="I96" s="1444"/>
      <c r="J96" s="1444"/>
      <c r="K96" s="1444"/>
      <c r="L96" s="1444"/>
      <c r="M96" s="1444"/>
      <c r="N96" s="1444"/>
      <c r="O96" s="1444"/>
      <c r="P96" s="1444"/>
      <c r="Q96" s="1444"/>
      <c r="R96" s="1444"/>
      <c r="S96" s="1444"/>
      <c r="T96" s="1444"/>
      <c r="U96" s="1444"/>
    </row>
    <row r="97" spans="1:21" ht="30" customHeight="1" thickBot="1" x14ac:dyDescent="0.3">
      <c r="A97" s="1171" t="s">
        <v>2799</v>
      </c>
      <c r="B97" s="1171" t="s">
        <v>2813</v>
      </c>
      <c r="C97" s="4662" t="s">
        <v>2814</v>
      </c>
      <c r="D97" s="4662">
        <v>0</v>
      </c>
      <c r="E97" s="1444"/>
      <c r="F97" s="1444"/>
      <c r="G97" s="1444"/>
      <c r="H97" s="1444"/>
      <c r="I97" s="1444"/>
      <c r="J97" s="1444"/>
      <c r="K97" s="1444"/>
      <c r="L97" s="1444"/>
      <c r="M97" s="1444"/>
      <c r="N97" s="1444"/>
      <c r="O97" s="1444"/>
      <c r="P97" s="1444"/>
      <c r="Q97" s="1444"/>
      <c r="R97" s="1444"/>
      <c r="S97" s="1444"/>
      <c r="T97" s="1444"/>
      <c r="U97" s="1444"/>
    </row>
    <row r="98" spans="1:21" ht="27.75" thickBot="1" x14ac:dyDescent="0.3">
      <c r="A98" s="1171" t="s">
        <v>2799</v>
      </c>
      <c r="B98" s="1171" t="s">
        <v>2815</v>
      </c>
      <c r="C98" s="4662" t="s">
        <v>2816</v>
      </c>
      <c r="D98" s="4662">
        <v>0</v>
      </c>
      <c r="E98" s="1444"/>
      <c r="F98" s="1444"/>
      <c r="G98" s="1444"/>
      <c r="H98" s="1444"/>
      <c r="I98" s="1444"/>
      <c r="J98" s="1444"/>
      <c r="K98" s="1444"/>
      <c r="L98" s="1444"/>
      <c r="M98" s="1444"/>
      <c r="N98" s="1444"/>
      <c r="O98" s="1444"/>
      <c r="P98" s="1444"/>
      <c r="Q98" s="1444"/>
      <c r="R98" s="1444"/>
      <c r="S98" s="1444"/>
      <c r="T98" s="1444"/>
      <c r="U98" s="1444"/>
    </row>
    <row r="99" spans="1:21" ht="14.25" thickBot="1" x14ac:dyDescent="0.3">
      <c r="A99" s="1171" t="s">
        <v>427</v>
      </c>
      <c r="B99" s="1171" t="s">
        <v>1347</v>
      </c>
      <c r="C99" s="4661" t="s">
        <v>2817</v>
      </c>
      <c r="D99" s="4661">
        <v>0</v>
      </c>
      <c r="E99" s="1437" t="e">
        <f>SUM('14 Dda Consolidda'!E41:E45)</f>
        <v>#DIV/0!</v>
      </c>
      <c r="F99" s="1437" t="e">
        <f>SUM('14 Dda Consolidda'!F41:F45)</f>
        <v>#DIV/0!</v>
      </c>
      <c r="G99" s="1437" t="e">
        <f>SUM('14 Dda Consolidda'!G41:G45)</f>
        <v>#DIV/0!</v>
      </c>
      <c r="H99" s="1437" t="e">
        <f>SUM('14 Dda Consolidda'!H41:H45)</f>
        <v>#DIV/0!</v>
      </c>
      <c r="I99" s="1437" t="e">
        <f>SUM('14 Dda Consolidda'!I41:I45)</f>
        <v>#DIV/0!</v>
      </c>
      <c r="J99" s="1437" t="e">
        <f>SUM('14 Dda Consolidda'!J41:J45)</f>
        <v>#DIV/0!</v>
      </c>
      <c r="K99" s="1437" t="e">
        <f>SUM('14 Dda Consolidda'!K41:K45)</f>
        <v>#DIV/0!</v>
      </c>
      <c r="L99" s="1437" t="e">
        <f>SUM('14 Dda Consolidda'!L41:L45)</f>
        <v>#DIV/0!</v>
      </c>
      <c r="M99" s="1437" t="e">
        <f>SUM('14 Dda Consolidda'!M41:M45)</f>
        <v>#DIV/0!</v>
      </c>
      <c r="N99" s="1437" t="e">
        <f>SUM('14 Dda Consolidda'!N41:N45)</f>
        <v>#DIV/0!</v>
      </c>
      <c r="O99" s="1437" t="e">
        <f>SUM('14 Dda Consolidda'!O41:O45)</f>
        <v>#DIV/0!</v>
      </c>
      <c r="P99" s="1437" t="e">
        <f>SUM('14 Dda Consolidda'!P41:P45)</f>
        <v>#DIV/0!</v>
      </c>
      <c r="Q99" s="1437" t="e">
        <f>SUM('14 Dda Consolidda'!Q41:Q45)</f>
        <v>#DIV/0!</v>
      </c>
      <c r="R99" s="1437" t="e">
        <f>SUM('14 Dda Consolidda'!R41:R45)</f>
        <v>#DIV/0!</v>
      </c>
      <c r="S99" s="1437" t="e">
        <f>SUM('14 Dda Consolidda'!S41:S45)</f>
        <v>#DIV/0!</v>
      </c>
      <c r="T99" s="1437" t="e">
        <f>SUM('14 Dda Consolidda'!T41:T45)</f>
        <v>#DIV/0!</v>
      </c>
      <c r="U99" s="1437" t="e">
        <f>SUM('14 Dda Consolidda'!U41:U45)</f>
        <v>#DIV/0!</v>
      </c>
    </row>
    <row r="100" spans="1:21" ht="27" customHeight="1" thickBot="1" x14ac:dyDescent="0.3">
      <c r="A100" s="1171" t="s">
        <v>115</v>
      </c>
      <c r="B100" s="1171" t="s">
        <v>2818</v>
      </c>
      <c r="C100" s="4665" t="s">
        <v>2819</v>
      </c>
      <c r="D100" s="4665">
        <v>-1</v>
      </c>
      <c r="E100" s="1444"/>
      <c r="F100" s="1444"/>
      <c r="G100" s="1444"/>
      <c r="H100" s="1444"/>
      <c r="I100" s="1444"/>
      <c r="J100" s="1444"/>
      <c r="K100" s="1444"/>
      <c r="L100" s="1444"/>
      <c r="M100" s="1444"/>
      <c r="N100" s="1444"/>
      <c r="O100" s="1444"/>
      <c r="P100" s="1444"/>
      <c r="Q100" s="1444"/>
      <c r="R100" s="1444"/>
      <c r="S100" s="1444"/>
      <c r="T100" s="1444"/>
      <c r="U100" s="1444"/>
    </row>
    <row r="101" spans="1:21" ht="27" customHeight="1" thickBot="1" x14ac:dyDescent="0.3">
      <c r="A101" s="1171" t="s">
        <v>115</v>
      </c>
      <c r="B101" s="1171" t="s">
        <v>2820</v>
      </c>
      <c r="C101" s="4662" t="s">
        <v>2821</v>
      </c>
      <c r="D101" s="4662">
        <v>0</v>
      </c>
      <c r="E101" s="1444"/>
      <c r="F101" s="1444"/>
      <c r="G101" s="1444"/>
      <c r="H101" s="1444"/>
      <c r="I101" s="1444"/>
      <c r="J101" s="1444"/>
      <c r="K101" s="1444"/>
      <c r="L101" s="1444"/>
      <c r="M101" s="1444"/>
      <c r="N101" s="1444"/>
      <c r="O101" s="1444"/>
      <c r="P101" s="1444"/>
      <c r="Q101" s="1444"/>
      <c r="R101" s="1444"/>
      <c r="S101" s="1444"/>
      <c r="T101" s="1444"/>
      <c r="U101" s="1444"/>
    </row>
    <row r="102" spans="1:21" ht="27" customHeight="1" thickBot="1" x14ac:dyDescent="0.3">
      <c r="A102" s="1171" t="s">
        <v>115</v>
      </c>
      <c r="B102" s="1171" t="s">
        <v>2822</v>
      </c>
      <c r="C102" s="4662" t="s">
        <v>2823</v>
      </c>
      <c r="D102" s="4662">
        <v>0</v>
      </c>
      <c r="E102" s="1444"/>
      <c r="F102" s="1444"/>
      <c r="G102" s="1444"/>
      <c r="H102" s="1444"/>
      <c r="I102" s="1444"/>
      <c r="J102" s="1444"/>
      <c r="K102" s="1444"/>
      <c r="L102" s="1444"/>
      <c r="M102" s="1444"/>
      <c r="N102" s="1444"/>
      <c r="O102" s="1444"/>
      <c r="P102" s="1444"/>
      <c r="Q102" s="1444"/>
      <c r="R102" s="1444"/>
      <c r="S102" s="1444"/>
      <c r="T102" s="1444"/>
      <c r="U102" s="1444"/>
    </row>
    <row r="103" spans="1:21" ht="19.5" customHeight="1" thickBot="1" x14ac:dyDescent="0.3">
      <c r="A103" s="1171" t="s">
        <v>115</v>
      </c>
      <c r="B103" s="1171" t="s">
        <v>2824</v>
      </c>
      <c r="C103" s="4662" t="s">
        <v>2825</v>
      </c>
      <c r="D103" s="4662">
        <v>0</v>
      </c>
      <c r="E103" s="1444"/>
      <c r="F103" s="1444"/>
      <c r="G103" s="1444"/>
      <c r="H103" s="1444"/>
      <c r="I103" s="1444"/>
      <c r="J103" s="1444"/>
      <c r="K103" s="1444"/>
      <c r="L103" s="1444"/>
      <c r="M103" s="1444"/>
      <c r="N103" s="1444"/>
      <c r="O103" s="1444"/>
      <c r="P103" s="1444"/>
      <c r="Q103" s="1444"/>
      <c r="R103" s="1444"/>
      <c r="S103" s="1444"/>
      <c r="T103" s="1444"/>
      <c r="U103" s="1444"/>
    </row>
    <row r="104" spans="1:21" ht="29.25" customHeight="1" thickBot="1" x14ac:dyDescent="0.3">
      <c r="A104" s="4662" t="s">
        <v>115</v>
      </c>
      <c r="B104" s="4662" t="s">
        <v>2826</v>
      </c>
      <c r="C104" s="4662" t="s">
        <v>2827</v>
      </c>
      <c r="D104" s="1171" t="s">
        <v>2828</v>
      </c>
      <c r="E104" s="1444"/>
      <c r="F104" s="1444"/>
      <c r="G104" s="1444"/>
      <c r="H104" s="1444"/>
      <c r="I104" s="1444"/>
      <c r="J104" s="1444"/>
      <c r="K104" s="1444"/>
      <c r="L104" s="1444"/>
      <c r="M104" s="1444"/>
      <c r="N104" s="1444"/>
      <c r="O104" s="1444"/>
      <c r="P104" s="1444"/>
      <c r="Q104" s="1444"/>
      <c r="R104" s="1444"/>
      <c r="S104" s="1444"/>
      <c r="T104" s="1444"/>
      <c r="U104" s="1444"/>
    </row>
    <row r="105" spans="1:21" ht="19.5" customHeight="1" thickBot="1" x14ac:dyDescent="0.3">
      <c r="A105" s="4662"/>
      <c r="B105" s="4662"/>
      <c r="C105" s="4662"/>
      <c r="D105" s="1171" t="s">
        <v>2829</v>
      </c>
      <c r="E105" s="1444"/>
      <c r="F105" s="1444"/>
      <c r="G105" s="1444"/>
      <c r="H105" s="1444"/>
      <c r="I105" s="1444"/>
      <c r="J105" s="1444"/>
      <c r="K105" s="1444"/>
      <c r="L105" s="1444"/>
      <c r="M105" s="1444"/>
      <c r="N105" s="1444"/>
      <c r="O105" s="1444"/>
      <c r="P105" s="1444"/>
      <c r="Q105" s="1444"/>
      <c r="R105" s="1444"/>
      <c r="S105" s="1444"/>
      <c r="T105" s="1444"/>
      <c r="U105" s="1444"/>
    </row>
    <row r="106" spans="1:21" ht="19.5" customHeight="1" thickBot="1" x14ac:dyDescent="0.3">
      <c r="A106" s="4662"/>
      <c r="B106" s="4662"/>
      <c r="C106" s="4662"/>
      <c r="D106" s="1171" t="s">
        <v>611</v>
      </c>
      <c r="E106" s="1444"/>
      <c r="F106" s="1444"/>
      <c r="G106" s="1444"/>
      <c r="H106" s="1444"/>
      <c r="I106" s="1444"/>
      <c r="J106" s="1444"/>
      <c r="K106" s="1444"/>
      <c r="L106" s="1444"/>
      <c r="M106" s="1444"/>
      <c r="N106" s="1444"/>
      <c r="O106" s="1444"/>
      <c r="P106" s="1444"/>
      <c r="Q106" s="1444"/>
      <c r="R106" s="1444"/>
      <c r="S106" s="1444"/>
      <c r="T106" s="1444"/>
      <c r="U106" s="1444"/>
    </row>
    <row r="107" spans="1:21" ht="25.5" customHeight="1" thickBot="1" x14ac:dyDescent="0.3">
      <c r="A107" s="1171" t="s">
        <v>115</v>
      </c>
      <c r="B107" s="1171" t="s">
        <v>2830</v>
      </c>
      <c r="C107" s="4662" t="s">
        <v>2831</v>
      </c>
      <c r="D107" s="4662"/>
      <c r="E107" s="1444"/>
      <c r="F107" s="1444"/>
      <c r="G107" s="1444"/>
      <c r="H107" s="1444"/>
      <c r="I107" s="1444"/>
      <c r="J107" s="1444"/>
      <c r="K107" s="1444"/>
      <c r="L107" s="1444"/>
      <c r="M107" s="1444"/>
      <c r="N107" s="1444"/>
      <c r="O107" s="1444"/>
      <c r="P107" s="1444"/>
      <c r="Q107" s="1444"/>
      <c r="R107" s="1444"/>
      <c r="S107" s="1444"/>
      <c r="T107" s="1444"/>
      <c r="U107" s="1444"/>
    </row>
    <row r="108" spans="1:21" ht="19.5" customHeight="1" thickBot="1" x14ac:dyDescent="0.3">
      <c r="A108" s="4662" t="s">
        <v>115</v>
      </c>
      <c r="B108" s="4662" t="s">
        <v>2832</v>
      </c>
      <c r="C108" s="4662" t="s">
        <v>2833</v>
      </c>
      <c r="D108" s="1171" t="s">
        <v>2834</v>
      </c>
      <c r="E108" s="1437"/>
      <c r="F108" s="1437"/>
      <c r="G108" s="1437"/>
      <c r="H108" s="1437"/>
      <c r="I108" s="1437"/>
      <c r="J108" s="1437"/>
      <c r="K108" s="1437"/>
      <c r="L108" s="1437"/>
      <c r="M108" s="1437"/>
      <c r="N108" s="1437"/>
      <c r="O108" s="1437"/>
      <c r="P108" s="1437"/>
      <c r="Q108" s="1437"/>
      <c r="R108" s="1437"/>
      <c r="S108" s="1437"/>
      <c r="T108" s="1437"/>
      <c r="U108" s="1437"/>
    </row>
    <row r="109" spans="1:21" ht="19.5" customHeight="1" thickBot="1" x14ac:dyDescent="0.3">
      <c r="A109" s="4662"/>
      <c r="B109" s="4662"/>
      <c r="C109" s="4662"/>
      <c r="D109" s="1442" t="s">
        <v>2835</v>
      </c>
      <c r="E109" s="1437">
        <f>'14 Dda Consolidda'!E39</f>
        <v>43.927999999999997</v>
      </c>
      <c r="F109" s="1437">
        <f>'14 Dda Consolidda'!F39</f>
        <v>43.945022422759564</v>
      </c>
      <c r="G109" s="1437">
        <f>'14 Dda Consolidda'!G39</f>
        <v>43.962051441833012</v>
      </c>
      <c r="H109" s="1437">
        <f>'14 Dda Consolidda'!H39</f>
        <v>43.979087059776482</v>
      </c>
      <c r="I109" s="1437">
        <f>'14 Dda Consolidda'!I39</f>
        <v>43.99612927914707</v>
      </c>
      <c r="J109" s="1437">
        <f>'14 Dda Consolidda'!J39</f>
        <v>44.013178102502877</v>
      </c>
      <c r="K109" s="1437">
        <f>'14 Dda Consolidda'!K39</f>
        <v>44.030233532403003</v>
      </c>
      <c r="L109" s="1437">
        <f>'14 Dda Consolidda'!L39</f>
        <v>44.047295571407531</v>
      </c>
      <c r="M109" s="1437">
        <f>'14 Dda Consolidda'!M39</f>
        <v>44.064364222077536</v>
      </c>
      <c r="N109" s="1437">
        <f>'14 Dda Consolidda'!N39</f>
        <v>44.081439486975071</v>
      </c>
      <c r="O109" s="1437">
        <f>'14 Dda Consolidda'!O39</f>
        <v>44.098521368663235</v>
      </c>
      <c r="P109" s="1437">
        <f>'14 Dda Consolidda'!P39</f>
        <v>44.115609869706063</v>
      </c>
      <c r="Q109" s="1437">
        <f>'14 Dda Consolidda'!Q39</f>
        <v>44.132704992668593</v>
      </c>
      <c r="R109" s="1437">
        <f>'14 Dda Consolidda'!R39</f>
        <v>44.149806740116873</v>
      </c>
      <c r="S109" s="1437">
        <f>'14 Dda Consolidda'!S39</f>
        <v>44.16691511461795</v>
      </c>
      <c r="T109" s="1437">
        <f>'14 Dda Consolidda'!T39</f>
        <v>44.184030118739855</v>
      </c>
      <c r="U109" s="1437">
        <f>'14 Dda Consolidda'!U39</f>
        <v>44.201151755051598</v>
      </c>
    </row>
    <row r="110" spans="1:21" ht="14.25" thickBot="1" x14ac:dyDescent="0.3">
      <c r="A110" s="1171" t="s">
        <v>2836</v>
      </c>
      <c r="B110" s="1171" t="s">
        <v>2837</v>
      </c>
      <c r="C110" s="4662" t="s">
        <v>2838</v>
      </c>
      <c r="D110" s="4662">
        <v>0</v>
      </c>
      <c r="E110" s="1444"/>
      <c r="F110" s="1444"/>
      <c r="G110" s="1444"/>
      <c r="H110" s="1444"/>
      <c r="I110" s="1444"/>
      <c r="J110" s="1444"/>
      <c r="K110" s="1444"/>
      <c r="L110" s="1444"/>
      <c r="M110" s="1444"/>
      <c r="N110" s="1444"/>
      <c r="O110" s="1444"/>
      <c r="P110" s="1444"/>
      <c r="Q110" s="1444"/>
      <c r="R110" s="1444"/>
      <c r="S110" s="1444"/>
      <c r="T110" s="1444"/>
      <c r="U110" s="1444"/>
    </row>
    <row r="111" spans="1:21" ht="26.25" customHeight="1" thickBot="1" x14ac:dyDescent="0.3">
      <c r="A111" s="4662" t="s">
        <v>1351</v>
      </c>
      <c r="B111" s="4662" t="s">
        <v>2839</v>
      </c>
      <c r="C111" s="4662" t="s">
        <v>2840</v>
      </c>
      <c r="D111" s="1171" t="s">
        <v>2841</v>
      </c>
      <c r="E111" s="1444"/>
      <c r="F111" s="1444"/>
      <c r="G111" s="1444"/>
      <c r="H111" s="1444"/>
      <c r="I111" s="1444"/>
      <c r="J111" s="1444"/>
      <c r="K111" s="1444"/>
      <c r="L111" s="1444"/>
      <c r="M111" s="1444"/>
      <c r="N111" s="1444"/>
      <c r="O111" s="1444"/>
      <c r="P111" s="1444"/>
      <c r="Q111" s="1444"/>
      <c r="R111" s="1444"/>
      <c r="S111" s="1444"/>
      <c r="T111" s="1444"/>
      <c r="U111" s="1444"/>
    </row>
    <row r="112" spans="1:21" ht="14.25" thickBot="1" x14ac:dyDescent="0.3">
      <c r="A112" s="4662"/>
      <c r="B112" s="4662"/>
      <c r="C112" s="4662"/>
      <c r="D112" s="1171" t="s">
        <v>295</v>
      </c>
      <c r="E112" s="1444"/>
      <c r="F112" s="1444"/>
      <c r="G112" s="1444"/>
      <c r="H112" s="1444"/>
      <c r="I112" s="1444"/>
      <c r="J112" s="1444"/>
      <c r="K112" s="1444"/>
      <c r="L112" s="1444"/>
      <c r="M112" s="1444"/>
      <c r="N112" s="1444"/>
      <c r="O112" s="1444"/>
      <c r="P112" s="1444"/>
      <c r="Q112" s="1444"/>
      <c r="R112" s="1444"/>
      <c r="S112" s="1444"/>
      <c r="T112" s="1444"/>
      <c r="U112" s="1444"/>
    </row>
    <row r="113" spans="1:21" ht="15" customHeight="1" thickBot="1" x14ac:dyDescent="0.3">
      <c r="A113" s="4662" t="s">
        <v>1351</v>
      </c>
      <c r="B113" s="4662" t="s">
        <v>2839</v>
      </c>
      <c r="C113" s="4662" t="s">
        <v>2842</v>
      </c>
      <c r="D113" s="1443" t="s">
        <v>2843</v>
      </c>
      <c r="E113" s="1437" t="e">
        <f>'14 Dda Consolidda'!E47</f>
        <v>#DIV/0!</v>
      </c>
      <c r="F113" s="1437" t="e">
        <f>'14 Dda Consolidda'!F47</f>
        <v>#DIV/0!</v>
      </c>
      <c r="G113" s="1437" t="e">
        <f>'14 Dda Consolidda'!G47</f>
        <v>#DIV/0!</v>
      </c>
      <c r="H113" s="1437" t="e">
        <f>'14 Dda Consolidda'!H47</f>
        <v>#DIV/0!</v>
      </c>
      <c r="I113" s="1437" t="e">
        <f>'14 Dda Consolidda'!I47</f>
        <v>#DIV/0!</v>
      </c>
      <c r="J113" s="1437" t="e">
        <f>'14 Dda Consolidda'!J47</f>
        <v>#DIV/0!</v>
      </c>
      <c r="K113" s="1437" t="e">
        <f>'14 Dda Consolidda'!K47</f>
        <v>#DIV/0!</v>
      </c>
      <c r="L113" s="1437" t="e">
        <f>'14 Dda Consolidda'!L47</f>
        <v>#DIV/0!</v>
      </c>
      <c r="M113" s="1437" t="e">
        <f>'14 Dda Consolidda'!M47</f>
        <v>#DIV/0!</v>
      </c>
      <c r="N113" s="1437" t="e">
        <f>'14 Dda Consolidda'!N47</f>
        <v>#DIV/0!</v>
      </c>
      <c r="O113" s="1437" t="e">
        <f>'14 Dda Consolidda'!O47</f>
        <v>#DIV/0!</v>
      </c>
      <c r="P113" s="1437" t="e">
        <f>'14 Dda Consolidda'!P47</f>
        <v>#DIV/0!</v>
      </c>
      <c r="Q113" s="1437" t="e">
        <f>'14 Dda Consolidda'!Q47</f>
        <v>#DIV/0!</v>
      </c>
      <c r="R113" s="1437" t="e">
        <f>'14 Dda Consolidda'!R47</f>
        <v>#DIV/0!</v>
      </c>
      <c r="S113" s="1437" t="e">
        <f>'14 Dda Consolidda'!S47</f>
        <v>#DIV/0!</v>
      </c>
      <c r="T113" s="1437" t="e">
        <f>'14 Dda Consolidda'!T47</f>
        <v>#DIV/0!</v>
      </c>
      <c r="U113" s="1437" t="e">
        <f>'14 Dda Consolidda'!U47</f>
        <v>#DIV/0!</v>
      </c>
    </row>
    <row r="114" spans="1:21" ht="15" customHeight="1" thickBot="1" x14ac:dyDescent="0.3">
      <c r="A114" s="4662"/>
      <c r="B114" s="4662"/>
      <c r="C114" s="4662"/>
      <c r="D114" s="1171" t="s">
        <v>295</v>
      </c>
      <c r="E114" s="1444"/>
      <c r="F114" s="1444"/>
      <c r="G114" s="1444"/>
      <c r="H114" s="1444"/>
      <c r="I114" s="1444"/>
      <c r="J114" s="1444"/>
      <c r="K114" s="1444"/>
      <c r="L114" s="1444"/>
      <c r="M114" s="1444"/>
      <c r="N114" s="1444"/>
      <c r="O114" s="1444"/>
      <c r="P114" s="1444"/>
      <c r="Q114" s="1444"/>
      <c r="R114" s="1444"/>
      <c r="S114" s="1444"/>
      <c r="T114" s="1444"/>
      <c r="U114" s="1444"/>
    </row>
    <row r="115" spans="1:21" ht="25.5" customHeight="1" thickBot="1" x14ac:dyDescent="0.3">
      <c r="A115" s="4662" t="s">
        <v>1351</v>
      </c>
      <c r="B115" s="4662" t="s">
        <v>2844</v>
      </c>
      <c r="C115" s="4662" t="s">
        <v>2845</v>
      </c>
      <c r="D115" s="1171" t="s">
        <v>2841</v>
      </c>
      <c r="E115" s="1444"/>
      <c r="F115" s="1444"/>
      <c r="G115" s="1444"/>
      <c r="H115" s="1444"/>
      <c r="I115" s="1444"/>
      <c r="J115" s="1444"/>
      <c r="K115" s="1444"/>
      <c r="L115" s="1444"/>
      <c r="M115" s="1444"/>
      <c r="N115" s="1444"/>
      <c r="O115" s="1444"/>
      <c r="P115" s="1444"/>
      <c r="Q115" s="1444"/>
      <c r="R115" s="1444"/>
      <c r="S115" s="1444"/>
      <c r="T115" s="1444"/>
      <c r="U115" s="1444"/>
    </row>
    <row r="116" spans="1:21" ht="20.25" customHeight="1" thickBot="1" x14ac:dyDescent="0.3">
      <c r="A116" s="4662"/>
      <c r="B116" s="4662"/>
      <c r="C116" s="4662"/>
      <c r="D116" s="1171" t="s">
        <v>295</v>
      </c>
      <c r="E116" s="1444"/>
      <c r="F116" s="1444"/>
      <c r="G116" s="1444"/>
      <c r="H116" s="1444"/>
      <c r="I116" s="1444"/>
      <c r="J116" s="1444"/>
      <c r="K116" s="1444"/>
      <c r="L116" s="1444"/>
      <c r="M116" s="1444"/>
      <c r="N116" s="1444"/>
      <c r="O116" s="1444"/>
      <c r="P116" s="1444"/>
      <c r="Q116" s="1444"/>
      <c r="R116" s="1444"/>
      <c r="S116" s="1444"/>
      <c r="T116" s="1444"/>
      <c r="U116" s="1444"/>
    </row>
    <row r="117" spans="1:21" ht="26.25" customHeight="1" thickBot="1" x14ac:dyDescent="0.3">
      <c r="A117" s="4662" t="s">
        <v>1351</v>
      </c>
      <c r="B117" s="4662" t="s">
        <v>2846</v>
      </c>
      <c r="C117" s="4662" t="s">
        <v>2847</v>
      </c>
      <c r="D117" s="1171" t="s">
        <v>2841</v>
      </c>
      <c r="E117" s="1444"/>
      <c r="F117" s="1444"/>
      <c r="G117" s="1444"/>
      <c r="H117" s="1444"/>
      <c r="I117" s="1444"/>
      <c r="J117" s="1444"/>
      <c r="K117" s="1444"/>
      <c r="L117" s="1444"/>
      <c r="M117" s="1444"/>
      <c r="N117" s="1444"/>
      <c r="O117" s="1444"/>
      <c r="P117" s="1444"/>
      <c r="Q117" s="1444"/>
      <c r="R117" s="1444"/>
      <c r="S117" s="1444"/>
      <c r="T117" s="1444"/>
      <c r="U117" s="1444"/>
    </row>
    <row r="118" spans="1:21" ht="14.25" thickBot="1" x14ac:dyDescent="0.3">
      <c r="A118" s="4662"/>
      <c r="B118" s="4662"/>
      <c r="C118" s="4662"/>
      <c r="D118" s="1171" t="s">
        <v>295</v>
      </c>
      <c r="E118" s="1444"/>
      <c r="F118" s="1444"/>
      <c r="G118" s="1444"/>
      <c r="H118" s="1444"/>
      <c r="I118" s="1444"/>
      <c r="J118" s="1444"/>
      <c r="K118" s="1444"/>
      <c r="L118" s="1444"/>
      <c r="M118" s="1444"/>
      <c r="N118" s="1444"/>
      <c r="O118" s="1444"/>
      <c r="P118" s="1444"/>
      <c r="Q118" s="1444"/>
      <c r="R118" s="1444"/>
      <c r="S118" s="1444"/>
      <c r="T118" s="1444"/>
      <c r="U118" s="1444"/>
    </row>
    <row r="119" spans="1:21" ht="32.25" customHeight="1" thickBot="1" x14ac:dyDescent="0.3">
      <c r="A119" s="1171" t="s">
        <v>96</v>
      </c>
      <c r="B119" s="1171" t="s">
        <v>2848</v>
      </c>
      <c r="C119" s="4662" t="s">
        <v>2849</v>
      </c>
      <c r="D119" s="4662">
        <v>0</v>
      </c>
      <c r="E119" s="1444"/>
      <c r="F119" s="1444"/>
      <c r="G119" s="1444"/>
      <c r="H119" s="1444"/>
      <c r="I119" s="1444"/>
      <c r="J119" s="1444"/>
      <c r="K119" s="1444"/>
      <c r="L119" s="1444"/>
      <c r="M119" s="1444"/>
      <c r="N119" s="1444"/>
      <c r="O119" s="1444"/>
      <c r="P119" s="1444"/>
      <c r="Q119" s="1444"/>
      <c r="R119" s="1444"/>
      <c r="S119" s="1444"/>
      <c r="T119" s="1444"/>
      <c r="U119" s="1444"/>
    </row>
    <row r="120" spans="1:21" ht="27.75" thickBot="1" x14ac:dyDescent="0.3">
      <c r="A120" s="1171" t="s">
        <v>2850</v>
      </c>
      <c r="B120" s="1171" t="s">
        <v>2851</v>
      </c>
      <c r="C120" s="4662" t="s">
        <v>2852</v>
      </c>
      <c r="D120" s="4662">
        <v>0</v>
      </c>
      <c r="E120" s="1444"/>
      <c r="F120" s="1444"/>
      <c r="G120" s="1444"/>
      <c r="H120" s="1444"/>
      <c r="I120" s="1444"/>
      <c r="J120" s="1444"/>
      <c r="K120" s="1444"/>
      <c r="L120" s="1444"/>
      <c r="M120" s="1444"/>
      <c r="N120" s="1444"/>
      <c r="O120" s="1444"/>
      <c r="P120" s="1444"/>
      <c r="Q120" s="1444"/>
      <c r="R120" s="1444"/>
      <c r="S120" s="1444"/>
      <c r="T120" s="1444"/>
      <c r="U120" s="1444"/>
    </row>
    <row r="121" spans="1:21" ht="19.5" customHeight="1" thickBot="1" x14ac:dyDescent="0.3">
      <c r="A121" s="4662" t="s">
        <v>2853</v>
      </c>
      <c r="B121" s="4662" t="s">
        <v>1979</v>
      </c>
      <c r="C121" s="4662" t="s">
        <v>2678</v>
      </c>
      <c r="D121" s="1442" t="s">
        <v>2854</v>
      </c>
      <c r="E121" s="1437" t="e">
        <f>'14 Dda Consolidda'!E48</f>
        <v>#DIV/0!</v>
      </c>
      <c r="F121" s="1437" t="e">
        <f>'14 Dda Consolidda'!F48</f>
        <v>#DIV/0!</v>
      </c>
      <c r="G121" s="1437" t="e">
        <f>'14 Dda Consolidda'!G48</f>
        <v>#DIV/0!</v>
      </c>
      <c r="H121" s="1437" t="e">
        <f>'14 Dda Consolidda'!H48</f>
        <v>#DIV/0!</v>
      </c>
      <c r="I121" s="1437" t="e">
        <f>'14 Dda Consolidda'!I48</f>
        <v>#DIV/0!</v>
      </c>
      <c r="J121" s="1437" t="e">
        <f>'14 Dda Consolidda'!J48</f>
        <v>#DIV/0!</v>
      </c>
      <c r="K121" s="1437" t="e">
        <f>'14 Dda Consolidda'!K48</f>
        <v>#DIV/0!</v>
      </c>
      <c r="L121" s="1437" t="e">
        <f>'14 Dda Consolidda'!L48</f>
        <v>#DIV/0!</v>
      </c>
      <c r="M121" s="1437" t="e">
        <f>'14 Dda Consolidda'!M48</f>
        <v>#DIV/0!</v>
      </c>
      <c r="N121" s="1437" t="e">
        <f>'14 Dda Consolidda'!N48</f>
        <v>#DIV/0!</v>
      </c>
      <c r="O121" s="1437" t="e">
        <f>'14 Dda Consolidda'!O48</f>
        <v>#DIV/0!</v>
      </c>
      <c r="P121" s="1437" t="e">
        <f>'14 Dda Consolidda'!P48</f>
        <v>#DIV/0!</v>
      </c>
      <c r="Q121" s="1437" t="e">
        <f>'14 Dda Consolidda'!Q48</f>
        <v>#DIV/0!</v>
      </c>
      <c r="R121" s="1437" t="e">
        <f>'14 Dda Consolidda'!R48</f>
        <v>#DIV/0!</v>
      </c>
      <c r="S121" s="1437" t="e">
        <f>'14 Dda Consolidda'!S48</f>
        <v>#DIV/0!</v>
      </c>
      <c r="T121" s="1437" t="e">
        <f>'14 Dda Consolidda'!T48</f>
        <v>#DIV/0!</v>
      </c>
      <c r="U121" s="1437" t="e">
        <f>'14 Dda Consolidda'!U48</f>
        <v>#DIV/0!</v>
      </c>
    </row>
    <row r="122" spans="1:21" ht="14.25" thickBot="1" x14ac:dyDescent="0.3">
      <c r="A122" s="4662"/>
      <c r="B122" s="4662"/>
      <c r="C122" s="4662"/>
      <c r="D122" s="1171" t="s">
        <v>295</v>
      </c>
      <c r="E122" s="1444"/>
      <c r="F122" s="1444"/>
      <c r="G122" s="1444"/>
      <c r="H122" s="1444"/>
      <c r="I122" s="1444"/>
      <c r="J122" s="1444"/>
      <c r="K122" s="1444"/>
      <c r="L122" s="1444"/>
      <c r="M122" s="1444"/>
      <c r="N122" s="1444"/>
      <c r="O122" s="1444"/>
      <c r="P122" s="1444"/>
      <c r="Q122" s="1444"/>
      <c r="R122" s="1444"/>
      <c r="S122" s="1444"/>
      <c r="T122" s="1444"/>
      <c r="U122" s="1444"/>
    </row>
    <row r="123" spans="1:21" ht="14.25" thickBot="1" x14ac:dyDescent="0.3">
      <c r="A123" s="1171" t="s">
        <v>2853</v>
      </c>
      <c r="B123" s="1171" t="s">
        <v>2855</v>
      </c>
      <c r="C123" s="4662" t="s">
        <v>2856</v>
      </c>
      <c r="D123" s="4662">
        <v>0</v>
      </c>
      <c r="E123" s="1444"/>
      <c r="F123" s="1444"/>
      <c r="G123" s="1444"/>
      <c r="H123" s="1444"/>
      <c r="I123" s="1444"/>
      <c r="J123" s="1444"/>
      <c r="K123" s="1444"/>
      <c r="L123" s="1444"/>
      <c r="M123" s="1444"/>
      <c r="N123" s="1444"/>
      <c r="O123" s="1444"/>
      <c r="P123" s="1444"/>
      <c r="Q123" s="1444"/>
      <c r="R123" s="1444"/>
      <c r="S123" s="1444"/>
      <c r="T123" s="1444"/>
      <c r="U123" s="1444"/>
    </row>
    <row r="124" spans="1:21" ht="14.25" thickBot="1" x14ac:dyDescent="0.3">
      <c r="A124" s="1171" t="s">
        <v>2853</v>
      </c>
      <c r="B124" s="1171" t="s">
        <v>2857</v>
      </c>
      <c r="C124" s="4662" t="s">
        <v>2858</v>
      </c>
      <c r="D124" s="4662">
        <v>0</v>
      </c>
      <c r="E124" s="1444"/>
      <c r="F124" s="1444"/>
      <c r="G124" s="1444"/>
      <c r="H124" s="1444"/>
      <c r="I124" s="1444"/>
      <c r="J124" s="1444"/>
      <c r="K124" s="1444"/>
      <c r="L124" s="1444"/>
      <c r="M124" s="1444"/>
      <c r="N124" s="1444"/>
      <c r="O124" s="1444"/>
      <c r="P124" s="1444"/>
      <c r="Q124" s="1444"/>
      <c r="R124" s="1444"/>
      <c r="S124" s="1444"/>
      <c r="T124" s="1444"/>
      <c r="U124" s="1444"/>
    </row>
    <row r="125" spans="1:21" ht="14.25" thickBot="1" x14ac:dyDescent="0.3">
      <c r="A125" s="1171" t="s">
        <v>2853</v>
      </c>
      <c r="B125" s="1171" t="s">
        <v>2859</v>
      </c>
      <c r="C125" s="4661" t="s">
        <v>2860</v>
      </c>
      <c r="D125" s="4661">
        <v>0</v>
      </c>
      <c r="E125" s="1437" t="e">
        <f>'14 Dda Consolidda'!E49</f>
        <v>#DIV/0!</v>
      </c>
      <c r="F125" s="1437" t="e">
        <f>'14 Dda Consolidda'!F49</f>
        <v>#DIV/0!</v>
      </c>
      <c r="G125" s="1437" t="e">
        <f>'14 Dda Consolidda'!G49</f>
        <v>#DIV/0!</v>
      </c>
      <c r="H125" s="1437" t="e">
        <f>'14 Dda Consolidda'!H49</f>
        <v>#DIV/0!</v>
      </c>
      <c r="I125" s="1437" t="e">
        <f>'14 Dda Consolidda'!I49</f>
        <v>#DIV/0!</v>
      </c>
      <c r="J125" s="1437" t="e">
        <f>'14 Dda Consolidda'!J49</f>
        <v>#DIV/0!</v>
      </c>
      <c r="K125" s="1437" t="e">
        <f>'14 Dda Consolidda'!K49</f>
        <v>#DIV/0!</v>
      </c>
      <c r="L125" s="1437" t="e">
        <f>'14 Dda Consolidda'!L49</f>
        <v>#DIV/0!</v>
      </c>
      <c r="M125" s="1437" t="e">
        <f>'14 Dda Consolidda'!M49</f>
        <v>#DIV/0!</v>
      </c>
      <c r="N125" s="1437" t="e">
        <f>'14 Dda Consolidda'!N49</f>
        <v>#DIV/0!</v>
      </c>
      <c r="O125" s="1437" t="e">
        <f>'14 Dda Consolidda'!O49</f>
        <v>#DIV/0!</v>
      </c>
      <c r="P125" s="1437" t="e">
        <f>'14 Dda Consolidda'!P49</f>
        <v>#DIV/0!</v>
      </c>
      <c r="Q125" s="1437" t="e">
        <f>'14 Dda Consolidda'!Q49</f>
        <v>#DIV/0!</v>
      </c>
      <c r="R125" s="1437" t="e">
        <f>'14 Dda Consolidda'!R49</f>
        <v>#DIV/0!</v>
      </c>
      <c r="S125" s="1437" t="e">
        <f>'14 Dda Consolidda'!S49</f>
        <v>#DIV/0!</v>
      </c>
      <c r="T125" s="1437" t="e">
        <f>'14 Dda Consolidda'!T49</f>
        <v>#DIV/0!</v>
      </c>
      <c r="U125" s="1437" t="e">
        <f>'14 Dda Consolidda'!U49</f>
        <v>#DIV/0!</v>
      </c>
    </row>
    <row r="126" spans="1:21" ht="14.25" thickBot="1" x14ac:dyDescent="0.3">
      <c r="A126" s="1171" t="s">
        <v>2853</v>
      </c>
      <c r="B126" s="1171" t="s">
        <v>2859</v>
      </c>
      <c r="C126" s="4661" t="s">
        <v>2861</v>
      </c>
      <c r="D126" s="4661">
        <v>0</v>
      </c>
      <c r="E126" s="1437">
        <f>'14 Dda Consolidda'!E50</f>
        <v>228</v>
      </c>
      <c r="F126" s="1437">
        <f>'14 Dda Consolidda'!F50</f>
        <v>228.08835167522264</v>
      </c>
      <c r="G126" s="1437">
        <f>'14 Dda Consolidda'!G50</f>
        <v>228.17673758736859</v>
      </c>
      <c r="H126" s="1437">
        <f>'14 Dda Consolidda'!H50</f>
        <v>228.26515774970488</v>
      </c>
      <c r="I126" s="1437">
        <f>'14 Dda Consolidda'!I50</f>
        <v>228.3536121755038</v>
      </c>
      <c r="J126" s="1437">
        <f>'14 Dda Consolidda'!J50</f>
        <v>228.4421008780426</v>
      </c>
      <c r="K126" s="1437">
        <f>'14 Dda Consolidda'!K50</f>
        <v>228.53062387060379</v>
      </c>
      <c r="L126" s="1437">
        <f>'14 Dda Consolidda'!L50</f>
        <v>228.61918116647507</v>
      </c>
      <c r="M126" s="1437">
        <f>'14 Dda Consolidda'!M50</f>
        <v>228.70777277894911</v>
      </c>
      <c r="N126" s="1437">
        <f>'14 Dda Consolidda'!N50</f>
        <v>228.79639872132395</v>
      </c>
      <c r="O126" s="1437">
        <f>'14 Dda Consolidda'!O50</f>
        <v>228.88505900690262</v>
      </c>
      <c r="P126" s="1437">
        <f>'14 Dda Consolidda'!P50</f>
        <v>228.97375364899341</v>
      </c>
      <c r="Q126" s="1437">
        <f>'14 Dda Consolidda'!Q50</f>
        <v>229.06248266090964</v>
      </c>
      <c r="R126" s="1437">
        <f>'14 Dda Consolidda'!R50</f>
        <v>229.15124605596992</v>
      </c>
      <c r="S126" s="1437">
        <f>'14 Dda Consolidda'!S50</f>
        <v>229.24004384749804</v>
      </c>
      <c r="T126" s="1437">
        <f>'14 Dda Consolidda'!T50</f>
        <v>229.32887604882279</v>
      </c>
      <c r="U126" s="1437">
        <f>'14 Dda Consolidda'!U50</f>
        <v>229.41774267327821</v>
      </c>
    </row>
    <row r="127" spans="1:21" ht="14.25" thickBot="1" x14ac:dyDescent="0.3">
      <c r="A127" s="1171" t="s">
        <v>2853</v>
      </c>
      <c r="B127" s="1171" t="s">
        <v>2859</v>
      </c>
      <c r="C127" s="4662" t="s">
        <v>2862</v>
      </c>
      <c r="D127" s="4662">
        <v>0</v>
      </c>
      <c r="E127" s="1444"/>
      <c r="F127" s="1444"/>
      <c r="G127" s="1444"/>
      <c r="H127" s="1444"/>
      <c r="I127" s="1444"/>
      <c r="J127" s="1444"/>
      <c r="K127" s="1444"/>
      <c r="L127" s="1444"/>
      <c r="M127" s="1444"/>
      <c r="N127" s="1444"/>
      <c r="O127" s="1444"/>
      <c r="P127" s="1444"/>
      <c r="Q127" s="1444"/>
      <c r="R127" s="1444"/>
      <c r="S127" s="1444"/>
      <c r="T127" s="1444"/>
      <c r="U127" s="1444"/>
    </row>
    <row r="128" spans="1:21" ht="27.75" thickBot="1" x14ac:dyDescent="0.3">
      <c r="A128" s="1171" t="s">
        <v>2864</v>
      </c>
      <c r="B128" s="1171" t="s">
        <v>2865</v>
      </c>
      <c r="C128" s="4662" t="s">
        <v>2191</v>
      </c>
      <c r="D128" s="4662">
        <v>0</v>
      </c>
      <c r="E128" s="1437">
        <f>'14 Dda Consolidda'!E51</f>
        <v>18.296161739879938</v>
      </c>
      <c r="F128" s="1437">
        <f>'14 Dda Consolidda'!F51</f>
        <v>18.303251636984598</v>
      </c>
      <c r="G128" s="1437">
        <f>'14 Dda Consolidda'!G51</f>
        <v>18.310344281476482</v>
      </c>
      <c r="H128" s="1437">
        <f>'14 Dda Consolidda'!H51</f>
        <v>18.317439674420221</v>
      </c>
      <c r="I128" s="1437">
        <f>'14 Dda Consolidda'!I51</f>
        <v>18.324537816880856</v>
      </c>
      <c r="J128" s="1437">
        <f>'14 Dda Consolidda'!J51</f>
        <v>18.331638709923844</v>
      </c>
      <c r="K128" s="1437">
        <f>'14 Dda Consolidda'!K51</f>
        <v>18.338742354615068</v>
      </c>
      <c r="L128" s="1437">
        <f>'14 Dda Consolidda'!L51</f>
        <v>18.3458487520208</v>
      </c>
      <c r="M128" s="1437">
        <f>'14 Dda Consolidda'!M51</f>
        <v>18.352957903207738</v>
      </c>
      <c r="N128" s="1437">
        <f>'14 Dda Consolidda'!N51</f>
        <v>18.360069809243001</v>
      </c>
      <c r="O128" s="1437">
        <f>'14 Dda Consolidda'!O51</f>
        <v>18.367184471194101</v>
      </c>
      <c r="P128" s="1437">
        <f>'14 Dda Consolidda'!P51</f>
        <v>18.374301890128983</v>
      </c>
      <c r="Q128" s="1437">
        <f>'14 Dda Consolidda'!Q51</f>
        <v>18.381422067115999</v>
      </c>
      <c r="R128" s="1437">
        <f>'14 Dda Consolidda'!R51</f>
        <v>18.388545003223911</v>
      </c>
      <c r="S128" s="1437">
        <f>'14 Dda Consolidda'!S51</f>
        <v>18.395670699521901</v>
      </c>
      <c r="T128" s="1437">
        <f>'14 Dda Consolidda'!T51</f>
        <v>18.402799157079563</v>
      </c>
      <c r="U128" s="1437">
        <f>'14 Dda Consolidda'!U51</f>
        <v>18.409930376966905</v>
      </c>
    </row>
    <row r="129" spans="1:21" ht="27.75" thickBot="1" x14ac:dyDescent="0.3">
      <c r="A129" s="1171" t="s">
        <v>2864</v>
      </c>
      <c r="B129" s="1171" t="s">
        <v>2865</v>
      </c>
      <c r="C129" s="4662" t="s">
        <v>2866</v>
      </c>
      <c r="D129" s="4662">
        <v>0</v>
      </c>
      <c r="E129" s="1444"/>
      <c r="F129" s="1444"/>
      <c r="G129" s="1444"/>
      <c r="H129" s="1444"/>
      <c r="I129" s="1444"/>
      <c r="J129" s="1444"/>
      <c r="K129" s="1444"/>
      <c r="L129" s="1444"/>
      <c r="M129" s="1444"/>
      <c r="N129" s="1444"/>
      <c r="O129" s="1444"/>
      <c r="P129" s="1444"/>
      <c r="Q129" s="1444"/>
      <c r="R129" s="1444"/>
      <c r="S129" s="1444"/>
      <c r="T129" s="1444"/>
      <c r="U129" s="1444"/>
    </row>
    <row r="130" spans="1:21" ht="14.25" thickBot="1" x14ac:dyDescent="0.3">
      <c r="A130" s="1171" t="s">
        <v>2867</v>
      </c>
      <c r="B130" s="1171" t="s">
        <v>2868</v>
      </c>
      <c r="C130" s="4664" t="s">
        <v>612</v>
      </c>
      <c r="D130" s="4664"/>
      <c r="E130" s="1444"/>
      <c r="F130" s="1444"/>
      <c r="G130" s="1444"/>
      <c r="H130" s="1444"/>
      <c r="I130" s="1444"/>
      <c r="J130" s="1444"/>
      <c r="K130" s="1444"/>
      <c r="L130" s="1444"/>
      <c r="M130" s="1444"/>
      <c r="N130" s="1444"/>
      <c r="O130" s="1444"/>
      <c r="P130" s="1444"/>
      <c r="Q130" s="1444"/>
      <c r="R130" s="1444"/>
      <c r="S130" s="1444"/>
      <c r="T130" s="1444"/>
      <c r="U130" s="1444"/>
    </row>
    <row r="131" spans="1:21" ht="14.25" thickBot="1" x14ac:dyDescent="0.3">
      <c r="A131" s="1171" t="s">
        <v>2867</v>
      </c>
      <c r="B131" s="1171" t="s">
        <v>2869</v>
      </c>
      <c r="C131" s="4664"/>
      <c r="D131" s="4664"/>
      <c r="E131" s="1444"/>
      <c r="F131" s="1444"/>
      <c r="G131" s="1444"/>
      <c r="H131" s="1444"/>
      <c r="I131" s="1444"/>
      <c r="J131" s="1444"/>
      <c r="K131" s="1444"/>
      <c r="L131" s="1444"/>
      <c r="M131" s="1444"/>
      <c r="N131" s="1444"/>
      <c r="O131" s="1444"/>
      <c r="P131" s="1444"/>
      <c r="Q131" s="1444"/>
      <c r="R131" s="1444"/>
      <c r="S131" s="1444"/>
      <c r="T131" s="1444"/>
      <c r="U131" s="1444"/>
    </row>
    <row r="132" spans="1:21" ht="14.25" thickBot="1" x14ac:dyDescent="0.3">
      <c r="A132" s="1171" t="s">
        <v>2867</v>
      </c>
      <c r="B132" s="1171" t="s">
        <v>2870</v>
      </c>
      <c r="C132" s="4664"/>
      <c r="D132" s="4664"/>
      <c r="E132" s="1444"/>
      <c r="F132" s="1444"/>
      <c r="G132" s="1444"/>
      <c r="H132" s="1444"/>
      <c r="I132" s="1444"/>
      <c r="J132" s="1444"/>
      <c r="K132" s="1444"/>
      <c r="L132" s="1444"/>
      <c r="M132" s="1444"/>
      <c r="N132" s="1444"/>
      <c r="O132" s="1444"/>
      <c r="P132" s="1444"/>
      <c r="Q132" s="1444"/>
      <c r="R132" s="1444"/>
      <c r="S132" s="1444"/>
      <c r="T132" s="1444"/>
      <c r="U132" s="1444"/>
    </row>
    <row r="133" spans="1:21" ht="14.25" thickBot="1" x14ac:dyDescent="0.3">
      <c r="A133" s="1171" t="s">
        <v>2867</v>
      </c>
      <c r="B133" s="1171" t="s">
        <v>2871</v>
      </c>
      <c r="C133" s="4664"/>
      <c r="D133" s="4664"/>
      <c r="E133" s="1444"/>
      <c r="F133" s="1444"/>
      <c r="G133" s="1444"/>
      <c r="H133" s="1444"/>
      <c r="I133" s="1444"/>
      <c r="J133" s="1444"/>
      <c r="K133" s="1444"/>
      <c r="L133" s="1444"/>
      <c r="M133" s="1444"/>
      <c r="N133" s="1444"/>
      <c r="O133" s="1444"/>
      <c r="P133" s="1444"/>
      <c r="Q133" s="1444"/>
      <c r="R133" s="1444"/>
      <c r="S133" s="1444"/>
      <c r="T133" s="1444"/>
      <c r="U133" s="1444"/>
    </row>
    <row r="134" spans="1:21" ht="27.75" thickBot="1" x14ac:dyDescent="0.3">
      <c r="A134" s="1171" t="s">
        <v>2872</v>
      </c>
      <c r="B134" s="1171" t="s">
        <v>2873</v>
      </c>
      <c r="C134" s="4662" t="s">
        <v>2874</v>
      </c>
      <c r="D134" s="4662">
        <v>0</v>
      </c>
      <c r="E134" s="1444"/>
      <c r="F134" s="1444"/>
      <c r="G134" s="1444"/>
      <c r="H134" s="1444"/>
      <c r="I134" s="1444"/>
      <c r="J134" s="1444"/>
      <c r="K134" s="1444"/>
      <c r="L134" s="1444"/>
      <c r="M134" s="1444"/>
      <c r="N134" s="1444"/>
      <c r="O134" s="1444"/>
      <c r="P134" s="1444"/>
      <c r="Q134" s="1444"/>
      <c r="R134" s="1444"/>
      <c r="S134" s="1444"/>
      <c r="T134" s="1444"/>
      <c r="U134" s="1444"/>
    </row>
    <row r="135" spans="1:21" ht="14.25" thickBot="1" x14ac:dyDescent="0.3">
      <c r="A135" s="1171" t="s">
        <v>2875</v>
      </c>
      <c r="B135" s="1171" t="s">
        <v>2876</v>
      </c>
      <c r="C135" s="4662" t="s">
        <v>2877</v>
      </c>
      <c r="D135" s="4662"/>
      <c r="E135" s="1444"/>
      <c r="F135" s="1444"/>
      <c r="G135" s="1444"/>
      <c r="H135" s="1444"/>
      <c r="I135" s="1444"/>
      <c r="J135" s="1444"/>
      <c r="K135" s="1444"/>
      <c r="L135" s="1444"/>
      <c r="M135" s="1444"/>
      <c r="N135" s="1444"/>
      <c r="O135" s="1444"/>
      <c r="P135" s="1444"/>
      <c r="Q135" s="1444"/>
      <c r="R135" s="1444"/>
      <c r="S135" s="1444"/>
      <c r="T135" s="1444"/>
      <c r="U135" s="1444"/>
    </row>
    <row r="136" spans="1:21" ht="14.25" thickBot="1" x14ac:dyDescent="0.3">
      <c r="A136" s="4662" t="s">
        <v>381</v>
      </c>
      <c r="B136" s="4664" t="s">
        <v>2137</v>
      </c>
      <c r="C136" s="4664" t="s">
        <v>2878</v>
      </c>
      <c r="D136" s="1442" t="s">
        <v>2843</v>
      </c>
      <c r="E136" s="1437" t="e">
        <f>'14 Dda Consolidda'!E53</f>
        <v>#DIV/0!</v>
      </c>
      <c r="F136" s="1437" t="e">
        <f>'14 Dda Consolidda'!F53</f>
        <v>#DIV/0!</v>
      </c>
      <c r="G136" s="1437" t="e">
        <f>'14 Dda Consolidda'!G53</f>
        <v>#DIV/0!</v>
      </c>
      <c r="H136" s="1437" t="e">
        <f>'14 Dda Consolidda'!H53</f>
        <v>#DIV/0!</v>
      </c>
      <c r="I136" s="1437" t="e">
        <f>'14 Dda Consolidda'!I53</f>
        <v>#DIV/0!</v>
      </c>
      <c r="J136" s="1437" t="e">
        <f>'14 Dda Consolidda'!J53</f>
        <v>#DIV/0!</v>
      </c>
      <c r="K136" s="1437" t="e">
        <f>'14 Dda Consolidda'!K53</f>
        <v>#DIV/0!</v>
      </c>
      <c r="L136" s="1437" t="e">
        <f>'14 Dda Consolidda'!L53</f>
        <v>#DIV/0!</v>
      </c>
      <c r="M136" s="1437" t="e">
        <f>'14 Dda Consolidda'!M53</f>
        <v>#DIV/0!</v>
      </c>
      <c r="N136" s="1437" t="e">
        <f>'14 Dda Consolidda'!N53</f>
        <v>#DIV/0!</v>
      </c>
      <c r="O136" s="1437" t="e">
        <f>'14 Dda Consolidda'!O53</f>
        <v>#DIV/0!</v>
      </c>
      <c r="P136" s="1437" t="e">
        <f>'14 Dda Consolidda'!P53</f>
        <v>#DIV/0!</v>
      </c>
      <c r="Q136" s="1437" t="e">
        <f>'14 Dda Consolidda'!Q53</f>
        <v>#DIV/0!</v>
      </c>
      <c r="R136" s="1437" t="e">
        <f>'14 Dda Consolidda'!R53</f>
        <v>#DIV/0!</v>
      </c>
      <c r="S136" s="1437" t="e">
        <f>'14 Dda Consolidda'!S53</f>
        <v>#DIV/0!</v>
      </c>
      <c r="T136" s="1437" t="e">
        <f>'14 Dda Consolidda'!T53</f>
        <v>#DIV/0!</v>
      </c>
      <c r="U136" s="1437" t="e">
        <f>'14 Dda Consolidda'!U53</f>
        <v>#DIV/0!</v>
      </c>
    </row>
    <row r="137" spans="1:21" ht="14.25" thickBot="1" x14ac:dyDescent="0.3">
      <c r="A137" s="4662"/>
      <c r="B137" s="4664"/>
      <c r="C137" s="4664"/>
      <c r="D137" s="1166" t="s">
        <v>295</v>
      </c>
      <c r="E137" s="1437"/>
      <c r="F137" s="1437"/>
      <c r="G137" s="1437"/>
      <c r="H137" s="1437"/>
      <c r="I137" s="1437"/>
      <c r="J137" s="1437"/>
      <c r="K137" s="1437"/>
      <c r="L137" s="1437"/>
      <c r="M137" s="1437"/>
      <c r="N137" s="1437"/>
      <c r="O137" s="1437"/>
      <c r="P137" s="1437"/>
      <c r="Q137" s="1437"/>
      <c r="R137" s="1437"/>
      <c r="S137" s="1437"/>
      <c r="T137" s="1437"/>
      <c r="U137" s="1437"/>
    </row>
    <row r="138" spans="1:21" ht="14.25" thickBot="1" x14ac:dyDescent="0.3">
      <c r="A138" s="1171" t="s">
        <v>2879</v>
      </c>
      <c r="B138" s="1171" t="s">
        <v>1982</v>
      </c>
      <c r="C138" s="4661" t="s">
        <v>2880</v>
      </c>
      <c r="D138" s="4661"/>
      <c r="E138" s="1437" t="e">
        <f>'14 Dda Consolidda'!E52</f>
        <v>#DIV/0!</v>
      </c>
      <c r="F138" s="1437" t="e">
        <f>'14 Dda Consolidda'!F52</f>
        <v>#DIV/0!</v>
      </c>
      <c r="G138" s="1437" t="e">
        <f>'14 Dda Consolidda'!G52</f>
        <v>#DIV/0!</v>
      </c>
      <c r="H138" s="1437" t="e">
        <f>'14 Dda Consolidda'!H52</f>
        <v>#DIV/0!</v>
      </c>
      <c r="I138" s="1437" t="e">
        <f>'14 Dda Consolidda'!I52</f>
        <v>#DIV/0!</v>
      </c>
      <c r="J138" s="1437" t="e">
        <f>'14 Dda Consolidda'!J52</f>
        <v>#DIV/0!</v>
      </c>
      <c r="K138" s="1437" t="e">
        <f>'14 Dda Consolidda'!K52</f>
        <v>#DIV/0!</v>
      </c>
      <c r="L138" s="1437" t="e">
        <f>'14 Dda Consolidda'!L52</f>
        <v>#DIV/0!</v>
      </c>
      <c r="M138" s="1437" t="e">
        <f>'14 Dda Consolidda'!M52</f>
        <v>#DIV/0!</v>
      </c>
      <c r="N138" s="1437" t="e">
        <f>'14 Dda Consolidda'!N52</f>
        <v>#DIV/0!</v>
      </c>
      <c r="O138" s="1437" t="e">
        <f>'14 Dda Consolidda'!O52</f>
        <v>#DIV/0!</v>
      </c>
      <c r="P138" s="1437" t="e">
        <f>'14 Dda Consolidda'!P52</f>
        <v>#DIV/0!</v>
      </c>
      <c r="Q138" s="1437" t="e">
        <f>'14 Dda Consolidda'!Q52</f>
        <v>#DIV/0!</v>
      </c>
      <c r="R138" s="1437" t="e">
        <f>'14 Dda Consolidda'!R52</f>
        <v>#DIV/0!</v>
      </c>
      <c r="S138" s="1437" t="e">
        <f>'14 Dda Consolidda'!S52</f>
        <v>#DIV/0!</v>
      </c>
      <c r="T138" s="1437" t="e">
        <f>'14 Dda Consolidda'!T52</f>
        <v>#DIV/0!</v>
      </c>
      <c r="U138" s="1437" t="e">
        <f>'14 Dda Consolidda'!U52</f>
        <v>#DIV/0!</v>
      </c>
    </row>
    <row r="139" spans="1:21" ht="14.25" thickBot="1" x14ac:dyDescent="0.3">
      <c r="A139" s="4662" t="s">
        <v>98</v>
      </c>
      <c r="B139" s="4662" t="s">
        <v>2881</v>
      </c>
      <c r="C139" s="4662" t="s">
        <v>2882</v>
      </c>
      <c r="D139" s="4662"/>
      <c r="E139" s="1444"/>
      <c r="F139" s="1444"/>
      <c r="G139" s="1444"/>
      <c r="H139" s="1444"/>
      <c r="I139" s="1444"/>
      <c r="J139" s="1444"/>
      <c r="K139" s="1444"/>
      <c r="L139" s="1444"/>
      <c r="M139" s="1444"/>
      <c r="N139" s="1444"/>
      <c r="O139" s="1444"/>
      <c r="P139" s="1444"/>
      <c r="Q139" s="1444"/>
      <c r="R139" s="1444"/>
      <c r="S139" s="1444"/>
      <c r="T139" s="1444"/>
      <c r="U139" s="1444"/>
    </row>
    <row r="140" spans="1:21" ht="14.25" thickBot="1" x14ac:dyDescent="0.3">
      <c r="A140" s="4662" t="s">
        <v>98</v>
      </c>
      <c r="B140" s="4662" t="s">
        <v>2883</v>
      </c>
      <c r="C140" s="4662"/>
      <c r="D140" s="4662"/>
      <c r="E140" s="1444"/>
      <c r="F140" s="1444"/>
      <c r="G140" s="1444"/>
      <c r="H140" s="1444"/>
      <c r="I140" s="1444"/>
      <c r="J140" s="1444"/>
      <c r="K140" s="1444"/>
      <c r="L140" s="1444"/>
      <c r="M140" s="1444"/>
      <c r="N140" s="1444"/>
      <c r="O140" s="1444"/>
      <c r="P140" s="1444"/>
      <c r="Q140" s="1444"/>
      <c r="R140" s="1444"/>
      <c r="S140" s="1444"/>
      <c r="T140" s="1444"/>
      <c r="U140" s="1444"/>
    </row>
    <row r="141" spans="1:21" ht="30" customHeight="1" thickBot="1" x14ac:dyDescent="0.3">
      <c r="A141" s="1171" t="s">
        <v>98</v>
      </c>
      <c r="B141" s="1171" t="s">
        <v>2884</v>
      </c>
      <c r="C141" s="4662"/>
      <c r="D141" s="4662"/>
      <c r="E141" s="1444"/>
      <c r="F141" s="1444"/>
      <c r="G141" s="1444"/>
      <c r="H141" s="1444"/>
      <c r="I141" s="1444"/>
      <c r="J141" s="1444"/>
      <c r="K141" s="1444"/>
      <c r="L141" s="1444"/>
      <c r="M141" s="1444"/>
      <c r="N141" s="1444"/>
      <c r="O141" s="1444"/>
      <c r="P141" s="1444"/>
      <c r="Q141" s="1444"/>
      <c r="R141" s="1444"/>
      <c r="S141" s="1444"/>
      <c r="T141" s="1444"/>
      <c r="U141" s="1444"/>
    </row>
    <row r="143" spans="1:21" x14ac:dyDescent="0.25">
      <c r="C143" s="4663"/>
      <c r="D143" s="4663"/>
      <c r="E143" s="1300"/>
      <c r="F143" s="1436"/>
      <c r="G143" s="1436"/>
      <c r="H143" s="1436"/>
      <c r="I143" s="1436"/>
      <c r="J143" s="1436"/>
      <c r="K143" s="1436"/>
      <c r="L143" s="1436"/>
      <c r="M143" s="1436"/>
      <c r="N143" s="1436"/>
      <c r="O143" s="1436"/>
      <c r="P143" s="1436"/>
      <c r="Q143" s="1436"/>
      <c r="R143" s="1436"/>
      <c r="S143" s="1436"/>
      <c r="T143" s="1436"/>
      <c r="U143" s="1436"/>
    </row>
    <row r="144" spans="1:21" x14ac:dyDescent="0.25">
      <c r="C144" s="1300"/>
      <c r="D144" s="1300"/>
      <c r="E144" s="1300"/>
      <c r="F144" s="1436"/>
      <c r="G144" s="1436"/>
      <c r="H144" s="1436"/>
      <c r="I144" s="1436"/>
      <c r="J144" s="1436"/>
      <c r="K144" s="1436"/>
      <c r="L144" s="1436"/>
      <c r="M144" s="1436"/>
      <c r="N144" s="1436"/>
      <c r="O144" s="1436"/>
      <c r="P144" s="1436"/>
      <c r="Q144" s="1436"/>
      <c r="R144" s="1436"/>
      <c r="S144" s="1436"/>
      <c r="T144" s="1436"/>
      <c r="U144" s="1436"/>
    </row>
    <row r="145" spans="3:21" x14ac:dyDescent="0.25">
      <c r="C145" s="4663"/>
      <c r="D145" s="4663"/>
      <c r="E145" s="1300"/>
      <c r="F145" s="1436"/>
      <c r="G145" s="1436"/>
      <c r="H145" s="1436"/>
      <c r="I145" s="1436"/>
      <c r="J145" s="1436"/>
      <c r="K145" s="1436"/>
      <c r="L145" s="1436"/>
      <c r="M145" s="1436"/>
      <c r="N145" s="1436"/>
      <c r="O145" s="1436"/>
      <c r="P145" s="1436"/>
      <c r="Q145" s="1436"/>
      <c r="R145" s="1436"/>
      <c r="S145" s="1436"/>
      <c r="T145" s="1436"/>
      <c r="U145" s="1436"/>
    </row>
  </sheetData>
  <mergeCells count="155">
    <mergeCell ref="A4:A5"/>
    <mergeCell ref="B4:B5"/>
    <mergeCell ref="C4:D5"/>
    <mergeCell ref="C6:D6"/>
    <mergeCell ref="C7:D7"/>
    <mergeCell ref="C8:D8"/>
    <mergeCell ref="C15:D15"/>
    <mergeCell ref="C16:D16"/>
    <mergeCell ref="C17:D17"/>
    <mergeCell ref="C18:D18"/>
    <mergeCell ref="C19:D19"/>
    <mergeCell ref="C20:D20"/>
    <mergeCell ref="C9:D9"/>
    <mergeCell ref="C10:D10"/>
    <mergeCell ref="C11:D11"/>
    <mergeCell ref="C12:D12"/>
    <mergeCell ref="C13:D13"/>
    <mergeCell ref="C14:D14"/>
    <mergeCell ref="C27:D27"/>
    <mergeCell ref="C28:D28"/>
    <mergeCell ref="C29:D29"/>
    <mergeCell ref="C30:D30"/>
    <mergeCell ref="B31:B33"/>
    <mergeCell ref="C31:D31"/>
    <mergeCell ref="C32:D32"/>
    <mergeCell ref="C33:D33"/>
    <mergeCell ref="C21:D21"/>
    <mergeCell ref="C22:D22"/>
    <mergeCell ref="C23:D23"/>
    <mergeCell ref="C24:D24"/>
    <mergeCell ref="C25:D25"/>
    <mergeCell ref="C26:D26"/>
    <mergeCell ref="C40:D40"/>
    <mergeCell ref="C41:D41"/>
    <mergeCell ref="C42:D42"/>
    <mergeCell ref="B43:B45"/>
    <mergeCell ref="C43:D43"/>
    <mergeCell ref="C44:D44"/>
    <mergeCell ref="C45:D45"/>
    <mergeCell ref="C34:D34"/>
    <mergeCell ref="C35:D35"/>
    <mergeCell ref="C36:D36"/>
    <mergeCell ref="C37:D37"/>
    <mergeCell ref="C38:D38"/>
    <mergeCell ref="C39:D39"/>
    <mergeCell ref="B53:B54"/>
    <mergeCell ref="C53:D53"/>
    <mergeCell ref="C54:D54"/>
    <mergeCell ref="B55:B58"/>
    <mergeCell ref="C55:D55"/>
    <mergeCell ref="C56:D56"/>
    <mergeCell ref="C57:D57"/>
    <mergeCell ref="C58:D58"/>
    <mergeCell ref="C46:D46"/>
    <mergeCell ref="C47:D47"/>
    <mergeCell ref="C48:D48"/>
    <mergeCell ref="C49:D49"/>
    <mergeCell ref="C50:D50"/>
    <mergeCell ref="B51:B52"/>
    <mergeCell ref="C51:D51"/>
    <mergeCell ref="C52:D52"/>
    <mergeCell ref="B65:B66"/>
    <mergeCell ref="C65:D65"/>
    <mergeCell ref="C66:D66"/>
    <mergeCell ref="C67:D67"/>
    <mergeCell ref="C68:D71"/>
    <mergeCell ref="C72:D72"/>
    <mergeCell ref="B59:B60"/>
    <mergeCell ref="C59:D59"/>
    <mergeCell ref="C60:D60"/>
    <mergeCell ref="C61:D61"/>
    <mergeCell ref="B62:B64"/>
    <mergeCell ref="C62:D62"/>
    <mergeCell ref="C63:D63"/>
    <mergeCell ref="C64:D64"/>
    <mergeCell ref="A79:A80"/>
    <mergeCell ref="C79:D79"/>
    <mergeCell ref="C80:D80"/>
    <mergeCell ref="A81:A82"/>
    <mergeCell ref="C81:D81"/>
    <mergeCell ref="C82:D82"/>
    <mergeCell ref="C73:D73"/>
    <mergeCell ref="C74:D74"/>
    <mergeCell ref="A75:A76"/>
    <mergeCell ref="C75:D75"/>
    <mergeCell ref="C76:D76"/>
    <mergeCell ref="A77:A78"/>
    <mergeCell ref="C77:D77"/>
    <mergeCell ref="C78:D78"/>
    <mergeCell ref="C88:D88"/>
    <mergeCell ref="C89:D89"/>
    <mergeCell ref="C90:D90"/>
    <mergeCell ref="C91:D91"/>
    <mergeCell ref="A92:A94"/>
    <mergeCell ref="B92:B94"/>
    <mergeCell ref="C92:C94"/>
    <mergeCell ref="A83:A84"/>
    <mergeCell ref="C83:D83"/>
    <mergeCell ref="C84:D84"/>
    <mergeCell ref="C85:D85"/>
    <mergeCell ref="C86:D86"/>
    <mergeCell ref="C87:D87"/>
    <mergeCell ref="C101:D101"/>
    <mergeCell ref="C102:D102"/>
    <mergeCell ref="C103:D103"/>
    <mergeCell ref="A104:A106"/>
    <mergeCell ref="B104:B106"/>
    <mergeCell ref="C104:C106"/>
    <mergeCell ref="C95:D95"/>
    <mergeCell ref="C96:D96"/>
    <mergeCell ref="C97:D97"/>
    <mergeCell ref="C98:D98"/>
    <mergeCell ref="C99:D99"/>
    <mergeCell ref="C100:D100"/>
    <mergeCell ref="A113:A114"/>
    <mergeCell ref="B113:B114"/>
    <mergeCell ref="C113:C114"/>
    <mergeCell ref="A115:A116"/>
    <mergeCell ref="B115:B116"/>
    <mergeCell ref="C115:C116"/>
    <mergeCell ref="C107:D107"/>
    <mergeCell ref="A108:A109"/>
    <mergeCell ref="B108:B109"/>
    <mergeCell ref="C108:C109"/>
    <mergeCell ref="C110:D110"/>
    <mergeCell ref="A111:A112"/>
    <mergeCell ref="B111:B112"/>
    <mergeCell ref="C111:C112"/>
    <mergeCell ref="C123:D123"/>
    <mergeCell ref="C124:D124"/>
    <mergeCell ref="C125:D125"/>
    <mergeCell ref="C126:D126"/>
    <mergeCell ref="C127:D127"/>
    <mergeCell ref="A117:A118"/>
    <mergeCell ref="B117:B118"/>
    <mergeCell ref="C117:C118"/>
    <mergeCell ref="C119:D119"/>
    <mergeCell ref="C120:D120"/>
    <mergeCell ref="A121:A122"/>
    <mergeCell ref="B121:B122"/>
    <mergeCell ref="C121:C122"/>
    <mergeCell ref="C138:D138"/>
    <mergeCell ref="A139:A140"/>
    <mergeCell ref="B139:B140"/>
    <mergeCell ref="C139:D141"/>
    <mergeCell ref="C143:D143"/>
    <mergeCell ref="C145:D145"/>
    <mergeCell ref="C128:D128"/>
    <mergeCell ref="C129:D129"/>
    <mergeCell ref="C130:D133"/>
    <mergeCell ref="C134:D134"/>
    <mergeCell ref="C135:D135"/>
    <mergeCell ref="A136:A137"/>
    <mergeCell ref="B136:B137"/>
    <mergeCell ref="C136:C137"/>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C000"/>
  </sheetPr>
  <dimension ref="A2:QR296"/>
  <sheetViews>
    <sheetView zoomScale="70" zoomScaleNormal="70" workbookViewId="0">
      <selection activeCell="D140" sqref="D140:E140"/>
    </sheetView>
  </sheetViews>
  <sheetFormatPr baseColWidth="10" defaultColWidth="11.42578125" defaultRowHeight="13.5" x14ac:dyDescent="0.25"/>
  <cols>
    <col min="1" max="1" width="8.42578125" style="694" customWidth="1"/>
    <col min="2" max="2" width="14.7109375" style="880" customWidth="1"/>
    <col min="3" max="3" width="42.85546875" style="880" customWidth="1"/>
    <col min="4" max="4" width="23.140625" style="880" customWidth="1"/>
    <col min="5" max="5" width="19.28515625" style="880" customWidth="1"/>
    <col min="6" max="6" width="10.28515625" style="880" customWidth="1"/>
    <col min="7" max="7" width="12.7109375" style="880" customWidth="1"/>
    <col min="8" max="8" width="14.42578125" style="1949" customWidth="1"/>
    <col min="9" max="9" width="24.42578125" style="880" customWidth="1"/>
    <col min="10" max="10" width="10.28515625" style="880" customWidth="1"/>
    <col min="11" max="11" width="11.42578125" style="880"/>
    <col min="12" max="12" width="14.140625" style="1948" customWidth="1"/>
    <col min="13" max="13" width="27.28515625" style="880" customWidth="1"/>
    <col min="14" max="15" width="11.42578125" style="880"/>
    <col min="16" max="16" width="13.85546875" style="880" customWidth="1"/>
    <col min="17" max="17" width="26.140625" style="880" customWidth="1"/>
    <col min="18" max="19" width="11.42578125" style="880"/>
    <col min="20" max="20" width="13.28515625" style="880" customWidth="1"/>
    <col min="21" max="21" width="28.7109375" style="880" customWidth="1"/>
    <col min="22" max="25" width="11.42578125" style="880"/>
    <col min="26" max="460" width="11.42578125" style="629"/>
    <col min="461" max="16384" width="11.42578125" style="880"/>
  </cols>
  <sheetData>
    <row r="2" spans="1:25" ht="22.5" customHeight="1" x14ac:dyDescent="0.25">
      <c r="A2" s="4424"/>
      <c r="B2" s="4702" t="s">
        <v>2683</v>
      </c>
      <c r="C2" s="4693" t="s">
        <v>2684</v>
      </c>
      <c r="D2" s="4693" t="s">
        <v>2685</v>
      </c>
      <c r="E2" s="4693"/>
      <c r="F2" s="4693" t="s">
        <v>2970</v>
      </c>
      <c r="G2" s="4693"/>
      <c r="H2" s="4693"/>
      <c r="I2" s="4693"/>
      <c r="J2" s="4693" t="s">
        <v>2971</v>
      </c>
      <c r="K2" s="4693"/>
      <c r="L2" s="4693"/>
      <c r="M2" s="4693"/>
      <c r="N2" s="4693" t="s">
        <v>2972</v>
      </c>
      <c r="O2" s="4693"/>
      <c r="P2" s="4693"/>
      <c r="Q2" s="4693"/>
      <c r="R2" s="4693" t="s">
        <v>2973</v>
      </c>
      <c r="S2" s="4693"/>
      <c r="T2" s="4693"/>
      <c r="U2" s="4693"/>
      <c r="V2" s="4693" t="s">
        <v>2974</v>
      </c>
      <c r="W2" s="4693"/>
      <c r="X2" s="4693"/>
      <c r="Y2" s="4694"/>
    </row>
    <row r="3" spans="1:25" ht="22.5" customHeight="1" x14ac:dyDescent="0.25">
      <c r="A3" s="4424"/>
      <c r="B3" s="4707"/>
      <c r="C3" s="4523"/>
      <c r="D3" s="4523"/>
      <c r="E3" s="4523"/>
      <c r="F3" s="4523" t="s">
        <v>2975</v>
      </c>
      <c r="G3" s="4523"/>
      <c r="H3" s="1904" t="s">
        <v>2976</v>
      </c>
      <c r="I3" s="4523" t="s">
        <v>2977</v>
      </c>
      <c r="J3" s="4523" t="s">
        <v>2975</v>
      </c>
      <c r="K3" s="4523"/>
      <c r="L3" s="1905" t="s">
        <v>2976</v>
      </c>
      <c r="M3" s="4523" t="s">
        <v>2977</v>
      </c>
      <c r="N3" s="4523" t="s">
        <v>2975</v>
      </c>
      <c r="O3" s="4523"/>
      <c r="P3" s="1599" t="s">
        <v>2976</v>
      </c>
      <c r="Q3" s="4523" t="s">
        <v>2977</v>
      </c>
      <c r="R3" s="4523" t="s">
        <v>2975</v>
      </c>
      <c r="S3" s="4523"/>
      <c r="T3" s="1599" t="s">
        <v>2976</v>
      </c>
      <c r="U3" s="4523" t="s">
        <v>2977</v>
      </c>
      <c r="V3" s="4523" t="s">
        <v>2975</v>
      </c>
      <c r="W3" s="4523"/>
      <c r="X3" s="1599" t="s">
        <v>2976</v>
      </c>
      <c r="Y3" s="4708" t="s">
        <v>2977</v>
      </c>
    </row>
    <row r="4" spans="1:25" ht="24" customHeight="1" x14ac:dyDescent="0.25">
      <c r="A4" s="4424"/>
      <c r="B4" s="4703"/>
      <c r="C4" s="4528"/>
      <c r="D4" s="4528"/>
      <c r="E4" s="4528"/>
      <c r="F4" s="1984" t="s">
        <v>2978</v>
      </c>
      <c r="G4" s="1984" t="s">
        <v>2979</v>
      </c>
      <c r="H4" s="1907" t="s">
        <v>2979</v>
      </c>
      <c r="I4" s="4528"/>
      <c r="J4" s="1984" t="s">
        <v>2978</v>
      </c>
      <c r="K4" s="1984" t="s">
        <v>2979</v>
      </c>
      <c r="L4" s="1908" t="s">
        <v>2979</v>
      </c>
      <c r="M4" s="4528"/>
      <c r="N4" s="1984" t="s">
        <v>2978</v>
      </c>
      <c r="O4" s="1984" t="s">
        <v>2979</v>
      </c>
      <c r="P4" s="1984" t="s">
        <v>2979</v>
      </c>
      <c r="Q4" s="4528"/>
      <c r="R4" s="1984" t="s">
        <v>2978</v>
      </c>
      <c r="S4" s="1984" t="s">
        <v>2979</v>
      </c>
      <c r="T4" s="1984" t="s">
        <v>2979</v>
      </c>
      <c r="U4" s="4528"/>
      <c r="V4" s="1984" t="s">
        <v>2978</v>
      </c>
      <c r="W4" s="1984" t="s">
        <v>2979</v>
      </c>
      <c r="X4" s="1984" t="s">
        <v>2979</v>
      </c>
      <c r="Y4" s="4695"/>
    </row>
    <row r="5" spans="1:25" ht="33.75" customHeight="1" x14ac:dyDescent="0.25">
      <c r="A5" s="880"/>
      <c r="B5" s="1988" t="s">
        <v>629</v>
      </c>
      <c r="C5" s="1988" t="s">
        <v>1298</v>
      </c>
      <c r="D5" s="4706" t="s">
        <v>2070</v>
      </c>
      <c r="E5" s="4706"/>
      <c r="F5" s="1989" t="s">
        <v>2980</v>
      </c>
      <c r="G5" s="1989">
        <v>15</v>
      </c>
      <c r="H5" s="1990">
        <f t="shared" ref="H5:H68" si="0">+G5/60</f>
        <v>0.25</v>
      </c>
      <c r="I5" s="1989" t="s">
        <v>2981</v>
      </c>
      <c r="J5" s="1989" t="s">
        <v>2980</v>
      </c>
      <c r="K5" s="1989">
        <f t="shared" ref="K5:K27" si="1">+G5*0.2</f>
        <v>3</v>
      </c>
      <c r="L5" s="1991">
        <f>+K5/60</f>
        <v>0.05</v>
      </c>
      <c r="M5" s="1989" t="s">
        <v>2982</v>
      </c>
      <c r="N5" s="1992"/>
      <c r="O5" s="1992"/>
      <c r="P5" s="1992"/>
      <c r="Q5" s="1992"/>
      <c r="R5" s="1992"/>
      <c r="S5" s="1992"/>
      <c r="T5" s="1992"/>
      <c r="U5" s="1992"/>
      <c r="V5" s="1992"/>
      <c r="W5" s="1992"/>
      <c r="X5" s="1992"/>
      <c r="Y5" s="1992"/>
    </row>
    <row r="6" spans="1:25" ht="23.25" customHeight="1" x14ac:dyDescent="0.25">
      <c r="A6" s="880"/>
      <c r="B6" s="1993" t="s">
        <v>629</v>
      </c>
      <c r="C6" s="1993" t="s">
        <v>1298</v>
      </c>
      <c r="D6" s="4700" t="s">
        <v>2686</v>
      </c>
      <c r="E6" s="4700">
        <v>0</v>
      </c>
      <c r="F6" s="1994" t="s">
        <v>2980</v>
      </c>
      <c r="G6" s="1994">
        <v>18</v>
      </c>
      <c r="H6" s="1995">
        <f t="shared" si="0"/>
        <v>0.3</v>
      </c>
      <c r="I6" s="1994" t="s">
        <v>2981</v>
      </c>
      <c r="J6" s="1994" t="s">
        <v>2980</v>
      </c>
      <c r="K6" s="1994">
        <f t="shared" si="1"/>
        <v>3.6</v>
      </c>
      <c r="L6" s="1996">
        <f t="shared" ref="L6:L27" si="2">+K6/60</f>
        <v>6.0000000000000005E-2</v>
      </c>
      <c r="M6" s="1994" t="s">
        <v>2982</v>
      </c>
      <c r="N6" s="1997"/>
      <c r="O6" s="1997"/>
      <c r="P6" s="1997"/>
      <c r="Q6" s="1997"/>
      <c r="R6" s="1997"/>
      <c r="S6" s="1997"/>
      <c r="T6" s="1997"/>
      <c r="U6" s="1997"/>
      <c r="V6" s="1997"/>
      <c r="W6" s="1997"/>
      <c r="X6" s="1997"/>
      <c r="Y6" s="1997"/>
    </row>
    <row r="7" spans="1:25" ht="23.25" customHeight="1" x14ac:dyDescent="0.25">
      <c r="A7" s="880"/>
      <c r="B7" s="1993" t="s">
        <v>629</v>
      </c>
      <c r="C7" s="1993" t="s">
        <v>1298</v>
      </c>
      <c r="D7" s="4700" t="s">
        <v>2687</v>
      </c>
      <c r="E7" s="4700">
        <v>0</v>
      </c>
      <c r="F7" s="1994" t="s">
        <v>2980</v>
      </c>
      <c r="G7" s="1994">
        <v>18</v>
      </c>
      <c r="H7" s="1995">
        <f t="shared" si="0"/>
        <v>0.3</v>
      </c>
      <c r="I7" s="1994" t="s">
        <v>2981</v>
      </c>
      <c r="J7" s="1994" t="s">
        <v>2980</v>
      </c>
      <c r="K7" s="1994">
        <f t="shared" si="1"/>
        <v>3.6</v>
      </c>
      <c r="L7" s="1996">
        <f t="shared" si="2"/>
        <v>6.0000000000000005E-2</v>
      </c>
      <c r="M7" s="1994" t="s">
        <v>2982</v>
      </c>
      <c r="N7" s="1997"/>
      <c r="O7" s="1997"/>
      <c r="P7" s="1997"/>
      <c r="Q7" s="1997"/>
      <c r="R7" s="1997"/>
      <c r="S7" s="1997"/>
      <c r="T7" s="1997"/>
      <c r="U7" s="1997"/>
      <c r="V7" s="1997"/>
      <c r="W7" s="1997"/>
      <c r="X7" s="1997"/>
      <c r="Y7" s="1997"/>
    </row>
    <row r="8" spans="1:25" ht="23.25" customHeight="1" x14ac:dyDescent="0.25">
      <c r="A8" s="880"/>
      <c r="B8" s="1993" t="s">
        <v>629</v>
      </c>
      <c r="C8" s="1993" t="s">
        <v>2688</v>
      </c>
      <c r="D8" s="4700" t="s">
        <v>2689</v>
      </c>
      <c r="E8" s="4700">
        <v>0</v>
      </c>
      <c r="F8" s="1994" t="s">
        <v>2980</v>
      </c>
      <c r="G8" s="1994">
        <v>18</v>
      </c>
      <c r="H8" s="1995">
        <f t="shared" si="0"/>
        <v>0.3</v>
      </c>
      <c r="I8" s="1994" t="s">
        <v>2981</v>
      </c>
      <c r="J8" s="1994" t="s">
        <v>2980</v>
      </c>
      <c r="K8" s="1994">
        <f t="shared" si="1"/>
        <v>3.6</v>
      </c>
      <c r="L8" s="1996">
        <f t="shared" si="2"/>
        <v>6.0000000000000005E-2</v>
      </c>
      <c r="M8" s="1994" t="s">
        <v>2982</v>
      </c>
      <c r="N8" s="1997"/>
      <c r="O8" s="1997"/>
      <c r="P8" s="1997"/>
      <c r="Q8" s="1997"/>
      <c r="R8" s="1997"/>
      <c r="S8" s="1997"/>
      <c r="T8" s="1997"/>
      <c r="U8" s="1997"/>
      <c r="V8" s="1997"/>
      <c r="W8" s="1997"/>
      <c r="X8" s="1997"/>
      <c r="Y8" s="1997"/>
    </row>
    <row r="9" spans="1:25" ht="23.25" customHeight="1" x14ac:dyDescent="0.25">
      <c r="A9" s="880"/>
      <c r="B9" s="1993" t="s">
        <v>629</v>
      </c>
      <c r="C9" s="1993" t="s">
        <v>2690</v>
      </c>
      <c r="D9" s="4700" t="s">
        <v>2076</v>
      </c>
      <c r="E9" s="4700">
        <v>0</v>
      </c>
      <c r="F9" s="1994" t="s">
        <v>2980</v>
      </c>
      <c r="G9" s="1994">
        <v>18</v>
      </c>
      <c r="H9" s="1995">
        <f t="shared" si="0"/>
        <v>0.3</v>
      </c>
      <c r="I9" s="1994" t="s">
        <v>2981</v>
      </c>
      <c r="J9" s="1994" t="s">
        <v>2980</v>
      </c>
      <c r="K9" s="1994">
        <f t="shared" si="1"/>
        <v>3.6</v>
      </c>
      <c r="L9" s="1996">
        <f t="shared" si="2"/>
        <v>6.0000000000000005E-2</v>
      </c>
      <c r="M9" s="1994" t="s">
        <v>2982</v>
      </c>
      <c r="N9" s="1997"/>
      <c r="O9" s="1997"/>
      <c r="P9" s="1997"/>
      <c r="Q9" s="1997"/>
      <c r="R9" s="1997"/>
      <c r="S9" s="1997"/>
      <c r="T9" s="1997"/>
      <c r="U9" s="1997"/>
      <c r="V9" s="1997"/>
      <c r="W9" s="1997"/>
      <c r="X9" s="1997"/>
      <c r="Y9" s="1997"/>
    </row>
    <row r="10" spans="1:25" ht="23.25" customHeight="1" x14ac:dyDescent="0.25">
      <c r="A10" s="880"/>
      <c r="B10" s="1993" t="s">
        <v>629</v>
      </c>
      <c r="C10" s="1993" t="s">
        <v>2691</v>
      </c>
      <c r="D10" s="4700" t="s">
        <v>2692</v>
      </c>
      <c r="E10" s="4700">
        <v>0</v>
      </c>
      <c r="F10" s="1994" t="s">
        <v>2980</v>
      </c>
      <c r="G10" s="1994">
        <v>15</v>
      </c>
      <c r="H10" s="1995">
        <f t="shared" si="0"/>
        <v>0.25</v>
      </c>
      <c r="I10" s="1994" t="s">
        <v>2981</v>
      </c>
      <c r="J10" s="1994" t="s">
        <v>2980</v>
      </c>
      <c r="K10" s="1994">
        <f t="shared" si="1"/>
        <v>3</v>
      </c>
      <c r="L10" s="1996">
        <f t="shared" si="2"/>
        <v>0.05</v>
      </c>
      <c r="M10" s="1994" t="s">
        <v>2982</v>
      </c>
      <c r="N10" s="1997"/>
      <c r="O10" s="1997"/>
      <c r="P10" s="1997"/>
      <c r="Q10" s="1997"/>
      <c r="R10" s="1997"/>
      <c r="S10" s="1997"/>
      <c r="T10" s="1997"/>
      <c r="U10" s="1997"/>
      <c r="V10" s="1997"/>
      <c r="W10" s="1997"/>
      <c r="X10" s="1997"/>
      <c r="Y10" s="1997"/>
    </row>
    <row r="11" spans="1:25" ht="23.25" customHeight="1" x14ac:dyDescent="0.25">
      <c r="A11" s="880"/>
      <c r="B11" s="1993" t="s">
        <v>629</v>
      </c>
      <c r="C11" s="1993" t="s">
        <v>2693</v>
      </c>
      <c r="D11" s="4700" t="s">
        <v>2694</v>
      </c>
      <c r="E11" s="4700">
        <v>0</v>
      </c>
      <c r="F11" s="1994" t="s">
        <v>2980</v>
      </c>
      <c r="G11" s="1994">
        <v>20</v>
      </c>
      <c r="H11" s="1995">
        <v>0.3</v>
      </c>
      <c r="I11" s="1994" t="s">
        <v>2981</v>
      </c>
      <c r="J11" s="1994" t="s">
        <v>2980</v>
      </c>
      <c r="K11" s="1994">
        <f t="shared" si="1"/>
        <v>4</v>
      </c>
      <c r="L11" s="1996">
        <f t="shared" si="2"/>
        <v>6.6666666666666666E-2</v>
      </c>
      <c r="M11" s="1994" t="s">
        <v>2982</v>
      </c>
      <c r="N11" s="1997"/>
      <c r="O11" s="1997"/>
      <c r="P11" s="1997"/>
      <c r="Q11" s="1997"/>
      <c r="R11" s="1997"/>
      <c r="S11" s="1997"/>
      <c r="T11" s="1997"/>
      <c r="U11" s="1997"/>
      <c r="V11" s="1997"/>
      <c r="W11" s="1997"/>
      <c r="X11" s="1997"/>
      <c r="Y11" s="1997"/>
    </row>
    <row r="12" spans="1:25" ht="23.25" customHeight="1" x14ac:dyDescent="0.25">
      <c r="A12" s="880"/>
      <c r="B12" s="1993" t="s">
        <v>629</v>
      </c>
      <c r="C12" s="1993" t="s">
        <v>1303</v>
      </c>
      <c r="D12" s="4700" t="s">
        <v>2079</v>
      </c>
      <c r="E12" s="4700">
        <v>0</v>
      </c>
      <c r="F12" s="1994" t="s">
        <v>2980</v>
      </c>
      <c r="G12" s="1994">
        <v>15</v>
      </c>
      <c r="H12" s="1995">
        <f t="shared" si="0"/>
        <v>0.25</v>
      </c>
      <c r="I12" s="1994" t="s">
        <v>2981</v>
      </c>
      <c r="J12" s="1994" t="s">
        <v>2980</v>
      </c>
      <c r="K12" s="1994">
        <f t="shared" si="1"/>
        <v>3</v>
      </c>
      <c r="L12" s="1996">
        <f t="shared" si="2"/>
        <v>0.05</v>
      </c>
      <c r="M12" s="1994" t="s">
        <v>2982</v>
      </c>
      <c r="N12" s="1997"/>
      <c r="O12" s="1997"/>
      <c r="P12" s="1997"/>
      <c r="Q12" s="1997"/>
      <c r="R12" s="1997"/>
      <c r="S12" s="1997"/>
      <c r="T12" s="1997"/>
      <c r="U12" s="1997"/>
      <c r="V12" s="1997"/>
      <c r="W12" s="1997"/>
      <c r="X12" s="1997"/>
      <c r="Y12" s="1997"/>
    </row>
    <row r="13" spans="1:25" ht="23.25" customHeight="1" x14ac:dyDescent="0.25">
      <c r="A13" s="880"/>
      <c r="B13" s="1993" t="s">
        <v>629</v>
      </c>
      <c r="C13" s="1993" t="s">
        <v>2695</v>
      </c>
      <c r="D13" s="4700" t="s">
        <v>2696</v>
      </c>
      <c r="E13" s="4700">
        <v>0</v>
      </c>
      <c r="F13" s="1994" t="s">
        <v>2980</v>
      </c>
      <c r="G13" s="1994">
        <v>15</v>
      </c>
      <c r="H13" s="1995">
        <f t="shared" si="0"/>
        <v>0.25</v>
      </c>
      <c r="I13" s="1994" t="s">
        <v>2981</v>
      </c>
      <c r="J13" s="1994" t="s">
        <v>2980</v>
      </c>
      <c r="K13" s="1994">
        <f t="shared" si="1"/>
        <v>3</v>
      </c>
      <c r="L13" s="1996">
        <f t="shared" si="2"/>
        <v>0.05</v>
      </c>
      <c r="M13" s="1994" t="s">
        <v>2982</v>
      </c>
      <c r="N13" s="1997"/>
      <c r="O13" s="1997"/>
      <c r="P13" s="1997"/>
      <c r="Q13" s="1997"/>
      <c r="R13" s="1997"/>
      <c r="S13" s="1997"/>
      <c r="T13" s="1997"/>
      <c r="U13" s="1997"/>
      <c r="V13" s="1997"/>
      <c r="W13" s="1997"/>
      <c r="X13" s="1997"/>
      <c r="Y13" s="1997"/>
    </row>
    <row r="14" spans="1:25" ht="23.25" customHeight="1" x14ac:dyDescent="0.25">
      <c r="A14" s="880"/>
      <c r="B14" s="1993" t="s">
        <v>629</v>
      </c>
      <c r="C14" s="1993" t="s">
        <v>2697</v>
      </c>
      <c r="D14" s="4700" t="s">
        <v>2698</v>
      </c>
      <c r="E14" s="4700">
        <v>0</v>
      </c>
      <c r="F14" s="1994" t="s">
        <v>2980</v>
      </c>
      <c r="G14" s="1994">
        <v>18</v>
      </c>
      <c r="H14" s="1995">
        <f t="shared" si="0"/>
        <v>0.3</v>
      </c>
      <c r="I14" s="1994" t="s">
        <v>2981</v>
      </c>
      <c r="J14" s="1994" t="s">
        <v>2980</v>
      </c>
      <c r="K14" s="1994">
        <f t="shared" si="1"/>
        <v>3.6</v>
      </c>
      <c r="L14" s="1996">
        <f t="shared" si="2"/>
        <v>6.0000000000000005E-2</v>
      </c>
      <c r="M14" s="1994" t="s">
        <v>2982</v>
      </c>
      <c r="N14" s="1997"/>
      <c r="O14" s="1997"/>
      <c r="P14" s="1997"/>
      <c r="Q14" s="1997"/>
      <c r="R14" s="1997"/>
      <c r="S14" s="1997"/>
      <c r="T14" s="1997"/>
      <c r="U14" s="1997"/>
      <c r="V14" s="1997"/>
      <c r="W14" s="1997"/>
      <c r="X14" s="1997"/>
      <c r="Y14" s="1997"/>
    </row>
    <row r="15" spans="1:25" ht="23.25" customHeight="1" x14ac:dyDescent="0.25">
      <c r="A15" s="880"/>
      <c r="B15" s="1993" t="s">
        <v>629</v>
      </c>
      <c r="C15" s="1993" t="s">
        <v>2699</v>
      </c>
      <c r="D15" s="4700" t="s">
        <v>2700</v>
      </c>
      <c r="E15" s="4700">
        <v>0</v>
      </c>
      <c r="F15" s="1994" t="s">
        <v>2980</v>
      </c>
      <c r="G15" s="1994">
        <v>15</v>
      </c>
      <c r="H15" s="1995">
        <f t="shared" si="0"/>
        <v>0.25</v>
      </c>
      <c r="I15" s="1994" t="s">
        <v>2981</v>
      </c>
      <c r="J15" s="1994" t="s">
        <v>2980</v>
      </c>
      <c r="K15" s="1994">
        <f t="shared" si="1"/>
        <v>3</v>
      </c>
      <c r="L15" s="1996">
        <f t="shared" si="2"/>
        <v>0.05</v>
      </c>
      <c r="M15" s="1994" t="s">
        <v>2982</v>
      </c>
      <c r="N15" s="1997"/>
      <c r="O15" s="1997"/>
      <c r="P15" s="1997"/>
      <c r="Q15" s="1997"/>
      <c r="R15" s="1997"/>
      <c r="S15" s="1997"/>
      <c r="T15" s="1997"/>
      <c r="U15" s="1997"/>
      <c r="V15" s="1997"/>
      <c r="W15" s="1997"/>
      <c r="X15" s="1997"/>
      <c r="Y15" s="1997"/>
    </row>
    <row r="16" spans="1:25" ht="23.25" customHeight="1" x14ac:dyDescent="0.25">
      <c r="A16" s="880"/>
      <c r="B16" s="1993" t="s">
        <v>629</v>
      </c>
      <c r="C16" s="1993" t="s">
        <v>2701</v>
      </c>
      <c r="D16" s="4700" t="s">
        <v>2702</v>
      </c>
      <c r="E16" s="4700">
        <v>0</v>
      </c>
      <c r="F16" s="1994" t="s">
        <v>2980</v>
      </c>
      <c r="G16" s="1994">
        <v>15</v>
      </c>
      <c r="H16" s="1995">
        <f t="shared" si="0"/>
        <v>0.25</v>
      </c>
      <c r="I16" s="1994" t="s">
        <v>2981</v>
      </c>
      <c r="J16" s="1994" t="s">
        <v>2980</v>
      </c>
      <c r="K16" s="1994">
        <f t="shared" si="1"/>
        <v>3</v>
      </c>
      <c r="L16" s="1996">
        <f t="shared" si="2"/>
        <v>0.05</v>
      </c>
      <c r="M16" s="1994" t="s">
        <v>2982</v>
      </c>
      <c r="N16" s="1997"/>
      <c r="O16" s="1997"/>
      <c r="P16" s="1997"/>
      <c r="Q16" s="1997"/>
      <c r="R16" s="1997"/>
      <c r="S16" s="1997"/>
      <c r="T16" s="1997"/>
      <c r="U16" s="1997"/>
      <c r="V16" s="1997"/>
      <c r="W16" s="1997"/>
      <c r="X16" s="1997"/>
      <c r="Y16" s="1997"/>
    </row>
    <row r="17" spans="1:25" ht="23.25" customHeight="1" x14ac:dyDescent="0.25">
      <c r="A17" s="880"/>
      <c r="B17" s="1993" t="s">
        <v>629</v>
      </c>
      <c r="C17" s="1993" t="s">
        <v>2703</v>
      </c>
      <c r="D17" s="4700" t="s">
        <v>2704</v>
      </c>
      <c r="E17" s="4700">
        <v>0</v>
      </c>
      <c r="F17" s="1994" t="s">
        <v>2980</v>
      </c>
      <c r="G17" s="1994">
        <v>18</v>
      </c>
      <c r="H17" s="1995">
        <f t="shared" si="0"/>
        <v>0.3</v>
      </c>
      <c r="I17" s="1994" t="s">
        <v>2981</v>
      </c>
      <c r="J17" s="1994" t="s">
        <v>2980</v>
      </c>
      <c r="K17" s="1994">
        <f t="shared" si="1"/>
        <v>3.6</v>
      </c>
      <c r="L17" s="1996">
        <f t="shared" si="2"/>
        <v>6.0000000000000005E-2</v>
      </c>
      <c r="M17" s="1994" t="s">
        <v>2982</v>
      </c>
      <c r="N17" s="1997"/>
      <c r="O17" s="1997"/>
      <c r="P17" s="1997"/>
      <c r="Q17" s="1997"/>
      <c r="R17" s="1997"/>
      <c r="S17" s="1997"/>
      <c r="T17" s="1997"/>
      <c r="U17" s="1997"/>
      <c r="V17" s="1997"/>
      <c r="W17" s="1997"/>
      <c r="X17" s="1997"/>
      <c r="Y17" s="1997"/>
    </row>
    <row r="18" spans="1:25" ht="23.25" customHeight="1" x14ac:dyDescent="0.25">
      <c r="A18" s="880"/>
      <c r="B18" s="1993" t="s">
        <v>629</v>
      </c>
      <c r="C18" s="1993" t="s">
        <v>2705</v>
      </c>
      <c r="D18" s="4700" t="s">
        <v>2706</v>
      </c>
      <c r="E18" s="4700">
        <v>0</v>
      </c>
      <c r="F18" s="1994" t="s">
        <v>2980</v>
      </c>
      <c r="G18" s="1994">
        <v>20</v>
      </c>
      <c r="H18" s="1995">
        <f t="shared" si="0"/>
        <v>0.33333333333333331</v>
      </c>
      <c r="I18" s="1994" t="s">
        <v>2981</v>
      </c>
      <c r="J18" s="1994" t="s">
        <v>2980</v>
      </c>
      <c r="K18" s="1994">
        <f t="shared" si="1"/>
        <v>4</v>
      </c>
      <c r="L18" s="1996">
        <f t="shared" si="2"/>
        <v>6.6666666666666666E-2</v>
      </c>
      <c r="M18" s="1994" t="s">
        <v>2982</v>
      </c>
      <c r="N18" s="1997"/>
      <c r="O18" s="1997"/>
      <c r="P18" s="1997"/>
      <c r="Q18" s="1997"/>
      <c r="R18" s="1997"/>
      <c r="S18" s="1997"/>
      <c r="T18" s="1997"/>
      <c r="U18" s="1997"/>
      <c r="V18" s="1997"/>
      <c r="W18" s="1997"/>
      <c r="X18" s="1997"/>
      <c r="Y18" s="1997"/>
    </row>
    <row r="19" spans="1:25" ht="23.25" customHeight="1" x14ac:dyDescent="0.25">
      <c r="A19" s="880"/>
      <c r="B19" s="1993" t="s">
        <v>629</v>
      </c>
      <c r="C19" s="1993" t="s">
        <v>2707</v>
      </c>
      <c r="D19" s="4700" t="s">
        <v>2708</v>
      </c>
      <c r="E19" s="4700">
        <v>0</v>
      </c>
      <c r="F19" s="1994" t="s">
        <v>2980</v>
      </c>
      <c r="G19" s="1994">
        <v>18</v>
      </c>
      <c r="H19" s="1995">
        <f t="shared" si="0"/>
        <v>0.3</v>
      </c>
      <c r="I19" s="1994" t="s">
        <v>2981</v>
      </c>
      <c r="J19" s="1994" t="s">
        <v>2980</v>
      </c>
      <c r="K19" s="1994">
        <f t="shared" si="1"/>
        <v>3.6</v>
      </c>
      <c r="L19" s="1996">
        <f t="shared" si="2"/>
        <v>6.0000000000000005E-2</v>
      </c>
      <c r="M19" s="1994" t="s">
        <v>2982</v>
      </c>
      <c r="N19" s="1997"/>
      <c r="O19" s="1997"/>
      <c r="P19" s="1997"/>
      <c r="Q19" s="1997"/>
      <c r="R19" s="1997"/>
      <c r="S19" s="1997"/>
      <c r="T19" s="1997"/>
      <c r="U19" s="1997"/>
      <c r="V19" s="1997"/>
      <c r="W19" s="1997"/>
      <c r="X19" s="1997"/>
      <c r="Y19" s="1997"/>
    </row>
    <row r="20" spans="1:25" ht="23.25" customHeight="1" x14ac:dyDescent="0.25">
      <c r="A20" s="880"/>
      <c r="B20" s="1993" t="s">
        <v>629</v>
      </c>
      <c r="C20" s="1993" t="s">
        <v>2709</v>
      </c>
      <c r="D20" s="4700" t="s">
        <v>2710</v>
      </c>
      <c r="E20" s="4700">
        <v>0</v>
      </c>
      <c r="F20" s="1994" t="s">
        <v>2980</v>
      </c>
      <c r="G20" s="1994">
        <v>18</v>
      </c>
      <c r="H20" s="1995">
        <f t="shared" si="0"/>
        <v>0.3</v>
      </c>
      <c r="I20" s="1994" t="s">
        <v>2981</v>
      </c>
      <c r="J20" s="1994" t="s">
        <v>2980</v>
      </c>
      <c r="K20" s="1994">
        <f t="shared" si="1"/>
        <v>3.6</v>
      </c>
      <c r="L20" s="1996">
        <f t="shared" si="2"/>
        <v>6.0000000000000005E-2</v>
      </c>
      <c r="M20" s="1994" t="s">
        <v>2982</v>
      </c>
      <c r="N20" s="1997"/>
      <c r="O20" s="1997"/>
      <c r="P20" s="1997"/>
      <c r="Q20" s="1997"/>
      <c r="R20" s="1997"/>
      <c r="S20" s="1997"/>
      <c r="T20" s="1997"/>
      <c r="U20" s="1997"/>
      <c r="V20" s="1997"/>
      <c r="W20" s="1997"/>
      <c r="X20" s="1997"/>
      <c r="Y20" s="1997"/>
    </row>
    <row r="21" spans="1:25" ht="23.25" customHeight="1" x14ac:dyDescent="0.25">
      <c r="A21" s="880"/>
      <c r="B21" s="1993" t="s">
        <v>629</v>
      </c>
      <c r="C21" s="1993" t="s">
        <v>2711</v>
      </c>
      <c r="D21" s="4700" t="s">
        <v>2712</v>
      </c>
      <c r="E21" s="4700">
        <v>0</v>
      </c>
      <c r="F21" s="1994" t="s">
        <v>2980</v>
      </c>
      <c r="G21" s="1994">
        <v>20</v>
      </c>
      <c r="H21" s="1995">
        <f t="shared" si="0"/>
        <v>0.33333333333333331</v>
      </c>
      <c r="I21" s="1994" t="s">
        <v>2981</v>
      </c>
      <c r="J21" s="1994" t="s">
        <v>2980</v>
      </c>
      <c r="K21" s="1994">
        <f t="shared" si="1"/>
        <v>4</v>
      </c>
      <c r="L21" s="1996">
        <f t="shared" si="2"/>
        <v>6.6666666666666666E-2</v>
      </c>
      <c r="M21" s="1994" t="s">
        <v>2982</v>
      </c>
      <c r="N21" s="1997"/>
      <c r="O21" s="1997"/>
      <c r="P21" s="1997"/>
      <c r="Q21" s="1997"/>
      <c r="R21" s="1997"/>
      <c r="S21" s="1997"/>
      <c r="T21" s="1997"/>
      <c r="U21" s="1997"/>
      <c r="V21" s="1997"/>
      <c r="W21" s="1997"/>
      <c r="X21" s="1997"/>
      <c r="Y21" s="1997"/>
    </row>
    <row r="22" spans="1:25" ht="23.25" customHeight="1" x14ac:dyDescent="0.25">
      <c r="A22" s="880"/>
      <c r="B22" s="1993" t="s">
        <v>629</v>
      </c>
      <c r="C22" s="1993" t="s">
        <v>2713</v>
      </c>
      <c r="D22" s="4700" t="s">
        <v>2714</v>
      </c>
      <c r="E22" s="4700">
        <v>0</v>
      </c>
      <c r="F22" s="1994" t="s">
        <v>2980</v>
      </c>
      <c r="G22" s="1994">
        <v>18</v>
      </c>
      <c r="H22" s="1995">
        <f t="shared" si="0"/>
        <v>0.3</v>
      </c>
      <c r="I22" s="1994" t="s">
        <v>2981</v>
      </c>
      <c r="J22" s="1994" t="s">
        <v>2980</v>
      </c>
      <c r="K22" s="1994">
        <f t="shared" si="1"/>
        <v>3.6</v>
      </c>
      <c r="L22" s="1996">
        <f t="shared" si="2"/>
        <v>6.0000000000000005E-2</v>
      </c>
      <c r="M22" s="1994" t="s">
        <v>2982</v>
      </c>
      <c r="N22" s="1997"/>
      <c r="O22" s="1997"/>
      <c r="P22" s="1997"/>
      <c r="Q22" s="1997"/>
      <c r="R22" s="1997"/>
      <c r="S22" s="1997"/>
      <c r="T22" s="1997"/>
      <c r="U22" s="1997"/>
      <c r="V22" s="1997"/>
      <c r="W22" s="1997"/>
      <c r="X22" s="1997"/>
      <c r="Y22" s="1997"/>
    </row>
    <row r="23" spans="1:25" ht="23.25" customHeight="1" x14ac:dyDescent="0.25">
      <c r="A23" s="880"/>
      <c r="B23" s="1993" t="s">
        <v>629</v>
      </c>
      <c r="C23" s="1993" t="s">
        <v>2715</v>
      </c>
      <c r="D23" s="4700" t="s">
        <v>2716</v>
      </c>
      <c r="E23" s="4700">
        <v>0</v>
      </c>
      <c r="F23" s="1994" t="s">
        <v>2980</v>
      </c>
      <c r="G23" s="1994">
        <v>18</v>
      </c>
      <c r="H23" s="1995">
        <f t="shared" si="0"/>
        <v>0.3</v>
      </c>
      <c r="I23" s="1994" t="s">
        <v>2981</v>
      </c>
      <c r="J23" s="1994" t="s">
        <v>2980</v>
      </c>
      <c r="K23" s="1994">
        <f t="shared" si="1"/>
        <v>3.6</v>
      </c>
      <c r="L23" s="1996">
        <f t="shared" si="2"/>
        <v>6.0000000000000005E-2</v>
      </c>
      <c r="M23" s="1994" t="s">
        <v>2982</v>
      </c>
      <c r="N23" s="1997"/>
      <c r="O23" s="1997"/>
      <c r="P23" s="1997"/>
      <c r="Q23" s="1997"/>
      <c r="R23" s="1997"/>
      <c r="S23" s="1997"/>
      <c r="T23" s="1997"/>
      <c r="U23" s="1997"/>
      <c r="V23" s="1997"/>
      <c r="W23" s="1997"/>
      <c r="X23" s="1997"/>
      <c r="Y23" s="1997"/>
    </row>
    <row r="24" spans="1:25" ht="23.25" customHeight="1" x14ac:dyDescent="0.25">
      <c r="A24" s="880"/>
      <c r="B24" s="1993" t="s">
        <v>629</v>
      </c>
      <c r="C24" s="1993" t="s">
        <v>2717</v>
      </c>
      <c r="D24" s="4700" t="s">
        <v>2718</v>
      </c>
      <c r="E24" s="4700">
        <v>0</v>
      </c>
      <c r="F24" s="1994" t="s">
        <v>2980</v>
      </c>
      <c r="G24" s="1994">
        <v>30</v>
      </c>
      <c r="H24" s="1995">
        <f t="shared" si="0"/>
        <v>0.5</v>
      </c>
      <c r="I24" s="1994" t="s">
        <v>2981</v>
      </c>
      <c r="J24" s="1994" t="s">
        <v>2980</v>
      </c>
      <c r="K24" s="1994">
        <f t="shared" si="1"/>
        <v>6</v>
      </c>
      <c r="L24" s="1996">
        <f t="shared" si="2"/>
        <v>0.1</v>
      </c>
      <c r="M24" s="1994" t="s">
        <v>2982</v>
      </c>
      <c r="N24" s="1997"/>
      <c r="O24" s="1997"/>
      <c r="P24" s="1997"/>
      <c r="Q24" s="1997"/>
      <c r="R24" s="1997"/>
      <c r="S24" s="1997"/>
      <c r="T24" s="1997"/>
      <c r="U24" s="1997"/>
      <c r="V24" s="1997"/>
      <c r="W24" s="1997"/>
      <c r="X24" s="1997"/>
      <c r="Y24" s="1997"/>
    </row>
    <row r="25" spans="1:25" ht="23.25" customHeight="1" x14ac:dyDescent="0.25">
      <c r="A25" s="880"/>
      <c r="B25" s="1993" t="s">
        <v>629</v>
      </c>
      <c r="C25" s="1993" t="s">
        <v>2719</v>
      </c>
      <c r="D25" s="4700" t="s">
        <v>2720</v>
      </c>
      <c r="E25" s="4700">
        <v>0</v>
      </c>
      <c r="F25" s="1994" t="s">
        <v>2980</v>
      </c>
      <c r="G25" s="1994">
        <v>15</v>
      </c>
      <c r="H25" s="1995">
        <f t="shared" si="0"/>
        <v>0.25</v>
      </c>
      <c r="I25" s="1994" t="s">
        <v>2981</v>
      </c>
      <c r="J25" s="1994" t="s">
        <v>2980</v>
      </c>
      <c r="K25" s="1994">
        <f t="shared" si="1"/>
        <v>3</v>
      </c>
      <c r="L25" s="1996">
        <f t="shared" si="2"/>
        <v>0.05</v>
      </c>
      <c r="M25" s="1994" t="s">
        <v>2982</v>
      </c>
      <c r="N25" s="1997"/>
      <c r="O25" s="1997"/>
      <c r="P25" s="1997"/>
      <c r="Q25" s="1997"/>
      <c r="R25" s="1997"/>
      <c r="S25" s="1997"/>
      <c r="T25" s="1997"/>
      <c r="U25" s="1997"/>
      <c r="V25" s="1997"/>
      <c r="W25" s="1997"/>
      <c r="X25" s="1997"/>
      <c r="Y25" s="1997"/>
    </row>
    <row r="26" spans="1:25" ht="23.25" customHeight="1" x14ac:dyDescent="0.25">
      <c r="A26" s="880"/>
      <c r="B26" s="1993" t="s">
        <v>629</v>
      </c>
      <c r="C26" s="1993" t="s">
        <v>2721</v>
      </c>
      <c r="D26" s="4700" t="s">
        <v>2722</v>
      </c>
      <c r="E26" s="4700">
        <v>0</v>
      </c>
      <c r="F26" s="1994" t="s">
        <v>2980</v>
      </c>
      <c r="G26" s="1994">
        <v>15</v>
      </c>
      <c r="H26" s="1995">
        <f t="shared" si="0"/>
        <v>0.25</v>
      </c>
      <c r="I26" s="1994" t="s">
        <v>2981</v>
      </c>
      <c r="J26" s="1994" t="s">
        <v>2980</v>
      </c>
      <c r="K26" s="1994">
        <f t="shared" si="1"/>
        <v>3</v>
      </c>
      <c r="L26" s="1996">
        <f t="shared" si="2"/>
        <v>0.05</v>
      </c>
      <c r="M26" s="1994" t="s">
        <v>2982</v>
      </c>
      <c r="N26" s="1997"/>
      <c r="O26" s="1997"/>
      <c r="P26" s="1997"/>
      <c r="Q26" s="1997"/>
      <c r="R26" s="1997"/>
      <c r="S26" s="1997"/>
      <c r="T26" s="1997"/>
      <c r="U26" s="1997"/>
      <c r="V26" s="1997"/>
      <c r="W26" s="1997"/>
      <c r="X26" s="1997"/>
      <c r="Y26" s="1997"/>
    </row>
    <row r="27" spans="1:25" ht="23.25" customHeight="1" x14ac:dyDescent="0.25">
      <c r="A27" s="880"/>
      <c r="B27" s="1993" t="s">
        <v>629</v>
      </c>
      <c r="C27" s="1993" t="s">
        <v>2723</v>
      </c>
      <c r="D27" s="4700" t="s">
        <v>2724</v>
      </c>
      <c r="E27" s="4700">
        <v>0</v>
      </c>
      <c r="F27" s="1994" t="s">
        <v>2980</v>
      </c>
      <c r="G27" s="1994">
        <v>30</v>
      </c>
      <c r="H27" s="1995">
        <f t="shared" si="0"/>
        <v>0.5</v>
      </c>
      <c r="I27" s="1994" t="s">
        <v>2981</v>
      </c>
      <c r="J27" s="1994" t="s">
        <v>2980</v>
      </c>
      <c r="K27" s="1994">
        <f t="shared" si="1"/>
        <v>6</v>
      </c>
      <c r="L27" s="1996">
        <f t="shared" si="2"/>
        <v>0.1</v>
      </c>
      <c r="M27" s="1994" t="s">
        <v>2982</v>
      </c>
      <c r="N27" s="1997"/>
      <c r="O27" s="1997"/>
      <c r="P27" s="1997"/>
      <c r="Q27" s="1997"/>
      <c r="R27" s="1997"/>
      <c r="S27" s="1997"/>
      <c r="T27" s="1997"/>
      <c r="U27" s="1997"/>
      <c r="V27" s="1997"/>
      <c r="W27" s="1997"/>
      <c r="X27" s="1997"/>
      <c r="Y27" s="1997"/>
    </row>
    <row r="28" spans="1:25" ht="23.25" customHeight="1" x14ac:dyDescent="0.25">
      <c r="A28" s="880"/>
      <c r="B28" s="1993" t="s">
        <v>629</v>
      </c>
      <c r="C28" s="1993" t="s">
        <v>2725</v>
      </c>
      <c r="D28" s="4700" t="s">
        <v>2726</v>
      </c>
      <c r="E28" s="4700">
        <v>0</v>
      </c>
      <c r="F28" s="1994" t="s">
        <v>2980</v>
      </c>
      <c r="G28" s="1994">
        <v>30</v>
      </c>
      <c r="H28" s="1995">
        <f t="shared" si="0"/>
        <v>0.5</v>
      </c>
      <c r="I28" s="1994" t="s">
        <v>2981</v>
      </c>
      <c r="J28" s="1997"/>
      <c r="K28" s="1997"/>
      <c r="L28" s="1998"/>
      <c r="M28" s="1997"/>
      <c r="N28" s="1997"/>
      <c r="O28" s="1997"/>
      <c r="P28" s="1997"/>
      <c r="Q28" s="1997"/>
      <c r="R28" s="1997"/>
      <c r="S28" s="1997"/>
      <c r="T28" s="1997"/>
      <c r="U28" s="1997"/>
      <c r="V28" s="1997"/>
      <c r="W28" s="1997"/>
      <c r="X28" s="1997"/>
      <c r="Y28" s="1997"/>
    </row>
    <row r="29" spans="1:25" ht="23.25" customHeight="1" x14ac:dyDescent="0.25">
      <c r="A29" s="880"/>
      <c r="B29" s="1993" t="s">
        <v>629</v>
      </c>
      <c r="C29" s="1993" t="s">
        <v>2727</v>
      </c>
      <c r="D29" s="4700" t="s">
        <v>2726</v>
      </c>
      <c r="E29" s="4700">
        <v>0</v>
      </c>
      <c r="F29" s="1994"/>
      <c r="G29" s="1994">
        <v>45</v>
      </c>
      <c r="H29" s="1995">
        <f t="shared" si="0"/>
        <v>0.75</v>
      </c>
      <c r="I29" s="1994" t="s">
        <v>2981</v>
      </c>
      <c r="J29" s="1997"/>
      <c r="K29" s="1997"/>
      <c r="L29" s="1998"/>
      <c r="M29" s="1997"/>
      <c r="N29" s="1997"/>
      <c r="O29" s="1997"/>
      <c r="P29" s="1997"/>
      <c r="Q29" s="1997"/>
      <c r="R29" s="1997"/>
      <c r="S29" s="1997"/>
      <c r="T29" s="1997"/>
      <c r="U29" s="1997"/>
      <c r="V29" s="1997"/>
      <c r="W29" s="1997"/>
      <c r="X29" s="1997"/>
      <c r="Y29" s="1997"/>
    </row>
    <row r="30" spans="1:25" ht="23.25" customHeight="1" x14ac:dyDescent="0.25">
      <c r="A30" s="880"/>
      <c r="B30" s="4700" t="s">
        <v>629</v>
      </c>
      <c r="C30" s="4700" t="s">
        <v>2728</v>
      </c>
      <c r="D30" s="4700" t="s">
        <v>2086</v>
      </c>
      <c r="E30" s="4700"/>
      <c r="F30" s="1994" t="s">
        <v>2980</v>
      </c>
      <c r="G30" s="1994">
        <v>30</v>
      </c>
      <c r="H30" s="1995">
        <f t="shared" si="0"/>
        <v>0.5</v>
      </c>
      <c r="I30" s="1994" t="s">
        <v>2981</v>
      </c>
      <c r="J30" s="1994" t="s">
        <v>2980</v>
      </c>
      <c r="K30" s="1994">
        <f>+G30*0.2</f>
        <v>6</v>
      </c>
      <c r="L30" s="1996">
        <f t="shared" ref="L30:L63" si="3">+K30/60</f>
        <v>0.1</v>
      </c>
      <c r="M30" s="1994" t="s">
        <v>2982</v>
      </c>
      <c r="N30" s="1997"/>
      <c r="O30" s="1997"/>
      <c r="P30" s="1997"/>
      <c r="Q30" s="1997"/>
      <c r="R30" s="1997"/>
      <c r="S30" s="1997"/>
      <c r="T30" s="1997"/>
      <c r="U30" s="1997"/>
      <c r="V30" s="1997"/>
      <c r="W30" s="1997"/>
      <c r="X30" s="1997"/>
      <c r="Y30" s="1997"/>
    </row>
    <row r="31" spans="1:25" ht="23.25" customHeight="1" x14ac:dyDescent="0.25">
      <c r="A31" s="880"/>
      <c r="B31" s="4700"/>
      <c r="C31" s="4700"/>
      <c r="D31" s="4700" t="s">
        <v>2088</v>
      </c>
      <c r="E31" s="4700"/>
      <c r="F31" s="1994" t="s">
        <v>2980</v>
      </c>
      <c r="G31" s="1994">
        <v>15</v>
      </c>
      <c r="H31" s="1995">
        <f t="shared" si="0"/>
        <v>0.25</v>
      </c>
      <c r="I31" s="1994" t="s">
        <v>2981</v>
      </c>
      <c r="J31" s="1994" t="s">
        <v>2980</v>
      </c>
      <c r="K31" s="1994">
        <f t="shared" ref="K31:K43" si="4">+G31*0.2</f>
        <v>3</v>
      </c>
      <c r="L31" s="1996">
        <f t="shared" si="3"/>
        <v>0.05</v>
      </c>
      <c r="M31" s="1994" t="s">
        <v>2982</v>
      </c>
      <c r="N31" s="1997"/>
      <c r="O31" s="1997"/>
      <c r="P31" s="1997"/>
      <c r="Q31" s="1997"/>
      <c r="R31" s="1997"/>
      <c r="S31" s="1997"/>
      <c r="T31" s="1997"/>
      <c r="U31" s="1997"/>
      <c r="V31" s="1997"/>
      <c r="W31" s="1997"/>
      <c r="X31" s="1997"/>
      <c r="Y31" s="1997"/>
    </row>
    <row r="32" spans="1:25" ht="23.25" customHeight="1" x14ac:dyDescent="0.25">
      <c r="A32" s="880"/>
      <c r="B32" s="1993" t="s">
        <v>629</v>
      </c>
      <c r="C32" s="1993" t="s">
        <v>2729</v>
      </c>
      <c r="D32" s="4700" t="s">
        <v>2092</v>
      </c>
      <c r="E32" s="4700">
        <v>0</v>
      </c>
      <c r="F32" s="1994" t="s">
        <v>2980</v>
      </c>
      <c r="G32" s="1994">
        <v>30</v>
      </c>
      <c r="H32" s="1995">
        <f t="shared" si="0"/>
        <v>0.5</v>
      </c>
      <c r="I32" s="1994" t="s">
        <v>2981</v>
      </c>
      <c r="J32" s="1994" t="s">
        <v>2980</v>
      </c>
      <c r="K32" s="1994">
        <f t="shared" si="4"/>
        <v>6</v>
      </c>
      <c r="L32" s="1996">
        <f t="shared" si="3"/>
        <v>0.1</v>
      </c>
      <c r="M32" s="1994" t="s">
        <v>2982</v>
      </c>
      <c r="N32" s="1997"/>
      <c r="O32" s="1997"/>
      <c r="P32" s="1997"/>
      <c r="Q32" s="1997"/>
      <c r="R32" s="1997"/>
      <c r="S32" s="1997"/>
      <c r="T32" s="1997"/>
      <c r="U32" s="1997"/>
      <c r="V32" s="1997"/>
      <c r="W32" s="1997"/>
      <c r="X32" s="1997"/>
      <c r="Y32" s="1997"/>
    </row>
    <row r="33" spans="1:25" ht="23.25" customHeight="1" x14ac:dyDescent="0.25">
      <c r="A33" s="880"/>
      <c r="B33" s="1993" t="s">
        <v>629</v>
      </c>
      <c r="C33" s="1993" t="s">
        <v>2729</v>
      </c>
      <c r="D33" s="4700" t="s">
        <v>46</v>
      </c>
      <c r="E33" s="4700">
        <v>0</v>
      </c>
      <c r="F33" s="1994" t="s">
        <v>2980</v>
      </c>
      <c r="G33" s="1994">
        <v>40</v>
      </c>
      <c r="H33" s="1995">
        <f t="shared" si="0"/>
        <v>0.66666666666666663</v>
      </c>
      <c r="I33" s="1994" t="s">
        <v>2981</v>
      </c>
      <c r="J33" s="1994" t="s">
        <v>2980</v>
      </c>
      <c r="K33" s="1994">
        <f t="shared" si="4"/>
        <v>8</v>
      </c>
      <c r="L33" s="1996">
        <f t="shared" si="3"/>
        <v>0.13333333333333333</v>
      </c>
      <c r="M33" s="1994" t="s">
        <v>2982</v>
      </c>
      <c r="N33" s="1997"/>
      <c r="O33" s="1997"/>
      <c r="P33" s="1997"/>
      <c r="Q33" s="1997"/>
      <c r="R33" s="1997"/>
      <c r="S33" s="1997"/>
      <c r="T33" s="1997"/>
      <c r="U33" s="1997"/>
      <c r="V33" s="1997"/>
      <c r="W33" s="1997"/>
      <c r="X33" s="1997"/>
      <c r="Y33" s="1997"/>
    </row>
    <row r="34" spans="1:25" ht="23.25" customHeight="1" x14ac:dyDescent="0.25">
      <c r="A34" s="880"/>
      <c r="B34" s="1993" t="s">
        <v>629</v>
      </c>
      <c r="C34" s="1993" t="s">
        <v>2729</v>
      </c>
      <c r="D34" s="4700" t="s">
        <v>2093</v>
      </c>
      <c r="E34" s="4700">
        <v>0</v>
      </c>
      <c r="F34" s="1994" t="s">
        <v>2980</v>
      </c>
      <c r="G34" s="1994">
        <v>30</v>
      </c>
      <c r="H34" s="1995">
        <f t="shared" si="0"/>
        <v>0.5</v>
      </c>
      <c r="I34" s="1994" t="s">
        <v>2981</v>
      </c>
      <c r="J34" s="1994" t="s">
        <v>2980</v>
      </c>
      <c r="K34" s="1994">
        <f t="shared" si="4"/>
        <v>6</v>
      </c>
      <c r="L34" s="1996">
        <f t="shared" si="3"/>
        <v>0.1</v>
      </c>
      <c r="M34" s="1994" t="s">
        <v>2982</v>
      </c>
      <c r="N34" s="1997"/>
      <c r="O34" s="1997"/>
      <c r="P34" s="1997"/>
      <c r="Q34" s="1997"/>
      <c r="R34" s="1997"/>
      <c r="S34" s="1997"/>
      <c r="T34" s="1997"/>
      <c r="U34" s="1997"/>
      <c r="V34" s="1997"/>
      <c r="W34" s="1997"/>
      <c r="X34" s="1997"/>
      <c r="Y34" s="1997"/>
    </row>
    <row r="35" spans="1:25" ht="23.25" customHeight="1" x14ac:dyDescent="0.25">
      <c r="A35" s="880"/>
      <c r="B35" s="1993" t="s">
        <v>629</v>
      </c>
      <c r="C35" s="1993" t="s">
        <v>2729</v>
      </c>
      <c r="D35" s="4700" t="s">
        <v>2730</v>
      </c>
      <c r="E35" s="4700">
        <v>0</v>
      </c>
      <c r="F35" s="1994" t="s">
        <v>2980</v>
      </c>
      <c r="G35" s="1994">
        <v>20</v>
      </c>
      <c r="H35" s="1995">
        <f t="shared" si="0"/>
        <v>0.33333333333333331</v>
      </c>
      <c r="I35" s="1994" t="s">
        <v>2981</v>
      </c>
      <c r="J35" s="1994" t="s">
        <v>2980</v>
      </c>
      <c r="K35" s="1994">
        <f t="shared" si="4"/>
        <v>4</v>
      </c>
      <c r="L35" s="1996">
        <f t="shared" si="3"/>
        <v>6.6666666666666666E-2</v>
      </c>
      <c r="M35" s="1994" t="s">
        <v>2982</v>
      </c>
      <c r="N35" s="1997"/>
      <c r="O35" s="1997"/>
      <c r="P35" s="1997"/>
      <c r="Q35" s="1997"/>
      <c r="R35" s="1997"/>
      <c r="S35" s="1997"/>
      <c r="T35" s="1997"/>
      <c r="U35" s="1997"/>
      <c r="V35" s="1997"/>
      <c r="W35" s="1997"/>
      <c r="X35" s="1997"/>
      <c r="Y35" s="1997"/>
    </row>
    <row r="36" spans="1:25" ht="23.25" customHeight="1" x14ac:dyDescent="0.25">
      <c r="A36" s="880"/>
      <c r="B36" s="1993" t="s">
        <v>629</v>
      </c>
      <c r="C36" s="1993" t="s">
        <v>2729</v>
      </c>
      <c r="D36" s="4700" t="s">
        <v>2095</v>
      </c>
      <c r="E36" s="4700">
        <v>0</v>
      </c>
      <c r="F36" s="1994" t="s">
        <v>2980</v>
      </c>
      <c r="G36" s="1994">
        <v>20</v>
      </c>
      <c r="H36" s="1995">
        <f t="shared" si="0"/>
        <v>0.33333333333333331</v>
      </c>
      <c r="I36" s="1994" t="s">
        <v>2981</v>
      </c>
      <c r="J36" s="1994" t="s">
        <v>2980</v>
      </c>
      <c r="K36" s="1994">
        <f t="shared" si="4"/>
        <v>4</v>
      </c>
      <c r="L36" s="1996">
        <f t="shared" si="3"/>
        <v>6.6666666666666666E-2</v>
      </c>
      <c r="M36" s="1994" t="s">
        <v>2982</v>
      </c>
      <c r="N36" s="1997"/>
      <c r="O36" s="1997"/>
      <c r="P36" s="1997"/>
      <c r="Q36" s="1997"/>
      <c r="R36" s="1997"/>
      <c r="S36" s="1997"/>
      <c r="T36" s="1997"/>
      <c r="U36" s="1997"/>
      <c r="V36" s="1997"/>
      <c r="W36" s="1997"/>
      <c r="X36" s="1997"/>
      <c r="Y36" s="1997"/>
    </row>
    <row r="37" spans="1:25" ht="23.25" customHeight="1" x14ac:dyDescent="0.25">
      <c r="A37" s="880"/>
      <c r="B37" s="1993" t="s">
        <v>629</v>
      </c>
      <c r="C37" s="1993" t="s">
        <v>2729</v>
      </c>
      <c r="D37" s="4700" t="s">
        <v>2091</v>
      </c>
      <c r="E37" s="4700">
        <v>0</v>
      </c>
      <c r="F37" s="1994" t="s">
        <v>2980</v>
      </c>
      <c r="G37" s="1994">
        <v>40</v>
      </c>
      <c r="H37" s="1995">
        <f t="shared" si="0"/>
        <v>0.66666666666666663</v>
      </c>
      <c r="I37" s="1994" t="s">
        <v>2981</v>
      </c>
      <c r="J37" s="1994" t="s">
        <v>2980</v>
      </c>
      <c r="K37" s="1994">
        <f t="shared" si="4"/>
        <v>8</v>
      </c>
      <c r="L37" s="1996">
        <f t="shared" si="3"/>
        <v>0.13333333333333333</v>
      </c>
      <c r="M37" s="1994" t="s">
        <v>2982</v>
      </c>
      <c r="N37" s="1997"/>
      <c r="O37" s="1997"/>
      <c r="P37" s="1997"/>
      <c r="Q37" s="1997"/>
      <c r="R37" s="1997"/>
      <c r="S37" s="1997"/>
      <c r="T37" s="1997"/>
      <c r="U37" s="1997"/>
      <c r="V37" s="1997"/>
      <c r="W37" s="1997"/>
      <c r="X37" s="1997"/>
      <c r="Y37" s="1997"/>
    </row>
    <row r="38" spans="1:25" ht="23.25" customHeight="1" x14ac:dyDescent="0.25">
      <c r="A38" s="880"/>
      <c r="B38" s="1993" t="s">
        <v>629</v>
      </c>
      <c r="C38" s="1993" t="s">
        <v>2729</v>
      </c>
      <c r="D38" s="4700" t="s">
        <v>2090</v>
      </c>
      <c r="E38" s="4700">
        <v>0</v>
      </c>
      <c r="F38" s="1994" t="s">
        <v>2980</v>
      </c>
      <c r="G38" s="1994">
        <v>15</v>
      </c>
      <c r="H38" s="1995">
        <f t="shared" si="0"/>
        <v>0.25</v>
      </c>
      <c r="I38" s="1994" t="s">
        <v>2981</v>
      </c>
      <c r="J38" s="1994" t="s">
        <v>2980</v>
      </c>
      <c r="K38" s="1994">
        <f t="shared" si="4"/>
        <v>3</v>
      </c>
      <c r="L38" s="1996">
        <f t="shared" si="3"/>
        <v>0.05</v>
      </c>
      <c r="M38" s="1994" t="s">
        <v>2982</v>
      </c>
      <c r="N38" s="1997"/>
      <c r="O38" s="1997"/>
      <c r="P38" s="1997"/>
      <c r="Q38" s="1997"/>
      <c r="R38" s="1997"/>
      <c r="S38" s="1997"/>
      <c r="T38" s="1997"/>
      <c r="U38" s="1997"/>
      <c r="V38" s="1997"/>
      <c r="W38" s="1997"/>
      <c r="X38" s="1997"/>
      <c r="Y38" s="1997"/>
    </row>
    <row r="39" spans="1:25" ht="23.25" customHeight="1" x14ac:dyDescent="0.25">
      <c r="A39" s="880"/>
      <c r="B39" s="1993" t="s">
        <v>629</v>
      </c>
      <c r="C39" s="1993" t="s">
        <v>2731</v>
      </c>
      <c r="D39" s="4700" t="s">
        <v>2732</v>
      </c>
      <c r="E39" s="4700">
        <v>0</v>
      </c>
      <c r="F39" s="1994" t="s">
        <v>2980</v>
      </c>
      <c r="G39" s="1994">
        <v>15</v>
      </c>
      <c r="H39" s="1995">
        <f t="shared" si="0"/>
        <v>0.25</v>
      </c>
      <c r="I39" s="1994" t="s">
        <v>2981</v>
      </c>
      <c r="J39" s="1994" t="s">
        <v>2980</v>
      </c>
      <c r="K39" s="1994">
        <f t="shared" si="4"/>
        <v>3</v>
      </c>
      <c r="L39" s="1996">
        <f t="shared" si="3"/>
        <v>0.05</v>
      </c>
      <c r="M39" s="1994" t="s">
        <v>2982</v>
      </c>
      <c r="N39" s="1997"/>
      <c r="O39" s="1997"/>
      <c r="P39" s="1997"/>
      <c r="Q39" s="1997"/>
      <c r="R39" s="1997"/>
      <c r="S39" s="1997"/>
      <c r="T39" s="1997"/>
      <c r="U39" s="1997"/>
      <c r="V39" s="1997"/>
      <c r="W39" s="1997"/>
      <c r="X39" s="1997"/>
      <c r="Y39" s="1997"/>
    </row>
    <row r="40" spans="1:25" ht="23.25" customHeight="1" x14ac:dyDescent="0.25">
      <c r="A40" s="880"/>
      <c r="B40" s="1993" t="s">
        <v>629</v>
      </c>
      <c r="C40" s="1993" t="s">
        <v>2733</v>
      </c>
      <c r="D40" s="4700" t="s">
        <v>2734</v>
      </c>
      <c r="E40" s="4700">
        <v>0</v>
      </c>
      <c r="F40" s="1994" t="s">
        <v>2980</v>
      </c>
      <c r="G40" s="1994">
        <v>20</v>
      </c>
      <c r="H40" s="1995">
        <f t="shared" si="0"/>
        <v>0.33333333333333331</v>
      </c>
      <c r="I40" s="1994" t="s">
        <v>2981</v>
      </c>
      <c r="J40" s="1994" t="s">
        <v>2980</v>
      </c>
      <c r="K40" s="1994">
        <f t="shared" si="4"/>
        <v>4</v>
      </c>
      <c r="L40" s="1996">
        <f t="shared" si="3"/>
        <v>6.6666666666666666E-2</v>
      </c>
      <c r="M40" s="1994" t="s">
        <v>2982</v>
      </c>
      <c r="N40" s="1997"/>
      <c r="O40" s="1997"/>
      <c r="P40" s="1997"/>
      <c r="Q40" s="1997"/>
      <c r="R40" s="1997"/>
      <c r="S40" s="1997"/>
      <c r="T40" s="1997"/>
      <c r="U40" s="1997"/>
      <c r="V40" s="1997"/>
      <c r="W40" s="1997"/>
      <c r="X40" s="1997"/>
      <c r="Y40" s="1997"/>
    </row>
    <row r="41" spans="1:25" ht="23.25" customHeight="1" x14ac:dyDescent="0.25">
      <c r="A41" s="880"/>
      <c r="B41" s="1993" t="s">
        <v>629</v>
      </c>
      <c r="C41" s="1993" t="s">
        <v>2735</v>
      </c>
      <c r="D41" s="4700" t="s">
        <v>2736</v>
      </c>
      <c r="E41" s="4700">
        <v>0</v>
      </c>
      <c r="F41" s="1994" t="s">
        <v>2980</v>
      </c>
      <c r="G41" s="1994">
        <v>30</v>
      </c>
      <c r="H41" s="1995">
        <f t="shared" si="0"/>
        <v>0.5</v>
      </c>
      <c r="I41" s="1994" t="s">
        <v>2981</v>
      </c>
      <c r="J41" s="1994" t="s">
        <v>2980</v>
      </c>
      <c r="K41" s="1994">
        <f t="shared" si="4"/>
        <v>6</v>
      </c>
      <c r="L41" s="1996">
        <f t="shared" si="3"/>
        <v>0.1</v>
      </c>
      <c r="M41" s="1994" t="s">
        <v>2982</v>
      </c>
      <c r="N41" s="1997"/>
      <c r="O41" s="1997"/>
      <c r="P41" s="1997"/>
      <c r="Q41" s="1997"/>
      <c r="R41" s="1997"/>
      <c r="S41" s="1997"/>
      <c r="T41" s="1997"/>
      <c r="U41" s="1997"/>
      <c r="V41" s="1997"/>
      <c r="W41" s="1997"/>
      <c r="X41" s="1997"/>
      <c r="Y41" s="1997"/>
    </row>
    <row r="42" spans="1:25" ht="23.25" customHeight="1" x14ac:dyDescent="0.25">
      <c r="A42" s="880"/>
      <c r="B42" s="4700" t="s">
        <v>629</v>
      </c>
      <c r="C42" s="4700" t="s">
        <v>2097</v>
      </c>
      <c r="D42" s="4700" t="s">
        <v>2099</v>
      </c>
      <c r="E42" s="4700"/>
      <c r="F42" s="1994" t="s">
        <v>2980</v>
      </c>
      <c r="G42" s="1994">
        <v>25</v>
      </c>
      <c r="H42" s="1995">
        <f t="shared" si="0"/>
        <v>0.41666666666666669</v>
      </c>
      <c r="I42" s="1994" t="s">
        <v>2981</v>
      </c>
      <c r="J42" s="1994" t="s">
        <v>2980</v>
      </c>
      <c r="K42" s="1994">
        <f t="shared" si="4"/>
        <v>5</v>
      </c>
      <c r="L42" s="1996">
        <f t="shared" si="3"/>
        <v>8.3333333333333329E-2</v>
      </c>
      <c r="M42" s="1994" t="s">
        <v>2982</v>
      </c>
      <c r="N42" s="1997"/>
      <c r="O42" s="1997"/>
      <c r="P42" s="1997"/>
      <c r="Q42" s="1997"/>
      <c r="R42" s="1997"/>
      <c r="S42" s="1997"/>
      <c r="T42" s="1997"/>
      <c r="U42" s="1997"/>
      <c r="V42" s="1997"/>
      <c r="W42" s="1997"/>
      <c r="X42" s="1997"/>
      <c r="Y42" s="1997"/>
    </row>
    <row r="43" spans="1:25" ht="23.25" customHeight="1" x14ac:dyDescent="0.25">
      <c r="A43" s="880"/>
      <c r="B43" s="4700"/>
      <c r="C43" s="4700"/>
      <c r="D43" s="4700" t="s">
        <v>2101</v>
      </c>
      <c r="E43" s="4700"/>
      <c r="F43" s="1994" t="s">
        <v>2980</v>
      </c>
      <c r="G43" s="1994">
        <v>20</v>
      </c>
      <c r="H43" s="1995">
        <f t="shared" si="0"/>
        <v>0.33333333333333331</v>
      </c>
      <c r="I43" s="1994" t="s">
        <v>2981</v>
      </c>
      <c r="J43" s="1994" t="s">
        <v>2980</v>
      </c>
      <c r="K43" s="1994">
        <f t="shared" si="4"/>
        <v>4</v>
      </c>
      <c r="L43" s="1996">
        <f t="shared" si="3"/>
        <v>6.6666666666666666E-2</v>
      </c>
      <c r="M43" s="1994" t="s">
        <v>2982</v>
      </c>
      <c r="N43" s="1997"/>
      <c r="O43" s="1997"/>
      <c r="P43" s="1997"/>
      <c r="Q43" s="1997"/>
      <c r="R43" s="1997"/>
      <c r="S43" s="1997"/>
      <c r="T43" s="1997"/>
      <c r="U43" s="1997"/>
      <c r="V43" s="1997"/>
      <c r="W43" s="1997"/>
      <c r="X43" s="1997"/>
      <c r="Y43" s="1997"/>
    </row>
    <row r="44" spans="1:25" ht="23.25" customHeight="1" x14ac:dyDescent="0.25">
      <c r="A44" s="880"/>
      <c r="B44" s="1993" t="s">
        <v>629</v>
      </c>
      <c r="C44" s="1993" t="s">
        <v>2737</v>
      </c>
      <c r="D44" s="4700" t="s">
        <v>2738</v>
      </c>
      <c r="E44" s="4700">
        <v>0</v>
      </c>
      <c r="F44" s="1994" t="s">
        <v>2980</v>
      </c>
      <c r="G44" s="1994">
        <v>20</v>
      </c>
      <c r="H44" s="1995">
        <f t="shared" si="0"/>
        <v>0.33333333333333331</v>
      </c>
      <c r="I44" s="1994" t="s">
        <v>2981</v>
      </c>
      <c r="J44" s="1994" t="s">
        <v>2980</v>
      </c>
      <c r="K44" s="1994">
        <f>+G44*0.5</f>
        <v>10</v>
      </c>
      <c r="L44" s="1996">
        <f t="shared" si="3"/>
        <v>0.16666666666666666</v>
      </c>
      <c r="M44" s="1994" t="s">
        <v>2982</v>
      </c>
      <c r="N44" s="1997"/>
      <c r="O44" s="1997"/>
      <c r="P44" s="1997"/>
      <c r="Q44" s="1997"/>
      <c r="R44" s="1997"/>
      <c r="S44" s="1997"/>
      <c r="T44" s="1997"/>
      <c r="U44" s="1997"/>
      <c r="V44" s="1997"/>
      <c r="W44" s="1997"/>
      <c r="X44" s="1997"/>
      <c r="Y44" s="1997"/>
    </row>
    <row r="45" spans="1:25" ht="23.25" customHeight="1" x14ac:dyDescent="0.25">
      <c r="A45" s="880"/>
      <c r="B45" s="1993" t="s">
        <v>629</v>
      </c>
      <c r="C45" s="1993" t="s">
        <v>1318</v>
      </c>
      <c r="D45" s="4700" t="s">
        <v>2108</v>
      </c>
      <c r="E45" s="4700">
        <v>0</v>
      </c>
      <c r="F45" s="1994" t="s">
        <v>2980</v>
      </c>
      <c r="G45" s="1994">
        <v>30</v>
      </c>
      <c r="H45" s="1995">
        <f t="shared" si="0"/>
        <v>0.5</v>
      </c>
      <c r="I45" s="1994" t="s">
        <v>2981</v>
      </c>
      <c r="J45" s="1994" t="s">
        <v>2980</v>
      </c>
      <c r="K45" s="1994">
        <f>+G45*0.5</f>
        <v>15</v>
      </c>
      <c r="L45" s="1996">
        <f t="shared" si="3"/>
        <v>0.25</v>
      </c>
      <c r="M45" s="1994" t="s">
        <v>2982</v>
      </c>
      <c r="N45" s="1997"/>
      <c r="O45" s="1997"/>
      <c r="P45" s="1997"/>
      <c r="Q45" s="1997"/>
      <c r="R45" s="1997"/>
      <c r="S45" s="1997"/>
      <c r="T45" s="1997"/>
      <c r="U45" s="1997"/>
      <c r="V45" s="1997"/>
      <c r="W45" s="1997"/>
      <c r="X45" s="1997"/>
      <c r="Y45" s="1997"/>
    </row>
    <row r="46" spans="1:25" ht="23.25" customHeight="1" x14ac:dyDescent="0.25">
      <c r="A46" s="880"/>
      <c r="B46" s="1993" t="s">
        <v>629</v>
      </c>
      <c r="C46" s="1993" t="s">
        <v>2739</v>
      </c>
      <c r="D46" s="4700" t="s">
        <v>2114</v>
      </c>
      <c r="E46" s="4700">
        <v>0</v>
      </c>
      <c r="F46" s="1994" t="s">
        <v>2980</v>
      </c>
      <c r="G46" s="1994">
        <v>20</v>
      </c>
      <c r="H46" s="1995">
        <f t="shared" si="0"/>
        <v>0.33333333333333331</v>
      </c>
      <c r="I46" s="1994" t="s">
        <v>2981</v>
      </c>
      <c r="J46" s="1994" t="s">
        <v>2980</v>
      </c>
      <c r="K46" s="1994">
        <f>+G46*0.2</f>
        <v>4</v>
      </c>
      <c r="L46" s="1996">
        <f t="shared" si="3"/>
        <v>6.6666666666666666E-2</v>
      </c>
      <c r="M46" s="1994" t="s">
        <v>2982</v>
      </c>
      <c r="N46" s="1997"/>
      <c r="O46" s="1997"/>
      <c r="P46" s="1997"/>
      <c r="Q46" s="1997"/>
      <c r="R46" s="1997"/>
      <c r="S46" s="1997"/>
      <c r="T46" s="1997"/>
      <c r="U46" s="1997"/>
      <c r="V46" s="1997"/>
      <c r="W46" s="1997"/>
      <c r="X46" s="1997"/>
      <c r="Y46" s="1997"/>
    </row>
    <row r="47" spans="1:25" ht="23.25" customHeight="1" x14ac:dyDescent="0.25">
      <c r="A47" s="880"/>
      <c r="B47" s="1993" t="s">
        <v>629</v>
      </c>
      <c r="C47" s="1993" t="s">
        <v>1321</v>
      </c>
      <c r="D47" s="4700" t="s">
        <v>2117</v>
      </c>
      <c r="E47" s="4700">
        <v>0</v>
      </c>
      <c r="F47" s="1994" t="s">
        <v>2980</v>
      </c>
      <c r="G47" s="1994">
        <v>25</v>
      </c>
      <c r="H47" s="1995">
        <f t="shared" si="0"/>
        <v>0.41666666666666669</v>
      </c>
      <c r="I47" s="1994" t="s">
        <v>2981</v>
      </c>
      <c r="J47" s="1994" t="s">
        <v>2980</v>
      </c>
      <c r="K47" s="1994">
        <f>+G47</f>
        <v>25</v>
      </c>
      <c r="L47" s="1996">
        <f t="shared" si="3"/>
        <v>0.41666666666666669</v>
      </c>
      <c r="M47" s="1994" t="s">
        <v>2982</v>
      </c>
      <c r="N47" s="1997"/>
      <c r="O47" s="1997"/>
      <c r="P47" s="1997"/>
      <c r="Q47" s="1997"/>
      <c r="R47" s="1997"/>
      <c r="S47" s="1997"/>
      <c r="T47" s="1997"/>
      <c r="U47" s="1997"/>
      <c r="V47" s="1997"/>
      <c r="W47" s="1997"/>
      <c r="X47" s="1997"/>
      <c r="Y47" s="1997"/>
    </row>
    <row r="48" spans="1:25" ht="23.25" customHeight="1" x14ac:dyDescent="0.25">
      <c r="A48" s="880"/>
      <c r="B48" s="1993" t="s">
        <v>629</v>
      </c>
      <c r="C48" s="1993" t="s">
        <v>2740</v>
      </c>
      <c r="D48" s="4700" t="s">
        <v>2741</v>
      </c>
      <c r="E48" s="4700">
        <v>0</v>
      </c>
      <c r="F48" s="1994" t="s">
        <v>2980</v>
      </c>
      <c r="G48" s="1994">
        <v>30</v>
      </c>
      <c r="H48" s="1995">
        <f t="shared" si="0"/>
        <v>0.5</v>
      </c>
      <c r="I48" s="1994" t="s">
        <v>2981</v>
      </c>
      <c r="J48" s="1994" t="s">
        <v>2980</v>
      </c>
      <c r="K48" s="1994">
        <f t="shared" ref="K48:K63" si="5">+G48</f>
        <v>30</v>
      </c>
      <c r="L48" s="1996">
        <f t="shared" si="3"/>
        <v>0.5</v>
      </c>
      <c r="M48" s="1994" t="s">
        <v>2982</v>
      </c>
      <c r="N48" s="1997"/>
      <c r="O48" s="1997"/>
      <c r="P48" s="1997"/>
      <c r="Q48" s="1997"/>
      <c r="R48" s="1997"/>
      <c r="S48" s="1997"/>
      <c r="T48" s="1997"/>
      <c r="U48" s="1997"/>
      <c r="V48" s="1997"/>
      <c r="W48" s="1997"/>
      <c r="X48" s="1997"/>
      <c r="Y48" s="1997"/>
    </row>
    <row r="49" spans="1:25" s="629" customFormat="1" ht="23.25" customHeight="1" x14ac:dyDescent="0.25">
      <c r="B49" s="1999" t="s">
        <v>629</v>
      </c>
      <c r="C49" s="1999" t="s">
        <v>2742</v>
      </c>
      <c r="D49" s="4704" t="s">
        <v>2918</v>
      </c>
      <c r="E49" s="4704">
        <v>0</v>
      </c>
      <c r="F49" s="2000" t="s">
        <v>2980</v>
      </c>
      <c r="G49" s="2000">
        <v>70</v>
      </c>
      <c r="H49" s="2001">
        <f t="shared" si="0"/>
        <v>1.1666666666666667</v>
      </c>
      <c r="I49" s="2000" t="s">
        <v>2981</v>
      </c>
      <c r="J49" s="2000" t="s">
        <v>2980</v>
      </c>
      <c r="K49" s="2000">
        <f t="shared" si="5"/>
        <v>70</v>
      </c>
      <c r="L49" s="1996">
        <f t="shared" si="3"/>
        <v>1.1666666666666667</v>
      </c>
      <c r="M49" s="2000" t="s">
        <v>2982</v>
      </c>
      <c r="N49" s="2000" t="s">
        <v>2980</v>
      </c>
      <c r="O49" s="2000">
        <f>+K49</f>
        <v>70</v>
      </c>
      <c r="P49" s="2001">
        <f>+O49/60</f>
        <v>1.1666666666666667</v>
      </c>
      <c r="Q49" s="2000" t="s">
        <v>2982</v>
      </c>
      <c r="R49" s="1997"/>
      <c r="S49" s="1997"/>
      <c r="T49" s="1997"/>
      <c r="U49" s="1997"/>
      <c r="V49" s="1997"/>
      <c r="W49" s="1997"/>
      <c r="X49" s="1997"/>
      <c r="Y49" s="1997"/>
    </row>
    <row r="50" spans="1:25" s="629" customFormat="1" ht="23.25" customHeight="1" x14ac:dyDescent="0.25">
      <c r="B50" s="1999" t="s">
        <v>629</v>
      </c>
      <c r="C50" s="1999" t="s">
        <v>2742</v>
      </c>
      <c r="D50" s="4704" t="s">
        <v>2919</v>
      </c>
      <c r="E50" s="4704">
        <v>0</v>
      </c>
      <c r="F50" s="2000" t="s">
        <v>2980</v>
      </c>
      <c r="G50" s="2000">
        <v>75</v>
      </c>
      <c r="H50" s="2001">
        <f t="shared" si="0"/>
        <v>1.25</v>
      </c>
      <c r="I50" s="2000" t="s">
        <v>2981</v>
      </c>
      <c r="J50" s="2000" t="s">
        <v>2980</v>
      </c>
      <c r="K50" s="2000">
        <f t="shared" si="5"/>
        <v>75</v>
      </c>
      <c r="L50" s="1996">
        <f t="shared" si="3"/>
        <v>1.25</v>
      </c>
      <c r="M50" s="2000" t="s">
        <v>2982</v>
      </c>
      <c r="N50" s="2000" t="s">
        <v>2980</v>
      </c>
      <c r="O50" s="2000">
        <f>+K50</f>
        <v>75</v>
      </c>
      <c r="P50" s="2001">
        <f>+O50/60</f>
        <v>1.25</v>
      </c>
      <c r="Q50" s="2000" t="s">
        <v>2982</v>
      </c>
      <c r="R50" s="1997"/>
      <c r="S50" s="1997"/>
      <c r="T50" s="1997"/>
      <c r="U50" s="1997"/>
      <c r="V50" s="1997"/>
      <c r="W50" s="1997"/>
      <c r="X50" s="1997"/>
      <c r="Y50" s="1997"/>
    </row>
    <row r="51" spans="1:25" ht="23.25" customHeight="1" x14ac:dyDescent="0.25">
      <c r="A51" s="880"/>
      <c r="B51" s="1993" t="s">
        <v>629</v>
      </c>
      <c r="C51" s="1993" t="s">
        <v>2745</v>
      </c>
      <c r="D51" s="4700" t="s">
        <v>2920</v>
      </c>
      <c r="E51" s="4700">
        <v>0</v>
      </c>
      <c r="F51" s="1994" t="s">
        <v>2980</v>
      </c>
      <c r="G51" s="1994">
        <v>75</v>
      </c>
      <c r="H51" s="1995">
        <f t="shared" si="0"/>
        <v>1.25</v>
      </c>
      <c r="I51" s="1994" t="s">
        <v>2981</v>
      </c>
      <c r="J51" s="1994" t="s">
        <v>2980</v>
      </c>
      <c r="K51" s="1994">
        <f t="shared" si="5"/>
        <v>75</v>
      </c>
      <c r="L51" s="1996">
        <f t="shared" si="3"/>
        <v>1.25</v>
      </c>
      <c r="M51" s="1994" t="s">
        <v>2982</v>
      </c>
      <c r="N51" s="1997"/>
      <c r="O51" s="1997"/>
      <c r="P51" s="1997"/>
      <c r="Q51" s="1997"/>
      <c r="R51" s="1997"/>
      <c r="S51" s="1997"/>
      <c r="T51" s="1997"/>
      <c r="U51" s="1997"/>
      <c r="V51" s="1997"/>
      <c r="W51" s="1997"/>
      <c r="X51" s="1997"/>
      <c r="Y51" s="1997"/>
    </row>
    <row r="52" spans="1:25" ht="23.25" customHeight="1" x14ac:dyDescent="0.25">
      <c r="A52" s="880"/>
      <c r="B52" s="1993" t="s">
        <v>629</v>
      </c>
      <c r="C52" s="1993" t="s">
        <v>2745</v>
      </c>
      <c r="D52" s="4700" t="s">
        <v>131</v>
      </c>
      <c r="E52" s="4700">
        <v>0</v>
      </c>
      <c r="F52" s="1994" t="s">
        <v>2980</v>
      </c>
      <c r="G52" s="1994">
        <v>45</v>
      </c>
      <c r="H52" s="1995">
        <f t="shared" si="0"/>
        <v>0.75</v>
      </c>
      <c r="I52" s="1994" t="s">
        <v>2981</v>
      </c>
      <c r="J52" s="1994" t="s">
        <v>2980</v>
      </c>
      <c r="K52" s="1994">
        <f t="shared" si="5"/>
        <v>45</v>
      </c>
      <c r="L52" s="1996">
        <f t="shared" si="3"/>
        <v>0.75</v>
      </c>
      <c r="M52" s="1994" t="s">
        <v>2982</v>
      </c>
      <c r="N52" s="1997"/>
      <c r="O52" s="1997"/>
      <c r="P52" s="1997"/>
      <c r="Q52" s="1997"/>
      <c r="R52" s="1997"/>
      <c r="S52" s="1997"/>
      <c r="T52" s="1997"/>
      <c r="U52" s="1997"/>
      <c r="V52" s="1997"/>
      <c r="W52" s="1997"/>
      <c r="X52" s="1997"/>
      <c r="Y52" s="1997"/>
    </row>
    <row r="53" spans="1:25" ht="23.25" customHeight="1" x14ac:dyDescent="0.25">
      <c r="A53" s="880"/>
      <c r="B53" s="1993" t="s">
        <v>629</v>
      </c>
      <c r="C53" s="1993" t="s">
        <v>2747</v>
      </c>
      <c r="D53" s="4700" t="s">
        <v>2748</v>
      </c>
      <c r="E53" s="4700">
        <v>0</v>
      </c>
      <c r="F53" s="1994" t="s">
        <v>2980</v>
      </c>
      <c r="G53" s="1994">
        <v>15</v>
      </c>
      <c r="H53" s="1995">
        <f t="shared" si="0"/>
        <v>0.25</v>
      </c>
      <c r="I53" s="1994" t="s">
        <v>2981</v>
      </c>
      <c r="J53" s="1994" t="s">
        <v>2980</v>
      </c>
      <c r="K53" s="1994">
        <f t="shared" si="5"/>
        <v>15</v>
      </c>
      <c r="L53" s="1996">
        <f t="shared" si="3"/>
        <v>0.25</v>
      </c>
      <c r="M53" s="1994" t="s">
        <v>2982</v>
      </c>
      <c r="N53" s="1997"/>
      <c r="O53" s="1997"/>
      <c r="P53" s="1997"/>
      <c r="Q53" s="1997"/>
      <c r="R53" s="1997"/>
      <c r="S53" s="1997"/>
      <c r="T53" s="1997"/>
      <c r="U53" s="1997"/>
      <c r="V53" s="1997"/>
      <c r="W53" s="1997"/>
      <c r="X53" s="1997"/>
      <c r="Y53" s="1997"/>
    </row>
    <row r="54" spans="1:25" ht="23.25" customHeight="1" x14ac:dyDescent="0.25">
      <c r="A54" s="880"/>
      <c r="B54" s="1993" t="s">
        <v>629</v>
      </c>
      <c r="C54" s="1993" t="s">
        <v>2747</v>
      </c>
      <c r="D54" s="4700" t="s">
        <v>2749</v>
      </c>
      <c r="E54" s="4700">
        <v>0</v>
      </c>
      <c r="F54" s="1994" t="s">
        <v>2980</v>
      </c>
      <c r="G54" s="1994">
        <v>45</v>
      </c>
      <c r="H54" s="1995">
        <f t="shared" si="0"/>
        <v>0.75</v>
      </c>
      <c r="I54" s="1994" t="s">
        <v>2981</v>
      </c>
      <c r="J54" s="1994" t="s">
        <v>2980</v>
      </c>
      <c r="K54" s="1994">
        <f t="shared" si="5"/>
        <v>45</v>
      </c>
      <c r="L54" s="1996">
        <f t="shared" si="3"/>
        <v>0.75</v>
      </c>
      <c r="M54" s="1994" t="s">
        <v>2982</v>
      </c>
      <c r="N54" s="1997"/>
      <c r="O54" s="1997"/>
      <c r="P54" s="1997"/>
      <c r="Q54" s="1997"/>
      <c r="R54" s="1997"/>
      <c r="S54" s="1997"/>
      <c r="T54" s="1997"/>
      <c r="U54" s="1997"/>
      <c r="V54" s="1997"/>
      <c r="W54" s="1997"/>
      <c r="X54" s="1997"/>
      <c r="Y54" s="1997"/>
    </row>
    <row r="55" spans="1:25" ht="23.25" customHeight="1" x14ac:dyDescent="0.25">
      <c r="A55" s="880"/>
      <c r="B55" s="1993" t="s">
        <v>629</v>
      </c>
      <c r="C55" s="1993" t="s">
        <v>2747</v>
      </c>
      <c r="D55" s="4700" t="s">
        <v>2750</v>
      </c>
      <c r="E55" s="4700">
        <v>0</v>
      </c>
      <c r="F55" s="1994" t="s">
        <v>2980</v>
      </c>
      <c r="G55" s="1994">
        <v>25</v>
      </c>
      <c r="H55" s="1995">
        <f t="shared" si="0"/>
        <v>0.41666666666666669</v>
      </c>
      <c r="I55" s="1994" t="s">
        <v>2981</v>
      </c>
      <c r="J55" s="1994" t="s">
        <v>2980</v>
      </c>
      <c r="K55" s="1994">
        <f t="shared" si="5"/>
        <v>25</v>
      </c>
      <c r="L55" s="1996">
        <f t="shared" si="3"/>
        <v>0.41666666666666669</v>
      </c>
      <c r="M55" s="1994" t="s">
        <v>2982</v>
      </c>
      <c r="N55" s="1997"/>
      <c r="O55" s="1997"/>
      <c r="P55" s="1997"/>
      <c r="Q55" s="1997"/>
      <c r="R55" s="1997"/>
      <c r="S55" s="1997"/>
      <c r="T55" s="1997"/>
      <c r="U55" s="1997"/>
      <c r="V55" s="1997"/>
      <c r="W55" s="1997"/>
      <c r="X55" s="1997"/>
      <c r="Y55" s="1997"/>
    </row>
    <row r="56" spans="1:25" ht="23.25" customHeight="1" x14ac:dyDescent="0.25">
      <c r="A56" s="880"/>
      <c r="B56" s="1993" t="s">
        <v>629</v>
      </c>
      <c r="C56" s="1993" t="s">
        <v>2747</v>
      </c>
      <c r="D56" s="4700" t="s">
        <v>2921</v>
      </c>
      <c r="E56" s="4700">
        <v>0</v>
      </c>
      <c r="F56" s="1994" t="s">
        <v>2980</v>
      </c>
      <c r="G56" s="1994">
        <v>40</v>
      </c>
      <c r="H56" s="1995">
        <f t="shared" si="0"/>
        <v>0.66666666666666663</v>
      </c>
      <c r="I56" s="1994" t="s">
        <v>2981</v>
      </c>
      <c r="J56" s="1994" t="s">
        <v>2980</v>
      </c>
      <c r="K56" s="1994">
        <f t="shared" si="5"/>
        <v>40</v>
      </c>
      <c r="L56" s="1996">
        <f t="shared" si="3"/>
        <v>0.66666666666666663</v>
      </c>
      <c r="M56" s="1994" t="s">
        <v>2982</v>
      </c>
      <c r="N56" s="1997"/>
      <c r="O56" s="1997"/>
      <c r="P56" s="1997"/>
      <c r="Q56" s="1997"/>
      <c r="R56" s="1997"/>
      <c r="S56" s="1997"/>
      <c r="T56" s="1997"/>
      <c r="U56" s="1997"/>
      <c r="V56" s="1997"/>
      <c r="W56" s="1997"/>
      <c r="X56" s="1997"/>
      <c r="Y56" s="1997"/>
    </row>
    <row r="57" spans="1:25" ht="23.25" customHeight="1" x14ac:dyDescent="0.25">
      <c r="A57" s="880"/>
      <c r="B57" s="1993" t="s">
        <v>629</v>
      </c>
      <c r="C57" s="1993" t="s">
        <v>2752</v>
      </c>
      <c r="D57" s="4700" t="s">
        <v>2753</v>
      </c>
      <c r="E57" s="4700">
        <v>0</v>
      </c>
      <c r="F57" s="1994" t="s">
        <v>2980</v>
      </c>
      <c r="G57" s="1994">
        <v>60</v>
      </c>
      <c r="H57" s="2002">
        <f t="shared" si="0"/>
        <v>1</v>
      </c>
      <c r="I57" s="1994" t="s">
        <v>2981</v>
      </c>
      <c r="J57" s="1994" t="s">
        <v>2980</v>
      </c>
      <c r="K57" s="1994">
        <f t="shared" si="5"/>
        <v>60</v>
      </c>
      <c r="L57" s="1996">
        <f t="shared" si="3"/>
        <v>1</v>
      </c>
      <c r="M57" s="1994" t="s">
        <v>2982</v>
      </c>
      <c r="N57" s="1997"/>
      <c r="O57" s="1997"/>
      <c r="P57" s="1997"/>
      <c r="Q57" s="1997"/>
      <c r="R57" s="1997"/>
      <c r="S57" s="1997"/>
      <c r="T57" s="1997"/>
      <c r="U57" s="1997"/>
      <c r="V57" s="1997"/>
      <c r="W57" s="1997"/>
      <c r="X57" s="1997"/>
      <c r="Y57" s="1997"/>
    </row>
    <row r="58" spans="1:25" ht="23.25" customHeight="1" x14ac:dyDescent="0.25">
      <c r="A58" s="880"/>
      <c r="B58" s="1993" t="s">
        <v>629</v>
      </c>
      <c r="C58" s="1993" t="s">
        <v>2752</v>
      </c>
      <c r="D58" s="4700" t="s">
        <v>2754</v>
      </c>
      <c r="E58" s="4700">
        <v>0</v>
      </c>
      <c r="F58" s="1994" t="s">
        <v>2980</v>
      </c>
      <c r="G58" s="1994">
        <v>45</v>
      </c>
      <c r="H58" s="1995">
        <f t="shared" si="0"/>
        <v>0.75</v>
      </c>
      <c r="I58" s="1994" t="s">
        <v>2981</v>
      </c>
      <c r="J58" s="1994" t="s">
        <v>2980</v>
      </c>
      <c r="K58" s="1994">
        <f t="shared" si="5"/>
        <v>45</v>
      </c>
      <c r="L58" s="1996">
        <f t="shared" si="3"/>
        <v>0.75</v>
      </c>
      <c r="M58" s="1994" t="s">
        <v>2982</v>
      </c>
      <c r="N58" s="1997"/>
      <c r="O58" s="1997"/>
      <c r="P58" s="1997"/>
      <c r="Q58" s="1997"/>
      <c r="R58" s="1997"/>
      <c r="S58" s="1997"/>
      <c r="T58" s="1997"/>
      <c r="U58" s="1997"/>
      <c r="V58" s="1997"/>
      <c r="W58" s="1997"/>
      <c r="X58" s="1997"/>
      <c r="Y58" s="1997"/>
    </row>
    <row r="59" spans="1:25" s="629" customFormat="1" ht="23.25" customHeight="1" x14ac:dyDescent="0.25">
      <c r="B59" s="1999" t="s">
        <v>629</v>
      </c>
      <c r="C59" s="1999" t="s">
        <v>2755</v>
      </c>
      <c r="D59" s="4704" t="s">
        <v>2756</v>
      </c>
      <c r="E59" s="4704">
        <v>0</v>
      </c>
      <c r="F59" s="2000" t="s">
        <v>2980</v>
      </c>
      <c r="G59" s="2000">
        <v>60</v>
      </c>
      <c r="H59" s="2001">
        <f t="shared" si="0"/>
        <v>1</v>
      </c>
      <c r="I59" s="2000" t="s">
        <v>2981</v>
      </c>
      <c r="J59" s="2000" t="s">
        <v>2980</v>
      </c>
      <c r="K59" s="2000">
        <f t="shared" si="5"/>
        <v>60</v>
      </c>
      <c r="L59" s="1996">
        <f t="shared" si="3"/>
        <v>1</v>
      </c>
      <c r="M59" s="2000" t="s">
        <v>2982</v>
      </c>
      <c r="N59" s="2000" t="s">
        <v>2980</v>
      </c>
      <c r="O59" s="2000">
        <f>+K59</f>
        <v>60</v>
      </c>
      <c r="P59" s="2001">
        <f>+O59/60</f>
        <v>1</v>
      </c>
      <c r="Q59" s="2000" t="s">
        <v>2982</v>
      </c>
      <c r="R59" s="1997"/>
      <c r="S59" s="1997"/>
      <c r="T59" s="1997"/>
      <c r="U59" s="1997"/>
      <c r="V59" s="1997"/>
      <c r="W59" s="1997"/>
      <c r="X59" s="1997"/>
      <c r="Y59" s="1997"/>
    </row>
    <row r="60" spans="1:25" s="629" customFormat="1" ht="23.25" customHeight="1" x14ac:dyDescent="0.25">
      <c r="B60" s="1999" t="s">
        <v>629</v>
      </c>
      <c r="C60" s="1999" t="s">
        <v>2697</v>
      </c>
      <c r="D60" s="4704" t="s">
        <v>2757</v>
      </c>
      <c r="E60" s="4704">
        <v>0</v>
      </c>
      <c r="F60" s="2000" t="s">
        <v>2980</v>
      </c>
      <c r="G60" s="2000">
        <v>20</v>
      </c>
      <c r="H60" s="2001">
        <f t="shared" si="0"/>
        <v>0.33333333333333331</v>
      </c>
      <c r="I60" s="2000" t="s">
        <v>2981</v>
      </c>
      <c r="J60" s="2000" t="s">
        <v>2980</v>
      </c>
      <c r="K60" s="2000">
        <f t="shared" si="5"/>
        <v>20</v>
      </c>
      <c r="L60" s="1996">
        <f t="shared" si="3"/>
        <v>0.33333333333333331</v>
      </c>
      <c r="M60" s="2000" t="s">
        <v>2982</v>
      </c>
      <c r="N60" s="2000" t="s">
        <v>2980</v>
      </c>
      <c r="O60" s="2000">
        <f>+K60</f>
        <v>20</v>
      </c>
      <c r="P60" s="2001">
        <f>+O60/60</f>
        <v>0.33333333333333331</v>
      </c>
      <c r="Q60" s="2000" t="s">
        <v>2982</v>
      </c>
      <c r="R60" s="1997"/>
      <c r="S60" s="1997"/>
      <c r="T60" s="1997"/>
      <c r="U60" s="1997"/>
      <c r="V60" s="1997"/>
      <c r="W60" s="1997"/>
      <c r="X60" s="1997"/>
      <c r="Y60" s="1997"/>
    </row>
    <row r="61" spans="1:25" s="629" customFormat="1" ht="23.25" customHeight="1" x14ac:dyDescent="0.25">
      <c r="B61" s="1999" t="s">
        <v>629</v>
      </c>
      <c r="C61" s="1999" t="s">
        <v>2922</v>
      </c>
      <c r="D61" s="4704" t="s">
        <v>2758</v>
      </c>
      <c r="E61" s="4704">
        <v>0</v>
      </c>
      <c r="F61" s="2000" t="s">
        <v>2980</v>
      </c>
      <c r="G61" s="2000">
        <v>30</v>
      </c>
      <c r="H61" s="2001">
        <f t="shared" si="0"/>
        <v>0.5</v>
      </c>
      <c r="I61" s="2000" t="s">
        <v>2981</v>
      </c>
      <c r="J61" s="2000" t="s">
        <v>2980</v>
      </c>
      <c r="K61" s="2000">
        <f t="shared" si="5"/>
        <v>30</v>
      </c>
      <c r="L61" s="1996">
        <f t="shared" si="3"/>
        <v>0.5</v>
      </c>
      <c r="M61" s="2000" t="s">
        <v>2982</v>
      </c>
      <c r="N61" s="2000" t="s">
        <v>2980</v>
      </c>
      <c r="O61" s="2000">
        <f>+K61</f>
        <v>30</v>
      </c>
      <c r="P61" s="2001">
        <f>+O61/60</f>
        <v>0.5</v>
      </c>
      <c r="Q61" s="2000" t="s">
        <v>2982</v>
      </c>
      <c r="R61" s="1997"/>
      <c r="S61" s="1997"/>
      <c r="T61" s="1997"/>
      <c r="U61" s="1997"/>
      <c r="V61" s="1997"/>
      <c r="W61" s="1997"/>
      <c r="X61" s="1997"/>
      <c r="Y61" s="1997"/>
    </row>
    <row r="62" spans="1:25" ht="23.25" customHeight="1" x14ac:dyDescent="0.25">
      <c r="A62" s="880"/>
      <c r="B62" s="1993" t="s">
        <v>629</v>
      </c>
      <c r="C62" s="1993" t="s">
        <v>2760</v>
      </c>
      <c r="D62" s="4700" t="s">
        <v>2761</v>
      </c>
      <c r="E62" s="4700">
        <v>0</v>
      </c>
      <c r="F62" s="1994" t="s">
        <v>2980</v>
      </c>
      <c r="G62" s="1994">
        <v>30</v>
      </c>
      <c r="H62" s="1995">
        <f t="shared" si="0"/>
        <v>0.5</v>
      </c>
      <c r="I62" s="1994" t="s">
        <v>2981</v>
      </c>
      <c r="J62" s="1994" t="s">
        <v>2980</v>
      </c>
      <c r="K62" s="1994">
        <f t="shared" si="5"/>
        <v>30</v>
      </c>
      <c r="L62" s="1996">
        <f t="shared" si="3"/>
        <v>0.5</v>
      </c>
      <c r="M62" s="1994" t="s">
        <v>2982</v>
      </c>
      <c r="N62" s="1997"/>
      <c r="O62" s="1997"/>
      <c r="P62" s="1997"/>
      <c r="Q62" s="1997"/>
      <c r="R62" s="1997"/>
      <c r="S62" s="1997"/>
      <c r="T62" s="1997"/>
      <c r="U62" s="1997"/>
      <c r="V62" s="1997"/>
      <c r="W62" s="1997"/>
      <c r="X62" s="1997"/>
      <c r="Y62" s="1997"/>
    </row>
    <row r="63" spans="1:25" ht="23.25" customHeight="1" x14ac:dyDescent="0.25">
      <c r="A63" s="880"/>
      <c r="B63" s="1993" t="s">
        <v>629</v>
      </c>
      <c r="C63" s="1993" t="s">
        <v>2763</v>
      </c>
      <c r="D63" s="4700" t="s">
        <v>2764</v>
      </c>
      <c r="E63" s="4700">
        <v>0</v>
      </c>
      <c r="F63" s="1994" t="s">
        <v>2980</v>
      </c>
      <c r="G63" s="1994">
        <v>70</v>
      </c>
      <c r="H63" s="1995">
        <f t="shared" si="0"/>
        <v>1.1666666666666667</v>
      </c>
      <c r="I63" s="1994" t="s">
        <v>2981</v>
      </c>
      <c r="J63" s="1994" t="s">
        <v>2980</v>
      </c>
      <c r="K63" s="1994">
        <f t="shared" si="5"/>
        <v>70</v>
      </c>
      <c r="L63" s="1996">
        <f t="shared" si="3"/>
        <v>1.1666666666666667</v>
      </c>
      <c r="M63" s="1994" t="s">
        <v>2982</v>
      </c>
      <c r="N63" s="1997"/>
      <c r="O63" s="1997"/>
      <c r="P63" s="1997"/>
      <c r="Q63" s="1997"/>
      <c r="R63" s="1997"/>
      <c r="S63" s="1997"/>
      <c r="T63" s="1997"/>
      <c r="U63" s="1997"/>
      <c r="V63" s="1997"/>
      <c r="W63" s="1997"/>
      <c r="X63" s="1997"/>
      <c r="Y63" s="1997"/>
    </row>
    <row r="64" spans="1:25" ht="23.25" customHeight="1" x14ac:dyDescent="0.25">
      <c r="A64" s="880"/>
      <c r="B64" s="1993" t="s">
        <v>1275</v>
      </c>
      <c r="C64" s="1993" t="s">
        <v>2122</v>
      </c>
      <c r="D64" s="4701" t="s">
        <v>2766</v>
      </c>
      <c r="E64" s="4701"/>
      <c r="F64" s="1994" t="s">
        <v>2980</v>
      </c>
      <c r="G64" s="1994">
        <v>60</v>
      </c>
      <c r="H64" s="2002">
        <f t="shared" si="0"/>
        <v>1</v>
      </c>
      <c r="I64" s="1994" t="s">
        <v>2983</v>
      </c>
      <c r="J64" s="2004"/>
      <c r="K64" s="1997"/>
      <c r="L64" s="1998"/>
      <c r="M64" s="1997"/>
      <c r="N64" s="1997"/>
      <c r="O64" s="1997"/>
      <c r="P64" s="1997"/>
      <c r="Q64" s="1997"/>
      <c r="R64" s="1997"/>
      <c r="S64" s="1997"/>
      <c r="T64" s="1997"/>
      <c r="U64" s="1997"/>
      <c r="V64" s="1997"/>
      <c r="W64" s="1997"/>
      <c r="X64" s="1997"/>
      <c r="Y64" s="1997"/>
    </row>
    <row r="65" spans="1:460" ht="23.25" customHeight="1" x14ac:dyDescent="0.25">
      <c r="A65" s="880"/>
      <c r="B65" s="1993" t="s">
        <v>1275</v>
      </c>
      <c r="C65" s="1993" t="s">
        <v>2124</v>
      </c>
      <c r="D65" s="4701"/>
      <c r="E65" s="4701"/>
      <c r="F65" s="1994" t="s">
        <v>2980</v>
      </c>
      <c r="G65" s="1994">
        <v>60</v>
      </c>
      <c r="H65" s="2002">
        <f t="shared" si="0"/>
        <v>1</v>
      </c>
      <c r="I65" s="1994" t="s">
        <v>2983</v>
      </c>
      <c r="J65" s="2004"/>
      <c r="K65" s="1997"/>
      <c r="L65" s="1998"/>
      <c r="M65" s="1997"/>
      <c r="N65" s="1997"/>
      <c r="O65" s="1997"/>
      <c r="P65" s="1997"/>
      <c r="Q65" s="1997"/>
      <c r="R65" s="1997"/>
      <c r="S65" s="1997"/>
      <c r="T65" s="1997"/>
      <c r="U65" s="1997"/>
      <c r="V65" s="1997"/>
      <c r="W65" s="1997"/>
      <c r="X65" s="1997"/>
      <c r="Y65" s="1997"/>
    </row>
    <row r="66" spans="1:460" ht="23.25" customHeight="1" x14ac:dyDescent="0.25">
      <c r="A66" s="880"/>
      <c r="B66" s="1993" t="s">
        <v>1275</v>
      </c>
      <c r="C66" s="1993" t="s">
        <v>2768</v>
      </c>
      <c r="D66" s="4701"/>
      <c r="E66" s="4701"/>
      <c r="F66" s="1994" t="s">
        <v>2980</v>
      </c>
      <c r="G66" s="1994">
        <v>60</v>
      </c>
      <c r="H66" s="2002">
        <f t="shared" si="0"/>
        <v>1</v>
      </c>
      <c r="I66" s="1994" t="s">
        <v>2983</v>
      </c>
      <c r="J66" s="2004"/>
      <c r="K66" s="1997"/>
      <c r="L66" s="1998"/>
      <c r="M66" s="1997"/>
      <c r="N66" s="1997"/>
      <c r="O66" s="1997"/>
      <c r="P66" s="1997"/>
      <c r="Q66" s="1997"/>
      <c r="R66" s="1997"/>
      <c r="S66" s="1997"/>
      <c r="T66" s="1997"/>
      <c r="U66" s="1997"/>
      <c r="V66" s="1997"/>
      <c r="W66" s="1997"/>
      <c r="X66" s="1997"/>
      <c r="Y66" s="1997"/>
    </row>
    <row r="67" spans="1:460" ht="23.25" customHeight="1" x14ac:dyDescent="0.25">
      <c r="A67" s="880"/>
      <c r="B67" s="1993" t="s">
        <v>1275</v>
      </c>
      <c r="C67" s="1993" t="s">
        <v>1333</v>
      </c>
      <c r="D67" s="4701"/>
      <c r="E67" s="4701"/>
      <c r="F67" s="1994" t="s">
        <v>2980</v>
      </c>
      <c r="G67" s="1994">
        <v>60</v>
      </c>
      <c r="H67" s="2002">
        <f t="shared" si="0"/>
        <v>1</v>
      </c>
      <c r="I67" s="1994" t="s">
        <v>2983</v>
      </c>
      <c r="J67" s="2004"/>
      <c r="K67" s="1997"/>
      <c r="L67" s="1998"/>
      <c r="M67" s="1997"/>
      <c r="N67" s="1997"/>
      <c r="O67" s="1997"/>
      <c r="P67" s="1997"/>
      <c r="Q67" s="1997"/>
      <c r="R67" s="1997"/>
      <c r="S67" s="1997"/>
      <c r="T67" s="1997"/>
      <c r="U67" s="1997"/>
      <c r="V67" s="1997"/>
      <c r="W67" s="1997"/>
      <c r="X67" s="1997"/>
      <c r="Y67" s="1997"/>
    </row>
    <row r="68" spans="1:460" ht="28.5" customHeight="1" x14ac:dyDescent="0.25">
      <c r="A68" s="880"/>
      <c r="B68" s="1993" t="s">
        <v>2769</v>
      </c>
      <c r="C68" s="1993" t="s">
        <v>1358</v>
      </c>
      <c r="D68" s="4700" t="s">
        <v>2770</v>
      </c>
      <c r="E68" s="4700">
        <v>0</v>
      </c>
      <c r="F68" s="1994" t="s">
        <v>2980</v>
      </c>
      <c r="G68" s="1994">
        <v>20</v>
      </c>
      <c r="H68" s="1995">
        <f t="shared" si="0"/>
        <v>0.33333333333333331</v>
      </c>
      <c r="I68" s="1994" t="s">
        <v>2981</v>
      </c>
      <c r="J68" s="1994" t="s">
        <v>2980</v>
      </c>
      <c r="K68" s="2005">
        <v>30</v>
      </c>
      <c r="L68" s="2006">
        <f>+K68/60</f>
        <v>0.5</v>
      </c>
      <c r="M68" s="1994" t="s">
        <v>2982</v>
      </c>
      <c r="N68" s="1997"/>
      <c r="O68" s="1997"/>
      <c r="P68" s="1997"/>
      <c r="Q68" s="1997"/>
      <c r="R68" s="1997"/>
      <c r="S68" s="1997"/>
      <c r="T68" s="1997"/>
      <c r="U68" s="1997"/>
      <c r="V68" s="1997"/>
      <c r="W68" s="1997"/>
      <c r="X68" s="1997"/>
      <c r="Y68" s="1997"/>
    </row>
    <row r="69" spans="1:460" ht="23.25" customHeight="1" x14ac:dyDescent="0.25">
      <c r="A69" s="1945"/>
      <c r="B69" s="1993" t="s">
        <v>61</v>
      </c>
      <c r="C69" s="1993" t="s">
        <v>2771</v>
      </c>
      <c r="D69" s="4700" t="s">
        <v>2772</v>
      </c>
      <c r="E69" s="4700">
        <v>0</v>
      </c>
      <c r="F69" s="1994" t="s">
        <v>2980</v>
      </c>
      <c r="G69" s="1994">
        <v>45</v>
      </c>
      <c r="H69" s="1995">
        <f t="shared" ref="H69:H94" si="6">+G69/60</f>
        <v>0.75</v>
      </c>
      <c r="I69" s="1994" t="s">
        <v>2981</v>
      </c>
      <c r="J69" s="1994" t="s">
        <v>2980</v>
      </c>
      <c r="K69" s="2005">
        <v>25</v>
      </c>
      <c r="L69" s="2007">
        <f>+K69/60</f>
        <v>0.41666666666666669</v>
      </c>
      <c r="M69" s="1994" t="s">
        <v>2982</v>
      </c>
      <c r="N69" s="1997"/>
      <c r="O69" s="1997"/>
      <c r="P69" s="1997"/>
      <c r="Q69" s="1997"/>
      <c r="R69" s="1997"/>
      <c r="S69" s="1997"/>
      <c r="T69" s="1997"/>
      <c r="U69" s="1997"/>
      <c r="V69" s="1997"/>
      <c r="W69" s="1997"/>
      <c r="X69" s="1997"/>
      <c r="Y69" s="1997"/>
    </row>
    <row r="70" spans="1:460" s="1946" customFormat="1" ht="23.25" customHeight="1" x14ac:dyDescent="0.25">
      <c r="B70" s="2008" t="s">
        <v>2769</v>
      </c>
      <c r="C70" s="2009" t="s">
        <v>2153</v>
      </c>
      <c r="D70" s="4705" t="s">
        <v>2155</v>
      </c>
      <c r="E70" s="4705"/>
      <c r="F70" s="2010" t="s">
        <v>2980</v>
      </c>
      <c r="G70" s="2010">
        <v>30</v>
      </c>
      <c r="H70" s="2011">
        <f t="shared" si="6"/>
        <v>0.5</v>
      </c>
      <c r="I70" s="2010" t="s">
        <v>2981</v>
      </c>
      <c r="J70" s="2010" t="s">
        <v>2980</v>
      </c>
      <c r="K70" s="2010">
        <v>30</v>
      </c>
      <c r="L70" s="2007">
        <f>+K70/60</f>
        <v>0.5</v>
      </c>
      <c r="M70" s="2010" t="s">
        <v>2982</v>
      </c>
      <c r="N70" s="2010" t="s">
        <v>2980</v>
      </c>
      <c r="O70" s="2010">
        <v>30</v>
      </c>
      <c r="P70" s="2012">
        <f>+O70/60</f>
        <v>0.5</v>
      </c>
      <c r="Q70" s="2010" t="s">
        <v>2982</v>
      </c>
      <c r="R70" s="1997"/>
      <c r="S70" s="1997"/>
      <c r="T70" s="1997"/>
      <c r="U70" s="1997"/>
      <c r="V70" s="1997"/>
      <c r="W70" s="1997"/>
      <c r="X70" s="1997"/>
      <c r="Y70" s="1997"/>
      <c r="Z70" s="629"/>
      <c r="AA70" s="629"/>
      <c r="AB70" s="629"/>
      <c r="AC70" s="629"/>
      <c r="AD70" s="629"/>
      <c r="AE70" s="629"/>
      <c r="AF70" s="629"/>
      <c r="AG70" s="629"/>
      <c r="AH70" s="629"/>
      <c r="AI70" s="629"/>
      <c r="AJ70" s="629"/>
      <c r="AK70" s="629"/>
      <c r="AL70" s="629"/>
      <c r="AM70" s="629"/>
      <c r="AN70" s="629"/>
      <c r="AO70" s="629"/>
      <c r="AP70" s="629"/>
      <c r="AQ70" s="629"/>
      <c r="AR70" s="629"/>
      <c r="AS70" s="629"/>
      <c r="AT70" s="629"/>
      <c r="AU70" s="629"/>
      <c r="AV70" s="629"/>
      <c r="AW70" s="629"/>
      <c r="AX70" s="629"/>
      <c r="AY70" s="629"/>
      <c r="AZ70" s="629"/>
      <c r="BA70" s="629"/>
      <c r="BB70" s="629"/>
      <c r="BC70" s="629"/>
      <c r="BD70" s="629"/>
      <c r="BE70" s="629"/>
      <c r="BF70" s="629"/>
      <c r="BG70" s="629"/>
      <c r="BH70" s="629"/>
      <c r="BI70" s="629"/>
      <c r="BJ70" s="629"/>
      <c r="BK70" s="629"/>
      <c r="BL70" s="629"/>
      <c r="BM70" s="629"/>
      <c r="BN70" s="629"/>
      <c r="BO70" s="629"/>
      <c r="BP70" s="629"/>
      <c r="BQ70" s="629"/>
      <c r="BR70" s="629"/>
      <c r="BS70" s="629"/>
      <c r="BT70" s="629"/>
      <c r="BU70" s="629"/>
      <c r="BV70" s="629"/>
      <c r="BW70" s="629"/>
      <c r="BX70" s="629"/>
      <c r="BY70" s="629"/>
      <c r="BZ70" s="629"/>
      <c r="CA70" s="629"/>
      <c r="CB70" s="629"/>
      <c r="CC70" s="629"/>
      <c r="CD70" s="629"/>
      <c r="CE70" s="629"/>
      <c r="CF70" s="629"/>
      <c r="CG70" s="629"/>
      <c r="CH70" s="629"/>
      <c r="CI70" s="629"/>
      <c r="CJ70" s="629"/>
      <c r="CK70" s="629"/>
      <c r="CL70" s="629"/>
      <c r="CM70" s="629"/>
      <c r="CN70" s="629"/>
      <c r="CO70" s="629"/>
      <c r="CP70" s="629"/>
      <c r="CQ70" s="629"/>
      <c r="CR70" s="629"/>
      <c r="CS70" s="629"/>
      <c r="CT70" s="629"/>
      <c r="CU70" s="629"/>
      <c r="CV70" s="629"/>
      <c r="CW70" s="629"/>
      <c r="CX70" s="629"/>
      <c r="CY70" s="629"/>
      <c r="CZ70" s="629"/>
      <c r="DA70" s="629"/>
      <c r="DB70" s="629"/>
      <c r="DC70" s="629"/>
      <c r="DD70" s="629"/>
      <c r="DE70" s="629"/>
      <c r="DF70" s="629"/>
      <c r="DG70" s="629"/>
      <c r="DH70" s="629"/>
      <c r="DI70" s="629"/>
      <c r="DJ70" s="629"/>
      <c r="DK70" s="629"/>
      <c r="DL70" s="629"/>
      <c r="DM70" s="629"/>
      <c r="DN70" s="629"/>
      <c r="DO70" s="629"/>
      <c r="DP70" s="629"/>
      <c r="DQ70" s="629"/>
      <c r="DR70" s="629"/>
      <c r="DS70" s="629"/>
      <c r="DT70" s="629"/>
      <c r="DU70" s="629"/>
      <c r="DV70" s="629"/>
      <c r="DW70" s="629"/>
      <c r="DX70" s="629"/>
      <c r="DY70" s="629"/>
      <c r="DZ70" s="629"/>
      <c r="EA70" s="629"/>
      <c r="EB70" s="629"/>
      <c r="EC70" s="629"/>
      <c r="ED70" s="629"/>
      <c r="EE70" s="629"/>
      <c r="EF70" s="629"/>
      <c r="EG70" s="629"/>
      <c r="EH70" s="629"/>
      <c r="EI70" s="629"/>
      <c r="EJ70" s="629"/>
      <c r="EK70" s="629"/>
      <c r="EL70" s="629"/>
      <c r="EM70" s="629"/>
      <c r="EN70" s="629"/>
      <c r="EO70" s="629"/>
      <c r="EP70" s="629"/>
      <c r="EQ70" s="629"/>
      <c r="ER70" s="629"/>
      <c r="ES70" s="629"/>
      <c r="ET70" s="629"/>
      <c r="EU70" s="629"/>
      <c r="EV70" s="629"/>
      <c r="EW70" s="629"/>
      <c r="EX70" s="629"/>
      <c r="EY70" s="629"/>
      <c r="EZ70" s="629"/>
      <c r="FA70" s="629"/>
      <c r="FB70" s="629"/>
      <c r="FC70" s="629"/>
      <c r="FD70" s="629"/>
      <c r="FE70" s="629"/>
      <c r="FF70" s="629"/>
      <c r="FG70" s="629"/>
      <c r="FH70" s="629"/>
      <c r="FI70" s="629"/>
      <c r="FJ70" s="629"/>
      <c r="FK70" s="629"/>
      <c r="FL70" s="629"/>
      <c r="FM70" s="629"/>
      <c r="FN70" s="629"/>
      <c r="FO70" s="629"/>
      <c r="FP70" s="629"/>
      <c r="FQ70" s="629"/>
      <c r="FR70" s="629"/>
      <c r="FS70" s="629"/>
      <c r="FT70" s="629"/>
      <c r="FU70" s="629"/>
      <c r="FV70" s="629"/>
      <c r="FW70" s="629"/>
      <c r="FX70" s="629"/>
      <c r="FY70" s="629"/>
      <c r="FZ70" s="629"/>
      <c r="GA70" s="629"/>
      <c r="GB70" s="629"/>
      <c r="GC70" s="629"/>
      <c r="GD70" s="629"/>
      <c r="GE70" s="629"/>
      <c r="GF70" s="629"/>
      <c r="GG70" s="629"/>
      <c r="GH70" s="629"/>
      <c r="GI70" s="629"/>
      <c r="GJ70" s="629"/>
      <c r="GK70" s="629"/>
      <c r="GL70" s="629"/>
      <c r="GM70" s="629"/>
      <c r="GN70" s="629"/>
      <c r="GO70" s="629"/>
      <c r="GP70" s="629"/>
      <c r="GQ70" s="629"/>
      <c r="GR70" s="629"/>
      <c r="GS70" s="629"/>
      <c r="GT70" s="629"/>
      <c r="GU70" s="629"/>
      <c r="GV70" s="629"/>
      <c r="GW70" s="629"/>
      <c r="GX70" s="629"/>
      <c r="GY70" s="629"/>
      <c r="GZ70" s="629"/>
      <c r="HA70" s="629"/>
      <c r="HB70" s="629"/>
      <c r="HC70" s="629"/>
      <c r="HD70" s="629"/>
      <c r="HE70" s="629"/>
      <c r="HF70" s="629"/>
      <c r="HG70" s="629"/>
      <c r="HH70" s="629"/>
      <c r="HI70" s="629"/>
      <c r="HJ70" s="629"/>
      <c r="HK70" s="629"/>
      <c r="HL70" s="629"/>
      <c r="HM70" s="629"/>
      <c r="HN70" s="629"/>
      <c r="HO70" s="629"/>
      <c r="HP70" s="629"/>
      <c r="HQ70" s="629"/>
      <c r="HR70" s="629"/>
      <c r="HS70" s="629"/>
      <c r="HT70" s="629"/>
      <c r="HU70" s="629"/>
      <c r="HV70" s="629"/>
      <c r="HW70" s="629"/>
      <c r="HX70" s="629"/>
      <c r="HY70" s="629"/>
      <c r="HZ70" s="629"/>
      <c r="IA70" s="629"/>
      <c r="IB70" s="629"/>
      <c r="IC70" s="629"/>
      <c r="ID70" s="629"/>
      <c r="IE70" s="629"/>
      <c r="IF70" s="629"/>
      <c r="IG70" s="629"/>
      <c r="IH70" s="629"/>
      <c r="II70" s="629"/>
      <c r="IJ70" s="629"/>
      <c r="IK70" s="629"/>
      <c r="IL70" s="629"/>
      <c r="IM70" s="629"/>
      <c r="IN70" s="629"/>
      <c r="IO70" s="629"/>
      <c r="IP70" s="629"/>
      <c r="IQ70" s="629"/>
      <c r="IR70" s="629"/>
      <c r="IS70" s="629"/>
      <c r="IT70" s="629"/>
      <c r="IU70" s="629"/>
      <c r="IV70" s="629"/>
      <c r="IW70" s="629"/>
      <c r="IX70" s="629"/>
      <c r="IY70" s="629"/>
      <c r="IZ70" s="629"/>
      <c r="JA70" s="629"/>
      <c r="JB70" s="629"/>
      <c r="JC70" s="629"/>
      <c r="JD70" s="629"/>
      <c r="JE70" s="629"/>
      <c r="JF70" s="629"/>
      <c r="JG70" s="629"/>
      <c r="JH70" s="629"/>
      <c r="JI70" s="629"/>
      <c r="JJ70" s="629"/>
      <c r="JK70" s="629"/>
      <c r="JL70" s="629"/>
      <c r="JM70" s="629"/>
      <c r="JN70" s="629"/>
      <c r="JO70" s="629"/>
      <c r="JP70" s="629"/>
      <c r="JQ70" s="629"/>
      <c r="JR70" s="629"/>
      <c r="JS70" s="629"/>
      <c r="JT70" s="629"/>
      <c r="JU70" s="629"/>
      <c r="JV70" s="629"/>
      <c r="JW70" s="629"/>
      <c r="JX70" s="629"/>
      <c r="JY70" s="629"/>
      <c r="JZ70" s="629"/>
      <c r="KA70" s="629"/>
      <c r="KB70" s="629"/>
      <c r="KC70" s="629"/>
      <c r="KD70" s="629"/>
      <c r="KE70" s="629"/>
      <c r="KF70" s="629"/>
      <c r="KG70" s="629"/>
      <c r="KH70" s="629"/>
      <c r="KI70" s="629"/>
      <c r="KJ70" s="629"/>
      <c r="KK70" s="629"/>
      <c r="KL70" s="629"/>
      <c r="KM70" s="629"/>
      <c r="KN70" s="629"/>
      <c r="KO70" s="629"/>
      <c r="KP70" s="629"/>
      <c r="KQ70" s="629"/>
      <c r="KR70" s="629"/>
      <c r="KS70" s="629"/>
      <c r="KT70" s="629"/>
      <c r="KU70" s="629"/>
      <c r="KV70" s="629"/>
      <c r="KW70" s="629"/>
      <c r="KX70" s="629"/>
      <c r="KY70" s="629"/>
      <c r="KZ70" s="629"/>
      <c r="LA70" s="629"/>
      <c r="LB70" s="629"/>
      <c r="LC70" s="629"/>
      <c r="LD70" s="629"/>
      <c r="LE70" s="629"/>
      <c r="LF70" s="629"/>
      <c r="LG70" s="629"/>
      <c r="LH70" s="629"/>
      <c r="LI70" s="629"/>
      <c r="LJ70" s="629"/>
      <c r="LK70" s="629"/>
      <c r="LL70" s="629"/>
      <c r="LM70" s="629"/>
      <c r="LN70" s="629"/>
      <c r="LO70" s="629"/>
      <c r="LP70" s="629"/>
      <c r="LQ70" s="629"/>
      <c r="LR70" s="629"/>
      <c r="LS70" s="629"/>
      <c r="LT70" s="629"/>
      <c r="LU70" s="629"/>
      <c r="LV70" s="629"/>
      <c r="LW70" s="629"/>
      <c r="LX70" s="629"/>
      <c r="LY70" s="629"/>
      <c r="LZ70" s="629"/>
      <c r="MA70" s="629"/>
      <c r="MB70" s="629"/>
      <c r="MC70" s="629"/>
      <c r="MD70" s="629"/>
      <c r="ME70" s="629"/>
      <c r="MF70" s="629"/>
      <c r="MG70" s="629"/>
      <c r="MH70" s="629"/>
      <c r="MI70" s="629"/>
      <c r="MJ70" s="629"/>
      <c r="MK70" s="629"/>
      <c r="ML70" s="629"/>
      <c r="MM70" s="629"/>
      <c r="MN70" s="629"/>
      <c r="MO70" s="629"/>
      <c r="MP70" s="629"/>
      <c r="MQ70" s="629"/>
      <c r="MR70" s="629"/>
      <c r="MS70" s="629"/>
      <c r="MT70" s="629"/>
      <c r="MU70" s="629"/>
      <c r="MV70" s="629"/>
      <c r="MW70" s="629"/>
      <c r="MX70" s="629"/>
      <c r="MY70" s="629"/>
      <c r="MZ70" s="629"/>
      <c r="NA70" s="629"/>
      <c r="NB70" s="629"/>
      <c r="NC70" s="629"/>
      <c r="ND70" s="629"/>
      <c r="NE70" s="629"/>
      <c r="NF70" s="629"/>
      <c r="NG70" s="629"/>
      <c r="NH70" s="629"/>
      <c r="NI70" s="629"/>
      <c r="NJ70" s="629"/>
      <c r="NK70" s="629"/>
      <c r="NL70" s="629"/>
      <c r="NM70" s="629"/>
      <c r="NN70" s="629"/>
      <c r="NO70" s="629"/>
      <c r="NP70" s="629"/>
      <c r="NQ70" s="629"/>
      <c r="NR70" s="629"/>
      <c r="NS70" s="629"/>
      <c r="NT70" s="629"/>
      <c r="NU70" s="629"/>
      <c r="NV70" s="629"/>
      <c r="NW70" s="629"/>
      <c r="NX70" s="629"/>
      <c r="NY70" s="629"/>
      <c r="NZ70" s="629"/>
      <c r="OA70" s="629"/>
      <c r="OB70" s="629"/>
      <c r="OC70" s="629"/>
      <c r="OD70" s="629"/>
      <c r="OE70" s="629"/>
      <c r="OF70" s="629"/>
      <c r="OG70" s="629"/>
      <c r="OH70" s="629"/>
      <c r="OI70" s="629"/>
      <c r="OJ70" s="629"/>
      <c r="OK70" s="629"/>
      <c r="OL70" s="629"/>
      <c r="OM70" s="629"/>
      <c r="ON70" s="629"/>
      <c r="OO70" s="629"/>
      <c r="OP70" s="629"/>
      <c r="OQ70" s="629"/>
      <c r="OR70" s="629"/>
      <c r="OS70" s="629"/>
      <c r="OT70" s="629"/>
      <c r="OU70" s="629"/>
      <c r="OV70" s="629"/>
      <c r="OW70" s="629"/>
      <c r="OX70" s="629"/>
      <c r="OY70" s="629"/>
      <c r="OZ70" s="629"/>
      <c r="PA70" s="629"/>
      <c r="PB70" s="629"/>
      <c r="PC70" s="629"/>
      <c r="PD70" s="629"/>
      <c r="PE70" s="629"/>
      <c r="PF70" s="629"/>
      <c r="PG70" s="629"/>
      <c r="PH70" s="629"/>
      <c r="PI70" s="629"/>
      <c r="PJ70" s="629"/>
      <c r="PK70" s="629"/>
      <c r="PL70" s="629"/>
      <c r="PM70" s="629"/>
      <c r="PN70" s="629"/>
      <c r="PO70" s="629"/>
      <c r="PP70" s="629"/>
      <c r="PQ70" s="629"/>
      <c r="PR70" s="629"/>
      <c r="PS70" s="629"/>
      <c r="PT70" s="629"/>
      <c r="PU70" s="629"/>
      <c r="PV70" s="629"/>
      <c r="PW70" s="629"/>
      <c r="PX70" s="629"/>
      <c r="PY70" s="629"/>
      <c r="PZ70" s="629"/>
      <c r="QA70" s="629"/>
      <c r="QB70" s="629"/>
      <c r="QC70" s="629"/>
      <c r="QD70" s="629"/>
      <c r="QE70" s="629"/>
      <c r="QF70" s="629"/>
      <c r="QG70" s="629"/>
      <c r="QH70" s="629"/>
      <c r="QI70" s="629"/>
      <c r="QJ70" s="629"/>
      <c r="QK70" s="629"/>
      <c r="QL70" s="629"/>
      <c r="QM70" s="629"/>
      <c r="QN70" s="629"/>
      <c r="QO70" s="629"/>
      <c r="QP70" s="629"/>
      <c r="QQ70" s="629"/>
      <c r="QR70" s="629"/>
    </row>
    <row r="71" spans="1:460" ht="23.25" customHeight="1" x14ac:dyDescent="0.25">
      <c r="A71" s="880"/>
      <c r="B71" s="1993" t="s">
        <v>2769</v>
      </c>
      <c r="C71" s="2013" t="s">
        <v>1340</v>
      </c>
      <c r="D71" s="4700" t="s">
        <v>2928</v>
      </c>
      <c r="E71" s="4700"/>
      <c r="F71" s="1994" t="s">
        <v>2980</v>
      </c>
      <c r="G71" s="1994">
        <v>20</v>
      </c>
      <c r="H71" s="2002">
        <f t="shared" si="6"/>
        <v>0.33333333333333331</v>
      </c>
      <c r="I71" s="1994" t="s">
        <v>2984</v>
      </c>
      <c r="J71" s="2014" t="s">
        <v>2980</v>
      </c>
      <c r="K71" s="2015"/>
      <c r="L71" s="1998"/>
      <c r="M71" s="2015"/>
      <c r="N71" s="2014"/>
      <c r="O71" s="2016"/>
      <c r="P71" s="2016"/>
      <c r="Q71" s="2016"/>
      <c r="R71" s="1997"/>
      <c r="S71" s="1997"/>
      <c r="T71" s="1997"/>
      <c r="U71" s="1997"/>
      <c r="V71" s="1997"/>
      <c r="W71" s="1997"/>
      <c r="X71" s="1997"/>
      <c r="Y71" s="1997"/>
    </row>
    <row r="72" spans="1:460" s="629" customFormat="1" ht="23.25" customHeight="1" x14ac:dyDescent="0.25">
      <c r="B72" s="4700" t="s">
        <v>61</v>
      </c>
      <c r="C72" s="2017" t="s">
        <v>2773</v>
      </c>
      <c r="D72" s="4704" t="s">
        <v>2774</v>
      </c>
      <c r="E72" s="4704" t="s">
        <v>2775</v>
      </c>
      <c r="F72" s="2000" t="s">
        <v>2980</v>
      </c>
      <c r="G72" s="2000">
        <v>30</v>
      </c>
      <c r="H72" s="2018">
        <f t="shared" si="6"/>
        <v>0.5</v>
      </c>
      <c r="I72" s="2000" t="s">
        <v>2981</v>
      </c>
      <c r="J72" s="2000" t="s">
        <v>2980</v>
      </c>
      <c r="K72" s="2019">
        <v>30</v>
      </c>
      <c r="L72" s="2007">
        <f>+K72/60</f>
        <v>0.5</v>
      </c>
      <c r="M72" s="2000" t="s">
        <v>2982</v>
      </c>
      <c r="N72" s="2000" t="s">
        <v>2980</v>
      </c>
      <c r="O72" s="2019">
        <v>30</v>
      </c>
      <c r="P72" s="2020">
        <f>+O72/60</f>
        <v>0.5</v>
      </c>
      <c r="Q72" s="2000" t="s">
        <v>2982</v>
      </c>
      <c r="R72" s="1997"/>
      <c r="S72" s="1997"/>
      <c r="T72" s="1997"/>
      <c r="U72" s="1997"/>
      <c r="V72" s="1997"/>
      <c r="W72" s="1997"/>
      <c r="X72" s="1997"/>
      <c r="Y72" s="1997"/>
    </row>
    <row r="73" spans="1:460" ht="23.25" customHeight="1" x14ac:dyDescent="0.25">
      <c r="A73" s="880"/>
      <c r="B73" s="4700"/>
      <c r="C73" s="2013" t="s">
        <v>2776</v>
      </c>
      <c r="D73" s="4700" t="s">
        <v>2929</v>
      </c>
      <c r="E73" s="4700" t="s">
        <v>2778</v>
      </c>
      <c r="F73" s="1994" t="s">
        <v>2980</v>
      </c>
      <c r="G73" s="1994">
        <v>20</v>
      </c>
      <c r="H73" s="2002">
        <f t="shared" si="6"/>
        <v>0.33333333333333331</v>
      </c>
      <c r="I73" s="1994" t="s">
        <v>2984</v>
      </c>
      <c r="J73" s="1994" t="s">
        <v>2980</v>
      </c>
      <c r="K73" s="2015"/>
      <c r="L73" s="1998"/>
      <c r="M73" s="2015"/>
      <c r="N73" s="2014" t="s">
        <v>2980</v>
      </c>
      <c r="O73" s="2016"/>
      <c r="P73" s="2016"/>
      <c r="Q73" s="2016"/>
      <c r="R73" s="1997"/>
      <c r="S73" s="1997"/>
      <c r="T73" s="1997"/>
      <c r="U73" s="1997"/>
      <c r="V73" s="1997"/>
      <c r="W73" s="1997"/>
      <c r="X73" s="1997"/>
      <c r="Y73" s="1997"/>
    </row>
    <row r="74" spans="1:460" s="629" customFormat="1" ht="23.25" customHeight="1" x14ac:dyDescent="0.25">
      <c r="B74" s="4700" t="s">
        <v>61</v>
      </c>
      <c r="C74" s="2017" t="s">
        <v>2779</v>
      </c>
      <c r="D74" s="4704" t="s">
        <v>2780</v>
      </c>
      <c r="E74" s="4704" t="s">
        <v>2775</v>
      </c>
      <c r="F74" s="2000" t="s">
        <v>2980</v>
      </c>
      <c r="G74" s="2000">
        <v>30</v>
      </c>
      <c r="H74" s="2018">
        <f t="shared" si="6"/>
        <v>0.5</v>
      </c>
      <c r="I74" s="2000" t="s">
        <v>2981</v>
      </c>
      <c r="J74" s="2000" t="s">
        <v>2980</v>
      </c>
      <c r="K74" s="2019">
        <v>30</v>
      </c>
      <c r="L74" s="2007">
        <f>+K74/60</f>
        <v>0.5</v>
      </c>
      <c r="M74" s="2000" t="s">
        <v>2982</v>
      </c>
      <c r="N74" s="2000" t="s">
        <v>2980</v>
      </c>
      <c r="O74" s="2019">
        <v>30</v>
      </c>
      <c r="P74" s="2020">
        <f>+O74/60</f>
        <v>0.5</v>
      </c>
      <c r="Q74" s="2000" t="s">
        <v>2982</v>
      </c>
      <c r="R74" s="1997"/>
      <c r="S74" s="1997"/>
      <c r="T74" s="1997"/>
      <c r="U74" s="1997"/>
      <c r="V74" s="1997"/>
      <c r="W74" s="1997"/>
      <c r="X74" s="1997"/>
      <c r="Y74" s="1997"/>
    </row>
    <row r="75" spans="1:460" ht="23.25" customHeight="1" x14ac:dyDescent="0.25">
      <c r="A75" s="880"/>
      <c r="B75" s="4700"/>
      <c r="C75" s="2013" t="s">
        <v>2776</v>
      </c>
      <c r="D75" s="4700" t="s">
        <v>2781</v>
      </c>
      <c r="E75" s="4700" t="s">
        <v>2778</v>
      </c>
      <c r="F75" s="1994" t="s">
        <v>2980</v>
      </c>
      <c r="G75" s="1994">
        <v>20</v>
      </c>
      <c r="H75" s="2002">
        <f t="shared" si="6"/>
        <v>0.33333333333333331</v>
      </c>
      <c r="I75" s="1994" t="s">
        <v>2984</v>
      </c>
      <c r="J75" s="2014"/>
      <c r="K75" s="2015"/>
      <c r="L75" s="1998"/>
      <c r="M75" s="2015"/>
      <c r="N75" s="2014"/>
      <c r="O75" s="2016"/>
      <c r="P75" s="2016"/>
      <c r="Q75" s="2016"/>
      <c r="R75" s="1997"/>
      <c r="S75" s="1997"/>
      <c r="T75" s="1997"/>
      <c r="U75" s="1997"/>
      <c r="V75" s="1997"/>
      <c r="W75" s="1997"/>
      <c r="X75" s="1997"/>
      <c r="Y75" s="1997"/>
    </row>
    <row r="76" spans="1:460" ht="36" customHeight="1" x14ac:dyDescent="0.25">
      <c r="A76" s="880"/>
      <c r="B76" s="4700" t="s">
        <v>61</v>
      </c>
      <c r="C76" s="2013" t="s">
        <v>2782</v>
      </c>
      <c r="D76" s="4700" t="s">
        <v>2783</v>
      </c>
      <c r="E76" s="4700" t="s">
        <v>2775</v>
      </c>
      <c r="F76" s="1994" t="s">
        <v>2980</v>
      </c>
      <c r="G76" s="1994">
        <v>30</v>
      </c>
      <c r="H76" s="2002">
        <f t="shared" si="6"/>
        <v>0.5</v>
      </c>
      <c r="I76" s="1994" t="s">
        <v>2981</v>
      </c>
      <c r="J76" s="1994" t="s">
        <v>2980</v>
      </c>
      <c r="K76" s="2005">
        <v>30</v>
      </c>
      <c r="L76" s="2007">
        <f>+K76/60</f>
        <v>0.5</v>
      </c>
      <c r="M76" s="1994" t="s">
        <v>2982</v>
      </c>
      <c r="N76" s="2004"/>
      <c r="O76" s="1997"/>
      <c r="P76" s="1997"/>
      <c r="Q76" s="1997"/>
      <c r="R76" s="1994" t="s">
        <v>2980</v>
      </c>
      <c r="S76" s="2005">
        <v>30</v>
      </c>
      <c r="T76" s="2021">
        <f>+S76/60</f>
        <v>0.5</v>
      </c>
      <c r="U76" s="1994" t="s">
        <v>2982</v>
      </c>
      <c r="V76" s="1997"/>
      <c r="W76" s="1997"/>
      <c r="X76" s="1997"/>
      <c r="Y76" s="1997"/>
    </row>
    <row r="77" spans="1:460" ht="26.25" customHeight="1" x14ac:dyDescent="0.25">
      <c r="A77" s="880"/>
      <c r="B77" s="4700"/>
      <c r="C77" s="2013" t="s">
        <v>2776</v>
      </c>
      <c r="D77" s="4700" t="s">
        <v>2784</v>
      </c>
      <c r="E77" s="4700" t="s">
        <v>2778</v>
      </c>
      <c r="F77" s="1994" t="s">
        <v>2980</v>
      </c>
      <c r="G77" s="1994">
        <v>20</v>
      </c>
      <c r="H77" s="2002">
        <f t="shared" si="6"/>
        <v>0.33333333333333331</v>
      </c>
      <c r="I77" s="1994" t="s">
        <v>2984</v>
      </c>
      <c r="J77" s="2014"/>
      <c r="K77" s="2015"/>
      <c r="L77" s="1998"/>
      <c r="M77" s="2015"/>
      <c r="N77" s="2004"/>
      <c r="O77" s="1997"/>
      <c r="P77" s="1997"/>
      <c r="Q77" s="1997"/>
      <c r="R77" s="2014"/>
      <c r="S77" s="2016"/>
      <c r="T77" s="2016"/>
      <c r="U77" s="2016"/>
      <c r="V77" s="1997"/>
      <c r="W77" s="1997"/>
      <c r="X77" s="1997"/>
      <c r="Y77" s="1997"/>
    </row>
    <row r="78" spans="1:460" s="629" customFormat="1" ht="22.5" customHeight="1" x14ac:dyDescent="0.25">
      <c r="B78" s="4700" t="s">
        <v>61</v>
      </c>
      <c r="C78" s="2017" t="s">
        <v>2785</v>
      </c>
      <c r="D78" s="4704" t="s">
        <v>2786</v>
      </c>
      <c r="E78" s="4704" t="s">
        <v>2787</v>
      </c>
      <c r="F78" s="2000" t="s">
        <v>2980</v>
      </c>
      <c r="G78" s="2000">
        <v>30</v>
      </c>
      <c r="H78" s="2018">
        <f t="shared" si="6"/>
        <v>0.5</v>
      </c>
      <c r="I78" s="2000" t="s">
        <v>2981</v>
      </c>
      <c r="J78" s="2000" t="s">
        <v>2980</v>
      </c>
      <c r="K78" s="2019">
        <v>30</v>
      </c>
      <c r="L78" s="2007">
        <f>+K78/60</f>
        <v>0.5</v>
      </c>
      <c r="M78" s="2000" t="s">
        <v>2982</v>
      </c>
      <c r="N78" s="2000" t="s">
        <v>2980</v>
      </c>
      <c r="O78" s="2019">
        <v>30</v>
      </c>
      <c r="P78" s="2020">
        <f>+O78/60</f>
        <v>0.5</v>
      </c>
      <c r="Q78" s="2000" t="s">
        <v>2982</v>
      </c>
      <c r="R78" s="1997"/>
      <c r="S78" s="1997"/>
      <c r="T78" s="1997"/>
      <c r="U78" s="1997"/>
      <c r="V78" s="1997"/>
      <c r="W78" s="1997"/>
      <c r="X78" s="1997"/>
      <c r="Y78" s="1997"/>
    </row>
    <row r="79" spans="1:460" ht="18" customHeight="1" x14ac:dyDescent="0.25">
      <c r="A79" s="880"/>
      <c r="B79" s="4700"/>
      <c r="C79" s="2013" t="s">
        <v>2776</v>
      </c>
      <c r="D79" s="4700" t="s">
        <v>2788</v>
      </c>
      <c r="E79" s="4700" t="s">
        <v>2778</v>
      </c>
      <c r="F79" s="1994" t="s">
        <v>2980</v>
      </c>
      <c r="G79" s="1994">
        <v>20</v>
      </c>
      <c r="H79" s="2002">
        <f t="shared" si="6"/>
        <v>0.33333333333333331</v>
      </c>
      <c r="I79" s="1994" t="s">
        <v>2984</v>
      </c>
      <c r="J79" s="2014"/>
      <c r="K79" s="2015"/>
      <c r="L79" s="1998"/>
      <c r="M79" s="2015"/>
      <c r="N79" s="2014"/>
      <c r="O79" s="2016"/>
      <c r="P79" s="2016"/>
      <c r="Q79" s="2016"/>
      <c r="R79" s="1997"/>
      <c r="S79" s="1997"/>
      <c r="T79" s="1997"/>
      <c r="U79" s="1997"/>
      <c r="V79" s="1997"/>
      <c r="W79" s="1997"/>
      <c r="X79" s="1997"/>
      <c r="Y79" s="1997"/>
    </row>
    <row r="80" spans="1:460" s="629" customFormat="1" ht="24.75" customHeight="1" x14ac:dyDescent="0.25">
      <c r="B80" s="4700" t="s">
        <v>61</v>
      </c>
      <c r="C80" s="2017" t="s">
        <v>2789</v>
      </c>
      <c r="D80" s="4704" t="s">
        <v>2790</v>
      </c>
      <c r="E80" s="4704" t="s">
        <v>2787</v>
      </c>
      <c r="F80" s="2000" t="s">
        <v>2980</v>
      </c>
      <c r="G80" s="2000">
        <v>40</v>
      </c>
      <c r="H80" s="2018">
        <f t="shared" si="6"/>
        <v>0.66666666666666663</v>
      </c>
      <c r="I80" s="2000" t="s">
        <v>2981</v>
      </c>
      <c r="J80" s="2000" t="s">
        <v>2980</v>
      </c>
      <c r="K80" s="2019">
        <v>40</v>
      </c>
      <c r="L80" s="2007">
        <f>+K80/60</f>
        <v>0.66666666666666663</v>
      </c>
      <c r="M80" s="2000" t="s">
        <v>2982</v>
      </c>
      <c r="N80" s="2000" t="s">
        <v>2980</v>
      </c>
      <c r="O80" s="2019">
        <v>40</v>
      </c>
      <c r="P80" s="2020">
        <f>+O80/60</f>
        <v>0.66666666666666663</v>
      </c>
      <c r="Q80" s="2000" t="s">
        <v>2982</v>
      </c>
      <c r="R80" s="1997"/>
      <c r="S80" s="1997"/>
      <c r="T80" s="1997"/>
      <c r="U80" s="1997"/>
      <c r="V80" s="1997"/>
      <c r="W80" s="1997"/>
      <c r="X80" s="1997"/>
      <c r="Y80" s="1997"/>
    </row>
    <row r="81" spans="1:460" ht="27.75" customHeight="1" x14ac:dyDescent="0.25">
      <c r="A81" s="880"/>
      <c r="B81" s="4700"/>
      <c r="C81" s="2013" t="s">
        <v>2776</v>
      </c>
      <c r="D81" s="4700" t="s">
        <v>2791</v>
      </c>
      <c r="E81" s="4700" t="s">
        <v>2778</v>
      </c>
      <c r="F81" s="1994" t="s">
        <v>2980</v>
      </c>
      <c r="G81" s="1994">
        <v>20</v>
      </c>
      <c r="H81" s="2002">
        <f t="shared" si="6"/>
        <v>0.33333333333333331</v>
      </c>
      <c r="I81" s="1994" t="s">
        <v>2984</v>
      </c>
      <c r="J81" s="2014"/>
      <c r="K81" s="2015"/>
      <c r="L81" s="1998"/>
      <c r="M81" s="2015"/>
      <c r="N81" s="2014"/>
      <c r="O81" s="2016"/>
      <c r="P81" s="2016"/>
      <c r="Q81" s="2016"/>
      <c r="R81" s="1997"/>
      <c r="S81" s="1997"/>
      <c r="T81" s="1997"/>
      <c r="U81" s="1997"/>
      <c r="V81" s="1997"/>
      <c r="W81" s="1997"/>
      <c r="X81" s="1997"/>
      <c r="Y81" s="1997"/>
    </row>
    <row r="82" spans="1:460" s="629" customFormat="1" ht="22.5" customHeight="1" x14ac:dyDescent="0.25">
      <c r="B82" s="1999" t="s">
        <v>61</v>
      </c>
      <c r="C82" s="2017" t="s">
        <v>2792</v>
      </c>
      <c r="D82" s="4704" t="s">
        <v>2793</v>
      </c>
      <c r="E82" s="4704"/>
      <c r="F82" s="2000" t="s">
        <v>2980</v>
      </c>
      <c r="G82" s="2000">
        <f>+D197</f>
        <v>120</v>
      </c>
      <c r="H82" s="2018">
        <f t="shared" si="6"/>
        <v>2</v>
      </c>
      <c r="I82" s="2000" t="s">
        <v>2984</v>
      </c>
      <c r="J82" s="2000" t="s">
        <v>2980</v>
      </c>
      <c r="K82" s="2000">
        <v>120</v>
      </c>
      <c r="L82" s="2022">
        <f>+K82/60</f>
        <v>2</v>
      </c>
      <c r="M82" s="2000" t="s">
        <v>2982</v>
      </c>
      <c r="N82" s="2000" t="s">
        <v>2980</v>
      </c>
      <c r="O82" s="2000">
        <v>130</v>
      </c>
      <c r="P82" s="2018">
        <f>+O82/60</f>
        <v>2.1666666666666665</v>
      </c>
      <c r="Q82" s="2000" t="s">
        <v>2982</v>
      </c>
      <c r="R82" s="1997"/>
      <c r="S82" s="1997"/>
      <c r="T82" s="1997"/>
      <c r="U82" s="1997"/>
      <c r="V82" s="1997"/>
      <c r="W82" s="1997"/>
      <c r="X82" s="1997"/>
      <c r="Y82" s="1997"/>
    </row>
    <row r="83" spans="1:460" s="1946" customFormat="1" ht="34.5" customHeight="1" x14ac:dyDescent="0.25">
      <c r="B83" s="2008" t="s">
        <v>2794</v>
      </c>
      <c r="C83" s="2009" t="s">
        <v>2795</v>
      </c>
      <c r="D83" s="4705" t="s">
        <v>2165</v>
      </c>
      <c r="E83" s="4705">
        <v>0</v>
      </c>
      <c r="F83" s="2010" t="s">
        <v>2980</v>
      </c>
      <c r="G83" s="2010">
        <v>60</v>
      </c>
      <c r="H83" s="2023">
        <f t="shared" si="6"/>
        <v>1</v>
      </c>
      <c r="I83" s="2010" t="s">
        <v>2981</v>
      </c>
      <c r="J83" s="2010" t="s">
        <v>2980</v>
      </c>
      <c r="K83" s="2010">
        <v>45</v>
      </c>
      <c r="L83" s="2007">
        <f>+K83/60</f>
        <v>0.75</v>
      </c>
      <c r="M83" s="2010" t="s">
        <v>2982</v>
      </c>
      <c r="N83" s="2010" t="s">
        <v>2980</v>
      </c>
      <c r="O83" s="2010">
        <v>80</v>
      </c>
      <c r="P83" s="2012">
        <f>+O83/60</f>
        <v>1.3333333333333333</v>
      </c>
      <c r="Q83" s="2010" t="s">
        <v>2985</v>
      </c>
      <c r="R83" s="1997"/>
      <c r="S83" s="1997"/>
      <c r="T83" s="1997"/>
      <c r="U83" s="1997"/>
      <c r="V83" s="1997"/>
      <c r="W83" s="1997"/>
      <c r="X83" s="1997"/>
      <c r="Y83" s="1997"/>
      <c r="Z83" s="629"/>
      <c r="AA83" s="629"/>
      <c r="AB83" s="629"/>
      <c r="AC83" s="629"/>
      <c r="AD83" s="629"/>
      <c r="AE83" s="629"/>
      <c r="AF83" s="629"/>
      <c r="AG83" s="629"/>
      <c r="AH83" s="629"/>
      <c r="AI83" s="629"/>
      <c r="AJ83" s="629"/>
      <c r="AK83" s="629"/>
      <c r="AL83" s="629"/>
      <c r="AM83" s="629"/>
      <c r="AN83" s="629"/>
      <c r="AO83" s="629"/>
      <c r="AP83" s="629"/>
      <c r="AQ83" s="629"/>
      <c r="AR83" s="629"/>
      <c r="AS83" s="629"/>
      <c r="AT83" s="629"/>
      <c r="AU83" s="629"/>
      <c r="AV83" s="629"/>
      <c r="AW83" s="629"/>
      <c r="AX83" s="629"/>
      <c r="AY83" s="629"/>
      <c r="AZ83" s="629"/>
      <c r="BA83" s="629"/>
      <c r="BB83" s="629"/>
      <c r="BC83" s="629"/>
      <c r="BD83" s="629"/>
      <c r="BE83" s="629"/>
      <c r="BF83" s="629"/>
      <c r="BG83" s="629"/>
      <c r="BH83" s="629"/>
      <c r="BI83" s="629"/>
      <c r="BJ83" s="629"/>
      <c r="BK83" s="629"/>
      <c r="BL83" s="629"/>
      <c r="BM83" s="629"/>
      <c r="BN83" s="629"/>
      <c r="BO83" s="629"/>
      <c r="BP83" s="629"/>
      <c r="BQ83" s="629"/>
      <c r="BR83" s="629"/>
      <c r="BS83" s="629"/>
      <c r="BT83" s="629"/>
      <c r="BU83" s="629"/>
      <c r="BV83" s="629"/>
      <c r="BW83" s="629"/>
      <c r="BX83" s="629"/>
      <c r="BY83" s="629"/>
      <c r="BZ83" s="629"/>
      <c r="CA83" s="629"/>
      <c r="CB83" s="629"/>
      <c r="CC83" s="629"/>
      <c r="CD83" s="629"/>
      <c r="CE83" s="629"/>
      <c r="CF83" s="629"/>
      <c r="CG83" s="629"/>
      <c r="CH83" s="629"/>
      <c r="CI83" s="629"/>
      <c r="CJ83" s="629"/>
      <c r="CK83" s="629"/>
      <c r="CL83" s="629"/>
      <c r="CM83" s="629"/>
      <c r="CN83" s="629"/>
      <c r="CO83" s="629"/>
      <c r="CP83" s="629"/>
      <c r="CQ83" s="629"/>
      <c r="CR83" s="629"/>
      <c r="CS83" s="629"/>
      <c r="CT83" s="629"/>
      <c r="CU83" s="629"/>
      <c r="CV83" s="629"/>
      <c r="CW83" s="629"/>
      <c r="CX83" s="629"/>
      <c r="CY83" s="629"/>
      <c r="CZ83" s="629"/>
      <c r="DA83" s="629"/>
      <c r="DB83" s="629"/>
      <c r="DC83" s="629"/>
      <c r="DD83" s="629"/>
      <c r="DE83" s="629"/>
      <c r="DF83" s="629"/>
      <c r="DG83" s="629"/>
      <c r="DH83" s="629"/>
      <c r="DI83" s="629"/>
      <c r="DJ83" s="629"/>
      <c r="DK83" s="629"/>
      <c r="DL83" s="629"/>
      <c r="DM83" s="629"/>
      <c r="DN83" s="629"/>
      <c r="DO83" s="629"/>
      <c r="DP83" s="629"/>
      <c r="DQ83" s="629"/>
      <c r="DR83" s="629"/>
      <c r="DS83" s="629"/>
      <c r="DT83" s="629"/>
      <c r="DU83" s="629"/>
      <c r="DV83" s="629"/>
      <c r="DW83" s="629"/>
      <c r="DX83" s="629"/>
      <c r="DY83" s="629"/>
      <c r="DZ83" s="629"/>
      <c r="EA83" s="629"/>
      <c r="EB83" s="629"/>
      <c r="EC83" s="629"/>
      <c r="ED83" s="629"/>
      <c r="EE83" s="629"/>
      <c r="EF83" s="629"/>
      <c r="EG83" s="629"/>
      <c r="EH83" s="629"/>
      <c r="EI83" s="629"/>
      <c r="EJ83" s="629"/>
      <c r="EK83" s="629"/>
      <c r="EL83" s="629"/>
      <c r="EM83" s="629"/>
      <c r="EN83" s="629"/>
      <c r="EO83" s="629"/>
      <c r="EP83" s="629"/>
      <c r="EQ83" s="629"/>
      <c r="ER83" s="629"/>
      <c r="ES83" s="629"/>
      <c r="ET83" s="629"/>
      <c r="EU83" s="629"/>
      <c r="EV83" s="629"/>
      <c r="EW83" s="629"/>
      <c r="EX83" s="629"/>
      <c r="EY83" s="629"/>
      <c r="EZ83" s="629"/>
      <c r="FA83" s="629"/>
      <c r="FB83" s="629"/>
      <c r="FC83" s="629"/>
      <c r="FD83" s="629"/>
      <c r="FE83" s="629"/>
      <c r="FF83" s="629"/>
      <c r="FG83" s="629"/>
      <c r="FH83" s="629"/>
      <c r="FI83" s="629"/>
      <c r="FJ83" s="629"/>
      <c r="FK83" s="629"/>
      <c r="FL83" s="629"/>
      <c r="FM83" s="629"/>
      <c r="FN83" s="629"/>
      <c r="FO83" s="629"/>
      <c r="FP83" s="629"/>
      <c r="FQ83" s="629"/>
      <c r="FR83" s="629"/>
      <c r="FS83" s="629"/>
      <c r="FT83" s="629"/>
      <c r="FU83" s="629"/>
      <c r="FV83" s="629"/>
      <c r="FW83" s="629"/>
      <c r="FX83" s="629"/>
      <c r="FY83" s="629"/>
      <c r="FZ83" s="629"/>
      <c r="GA83" s="629"/>
      <c r="GB83" s="629"/>
      <c r="GC83" s="629"/>
      <c r="GD83" s="629"/>
      <c r="GE83" s="629"/>
      <c r="GF83" s="629"/>
      <c r="GG83" s="629"/>
      <c r="GH83" s="629"/>
      <c r="GI83" s="629"/>
      <c r="GJ83" s="629"/>
      <c r="GK83" s="629"/>
      <c r="GL83" s="629"/>
      <c r="GM83" s="629"/>
      <c r="GN83" s="629"/>
      <c r="GO83" s="629"/>
      <c r="GP83" s="629"/>
      <c r="GQ83" s="629"/>
      <c r="GR83" s="629"/>
      <c r="GS83" s="629"/>
      <c r="GT83" s="629"/>
      <c r="GU83" s="629"/>
      <c r="GV83" s="629"/>
      <c r="GW83" s="629"/>
      <c r="GX83" s="629"/>
      <c r="GY83" s="629"/>
      <c r="GZ83" s="629"/>
      <c r="HA83" s="629"/>
      <c r="HB83" s="629"/>
      <c r="HC83" s="629"/>
      <c r="HD83" s="629"/>
      <c r="HE83" s="629"/>
      <c r="HF83" s="629"/>
      <c r="HG83" s="629"/>
      <c r="HH83" s="629"/>
      <c r="HI83" s="629"/>
      <c r="HJ83" s="629"/>
      <c r="HK83" s="629"/>
      <c r="HL83" s="629"/>
      <c r="HM83" s="629"/>
      <c r="HN83" s="629"/>
      <c r="HO83" s="629"/>
      <c r="HP83" s="629"/>
      <c r="HQ83" s="629"/>
      <c r="HR83" s="629"/>
      <c r="HS83" s="629"/>
      <c r="HT83" s="629"/>
      <c r="HU83" s="629"/>
      <c r="HV83" s="629"/>
      <c r="HW83" s="629"/>
      <c r="HX83" s="629"/>
      <c r="HY83" s="629"/>
      <c r="HZ83" s="629"/>
      <c r="IA83" s="629"/>
      <c r="IB83" s="629"/>
      <c r="IC83" s="629"/>
      <c r="ID83" s="629"/>
      <c r="IE83" s="629"/>
      <c r="IF83" s="629"/>
      <c r="IG83" s="629"/>
      <c r="IH83" s="629"/>
      <c r="II83" s="629"/>
      <c r="IJ83" s="629"/>
      <c r="IK83" s="629"/>
      <c r="IL83" s="629"/>
      <c r="IM83" s="629"/>
      <c r="IN83" s="629"/>
      <c r="IO83" s="629"/>
      <c r="IP83" s="629"/>
      <c r="IQ83" s="629"/>
      <c r="IR83" s="629"/>
      <c r="IS83" s="629"/>
      <c r="IT83" s="629"/>
      <c r="IU83" s="629"/>
      <c r="IV83" s="629"/>
      <c r="IW83" s="629"/>
      <c r="IX83" s="629"/>
      <c r="IY83" s="629"/>
      <c r="IZ83" s="629"/>
      <c r="JA83" s="629"/>
      <c r="JB83" s="629"/>
      <c r="JC83" s="629"/>
      <c r="JD83" s="629"/>
      <c r="JE83" s="629"/>
      <c r="JF83" s="629"/>
      <c r="JG83" s="629"/>
      <c r="JH83" s="629"/>
      <c r="JI83" s="629"/>
      <c r="JJ83" s="629"/>
      <c r="JK83" s="629"/>
      <c r="JL83" s="629"/>
      <c r="JM83" s="629"/>
      <c r="JN83" s="629"/>
      <c r="JO83" s="629"/>
      <c r="JP83" s="629"/>
      <c r="JQ83" s="629"/>
      <c r="JR83" s="629"/>
      <c r="JS83" s="629"/>
      <c r="JT83" s="629"/>
      <c r="JU83" s="629"/>
      <c r="JV83" s="629"/>
      <c r="JW83" s="629"/>
      <c r="JX83" s="629"/>
      <c r="JY83" s="629"/>
      <c r="JZ83" s="629"/>
      <c r="KA83" s="629"/>
      <c r="KB83" s="629"/>
      <c r="KC83" s="629"/>
      <c r="KD83" s="629"/>
      <c r="KE83" s="629"/>
      <c r="KF83" s="629"/>
      <c r="KG83" s="629"/>
      <c r="KH83" s="629"/>
      <c r="KI83" s="629"/>
      <c r="KJ83" s="629"/>
      <c r="KK83" s="629"/>
      <c r="KL83" s="629"/>
      <c r="KM83" s="629"/>
      <c r="KN83" s="629"/>
      <c r="KO83" s="629"/>
      <c r="KP83" s="629"/>
      <c r="KQ83" s="629"/>
      <c r="KR83" s="629"/>
      <c r="KS83" s="629"/>
      <c r="KT83" s="629"/>
      <c r="KU83" s="629"/>
      <c r="KV83" s="629"/>
      <c r="KW83" s="629"/>
      <c r="KX83" s="629"/>
      <c r="KY83" s="629"/>
      <c r="KZ83" s="629"/>
      <c r="LA83" s="629"/>
      <c r="LB83" s="629"/>
      <c r="LC83" s="629"/>
      <c r="LD83" s="629"/>
      <c r="LE83" s="629"/>
      <c r="LF83" s="629"/>
      <c r="LG83" s="629"/>
      <c r="LH83" s="629"/>
      <c r="LI83" s="629"/>
      <c r="LJ83" s="629"/>
      <c r="LK83" s="629"/>
      <c r="LL83" s="629"/>
      <c r="LM83" s="629"/>
      <c r="LN83" s="629"/>
      <c r="LO83" s="629"/>
      <c r="LP83" s="629"/>
      <c r="LQ83" s="629"/>
      <c r="LR83" s="629"/>
      <c r="LS83" s="629"/>
      <c r="LT83" s="629"/>
      <c r="LU83" s="629"/>
      <c r="LV83" s="629"/>
      <c r="LW83" s="629"/>
      <c r="LX83" s="629"/>
      <c r="LY83" s="629"/>
      <c r="LZ83" s="629"/>
      <c r="MA83" s="629"/>
      <c r="MB83" s="629"/>
      <c r="MC83" s="629"/>
      <c r="MD83" s="629"/>
      <c r="ME83" s="629"/>
      <c r="MF83" s="629"/>
      <c r="MG83" s="629"/>
      <c r="MH83" s="629"/>
      <c r="MI83" s="629"/>
      <c r="MJ83" s="629"/>
      <c r="MK83" s="629"/>
      <c r="ML83" s="629"/>
      <c r="MM83" s="629"/>
      <c r="MN83" s="629"/>
      <c r="MO83" s="629"/>
      <c r="MP83" s="629"/>
      <c r="MQ83" s="629"/>
      <c r="MR83" s="629"/>
      <c r="MS83" s="629"/>
      <c r="MT83" s="629"/>
      <c r="MU83" s="629"/>
      <c r="MV83" s="629"/>
      <c r="MW83" s="629"/>
      <c r="MX83" s="629"/>
      <c r="MY83" s="629"/>
      <c r="MZ83" s="629"/>
      <c r="NA83" s="629"/>
      <c r="NB83" s="629"/>
      <c r="NC83" s="629"/>
      <c r="ND83" s="629"/>
      <c r="NE83" s="629"/>
      <c r="NF83" s="629"/>
      <c r="NG83" s="629"/>
      <c r="NH83" s="629"/>
      <c r="NI83" s="629"/>
      <c r="NJ83" s="629"/>
      <c r="NK83" s="629"/>
      <c r="NL83" s="629"/>
      <c r="NM83" s="629"/>
      <c r="NN83" s="629"/>
      <c r="NO83" s="629"/>
      <c r="NP83" s="629"/>
      <c r="NQ83" s="629"/>
      <c r="NR83" s="629"/>
      <c r="NS83" s="629"/>
      <c r="NT83" s="629"/>
      <c r="NU83" s="629"/>
      <c r="NV83" s="629"/>
      <c r="NW83" s="629"/>
      <c r="NX83" s="629"/>
      <c r="NY83" s="629"/>
      <c r="NZ83" s="629"/>
      <c r="OA83" s="629"/>
      <c r="OB83" s="629"/>
      <c r="OC83" s="629"/>
      <c r="OD83" s="629"/>
      <c r="OE83" s="629"/>
      <c r="OF83" s="629"/>
      <c r="OG83" s="629"/>
      <c r="OH83" s="629"/>
      <c r="OI83" s="629"/>
      <c r="OJ83" s="629"/>
      <c r="OK83" s="629"/>
      <c r="OL83" s="629"/>
      <c r="OM83" s="629"/>
      <c r="ON83" s="629"/>
      <c r="OO83" s="629"/>
      <c r="OP83" s="629"/>
      <c r="OQ83" s="629"/>
      <c r="OR83" s="629"/>
      <c r="OS83" s="629"/>
      <c r="OT83" s="629"/>
      <c r="OU83" s="629"/>
      <c r="OV83" s="629"/>
      <c r="OW83" s="629"/>
      <c r="OX83" s="629"/>
      <c r="OY83" s="629"/>
      <c r="OZ83" s="629"/>
      <c r="PA83" s="629"/>
      <c r="PB83" s="629"/>
      <c r="PC83" s="629"/>
      <c r="PD83" s="629"/>
      <c r="PE83" s="629"/>
      <c r="PF83" s="629"/>
      <c r="PG83" s="629"/>
      <c r="PH83" s="629"/>
      <c r="PI83" s="629"/>
      <c r="PJ83" s="629"/>
      <c r="PK83" s="629"/>
      <c r="PL83" s="629"/>
      <c r="PM83" s="629"/>
      <c r="PN83" s="629"/>
      <c r="PO83" s="629"/>
      <c r="PP83" s="629"/>
      <c r="PQ83" s="629"/>
      <c r="PR83" s="629"/>
      <c r="PS83" s="629"/>
      <c r="PT83" s="629"/>
      <c r="PU83" s="629"/>
      <c r="PV83" s="629"/>
      <c r="PW83" s="629"/>
      <c r="PX83" s="629"/>
      <c r="PY83" s="629"/>
      <c r="PZ83" s="629"/>
      <c r="QA83" s="629"/>
      <c r="QB83" s="629"/>
      <c r="QC83" s="629"/>
      <c r="QD83" s="629"/>
      <c r="QE83" s="629"/>
      <c r="QF83" s="629"/>
      <c r="QG83" s="629"/>
      <c r="QH83" s="629"/>
      <c r="QI83" s="629"/>
      <c r="QJ83" s="629"/>
      <c r="QK83" s="629"/>
      <c r="QL83" s="629"/>
      <c r="QM83" s="629"/>
      <c r="QN83" s="629"/>
      <c r="QO83" s="629"/>
      <c r="QP83" s="629"/>
      <c r="QQ83" s="629"/>
      <c r="QR83" s="629"/>
    </row>
    <row r="84" spans="1:460" s="1946" customFormat="1" ht="32.25" customHeight="1" x14ac:dyDescent="0.25">
      <c r="B84" s="2008" t="s">
        <v>1278</v>
      </c>
      <c r="C84" s="2008" t="s">
        <v>2796</v>
      </c>
      <c r="D84" s="4705" t="s">
        <v>2165</v>
      </c>
      <c r="E84" s="4705">
        <v>0</v>
      </c>
      <c r="F84" s="2010" t="s">
        <v>2980</v>
      </c>
      <c r="G84" s="2010">
        <v>60</v>
      </c>
      <c r="H84" s="2023">
        <f t="shared" si="6"/>
        <v>1</v>
      </c>
      <c r="I84" s="2010" t="s">
        <v>2981</v>
      </c>
      <c r="J84" s="2010" t="s">
        <v>2980</v>
      </c>
      <c r="K84" s="2010">
        <v>45</v>
      </c>
      <c r="L84" s="2007">
        <f>+K84/60</f>
        <v>0.75</v>
      </c>
      <c r="M84" s="2010" t="s">
        <v>2982</v>
      </c>
      <c r="N84" s="2010" t="s">
        <v>2980</v>
      </c>
      <c r="O84" s="2010">
        <v>80</v>
      </c>
      <c r="P84" s="2012">
        <f>+O84/60</f>
        <v>1.3333333333333333</v>
      </c>
      <c r="Q84" s="2010" t="s">
        <v>2985</v>
      </c>
      <c r="R84" s="1997"/>
      <c r="S84" s="1997"/>
      <c r="T84" s="1997"/>
      <c r="U84" s="1997"/>
      <c r="V84" s="1997"/>
      <c r="W84" s="1997"/>
      <c r="X84" s="1997"/>
      <c r="Y84" s="1997"/>
      <c r="Z84" s="629"/>
      <c r="AA84" s="629"/>
      <c r="AB84" s="629"/>
      <c r="AC84" s="629"/>
      <c r="AD84" s="629"/>
      <c r="AE84" s="629"/>
      <c r="AF84" s="629"/>
      <c r="AG84" s="629"/>
      <c r="AH84" s="629"/>
      <c r="AI84" s="629"/>
      <c r="AJ84" s="629"/>
      <c r="AK84" s="629"/>
      <c r="AL84" s="629"/>
      <c r="AM84" s="629"/>
      <c r="AN84" s="629"/>
      <c r="AO84" s="629"/>
      <c r="AP84" s="629"/>
      <c r="AQ84" s="629"/>
      <c r="AR84" s="629"/>
      <c r="AS84" s="629"/>
      <c r="AT84" s="629"/>
      <c r="AU84" s="629"/>
      <c r="AV84" s="629"/>
      <c r="AW84" s="629"/>
      <c r="AX84" s="629"/>
      <c r="AY84" s="629"/>
      <c r="AZ84" s="629"/>
      <c r="BA84" s="629"/>
      <c r="BB84" s="629"/>
      <c r="BC84" s="629"/>
      <c r="BD84" s="629"/>
      <c r="BE84" s="629"/>
      <c r="BF84" s="629"/>
      <c r="BG84" s="629"/>
      <c r="BH84" s="629"/>
      <c r="BI84" s="629"/>
      <c r="BJ84" s="629"/>
      <c r="BK84" s="629"/>
      <c r="BL84" s="629"/>
      <c r="BM84" s="629"/>
      <c r="BN84" s="629"/>
      <c r="BO84" s="629"/>
      <c r="BP84" s="629"/>
      <c r="BQ84" s="629"/>
      <c r="BR84" s="629"/>
      <c r="BS84" s="629"/>
      <c r="BT84" s="629"/>
      <c r="BU84" s="629"/>
      <c r="BV84" s="629"/>
      <c r="BW84" s="629"/>
      <c r="BX84" s="629"/>
      <c r="BY84" s="629"/>
      <c r="BZ84" s="629"/>
      <c r="CA84" s="629"/>
      <c r="CB84" s="629"/>
      <c r="CC84" s="629"/>
      <c r="CD84" s="629"/>
      <c r="CE84" s="629"/>
      <c r="CF84" s="629"/>
      <c r="CG84" s="629"/>
      <c r="CH84" s="629"/>
      <c r="CI84" s="629"/>
      <c r="CJ84" s="629"/>
      <c r="CK84" s="629"/>
      <c r="CL84" s="629"/>
      <c r="CM84" s="629"/>
      <c r="CN84" s="629"/>
      <c r="CO84" s="629"/>
      <c r="CP84" s="629"/>
      <c r="CQ84" s="629"/>
      <c r="CR84" s="629"/>
      <c r="CS84" s="629"/>
      <c r="CT84" s="629"/>
      <c r="CU84" s="629"/>
      <c r="CV84" s="629"/>
      <c r="CW84" s="629"/>
      <c r="CX84" s="629"/>
      <c r="CY84" s="629"/>
      <c r="CZ84" s="629"/>
      <c r="DA84" s="629"/>
      <c r="DB84" s="629"/>
      <c r="DC84" s="629"/>
      <c r="DD84" s="629"/>
      <c r="DE84" s="629"/>
      <c r="DF84" s="629"/>
      <c r="DG84" s="629"/>
      <c r="DH84" s="629"/>
      <c r="DI84" s="629"/>
      <c r="DJ84" s="629"/>
      <c r="DK84" s="629"/>
      <c r="DL84" s="629"/>
      <c r="DM84" s="629"/>
      <c r="DN84" s="629"/>
      <c r="DO84" s="629"/>
      <c r="DP84" s="629"/>
      <c r="DQ84" s="629"/>
      <c r="DR84" s="629"/>
      <c r="DS84" s="629"/>
      <c r="DT84" s="629"/>
      <c r="DU84" s="629"/>
      <c r="DV84" s="629"/>
      <c r="DW84" s="629"/>
      <c r="DX84" s="629"/>
      <c r="DY84" s="629"/>
      <c r="DZ84" s="629"/>
      <c r="EA84" s="629"/>
      <c r="EB84" s="629"/>
      <c r="EC84" s="629"/>
      <c r="ED84" s="629"/>
      <c r="EE84" s="629"/>
      <c r="EF84" s="629"/>
      <c r="EG84" s="629"/>
      <c r="EH84" s="629"/>
      <c r="EI84" s="629"/>
      <c r="EJ84" s="629"/>
      <c r="EK84" s="629"/>
      <c r="EL84" s="629"/>
      <c r="EM84" s="629"/>
      <c r="EN84" s="629"/>
      <c r="EO84" s="629"/>
      <c r="EP84" s="629"/>
      <c r="EQ84" s="629"/>
      <c r="ER84" s="629"/>
      <c r="ES84" s="629"/>
      <c r="ET84" s="629"/>
      <c r="EU84" s="629"/>
      <c r="EV84" s="629"/>
      <c r="EW84" s="629"/>
      <c r="EX84" s="629"/>
      <c r="EY84" s="629"/>
      <c r="EZ84" s="629"/>
      <c r="FA84" s="629"/>
      <c r="FB84" s="629"/>
      <c r="FC84" s="629"/>
      <c r="FD84" s="629"/>
      <c r="FE84" s="629"/>
      <c r="FF84" s="629"/>
      <c r="FG84" s="629"/>
      <c r="FH84" s="629"/>
      <c r="FI84" s="629"/>
      <c r="FJ84" s="629"/>
      <c r="FK84" s="629"/>
      <c r="FL84" s="629"/>
      <c r="FM84" s="629"/>
      <c r="FN84" s="629"/>
      <c r="FO84" s="629"/>
      <c r="FP84" s="629"/>
      <c r="FQ84" s="629"/>
      <c r="FR84" s="629"/>
      <c r="FS84" s="629"/>
      <c r="FT84" s="629"/>
      <c r="FU84" s="629"/>
      <c r="FV84" s="629"/>
      <c r="FW84" s="629"/>
      <c r="FX84" s="629"/>
      <c r="FY84" s="629"/>
      <c r="FZ84" s="629"/>
      <c r="GA84" s="629"/>
      <c r="GB84" s="629"/>
      <c r="GC84" s="629"/>
      <c r="GD84" s="629"/>
      <c r="GE84" s="629"/>
      <c r="GF84" s="629"/>
      <c r="GG84" s="629"/>
      <c r="GH84" s="629"/>
      <c r="GI84" s="629"/>
      <c r="GJ84" s="629"/>
      <c r="GK84" s="629"/>
      <c r="GL84" s="629"/>
      <c r="GM84" s="629"/>
      <c r="GN84" s="629"/>
      <c r="GO84" s="629"/>
      <c r="GP84" s="629"/>
      <c r="GQ84" s="629"/>
      <c r="GR84" s="629"/>
      <c r="GS84" s="629"/>
      <c r="GT84" s="629"/>
      <c r="GU84" s="629"/>
      <c r="GV84" s="629"/>
      <c r="GW84" s="629"/>
      <c r="GX84" s="629"/>
      <c r="GY84" s="629"/>
      <c r="GZ84" s="629"/>
      <c r="HA84" s="629"/>
      <c r="HB84" s="629"/>
      <c r="HC84" s="629"/>
      <c r="HD84" s="629"/>
      <c r="HE84" s="629"/>
      <c r="HF84" s="629"/>
      <c r="HG84" s="629"/>
      <c r="HH84" s="629"/>
      <c r="HI84" s="629"/>
      <c r="HJ84" s="629"/>
      <c r="HK84" s="629"/>
      <c r="HL84" s="629"/>
      <c r="HM84" s="629"/>
      <c r="HN84" s="629"/>
      <c r="HO84" s="629"/>
      <c r="HP84" s="629"/>
      <c r="HQ84" s="629"/>
      <c r="HR84" s="629"/>
      <c r="HS84" s="629"/>
      <c r="HT84" s="629"/>
      <c r="HU84" s="629"/>
      <c r="HV84" s="629"/>
      <c r="HW84" s="629"/>
      <c r="HX84" s="629"/>
      <c r="HY84" s="629"/>
      <c r="HZ84" s="629"/>
      <c r="IA84" s="629"/>
      <c r="IB84" s="629"/>
      <c r="IC84" s="629"/>
      <c r="ID84" s="629"/>
      <c r="IE84" s="629"/>
      <c r="IF84" s="629"/>
      <c r="IG84" s="629"/>
      <c r="IH84" s="629"/>
      <c r="II84" s="629"/>
      <c r="IJ84" s="629"/>
      <c r="IK84" s="629"/>
      <c r="IL84" s="629"/>
      <c r="IM84" s="629"/>
      <c r="IN84" s="629"/>
      <c r="IO84" s="629"/>
      <c r="IP84" s="629"/>
      <c r="IQ84" s="629"/>
      <c r="IR84" s="629"/>
      <c r="IS84" s="629"/>
      <c r="IT84" s="629"/>
      <c r="IU84" s="629"/>
      <c r="IV84" s="629"/>
      <c r="IW84" s="629"/>
      <c r="IX84" s="629"/>
      <c r="IY84" s="629"/>
      <c r="IZ84" s="629"/>
      <c r="JA84" s="629"/>
      <c r="JB84" s="629"/>
      <c r="JC84" s="629"/>
      <c r="JD84" s="629"/>
      <c r="JE84" s="629"/>
      <c r="JF84" s="629"/>
      <c r="JG84" s="629"/>
      <c r="JH84" s="629"/>
      <c r="JI84" s="629"/>
      <c r="JJ84" s="629"/>
      <c r="JK84" s="629"/>
      <c r="JL84" s="629"/>
      <c r="JM84" s="629"/>
      <c r="JN84" s="629"/>
      <c r="JO84" s="629"/>
      <c r="JP84" s="629"/>
      <c r="JQ84" s="629"/>
      <c r="JR84" s="629"/>
      <c r="JS84" s="629"/>
      <c r="JT84" s="629"/>
      <c r="JU84" s="629"/>
      <c r="JV84" s="629"/>
      <c r="JW84" s="629"/>
      <c r="JX84" s="629"/>
      <c r="JY84" s="629"/>
      <c r="JZ84" s="629"/>
      <c r="KA84" s="629"/>
      <c r="KB84" s="629"/>
      <c r="KC84" s="629"/>
      <c r="KD84" s="629"/>
      <c r="KE84" s="629"/>
      <c r="KF84" s="629"/>
      <c r="KG84" s="629"/>
      <c r="KH84" s="629"/>
      <c r="KI84" s="629"/>
      <c r="KJ84" s="629"/>
      <c r="KK84" s="629"/>
      <c r="KL84" s="629"/>
      <c r="KM84" s="629"/>
      <c r="KN84" s="629"/>
      <c r="KO84" s="629"/>
      <c r="KP84" s="629"/>
      <c r="KQ84" s="629"/>
      <c r="KR84" s="629"/>
      <c r="KS84" s="629"/>
      <c r="KT84" s="629"/>
      <c r="KU84" s="629"/>
      <c r="KV84" s="629"/>
      <c r="KW84" s="629"/>
      <c r="KX84" s="629"/>
      <c r="KY84" s="629"/>
      <c r="KZ84" s="629"/>
      <c r="LA84" s="629"/>
      <c r="LB84" s="629"/>
      <c r="LC84" s="629"/>
      <c r="LD84" s="629"/>
      <c r="LE84" s="629"/>
      <c r="LF84" s="629"/>
      <c r="LG84" s="629"/>
      <c r="LH84" s="629"/>
      <c r="LI84" s="629"/>
      <c r="LJ84" s="629"/>
      <c r="LK84" s="629"/>
      <c r="LL84" s="629"/>
      <c r="LM84" s="629"/>
      <c r="LN84" s="629"/>
      <c r="LO84" s="629"/>
      <c r="LP84" s="629"/>
      <c r="LQ84" s="629"/>
      <c r="LR84" s="629"/>
      <c r="LS84" s="629"/>
      <c r="LT84" s="629"/>
      <c r="LU84" s="629"/>
      <c r="LV84" s="629"/>
      <c r="LW84" s="629"/>
      <c r="LX84" s="629"/>
      <c r="LY84" s="629"/>
      <c r="LZ84" s="629"/>
      <c r="MA84" s="629"/>
      <c r="MB84" s="629"/>
      <c r="MC84" s="629"/>
      <c r="MD84" s="629"/>
      <c r="ME84" s="629"/>
      <c r="MF84" s="629"/>
      <c r="MG84" s="629"/>
      <c r="MH84" s="629"/>
      <c r="MI84" s="629"/>
      <c r="MJ84" s="629"/>
      <c r="MK84" s="629"/>
      <c r="ML84" s="629"/>
      <c r="MM84" s="629"/>
      <c r="MN84" s="629"/>
      <c r="MO84" s="629"/>
      <c r="MP84" s="629"/>
      <c r="MQ84" s="629"/>
      <c r="MR84" s="629"/>
      <c r="MS84" s="629"/>
      <c r="MT84" s="629"/>
      <c r="MU84" s="629"/>
      <c r="MV84" s="629"/>
      <c r="MW84" s="629"/>
      <c r="MX84" s="629"/>
      <c r="MY84" s="629"/>
      <c r="MZ84" s="629"/>
      <c r="NA84" s="629"/>
      <c r="NB84" s="629"/>
      <c r="NC84" s="629"/>
      <c r="ND84" s="629"/>
      <c r="NE84" s="629"/>
      <c r="NF84" s="629"/>
      <c r="NG84" s="629"/>
      <c r="NH84" s="629"/>
      <c r="NI84" s="629"/>
      <c r="NJ84" s="629"/>
      <c r="NK84" s="629"/>
      <c r="NL84" s="629"/>
      <c r="NM84" s="629"/>
      <c r="NN84" s="629"/>
      <c r="NO84" s="629"/>
      <c r="NP84" s="629"/>
      <c r="NQ84" s="629"/>
      <c r="NR84" s="629"/>
      <c r="NS84" s="629"/>
      <c r="NT84" s="629"/>
      <c r="NU84" s="629"/>
      <c r="NV84" s="629"/>
      <c r="NW84" s="629"/>
      <c r="NX84" s="629"/>
      <c r="NY84" s="629"/>
      <c r="NZ84" s="629"/>
      <c r="OA84" s="629"/>
      <c r="OB84" s="629"/>
      <c r="OC84" s="629"/>
      <c r="OD84" s="629"/>
      <c r="OE84" s="629"/>
      <c r="OF84" s="629"/>
      <c r="OG84" s="629"/>
      <c r="OH84" s="629"/>
      <c r="OI84" s="629"/>
      <c r="OJ84" s="629"/>
      <c r="OK84" s="629"/>
      <c r="OL84" s="629"/>
      <c r="OM84" s="629"/>
      <c r="ON84" s="629"/>
      <c r="OO84" s="629"/>
      <c r="OP84" s="629"/>
      <c r="OQ84" s="629"/>
      <c r="OR84" s="629"/>
      <c r="OS84" s="629"/>
      <c r="OT84" s="629"/>
      <c r="OU84" s="629"/>
      <c r="OV84" s="629"/>
      <c r="OW84" s="629"/>
      <c r="OX84" s="629"/>
      <c r="OY84" s="629"/>
      <c r="OZ84" s="629"/>
      <c r="PA84" s="629"/>
      <c r="PB84" s="629"/>
      <c r="PC84" s="629"/>
      <c r="PD84" s="629"/>
      <c r="PE84" s="629"/>
      <c r="PF84" s="629"/>
      <c r="PG84" s="629"/>
      <c r="PH84" s="629"/>
      <c r="PI84" s="629"/>
      <c r="PJ84" s="629"/>
      <c r="PK84" s="629"/>
      <c r="PL84" s="629"/>
      <c r="PM84" s="629"/>
      <c r="PN84" s="629"/>
      <c r="PO84" s="629"/>
      <c r="PP84" s="629"/>
      <c r="PQ84" s="629"/>
      <c r="PR84" s="629"/>
      <c r="PS84" s="629"/>
      <c r="PT84" s="629"/>
      <c r="PU84" s="629"/>
      <c r="PV84" s="629"/>
      <c r="PW84" s="629"/>
      <c r="PX84" s="629"/>
      <c r="PY84" s="629"/>
      <c r="PZ84" s="629"/>
      <c r="QA84" s="629"/>
      <c r="QB84" s="629"/>
      <c r="QC84" s="629"/>
      <c r="QD84" s="629"/>
      <c r="QE84" s="629"/>
      <c r="QF84" s="629"/>
      <c r="QG84" s="629"/>
      <c r="QH84" s="629"/>
      <c r="QI84" s="629"/>
      <c r="QJ84" s="629"/>
      <c r="QK84" s="629"/>
      <c r="QL84" s="629"/>
      <c r="QM84" s="629"/>
      <c r="QN84" s="629"/>
      <c r="QO84" s="629"/>
      <c r="QP84" s="629"/>
      <c r="QQ84" s="629"/>
      <c r="QR84" s="629"/>
    </row>
    <row r="85" spans="1:460" s="629" customFormat="1" ht="30.75" customHeight="1" x14ac:dyDescent="0.25">
      <c r="B85" s="1999" t="s">
        <v>1278</v>
      </c>
      <c r="C85" s="1999" t="s">
        <v>2796</v>
      </c>
      <c r="D85" s="4704" t="s">
        <v>2797</v>
      </c>
      <c r="E85" s="4704"/>
      <c r="F85" s="2000" t="s">
        <v>2980</v>
      </c>
      <c r="G85" s="2000">
        <v>60</v>
      </c>
      <c r="H85" s="2018">
        <f t="shared" si="6"/>
        <v>1</v>
      </c>
      <c r="I85" s="2000" t="s">
        <v>2982</v>
      </c>
      <c r="J85" s="2000" t="s">
        <v>2980</v>
      </c>
      <c r="K85" s="2000">
        <v>45</v>
      </c>
      <c r="L85" s="2007">
        <f>+K85/60</f>
        <v>0.75</v>
      </c>
      <c r="M85" s="2000" t="s">
        <v>2982</v>
      </c>
      <c r="N85" s="2000" t="s">
        <v>2980</v>
      </c>
      <c r="O85" s="2000">
        <v>80</v>
      </c>
      <c r="P85" s="2020">
        <f>+O85/60</f>
        <v>1.3333333333333333</v>
      </c>
      <c r="Q85" s="2000" t="s">
        <v>2985</v>
      </c>
      <c r="R85" s="2000" t="s">
        <v>2980</v>
      </c>
      <c r="S85" s="1997"/>
      <c r="T85" s="1997"/>
      <c r="U85" s="1997"/>
      <c r="V85" s="1997"/>
      <c r="W85" s="1997"/>
      <c r="X85" s="1997"/>
      <c r="Y85" s="1997"/>
    </row>
    <row r="86" spans="1:460" ht="31.5" customHeight="1" x14ac:dyDescent="0.25">
      <c r="A86" s="880"/>
      <c r="B86" s="1993" t="s">
        <v>1278</v>
      </c>
      <c r="C86" s="1993" t="s">
        <v>2796</v>
      </c>
      <c r="D86" s="4700" t="s">
        <v>2798</v>
      </c>
      <c r="E86" s="4700"/>
      <c r="F86" s="1994" t="s">
        <v>2980</v>
      </c>
      <c r="G86" s="1994">
        <f>60+144</f>
        <v>204</v>
      </c>
      <c r="H86" s="2002">
        <f t="shared" si="6"/>
        <v>3.4</v>
      </c>
      <c r="I86" s="1994" t="s">
        <v>2982</v>
      </c>
      <c r="J86" s="1994" t="s">
        <v>2980</v>
      </c>
      <c r="K86" s="1994">
        <v>153</v>
      </c>
      <c r="L86" s="2007">
        <f>+K86/60</f>
        <v>2.5499999999999998</v>
      </c>
      <c r="M86" s="1994" t="s">
        <v>2982</v>
      </c>
      <c r="N86" s="2014" t="s">
        <v>2980</v>
      </c>
      <c r="O86" s="2016"/>
      <c r="P86" s="2016"/>
      <c r="Q86" s="2016"/>
      <c r="R86" s="2014" t="s">
        <v>2980</v>
      </c>
      <c r="S86" s="2016"/>
      <c r="T86" s="2016"/>
      <c r="U86" s="2016"/>
      <c r="V86" s="1997"/>
      <c r="W86" s="1997"/>
      <c r="X86" s="1997"/>
      <c r="Y86" s="1997"/>
    </row>
    <row r="87" spans="1:460" x14ac:dyDescent="0.25">
      <c r="A87" s="880"/>
      <c r="B87" s="1993" t="s">
        <v>2799</v>
      </c>
      <c r="C87" s="1993" t="s">
        <v>2800</v>
      </c>
      <c r="D87" s="4700" t="s">
        <v>2801</v>
      </c>
      <c r="E87" s="4700"/>
      <c r="F87" s="1994" t="s">
        <v>2980</v>
      </c>
      <c r="G87" s="1994">
        <v>90</v>
      </c>
      <c r="H87" s="2002">
        <f t="shared" si="6"/>
        <v>1.5</v>
      </c>
      <c r="I87" s="1994" t="s">
        <v>2981</v>
      </c>
      <c r="J87" s="2014" t="s">
        <v>2980</v>
      </c>
      <c r="K87" s="2015"/>
      <c r="L87" s="1998"/>
      <c r="M87" s="2015"/>
      <c r="N87" s="2014" t="s">
        <v>2980</v>
      </c>
      <c r="O87" s="2016"/>
      <c r="P87" s="2016"/>
      <c r="Q87" s="2016"/>
      <c r="R87" s="1997"/>
      <c r="S87" s="1997"/>
      <c r="T87" s="1997"/>
      <c r="U87" s="1997"/>
      <c r="V87" s="2014" t="s">
        <v>2980</v>
      </c>
      <c r="W87" s="2016"/>
      <c r="X87" s="2016"/>
      <c r="Y87" s="2016"/>
    </row>
    <row r="88" spans="1:460" ht="27" x14ac:dyDescent="0.25">
      <c r="A88" s="880"/>
      <c r="B88" s="1993" t="s">
        <v>2799</v>
      </c>
      <c r="C88" s="1993" t="s">
        <v>2802</v>
      </c>
      <c r="D88" s="4700" t="s">
        <v>2803</v>
      </c>
      <c r="E88" s="4700">
        <v>0</v>
      </c>
      <c r="F88" s="1994" t="s">
        <v>2980</v>
      </c>
      <c r="G88" s="1994">
        <v>45</v>
      </c>
      <c r="H88" s="2002">
        <f t="shared" si="6"/>
        <v>0.75</v>
      </c>
      <c r="I88" s="1994" t="s">
        <v>2981</v>
      </c>
      <c r="J88" s="2014" t="s">
        <v>2980</v>
      </c>
      <c r="K88" s="2015"/>
      <c r="L88" s="1998"/>
      <c r="M88" s="2015"/>
      <c r="N88" s="2014" t="s">
        <v>2980</v>
      </c>
      <c r="O88" s="2016"/>
      <c r="P88" s="2016"/>
      <c r="Q88" s="2016"/>
      <c r="R88" s="1997"/>
      <c r="S88" s="1997"/>
      <c r="T88" s="1997"/>
      <c r="U88" s="1997"/>
      <c r="V88" s="2014" t="s">
        <v>2980</v>
      </c>
      <c r="W88" s="2016"/>
      <c r="X88" s="2016"/>
      <c r="Y88" s="2016"/>
    </row>
    <row r="89" spans="1:460" x14ac:dyDescent="0.25">
      <c r="A89" s="880"/>
      <c r="B89" s="4700" t="s">
        <v>2799</v>
      </c>
      <c r="C89" s="4700" t="s">
        <v>2804</v>
      </c>
      <c r="D89" s="4700" t="s">
        <v>2805</v>
      </c>
      <c r="E89" s="1993" t="s">
        <v>2806</v>
      </c>
      <c r="F89" s="1994" t="s">
        <v>2980</v>
      </c>
      <c r="G89" s="1994">
        <v>120</v>
      </c>
      <c r="H89" s="2002">
        <f t="shared" si="6"/>
        <v>2</v>
      </c>
      <c r="I89" s="1994" t="s">
        <v>2981</v>
      </c>
      <c r="J89" s="2014" t="s">
        <v>2980</v>
      </c>
      <c r="K89" s="2015"/>
      <c r="L89" s="1998"/>
      <c r="M89" s="2015"/>
      <c r="N89" s="2014" t="s">
        <v>2980</v>
      </c>
      <c r="O89" s="2016"/>
      <c r="P89" s="2016"/>
      <c r="Q89" s="2016"/>
      <c r="R89" s="1997"/>
      <c r="S89" s="1997"/>
      <c r="T89" s="1997"/>
      <c r="U89" s="1997"/>
      <c r="V89" s="2014" t="s">
        <v>2980</v>
      </c>
      <c r="W89" s="2016"/>
      <c r="X89" s="2016"/>
      <c r="Y89" s="2016"/>
    </row>
    <row r="90" spans="1:460" ht="23.25" customHeight="1" x14ac:dyDescent="0.25">
      <c r="A90" s="880"/>
      <c r="B90" s="4700"/>
      <c r="C90" s="4700"/>
      <c r="D90" s="4700"/>
      <c r="E90" s="1993" t="s">
        <v>2807</v>
      </c>
      <c r="F90" s="1994" t="s">
        <v>2980</v>
      </c>
      <c r="G90" s="1994">
        <v>60</v>
      </c>
      <c r="H90" s="2002">
        <f t="shared" si="6"/>
        <v>1</v>
      </c>
      <c r="I90" s="1994" t="s">
        <v>2981</v>
      </c>
      <c r="J90" s="2014" t="s">
        <v>2980</v>
      </c>
      <c r="K90" s="2015"/>
      <c r="L90" s="1998"/>
      <c r="M90" s="2015"/>
      <c r="N90" s="2014" t="s">
        <v>2980</v>
      </c>
      <c r="O90" s="2016"/>
      <c r="P90" s="2016"/>
      <c r="Q90" s="2016"/>
      <c r="R90" s="1997"/>
      <c r="S90" s="1997"/>
      <c r="T90" s="1997"/>
      <c r="U90" s="1997"/>
      <c r="V90" s="2014" t="s">
        <v>2980</v>
      </c>
      <c r="W90" s="2016"/>
      <c r="X90" s="2016"/>
      <c r="Y90" s="2016"/>
    </row>
    <row r="91" spans="1:460" ht="27" x14ac:dyDescent="0.25">
      <c r="A91" s="880"/>
      <c r="B91" s="1993" t="s">
        <v>2799</v>
      </c>
      <c r="C91" s="1993" t="s">
        <v>2809</v>
      </c>
      <c r="D91" s="4700" t="s">
        <v>2810</v>
      </c>
      <c r="E91" s="4700"/>
      <c r="F91" s="1994" t="s">
        <v>2980</v>
      </c>
      <c r="G91" s="1994">
        <v>90</v>
      </c>
      <c r="H91" s="2002">
        <f t="shared" si="6"/>
        <v>1.5</v>
      </c>
      <c r="I91" s="1994" t="s">
        <v>2981</v>
      </c>
      <c r="J91" s="2014" t="s">
        <v>2980</v>
      </c>
      <c r="K91" s="2015"/>
      <c r="L91" s="1998"/>
      <c r="M91" s="2015"/>
      <c r="N91" s="2014" t="s">
        <v>2980</v>
      </c>
      <c r="O91" s="2016"/>
      <c r="P91" s="2016"/>
      <c r="Q91" s="2016"/>
      <c r="R91" s="1997"/>
      <c r="S91" s="1997"/>
      <c r="T91" s="1997"/>
      <c r="U91" s="1997"/>
      <c r="V91" s="2014" t="s">
        <v>2980</v>
      </c>
      <c r="W91" s="2016"/>
      <c r="X91" s="2016"/>
      <c r="Y91" s="2016"/>
    </row>
    <row r="92" spans="1:460" x14ac:dyDescent="0.25">
      <c r="A92" s="880"/>
      <c r="B92" s="1993" t="s">
        <v>2799</v>
      </c>
      <c r="C92" s="1993" t="s">
        <v>2811</v>
      </c>
      <c r="D92" s="4700" t="s">
        <v>2812</v>
      </c>
      <c r="E92" s="4700">
        <v>0</v>
      </c>
      <c r="F92" s="1994" t="s">
        <v>2980</v>
      </c>
      <c r="G92" s="1994">
        <v>75</v>
      </c>
      <c r="H92" s="2002">
        <f t="shared" si="6"/>
        <v>1.25</v>
      </c>
      <c r="I92" s="1994" t="s">
        <v>2981</v>
      </c>
      <c r="J92" s="2014" t="s">
        <v>2980</v>
      </c>
      <c r="K92" s="2015"/>
      <c r="L92" s="1998"/>
      <c r="M92" s="2015"/>
      <c r="N92" s="2014" t="s">
        <v>2980</v>
      </c>
      <c r="O92" s="2016"/>
      <c r="P92" s="2016"/>
      <c r="Q92" s="2016"/>
      <c r="R92" s="1997"/>
      <c r="S92" s="1997"/>
      <c r="T92" s="1997"/>
      <c r="U92" s="1997"/>
      <c r="V92" s="2014" t="s">
        <v>2980</v>
      </c>
      <c r="W92" s="2016"/>
      <c r="X92" s="2016"/>
      <c r="Y92" s="2016"/>
    </row>
    <row r="93" spans="1:460" x14ac:dyDescent="0.25">
      <c r="A93" s="880"/>
      <c r="B93" s="1993" t="s">
        <v>2799</v>
      </c>
      <c r="C93" s="1993" t="s">
        <v>2813</v>
      </c>
      <c r="D93" s="4700" t="s">
        <v>2814</v>
      </c>
      <c r="E93" s="4700">
        <v>0</v>
      </c>
      <c r="F93" s="1994" t="s">
        <v>2980</v>
      </c>
      <c r="G93" s="1994">
        <v>75</v>
      </c>
      <c r="H93" s="2002">
        <f t="shared" si="6"/>
        <v>1.25</v>
      </c>
      <c r="I93" s="1994" t="s">
        <v>2981</v>
      </c>
      <c r="J93" s="2014" t="s">
        <v>2980</v>
      </c>
      <c r="K93" s="2015"/>
      <c r="L93" s="1998"/>
      <c r="M93" s="2015"/>
      <c r="N93" s="2014" t="s">
        <v>2980</v>
      </c>
      <c r="O93" s="2016"/>
      <c r="P93" s="2016"/>
      <c r="Q93" s="2016"/>
      <c r="R93" s="1997"/>
      <c r="S93" s="1997"/>
      <c r="T93" s="1997"/>
      <c r="U93" s="1997"/>
      <c r="V93" s="2014" t="s">
        <v>2980</v>
      </c>
      <c r="W93" s="2016"/>
      <c r="X93" s="2016"/>
      <c r="Y93" s="2016"/>
    </row>
    <row r="94" spans="1:460" ht="27" x14ac:dyDescent="0.25">
      <c r="A94" s="880"/>
      <c r="B94" s="1993" t="s">
        <v>2799</v>
      </c>
      <c r="C94" s="1993" t="s">
        <v>2815</v>
      </c>
      <c r="D94" s="4700" t="s">
        <v>2816</v>
      </c>
      <c r="E94" s="4700">
        <v>0</v>
      </c>
      <c r="F94" s="1994" t="s">
        <v>2980</v>
      </c>
      <c r="G94" s="1994">
        <v>120</v>
      </c>
      <c r="H94" s="2002">
        <f t="shared" si="6"/>
        <v>2</v>
      </c>
      <c r="I94" s="1994" t="s">
        <v>2981</v>
      </c>
      <c r="J94" s="2014" t="s">
        <v>2980</v>
      </c>
      <c r="K94" s="2015"/>
      <c r="L94" s="1998"/>
      <c r="M94" s="2015"/>
      <c r="N94" s="2014" t="s">
        <v>2980</v>
      </c>
      <c r="O94" s="2016"/>
      <c r="P94" s="2016"/>
      <c r="Q94" s="2016"/>
      <c r="R94" s="1997"/>
      <c r="S94" s="1997"/>
      <c r="T94" s="1997"/>
      <c r="U94" s="1997"/>
      <c r="V94" s="2014" t="s">
        <v>2980</v>
      </c>
      <c r="W94" s="2016"/>
      <c r="X94" s="2016"/>
      <c r="Y94" s="2016"/>
    </row>
    <row r="95" spans="1:460" s="1946" customFormat="1" ht="33.75" customHeight="1" x14ac:dyDescent="0.25">
      <c r="B95" s="2008" t="s">
        <v>427</v>
      </c>
      <c r="C95" s="2008" t="s">
        <v>1347</v>
      </c>
      <c r="D95" s="4705" t="s">
        <v>2817</v>
      </c>
      <c r="E95" s="4705">
        <v>0</v>
      </c>
      <c r="F95" s="2010" t="s">
        <v>2980</v>
      </c>
      <c r="G95" s="2010">
        <v>20</v>
      </c>
      <c r="H95" s="2023">
        <f>+G95/60</f>
        <v>0.33333333333333331</v>
      </c>
      <c r="I95" s="2010" t="s">
        <v>2984</v>
      </c>
      <c r="J95" s="2010" t="s">
        <v>2980</v>
      </c>
      <c r="K95" s="2010">
        <v>108</v>
      </c>
      <c r="L95" s="2022">
        <f>+K95/60</f>
        <v>1.8</v>
      </c>
      <c r="M95" s="2010" t="s">
        <v>2986</v>
      </c>
      <c r="N95" s="2010"/>
      <c r="O95" s="2024"/>
      <c r="P95" s="2024"/>
      <c r="Q95" s="2024"/>
      <c r="R95" s="2010" t="s">
        <v>2980</v>
      </c>
      <c r="S95" s="2010">
        <v>144</v>
      </c>
      <c r="T95" s="2023">
        <f>+S95/60</f>
        <v>2.4</v>
      </c>
      <c r="U95" s="2010" t="s">
        <v>2986</v>
      </c>
      <c r="V95" s="2024"/>
      <c r="W95" s="2024"/>
      <c r="X95" s="2024"/>
      <c r="Y95" s="2024"/>
      <c r="Z95" s="629"/>
      <c r="AA95" s="629"/>
      <c r="AB95" s="629"/>
      <c r="AC95" s="629"/>
      <c r="AD95" s="629"/>
      <c r="AE95" s="629"/>
      <c r="AF95" s="629"/>
      <c r="AG95" s="629"/>
      <c r="AH95" s="629"/>
      <c r="AI95" s="629"/>
      <c r="AJ95" s="629"/>
      <c r="AK95" s="629"/>
      <c r="AL95" s="629"/>
      <c r="AM95" s="629"/>
      <c r="AN95" s="629"/>
      <c r="AO95" s="629"/>
      <c r="AP95" s="629"/>
      <c r="AQ95" s="629"/>
      <c r="AR95" s="629"/>
      <c r="AS95" s="629"/>
      <c r="AT95" s="629"/>
      <c r="AU95" s="629"/>
      <c r="AV95" s="629"/>
      <c r="AW95" s="629"/>
      <c r="AX95" s="629"/>
      <c r="AY95" s="629"/>
      <c r="AZ95" s="629"/>
      <c r="BA95" s="629"/>
      <c r="BB95" s="629"/>
      <c r="BC95" s="629"/>
      <c r="BD95" s="629"/>
      <c r="BE95" s="629"/>
      <c r="BF95" s="629"/>
      <c r="BG95" s="629"/>
      <c r="BH95" s="629"/>
      <c r="BI95" s="629"/>
      <c r="BJ95" s="629"/>
      <c r="BK95" s="629"/>
      <c r="BL95" s="629"/>
      <c r="BM95" s="629"/>
      <c r="BN95" s="629"/>
      <c r="BO95" s="629"/>
      <c r="BP95" s="629"/>
      <c r="BQ95" s="629"/>
      <c r="BR95" s="629"/>
      <c r="BS95" s="629"/>
      <c r="BT95" s="629"/>
      <c r="BU95" s="629"/>
      <c r="BV95" s="629"/>
      <c r="BW95" s="629"/>
      <c r="BX95" s="629"/>
      <c r="BY95" s="629"/>
      <c r="BZ95" s="629"/>
      <c r="CA95" s="629"/>
      <c r="CB95" s="629"/>
      <c r="CC95" s="629"/>
      <c r="CD95" s="629"/>
      <c r="CE95" s="629"/>
      <c r="CF95" s="629"/>
      <c r="CG95" s="629"/>
      <c r="CH95" s="629"/>
      <c r="CI95" s="629"/>
      <c r="CJ95" s="629"/>
      <c r="CK95" s="629"/>
      <c r="CL95" s="629"/>
      <c r="CM95" s="629"/>
      <c r="CN95" s="629"/>
      <c r="CO95" s="629"/>
      <c r="CP95" s="629"/>
      <c r="CQ95" s="629"/>
      <c r="CR95" s="629"/>
      <c r="CS95" s="629"/>
      <c r="CT95" s="629"/>
      <c r="CU95" s="629"/>
      <c r="CV95" s="629"/>
      <c r="CW95" s="629"/>
      <c r="CX95" s="629"/>
      <c r="CY95" s="629"/>
      <c r="CZ95" s="629"/>
      <c r="DA95" s="629"/>
      <c r="DB95" s="629"/>
      <c r="DC95" s="629"/>
      <c r="DD95" s="629"/>
      <c r="DE95" s="629"/>
      <c r="DF95" s="629"/>
      <c r="DG95" s="629"/>
      <c r="DH95" s="629"/>
      <c r="DI95" s="629"/>
      <c r="DJ95" s="629"/>
      <c r="DK95" s="629"/>
      <c r="DL95" s="629"/>
      <c r="DM95" s="629"/>
      <c r="DN95" s="629"/>
      <c r="DO95" s="629"/>
      <c r="DP95" s="629"/>
      <c r="DQ95" s="629"/>
      <c r="DR95" s="629"/>
      <c r="DS95" s="629"/>
      <c r="DT95" s="629"/>
      <c r="DU95" s="629"/>
      <c r="DV95" s="629"/>
      <c r="DW95" s="629"/>
      <c r="DX95" s="629"/>
      <c r="DY95" s="629"/>
      <c r="DZ95" s="629"/>
      <c r="EA95" s="629"/>
      <c r="EB95" s="629"/>
      <c r="EC95" s="629"/>
      <c r="ED95" s="629"/>
      <c r="EE95" s="629"/>
      <c r="EF95" s="629"/>
      <c r="EG95" s="629"/>
      <c r="EH95" s="629"/>
      <c r="EI95" s="629"/>
      <c r="EJ95" s="629"/>
      <c r="EK95" s="629"/>
      <c r="EL95" s="629"/>
      <c r="EM95" s="629"/>
      <c r="EN95" s="629"/>
      <c r="EO95" s="629"/>
      <c r="EP95" s="629"/>
      <c r="EQ95" s="629"/>
      <c r="ER95" s="629"/>
      <c r="ES95" s="629"/>
      <c r="ET95" s="629"/>
      <c r="EU95" s="629"/>
      <c r="EV95" s="629"/>
      <c r="EW95" s="629"/>
      <c r="EX95" s="629"/>
      <c r="EY95" s="629"/>
      <c r="EZ95" s="629"/>
      <c r="FA95" s="629"/>
      <c r="FB95" s="629"/>
      <c r="FC95" s="629"/>
      <c r="FD95" s="629"/>
      <c r="FE95" s="629"/>
      <c r="FF95" s="629"/>
      <c r="FG95" s="629"/>
      <c r="FH95" s="629"/>
      <c r="FI95" s="629"/>
      <c r="FJ95" s="629"/>
      <c r="FK95" s="629"/>
      <c r="FL95" s="629"/>
      <c r="FM95" s="629"/>
      <c r="FN95" s="629"/>
      <c r="FO95" s="629"/>
      <c r="FP95" s="629"/>
      <c r="FQ95" s="629"/>
      <c r="FR95" s="629"/>
      <c r="FS95" s="629"/>
      <c r="FT95" s="629"/>
      <c r="FU95" s="629"/>
      <c r="FV95" s="629"/>
      <c r="FW95" s="629"/>
      <c r="FX95" s="629"/>
      <c r="FY95" s="629"/>
      <c r="FZ95" s="629"/>
      <c r="GA95" s="629"/>
      <c r="GB95" s="629"/>
      <c r="GC95" s="629"/>
      <c r="GD95" s="629"/>
      <c r="GE95" s="629"/>
      <c r="GF95" s="629"/>
      <c r="GG95" s="629"/>
      <c r="GH95" s="629"/>
      <c r="GI95" s="629"/>
      <c r="GJ95" s="629"/>
      <c r="GK95" s="629"/>
      <c r="GL95" s="629"/>
      <c r="GM95" s="629"/>
      <c r="GN95" s="629"/>
      <c r="GO95" s="629"/>
      <c r="GP95" s="629"/>
      <c r="GQ95" s="629"/>
      <c r="GR95" s="629"/>
      <c r="GS95" s="629"/>
      <c r="GT95" s="629"/>
      <c r="GU95" s="629"/>
      <c r="GV95" s="629"/>
      <c r="GW95" s="629"/>
      <c r="GX95" s="629"/>
      <c r="GY95" s="629"/>
      <c r="GZ95" s="629"/>
      <c r="HA95" s="629"/>
      <c r="HB95" s="629"/>
      <c r="HC95" s="629"/>
      <c r="HD95" s="629"/>
      <c r="HE95" s="629"/>
      <c r="HF95" s="629"/>
      <c r="HG95" s="629"/>
      <c r="HH95" s="629"/>
      <c r="HI95" s="629"/>
      <c r="HJ95" s="629"/>
      <c r="HK95" s="629"/>
      <c r="HL95" s="629"/>
      <c r="HM95" s="629"/>
      <c r="HN95" s="629"/>
      <c r="HO95" s="629"/>
      <c r="HP95" s="629"/>
      <c r="HQ95" s="629"/>
      <c r="HR95" s="629"/>
      <c r="HS95" s="629"/>
      <c r="HT95" s="629"/>
      <c r="HU95" s="629"/>
      <c r="HV95" s="629"/>
      <c r="HW95" s="629"/>
      <c r="HX95" s="629"/>
      <c r="HY95" s="629"/>
      <c r="HZ95" s="629"/>
      <c r="IA95" s="629"/>
      <c r="IB95" s="629"/>
      <c r="IC95" s="629"/>
      <c r="ID95" s="629"/>
      <c r="IE95" s="629"/>
      <c r="IF95" s="629"/>
      <c r="IG95" s="629"/>
      <c r="IH95" s="629"/>
      <c r="II95" s="629"/>
      <c r="IJ95" s="629"/>
      <c r="IK95" s="629"/>
      <c r="IL95" s="629"/>
      <c r="IM95" s="629"/>
      <c r="IN95" s="629"/>
      <c r="IO95" s="629"/>
      <c r="IP95" s="629"/>
      <c r="IQ95" s="629"/>
      <c r="IR95" s="629"/>
      <c r="IS95" s="629"/>
      <c r="IT95" s="629"/>
      <c r="IU95" s="629"/>
      <c r="IV95" s="629"/>
      <c r="IW95" s="629"/>
      <c r="IX95" s="629"/>
      <c r="IY95" s="629"/>
      <c r="IZ95" s="629"/>
      <c r="JA95" s="629"/>
      <c r="JB95" s="629"/>
      <c r="JC95" s="629"/>
      <c r="JD95" s="629"/>
      <c r="JE95" s="629"/>
      <c r="JF95" s="629"/>
      <c r="JG95" s="629"/>
      <c r="JH95" s="629"/>
      <c r="JI95" s="629"/>
      <c r="JJ95" s="629"/>
      <c r="JK95" s="629"/>
      <c r="JL95" s="629"/>
      <c r="JM95" s="629"/>
      <c r="JN95" s="629"/>
      <c r="JO95" s="629"/>
      <c r="JP95" s="629"/>
      <c r="JQ95" s="629"/>
      <c r="JR95" s="629"/>
      <c r="JS95" s="629"/>
      <c r="JT95" s="629"/>
      <c r="JU95" s="629"/>
      <c r="JV95" s="629"/>
      <c r="JW95" s="629"/>
      <c r="JX95" s="629"/>
      <c r="JY95" s="629"/>
      <c r="JZ95" s="629"/>
      <c r="KA95" s="629"/>
      <c r="KB95" s="629"/>
      <c r="KC95" s="629"/>
      <c r="KD95" s="629"/>
      <c r="KE95" s="629"/>
      <c r="KF95" s="629"/>
      <c r="KG95" s="629"/>
      <c r="KH95" s="629"/>
      <c r="KI95" s="629"/>
      <c r="KJ95" s="629"/>
      <c r="KK95" s="629"/>
      <c r="KL95" s="629"/>
      <c r="KM95" s="629"/>
      <c r="KN95" s="629"/>
      <c r="KO95" s="629"/>
      <c r="KP95" s="629"/>
      <c r="KQ95" s="629"/>
      <c r="KR95" s="629"/>
      <c r="KS95" s="629"/>
      <c r="KT95" s="629"/>
      <c r="KU95" s="629"/>
      <c r="KV95" s="629"/>
      <c r="KW95" s="629"/>
      <c r="KX95" s="629"/>
      <c r="KY95" s="629"/>
      <c r="KZ95" s="629"/>
      <c r="LA95" s="629"/>
      <c r="LB95" s="629"/>
      <c r="LC95" s="629"/>
      <c r="LD95" s="629"/>
      <c r="LE95" s="629"/>
      <c r="LF95" s="629"/>
      <c r="LG95" s="629"/>
      <c r="LH95" s="629"/>
      <c r="LI95" s="629"/>
      <c r="LJ95" s="629"/>
      <c r="LK95" s="629"/>
      <c r="LL95" s="629"/>
      <c r="LM95" s="629"/>
      <c r="LN95" s="629"/>
      <c r="LO95" s="629"/>
      <c r="LP95" s="629"/>
      <c r="LQ95" s="629"/>
      <c r="LR95" s="629"/>
      <c r="LS95" s="629"/>
      <c r="LT95" s="629"/>
      <c r="LU95" s="629"/>
      <c r="LV95" s="629"/>
      <c r="LW95" s="629"/>
      <c r="LX95" s="629"/>
      <c r="LY95" s="629"/>
      <c r="LZ95" s="629"/>
      <c r="MA95" s="629"/>
      <c r="MB95" s="629"/>
      <c r="MC95" s="629"/>
      <c r="MD95" s="629"/>
      <c r="ME95" s="629"/>
      <c r="MF95" s="629"/>
      <c r="MG95" s="629"/>
      <c r="MH95" s="629"/>
      <c r="MI95" s="629"/>
      <c r="MJ95" s="629"/>
      <c r="MK95" s="629"/>
      <c r="ML95" s="629"/>
      <c r="MM95" s="629"/>
      <c r="MN95" s="629"/>
      <c r="MO95" s="629"/>
      <c r="MP95" s="629"/>
      <c r="MQ95" s="629"/>
      <c r="MR95" s="629"/>
      <c r="MS95" s="629"/>
      <c r="MT95" s="629"/>
      <c r="MU95" s="629"/>
      <c r="MV95" s="629"/>
      <c r="MW95" s="629"/>
      <c r="MX95" s="629"/>
      <c r="MY95" s="629"/>
      <c r="MZ95" s="629"/>
      <c r="NA95" s="629"/>
      <c r="NB95" s="629"/>
      <c r="NC95" s="629"/>
      <c r="ND95" s="629"/>
      <c r="NE95" s="629"/>
      <c r="NF95" s="629"/>
      <c r="NG95" s="629"/>
      <c r="NH95" s="629"/>
      <c r="NI95" s="629"/>
      <c r="NJ95" s="629"/>
      <c r="NK95" s="629"/>
      <c r="NL95" s="629"/>
      <c r="NM95" s="629"/>
      <c r="NN95" s="629"/>
      <c r="NO95" s="629"/>
      <c r="NP95" s="629"/>
      <c r="NQ95" s="629"/>
      <c r="NR95" s="629"/>
      <c r="NS95" s="629"/>
      <c r="NT95" s="629"/>
      <c r="NU95" s="629"/>
      <c r="NV95" s="629"/>
      <c r="NW95" s="629"/>
      <c r="NX95" s="629"/>
      <c r="NY95" s="629"/>
      <c r="NZ95" s="629"/>
      <c r="OA95" s="629"/>
      <c r="OB95" s="629"/>
      <c r="OC95" s="629"/>
      <c r="OD95" s="629"/>
      <c r="OE95" s="629"/>
      <c r="OF95" s="629"/>
      <c r="OG95" s="629"/>
      <c r="OH95" s="629"/>
      <c r="OI95" s="629"/>
      <c r="OJ95" s="629"/>
      <c r="OK95" s="629"/>
      <c r="OL95" s="629"/>
      <c r="OM95" s="629"/>
      <c r="ON95" s="629"/>
      <c r="OO95" s="629"/>
      <c r="OP95" s="629"/>
      <c r="OQ95" s="629"/>
      <c r="OR95" s="629"/>
      <c r="OS95" s="629"/>
      <c r="OT95" s="629"/>
      <c r="OU95" s="629"/>
      <c r="OV95" s="629"/>
      <c r="OW95" s="629"/>
      <c r="OX95" s="629"/>
      <c r="OY95" s="629"/>
      <c r="OZ95" s="629"/>
      <c r="PA95" s="629"/>
      <c r="PB95" s="629"/>
      <c r="PC95" s="629"/>
      <c r="PD95" s="629"/>
      <c r="PE95" s="629"/>
      <c r="PF95" s="629"/>
      <c r="PG95" s="629"/>
      <c r="PH95" s="629"/>
      <c r="PI95" s="629"/>
      <c r="PJ95" s="629"/>
      <c r="PK95" s="629"/>
      <c r="PL95" s="629"/>
      <c r="PM95" s="629"/>
      <c r="PN95" s="629"/>
      <c r="PO95" s="629"/>
      <c r="PP95" s="629"/>
      <c r="PQ95" s="629"/>
      <c r="PR95" s="629"/>
      <c r="PS95" s="629"/>
      <c r="PT95" s="629"/>
      <c r="PU95" s="629"/>
      <c r="PV95" s="629"/>
      <c r="PW95" s="629"/>
      <c r="PX95" s="629"/>
      <c r="PY95" s="629"/>
      <c r="PZ95" s="629"/>
      <c r="QA95" s="629"/>
      <c r="QB95" s="629"/>
      <c r="QC95" s="629"/>
      <c r="QD95" s="629"/>
      <c r="QE95" s="629"/>
      <c r="QF95" s="629"/>
      <c r="QG95" s="629"/>
      <c r="QH95" s="629"/>
      <c r="QI95" s="629"/>
      <c r="QJ95" s="629"/>
      <c r="QK95" s="629"/>
      <c r="QL95" s="629"/>
      <c r="QM95" s="629"/>
      <c r="QN95" s="629"/>
      <c r="QO95" s="629"/>
      <c r="QP95" s="629"/>
      <c r="QQ95" s="629"/>
      <c r="QR95" s="629"/>
    </row>
    <row r="96" spans="1:460" ht="25.5" customHeight="1" x14ac:dyDescent="0.25">
      <c r="A96" s="880"/>
      <c r="B96" s="1993" t="s">
        <v>115</v>
      </c>
      <c r="C96" s="1993" t="s">
        <v>2941</v>
      </c>
      <c r="D96" s="4700" t="s">
        <v>2942</v>
      </c>
      <c r="E96" s="4700">
        <v>-1</v>
      </c>
      <c r="F96" s="1994" t="s">
        <v>2980</v>
      </c>
      <c r="G96" s="1994">
        <v>20</v>
      </c>
      <c r="H96" s="2002">
        <f>+G96/60</f>
        <v>0.33333333333333331</v>
      </c>
      <c r="I96" s="1994" t="s">
        <v>2984</v>
      </c>
      <c r="J96" s="2025"/>
      <c r="K96" s="2025"/>
      <c r="L96" s="1998"/>
      <c r="M96" s="2025"/>
      <c r="N96" s="1997"/>
      <c r="O96" s="1997"/>
      <c r="P96" s="1997"/>
      <c r="Q96" s="1997"/>
      <c r="R96" s="1997"/>
      <c r="S96" s="1997"/>
      <c r="T96" s="1997"/>
      <c r="U96" s="1997"/>
      <c r="V96" s="1997"/>
      <c r="W96" s="1997"/>
      <c r="X96" s="1997"/>
      <c r="Y96" s="1997"/>
    </row>
    <row r="97" spans="1:460" ht="22.5" customHeight="1" x14ac:dyDescent="0.25">
      <c r="A97" s="880"/>
      <c r="B97" s="1993" t="s">
        <v>115</v>
      </c>
      <c r="C97" s="1993" t="s">
        <v>2820</v>
      </c>
      <c r="D97" s="4700" t="s">
        <v>2821</v>
      </c>
      <c r="E97" s="4700">
        <v>0</v>
      </c>
      <c r="F97" s="1994" t="s">
        <v>2980</v>
      </c>
      <c r="G97" s="1994">
        <v>20</v>
      </c>
      <c r="H97" s="2002">
        <f t="shared" ref="H97:H105" si="7">+G97/60</f>
        <v>0.33333333333333331</v>
      </c>
      <c r="I97" s="1994" t="s">
        <v>2984</v>
      </c>
      <c r="J97" s="1997"/>
      <c r="K97" s="1997"/>
      <c r="L97" s="1998"/>
      <c r="M97" s="1997"/>
      <c r="N97" s="1997"/>
      <c r="O97" s="1997"/>
      <c r="P97" s="1997"/>
      <c r="Q97" s="1997"/>
      <c r="R97" s="1997"/>
      <c r="S97" s="1997"/>
      <c r="T97" s="1997"/>
      <c r="U97" s="1997"/>
      <c r="V97" s="1997"/>
      <c r="W97" s="1997"/>
      <c r="X97" s="1997"/>
      <c r="Y97" s="1997"/>
    </row>
    <row r="98" spans="1:460" ht="22.5" customHeight="1" x14ac:dyDescent="0.25">
      <c r="A98" s="880"/>
      <c r="B98" s="1993" t="s">
        <v>115</v>
      </c>
      <c r="C98" s="1993" t="s">
        <v>2822</v>
      </c>
      <c r="D98" s="4700" t="s">
        <v>2823</v>
      </c>
      <c r="E98" s="4700">
        <v>0</v>
      </c>
      <c r="F98" s="1994" t="s">
        <v>2980</v>
      </c>
      <c r="G98" s="1994">
        <v>15</v>
      </c>
      <c r="H98" s="2002">
        <f t="shared" si="7"/>
        <v>0.25</v>
      </c>
      <c r="I98" s="1994" t="s">
        <v>2984</v>
      </c>
      <c r="J98" s="1997"/>
      <c r="K98" s="1997"/>
      <c r="L98" s="1998"/>
      <c r="M98" s="1997"/>
      <c r="N98" s="1997"/>
      <c r="O98" s="1997"/>
      <c r="P98" s="1997"/>
      <c r="Q98" s="1997"/>
      <c r="R98" s="1997"/>
      <c r="S98" s="1997"/>
      <c r="T98" s="1997"/>
      <c r="U98" s="1997"/>
      <c r="V98" s="1997"/>
      <c r="W98" s="1997"/>
      <c r="X98" s="1997"/>
      <c r="Y98" s="1997"/>
    </row>
    <row r="99" spans="1:460" ht="40.5" x14ac:dyDescent="0.25">
      <c r="A99" s="880"/>
      <c r="B99" s="1993" t="s">
        <v>115</v>
      </c>
      <c r="C99" s="1993" t="s">
        <v>2987</v>
      </c>
      <c r="D99" s="4700" t="s">
        <v>2988</v>
      </c>
      <c r="E99" s="4700">
        <v>0</v>
      </c>
      <c r="F99" s="1994" t="s">
        <v>2980</v>
      </c>
      <c r="G99" s="1994">
        <v>20</v>
      </c>
      <c r="H99" s="2002">
        <f t="shared" si="7"/>
        <v>0.33333333333333331</v>
      </c>
      <c r="I99" s="1994" t="s">
        <v>2984</v>
      </c>
      <c r="J99" s="1997"/>
      <c r="K99" s="1997"/>
      <c r="L99" s="1998"/>
      <c r="M99" s="1997"/>
      <c r="N99" s="1997"/>
      <c r="O99" s="1997"/>
      <c r="P99" s="1997"/>
      <c r="Q99" s="1997"/>
      <c r="R99" s="1997"/>
      <c r="S99" s="1997"/>
      <c r="T99" s="1997"/>
      <c r="U99" s="1997"/>
      <c r="V99" s="1997"/>
      <c r="W99" s="1997"/>
      <c r="X99" s="1997"/>
      <c r="Y99" s="1997"/>
    </row>
    <row r="100" spans="1:460" s="629" customFormat="1" ht="22.5" customHeight="1" x14ac:dyDescent="0.25">
      <c r="B100" s="4704" t="s">
        <v>115</v>
      </c>
      <c r="C100" s="4704" t="s">
        <v>2826</v>
      </c>
      <c r="D100" s="4704" t="s">
        <v>2827</v>
      </c>
      <c r="E100" s="1999" t="s">
        <v>2828</v>
      </c>
      <c r="F100" s="2000" t="s">
        <v>2980</v>
      </c>
      <c r="G100" s="2000">
        <v>15</v>
      </c>
      <c r="H100" s="2018">
        <f t="shared" si="7"/>
        <v>0.25</v>
      </c>
      <c r="I100" s="2000" t="s">
        <v>2984</v>
      </c>
      <c r="J100" s="2000" t="s">
        <v>2980</v>
      </c>
      <c r="K100" s="2000">
        <v>108</v>
      </c>
      <c r="L100" s="2022">
        <f>+K100/60</f>
        <v>1.8</v>
      </c>
      <c r="M100" s="2000" t="s">
        <v>2986</v>
      </c>
      <c r="N100" s="1997"/>
      <c r="O100" s="1997"/>
      <c r="P100" s="1997"/>
      <c r="Q100" s="1997"/>
      <c r="R100" s="2000" t="s">
        <v>2980</v>
      </c>
      <c r="S100" s="2000">
        <v>144</v>
      </c>
      <c r="T100" s="2018">
        <f>+S100/60</f>
        <v>2.4</v>
      </c>
      <c r="U100" s="2000" t="s">
        <v>2986</v>
      </c>
      <c r="V100" s="1997"/>
      <c r="W100" s="1997"/>
      <c r="X100" s="1997"/>
      <c r="Y100" s="1997"/>
    </row>
    <row r="101" spans="1:460" s="629" customFormat="1" ht="24.75" customHeight="1" x14ac:dyDescent="0.25">
      <c r="B101" s="4704"/>
      <c r="C101" s="4704"/>
      <c r="D101" s="4704"/>
      <c r="E101" s="1999" t="s">
        <v>2829</v>
      </c>
      <c r="F101" s="2000" t="s">
        <v>2980</v>
      </c>
      <c r="G101" s="2000">
        <v>15</v>
      </c>
      <c r="H101" s="2018">
        <f t="shared" si="7"/>
        <v>0.25</v>
      </c>
      <c r="I101" s="2000" t="s">
        <v>2984</v>
      </c>
      <c r="J101" s="2000" t="s">
        <v>2980</v>
      </c>
      <c r="K101" s="2000">
        <v>108</v>
      </c>
      <c r="L101" s="2022">
        <f>+K101/60</f>
        <v>1.8</v>
      </c>
      <c r="M101" s="2000" t="s">
        <v>2986</v>
      </c>
      <c r="N101" s="1997"/>
      <c r="O101" s="1997"/>
      <c r="P101" s="1997"/>
      <c r="Q101" s="1997"/>
      <c r="R101" s="2000" t="s">
        <v>2980</v>
      </c>
      <c r="S101" s="2000">
        <v>144</v>
      </c>
      <c r="T101" s="2018">
        <f>+S101/60</f>
        <v>2.4</v>
      </c>
      <c r="U101" s="2000" t="s">
        <v>2986</v>
      </c>
      <c r="V101" s="1997"/>
      <c r="W101" s="1997"/>
      <c r="X101" s="1997"/>
      <c r="Y101" s="1997"/>
    </row>
    <row r="102" spans="1:460" s="629" customFormat="1" ht="24" customHeight="1" x14ac:dyDescent="0.25">
      <c r="B102" s="4704"/>
      <c r="C102" s="4704"/>
      <c r="D102" s="4704"/>
      <c r="E102" s="1999" t="s">
        <v>611</v>
      </c>
      <c r="F102" s="2000" t="s">
        <v>2980</v>
      </c>
      <c r="G102" s="2000">
        <v>15</v>
      </c>
      <c r="H102" s="2018">
        <f t="shared" si="7"/>
        <v>0.25</v>
      </c>
      <c r="I102" s="2000" t="s">
        <v>2984</v>
      </c>
      <c r="J102" s="2000" t="s">
        <v>2980</v>
      </c>
      <c r="K102" s="2000">
        <v>108</v>
      </c>
      <c r="L102" s="2022">
        <f>+K102/60</f>
        <v>1.8</v>
      </c>
      <c r="M102" s="2000" t="s">
        <v>2986</v>
      </c>
      <c r="N102" s="1997"/>
      <c r="O102" s="1997"/>
      <c r="P102" s="1997"/>
      <c r="Q102" s="1997"/>
      <c r="R102" s="2000" t="s">
        <v>2980</v>
      </c>
      <c r="S102" s="2000">
        <v>144</v>
      </c>
      <c r="T102" s="2018">
        <f>+S102/60</f>
        <v>2.4</v>
      </c>
      <c r="U102" s="2000" t="s">
        <v>2986</v>
      </c>
      <c r="V102" s="1997"/>
      <c r="W102" s="1997"/>
      <c r="X102" s="1997"/>
      <c r="Y102" s="1997"/>
    </row>
    <row r="103" spans="1:460" s="629" customFormat="1" ht="30" customHeight="1" x14ac:dyDescent="0.25">
      <c r="B103" s="1999" t="s">
        <v>115</v>
      </c>
      <c r="C103" s="1999" t="s">
        <v>2830</v>
      </c>
      <c r="D103" s="4704" t="s">
        <v>2831</v>
      </c>
      <c r="E103" s="4704"/>
      <c r="F103" s="2000" t="s">
        <v>2980</v>
      </c>
      <c r="G103" s="2000">
        <v>15</v>
      </c>
      <c r="H103" s="2018">
        <f t="shared" si="7"/>
        <v>0.25</v>
      </c>
      <c r="I103" s="2000" t="s">
        <v>2984</v>
      </c>
      <c r="J103" s="2000" t="s">
        <v>2980</v>
      </c>
      <c r="K103" s="2000">
        <v>108</v>
      </c>
      <c r="L103" s="2022">
        <f>+K103/60</f>
        <v>1.8</v>
      </c>
      <c r="M103" s="2000" t="s">
        <v>2986</v>
      </c>
      <c r="N103" s="1997"/>
      <c r="O103" s="1997"/>
      <c r="P103" s="1997"/>
      <c r="Q103" s="1997"/>
      <c r="R103" s="2000" t="s">
        <v>2980</v>
      </c>
      <c r="S103" s="2000">
        <v>144</v>
      </c>
      <c r="T103" s="2018">
        <f>+S103/60</f>
        <v>2.4</v>
      </c>
      <c r="U103" s="2000" t="s">
        <v>2986</v>
      </c>
      <c r="V103" s="1997"/>
      <c r="W103" s="1997"/>
      <c r="X103" s="1997"/>
      <c r="Y103" s="1997"/>
    </row>
    <row r="104" spans="1:460" ht="22.5" customHeight="1" x14ac:dyDescent="0.25">
      <c r="A104" s="880"/>
      <c r="B104" s="4700" t="s">
        <v>115</v>
      </c>
      <c r="C104" s="4700" t="s">
        <v>2832</v>
      </c>
      <c r="D104" s="4700" t="s">
        <v>2833</v>
      </c>
      <c r="E104" s="1993" t="s">
        <v>2834</v>
      </c>
      <c r="F104" s="1994" t="s">
        <v>2980</v>
      </c>
      <c r="G104" s="1994">
        <f>3*60</f>
        <v>180</v>
      </c>
      <c r="H104" s="2002">
        <f t="shared" si="7"/>
        <v>3</v>
      </c>
      <c r="I104" s="1994" t="s">
        <v>2984</v>
      </c>
      <c r="J104" s="2004"/>
      <c r="K104" s="1997"/>
      <c r="L104" s="1998"/>
      <c r="M104" s="1997"/>
      <c r="N104" s="2004"/>
      <c r="O104" s="1997"/>
      <c r="P104" s="1997"/>
      <c r="Q104" s="1997"/>
      <c r="R104" s="1997"/>
      <c r="S104" s="1997"/>
      <c r="T104" s="1997"/>
      <c r="U104" s="1997"/>
      <c r="V104" s="1997"/>
      <c r="W104" s="1997"/>
      <c r="X104" s="1997"/>
      <c r="Y104" s="1997"/>
    </row>
    <row r="105" spans="1:460" s="1946" customFormat="1" ht="40.5" x14ac:dyDescent="0.25">
      <c r="B105" s="4700"/>
      <c r="C105" s="4700"/>
      <c r="D105" s="4700"/>
      <c r="E105" s="2008" t="s">
        <v>2835</v>
      </c>
      <c r="F105" s="2010" t="s">
        <v>2980</v>
      </c>
      <c r="G105" s="2010">
        <v>15</v>
      </c>
      <c r="H105" s="2023">
        <f t="shared" si="7"/>
        <v>0.25</v>
      </c>
      <c r="I105" s="2010" t="s">
        <v>2984</v>
      </c>
      <c r="J105" s="2010" t="s">
        <v>2980</v>
      </c>
      <c r="K105" s="2024"/>
      <c r="L105" s="1998"/>
      <c r="M105" s="2024"/>
      <c r="N105" s="2010" t="s">
        <v>2980</v>
      </c>
      <c r="O105" s="2010">
        <v>105</v>
      </c>
      <c r="P105" s="2026">
        <f>+O105/60</f>
        <v>1.75</v>
      </c>
      <c r="Q105" s="2024"/>
      <c r="R105" s="2024"/>
      <c r="S105" s="2024"/>
      <c r="T105" s="2024"/>
      <c r="U105" s="2024"/>
      <c r="V105" s="2024"/>
      <c r="W105" s="2024"/>
      <c r="X105" s="2024"/>
      <c r="Y105" s="2024"/>
      <c r="Z105" s="629"/>
      <c r="AA105" s="629"/>
      <c r="AB105" s="629"/>
      <c r="AC105" s="629"/>
      <c r="AD105" s="629"/>
      <c r="AE105" s="629"/>
      <c r="AF105" s="629"/>
      <c r="AG105" s="629"/>
      <c r="AH105" s="629"/>
      <c r="AI105" s="629"/>
      <c r="AJ105" s="629"/>
      <c r="AK105" s="629"/>
      <c r="AL105" s="629"/>
      <c r="AM105" s="629"/>
      <c r="AN105" s="629"/>
      <c r="AO105" s="629"/>
      <c r="AP105" s="629"/>
      <c r="AQ105" s="629"/>
      <c r="AR105" s="629"/>
      <c r="AS105" s="629"/>
      <c r="AT105" s="629"/>
      <c r="AU105" s="629"/>
      <c r="AV105" s="629"/>
      <c r="AW105" s="629"/>
      <c r="AX105" s="629"/>
      <c r="AY105" s="629"/>
      <c r="AZ105" s="629"/>
      <c r="BA105" s="629"/>
      <c r="BB105" s="629"/>
      <c r="BC105" s="629"/>
      <c r="BD105" s="629"/>
      <c r="BE105" s="629"/>
      <c r="BF105" s="629"/>
      <c r="BG105" s="629"/>
      <c r="BH105" s="629"/>
      <c r="BI105" s="629"/>
      <c r="BJ105" s="629"/>
      <c r="BK105" s="629"/>
      <c r="BL105" s="629"/>
      <c r="BM105" s="629"/>
      <c r="BN105" s="629"/>
      <c r="BO105" s="629"/>
      <c r="BP105" s="629"/>
      <c r="BQ105" s="629"/>
      <c r="BR105" s="629"/>
      <c r="BS105" s="629"/>
      <c r="BT105" s="629"/>
      <c r="BU105" s="629"/>
      <c r="BV105" s="629"/>
      <c r="BW105" s="629"/>
      <c r="BX105" s="629"/>
      <c r="BY105" s="629"/>
      <c r="BZ105" s="629"/>
      <c r="CA105" s="629"/>
      <c r="CB105" s="629"/>
      <c r="CC105" s="629"/>
      <c r="CD105" s="629"/>
      <c r="CE105" s="629"/>
      <c r="CF105" s="629"/>
      <c r="CG105" s="629"/>
      <c r="CH105" s="629"/>
      <c r="CI105" s="629"/>
      <c r="CJ105" s="629"/>
      <c r="CK105" s="629"/>
      <c r="CL105" s="629"/>
      <c r="CM105" s="629"/>
      <c r="CN105" s="629"/>
      <c r="CO105" s="629"/>
      <c r="CP105" s="629"/>
      <c r="CQ105" s="629"/>
      <c r="CR105" s="629"/>
      <c r="CS105" s="629"/>
      <c r="CT105" s="629"/>
      <c r="CU105" s="629"/>
      <c r="CV105" s="629"/>
      <c r="CW105" s="629"/>
      <c r="CX105" s="629"/>
      <c r="CY105" s="629"/>
      <c r="CZ105" s="629"/>
      <c r="DA105" s="629"/>
      <c r="DB105" s="629"/>
      <c r="DC105" s="629"/>
      <c r="DD105" s="629"/>
      <c r="DE105" s="629"/>
      <c r="DF105" s="629"/>
      <c r="DG105" s="629"/>
      <c r="DH105" s="629"/>
      <c r="DI105" s="629"/>
      <c r="DJ105" s="629"/>
      <c r="DK105" s="629"/>
      <c r="DL105" s="629"/>
      <c r="DM105" s="629"/>
      <c r="DN105" s="629"/>
      <c r="DO105" s="629"/>
      <c r="DP105" s="629"/>
      <c r="DQ105" s="629"/>
      <c r="DR105" s="629"/>
      <c r="DS105" s="629"/>
      <c r="DT105" s="629"/>
      <c r="DU105" s="629"/>
      <c r="DV105" s="629"/>
      <c r="DW105" s="629"/>
      <c r="DX105" s="629"/>
      <c r="DY105" s="629"/>
      <c r="DZ105" s="629"/>
      <c r="EA105" s="629"/>
      <c r="EB105" s="629"/>
      <c r="EC105" s="629"/>
      <c r="ED105" s="629"/>
      <c r="EE105" s="629"/>
      <c r="EF105" s="629"/>
      <c r="EG105" s="629"/>
      <c r="EH105" s="629"/>
      <c r="EI105" s="629"/>
      <c r="EJ105" s="629"/>
      <c r="EK105" s="629"/>
      <c r="EL105" s="629"/>
      <c r="EM105" s="629"/>
      <c r="EN105" s="629"/>
      <c r="EO105" s="629"/>
      <c r="EP105" s="629"/>
      <c r="EQ105" s="629"/>
      <c r="ER105" s="629"/>
      <c r="ES105" s="629"/>
      <c r="ET105" s="629"/>
      <c r="EU105" s="629"/>
      <c r="EV105" s="629"/>
      <c r="EW105" s="629"/>
      <c r="EX105" s="629"/>
      <c r="EY105" s="629"/>
      <c r="EZ105" s="629"/>
      <c r="FA105" s="629"/>
      <c r="FB105" s="629"/>
      <c r="FC105" s="629"/>
      <c r="FD105" s="629"/>
      <c r="FE105" s="629"/>
      <c r="FF105" s="629"/>
      <c r="FG105" s="629"/>
      <c r="FH105" s="629"/>
      <c r="FI105" s="629"/>
      <c r="FJ105" s="629"/>
      <c r="FK105" s="629"/>
      <c r="FL105" s="629"/>
      <c r="FM105" s="629"/>
      <c r="FN105" s="629"/>
      <c r="FO105" s="629"/>
      <c r="FP105" s="629"/>
      <c r="FQ105" s="629"/>
      <c r="FR105" s="629"/>
      <c r="FS105" s="629"/>
      <c r="FT105" s="629"/>
      <c r="FU105" s="629"/>
      <c r="FV105" s="629"/>
      <c r="FW105" s="629"/>
      <c r="FX105" s="629"/>
      <c r="FY105" s="629"/>
      <c r="FZ105" s="629"/>
      <c r="GA105" s="629"/>
      <c r="GB105" s="629"/>
      <c r="GC105" s="629"/>
      <c r="GD105" s="629"/>
      <c r="GE105" s="629"/>
      <c r="GF105" s="629"/>
      <c r="GG105" s="629"/>
      <c r="GH105" s="629"/>
      <c r="GI105" s="629"/>
      <c r="GJ105" s="629"/>
      <c r="GK105" s="629"/>
      <c r="GL105" s="629"/>
      <c r="GM105" s="629"/>
      <c r="GN105" s="629"/>
      <c r="GO105" s="629"/>
      <c r="GP105" s="629"/>
      <c r="GQ105" s="629"/>
      <c r="GR105" s="629"/>
      <c r="GS105" s="629"/>
      <c r="GT105" s="629"/>
      <c r="GU105" s="629"/>
      <c r="GV105" s="629"/>
      <c r="GW105" s="629"/>
      <c r="GX105" s="629"/>
      <c r="GY105" s="629"/>
      <c r="GZ105" s="629"/>
      <c r="HA105" s="629"/>
      <c r="HB105" s="629"/>
      <c r="HC105" s="629"/>
      <c r="HD105" s="629"/>
      <c r="HE105" s="629"/>
      <c r="HF105" s="629"/>
      <c r="HG105" s="629"/>
      <c r="HH105" s="629"/>
      <c r="HI105" s="629"/>
      <c r="HJ105" s="629"/>
      <c r="HK105" s="629"/>
      <c r="HL105" s="629"/>
      <c r="HM105" s="629"/>
      <c r="HN105" s="629"/>
      <c r="HO105" s="629"/>
      <c r="HP105" s="629"/>
      <c r="HQ105" s="629"/>
      <c r="HR105" s="629"/>
      <c r="HS105" s="629"/>
      <c r="HT105" s="629"/>
      <c r="HU105" s="629"/>
      <c r="HV105" s="629"/>
      <c r="HW105" s="629"/>
      <c r="HX105" s="629"/>
      <c r="HY105" s="629"/>
      <c r="HZ105" s="629"/>
      <c r="IA105" s="629"/>
      <c r="IB105" s="629"/>
      <c r="IC105" s="629"/>
      <c r="ID105" s="629"/>
      <c r="IE105" s="629"/>
      <c r="IF105" s="629"/>
      <c r="IG105" s="629"/>
      <c r="IH105" s="629"/>
      <c r="II105" s="629"/>
      <c r="IJ105" s="629"/>
      <c r="IK105" s="629"/>
      <c r="IL105" s="629"/>
      <c r="IM105" s="629"/>
      <c r="IN105" s="629"/>
      <c r="IO105" s="629"/>
      <c r="IP105" s="629"/>
      <c r="IQ105" s="629"/>
      <c r="IR105" s="629"/>
      <c r="IS105" s="629"/>
      <c r="IT105" s="629"/>
      <c r="IU105" s="629"/>
      <c r="IV105" s="629"/>
      <c r="IW105" s="629"/>
      <c r="IX105" s="629"/>
      <c r="IY105" s="629"/>
      <c r="IZ105" s="629"/>
      <c r="JA105" s="629"/>
      <c r="JB105" s="629"/>
      <c r="JC105" s="629"/>
      <c r="JD105" s="629"/>
      <c r="JE105" s="629"/>
      <c r="JF105" s="629"/>
      <c r="JG105" s="629"/>
      <c r="JH105" s="629"/>
      <c r="JI105" s="629"/>
      <c r="JJ105" s="629"/>
      <c r="JK105" s="629"/>
      <c r="JL105" s="629"/>
      <c r="JM105" s="629"/>
      <c r="JN105" s="629"/>
      <c r="JO105" s="629"/>
      <c r="JP105" s="629"/>
      <c r="JQ105" s="629"/>
      <c r="JR105" s="629"/>
      <c r="JS105" s="629"/>
      <c r="JT105" s="629"/>
      <c r="JU105" s="629"/>
      <c r="JV105" s="629"/>
      <c r="JW105" s="629"/>
      <c r="JX105" s="629"/>
      <c r="JY105" s="629"/>
      <c r="JZ105" s="629"/>
      <c r="KA105" s="629"/>
      <c r="KB105" s="629"/>
      <c r="KC105" s="629"/>
      <c r="KD105" s="629"/>
      <c r="KE105" s="629"/>
      <c r="KF105" s="629"/>
      <c r="KG105" s="629"/>
      <c r="KH105" s="629"/>
      <c r="KI105" s="629"/>
      <c r="KJ105" s="629"/>
      <c r="KK105" s="629"/>
      <c r="KL105" s="629"/>
      <c r="KM105" s="629"/>
      <c r="KN105" s="629"/>
      <c r="KO105" s="629"/>
      <c r="KP105" s="629"/>
      <c r="KQ105" s="629"/>
      <c r="KR105" s="629"/>
      <c r="KS105" s="629"/>
      <c r="KT105" s="629"/>
      <c r="KU105" s="629"/>
      <c r="KV105" s="629"/>
      <c r="KW105" s="629"/>
      <c r="KX105" s="629"/>
      <c r="KY105" s="629"/>
      <c r="KZ105" s="629"/>
      <c r="LA105" s="629"/>
      <c r="LB105" s="629"/>
      <c r="LC105" s="629"/>
      <c r="LD105" s="629"/>
      <c r="LE105" s="629"/>
      <c r="LF105" s="629"/>
      <c r="LG105" s="629"/>
      <c r="LH105" s="629"/>
      <c r="LI105" s="629"/>
      <c r="LJ105" s="629"/>
      <c r="LK105" s="629"/>
      <c r="LL105" s="629"/>
      <c r="LM105" s="629"/>
      <c r="LN105" s="629"/>
      <c r="LO105" s="629"/>
      <c r="LP105" s="629"/>
      <c r="LQ105" s="629"/>
      <c r="LR105" s="629"/>
      <c r="LS105" s="629"/>
      <c r="LT105" s="629"/>
      <c r="LU105" s="629"/>
      <c r="LV105" s="629"/>
      <c r="LW105" s="629"/>
      <c r="LX105" s="629"/>
      <c r="LY105" s="629"/>
      <c r="LZ105" s="629"/>
      <c r="MA105" s="629"/>
      <c r="MB105" s="629"/>
      <c r="MC105" s="629"/>
      <c r="MD105" s="629"/>
      <c r="ME105" s="629"/>
      <c r="MF105" s="629"/>
      <c r="MG105" s="629"/>
      <c r="MH105" s="629"/>
      <c r="MI105" s="629"/>
      <c r="MJ105" s="629"/>
      <c r="MK105" s="629"/>
      <c r="ML105" s="629"/>
      <c r="MM105" s="629"/>
      <c r="MN105" s="629"/>
      <c r="MO105" s="629"/>
      <c r="MP105" s="629"/>
      <c r="MQ105" s="629"/>
      <c r="MR105" s="629"/>
      <c r="MS105" s="629"/>
      <c r="MT105" s="629"/>
      <c r="MU105" s="629"/>
      <c r="MV105" s="629"/>
      <c r="MW105" s="629"/>
      <c r="MX105" s="629"/>
      <c r="MY105" s="629"/>
      <c r="MZ105" s="629"/>
      <c r="NA105" s="629"/>
      <c r="NB105" s="629"/>
      <c r="NC105" s="629"/>
      <c r="ND105" s="629"/>
      <c r="NE105" s="629"/>
      <c r="NF105" s="629"/>
      <c r="NG105" s="629"/>
      <c r="NH105" s="629"/>
      <c r="NI105" s="629"/>
      <c r="NJ105" s="629"/>
      <c r="NK105" s="629"/>
      <c r="NL105" s="629"/>
      <c r="NM105" s="629"/>
      <c r="NN105" s="629"/>
      <c r="NO105" s="629"/>
      <c r="NP105" s="629"/>
      <c r="NQ105" s="629"/>
      <c r="NR105" s="629"/>
      <c r="NS105" s="629"/>
      <c r="NT105" s="629"/>
      <c r="NU105" s="629"/>
      <c r="NV105" s="629"/>
      <c r="NW105" s="629"/>
      <c r="NX105" s="629"/>
      <c r="NY105" s="629"/>
      <c r="NZ105" s="629"/>
      <c r="OA105" s="629"/>
      <c r="OB105" s="629"/>
      <c r="OC105" s="629"/>
      <c r="OD105" s="629"/>
      <c r="OE105" s="629"/>
      <c r="OF105" s="629"/>
      <c r="OG105" s="629"/>
      <c r="OH105" s="629"/>
      <c r="OI105" s="629"/>
      <c r="OJ105" s="629"/>
      <c r="OK105" s="629"/>
      <c r="OL105" s="629"/>
      <c r="OM105" s="629"/>
      <c r="ON105" s="629"/>
      <c r="OO105" s="629"/>
      <c r="OP105" s="629"/>
      <c r="OQ105" s="629"/>
      <c r="OR105" s="629"/>
      <c r="OS105" s="629"/>
      <c r="OT105" s="629"/>
      <c r="OU105" s="629"/>
      <c r="OV105" s="629"/>
      <c r="OW105" s="629"/>
      <c r="OX105" s="629"/>
      <c r="OY105" s="629"/>
      <c r="OZ105" s="629"/>
      <c r="PA105" s="629"/>
      <c r="PB105" s="629"/>
      <c r="PC105" s="629"/>
      <c r="PD105" s="629"/>
      <c r="PE105" s="629"/>
      <c r="PF105" s="629"/>
      <c r="PG105" s="629"/>
      <c r="PH105" s="629"/>
      <c r="PI105" s="629"/>
      <c r="PJ105" s="629"/>
      <c r="PK105" s="629"/>
      <c r="PL105" s="629"/>
      <c r="PM105" s="629"/>
      <c r="PN105" s="629"/>
      <c r="PO105" s="629"/>
      <c r="PP105" s="629"/>
      <c r="PQ105" s="629"/>
      <c r="PR105" s="629"/>
      <c r="PS105" s="629"/>
      <c r="PT105" s="629"/>
      <c r="PU105" s="629"/>
      <c r="PV105" s="629"/>
      <c r="PW105" s="629"/>
      <c r="PX105" s="629"/>
      <c r="PY105" s="629"/>
      <c r="PZ105" s="629"/>
      <c r="QA105" s="629"/>
      <c r="QB105" s="629"/>
      <c r="QC105" s="629"/>
      <c r="QD105" s="629"/>
      <c r="QE105" s="629"/>
      <c r="QF105" s="629"/>
      <c r="QG105" s="629"/>
      <c r="QH105" s="629"/>
      <c r="QI105" s="629"/>
      <c r="QJ105" s="629"/>
      <c r="QK105" s="629"/>
      <c r="QL105" s="629"/>
      <c r="QM105" s="629"/>
      <c r="QN105" s="629"/>
      <c r="QO105" s="629"/>
      <c r="QP105" s="629"/>
      <c r="QQ105" s="629"/>
      <c r="QR105" s="629"/>
    </row>
    <row r="106" spans="1:460" ht="24" customHeight="1" x14ac:dyDescent="0.25">
      <c r="A106" s="880"/>
      <c r="B106" s="1993" t="s">
        <v>2836</v>
      </c>
      <c r="C106" s="1993" t="s">
        <v>2837</v>
      </c>
      <c r="D106" s="4700" t="s">
        <v>2838</v>
      </c>
      <c r="E106" s="4700">
        <v>0</v>
      </c>
      <c r="F106" s="1994" t="s">
        <v>2980</v>
      </c>
      <c r="G106" s="1994">
        <v>7.5</v>
      </c>
      <c r="H106" s="2002">
        <f>+G106/60</f>
        <v>0.125</v>
      </c>
      <c r="I106" s="1994" t="s">
        <v>2981</v>
      </c>
      <c r="J106" s="1994" t="s">
        <v>2980</v>
      </c>
      <c r="K106" s="1994">
        <v>2</v>
      </c>
      <c r="L106" s="1996">
        <f>+K106/60</f>
        <v>3.3333333333333333E-2</v>
      </c>
      <c r="M106" s="1994" t="s">
        <v>2982</v>
      </c>
      <c r="N106" s="1997"/>
      <c r="O106" s="1997"/>
      <c r="P106" s="1997"/>
      <c r="Q106" s="1997"/>
      <c r="R106" s="1997"/>
      <c r="S106" s="1997"/>
      <c r="T106" s="1997"/>
      <c r="U106" s="1997"/>
      <c r="V106" s="1997"/>
      <c r="W106" s="1997"/>
      <c r="X106" s="1997"/>
      <c r="Y106" s="1997"/>
    </row>
    <row r="107" spans="1:460" ht="24" customHeight="1" x14ac:dyDescent="0.25">
      <c r="A107" s="880"/>
      <c r="B107" s="1993" t="s">
        <v>1351</v>
      </c>
      <c r="C107" s="1993" t="s">
        <v>2839</v>
      </c>
      <c r="D107" s="4700" t="s">
        <v>2840</v>
      </c>
      <c r="E107" s="4700">
        <v>0</v>
      </c>
      <c r="F107" s="1994" t="s">
        <v>2980</v>
      </c>
      <c r="G107" s="1994">
        <v>10</v>
      </c>
      <c r="H107" s="2002">
        <f t="shared" ref="H107:H123" si="8">+G107/60</f>
        <v>0.16666666666666666</v>
      </c>
      <c r="I107" s="1994" t="s">
        <v>2981</v>
      </c>
      <c r="J107" s="1994" t="s">
        <v>2980</v>
      </c>
      <c r="K107" s="1994">
        <v>2</v>
      </c>
      <c r="L107" s="1996">
        <f t="shared" ref="L107:L121" si="9">+K107/60</f>
        <v>3.3333333333333333E-2</v>
      </c>
      <c r="M107" s="1994" t="s">
        <v>2982</v>
      </c>
      <c r="N107" s="1997"/>
      <c r="O107" s="1997"/>
      <c r="P107" s="1997"/>
      <c r="Q107" s="1997"/>
      <c r="R107" s="1997"/>
      <c r="S107" s="1997"/>
      <c r="T107" s="1997"/>
      <c r="U107" s="1997"/>
      <c r="V107" s="1997"/>
      <c r="W107" s="1997"/>
      <c r="X107" s="1997"/>
      <c r="Y107" s="1997"/>
    </row>
    <row r="108" spans="1:460" ht="23.25" customHeight="1" x14ac:dyDescent="0.25">
      <c r="B108" s="1845" t="s">
        <v>1351</v>
      </c>
      <c r="C108" s="1845" t="s">
        <v>2839</v>
      </c>
      <c r="D108" s="4701" t="s">
        <v>2842</v>
      </c>
      <c r="E108" s="4701">
        <v>0</v>
      </c>
      <c r="F108" s="2027" t="s">
        <v>2980</v>
      </c>
      <c r="G108" s="2027">
        <v>5</v>
      </c>
      <c r="H108" s="2002">
        <f t="shared" si="8"/>
        <v>8.3333333333333329E-2</v>
      </c>
      <c r="I108" s="1994" t="s">
        <v>2981</v>
      </c>
      <c r="J108" s="1994" t="s">
        <v>2980</v>
      </c>
      <c r="K108" s="2027">
        <v>2</v>
      </c>
      <c r="L108" s="1996">
        <f t="shared" si="9"/>
        <v>3.3333333333333333E-2</v>
      </c>
      <c r="M108" s="1994" t="s">
        <v>2982</v>
      </c>
      <c r="N108" s="1997"/>
      <c r="O108" s="1997"/>
      <c r="P108" s="1997"/>
      <c r="Q108" s="1997"/>
      <c r="R108" s="1997"/>
      <c r="S108" s="1997"/>
      <c r="T108" s="1997"/>
      <c r="U108" s="1997"/>
      <c r="V108" s="1997"/>
      <c r="W108" s="1997"/>
      <c r="X108" s="1997"/>
      <c r="Y108" s="1997"/>
    </row>
    <row r="109" spans="1:460" ht="24" customHeight="1" x14ac:dyDescent="0.25">
      <c r="B109" s="1845" t="s">
        <v>1351</v>
      </c>
      <c r="C109" s="1845" t="s">
        <v>2844</v>
      </c>
      <c r="D109" s="4701" t="s">
        <v>2845</v>
      </c>
      <c r="E109" s="4701">
        <v>0</v>
      </c>
      <c r="F109" s="2027" t="s">
        <v>2980</v>
      </c>
      <c r="G109" s="2027">
        <v>2.5</v>
      </c>
      <c r="H109" s="1995">
        <f t="shared" si="8"/>
        <v>4.1666666666666664E-2</v>
      </c>
      <c r="I109" s="1994" t="s">
        <v>2981</v>
      </c>
      <c r="J109" s="1994" t="s">
        <v>2980</v>
      </c>
      <c r="K109" s="2027">
        <v>2</v>
      </c>
      <c r="L109" s="1996">
        <f t="shared" si="9"/>
        <v>3.3333333333333333E-2</v>
      </c>
      <c r="M109" s="1994" t="s">
        <v>2982</v>
      </c>
      <c r="N109" s="1997"/>
      <c r="O109" s="1997"/>
      <c r="P109" s="1997"/>
      <c r="Q109" s="1997"/>
      <c r="R109" s="1997"/>
      <c r="S109" s="1997"/>
      <c r="T109" s="1997"/>
      <c r="U109" s="1997"/>
      <c r="V109" s="1997"/>
      <c r="W109" s="1997"/>
      <c r="X109" s="1997"/>
      <c r="Y109" s="1997"/>
    </row>
    <row r="110" spans="1:460" ht="26.25" customHeight="1" x14ac:dyDescent="0.25">
      <c r="B110" s="1845" t="s">
        <v>1351</v>
      </c>
      <c r="C110" s="1845" t="s">
        <v>2846</v>
      </c>
      <c r="D110" s="4701" t="s">
        <v>2847</v>
      </c>
      <c r="E110" s="4701">
        <v>0</v>
      </c>
      <c r="F110" s="2027" t="s">
        <v>2980</v>
      </c>
      <c r="G110" s="2027">
        <v>2.5</v>
      </c>
      <c r="H110" s="1995">
        <f t="shared" si="8"/>
        <v>4.1666666666666664E-2</v>
      </c>
      <c r="I110" s="1994" t="s">
        <v>2981</v>
      </c>
      <c r="J110" s="1994" t="s">
        <v>2980</v>
      </c>
      <c r="K110" s="2027">
        <v>2</v>
      </c>
      <c r="L110" s="1996">
        <f t="shared" si="9"/>
        <v>3.3333333333333333E-2</v>
      </c>
      <c r="M110" s="1994" t="s">
        <v>2982</v>
      </c>
      <c r="N110" s="1997"/>
      <c r="O110" s="1997"/>
      <c r="P110" s="1997"/>
      <c r="Q110" s="1997"/>
      <c r="R110" s="1997"/>
      <c r="S110" s="1997"/>
      <c r="T110" s="1997"/>
      <c r="U110" s="1997"/>
      <c r="V110" s="1997"/>
      <c r="W110" s="1997"/>
      <c r="X110" s="1997"/>
      <c r="Y110" s="1997"/>
    </row>
    <row r="111" spans="1:460" ht="31.5" customHeight="1" x14ac:dyDescent="0.25">
      <c r="A111" s="880"/>
      <c r="B111" s="1993" t="s">
        <v>96</v>
      </c>
      <c r="C111" s="1993" t="s">
        <v>2848</v>
      </c>
      <c r="D111" s="4700" t="s">
        <v>2849</v>
      </c>
      <c r="E111" s="4700">
        <v>0</v>
      </c>
      <c r="F111" s="1994" t="s">
        <v>2980</v>
      </c>
      <c r="G111" s="1994">
        <v>15</v>
      </c>
      <c r="H111" s="2002">
        <f t="shared" si="8"/>
        <v>0.25</v>
      </c>
      <c r="I111" s="1994" t="s">
        <v>2981</v>
      </c>
      <c r="J111" s="1994" t="s">
        <v>2980</v>
      </c>
      <c r="K111" s="2027">
        <v>10</v>
      </c>
      <c r="L111" s="1996">
        <f t="shared" si="9"/>
        <v>0.16666666666666666</v>
      </c>
      <c r="M111" s="1994" t="s">
        <v>2982</v>
      </c>
      <c r="N111" s="1997"/>
      <c r="O111" s="1997"/>
      <c r="P111" s="1997"/>
      <c r="Q111" s="1997"/>
      <c r="R111" s="1997"/>
      <c r="S111" s="1997"/>
      <c r="T111" s="1997"/>
      <c r="U111" s="1997"/>
      <c r="V111" s="1997"/>
      <c r="W111" s="1997"/>
      <c r="X111" s="1997"/>
      <c r="Y111" s="1997"/>
    </row>
    <row r="112" spans="1:460" ht="26.25" customHeight="1" x14ac:dyDescent="0.25">
      <c r="A112" s="880"/>
      <c r="B112" s="1993" t="s">
        <v>2850</v>
      </c>
      <c r="C112" s="1993" t="s">
        <v>2851</v>
      </c>
      <c r="D112" s="4700" t="s">
        <v>2852</v>
      </c>
      <c r="E112" s="4700">
        <v>0</v>
      </c>
      <c r="F112" s="1994" t="s">
        <v>2980</v>
      </c>
      <c r="G112" s="1994">
        <v>30</v>
      </c>
      <c r="H112" s="2002">
        <f t="shared" si="8"/>
        <v>0.5</v>
      </c>
      <c r="I112" s="1994" t="s">
        <v>2981</v>
      </c>
      <c r="J112" s="1994" t="s">
        <v>2980</v>
      </c>
      <c r="K112" s="2027">
        <v>10</v>
      </c>
      <c r="L112" s="1996">
        <f t="shared" si="9"/>
        <v>0.16666666666666666</v>
      </c>
      <c r="M112" s="1994" t="s">
        <v>2982</v>
      </c>
      <c r="N112" s="1997"/>
      <c r="O112" s="1997"/>
      <c r="P112" s="1997"/>
      <c r="Q112" s="1997"/>
      <c r="R112" s="1997"/>
      <c r="S112" s="1997"/>
      <c r="T112" s="1997"/>
      <c r="U112" s="1997"/>
      <c r="V112" s="1997"/>
      <c r="W112" s="1997"/>
      <c r="X112" s="1997"/>
      <c r="Y112" s="1997"/>
    </row>
    <row r="113" spans="1:25" ht="22.5" customHeight="1" x14ac:dyDescent="0.25">
      <c r="B113" s="1845" t="s">
        <v>2853</v>
      </c>
      <c r="C113" s="1845" t="s">
        <v>1979</v>
      </c>
      <c r="D113" s="4701" t="s">
        <v>2951</v>
      </c>
      <c r="E113" s="4701">
        <v>0</v>
      </c>
      <c r="F113" s="2027" t="s">
        <v>2980</v>
      </c>
      <c r="G113" s="2027">
        <v>15</v>
      </c>
      <c r="H113" s="2002">
        <f t="shared" si="8"/>
        <v>0.25</v>
      </c>
      <c r="I113" s="1994" t="s">
        <v>2981</v>
      </c>
      <c r="J113" s="1994" t="s">
        <v>2980</v>
      </c>
      <c r="K113" s="2027">
        <v>3</v>
      </c>
      <c r="L113" s="2022">
        <f t="shared" si="9"/>
        <v>0.05</v>
      </c>
      <c r="M113" s="1994" t="s">
        <v>2982</v>
      </c>
      <c r="N113" s="1997"/>
      <c r="O113" s="1997"/>
      <c r="P113" s="1997"/>
      <c r="Q113" s="1997"/>
      <c r="R113" s="1997"/>
      <c r="S113" s="1997"/>
      <c r="T113" s="1997"/>
      <c r="U113" s="1997"/>
      <c r="V113" s="1997"/>
      <c r="W113" s="1997"/>
      <c r="X113" s="1997"/>
      <c r="Y113" s="1997"/>
    </row>
    <row r="114" spans="1:25" ht="22.5" customHeight="1" x14ac:dyDescent="0.25">
      <c r="B114" s="1845" t="s">
        <v>2853</v>
      </c>
      <c r="C114" s="1845" t="s">
        <v>2952</v>
      </c>
      <c r="D114" s="4701" t="s">
        <v>2953</v>
      </c>
      <c r="E114" s="4701">
        <v>0</v>
      </c>
      <c r="F114" s="2027" t="s">
        <v>2980</v>
      </c>
      <c r="G114" s="2027">
        <v>20</v>
      </c>
      <c r="H114" s="2002">
        <f t="shared" si="8"/>
        <v>0.33333333333333331</v>
      </c>
      <c r="I114" s="1994" t="s">
        <v>2981</v>
      </c>
      <c r="J114" s="1994" t="s">
        <v>2980</v>
      </c>
      <c r="K114" s="2027">
        <v>3</v>
      </c>
      <c r="L114" s="2022">
        <f t="shared" si="9"/>
        <v>0.05</v>
      </c>
      <c r="M114" s="1994" t="s">
        <v>2982</v>
      </c>
      <c r="N114" s="1997"/>
      <c r="O114" s="1997"/>
      <c r="P114" s="1997"/>
      <c r="Q114" s="1997"/>
      <c r="R114" s="1997"/>
      <c r="S114" s="1997"/>
      <c r="T114" s="1997"/>
      <c r="U114" s="1997"/>
      <c r="V114" s="1997"/>
      <c r="W114" s="1997"/>
      <c r="X114" s="1997"/>
      <c r="Y114" s="1997"/>
    </row>
    <row r="115" spans="1:25" ht="22.5" customHeight="1" x14ac:dyDescent="0.25">
      <c r="A115" s="880"/>
      <c r="B115" s="1993" t="s">
        <v>2853</v>
      </c>
      <c r="C115" s="1993" t="s">
        <v>2857</v>
      </c>
      <c r="D115" s="4700" t="s">
        <v>2858</v>
      </c>
      <c r="E115" s="4700">
        <v>0</v>
      </c>
      <c r="F115" s="1994" t="s">
        <v>2980</v>
      </c>
      <c r="G115" s="1994">
        <v>20</v>
      </c>
      <c r="H115" s="2002">
        <f t="shared" si="8"/>
        <v>0.33333333333333331</v>
      </c>
      <c r="I115" s="1994" t="s">
        <v>2981</v>
      </c>
      <c r="J115" s="1994" t="s">
        <v>2980</v>
      </c>
      <c r="K115" s="1994">
        <v>10</v>
      </c>
      <c r="L115" s="2022">
        <f t="shared" si="9"/>
        <v>0.16666666666666666</v>
      </c>
      <c r="M115" s="1994" t="s">
        <v>2982</v>
      </c>
      <c r="N115" s="1997"/>
      <c r="O115" s="1997"/>
      <c r="P115" s="1997"/>
      <c r="Q115" s="1997"/>
      <c r="R115" s="1997"/>
      <c r="S115" s="1997"/>
      <c r="T115" s="1997"/>
      <c r="U115" s="1997"/>
      <c r="V115" s="1997"/>
      <c r="W115" s="1997"/>
      <c r="X115" s="1997"/>
      <c r="Y115" s="1997"/>
    </row>
    <row r="116" spans="1:25" ht="22.5" customHeight="1" x14ac:dyDescent="0.25">
      <c r="A116" s="880"/>
      <c r="B116" s="1993" t="s">
        <v>2853</v>
      </c>
      <c r="C116" s="1993" t="s">
        <v>2859</v>
      </c>
      <c r="D116" s="4700" t="s">
        <v>2860</v>
      </c>
      <c r="E116" s="4700">
        <v>0</v>
      </c>
      <c r="F116" s="1994" t="s">
        <v>2980</v>
      </c>
      <c r="G116" s="1994">
        <v>20</v>
      </c>
      <c r="H116" s="2002">
        <f t="shared" si="8"/>
        <v>0.33333333333333331</v>
      </c>
      <c r="I116" s="1994" t="s">
        <v>2981</v>
      </c>
      <c r="J116" s="1994" t="s">
        <v>2980</v>
      </c>
      <c r="K116" s="1994">
        <v>10</v>
      </c>
      <c r="L116" s="2022">
        <f t="shared" si="9"/>
        <v>0.16666666666666666</v>
      </c>
      <c r="M116" s="1994" t="s">
        <v>2989</v>
      </c>
      <c r="N116" s="1997"/>
      <c r="O116" s="1997"/>
      <c r="P116" s="1997"/>
      <c r="Q116" s="1997"/>
      <c r="R116" s="1997"/>
      <c r="S116" s="1997"/>
      <c r="T116" s="1997"/>
      <c r="U116" s="1997"/>
      <c r="V116" s="1997"/>
      <c r="W116" s="1997"/>
      <c r="X116" s="1997"/>
      <c r="Y116" s="1997"/>
    </row>
    <row r="117" spans="1:25" ht="22.5" customHeight="1" x14ac:dyDescent="0.25">
      <c r="A117" s="880"/>
      <c r="B117" s="1993" t="s">
        <v>2853</v>
      </c>
      <c r="C117" s="1993" t="s">
        <v>2859</v>
      </c>
      <c r="D117" s="4700" t="s">
        <v>2861</v>
      </c>
      <c r="E117" s="4700">
        <v>0</v>
      </c>
      <c r="F117" s="1994" t="s">
        <v>2980</v>
      </c>
      <c r="G117" s="1994">
        <v>25</v>
      </c>
      <c r="H117" s="2002">
        <f t="shared" si="8"/>
        <v>0.41666666666666669</v>
      </c>
      <c r="I117" s="1994" t="s">
        <v>2981</v>
      </c>
      <c r="J117" s="1994" t="s">
        <v>2980</v>
      </c>
      <c r="K117" s="1994">
        <v>10</v>
      </c>
      <c r="L117" s="2022">
        <f t="shared" si="9"/>
        <v>0.16666666666666666</v>
      </c>
      <c r="M117" s="1994" t="s">
        <v>2990</v>
      </c>
      <c r="N117" s="1997"/>
      <c r="O117" s="1997"/>
      <c r="P117" s="1997"/>
      <c r="Q117" s="1997"/>
      <c r="R117" s="1997"/>
      <c r="S117" s="1997"/>
      <c r="T117" s="1997"/>
      <c r="U117" s="1997"/>
      <c r="V117" s="1997"/>
      <c r="W117" s="1997"/>
      <c r="X117" s="1997"/>
      <c r="Y117" s="1997"/>
    </row>
    <row r="118" spans="1:25" ht="22.5" customHeight="1" x14ac:dyDescent="0.25">
      <c r="A118" s="880"/>
      <c r="B118" s="1993" t="s">
        <v>2853</v>
      </c>
      <c r="C118" s="1993" t="s">
        <v>2859</v>
      </c>
      <c r="D118" s="4700" t="s">
        <v>2862</v>
      </c>
      <c r="E118" s="4700">
        <v>0</v>
      </c>
      <c r="F118" s="1994" t="s">
        <v>2980</v>
      </c>
      <c r="G118" s="1994">
        <v>25</v>
      </c>
      <c r="H118" s="2002">
        <f t="shared" si="8"/>
        <v>0.41666666666666669</v>
      </c>
      <c r="I118" s="1994" t="s">
        <v>2981</v>
      </c>
      <c r="J118" s="1994" t="s">
        <v>2980</v>
      </c>
      <c r="K118" s="1994">
        <v>10</v>
      </c>
      <c r="L118" s="2022">
        <f t="shared" si="9"/>
        <v>0.16666666666666666</v>
      </c>
      <c r="M118" s="1994" t="s">
        <v>2991</v>
      </c>
      <c r="N118" s="1997"/>
      <c r="O118" s="1997"/>
      <c r="P118" s="1997"/>
      <c r="Q118" s="1997"/>
      <c r="R118" s="1997"/>
      <c r="S118" s="1997"/>
      <c r="T118" s="1997"/>
      <c r="U118" s="1997"/>
      <c r="V118" s="1997"/>
      <c r="W118" s="1997"/>
      <c r="X118" s="1997"/>
      <c r="Y118" s="1997"/>
    </row>
    <row r="119" spans="1:25" ht="29.25" customHeight="1" x14ac:dyDescent="0.25">
      <c r="A119" s="880"/>
      <c r="B119" s="1993" t="s">
        <v>2853</v>
      </c>
      <c r="C119" s="1993" t="s">
        <v>93</v>
      </c>
      <c r="D119" s="4700" t="s">
        <v>2863</v>
      </c>
      <c r="E119" s="4700">
        <v>0</v>
      </c>
      <c r="F119" s="1994" t="s">
        <v>2980</v>
      </c>
      <c r="G119" s="1994">
        <v>20</v>
      </c>
      <c r="H119" s="2002">
        <f t="shared" si="8"/>
        <v>0.33333333333333331</v>
      </c>
      <c r="I119" s="1994" t="s">
        <v>2981</v>
      </c>
      <c r="J119" s="1994" t="s">
        <v>2980</v>
      </c>
      <c r="K119" s="1994">
        <v>6</v>
      </c>
      <c r="L119" s="2022">
        <f t="shared" si="9"/>
        <v>0.1</v>
      </c>
      <c r="M119" s="1994" t="s">
        <v>2991</v>
      </c>
      <c r="N119" s="1997"/>
      <c r="O119" s="1997"/>
      <c r="P119" s="1997"/>
      <c r="Q119" s="1997"/>
      <c r="R119" s="1997"/>
      <c r="S119" s="1997"/>
      <c r="T119" s="1997"/>
      <c r="U119" s="1997"/>
      <c r="V119" s="1997"/>
      <c r="W119" s="1997"/>
      <c r="X119" s="1997"/>
      <c r="Y119" s="1997"/>
    </row>
    <row r="120" spans="1:25" ht="31.5" customHeight="1" x14ac:dyDescent="0.25">
      <c r="A120" s="880"/>
      <c r="B120" s="1993" t="s">
        <v>2864</v>
      </c>
      <c r="C120" s="1993" t="s">
        <v>2865</v>
      </c>
      <c r="D120" s="4700" t="s">
        <v>2191</v>
      </c>
      <c r="E120" s="4700">
        <v>0</v>
      </c>
      <c r="F120" s="1994" t="s">
        <v>2980</v>
      </c>
      <c r="G120" s="1994">
        <v>40</v>
      </c>
      <c r="H120" s="2002">
        <f t="shared" si="8"/>
        <v>0.66666666666666663</v>
      </c>
      <c r="I120" s="1994" t="s">
        <v>2981</v>
      </c>
      <c r="J120" s="1994" t="s">
        <v>2980</v>
      </c>
      <c r="K120" s="1994">
        <v>40</v>
      </c>
      <c r="L120" s="2022">
        <f t="shared" si="9"/>
        <v>0.66666666666666663</v>
      </c>
      <c r="M120" s="1994" t="s">
        <v>2982</v>
      </c>
      <c r="N120" s="1997"/>
      <c r="O120" s="1997"/>
      <c r="P120" s="1997"/>
      <c r="Q120" s="1997"/>
      <c r="R120" s="1997"/>
      <c r="S120" s="1997"/>
      <c r="T120" s="1997"/>
      <c r="U120" s="1997"/>
      <c r="V120" s="1997"/>
      <c r="W120" s="1997"/>
      <c r="X120" s="1997"/>
      <c r="Y120" s="1997"/>
    </row>
    <row r="121" spans="1:25" ht="29.25" customHeight="1" x14ac:dyDescent="0.25">
      <c r="A121" s="880"/>
      <c r="B121" s="1993" t="s">
        <v>2864</v>
      </c>
      <c r="C121" s="1993" t="s">
        <v>2865</v>
      </c>
      <c r="D121" s="4700" t="s">
        <v>2866</v>
      </c>
      <c r="E121" s="4700">
        <v>0</v>
      </c>
      <c r="F121" s="1994" t="s">
        <v>2980</v>
      </c>
      <c r="G121" s="1994">
        <v>45</v>
      </c>
      <c r="H121" s="2002">
        <f t="shared" si="8"/>
        <v>0.75</v>
      </c>
      <c r="I121" s="1994" t="s">
        <v>2981</v>
      </c>
      <c r="J121" s="1994" t="s">
        <v>2980</v>
      </c>
      <c r="K121" s="1994">
        <v>45</v>
      </c>
      <c r="L121" s="2022">
        <f t="shared" si="9"/>
        <v>0.75</v>
      </c>
      <c r="M121" s="1994" t="s">
        <v>2982</v>
      </c>
      <c r="N121" s="1997"/>
      <c r="O121" s="1997"/>
      <c r="P121" s="1997"/>
      <c r="Q121" s="1997"/>
      <c r="R121" s="1997"/>
      <c r="S121" s="1997"/>
      <c r="T121" s="1997"/>
      <c r="U121" s="1997"/>
      <c r="V121" s="1997"/>
      <c r="W121" s="1997"/>
      <c r="X121" s="1997"/>
      <c r="Y121" s="1997"/>
    </row>
    <row r="122" spans="1:25" ht="23.25" customHeight="1" x14ac:dyDescent="0.25">
      <c r="A122" s="880"/>
      <c r="B122" s="1993" t="s">
        <v>2867</v>
      </c>
      <c r="C122" s="1993" t="s">
        <v>2992</v>
      </c>
      <c r="D122" s="4700" t="s">
        <v>612</v>
      </c>
      <c r="E122" s="4700"/>
      <c r="F122" s="1994" t="s">
        <v>2980</v>
      </c>
      <c r="G122" s="1994">
        <v>15</v>
      </c>
      <c r="H122" s="2002">
        <f t="shared" si="8"/>
        <v>0.25</v>
      </c>
      <c r="I122" s="2028" t="s">
        <v>2993</v>
      </c>
      <c r="J122" s="1994"/>
      <c r="K122" s="1994"/>
      <c r="L122" s="2022"/>
      <c r="M122" s="1994"/>
      <c r="N122" s="1997"/>
      <c r="O122" s="1997"/>
      <c r="P122" s="1997"/>
      <c r="Q122" s="1997"/>
      <c r="R122" s="1997"/>
      <c r="S122" s="1997"/>
      <c r="T122" s="1997"/>
      <c r="U122" s="1997"/>
      <c r="V122" s="1997"/>
      <c r="W122" s="1997"/>
      <c r="X122" s="1997"/>
      <c r="Y122" s="1997"/>
    </row>
    <row r="123" spans="1:25" ht="27" x14ac:dyDescent="0.25">
      <c r="A123" s="880"/>
      <c r="B123" s="1993" t="s">
        <v>2872</v>
      </c>
      <c r="C123" s="1993" t="s">
        <v>2873</v>
      </c>
      <c r="D123" s="4700" t="s">
        <v>2874</v>
      </c>
      <c r="E123" s="4700">
        <v>0</v>
      </c>
      <c r="F123" s="1994" t="s">
        <v>2980</v>
      </c>
      <c r="G123" s="1994">
        <v>60</v>
      </c>
      <c r="H123" s="2002">
        <f t="shared" si="8"/>
        <v>1</v>
      </c>
      <c r="I123" s="1994" t="s">
        <v>2981</v>
      </c>
      <c r="J123" s="2004"/>
      <c r="K123" s="2004"/>
      <c r="L123" s="1998"/>
      <c r="M123" s="1997"/>
      <c r="N123" s="1997"/>
      <c r="O123" s="1997"/>
      <c r="P123" s="1997"/>
      <c r="Q123" s="1997"/>
      <c r="R123" s="1997"/>
      <c r="S123" s="1997"/>
      <c r="T123" s="1997"/>
      <c r="U123" s="1997"/>
      <c r="V123" s="1997"/>
      <c r="W123" s="1997"/>
      <c r="X123" s="1997"/>
      <c r="Y123" s="1997"/>
    </row>
    <row r="124" spans="1:25" ht="27" customHeight="1" x14ac:dyDescent="0.25">
      <c r="B124" s="1993" t="s">
        <v>2875</v>
      </c>
      <c r="C124" s="1993" t="s">
        <v>2876</v>
      </c>
      <c r="D124" s="4700" t="s">
        <v>2877</v>
      </c>
      <c r="E124" s="4700"/>
      <c r="F124" s="1994" t="s">
        <v>2980</v>
      </c>
      <c r="G124" s="2029">
        <v>2</v>
      </c>
      <c r="H124" s="2030">
        <f>+G124/60</f>
        <v>3.3333333333333333E-2</v>
      </c>
      <c r="I124" s="1993" t="s">
        <v>2994</v>
      </c>
      <c r="J124" s="2004"/>
      <c r="K124" s="1997"/>
      <c r="L124" s="1998"/>
      <c r="M124" s="1997"/>
      <c r="N124" s="1997"/>
      <c r="O124" s="1997"/>
      <c r="P124" s="1997"/>
      <c r="Q124" s="1997"/>
      <c r="R124" s="1997"/>
      <c r="S124" s="1997"/>
      <c r="T124" s="1997"/>
      <c r="U124" s="1997"/>
      <c r="V124" s="1997"/>
      <c r="W124" s="1997"/>
      <c r="X124" s="1997"/>
      <c r="Y124" s="1997"/>
    </row>
    <row r="125" spans="1:25" ht="27" customHeight="1" x14ac:dyDescent="0.25">
      <c r="B125" s="1993" t="s">
        <v>381</v>
      </c>
      <c r="C125" s="1845" t="s">
        <v>2137</v>
      </c>
      <c r="D125" s="4701" t="s">
        <v>2878</v>
      </c>
      <c r="E125" s="4701"/>
      <c r="F125" s="1994" t="s">
        <v>2980</v>
      </c>
      <c r="G125" s="2029">
        <v>5</v>
      </c>
      <c r="H125" s="2030">
        <f>+G125/60</f>
        <v>8.3333333333333329E-2</v>
      </c>
      <c r="I125" s="1993" t="s">
        <v>2994</v>
      </c>
      <c r="J125" s="2031" t="s">
        <v>2980</v>
      </c>
      <c r="K125" s="2032">
        <v>2</v>
      </c>
      <c r="L125" s="2033">
        <f>+K125/60</f>
        <v>3.3333333333333333E-2</v>
      </c>
      <c r="M125" s="1993" t="s">
        <v>2994</v>
      </c>
      <c r="N125" s="1997"/>
      <c r="O125" s="1997"/>
      <c r="P125" s="1997"/>
      <c r="Q125" s="1997"/>
      <c r="R125" s="1997"/>
      <c r="S125" s="1997"/>
      <c r="T125" s="1997"/>
      <c r="U125" s="1997"/>
      <c r="V125" s="1997"/>
      <c r="W125" s="1997"/>
      <c r="X125" s="1997"/>
      <c r="Y125" s="1997"/>
    </row>
    <row r="126" spans="1:25" ht="27" customHeight="1" x14ac:dyDescent="0.25">
      <c r="B126" s="1993" t="s">
        <v>2879</v>
      </c>
      <c r="C126" s="1993" t="s">
        <v>1982</v>
      </c>
      <c r="D126" s="4700" t="s">
        <v>2995</v>
      </c>
      <c r="E126" s="4700"/>
      <c r="F126" s="2004"/>
      <c r="G126" s="2025"/>
      <c r="H126" s="2034"/>
      <c r="I126" s="2025"/>
      <c r="J126" s="2004"/>
      <c r="K126" s="1997"/>
      <c r="L126" s="1998"/>
      <c r="M126" s="1997"/>
      <c r="N126" s="1997"/>
      <c r="O126" s="1997"/>
      <c r="P126" s="1997"/>
      <c r="Q126" s="1997"/>
      <c r="R126" s="1997"/>
      <c r="S126" s="1997"/>
      <c r="T126" s="1997"/>
      <c r="U126" s="1997"/>
      <c r="V126" s="1997"/>
      <c r="W126" s="1997"/>
      <c r="X126" s="1997"/>
      <c r="Y126" s="1997"/>
    </row>
    <row r="127" spans="1:25" ht="27" customHeight="1" x14ac:dyDescent="0.25">
      <c r="B127" s="1993" t="s">
        <v>98</v>
      </c>
      <c r="C127" s="1993" t="s">
        <v>2881</v>
      </c>
      <c r="D127" s="4701" t="s">
        <v>2996</v>
      </c>
      <c r="E127" s="4701"/>
      <c r="F127" s="2004"/>
      <c r="G127" s="2025"/>
      <c r="H127" s="2034"/>
      <c r="I127" s="2025"/>
      <c r="J127" s="2004"/>
      <c r="K127" s="1997"/>
      <c r="L127" s="1998"/>
      <c r="M127" s="1997"/>
      <c r="N127" s="1997"/>
      <c r="O127" s="1997"/>
      <c r="P127" s="1997"/>
      <c r="Q127" s="1997"/>
      <c r="R127" s="1997"/>
      <c r="S127" s="1997"/>
      <c r="T127" s="1997"/>
      <c r="U127" s="1997"/>
      <c r="V127" s="1997"/>
      <c r="W127" s="1997"/>
      <c r="X127" s="1997"/>
      <c r="Y127" s="1997"/>
    </row>
    <row r="128" spans="1:25" ht="27" customHeight="1" x14ac:dyDescent="0.25">
      <c r="B128" s="1993" t="s">
        <v>98</v>
      </c>
      <c r="C128" s="1993" t="s">
        <v>2883</v>
      </c>
      <c r="D128" s="4701"/>
      <c r="E128" s="4701"/>
      <c r="F128" s="2004"/>
      <c r="G128" s="2025"/>
      <c r="H128" s="2034"/>
      <c r="I128" s="2025"/>
      <c r="J128" s="2004"/>
      <c r="K128" s="1997"/>
      <c r="L128" s="1998"/>
      <c r="M128" s="1997"/>
      <c r="N128" s="1997"/>
      <c r="O128" s="1997"/>
      <c r="P128" s="1997"/>
      <c r="Q128" s="1997"/>
      <c r="R128" s="1997"/>
      <c r="S128" s="1997"/>
      <c r="T128" s="1997"/>
      <c r="U128" s="1997"/>
      <c r="V128" s="1997"/>
      <c r="W128" s="1997"/>
      <c r="X128" s="1997"/>
      <c r="Y128" s="1997"/>
    </row>
    <row r="129" spans="1:25" ht="27" customHeight="1" x14ac:dyDescent="0.25">
      <c r="A129" s="1947"/>
      <c r="B129" s="1993" t="s">
        <v>98</v>
      </c>
      <c r="C129" s="1993" t="s">
        <v>2884</v>
      </c>
      <c r="D129" s="4701"/>
      <c r="E129" s="4701"/>
      <c r="F129" s="2004"/>
      <c r="G129" s="2025"/>
      <c r="H129" s="2034"/>
      <c r="I129" s="2025"/>
      <c r="J129" s="2004"/>
      <c r="K129" s="1997"/>
      <c r="L129" s="1998"/>
      <c r="M129" s="1997"/>
      <c r="N129" s="1997"/>
      <c r="O129" s="1997"/>
      <c r="P129" s="1997"/>
      <c r="Q129" s="1997"/>
      <c r="R129" s="1997"/>
      <c r="S129" s="1997"/>
      <c r="T129" s="1997"/>
      <c r="U129" s="1997"/>
      <c r="V129" s="1997"/>
      <c r="W129" s="1997"/>
      <c r="X129" s="1997"/>
      <c r="Y129" s="1997"/>
    </row>
    <row r="130" spans="1:25" ht="15" customHeight="1" x14ac:dyDescent="0.25">
      <c r="B130" s="1914"/>
      <c r="C130" s="1914"/>
      <c r="D130" s="1591"/>
      <c r="E130" s="1591"/>
      <c r="F130" s="1914"/>
      <c r="G130" s="1914"/>
      <c r="H130" s="1915"/>
      <c r="I130" s="1914"/>
    </row>
    <row r="131" spans="1:25" ht="25.5" customHeight="1" x14ac:dyDescent="0.25">
      <c r="B131" s="4702" t="s">
        <v>2997</v>
      </c>
      <c r="C131" s="4693" t="s">
        <v>2684</v>
      </c>
      <c r="D131" s="4693" t="s">
        <v>2685</v>
      </c>
      <c r="E131" s="4693"/>
      <c r="F131" s="4693" t="s">
        <v>2975</v>
      </c>
      <c r="G131" s="4693"/>
      <c r="H131" s="2048" t="s">
        <v>2976</v>
      </c>
      <c r="I131" s="4693" t="s">
        <v>2977</v>
      </c>
      <c r="J131" s="4694" t="s">
        <v>2998</v>
      </c>
    </row>
    <row r="132" spans="1:25" ht="25.5" customHeight="1" x14ac:dyDescent="0.25">
      <c r="B132" s="4703"/>
      <c r="C132" s="4528"/>
      <c r="D132" s="4528"/>
      <c r="E132" s="4528"/>
      <c r="F132" s="1984" t="s">
        <v>2978</v>
      </c>
      <c r="G132" s="1984" t="s">
        <v>2979</v>
      </c>
      <c r="H132" s="1907" t="s">
        <v>2979</v>
      </c>
      <c r="I132" s="4528"/>
      <c r="J132" s="4695"/>
    </row>
    <row r="133" spans="1:25" ht="30" customHeight="1" x14ac:dyDescent="0.25">
      <c r="B133" s="1986" t="s">
        <v>629</v>
      </c>
      <c r="C133" s="1987" t="s">
        <v>2999</v>
      </c>
      <c r="D133" s="4696" t="s">
        <v>330</v>
      </c>
      <c r="E133" s="4696"/>
      <c r="F133" s="2046" t="s">
        <v>2980</v>
      </c>
      <c r="G133" s="2046">
        <v>60</v>
      </c>
      <c r="H133" s="2049">
        <f>+G133/60</f>
        <v>1</v>
      </c>
      <c r="I133" s="2046" t="s">
        <v>3000</v>
      </c>
      <c r="J133" s="2050">
        <v>5</v>
      </c>
    </row>
    <row r="134" spans="1:25" ht="15" customHeight="1" x14ac:dyDescent="0.25">
      <c r="B134" s="1914"/>
      <c r="C134" s="1914"/>
      <c r="D134" s="1591"/>
      <c r="E134" s="1591"/>
      <c r="F134" s="1914"/>
      <c r="G134" s="1914"/>
      <c r="H134" s="1915"/>
      <c r="I134" s="1914"/>
    </row>
    <row r="135" spans="1:25" ht="15" customHeight="1" x14ac:dyDescent="0.25">
      <c r="B135" s="1914"/>
      <c r="C135" s="1914"/>
      <c r="D135" s="1591"/>
      <c r="E135" s="1591"/>
      <c r="F135" s="1914"/>
      <c r="G135" s="1914"/>
      <c r="H135" s="1915"/>
      <c r="I135" s="1914"/>
    </row>
    <row r="136" spans="1:25" ht="15" customHeight="1" x14ac:dyDescent="0.25">
      <c r="B136" s="4697" t="s">
        <v>3001</v>
      </c>
      <c r="C136" s="4698"/>
      <c r="D136" s="4698"/>
      <c r="E136" s="4698"/>
      <c r="F136" s="4698"/>
      <c r="G136" s="4698"/>
      <c r="H136" s="4699"/>
      <c r="I136" s="1914"/>
    </row>
    <row r="137" spans="1:25" ht="27" x14ac:dyDescent="0.25">
      <c r="B137" s="1985" t="s">
        <v>427</v>
      </c>
      <c r="C137" s="1583" t="s">
        <v>1347</v>
      </c>
      <c r="D137" s="4687" t="s">
        <v>2817</v>
      </c>
      <c r="E137" s="4687">
        <v>0</v>
      </c>
      <c r="F137" s="1580" t="s">
        <v>3002</v>
      </c>
      <c r="G137" s="1580">
        <v>1.5</v>
      </c>
      <c r="H137" s="2045" t="s">
        <v>2981</v>
      </c>
    </row>
    <row r="138" spans="1:25" ht="27" x14ac:dyDescent="0.25">
      <c r="B138" s="1985" t="s">
        <v>427</v>
      </c>
      <c r="C138" s="1583" t="s">
        <v>2818</v>
      </c>
      <c r="D138" s="4687" t="s">
        <v>3003</v>
      </c>
      <c r="E138" s="4687">
        <v>-1</v>
      </c>
      <c r="F138" s="1580" t="s">
        <v>3002</v>
      </c>
      <c r="G138" s="1581">
        <v>2</v>
      </c>
      <c r="H138" s="2045" t="s">
        <v>2981</v>
      </c>
    </row>
    <row r="139" spans="1:25" ht="27" x14ac:dyDescent="0.25">
      <c r="B139" s="1985" t="s">
        <v>427</v>
      </c>
      <c r="C139" s="1583" t="s">
        <v>3004</v>
      </c>
      <c r="D139" s="4687" t="s">
        <v>3005</v>
      </c>
      <c r="E139" s="4687">
        <v>0</v>
      </c>
      <c r="F139" s="1580" t="s">
        <v>3002</v>
      </c>
      <c r="G139" s="1581">
        <v>2</v>
      </c>
      <c r="H139" s="2045" t="s">
        <v>2981</v>
      </c>
    </row>
    <row r="140" spans="1:25" ht="27" x14ac:dyDescent="0.25">
      <c r="B140" s="1985" t="s">
        <v>427</v>
      </c>
      <c r="C140" s="1583" t="s">
        <v>3006</v>
      </c>
      <c r="D140" s="4687" t="s">
        <v>3007</v>
      </c>
      <c r="E140" s="4687">
        <v>0</v>
      </c>
      <c r="F140" s="1580" t="s">
        <v>3002</v>
      </c>
      <c r="G140" s="1581">
        <v>2</v>
      </c>
      <c r="H140" s="2045" t="s">
        <v>2981</v>
      </c>
    </row>
    <row r="141" spans="1:25" ht="27" x14ac:dyDescent="0.25">
      <c r="B141" s="1985" t="s">
        <v>427</v>
      </c>
      <c r="C141" s="1583" t="s">
        <v>2824</v>
      </c>
      <c r="D141" s="4687" t="s">
        <v>2825</v>
      </c>
      <c r="E141" s="4687">
        <v>0</v>
      </c>
      <c r="F141" s="1580" t="s">
        <v>3002</v>
      </c>
      <c r="G141" s="1581">
        <v>2</v>
      </c>
      <c r="H141" s="2045" t="s">
        <v>2981</v>
      </c>
    </row>
    <row r="142" spans="1:25" ht="27" x14ac:dyDescent="0.25">
      <c r="B142" s="4688" t="s">
        <v>115</v>
      </c>
      <c r="C142" s="4687" t="s">
        <v>2826</v>
      </c>
      <c r="D142" s="4687" t="s">
        <v>2827</v>
      </c>
      <c r="E142" s="1583" t="s">
        <v>2828</v>
      </c>
      <c r="F142" s="1580" t="s">
        <v>3002</v>
      </c>
      <c r="G142" s="1916">
        <v>1.5</v>
      </c>
      <c r="H142" s="2045" t="s">
        <v>2981</v>
      </c>
    </row>
    <row r="143" spans="1:25" ht="27" x14ac:dyDescent="0.25">
      <c r="B143" s="4688"/>
      <c r="C143" s="4687"/>
      <c r="D143" s="4687"/>
      <c r="E143" s="1583" t="s">
        <v>2829</v>
      </c>
      <c r="F143" s="1580" t="s">
        <v>3002</v>
      </c>
      <c r="G143" s="1580">
        <v>3</v>
      </c>
      <c r="H143" s="2045" t="s">
        <v>2981</v>
      </c>
    </row>
    <row r="144" spans="1:25" ht="27" x14ac:dyDescent="0.25">
      <c r="B144" s="4688"/>
      <c r="C144" s="4687"/>
      <c r="D144" s="4687"/>
      <c r="E144" s="1583" t="s">
        <v>611</v>
      </c>
      <c r="F144" s="1580" t="s">
        <v>3002</v>
      </c>
      <c r="G144" s="1580">
        <v>3</v>
      </c>
      <c r="H144" s="2045" t="s">
        <v>2981</v>
      </c>
    </row>
    <row r="145" spans="2:18" ht="27" x14ac:dyDescent="0.25">
      <c r="B145" s="1985" t="s">
        <v>115</v>
      </c>
      <c r="C145" s="1583" t="s">
        <v>2830</v>
      </c>
      <c r="D145" s="4687" t="s">
        <v>2831</v>
      </c>
      <c r="E145" s="4687"/>
      <c r="F145" s="1580" t="s">
        <v>3002</v>
      </c>
      <c r="G145" s="1580">
        <v>5</v>
      </c>
      <c r="H145" s="2045" t="s">
        <v>2981</v>
      </c>
    </row>
    <row r="146" spans="2:18" ht="27" x14ac:dyDescent="0.25">
      <c r="B146" s="4688" t="s">
        <v>115</v>
      </c>
      <c r="C146" s="4687" t="s">
        <v>2832</v>
      </c>
      <c r="D146" s="4687" t="s">
        <v>2833</v>
      </c>
      <c r="E146" s="1583" t="s">
        <v>2834</v>
      </c>
      <c r="F146" s="1580" t="s">
        <v>3002</v>
      </c>
      <c r="G146" s="1580">
        <v>6</v>
      </c>
      <c r="H146" s="2045" t="s">
        <v>2981</v>
      </c>
    </row>
    <row r="147" spans="2:18" ht="27" x14ac:dyDescent="0.25">
      <c r="B147" s="4689"/>
      <c r="C147" s="4690"/>
      <c r="D147" s="4690"/>
      <c r="E147" s="1987" t="s">
        <v>2835</v>
      </c>
      <c r="F147" s="2046" t="s">
        <v>3002</v>
      </c>
      <c r="G147" s="2046">
        <v>2</v>
      </c>
      <c r="H147" s="2047" t="s">
        <v>2981</v>
      </c>
    </row>
    <row r="148" spans="2:18" x14ac:dyDescent="0.25">
      <c r="G148" s="1945"/>
    </row>
    <row r="150" spans="2:18" x14ac:dyDescent="0.25">
      <c r="C150" s="1601"/>
      <c r="D150" s="4519" t="s">
        <v>3008</v>
      </c>
      <c r="E150" s="4519"/>
      <c r="F150" s="4519"/>
      <c r="G150" s="4519"/>
      <c r="H150" s="4519"/>
      <c r="I150" s="4519"/>
      <c r="J150" s="4519"/>
      <c r="K150" s="4519"/>
      <c r="L150" s="4519"/>
      <c r="M150" s="4519"/>
      <c r="N150" s="4519"/>
      <c r="O150" s="4519"/>
      <c r="P150" s="4519"/>
      <c r="Q150" s="4519"/>
      <c r="R150" s="4520"/>
    </row>
    <row r="151" spans="2:18" ht="15" customHeight="1" x14ac:dyDescent="0.25">
      <c r="C151" s="4691" t="s">
        <v>3009</v>
      </c>
      <c r="D151" s="4515" t="s">
        <v>206</v>
      </c>
      <c r="E151" s="4515"/>
      <c r="F151" s="4515"/>
      <c r="G151" s="4515" t="s">
        <v>208</v>
      </c>
      <c r="H151" s="4515"/>
      <c r="I151" s="4515" t="s">
        <v>3010</v>
      </c>
      <c r="J151" s="4515"/>
      <c r="K151" s="4515"/>
      <c r="L151" s="4515" t="s">
        <v>3011</v>
      </c>
      <c r="M151" s="4515"/>
      <c r="N151" s="4515"/>
      <c r="O151" s="4523" t="s">
        <v>3012</v>
      </c>
      <c r="P151" s="4515" t="s">
        <v>3013</v>
      </c>
      <c r="Q151" s="4515"/>
      <c r="R151" s="4679"/>
    </row>
    <row r="152" spans="2:18" ht="27" x14ac:dyDescent="0.25">
      <c r="C152" s="4692"/>
      <c r="D152" s="1984" t="s">
        <v>3826</v>
      </c>
      <c r="E152" s="1984" t="s">
        <v>3827</v>
      </c>
      <c r="F152" s="1984" t="s">
        <v>3014</v>
      </c>
      <c r="G152" s="1984" t="s">
        <v>3826</v>
      </c>
      <c r="H152" s="1907" t="s">
        <v>3015</v>
      </c>
      <c r="I152" s="1984" t="s">
        <v>3828</v>
      </c>
      <c r="J152" s="1984" t="s">
        <v>3015</v>
      </c>
      <c r="K152" s="1984" t="s">
        <v>3014</v>
      </c>
      <c r="L152" s="1908" t="s">
        <v>3828</v>
      </c>
      <c r="M152" s="1984" t="s">
        <v>3015</v>
      </c>
      <c r="N152" s="1984" t="s">
        <v>3014</v>
      </c>
      <c r="O152" s="4528"/>
      <c r="P152" s="1984" t="s">
        <v>3828</v>
      </c>
      <c r="Q152" s="1984" t="s">
        <v>3015</v>
      </c>
      <c r="R152" s="2035" t="s">
        <v>3014</v>
      </c>
    </row>
    <row r="153" spans="2:18" x14ac:dyDescent="0.25">
      <c r="C153" s="2036" t="s">
        <v>3016</v>
      </c>
      <c r="D153" s="1950"/>
      <c r="E153" s="1951"/>
      <c r="F153" s="1951"/>
      <c r="G153" s="1951"/>
      <c r="H153" s="1952"/>
      <c r="I153" s="1951"/>
      <c r="J153" s="1951"/>
      <c r="K153" s="1953"/>
      <c r="L153" s="1954"/>
      <c r="M153" s="1953"/>
      <c r="N153" s="1953"/>
      <c r="O153" s="1953"/>
      <c r="P153" s="1953"/>
      <c r="Q153" s="1953"/>
      <c r="R153" s="2037"/>
    </row>
    <row r="154" spans="2:18" x14ac:dyDescent="0.25">
      <c r="C154" s="2038" t="s">
        <v>3017</v>
      </c>
      <c r="D154" s="1951">
        <v>3</v>
      </c>
      <c r="E154" s="1951">
        <v>240</v>
      </c>
      <c r="F154" s="1951">
        <v>720</v>
      </c>
      <c r="G154" s="1951">
        <v>1</v>
      </c>
      <c r="H154" s="1952">
        <v>270</v>
      </c>
      <c r="I154" s="1951">
        <v>1</v>
      </c>
      <c r="J154" s="1951">
        <v>240</v>
      </c>
      <c r="K154" s="1951">
        <v>240</v>
      </c>
      <c r="L154" s="1909">
        <v>1</v>
      </c>
      <c r="M154" s="1953">
        <v>270</v>
      </c>
      <c r="N154" s="1951">
        <v>270</v>
      </c>
      <c r="O154" s="1951">
        <v>510</v>
      </c>
      <c r="P154" s="1951">
        <v>1</v>
      </c>
      <c r="Q154" s="1953">
        <v>270</v>
      </c>
      <c r="R154" s="2037">
        <v>270</v>
      </c>
    </row>
    <row r="155" spans="2:18" x14ac:dyDescent="0.25">
      <c r="C155" s="2038" t="s">
        <v>3018</v>
      </c>
      <c r="D155" s="1951">
        <v>2</v>
      </c>
      <c r="E155" s="1951">
        <v>240</v>
      </c>
      <c r="F155" s="1951">
        <v>480</v>
      </c>
      <c r="G155" s="1951">
        <v>1</v>
      </c>
      <c r="H155" s="1952">
        <v>270</v>
      </c>
      <c r="I155" s="1951">
        <v>1</v>
      </c>
      <c r="J155" s="1951">
        <v>240</v>
      </c>
      <c r="K155" s="1951">
        <v>240</v>
      </c>
      <c r="L155" s="1909">
        <v>1</v>
      </c>
      <c r="M155" s="1953">
        <v>270</v>
      </c>
      <c r="N155" s="1951">
        <v>270</v>
      </c>
      <c r="O155" s="1951">
        <v>510</v>
      </c>
      <c r="P155" s="1951">
        <v>1</v>
      </c>
      <c r="Q155" s="1953">
        <v>270</v>
      </c>
      <c r="R155" s="2037">
        <v>270</v>
      </c>
    </row>
    <row r="156" spans="2:18" x14ac:dyDescent="0.25">
      <c r="C156" s="2038" t="s">
        <v>3019</v>
      </c>
      <c r="D156" s="1951">
        <v>2</v>
      </c>
      <c r="E156" s="1951">
        <v>120</v>
      </c>
      <c r="F156" s="1951">
        <v>240</v>
      </c>
      <c r="G156" s="1951">
        <v>1</v>
      </c>
      <c r="H156" s="1952">
        <v>140</v>
      </c>
      <c r="I156" s="1951">
        <v>1</v>
      </c>
      <c r="J156" s="1951">
        <v>120</v>
      </c>
      <c r="K156" s="1951">
        <v>120</v>
      </c>
      <c r="L156" s="1909">
        <v>1</v>
      </c>
      <c r="M156" s="1953">
        <v>140</v>
      </c>
      <c r="N156" s="1951">
        <v>140</v>
      </c>
      <c r="O156" s="1951">
        <v>260</v>
      </c>
      <c r="P156" s="1951">
        <v>1</v>
      </c>
      <c r="Q156" s="1953">
        <v>140</v>
      </c>
      <c r="R156" s="2037">
        <v>140</v>
      </c>
    </row>
    <row r="157" spans="2:18" x14ac:dyDescent="0.25">
      <c r="C157" s="2038" t="s">
        <v>3020</v>
      </c>
      <c r="D157" s="1951">
        <v>2</v>
      </c>
      <c r="E157" s="1951">
        <v>60</v>
      </c>
      <c r="F157" s="1951">
        <v>120</v>
      </c>
      <c r="G157" s="1951">
        <v>1</v>
      </c>
      <c r="H157" s="1952">
        <v>80</v>
      </c>
      <c r="I157" s="1951">
        <v>1</v>
      </c>
      <c r="J157" s="1951">
        <v>60</v>
      </c>
      <c r="K157" s="1951">
        <v>60</v>
      </c>
      <c r="L157" s="1909"/>
      <c r="M157" s="1953"/>
      <c r="N157" s="1951"/>
      <c r="O157" s="1951">
        <v>60</v>
      </c>
      <c r="P157" s="1951">
        <v>1</v>
      </c>
      <c r="Q157" s="1953">
        <v>80</v>
      </c>
      <c r="R157" s="2037">
        <v>80</v>
      </c>
    </row>
    <row r="158" spans="2:18" x14ac:dyDescent="0.25">
      <c r="C158" s="2036" t="s">
        <v>57</v>
      </c>
      <c r="D158" s="1951"/>
      <c r="E158" s="1951"/>
      <c r="F158" s="1951"/>
      <c r="G158" s="1951"/>
      <c r="H158" s="1952"/>
      <c r="I158" s="1951"/>
      <c r="J158" s="1951"/>
      <c r="K158" s="1951"/>
      <c r="L158" s="1909"/>
      <c r="M158" s="1953"/>
      <c r="N158" s="1951"/>
      <c r="O158" s="1951"/>
      <c r="P158" s="1951"/>
      <c r="Q158" s="1953"/>
      <c r="R158" s="2037"/>
    </row>
    <row r="159" spans="2:18" x14ac:dyDescent="0.25">
      <c r="C159" s="2038" t="s">
        <v>3017</v>
      </c>
      <c r="D159" s="1951">
        <v>3</v>
      </c>
      <c r="E159" s="1951">
        <v>180</v>
      </c>
      <c r="F159" s="1951">
        <v>540</v>
      </c>
      <c r="G159" s="1951">
        <v>1</v>
      </c>
      <c r="H159" s="1952">
        <v>200</v>
      </c>
      <c r="I159" s="1951">
        <v>1</v>
      </c>
      <c r="J159" s="1951">
        <v>180</v>
      </c>
      <c r="K159" s="1951">
        <v>180</v>
      </c>
      <c r="L159" s="1909">
        <v>1</v>
      </c>
      <c r="M159" s="1953">
        <v>200</v>
      </c>
      <c r="N159" s="1951">
        <v>200</v>
      </c>
      <c r="O159" s="1951">
        <v>380</v>
      </c>
      <c r="P159" s="1951">
        <v>1</v>
      </c>
      <c r="Q159" s="1953">
        <v>200</v>
      </c>
      <c r="R159" s="2037">
        <v>200</v>
      </c>
    </row>
    <row r="160" spans="2:18" x14ac:dyDescent="0.25">
      <c r="C160" s="2038" t="s">
        <v>3018</v>
      </c>
      <c r="D160" s="1951">
        <v>2</v>
      </c>
      <c r="E160" s="1951">
        <v>150</v>
      </c>
      <c r="F160" s="1951">
        <v>300</v>
      </c>
      <c r="G160" s="1951">
        <v>1</v>
      </c>
      <c r="H160" s="1952">
        <v>170</v>
      </c>
      <c r="I160" s="1951">
        <v>1</v>
      </c>
      <c r="J160" s="1951">
        <v>150</v>
      </c>
      <c r="K160" s="1951">
        <v>150</v>
      </c>
      <c r="L160" s="1909">
        <v>1</v>
      </c>
      <c r="M160" s="1953">
        <v>170</v>
      </c>
      <c r="N160" s="1951">
        <v>170</v>
      </c>
      <c r="O160" s="1951">
        <v>320</v>
      </c>
      <c r="P160" s="1951">
        <v>1</v>
      </c>
      <c r="Q160" s="1953">
        <v>170</v>
      </c>
      <c r="R160" s="2037">
        <v>170</v>
      </c>
    </row>
    <row r="161" spans="3:18" x14ac:dyDescent="0.25">
      <c r="C161" s="2038" t="s">
        <v>3019</v>
      </c>
      <c r="D161" s="1951">
        <v>2</v>
      </c>
      <c r="E161" s="1951">
        <v>120</v>
      </c>
      <c r="F161" s="1951">
        <v>240</v>
      </c>
      <c r="G161" s="1951">
        <v>1</v>
      </c>
      <c r="H161" s="1952">
        <v>140</v>
      </c>
      <c r="I161" s="1951">
        <v>1</v>
      </c>
      <c r="J161" s="1951">
        <v>120</v>
      </c>
      <c r="K161" s="1951">
        <v>120</v>
      </c>
      <c r="L161" s="1909">
        <v>1</v>
      </c>
      <c r="M161" s="1953">
        <v>140</v>
      </c>
      <c r="N161" s="1951">
        <v>140</v>
      </c>
      <c r="O161" s="1951">
        <v>260</v>
      </c>
      <c r="P161" s="1951">
        <v>1</v>
      </c>
      <c r="Q161" s="1953">
        <v>140</v>
      </c>
      <c r="R161" s="2037">
        <v>140</v>
      </c>
    </row>
    <row r="162" spans="3:18" x14ac:dyDescent="0.25">
      <c r="C162" s="2038" t="s">
        <v>3020</v>
      </c>
      <c r="D162" s="1951">
        <v>2</v>
      </c>
      <c r="E162" s="1951">
        <v>60</v>
      </c>
      <c r="F162" s="1951">
        <v>120</v>
      </c>
      <c r="G162" s="1951">
        <v>1</v>
      </c>
      <c r="H162" s="1952">
        <v>80</v>
      </c>
      <c r="I162" s="1951">
        <v>1</v>
      </c>
      <c r="J162" s="1951">
        <v>60</v>
      </c>
      <c r="K162" s="1951">
        <v>60</v>
      </c>
      <c r="L162" s="1909"/>
      <c r="M162" s="1953"/>
      <c r="N162" s="1951"/>
      <c r="O162" s="1951">
        <v>60</v>
      </c>
      <c r="P162" s="1951">
        <v>1</v>
      </c>
      <c r="Q162" s="1953">
        <v>80</v>
      </c>
      <c r="R162" s="2037">
        <v>80</v>
      </c>
    </row>
    <row r="163" spans="3:18" x14ac:dyDescent="0.25">
      <c r="C163" s="2036" t="s">
        <v>58</v>
      </c>
      <c r="D163" s="1951"/>
      <c r="E163" s="1951"/>
      <c r="F163" s="1951"/>
      <c r="G163" s="1951"/>
      <c r="H163" s="1952"/>
      <c r="I163" s="1951"/>
      <c r="J163" s="1951"/>
      <c r="K163" s="1951"/>
      <c r="L163" s="1909"/>
      <c r="M163" s="1953"/>
      <c r="N163" s="1951"/>
      <c r="O163" s="1951"/>
      <c r="P163" s="1951"/>
      <c r="Q163" s="1953"/>
      <c r="R163" s="2037"/>
    </row>
    <row r="164" spans="3:18" x14ac:dyDescent="0.25">
      <c r="C164" s="2038" t="s">
        <v>3017</v>
      </c>
      <c r="D164" s="1951">
        <v>3</v>
      </c>
      <c r="E164" s="1951">
        <v>240</v>
      </c>
      <c r="F164" s="1951">
        <v>720</v>
      </c>
      <c r="G164" s="1951">
        <v>1</v>
      </c>
      <c r="H164" s="1952">
        <v>270</v>
      </c>
      <c r="I164" s="1951">
        <v>1</v>
      </c>
      <c r="J164" s="1951">
        <v>240</v>
      </c>
      <c r="K164" s="1951">
        <v>240</v>
      </c>
      <c r="L164" s="1909">
        <v>1</v>
      </c>
      <c r="M164" s="1953">
        <v>270</v>
      </c>
      <c r="N164" s="1951">
        <v>270</v>
      </c>
      <c r="O164" s="1951">
        <v>510</v>
      </c>
      <c r="P164" s="1951">
        <v>1</v>
      </c>
      <c r="Q164" s="1953">
        <v>270</v>
      </c>
      <c r="R164" s="2037">
        <v>270</v>
      </c>
    </row>
    <row r="165" spans="3:18" x14ac:dyDescent="0.25">
      <c r="C165" s="2038" t="s">
        <v>3018</v>
      </c>
      <c r="D165" s="1951">
        <v>2</v>
      </c>
      <c r="E165" s="1951">
        <v>120</v>
      </c>
      <c r="F165" s="1951">
        <v>240</v>
      </c>
      <c r="G165" s="1951">
        <v>1</v>
      </c>
      <c r="H165" s="1952">
        <v>140</v>
      </c>
      <c r="I165" s="1951">
        <v>1</v>
      </c>
      <c r="J165" s="1951">
        <v>120</v>
      </c>
      <c r="K165" s="1951">
        <v>120</v>
      </c>
      <c r="L165" s="1909">
        <v>1</v>
      </c>
      <c r="M165" s="1953">
        <v>140</v>
      </c>
      <c r="N165" s="1951">
        <v>140</v>
      </c>
      <c r="O165" s="1951">
        <v>260</v>
      </c>
      <c r="P165" s="1951">
        <v>1</v>
      </c>
      <c r="Q165" s="1953">
        <v>140</v>
      </c>
      <c r="R165" s="2037">
        <v>140</v>
      </c>
    </row>
    <row r="166" spans="3:18" x14ac:dyDescent="0.25">
      <c r="C166" s="2038" t="s">
        <v>3019</v>
      </c>
      <c r="D166" s="1951">
        <v>2</v>
      </c>
      <c r="E166" s="1951">
        <v>120</v>
      </c>
      <c r="F166" s="1951">
        <v>240</v>
      </c>
      <c r="G166" s="1951">
        <v>1</v>
      </c>
      <c r="H166" s="1952">
        <v>140</v>
      </c>
      <c r="I166" s="1951">
        <v>1</v>
      </c>
      <c r="J166" s="1951">
        <v>120</v>
      </c>
      <c r="K166" s="1951">
        <v>120</v>
      </c>
      <c r="L166" s="1909">
        <v>1</v>
      </c>
      <c r="M166" s="1953">
        <v>140</v>
      </c>
      <c r="N166" s="1951">
        <v>140</v>
      </c>
      <c r="O166" s="1951">
        <v>260</v>
      </c>
      <c r="P166" s="1951">
        <v>1</v>
      </c>
      <c r="Q166" s="1953">
        <v>140</v>
      </c>
      <c r="R166" s="2037">
        <v>140</v>
      </c>
    </row>
    <row r="167" spans="3:18" x14ac:dyDescent="0.25">
      <c r="C167" s="2038" t="s">
        <v>3020</v>
      </c>
      <c r="D167" s="1951">
        <v>2</v>
      </c>
      <c r="E167" s="1951">
        <v>60</v>
      </c>
      <c r="F167" s="1951">
        <v>120</v>
      </c>
      <c r="G167" s="1951">
        <v>1</v>
      </c>
      <c r="H167" s="1952">
        <v>80</v>
      </c>
      <c r="I167" s="1951">
        <v>1</v>
      </c>
      <c r="J167" s="1951">
        <v>60</v>
      </c>
      <c r="K167" s="1951">
        <v>60</v>
      </c>
      <c r="L167" s="1909"/>
      <c r="M167" s="1953"/>
      <c r="N167" s="1951"/>
      <c r="O167" s="1951">
        <v>60</v>
      </c>
      <c r="P167" s="1951">
        <v>1</v>
      </c>
      <c r="Q167" s="1953">
        <v>80</v>
      </c>
      <c r="R167" s="2037">
        <v>80</v>
      </c>
    </row>
    <row r="168" spans="3:18" x14ac:dyDescent="0.25">
      <c r="C168" s="2036" t="s">
        <v>74</v>
      </c>
      <c r="D168" s="1951"/>
      <c r="E168" s="1951"/>
      <c r="F168" s="1951"/>
      <c r="G168" s="1951"/>
      <c r="H168" s="1952"/>
      <c r="I168" s="1951"/>
      <c r="J168" s="1951"/>
      <c r="K168" s="1951"/>
      <c r="L168" s="1909"/>
      <c r="M168" s="1953"/>
      <c r="N168" s="1951"/>
      <c r="O168" s="1951"/>
      <c r="P168" s="1951"/>
      <c r="Q168" s="1953"/>
      <c r="R168" s="2037"/>
    </row>
    <row r="169" spans="3:18" x14ac:dyDescent="0.25">
      <c r="C169" s="2038" t="s">
        <v>3017</v>
      </c>
      <c r="D169" s="1951">
        <v>2</v>
      </c>
      <c r="E169" s="1951">
        <v>200</v>
      </c>
      <c r="F169" s="1951">
        <v>400</v>
      </c>
      <c r="G169" s="1951">
        <v>1</v>
      </c>
      <c r="H169" s="1952">
        <v>220</v>
      </c>
      <c r="I169" s="1951"/>
      <c r="J169" s="1951"/>
      <c r="K169" s="1951"/>
      <c r="L169" s="1909">
        <v>1</v>
      </c>
      <c r="M169" s="1953">
        <v>220</v>
      </c>
      <c r="N169" s="1951">
        <v>220</v>
      </c>
      <c r="O169" s="1951">
        <v>220</v>
      </c>
      <c r="P169" s="1951">
        <v>1</v>
      </c>
      <c r="Q169" s="1953">
        <v>220</v>
      </c>
      <c r="R169" s="2037">
        <v>220</v>
      </c>
    </row>
    <row r="170" spans="3:18" x14ac:dyDescent="0.25">
      <c r="C170" s="2038" t="s">
        <v>3018</v>
      </c>
      <c r="D170" s="1951">
        <v>2</v>
      </c>
      <c r="E170" s="1951">
        <v>120</v>
      </c>
      <c r="F170" s="1951">
        <v>240</v>
      </c>
      <c r="G170" s="1951"/>
      <c r="H170" s="1952"/>
      <c r="I170" s="1951">
        <v>1</v>
      </c>
      <c r="J170" s="1951"/>
      <c r="K170" s="1951"/>
      <c r="L170" s="1909">
        <v>1</v>
      </c>
      <c r="M170" s="1953">
        <v>140</v>
      </c>
      <c r="N170" s="1951">
        <v>140</v>
      </c>
      <c r="O170" s="1951">
        <v>140</v>
      </c>
      <c r="P170" s="1951">
        <v>1</v>
      </c>
      <c r="Q170" s="1953">
        <v>140</v>
      </c>
      <c r="R170" s="2037">
        <v>140</v>
      </c>
    </row>
    <row r="171" spans="3:18" x14ac:dyDescent="0.25">
      <c r="C171" s="2038" t="s">
        <v>3019</v>
      </c>
      <c r="D171" s="1951">
        <v>2</v>
      </c>
      <c r="E171" s="1951">
        <v>60</v>
      </c>
      <c r="F171" s="1951">
        <v>120</v>
      </c>
      <c r="G171" s="1951"/>
      <c r="H171" s="1952"/>
      <c r="I171" s="1951">
        <v>1</v>
      </c>
      <c r="J171" s="1951"/>
      <c r="K171" s="1951"/>
      <c r="L171" s="1909">
        <v>1</v>
      </c>
      <c r="M171" s="1953">
        <v>80</v>
      </c>
      <c r="N171" s="1951">
        <v>80</v>
      </c>
      <c r="O171" s="1951">
        <v>80</v>
      </c>
      <c r="P171" s="1951">
        <v>1</v>
      </c>
      <c r="Q171" s="1953">
        <v>80</v>
      </c>
      <c r="R171" s="2037">
        <v>80</v>
      </c>
    </row>
    <row r="172" spans="3:18" x14ac:dyDescent="0.25">
      <c r="C172" s="2038" t="s">
        <v>3020</v>
      </c>
      <c r="D172" s="1951">
        <v>1</v>
      </c>
      <c r="E172" s="1951">
        <v>30</v>
      </c>
      <c r="F172" s="1951">
        <v>30</v>
      </c>
      <c r="G172" s="1951"/>
      <c r="H172" s="1952"/>
      <c r="I172" s="1951">
        <v>1</v>
      </c>
      <c r="J172" s="1951"/>
      <c r="K172" s="1951"/>
      <c r="L172" s="1909">
        <v>1</v>
      </c>
      <c r="M172" s="1953">
        <v>40</v>
      </c>
      <c r="N172" s="1951">
        <v>40</v>
      </c>
      <c r="O172" s="1951">
        <v>40</v>
      </c>
      <c r="P172" s="1951">
        <v>1</v>
      </c>
      <c r="Q172" s="1953">
        <v>40</v>
      </c>
      <c r="R172" s="2037">
        <v>40</v>
      </c>
    </row>
    <row r="173" spans="3:18" x14ac:dyDescent="0.25">
      <c r="C173" s="2036" t="s">
        <v>84</v>
      </c>
      <c r="D173" s="1951"/>
      <c r="E173" s="1951"/>
      <c r="F173" s="1951"/>
      <c r="G173" s="1951"/>
      <c r="H173" s="1952"/>
      <c r="I173" s="1951"/>
      <c r="J173" s="1951"/>
      <c r="K173" s="1951"/>
      <c r="L173" s="1909"/>
      <c r="M173" s="1953"/>
      <c r="N173" s="1951"/>
      <c r="O173" s="1951"/>
      <c r="P173" s="1951"/>
      <c r="Q173" s="1953"/>
      <c r="R173" s="2037"/>
    </row>
    <row r="174" spans="3:18" x14ac:dyDescent="0.25">
      <c r="C174" s="2038" t="s">
        <v>3017</v>
      </c>
      <c r="D174" s="1951">
        <v>3</v>
      </c>
      <c r="E174" s="1951">
        <v>240</v>
      </c>
      <c r="F174" s="1951">
        <v>720</v>
      </c>
      <c r="G174" s="1951">
        <v>1</v>
      </c>
      <c r="H174" s="1952">
        <v>270</v>
      </c>
      <c r="I174" s="1951">
        <v>1</v>
      </c>
      <c r="J174" s="1951">
        <v>240</v>
      </c>
      <c r="K174" s="1951">
        <v>240</v>
      </c>
      <c r="L174" s="1909">
        <v>1</v>
      </c>
      <c r="M174" s="1953">
        <v>270</v>
      </c>
      <c r="N174" s="1951">
        <v>270</v>
      </c>
      <c r="O174" s="1951">
        <v>510</v>
      </c>
      <c r="P174" s="1951">
        <v>1</v>
      </c>
      <c r="Q174" s="1953">
        <v>270</v>
      </c>
      <c r="R174" s="2037">
        <v>270</v>
      </c>
    </row>
    <row r="175" spans="3:18" x14ac:dyDescent="0.25">
      <c r="C175" s="2038" t="s">
        <v>3018</v>
      </c>
      <c r="D175" s="1951">
        <v>2</v>
      </c>
      <c r="E175" s="1951">
        <v>240</v>
      </c>
      <c r="F175" s="1951">
        <v>480</v>
      </c>
      <c r="G175" s="1951">
        <v>1</v>
      </c>
      <c r="H175" s="1952">
        <v>270</v>
      </c>
      <c r="I175" s="1951">
        <v>1</v>
      </c>
      <c r="J175" s="1951">
        <v>240</v>
      </c>
      <c r="K175" s="1951">
        <v>240</v>
      </c>
      <c r="L175" s="1909">
        <v>1</v>
      </c>
      <c r="M175" s="1953">
        <v>270</v>
      </c>
      <c r="N175" s="1951">
        <v>270</v>
      </c>
      <c r="O175" s="1951">
        <v>510</v>
      </c>
      <c r="P175" s="1951">
        <v>1</v>
      </c>
      <c r="Q175" s="1953">
        <v>270</v>
      </c>
      <c r="R175" s="2037">
        <v>270</v>
      </c>
    </row>
    <row r="176" spans="3:18" x14ac:dyDescent="0.25">
      <c r="C176" s="2038" t="s">
        <v>3019</v>
      </c>
      <c r="D176" s="1951">
        <v>2</v>
      </c>
      <c r="E176" s="1951">
        <v>120</v>
      </c>
      <c r="F176" s="1951">
        <v>240</v>
      </c>
      <c r="G176" s="1951">
        <v>1</v>
      </c>
      <c r="H176" s="1952">
        <v>140</v>
      </c>
      <c r="I176" s="1951">
        <v>1</v>
      </c>
      <c r="J176" s="1951">
        <v>120</v>
      </c>
      <c r="K176" s="1951">
        <v>120</v>
      </c>
      <c r="L176" s="1909">
        <v>1</v>
      </c>
      <c r="M176" s="1953">
        <v>140</v>
      </c>
      <c r="N176" s="1951">
        <v>140</v>
      </c>
      <c r="O176" s="1951">
        <v>260</v>
      </c>
      <c r="P176" s="1951">
        <v>1</v>
      </c>
      <c r="Q176" s="1953">
        <v>140</v>
      </c>
      <c r="R176" s="2037">
        <v>140</v>
      </c>
    </row>
    <row r="177" spans="1:18" x14ac:dyDescent="0.25">
      <c r="C177" s="2038" t="s">
        <v>3020</v>
      </c>
      <c r="D177" s="1951">
        <v>2</v>
      </c>
      <c r="E177" s="1951">
        <v>60</v>
      </c>
      <c r="F177" s="1951">
        <v>120</v>
      </c>
      <c r="G177" s="1951">
        <v>1</v>
      </c>
      <c r="H177" s="1952">
        <v>80</v>
      </c>
      <c r="I177" s="1951">
        <v>1</v>
      </c>
      <c r="J177" s="1951">
        <v>60</v>
      </c>
      <c r="K177" s="1951">
        <v>60</v>
      </c>
      <c r="L177" s="1909"/>
      <c r="M177" s="1953"/>
      <c r="N177" s="1951"/>
      <c r="O177" s="1951">
        <v>60</v>
      </c>
      <c r="P177" s="1951">
        <v>1</v>
      </c>
      <c r="Q177" s="1953">
        <v>80</v>
      </c>
      <c r="R177" s="2037">
        <v>80</v>
      </c>
    </row>
    <row r="178" spans="1:18" x14ac:dyDescent="0.25">
      <c r="C178" s="2036" t="s">
        <v>3021</v>
      </c>
      <c r="D178" s="1951"/>
      <c r="E178" s="1951"/>
      <c r="F178" s="1951"/>
      <c r="G178" s="1951"/>
      <c r="H178" s="1952"/>
      <c r="I178" s="1951"/>
      <c r="J178" s="1951"/>
      <c r="K178" s="1951"/>
      <c r="L178" s="1909"/>
      <c r="M178" s="1953"/>
      <c r="N178" s="1951"/>
      <c r="O178" s="1951"/>
      <c r="P178" s="1951"/>
      <c r="Q178" s="1953"/>
      <c r="R178" s="2037"/>
    </row>
    <row r="179" spans="1:18" x14ac:dyDescent="0.25">
      <c r="C179" s="2038" t="s">
        <v>3017</v>
      </c>
      <c r="D179" s="1585">
        <v>3</v>
      </c>
      <c r="E179" s="1951">
        <v>240</v>
      </c>
      <c r="F179" s="1951">
        <v>720</v>
      </c>
      <c r="G179" s="1951">
        <v>1</v>
      </c>
      <c r="H179" s="1952">
        <v>270</v>
      </c>
      <c r="I179" s="1951">
        <v>1</v>
      </c>
      <c r="J179" s="1951">
        <v>240</v>
      </c>
      <c r="K179" s="1951">
        <v>240</v>
      </c>
      <c r="L179" s="1909">
        <v>1</v>
      </c>
      <c r="M179" s="1953">
        <v>270</v>
      </c>
      <c r="N179" s="1951">
        <v>270</v>
      </c>
      <c r="O179" s="1951">
        <v>510</v>
      </c>
      <c r="P179" s="1951">
        <v>1</v>
      </c>
      <c r="Q179" s="1953">
        <v>270</v>
      </c>
      <c r="R179" s="2037">
        <v>270</v>
      </c>
    </row>
    <row r="180" spans="1:18" x14ac:dyDescent="0.25">
      <c r="C180" s="2038" t="s">
        <v>3018</v>
      </c>
      <c r="D180" s="1585">
        <v>3</v>
      </c>
      <c r="E180" s="1951">
        <v>210</v>
      </c>
      <c r="F180" s="1951">
        <v>630</v>
      </c>
      <c r="G180" s="1951">
        <v>1</v>
      </c>
      <c r="H180" s="1952">
        <v>230</v>
      </c>
      <c r="I180" s="1951">
        <v>1</v>
      </c>
      <c r="J180" s="1951">
        <v>210</v>
      </c>
      <c r="K180" s="1951">
        <v>210</v>
      </c>
      <c r="L180" s="1909">
        <v>1</v>
      </c>
      <c r="M180" s="1953">
        <v>230</v>
      </c>
      <c r="N180" s="1951">
        <v>230</v>
      </c>
      <c r="O180" s="1951">
        <v>440</v>
      </c>
      <c r="P180" s="1951">
        <v>1</v>
      </c>
      <c r="Q180" s="1953">
        <v>230</v>
      </c>
      <c r="R180" s="2037">
        <v>230</v>
      </c>
    </row>
    <row r="181" spans="1:18" x14ac:dyDescent="0.25">
      <c r="C181" s="2038" t="s">
        <v>3019</v>
      </c>
      <c r="D181" s="1585">
        <v>2</v>
      </c>
      <c r="E181" s="1951">
        <v>120</v>
      </c>
      <c r="F181" s="1951">
        <v>240</v>
      </c>
      <c r="G181" s="1951">
        <v>1</v>
      </c>
      <c r="H181" s="1952">
        <v>140</v>
      </c>
      <c r="I181" s="1951">
        <v>1</v>
      </c>
      <c r="J181" s="1951">
        <v>120</v>
      </c>
      <c r="K181" s="1951">
        <v>120</v>
      </c>
      <c r="L181" s="1909">
        <v>1</v>
      </c>
      <c r="M181" s="1953">
        <v>140</v>
      </c>
      <c r="N181" s="1951">
        <v>140</v>
      </c>
      <c r="O181" s="1951">
        <v>260</v>
      </c>
      <c r="P181" s="1951">
        <v>1</v>
      </c>
      <c r="Q181" s="1953">
        <v>140</v>
      </c>
      <c r="R181" s="2037">
        <v>140</v>
      </c>
    </row>
    <row r="182" spans="1:18" x14ac:dyDescent="0.25">
      <c r="C182" s="2038" t="s">
        <v>3020</v>
      </c>
      <c r="D182" s="1585">
        <v>2</v>
      </c>
      <c r="E182" s="1951">
        <v>60</v>
      </c>
      <c r="F182" s="1951">
        <v>120</v>
      </c>
      <c r="G182" s="1951">
        <v>1</v>
      </c>
      <c r="H182" s="1952">
        <v>80</v>
      </c>
      <c r="I182" s="1951">
        <v>1</v>
      </c>
      <c r="J182" s="1951">
        <v>60</v>
      </c>
      <c r="K182" s="1951">
        <v>60</v>
      </c>
      <c r="L182" s="1909"/>
      <c r="M182" s="1953"/>
      <c r="N182" s="1951"/>
      <c r="O182" s="1951">
        <v>60</v>
      </c>
      <c r="P182" s="1951">
        <v>1</v>
      </c>
      <c r="Q182" s="1953">
        <v>80</v>
      </c>
      <c r="R182" s="2037">
        <v>80</v>
      </c>
    </row>
    <row r="183" spans="1:18" x14ac:dyDescent="0.25">
      <c r="C183" s="2036" t="s">
        <v>75</v>
      </c>
      <c r="D183" s="1585"/>
      <c r="E183" s="1951"/>
      <c r="F183" s="1951"/>
      <c r="G183" s="1951"/>
      <c r="H183" s="1952"/>
      <c r="I183" s="1951"/>
      <c r="J183" s="1951"/>
      <c r="K183" s="1951"/>
      <c r="L183" s="1909"/>
      <c r="M183" s="1953"/>
      <c r="N183" s="1951"/>
      <c r="O183" s="1951"/>
      <c r="P183" s="1951"/>
      <c r="Q183" s="1953"/>
      <c r="R183" s="2037"/>
    </row>
    <row r="184" spans="1:18" x14ac:dyDescent="0.25">
      <c r="C184" s="2038" t="s">
        <v>3017</v>
      </c>
      <c r="D184" s="1585">
        <v>3</v>
      </c>
      <c r="E184" s="1951">
        <v>360</v>
      </c>
      <c r="F184" s="1951">
        <v>1080</v>
      </c>
      <c r="G184" s="1951">
        <v>1</v>
      </c>
      <c r="H184" s="1952">
        <v>390</v>
      </c>
      <c r="I184" s="1951">
        <v>1</v>
      </c>
      <c r="J184" s="1951">
        <v>360</v>
      </c>
      <c r="K184" s="1951">
        <v>360</v>
      </c>
      <c r="L184" s="1909">
        <v>1</v>
      </c>
      <c r="M184" s="1953">
        <v>390</v>
      </c>
      <c r="N184" s="1951">
        <v>390</v>
      </c>
      <c r="O184" s="1951">
        <v>750</v>
      </c>
      <c r="P184" s="1951">
        <v>1</v>
      </c>
      <c r="Q184" s="1953">
        <v>390</v>
      </c>
      <c r="R184" s="2037">
        <v>390</v>
      </c>
    </row>
    <row r="185" spans="1:18" x14ac:dyDescent="0.25">
      <c r="C185" s="2038" t="s">
        <v>3018</v>
      </c>
      <c r="D185" s="1585">
        <v>3</v>
      </c>
      <c r="E185" s="1951">
        <v>210</v>
      </c>
      <c r="F185" s="1951">
        <v>630</v>
      </c>
      <c r="G185" s="1951">
        <v>1</v>
      </c>
      <c r="H185" s="1952">
        <v>230</v>
      </c>
      <c r="I185" s="1951">
        <v>1</v>
      </c>
      <c r="J185" s="1951">
        <v>210</v>
      </c>
      <c r="K185" s="1951">
        <v>210</v>
      </c>
      <c r="L185" s="1909">
        <v>1</v>
      </c>
      <c r="M185" s="1953">
        <v>230</v>
      </c>
      <c r="N185" s="1951">
        <v>230</v>
      </c>
      <c r="O185" s="1951">
        <v>440</v>
      </c>
      <c r="P185" s="1951">
        <v>1</v>
      </c>
      <c r="Q185" s="1953">
        <v>230</v>
      </c>
      <c r="R185" s="2037">
        <v>230</v>
      </c>
    </row>
    <row r="186" spans="1:18" x14ac:dyDescent="0.25">
      <c r="C186" s="2038" t="s">
        <v>3019</v>
      </c>
      <c r="D186" s="1585">
        <v>2</v>
      </c>
      <c r="E186" s="1951">
        <v>60</v>
      </c>
      <c r="F186" s="1951">
        <v>120</v>
      </c>
      <c r="G186" s="1951">
        <v>1</v>
      </c>
      <c r="H186" s="1952">
        <v>80</v>
      </c>
      <c r="I186" s="1951">
        <v>1</v>
      </c>
      <c r="J186" s="1951">
        <v>60</v>
      </c>
      <c r="K186" s="1951">
        <v>60</v>
      </c>
      <c r="L186" s="1909">
        <v>1</v>
      </c>
      <c r="M186" s="1953">
        <v>80</v>
      </c>
      <c r="N186" s="1951">
        <v>80</v>
      </c>
      <c r="O186" s="1951">
        <v>140</v>
      </c>
      <c r="P186" s="1951">
        <v>1</v>
      </c>
      <c r="Q186" s="1953">
        <v>80</v>
      </c>
      <c r="R186" s="2037">
        <v>80</v>
      </c>
    </row>
    <row r="187" spans="1:18" x14ac:dyDescent="0.25">
      <c r="C187" s="2039" t="s">
        <v>3020</v>
      </c>
      <c r="D187" s="2040">
        <v>2</v>
      </c>
      <c r="E187" s="2040">
        <v>60</v>
      </c>
      <c r="F187" s="2040">
        <v>120</v>
      </c>
      <c r="G187" s="2040">
        <v>1</v>
      </c>
      <c r="H187" s="2041">
        <v>80</v>
      </c>
      <c r="I187" s="2040">
        <v>1</v>
      </c>
      <c r="J187" s="2040">
        <v>60</v>
      </c>
      <c r="K187" s="2040">
        <v>60</v>
      </c>
      <c r="L187" s="2042"/>
      <c r="M187" s="2043"/>
      <c r="N187" s="2040"/>
      <c r="O187" s="2040">
        <v>60</v>
      </c>
      <c r="P187" s="2040">
        <v>1</v>
      </c>
      <c r="Q187" s="2043">
        <v>80</v>
      </c>
      <c r="R187" s="2044">
        <v>80</v>
      </c>
    </row>
    <row r="189" spans="1:18" ht="15.75" x14ac:dyDescent="0.25">
      <c r="D189" s="1955"/>
      <c r="E189" s="1955"/>
      <c r="F189" s="1955"/>
      <c r="G189" s="1955"/>
      <c r="H189" s="1956"/>
      <c r="I189" s="1955"/>
      <c r="J189" s="1955"/>
      <c r="K189" s="1955"/>
      <c r="L189" s="1957"/>
      <c r="M189" s="1955"/>
      <c r="N189" s="1955"/>
      <c r="O189" s="1955"/>
      <c r="P189" s="1955"/>
      <c r="Q189" s="1955"/>
      <c r="R189" s="1955"/>
    </row>
    <row r="190" spans="1:18" x14ac:dyDescent="0.25">
      <c r="A190" s="880"/>
    </row>
    <row r="191" spans="1:18" x14ac:dyDescent="0.25">
      <c r="A191" s="880"/>
    </row>
    <row r="192" spans="1:18" x14ac:dyDescent="0.25">
      <c r="A192" s="880"/>
    </row>
    <row r="193" spans="1:13" x14ac:dyDescent="0.25">
      <c r="A193" s="880"/>
      <c r="C193" s="4680" t="s">
        <v>3022</v>
      </c>
      <c r="D193" s="4681"/>
      <c r="E193" s="4681"/>
      <c r="F193" s="4681"/>
      <c r="G193" s="4681"/>
      <c r="H193" s="4681"/>
      <c r="I193" s="4681"/>
      <c r="J193" s="4681"/>
      <c r="K193" s="4682"/>
    </row>
    <row r="194" spans="1:13" x14ac:dyDescent="0.25">
      <c r="A194" s="880"/>
      <c r="C194" s="4683" t="s">
        <v>3022</v>
      </c>
      <c r="D194" s="4685" t="s">
        <v>3829</v>
      </c>
      <c r="E194" s="4685"/>
      <c r="F194" s="4685"/>
      <c r="G194" s="4685"/>
      <c r="H194" s="4685"/>
      <c r="I194" s="4685"/>
      <c r="J194" s="4685"/>
      <c r="K194" s="4685"/>
    </row>
    <row r="195" spans="1:13" ht="40.5" x14ac:dyDescent="0.25">
      <c r="A195" s="880"/>
      <c r="C195" s="4684"/>
      <c r="D195" s="1917" t="s">
        <v>206</v>
      </c>
      <c r="E195" s="1917" t="s">
        <v>2977</v>
      </c>
      <c r="F195" s="1917" t="s">
        <v>265</v>
      </c>
      <c r="G195" s="1917" t="s">
        <v>2977</v>
      </c>
      <c r="H195" s="1918" t="s">
        <v>219</v>
      </c>
      <c r="I195" s="1917" t="s">
        <v>2977</v>
      </c>
      <c r="J195" s="1906" t="s">
        <v>3013</v>
      </c>
      <c r="K195" s="1906" t="s">
        <v>2977</v>
      </c>
    </row>
    <row r="196" spans="1:13" x14ac:dyDescent="0.25">
      <c r="A196" s="880"/>
      <c r="C196" s="1958" t="s">
        <v>3023</v>
      </c>
      <c r="D196" s="1958"/>
      <c r="E196" s="1958"/>
      <c r="F196" s="1958"/>
      <c r="G196" s="1958"/>
      <c r="H196" s="1959"/>
      <c r="I196" s="1958"/>
      <c r="J196" s="1921"/>
      <c r="K196" s="1921"/>
    </row>
    <row r="197" spans="1:13" x14ac:dyDescent="0.25">
      <c r="A197" s="880"/>
      <c r="C197" s="1950" t="s">
        <v>3024</v>
      </c>
      <c r="D197" s="1951">
        <v>120</v>
      </c>
      <c r="E197" s="1951">
        <v>1</v>
      </c>
      <c r="F197" s="1951">
        <v>120</v>
      </c>
      <c r="G197" s="1951">
        <v>2</v>
      </c>
      <c r="H197" s="1923"/>
      <c r="I197" s="1951"/>
      <c r="J197" s="1953">
        <v>130</v>
      </c>
      <c r="K197" s="1953">
        <v>2</v>
      </c>
    </row>
    <row r="198" spans="1:13" x14ac:dyDescent="0.25">
      <c r="A198" s="880"/>
      <c r="C198" s="1950" t="s">
        <v>3025</v>
      </c>
      <c r="D198" s="1951">
        <v>60</v>
      </c>
      <c r="E198" s="1951">
        <v>1</v>
      </c>
      <c r="F198" s="1951">
        <v>60</v>
      </c>
      <c r="G198" s="1951">
        <v>2</v>
      </c>
      <c r="H198" s="1923"/>
      <c r="I198" s="1951"/>
      <c r="J198" s="1953">
        <v>70</v>
      </c>
      <c r="K198" s="1953">
        <v>2</v>
      </c>
    </row>
    <row r="199" spans="1:13" x14ac:dyDescent="0.25">
      <c r="A199" s="880"/>
      <c r="C199" s="1950" t="s">
        <v>3026</v>
      </c>
      <c r="D199" s="1951">
        <v>20</v>
      </c>
      <c r="E199" s="1951">
        <v>1</v>
      </c>
      <c r="F199" s="1951">
        <v>20</v>
      </c>
      <c r="G199" s="1951">
        <v>2</v>
      </c>
      <c r="H199" s="1923"/>
      <c r="I199" s="1951"/>
      <c r="J199" s="1953">
        <v>30</v>
      </c>
      <c r="K199" s="1953">
        <v>2</v>
      </c>
      <c r="M199" s="880">
        <f>30/60</f>
        <v>0.5</v>
      </c>
    </row>
    <row r="200" spans="1:13" x14ac:dyDescent="0.25">
      <c r="A200" s="880"/>
      <c r="C200" s="1950" t="s">
        <v>3027</v>
      </c>
      <c r="D200" s="1951">
        <v>15</v>
      </c>
      <c r="E200" s="1951">
        <v>1</v>
      </c>
      <c r="F200" s="1951">
        <v>15</v>
      </c>
      <c r="G200" s="1951">
        <v>2</v>
      </c>
      <c r="H200" s="1923"/>
      <c r="I200" s="1951"/>
      <c r="J200" s="1953">
        <v>25</v>
      </c>
      <c r="K200" s="1953">
        <v>2</v>
      </c>
    </row>
    <row r="201" spans="1:13" x14ac:dyDescent="0.25">
      <c r="A201" s="880"/>
      <c r="C201" s="1960" t="s">
        <v>3028</v>
      </c>
      <c r="D201" s="1961">
        <f>+AVERAGE(D197:D200)</f>
        <v>53.75</v>
      </c>
      <c r="E201" s="1961"/>
      <c r="F201" s="1961">
        <f>+AVERAGE(F197:F200)</f>
        <v>53.75</v>
      </c>
      <c r="G201" s="1961"/>
      <c r="H201" s="1962"/>
      <c r="I201" s="1961"/>
      <c r="J201" s="1961">
        <f>+AVERAGE(J197:J200)</f>
        <v>63.75</v>
      </c>
      <c r="K201" s="1963"/>
      <c r="M201" s="880">
        <v>1043</v>
      </c>
    </row>
    <row r="202" spans="1:13" x14ac:dyDescent="0.25">
      <c r="A202" s="880"/>
      <c r="C202" s="1958" t="s">
        <v>3029</v>
      </c>
      <c r="D202" s="1964"/>
      <c r="E202" s="1964"/>
      <c r="F202" s="1964"/>
      <c r="G202" s="1964"/>
      <c r="H202" s="1965"/>
      <c r="I202" s="1964"/>
      <c r="J202" s="1921"/>
      <c r="K202" s="1921"/>
    </row>
    <row r="203" spans="1:13" x14ac:dyDescent="0.25">
      <c r="A203" s="880"/>
      <c r="C203" s="1950" t="s">
        <v>3024</v>
      </c>
      <c r="D203" s="1951">
        <v>120</v>
      </c>
      <c r="E203" s="1951">
        <v>1</v>
      </c>
      <c r="F203" s="1951"/>
      <c r="G203" s="1951"/>
      <c r="H203" s="1923">
        <v>120</v>
      </c>
      <c r="I203" s="1951">
        <v>2</v>
      </c>
      <c r="J203" s="1953">
        <v>130</v>
      </c>
      <c r="K203" s="1953">
        <v>2</v>
      </c>
      <c r="M203" s="880">
        <f>+M199*M201</f>
        <v>521.5</v>
      </c>
    </row>
    <row r="204" spans="1:13" x14ac:dyDescent="0.25">
      <c r="A204" s="880"/>
      <c r="C204" s="1950" t="s">
        <v>3025</v>
      </c>
      <c r="D204" s="1951">
        <v>60</v>
      </c>
      <c r="E204" s="1951">
        <v>1</v>
      </c>
      <c r="F204" s="1951"/>
      <c r="G204" s="1951"/>
      <c r="H204" s="1923">
        <v>60</v>
      </c>
      <c r="I204" s="1951">
        <v>2</v>
      </c>
      <c r="J204" s="1953">
        <v>70</v>
      </c>
      <c r="K204" s="1953">
        <v>2</v>
      </c>
    </row>
    <row r="205" spans="1:13" x14ac:dyDescent="0.25">
      <c r="A205" s="880"/>
      <c r="C205" s="1950" t="s">
        <v>3026</v>
      </c>
      <c r="D205" s="1951">
        <v>20</v>
      </c>
      <c r="E205" s="1951">
        <v>1</v>
      </c>
      <c r="F205" s="1951"/>
      <c r="G205" s="1951"/>
      <c r="H205" s="1923">
        <v>20</v>
      </c>
      <c r="I205" s="1951">
        <v>2</v>
      </c>
      <c r="J205" s="1953">
        <v>30</v>
      </c>
      <c r="K205" s="1953">
        <v>2</v>
      </c>
    </row>
    <row r="206" spans="1:13" x14ac:dyDescent="0.25">
      <c r="A206" s="880"/>
      <c r="C206" s="1950" t="s">
        <v>3027</v>
      </c>
      <c r="D206" s="1951">
        <v>15</v>
      </c>
      <c r="E206" s="1951">
        <v>1</v>
      </c>
      <c r="F206" s="1951"/>
      <c r="G206" s="1951"/>
      <c r="H206" s="1923">
        <v>15</v>
      </c>
      <c r="I206" s="1951">
        <v>2</v>
      </c>
      <c r="J206" s="1953">
        <v>25</v>
      </c>
      <c r="K206" s="1953">
        <v>2</v>
      </c>
    </row>
    <row r="207" spans="1:13" x14ac:dyDescent="0.25">
      <c r="A207" s="880"/>
      <c r="C207" s="1960" t="s">
        <v>3028</v>
      </c>
      <c r="D207" s="1961">
        <f>+AVERAGE(D203:D206)</f>
        <v>53.75</v>
      </c>
      <c r="E207" s="1961"/>
      <c r="F207" s="1961"/>
      <c r="G207" s="1961"/>
      <c r="H207" s="1962">
        <f>+AVERAGE(H203:H206)</f>
        <v>53.75</v>
      </c>
      <c r="I207" s="1961"/>
      <c r="J207" s="1961">
        <f>+AVERAGE(J203:J206)</f>
        <v>63.75</v>
      </c>
      <c r="K207" s="1963"/>
    </row>
    <row r="208" spans="1:13" x14ac:dyDescent="0.25">
      <c r="A208" s="880"/>
      <c r="C208" s="1958" t="s">
        <v>3030</v>
      </c>
      <c r="D208" s="1964"/>
      <c r="E208" s="1964"/>
      <c r="F208" s="1964"/>
      <c r="G208" s="1964"/>
      <c r="H208" s="1965"/>
      <c r="I208" s="1964"/>
      <c r="J208" s="1921" t="s">
        <v>1426</v>
      </c>
      <c r="K208" s="1921"/>
    </row>
    <row r="209" spans="1:11" x14ac:dyDescent="0.25">
      <c r="A209" s="880"/>
      <c r="C209" s="1950" t="s">
        <v>3024</v>
      </c>
      <c r="D209" s="1951">
        <v>120</v>
      </c>
      <c r="E209" s="1951">
        <v>1</v>
      </c>
      <c r="F209" s="1951">
        <v>120</v>
      </c>
      <c r="G209" s="1951">
        <v>2</v>
      </c>
      <c r="H209" s="1923"/>
      <c r="I209" s="1951"/>
      <c r="J209" s="1953">
        <v>130</v>
      </c>
      <c r="K209" s="1953">
        <v>2</v>
      </c>
    </row>
    <row r="210" spans="1:11" x14ac:dyDescent="0.25">
      <c r="A210" s="880"/>
      <c r="C210" s="1950" t="s">
        <v>3025</v>
      </c>
      <c r="D210" s="1951">
        <v>60</v>
      </c>
      <c r="E210" s="1951">
        <v>1</v>
      </c>
      <c r="F210" s="1951">
        <v>60</v>
      </c>
      <c r="G210" s="1951">
        <v>2</v>
      </c>
      <c r="H210" s="1923"/>
      <c r="I210" s="1951"/>
      <c r="J210" s="1953">
        <v>70</v>
      </c>
      <c r="K210" s="1953">
        <v>2</v>
      </c>
    </row>
    <row r="211" spans="1:11" x14ac:dyDescent="0.25">
      <c r="A211" s="880"/>
      <c r="C211" s="1950" t="s">
        <v>3026</v>
      </c>
      <c r="D211" s="1951">
        <v>20</v>
      </c>
      <c r="E211" s="1951">
        <v>1</v>
      </c>
      <c r="F211" s="1951">
        <v>20</v>
      </c>
      <c r="G211" s="1951">
        <v>2</v>
      </c>
      <c r="H211" s="1923"/>
      <c r="I211" s="1951"/>
      <c r="J211" s="1953">
        <v>30</v>
      </c>
      <c r="K211" s="1953">
        <v>2</v>
      </c>
    </row>
    <row r="212" spans="1:11" x14ac:dyDescent="0.25">
      <c r="A212" s="880"/>
      <c r="C212" s="1950" t="s">
        <v>3027</v>
      </c>
      <c r="D212" s="1951">
        <v>15</v>
      </c>
      <c r="E212" s="1951">
        <v>1</v>
      </c>
      <c r="F212" s="1951">
        <v>15</v>
      </c>
      <c r="G212" s="1951">
        <v>2</v>
      </c>
      <c r="H212" s="1923"/>
      <c r="I212" s="1951"/>
      <c r="J212" s="1953">
        <v>25</v>
      </c>
      <c r="K212" s="1953">
        <v>2</v>
      </c>
    </row>
    <row r="213" spans="1:11" x14ac:dyDescent="0.25">
      <c r="A213" s="880"/>
      <c r="C213" s="1960" t="s">
        <v>3028</v>
      </c>
      <c r="D213" s="1961">
        <f>+AVERAGE(D209:D212)</f>
        <v>53.75</v>
      </c>
      <c r="E213" s="1961"/>
      <c r="F213" s="1961">
        <f>+AVERAGE(F209:F212)</f>
        <v>53.75</v>
      </c>
      <c r="G213" s="1961"/>
      <c r="H213" s="1962"/>
      <c r="I213" s="1961"/>
      <c r="J213" s="1961">
        <f>+AVERAGE(J209:J212)</f>
        <v>63.75</v>
      </c>
      <c r="K213" s="1963"/>
    </row>
    <row r="214" spans="1:11" x14ac:dyDescent="0.25">
      <c r="A214" s="880"/>
      <c r="C214" s="1958" t="s">
        <v>3031</v>
      </c>
      <c r="D214" s="1964"/>
      <c r="E214" s="1964"/>
      <c r="F214" s="1964"/>
      <c r="G214" s="1964"/>
      <c r="H214" s="1965"/>
      <c r="I214" s="1964"/>
      <c r="J214" s="1921"/>
      <c r="K214" s="1921"/>
    </row>
    <row r="215" spans="1:11" x14ac:dyDescent="0.25">
      <c r="A215" s="880"/>
      <c r="C215" s="1950" t="s">
        <v>3024</v>
      </c>
      <c r="D215" s="1951">
        <v>120</v>
      </c>
      <c r="E215" s="1951">
        <v>1</v>
      </c>
      <c r="F215" s="1951">
        <v>120</v>
      </c>
      <c r="G215" s="1951">
        <v>2</v>
      </c>
      <c r="H215" s="1923"/>
      <c r="I215" s="1951"/>
      <c r="J215" s="1953">
        <v>130</v>
      </c>
      <c r="K215" s="1953">
        <v>2</v>
      </c>
    </row>
    <row r="216" spans="1:11" x14ac:dyDescent="0.25">
      <c r="A216" s="880"/>
      <c r="C216" s="1950" t="s">
        <v>3025</v>
      </c>
      <c r="D216" s="1951">
        <v>60</v>
      </c>
      <c r="E216" s="1951">
        <v>1</v>
      </c>
      <c r="F216" s="1951">
        <v>60</v>
      </c>
      <c r="G216" s="1951">
        <v>2</v>
      </c>
      <c r="H216" s="1923"/>
      <c r="I216" s="1951"/>
      <c r="J216" s="1953">
        <v>70</v>
      </c>
      <c r="K216" s="1953">
        <v>2</v>
      </c>
    </row>
    <row r="217" spans="1:11" x14ac:dyDescent="0.25">
      <c r="A217" s="880"/>
      <c r="C217" s="1950" t="s">
        <v>3026</v>
      </c>
      <c r="D217" s="1951">
        <v>20</v>
      </c>
      <c r="E217" s="1951">
        <v>1</v>
      </c>
      <c r="F217" s="1951">
        <v>20</v>
      </c>
      <c r="G217" s="1951">
        <v>2</v>
      </c>
      <c r="H217" s="1923"/>
      <c r="I217" s="1951"/>
      <c r="J217" s="1953">
        <v>30</v>
      </c>
      <c r="K217" s="1953">
        <v>2</v>
      </c>
    </row>
    <row r="218" spans="1:11" x14ac:dyDescent="0.25">
      <c r="A218" s="880"/>
      <c r="C218" s="1950" t="s">
        <v>3027</v>
      </c>
      <c r="D218" s="1951">
        <v>15</v>
      </c>
      <c r="E218" s="1951">
        <v>1</v>
      </c>
      <c r="F218" s="1951">
        <v>15</v>
      </c>
      <c r="G218" s="1951">
        <v>2</v>
      </c>
      <c r="H218" s="1923"/>
      <c r="I218" s="1951"/>
      <c r="J218" s="1953">
        <v>25</v>
      </c>
      <c r="K218" s="1953">
        <v>2</v>
      </c>
    </row>
    <row r="219" spans="1:11" x14ac:dyDescent="0.25">
      <c r="A219" s="880"/>
      <c r="C219" s="1966" t="s">
        <v>3028</v>
      </c>
      <c r="D219" s="1967">
        <f>+AVERAGE(D215:D218)</f>
        <v>53.75</v>
      </c>
      <c r="E219" s="1967"/>
      <c r="F219" s="1967">
        <f>+AVERAGE(F215:F218)</f>
        <v>53.75</v>
      </c>
      <c r="G219" s="1967"/>
      <c r="H219" s="1923"/>
      <c r="I219" s="1967"/>
      <c r="J219" s="1967">
        <f>+AVERAGE(J215:J218)</f>
        <v>63.75</v>
      </c>
      <c r="K219" s="1968"/>
    </row>
    <row r="220" spans="1:11" x14ac:dyDescent="0.25">
      <c r="A220" s="880"/>
      <c r="C220" s="1969" t="s">
        <v>3830</v>
      </c>
    </row>
    <row r="221" spans="1:11" x14ac:dyDescent="0.25">
      <c r="A221" s="880"/>
      <c r="C221" s="880" t="s">
        <v>3032</v>
      </c>
    </row>
    <row r="222" spans="1:11" x14ac:dyDescent="0.25">
      <c r="A222" s="880"/>
      <c r="C222" s="880" t="s">
        <v>3033</v>
      </c>
    </row>
    <row r="223" spans="1:11" x14ac:dyDescent="0.25">
      <c r="A223" s="880"/>
      <c r="C223" s="880" t="s">
        <v>2982</v>
      </c>
    </row>
    <row r="224" spans="1:11" x14ac:dyDescent="0.25">
      <c r="A224" s="880"/>
    </row>
    <row r="225" spans="1:4" x14ac:dyDescent="0.25">
      <c r="A225" s="880"/>
    </row>
    <row r="228" spans="1:4" x14ac:dyDescent="0.25">
      <c r="C228" s="880" t="s">
        <v>3034</v>
      </c>
    </row>
    <row r="230" spans="1:4" x14ac:dyDescent="0.25">
      <c r="C230" s="858" t="s">
        <v>3035</v>
      </c>
      <c r="D230" s="880" t="s">
        <v>3036</v>
      </c>
    </row>
    <row r="231" spans="1:4" x14ac:dyDescent="0.25">
      <c r="C231" s="816" t="s">
        <v>3037</v>
      </c>
      <c r="D231" s="880" t="s">
        <v>3038</v>
      </c>
    </row>
    <row r="232" spans="1:4" x14ac:dyDescent="0.25">
      <c r="C232" s="816" t="s">
        <v>3039</v>
      </c>
      <c r="D232" s="880" t="s">
        <v>3038</v>
      </c>
    </row>
    <row r="233" spans="1:4" x14ac:dyDescent="0.25">
      <c r="C233" s="858" t="s">
        <v>3040</v>
      </c>
      <c r="D233" s="880" t="s">
        <v>3041</v>
      </c>
    </row>
    <row r="234" spans="1:4" x14ac:dyDescent="0.25">
      <c r="C234" s="858" t="s">
        <v>3042</v>
      </c>
      <c r="D234" s="880" t="s">
        <v>3043</v>
      </c>
    </row>
    <row r="236" spans="1:4" x14ac:dyDescent="0.25">
      <c r="C236" s="858" t="s">
        <v>3044</v>
      </c>
      <c r="D236" s="616" t="s">
        <v>3045</v>
      </c>
    </row>
    <row r="241" spans="3:12" x14ac:dyDescent="0.25">
      <c r="C241" s="858" t="s">
        <v>3046</v>
      </c>
    </row>
    <row r="243" spans="3:12" ht="54" x14ac:dyDescent="0.25">
      <c r="C243" s="4686" t="s">
        <v>1292</v>
      </c>
      <c r="D243" s="4686"/>
      <c r="E243" s="1906" t="s">
        <v>3047</v>
      </c>
      <c r="F243" s="1906" t="s">
        <v>3048</v>
      </c>
      <c r="G243" s="1917" t="s">
        <v>265</v>
      </c>
      <c r="H243" s="1918" t="s">
        <v>3049</v>
      </c>
    </row>
    <row r="244" spans="3:12" x14ac:dyDescent="0.25">
      <c r="C244" s="4676" t="s">
        <v>3050</v>
      </c>
      <c r="D244" s="4676"/>
      <c r="E244" s="1585" t="s">
        <v>3051</v>
      </c>
      <c r="F244" s="1585">
        <v>4</v>
      </c>
      <c r="G244" s="1919">
        <v>0.5</v>
      </c>
      <c r="H244" s="1920">
        <v>0.5</v>
      </c>
    </row>
    <row r="245" spans="3:12" x14ac:dyDescent="0.25">
      <c r="C245" s="4676" t="s">
        <v>3052</v>
      </c>
      <c r="D245" s="4676"/>
      <c r="E245" s="1585" t="s">
        <v>3053</v>
      </c>
      <c r="F245" s="1585">
        <v>6</v>
      </c>
      <c r="G245" s="1919">
        <v>0.7</v>
      </c>
      <c r="H245" s="1920">
        <v>0.3</v>
      </c>
    </row>
    <row r="246" spans="3:12" x14ac:dyDescent="0.25">
      <c r="C246" s="4676" t="s">
        <v>102</v>
      </c>
      <c r="D246" s="4676"/>
      <c r="E246" s="1585" t="s">
        <v>3054</v>
      </c>
      <c r="F246" s="1585">
        <v>12</v>
      </c>
      <c r="G246" s="1919">
        <v>0.8</v>
      </c>
      <c r="H246" s="1920">
        <v>0.2</v>
      </c>
    </row>
    <row r="247" spans="3:12" x14ac:dyDescent="0.25">
      <c r="C247" s="4676" t="s">
        <v>3055</v>
      </c>
      <c r="D247" s="4676"/>
      <c r="E247" s="1585" t="s">
        <v>3056</v>
      </c>
      <c r="F247" s="1585">
        <v>24</v>
      </c>
      <c r="G247" s="1919">
        <v>1</v>
      </c>
      <c r="H247" s="1920"/>
    </row>
    <row r="249" spans="3:12" ht="40.5" x14ac:dyDescent="0.25">
      <c r="C249" s="1921" t="s">
        <v>108</v>
      </c>
      <c r="D249" s="1921" t="s">
        <v>3057</v>
      </c>
      <c r="E249" s="1921" t="s">
        <v>3058</v>
      </c>
      <c r="F249" s="1921" t="s">
        <v>3059</v>
      </c>
      <c r="G249" s="1921" t="s">
        <v>3060</v>
      </c>
      <c r="H249" s="1922" t="s">
        <v>3061</v>
      </c>
      <c r="I249" s="1921" t="s">
        <v>265</v>
      </c>
      <c r="J249" s="1921" t="s">
        <v>3062</v>
      </c>
    </row>
    <row r="250" spans="3:12" x14ac:dyDescent="0.25">
      <c r="C250" s="1585">
        <v>200</v>
      </c>
      <c r="D250" s="1585">
        <v>4</v>
      </c>
      <c r="E250" s="1585">
        <v>30.5</v>
      </c>
      <c r="F250" s="1585">
        <v>150</v>
      </c>
      <c r="G250" s="1970">
        <v>0.2</v>
      </c>
      <c r="H250" s="1971">
        <f>+((C250*D250*E250)/F250)+G250</f>
        <v>162.86666666666665</v>
      </c>
      <c r="I250" s="1910">
        <f>+H250*G244</f>
        <v>81.433333333333323</v>
      </c>
      <c r="J250" s="1910">
        <f>+H250*G244</f>
        <v>81.433333333333323</v>
      </c>
    </row>
    <row r="251" spans="3:12" x14ac:dyDescent="0.25">
      <c r="L251" s="1972"/>
    </row>
    <row r="252" spans="3:12" x14ac:dyDescent="0.25">
      <c r="C252" s="880" t="s">
        <v>3063</v>
      </c>
      <c r="L252" s="1972"/>
    </row>
    <row r="253" spans="3:12" x14ac:dyDescent="0.25">
      <c r="L253" s="1972"/>
    </row>
    <row r="255" spans="3:12" ht="87" customHeight="1" x14ac:dyDescent="0.25">
      <c r="C255" s="1906" t="s">
        <v>3064</v>
      </c>
      <c r="D255" s="1906" t="s">
        <v>3065</v>
      </c>
      <c r="E255" s="1906" t="s">
        <v>3066</v>
      </c>
      <c r="F255" s="1906" t="s">
        <v>3067</v>
      </c>
      <c r="G255" s="1906" t="s">
        <v>3068</v>
      </c>
      <c r="H255" s="1907" t="s">
        <v>3069</v>
      </c>
      <c r="I255" s="1906" t="s">
        <v>3070</v>
      </c>
      <c r="J255" s="1906" t="s">
        <v>3071</v>
      </c>
      <c r="K255" s="1906" t="s">
        <v>3071</v>
      </c>
      <c r="L255" s="1925"/>
    </row>
    <row r="256" spans="3:12" x14ac:dyDescent="0.25">
      <c r="C256" s="1583" t="s">
        <v>3072</v>
      </c>
      <c r="D256" s="1612" t="s">
        <v>3073</v>
      </c>
      <c r="E256" s="1585">
        <f>24*365</f>
        <v>8760</v>
      </c>
      <c r="F256" s="1585">
        <f>+(150*11)-(12*6)</f>
        <v>1578</v>
      </c>
      <c r="G256" s="1910">
        <f>E256/F256</f>
        <v>5.5513307984790874</v>
      </c>
      <c r="H256" s="1923">
        <v>2</v>
      </c>
      <c r="I256" s="1910">
        <f>H256/6</f>
        <v>0.33333333333333331</v>
      </c>
      <c r="J256" s="1910">
        <f>G256*I256</f>
        <v>1.8504435994930291</v>
      </c>
      <c r="K256" s="1586">
        <f>ROUNDUP(J256,0)</f>
        <v>2</v>
      </c>
    </row>
    <row r="257" spans="3:12" x14ac:dyDescent="0.25">
      <c r="C257" s="1583" t="s">
        <v>3074</v>
      </c>
      <c r="D257" s="1612" t="s">
        <v>3075</v>
      </c>
      <c r="E257" s="1585">
        <f>24*365</f>
        <v>8760</v>
      </c>
      <c r="F257" s="1585">
        <f>+(150*11)-(12*6)</f>
        <v>1578</v>
      </c>
      <c r="G257" s="1910">
        <f>E257/F257</f>
        <v>5.5513307984790874</v>
      </c>
      <c r="H257" s="1923">
        <v>2</v>
      </c>
      <c r="I257" s="1910">
        <f>H257/8</f>
        <v>0.25</v>
      </c>
      <c r="J257" s="1910">
        <f>G257*I257</f>
        <v>1.3878326996197718</v>
      </c>
      <c r="K257" s="1586">
        <f>ROUNDUP(J257,0)</f>
        <v>2</v>
      </c>
    </row>
    <row r="260" spans="3:12" x14ac:dyDescent="0.25">
      <c r="C260" s="616" t="s">
        <v>3076</v>
      </c>
      <c r="D260" s="1591"/>
      <c r="E260" s="853"/>
      <c r="F260" s="853"/>
      <c r="G260" s="853"/>
      <c r="H260" s="1973"/>
      <c r="I260" s="853"/>
      <c r="J260" s="853"/>
      <c r="K260" s="853"/>
    </row>
    <row r="261" spans="3:12" x14ac:dyDescent="0.25">
      <c r="C261" s="616" t="s">
        <v>3077</v>
      </c>
      <c r="D261" s="616"/>
      <c r="E261" s="853"/>
      <c r="F261" s="853"/>
      <c r="G261" s="853"/>
      <c r="H261" s="1973"/>
      <c r="I261" s="853"/>
      <c r="J261" s="853"/>
      <c r="K261" s="853"/>
    </row>
    <row r="262" spans="3:12" x14ac:dyDescent="0.25">
      <c r="C262" s="616" t="s">
        <v>3078</v>
      </c>
      <c r="D262" s="853"/>
      <c r="E262" s="853"/>
      <c r="F262" s="853"/>
      <c r="G262" s="853"/>
      <c r="H262" s="1973"/>
      <c r="I262" s="853"/>
      <c r="J262" s="853"/>
      <c r="K262" s="853"/>
    </row>
    <row r="263" spans="3:12" x14ac:dyDescent="0.25">
      <c r="C263" s="616" t="s">
        <v>3079</v>
      </c>
      <c r="D263" s="853"/>
      <c r="E263" s="853"/>
      <c r="F263" s="853"/>
      <c r="G263" s="853"/>
      <c r="H263" s="1973"/>
      <c r="I263" s="853"/>
      <c r="J263" s="853"/>
      <c r="K263" s="853"/>
    </row>
    <row r="264" spans="3:12" x14ac:dyDescent="0.25">
      <c r="C264" s="4387" t="s">
        <v>3080</v>
      </c>
      <c r="D264" s="4387"/>
      <c r="E264" s="4387"/>
      <c r="F264" s="4387"/>
      <c r="G264" s="4387"/>
      <c r="H264" s="4387"/>
      <c r="I264" s="4387"/>
      <c r="J264" s="4387"/>
      <c r="K264" s="4387"/>
    </row>
    <row r="265" spans="3:12" x14ac:dyDescent="0.25">
      <c r="C265" s="853"/>
      <c r="D265" s="853"/>
      <c r="E265" s="853"/>
      <c r="F265" s="853"/>
      <c r="G265" s="853"/>
      <c r="H265" s="1973"/>
      <c r="I265" s="853"/>
      <c r="J265" s="853"/>
      <c r="K265" s="853"/>
    </row>
    <row r="268" spans="3:12" x14ac:dyDescent="0.25">
      <c r="C268" s="615" t="s">
        <v>3081</v>
      </c>
      <c r="D268" s="816"/>
      <c r="E268" s="816"/>
      <c r="F268" s="816"/>
      <c r="H268" s="1924" t="s">
        <v>2882</v>
      </c>
      <c r="I268" s="858"/>
      <c r="J268" s="858"/>
      <c r="K268" s="858"/>
      <c r="L268" s="1925"/>
    </row>
    <row r="269" spans="3:12" x14ac:dyDescent="0.25">
      <c r="C269" s="616" t="s">
        <v>3065</v>
      </c>
      <c r="D269" s="816"/>
      <c r="E269" s="816"/>
      <c r="F269" s="816"/>
      <c r="H269" s="1926" t="s">
        <v>3082</v>
      </c>
      <c r="I269" s="4677" t="s">
        <v>265</v>
      </c>
      <c r="J269" s="4677"/>
      <c r="K269" s="4677" t="s">
        <v>3083</v>
      </c>
      <c r="L269" s="4671" t="s">
        <v>3084</v>
      </c>
    </row>
    <row r="270" spans="3:12" x14ac:dyDescent="0.25">
      <c r="C270" s="1927"/>
      <c r="D270" s="1927" t="s">
        <v>265</v>
      </c>
      <c r="E270" s="1927" t="s">
        <v>3085</v>
      </c>
      <c r="F270" s="1927" t="s">
        <v>3086</v>
      </c>
      <c r="H270" s="1928" t="s">
        <v>3087</v>
      </c>
      <c r="I270" s="1927" t="s">
        <v>3088</v>
      </c>
      <c r="J270" s="1927" t="s">
        <v>3089</v>
      </c>
      <c r="K270" s="4678"/>
      <c r="L270" s="4672"/>
    </row>
    <row r="271" spans="3:12" x14ac:dyDescent="0.25">
      <c r="C271" s="1929" t="s">
        <v>3090</v>
      </c>
      <c r="D271" s="1585">
        <v>1</v>
      </c>
      <c r="E271" s="1585">
        <v>6</v>
      </c>
      <c r="F271" s="1585">
        <v>1</v>
      </c>
      <c r="H271" s="1923">
        <v>1</v>
      </c>
      <c r="I271" s="1585">
        <v>1</v>
      </c>
      <c r="J271" s="1585"/>
      <c r="K271" s="1585"/>
      <c r="L271" s="1909"/>
    </row>
    <row r="272" spans="3:12" x14ac:dyDescent="0.25">
      <c r="C272" s="1929" t="s">
        <v>3091</v>
      </c>
      <c r="D272" s="1585">
        <v>1</v>
      </c>
      <c r="E272" s="1585">
        <v>6</v>
      </c>
      <c r="F272" s="1585">
        <v>1</v>
      </c>
      <c r="H272" s="1923">
        <v>1</v>
      </c>
      <c r="I272" s="1585">
        <v>1</v>
      </c>
      <c r="J272" s="1585"/>
      <c r="K272" s="1585"/>
      <c r="L272" s="1909"/>
    </row>
    <row r="273" spans="1:17" x14ac:dyDescent="0.25">
      <c r="C273" s="1929" t="s">
        <v>3092</v>
      </c>
      <c r="D273" s="1585">
        <v>1</v>
      </c>
      <c r="E273" s="1585">
        <v>6</v>
      </c>
      <c r="F273" s="1585">
        <v>1</v>
      </c>
      <c r="H273" s="1923">
        <v>1</v>
      </c>
      <c r="I273" s="1585">
        <v>1</v>
      </c>
      <c r="J273" s="1585"/>
      <c r="K273" s="1585"/>
      <c r="L273" s="1909"/>
    </row>
    <row r="274" spans="1:17" x14ac:dyDescent="0.25">
      <c r="C274" s="1929" t="s">
        <v>3093</v>
      </c>
      <c r="D274" s="1585">
        <v>1</v>
      </c>
      <c r="E274" s="1585">
        <v>6</v>
      </c>
      <c r="F274" s="1585">
        <v>1</v>
      </c>
      <c r="H274" s="1930">
        <v>1</v>
      </c>
      <c r="I274" s="1931">
        <v>1</v>
      </c>
      <c r="J274" s="1931"/>
      <c r="K274" s="1931"/>
      <c r="L274" s="1932"/>
    </row>
    <row r="275" spans="1:17" ht="27" x14ac:dyDescent="0.25">
      <c r="C275" s="1929" t="s">
        <v>3094</v>
      </c>
      <c r="D275" s="1585">
        <v>1</v>
      </c>
      <c r="E275" s="1585">
        <v>12</v>
      </c>
      <c r="F275" s="1913" t="s">
        <v>3095</v>
      </c>
      <c r="H275" s="1933"/>
      <c r="I275" s="1934">
        <f>SUM(I271:I274)</f>
        <v>4</v>
      </c>
      <c r="J275" s="1934"/>
      <c r="K275" s="1934">
        <v>3</v>
      </c>
      <c r="L275" s="1935">
        <v>5</v>
      </c>
    </row>
    <row r="276" spans="1:17" x14ac:dyDescent="0.25">
      <c r="C276" s="616" t="s">
        <v>3096</v>
      </c>
      <c r="E276" s="816"/>
      <c r="F276" s="816"/>
      <c r="H276" s="1936"/>
      <c r="I276" s="816"/>
      <c r="J276" s="816"/>
      <c r="K276" s="816"/>
      <c r="L276" s="1937"/>
    </row>
    <row r="278" spans="1:17" x14ac:dyDescent="0.25">
      <c r="B278" s="694"/>
    </row>
    <row r="279" spans="1:17" ht="16.5" customHeight="1" x14ac:dyDescent="0.25">
      <c r="A279" s="880"/>
      <c r="C279" s="4673" t="s">
        <v>3097</v>
      </c>
      <c r="D279" s="4674"/>
      <c r="E279" s="4674"/>
      <c r="F279" s="4674"/>
      <c r="G279" s="4674"/>
      <c r="H279" s="4675"/>
      <c r="I279" s="816"/>
      <c r="J279" s="816"/>
      <c r="K279" s="816"/>
      <c r="L279" s="1937"/>
      <c r="M279" s="816"/>
      <c r="N279" s="816"/>
      <c r="O279" s="816"/>
      <c r="P279" s="816"/>
      <c r="Q279" s="816"/>
    </row>
    <row r="280" spans="1:17" x14ac:dyDescent="0.25">
      <c r="A280" s="880"/>
      <c r="C280" s="860" t="s">
        <v>3098</v>
      </c>
      <c r="D280" s="860"/>
      <c r="E280" s="816"/>
      <c r="F280" s="816"/>
      <c r="G280" s="816"/>
      <c r="H280" s="1936"/>
      <c r="J280" s="816"/>
    </row>
    <row r="281" spans="1:17" ht="25.9" customHeight="1" x14ac:dyDescent="0.25">
      <c r="A281" s="880"/>
      <c r="C281" s="1974" t="s">
        <v>3099</v>
      </c>
      <c r="D281" s="1974"/>
      <c r="E281" s="1974"/>
      <c r="F281" s="1974"/>
      <c r="G281" s="1974"/>
      <c r="H281" s="1924"/>
      <c r="I281" s="1974"/>
      <c r="J281" s="1974"/>
      <c r="K281" s="1975"/>
      <c r="L281" s="1925"/>
      <c r="M281" s="873"/>
    </row>
    <row r="282" spans="1:17" ht="25.9" customHeight="1" x14ac:dyDescent="0.25">
      <c r="A282" s="880"/>
      <c r="C282" s="1974" t="s">
        <v>3100</v>
      </c>
      <c r="D282" s="1974"/>
      <c r="E282" s="1974"/>
      <c r="F282" s="1974"/>
      <c r="G282" s="1974"/>
      <c r="H282" s="1924"/>
      <c r="I282" s="1974"/>
      <c r="J282" s="1974"/>
      <c r="K282" s="1975"/>
      <c r="L282" s="1925"/>
      <c r="M282" s="860"/>
    </row>
    <row r="283" spans="1:17" ht="15" customHeight="1" x14ac:dyDescent="0.25">
      <c r="A283" s="880"/>
      <c r="C283" s="880" t="s">
        <v>3034</v>
      </c>
      <c r="D283" s="860"/>
      <c r="E283" s="816"/>
      <c r="F283" s="816"/>
      <c r="G283" s="816"/>
      <c r="H283" s="1936"/>
      <c r="J283" s="816"/>
    </row>
    <row r="284" spans="1:17" ht="15" customHeight="1" x14ac:dyDescent="0.25">
      <c r="A284" s="880"/>
      <c r="D284" s="860"/>
      <c r="E284" s="816"/>
      <c r="F284" s="816"/>
      <c r="G284" s="816"/>
      <c r="H284" s="1936"/>
      <c r="J284" s="816"/>
    </row>
    <row r="285" spans="1:17" ht="55.5" customHeight="1" x14ac:dyDescent="0.25">
      <c r="A285" s="880"/>
      <c r="C285" s="1906" t="s">
        <v>1627</v>
      </c>
      <c r="D285" s="1906" t="s">
        <v>109</v>
      </c>
      <c r="E285" s="1906" t="s">
        <v>3101</v>
      </c>
      <c r="F285" s="1906" t="s">
        <v>3102</v>
      </c>
      <c r="G285" s="1906" t="s">
        <v>3103</v>
      </c>
      <c r="H285" s="1907" t="s">
        <v>3104</v>
      </c>
      <c r="I285" s="1906" t="s">
        <v>3105</v>
      </c>
      <c r="J285" s="1906" t="s">
        <v>3106</v>
      </c>
    </row>
    <row r="286" spans="1:17" ht="25.9" customHeight="1" x14ac:dyDescent="0.25">
      <c r="A286" s="880"/>
      <c r="C286" s="1938">
        <v>1</v>
      </c>
      <c r="D286" s="1939">
        <v>2</v>
      </c>
      <c r="E286" s="1939">
        <v>12</v>
      </c>
      <c r="F286" s="1940">
        <v>30.5</v>
      </c>
      <c r="G286" s="1939">
        <v>150</v>
      </c>
      <c r="H286" s="1941">
        <f>+C286*D286*E286*F286/G286</f>
        <v>4.88</v>
      </c>
      <c r="I286" s="1940">
        <v>1.2</v>
      </c>
      <c r="J286" s="1939">
        <f>+H286*I286</f>
        <v>5.8559999999999999</v>
      </c>
      <c r="K286" s="858" t="s">
        <v>3107</v>
      </c>
      <c r="L286" s="1976"/>
    </row>
    <row r="287" spans="1:17" ht="25.9" customHeight="1" x14ac:dyDescent="0.25">
      <c r="A287" s="880"/>
      <c r="C287" s="1977">
        <v>1</v>
      </c>
      <c r="D287" s="1978">
        <v>6</v>
      </c>
      <c r="E287" s="1979">
        <v>24</v>
      </c>
      <c r="F287" s="1980">
        <v>30.5</v>
      </c>
      <c r="G287" s="1979">
        <v>150</v>
      </c>
      <c r="H287" s="1941">
        <f>+C287*D287*E287*F287/G287</f>
        <v>29.28</v>
      </c>
      <c r="I287" s="1981">
        <v>1.2</v>
      </c>
      <c r="J287" s="1939">
        <f>+H287*I287</f>
        <v>35.136000000000003</v>
      </c>
      <c r="K287" s="858" t="s">
        <v>88</v>
      </c>
    </row>
    <row r="288" spans="1:17" ht="25.9" customHeight="1" x14ac:dyDescent="0.25">
      <c r="A288" s="880"/>
      <c r="C288" s="1977"/>
      <c r="D288" s="1978"/>
      <c r="E288" s="1979"/>
      <c r="F288" s="1980"/>
      <c r="G288" s="1979"/>
      <c r="H288" s="1982"/>
      <c r="I288" s="1981"/>
      <c r="J288" s="1942">
        <f>SUM(J286:J287)</f>
        <v>40.992000000000004</v>
      </c>
    </row>
    <row r="289" spans="1:14" ht="25.9" customHeight="1" x14ac:dyDescent="0.25">
      <c r="A289" s="880"/>
      <c r="C289" s="860" t="s">
        <v>3108</v>
      </c>
      <c r="D289" s="860"/>
      <c r="E289" s="816"/>
      <c r="F289" s="816"/>
      <c r="G289" s="816"/>
      <c r="H289" s="1936"/>
      <c r="J289" s="816"/>
    </row>
    <row r="290" spans="1:14" ht="25.9" customHeight="1" x14ac:dyDescent="0.25">
      <c r="A290" s="880"/>
      <c r="C290" s="1983" t="s">
        <v>3109</v>
      </c>
      <c r="D290" s="1983"/>
      <c r="E290" s="1983"/>
      <c r="F290" s="1983"/>
      <c r="G290" s="1983"/>
      <c r="H290" s="1924"/>
      <c r="I290" s="1983"/>
      <c r="J290" s="1983"/>
      <c r="K290" s="1983"/>
      <c r="L290" s="1925"/>
    </row>
    <row r="291" spans="1:14" ht="25.9" customHeight="1" x14ac:dyDescent="0.25">
      <c r="A291" s="880"/>
      <c r="C291" s="1983" t="s">
        <v>3110</v>
      </c>
      <c r="D291" s="1983"/>
      <c r="E291" s="1983"/>
      <c r="F291" s="1983"/>
      <c r="G291" s="1983"/>
      <c r="H291" s="1924"/>
      <c r="I291" s="1983"/>
      <c r="J291" s="1983"/>
      <c r="K291" s="1983"/>
      <c r="L291" s="1925"/>
      <c r="N291" s="880" t="s">
        <v>3111</v>
      </c>
    </row>
    <row r="292" spans="1:14" x14ac:dyDescent="0.25">
      <c r="A292" s="880"/>
      <c r="C292" s="860"/>
      <c r="D292" s="860"/>
      <c r="E292" s="816"/>
      <c r="F292" s="816"/>
      <c r="G292" s="816"/>
      <c r="H292" s="1936"/>
      <c r="J292" s="816"/>
    </row>
    <row r="293" spans="1:14" ht="40.5" customHeight="1" x14ac:dyDescent="0.25">
      <c r="A293" s="880"/>
      <c r="C293" s="1906" t="s">
        <v>1627</v>
      </c>
      <c r="D293" s="1906" t="s">
        <v>109</v>
      </c>
      <c r="E293" s="1906" t="s">
        <v>3101</v>
      </c>
      <c r="F293" s="1906" t="s">
        <v>3102</v>
      </c>
      <c r="G293" s="1906" t="s">
        <v>3103</v>
      </c>
      <c r="H293" s="1907" t="s">
        <v>3104</v>
      </c>
      <c r="I293" s="1906" t="s">
        <v>3105</v>
      </c>
      <c r="J293" s="1906" t="s">
        <v>150</v>
      </c>
    </row>
    <row r="294" spans="1:14" ht="27.75" customHeight="1" x14ac:dyDescent="0.25">
      <c r="A294" s="880"/>
      <c r="C294" s="1943">
        <v>0.1</v>
      </c>
      <c r="D294" s="1939">
        <v>20</v>
      </c>
      <c r="E294" s="1939">
        <v>12</v>
      </c>
      <c r="F294" s="1939">
        <v>25</v>
      </c>
      <c r="G294" s="1939">
        <v>150</v>
      </c>
      <c r="H294" s="1941">
        <f>+C294*D294*E294*F294/G294</f>
        <v>4</v>
      </c>
      <c r="I294" s="1940">
        <v>1.2</v>
      </c>
      <c r="J294" s="1940">
        <f>+H294*I294</f>
        <v>4.8</v>
      </c>
      <c r="K294" s="858" t="s">
        <v>3107</v>
      </c>
    </row>
    <row r="295" spans="1:14" ht="27.75" customHeight="1" x14ac:dyDescent="0.25">
      <c r="A295" s="880"/>
      <c r="C295" s="1943">
        <v>0.1</v>
      </c>
      <c r="D295" s="1939">
        <v>6</v>
      </c>
      <c r="E295" s="1939">
        <v>24</v>
      </c>
      <c r="F295" s="1940">
        <v>30.5</v>
      </c>
      <c r="G295" s="1939">
        <v>150</v>
      </c>
      <c r="H295" s="1941">
        <f>+C295*D295*E295*F295/G295</f>
        <v>2.9280000000000004</v>
      </c>
      <c r="I295" s="1940">
        <v>1.2</v>
      </c>
      <c r="J295" s="1940">
        <f>+H295*I295</f>
        <v>3.5136000000000003</v>
      </c>
      <c r="K295" s="858" t="s">
        <v>88</v>
      </c>
    </row>
    <row r="296" spans="1:14" ht="27.75" customHeight="1" x14ac:dyDescent="0.25">
      <c r="A296" s="880"/>
      <c r="C296" s="1940"/>
      <c r="D296" s="1939"/>
      <c r="E296" s="1939"/>
      <c r="F296" s="1939"/>
      <c r="G296" s="1939"/>
      <c r="H296" s="1941"/>
      <c r="I296" s="1940"/>
      <c r="J296" s="1944">
        <f>SUM(J294:J295)</f>
        <v>8.313600000000001</v>
      </c>
      <c r="N296" s="880">
        <v>8.3000000000000007</v>
      </c>
    </row>
  </sheetData>
  <mergeCells count="191">
    <mergeCell ref="A2:A4"/>
    <mergeCell ref="B2:B4"/>
    <mergeCell ref="C2:C4"/>
    <mergeCell ref="D2:E4"/>
    <mergeCell ref="F2:I2"/>
    <mergeCell ref="J2:M2"/>
    <mergeCell ref="U3:U4"/>
    <mergeCell ref="V3:W3"/>
    <mergeCell ref="Y3:Y4"/>
    <mergeCell ref="D5:E5"/>
    <mergeCell ref="D6:E6"/>
    <mergeCell ref="D7:E7"/>
    <mergeCell ref="N2:Q2"/>
    <mergeCell ref="R2:U2"/>
    <mergeCell ref="V2:Y2"/>
    <mergeCell ref="F3:G3"/>
    <mergeCell ref="I3:I4"/>
    <mergeCell ref="J3:K3"/>
    <mergeCell ref="M3:M4"/>
    <mergeCell ref="N3:O3"/>
    <mergeCell ref="Q3:Q4"/>
    <mergeCell ref="R3:S3"/>
    <mergeCell ref="D14:E14"/>
    <mergeCell ref="D15:E15"/>
    <mergeCell ref="D16:E16"/>
    <mergeCell ref="D17:E17"/>
    <mergeCell ref="D18:E18"/>
    <mergeCell ref="D19:E19"/>
    <mergeCell ref="D8:E8"/>
    <mergeCell ref="D9:E9"/>
    <mergeCell ref="D10:E10"/>
    <mergeCell ref="D11:E11"/>
    <mergeCell ref="D12:E12"/>
    <mergeCell ref="D13:E13"/>
    <mergeCell ref="D26:E26"/>
    <mergeCell ref="D27:E27"/>
    <mergeCell ref="D28:E28"/>
    <mergeCell ref="D29:E29"/>
    <mergeCell ref="B30:B31"/>
    <mergeCell ref="C30:C31"/>
    <mergeCell ref="D30:E30"/>
    <mergeCell ref="D31:E31"/>
    <mergeCell ref="D20:E20"/>
    <mergeCell ref="D21:E21"/>
    <mergeCell ref="D22:E22"/>
    <mergeCell ref="D23:E23"/>
    <mergeCell ref="D24:E24"/>
    <mergeCell ref="D25:E25"/>
    <mergeCell ref="D38:E38"/>
    <mergeCell ref="D39:E39"/>
    <mergeCell ref="D40:E40"/>
    <mergeCell ref="D41:E41"/>
    <mergeCell ref="B42:B43"/>
    <mergeCell ref="C42:C43"/>
    <mergeCell ref="D42:E42"/>
    <mergeCell ref="D43:E43"/>
    <mergeCell ref="D32:E32"/>
    <mergeCell ref="D33:E33"/>
    <mergeCell ref="D34:E34"/>
    <mergeCell ref="D35:E35"/>
    <mergeCell ref="D36:E36"/>
    <mergeCell ref="D37:E37"/>
    <mergeCell ref="D50:E50"/>
    <mergeCell ref="D51:E51"/>
    <mergeCell ref="D52:E52"/>
    <mergeCell ref="D53:E53"/>
    <mergeCell ref="D54:E54"/>
    <mergeCell ref="D55:E55"/>
    <mergeCell ref="D44:E44"/>
    <mergeCell ref="D45:E45"/>
    <mergeCell ref="D46:E46"/>
    <mergeCell ref="D47:E47"/>
    <mergeCell ref="D48:E48"/>
    <mergeCell ref="D49:E49"/>
    <mergeCell ref="D62:E62"/>
    <mergeCell ref="D63:E63"/>
    <mergeCell ref="D64:E67"/>
    <mergeCell ref="D68:E68"/>
    <mergeCell ref="D69:E69"/>
    <mergeCell ref="D70:E70"/>
    <mergeCell ref="D56:E56"/>
    <mergeCell ref="D57:E57"/>
    <mergeCell ref="D58:E58"/>
    <mergeCell ref="D59:E59"/>
    <mergeCell ref="D60:E60"/>
    <mergeCell ref="D61:E61"/>
    <mergeCell ref="B76:B77"/>
    <mergeCell ref="D76:E76"/>
    <mergeCell ref="D77:E77"/>
    <mergeCell ref="B78:B79"/>
    <mergeCell ref="D78:E78"/>
    <mergeCell ref="D79:E79"/>
    <mergeCell ref="D71:E71"/>
    <mergeCell ref="B72:B73"/>
    <mergeCell ref="D72:E72"/>
    <mergeCell ref="D73:E73"/>
    <mergeCell ref="B74:B75"/>
    <mergeCell ref="D74:E74"/>
    <mergeCell ref="D75:E75"/>
    <mergeCell ref="B89:B90"/>
    <mergeCell ref="C89:C90"/>
    <mergeCell ref="D89:D90"/>
    <mergeCell ref="B80:B81"/>
    <mergeCell ref="D80:E80"/>
    <mergeCell ref="D81:E81"/>
    <mergeCell ref="D82:E82"/>
    <mergeCell ref="D83:E83"/>
    <mergeCell ref="D84:E84"/>
    <mergeCell ref="D91:E91"/>
    <mergeCell ref="D92:E92"/>
    <mergeCell ref="D93:E93"/>
    <mergeCell ref="D94:E94"/>
    <mergeCell ref="D95:E95"/>
    <mergeCell ref="D96:E96"/>
    <mergeCell ref="D85:E85"/>
    <mergeCell ref="D86:E86"/>
    <mergeCell ref="D87:E87"/>
    <mergeCell ref="D88:E88"/>
    <mergeCell ref="D103:E103"/>
    <mergeCell ref="B104:B105"/>
    <mergeCell ref="C104:C105"/>
    <mergeCell ref="D104:D105"/>
    <mergeCell ref="D106:E106"/>
    <mergeCell ref="D107:E107"/>
    <mergeCell ref="D97:E97"/>
    <mergeCell ref="D98:E98"/>
    <mergeCell ref="D99:E99"/>
    <mergeCell ref="B100:B102"/>
    <mergeCell ref="C100:C102"/>
    <mergeCell ref="D100:D102"/>
    <mergeCell ref="D114:E114"/>
    <mergeCell ref="D115:E115"/>
    <mergeCell ref="D116:E116"/>
    <mergeCell ref="D117:E117"/>
    <mergeCell ref="D118:E118"/>
    <mergeCell ref="D119:E119"/>
    <mergeCell ref="D108:E108"/>
    <mergeCell ref="D109:E109"/>
    <mergeCell ref="D110:E110"/>
    <mergeCell ref="D111:E111"/>
    <mergeCell ref="D112:E112"/>
    <mergeCell ref="D113:E113"/>
    <mergeCell ref="D126:E126"/>
    <mergeCell ref="D127:E129"/>
    <mergeCell ref="B131:B132"/>
    <mergeCell ref="C131:C132"/>
    <mergeCell ref="D131:E132"/>
    <mergeCell ref="F131:G131"/>
    <mergeCell ref="D120:E120"/>
    <mergeCell ref="D121:E121"/>
    <mergeCell ref="D122:E122"/>
    <mergeCell ref="D123:E123"/>
    <mergeCell ref="D124:E124"/>
    <mergeCell ref="D125:E125"/>
    <mergeCell ref="D139:E139"/>
    <mergeCell ref="D140:E140"/>
    <mergeCell ref="D141:E141"/>
    <mergeCell ref="B142:B144"/>
    <mergeCell ref="C142:C144"/>
    <mergeCell ref="D142:D144"/>
    <mergeCell ref="I131:I132"/>
    <mergeCell ref="J131:J132"/>
    <mergeCell ref="D133:E133"/>
    <mergeCell ref="B136:H136"/>
    <mergeCell ref="D137:E137"/>
    <mergeCell ref="D138:E138"/>
    <mergeCell ref="O151:O152"/>
    <mergeCell ref="P151:R151"/>
    <mergeCell ref="C193:K193"/>
    <mergeCell ref="C194:C195"/>
    <mergeCell ref="D194:K194"/>
    <mergeCell ref="C243:D243"/>
    <mergeCell ref="D145:E145"/>
    <mergeCell ref="B146:B147"/>
    <mergeCell ref="C146:C147"/>
    <mergeCell ref="D146:D147"/>
    <mergeCell ref="D150:R150"/>
    <mergeCell ref="C151:C152"/>
    <mergeCell ref="D151:F151"/>
    <mergeCell ref="G151:H151"/>
    <mergeCell ref="I151:K151"/>
    <mergeCell ref="L151:N151"/>
    <mergeCell ref="L269:L270"/>
    <mergeCell ref="C279:H279"/>
    <mergeCell ref="C244:D244"/>
    <mergeCell ref="C245:D245"/>
    <mergeCell ref="C246:D246"/>
    <mergeCell ref="C247:D247"/>
    <mergeCell ref="C264:K264"/>
    <mergeCell ref="I269:J269"/>
    <mergeCell ref="K269:K270"/>
  </mergeCells>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C000"/>
  </sheetPr>
  <dimension ref="A2:VK189"/>
  <sheetViews>
    <sheetView zoomScale="85" zoomScaleNormal="85" workbookViewId="0">
      <pane xSplit="5" topLeftCell="F1" activePane="topRight" state="frozen"/>
      <selection activeCell="E1" sqref="E1"/>
      <selection pane="topRight" activeCell="C186" sqref="C186"/>
    </sheetView>
  </sheetViews>
  <sheetFormatPr baseColWidth="10" defaultColWidth="21.28515625" defaultRowHeight="13.5" x14ac:dyDescent="0.25"/>
  <cols>
    <col min="1" max="1" width="2.28515625" style="691" customWidth="1"/>
    <col min="2" max="2" width="20.5703125" style="692" customWidth="1"/>
    <col min="3" max="3" width="26.7109375" style="691" customWidth="1"/>
    <col min="4" max="4" width="21.28515625" style="691"/>
    <col min="5" max="5" width="25.42578125" style="691" customWidth="1"/>
    <col min="6" max="583" width="8.7109375" style="691" customWidth="1"/>
    <col min="584" max="16384" width="21.28515625" style="691"/>
  </cols>
  <sheetData>
    <row r="2" spans="1:583" x14ac:dyDescent="0.25">
      <c r="B2" s="2051" t="s">
        <v>2885</v>
      </c>
    </row>
    <row r="3" spans="1:583" x14ac:dyDescent="0.25">
      <c r="B3" s="2051" t="s">
        <v>2886</v>
      </c>
      <c r="D3" s="2051"/>
      <c r="E3" s="2051"/>
      <c r="F3" s="2051"/>
      <c r="G3" s="2051"/>
      <c r="H3" s="2051"/>
    </row>
    <row r="4" spans="1:583" x14ac:dyDescent="0.25">
      <c r="B4" s="2051" t="s">
        <v>2887</v>
      </c>
      <c r="D4" s="2051"/>
      <c r="E4" s="2051"/>
      <c r="F4" s="2051"/>
      <c r="G4" s="2051"/>
      <c r="H4" s="2051"/>
      <c r="I4" s="2051"/>
      <c r="J4" s="2051"/>
    </row>
    <row r="5" spans="1:583" x14ac:dyDescent="0.25">
      <c r="D5" s="4724" t="s">
        <v>2888</v>
      </c>
      <c r="E5" s="4724"/>
      <c r="F5" s="2066"/>
      <c r="G5" s="2066"/>
      <c r="H5" s="2066"/>
      <c r="I5" s="2067"/>
      <c r="J5" s="2067"/>
      <c r="K5" s="2067"/>
      <c r="L5" s="2067"/>
      <c r="M5" s="2067"/>
      <c r="N5" s="2067"/>
      <c r="O5" s="2067"/>
      <c r="P5" s="2067"/>
      <c r="Q5" s="2067"/>
      <c r="R5" s="2067"/>
      <c r="S5" s="2067"/>
      <c r="T5" s="2067"/>
      <c r="U5" s="2067"/>
      <c r="V5" s="2067"/>
      <c r="W5" s="2067"/>
      <c r="X5" s="2067"/>
      <c r="Y5" s="2067"/>
      <c r="Z5" s="2067"/>
      <c r="AA5" s="2067"/>
      <c r="AB5" s="2067"/>
      <c r="AC5" s="2067"/>
      <c r="AD5" s="2067"/>
      <c r="AE5" s="2067"/>
      <c r="AF5" s="2067"/>
      <c r="AG5" s="2067"/>
      <c r="AH5" s="2067"/>
      <c r="AI5" s="2067"/>
      <c r="AJ5" s="2067"/>
      <c r="AK5" s="2067"/>
      <c r="AL5" s="2067"/>
      <c r="AM5" s="2067"/>
      <c r="AN5" s="2067"/>
      <c r="AO5" s="2067"/>
      <c r="AP5" s="2067"/>
      <c r="AQ5" s="2067"/>
      <c r="AR5" s="2067"/>
      <c r="AS5" s="2067"/>
      <c r="AT5" s="2067"/>
      <c r="AU5" s="2067"/>
      <c r="AV5" s="2067"/>
      <c r="AW5" s="2067"/>
      <c r="AX5" s="2067"/>
      <c r="AY5" s="2067"/>
      <c r="AZ5" s="2067"/>
      <c r="BA5" s="2067"/>
      <c r="BB5" s="2067"/>
      <c r="BC5" s="2067"/>
      <c r="BD5" s="2067"/>
      <c r="BE5" s="2067"/>
      <c r="BF5" s="2067"/>
      <c r="BG5" s="2067"/>
      <c r="BH5" s="2067"/>
      <c r="BI5" s="2067"/>
      <c r="BJ5" s="2067"/>
      <c r="BK5" s="2067"/>
      <c r="BL5" s="2067"/>
      <c r="BM5" s="2067"/>
      <c r="BN5" s="2067"/>
      <c r="BO5" s="2067"/>
      <c r="BP5" s="2067"/>
      <c r="BQ5" s="2067"/>
      <c r="BR5" s="2067"/>
      <c r="BS5" s="2067"/>
      <c r="BT5" s="2067"/>
      <c r="BU5" s="2067"/>
      <c r="BV5" s="2067"/>
      <c r="BW5" s="2067"/>
      <c r="BX5" s="2067"/>
      <c r="BY5" s="2067"/>
      <c r="BZ5" s="2067"/>
      <c r="CA5" s="2067"/>
      <c r="CB5" s="2067"/>
      <c r="CC5" s="2067"/>
      <c r="CD5" s="2067"/>
      <c r="CE5" s="2067"/>
      <c r="CF5" s="2067"/>
      <c r="CG5" s="2067"/>
      <c r="CH5" s="2067"/>
      <c r="CI5" s="2067"/>
      <c r="CJ5" s="2067"/>
      <c r="CK5" s="2067"/>
      <c r="CL5" s="2067"/>
      <c r="CM5" s="2067"/>
      <c r="CN5" s="2067"/>
      <c r="CO5" s="2067"/>
      <c r="CP5" s="2067"/>
      <c r="CQ5" s="2067"/>
      <c r="CR5" s="2067"/>
      <c r="CS5" s="2067"/>
      <c r="CT5" s="2067"/>
      <c r="CU5" s="2067"/>
      <c r="CV5" s="2067"/>
      <c r="CW5" s="2067"/>
      <c r="CX5" s="2067"/>
      <c r="CY5" s="2067"/>
      <c r="CZ5" s="2067"/>
      <c r="DA5" s="2067"/>
      <c r="DB5" s="2067"/>
      <c r="DC5" s="2067"/>
      <c r="DD5" s="2067"/>
      <c r="DE5" s="2067"/>
      <c r="DF5" s="2067"/>
      <c r="DG5" s="2067"/>
      <c r="DH5" s="2067"/>
      <c r="DI5" s="2067"/>
      <c r="DJ5" s="2067"/>
      <c r="DK5" s="2067"/>
      <c r="DL5" s="2067"/>
      <c r="DM5" s="2067"/>
      <c r="DN5" s="2067"/>
      <c r="DO5" s="2067"/>
      <c r="DP5" s="2067"/>
      <c r="DQ5" s="2067"/>
      <c r="DR5" s="2067"/>
      <c r="DS5" s="2067"/>
      <c r="DT5" s="2067"/>
      <c r="DU5" s="2067"/>
      <c r="DV5" s="2067"/>
      <c r="DW5" s="2067"/>
      <c r="DX5" s="2067"/>
      <c r="DY5" s="2067"/>
      <c r="DZ5" s="2067"/>
      <c r="EA5" s="2067"/>
      <c r="EB5" s="2067"/>
      <c r="EC5" s="2067"/>
      <c r="ED5" s="2067"/>
      <c r="EE5" s="2067"/>
      <c r="EF5" s="2067"/>
      <c r="EG5" s="2067"/>
      <c r="EH5" s="2067"/>
      <c r="EI5" s="2067"/>
      <c r="EJ5" s="2067"/>
      <c r="EK5" s="2067"/>
      <c r="EL5" s="2067"/>
      <c r="EM5" s="2067"/>
      <c r="EN5" s="2067"/>
      <c r="EO5" s="2067"/>
      <c r="EP5" s="2067"/>
      <c r="EQ5" s="2067"/>
      <c r="ER5" s="2067"/>
      <c r="ES5" s="2067"/>
      <c r="ET5" s="2067"/>
      <c r="EU5" s="2067"/>
      <c r="EV5" s="2067"/>
      <c r="EW5" s="2067"/>
      <c r="EX5" s="2067"/>
      <c r="EY5" s="2067"/>
      <c r="EZ5" s="2067"/>
      <c r="FA5" s="2067"/>
      <c r="FB5" s="2067"/>
      <c r="FC5" s="2067"/>
      <c r="FD5" s="2067"/>
      <c r="FE5" s="2067"/>
      <c r="FF5" s="2067"/>
      <c r="FG5" s="2067"/>
      <c r="FH5" s="2067"/>
      <c r="FI5" s="2067"/>
      <c r="FJ5" s="2067"/>
      <c r="FK5" s="2067"/>
      <c r="FL5" s="2067"/>
      <c r="FM5" s="2067"/>
      <c r="FN5" s="2067"/>
      <c r="FO5" s="2067"/>
      <c r="FP5" s="2067"/>
      <c r="FQ5" s="2067"/>
      <c r="FR5" s="2067"/>
      <c r="FS5" s="2067"/>
      <c r="FT5" s="2067"/>
      <c r="FU5" s="2067"/>
      <c r="FV5" s="2067"/>
      <c r="FW5" s="2067"/>
      <c r="FX5" s="2067"/>
      <c r="FY5" s="2067"/>
      <c r="FZ5" s="2067"/>
      <c r="GA5" s="2067"/>
      <c r="GB5" s="2067"/>
      <c r="GC5" s="2067"/>
      <c r="GD5" s="2067"/>
      <c r="GE5" s="2067"/>
      <c r="GF5" s="2067"/>
      <c r="GG5" s="2067"/>
      <c r="GH5" s="2067"/>
      <c r="GI5" s="2067"/>
      <c r="GJ5" s="2067"/>
      <c r="GK5" s="2067"/>
      <c r="GL5" s="2067"/>
      <c r="GM5" s="2067"/>
      <c r="GN5" s="2067"/>
      <c r="GO5" s="2067"/>
      <c r="GP5" s="2067"/>
      <c r="GQ5" s="2067"/>
      <c r="GR5" s="2067"/>
      <c r="GS5" s="2067"/>
      <c r="GT5" s="2067"/>
      <c r="GU5" s="2067"/>
      <c r="GV5" s="2067"/>
      <c r="GW5" s="2067"/>
      <c r="GX5" s="2067"/>
      <c r="GY5" s="2067"/>
      <c r="GZ5" s="2067"/>
      <c r="HA5" s="2067"/>
      <c r="HB5" s="2067"/>
      <c r="HC5" s="2067"/>
      <c r="HD5" s="2067"/>
      <c r="HE5" s="2067"/>
      <c r="HF5" s="2067"/>
      <c r="HG5" s="2067"/>
      <c r="HH5" s="2067"/>
      <c r="HI5" s="2067"/>
      <c r="HJ5" s="2067"/>
      <c r="HK5" s="2067"/>
      <c r="HL5" s="2067"/>
      <c r="HM5" s="2067"/>
      <c r="HN5" s="2067"/>
      <c r="HO5" s="2067"/>
      <c r="HP5" s="2067"/>
      <c r="HQ5" s="2067"/>
      <c r="HR5" s="2067"/>
      <c r="HS5" s="2067"/>
      <c r="HT5" s="2067"/>
      <c r="HU5" s="2067"/>
      <c r="HV5" s="2067"/>
      <c r="HW5" s="2067"/>
      <c r="HX5" s="2067"/>
      <c r="HY5" s="2067"/>
      <c r="HZ5" s="2067"/>
      <c r="IA5" s="2067"/>
      <c r="IB5" s="2067"/>
      <c r="IC5" s="2067"/>
      <c r="ID5" s="2067"/>
      <c r="IE5" s="2067"/>
      <c r="IF5" s="2067"/>
      <c r="IG5" s="2067"/>
      <c r="IH5" s="2067"/>
      <c r="II5" s="2067"/>
      <c r="IJ5" s="2067"/>
      <c r="IK5" s="2067"/>
      <c r="IL5" s="2067"/>
      <c r="IM5" s="2067"/>
      <c r="IN5" s="2067"/>
      <c r="IO5" s="2067"/>
      <c r="IP5" s="2067"/>
      <c r="IQ5" s="2067"/>
      <c r="IR5" s="2067"/>
      <c r="IS5" s="2067"/>
      <c r="IT5" s="2067"/>
      <c r="IU5" s="2067"/>
      <c r="IV5" s="2067"/>
      <c r="IW5" s="2067"/>
      <c r="IX5" s="2067"/>
      <c r="IY5" s="2067"/>
      <c r="IZ5" s="2067"/>
      <c r="JA5" s="2067"/>
      <c r="JB5" s="2067"/>
      <c r="JC5" s="2067"/>
      <c r="JD5" s="2067"/>
      <c r="JE5" s="2067"/>
      <c r="JF5" s="2067"/>
      <c r="JG5" s="2067"/>
      <c r="JH5" s="2067"/>
      <c r="JI5" s="2067"/>
      <c r="JJ5" s="2067"/>
      <c r="JK5" s="2067"/>
      <c r="JL5" s="2067"/>
      <c r="JM5" s="2067"/>
      <c r="JN5" s="2067"/>
      <c r="JO5" s="2067"/>
      <c r="JP5" s="2067"/>
      <c r="JQ5" s="2067"/>
      <c r="JR5" s="2067"/>
      <c r="JS5" s="2067"/>
      <c r="JT5" s="2067"/>
      <c r="JU5" s="2067"/>
      <c r="JV5" s="2067"/>
      <c r="JW5" s="2067"/>
      <c r="JX5" s="2067"/>
      <c r="JY5" s="2067"/>
      <c r="JZ5" s="2067"/>
      <c r="KA5" s="2067"/>
      <c r="KB5" s="2067"/>
      <c r="KC5" s="2067"/>
      <c r="KD5" s="2067"/>
      <c r="KE5" s="2067"/>
      <c r="KF5" s="2067"/>
      <c r="KG5" s="2067"/>
      <c r="KH5" s="2067"/>
      <c r="KI5" s="2067"/>
      <c r="KJ5" s="2067"/>
      <c r="KK5" s="2067"/>
      <c r="KL5" s="2067"/>
      <c r="KM5" s="2067"/>
      <c r="KN5" s="2067"/>
      <c r="KO5" s="2067"/>
      <c r="KP5" s="2067"/>
      <c r="KQ5" s="2067"/>
      <c r="KR5" s="2067"/>
      <c r="KS5" s="2067"/>
      <c r="KT5" s="2067"/>
      <c r="KU5" s="2067"/>
      <c r="KV5" s="2067"/>
      <c r="KW5" s="2067"/>
      <c r="KX5" s="2067"/>
      <c r="KY5" s="2067"/>
      <c r="KZ5" s="2067"/>
      <c r="LA5" s="2067"/>
      <c r="LB5" s="2067"/>
      <c r="LC5" s="2067"/>
      <c r="LD5" s="2067"/>
      <c r="LE5" s="2067"/>
      <c r="LF5" s="2067"/>
      <c r="LG5" s="2067"/>
      <c r="LH5" s="2067"/>
      <c r="LI5" s="2067"/>
      <c r="LJ5" s="2067"/>
      <c r="LK5" s="2067"/>
      <c r="LL5" s="2067"/>
      <c r="LM5" s="2067"/>
      <c r="LN5" s="2067"/>
      <c r="LO5" s="2067"/>
      <c r="LP5" s="2067"/>
      <c r="LQ5" s="2067"/>
      <c r="LR5" s="2067"/>
      <c r="LS5" s="2067"/>
      <c r="LT5" s="2067"/>
      <c r="LU5" s="2067"/>
      <c r="LV5" s="2067"/>
      <c r="LW5" s="2067"/>
      <c r="LX5" s="2067"/>
      <c r="LY5" s="2067"/>
      <c r="LZ5" s="2067"/>
      <c r="MA5" s="2067"/>
      <c r="MB5" s="2067"/>
      <c r="MC5" s="2067"/>
      <c r="MD5" s="2067"/>
      <c r="ME5" s="2067"/>
      <c r="MF5" s="2067"/>
      <c r="MG5" s="2067"/>
      <c r="MH5" s="2067"/>
      <c r="MI5" s="2067"/>
      <c r="MJ5" s="2067"/>
      <c r="MK5" s="2067"/>
      <c r="ML5" s="2067"/>
      <c r="MM5" s="2067"/>
      <c r="MN5" s="2067"/>
      <c r="MO5" s="2067"/>
      <c r="MP5" s="2067"/>
      <c r="MQ5" s="2067"/>
      <c r="MR5" s="2067"/>
      <c r="MS5" s="2067"/>
      <c r="MT5" s="2067"/>
      <c r="MU5" s="2067"/>
      <c r="MV5" s="2067"/>
      <c r="MW5" s="2067"/>
      <c r="MX5" s="2067"/>
      <c r="MY5" s="2067"/>
      <c r="MZ5" s="2067"/>
      <c r="NA5" s="2067"/>
      <c r="NB5" s="2067"/>
      <c r="NC5" s="2067"/>
      <c r="ND5" s="2067"/>
      <c r="NE5" s="2067"/>
      <c r="NF5" s="2067"/>
      <c r="NG5" s="2067"/>
      <c r="NH5" s="2067"/>
      <c r="NI5" s="2067"/>
      <c r="NJ5" s="2067"/>
      <c r="NK5" s="2067"/>
      <c r="NL5" s="2067"/>
      <c r="NM5" s="2067"/>
      <c r="NN5" s="2067"/>
      <c r="NO5" s="2067"/>
      <c r="NP5" s="2067"/>
      <c r="NQ5" s="2067"/>
      <c r="NR5" s="2067"/>
      <c r="NS5" s="2067"/>
      <c r="NT5" s="2067"/>
      <c r="NU5" s="2067"/>
      <c r="NV5" s="2067"/>
      <c r="NW5" s="2067"/>
      <c r="NX5" s="2067"/>
      <c r="NY5" s="2067"/>
      <c r="NZ5" s="2067"/>
      <c r="OA5" s="2067"/>
      <c r="OB5" s="2067"/>
      <c r="OC5" s="2067"/>
      <c r="OD5" s="2067"/>
      <c r="OE5" s="2067"/>
      <c r="OF5" s="2067"/>
      <c r="OG5" s="2067"/>
      <c r="OH5" s="2067"/>
      <c r="OI5" s="2067"/>
      <c r="OJ5" s="2067"/>
      <c r="OK5" s="2067"/>
      <c r="OL5" s="2067"/>
      <c r="OM5" s="2067"/>
      <c r="ON5" s="2067"/>
      <c r="OO5" s="2067"/>
      <c r="OP5" s="2067"/>
      <c r="OQ5" s="2067"/>
      <c r="OR5" s="2067"/>
      <c r="OS5" s="2067"/>
      <c r="OT5" s="2067"/>
      <c r="OU5" s="2067"/>
      <c r="OV5" s="2067"/>
      <c r="OW5" s="2067"/>
      <c r="OX5" s="2067"/>
      <c r="OY5" s="2067"/>
      <c r="OZ5" s="2067"/>
      <c r="PA5" s="2067"/>
      <c r="PB5" s="2067"/>
      <c r="PC5" s="2067"/>
      <c r="PD5" s="2067"/>
      <c r="PE5" s="2067"/>
      <c r="PF5" s="2067"/>
      <c r="PG5" s="2067"/>
      <c r="PH5" s="2067"/>
      <c r="PI5" s="2067"/>
      <c r="PJ5" s="2067"/>
      <c r="PK5" s="2067"/>
      <c r="PL5" s="2067"/>
      <c r="PM5" s="2067"/>
      <c r="PN5" s="2067"/>
      <c r="PO5" s="2067"/>
      <c r="PP5" s="2067"/>
      <c r="PQ5" s="2067"/>
      <c r="PR5" s="2067"/>
      <c r="PS5" s="2067"/>
      <c r="PT5" s="2067"/>
      <c r="PU5" s="2067"/>
      <c r="PV5" s="2067"/>
      <c r="PW5" s="2067"/>
      <c r="PX5" s="2067"/>
      <c r="PY5" s="2067"/>
      <c r="PZ5" s="2067"/>
      <c r="QA5" s="2067"/>
      <c r="QB5" s="2067"/>
      <c r="QC5" s="2067"/>
      <c r="QD5" s="2067"/>
      <c r="QE5" s="2067"/>
      <c r="QF5" s="2067"/>
      <c r="QG5" s="2067"/>
      <c r="QH5" s="2067"/>
      <c r="QI5" s="2067"/>
      <c r="QJ5" s="2067"/>
      <c r="QK5" s="2067"/>
      <c r="QL5" s="2067"/>
      <c r="QM5" s="2067"/>
      <c r="QN5" s="2067"/>
      <c r="QO5" s="2067"/>
      <c r="QP5" s="2067"/>
      <c r="QQ5" s="2067"/>
      <c r="QR5" s="2067"/>
      <c r="QS5" s="2067"/>
      <c r="QT5" s="2067"/>
      <c r="QU5" s="2067"/>
      <c r="QV5" s="2067"/>
      <c r="QW5" s="2067"/>
      <c r="QX5" s="2067"/>
      <c r="QY5" s="2067"/>
      <c r="QZ5" s="2067"/>
      <c r="RA5" s="2067"/>
      <c r="RB5" s="2067"/>
      <c r="RC5" s="2067"/>
      <c r="RD5" s="2067"/>
      <c r="RE5" s="2067"/>
      <c r="RF5" s="2067"/>
      <c r="RG5" s="2067"/>
      <c r="RH5" s="2067"/>
      <c r="RI5" s="2067"/>
      <c r="RJ5" s="2067"/>
      <c r="RK5" s="2067"/>
      <c r="RL5" s="2067"/>
      <c r="RM5" s="2067"/>
      <c r="RN5" s="2067"/>
      <c r="RO5" s="2067"/>
      <c r="RP5" s="2067"/>
      <c r="RQ5" s="2067"/>
      <c r="RR5" s="2067"/>
      <c r="RS5" s="2067"/>
      <c r="RT5" s="2067"/>
      <c r="RU5" s="2067"/>
      <c r="RV5" s="2067"/>
      <c r="RW5" s="2067"/>
      <c r="RX5" s="2067"/>
      <c r="RY5" s="2067"/>
      <c r="RZ5" s="2067"/>
      <c r="SA5" s="2067"/>
      <c r="SB5" s="2067"/>
      <c r="SC5" s="2067"/>
      <c r="SD5" s="2067"/>
      <c r="SE5" s="2067"/>
      <c r="SF5" s="2067"/>
      <c r="SG5" s="2067"/>
      <c r="SH5" s="2067"/>
      <c r="SI5" s="2067"/>
      <c r="SJ5" s="2067"/>
      <c r="SK5" s="2067"/>
      <c r="SL5" s="2067"/>
      <c r="SM5" s="2067"/>
      <c r="SN5" s="2067"/>
      <c r="SO5" s="2067"/>
      <c r="SP5" s="2067"/>
      <c r="SQ5" s="2067"/>
      <c r="SR5" s="2067"/>
      <c r="SS5" s="2067"/>
      <c r="ST5" s="2067"/>
      <c r="SU5" s="2067"/>
      <c r="SV5" s="2067"/>
      <c r="SW5" s="2067"/>
      <c r="SX5" s="2067"/>
      <c r="SY5" s="2067"/>
      <c r="SZ5" s="2067"/>
      <c r="TA5" s="2067"/>
      <c r="TB5" s="2067"/>
      <c r="TC5" s="2067"/>
      <c r="TD5" s="2067"/>
      <c r="TE5" s="2067"/>
      <c r="TF5" s="2067"/>
      <c r="TG5" s="2067"/>
      <c r="TH5" s="2067"/>
      <c r="TI5" s="2067"/>
      <c r="TJ5" s="2067"/>
      <c r="TK5" s="2067"/>
      <c r="TL5" s="2067"/>
      <c r="TM5" s="2067"/>
      <c r="TN5" s="2067"/>
      <c r="TO5" s="2067"/>
      <c r="TP5" s="2067"/>
      <c r="TQ5" s="2067"/>
      <c r="TR5" s="2067"/>
      <c r="TS5" s="2067"/>
      <c r="TT5" s="2067"/>
      <c r="TU5" s="2067"/>
      <c r="TV5" s="2067"/>
      <c r="TW5" s="2067"/>
      <c r="TX5" s="2067"/>
      <c r="TY5" s="2067"/>
      <c r="TZ5" s="2067"/>
      <c r="UA5" s="2067"/>
      <c r="UB5" s="2067"/>
      <c r="UC5" s="2067"/>
      <c r="UD5" s="2067"/>
      <c r="UE5" s="2067"/>
      <c r="UF5" s="2067"/>
      <c r="UG5" s="2067"/>
      <c r="UH5" s="2067"/>
      <c r="UI5" s="2067"/>
      <c r="UJ5" s="2067"/>
      <c r="UK5" s="2067"/>
      <c r="UL5" s="2067"/>
      <c r="UM5" s="2067"/>
      <c r="UN5" s="2067"/>
      <c r="UO5" s="2067"/>
      <c r="UP5" s="2067"/>
      <c r="UQ5" s="2067"/>
      <c r="UR5" s="2067"/>
      <c r="US5" s="2067"/>
      <c r="UT5" s="2067"/>
      <c r="UU5" s="2067"/>
      <c r="UV5" s="2067"/>
      <c r="UW5" s="2067"/>
      <c r="UX5" s="2067"/>
      <c r="UY5" s="2067"/>
      <c r="UZ5" s="2067"/>
      <c r="VA5" s="2067"/>
      <c r="VB5" s="2067"/>
      <c r="VC5" s="2067"/>
      <c r="VD5" s="2067"/>
      <c r="VE5" s="2067"/>
      <c r="VF5" s="2067"/>
      <c r="VG5" s="2067"/>
      <c r="VH5" s="2067"/>
      <c r="VI5" s="2067"/>
      <c r="VJ5" s="2067"/>
      <c r="VK5" s="2068"/>
    </row>
    <row r="6" spans="1:583" s="2053" customFormat="1" ht="15" customHeight="1" x14ac:dyDescent="0.25">
      <c r="B6" s="4725" t="s">
        <v>2683</v>
      </c>
      <c r="C6" s="4727" t="s">
        <v>2684</v>
      </c>
      <c r="D6" s="4729" t="s">
        <v>2685</v>
      </c>
      <c r="E6" s="4730"/>
      <c r="F6" s="4721" t="s">
        <v>2889</v>
      </c>
      <c r="G6" s="4722"/>
      <c r="H6" s="4722"/>
      <c r="I6" s="4722"/>
      <c r="J6" s="4722"/>
      <c r="K6" s="4722"/>
      <c r="L6" s="4722"/>
      <c r="M6" s="4722"/>
      <c r="N6" s="4722"/>
      <c r="O6" s="4722"/>
      <c r="P6" s="4722"/>
      <c r="Q6" s="4722"/>
      <c r="R6" s="4722"/>
      <c r="S6" s="4722"/>
      <c r="T6" s="4722"/>
      <c r="U6" s="4722"/>
      <c r="V6" s="4722"/>
      <c r="W6" s="4721" t="s">
        <v>2890</v>
      </c>
      <c r="X6" s="4722"/>
      <c r="Y6" s="4722"/>
      <c r="Z6" s="4722"/>
      <c r="AA6" s="4722"/>
      <c r="AB6" s="4722"/>
      <c r="AC6" s="4722"/>
      <c r="AD6" s="4722"/>
      <c r="AE6" s="4722"/>
      <c r="AF6" s="4722"/>
      <c r="AG6" s="4722"/>
      <c r="AH6" s="4722"/>
      <c r="AI6" s="4722"/>
      <c r="AJ6" s="4722"/>
      <c r="AK6" s="4722"/>
      <c r="AL6" s="4722"/>
      <c r="AM6" s="4722"/>
      <c r="AN6" s="4721" t="s">
        <v>2891</v>
      </c>
      <c r="AO6" s="4722"/>
      <c r="AP6" s="4722"/>
      <c r="AQ6" s="4722"/>
      <c r="AR6" s="4722"/>
      <c r="AS6" s="4722"/>
      <c r="AT6" s="4722"/>
      <c r="AU6" s="4722"/>
      <c r="AV6" s="4722"/>
      <c r="AW6" s="4722"/>
      <c r="AX6" s="4722"/>
      <c r="AY6" s="4722"/>
      <c r="AZ6" s="4722"/>
      <c r="BA6" s="4722"/>
      <c r="BB6" s="4722"/>
      <c r="BC6" s="4722"/>
      <c r="BD6" s="4722"/>
      <c r="BE6" s="4721" t="s">
        <v>2892</v>
      </c>
      <c r="BF6" s="4722"/>
      <c r="BG6" s="4722"/>
      <c r="BH6" s="4722"/>
      <c r="BI6" s="4722"/>
      <c r="BJ6" s="4722"/>
      <c r="BK6" s="4722"/>
      <c r="BL6" s="4722"/>
      <c r="BM6" s="4722"/>
      <c r="BN6" s="4722"/>
      <c r="BO6" s="4722"/>
      <c r="BP6" s="4722"/>
      <c r="BQ6" s="4722"/>
      <c r="BR6" s="4722"/>
      <c r="BS6" s="4722"/>
      <c r="BT6" s="4722"/>
      <c r="BU6" s="4722"/>
      <c r="BV6" s="4721" t="s">
        <v>2893</v>
      </c>
      <c r="BW6" s="4722"/>
      <c r="BX6" s="4722"/>
      <c r="BY6" s="4722"/>
      <c r="BZ6" s="4722"/>
      <c r="CA6" s="4722"/>
      <c r="CB6" s="4722"/>
      <c r="CC6" s="4722"/>
      <c r="CD6" s="4722"/>
      <c r="CE6" s="4722"/>
      <c r="CF6" s="4722"/>
      <c r="CG6" s="4722"/>
      <c r="CH6" s="4722"/>
      <c r="CI6" s="4722"/>
      <c r="CJ6" s="4722"/>
      <c r="CK6" s="4722"/>
      <c r="CL6" s="4723"/>
      <c r="CM6" s="2064"/>
      <c r="CN6" s="4717" t="s">
        <v>201</v>
      </c>
      <c r="CO6" s="4717"/>
      <c r="CP6" s="4717"/>
      <c r="CQ6" s="4717"/>
      <c r="CR6" s="4717"/>
      <c r="CS6" s="4717"/>
      <c r="CT6" s="4717"/>
      <c r="CU6" s="4717"/>
      <c r="CV6" s="4717"/>
      <c r="CW6" s="4717"/>
      <c r="CX6" s="4717"/>
      <c r="CY6" s="4717"/>
      <c r="CZ6" s="4717"/>
      <c r="DA6" s="4717"/>
      <c r="DB6" s="4717"/>
      <c r="DC6" s="4717"/>
      <c r="DD6" s="4716" t="s">
        <v>3181</v>
      </c>
      <c r="DE6" s="4717"/>
      <c r="DF6" s="4717"/>
      <c r="DG6" s="4717"/>
      <c r="DH6" s="4717"/>
      <c r="DI6" s="4717"/>
      <c r="DJ6" s="4717"/>
      <c r="DK6" s="4717"/>
      <c r="DL6" s="4717"/>
      <c r="DM6" s="4717"/>
      <c r="DN6" s="4717"/>
      <c r="DO6" s="4717"/>
      <c r="DP6" s="4717"/>
      <c r="DQ6" s="4717"/>
      <c r="DR6" s="4717"/>
      <c r="DS6" s="4717"/>
      <c r="DT6" s="4717"/>
      <c r="DU6" s="4716" t="s">
        <v>2894</v>
      </c>
      <c r="DV6" s="4717"/>
      <c r="DW6" s="4717"/>
      <c r="DX6" s="4717"/>
      <c r="DY6" s="4717"/>
      <c r="DZ6" s="4717"/>
      <c r="EA6" s="4717"/>
      <c r="EB6" s="4717"/>
      <c r="EC6" s="4717"/>
      <c r="ED6" s="4717"/>
      <c r="EE6" s="4717"/>
      <c r="EF6" s="4717"/>
      <c r="EG6" s="4717"/>
      <c r="EH6" s="4717"/>
      <c r="EI6" s="4717"/>
      <c r="EJ6" s="4717"/>
      <c r="EK6" s="4717"/>
      <c r="EL6" s="4716" t="s">
        <v>2895</v>
      </c>
      <c r="EM6" s="4717"/>
      <c r="EN6" s="4717"/>
      <c r="EO6" s="4717"/>
      <c r="EP6" s="4717"/>
      <c r="EQ6" s="4717"/>
      <c r="ER6" s="4717"/>
      <c r="ES6" s="4717"/>
      <c r="ET6" s="4717"/>
      <c r="EU6" s="4717"/>
      <c r="EV6" s="4717"/>
      <c r="EW6" s="4717"/>
      <c r="EX6" s="4717"/>
      <c r="EY6" s="4717"/>
      <c r="EZ6" s="4717"/>
      <c r="FA6" s="4717"/>
      <c r="FB6" s="4717"/>
      <c r="FC6" s="4716" t="s">
        <v>2896</v>
      </c>
      <c r="FD6" s="4717"/>
      <c r="FE6" s="4717"/>
      <c r="FF6" s="4717"/>
      <c r="FG6" s="4717"/>
      <c r="FH6" s="4717"/>
      <c r="FI6" s="4717"/>
      <c r="FJ6" s="4717"/>
      <c r="FK6" s="4717"/>
      <c r="FL6" s="4717"/>
      <c r="FM6" s="4717"/>
      <c r="FN6" s="4717"/>
      <c r="FO6" s="4717"/>
      <c r="FP6" s="4717"/>
      <c r="FQ6" s="4717"/>
      <c r="FR6" s="4717"/>
      <c r="FS6" s="4717"/>
      <c r="FT6" s="4716" t="s">
        <v>2897</v>
      </c>
      <c r="FU6" s="4717"/>
      <c r="FV6" s="4717"/>
      <c r="FW6" s="4717"/>
      <c r="FX6" s="4717"/>
      <c r="FY6" s="4717"/>
      <c r="FZ6" s="4717"/>
      <c r="GA6" s="4717"/>
      <c r="GB6" s="4717"/>
      <c r="GC6" s="4717"/>
      <c r="GD6" s="4717"/>
      <c r="GE6" s="4717"/>
      <c r="GF6" s="4717"/>
      <c r="GG6" s="4717"/>
      <c r="GH6" s="4717"/>
      <c r="GI6" s="4717"/>
      <c r="GJ6" s="4717"/>
      <c r="GK6" s="4716" t="s">
        <v>2898</v>
      </c>
      <c r="GL6" s="4717"/>
      <c r="GM6" s="4717"/>
      <c r="GN6" s="4717"/>
      <c r="GO6" s="4717"/>
      <c r="GP6" s="4717"/>
      <c r="GQ6" s="4717"/>
      <c r="GR6" s="4717"/>
      <c r="GS6" s="4717"/>
      <c r="GT6" s="4717"/>
      <c r="GU6" s="4717"/>
      <c r="GV6" s="4717"/>
      <c r="GW6" s="4717"/>
      <c r="GX6" s="4717"/>
      <c r="GY6" s="4717"/>
      <c r="GZ6" s="4717"/>
      <c r="HA6" s="4717"/>
      <c r="HB6" s="4716" t="s">
        <v>2899</v>
      </c>
      <c r="HC6" s="4717"/>
      <c r="HD6" s="4717"/>
      <c r="HE6" s="4717"/>
      <c r="HF6" s="4717"/>
      <c r="HG6" s="4717"/>
      <c r="HH6" s="4717"/>
      <c r="HI6" s="4717"/>
      <c r="HJ6" s="4717"/>
      <c r="HK6" s="4717"/>
      <c r="HL6" s="4717"/>
      <c r="HM6" s="4717"/>
      <c r="HN6" s="4717"/>
      <c r="HO6" s="4717"/>
      <c r="HP6" s="4717"/>
      <c r="HQ6" s="4717"/>
      <c r="HR6" s="4717"/>
      <c r="HS6" s="4716" t="s">
        <v>2900</v>
      </c>
      <c r="HT6" s="4717"/>
      <c r="HU6" s="4717"/>
      <c r="HV6" s="4717"/>
      <c r="HW6" s="4717"/>
      <c r="HX6" s="4717"/>
      <c r="HY6" s="4717"/>
      <c r="HZ6" s="4717"/>
      <c r="IA6" s="4717"/>
      <c r="IB6" s="4717"/>
      <c r="IC6" s="4717"/>
      <c r="ID6" s="4717"/>
      <c r="IE6" s="4717"/>
      <c r="IF6" s="4717"/>
      <c r="IG6" s="4717"/>
      <c r="IH6" s="4717"/>
      <c r="II6" s="4717"/>
      <c r="IJ6" s="4716" t="s">
        <v>2901</v>
      </c>
      <c r="IK6" s="4717"/>
      <c r="IL6" s="4717"/>
      <c r="IM6" s="4717"/>
      <c r="IN6" s="4717"/>
      <c r="IO6" s="4717"/>
      <c r="IP6" s="4717"/>
      <c r="IQ6" s="4717"/>
      <c r="IR6" s="4717"/>
      <c r="IS6" s="4717"/>
      <c r="IT6" s="4717"/>
      <c r="IU6" s="4717"/>
      <c r="IV6" s="4717"/>
      <c r="IW6" s="4717"/>
      <c r="IX6" s="4717"/>
      <c r="IY6" s="4717"/>
      <c r="IZ6" s="4717"/>
      <c r="JA6" s="4716" t="s">
        <v>2902</v>
      </c>
      <c r="JB6" s="4717"/>
      <c r="JC6" s="4717"/>
      <c r="JD6" s="4717"/>
      <c r="JE6" s="4717"/>
      <c r="JF6" s="4717"/>
      <c r="JG6" s="4717"/>
      <c r="JH6" s="4717"/>
      <c r="JI6" s="4717"/>
      <c r="JJ6" s="4717"/>
      <c r="JK6" s="4717"/>
      <c r="JL6" s="4717"/>
      <c r="JM6" s="4717"/>
      <c r="JN6" s="4717"/>
      <c r="JO6" s="4717"/>
      <c r="JP6" s="4717"/>
      <c r="JQ6" s="4717"/>
      <c r="JR6" s="2065"/>
      <c r="JS6" s="4717" t="s">
        <v>265</v>
      </c>
      <c r="JT6" s="4717"/>
      <c r="JU6" s="4717"/>
      <c r="JV6" s="4717"/>
      <c r="JW6" s="4717"/>
      <c r="JX6" s="4717"/>
      <c r="JY6" s="4717"/>
      <c r="JZ6" s="4717"/>
      <c r="KA6" s="4717"/>
      <c r="KB6" s="4717"/>
      <c r="KC6" s="4717"/>
      <c r="KD6" s="4717"/>
      <c r="KE6" s="4717"/>
      <c r="KF6" s="4717"/>
      <c r="KG6" s="4717"/>
      <c r="KH6" s="4717"/>
      <c r="KI6" s="4716" t="s">
        <v>353</v>
      </c>
      <c r="KJ6" s="4717"/>
      <c r="KK6" s="4717"/>
      <c r="KL6" s="4717"/>
      <c r="KM6" s="4717"/>
      <c r="KN6" s="4717"/>
      <c r="KO6" s="4717"/>
      <c r="KP6" s="4717"/>
      <c r="KQ6" s="4717"/>
      <c r="KR6" s="4717"/>
      <c r="KS6" s="4717"/>
      <c r="KT6" s="4717"/>
      <c r="KU6" s="4717"/>
      <c r="KV6" s="4717"/>
      <c r="KW6" s="4717"/>
      <c r="KX6" s="4717"/>
      <c r="KY6" s="4717"/>
      <c r="KZ6" s="4716" t="s">
        <v>2903</v>
      </c>
      <c r="LA6" s="4717"/>
      <c r="LB6" s="4717"/>
      <c r="LC6" s="4717"/>
      <c r="LD6" s="4717"/>
      <c r="LE6" s="4717"/>
      <c r="LF6" s="4717"/>
      <c r="LG6" s="4717"/>
      <c r="LH6" s="4717"/>
      <c r="LI6" s="4717"/>
      <c r="LJ6" s="4717"/>
      <c r="LK6" s="4717"/>
      <c r="LL6" s="4717"/>
      <c r="LM6" s="4717"/>
      <c r="LN6" s="4717"/>
      <c r="LO6" s="4717"/>
      <c r="LP6" s="4717"/>
      <c r="LQ6" s="4716" t="s">
        <v>221</v>
      </c>
      <c r="LR6" s="4717"/>
      <c r="LS6" s="4717"/>
      <c r="LT6" s="4717"/>
      <c r="LU6" s="4717"/>
      <c r="LV6" s="4717"/>
      <c r="LW6" s="4717"/>
      <c r="LX6" s="4717"/>
      <c r="LY6" s="4717"/>
      <c r="LZ6" s="4717"/>
      <c r="MA6" s="4717"/>
      <c r="MB6" s="4717"/>
      <c r="MC6" s="4717"/>
      <c r="MD6" s="4717"/>
      <c r="ME6" s="4717"/>
      <c r="MF6" s="4717"/>
      <c r="MG6" s="4717"/>
      <c r="MH6" s="4716" t="s">
        <v>2904</v>
      </c>
      <c r="MI6" s="4717"/>
      <c r="MJ6" s="4717"/>
      <c r="MK6" s="4717"/>
      <c r="ML6" s="4717"/>
      <c r="MM6" s="4717"/>
      <c r="MN6" s="4717"/>
      <c r="MO6" s="4717"/>
      <c r="MP6" s="4717"/>
      <c r="MQ6" s="4717"/>
      <c r="MR6" s="4717"/>
      <c r="MS6" s="4717"/>
      <c r="MT6" s="4717"/>
      <c r="MU6" s="4717"/>
      <c r="MV6" s="4717"/>
      <c r="MW6" s="4717"/>
      <c r="MX6" s="4717"/>
      <c r="MY6" s="4716" t="s">
        <v>2905</v>
      </c>
      <c r="MZ6" s="4717"/>
      <c r="NA6" s="4717"/>
      <c r="NB6" s="4717"/>
      <c r="NC6" s="4717"/>
      <c r="ND6" s="4717"/>
      <c r="NE6" s="4717"/>
      <c r="NF6" s="4717"/>
      <c r="NG6" s="4717"/>
      <c r="NH6" s="4717"/>
      <c r="NI6" s="4717"/>
      <c r="NJ6" s="4717"/>
      <c r="NK6" s="4717"/>
      <c r="NL6" s="4717"/>
      <c r="NM6" s="4717"/>
      <c r="NN6" s="4717"/>
      <c r="NO6" s="4717"/>
      <c r="NP6" s="4716" t="s">
        <v>2906</v>
      </c>
      <c r="NQ6" s="4717"/>
      <c r="NR6" s="4717"/>
      <c r="NS6" s="4717"/>
      <c r="NT6" s="4717"/>
      <c r="NU6" s="4717"/>
      <c r="NV6" s="4717"/>
      <c r="NW6" s="4717"/>
      <c r="NX6" s="4717"/>
      <c r="NY6" s="4717"/>
      <c r="NZ6" s="4717"/>
      <c r="OA6" s="4717"/>
      <c r="OB6" s="4717"/>
      <c r="OC6" s="4717"/>
      <c r="OD6" s="4717"/>
      <c r="OE6" s="4717"/>
      <c r="OF6" s="4717"/>
      <c r="OG6" s="4716" t="s">
        <v>2907</v>
      </c>
      <c r="OH6" s="4717"/>
      <c r="OI6" s="4717"/>
      <c r="OJ6" s="4717"/>
      <c r="OK6" s="4717"/>
      <c r="OL6" s="4717"/>
      <c r="OM6" s="4717"/>
      <c r="ON6" s="4717"/>
      <c r="OO6" s="4717"/>
      <c r="OP6" s="4717"/>
      <c r="OQ6" s="4717"/>
      <c r="OR6" s="4717"/>
      <c r="OS6" s="4717"/>
      <c r="OT6" s="4717"/>
      <c r="OU6" s="4717"/>
      <c r="OV6" s="4717"/>
      <c r="OW6" s="4717"/>
      <c r="OX6" s="4716" t="s">
        <v>2908</v>
      </c>
      <c r="OY6" s="4717"/>
      <c r="OZ6" s="4717"/>
      <c r="PA6" s="4717"/>
      <c r="PB6" s="4717"/>
      <c r="PC6" s="4717"/>
      <c r="PD6" s="4717"/>
      <c r="PE6" s="4717"/>
      <c r="PF6" s="4717"/>
      <c r="PG6" s="4717"/>
      <c r="PH6" s="4717"/>
      <c r="PI6" s="4717"/>
      <c r="PJ6" s="4717"/>
      <c r="PK6" s="4717"/>
      <c r="PL6" s="4717"/>
      <c r="PM6" s="4717"/>
      <c r="PN6" s="4717"/>
      <c r="PO6" s="4716" t="s">
        <v>2909</v>
      </c>
      <c r="PP6" s="4717"/>
      <c r="PQ6" s="4717"/>
      <c r="PR6" s="4717"/>
      <c r="PS6" s="4717"/>
      <c r="PT6" s="4717"/>
      <c r="PU6" s="4717"/>
      <c r="PV6" s="4717"/>
      <c r="PW6" s="4717"/>
      <c r="PX6" s="4717"/>
      <c r="PY6" s="4717"/>
      <c r="PZ6" s="4717"/>
      <c r="QA6" s="4717"/>
      <c r="QB6" s="4717"/>
      <c r="QC6" s="4717"/>
      <c r="QD6" s="4717"/>
      <c r="QE6" s="4717"/>
      <c r="QF6" s="4716" t="s">
        <v>2910</v>
      </c>
      <c r="QG6" s="4717"/>
      <c r="QH6" s="4717"/>
      <c r="QI6" s="4717"/>
      <c r="QJ6" s="4717"/>
      <c r="QK6" s="4717"/>
      <c r="QL6" s="4717"/>
      <c r="QM6" s="4717"/>
      <c r="QN6" s="4717"/>
      <c r="QO6" s="4717"/>
      <c r="QP6" s="4717"/>
      <c r="QQ6" s="4717"/>
      <c r="QR6" s="4717"/>
      <c r="QS6" s="4717"/>
      <c r="QT6" s="4717"/>
      <c r="QU6" s="4717"/>
      <c r="QV6" s="4717"/>
      <c r="QW6" s="4716" t="s">
        <v>2911</v>
      </c>
      <c r="QX6" s="4717"/>
      <c r="QY6" s="4717"/>
      <c r="QZ6" s="4717"/>
      <c r="RA6" s="4717"/>
      <c r="RB6" s="4717"/>
      <c r="RC6" s="4717"/>
      <c r="RD6" s="4717"/>
      <c r="RE6" s="4717"/>
      <c r="RF6" s="4717"/>
      <c r="RG6" s="4717"/>
      <c r="RH6" s="4717"/>
      <c r="RI6" s="4717"/>
      <c r="RJ6" s="4717"/>
      <c r="RK6" s="4717"/>
      <c r="RL6" s="4717"/>
      <c r="RM6" s="4717"/>
      <c r="RN6" s="4716" t="s">
        <v>1238</v>
      </c>
      <c r="RO6" s="4717"/>
      <c r="RP6" s="4717"/>
      <c r="RQ6" s="4717"/>
      <c r="RR6" s="4717"/>
      <c r="RS6" s="4717"/>
      <c r="RT6" s="4717"/>
      <c r="RU6" s="4717"/>
      <c r="RV6" s="4717"/>
      <c r="RW6" s="4717"/>
      <c r="RX6" s="4717"/>
      <c r="RY6" s="4717"/>
      <c r="RZ6" s="4717"/>
      <c r="SA6" s="4717"/>
      <c r="SB6" s="4717"/>
      <c r="SC6" s="4717"/>
      <c r="SD6" s="4717"/>
      <c r="SE6" s="4716" t="s">
        <v>2912</v>
      </c>
      <c r="SF6" s="4717"/>
      <c r="SG6" s="4717"/>
      <c r="SH6" s="4717"/>
      <c r="SI6" s="4717"/>
      <c r="SJ6" s="4717"/>
      <c r="SK6" s="4717"/>
      <c r="SL6" s="4717"/>
      <c r="SM6" s="4717"/>
      <c r="SN6" s="4717"/>
      <c r="SO6" s="4717"/>
      <c r="SP6" s="4717"/>
      <c r="SQ6" s="4717"/>
      <c r="SR6" s="4717"/>
      <c r="SS6" s="4717"/>
      <c r="ST6" s="4717"/>
      <c r="SU6" s="4717"/>
      <c r="SV6" s="4716" t="s">
        <v>2913</v>
      </c>
      <c r="SW6" s="4717"/>
      <c r="SX6" s="4717"/>
      <c r="SY6" s="4717"/>
      <c r="SZ6" s="4717"/>
      <c r="TA6" s="4717"/>
      <c r="TB6" s="4717"/>
      <c r="TC6" s="4717"/>
      <c r="TD6" s="4717"/>
      <c r="TE6" s="4717"/>
      <c r="TF6" s="4717"/>
      <c r="TG6" s="4717"/>
      <c r="TH6" s="4717"/>
      <c r="TI6" s="4717"/>
      <c r="TJ6" s="4717"/>
      <c r="TK6" s="4717"/>
      <c r="TL6" s="4717"/>
      <c r="TM6" s="4716" t="s">
        <v>2914</v>
      </c>
      <c r="TN6" s="4717"/>
      <c r="TO6" s="4717"/>
      <c r="TP6" s="4717"/>
      <c r="TQ6" s="4717"/>
      <c r="TR6" s="4717"/>
      <c r="TS6" s="4717"/>
      <c r="TT6" s="4717"/>
      <c r="TU6" s="4717"/>
      <c r="TV6" s="4717"/>
      <c r="TW6" s="4717"/>
      <c r="TX6" s="4717"/>
      <c r="TY6" s="4717"/>
      <c r="TZ6" s="4717"/>
      <c r="UA6" s="4717"/>
      <c r="UB6" s="4717"/>
      <c r="UC6" s="4717"/>
      <c r="UD6" s="4716" t="s">
        <v>2915</v>
      </c>
      <c r="UE6" s="4717"/>
      <c r="UF6" s="4717"/>
      <c r="UG6" s="4717"/>
      <c r="UH6" s="4717"/>
      <c r="UI6" s="4717"/>
      <c r="UJ6" s="4717"/>
      <c r="UK6" s="4717"/>
      <c r="UL6" s="4717"/>
      <c r="UM6" s="4717"/>
      <c r="UN6" s="4717"/>
      <c r="UO6" s="4717"/>
      <c r="UP6" s="4717"/>
      <c r="UQ6" s="4717"/>
      <c r="UR6" s="4717"/>
      <c r="US6" s="4717"/>
      <c r="UT6" s="4717"/>
      <c r="UU6" s="4716" t="s">
        <v>2916</v>
      </c>
      <c r="UV6" s="4717"/>
      <c r="UW6" s="4717"/>
      <c r="UX6" s="4717"/>
      <c r="UY6" s="4717"/>
      <c r="UZ6" s="4717"/>
      <c r="VA6" s="4717"/>
      <c r="VB6" s="4717"/>
      <c r="VC6" s="4717"/>
      <c r="VD6" s="4717"/>
      <c r="VE6" s="4717"/>
      <c r="VF6" s="4717"/>
      <c r="VG6" s="4717"/>
      <c r="VH6" s="4717"/>
      <c r="VI6" s="4717"/>
      <c r="VJ6" s="4717"/>
      <c r="VK6" s="4718"/>
    </row>
    <row r="7" spans="1:583" s="2053" customFormat="1" ht="15.75" customHeight="1" x14ac:dyDescent="0.25">
      <c r="B7" s="4726"/>
      <c r="C7" s="4728"/>
      <c r="D7" s="4729"/>
      <c r="E7" s="4730"/>
      <c r="F7" s="2069">
        <v>0</v>
      </c>
      <c r="G7" s="2069">
        <v>0</v>
      </c>
      <c r="H7" s="2069">
        <v>1</v>
      </c>
      <c r="I7" s="2070">
        <f>H7+1</f>
        <v>2</v>
      </c>
      <c r="J7" s="2070">
        <f>I7+1</f>
        <v>3</v>
      </c>
      <c r="K7" s="2070">
        <f t="shared" ref="K7:V7" si="0">J7+1</f>
        <v>4</v>
      </c>
      <c r="L7" s="2070">
        <f t="shared" si="0"/>
        <v>5</v>
      </c>
      <c r="M7" s="2070">
        <f t="shared" si="0"/>
        <v>6</v>
      </c>
      <c r="N7" s="2070">
        <f t="shared" si="0"/>
        <v>7</v>
      </c>
      <c r="O7" s="2070">
        <f t="shared" si="0"/>
        <v>8</v>
      </c>
      <c r="P7" s="2070">
        <f t="shared" si="0"/>
        <v>9</v>
      </c>
      <c r="Q7" s="2070">
        <f t="shared" si="0"/>
        <v>10</v>
      </c>
      <c r="R7" s="2070">
        <f t="shared" si="0"/>
        <v>11</v>
      </c>
      <c r="S7" s="2070">
        <f t="shared" si="0"/>
        <v>12</v>
      </c>
      <c r="T7" s="2070">
        <f t="shared" si="0"/>
        <v>13</v>
      </c>
      <c r="U7" s="2070">
        <f t="shared" si="0"/>
        <v>14</v>
      </c>
      <c r="V7" s="2070">
        <f t="shared" si="0"/>
        <v>15</v>
      </c>
      <c r="W7" s="2069">
        <v>0</v>
      </c>
      <c r="X7" s="2069">
        <v>0</v>
      </c>
      <c r="Y7" s="2069">
        <v>1</v>
      </c>
      <c r="Z7" s="2070">
        <f>Y7+1</f>
        <v>2</v>
      </c>
      <c r="AA7" s="2070">
        <f>Z7+1</f>
        <v>3</v>
      </c>
      <c r="AB7" s="2070">
        <f t="shared" ref="AB7:AM7" si="1">AA7+1</f>
        <v>4</v>
      </c>
      <c r="AC7" s="2070">
        <f t="shared" si="1"/>
        <v>5</v>
      </c>
      <c r="AD7" s="2070">
        <f t="shared" si="1"/>
        <v>6</v>
      </c>
      <c r="AE7" s="2070">
        <f t="shared" si="1"/>
        <v>7</v>
      </c>
      <c r="AF7" s="2070">
        <f t="shared" si="1"/>
        <v>8</v>
      </c>
      <c r="AG7" s="2070">
        <f t="shared" si="1"/>
        <v>9</v>
      </c>
      <c r="AH7" s="2070">
        <f t="shared" si="1"/>
        <v>10</v>
      </c>
      <c r="AI7" s="2070">
        <f t="shared" si="1"/>
        <v>11</v>
      </c>
      <c r="AJ7" s="2070">
        <f t="shared" si="1"/>
        <v>12</v>
      </c>
      <c r="AK7" s="2070">
        <f t="shared" si="1"/>
        <v>13</v>
      </c>
      <c r="AL7" s="2070">
        <f t="shared" si="1"/>
        <v>14</v>
      </c>
      <c r="AM7" s="2070">
        <f t="shared" si="1"/>
        <v>15</v>
      </c>
      <c r="AN7" s="2069">
        <v>0</v>
      </c>
      <c r="AO7" s="2069">
        <v>0</v>
      </c>
      <c r="AP7" s="2069">
        <v>1</v>
      </c>
      <c r="AQ7" s="2070">
        <f>AP7+1</f>
        <v>2</v>
      </c>
      <c r="AR7" s="2070">
        <f>AQ7+1</f>
        <v>3</v>
      </c>
      <c r="AS7" s="2070">
        <f t="shared" ref="AS7:BD7" si="2">AR7+1</f>
        <v>4</v>
      </c>
      <c r="AT7" s="2070">
        <f t="shared" si="2"/>
        <v>5</v>
      </c>
      <c r="AU7" s="2070">
        <f t="shared" si="2"/>
        <v>6</v>
      </c>
      <c r="AV7" s="2070">
        <f t="shared" si="2"/>
        <v>7</v>
      </c>
      <c r="AW7" s="2070">
        <f t="shared" si="2"/>
        <v>8</v>
      </c>
      <c r="AX7" s="2070">
        <f t="shared" si="2"/>
        <v>9</v>
      </c>
      <c r="AY7" s="2070">
        <f t="shared" si="2"/>
        <v>10</v>
      </c>
      <c r="AZ7" s="2070">
        <f t="shared" si="2"/>
        <v>11</v>
      </c>
      <c r="BA7" s="2070">
        <f t="shared" si="2"/>
        <v>12</v>
      </c>
      <c r="BB7" s="2070">
        <f t="shared" si="2"/>
        <v>13</v>
      </c>
      <c r="BC7" s="2070">
        <f t="shared" si="2"/>
        <v>14</v>
      </c>
      <c r="BD7" s="2070">
        <f t="shared" si="2"/>
        <v>15</v>
      </c>
      <c r="BE7" s="2069">
        <v>0</v>
      </c>
      <c r="BF7" s="2069">
        <v>0</v>
      </c>
      <c r="BG7" s="2069">
        <v>1</v>
      </c>
      <c r="BH7" s="2070">
        <f>BG7+1</f>
        <v>2</v>
      </c>
      <c r="BI7" s="2070">
        <f>BH7+1</f>
        <v>3</v>
      </c>
      <c r="BJ7" s="2070">
        <f t="shared" ref="BJ7:BU7" si="3">BI7+1</f>
        <v>4</v>
      </c>
      <c r="BK7" s="2070">
        <f t="shared" si="3"/>
        <v>5</v>
      </c>
      <c r="BL7" s="2070">
        <f t="shared" si="3"/>
        <v>6</v>
      </c>
      <c r="BM7" s="2070">
        <f t="shared" si="3"/>
        <v>7</v>
      </c>
      <c r="BN7" s="2070">
        <f t="shared" si="3"/>
        <v>8</v>
      </c>
      <c r="BO7" s="2070">
        <f t="shared" si="3"/>
        <v>9</v>
      </c>
      <c r="BP7" s="2070">
        <f t="shared" si="3"/>
        <v>10</v>
      </c>
      <c r="BQ7" s="2070">
        <f t="shared" si="3"/>
        <v>11</v>
      </c>
      <c r="BR7" s="2070">
        <f t="shared" si="3"/>
        <v>12</v>
      </c>
      <c r="BS7" s="2070">
        <f t="shared" si="3"/>
        <v>13</v>
      </c>
      <c r="BT7" s="2070">
        <f t="shared" si="3"/>
        <v>14</v>
      </c>
      <c r="BU7" s="2070">
        <f t="shared" si="3"/>
        <v>15</v>
      </c>
      <c r="BV7" s="2069">
        <v>0</v>
      </c>
      <c r="BW7" s="2069">
        <v>0</v>
      </c>
      <c r="BX7" s="2069">
        <v>1</v>
      </c>
      <c r="BY7" s="2070">
        <f>BX7+1</f>
        <v>2</v>
      </c>
      <c r="BZ7" s="2070">
        <f>BY7+1</f>
        <v>3</v>
      </c>
      <c r="CA7" s="2070">
        <f t="shared" ref="CA7:CL7" si="4">BZ7+1</f>
        <v>4</v>
      </c>
      <c r="CB7" s="2070">
        <f t="shared" si="4"/>
        <v>5</v>
      </c>
      <c r="CC7" s="2070">
        <f t="shared" si="4"/>
        <v>6</v>
      </c>
      <c r="CD7" s="2070">
        <f t="shared" si="4"/>
        <v>7</v>
      </c>
      <c r="CE7" s="2070">
        <f t="shared" si="4"/>
        <v>8</v>
      </c>
      <c r="CF7" s="2070">
        <f t="shared" si="4"/>
        <v>9</v>
      </c>
      <c r="CG7" s="2070">
        <f t="shared" si="4"/>
        <v>10</v>
      </c>
      <c r="CH7" s="2070">
        <f t="shared" si="4"/>
        <v>11</v>
      </c>
      <c r="CI7" s="2070">
        <f t="shared" si="4"/>
        <v>12</v>
      </c>
      <c r="CJ7" s="2070">
        <f t="shared" si="4"/>
        <v>13</v>
      </c>
      <c r="CK7" s="2070">
        <f t="shared" si="4"/>
        <v>14</v>
      </c>
      <c r="CL7" s="2070">
        <f t="shared" si="4"/>
        <v>15</v>
      </c>
      <c r="CM7" s="2069">
        <v>0</v>
      </c>
      <c r="CN7" s="2069">
        <v>0</v>
      </c>
      <c r="CO7" s="2069">
        <v>1</v>
      </c>
      <c r="CP7" s="2070">
        <f>CO7+1</f>
        <v>2</v>
      </c>
      <c r="CQ7" s="2070">
        <f>CP7+1</f>
        <v>3</v>
      </c>
      <c r="CR7" s="2070">
        <f t="shared" ref="CR7:DC7" si="5">CQ7+1</f>
        <v>4</v>
      </c>
      <c r="CS7" s="2070">
        <f t="shared" si="5"/>
        <v>5</v>
      </c>
      <c r="CT7" s="2070">
        <f t="shared" si="5"/>
        <v>6</v>
      </c>
      <c r="CU7" s="2070">
        <f t="shared" si="5"/>
        <v>7</v>
      </c>
      <c r="CV7" s="2070">
        <f t="shared" si="5"/>
        <v>8</v>
      </c>
      <c r="CW7" s="2070">
        <f t="shared" si="5"/>
        <v>9</v>
      </c>
      <c r="CX7" s="2070">
        <f t="shared" si="5"/>
        <v>10</v>
      </c>
      <c r="CY7" s="2070">
        <f t="shared" si="5"/>
        <v>11</v>
      </c>
      <c r="CZ7" s="2070">
        <f t="shared" si="5"/>
        <v>12</v>
      </c>
      <c r="DA7" s="2070">
        <f t="shared" si="5"/>
        <v>13</v>
      </c>
      <c r="DB7" s="2070">
        <f t="shared" si="5"/>
        <v>14</v>
      </c>
      <c r="DC7" s="2070">
        <f t="shared" si="5"/>
        <v>15</v>
      </c>
      <c r="DD7" s="2069">
        <v>0</v>
      </c>
      <c r="DE7" s="2069">
        <v>0</v>
      </c>
      <c r="DF7" s="2069">
        <v>1</v>
      </c>
      <c r="DG7" s="2070">
        <f>DF7+1</f>
        <v>2</v>
      </c>
      <c r="DH7" s="2070">
        <f>DG7+1</f>
        <v>3</v>
      </c>
      <c r="DI7" s="2070">
        <f t="shared" ref="DI7:DT7" si="6">DH7+1</f>
        <v>4</v>
      </c>
      <c r="DJ7" s="2070">
        <f t="shared" si="6"/>
        <v>5</v>
      </c>
      <c r="DK7" s="2070">
        <f t="shared" si="6"/>
        <v>6</v>
      </c>
      <c r="DL7" s="2070">
        <f t="shared" si="6"/>
        <v>7</v>
      </c>
      <c r="DM7" s="2070">
        <f t="shared" si="6"/>
        <v>8</v>
      </c>
      <c r="DN7" s="2070">
        <f t="shared" si="6"/>
        <v>9</v>
      </c>
      <c r="DO7" s="2070">
        <f t="shared" si="6"/>
        <v>10</v>
      </c>
      <c r="DP7" s="2070">
        <f t="shared" si="6"/>
        <v>11</v>
      </c>
      <c r="DQ7" s="2070">
        <f t="shared" si="6"/>
        <v>12</v>
      </c>
      <c r="DR7" s="2070">
        <f t="shared" si="6"/>
        <v>13</v>
      </c>
      <c r="DS7" s="2070">
        <f t="shared" si="6"/>
        <v>14</v>
      </c>
      <c r="DT7" s="2070">
        <f t="shared" si="6"/>
        <v>15</v>
      </c>
      <c r="DU7" s="2069">
        <v>0</v>
      </c>
      <c r="DV7" s="2069">
        <v>0</v>
      </c>
      <c r="DW7" s="2069">
        <v>1</v>
      </c>
      <c r="DX7" s="2070">
        <f>DW7+1</f>
        <v>2</v>
      </c>
      <c r="DY7" s="2070">
        <f>DX7+1</f>
        <v>3</v>
      </c>
      <c r="DZ7" s="2070">
        <f t="shared" ref="DZ7:EK7" si="7">DY7+1</f>
        <v>4</v>
      </c>
      <c r="EA7" s="2070">
        <f t="shared" si="7"/>
        <v>5</v>
      </c>
      <c r="EB7" s="2070">
        <f t="shared" si="7"/>
        <v>6</v>
      </c>
      <c r="EC7" s="2070">
        <f t="shared" si="7"/>
        <v>7</v>
      </c>
      <c r="ED7" s="2070">
        <f t="shared" si="7"/>
        <v>8</v>
      </c>
      <c r="EE7" s="2070">
        <f t="shared" si="7"/>
        <v>9</v>
      </c>
      <c r="EF7" s="2070">
        <f t="shared" si="7"/>
        <v>10</v>
      </c>
      <c r="EG7" s="2070">
        <f t="shared" si="7"/>
        <v>11</v>
      </c>
      <c r="EH7" s="2070">
        <f t="shared" si="7"/>
        <v>12</v>
      </c>
      <c r="EI7" s="2070">
        <f t="shared" si="7"/>
        <v>13</v>
      </c>
      <c r="EJ7" s="2070">
        <f t="shared" si="7"/>
        <v>14</v>
      </c>
      <c r="EK7" s="2070">
        <f t="shared" si="7"/>
        <v>15</v>
      </c>
      <c r="EL7" s="2069">
        <v>0</v>
      </c>
      <c r="EM7" s="2069">
        <v>0</v>
      </c>
      <c r="EN7" s="2069">
        <v>1</v>
      </c>
      <c r="EO7" s="2070">
        <f>EN7+1</f>
        <v>2</v>
      </c>
      <c r="EP7" s="2070">
        <f>EO7+1</f>
        <v>3</v>
      </c>
      <c r="EQ7" s="2070">
        <f t="shared" ref="EQ7:FB7" si="8">EP7+1</f>
        <v>4</v>
      </c>
      <c r="ER7" s="2070">
        <f t="shared" si="8"/>
        <v>5</v>
      </c>
      <c r="ES7" s="2070">
        <f t="shared" si="8"/>
        <v>6</v>
      </c>
      <c r="ET7" s="2070">
        <f t="shared" si="8"/>
        <v>7</v>
      </c>
      <c r="EU7" s="2070">
        <f t="shared" si="8"/>
        <v>8</v>
      </c>
      <c r="EV7" s="2070">
        <f t="shared" si="8"/>
        <v>9</v>
      </c>
      <c r="EW7" s="2070">
        <f t="shared" si="8"/>
        <v>10</v>
      </c>
      <c r="EX7" s="2070">
        <f t="shared" si="8"/>
        <v>11</v>
      </c>
      <c r="EY7" s="2070">
        <f t="shared" si="8"/>
        <v>12</v>
      </c>
      <c r="EZ7" s="2070">
        <f t="shared" si="8"/>
        <v>13</v>
      </c>
      <c r="FA7" s="2070">
        <f t="shared" si="8"/>
        <v>14</v>
      </c>
      <c r="FB7" s="2070">
        <f t="shared" si="8"/>
        <v>15</v>
      </c>
      <c r="FC7" s="2069">
        <v>0</v>
      </c>
      <c r="FD7" s="2069">
        <v>0</v>
      </c>
      <c r="FE7" s="2069">
        <v>1</v>
      </c>
      <c r="FF7" s="2070">
        <f>FE7+1</f>
        <v>2</v>
      </c>
      <c r="FG7" s="2070">
        <f>FF7+1</f>
        <v>3</v>
      </c>
      <c r="FH7" s="2070">
        <f t="shared" ref="FH7:FS7" si="9">FG7+1</f>
        <v>4</v>
      </c>
      <c r="FI7" s="2070">
        <f t="shared" si="9"/>
        <v>5</v>
      </c>
      <c r="FJ7" s="2070">
        <f t="shared" si="9"/>
        <v>6</v>
      </c>
      <c r="FK7" s="2070">
        <f t="shared" si="9"/>
        <v>7</v>
      </c>
      <c r="FL7" s="2070">
        <f t="shared" si="9"/>
        <v>8</v>
      </c>
      <c r="FM7" s="2070">
        <f t="shared" si="9"/>
        <v>9</v>
      </c>
      <c r="FN7" s="2070">
        <f t="shared" si="9"/>
        <v>10</v>
      </c>
      <c r="FO7" s="2070">
        <f t="shared" si="9"/>
        <v>11</v>
      </c>
      <c r="FP7" s="2070">
        <f t="shared" si="9"/>
        <v>12</v>
      </c>
      <c r="FQ7" s="2070">
        <f t="shared" si="9"/>
        <v>13</v>
      </c>
      <c r="FR7" s="2070">
        <f t="shared" si="9"/>
        <v>14</v>
      </c>
      <c r="FS7" s="2070">
        <f t="shared" si="9"/>
        <v>15</v>
      </c>
      <c r="FT7" s="2069">
        <v>0</v>
      </c>
      <c r="FU7" s="2069">
        <v>0</v>
      </c>
      <c r="FV7" s="2069">
        <v>1</v>
      </c>
      <c r="FW7" s="2070">
        <f>FV7+1</f>
        <v>2</v>
      </c>
      <c r="FX7" s="2070">
        <f>FW7+1</f>
        <v>3</v>
      </c>
      <c r="FY7" s="2070">
        <f t="shared" ref="FY7:GJ7" si="10">FX7+1</f>
        <v>4</v>
      </c>
      <c r="FZ7" s="2070">
        <f t="shared" si="10"/>
        <v>5</v>
      </c>
      <c r="GA7" s="2070">
        <f t="shared" si="10"/>
        <v>6</v>
      </c>
      <c r="GB7" s="2070">
        <f t="shared" si="10"/>
        <v>7</v>
      </c>
      <c r="GC7" s="2070">
        <f t="shared" si="10"/>
        <v>8</v>
      </c>
      <c r="GD7" s="2070">
        <f t="shared" si="10"/>
        <v>9</v>
      </c>
      <c r="GE7" s="2070">
        <f t="shared" si="10"/>
        <v>10</v>
      </c>
      <c r="GF7" s="2070">
        <f t="shared" si="10"/>
        <v>11</v>
      </c>
      <c r="GG7" s="2070">
        <f t="shared" si="10"/>
        <v>12</v>
      </c>
      <c r="GH7" s="2070">
        <f t="shared" si="10"/>
        <v>13</v>
      </c>
      <c r="GI7" s="2070">
        <f t="shared" si="10"/>
        <v>14</v>
      </c>
      <c r="GJ7" s="2070">
        <f t="shared" si="10"/>
        <v>15</v>
      </c>
      <c r="GK7" s="2069">
        <v>0</v>
      </c>
      <c r="GL7" s="2069">
        <v>0</v>
      </c>
      <c r="GM7" s="2069">
        <v>1</v>
      </c>
      <c r="GN7" s="2070">
        <f>GM7+1</f>
        <v>2</v>
      </c>
      <c r="GO7" s="2070">
        <f>GN7+1</f>
        <v>3</v>
      </c>
      <c r="GP7" s="2070">
        <f t="shared" ref="GP7:HA7" si="11">GO7+1</f>
        <v>4</v>
      </c>
      <c r="GQ7" s="2070">
        <f t="shared" si="11"/>
        <v>5</v>
      </c>
      <c r="GR7" s="2070">
        <f t="shared" si="11"/>
        <v>6</v>
      </c>
      <c r="GS7" s="2070">
        <f t="shared" si="11"/>
        <v>7</v>
      </c>
      <c r="GT7" s="2070">
        <f t="shared" si="11"/>
        <v>8</v>
      </c>
      <c r="GU7" s="2070">
        <f t="shared" si="11"/>
        <v>9</v>
      </c>
      <c r="GV7" s="2070">
        <f t="shared" si="11"/>
        <v>10</v>
      </c>
      <c r="GW7" s="2070">
        <f t="shared" si="11"/>
        <v>11</v>
      </c>
      <c r="GX7" s="2070">
        <f t="shared" si="11"/>
        <v>12</v>
      </c>
      <c r="GY7" s="2070">
        <f t="shared" si="11"/>
        <v>13</v>
      </c>
      <c r="GZ7" s="2070">
        <f t="shared" si="11"/>
        <v>14</v>
      </c>
      <c r="HA7" s="2070">
        <f t="shared" si="11"/>
        <v>15</v>
      </c>
      <c r="HB7" s="2069">
        <v>0</v>
      </c>
      <c r="HC7" s="2069">
        <v>0</v>
      </c>
      <c r="HD7" s="2069">
        <v>1</v>
      </c>
      <c r="HE7" s="2070">
        <f>HD7+1</f>
        <v>2</v>
      </c>
      <c r="HF7" s="2070">
        <f>HE7+1</f>
        <v>3</v>
      </c>
      <c r="HG7" s="2070">
        <f t="shared" ref="HG7:HR7" si="12">HF7+1</f>
        <v>4</v>
      </c>
      <c r="HH7" s="2070">
        <f t="shared" si="12"/>
        <v>5</v>
      </c>
      <c r="HI7" s="2070">
        <f t="shared" si="12"/>
        <v>6</v>
      </c>
      <c r="HJ7" s="2070">
        <f t="shared" si="12"/>
        <v>7</v>
      </c>
      <c r="HK7" s="2070">
        <f t="shared" si="12"/>
        <v>8</v>
      </c>
      <c r="HL7" s="2070">
        <f t="shared" si="12"/>
        <v>9</v>
      </c>
      <c r="HM7" s="2070">
        <f t="shared" si="12"/>
        <v>10</v>
      </c>
      <c r="HN7" s="2070">
        <f t="shared" si="12"/>
        <v>11</v>
      </c>
      <c r="HO7" s="2070">
        <f t="shared" si="12"/>
        <v>12</v>
      </c>
      <c r="HP7" s="2070">
        <f t="shared" si="12"/>
        <v>13</v>
      </c>
      <c r="HQ7" s="2070">
        <f t="shared" si="12"/>
        <v>14</v>
      </c>
      <c r="HR7" s="2070">
        <f t="shared" si="12"/>
        <v>15</v>
      </c>
      <c r="HS7" s="2069">
        <v>0</v>
      </c>
      <c r="HT7" s="2069">
        <v>0</v>
      </c>
      <c r="HU7" s="2069">
        <v>1</v>
      </c>
      <c r="HV7" s="2070">
        <f>HU7+1</f>
        <v>2</v>
      </c>
      <c r="HW7" s="2070">
        <f>HV7+1</f>
        <v>3</v>
      </c>
      <c r="HX7" s="2070">
        <f t="shared" ref="HX7:II7" si="13">HW7+1</f>
        <v>4</v>
      </c>
      <c r="HY7" s="2070">
        <f t="shared" si="13"/>
        <v>5</v>
      </c>
      <c r="HZ7" s="2070">
        <f t="shared" si="13"/>
        <v>6</v>
      </c>
      <c r="IA7" s="2070">
        <f t="shared" si="13"/>
        <v>7</v>
      </c>
      <c r="IB7" s="2070">
        <f t="shared" si="13"/>
        <v>8</v>
      </c>
      <c r="IC7" s="2070">
        <f t="shared" si="13"/>
        <v>9</v>
      </c>
      <c r="ID7" s="2070">
        <f t="shared" si="13"/>
        <v>10</v>
      </c>
      <c r="IE7" s="2070">
        <f t="shared" si="13"/>
        <v>11</v>
      </c>
      <c r="IF7" s="2070">
        <f t="shared" si="13"/>
        <v>12</v>
      </c>
      <c r="IG7" s="2070">
        <f t="shared" si="13"/>
        <v>13</v>
      </c>
      <c r="IH7" s="2070">
        <f t="shared" si="13"/>
        <v>14</v>
      </c>
      <c r="II7" s="2070">
        <f t="shared" si="13"/>
        <v>15</v>
      </c>
      <c r="IJ7" s="2069">
        <v>0</v>
      </c>
      <c r="IK7" s="2069">
        <v>0</v>
      </c>
      <c r="IL7" s="2069">
        <v>1</v>
      </c>
      <c r="IM7" s="2070">
        <f>IL7+1</f>
        <v>2</v>
      </c>
      <c r="IN7" s="2070">
        <f>IM7+1</f>
        <v>3</v>
      </c>
      <c r="IO7" s="2070">
        <f t="shared" ref="IO7:IZ7" si="14">IN7+1</f>
        <v>4</v>
      </c>
      <c r="IP7" s="2070">
        <f t="shared" si="14"/>
        <v>5</v>
      </c>
      <c r="IQ7" s="2070">
        <f t="shared" si="14"/>
        <v>6</v>
      </c>
      <c r="IR7" s="2070">
        <f t="shared" si="14"/>
        <v>7</v>
      </c>
      <c r="IS7" s="2070">
        <f t="shared" si="14"/>
        <v>8</v>
      </c>
      <c r="IT7" s="2070">
        <f t="shared" si="14"/>
        <v>9</v>
      </c>
      <c r="IU7" s="2070">
        <f t="shared" si="14"/>
        <v>10</v>
      </c>
      <c r="IV7" s="2070">
        <f t="shared" si="14"/>
        <v>11</v>
      </c>
      <c r="IW7" s="2070">
        <f t="shared" si="14"/>
        <v>12</v>
      </c>
      <c r="IX7" s="2070">
        <f t="shared" si="14"/>
        <v>13</v>
      </c>
      <c r="IY7" s="2070">
        <f t="shared" si="14"/>
        <v>14</v>
      </c>
      <c r="IZ7" s="2070">
        <f t="shared" si="14"/>
        <v>15</v>
      </c>
      <c r="JA7" s="2069">
        <v>0</v>
      </c>
      <c r="JB7" s="2069">
        <v>0</v>
      </c>
      <c r="JC7" s="2069">
        <v>1</v>
      </c>
      <c r="JD7" s="2070">
        <f>JC7+1</f>
        <v>2</v>
      </c>
      <c r="JE7" s="2070">
        <f>JD7+1</f>
        <v>3</v>
      </c>
      <c r="JF7" s="2070">
        <f t="shared" ref="JF7:JQ7" si="15">JE7+1</f>
        <v>4</v>
      </c>
      <c r="JG7" s="2070">
        <f t="shared" si="15"/>
        <v>5</v>
      </c>
      <c r="JH7" s="2070">
        <f t="shared" si="15"/>
        <v>6</v>
      </c>
      <c r="JI7" s="2070">
        <f t="shared" si="15"/>
        <v>7</v>
      </c>
      <c r="JJ7" s="2070">
        <f t="shared" si="15"/>
        <v>8</v>
      </c>
      <c r="JK7" s="2070">
        <f t="shared" si="15"/>
        <v>9</v>
      </c>
      <c r="JL7" s="2070">
        <f t="shared" si="15"/>
        <v>10</v>
      </c>
      <c r="JM7" s="2070">
        <f t="shared" si="15"/>
        <v>11</v>
      </c>
      <c r="JN7" s="2070">
        <f t="shared" si="15"/>
        <v>12</v>
      </c>
      <c r="JO7" s="2070">
        <f t="shared" si="15"/>
        <v>13</v>
      </c>
      <c r="JP7" s="2070">
        <f t="shared" si="15"/>
        <v>14</v>
      </c>
      <c r="JQ7" s="2070">
        <f t="shared" si="15"/>
        <v>15</v>
      </c>
      <c r="JR7" s="2069">
        <v>0</v>
      </c>
      <c r="JS7" s="2069">
        <v>0</v>
      </c>
      <c r="JT7" s="2069">
        <v>1</v>
      </c>
      <c r="JU7" s="2070">
        <f>JT7+1</f>
        <v>2</v>
      </c>
      <c r="JV7" s="2070">
        <f t="shared" ref="JV7:KH7" si="16">JU7+1</f>
        <v>3</v>
      </c>
      <c r="JW7" s="2070">
        <f t="shared" si="16"/>
        <v>4</v>
      </c>
      <c r="JX7" s="2070">
        <f t="shared" si="16"/>
        <v>5</v>
      </c>
      <c r="JY7" s="2070">
        <f t="shared" si="16"/>
        <v>6</v>
      </c>
      <c r="JZ7" s="2070">
        <f t="shared" si="16"/>
        <v>7</v>
      </c>
      <c r="KA7" s="2070">
        <f t="shared" si="16"/>
        <v>8</v>
      </c>
      <c r="KB7" s="2070">
        <f t="shared" si="16"/>
        <v>9</v>
      </c>
      <c r="KC7" s="2070">
        <f t="shared" si="16"/>
        <v>10</v>
      </c>
      <c r="KD7" s="2070">
        <f t="shared" si="16"/>
        <v>11</v>
      </c>
      <c r="KE7" s="2070">
        <f t="shared" si="16"/>
        <v>12</v>
      </c>
      <c r="KF7" s="2070">
        <f t="shared" si="16"/>
        <v>13</v>
      </c>
      <c r="KG7" s="2070">
        <f t="shared" si="16"/>
        <v>14</v>
      </c>
      <c r="KH7" s="2070">
        <f t="shared" si="16"/>
        <v>15</v>
      </c>
      <c r="KI7" s="2069">
        <v>0</v>
      </c>
      <c r="KJ7" s="2069">
        <v>0</v>
      </c>
      <c r="KK7" s="2069">
        <v>1</v>
      </c>
      <c r="KL7" s="2070">
        <f>KK7+1</f>
        <v>2</v>
      </c>
      <c r="KM7" s="2070">
        <f>KL7+1</f>
        <v>3</v>
      </c>
      <c r="KN7" s="2070">
        <f t="shared" ref="KN7:KY7" si="17">KM7+1</f>
        <v>4</v>
      </c>
      <c r="KO7" s="2070">
        <f t="shared" si="17"/>
        <v>5</v>
      </c>
      <c r="KP7" s="2070">
        <f t="shared" si="17"/>
        <v>6</v>
      </c>
      <c r="KQ7" s="2070">
        <f t="shared" si="17"/>
        <v>7</v>
      </c>
      <c r="KR7" s="2070">
        <f t="shared" si="17"/>
        <v>8</v>
      </c>
      <c r="KS7" s="2070">
        <f t="shared" si="17"/>
        <v>9</v>
      </c>
      <c r="KT7" s="2070">
        <f t="shared" si="17"/>
        <v>10</v>
      </c>
      <c r="KU7" s="2070">
        <f t="shared" si="17"/>
        <v>11</v>
      </c>
      <c r="KV7" s="2070">
        <f t="shared" si="17"/>
        <v>12</v>
      </c>
      <c r="KW7" s="2070">
        <f t="shared" si="17"/>
        <v>13</v>
      </c>
      <c r="KX7" s="2070">
        <f t="shared" si="17"/>
        <v>14</v>
      </c>
      <c r="KY7" s="2070">
        <f t="shared" si="17"/>
        <v>15</v>
      </c>
      <c r="KZ7" s="2069">
        <v>0</v>
      </c>
      <c r="LA7" s="2069">
        <v>0</v>
      </c>
      <c r="LB7" s="2069">
        <v>1</v>
      </c>
      <c r="LC7" s="2070">
        <f>LB7+1</f>
        <v>2</v>
      </c>
      <c r="LD7" s="2070">
        <f>LC7+1</f>
        <v>3</v>
      </c>
      <c r="LE7" s="2070">
        <f t="shared" ref="LE7:LP7" si="18">LD7+1</f>
        <v>4</v>
      </c>
      <c r="LF7" s="2070">
        <f t="shared" si="18"/>
        <v>5</v>
      </c>
      <c r="LG7" s="2070">
        <f t="shared" si="18"/>
        <v>6</v>
      </c>
      <c r="LH7" s="2070">
        <f t="shared" si="18"/>
        <v>7</v>
      </c>
      <c r="LI7" s="2070">
        <f t="shared" si="18"/>
        <v>8</v>
      </c>
      <c r="LJ7" s="2070">
        <f t="shared" si="18"/>
        <v>9</v>
      </c>
      <c r="LK7" s="2070">
        <f t="shared" si="18"/>
        <v>10</v>
      </c>
      <c r="LL7" s="2070">
        <f t="shared" si="18"/>
        <v>11</v>
      </c>
      <c r="LM7" s="2070">
        <f t="shared" si="18"/>
        <v>12</v>
      </c>
      <c r="LN7" s="2070">
        <f t="shared" si="18"/>
        <v>13</v>
      </c>
      <c r="LO7" s="2070">
        <f t="shared" si="18"/>
        <v>14</v>
      </c>
      <c r="LP7" s="2070">
        <f t="shared" si="18"/>
        <v>15</v>
      </c>
      <c r="LQ7" s="2069">
        <v>0</v>
      </c>
      <c r="LR7" s="2069">
        <v>0</v>
      </c>
      <c r="LS7" s="2069">
        <v>1</v>
      </c>
      <c r="LT7" s="2070">
        <f>LS7+1</f>
        <v>2</v>
      </c>
      <c r="LU7" s="2070">
        <f>LT7+1</f>
        <v>3</v>
      </c>
      <c r="LV7" s="2070">
        <f t="shared" ref="LV7:MG7" si="19">LU7+1</f>
        <v>4</v>
      </c>
      <c r="LW7" s="2070">
        <f t="shared" si="19"/>
        <v>5</v>
      </c>
      <c r="LX7" s="2070">
        <f t="shared" si="19"/>
        <v>6</v>
      </c>
      <c r="LY7" s="2070">
        <f t="shared" si="19"/>
        <v>7</v>
      </c>
      <c r="LZ7" s="2070">
        <f t="shared" si="19"/>
        <v>8</v>
      </c>
      <c r="MA7" s="2070">
        <f t="shared" si="19"/>
        <v>9</v>
      </c>
      <c r="MB7" s="2070">
        <f t="shared" si="19"/>
        <v>10</v>
      </c>
      <c r="MC7" s="2070">
        <f t="shared" si="19"/>
        <v>11</v>
      </c>
      <c r="MD7" s="2070">
        <f t="shared" si="19"/>
        <v>12</v>
      </c>
      <c r="ME7" s="2070">
        <f t="shared" si="19"/>
        <v>13</v>
      </c>
      <c r="MF7" s="2070">
        <f t="shared" si="19"/>
        <v>14</v>
      </c>
      <c r="MG7" s="2070">
        <f t="shared" si="19"/>
        <v>15</v>
      </c>
      <c r="MH7" s="2069">
        <v>0</v>
      </c>
      <c r="MI7" s="2069">
        <v>0</v>
      </c>
      <c r="MJ7" s="2069">
        <v>1</v>
      </c>
      <c r="MK7" s="2070">
        <f>MJ7+1</f>
        <v>2</v>
      </c>
      <c r="ML7" s="2070">
        <f>MK7+1</f>
        <v>3</v>
      </c>
      <c r="MM7" s="2070">
        <f t="shared" ref="MM7:MX7" si="20">ML7+1</f>
        <v>4</v>
      </c>
      <c r="MN7" s="2070">
        <f t="shared" si="20"/>
        <v>5</v>
      </c>
      <c r="MO7" s="2070">
        <f t="shared" si="20"/>
        <v>6</v>
      </c>
      <c r="MP7" s="2070">
        <f t="shared" si="20"/>
        <v>7</v>
      </c>
      <c r="MQ7" s="2070">
        <f t="shared" si="20"/>
        <v>8</v>
      </c>
      <c r="MR7" s="2070">
        <f t="shared" si="20"/>
        <v>9</v>
      </c>
      <c r="MS7" s="2070">
        <f t="shared" si="20"/>
        <v>10</v>
      </c>
      <c r="MT7" s="2070">
        <f t="shared" si="20"/>
        <v>11</v>
      </c>
      <c r="MU7" s="2070">
        <f t="shared" si="20"/>
        <v>12</v>
      </c>
      <c r="MV7" s="2070">
        <f t="shared" si="20"/>
        <v>13</v>
      </c>
      <c r="MW7" s="2070">
        <f t="shared" si="20"/>
        <v>14</v>
      </c>
      <c r="MX7" s="2070">
        <f t="shared" si="20"/>
        <v>15</v>
      </c>
      <c r="MY7" s="2069">
        <v>0</v>
      </c>
      <c r="MZ7" s="2069">
        <v>0</v>
      </c>
      <c r="NA7" s="2069">
        <v>1</v>
      </c>
      <c r="NB7" s="2070">
        <f>NA7+1</f>
        <v>2</v>
      </c>
      <c r="NC7" s="2070">
        <f>NB7+1</f>
        <v>3</v>
      </c>
      <c r="ND7" s="2070">
        <f t="shared" ref="ND7:NO7" si="21">NC7+1</f>
        <v>4</v>
      </c>
      <c r="NE7" s="2070">
        <f t="shared" si="21"/>
        <v>5</v>
      </c>
      <c r="NF7" s="2070">
        <f t="shared" si="21"/>
        <v>6</v>
      </c>
      <c r="NG7" s="2070">
        <f t="shared" si="21"/>
        <v>7</v>
      </c>
      <c r="NH7" s="2070">
        <f t="shared" si="21"/>
        <v>8</v>
      </c>
      <c r="NI7" s="2070">
        <f t="shared" si="21"/>
        <v>9</v>
      </c>
      <c r="NJ7" s="2070">
        <f t="shared" si="21"/>
        <v>10</v>
      </c>
      <c r="NK7" s="2070">
        <f t="shared" si="21"/>
        <v>11</v>
      </c>
      <c r="NL7" s="2070">
        <f t="shared" si="21"/>
        <v>12</v>
      </c>
      <c r="NM7" s="2070">
        <f t="shared" si="21"/>
        <v>13</v>
      </c>
      <c r="NN7" s="2070">
        <f t="shared" si="21"/>
        <v>14</v>
      </c>
      <c r="NO7" s="2070">
        <f t="shared" si="21"/>
        <v>15</v>
      </c>
      <c r="NP7" s="2069">
        <v>0</v>
      </c>
      <c r="NQ7" s="2069">
        <v>0</v>
      </c>
      <c r="NR7" s="2069">
        <v>1</v>
      </c>
      <c r="NS7" s="2070">
        <f>NR7+1</f>
        <v>2</v>
      </c>
      <c r="NT7" s="2070">
        <f>NS7+1</f>
        <v>3</v>
      </c>
      <c r="NU7" s="2070">
        <f t="shared" ref="NU7:OF7" si="22">NT7+1</f>
        <v>4</v>
      </c>
      <c r="NV7" s="2070">
        <f t="shared" si="22"/>
        <v>5</v>
      </c>
      <c r="NW7" s="2070">
        <f t="shared" si="22"/>
        <v>6</v>
      </c>
      <c r="NX7" s="2070">
        <f t="shared" si="22"/>
        <v>7</v>
      </c>
      <c r="NY7" s="2070">
        <f t="shared" si="22"/>
        <v>8</v>
      </c>
      <c r="NZ7" s="2070">
        <f t="shared" si="22"/>
        <v>9</v>
      </c>
      <c r="OA7" s="2070">
        <f t="shared" si="22"/>
        <v>10</v>
      </c>
      <c r="OB7" s="2070">
        <f t="shared" si="22"/>
        <v>11</v>
      </c>
      <c r="OC7" s="2070">
        <f t="shared" si="22"/>
        <v>12</v>
      </c>
      <c r="OD7" s="2070">
        <f t="shared" si="22"/>
        <v>13</v>
      </c>
      <c r="OE7" s="2070">
        <f t="shared" si="22"/>
        <v>14</v>
      </c>
      <c r="OF7" s="2070">
        <f t="shared" si="22"/>
        <v>15</v>
      </c>
      <c r="OG7" s="2069">
        <v>0</v>
      </c>
      <c r="OH7" s="2069">
        <v>0</v>
      </c>
      <c r="OI7" s="2069">
        <v>1</v>
      </c>
      <c r="OJ7" s="2070">
        <f>OI7+1</f>
        <v>2</v>
      </c>
      <c r="OK7" s="2070">
        <f>OJ7+1</f>
        <v>3</v>
      </c>
      <c r="OL7" s="2070">
        <f t="shared" ref="OL7:OW7" si="23">OK7+1</f>
        <v>4</v>
      </c>
      <c r="OM7" s="2070">
        <f t="shared" si="23"/>
        <v>5</v>
      </c>
      <c r="ON7" s="2070">
        <f t="shared" si="23"/>
        <v>6</v>
      </c>
      <c r="OO7" s="2070">
        <f t="shared" si="23"/>
        <v>7</v>
      </c>
      <c r="OP7" s="2070">
        <f t="shared" si="23"/>
        <v>8</v>
      </c>
      <c r="OQ7" s="2070">
        <f t="shared" si="23"/>
        <v>9</v>
      </c>
      <c r="OR7" s="2070">
        <f t="shared" si="23"/>
        <v>10</v>
      </c>
      <c r="OS7" s="2070">
        <f t="shared" si="23"/>
        <v>11</v>
      </c>
      <c r="OT7" s="2070">
        <f t="shared" si="23"/>
        <v>12</v>
      </c>
      <c r="OU7" s="2070">
        <f t="shared" si="23"/>
        <v>13</v>
      </c>
      <c r="OV7" s="2070">
        <f t="shared" si="23"/>
        <v>14</v>
      </c>
      <c r="OW7" s="2070">
        <f t="shared" si="23"/>
        <v>15</v>
      </c>
      <c r="OX7" s="2069">
        <v>0</v>
      </c>
      <c r="OY7" s="2069">
        <v>0</v>
      </c>
      <c r="OZ7" s="2069">
        <v>1</v>
      </c>
      <c r="PA7" s="2070">
        <f>OZ7+1</f>
        <v>2</v>
      </c>
      <c r="PB7" s="2070">
        <f>PA7+1</f>
        <v>3</v>
      </c>
      <c r="PC7" s="2070">
        <f t="shared" ref="PC7:PN7" si="24">PB7+1</f>
        <v>4</v>
      </c>
      <c r="PD7" s="2070">
        <f t="shared" si="24"/>
        <v>5</v>
      </c>
      <c r="PE7" s="2070">
        <f t="shared" si="24"/>
        <v>6</v>
      </c>
      <c r="PF7" s="2070">
        <f t="shared" si="24"/>
        <v>7</v>
      </c>
      <c r="PG7" s="2070">
        <f t="shared" si="24"/>
        <v>8</v>
      </c>
      <c r="PH7" s="2070">
        <f t="shared" si="24"/>
        <v>9</v>
      </c>
      <c r="PI7" s="2070">
        <f t="shared" si="24"/>
        <v>10</v>
      </c>
      <c r="PJ7" s="2070">
        <f t="shared" si="24"/>
        <v>11</v>
      </c>
      <c r="PK7" s="2070">
        <f t="shared" si="24"/>
        <v>12</v>
      </c>
      <c r="PL7" s="2070">
        <f t="shared" si="24"/>
        <v>13</v>
      </c>
      <c r="PM7" s="2070">
        <f t="shared" si="24"/>
        <v>14</v>
      </c>
      <c r="PN7" s="2070">
        <f t="shared" si="24"/>
        <v>15</v>
      </c>
      <c r="PO7" s="2069">
        <v>0</v>
      </c>
      <c r="PP7" s="2069">
        <v>0</v>
      </c>
      <c r="PQ7" s="2069">
        <v>1</v>
      </c>
      <c r="PR7" s="2070">
        <f>PQ7+1</f>
        <v>2</v>
      </c>
      <c r="PS7" s="2070">
        <f>PR7+1</f>
        <v>3</v>
      </c>
      <c r="PT7" s="2070">
        <f t="shared" ref="PT7:QE7" si="25">PS7+1</f>
        <v>4</v>
      </c>
      <c r="PU7" s="2070">
        <f t="shared" si="25"/>
        <v>5</v>
      </c>
      <c r="PV7" s="2070">
        <f t="shared" si="25"/>
        <v>6</v>
      </c>
      <c r="PW7" s="2070">
        <f t="shared" si="25"/>
        <v>7</v>
      </c>
      <c r="PX7" s="2070">
        <f t="shared" si="25"/>
        <v>8</v>
      </c>
      <c r="PY7" s="2070">
        <f t="shared" si="25"/>
        <v>9</v>
      </c>
      <c r="PZ7" s="2070">
        <f t="shared" si="25"/>
        <v>10</v>
      </c>
      <c r="QA7" s="2070">
        <f t="shared" si="25"/>
        <v>11</v>
      </c>
      <c r="QB7" s="2070">
        <f t="shared" si="25"/>
        <v>12</v>
      </c>
      <c r="QC7" s="2070">
        <f t="shared" si="25"/>
        <v>13</v>
      </c>
      <c r="QD7" s="2070">
        <f t="shared" si="25"/>
        <v>14</v>
      </c>
      <c r="QE7" s="2070">
        <f t="shared" si="25"/>
        <v>15</v>
      </c>
      <c r="QF7" s="2069">
        <v>0</v>
      </c>
      <c r="QG7" s="2069">
        <v>0</v>
      </c>
      <c r="QH7" s="2069">
        <v>1</v>
      </c>
      <c r="QI7" s="2070">
        <f>QH7+1</f>
        <v>2</v>
      </c>
      <c r="QJ7" s="2070">
        <f>QI7+1</f>
        <v>3</v>
      </c>
      <c r="QK7" s="2070">
        <f t="shared" ref="QK7:QV7" si="26">QJ7+1</f>
        <v>4</v>
      </c>
      <c r="QL7" s="2070">
        <f t="shared" si="26"/>
        <v>5</v>
      </c>
      <c r="QM7" s="2070">
        <f t="shared" si="26"/>
        <v>6</v>
      </c>
      <c r="QN7" s="2070">
        <f t="shared" si="26"/>
        <v>7</v>
      </c>
      <c r="QO7" s="2070">
        <f t="shared" si="26"/>
        <v>8</v>
      </c>
      <c r="QP7" s="2070">
        <f t="shared" si="26"/>
        <v>9</v>
      </c>
      <c r="QQ7" s="2070">
        <f t="shared" si="26"/>
        <v>10</v>
      </c>
      <c r="QR7" s="2070">
        <f t="shared" si="26"/>
        <v>11</v>
      </c>
      <c r="QS7" s="2070">
        <f t="shared" si="26"/>
        <v>12</v>
      </c>
      <c r="QT7" s="2070">
        <f t="shared" si="26"/>
        <v>13</v>
      </c>
      <c r="QU7" s="2070">
        <f t="shared" si="26"/>
        <v>14</v>
      </c>
      <c r="QV7" s="2070">
        <f t="shared" si="26"/>
        <v>15</v>
      </c>
      <c r="QW7" s="2069">
        <v>0</v>
      </c>
      <c r="QX7" s="2069">
        <v>0</v>
      </c>
      <c r="QY7" s="2069">
        <v>1</v>
      </c>
      <c r="QZ7" s="2070">
        <f>QY7+1</f>
        <v>2</v>
      </c>
      <c r="RA7" s="2070">
        <f>QZ7+1</f>
        <v>3</v>
      </c>
      <c r="RB7" s="2070">
        <f t="shared" ref="RB7:RM7" si="27">RA7+1</f>
        <v>4</v>
      </c>
      <c r="RC7" s="2070">
        <f t="shared" si="27"/>
        <v>5</v>
      </c>
      <c r="RD7" s="2070">
        <f t="shared" si="27"/>
        <v>6</v>
      </c>
      <c r="RE7" s="2070">
        <f t="shared" si="27"/>
        <v>7</v>
      </c>
      <c r="RF7" s="2070">
        <f t="shared" si="27"/>
        <v>8</v>
      </c>
      <c r="RG7" s="2070">
        <f t="shared" si="27"/>
        <v>9</v>
      </c>
      <c r="RH7" s="2070">
        <f t="shared" si="27"/>
        <v>10</v>
      </c>
      <c r="RI7" s="2070">
        <f t="shared" si="27"/>
        <v>11</v>
      </c>
      <c r="RJ7" s="2070">
        <f t="shared" si="27"/>
        <v>12</v>
      </c>
      <c r="RK7" s="2070">
        <f t="shared" si="27"/>
        <v>13</v>
      </c>
      <c r="RL7" s="2070">
        <f t="shared" si="27"/>
        <v>14</v>
      </c>
      <c r="RM7" s="2070">
        <f t="shared" si="27"/>
        <v>15</v>
      </c>
      <c r="RN7" s="2069">
        <v>0</v>
      </c>
      <c r="RO7" s="2069">
        <v>0</v>
      </c>
      <c r="RP7" s="2069">
        <v>1</v>
      </c>
      <c r="RQ7" s="2070">
        <f>RP7+1</f>
        <v>2</v>
      </c>
      <c r="RR7" s="2070">
        <f>RQ7+1</f>
        <v>3</v>
      </c>
      <c r="RS7" s="2070">
        <f t="shared" ref="RS7:SD7" si="28">RR7+1</f>
        <v>4</v>
      </c>
      <c r="RT7" s="2070">
        <f t="shared" si="28"/>
        <v>5</v>
      </c>
      <c r="RU7" s="2070">
        <f t="shared" si="28"/>
        <v>6</v>
      </c>
      <c r="RV7" s="2070">
        <f t="shared" si="28"/>
        <v>7</v>
      </c>
      <c r="RW7" s="2070">
        <f t="shared" si="28"/>
        <v>8</v>
      </c>
      <c r="RX7" s="2070">
        <f t="shared" si="28"/>
        <v>9</v>
      </c>
      <c r="RY7" s="2070">
        <f t="shared" si="28"/>
        <v>10</v>
      </c>
      <c r="RZ7" s="2070">
        <f t="shared" si="28"/>
        <v>11</v>
      </c>
      <c r="SA7" s="2070">
        <f t="shared" si="28"/>
        <v>12</v>
      </c>
      <c r="SB7" s="2070">
        <f t="shared" si="28"/>
        <v>13</v>
      </c>
      <c r="SC7" s="2070">
        <f t="shared" si="28"/>
        <v>14</v>
      </c>
      <c r="SD7" s="2070">
        <f t="shared" si="28"/>
        <v>15</v>
      </c>
      <c r="SE7" s="2069">
        <v>0</v>
      </c>
      <c r="SF7" s="2069">
        <v>0</v>
      </c>
      <c r="SG7" s="2069">
        <v>1</v>
      </c>
      <c r="SH7" s="2070">
        <f>SG7+1</f>
        <v>2</v>
      </c>
      <c r="SI7" s="2070">
        <f>SH7+1</f>
        <v>3</v>
      </c>
      <c r="SJ7" s="2070">
        <f t="shared" ref="SJ7:SU7" si="29">SI7+1</f>
        <v>4</v>
      </c>
      <c r="SK7" s="2070">
        <f t="shared" si="29"/>
        <v>5</v>
      </c>
      <c r="SL7" s="2070">
        <f t="shared" si="29"/>
        <v>6</v>
      </c>
      <c r="SM7" s="2070">
        <f t="shared" si="29"/>
        <v>7</v>
      </c>
      <c r="SN7" s="2070">
        <f t="shared" si="29"/>
        <v>8</v>
      </c>
      <c r="SO7" s="2070">
        <f t="shared" si="29"/>
        <v>9</v>
      </c>
      <c r="SP7" s="2070">
        <f t="shared" si="29"/>
        <v>10</v>
      </c>
      <c r="SQ7" s="2070">
        <f t="shared" si="29"/>
        <v>11</v>
      </c>
      <c r="SR7" s="2070">
        <f t="shared" si="29"/>
        <v>12</v>
      </c>
      <c r="SS7" s="2070">
        <f t="shared" si="29"/>
        <v>13</v>
      </c>
      <c r="ST7" s="2070">
        <f t="shared" si="29"/>
        <v>14</v>
      </c>
      <c r="SU7" s="2070">
        <f t="shared" si="29"/>
        <v>15</v>
      </c>
      <c r="SV7" s="2069">
        <v>0</v>
      </c>
      <c r="SW7" s="2069">
        <v>0</v>
      </c>
      <c r="SX7" s="2069">
        <v>1</v>
      </c>
      <c r="SY7" s="2070">
        <f>SX7+1</f>
        <v>2</v>
      </c>
      <c r="SZ7" s="2070">
        <f>SY7+1</f>
        <v>3</v>
      </c>
      <c r="TA7" s="2070">
        <f t="shared" ref="TA7:TL7" si="30">SZ7+1</f>
        <v>4</v>
      </c>
      <c r="TB7" s="2070">
        <f t="shared" si="30"/>
        <v>5</v>
      </c>
      <c r="TC7" s="2070">
        <f t="shared" si="30"/>
        <v>6</v>
      </c>
      <c r="TD7" s="2070">
        <f t="shared" si="30"/>
        <v>7</v>
      </c>
      <c r="TE7" s="2070">
        <f t="shared" si="30"/>
        <v>8</v>
      </c>
      <c r="TF7" s="2070">
        <f t="shared" si="30"/>
        <v>9</v>
      </c>
      <c r="TG7" s="2070">
        <f t="shared" si="30"/>
        <v>10</v>
      </c>
      <c r="TH7" s="2070">
        <f t="shared" si="30"/>
        <v>11</v>
      </c>
      <c r="TI7" s="2070">
        <f t="shared" si="30"/>
        <v>12</v>
      </c>
      <c r="TJ7" s="2070">
        <f t="shared" si="30"/>
        <v>13</v>
      </c>
      <c r="TK7" s="2070">
        <f t="shared" si="30"/>
        <v>14</v>
      </c>
      <c r="TL7" s="2070">
        <f t="shared" si="30"/>
        <v>15</v>
      </c>
      <c r="TM7" s="2069">
        <v>0</v>
      </c>
      <c r="TN7" s="2069">
        <v>0</v>
      </c>
      <c r="TO7" s="2069">
        <v>1</v>
      </c>
      <c r="TP7" s="2070">
        <f>TO7+1</f>
        <v>2</v>
      </c>
      <c r="TQ7" s="2070">
        <f>TP7+1</f>
        <v>3</v>
      </c>
      <c r="TR7" s="2070">
        <f t="shared" ref="TR7:UC7" si="31">TQ7+1</f>
        <v>4</v>
      </c>
      <c r="TS7" s="2070">
        <f t="shared" si="31"/>
        <v>5</v>
      </c>
      <c r="TT7" s="2070">
        <f t="shared" si="31"/>
        <v>6</v>
      </c>
      <c r="TU7" s="2070">
        <f t="shared" si="31"/>
        <v>7</v>
      </c>
      <c r="TV7" s="2070">
        <f t="shared" si="31"/>
        <v>8</v>
      </c>
      <c r="TW7" s="2070">
        <f t="shared" si="31"/>
        <v>9</v>
      </c>
      <c r="TX7" s="2070">
        <f t="shared" si="31"/>
        <v>10</v>
      </c>
      <c r="TY7" s="2070">
        <f t="shared" si="31"/>
        <v>11</v>
      </c>
      <c r="TZ7" s="2070">
        <f t="shared" si="31"/>
        <v>12</v>
      </c>
      <c r="UA7" s="2070">
        <f t="shared" si="31"/>
        <v>13</v>
      </c>
      <c r="UB7" s="2070">
        <f t="shared" si="31"/>
        <v>14</v>
      </c>
      <c r="UC7" s="2070">
        <f t="shared" si="31"/>
        <v>15</v>
      </c>
      <c r="UD7" s="2069">
        <v>0</v>
      </c>
      <c r="UE7" s="2069">
        <v>0</v>
      </c>
      <c r="UF7" s="2069">
        <v>1</v>
      </c>
      <c r="UG7" s="2070">
        <f>UF7+1</f>
        <v>2</v>
      </c>
      <c r="UH7" s="2070">
        <f>UG7+1</f>
        <v>3</v>
      </c>
      <c r="UI7" s="2070">
        <f t="shared" ref="UI7:UT7" si="32">UH7+1</f>
        <v>4</v>
      </c>
      <c r="UJ7" s="2070">
        <f t="shared" si="32"/>
        <v>5</v>
      </c>
      <c r="UK7" s="2070">
        <f t="shared" si="32"/>
        <v>6</v>
      </c>
      <c r="UL7" s="2070">
        <f t="shared" si="32"/>
        <v>7</v>
      </c>
      <c r="UM7" s="2070">
        <f t="shared" si="32"/>
        <v>8</v>
      </c>
      <c r="UN7" s="2070">
        <f t="shared" si="32"/>
        <v>9</v>
      </c>
      <c r="UO7" s="2070">
        <f t="shared" si="32"/>
        <v>10</v>
      </c>
      <c r="UP7" s="2070">
        <f t="shared" si="32"/>
        <v>11</v>
      </c>
      <c r="UQ7" s="2070">
        <f t="shared" si="32"/>
        <v>12</v>
      </c>
      <c r="UR7" s="2070">
        <f t="shared" si="32"/>
        <v>13</v>
      </c>
      <c r="US7" s="2070">
        <f t="shared" si="32"/>
        <v>14</v>
      </c>
      <c r="UT7" s="2070">
        <f t="shared" si="32"/>
        <v>15</v>
      </c>
      <c r="UU7" s="2069">
        <v>0</v>
      </c>
      <c r="UV7" s="2069">
        <v>0</v>
      </c>
      <c r="UW7" s="2069">
        <v>1</v>
      </c>
      <c r="UX7" s="2070">
        <f>UW7+1</f>
        <v>2</v>
      </c>
      <c r="UY7" s="2070">
        <f>UX7+1</f>
        <v>3</v>
      </c>
      <c r="UZ7" s="2070">
        <f t="shared" ref="UZ7:VK7" si="33">UY7+1</f>
        <v>4</v>
      </c>
      <c r="VA7" s="2070">
        <f t="shared" si="33"/>
        <v>5</v>
      </c>
      <c r="VB7" s="2070">
        <f t="shared" si="33"/>
        <v>6</v>
      </c>
      <c r="VC7" s="2070">
        <f t="shared" si="33"/>
        <v>7</v>
      </c>
      <c r="VD7" s="2070">
        <f t="shared" si="33"/>
        <v>8</v>
      </c>
      <c r="VE7" s="2070">
        <f t="shared" si="33"/>
        <v>9</v>
      </c>
      <c r="VF7" s="2070">
        <f t="shared" si="33"/>
        <v>10</v>
      </c>
      <c r="VG7" s="2070">
        <f t="shared" si="33"/>
        <v>11</v>
      </c>
      <c r="VH7" s="2070">
        <f t="shared" si="33"/>
        <v>12</v>
      </c>
      <c r="VI7" s="2070">
        <f t="shared" si="33"/>
        <v>13</v>
      </c>
      <c r="VJ7" s="2070">
        <f t="shared" si="33"/>
        <v>14</v>
      </c>
      <c r="VK7" s="2071">
        <f t="shared" si="33"/>
        <v>15</v>
      </c>
    </row>
    <row r="8" spans="1:583" s="1584" customFormat="1" ht="11.25" customHeight="1" x14ac:dyDescent="0.25">
      <c r="B8" s="2076"/>
      <c r="C8" s="2077" t="s">
        <v>1816</v>
      </c>
      <c r="D8" s="4719" t="s">
        <v>1816</v>
      </c>
      <c r="E8" s="4720"/>
      <c r="F8" s="1574"/>
      <c r="G8" s="1574"/>
      <c r="H8" s="1574"/>
      <c r="I8" s="1574"/>
      <c r="J8" s="1574"/>
      <c r="K8" s="1574"/>
      <c r="L8" s="1574"/>
      <c r="M8" s="1574"/>
      <c r="N8" s="1574"/>
      <c r="O8" s="1574"/>
      <c r="P8" s="1574"/>
      <c r="Q8" s="1574"/>
      <c r="R8" s="1574"/>
      <c r="S8" s="1574"/>
      <c r="T8" s="1574"/>
      <c r="U8" s="1574"/>
      <c r="V8" s="1574"/>
      <c r="W8" s="1574"/>
      <c r="X8" s="1574"/>
      <c r="Y8" s="1574"/>
      <c r="Z8" s="1574"/>
      <c r="AA8" s="1574"/>
      <c r="AB8" s="1574"/>
      <c r="AC8" s="1574"/>
      <c r="AD8" s="1574"/>
      <c r="AE8" s="1574"/>
      <c r="AF8" s="1574"/>
      <c r="AG8" s="1574"/>
      <c r="AH8" s="1574"/>
      <c r="AI8" s="1574"/>
      <c r="AJ8" s="1574"/>
      <c r="AK8" s="1574"/>
      <c r="AL8" s="1574"/>
      <c r="AM8" s="1574"/>
      <c r="AN8" s="1574"/>
      <c r="AO8" s="1574"/>
      <c r="AP8" s="1574"/>
      <c r="AQ8" s="1574"/>
      <c r="AR8" s="1574"/>
      <c r="AS8" s="1574"/>
      <c r="AT8" s="1574"/>
      <c r="AU8" s="1574"/>
      <c r="AV8" s="1574"/>
      <c r="AW8" s="1574"/>
      <c r="AX8" s="1574"/>
      <c r="AY8" s="1574"/>
      <c r="AZ8" s="1574"/>
      <c r="BA8" s="1574"/>
      <c r="BB8" s="1574"/>
      <c r="BC8" s="1574"/>
      <c r="BD8" s="1574"/>
      <c r="BE8" s="1574"/>
      <c r="BF8" s="1574"/>
      <c r="BG8" s="1574"/>
      <c r="BH8" s="1574"/>
      <c r="BI8" s="1574"/>
      <c r="BJ8" s="1574"/>
      <c r="BK8" s="1574"/>
      <c r="BL8" s="1574"/>
      <c r="BM8" s="1574"/>
      <c r="BN8" s="1574"/>
      <c r="BO8" s="1574"/>
      <c r="BP8" s="1574"/>
      <c r="BQ8" s="1574"/>
      <c r="BR8" s="1574"/>
      <c r="BS8" s="1574"/>
      <c r="BT8" s="1574"/>
      <c r="BU8" s="1574"/>
      <c r="BV8" s="1574"/>
      <c r="BW8" s="1574"/>
      <c r="BX8" s="1574"/>
      <c r="BY8" s="1574"/>
      <c r="BZ8" s="1574"/>
      <c r="CA8" s="1574"/>
      <c r="CB8" s="1574"/>
      <c r="CC8" s="1574"/>
      <c r="CD8" s="1574"/>
      <c r="CE8" s="1574"/>
      <c r="CF8" s="1574"/>
      <c r="CG8" s="1574"/>
      <c r="CH8" s="1574"/>
      <c r="CI8" s="1574"/>
      <c r="CJ8" s="1574"/>
      <c r="CK8" s="1574"/>
      <c r="CL8" s="1574"/>
      <c r="CM8" s="1574"/>
      <c r="CN8" s="1574"/>
      <c r="CO8" s="1574"/>
      <c r="CP8" s="1574"/>
      <c r="CQ8" s="1574"/>
      <c r="CR8" s="1574"/>
      <c r="CS8" s="1574"/>
      <c r="CT8" s="1574"/>
      <c r="CU8" s="1574"/>
      <c r="CV8" s="1574"/>
      <c r="CW8" s="1574"/>
      <c r="CX8" s="1574"/>
      <c r="CY8" s="1574"/>
      <c r="CZ8" s="1574"/>
      <c r="DA8" s="1574"/>
      <c r="DB8" s="1574"/>
      <c r="DC8" s="1574"/>
      <c r="DD8" s="1574"/>
      <c r="DE8" s="1574"/>
      <c r="DF8" s="1574"/>
      <c r="DG8" s="1574"/>
      <c r="DH8" s="1574"/>
      <c r="DI8" s="1574"/>
      <c r="DJ8" s="1574"/>
      <c r="DK8" s="1574"/>
      <c r="DL8" s="1574"/>
      <c r="DM8" s="1574"/>
      <c r="DN8" s="1574"/>
      <c r="DO8" s="1574"/>
      <c r="DP8" s="1574"/>
      <c r="DQ8" s="1574"/>
      <c r="DR8" s="1574"/>
      <c r="DS8" s="1574"/>
      <c r="DT8" s="1574"/>
      <c r="DU8" s="1574"/>
      <c r="DV8" s="1574"/>
      <c r="DW8" s="1574"/>
      <c r="DX8" s="1574"/>
      <c r="DY8" s="1574"/>
      <c r="DZ8" s="1574"/>
      <c r="EA8" s="1574"/>
      <c r="EB8" s="1574"/>
      <c r="EC8" s="1574"/>
      <c r="ED8" s="1574"/>
      <c r="EE8" s="1574"/>
      <c r="EF8" s="1574"/>
      <c r="EG8" s="1574"/>
      <c r="EH8" s="1574"/>
      <c r="EI8" s="1574"/>
      <c r="EJ8" s="1574"/>
      <c r="EK8" s="1574"/>
      <c r="EL8" s="1574"/>
      <c r="EM8" s="1574"/>
      <c r="EN8" s="1574"/>
      <c r="EO8" s="1574"/>
      <c r="EP8" s="1574"/>
      <c r="EQ8" s="1574"/>
      <c r="ER8" s="1574"/>
      <c r="ES8" s="1574"/>
      <c r="ET8" s="1574"/>
      <c r="EU8" s="1574"/>
      <c r="EV8" s="1574"/>
      <c r="EW8" s="1574"/>
      <c r="EX8" s="1574"/>
      <c r="EY8" s="1574"/>
      <c r="EZ8" s="1574"/>
      <c r="FA8" s="1574"/>
      <c r="FB8" s="1574"/>
      <c r="FC8" s="1574"/>
      <c r="FD8" s="1574"/>
      <c r="FE8" s="1574"/>
      <c r="FF8" s="1574"/>
      <c r="FG8" s="1574"/>
      <c r="FH8" s="1574"/>
      <c r="FI8" s="1574"/>
      <c r="FJ8" s="1574"/>
      <c r="FK8" s="1574"/>
      <c r="FL8" s="1574"/>
      <c r="FM8" s="1574"/>
      <c r="FN8" s="1574"/>
      <c r="FO8" s="1574"/>
      <c r="FP8" s="1574"/>
      <c r="FQ8" s="1574"/>
      <c r="FR8" s="1574"/>
      <c r="FS8" s="1574"/>
      <c r="FT8" s="1574"/>
      <c r="FU8" s="1574"/>
      <c r="FV8" s="1574"/>
      <c r="FW8" s="1574"/>
      <c r="FX8" s="1574"/>
      <c r="FY8" s="1574"/>
      <c r="FZ8" s="1574"/>
      <c r="GA8" s="1574"/>
      <c r="GB8" s="1574"/>
      <c r="GC8" s="1574"/>
      <c r="GD8" s="1574"/>
      <c r="GE8" s="1574"/>
      <c r="GF8" s="1574"/>
      <c r="GG8" s="1574"/>
      <c r="GH8" s="1574"/>
      <c r="GI8" s="1574"/>
      <c r="GJ8" s="1574"/>
      <c r="GK8" s="1574"/>
      <c r="GL8" s="1574"/>
      <c r="GM8" s="1574"/>
      <c r="GN8" s="1574"/>
      <c r="GO8" s="1574"/>
      <c r="GP8" s="1574"/>
      <c r="GQ8" s="1574"/>
      <c r="GR8" s="1574"/>
      <c r="GS8" s="1574"/>
      <c r="GT8" s="1574"/>
      <c r="GU8" s="1574"/>
      <c r="GV8" s="1574"/>
      <c r="GW8" s="1574"/>
      <c r="GX8" s="1574"/>
      <c r="GY8" s="1574"/>
      <c r="GZ8" s="1574"/>
      <c r="HA8" s="1574"/>
      <c r="HB8" s="1574"/>
      <c r="HC8" s="1574"/>
      <c r="HD8" s="1574"/>
      <c r="HE8" s="1574"/>
      <c r="HF8" s="1574"/>
      <c r="HG8" s="1574"/>
      <c r="HH8" s="1574"/>
      <c r="HI8" s="1574"/>
      <c r="HJ8" s="1574"/>
      <c r="HK8" s="1574"/>
      <c r="HL8" s="1574"/>
      <c r="HM8" s="1574"/>
      <c r="HN8" s="1574"/>
      <c r="HO8" s="1574"/>
      <c r="HP8" s="1574"/>
      <c r="HQ8" s="1574"/>
      <c r="HR8" s="1574"/>
      <c r="HS8" s="1574"/>
      <c r="HT8" s="1574"/>
      <c r="HU8" s="1574"/>
      <c r="HV8" s="1574"/>
      <c r="HW8" s="1574"/>
      <c r="HX8" s="1574"/>
      <c r="HY8" s="1574"/>
      <c r="HZ8" s="1574"/>
      <c r="IA8" s="1574"/>
      <c r="IB8" s="1574"/>
      <c r="IC8" s="1574"/>
      <c r="ID8" s="1574"/>
      <c r="IE8" s="1574"/>
      <c r="IF8" s="1574"/>
      <c r="IG8" s="1574"/>
      <c r="IH8" s="1574"/>
      <c r="II8" s="1574"/>
      <c r="IJ8" s="1574"/>
      <c r="IK8" s="1574"/>
      <c r="IL8" s="1574"/>
      <c r="IM8" s="1574"/>
      <c r="IN8" s="1574"/>
      <c r="IO8" s="1574"/>
      <c r="IP8" s="1574"/>
      <c r="IQ8" s="1574"/>
      <c r="IR8" s="1574"/>
      <c r="IS8" s="1574"/>
      <c r="IT8" s="1574"/>
      <c r="IU8" s="1574"/>
      <c r="IV8" s="1574"/>
      <c r="IW8" s="1574"/>
      <c r="IX8" s="1574"/>
      <c r="IY8" s="1574"/>
      <c r="IZ8" s="1574"/>
      <c r="JA8" s="1574"/>
      <c r="JB8" s="1574"/>
      <c r="JC8" s="1574"/>
      <c r="JD8" s="1574"/>
      <c r="JE8" s="1574"/>
      <c r="JF8" s="1574"/>
      <c r="JG8" s="1574"/>
      <c r="JH8" s="1574"/>
      <c r="JI8" s="1574"/>
      <c r="JJ8" s="1574"/>
      <c r="JK8" s="1574"/>
      <c r="JL8" s="1574"/>
      <c r="JM8" s="1574"/>
      <c r="JN8" s="1574"/>
      <c r="JO8" s="1574"/>
      <c r="JP8" s="1574"/>
      <c r="JQ8" s="1574"/>
      <c r="JR8" s="1574"/>
      <c r="JS8" s="1574"/>
      <c r="JT8" s="1574"/>
      <c r="JU8" s="1574"/>
      <c r="JV8" s="1574"/>
      <c r="JW8" s="1574"/>
      <c r="JX8" s="1574"/>
      <c r="JY8" s="1574"/>
      <c r="JZ8" s="1574"/>
      <c r="KA8" s="1574"/>
      <c r="KB8" s="1574"/>
      <c r="KC8" s="1574"/>
      <c r="KD8" s="1574"/>
      <c r="KE8" s="1574"/>
      <c r="KF8" s="1574"/>
      <c r="KG8" s="1574"/>
      <c r="KH8" s="1574"/>
      <c r="KI8" s="1574"/>
      <c r="KJ8" s="1574"/>
      <c r="KK8" s="1574"/>
      <c r="KL8" s="1574"/>
      <c r="KM8" s="1574"/>
      <c r="KN8" s="1574"/>
      <c r="KO8" s="1574"/>
      <c r="KP8" s="1574"/>
      <c r="KQ8" s="1574"/>
      <c r="KR8" s="1574"/>
      <c r="KS8" s="1574"/>
      <c r="KT8" s="1574"/>
      <c r="KU8" s="1574"/>
      <c r="KV8" s="1574"/>
      <c r="KW8" s="1574"/>
      <c r="KX8" s="1574"/>
      <c r="KY8" s="1574"/>
      <c r="KZ8" s="1574"/>
      <c r="LA8" s="1574"/>
      <c r="LB8" s="1574"/>
      <c r="LC8" s="1574"/>
      <c r="LD8" s="1574"/>
      <c r="LE8" s="1574"/>
      <c r="LF8" s="1574"/>
      <c r="LG8" s="1574"/>
      <c r="LH8" s="1574"/>
      <c r="LI8" s="1574"/>
      <c r="LJ8" s="1574"/>
      <c r="LK8" s="1574"/>
      <c r="LL8" s="1574"/>
      <c r="LM8" s="1574"/>
      <c r="LN8" s="1574"/>
      <c r="LO8" s="1574"/>
      <c r="LP8" s="1574"/>
      <c r="LQ8" s="1574"/>
      <c r="LR8" s="1574"/>
      <c r="LS8" s="1574"/>
      <c r="LT8" s="1574"/>
      <c r="LU8" s="1574"/>
      <c r="LV8" s="1574"/>
      <c r="LW8" s="1574"/>
      <c r="LX8" s="1574"/>
      <c r="LY8" s="1574"/>
      <c r="LZ8" s="1574"/>
      <c r="MA8" s="1574"/>
      <c r="MB8" s="1574"/>
      <c r="MC8" s="1574"/>
      <c r="MD8" s="1574"/>
      <c r="ME8" s="1574"/>
      <c r="MF8" s="1574"/>
      <c r="MG8" s="1574"/>
      <c r="MH8" s="1574"/>
      <c r="MI8" s="1574"/>
      <c r="MJ8" s="1574"/>
      <c r="MK8" s="1574"/>
      <c r="ML8" s="1574"/>
      <c r="MM8" s="1574"/>
      <c r="MN8" s="1574"/>
      <c r="MO8" s="1574"/>
      <c r="MP8" s="1574"/>
      <c r="MQ8" s="1574"/>
      <c r="MR8" s="1574"/>
      <c r="MS8" s="1574"/>
      <c r="MT8" s="1574"/>
      <c r="MU8" s="1574"/>
      <c r="MV8" s="1574"/>
      <c r="MW8" s="1574"/>
      <c r="MX8" s="1574"/>
      <c r="MY8" s="1574"/>
      <c r="MZ8" s="1574"/>
      <c r="NA8" s="1574"/>
      <c r="NB8" s="1574"/>
      <c r="NC8" s="1574"/>
      <c r="ND8" s="1574"/>
      <c r="NE8" s="1574"/>
      <c r="NF8" s="1574"/>
      <c r="NG8" s="1574"/>
      <c r="NH8" s="1574"/>
      <c r="NI8" s="1574"/>
      <c r="NJ8" s="1574"/>
      <c r="NK8" s="1574"/>
      <c r="NL8" s="1574"/>
      <c r="NM8" s="1574"/>
      <c r="NN8" s="1574"/>
      <c r="NO8" s="1574"/>
      <c r="NP8" s="1574"/>
      <c r="NQ8" s="1574"/>
      <c r="NR8" s="1574"/>
      <c r="NS8" s="1574"/>
      <c r="NT8" s="1574"/>
      <c r="NU8" s="1574"/>
      <c r="NV8" s="1574"/>
      <c r="NW8" s="1574"/>
      <c r="NX8" s="1574"/>
      <c r="NY8" s="1574"/>
      <c r="NZ8" s="1574"/>
      <c r="OA8" s="1574"/>
      <c r="OB8" s="1574"/>
      <c r="OC8" s="1574"/>
      <c r="OD8" s="1574"/>
      <c r="OE8" s="1574"/>
      <c r="OF8" s="1574"/>
      <c r="OG8" s="1574"/>
      <c r="OH8" s="1574"/>
      <c r="OI8" s="1574"/>
      <c r="OJ8" s="1574"/>
      <c r="OK8" s="1574"/>
      <c r="OL8" s="1574"/>
      <c r="OM8" s="1574"/>
      <c r="ON8" s="1574"/>
      <c r="OO8" s="1574"/>
      <c r="OP8" s="1574"/>
      <c r="OQ8" s="1574"/>
      <c r="OR8" s="1574"/>
      <c r="OS8" s="1574"/>
      <c r="OT8" s="1574"/>
      <c r="OU8" s="1574"/>
      <c r="OV8" s="1574"/>
      <c r="OW8" s="1574"/>
      <c r="OX8" s="1574"/>
      <c r="OY8" s="1574"/>
      <c r="OZ8" s="1574"/>
      <c r="PA8" s="1574"/>
      <c r="PB8" s="1574"/>
      <c r="PC8" s="1574"/>
      <c r="PD8" s="1574"/>
      <c r="PE8" s="1574"/>
      <c r="PF8" s="1574"/>
      <c r="PG8" s="1574"/>
      <c r="PH8" s="1574"/>
      <c r="PI8" s="1574"/>
      <c r="PJ8" s="1574"/>
      <c r="PK8" s="1574"/>
      <c r="PL8" s="1574"/>
      <c r="PM8" s="1574"/>
      <c r="PN8" s="1574"/>
      <c r="PO8" s="1574"/>
      <c r="PP8" s="1574"/>
      <c r="PQ8" s="1574"/>
      <c r="PR8" s="1574"/>
      <c r="PS8" s="1574"/>
      <c r="PT8" s="1574"/>
      <c r="PU8" s="1574"/>
      <c r="PV8" s="1574"/>
      <c r="PW8" s="1574"/>
      <c r="PX8" s="1574"/>
      <c r="PY8" s="1574"/>
      <c r="PZ8" s="1574"/>
      <c r="QA8" s="1574"/>
      <c r="QB8" s="1574"/>
      <c r="QC8" s="1574"/>
      <c r="QD8" s="1574"/>
      <c r="QE8" s="1574"/>
      <c r="QF8" s="1574"/>
      <c r="QG8" s="1574"/>
      <c r="QH8" s="1574"/>
      <c r="QI8" s="1574"/>
      <c r="QJ8" s="1574"/>
      <c r="QK8" s="1574"/>
      <c r="QL8" s="1574"/>
      <c r="QM8" s="1574"/>
      <c r="QN8" s="1574"/>
      <c r="QO8" s="1574"/>
      <c r="QP8" s="1574"/>
      <c r="QQ8" s="1574"/>
      <c r="QR8" s="1574"/>
      <c r="QS8" s="1574"/>
      <c r="QT8" s="1574"/>
      <c r="QU8" s="1574"/>
      <c r="QV8" s="1574"/>
      <c r="QW8" s="1574"/>
      <c r="QX8" s="1574"/>
      <c r="QY8" s="1574"/>
      <c r="QZ8" s="1574"/>
      <c r="RA8" s="1574"/>
      <c r="RB8" s="1574"/>
      <c r="RC8" s="1574"/>
      <c r="RD8" s="1574"/>
      <c r="RE8" s="1574"/>
      <c r="RF8" s="1574"/>
      <c r="RG8" s="1574"/>
      <c r="RH8" s="1574"/>
      <c r="RI8" s="1574"/>
      <c r="RJ8" s="1574"/>
      <c r="RK8" s="1574"/>
      <c r="RL8" s="1574"/>
      <c r="RM8" s="1574"/>
      <c r="RN8" s="1574"/>
      <c r="RO8" s="1574"/>
      <c r="RP8" s="1574"/>
      <c r="RQ8" s="1574"/>
      <c r="RR8" s="1574"/>
      <c r="RS8" s="1574"/>
      <c r="RT8" s="1574"/>
      <c r="RU8" s="1574"/>
      <c r="RV8" s="1574"/>
      <c r="RW8" s="1574"/>
      <c r="RX8" s="1574"/>
      <c r="RY8" s="1574"/>
      <c r="RZ8" s="1574"/>
      <c r="SA8" s="1574"/>
      <c r="SB8" s="1574"/>
      <c r="SC8" s="1574"/>
      <c r="SD8" s="1574"/>
      <c r="SE8" s="1574"/>
      <c r="SF8" s="1574"/>
      <c r="SG8" s="1574"/>
      <c r="SH8" s="1574"/>
      <c r="SI8" s="1574"/>
      <c r="SJ8" s="1574"/>
      <c r="SK8" s="1574"/>
      <c r="SL8" s="1574"/>
      <c r="SM8" s="1574"/>
      <c r="SN8" s="1574"/>
      <c r="SO8" s="1574"/>
      <c r="SP8" s="1574"/>
      <c r="SQ8" s="1574"/>
      <c r="SR8" s="1574"/>
      <c r="SS8" s="1574"/>
      <c r="ST8" s="1574"/>
      <c r="SU8" s="1574"/>
      <c r="SV8" s="1574"/>
      <c r="SW8" s="1574"/>
      <c r="SX8" s="1574"/>
      <c r="SY8" s="1574"/>
      <c r="SZ8" s="1574"/>
      <c r="TA8" s="1574"/>
      <c r="TB8" s="1574"/>
      <c r="TC8" s="1574"/>
      <c r="TD8" s="1574"/>
      <c r="TE8" s="1574"/>
      <c r="TF8" s="1574"/>
      <c r="TG8" s="1574"/>
      <c r="TH8" s="1574"/>
      <c r="TI8" s="1574"/>
      <c r="TJ8" s="1574"/>
      <c r="TK8" s="1574"/>
      <c r="TL8" s="1574"/>
      <c r="TM8" s="1574"/>
      <c r="TN8" s="1574"/>
      <c r="TO8" s="1574"/>
      <c r="TP8" s="1574"/>
      <c r="TQ8" s="1574"/>
      <c r="TR8" s="1574"/>
      <c r="TS8" s="1574"/>
      <c r="TT8" s="1574"/>
      <c r="TU8" s="1574"/>
      <c r="TV8" s="1574"/>
      <c r="TW8" s="1574"/>
      <c r="TX8" s="1574"/>
      <c r="TY8" s="1574"/>
      <c r="TZ8" s="1574"/>
      <c r="UA8" s="1574"/>
      <c r="UB8" s="1574"/>
      <c r="UC8" s="1574"/>
      <c r="UD8" s="1574"/>
      <c r="UE8" s="1574"/>
      <c r="UF8" s="1574"/>
      <c r="UG8" s="1574"/>
      <c r="UH8" s="1574"/>
      <c r="UI8" s="1574"/>
      <c r="UJ8" s="1574"/>
      <c r="UK8" s="1574"/>
      <c r="UL8" s="1574"/>
      <c r="UM8" s="1574"/>
      <c r="UN8" s="1574"/>
      <c r="UO8" s="1574"/>
      <c r="UP8" s="1574"/>
      <c r="UQ8" s="1574"/>
      <c r="UR8" s="1574"/>
      <c r="US8" s="1574"/>
      <c r="UT8" s="1574"/>
      <c r="UU8" s="1574"/>
      <c r="UV8" s="1574"/>
      <c r="UW8" s="1574"/>
      <c r="UX8" s="1574"/>
      <c r="UY8" s="1574"/>
      <c r="UZ8" s="1574"/>
      <c r="VA8" s="1574"/>
      <c r="VB8" s="1574"/>
      <c r="VC8" s="1574"/>
      <c r="VD8" s="1574"/>
      <c r="VE8" s="1574"/>
      <c r="VF8" s="1574"/>
      <c r="VG8" s="1574"/>
      <c r="VH8" s="1574"/>
      <c r="VI8" s="1574"/>
      <c r="VJ8" s="1574"/>
      <c r="VK8" s="1574"/>
    </row>
    <row r="9" spans="1:583" s="1296" customFormat="1" ht="15" customHeight="1" x14ac:dyDescent="0.25">
      <c r="B9" s="2055" t="s">
        <v>629</v>
      </c>
      <c r="C9" s="2056" t="s">
        <v>1298</v>
      </c>
      <c r="D9" s="4714" t="s">
        <v>2070</v>
      </c>
      <c r="E9" s="4714"/>
      <c r="F9" s="1912">
        <f>'Paso 1.1'!E6*Tiempos!$H$5</f>
        <v>181.84810434355924</v>
      </c>
      <c r="G9" s="1912">
        <f>'Paso 1.1'!F6*Tiempos!$H$5</f>
        <v>183.25187375529435</v>
      </c>
      <c r="H9" s="1912">
        <f>'Paso 1.1'!G6*Tiempos!$H$5</f>
        <v>184.65670380228687</v>
      </c>
      <c r="I9" s="1912">
        <f>'Paso 1.1'!H6*Tiempos!$H$5</f>
        <v>186.0625950957521</v>
      </c>
      <c r="J9" s="1912">
        <f>'Paso 1.1'!I6*Tiempos!$H$5</f>
        <v>187.46954824721956</v>
      </c>
      <c r="K9" s="1912">
        <f>'Paso 1.1'!J6*Tiempos!$H$5</f>
        <v>188.8775638685334</v>
      </c>
      <c r="L9" s="1912">
        <f>'Paso 1.1'!K6*Tiempos!$H$5</f>
        <v>190.28664257185255</v>
      </c>
      <c r="M9" s="1912">
        <f>'Paso 1.1'!L6*Tiempos!$H$5</f>
        <v>191.69678496965091</v>
      </c>
      <c r="N9" s="1912">
        <f>'Paso 1.1'!M6*Tiempos!$H$5</f>
        <v>193.10799167471731</v>
      </c>
      <c r="O9" s="1912">
        <f>'Paso 1.1'!N6*Tiempos!$H$5</f>
        <v>194.52026330015576</v>
      </c>
      <c r="P9" s="1912">
        <f>'Paso 1.1'!O6*Tiempos!$H$5</f>
        <v>195.93360045938559</v>
      </c>
      <c r="Q9" s="1912">
        <f>'Paso 1.1'!P6*Tiempos!$H$5</f>
        <v>197.34800376614186</v>
      </c>
      <c r="R9" s="1912">
        <f>'Paso 1.1'!Q6*Tiempos!$H$5</f>
        <v>198.76347383447501</v>
      </c>
      <c r="S9" s="1912">
        <f>'Paso 1.1'!R6*Tiempos!$H$5</f>
        <v>200.18001127875141</v>
      </c>
      <c r="T9" s="1912">
        <f>'Paso 1.1'!S6*Tiempos!$H$5</f>
        <v>201.59761671365331</v>
      </c>
      <c r="U9" s="1912">
        <f>'Paso 1.1'!T6*Tiempos!$H$5</f>
        <v>203.01629075417918</v>
      </c>
      <c r="V9" s="1912">
        <f>'Paso 1.1'!U6*Tiempos!$H$5</f>
        <v>204.43603401564371</v>
      </c>
      <c r="W9" s="1576"/>
      <c r="X9" s="1576"/>
      <c r="Y9" s="1576"/>
      <c r="Z9" s="1576"/>
      <c r="AA9" s="1576"/>
      <c r="AB9" s="1576"/>
      <c r="AC9" s="1576"/>
      <c r="AD9" s="1576"/>
      <c r="AE9" s="1576"/>
      <c r="AF9" s="1576"/>
      <c r="AG9" s="1576"/>
      <c r="AH9" s="1576"/>
      <c r="AI9" s="1576"/>
      <c r="AJ9" s="1576"/>
      <c r="AK9" s="1576"/>
      <c r="AL9" s="1576"/>
      <c r="AM9" s="1576"/>
      <c r="AN9" s="1576"/>
      <c r="AO9" s="1576"/>
      <c r="AP9" s="1576"/>
      <c r="AQ9" s="1576"/>
      <c r="AR9" s="1576"/>
      <c r="AS9" s="1576"/>
      <c r="AT9" s="1576"/>
      <c r="AU9" s="1576"/>
      <c r="AV9" s="1576"/>
      <c r="AW9" s="1576"/>
      <c r="AX9" s="1576"/>
      <c r="AY9" s="1576"/>
      <c r="AZ9" s="1576"/>
      <c r="BA9" s="1576"/>
      <c r="BB9" s="1576"/>
      <c r="BC9" s="1576"/>
      <c r="BD9" s="1576"/>
      <c r="BE9" s="1576"/>
      <c r="BF9" s="1576"/>
      <c r="BG9" s="1576"/>
      <c r="BH9" s="1576"/>
      <c r="BI9" s="1576"/>
      <c r="BJ9" s="1576"/>
      <c r="BK9" s="1576"/>
      <c r="BL9" s="1576"/>
      <c r="BM9" s="1576"/>
      <c r="BN9" s="1576"/>
      <c r="BO9" s="1576"/>
      <c r="BP9" s="1576"/>
      <c r="BQ9" s="1576"/>
      <c r="BR9" s="1576"/>
      <c r="BS9" s="1576"/>
      <c r="BT9" s="1576"/>
      <c r="BU9" s="1576"/>
      <c r="BV9" s="1576"/>
      <c r="BW9" s="1576"/>
      <c r="BX9" s="1576"/>
      <c r="BY9" s="1576"/>
      <c r="BZ9" s="1576"/>
      <c r="CA9" s="1576"/>
      <c r="CB9" s="1576"/>
      <c r="CC9" s="1576"/>
      <c r="CD9" s="1576"/>
      <c r="CE9" s="1576"/>
      <c r="CF9" s="1576"/>
      <c r="CG9" s="1576"/>
      <c r="CH9" s="1576"/>
      <c r="CI9" s="1576"/>
      <c r="CJ9" s="1576"/>
      <c r="CK9" s="1576"/>
      <c r="CL9" s="1576"/>
      <c r="CM9" s="1576"/>
      <c r="CN9" s="1576"/>
      <c r="CO9" s="1576"/>
      <c r="CP9" s="1576"/>
      <c r="CQ9" s="1576"/>
      <c r="CR9" s="1576"/>
      <c r="CS9" s="1576"/>
      <c r="CT9" s="1576"/>
      <c r="CU9" s="1576"/>
      <c r="CV9" s="1576"/>
      <c r="CW9" s="1576"/>
      <c r="CX9" s="1576"/>
      <c r="CY9" s="1576"/>
      <c r="CZ9" s="1576"/>
      <c r="DA9" s="1576"/>
      <c r="DB9" s="1576"/>
      <c r="DC9" s="1576"/>
      <c r="DD9" s="1576"/>
      <c r="DE9" s="1576"/>
      <c r="DF9" s="1576"/>
      <c r="DG9" s="1576"/>
      <c r="DH9" s="1576"/>
      <c r="DI9" s="1576"/>
      <c r="DJ9" s="1576"/>
      <c r="DK9" s="1576"/>
      <c r="DL9" s="1576"/>
      <c r="DM9" s="1576"/>
      <c r="DN9" s="1576"/>
      <c r="DO9" s="1576"/>
      <c r="DP9" s="1576"/>
      <c r="DQ9" s="1576"/>
      <c r="DR9" s="1576"/>
      <c r="DS9" s="1576"/>
      <c r="DT9" s="1576"/>
      <c r="DU9" s="1576"/>
      <c r="DV9" s="1576"/>
      <c r="DW9" s="1576"/>
      <c r="DX9" s="1576"/>
      <c r="DY9" s="1576"/>
      <c r="DZ9" s="1576"/>
      <c r="EA9" s="1576"/>
      <c r="EB9" s="1576"/>
      <c r="EC9" s="1576"/>
      <c r="ED9" s="1576"/>
      <c r="EE9" s="1576"/>
      <c r="EF9" s="1576"/>
      <c r="EG9" s="1576"/>
      <c r="EH9" s="1576"/>
      <c r="EI9" s="1576"/>
      <c r="EJ9" s="1576"/>
      <c r="EK9" s="1576"/>
      <c r="EL9" s="1576"/>
      <c r="EM9" s="1576"/>
      <c r="EN9" s="1576"/>
      <c r="EO9" s="1576"/>
      <c r="EP9" s="1576"/>
      <c r="EQ9" s="1576"/>
      <c r="ER9" s="1576"/>
      <c r="ES9" s="1576"/>
      <c r="ET9" s="1576"/>
      <c r="EU9" s="1576"/>
      <c r="EV9" s="1576"/>
      <c r="EW9" s="1576"/>
      <c r="EX9" s="1576"/>
      <c r="EY9" s="1576"/>
      <c r="EZ9" s="1576"/>
      <c r="FA9" s="1576"/>
      <c r="FB9" s="1576"/>
      <c r="FC9" s="1576"/>
      <c r="FD9" s="1576"/>
      <c r="FE9" s="1576"/>
      <c r="FF9" s="1576"/>
      <c r="FG9" s="1576"/>
      <c r="FH9" s="1576"/>
      <c r="FI9" s="1576"/>
      <c r="FJ9" s="1576"/>
      <c r="FK9" s="1576"/>
      <c r="FL9" s="1576"/>
      <c r="FM9" s="1576"/>
      <c r="FN9" s="1576"/>
      <c r="FO9" s="1576"/>
      <c r="FP9" s="1576"/>
      <c r="FQ9" s="1576"/>
      <c r="FR9" s="1576"/>
      <c r="FS9" s="1576"/>
      <c r="FT9" s="1576"/>
      <c r="FU9" s="1576"/>
      <c r="FV9" s="1576"/>
      <c r="FW9" s="1576"/>
      <c r="FX9" s="1576"/>
      <c r="FY9" s="1576"/>
      <c r="FZ9" s="1576"/>
      <c r="GA9" s="1576"/>
      <c r="GB9" s="1576"/>
      <c r="GC9" s="1576"/>
      <c r="GD9" s="1576"/>
      <c r="GE9" s="1576"/>
      <c r="GF9" s="1576"/>
      <c r="GG9" s="1576"/>
      <c r="GH9" s="1576"/>
      <c r="GI9" s="1576"/>
      <c r="GJ9" s="1576"/>
      <c r="GK9" s="1576"/>
      <c r="GL9" s="1576"/>
      <c r="GM9" s="1576"/>
      <c r="GN9" s="1576"/>
      <c r="GO9" s="1576"/>
      <c r="GP9" s="1576"/>
      <c r="GQ9" s="1576"/>
      <c r="GR9" s="1576"/>
      <c r="GS9" s="1576"/>
      <c r="GT9" s="1576"/>
      <c r="GU9" s="1576"/>
      <c r="GV9" s="1576"/>
      <c r="GW9" s="1576"/>
      <c r="GX9" s="1576"/>
      <c r="GY9" s="1576"/>
      <c r="GZ9" s="1576"/>
      <c r="HA9" s="1576"/>
      <c r="HB9" s="1576"/>
      <c r="HC9" s="1576"/>
      <c r="HD9" s="1576"/>
      <c r="HE9" s="1576"/>
      <c r="HF9" s="1576"/>
      <c r="HG9" s="1576"/>
      <c r="HH9" s="1576"/>
      <c r="HI9" s="1576"/>
      <c r="HJ9" s="1576"/>
      <c r="HK9" s="1576"/>
      <c r="HL9" s="1576"/>
      <c r="HM9" s="1576"/>
      <c r="HN9" s="1576"/>
      <c r="HO9" s="1576"/>
      <c r="HP9" s="1576"/>
      <c r="HQ9" s="1576"/>
      <c r="HR9" s="1576"/>
      <c r="HS9" s="1576"/>
      <c r="HT9" s="1576"/>
      <c r="HU9" s="1576"/>
      <c r="HV9" s="1576"/>
      <c r="HW9" s="1576"/>
      <c r="HX9" s="1576"/>
      <c r="HY9" s="1576"/>
      <c r="HZ9" s="1576"/>
      <c r="IA9" s="1576"/>
      <c r="IB9" s="1576"/>
      <c r="IC9" s="1576"/>
      <c r="ID9" s="1576"/>
      <c r="IE9" s="1576"/>
      <c r="IF9" s="1576"/>
      <c r="IG9" s="1576"/>
      <c r="IH9" s="1576"/>
      <c r="II9" s="1576"/>
      <c r="IJ9" s="1576"/>
      <c r="IK9" s="1576"/>
      <c r="IL9" s="1576"/>
      <c r="IM9" s="1576"/>
      <c r="IN9" s="1576"/>
      <c r="IO9" s="1576"/>
      <c r="IP9" s="1576"/>
      <c r="IQ9" s="1576"/>
      <c r="IR9" s="1576"/>
      <c r="IS9" s="1576"/>
      <c r="IT9" s="1576"/>
      <c r="IU9" s="1576"/>
      <c r="IV9" s="1576"/>
      <c r="IW9" s="1576"/>
      <c r="IX9" s="1576"/>
      <c r="IY9" s="1576"/>
      <c r="IZ9" s="1576"/>
      <c r="JA9" s="2054"/>
      <c r="JB9" s="2054"/>
      <c r="JC9" s="2054"/>
      <c r="JD9" s="2054"/>
      <c r="JE9" s="2054"/>
      <c r="JF9" s="2054"/>
      <c r="JG9" s="2054"/>
      <c r="JH9" s="2054"/>
      <c r="JI9" s="2054"/>
      <c r="JJ9" s="2054"/>
      <c r="JK9" s="2054"/>
      <c r="JL9" s="2054"/>
      <c r="JM9" s="2054"/>
      <c r="JN9" s="2054"/>
      <c r="JO9" s="2054"/>
      <c r="JP9" s="2054"/>
      <c r="JQ9" s="2054"/>
      <c r="JR9" s="1576"/>
      <c r="JS9" s="1576"/>
      <c r="JT9" s="1576"/>
      <c r="JU9" s="1576"/>
      <c r="JV9" s="1576"/>
      <c r="JW9" s="1576"/>
      <c r="JX9" s="1576"/>
      <c r="JY9" s="1576"/>
      <c r="JZ9" s="1576"/>
      <c r="KA9" s="1576"/>
      <c r="KB9" s="1576"/>
      <c r="KC9" s="1576"/>
      <c r="KD9" s="1576"/>
      <c r="KE9" s="1576"/>
      <c r="KF9" s="1576"/>
      <c r="KG9" s="1576"/>
      <c r="KH9" s="1576"/>
      <c r="KI9" s="1576"/>
      <c r="KJ9" s="1576"/>
      <c r="KK9" s="1576"/>
      <c r="KL9" s="1576"/>
      <c r="KM9" s="1576"/>
      <c r="KN9" s="1576"/>
      <c r="KO9" s="1576"/>
      <c r="KP9" s="1576"/>
      <c r="KQ9" s="1576"/>
      <c r="KR9" s="1576"/>
      <c r="KS9" s="1576"/>
      <c r="KT9" s="1576"/>
      <c r="KU9" s="1576"/>
      <c r="KV9" s="1576"/>
      <c r="KW9" s="1576"/>
      <c r="KX9" s="1576"/>
      <c r="KY9" s="1576"/>
      <c r="KZ9" s="1576"/>
      <c r="LA9" s="1576"/>
      <c r="LB9" s="1576"/>
      <c r="LC9" s="1576"/>
      <c r="LD9" s="1576"/>
      <c r="LE9" s="1576"/>
      <c r="LF9" s="1576"/>
      <c r="LG9" s="1576"/>
      <c r="LH9" s="1576"/>
      <c r="LI9" s="1576"/>
      <c r="LJ9" s="1576"/>
      <c r="LK9" s="1576"/>
      <c r="LL9" s="1576"/>
      <c r="LM9" s="1576"/>
      <c r="LN9" s="1576"/>
      <c r="LO9" s="1576"/>
      <c r="LP9" s="1576"/>
      <c r="LQ9" s="1576"/>
      <c r="LR9" s="1576"/>
      <c r="LS9" s="1576"/>
      <c r="LT9" s="1576"/>
      <c r="LU9" s="1576"/>
      <c r="LV9" s="1576"/>
      <c r="LW9" s="1576"/>
      <c r="LX9" s="1576"/>
      <c r="LY9" s="1576"/>
      <c r="LZ9" s="1576"/>
      <c r="MA9" s="1576"/>
      <c r="MB9" s="1576"/>
      <c r="MC9" s="1576"/>
      <c r="MD9" s="1576"/>
      <c r="ME9" s="1576"/>
      <c r="MF9" s="1576"/>
      <c r="MG9" s="1576"/>
      <c r="MH9" s="1576"/>
      <c r="MI9" s="1576"/>
      <c r="MJ9" s="1576"/>
      <c r="MK9" s="1576"/>
      <c r="ML9" s="1576"/>
      <c r="MM9" s="1576"/>
      <c r="MN9" s="1576"/>
      <c r="MO9" s="1576"/>
      <c r="MP9" s="1576"/>
      <c r="MQ9" s="1576"/>
      <c r="MR9" s="1576"/>
      <c r="MS9" s="1576"/>
      <c r="MT9" s="1576"/>
      <c r="MU9" s="1576"/>
      <c r="MV9" s="1576"/>
      <c r="MW9" s="1576"/>
      <c r="MX9" s="1576"/>
      <c r="MY9" s="1576">
        <f>'Paso 1.1'!E6*Tiempos!$L$5</f>
        <v>36.369620868711849</v>
      </c>
      <c r="MZ9" s="1576">
        <f>'Paso 1.1'!F6*Tiempos!$L$5</f>
        <v>36.65037475105887</v>
      </c>
      <c r="NA9" s="1576">
        <f>'Paso 1.1'!G6*Tiempos!$L$5</f>
        <v>36.931340760457374</v>
      </c>
      <c r="NB9" s="1576">
        <f>'Paso 1.1'!H6*Tiempos!$L$5</f>
        <v>37.21251901915042</v>
      </c>
      <c r="NC9" s="1576">
        <f>'Paso 1.1'!I6*Tiempos!$L$5</f>
        <v>37.493909649443914</v>
      </c>
      <c r="ND9" s="1576">
        <f>'Paso 1.1'!J6*Tiempos!$L$5</f>
        <v>37.77551277370668</v>
      </c>
      <c r="NE9" s="1576">
        <f>'Paso 1.1'!K6*Tiempos!$L$5</f>
        <v>38.057328514370511</v>
      </c>
      <c r="NF9" s="1576">
        <f>'Paso 1.1'!L6*Tiempos!$L$5</f>
        <v>38.339356993930181</v>
      </c>
      <c r="NG9" s="1576">
        <f>'Paso 1.1'!M6*Tiempos!$L$5</f>
        <v>38.621598334943464</v>
      </c>
      <c r="NH9" s="1576">
        <f>'Paso 1.1'!N6*Tiempos!$L$5</f>
        <v>38.904052660031155</v>
      </c>
      <c r="NI9" s="1576">
        <f>'Paso 1.1'!O6*Tiempos!$L$5</f>
        <v>39.18672009187712</v>
      </c>
      <c r="NJ9" s="1576">
        <f>'Paso 1.1'!P6*Tiempos!$L$5</f>
        <v>39.469600753228377</v>
      </c>
      <c r="NK9" s="1576">
        <f>'Paso 1.1'!Q6*Tiempos!$L$5</f>
        <v>39.752694766895004</v>
      </c>
      <c r="NL9" s="1576">
        <f>'Paso 1.1'!R6*Tiempos!$L$5</f>
        <v>40.036002255750283</v>
      </c>
      <c r="NM9" s="1576">
        <f>'Paso 1.1'!S6*Tiempos!$L$5</f>
        <v>40.319523342730662</v>
      </c>
      <c r="NN9" s="1576">
        <f>'Paso 1.1'!T6*Tiempos!$L$5</f>
        <v>40.603258150835842</v>
      </c>
      <c r="NO9" s="1576">
        <f>'Paso 1.1'!U6*Tiempos!$L$5</f>
        <v>40.887206803128748</v>
      </c>
      <c r="NP9" s="1576"/>
      <c r="NQ9" s="1576"/>
      <c r="NR9" s="1576"/>
      <c r="NS9" s="1576"/>
      <c r="NT9" s="1576"/>
      <c r="NU9" s="1576"/>
      <c r="NV9" s="1576"/>
      <c r="NW9" s="1576"/>
      <c r="NX9" s="1576"/>
      <c r="NY9" s="1576"/>
      <c r="NZ9" s="1576"/>
      <c r="OA9" s="1576"/>
      <c r="OB9" s="1576"/>
      <c r="OC9" s="1576"/>
      <c r="OD9" s="1576"/>
      <c r="OE9" s="1576"/>
      <c r="OF9" s="1576"/>
      <c r="OG9" s="1576"/>
      <c r="OH9" s="1576"/>
      <c r="OI9" s="1576"/>
      <c r="OJ9" s="1576"/>
      <c r="OK9" s="1576"/>
      <c r="OL9" s="1576"/>
      <c r="OM9" s="1576"/>
      <c r="ON9" s="1576"/>
      <c r="OO9" s="1576"/>
      <c r="OP9" s="1576"/>
      <c r="OQ9" s="1576"/>
      <c r="OR9" s="1576"/>
      <c r="OS9" s="1576"/>
      <c r="OT9" s="1576"/>
      <c r="OU9" s="1576"/>
      <c r="OV9" s="1576"/>
      <c r="OW9" s="1576"/>
      <c r="OX9" s="1576"/>
      <c r="OY9" s="1576"/>
      <c r="OZ9" s="1576"/>
      <c r="PA9" s="1576"/>
      <c r="PB9" s="1576"/>
      <c r="PC9" s="1576"/>
      <c r="PD9" s="1576"/>
      <c r="PE9" s="1576"/>
      <c r="PF9" s="1576"/>
      <c r="PG9" s="1576"/>
      <c r="PH9" s="1576"/>
      <c r="PI9" s="1576"/>
      <c r="PJ9" s="1576"/>
      <c r="PK9" s="1576"/>
      <c r="PL9" s="1576"/>
      <c r="PM9" s="1576"/>
      <c r="PN9" s="1576"/>
      <c r="PO9" s="1576"/>
      <c r="PP9" s="1576"/>
      <c r="PQ9" s="1576"/>
      <c r="PR9" s="1576"/>
      <c r="PS9" s="1576"/>
      <c r="PT9" s="1576"/>
      <c r="PU9" s="1576"/>
      <c r="PV9" s="1576"/>
      <c r="PW9" s="1576"/>
      <c r="PX9" s="1576"/>
      <c r="PY9" s="1576"/>
      <c r="PZ9" s="1576"/>
      <c r="QA9" s="1576"/>
      <c r="QB9" s="1576"/>
      <c r="QC9" s="1576"/>
      <c r="QD9" s="1576"/>
      <c r="QE9" s="1576"/>
      <c r="QF9" s="1576"/>
      <c r="QG9" s="1576"/>
      <c r="QH9" s="1576"/>
      <c r="QI9" s="1576"/>
      <c r="QJ9" s="1576"/>
      <c r="QK9" s="1576"/>
      <c r="QL9" s="1576"/>
      <c r="QM9" s="1576"/>
      <c r="QN9" s="1576"/>
      <c r="QO9" s="1576"/>
      <c r="QP9" s="1576"/>
      <c r="QQ9" s="1576"/>
      <c r="QR9" s="1576"/>
      <c r="QS9" s="1576"/>
      <c r="QT9" s="1576"/>
      <c r="QU9" s="1576"/>
      <c r="QV9" s="1576"/>
      <c r="QW9" s="1576"/>
      <c r="QX9" s="1576"/>
      <c r="QY9" s="1576"/>
      <c r="QZ9" s="1576"/>
      <c r="RA9" s="1576"/>
      <c r="RB9" s="1576"/>
      <c r="RC9" s="1576"/>
      <c r="RD9" s="1576"/>
      <c r="RE9" s="1576"/>
      <c r="RF9" s="1576"/>
      <c r="RG9" s="1576"/>
      <c r="RH9" s="1576"/>
      <c r="RI9" s="1576"/>
      <c r="RJ9" s="1576"/>
      <c r="RK9" s="1576"/>
      <c r="RL9" s="1576"/>
      <c r="RM9" s="1576"/>
      <c r="RN9" s="1576"/>
      <c r="RO9" s="1576"/>
      <c r="RP9" s="1576"/>
      <c r="RQ9" s="1576"/>
      <c r="RR9" s="1576"/>
      <c r="RS9" s="1576"/>
      <c r="RT9" s="1576"/>
      <c r="RU9" s="1576"/>
      <c r="RV9" s="1576"/>
      <c r="RW9" s="1576"/>
      <c r="RX9" s="1576"/>
      <c r="RY9" s="1576"/>
      <c r="RZ9" s="1576"/>
      <c r="SA9" s="1576"/>
      <c r="SB9" s="1576"/>
      <c r="SC9" s="1576"/>
      <c r="SD9" s="1576"/>
      <c r="SE9" s="1576"/>
      <c r="SF9" s="1576"/>
      <c r="SG9" s="1576"/>
      <c r="SH9" s="1576"/>
      <c r="SI9" s="1576"/>
      <c r="SJ9" s="1576"/>
      <c r="SK9" s="1576"/>
      <c r="SL9" s="1576"/>
      <c r="SM9" s="1576"/>
      <c r="SN9" s="1576"/>
      <c r="SO9" s="1576"/>
      <c r="SP9" s="1576"/>
      <c r="SQ9" s="1576"/>
      <c r="SR9" s="1576"/>
      <c r="SS9" s="1576"/>
      <c r="ST9" s="1576"/>
      <c r="SU9" s="1576"/>
      <c r="SV9" s="1576"/>
      <c r="SW9" s="1576"/>
      <c r="SX9" s="1576"/>
      <c r="SY9" s="1576"/>
      <c r="SZ9" s="1576"/>
      <c r="TA9" s="1576"/>
      <c r="TB9" s="1576"/>
      <c r="TC9" s="1576"/>
      <c r="TD9" s="1576"/>
      <c r="TE9" s="1576"/>
      <c r="TF9" s="1576"/>
      <c r="TG9" s="1576"/>
      <c r="TH9" s="1576"/>
      <c r="TI9" s="1576"/>
      <c r="TJ9" s="1576"/>
      <c r="TK9" s="1576"/>
      <c r="TL9" s="1576"/>
      <c r="TM9" s="1576"/>
      <c r="TN9" s="1576"/>
      <c r="TO9" s="1576"/>
      <c r="TP9" s="1576"/>
      <c r="TQ9" s="1576"/>
      <c r="TR9" s="1576"/>
      <c r="TS9" s="1576"/>
      <c r="TT9" s="1576"/>
      <c r="TU9" s="1576"/>
      <c r="TV9" s="1576"/>
      <c r="TW9" s="1576"/>
      <c r="TX9" s="1576"/>
      <c r="TY9" s="1576"/>
      <c r="TZ9" s="1576"/>
      <c r="UA9" s="1576"/>
      <c r="UB9" s="1576"/>
      <c r="UC9" s="1576"/>
      <c r="UD9" s="1576"/>
      <c r="UE9" s="1576"/>
      <c r="UF9" s="1576"/>
      <c r="UG9" s="1576"/>
      <c r="UH9" s="1576"/>
      <c r="UI9" s="1576"/>
      <c r="UJ9" s="1576"/>
      <c r="UK9" s="1576"/>
      <c r="UL9" s="1576"/>
      <c r="UM9" s="1576"/>
      <c r="UN9" s="1576"/>
      <c r="UO9" s="1576"/>
      <c r="UP9" s="1576"/>
      <c r="UQ9" s="1576"/>
      <c r="UR9" s="1576"/>
      <c r="US9" s="1576"/>
      <c r="UT9" s="1576"/>
      <c r="UU9" s="1576"/>
      <c r="UV9" s="1576"/>
      <c r="UW9" s="1576"/>
      <c r="UX9" s="1576"/>
      <c r="UY9" s="1576"/>
      <c r="UZ9" s="1576"/>
      <c r="VA9" s="1576"/>
      <c r="VB9" s="1576"/>
      <c r="VC9" s="1576"/>
      <c r="VD9" s="1576"/>
      <c r="VE9" s="1576"/>
      <c r="VF9" s="1576"/>
      <c r="VG9" s="1576"/>
      <c r="VH9" s="1576"/>
      <c r="VI9" s="1576"/>
      <c r="VJ9" s="1576"/>
      <c r="VK9" s="1576"/>
    </row>
    <row r="10" spans="1:583" s="2072" customFormat="1" ht="15" customHeight="1" x14ac:dyDescent="0.25">
      <c r="A10" s="694" t="s">
        <v>3831</v>
      </c>
      <c r="B10" s="2073" t="s">
        <v>629</v>
      </c>
      <c r="C10" s="2074" t="s">
        <v>1298</v>
      </c>
      <c r="D10" s="4715" t="s">
        <v>2686</v>
      </c>
      <c r="E10" s="4715">
        <v>0</v>
      </c>
      <c r="F10" s="1575"/>
      <c r="G10" s="1575"/>
      <c r="H10" s="1575"/>
      <c r="I10" s="1575"/>
      <c r="J10" s="1575"/>
      <c r="K10" s="1575"/>
      <c r="L10" s="1575"/>
      <c r="M10" s="1575"/>
      <c r="N10" s="1575"/>
      <c r="O10" s="1575"/>
      <c r="P10" s="1575"/>
      <c r="Q10" s="1575"/>
      <c r="R10" s="1575"/>
      <c r="S10" s="1575"/>
      <c r="T10" s="1575"/>
      <c r="U10" s="1575"/>
      <c r="V10" s="1575"/>
      <c r="W10" s="1575"/>
      <c r="X10" s="1575"/>
      <c r="Y10" s="1575"/>
      <c r="Z10" s="1575"/>
      <c r="AA10" s="1575"/>
      <c r="AB10" s="1575"/>
      <c r="AC10" s="1575"/>
      <c r="AD10" s="1575"/>
      <c r="AE10" s="1575"/>
      <c r="AF10" s="1575"/>
      <c r="AG10" s="1575"/>
      <c r="AH10" s="1575"/>
      <c r="AI10" s="1575"/>
      <c r="AJ10" s="1575"/>
      <c r="AK10" s="1575"/>
      <c r="AL10" s="1575"/>
      <c r="AM10" s="1575"/>
      <c r="AN10" s="1575"/>
      <c r="AO10" s="1575"/>
      <c r="AP10" s="1575"/>
      <c r="AQ10" s="1575"/>
      <c r="AR10" s="1575"/>
      <c r="AS10" s="1575"/>
      <c r="AT10" s="1575"/>
      <c r="AU10" s="1575"/>
      <c r="AV10" s="1575"/>
      <c r="AW10" s="1575"/>
      <c r="AX10" s="1575"/>
      <c r="AY10" s="1575"/>
      <c r="AZ10" s="1575"/>
      <c r="BA10" s="1575"/>
      <c r="BB10" s="1575"/>
      <c r="BC10" s="1575"/>
      <c r="BD10" s="1575"/>
      <c r="BE10" s="1575"/>
      <c r="BF10" s="1575"/>
      <c r="BG10" s="1575"/>
      <c r="BH10" s="1575"/>
      <c r="BI10" s="1575"/>
      <c r="BJ10" s="1575"/>
      <c r="BK10" s="1575"/>
      <c r="BL10" s="1575"/>
      <c r="BM10" s="1575"/>
      <c r="BN10" s="1575"/>
      <c r="BO10" s="1575"/>
      <c r="BP10" s="1575"/>
      <c r="BQ10" s="1575"/>
      <c r="BR10" s="1575"/>
      <c r="BS10" s="1575"/>
      <c r="BT10" s="1575"/>
      <c r="BU10" s="1575"/>
      <c r="BV10" s="1575"/>
      <c r="BW10" s="1575"/>
      <c r="BX10" s="1575"/>
      <c r="BY10" s="1575"/>
      <c r="BZ10" s="1575"/>
      <c r="CA10" s="1575"/>
      <c r="CB10" s="1575"/>
      <c r="CC10" s="1575"/>
      <c r="CD10" s="1575"/>
      <c r="CE10" s="1575"/>
      <c r="CF10" s="1575"/>
      <c r="CG10" s="1575"/>
      <c r="CH10" s="1575"/>
      <c r="CI10" s="1575"/>
      <c r="CJ10" s="1575"/>
      <c r="CK10" s="1575"/>
      <c r="CL10" s="1575"/>
      <c r="CM10" s="1575"/>
      <c r="CN10" s="1575"/>
      <c r="CO10" s="1575"/>
      <c r="CP10" s="1575"/>
      <c r="CQ10" s="1575"/>
      <c r="CR10" s="1575"/>
      <c r="CS10" s="1575"/>
      <c r="CT10" s="1575"/>
      <c r="CU10" s="1575"/>
      <c r="CV10" s="1575"/>
      <c r="CW10" s="1575"/>
      <c r="CX10" s="1575"/>
      <c r="CY10" s="1575"/>
      <c r="CZ10" s="1575"/>
      <c r="DA10" s="1575"/>
      <c r="DB10" s="1575"/>
      <c r="DC10" s="1575"/>
      <c r="DD10" s="1575"/>
      <c r="DE10" s="1575"/>
      <c r="DF10" s="1575"/>
      <c r="DG10" s="1575"/>
      <c r="DH10" s="1575"/>
      <c r="DI10" s="1575"/>
      <c r="DJ10" s="1575"/>
      <c r="DK10" s="1575"/>
      <c r="DL10" s="1575"/>
      <c r="DM10" s="1575"/>
      <c r="DN10" s="1575"/>
      <c r="DO10" s="1575"/>
      <c r="DP10" s="1575"/>
      <c r="DQ10" s="1575"/>
      <c r="DR10" s="1575"/>
      <c r="DS10" s="1575"/>
      <c r="DT10" s="1575"/>
      <c r="DU10" s="1575"/>
      <c r="DV10" s="1575"/>
      <c r="DW10" s="1575"/>
      <c r="DX10" s="1575"/>
      <c r="DY10" s="1575"/>
      <c r="DZ10" s="1575"/>
      <c r="EA10" s="1575"/>
      <c r="EB10" s="1575"/>
      <c r="EC10" s="1575"/>
      <c r="ED10" s="1575"/>
      <c r="EE10" s="1575"/>
      <c r="EF10" s="1575"/>
      <c r="EG10" s="1575"/>
      <c r="EH10" s="1575"/>
      <c r="EI10" s="1575"/>
      <c r="EJ10" s="1575"/>
      <c r="EK10" s="1575"/>
      <c r="EL10" s="1575"/>
      <c r="EM10" s="1575"/>
      <c r="EN10" s="1575"/>
      <c r="EO10" s="1575"/>
      <c r="EP10" s="1575"/>
      <c r="EQ10" s="1575"/>
      <c r="ER10" s="1575"/>
      <c r="ES10" s="1575"/>
      <c r="ET10" s="1575"/>
      <c r="EU10" s="1575"/>
      <c r="EV10" s="1575"/>
      <c r="EW10" s="1575"/>
      <c r="EX10" s="1575"/>
      <c r="EY10" s="1575"/>
      <c r="EZ10" s="1575"/>
      <c r="FA10" s="1575"/>
      <c r="FB10" s="1575"/>
      <c r="FC10" s="1575"/>
      <c r="FD10" s="1575"/>
      <c r="FE10" s="1575"/>
      <c r="FF10" s="1575"/>
      <c r="FG10" s="1575"/>
      <c r="FH10" s="1575"/>
      <c r="FI10" s="1575"/>
      <c r="FJ10" s="1575"/>
      <c r="FK10" s="1575"/>
      <c r="FL10" s="1575"/>
      <c r="FM10" s="1575"/>
      <c r="FN10" s="1575"/>
      <c r="FO10" s="1575"/>
      <c r="FP10" s="1575"/>
      <c r="FQ10" s="1575"/>
      <c r="FR10" s="1575"/>
      <c r="FS10" s="1575"/>
      <c r="FT10" s="1575"/>
      <c r="FU10" s="1575"/>
      <c r="FV10" s="1575"/>
      <c r="FW10" s="1575"/>
      <c r="FX10" s="1575"/>
      <c r="FY10" s="1575"/>
      <c r="FZ10" s="1575"/>
      <c r="GA10" s="1575"/>
      <c r="GB10" s="1575"/>
      <c r="GC10" s="1575"/>
      <c r="GD10" s="1575"/>
      <c r="GE10" s="1575"/>
      <c r="GF10" s="1575"/>
      <c r="GG10" s="1575"/>
      <c r="GH10" s="1575"/>
      <c r="GI10" s="1575"/>
      <c r="GJ10" s="1575"/>
      <c r="GK10" s="1575"/>
      <c r="GL10" s="1575"/>
      <c r="GM10" s="1575"/>
      <c r="GN10" s="1575"/>
      <c r="GO10" s="1575"/>
      <c r="GP10" s="1575"/>
      <c r="GQ10" s="1575"/>
      <c r="GR10" s="1575"/>
      <c r="GS10" s="1575"/>
      <c r="GT10" s="1575"/>
      <c r="GU10" s="1575"/>
      <c r="GV10" s="1575"/>
      <c r="GW10" s="1575"/>
      <c r="GX10" s="1575"/>
      <c r="GY10" s="1575"/>
      <c r="GZ10" s="1575"/>
      <c r="HA10" s="1575"/>
      <c r="HB10" s="1575"/>
      <c r="HC10" s="1575"/>
      <c r="HD10" s="1575"/>
      <c r="HE10" s="1575"/>
      <c r="HF10" s="1575"/>
      <c r="HG10" s="1575"/>
      <c r="HH10" s="1575"/>
      <c r="HI10" s="1575"/>
      <c r="HJ10" s="1575"/>
      <c r="HK10" s="1575"/>
      <c r="HL10" s="1575"/>
      <c r="HM10" s="1575"/>
      <c r="HN10" s="1575"/>
      <c r="HO10" s="1575"/>
      <c r="HP10" s="1575"/>
      <c r="HQ10" s="1575"/>
      <c r="HR10" s="1575"/>
      <c r="HS10" s="1575"/>
      <c r="HT10" s="1575"/>
      <c r="HU10" s="1575"/>
      <c r="HV10" s="1575"/>
      <c r="HW10" s="1575"/>
      <c r="HX10" s="1575"/>
      <c r="HY10" s="1575"/>
      <c r="HZ10" s="1575"/>
      <c r="IA10" s="1575"/>
      <c r="IB10" s="1575"/>
      <c r="IC10" s="1575"/>
      <c r="ID10" s="1575"/>
      <c r="IE10" s="1575"/>
      <c r="IF10" s="1575"/>
      <c r="IG10" s="1575"/>
      <c r="IH10" s="1575"/>
      <c r="II10" s="1575"/>
      <c r="IJ10" s="1575"/>
      <c r="IK10" s="1575"/>
      <c r="IL10" s="1575"/>
      <c r="IM10" s="1575"/>
      <c r="IN10" s="1575"/>
      <c r="IO10" s="1575"/>
      <c r="IP10" s="1575"/>
      <c r="IQ10" s="1575"/>
      <c r="IR10" s="1575"/>
      <c r="IS10" s="1575"/>
      <c r="IT10" s="1575"/>
      <c r="IU10" s="1575"/>
      <c r="IV10" s="1575"/>
      <c r="IW10" s="1575"/>
      <c r="IX10" s="1575"/>
      <c r="IY10" s="1575"/>
      <c r="IZ10" s="1575"/>
      <c r="JA10" s="1587"/>
      <c r="JB10" s="1587"/>
      <c r="JC10" s="1587"/>
      <c r="JD10" s="1587"/>
      <c r="JE10" s="1587"/>
      <c r="JF10" s="1587"/>
      <c r="JG10" s="1587"/>
      <c r="JH10" s="1587"/>
      <c r="JI10" s="1587"/>
      <c r="JJ10" s="1587"/>
      <c r="JK10" s="1587"/>
      <c r="JL10" s="1587"/>
      <c r="JM10" s="1587"/>
      <c r="JN10" s="1587"/>
      <c r="JO10" s="1587"/>
      <c r="JP10" s="1587"/>
      <c r="JQ10" s="1587"/>
      <c r="JR10" s="1575"/>
      <c r="JS10" s="1575"/>
      <c r="JT10" s="1575"/>
      <c r="JU10" s="1575"/>
      <c r="JV10" s="1575"/>
      <c r="JW10" s="1575"/>
      <c r="JX10" s="1575"/>
      <c r="JY10" s="1575"/>
      <c r="JZ10" s="1575"/>
      <c r="KA10" s="1575"/>
      <c r="KB10" s="1575"/>
      <c r="KC10" s="1575"/>
      <c r="KD10" s="1575"/>
      <c r="KE10" s="1575"/>
      <c r="KF10" s="1575"/>
      <c r="KG10" s="1575"/>
      <c r="KH10" s="1575"/>
      <c r="KI10" s="1575"/>
      <c r="KJ10" s="1575"/>
      <c r="KK10" s="1575"/>
      <c r="KL10" s="1575"/>
      <c r="KM10" s="1575"/>
      <c r="KN10" s="1575"/>
      <c r="KO10" s="1575"/>
      <c r="KP10" s="1575"/>
      <c r="KQ10" s="1575"/>
      <c r="KR10" s="1575"/>
      <c r="KS10" s="1575"/>
      <c r="KT10" s="1575"/>
      <c r="KU10" s="1575"/>
      <c r="KV10" s="1575"/>
      <c r="KW10" s="1575"/>
      <c r="KX10" s="1575"/>
      <c r="KY10" s="1575"/>
      <c r="KZ10" s="1575"/>
      <c r="LA10" s="1575"/>
      <c r="LB10" s="1575"/>
      <c r="LC10" s="1575"/>
      <c r="LD10" s="1575"/>
      <c r="LE10" s="1575"/>
      <c r="LF10" s="1575"/>
      <c r="LG10" s="1575"/>
      <c r="LH10" s="1575"/>
      <c r="LI10" s="1575"/>
      <c r="LJ10" s="1575"/>
      <c r="LK10" s="1575"/>
      <c r="LL10" s="1575"/>
      <c r="LM10" s="1575"/>
      <c r="LN10" s="1575"/>
      <c r="LO10" s="1575"/>
      <c r="LP10" s="1575"/>
      <c r="LQ10" s="1575"/>
      <c r="LR10" s="1575"/>
      <c r="LS10" s="1575"/>
      <c r="LT10" s="1575"/>
      <c r="LU10" s="1575"/>
      <c r="LV10" s="1575"/>
      <c r="LW10" s="1575"/>
      <c r="LX10" s="1575"/>
      <c r="LY10" s="1575"/>
      <c r="LZ10" s="1575"/>
      <c r="MA10" s="1575"/>
      <c r="MB10" s="1575"/>
      <c r="MC10" s="1575"/>
      <c r="MD10" s="1575"/>
      <c r="ME10" s="1575"/>
      <c r="MF10" s="1575"/>
      <c r="MG10" s="1575"/>
      <c r="MH10" s="1575"/>
      <c r="MI10" s="1575"/>
      <c r="MJ10" s="1575"/>
      <c r="MK10" s="1575"/>
      <c r="ML10" s="1575"/>
      <c r="MM10" s="1575"/>
      <c r="MN10" s="1575"/>
      <c r="MO10" s="1575"/>
      <c r="MP10" s="1575"/>
      <c r="MQ10" s="1575"/>
      <c r="MR10" s="1575"/>
      <c r="MS10" s="1575"/>
      <c r="MT10" s="1575"/>
      <c r="MU10" s="1575"/>
      <c r="MV10" s="1575"/>
      <c r="MW10" s="1575"/>
      <c r="MX10" s="1575"/>
      <c r="MY10" s="1575"/>
      <c r="MZ10" s="1575"/>
      <c r="NA10" s="1575"/>
      <c r="NB10" s="1575"/>
      <c r="NC10" s="1575"/>
      <c r="ND10" s="1575"/>
      <c r="NE10" s="1575"/>
      <c r="NF10" s="1575"/>
      <c r="NG10" s="1575"/>
      <c r="NH10" s="1575"/>
      <c r="NI10" s="1575"/>
      <c r="NJ10" s="1575"/>
      <c r="NK10" s="1575"/>
      <c r="NL10" s="1575"/>
      <c r="NM10" s="1575"/>
      <c r="NN10" s="1575"/>
      <c r="NO10" s="1575"/>
      <c r="NP10" s="1575"/>
      <c r="NQ10" s="1575"/>
      <c r="NR10" s="1575"/>
      <c r="NS10" s="1575"/>
      <c r="NT10" s="1575"/>
      <c r="NU10" s="1575"/>
      <c r="NV10" s="1575"/>
      <c r="NW10" s="1575"/>
      <c r="NX10" s="1575"/>
      <c r="NY10" s="1575"/>
      <c r="NZ10" s="1575"/>
      <c r="OA10" s="1575"/>
      <c r="OB10" s="1575"/>
      <c r="OC10" s="1575"/>
      <c r="OD10" s="1575"/>
      <c r="OE10" s="1575"/>
      <c r="OF10" s="1575"/>
      <c r="OG10" s="1575"/>
      <c r="OH10" s="1575"/>
      <c r="OI10" s="1575"/>
      <c r="OJ10" s="1575"/>
      <c r="OK10" s="1575"/>
      <c r="OL10" s="1575"/>
      <c r="OM10" s="1575"/>
      <c r="ON10" s="1575"/>
      <c r="OO10" s="1575"/>
      <c r="OP10" s="1575"/>
      <c r="OQ10" s="1575"/>
      <c r="OR10" s="1575"/>
      <c r="OS10" s="1575"/>
      <c r="OT10" s="1575"/>
      <c r="OU10" s="1575"/>
      <c r="OV10" s="1575"/>
      <c r="OW10" s="1575"/>
      <c r="OX10" s="1575"/>
      <c r="OY10" s="1575"/>
      <c r="OZ10" s="1575"/>
      <c r="PA10" s="1575"/>
      <c r="PB10" s="1575"/>
      <c r="PC10" s="1575"/>
      <c r="PD10" s="1575"/>
      <c r="PE10" s="1575"/>
      <c r="PF10" s="1575"/>
      <c r="PG10" s="1575"/>
      <c r="PH10" s="1575"/>
      <c r="PI10" s="1575"/>
      <c r="PJ10" s="1575"/>
      <c r="PK10" s="1575"/>
      <c r="PL10" s="1575"/>
      <c r="PM10" s="1575"/>
      <c r="PN10" s="1575"/>
      <c r="PO10" s="1575"/>
      <c r="PP10" s="1575"/>
      <c r="PQ10" s="1575"/>
      <c r="PR10" s="1575"/>
      <c r="PS10" s="1575"/>
      <c r="PT10" s="1575"/>
      <c r="PU10" s="1575"/>
      <c r="PV10" s="1575"/>
      <c r="PW10" s="1575"/>
      <c r="PX10" s="1575"/>
      <c r="PY10" s="1575"/>
      <c r="PZ10" s="1575"/>
      <c r="QA10" s="1575"/>
      <c r="QB10" s="1575"/>
      <c r="QC10" s="1575"/>
      <c r="QD10" s="1575"/>
      <c r="QE10" s="1575"/>
      <c r="QF10" s="1575"/>
      <c r="QG10" s="1575"/>
      <c r="QH10" s="1575"/>
      <c r="QI10" s="1575"/>
      <c r="QJ10" s="1575"/>
      <c r="QK10" s="1575"/>
      <c r="QL10" s="1575"/>
      <c r="QM10" s="1575"/>
      <c r="QN10" s="1575"/>
      <c r="QO10" s="1575"/>
      <c r="QP10" s="1575"/>
      <c r="QQ10" s="1575"/>
      <c r="QR10" s="1575"/>
      <c r="QS10" s="1575"/>
      <c r="QT10" s="1575"/>
      <c r="QU10" s="1575"/>
      <c r="QV10" s="1575"/>
      <c r="QW10" s="1575"/>
      <c r="QX10" s="1575"/>
      <c r="QY10" s="1575"/>
      <c r="QZ10" s="1575"/>
      <c r="RA10" s="1575"/>
      <c r="RB10" s="1575"/>
      <c r="RC10" s="1575"/>
      <c r="RD10" s="1575"/>
      <c r="RE10" s="1575"/>
      <c r="RF10" s="1575"/>
      <c r="RG10" s="1575"/>
      <c r="RH10" s="1575"/>
      <c r="RI10" s="1575"/>
      <c r="RJ10" s="1575"/>
      <c r="RK10" s="1575"/>
      <c r="RL10" s="1575"/>
      <c r="RM10" s="1575"/>
      <c r="RN10" s="1575"/>
      <c r="RO10" s="1575"/>
      <c r="RP10" s="1575"/>
      <c r="RQ10" s="1575"/>
      <c r="RR10" s="1575"/>
      <c r="RS10" s="1575"/>
      <c r="RT10" s="1575"/>
      <c r="RU10" s="1575"/>
      <c r="RV10" s="1575"/>
      <c r="RW10" s="1575"/>
      <c r="RX10" s="1575"/>
      <c r="RY10" s="1575"/>
      <c r="RZ10" s="1575"/>
      <c r="SA10" s="1575"/>
      <c r="SB10" s="1575"/>
      <c r="SC10" s="1575"/>
      <c r="SD10" s="1575"/>
      <c r="SE10" s="1575"/>
      <c r="SF10" s="1575"/>
      <c r="SG10" s="1575"/>
      <c r="SH10" s="1575"/>
      <c r="SI10" s="1575"/>
      <c r="SJ10" s="1575"/>
      <c r="SK10" s="1575"/>
      <c r="SL10" s="1575"/>
      <c r="SM10" s="1575"/>
      <c r="SN10" s="1575"/>
      <c r="SO10" s="1575"/>
      <c r="SP10" s="1575"/>
      <c r="SQ10" s="1575"/>
      <c r="SR10" s="1575"/>
      <c r="SS10" s="1575"/>
      <c r="ST10" s="1575"/>
      <c r="SU10" s="1575"/>
      <c r="SV10" s="1575"/>
      <c r="SW10" s="1575"/>
      <c r="SX10" s="1575"/>
      <c r="SY10" s="1575"/>
      <c r="SZ10" s="1575"/>
      <c r="TA10" s="1575"/>
      <c r="TB10" s="1575"/>
      <c r="TC10" s="1575"/>
      <c r="TD10" s="1575"/>
      <c r="TE10" s="1575"/>
      <c r="TF10" s="1575"/>
      <c r="TG10" s="1575"/>
      <c r="TH10" s="1575"/>
      <c r="TI10" s="1575"/>
      <c r="TJ10" s="1575"/>
      <c r="TK10" s="1575"/>
      <c r="TL10" s="1575"/>
      <c r="TM10" s="1575"/>
      <c r="TN10" s="1575"/>
      <c r="TO10" s="1575"/>
      <c r="TP10" s="1575"/>
      <c r="TQ10" s="1575"/>
      <c r="TR10" s="1575"/>
      <c r="TS10" s="1575"/>
      <c r="TT10" s="1575"/>
      <c r="TU10" s="1575"/>
      <c r="TV10" s="1575"/>
      <c r="TW10" s="1575"/>
      <c r="TX10" s="1575"/>
      <c r="TY10" s="1575"/>
      <c r="TZ10" s="1575"/>
      <c r="UA10" s="1575"/>
      <c r="UB10" s="1575"/>
      <c r="UC10" s="1575"/>
      <c r="UD10" s="1575"/>
      <c r="UE10" s="1575"/>
      <c r="UF10" s="1575"/>
      <c r="UG10" s="1575"/>
      <c r="UH10" s="1575"/>
      <c r="UI10" s="1575"/>
      <c r="UJ10" s="1575"/>
      <c r="UK10" s="1575"/>
      <c r="UL10" s="1575"/>
      <c r="UM10" s="1575"/>
      <c r="UN10" s="1575"/>
      <c r="UO10" s="1575"/>
      <c r="UP10" s="1575"/>
      <c r="UQ10" s="1575"/>
      <c r="UR10" s="1575"/>
      <c r="US10" s="1575"/>
      <c r="UT10" s="1575"/>
      <c r="UU10" s="1575"/>
      <c r="UV10" s="1575"/>
      <c r="UW10" s="1575"/>
      <c r="UX10" s="1575"/>
      <c r="UY10" s="1575"/>
      <c r="UZ10" s="1575"/>
      <c r="VA10" s="1575"/>
      <c r="VB10" s="1575"/>
      <c r="VC10" s="1575"/>
      <c r="VD10" s="1575"/>
      <c r="VE10" s="1575"/>
      <c r="VF10" s="1575"/>
      <c r="VG10" s="1575"/>
      <c r="VH10" s="1575"/>
      <c r="VI10" s="1575"/>
      <c r="VJ10" s="1575"/>
      <c r="VK10" s="1575"/>
    </row>
    <row r="11" spans="1:583" s="2072" customFormat="1" ht="15" customHeight="1" x14ac:dyDescent="0.25">
      <c r="A11" s="694"/>
      <c r="B11" s="2073" t="s">
        <v>629</v>
      </c>
      <c r="C11" s="2074" t="s">
        <v>1298</v>
      </c>
      <c r="D11" s="4715" t="s">
        <v>2687</v>
      </c>
      <c r="E11" s="4715">
        <v>0</v>
      </c>
      <c r="F11" s="1575"/>
      <c r="G11" s="1575"/>
      <c r="H11" s="1575"/>
      <c r="I11" s="1575"/>
      <c r="J11" s="1575"/>
      <c r="K11" s="1575"/>
      <c r="L11" s="1575"/>
      <c r="M11" s="1575"/>
      <c r="N11" s="1575"/>
      <c r="O11" s="1575"/>
      <c r="P11" s="1575"/>
      <c r="Q11" s="1575"/>
      <c r="R11" s="1575"/>
      <c r="S11" s="1575"/>
      <c r="T11" s="1575"/>
      <c r="U11" s="1575"/>
      <c r="V11" s="1575"/>
      <c r="W11" s="1575"/>
      <c r="X11" s="1575"/>
      <c r="Y11" s="1575"/>
      <c r="Z11" s="1575"/>
      <c r="AA11" s="1575"/>
      <c r="AB11" s="1575"/>
      <c r="AC11" s="1575"/>
      <c r="AD11" s="1575"/>
      <c r="AE11" s="1575"/>
      <c r="AF11" s="1575"/>
      <c r="AG11" s="1575"/>
      <c r="AH11" s="1575"/>
      <c r="AI11" s="1575"/>
      <c r="AJ11" s="1575"/>
      <c r="AK11" s="1575"/>
      <c r="AL11" s="1575"/>
      <c r="AM11" s="1575"/>
      <c r="AN11" s="1575"/>
      <c r="AO11" s="1575"/>
      <c r="AP11" s="1575"/>
      <c r="AQ11" s="1575"/>
      <c r="AR11" s="1575"/>
      <c r="AS11" s="1575"/>
      <c r="AT11" s="1575"/>
      <c r="AU11" s="1575"/>
      <c r="AV11" s="1575"/>
      <c r="AW11" s="1575"/>
      <c r="AX11" s="1575"/>
      <c r="AY11" s="1575"/>
      <c r="AZ11" s="1575"/>
      <c r="BA11" s="1575"/>
      <c r="BB11" s="1575"/>
      <c r="BC11" s="1575"/>
      <c r="BD11" s="1575"/>
      <c r="BE11" s="1575"/>
      <c r="BF11" s="1575"/>
      <c r="BG11" s="1575"/>
      <c r="BH11" s="1575"/>
      <c r="BI11" s="1575"/>
      <c r="BJ11" s="1575"/>
      <c r="BK11" s="1575"/>
      <c r="BL11" s="1575"/>
      <c r="BM11" s="1575"/>
      <c r="BN11" s="1575"/>
      <c r="BO11" s="1575"/>
      <c r="BP11" s="1575"/>
      <c r="BQ11" s="1575"/>
      <c r="BR11" s="1575"/>
      <c r="BS11" s="1575"/>
      <c r="BT11" s="1575"/>
      <c r="BU11" s="1575"/>
      <c r="BV11" s="1575"/>
      <c r="BW11" s="1575"/>
      <c r="BX11" s="1575"/>
      <c r="BY11" s="1575"/>
      <c r="BZ11" s="1575"/>
      <c r="CA11" s="1575"/>
      <c r="CB11" s="1575"/>
      <c r="CC11" s="1575"/>
      <c r="CD11" s="1575"/>
      <c r="CE11" s="1575"/>
      <c r="CF11" s="1575"/>
      <c r="CG11" s="1575"/>
      <c r="CH11" s="1575"/>
      <c r="CI11" s="1575"/>
      <c r="CJ11" s="1575"/>
      <c r="CK11" s="1575"/>
      <c r="CL11" s="1575"/>
      <c r="CM11" s="1575"/>
      <c r="CN11" s="1575"/>
      <c r="CO11" s="1575"/>
      <c r="CP11" s="1575"/>
      <c r="CQ11" s="1575"/>
      <c r="CR11" s="1575"/>
      <c r="CS11" s="1575"/>
      <c r="CT11" s="1575"/>
      <c r="CU11" s="1575"/>
      <c r="CV11" s="1575"/>
      <c r="CW11" s="1575"/>
      <c r="CX11" s="1575"/>
      <c r="CY11" s="1575"/>
      <c r="CZ11" s="1575"/>
      <c r="DA11" s="1575"/>
      <c r="DB11" s="1575"/>
      <c r="DC11" s="1575"/>
      <c r="DD11" s="1575"/>
      <c r="DE11" s="1575"/>
      <c r="DF11" s="1575"/>
      <c r="DG11" s="1575"/>
      <c r="DH11" s="1575"/>
      <c r="DI11" s="1575"/>
      <c r="DJ11" s="1575"/>
      <c r="DK11" s="1575"/>
      <c r="DL11" s="1575"/>
      <c r="DM11" s="1575"/>
      <c r="DN11" s="1575"/>
      <c r="DO11" s="1575"/>
      <c r="DP11" s="1575"/>
      <c r="DQ11" s="1575"/>
      <c r="DR11" s="1575"/>
      <c r="DS11" s="1575"/>
      <c r="DT11" s="1575"/>
      <c r="DU11" s="1575"/>
      <c r="DV11" s="1575"/>
      <c r="DW11" s="1575"/>
      <c r="DX11" s="1575"/>
      <c r="DY11" s="1575"/>
      <c r="DZ11" s="1575"/>
      <c r="EA11" s="1575"/>
      <c r="EB11" s="1575"/>
      <c r="EC11" s="1575"/>
      <c r="ED11" s="1575"/>
      <c r="EE11" s="1575"/>
      <c r="EF11" s="1575"/>
      <c r="EG11" s="1575"/>
      <c r="EH11" s="1575"/>
      <c r="EI11" s="1575"/>
      <c r="EJ11" s="1575"/>
      <c r="EK11" s="1575"/>
      <c r="EL11" s="1575"/>
      <c r="EM11" s="1575"/>
      <c r="EN11" s="1575"/>
      <c r="EO11" s="1575"/>
      <c r="EP11" s="1575"/>
      <c r="EQ11" s="1575"/>
      <c r="ER11" s="1575"/>
      <c r="ES11" s="1575"/>
      <c r="ET11" s="1575"/>
      <c r="EU11" s="1575"/>
      <c r="EV11" s="1575"/>
      <c r="EW11" s="1575"/>
      <c r="EX11" s="1575"/>
      <c r="EY11" s="1575"/>
      <c r="EZ11" s="1575"/>
      <c r="FA11" s="1575"/>
      <c r="FB11" s="1575"/>
      <c r="FC11" s="1575"/>
      <c r="FD11" s="1575"/>
      <c r="FE11" s="1575"/>
      <c r="FF11" s="1575"/>
      <c r="FG11" s="1575"/>
      <c r="FH11" s="1575"/>
      <c r="FI11" s="1575"/>
      <c r="FJ11" s="1575"/>
      <c r="FK11" s="1575"/>
      <c r="FL11" s="1575"/>
      <c r="FM11" s="1575"/>
      <c r="FN11" s="1575"/>
      <c r="FO11" s="1575"/>
      <c r="FP11" s="1575"/>
      <c r="FQ11" s="1575"/>
      <c r="FR11" s="1575"/>
      <c r="FS11" s="1575"/>
      <c r="FT11" s="1575"/>
      <c r="FU11" s="1575"/>
      <c r="FV11" s="1575"/>
      <c r="FW11" s="1575"/>
      <c r="FX11" s="1575"/>
      <c r="FY11" s="1575"/>
      <c r="FZ11" s="1575"/>
      <c r="GA11" s="1575"/>
      <c r="GB11" s="1575"/>
      <c r="GC11" s="1575"/>
      <c r="GD11" s="1575"/>
      <c r="GE11" s="1575"/>
      <c r="GF11" s="1575"/>
      <c r="GG11" s="1575"/>
      <c r="GH11" s="1575"/>
      <c r="GI11" s="1575"/>
      <c r="GJ11" s="1575"/>
      <c r="GK11" s="1575"/>
      <c r="GL11" s="1575"/>
      <c r="GM11" s="1575"/>
      <c r="GN11" s="1575"/>
      <c r="GO11" s="1575"/>
      <c r="GP11" s="1575"/>
      <c r="GQ11" s="1575"/>
      <c r="GR11" s="1575"/>
      <c r="GS11" s="1575"/>
      <c r="GT11" s="1575"/>
      <c r="GU11" s="1575"/>
      <c r="GV11" s="1575"/>
      <c r="GW11" s="1575"/>
      <c r="GX11" s="1575"/>
      <c r="GY11" s="1575"/>
      <c r="GZ11" s="1575"/>
      <c r="HA11" s="1575"/>
      <c r="HB11" s="1575"/>
      <c r="HC11" s="1575"/>
      <c r="HD11" s="1575"/>
      <c r="HE11" s="1575"/>
      <c r="HF11" s="1575"/>
      <c r="HG11" s="1575"/>
      <c r="HH11" s="1575"/>
      <c r="HI11" s="1575"/>
      <c r="HJ11" s="1575"/>
      <c r="HK11" s="1575"/>
      <c r="HL11" s="1575"/>
      <c r="HM11" s="1575"/>
      <c r="HN11" s="1575"/>
      <c r="HO11" s="1575"/>
      <c r="HP11" s="1575"/>
      <c r="HQ11" s="1575"/>
      <c r="HR11" s="1575"/>
      <c r="HS11" s="1575"/>
      <c r="HT11" s="1575"/>
      <c r="HU11" s="1575"/>
      <c r="HV11" s="1575"/>
      <c r="HW11" s="1575"/>
      <c r="HX11" s="1575"/>
      <c r="HY11" s="1575"/>
      <c r="HZ11" s="1575"/>
      <c r="IA11" s="1575"/>
      <c r="IB11" s="1575"/>
      <c r="IC11" s="1575"/>
      <c r="ID11" s="1575"/>
      <c r="IE11" s="1575"/>
      <c r="IF11" s="1575"/>
      <c r="IG11" s="1575"/>
      <c r="IH11" s="1575"/>
      <c r="II11" s="1575"/>
      <c r="IJ11" s="1575"/>
      <c r="IK11" s="1575"/>
      <c r="IL11" s="1575"/>
      <c r="IM11" s="1575"/>
      <c r="IN11" s="1575"/>
      <c r="IO11" s="1575"/>
      <c r="IP11" s="1575"/>
      <c r="IQ11" s="1575"/>
      <c r="IR11" s="1575"/>
      <c r="IS11" s="1575"/>
      <c r="IT11" s="1575"/>
      <c r="IU11" s="1575"/>
      <c r="IV11" s="1575"/>
      <c r="IW11" s="1575"/>
      <c r="IX11" s="1575"/>
      <c r="IY11" s="1575"/>
      <c r="IZ11" s="1575"/>
      <c r="JA11" s="1587"/>
      <c r="JB11" s="1587"/>
      <c r="JC11" s="1587"/>
      <c r="JD11" s="1587"/>
      <c r="JE11" s="1587"/>
      <c r="JF11" s="1587"/>
      <c r="JG11" s="1587"/>
      <c r="JH11" s="1587"/>
      <c r="JI11" s="1587"/>
      <c r="JJ11" s="1587"/>
      <c r="JK11" s="1587"/>
      <c r="JL11" s="1587"/>
      <c r="JM11" s="1587"/>
      <c r="JN11" s="1587"/>
      <c r="JO11" s="1587"/>
      <c r="JP11" s="1587"/>
      <c r="JQ11" s="1587"/>
      <c r="JR11" s="1575"/>
      <c r="JS11" s="1575"/>
      <c r="JT11" s="1575"/>
      <c r="JU11" s="1575"/>
      <c r="JV11" s="1575"/>
      <c r="JW11" s="1575"/>
      <c r="JX11" s="1575"/>
      <c r="JY11" s="1575"/>
      <c r="JZ11" s="1575"/>
      <c r="KA11" s="1575"/>
      <c r="KB11" s="1575"/>
      <c r="KC11" s="1575"/>
      <c r="KD11" s="1575"/>
      <c r="KE11" s="1575"/>
      <c r="KF11" s="1575"/>
      <c r="KG11" s="1575"/>
      <c r="KH11" s="1575"/>
      <c r="KI11" s="1575"/>
      <c r="KJ11" s="1575"/>
      <c r="KK11" s="1575"/>
      <c r="KL11" s="1575"/>
      <c r="KM11" s="1575"/>
      <c r="KN11" s="1575"/>
      <c r="KO11" s="1575"/>
      <c r="KP11" s="1575"/>
      <c r="KQ11" s="1575"/>
      <c r="KR11" s="1575"/>
      <c r="KS11" s="1575"/>
      <c r="KT11" s="1575"/>
      <c r="KU11" s="1575"/>
      <c r="KV11" s="1575"/>
      <c r="KW11" s="1575"/>
      <c r="KX11" s="1575"/>
      <c r="KY11" s="1575"/>
      <c r="KZ11" s="1575"/>
      <c r="LA11" s="1575"/>
      <c r="LB11" s="1575"/>
      <c r="LC11" s="1575"/>
      <c r="LD11" s="1575"/>
      <c r="LE11" s="1575"/>
      <c r="LF11" s="1575"/>
      <c r="LG11" s="1575"/>
      <c r="LH11" s="1575"/>
      <c r="LI11" s="1575"/>
      <c r="LJ11" s="1575"/>
      <c r="LK11" s="1575"/>
      <c r="LL11" s="1575"/>
      <c r="LM11" s="1575"/>
      <c r="LN11" s="1575"/>
      <c r="LO11" s="1575"/>
      <c r="LP11" s="1575"/>
      <c r="LQ11" s="1575"/>
      <c r="LR11" s="1575"/>
      <c r="LS11" s="1575"/>
      <c r="LT11" s="1575"/>
      <c r="LU11" s="1575"/>
      <c r="LV11" s="1575"/>
      <c r="LW11" s="1575"/>
      <c r="LX11" s="1575"/>
      <c r="LY11" s="1575"/>
      <c r="LZ11" s="1575"/>
      <c r="MA11" s="1575"/>
      <c r="MB11" s="1575"/>
      <c r="MC11" s="1575"/>
      <c r="MD11" s="1575"/>
      <c r="ME11" s="1575"/>
      <c r="MF11" s="1575"/>
      <c r="MG11" s="1575"/>
      <c r="MH11" s="1575"/>
      <c r="MI11" s="1575"/>
      <c r="MJ11" s="1575"/>
      <c r="MK11" s="1575"/>
      <c r="ML11" s="1575"/>
      <c r="MM11" s="1575"/>
      <c r="MN11" s="1575"/>
      <c r="MO11" s="1575"/>
      <c r="MP11" s="1575"/>
      <c r="MQ11" s="1575"/>
      <c r="MR11" s="1575"/>
      <c r="MS11" s="1575"/>
      <c r="MT11" s="1575"/>
      <c r="MU11" s="1575"/>
      <c r="MV11" s="1575"/>
      <c r="MW11" s="1575"/>
      <c r="MX11" s="1575"/>
      <c r="MY11" s="1575"/>
      <c r="MZ11" s="1575"/>
      <c r="NA11" s="1575"/>
      <c r="NB11" s="1575"/>
      <c r="NC11" s="1575"/>
      <c r="ND11" s="1575"/>
      <c r="NE11" s="1575"/>
      <c r="NF11" s="1575"/>
      <c r="NG11" s="1575"/>
      <c r="NH11" s="1575"/>
      <c r="NI11" s="1575"/>
      <c r="NJ11" s="1575"/>
      <c r="NK11" s="1575"/>
      <c r="NL11" s="1575"/>
      <c r="NM11" s="1575"/>
      <c r="NN11" s="1575"/>
      <c r="NO11" s="1575"/>
      <c r="NP11" s="1575"/>
      <c r="NQ11" s="1575"/>
      <c r="NR11" s="1575"/>
      <c r="NS11" s="1575"/>
      <c r="NT11" s="1575"/>
      <c r="NU11" s="1575"/>
      <c r="NV11" s="1575"/>
      <c r="NW11" s="1575"/>
      <c r="NX11" s="1575"/>
      <c r="NY11" s="1575"/>
      <c r="NZ11" s="1575"/>
      <c r="OA11" s="1575"/>
      <c r="OB11" s="1575"/>
      <c r="OC11" s="1575"/>
      <c r="OD11" s="1575"/>
      <c r="OE11" s="1575"/>
      <c r="OF11" s="1575"/>
      <c r="OG11" s="1575"/>
      <c r="OH11" s="1575"/>
      <c r="OI11" s="1575"/>
      <c r="OJ11" s="1575"/>
      <c r="OK11" s="1575"/>
      <c r="OL11" s="1575"/>
      <c r="OM11" s="1575"/>
      <c r="ON11" s="1575"/>
      <c r="OO11" s="1575"/>
      <c r="OP11" s="1575"/>
      <c r="OQ11" s="1575"/>
      <c r="OR11" s="1575"/>
      <c r="OS11" s="1575"/>
      <c r="OT11" s="1575"/>
      <c r="OU11" s="1575"/>
      <c r="OV11" s="1575"/>
      <c r="OW11" s="1575"/>
      <c r="OX11" s="1575"/>
      <c r="OY11" s="1575"/>
      <c r="OZ11" s="1575"/>
      <c r="PA11" s="1575"/>
      <c r="PB11" s="1575"/>
      <c r="PC11" s="1575"/>
      <c r="PD11" s="1575"/>
      <c r="PE11" s="1575"/>
      <c r="PF11" s="1575"/>
      <c r="PG11" s="1575"/>
      <c r="PH11" s="1575"/>
      <c r="PI11" s="1575"/>
      <c r="PJ11" s="1575"/>
      <c r="PK11" s="1575"/>
      <c r="PL11" s="1575"/>
      <c r="PM11" s="1575"/>
      <c r="PN11" s="1575"/>
      <c r="PO11" s="1575"/>
      <c r="PP11" s="1575"/>
      <c r="PQ11" s="1575"/>
      <c r="PR11" s="1575"/>
      <c r="PS11" s="1575"/>
      <c r="PT11" s="1575"/>
      <c r="PU11" s="1575"/>
      <c r="PV11" s="1575"/>
      <c r="PW11" s="1575"/>
      <c r="PX11" s="1575"/>
      <c r="PY11" s="1575"/>
      <c r="PZ11" s="1575"/>
      <c r="QA11" s="1575"/>
      <c r="QB11" s="1575"/>
      <c r="QC11" s="1575"/>
      <c r="QD11" s="1575"/>
      <c r="QE11" s="1575"/>
      <c r="QF11" s="1575"/>
      <c r="QG11" s="1575"/>
      <c r="QH11" s="1575"/>
      <c r="QI11" s="1575"/>
      <c r="QJ11" s="1575"/>
      <c r="QK11" s="1575"/>
      <c r="QL11" s="1575"/>
      <c r="QM11" s="1575"/>
      <c r="QN11" s="1575"/>
      <c r="QO11" s="1575"/>
      <c r="QP11" s="1575"/>
      <c r="QQ11" s="1575"/>
      <c r="QR11" s="1575"/>
      <c r="QS11" s="1575"/>
      <c r="QT11" s="1575"/>
      <c r="QU11" s="1575"/>
      <c r="QV11" s="1575"/>
      <c r="QW11" s="1575"/>
      <c r="QX11" s="1575"/>
      <c r="QY11" s="1575"/>
      <c r="QZ11" s="1575"/>
      <c r="RA11" s="1575"/>
      <c r="RB11" s="1575"/>
      <c r="RC11" s="1575"/>
      <c r="RD11" s="1575"/>
      <c r="RE11" s="1575"/>
      <c r="RF11" s="1575"/>
      <c r="RG11" s="1575"/>
      <c r="RH11" s="1575"/>
      <c r="RI11" s="1575"/>
      <c r="RJ11" s="1575"/>
      <c r="RK11" s="1575"/>
      <c r="RL11" s="1575"/>
      <c r="RM11" s="1575"/>
      <c r="RN11" s="1575"/>
      <c r="RO11" s="1575"/>
      <c r="RP11" s="1575"/>
      <c r="RQ11" s="1575"/>
      <c r="RR11" s="1575"/>
      <c r="RS11" s="1575"/>
      <c r="RT11" s="1575"/>
      <c r="RU11" s="1575"/>
      <c r="RV11" s="1575"/>
      <c r="RW11" s="1575"/>
      <c r="RX11" s="1575"/>
      <c r="RY11" s="1575"/>
      <c r="RZ11" s="1575"/>
      <c r="SA11" s="1575"/>
      <c r="SB11" s="1575"/>
      <c r="SC11" s="1575"/>
      <c r="SD11" s="1575"/>
      <c r="SE11" s="1575"/>
      <c r="SF11" s="1575"/>
      <c r="SG11" s="1575"/>
      <c r="SH11" s="1575"/>
      <c r="SI11" s="1575"/>
      <c r="SJ11" s="1575"/>
      <c r="SK11" s="1575"/>
      <c r="SL11" s="1575"/>
      <c r="SM11" s="1575"/>
      <c r="SN11" s="1575"/>
      <c r="SO11" s="1575"/>
      <c r="SP11" s="1575"/>
      <c r="SQ11" s="1575"/>
      <c r="SR11" s="1575"/>
      <c r="SS11" s="1575"/>
      <c r="ST11" s="1575"/>
      <c r="SU11" s="1575"/>
      <c r="SV11" s="1575"/>
      <c r="SW11" s="1575"/>
      <c r="SX11" s="1575"/>
      <c r="SY11" s="1575"/>
      <c r="SZ11" s="1575"/>
      <c r="TA11" s="1575"/>
      <c r="TB11" s="1575"/>
      <c r="TC11" s="1575"/>
      <c r="TD11" s="1575"/>
      <c r="TE11" s="1575"/>
      <c r="TF11" s="1575"/>
      <c r="TG11" s="1575"/>
      <c r="TH11" s="1575"/>
      <c r="TI11" s="1575"/>
      <c r="TJ11" s="1575"/>
      <c r="TK11" s="1575"/>
      <c r="TL11" s="1575"/>
      <c r="TM11" s="1575"/>
      <c r="TN11" s="1575"/>
      <c r="TO11" s="1575"/>
      <c r="TP11" s="1575"/>
      <c r="TQ11" s="1575"/>
      <c r="TR11" s="1575"/>
      <c r="TS11" s="1575"/>
      <c r="TT11" s="1575"/>
      <c r="TU11" s="1575"/>
      <c r="TV11" s="1575"/>
      <c r="TW11" s="1575"/>
      <c r="TX11" s="1575"/>
      <c r="TY11" s="1575"/>
      <c r="TZ11" s="1575"/>
      <c r="UA11" s="1575"/>
      <c r="UB11" s="1575"/>
      <c r="UC11" s="1575"/>
      <c r="UD11" s="1575"/>
      <c r="UE11" s="1575"/>
      <c r="UF11" s="1575"/>
      <c r="UG11" s="1575"/>
      <c r="UH11" s="1575"/>
      <c r="UI11" s="1575"/>
      <c r="UJ11" s="1575"/>
      <c r="UK11" s="1575"/>
      <c r="UL11" s="1575"/>
      <c r="UM11" s="1575"/>
      <c r="UN11" s="1575"/>
      <c r="UO11" s="1575"/>
      <c r="UP11" s="1575"/>
      <c r="UQ11" s="1575"/>
      <c r="UR11" s="1575"/>
      <c r="US11" s="1575"/>
      <c r="UT11" s="1575"/>
      <c r="UU11" s="1575"/>
      <c r="UV11" s="1575"/>
      <c r="UW11" s="1575"/>
      <c r="UX11" s="1575"/>
      <c r="UY11" s="1575"/>
      <c r="UZ11" s="1575"/>
      <c r="VA11" s="1575"/>
      <c r="VB11" s="1575"/>
      <c r="VC11" s="1575"/>
      <c r="VD11" s="1575"/>
      <c r="VE11" s="1575"/>
      <c r="VF11" s="1575"/>
      <c r="VG11" s="1575"/>
      <c r="VH11" s="1575"/>
      <c r="VI11" s="1575"/>
      <c r="VJ11" s="1575"/>
      <c r="VK11" s="1575"/>
    </row>
    <row r="12" spans="1:583" s="2072" customFormat="1" ht="27" x14ac:dyDescent="0.25">
      <c r="A12" s="694"/>
      <c r="B12" s="2073" t="s">
        <v>629</v>
      </c>
      <c r="C12" s="2074" t="s">
        <v>2688</v>
      </c>
      <c r="D12" s="4715" t="s">
        <v>2689</v>
      </c>
      <c r="E12" s="4715">
        <v>0</v>
      </c>
      <c r="F12" s="1575"/>
      <c r="G12" s="1575"/>
      <c r="H12" s="1575"/>
      <c r="I12" s="1575"/>
      <c r="J12" s="1575"/>
      <c r="K12" s="1575"/>
      <c r="L12" s="1575"/>
      <c r="M12" s="1575"/>
      <c r="N12" s="1575"/>
      <c r="O12" s="1575"/>
      <c r="P12" s="1575"/>
      <c r="Q12" s="1575"/>
      <c r="R12" s="1575"/>
      <c r="S12" s="1575"/>
      <c r="T12" s="1575"/>
      <c r="U12" s="1575"/>
      <c r="V12" s="1575"/>
      <c r="W12" s="1575"/>
      <c r="X12" s="1575"/>
      <c r="Y12" s="1575"/>
      <c r="Z12" s="1575"/>
      <c r="AA12" s="1575"/>
      <c r="AB12" s="1575"/>
      <c r="AC12" s="1575"/>
      <c r="AD12" s="1575"/>
      <c r="AE12" s="1575"/>
      <c r="AF12" s="1575"/>
      <c r="AG12" s="1575"/>
      <c r="AH12" s="1575"/>
      <c r="AI12" s="1575"/>
      <c r="AJ12" s="1575"/>
      <c r="AK12" s="1575"/>
      <c r="AL12" s="1575"/>
      <c r="AM12" s="1575"/>
      <c r="AN12" s="1575"/>
      <c r="AO12" s="1575"/>
      <c r="AP12" s="1575"/>
      <c r="AQ12" s="1575"/>
      <c r="AR12" s="1575"/>
      <c r="AS12" s="1575"/>
      <c r="AT12" s="1575"/>
      <c r="AU12" s="1575"/>
      <c r="AV12" s="1575"/>
      <c r="AW12" s="1575"/>
      <c r="AX12" s="1575"/>
      <c r="AY12" s="1575"/>
      <c r="AZ12" s="1575"/>
      <c r="BA12" s="1575"/>
      <c r="BB12" s="1575"/>
      <c r="BC12" s="1575"/>
      <c r="BD12" s="1575"/>
      <c r="BE12" s="1575"/>
      <c r="BF12" s="1575"/>
      <c r="BG12" s="1575"/>
      <c r="BH12" s="1575"/>
      <c r="BI12" s="1575"/>
      <c r="BJ12" s="1575"/>
      <c r="BK12" s="1575"/>
      <c r="BL12" s="1575"/>
      <c r="BM12" s="1575"/>
      <c r="BN12" s="1575"/>
      <c r="BO12" s="1575"/>
      <c r="BP12" s="1575"/>
      <c r="BQ12" s="1575"/>
      <c r="BR12" s="1575"/>
      <c r="BS12" s="1575"/>
      <c r="BT12" s="1575"/>
      <c r="BU12" s="1575"/>
      <c r="BV12" s="1575"/>
      <c r="BW12" s="1575"/>
      <c r="BX12" s="1575"/>
      <c r="BY12" s="1575"/>
      <c r="BZ12" s="1575"/>
      <c r="CA12" s="1575"/>
      <c r="CB12" s="1575"/>
      <c r="CC12" s="1575"/>
      <c r="CD12" s="1575"/>
      <c r="CE12" s="1575"/>
      <c r="CF12" s="1575"/>
      <c r="CG12" s="1575"/>
      <c r="CH12" s="1575"/>
      <c r="CI12" s="1575"/>
      <c r="CJ12" s="1575"/>
      <c r="CK12" s="1575"/>
      <c r="CL12" s="1575"/>
      <c r="CM12" s="1575"/>
      <c r="CN12" s="1575"/>
      <c r="CO12" s="1575"/>
      <c r="CP12" s="1575"/>
      <c r="CQ12" s="1575"/>
      <c r="CR12" s="1575"/>
      <c r="CS12" s="1575"/>
      <c r="CT12" s="1575"/>
      <c r="CU12" s="1575"/>
      <c r="CV12" s="1575"/>
      <c r="CW12" s="1575"/>
      <c r="CX12" s="1575"/>
      <c r="CY12" s="1575"/>
      <c r="CZ12" s="1575"/>
      <c r="DA12" s="1575"/>
      <c r="DB12" s="1575"/>
      <c r="DC12" s="1575"/>
      <c r="DD12" s="1575"/>
      <c r="DE12" s="1575"/>
      <c r="DF12" s="1575"/>
      <c r="DG12" s="1575"/>
      <c r="DH12" s="1575"/>
      <c r="DI12" s="1575"/>
      <c r="DJ12" s="1575"/>
      <c r="DK12" s="1575"/>
      <c r="DL12" s="1575"/>
      <c r="DM12" s="1575"/>
      <c r="DN12" s="1575"/>
      <c r="DO12" s="1575"/>
      <c r="DP12" s="1575"/>
      <c r="DQ12" s="1575"/>
      <c r="DR12" s="1575"/>
      <c r="DS12" s="1575"/>
      <c r="DT12" s="1575"/>
      <c r="DU12" s="1575"/>
      <c r="DV12" s="1575"/>
      <c r="DW12" s="1575"/>
      <c r="DX12" s="1575"/>
      <c r="DY12" s="1575"/>
      <c r="DZ12" s="1575"/>
      <c r="EA12" s="1575"/>
      <c r="EB12" s="1575"/>
      <c r="EC12" s="1575"/>
      <c r="ED12" s="1575"/>
      <c r="EE12" s="1575"/>
      <c r="EF12" s="1575"/>
      <c r="EG12" s="1575"/>
      <c r="EH12" s="1575"/>
      <c r="EI12" s="1575"/>
      <c r="EJ12" s="1575"/>
      <c r="EK12" s="1575"/>
      <c r="EL12" s="1575"/>
      <c r="EM12" s="1575"/>
      <c r="EN12" s="1575"/>
      <c r="EO12" s="1575"/>
      <c r="EP12" s="1575"/>
      <c r="EQ12" s="1575"/>
      <c r="ER12" s="1575"/>
      <c r="ES12" s="1575"/>
      <c r="ET12" s="1575"/>
      <c r="EU12" s="1575"/>
      <c r="EV12" s="1575"/>
      <c r="EW12" s="1575"/>
      <c r="EX12" s="1575"/>
      <c r="EY12" s="1575"/>
      <c r="EZ12" s="1575"/>
      <c r="FA12" s="1575"/>
      <c r="FB12" s="1575"/>
      <c r="FC12" s="1575"/>
      <c r="FD12" s="1575"/>
      <c r="FE12" s="1575"/>
      <c r="FF12" s="1575"/>
      <c r="FG12" s="1575"/>
      <c r="FH12" s="1575"/>
      <c r="FI12" s="1575"/>
      <c r="FJ12" s="1575"/>
      <c r="FK12" s="1575"/>
      <c r="FL12" s="1575"/>
      <c r="FM12" s="1575"/>
      <c r="FN12" s="1575"/>
      <c r="FO12" s="1575"/>
      <c r="FP12" s="1575"/>
      <c r="FQ12" s="1575"/>
      <c r="FR12" s="1575"/>
      <c r="FS12" s="1575"/>
      <c r="FT12" s="1575"/>
      <c r="FU12" s="1575"/>
      <c r="FV12" s="1575"/>
      <c r="FW12" s="1575"/>
      <c r="FX12" s="1575"/>
      <c r="FY12" s="1575"/>
      <c r="FZ12" s="1575"/>
      <c r="GA12" s="1575"/>
      <c r="GB12" s="1575"/>
      <c r="GC12" s="1575"/>
      <c r="GD12" s="1575"/>
      <c r="GE12" s="1575"/>
      <c r="GF12" s="1575"/>
      <c r="GG12" s="1575"/>
      <c r="GH12" s="1575"/>
      <c r="GI12" s="1575"/>
      <c r="GJ12" s="1575"/>
      <c r="GK12" s="1575"/>
      <c r="GL12" s="1575"/>
      <c r="GM12" s="1575"/>
      <c r="GN12" s="1575"/>
      <c r="GO12" s="1575"/>
      <c r="GP12" s="1575"/>
      <c r="GQ12" s="1575"/>
      <c r="GR12" s="1575"/>
      <c r="GS12" s="1575"/>
      <c r="GT12" s="1575"/>
      <c r="GU12" s="1575"/>
      <c r="GV12" s="1575"/>
      <c r="GW12" s="1575"/>
      <c r="GX12" s="1575"/>
      <c r="GY12" s="1575"/>
      <c r="GZ12" s="1575"/>
      <c r="HA12" s="1575"/>
      <c r="HB12" s="1575"/>
      <c r="HC12" s="1575"/>
      <c r="HD12" s="1575"/>
      <c r="HE12" s="1575"/>
      <c r="HF12" s="1575"/>
      <c r="HG12" s="1575"/>
      <c r="HH12" s="1575"/>
      <c r="HI12" s="1575"/>
      <c r="HJ12" s="1575"/>
      <c r="HK12" s="1575"/>
      <c r="HL12" s="1575"/>
      <c r="HM12" s="1575"/>
      <c r="HN12" s="1575"/>
      <c r="HO12" s="1575"/>
      <c r="HP12" s="1575"/>
      <c r="HQ12" s="1575"/>
      <c r="HR12" s="1575"/>
      <c r="HS12" s="1575"/>
      <c r="HT12" s="1575"/>
      <c r="HU12" s="1575"/>
      <c r="HV12" s="1575"/>
      <c r="HW12" s="1575"/>
      <c r="HX12" s="1575"/>
      <c r="HY12" s="1575"/>
      <c r="HZ12" s="1575"/>
      <c r="IA12" s="1575"/>
      <c r="IB12" s="1575"/>
      <c r="IC12" s="1575"/>
      <c r="ID12" s="1575"/>
      <c r="IE12" s="1575"/>
      <c r="IF12" s="1575"/>
      <c r="IG12" s="1575"/>
      <c r="IH12" s="1575"/>
      <c r="II12" s="1575"/>
      <c r="IJ12" s="1575"/>
      <c r="IK12" s="1575"/>
      <c r="IL12" s="1575"/>
      <c r="IM12" s="1575"/>
      <c r="IN12" s="1575"/>
      <c r="IO12" s="1575"/>
      <c r="IP12" s="1575"/>
      <c r="IQ12" s="1575"/>
      <c r="IR12" s="1575"/>
      <c r="IS12" s="1575"/>
      <c r="IT12" s="1575"/>
      <c r="IU12" s="1575"/>
      <c r="IV12" s="1575"/>
      <c r="IW12" s="1575"/>
      <c r="IX12" s="1575"/>
      <c r="IY12" s="1575"/>
      <c r="IZ12" s="1575"/>
      <c r="JA12" s="1587"/>
      <c r="JB12" s="1587"/>
      <c r="JC12" s="1587"/>
      <c r="JD12" s="1587"/>
      <c r="JE12" s="1587"/>
      <c r="JF12" s="1587"/>
      <c r="JG12" s="1587"/>
      <c r="JH12" s="1587"/>
      <c r="JI12" s="1587"/>
      <c r="JJ12" s="1587"/>
      <c r="JK12" s="1587"/>
      <c r="JL12" s="1587"/>
      <c r="JM12" s="1587"/>
      <c r="JN12" s="1587"/>
      <c r="JO12" s="1587"/>
      <c r="JP12" s="1587"/>
      <c r="JQ12" s="1587"/>
      <c r="JR12" s="1575"/>
      <c r="JS12" s="1575"/>
      <c r="JT12" s="1575"/>
      <c r="JU12" s="1575"/>
      <c r="JV12" s="1575"/>
      <c r="JW12" s="1575"/>
      <c r="JX12" s="1575"/>
      <c r="JY12" s="1575"/>
      <c r="JZ12" s="1575"/>
      <c r="KA12" s="1575"/>
      <c r="KB12" s="1575"/>
      <c r="KC12" s="1575"/>
      <c r="KD12" s="1575"/>
      <c r="KE12" s="1575"/>
      <c r="KF12" s="1575"/>
      <c r="KG12" s="1575"/>
      <c r="KH12" s="1575"/>
      <c r="KI12" s="1575"/>
      <c r="KJ12" s="1575"/>
      <c r="KK12" s="1575"/>
      <c r="KL12" s="1575"/>
      <c r="KM12" s="1575"/>
      <c r="KN12" s="1575"/>
      <c r="KO12" s="1575"/>
      <c r="KP12" s="1575"/>
      <c r="KQ12" s="1575"/>
      <c r="KR12" s="1575"/>
      <c r="KS12" s="1575"/>
      <c r="KT12" s="1575"/>
      <c r="KU12" s="1575"/>
      <c r="KV12" s="1575"/>
      <c r="KW12" s="1575"/>
      <c r="KX12" s="1575"/>
      <c r="KY12" s="1575"/>
      <c r="KZ12" s="1575"/>
      <c r="LA12" s="1575"/>
      <c r="LB12" s="1575"/>
      <c r="LC12" s="1575"/>
      <c r="LD12" s="1575"/>
      <c r="LE12" s="1575"/>
      <c r="LF12" s="1575"/>
      <c r="LG12" s="1575"/>
      <c r="LH12" s="1575"/>
      <c r="LI12" s="1575"/>
      <c r="LJ12" s="1575"/>
      <c r="LK12" s="1575"/>
      <c r="LL12" s="1575"/>
      <c r="LM12" s="1575"/>
      <c r="LN12" s="1575"/>
      <c r="LO12" s="1575"/>
      <c r="LP12" s="1575"/>
      <c r="LQ12" s="1575"/>
      <c r="LR12" s="1575"/>
      <c r="LS12" s="1575"/>
      <c r="LT12" s="1575"/>
      <c r="LU12" s="1575"/>
      <c r="LV12" s="1575"/>
      <c r="LW12" s="1575"/>
      <c r="LX12" s="1575"/>
      <c r="LY12" s="1575"/>
      <c r="LZ12" s="1575"/>
      <c r="MA12" s="1575"/>
      <c r="MB12" s="1575"/>
      <c r="MC12" s="1575"/>
      <c r="MD12" s="1575"/>
      <c r="ME12" s="1575"/>
      <c r="MF12" s="1575"/>
      <c r="MG12" s="1575"/>
      <c r="MH12" s="1575"/>
      <c r="MI12" s="1575"/>
      <c r="MJ12" s="1575"/>
      <c r="MK12" s="1575"/>
      <c r="ML12" s="1575"/>
      <c r="MM12" s="1575"/>
      <c r="MN12" s="1575"/>
      <c r="MO12" s="1575"/>
      <c r="MP12" s="1575"/>
      <c r="MQ12" s="1575"/>
      <c r="MR12" s="1575"/>
      <c r="MS12" s="1575"/>
      <c r="MT12" s="1575"/>
      <c r="MU12" s="1575"/>
      <c r="MV12" s="1575"/>
      <c r="MW12" s="1575"/>
      <c r="MX12" s="1575"/>
      <c r="MY12" s="1575"/>
      <c r="MZ12" s="1575"/>
      <c r="NA12" s="1575"/>
      <c r="NB12" s="1575"/>
      <c r="NC12" s="1575"/>
      <c r="ND12" s="1575"/>
      <c r="NE12" s="1575"/>
      <c r="NF12" s="1575"/>
      <c r="NG12" s="1575"/>
      <c r="NH12" s="1575"/>
      <c r="NI12" s="1575"/>
      <c r="NJ12" s="1575"/>
      <c r="NK12" s="1575"/>
      <c r="NL12" s="1575"/>
      <c r="NM12" s="1575"/>
      <c r="NN12" s="1575"/>
      <c r="NO12" s="1575"/>
      <c r="NP12" s="1575"/>
      <c r="NQ12" s="1575"/>
      <c r="NR12" s="1575"/>
      <c r="NS12" s="1575"/>
      <c r="NT12" s="1575"/>
      <c r="NU12" s="1575"/>
      <c r="NV12" s="1575"/>
      <c r="NW12" s="1575"/>
      <c r="NX12" s="1575"/>
      <c r="NY12" s="1575"/>
      <c r="NZ12" s="1575"/>
      <c r="OA12" s="1575"/>
      <c r="OB12" s="1575"/>
      <c r="OC12" s="1575"/>
      <c r="OD12" s="1575"/>
      <c r="OE12" s="1575"/>
      <c r="OF12" s="1575"/>
      <c r="OG12" s="1575"/>
      <c r="OH12" s="1575"/>
      <c r="OI12" s="1575"/>
      <c r="OJ12" s="1575"/>
      <c r="OK12" s="1575"/>
      <c r="OL12" s="1575"/>
      <c r="OM12" s="1575"/>
      <c r="ON12" s="1575"/>
      <c r="OO12" s="1575"/>
      <c r="OP12" s="1575"/>
      <c r="OQ12" s="1575"/>
      <c r="OR12" s="1575"/>
      <c r="OS12" s="1575"/>
      <c r="OT12" s="1575"/>
      <c r="OU12" s="1575"/>
      <c r="OV12" s="1575"/>
      <c r="OW12" s="1575"/>
      <c r="OX12" s="1575"/>
      <c r="OY12" s="1575"/>
      <c r="OZ12" s="1575"/>
      <c r="PA12" s="1575"/>
      <c r="PB12" s="1575"/>
      <c r="PC12" s="1575"/>
      <c r="PD12" s="1575"/>
      <c r="PE12" s="1575"/>
      <c r="PF12" s="1575"/>
      <c r="PG12" s="1575"/>
      <c r="PH12" s="1575"/>
      <c r="PI12" s="1575"/>
      <c r="PJ12" s="1575"/>
      <c r="PK12" s="1575"/>
      <c r="PL12" s="1575"/>
      <c r="PM12" s="1575"/>
      <c r="PN12" s="1575"/>
      <c r="PO12" s="1575"/>
      <c r="PP12" s="1575"/>
      <c r="PQ12" s="1575"/>
      <c r="PR12" s="1575"/>
      <c r="PS12" s="1575"/>
      <c r="PT12" s="1575"/>
      <c r="PU12" s="1575"/>
      <c r="PV12" s="1575"/>
      <c r="PW12" s="1575"/>
      <c r="PX12" s="1575"/>
      <c r="PY12" s="1575"/>
      <c r="PZ12" s="1575"/>
      <c r="QA12" s="1575"/>
      <c r="QB12" s="1575"/>
      <c r="QC12" s="1575"/>
      <c r="QD12" s="1575"/>
      <c r="QE12" s="1575"/>
      <c r="QF12" s="1575"/>
      <c r="QG12" s="1575"/>
      <c r="QH12" s="1575"/>
      <c r="QI12" s="1575"/>
      <c r="QJ12" s="1575"/>
      <c r="QK12" s="1575"/>
      <c r="QL12" s="1575"/>
      <c r="QM12" s="1575"/>
      <c r="QN12" s="1575"/>
      <c r="QO12" s="1575"/>
      <c r="QP12" s="1575"/>
      <c r="QQ12" s="1575"/>
      <c r="QR12" s="1575"/>
      <c r="QS12" s="1575"/>
      <c r="QT12" s="1575"/>
      <c r="QU12" s="1575"/>
      <c r="QV12" s="1575"/>
      <c r="QW12" s="1575"/>
      <c r="QX12" s="1575"/>
      <c r="QY12" s="1575"/>
      <c r="QZ12" s="1575"/>
      <c r="RA12" s="1575"/>
      <c r="RB12" s="1575"/>
      <c r="RC12" s="1575"/>
      <c r="RD12" s="1575"/>
      <c r="RE12" s="1575"/>
      <c r="RF12" s="1575"/>
      <c r="RG12" s="1575"/>
      <c r="RH12" s="1575"/>
      <c r="RI12" s="1575"/>
      <c r="RJ12" s="1575"/>
      <c r="RK12" s="1575"/>
      <c r="RL12" s="1575"/>
      <c r="RM12" s="1575"/>
      <c r="RN12" s="1575"/>
      <c r="RO12" s="1575"/>
      <c r="RP12" s="1575"/>
      <c r="RQ12" s="1575"/>
      <c r="RR12" s="1575"/>
      <c r="RS12" s="1575"/>
      <c r="RT12" s="1575"/>
      <c r="RU12" s="1575"/>
      <c r="RV12" s="1575"/>
      <c r="RW12" s="1575"/>
      <c r="RX12" s="1575"/>
      <c r="RY12" s="1575"/>
      <c r="RZ12" s="1575"/>
      <c r="SA12" s="1575"/>
      <c r="SB12" s="1575"/>
      <c r="SC12" s="1575"/>
      <c r="SD12" s="1575"/>
      <c r="SE12" s="1575"/>
      <c r="SF12" s="1575"/>
      <c r="SG12" s="1575"/>
      <c r="SH12" s="1575"/>
      <c r="SI12" s="1575"/>
      <c r="SJ12" s="1575"/>
      <c r="SK12" s="1575"/>
      <c r="SL12" s="1575"/>
      <c r="SM12" s="1575"/>
      <c r="SN12" s="1575"/>
      <c r="SO12" s="1575"/>
      <c r="SP12" s="1575"/>
      <c r="SQ12" s="1575"/>
      <c r="SR12" s="1575"/>
      <c r="SS12" s="1575"/>
      <c r="ST12" s="1575"/>
      <c r="SU12" s="1575"/>
      <c r="SV12" s="1575"/>
      <c r="SW12" s="1575"/>
      <c r="SX12" s="1575"/>
      <c r="SY12" s="1575"/>
      <c r="SZ12" s="1575"/>
      <c r="TA12" s="1575"/>
      <c r="TB12" s="1575"/>
      <c r="TC12" s="1575"/>
      <c r="TD12" s="1575"/>
      <c r="TE12" s="1575"/>
      <c r="TF12" s="1575"/>
      <c r="TG12" s="1575"/>
      <c r="TH12" s="1575"/>
      <c r="TI12" s="1575"/>
      <c r="TJ12" s="1575"/>
      <c r="TK12" s="1575"/>
      <c r="TL12" s="1575"/>
      <c r="TM12" s="1575"/>
      <c r="TN12" s="1575"/>
      <c r="TO12" s="1575"/>
      <c r="TP12" s="1575"/>
      <c r="TQ12" s="1575"/>
      <c r="TR12" s="1575"/>
      <c r="TS12" s="1575"/>
      <c r="TT12" s="1575"/>
      <c r="TU12" s="1575"/>
      <c r="TV12" s="1575"/>
      <c r="TW12" s="1575"/>
      <c r="TX12" s="1575"/>
      <c r="TY12" s="1575"/>
      <c r="TZ12" s="1575"/>
      <c r="UA12" s="1575"/>
      <c r="UB12" s="1575"/>
      <c r="UC12" s="1575"/>
      <c r="UD12" s="1575"/>
      <c r="UE12" s="1575"/>
      <c r="UF12" s="1575"/>
      <c r="UG12" s="1575"/>
      <c r="UH12" s="1575"/>
      <c r="UI12" s="1575"/>
      <c r="UJ12" s="1575"/>
      <c r="UK12" s="1575"/>
      <c r="UL12" s="1575"/>
      <c r="UM12" s="1575"/>
      <c r="UN12" s="1575"/>
      <c r="UO12" s="1575"/>
      <c r="UP12" s="1575"/>
      <c r="UQ12" s="1575"/>
      <c r="UR12" s="1575"/>
      <c r="US12" s="1575"/>
      <c r="UT12" s="1575"/>
      <c r="UU12" s="1575"/>
      <c r="UV12" s="1575"/>
      <c r="UW12" s="1575"/>
      <c r="UX12" s="1575"/>
      <c r="UY12" s="1575"/>
      <c r="UZ12" s="1575"/>
      <c r="VA12" s="1575"/>
      <c r="VB12" s="1575"/>
      <c r="VC12" s="1575"/>
      <c r="VD12" s="1575"/>
      <c r="VE12" s="1575"/>
      <c r="VF12" s="1575"/>
      <c r="VG12" s="1575"/>
      <c r="VH12" s="1575"/>
      <c r="VI12" s="1575"/>
      <c r="VJ12" s="1575"/>
      <c r="VK12" s="1575"/>
    </row>
    <row r="13" spans="1:583" ht="27" x14ac:dyDescent="0.25">
      <c r="B13" s="1610" t="s">
        <v>629</v>
      </c>
      <c r="C13" s="1582" t="s">
        <v>2690</v>
      </c>
      <c r="D13" s="4710" t="s">
        <v>2076</v>
      </c>
      <c r="E13" s="4710">
        <v>0</v>
      </c>
      <c r="F13" s="1576"/>
      <c r="G13" s="1576"/>
      <c r="H13" s="1576"/>
      <c r="I13" s="1576"/>
      <c r="J13" s="1576"/>
      <c r="K13" s="1576"/>
      <c r="L13" s="1576"/>
      <c r="M13" s="1576"/>
      <c r="N13" s="1576"/>
      <c r="O13" s="1576"/>
      <c r="P13" s="1576"/>
      <c r="Q13" s="1576"/>
      <c r="R13" s="1576"/>
      <c r="S13" s="1576"/>
      <c r="T13" s="1576"/>
      <c r="U13" s="1576"/>
      <c r="V13" s="1576"/>
      <c r="W13" s="1576"/>
      <c r="X13" s="1576"/>
      <c r="Y13" s="1576"/>
      <c r="Z13" s="1576"/>
      <c r="AA13" s="1576"/>
      <c r="AB13" s="1576"/>
      <c r="AC13" s="1576"/>
      <c r="AD13" s="1576"/>
      <c r="AE13" s="1576"/>
      <c r="AF13" s="1576"/>
      <c r="AG13" s="1576"/>
      <c r="AH13" s="1576"/>
      <c r="AI13" s="1576"/>
      <c r="AJ13" s="1576"/>
      <c r="AK13" s="1576"/>
      <c r="AL13" s="1576"/>
      <c r="AM13" s="1576"/>
      <c r="AN13" s="1576" t="e">
        <f>'Paso 1.1'!E10*Tiempos!$H$9</f>
        <v>#DIV/0!</v>
      </c>
      <c r="AO13" s="1576" t="e">
        <f>'Paso 1.1'!F10*Tiempos!$H$9</f>
        <v>#DIV/0!</v>
      </c>
      <c r="AP13" s="1576" t="e">
        <f>'Paso 1.1'!G10*Tiempos!$H$9</f>
        <v>#DIV/0!</v>
      </c>
      <c r="AQ13" s="1576" t="e">
        <f>'Paso 1.1'!H10*Tiempos!$H$9</f>
        <v>#DIV/0!</v>
      </c>
      <c r="AR13" s="1576" t="e">
        <f>'Paso 1.1'!I10*Tiempos!$H$9</f>
        <v>#DIV/0!</v>
      </c>
      <c r="AS13" s="1576" t="e">
        <f>'Paso 1.1'!J10*Tiempos!$H$9</f>
        <v>#DIV/0!</v>
      </c>
      <c r="AT13" s="1576" t="e">
        <f>'Paso 1.1'!K10*Tiempos!$H$9</f>
        <v>#DIV/0!</v>
      </c>
      <c r="AU13" s="1576" t="e">
        <f>'Paso 1.1'!L10*Tiempos!$H$9</f>
        <v>#DIV/0!</v>
      </c>
      <c r="AV13" s="1576" t="e">
        <f>'Paso 1.1'!M10*Tiempos!$H$9</f>
        <v>#DIV/0!</v>
      </c>
      <c r="AW13" s="1576" t="e">
        <f>'Paso 1.1'!N10*Tiempos!$H$9</f>
        <v>#DIV/0!</v>
      </c>
      <c r="AX13" s="1576" t="e">
        <f>'Paso 1.1'!O10*Tiempos!$H$9</f>
        <v>#DIV/0!</v>
      </c>
      <c r="AY13" s="1576" t="e">
        <f>'Paso 1.1'!P10*Tiempos!$H$9</f>
        <v>#DIV/0!</v>
      </c>
      <c r="AZ13" s="1576" t="e">
        <f>'Paso 1.1'!Q10*Tiempos!$H$9</f>
        <v>#DIV/0!</v>
      </c>
      <c r="BA13" s="1576" t="e">
        <f>'Paso 1.1'!R10*Tiempos!$H$9</f>
        <v>#DIV/0!</v>
      </c>
      <c r="BB13" s="1576" t="e">
        <f>'Paso 1.1'!S10*Tiempos!$H$9</f>
        <v>#DIV/0!</v>
      </c>
      <c r="BC13" s="1576" t="e">
        <f>'Paso 1.1'!T10*Tiempos!$H$9</f>
        <v>#DIV/0!</v>
      </c>
      <c r="BD13" s="1576" t="e">
        <f>'Paso 1.1'!U10*Tiempos!$H$9</f>
        <v>#DIV/0!</v>
      </c>
      <c r="BE13" s="1576"/>
      <c r="BF13" s="1576"/>
      <c r="BG13" s="1576"/>
      <c r="BH13" s="1576"/>
      <c r="BI13" s="1576"/>
      <c r="BJ13" s="1576"/>
      <c r="BK13" s="1576"/>
      <c r="BL13" s="1576"/>
      <c r="BM13" s="1576"/>
      <c r="BN13" s="1576"/>
      <c r="BO13" s="1576"/>
      <c r="BP13" s="1576"/>
      <c r="BQ13" s="1576"/>
      <c r="BR13" s="1576"/>
      <c r="BS13" s="1576"/>
      <c r="BT13" s="1576"/>
      <c r="BU13" s="1576"/>
      <c r="BV13" s="1576"/>
      <c r="BW13" s="1576"/>
      <c r="BX13" s="1576"/>
      <c r="BY13" s="1576"/>
      <c r="BZ13" s="1576"/>
      <c r="CA13" s="1576"/>
      <c r="CB13" s="1576"/>
      <c r="CC13" s="1576"/>
      <c r="CD13" s="1576"/>
      <c r="CE13" s="1576"/>
      <c r="CF13" s="1576"/>
      <c r="CG13" s="1576"/>
      <c r="CH13" s="1576"/>
      <c r="CI13" s="1576"/>
      <c r="CJ13" s="1576"/>
      <c r="CK13" s="1576"/>
      <c r="CL13" s="1576"/>
      <c r="CM13" s="1576"/>
      <c r="CN13" s="1576"/>
      <c r="CO13" s="1576"/>
      <c r="CP13" s="1576"/>
      <c r="CQ13" s="1576"/>
      <c r="CR13" s="1576"/>
      <c r="CS13" s="1576"/>
      <c r="CT13" s="1576"/>
      <c r="CU13" s="1576"/>
      <c r="CV13" s="1576"/>
      <c r="CW13" s="1576"/>
      <c r="CX13" s="1576"/>
      <c r="CY13" s="1576"/>
      <c r="CZ13" s="1576"/>
      <c r="DA13" s="1576"/>
      <c r="DB13" s="1576"/>
      <c r="DC13" s="1576"/>
      <c r="DD13" s="1576"/>
      <c r="DE13" s="1576"/>
      <c r="DF13" s="1576"/>
      <c r="DG13" s="1576"/>
      <c r="DH13" s="1576"/>
      <c r="DI13" s="1576"/>
      <c r="DJ13" s="1576"/>
      <c r="DK13" s="1576"/>
      <c r="DL13" s="1576"/>
      <c r="DM13" s="1576"/>
      <c r="DN13" s="1576"/>
      <c r="DO13" s="1576"/>
      <c r="DP13" s="1576"/>
      <c r="DQ13" s="1576"/>
      <c r="DR13" s="1576"/>
      <c r="DS13" s="1576"/>
      <c r="DT13" s="1576"/>
      <c r="DU13" s="1576"/>
      <c r="DV13" s="1576"/>
      <c r="DW13" s="1576"/>
      <c r="DX13" s="1576"/>
      <c r="DY13" s="1576"/>
      <c r="DZ13" s="1576"/>
      <c r="EA13" s="1576"/>
      <c r="EB13" s="1576"/>
      <c r="EC13" s="1576"/>
      <c r="ED13" s="1576"/>
      <c r="EE13" s="1576"/>
      <c r="EF13" s="1576"/>
      <c r="EG13" s="1576"/>
      <c r="EH13" s="1576"/>
      <c r="EI13" s="1576"/>
      <c r="EJ13" s="1576"/>
      <c r="EK13" s="1576"/>
      <c r="EL13" s="1576"/>
      <c r="EM13" s="1576"/>
      <c r="EN13" s="1576"/>
      <c r="EO13" s="1576"/>
      <c r="EP13" s="1576"/>
      <c r="EQ13" s="1576"/>
      <c r="ER13" s="1576"/>
      <c r="ES13" s="1576"/>
      <c r="ET13" s="1576"/>
      <c r="EU13" s="1576"/>
      <c r="EV13" s="1576"/>
      <c r="EW13" s="1576"/>
      <c r="EX13" s="1576"/>
      <c r="EY13" s="1576"/>
      <c r="EZ13" s="1576"/>
      <c r="FA13" s="1576"/>
      <c r="FB13" s="1576"/>
      <c r="FC13" s="1576"/>
      <c r="FD13" s="1576"/>
      <c r="FE13" s="1576"/>
      <c r="FF13" s="1576"/>
      <c r="FG13" s="1576"/>
      <c r="FH13" s="1576"/>
      <c r="FI13" s="1576"/>
      <c r="FJ13" s="1576"/>
      <c r="FK13" s="1576"/>
      <c r="FL13" s="1576"/>
      <c r="FM13" s="1576"/>
      <c r="FN13" s="1576"/>
      <c r="FO13" s="1576"/>
      <c r="FP13" s="1576"/>
      <c r="FQ13" s="1576"/>
      <c r="FR13" s="1576"/>
      <c r="FS13" s="1576"/>
      <c r="FT13" s="1576"/>
      <c r="FU13" s="1576"/>
      <c r="FV13" s="1576"/>
      <c r="FW13" s="1576"/>
      <c r="FX13" s="1576"/>
      <c r="FY13" s="1576"/>
      <c r="FZ13" s="1576"/>
      <c r="GA13" s="1576"/>
      <c r="GB13" s="1576"/>
      <c r="GC13" s="1576"/>
      <c r="GD13" s="1576"/>
      <c r="GE13" s="1576"/>
      <c r="GF13" s="1576"/>
      <c r="GG13" s="1576"/>
      <c r="GH13" s="1576"/>
      <c r="GI13" s="1576"/>
      <c r="GJ13" s="1576"/>
      <c r="GK13" s="1576"/>
      <c r="GL13" s="1576"/>
      <c r="GM13" s="1576"/>
      <c r="GN13" s="1576"/>
      <c r="GO13" s="1576"/>
      <c r="GP13" s="1576"/>
      <c r="GQ13" s="1576"/>
      <c r="GR13" s="1576"/>
      <c r="GS13" s="1576"/>
      <c r="GT13" s="1576"/>
      <c r="GU13" s="1576"/>
      <c r="GV13" s="1576"/>
      <c r="GW13" s="1576"/>
      <c r="GX13" s="1576"/>
      <c r="GY13" s="1576"/>
      <c r="GZ13" s="1576"/>
      <c r="HA13" s="1576"/>
      <c r="HB13" s="1576"/>
      <c r="HC13" s="1576"/>
      <c r="HD13" s="1576"/>
      <c r="HE13" s="1576"/>
      <c r="HF13" s="1576"/>
      <c r="HG13" s="1576"/>
      <c r="HH13" s="1576"/>
      <c r="HI13" s="1576"/>
      <c r="HJ13" s="1576"/>
      <c r="HK13" s="1576"/>
      <c r="HL13" s="1576"/>
      <c r="HM13" s="1576"/>
      <c r="HN13" s="1576"/>
      <c r="HO13" s="1576"/>
      <c r="HP13" s="1576"/>
      <c r="HQ13" s="1576"/>
      <c r="HR13" s="1576"/>
      <c r="HS13" s="1576"/>
      <c r="HT13" s="1576"/>
      <c r="HU13" s="1576"/>
      <c r="HV13" s="1576"/>
      <c r="HW13" s="1576"/>
      <c r="HX13" s="1576"/>
      <c r="HY13" s="1576"/>
      <c r="HZ13" s="1576"/>
      <c r="IA13" s="1576"/>
      <c r="IB13" s="1576"/>
      <c r="IC13" s="1576"/>
      <c r="ID13" s="1576"/>
      <c r="IE13" s="1576"/>
      <c r="IF13" s="1576"/>
      <c r="IG13" s="1576"/>
      <c r="IH13" s="1576"/>
      <c r="II13" s="1576"/>
      <c r="IJ13" s="1576"/>
      <c r="IK13" s="1576"/>
      <c r="IL13" s="1576"/>
      <c r="IM13" s="1576"/>
      <c r="IN13" s="1576"/>
      <c r="IO13" s="1576"/>
      <c r="IP13" s="1576"/>
      <c r="IQ13" s="1576"/>
      <c r="IR13" s="1576"/>
      <c r="IS13" s="1576"/>
      <c r="IT13" s="1576"/>
      <c r="IU13" s="1576"/>
      <c r="IV13" s="1576"/>
      <c r="IW13" s="1576"/>
      <c r="IX13" s="1576"/>
      <c r="IY13" s="1576"/>
      <c r="IZ13" s="1576"/>
      <c r="JA13" s="2054"/>
      <c r="JB13" s="2054"/>
      <c r="JC13" s="2054"/>
      <c r="JD13" s="2054"/>
      <c r="JE13" s="2054"/>
      <c r="JF13" s="2054"/>
      <c r="JG13" s="2054"/>
      <c r="JH13" s="2054"/>
      <c r="JI13" s="2054"/>
      <c r="JJ13" s="2054"/>
      <c r="JK13" s="2054"/>
      <c r="JL13" s="2054"/>
      <c r="JM13" s="2054"/>
      <c r="JN13" s="2054"/>
      <c r="JO13" s="2054"/>
      <c r="JP13" s="2054"/>
      <c r="JQ13" s="2054"/>
      <c r="JR13" s="1576"/>
      <c r="JS13" s="1576"/>
      <c r="JT13" s="1576"/>
      <c r="JU13" s="1576"/>
      <c r="JV13" s="1576"/>
      <c r="JW13" s="1576"/>
      <c r="JX13" s="1576"/>
      <c r="JY13" s="1576"/>
      <c r="JZ13" s="1576"/>
      <c r="KA13" s="1576"/>
      <c r="KB13" s="1576"/>
      <c r="KC13" s="1576"/>
      <c r="KD13" s="1576"/>
      <c r="KE13" s="1576"/>
      <c r="KF13" s="1576"/>
      <c r="KG13" s="1576"/>
      <c r="KH13" s="1576"/>
      <c r="KI13" s="1576"/>
      <c r="KJ13" s="1576"/>
      <c r="KK13" s="1576"/>
      <c r="KL13" s="1576"/>
      <c r="KM13" s="1576"/>
      <c r="KN13" s="1576"/>
      <c r="KO13" s="1576"/>
      <c r="KP13" s="1576"/>
      <c r="KQ13" s="1576"/>
      <c r="KR13" s="1576"/>
      <c r="KS13" s="1576"/>
      <c r="KT13" s="1576"/>
      <c r="KU13" s="1576"/>
      <c r="KV13" s="1576"/>
      <c r="KW13" s="1576"/>
      <c r="KX13" s="1576"/>
      <c r="KY13" s="1576"/>
      <c r="KZ13" s="1576"/>
      <c r="LA13" s="1576"/>
      <c r="LB13" s="1576"/>
      <c r="LC13" s="1576"/>
      <c r="LD13" s="1576"/>
      <c r="LE13" s="1576"/>
      <c r="LF13" s="1576"/>
      <c r="LG13" s="1576"/>
      <c r="LH13" s="1576"/>
      <c r="LI13" s="1576"/>
      <c r="LJ13" s="1576"/>
      <c r="LK13" s="1576"/>
      <c r="LL13" s="1576"/>
      <c r="LM13" s="1576"/>
      <c r="LN13" s="1576"/>
      <c r="LO13" s="1576"/>
      <c r="LP13" s="1576"/>
      <c r="LQ13" s="1576"/>
      <c r="LR13" s="1576"/>
      <c r="LS13" s="1576"/>
      <c r="LT13" s="1576"/>
      <c r="LU13" s="1576"/>
      <c r="LV13" s="1576"/>
      <c r="LW13" s="1576"/>
      <c r="LX13" s="1576"/>
      <c r="LY13" s="1576"/>
      <c r="LZ13" s="1576"/>
      <c r="MA13" s="1576"/>
      <c r="MB13" s="1576"/>
      <c r="MC13" s="1576"/>
      <c r="MD13" s="1576"/>
      <c r="ME13" s="1576"/>
      <c r="MF13" s="1576"/>
      <c r="MG13" s="1576"/>
      <c r="MH13" s="1576"/>
      <c r="MI13" s="1576"/>
      <c r="MJ13" s="1576"/>
      <c r="MK13" s="1576"/>
      <c r="ML13" s="1576"/>
      <c r="MM13" s="1576"/>
      <c r="MN13" s="1576"/>
      <c r="MO13" s="1576"/>
      <c r="MP13" s="1576"/>
      <c r="MQ13" s="1576"/>
      <c r="MR13" s="1576"/>
      <c r="MS13" s="1576"/>
      <c r="MT13" s="1576"/>
      <c r="MU13" s="1576"/>
      <c r="MV13" s="1576"/>
      <c r="MW13" s="1576"/>
      <c r="MX13" s="1576"/>
      <c r="MY13" s="1576" t="e">
        <f>'Paso 1.1'!E10*Tiempos!$L$9</f>
        <v>#DIV/0!</v>
      </c>
      <c r="MZ13" s="1576" t="e">
        <f>'Paso 1.1'!F10*Tiempos!$L$9</f>
        <v>#DIV/0!</v>
      </c>
      <c r="NA13" s="1576" t="e">
        <f>'Paso 1.1'!G10*Tiempos!$L$9</f>
        <v>#DIV/0!</v>
      </c>
      <c r="NB13" s="1576" t="e">
        <f>'Paso 1.1'!H10*Tiempos!$L$9</f>
        <v>#DIV/0!</v>
      </c>
      <c r="NC13" s="1576" t="e">
        <f>'Paso 1.1'!I10*Tiempos!$L$9</f>
        <v>#DIV/0!</v>
      </c>
      <c r="ND13" s="1576" t="e">
        <f>'Paso 1.1'!J10*Tiempos!$L$9</f>
        <v>#DIV/0!</v>
      </c>
      <c r="NE13" s="1576" t="e">
        <f>'Paso 1.1'!K10*Tiempos!$L$9</f>
        <v>#DIV/0!</v>
      </c>
      <c r="NF13" s="1576" t="e">
        <f>'Paso 1.1'!L10*Tiempos!$L$9</f>
        <v>#DIV/0!</v>
      </c>
      <c r="NG13" s="1576" t="e">
        <f>'Paso 1.1'!M10*Tiempos!$L$9</f>
        <v>#DIV/0!</v>
      </c>
      <c r="NH13" s="1576" t="e">
        <f>'Paso 1.1'!N10*Tiempos!$L$9</f>
        <v>#DIV/0!</v>
      </c>
      <c r="NI13" s="1576" t="e">
        <f>'Paso 1.1'!O10*Tiempos!$L$9</f>
        <v>#DIV/0!</v>
      </c>
      <c r="NJ13" s="1576" t="e">
        <f>'Paso 1.1'!P10*Tiempos!$L$9</f>
        <v>#DIV/0!</v>
      </c>
      <c r="NK13" s="1576" t="e">
        <f>'Paso 1.1'!Q10*Tiempos!$L$9</f>
        <v>#DIV/0!</v>
      </c>
      <c r="NL13" s="1576" t="e">
        <f>'Paso 1.1'!R10*Tiempos!$L$9</f>
        <v>#DIV/0!</v>
      </c>
      <c r="NM13" s="1576" t="e">
        <f>'Paso 1.1'!S10*Tiempos!$L$9</f>
        <v>#DIV/0!</v>
      </c>
      <c r="NN13" s="1576" t="e">
        <f>'Paso 1.1'!T10*Tiempos!$L$9</f>
        <v>#DIV/0!</v>
      </c>
      <c r="NO13" s="1576" t="e">
        <f>'Paso 1.1'!U10*Tiempos!$L$9</f>
        <v>#DIV/0!</v>
      </c>
      <c r="NP13" s="1576"/>
      <c r="NQ13" s="1576"/>
      <c r="NR13" s="1576"/>
      <c r="NS13" s="1576"/>
      <c r="NT13" s="1576"/>
      <c r="NU13" s="1576"/>
      <c r="NV13" s="1576"/>
      <c r="NW13" s="1576"/>
      <c r="NX13" s="1576"/>
      <c r="NY13" s="1576"/>
      <c r="NZ13" s="1576"/>
      <c r="OA13" s="1576"/>
      <c r="OB13" s="1576"/>
      <c r="OC13" s="1576"/>
      <c r="OD13" s="1576"/>
      <c r="OE13" s="1576"/>
      <c r="OF13" s="1576"/>
      <c r="OG13" s="1576"/>
      <c r="OH13" s="1576"/>
      <c r="OI13" s="1576"/>
      <c r="OJ13" s="1576"/>
      <c r="OK13" s="1576"/>
      <c r="OL13" s="1576"/>
      <c r="OM13" s="1576"/>
      <c r="ON13" s="1576"/>
      <c r="OO13" s="1576"/>
      <c r="OP13" s="1576"/>
      <c r="OQ13" s="1576"/>
      <c r="OR13" s="1576"/>
      <c r="OS13" s="1576"/>
      <c r="OT13" s="1576"/>
      <c r="OU13" s="1576"/>
      <c r="OV13" s="1576"/>
      <c r="OW13" s="1576"/>
      <c r="OX13" s="1576"/>
      <c r="OY13" s="1576"/>
      <c r="OZ13" s="1576"/>
      <c r="PA13" s="1576"/>
      <c r="PB13" s="1576"/>
      <c r="PC13" s="1576"/>
      <c r="PD13" s="1576"/>
      <c r="PE13" s="1576"/>
      <c r="PF13" s="1576"/>
      <c r="PG13" s="1576"/>
      <c r="PH13" s="1576"/>
      <c r="PI13" s="1576"/>
      <c r="PJ13" s="1576"/>
      <c r="PK13" s="1576"/>
      <c r="PL13" s="1576"/>
      <c r="PM13" s="1576"/>
      <c r="PN13" s="1576"/>
      <c r="PO13" s="1576"/>
      <c r="PP13" s="1576"/>
      <c r="PQ13" s="1576"/>
      <c r="PR13" s="1576"/>
      <c r="PS13" s="1576"/>
      <c r="PT13" s="1576"/>
      <c r="PU13" s="1576"/>
      <c r="PV13" s="1576"/>
      <c r="PW13" s="1576"/>
      <c r="PX13" s="1576"/>
      <c r="PY13" s="1576"/>
      <c r="PZ13" s="1576"/>
      <c r="QA13" s="1576"/>
      <c r="QB13" s="1576"/>
      <c r="QC13" s="1576"/>
      <c r="QD13" s="1576"/>
      <c r="QE13" s="1576"/>
      <c r="QF13" s="1576"/>
      <c r="QG13" s="1576"/>
      <c r="QH13" s="1576"/>
      <c r="QI13" s="1576"/>
      <c r="QJ13" s="1576"/>
      <c r="QK13" s="1576"/>
      <c r="QL13" s="1576"/>
      <c r="QM13" s="1576"/>
      <c r="QN13" s="1576"/>
      <c r="QO13" s="1576"/>
      <c r="QP13" s="1576"/>
      <c r="QQ13" s="1576"/>
      <c r="QR13" s="1576"/>
      <c r="QS13" s="1576"/>
      <c r="QT13" s="1576"/>
      <c r="QU13" s="1576"/>
      <c r="QV13" s="1576"/>
      <c r="QW13" s="1576"/>
      <c r="QX13" s="1576"/>
      <c r="QY13" s="1576"/>
      <c r="QZ13" s="1576"/>
      <c r="RA13" s="1576"/>
      <c r="RB13" s="1576"/>
      <c r="RC13" s="1576"/>
      <c r="RD13" s="1576"/>
      <c r="RE13" s="1576"/>
      <c r="RF13" s="1576"/>
      <c r="RG13" s="1576"/>
      <c r="RH13" s="1576"/>
      <c r="RI13" s="1576"/>
      <c r="RJ13" s="1576"/>
      <c r="RK13" s="1576"/>
      <c r="RL13" s="1576"/>
      <c r="RM13" s="1576"/>
      <c r="RN13" s="1576"/>
      <c r="RO13" s="1576"/>
      <c r="RP13" s="1576"/>
      <c r="RQ13" s="1576"/>
      <c r="RR13" s="1576"/>
      <c r="RS13" s="1576"/>
      <c r="RT13" s="1576"/>
      <c r="RU13" s="1576"/>
      <c r="RV13" s="1576"/>
      <c r="RW13" s="1576"/>
      <c r="RX13" s="1576"/>
      <c r="RY13" s="1576"/>
      <c r="RZ13" s="1576"/>
      <c r="SA13" s="1576"/>
      <c r="SB13" s="1576"/>
      <c r="SC13" s="1576"/>
      <c r="SD13" s="1576"/>
      <c r="SE13" s="1576"/>
      <c r="SF13" s="1576"/>
      <c r="SG13" s="1576"/>
      <c r="SH13" s="1576"/>
      <c r="SI13" s="1576"/>
      <c r="SJ13" s="1576"/>
      <c r="SK13" s="1576"/>
      <c r="SL13" s="1576"/>
      <c r="SM13" s="1576"/>
      <c r="SN13" s="1576"/>
      <c r="SO13" s="1576"/>
      <c r="SP13" s="1576"/>
      <c r="SQ13" s="1576"/>
      <c r="SR13" s="1576"/>
      <c r="SS13" s="1576"/>
      <c r="ST13" s="1576"/>
      <c r="SU13" s="1576"/>
      <c r="SV13" s="1576"/>
      <c r="SW13" s="1576"/>
      <c r="SX13" s="1576"/>
      <c r="SY13" s="1576"/>
      <c r="SZ13" s="1576"/>
      <c r="TA13" s="1576"/>
      <c r="TB13" s="1576"/>
      <c r="TC13" s="1576"/>
      <c r="TD13" s="1576"/>
      <c r="TE13" s="1576"/>
      <c r="TF13" s="1576"/>
      <c r="TG13" s="1576"/>
      <c r="TH13" s="1576"/>
      <c r="TI13" s="1576"/>
      <c r="TJ13" s="1576"/>
      <c r="TK13" s="1576"/>
      <c r="TL13" s="1576"/>
      <c r="TM13" s="1576"/>
      <c r="TN13" s="1576"/>
      <c r="TO13" s="1576"/>
      <c r="TP13" s="1576"/>
      <c r="TQ13" s="1576"/>
      <c r="TR13" s="1576"/>
      <c r="TS13" s="1576"/>
      <c r="TT13" s="1576"/>
      <c r="TU13" s="1576"/>
      <c r="TV13" s="1576"/>
      <c r="TW13" s="1576"/>
      <c r="TX13" s="1576"/>
      <c r="TY13" s="1576"/>
      <c r="TZ13" s="1576"/>
      <c r="UA13" s="1576"/>
      <c r="UB13" s="1576"/>
      <c r="UC13" s="1576"/>
      <c r="UD13" s="1576"/>
      <c r="UE13" s="1576"/>
      <c r="UF13" s="1576"/>
      <c r="UG13" s="1576"/>
      <c r="UH13" s="1576"/>
      <c r="UI13" s="1576"/>
      <c r="UJ13" s="1576"/>
      <c r="UK13" s="1576"/>
      <c r="UL13" s="1576"/>
      <c r="UM13" s="1576"/>
      <c r="UN13" s="1576"/>
      <c r="UO13" s="1576"/>
      <c r="UP13" s="1576"/>
      <c r="UQ13" s="1576"/>
      <c r="UR13" s="1576"/>
      <c r="US13" s="1576"/>
      <c r="UT13" s="1576"/>
      <c r="UU13" s="1576"/>
      <c r="UV13" s="1576"/>
      <c r="UW13" s="1576"/>
      <c r="UX13" s="1576"/>
      <c r="UY13" s="1576"/>
      <c r="UZ13" s="1576"/>
      <c r="VA13" s="1576"/>
      <c r="VB13" s="1576"/>
      <c r="VC13" s="1576"/>
      <c r="VD13" s="1576"/>
      <c r="VE13" s="1576"/>
      <c r="VF13" s="1576"/>
      <c r="VG13" s="1576"/>
      <c r="VH13" s="1576"/>
      <c r="VI13" s="1576"/>
      <c r="VJ13" s="1576"/>
      <c r="VK13" s="1576"/>
    </row>
    <row r="14" spans="1:583" s="2072" customFormat="1" ht="27" x14ac:dyDescent="0.25">
      <c r="A14" s="694"/>
      <c r="B14" s="2073" t="s">
        <v>629</v>
      </c>
      <c r="C14" s="2074" t="s">
        <v>2691</v>
      </c>
      <c r="D14" s="4715" t="s">
        <v>2692</v>
      </c>
      <c r="E14" s="4715">
        <v>0</v>
      </c>
      <c r="F14" s="1575"/>
      <c r="G14" s="1575"/>
      <c r="H14" s="1575"/>
      <c r="I14" s="1575"/>
      <c r="J14" s="1575"/>
      <c r="K14" s="1575"/>
      <c r="L14" s="1575"/>
      <c r="M14" s="1575"/>
      <c r="N14" s="1575"/>
      <c r="O14" s="1575"/>
      <c r="P14" s="1575"/>
      <c r="Q14" s="1575"/>
      <c r="R14" s="1575"/>
      <c r="S14" s="1575"/>
      <c r="T14" s="1575"/>
      <c r="U14" s="1575"/>
      <c r="V14" s="1575"/>
      <c r="W14" s="1575"/>
      <c r="X14" s="1575"/>
      <c r="Y14" s="1575"/>
      <c r="Z14" s="1575"/>
      <c r="AA14" s="1575"/>
      <c r="AB14" s="1575"/>
      <c r="AC14" s="1575"/>
      <c r="AD14" s="1575"/>
      <c r="AE14" s="1575"/>
      <c r="AF14" s="1575"/>
      <c r="AG14" s="1575"/>
      <c r="AH14" s="1575"/>
      <c r="AI14" s="1575"/>
      <c r="AJ14" s="1575"/>
      <c r="AK14" s="1575"/>
      <c r="AL14" s="1575"/>
      <c r="AM14" s="1575"/>
      <c r="AN14" s="1575"/>
      <c r="AO14" s="1575"/>
      <c r="AP14" s="1575"/>
      <c r="AQ14" s="1575"/>
      <c r="AR14" s="1575"/>
      <c r="AS14" s="1575"/>
      <c r="AT14" s="1575"/>
      <c r="AU14" s="1575"/>
      <c r="AV14" s="1575"/>
      <c r="AW14" s="1575"/>
      <c r="AX14" s="1575"/>
      <c r="AY14" s="1575"/>
      <c r="AZ14" s="1575"/>
      <c r="BA14" s="1575"/>
      <c r="BB14" s="1575"/>
      <c r="BC14" s="1575"/>
      <c r="BD14" s="1575"/>
      <c r="BE14" s="1575"/>
      <c r="BF14" s="1575"/>
      <c r="BG14" s="1575"/>
      <c r="BH14" s="1575"/>
      <c r="BI14" s="1575"/>
      <c r="BJ14" s="1575"/>
      <c r="BK14" s="1575"/>
      <c r="BL14" s="1575"/>
      <c r="BM14" s="1575"/>
      <c r="BN14" s="1575"/>
      <c r="BO14" s="1575"/>
      <c r="BP14" s="1575"/>
      <c r="BQ14" s="1575"/>
      <c r="BR14" s="1575"/>
      <c r="BS14" s="1575"/>
      <c r="BT14" s="1575"/>
      <c r="BU14" s="1575"/>
      <c r="BV14" s="1575"/>
      <c r="BW14" s="1575"/>
      <c r="BX14" s="1575"/>
      <c r="BY14" s="1575"/>
      <c r="BZ14" s="1575"/>
      <c r="CA14" s="1575"/>
      <c r="CB14" s="1575"/>
      <c r="CC14" s="1575"/>
      <c r="CD14" s="1575"/>
      <c r="CE14" s="1575"/>
      <c r="CF14" s="1575"/>
      <c r="CG14" s="1575"/>
      <c r="CH14" s="1575"/>
      <c r="CI14" s="1575"/>
      <c r="CJ14" s="1575"/>
      <c r="CK14" s="1575"/>
      <c r="CL14" s="1575"/>
      <c r="CM14" s="1575"/>
      <c r="CN14" s="1575"/>
      <c r="CO14" s="1575"/>
      <c r="CP14" s="1575"/>
      <c r="CQ14" s="1575"/>
      <c r="CR14" s="1575"/>
      <c r="CS14" s="1575"/>
      <c r="CT14" s="1575"/>
      <c r="CU14" s="1575"/>
      <c r="CV14" s="1575"/>
      <c r="CW14" s="1575"/>
      <c r="CX14" s="1575"/>
      <c r="CY14" s="1575"/>
      <c r="CZ14" s="1575"/>
      <c r="DA14" s="1575"/>
      <c r="DB14" s="1575"/>
      <c r="DC14" s="1575"/>
      <c r="DD14" s="1575"/>
      <c r="DE14" s="1575"/>
      <c r="DF14" s="1575"/>
      <c r="DG14" s="1575"/>
      <c r="DH14" s="1575"/>
      <c r="DI14" s="1575"/>
      <c r="DJ14" s="1575"/>
      <c r="DK14" s="1575"/>
      <c r="DL14" s="1575"/>
      <c r="DM14" s="1575"/>
      <c r="DN14" s="1575"/>
      <c r="DO14" s="1575"/>
      <c r="DP14" s="1575"/>
      <c r="DQ14" s="1575"/>
      <c r="DR14" s="1575"/>
      <c r="DS14" s="1575"/>
      <c r="DT14" s="1575"/>
      <c r="DU14" s="1575"/>
      <c r="DV14" s="1575"/>
      <c r="DW14" s="1575"/>
      <c r="DX14" s="1575"/>
      <c r="DY14" s="1575"/>
      <c r="DZ14" s="1575"/>
      <c r="EA14" s="1575"/>
      <c r="EB14" s="1575"/>
      <c r="EC14" s="1575"/>
      <c r="ED14" s="1575"/>
      <c r="EE14" s="1575"/>
      <c r="EF14" s="1575"/>
      <c r="EG14" s="1575"/>
      <c r="EH14" s="1575"/>
      <c r="EI14" s="1575"/>
      <c r="EJ14" s="1575"/>
      <c r="EK14" s="1575"/>
      <c r="EL14" s="1575"/>
      <c r="EM14" s="1575"/>
      <c r="EN14" s="1575"/>
      <c r="EO14" s="1575"/>
      <c r="EP14" s="1575"/>
      <c r="EQ14" s="1575"/>
      <c r="ER14" s="1575"/>
      <c r="ES14" s="1575"/>
      <c r="ET14" s="1575"/>
      <c r="EU14" s="1575"/>
      <c r="EV14" s="1575"/>
      <c r="EW14" s="1575"/>
      <c r="EX14" s="1575"/>
      <c r="EY14" s="1575"/>
      <c r="EZ14" s="1575"/>
      <c r="FA14" s="1575"/>
      <c r="FB14" s="1575"/>
      <c r="FC14" s="1575"/>
      <c r="FD14" s="1575"/>
      <c r="FE14" s="1575"/>
      <c r="FF14" s="1575"/>
      <c r="FG14" s="1575"/>
      <c r="FH14" s="1575"/>
      <c r="FI14" s="1575"/>
      <c r="FJ14" s="1575"/>
      <c r="FK14" s="1575"/>
      <c r="FL14" s="1575"/>
      <c r="FM14" s="1575"/>
      <c r="FN14" s="1575"/>
      <c r="FO14" s="1575"/>
      <c r="FP14" s="1575"/>
      <c r="FQ14" s="1575"/>
      <c r="FR14" s="1575"/>
      <c r="FS14" s="1575"/>
      <c r="FT14" s="1575"/>
      <c r="FU14" s="1575"/>
      <c r="FV14" s="1575"/>
      <c r="FW14" s="1575"/>
      <c r="FX14" s="1575"/>
      <c r="FY14" s="1575"/>
      <c r="FZ14" s="1575"/>
      <c r="GA14" s="1575"/>
      <c r="GB14" s="1575"/>
      <c r="GC14" s="1575"/>
      <c r="GD14" s="1575"/>
      <c r="GE14" s="1575"/>
      <c r="GF14" s="1575"/>
      <c r="GG14" s="1575"/>
      <c r="GH14" s="1575"/>
      <c r="GI14" s="1575"/>
      <c r="GJ14" s="1575"/>
      <c r="GK14" s="1575"/>
      <c r="GL14" s="1575"/>
      <c r="GM14" s="1575"/>
      <c r="GN14" s="1575"/>
      <c r="GO14" s="1575"/>
      <c r="GP14" s="1575"/>
      <c r="GQ14" s="1575"/>
      <c r="GR14" s="1575"/>
      <c r="GS14" s="1575"/>
      <c r="GT14" s="1575"/>
      <c r="GU14" s="1575"/>
      <c r="GV14" s="1575"/>
      <c r="GW14" s="1575"/>
      <c r="GX14" s="1575"/>
      <c r="GY14" s="1575"/>
      <c r="GZ14" s="1575"/>
      <c r="HA14" s="1575"/>
      <c r="HB14" s="1575"/>
      <c r="HC14" s="1575"/>
      <c r="HD14" s="1575"/>
      <c r="HE14" s="1575"/>
      <c r="HF14" s="1575"/>
      <c r="HG14" s="1575"/>
      <c r="HH14" s="1575"/>
      <c r="HI14" s="1575"/>
      <c r="HJ14" s="1575"/>
      <c r="HK14" s="1575"/>
      <c r="HL14" s="1575"/>
      <c r="HM14" s="1575"/>
      <c r="HN14" s="1575"/>
      <c r="HO14" s="1575"/>
      <c r="HP14" s="1575"/>
      <c r="HQ14" s="1575"/>
      <c r="HR14" s="1575"/>
      <c r="HS14" s="1575"/>
      <c r="HT14" s="1575"/>
      <c r="HU14" s="1575"/>
      <c r="HV14" s="1575"/>
      <c r="HW14" s="1575"/>
      <c r="HX14" s="1575"/>
      <c r="HY14" s="1575"/>
      <c r="HZ14" s="1575"/>
      <c r="IA14" s="1575"/>
      <c r="IB14" s="1575"/>
      <c r="IC14" s="1575"/>
      <c r="ID14" s="1575"/>
      <c r="IE14" s="1575"/>
      <c r="IF14" s="1575"/>
      <c r="IG14" s="1575"/>
      <c r="IH14" s="1575"/>
      <c r="II14" s="1575"/>
      <c r="IJ14" s="1575"/>
      <c r="IK14" s="1575"/>
      <c r="IL14" s="1575"/>
      <c r="IM14" s="1575"/>
      <c r="IN14" s="1575"/>
      <c r="IO14" s="1575"/>
      <c r="IP14" s="1575"/>
      <c r="IQ14" s="1575"/>
      <c r="IR14" s="1575"/>
      <c r="IS14" s="1575"/>
      <c r="IT14" s="1575"/>
      <c r="IU14" s="1575"/>
      <c r="IV14" s="1575"/>
      <c r="IW14" s="1575"/>
      <c r="IX14" s="1575"/>
      <c r="IY14" s="1575"/>
      <c r="IZ14" s="1575"/>
      <c r="JA14" s="1587"/>
      <c r="JB14" s="1587"/>
      <c r="JC14" s="1587"/>
      <c r="JD14" s="1587"/>
      <c r="JE14" s="1587"/>
      <c r="JF14" s="1587"/>
      <c r="JG14" s="1587"/>
      <c r="JH14" s="1587"/>
      <c r="JI14" s="1587"/>
      <c r="JJ14" s="1587"/>
      <c r="JK14" s="1587"/>
      <c r="JL14" s="1587"/>
      <c r="JM14" s="1587"/>
      <c r="JN14" s="1587"/>
      <c r="JO14" s="1587"/>
      <c r="JP14" s="1587"/>
      <c r="JQ14" s="1587"/>
      <c r="JR14" s="1575"/>
      <c r="JS14" s="1575"/>
      <c r="JT14" s="1575"/>
      <c r="JU14" s="1575"/>
      <c r="JV14" s="1575"/>
      <c r="JW14" s="1575"/>
      <c r="JX14" s="1575"/>
      <c r="JY14" s="1575"/>
      <c r="JZ14" s="1575"/>
      <c r="KA14" s="1575"/>
      <c r="KB14" s="1575"/>
      <c r="KC14" s="1575"/>
      <c r="KD14" s="1575"/>
      <c r="KE14" s="1575"/>
      <c r="KF14" s="1575"/>
      <c r="KG14" s="1575"/>
      <c r="KH14" s="1575"/>
      <c r="KI14" s="1575"/>
      <c r="KJ14" s="1575"/>
      <c r="KK14" s="1575"/>
      <c r="KL14" s="1575"/>
      <c r="KM14" s="1575"/>
      <c r="KN14" s="1575"/>
      <c r="KO14" s="1575"/>
      <c r="KP14" s="1575"/>
      <c r="KQ14" s="1575"/>
      <c r="KR14" s="1575"/>
      <c r="KS14" s="1575"/>
      <c r="KT14" s="1575"/>
      <c r="KU14" s="1575"/>
      <c r="KV14" s="1575"/>
      <c r="KW14" s="1575"/>
      <c r="KX14" s="1575"/>
      <c r="KY14" s="1575"/>
      <c r="KZ14" s="1575"/>
      <c r="LA14" s="1575"/>
      <c r="LB14" s="1575"/>
      <c r="LC14" s="1575"/>
      <c r="LD14" s="1575"/>
      <c r="LE14" s="1575"/>
      <c r="LF14" s="1575"/>
      <c r="LG14" s="1575"/>
      <c r="LH14" s="1575"/>
      <c r="LI14" s="1575"/>
      <c r="LJ14" s="1575"/>
      <c r="LK14" s="1575"/>
      <c r="LL14" s="1575"/>
      <c r="LM14" s="1575"/>
      <c r="LN14" s="1575"/>
      <c r="LO14" s="1575"/>
      <c r="LP14" s="1575"/>
      <c r="LQ14" s="1575"/>
      <c r="LR14" s="1575"/>
      <c r="LS14" s="1575"/>
      <c r="LT14" s="1575"/>
      <c r="LU14" s="1575"/>
      <c r="LV14" s="1575"/>
      <c r="LW14" s="1575"/>
      <c r="LX14" s="1575"/>
      <c r="LY14" s="1575"/>
      <c r="LZ14" s="1575"/>
      <c r="MA14" s="1575"/>
      <c r="MB14" s="1575"/>
      <c r="MC14" s="1575"/>
      <c r="MD14" s="1575"/>
      <c r="ME14" s="1575"/>
      <c r="MF14" s="1575"/>
      <c r="MG14" s="1575"/>
      <c r="MH14" s="1575"/>
      <c r="MI14" s="1575"/>
      <c r="MJ14" s="1575"/>
      <c r="MK14" s="1575"/>
      <c r="ML14" s="1575"/>
      <c r="MM14" s="1575"/>
      <c r="MN14" s="1575"/>
      <c r="MO14" s="1575"/>
      <c r="MP14" s="1575"/>
      <c r="MQ14" s="1575"/>
      <c r="MR14" s="1575"/>
      <c r="MS14" s="1575"/>
      <c r="MT14" s="1575"/>
      <c r="MU14" s="1575"/>
      <c r="MV14" s="1575"/>
      <c r="MW14" s="1575"/>
      <c r="MX14" s="1575"/>
      <c r="MY14" s="1575"/>
      <c r="MZ14" s="1575"/>
      <c r="NA14" s="1575"/>
      <c r="NB14" s="1575"/>
      <c r="NC14" s="1575"/>
      <c r="ND14" s="1575"/>
      <c r="NE14" s="1575"/>
      <c r="NF14" s="1575"/>
      <c r="NG14" s="1575"/>
      <c r="NH14" s="1575"/>
      <c r="NI14" s="1575"/>
      <c r="NJ14" s="1575"/>
      <c r="NK14" s="1575"/>
      <c r="NL14" s="1575"/>
      <c r="NM14" s="1575"/>
      <c r="NN14" s="1575"/>
      <c r="NO14" s="1575"/>
      <c r="NP14" s="1575"/>
      <c r="NQ14" s="1575"/>
      <c r="NR14" s="1575"/>
      <c r="NS14" s="1575"/>
      <c r="NT14" s="1575"/>
      <c r="NU14" s="1575"/>
      <c r="NV14" s="1575"/>
      <c r="NW14" s="1575"/>
      <c r="NX14" s="1575"/>
      <c r="NY14" s="1575"/>
      <c r="NZ14" s="1575"/>
      <c r="OA14" s="1575"/>
      <c r="OB14" s="1575"/>
      <c r="OC14" s="1575"/>
      <c r="OD14" s="1575"/>
      <c r="OE14" s="1575"/>
      <c r="OF14" s="1575"/>
      <c r="OG14" s="1575"/>
      <c r="OH14" s="1575"/>
      <c r="OI14" s="1575"/>
      <c r="OJ14" s="1575"/>
      <c r="OK14" s="1575"/>
      <c r="OL14" s="1575"/>
      <c r="OM14" s="1575"/>
      <c r="ON14" s="1575"/>
      <c r="OO14" s="1575"/>
      <c r="OP14" s="1575"/>
      <c r="OQ14" s="1575"/>
      <c r="OR14" s="1575"/>
      <c r="OS14" s="1575"/>
      <c r="OT14" s="1575"/>
      <c r="OU14" s="1575"/>
      <c r="OV14" s="1575"/>
      <c r="OW14" s="1575"/>
      <c r="OX14" s="1575"/>
      <c r="OY14" s="1575"/>
      <c r="OZ14" s="1575"/>
      <c r="PA14" s="1575"/>
      <c r="PB14" s="1575"/>
      <c r="PC14" s="1575"/>
      <c r="PD14" s="1575"/>
      <c r="PE14" s="1575"/>
      <c r="PF14" s="1575"/>
      <c r="PG14" s="1575"/>
      <c r="PH14" s="1575"/>
      <c r="PI14" s="1575"/>
      <c r="PJ14" s="1575"/>
      <c r="PK14" s="1575"/>
      <c r="PL14" s="1575"/>
      <c r="PM14" s="1575"/>
      <c r="PN14" s="1575"/>
      <c r="PO14" s="1575"/>
      <c r="PP14" s="1575"/>
      <c r="PQ14" s="1575"/>
      <c r="PR14" s="1575"/>
      <c r="PS14" s="1575"/>
      <c r="PT14" s="1575"/>
      <c r="PU14" s="1575"/>
      <c r="PV14" s="1575"/>
      <c r="PW14" s="1575"/>
      <c r="PX14" s="1575"/>
      <c r="PY14" s="1575"/>
      <c r="PZ14" s="1575"/>
      <c r="QA14" s="1575"/>
      <c r="QB14" s="1575"/>
      <c r="QC14" s="1575"/>
      <c r="QD14" s="1575"/>
      <c r="QE14" s="1575"/>
      <c r="QF14" s="1575"/>
      <c r="QG14" s="1575"/>
      <c r="QH14" s="1575"/>
      <c r="QI14" s="1575"/>
      <c r="QJ14" s="1575"/>
      <c r="QK14" s="1575"/>
      <c r="QL14" s="1575"/>
      <c r="QM14" s="1575"/>
      <c r="QN14" s="1575"/>
      <c r="QO14" s="1575"/>
      <c r="QP14" s="1575"/>
      <c r="QQ14" s="1575"/>
      <c r="QR14" s="1575"/>
      <c r="QS14" s="1575"/>
      <c r="QT14" s="1575"/>
      <c r="QU14" s="1575"/>
      <c r="QV14" s="1575"/>
      <c r="QW14" s="1575"/>
      <c r="QX14" s="1575"/>
      <c r="QY14" s="1575"/>
      <c r="QZ14" s="1575"/>
      <c r="RA14" s="1575"/>
      <c r="RB14" s="1575"/>
      <c r="RC14" s="1575"/>
      <c r="RD14" s="1575"/>
      <c r="RE14" s="1575"/>
      <c r="RF14" s="1575"/>
      <c r="RG14" s="1575"/>
      <c r="RH14" s="1575"/>
      <c r="RI14" s="1575"/>
      <c r="RJ14" s="1575"/>
      <c r="RK14" s="1575"/>
      <c r="RL14" s="1575"/>
      <c r="RM14" s="1575"/>
      <c r="RN14" s="1575"/>
      <c r="RO14" s="1575"/>
      <c r="RP14" s="1575"/>
      <c r="RQ14" s="1575"/>
      <c r="RR14" s="1575"/>
      <c r="RS14" s="1575"/>
      <c r="RT14" s="1575"/>
      <c r="RU14" s="1575"/>
      <c r="RV14" s="1575"/>
      <c r="RW14" s="1575"/>
      <c r="RX14" s="1575"/>
      <c r="RY14" s="1575"/>
      <c r="RZ14" s="1575"/>
      <c r="SA14" s="1575"/>
      <c r="SB14" s="1575"/>
      <c r="SC14" s="1575"/>
      <c r="SD14" s="1575"/>
      <c r="SE14" s="1575"/>
      <c r="SF14" s="1575"/>
      <c r="SG14" s="1575"/>
      <c r="SH14" s="1575"/>
      <c r="SI14" s="1575"/>
      <c r="SJ14" s="1575"/>
      <c r="SK14" s="1575"/>
      <c r="SL14" s="1575"/>
      <c r="SM14" s="1575"/>
      <c r="SN14" s="1575"/>
      <c r="SO14" s="1575"/>
      <c r="SP14" s="1575"/>
      <c r="SQ14" s="1575"/>
      <c r="SR14" s="1575"/>
      <c r="SS14" s="1575"/>
      <c r="ST14" s="1575"/>
      <c r="SU14" s="1575"/>
      <c r="SV14" s="1575"/>
      <c r="SW14" s="1575"/>
      <c r="SX14" s="1575"/>
      <c r="SY14" s="1575"/>
      <c r="SZ14" s="1575"/>
      <c r="TA14" s="1575"/>
      <c r="TB14" s="1575"/>
      <c r="TC14" s="1575"/>
      <c r="TD14" s="1575"/>
      <c r="TE14" s="1575"/>
      <c r="TF14" s="1575"/>
      <c r="TG14" s="1575"/>
      <c r="TH14" s="1575"/>
      <c r="TI14" s="1575"/>
      <c r="TJ14" s="1575"/>
      <c r="TK14" s="1575"/>
      <c r="TL14" s="1575"/>
      <c r="TM14" s="1575"/>
      <c r="TN14" s="1575"/>
      <c r="TO14" s="1575"/>
      <c r="TP14" s="1575"/>
      <c r="TQ14" s="1575"/>
      <c r="TR14" s="1575"/>
      <c r="TS14" s="1575"/>
      <c r="TT14" s="1575"/>
      <c r="TU14" s="1575"/>
      <c r="TV14" s="1575"/>
      <c r="TW14" s="1575"/>
      <c r="TX14" s="1575"/>
      <c r="TY14" s="1575"/>
      <c r="TZ14" s="1575"/>
      <c r="UA14" s="1575"/>
      <c r="UB14" s="1575"/>
      <c r="UC14" s="1575"/>
      <c r="UD14" s="1575"/>
      <c r="UE14" s="1575"/>
      <c r="UF14" s="1575"/>
      <c r="UG14" s="1575"/>
      <c r="UH14" s="1575"/>
      <c r="UI14" s="1575"/>
      <c r="UJ14" s="1575"/>
      <c r="UK14" s="1575"/>
      <c r="UL14" s="1575"/>
      <c r="UM14" s="1575"/>
      <c r="UN14" s="1575"/>
      <c r="UO14" s="1575"/>
      <c r="UP14" s="1575"/>
      <c r="UQ14" s="1575"/>
      <c r="UR14" s="1575"/>
      <c r="US14" s="1575"/>
      <c r="UT14" s="1575"/>
      <c r="UU14" s="1575"/>
      <c r="UV14" s="1575"/>
      <c r="UW14" s="1575"/>
      <c r="UX14" s="1575"/>
      <c r="UY14" s="1575"/>
      <c r="UZ14" s="1575"/>
      <c r="VA14" s="1575"/>
      <c r="VB14" s="1575"/>
      <c r="VC14" s="1575"/>
      <c r="VD14" s="1575"/>
      <c r="VE14" s="1575"/>
      <c r="VF14" s="1575"/>
      <c r="VG14" s="1575"/>
      <c r="VH14" s="1575"/>
      <c r="VI14" s="1575"/>
      <c r="VJ14" s="1575"/>
      <c r="VK14" s="1575"/>
    </row>
    <row r="15" spans="1:583" ht="27" x14ac:dyDescent="0.25">
      <c r="B15" s="1610" t="s">
        <v>629</v>
      </c>
      <c r="C15" s="1582" t="s">
        <v>2693</v>
      </c>
      <c r="D15" s="4710" t="s">
        <v>2694</v>
      </c>
      <c r="E15" s="4710">
        <v>0</v>
      </c>
      <c r="F15" s="1576"/>
      <c r="G15" s="1576"/>
      <c r="H15" s="1576"/>
      <c r="I15" s="1576"/>
      <c r="J15" s="1576"/>
      <c r="K15" s="1576"/>
      <c r="L15" s="1576"/>
      <c r="M15" s="1576"/>
      <c r="N15" s="1576"/>
      <c r="O15" s="1576"/>
      <c r="P15" s="1576"/>
      <c r="Q15" s="1576"/>
      <c r="R15" s="1576"/>
      <c r="S15" s="1576"/>
      <c r="T15" s="1576"/>
      <c r="U15" s="1576"/>
      <c r="V15" s="1576"/>
      <c r="W15" s="1576"/>
      <c r="X15" s="1576"/>
      <c r="Y15" s="1576"/>
      <c r="Z15" s="1576"/>
      <c r="AA15" s="1576"/>
      <c r="AB15" s="1576"/>
      <c r="AC15" s="1576"/>
      <c r="AD15" s="1576"/>
      <c r="AE15" s="1576"/>
      <c r="AF15" s="1576"/>
      <c r="AG15" s="1576"/>
      <c r="AH15" s="1576"/>
      <c r="AI15" s="1576"/>
      <c r="AJ15" s="1576"/>
      <c r="AK15" s="1576"/>
      <c r="AL15" s="1576"/>
      <c r="AM15" s="1576"/>
      <c r="AN15" s="1576"/>
      <c r="AO15" s="1576"/>
      <c r="AP15" s="1576"/>
      <c r="AQ15" s="1576"/>
      <c r="AR15" s="1576"/>
      <c r="AS15" s="1576"/>
      <c r="AT15" s="1576"/>
      <c r="AU15" s="1576"/>
      <c r="AV15" s="1576"/>
      <c r="AW15" s="1576"/>
      <c r="AX15" s="1576"/>
      <c r="AY15" s="1576"/>
      <c r="AZ15" s="1576"/>
      <c r="BA15" s="1576"/>
      <c r="BB15" s="1576"/>
      <c r="BC15" s="1576"/>
      <c r="BD15" s="1576"/>
      <c r="BE15" s="1576"/>
      <c r="BF15" s="1576"/>
      <c r="BG15" s="1576"/>
      <c r="BH15" s="1576"/>
      <c r="BI15" s="1576"/>
      <c r="BJ15" s="1576"/>
      <c r="BK15" s="1576"/>
      <c r="BL15" s="1576"/>
      <c r="BM15" s="1576"/>
      <c r="BN15" s="1576"/>
      <c r="BO15" s="1576"/>
      <c r="BP15" s="1576"/>
      <c r="BQ15" s="1576"/>
      <c r="BR15" s="1576"/>
      <c r="BS15" s="1576"/>
      <c r="BT15" s="1576"/>
      <c r="BU15" s="1576"/>
      <c r="BV15" s="1576">
        <f>'Paso 1.1'!E12*Tiempos!$H$11</f>
        <v>0</v>
      </c>
      <c r="BW15" s="1576">
        <f>'Paso 1.1'!F12*Tiempos!$H$11</f>
        <v>0</v>
      </c>
      <c r="BX15" s="1576">
        <f>'Paso 1.1'!G12*Tiempos!$H$11</f>
        <v>0</v>
      </c>
      <c r="BY15" s="1576">
        <f>'Paso 1.1'!H12*Tiempos!$H$11</f>
        <v>0</v>
      </c>
      <c r="BZ15" s="1576">
        <f>'Paso 1.1'!I12*Tiempos!$H$11</f>
        <v>0</v>
      </c>
      <c r="CA15" s="1576">
        <f>'Paso 1.1'!J12*Tiempos!$H$11</f>
        <v>0</v>
      </c>
      <c r="CB15" s="1576">
        <f>'Paso 1.1'!K12*Tiempos!$H$11</f>
        <v>0</v>
      </c>
      <c r="CC15" s="1576">
        <f>'Paso 1.1'!L12*Tiempos!$H$11</f>
        <v>0</v>
      </c>
      <c r="CD15" s="1576">
        <f>'Paso 1.1'!M12*Tiempos!$H$11</f>
        <v>0</v>
      </c>
      <c r="CE15" s="1576">
        <f>'Paso 1.1'!N12*Tiempos!$H$11</f>
        <v>0</v>
      </c>
      <c r="CF15" s="1576">
        <f>'Paso 1.1'!O12*Tiempos!$H$11</f>
        <v>0</v>
      </c>
      <c r="CG15" s="1576">
        <f>'Paso 1.1'!P12*Tiempos!$H$11</f>
        <v>0</v>
      </c>
      <c r="CH15" s="1576">
        <f>'Paso 1.1'!Q12*Tiempos!$H$11</f>
        <v>0</v>
      </c>
      <c r="CI15" s="1576">
        <f>'Paso 1.1'!R12*Tiempos!$H$11</f>
        <v>0</v>
      </c>
      <c r="CJ15" s="1576">
        <f>'Paso 1.1'!S12*Tiempos!$H$11</f>
        <v>0</v>
      </c>
      <c r="CK15" s="1576">
        <f>'Paso 1.1'!T12*Tiempos!$H$11</f>
        <v>0</v>
      </c>
      <c r="CL15" s="1576">
        <f>'Paso 1.1'!U12*Tiempos!$H$11</f>
        <v>0</v>
      </c>
      <c r="CM15" s="1576"/>
      <c r="CN15" s="1576"/>
      <c r="CO15" s="1576"/>
      <c r="CP15" s="1576"/>
      <c r="CQ15" s="1576"/>
      <c r="CR15" s="1576"/>
      <c r="CS15" s="1576"/>
      <c r="CT15" s="1576"/>
      <c r="CU15" s="1576"/>
      <c r="CV15" s="1576"/>
      <c r="CW15" s="1576"/>
      <c r="CX15" s="1576"/>
      <c r="CY15" s="1576"/>
      <c r="CZ15" s="1576"/>
      <c r="DA15" s="1576"/>
      <c r="DB15" s="1576"/>
      <c r="DC15" s="1576"/>
      <c r="DD15" s="1576"/>
      <c r="DE15" s="1576"/>
      <c r="DF15" s="1576"/>
      <c r="DG15" s="1576"/>
      <c r="DH15" s="1576"/>
      <c r="DI15" s="1576"/>
      <c r="DJ15" s="1576"/>
      <c r="DK15" s="1576"/>
      <c r="DL15" s="1576"/>
      <c r="DM15" s="1576"/>
      <c r="DN15" s="1576"/>
      <c r="DO15" s="1576"/>
      <c r="DP15" s="1576"/>
      <c r="DQ15" s="1576"/>
      <c r="DR15" s="1576"/>
      <c r="DS15" s="1576"/>
      <c r="DT15" s="1576"/>
      <c r="DU15" s="1576"/>
      <c r="DV15" s="1576"/>
      <c r="DW15" s="1576"/>
      <c r="DX15" s="1576"/>
      <c r="DY15" s="1576"/>
      <c r="DZ15" s="1576"/>
      <c r="EA15" s="1576"/>
      <c r="EB15" s="1576"/>
      <c r="EC15" s="1576"/>
      <c r="ED15" s="1576"/>
      <c r="EE15" s="1576"/>
      <c r="EF15" s="1576"/>
      <c r="EG15" s="1576"/>
      <c r="EH15" s="1576"/>
      <c r="EI15" s="1576"/>
      <c r="EJ15" s="1576"/>
      <c r="EK15" s="1576"/>
      <c r="EL15" s="1576"/>
      <c r="EM15" s="1576"/>
      <c r="EN15" s="1576"/>
      <c r="EO15" s="1576"/>
      <c r="EP15" s="1576"/>
      <c r="EQ15" s="1576"/>
      <c r="ER15" s="1576"/>
      <c r="ES15" s="1576"/>
      <c r="ET15" s="1576"/>
      <c r="EU15" s="1576"/>
      <c r="EV15" s="1576"/>
      <c r="EW15" s="1576"/>
      <c r="EX15" s="1576"/>
      <c r="EY15" s="1576"/>
      <c r="EZ15" s="1576"/>
      <c r="FA15" s="1576"/>
      <c r="FB15" s="1576"/>
      <c r="FC15" s="1576"/>
      <c r="FD15" s="1576"/>
      <c r="FE15" s="1576"/>
      <c r="FF15" s="1576"/>
      <c r="FG15" s="1576"/>
      <c r="FH15" s="1576"/>
      <c r="FI15" s="1576"/>
      <c r="FJ15" s="1576"/>
      <c r="FK15" s="1576"/>
      <c r="FL15" s="1576"/>
      <c r="FM15" s="1576"/>
      <c r="FN15" s="1576"/>
      <c r="FO15" s="1576"/>
      <c r="FP15" s="1576"/>
      <c r="FQ15" s="1576"/>
      <c r="FR15" s="1576"/>
      <c r="FS15" s="1576"/>
      <c r="FT15" s="1576"/>
      <c r="FU15" s="1576"/>
      <c r="FV15" s="1576"/>
      <c r="FW15" s="1576"/>
      <c r="FX15" s="1576"/>
      <c r="FY15" s="1576"/>
      <c r="FZ15" s="1576"/>
      <c r="GA15" s="1576"/>
      <c r="GB15" s="1576"/>
      <c r="GC15" s="1576"/>
      <c r="GD15" s="1576"/>
      <c r="GE15" s="1576"/>
      <c r="GF15" s="1576"/>
      <c r="GG15" s="1576"/>
      <c r="GH15" s="1576"/>
      <c r="GI15" s="1576"/>
      <c r="GJ15" s="1576"/>
      <c r="GK15" s="1576"/>
      <c r="GL15" s="1576"/>
      <c r="GM15" s="1576"/>
      <c r="GN15" s="1576"/>
      <c r="GO15" s="1576"/>
      <c r="GP15" s="1576"/>
      <c r="GQ15" s="1576"/>
      <c r="GR15" s="1576"/>
      <c r="GS15" s="1576"/>
      <c r="GT15" s="1576"/>
      <c r="GU15" s="1576"/>
      <c r="GV15" s="1576"/>
      <c r="GW15" s="1576"/>
      <c r="GX15" s="1576"/>
      <c r="GY15" s="1576"/>
      <c r="GZ15" s="1576"/>
      <c r="HA15" s="1576"/>
      <c r="HB15" s="1576"/>
      <c r="HC15" s="1576"/>
      <c r="HD15" s="1576"/>
      <c r="HE15" s="1576"/>
      <c r="HF15" s="1576"/>
      <c r="HG15" s="1576"/>
      <c r="HH15" s="1576"/>
      <c r="HI15" s="1576"/>
      <c r="HJ15" s="1576"/>
      <c r="HK15" s="1576"/>
      <c r="HL15" s="1576"/>
      <c r="HM15" s="1576"/>
      <c r="HN15" s="1576"/>
      <c r="HO15" s="1576"/>
      <c r="HP15" s="1576"/>
      <c r="HQ15" s="1576"/>
      <c r="HR15" s="1576"/>
      <c r="HS15" s="1576"/>
      <c r="HT15" s="1576"/>
      <c r="HU15" s="1576"/>
      <c r="HV15" s="1576"/>
      <c r="HW15" s="1576"/>
      <c r="HX15" s="1576"/>
      <c r="HY15" s="1576"/>
      <c r="HZ15" s="1576"/>
      <c r="IA15" s="1576"/>
      <c r="IB15" s="1576"/>
      <c r="IC15" s="1576"/>
      <c r="ID15" s="1576"/>
      <c r="IE15" s="1576"/>
      <c r="IF15" s="1576"/>
      <c r="IG15" s="1576"/>
      <c r="IH15" s="1576"/>
      <c r="II15" s="1576"/>
      <c r="IJ15" s="1576"/>
      <c r="IK15" s="1576"/>
      <c r="IL15" s="1576"/>
      <c r="IM15" s="1576"/>
      <c r="IN15" s="1576"/>
      <c r="IO15" s="1576"/>
      <c r="IP15" s="1576"/>
      <c r="IQ15" s="1576"/>
      <c r="IR15" s="1576"/>
      <c r="IS15" s="1576"/>
      <c r="IT15" s="1576"/>
      <c r="IU15" s="1576"/>
      <c r="IV15" s="1576"/>
      <c r="IW15" s="1576"/>
      <c r="IX15" s="1576"/>
      <c r="IY15" s="1576"/>
      <c r="IZ15" s="1576"/>
      <c r="JA15" s="2054"/>
      <c r="JB15" s="2054"/>
      <c r="JC15" s="2054"/>
      <c r="JD15" s="2054"/>
      <c r="JE15" s="2054"/>
      <c r="JF15" s="2054"/>
      <c r="JG15" s="2054"/>
      <c r="JH15" s="2054"/>
      <c r="JI15" s="2054"/>
      <c r="JJ15" s="2054"/>
      <c r="JK15" s="2054"/>
      <c r="JL15" s="2054"/>
      <c r="JM15" s="2054"/>
      <c r="JN15" s="2054"/>
      <c r="JO15" s="2054"/>
      <c r="JP15" s="2054"/>
      <c r="JQ15" s="2054"/>
      <c r="JR15" s="1576"/>
      <c r="JS15" s="1576"/>
      <c r="JT15" s="1576"/>
      <c r="JU15" s="1576"/>
      <c r="JV15" s="1576"/>
      <c r="JW15" s="1576"/>
      <c r="JX15" s="1576"/>
      <c r="JY15" s="1576"/>
      <c r="JZ15" s="1576"/>
      <c r="KA15" s="1576"/>
      <c r="KB15" s="1576"/>
      <c r="KC15" s="1576"/>
      <c r="KD15" s="1576"/>
      <c r="KE15" s="1576"/>
      <c r="KF15" s="1576"/>
      <c r="KG15" s="1576"/>
      <c r="KH15" s="1576"/>
      <c r="KI15" s="1576"/>
      <c r="KJ15" s="1576"/>
      <c r="KK15" s="1576"/>
      <c r="KL15" s="1576"/>
      <c r="KM15" s="1576"/>
      <c r="KN15" s="1576"/>
      <c r="KO15" s="1576"/>
      <c r="KP15" s="1576"/>
      <c r="KQ15" s="1576"/>
      <c r="KR15" s="1576"/>
      <c r="KS15" s="1576"/>
      <c r="KT15" s="1576"/>
      <c r="KU15" s="1576"/>
      <c r="KV15" s="1576"/>
      <c r="KW15" s="1576"/>
      <c r="KX15" s="1576"/>
      <c r="KY15" s="1576"/>
      <c r="KZ15" s="1576"/>
      <c r="LA15" s="1576"/>
      <c r="LB15" s="1576"/>
      <c r="LC15" s="1576"/>
      <c r="LD15" s="1576"/>
      <c r="LE15" s="1576"/>
      <c r="LF15" s="1576"/>
      <c r="LG15" s="1576"/>
      <c r="LH15" s="1576"/>
      <c r="LI15" s="1576"/>
      <c r="LJ15" s="1576"/>
      <c r="LK15" s="1576"/>
      <c r="LL15" s="1576"/>
      <c r="LM15" s="1576"/>
      <c r="LN15" s="1576"/>
      <c r="LO15" s="1576"/>
      <c r="LP15" s="1576"/>
      <c r="LQ15" s="1576"/>
      <c r="LR15" s="1576"/>
      <c r="LS15" s="1576"/>
      <c r="LT15" s="1576"/>
      <c r="LU15" s="1576"/>
      <c r="LV15" s="1576"/>
      <c r="LW15" s="1576"/>
      <c r="LX15" s="1576"/>
      <c r="LY15" s="1576"/>
      <c r="LZ15" s="1576"/>
      <c r="MA15" s="1576"/>
      <c r="MB15" s="1576"/>
      <c r="MC15" s="1576"/>
      <c r="MD15" s="1576"/>
      <c r="ME15" s="1576"/>
      <c r="MF15" s="1576"/>
      <c r="MG15" s="1576"/>
      <c r="MH15" s="1576"/>
      <c r="MI15" s="1576"/>
      <c r="MJ15" s="1576"/>
      <c r="MK15" s="1576"/>
      <c r="ML15" s="1576"/>
      <c r="MM15" s="1576"/>
      <c r="MN15" s="1576"/>
      <c r="MO15" s="1576"/>
      <c r="MP15" s="1576"/>
      <c r="MQ15" s="1576"/>
      <c r="MR15" s="1576"/>
      <c r="MS15" s="1576"/>
      <c r="MT15" s="1576"/>
      <c r="MU15" s="1576"/>
      <c r="MV15" s="1576"/>
      <c r="MW15" s="1576"/>
      <c r="MX15" s="1576"/>
      <c r="MY15" s="1576">
        <f>'Paso 1.1'!E12*Tiempos!$L$11</f>
        <v>0</v>
      </c>
      <c r="MZ15" s="1576">
        <f>'Paso 1.1'!F12*Tiempos!$L$11</f>
        <v>0</v>
      </c>
      <c r="NA15" s="1576">
        <f>'Paso 1.1'!G12*Tiempos!$L$11</f>
        <v>0</v>
      </c>
      <c r="NB15" s="1576">
        <f>'Paso 1.1'!H12*Tiempos!$L$11</f>
        <v>0</v>
      </c>
      <c r="NC15" s="1576">
        <f>'Paso 1.1'!I12*Tiempos!$L$11</f>
        <v>0</v>
      </c>
      <c r="ND15" s="1576">
        <f>'Paso 1.1'!J12*Tiempos!$L$11</f>
        <v>0</v>
      </c>
      <c r="NE15" s="1576">
        <f>'Paso 1.1'!K12*Tiempos!$L$11</f>
        <v>0</v>
      </c>
      <c r="NF15" s="1576">
        <f>'Paso 1.1'!L12*Tiempos!$L$11</f>
        <v>0</v>
      </c>
      <c r="NG15" s="1576">
        <f>'Paso 1.1'!M12*Tiempos!$L$11</f>
        <v>0</v>
      </c>
      <c r="NH15" s="1576">
        <f>'Paso 1.1'!N12*Tiempos!$L$11</f>
        <v>0</v>
      </c>
      <c r="NI15" s="1576">
        <f>'Paso 1.1'!O12*Tiempos!$L$11</f>
        <v>0</v>
      </c>
      <c r="NJ15" s="1576">
        <f>'Paso 1.1'!P12*Tiempos!$L$11</f>
        <v>0</v>
      </c>
      <c r="NK15" s="1576">
        <f>'Paso 1.1'!Q12*Tiempos!$L$11</f>
        <v>0</v>
      </c>
      <c r="NL15" s="1576">
        <f>'Paso 1.1'!R12*Tiempos!$L$11</f>
        <v>0</v>
      </c>
      <c r="NM15" s="1576">
        <f>'Paso 1.1'!S12*Tiempos!$L$11</f>
        <v>0</v>
      </c>
      <c r="NN15" s="1576">
        <f>'Paso 1.1'!T12*Tiempos!$L$11</f>
        <v>0</v>
      </c>
      <c r="NO15" s="1576">
        <f>'Paso 1.1'!U12*Tiempos!$L$11</f>
        <v>0</v>
      </c>
      <c r="NP15" s="1576"/>
      <c r="NQ15" s="1576"/>
      <c r="NR15" s="1576"/>
      <c r="NS15" s="1576"/>
      <c r="NT15" s="1576"/>
      <c r="NU15" s="1576"/>
      <c r="NV15" s="1576"/>
      <c r="NW15" s="1576"/>
      <c r="NX15" s="1576"/>
      <c r="NY15" s="1576"/>
      <c r="NZ15" s="1576"/>
      <c r="OA15" s="1576"/>
      <c r="OB15" s="1576"/>
      <c r="OC15" s="1576"/>
      <c r="OD15" s="1576"/>
      <c r="OE15" s="1576"/>
      <c r="OF15" s="1576"/>
      <c r="OG15" s="1576"/>
      <c r="OH15" s="1576"/>
      <c r="OI15" s="1576"/>
      <c r="OJ15" s="1576"/>
      <c r="OK15" s="1576"/>
      <c r="OL15" s="1576"/>
      <c r="OM15" s="1576"/>
      <c r="ON15" s="1576"/>
      <c r="OO15" s="1576"/>
      <c r="OP15" s="1576"/>
      <c r="OQ15" s="1576"/>
      <c r="OR15" s="1576"/>
      <c r="OS15" s="1576"/>
      <c r="OT15" s="1576"/>
      <c r="OU15" s="1576"/>
      <c r="OV15" s="1576"/>
      <c r="OW15" s="1576"/>
      <c r="OX15" s="1576"/>
      <c r="OY15" s="1576"/>
      <c r="OZ15" s="1576"/>
      <c r="PA15" s="1576"/>
      <c r="PB15" s="1576"/>
      <c r="PC15" s="1576"/>
      <c r="PD15" s="1576"/>
      <c r="PE15" s="1576"/>
      <c r="PF15" s="1576"/>
      <c r="PG15" s="1576"/>
      <c r="PH15" s="1576"/>
      <c r="PI15" s="1576"/>
      <c r="PJ15" s="1576"/>
      <c r="PK15" s="1576"/>
      <c r="PL15" s="1576"/>
      <c r="PM15" s="1576"/>
      <c r="PN15" s="1576"/>
      <c r="PO15" s="1576"/>
      <c r="PP15" s="1576"/>
      <c r="PQ15" s="1576"/>
      <c r="PR15" s="1576"/>
      <c r="PS15" s="1576"/>
      <c r="PT15" s="1576"/>
      <c r="PU15" s="1576"/>
      <c r="PV15" s="1576"/>
      <c r="PW15" s="1576"/>
      <c r="PX15" s="1576"/>
      <c r="PY15" s="1576"/>
      <c r="PZ15" s="1576"/>
      <c r="QA15" s="1576"/>
      <c r="QB15" s="1576"/>
      <c r="QC15" s="1576"/>
      <c r="QD15" s="1576"/>
      <c r="QE15" s="1576"/>
      <c r="QF15" s="1576"/>
      <c r="QG15" s="1576"/>
      <c r="QH15" s="1576"/>
      <c r="QI15" s="1576"/>
      <c r="QJ15" s="1576"/>
      <c r="QK15" s="1576"/>
      <c r="QL15" s="1576"/>
      <c r="QM15" s="1576"/>
      <c r="QN15" s="1576"/>
      <c r="QO15" s="1576"/>
      <c r="QP15" s="1576"/>
      <c r="QQ15" s="1576"/>
      <c r="QR15" s="1576"/>
      <c r="QS15" s="1576"/>
      <c r="QT15" s="1576"/>
      <c r="QU15" s="1576"/>
      <c r="QV15" s="1576"/>
      <c r="QW15" s="1576"/>
      <c r="QX15" s="1576"/>
      <c r="QY15" s="1576"/>
      <c r="QZ15" s="1576"/>
      <c r="RA15" s="1576"/>
      <c r="RB15" s="1576"/>
      <c r="RC15" s="1576"/>
      <c r="RD15" s="1576"/>
      <c r="RE15" s="1576"/>
      <c r="RF15" s="1576"/>
      <c r="RG15" s="1576"/>
      <c r="RH15" s="1576"/>
      <c r="RI15" s="1576"/>
      <c r="RJ15" s="1576"/>
      <c r="RK15" s="1576"/>
      <c r="RL15" s="1576"/>
      <c r="RM15" s="1576"/>
      <c r="RN15" s="1576"/>
      <c r="RO15" s="1576"/>
      <c r="RP15" s="1576"/>
      <c r="RQ15" s="1576"/>
      <c r="RR15" s="1576"/>
      <c r="RS15" s="1576"/>
      <c r="RT15" s="1576"/>
      <c r="RU15" s="1576"/>
      <c r="RV15" s="1576"/>
      <c r="RW15" s="1576"/>
      <c r="RX15" s="1576"/>
      <c r="RY15" s="1576"/>
      <c r="RZ15" s="1576"/>
      <c r="SA15" s="1576"/>
      <c r="SB15" s="1576"/>
      <c r="SC15" s="1576"/>
      <c r="SD15" s="1576"/>
      <c r="SE15" s="1576"/>
      <c r="SF15" s="1576"/>
      <c r="SG15" s="1576"/>
      <c r="SH15" s="1576"/>
      <c r="SI15" s="1576"/>
      <c r="SJ15" s="1576"/>
      <c r="SK15" s="1576"/>
      <c r="SL15" s="1576"/>
      <c r="SM15" s="1576"/>
      <c r="SN15" s="1576"/>
      <c r="SO15" s="1576"/>
      <c r="SP15" s="1576"/>
      <c r="SQ15" s="1576"/>
      <c r="SR15" s="1576"/>
      <c r="SS15" s="1576"/>
      <c r="ST15" s="1576"/>
      <c r="SU15" s="1576"/>
      <c r="SV15" s="1576"/>
      <c r="SW15" s="1576"/>
      <c r="SX15" s="1576"/>
      <c r="SY15" s="1576"/>
      <c r="SZ15" s="1576"/>
      <c r="TA15" s="1576"/>
      <c r="TB15" s="1576"/>
      <c r="TC15" s="1576"/>
      <c r="TD15" s="1576"/>
      <c r="TE15" s="1576"/>
      <c r="TF15" s="1576"/>
      <c r="TG15" s="1576"/>
      <c r="TH15" s="1576"/>
      <c r="TI15" s="1576"/>
      <c r="TJ15" s="1576"/>
      <c r="TK15" s="1576"/>
      <c r="TL15" s="1576"/>
      <c r="TM15" s="1576"/>
      <c r="TN15" s="1576"/>
      <c r="TO15" s="1576"/>
      <c r="TP15" s="1576"/>
      <c r="TQ15" s="1576"/>
      <c r="TR15" s="1576"/>
      <c r="TS15" s="1576"/>
      <c r="TT15" s="1576"/>
      <c r="TU15" s="1576"/>
      <c r="TV15" s="1576"/>
      <c r="TW15" s="1576"/>
      <c r="TX15" s="1576"/>
      <c r="TY15" s="1576"/>
      <c r="TZ15" s="1576"/>
      <c r="UA15" s="1576"/>
      <c r="UB15" s="1576"/>
      <c r="UC15" s="1576"/>
      <c r="UD15" s="1576"/>
      <c r="UE15" s="1576"/>
      <c r="UF15" s="1576"/>
      <c r="UG15" s="1576"/>
      <c r="UH15" s="1576"/>
      <c r="UI15" s="1576"/>
      <c r="UJ15" s="1576"/>
      <c r="UK15" s="1576"/>
      <c r="UL15" s="1576"/>
      <c r="UM15" s="1576"/>
      <c r="UN15" s="1576"/>
      <c r="UO15" s="1576"/>
      <c r="UP15" s="1576"/>
      <c r="UQ15" s="1576"/>
      <c r="UR15" s="1576"/>
      <c r="US15" s="1576"/>
      <c r="UT15" s="1576"/>
      <c r="UU15" s="1576"/>
      <c r="UV15" s="1576"/>
      <c r="UW15" s="1576"/>
      <c r="UX15" s="1576"/>
      <c r="UY15" s="1576"/>
      <c r="UZ15" s="1576"/>
      <c r="VA15" s="1576"/>
      <c r="VB15" s="1576"/>
      <c r="VC15" s="1576"/>
      <c r="VD15" s="1576"/>
      <c r="VE15" s="1576"/>
      <c r="VF15" s="1576"/>
      <c r="VG15" s="1576"/>
      <c r="VH15" s="1576"/>
      <c r="VI15" s="1576"/>
      <c r="VJ15" s="1576"/>
      <c r="VK15" s="1576"/>
    </row>
    <row r="16" spans="1:583" ht="27" x14ac:dyDescent="0.25">
      <c r="B16" s="1610" t="s">
        <v>629</v>
      </c>
      <c r="C16" s="1582" t="s">
        <v>1303</v>
      </c>
      <c r="D16" s="4710" t="s">
        <v>2079</v>
      </c>
      <c r="E16" s="4710">
        <v>0</v>
      </c>
      <c r="F16" s="1576"/>
      <c r="G16" s="1576"/>
      <c r="H16" s="1576"/>
      <c r="I16" s="1576"/>
      <c r="J16" s="1576"/>
      <c r="K16" s="1576"/>
      <c r="L16" s="1576"/>
      <c r="M16" s="1576"/>
      <c r="N16" s="1576"/>
      <c r="O16" s="1576"/>
      <c r="P16" s="1576"/>
      <c r="Q16" s="1576"/>
      <c r="R16" s="1576"/>
      <c r="S16" s="1576"/>
      <c r="T16" s="1576"/>
      <c r="U16" s="1576"/>
      <c r="V16" s="1576"/>
      <c r="W16" s="1576"/>
      <c r="X16" s="1576"/>
      <c r="Y16" s="1576"/>
      <c r="Z16" s="1576"/>
      <c r="AA16" s="1576"/>
      <c r="AB16" s="1576"/>
      <c r="AC16" s="1576"/>
      <c r="AD16" s="1576"/>
      <c r="AE16" s="1576"/>
      <c r="AF16" s="1576"/>
      <c r="AG16" s="1576"/>
      <c r="AH16" s="1576"/>
      <c r="AI16" s="1576"/>
      <c r="AJ16" s="1576"/>
      <c r="AK16" s="1576"/>
      <c r="AL16" s="1576"/>
      <c r="AM16" s="1576"/>
      <c r="AN16" s="1576"/>
      <c r="AO16" s="1576"/>
      <c r="AP16" s="1576"/>
      <c r="AQ16" s="1576"/>
      <c r="AR16" s="1576"/>
      <c r="AS16" s="1576"/>
      <c r="AT16" s="1576"/>
      <c r="AU16" s="1576"/>
      <c r="AV16" s="1576"/>
      <c r="AW16" s="1576"/>
      <c r="AX16" s="1576"/>
      <c r="AY16" s="1576"/>
      <c r="AZ16" s="1576"/>
      <c r="BA16" s="1576"/>
      <c r="BB16" s="1576"/>
      <c r="BC16" s="1576"/>
      <c r="BD16" s="1576"/>
      <c r="BE16" s="1576"/>
      <c r="BF16" s="1576"/>
      <c r="BG16" s="1576"/>
      <c r="BH16" s="1576"/>
      <c r="BI16" s="1576"/>
      <c r="BJ16" s="1576"/>
      <c r="BK16" s="1576"/>
      <c r="BL16" s="1576"/>
      <c r="BM16" s="1576"/>
      <c r="BN16" s="1576"/>
      <c r="BO16" s="1576"/>
      <c r="BP16" s="1576"/>
      <c r="BQ16" s="1576"/>
      <c r="BR16" s="1576"/>
      <c r="BS16" s="1576"/>
      <c r="BT16" s="1576"/>
      <c r="BU16" s="1576"/>
      <c r="BV16" s="1576"/>
      <c r="BW16" s="1576"/>
      <c r="BX16" s="1576"/>
      <c r="BY16" s="1576"/>
      <c r="BZ16" s="1576"/>
      <c r="CA16" s="1576"/>
      <c r="CB16" s="1576"/>
      <c r="CC16" s="1576"/>
      <c r="CD16" s="1576"/>
      <c r="CE16" s="1576"/>
      <c r="CF16" s="1576"/>
      <c r="CG16" s="1576"/>
      <c r="CH16" s="1576"/>
      <c r="CI16" s="1576"/>
      <c r="CJ16" s="1576"/>
      <c r="CK16" s="1576"/>
      <c r="CL16" s="1576"/>
      <c r="CM16" s="1576">
        <f>'Paso 1.1'!E13*Tiempos!$H$12</f>
        <v>101.1877647573412</v>
      </c>
      <c r="CN16" s="1576">
        <f>'Paso 1.1'!F13*Tiempos!$H$12</f>
        <v>101.96887979574623</v>
      </c>
      <c r="CO16" s="1576">
        <f>'Paso 1.1'!G13*Tiempos!$H$12</f>
        <v>102.75058501523296</v>
      </c>
      <c r="CP16" s="1576">
        <f>'Paso 1.1'!H13*Tiempos!$H$12</f>
        <v>103.53288075590663</v>
      </c>
      <c r="CQ16" s="1576">
        <f>'Paso 1.1'!I13*Tiempos!$H$12</f>
        <v>104.31576735804752</v>
      </c>
      <c r="CR16" s="1576">
        <f>'Paso 1.1'!J13*Tiempos!$H$12</f>
        <v>105.0992451621108</v>
      </c>
      <c r="CS16" s="1576">
        <f>'Paso 1.1'!K13*Tiempos!$H$12</f>
        <v>105.88331450872694</v>
      </c>
      <c r="CT16" s="1576">
        <f>'Paso 1.1'!L13*Tiempos!$H$12</f>
        <v>106.66797573870159</v>
      </c>
      <c r="CU16" s="1576">
        <f>'Paso 1.1'!M13*Tiempos!$H$12</f>
        <v>107.45322919301562</v>
      </c>
      <c r="CV16" s="1576">
        <f>'Paso 1.1'!N13*Tiempos!$H$12</f>
        <v>108.23907521282538</v>
      </c>
      <c r="CW16" s="1576">
        <f>'Paso 1.1'!O13*Tiempos!$H$12</f>
        <v>109.02551413946259</v>
      </c>
      <c r="CX16" s="1576">
        <f>'Paso 1.1'!P13*Tiempos!$H$12</f>
        <v>109.81254631443463</v>
      </c>
      <c r="CY16" s="1576">
        <f>'Paso 1.1'!Q13*Tiempos!$H$12</f>
        <v>110.60017207942451</v>
      </c>
      <c r="CZ16" s="1576">
        <f>'Paso 1.1'!R13*Tiempos!$H$12</f>
        <v>111.38839177629089</v>
      </c>
      <c r="DA16" s="1576">
        <f>'Paso 1.1'!S13*Tiempos!$H$12</f>
        <v>112.17720574706826</v>
      </c>
      <c r="DB16" s="1576">
        <f>'Paso 1.1'!T13*Tiempos!$H$12</f>
        <v>112.96661433396709</v>
      </c>
      <c r="DC16" s="1576">
        <f>'Paso 1.1'!U13*Tiempos!$H$12</f>
        <v>113.75661787937372</v>
      </c>
      <c r="DD16" s="1576"/>
      <c r="DE16" s="1576"/>
      <c r="DF16" s="1576"/>
      <c r="DG16" s="1576"/>
      <c r="DH16" s="1576"/>
      <c r="DI16" s="1576"/>
      <c r="DJ16" s="1576"/>
      <c r="DK16" s="1576"/>
      <c r="DL16" s="1576"/>
      <c r="DM16" s="1576"/>
      <c r="DN16" s="1576"/>
      <c r="DO16" s="1576"/>
      <c r="DP16" s="1576"/>
      <c r="DQ16" s="1576"/>
      <c r="DR16" s="1576"/>
      <c r="DS16" s="1576"/>
      <c r="DT16" s="1576"/>
      <c r="DU16" s="1576"/>
      <c r="DV16" s="1576"/>
      <c r="DW16" s="1576"/>
      <c r="DX16" s="1576"/>
      <c r="DY16" s="1576"/>
      <c r="DZ16" s="1576"/>
      <c r="EA16" s="1576"/>
      <c r="EB16" s="1576"/>
      <c r="EC16" s="1576"/>
      <c r="ED16" s="1576"/>
      <c r="EE16" s="1576"/>
      <c r="EF16" s="1576"/>
      <c r="EG16" s="1576"/>
      <c r="EH16" s="1576"/>
      <c r="EI16" s="1576"/>
      <c r="EJ16" s="1576"/>
      <c r="EK16" s="1576"/>
      <c r="EL16" s="1576"/>
      <c r="EM16" s="1576"/>
      <c r="EN16" s="1576"/>
      <c r="EO16" s="1576"/>
      <c r="EP16" s="1576"/>
      <c r="EQ16" s="1576"/>
      <c r="ER16" s="1576"/>
      <c r="ES16" s="1576"/>
      <c r="ET16" s="1576"/>
      <c r="EU16" s="1576"/>
      <c r="EV16" s="1576"/>
      <c r="EW16" s="1576"/>
      <c r="EX16" s="1576"/>
      <c r="EY16" s="1576"/>
      <c r="EZ16" s="1576"/>
      <c r="FA16" s="1576"/>
      <c r="FB16" s="1576"/>
      <c r="FC16" s="1576"/>
      <c r="FD16" s="1576"/>
      <c r="FE16" s="1576"/>
      <c r="FF16" s="1576"/>
      <c r="FG16" s="1576"/>
      <c r="FH16" s="1576"/>
      <c r="FI16" s="1576"/>
      <c r="FJ16" s="1576"/>
      <c r="FK16" s="1576"/>
      <c r="FL16" s="1576"/>
      <c r="FM16" s="1576"/>
      <c r="FN16" s="1576"/>
      <c r="FO16" s="1576"/>
      <c r="FP16" s="1576"/>
      <c r="FQ16" s="1576"/>
      <c r="FR16" s="1576"/>
      <c r="FS16" s="1576"/>
      <c r="FT16" s="1576"/>
      <c r="FU16" s="1576"/>
      <c r="FV16" s="1576"/>
      <c r="FW16" s="1576"/>
      <c r="FX16" s="1576"/>
      <c r="FY16" s="1576"/>
      <c r="FZ16" s="1576"/>
      <c r="GA16" s="1576"/>
      <c r="GB16" s="1576"/>
      <c r="GC16" s="1576"/>
      <c r="GD16" s="1576"/>
      <c r="GE16" s="1576"/>
      <c r="GF16" s="1576"/>
      <c r="GG16" s="1576"/>
      <c r="GH16" s="1576"/>
      <c r="GI16" s="1576"/>
      <c r="GJ16" s="1576"/>
      <c r="GK16" s="1576"/>
      <c r="GL16" s="1576"/>
      <c r="GM16" s="1576"/>
      <c r="GN16" s="1576"/>
      <c r="GO16" s="1576"/>
      <c r="GP16" s="1576"/>
      <c r="GQ16" s="1576"/>
      <c r="GR16" s="1576"/>
      <c r="GS16" s="1576"/>
      <c r="GT16" s="1576"/>
      <c r="GU16" s="1576"/>
      <c r="GV16" s="1576"/>
      <c r="GW16" s="1576"/>
      <c r="GX16" s="1576"/>
      <c r="GY16" s="1576"/>
      <c r="GZ16" s="1576"/>
      <c r="HA16" s="1576"/>
      <c r="HB16" s="1576"/>
      <c r="HC16" s="1576"/>
      <c r="HD16" s="1576"/>
      <c r="HE16" s="1576"/>
      <c r="HF16" s="1576"/>
      <c r="HG16" s="1576"/>
      <c r="HH16" s="1576"/>
      <c r="HI16" s="1576"/>
      <c r="HJ16" s="1576"/>
      <c r="HK16" s="1576"/>
      <c r="HL16" s="1576"/>
      <c r="HM16" s="1576"/>
      <c r="HN16" s="1576"/>
      <c r="HO16" s="1576"/>
      <c r="HP16" s="1576"/>
      <c r="HQ16" s="1576"/>
      <c r="HR16" s="1576"/>
      <c r="HS16" s="1576"/>
      <c r="HT16" s="1576"/>
      <c r="HU16" s="1576"/>
      <c r="HV16" s="1576"/>
      <c r="HW16" s="1576"/>
      <c r="HX16" s="1576"/>
      <c r="HY16" s="1576"/>
      <c r="HZ16" s="1576"/>
      <c r="IA16" s="1576"/>
      <c r="IB16" s="1576"/>
      <c r="IC16" s="1576"/>
      <c r="ID16" s="1576"/>
      <c r="IE16" s="1576"/>
      <c r="IF16" s="1576"/>
      <c r="IG16" s="1576"/>
      <c r="IH16" s="1576"/>
      <c r="II16" s="1576"/>
      <c r="IJ16" s="1576"/>
      <c r="IK16" s="1576"/>
      <c r="IL16" s="1576"/>
      <c r="IM16" s="1576"/>
      <c r="IN16" s="1576"/>
      <c r="IO16" s="1576"/>
      <c r="IP16" s="1576"/>
      <c r="IQ16" s="1576"/>
      <c r="IR16" s="1576"/>
      <c r="IS16" s="1576"/>
      <c r="IT16" s="1576"/>
      <c r="IU16" s="1576"/>
      <c r="IV16" s="1576"/>
      <c r="IW16" s="1576"/>
      <c r="IX16" s="1576"/>
      <c r="IY16" s="1576"/>
      <c r="IZ16" s="1576"/>
      <c r="JA16" s="2054"/>
      <c r="JB16" s="2054"/>
      <c r="JC16" s="2054"/>
      <c r="JD16" s="2054"/>
      <c r="JE16" s="2054"/>
      <c r="JF16" s="2054"/>
      <c r="JG16" s="2054"/>
      <c r="JH16" s="2054"/>
      <c r="JI16" s="2054"/>
      <c r="JJ16" s="2054"/>
      <c r="JK16" s="2054"/>
      <c r="JL16" s="2054"/>
      <c r="JM16" s="2054"/>
      <c r="JN16" s="2054"/>
      <c r="JO16" s="2054"/>
      <c r="JP16" s="2054"/>
      <c r="JQ16" s="2054"/>
      <c r="JR16" s="1576"/>
      <c r="JS16" s="1576"/>
      <c r="JT16" s="1576"/>
      <c r="JU16" s="1576"/>
      <c r="JV16" s="1576"/>
      <c r="JW16" s="1576"/>
      <c r="JX16" s="1576"/>
      <c r="JY16" s="1576"/>
      <c r="JZ16" s="1576"/>
      <c r="KA16" s="1576"/>
      <c r="KB16" s="1576"/>
      <c r="KC16" s="1576"/>
      <c r="KD16" s="1576"/>
      <c r="KE16" s="1576"/>
      <c r="KF16" s="1576"/>
      <c r="KG16" s="1576"/>
      <c r="KH16" s="1576"/>
      <c r="KI16" s="1576"/>
      <c r="KJ16" s="1576"/>
      <c r="KK16" s="1576"/>
      <c r="KL16" s="1576"/>
      <c r="KM16" s="1576"/>
      <c r="KN16" s="1576"/>
      <c r="KO16" s="1576"/>
      <c r="KP16" s="1576"/>
      <c r="KQ16" s="1576"/>
      <c r="KR16" s="1576"/>
      <c r="KS16" s="1576"/>
      <c r="KT16" s="1576"/>
      <c r="KU16" s="1576"/>
      <c r="KV16" s="1576"/>
      <c r="KW16" s="1576"/>
      <c r="KX16" s="1576"/>
      <c r="KY16" s="1576"/>
      <c r="KZ16" s="1576"/>
      <c r="LA16" s="1576"/>
      <c r="LB16" s="1576"/>
      <c r="LC16" s="1576"/>
      <c r="LD16" s="1576"/>
      <c r="LE16" s="1576"/>
      <c r="LF16" s="1576"/>
      <c r="LG16" s="1576"/>
      <c r="LH16" s="1576"/>
      <c r="LI16" s="1576"/>
      <c r="LJ16" s="1576"/>
      <c r="LK16" s="1576"/>
      <c r="LL16" s="1576"/>
      <c r="LM16" s="1576"/>
      <c r="LN16" s="1576"/>
      <c r="LO16" s="1576"/>
      <c r="LP16" s="1576"/>
      <c r="LQ16" s="1576"/>
      <c r="LR16" s="1576"/>
      <c r="LS16" s="1576"/>
      <c r="LT16" s="1576"/>
      <c r="LU16" s="1576"/>
      <c r="LV16" s="1576"/>
      <c r="LW16" s="1576"/>
      <c r="LX16" s="1576"/>
      <c r="LY16" s="1576"/>
      <c r="LZ16" s="1576"/>
      <c r="MA16" s="1576"/>
      <c r="MB16" s="1576"/>
      <c r="MC16" s="1576"/>
      <c r="MD16" s="1576"/>
      <c r="ME16" s="1576"/>
      <c r="MF16" s="1576"/>
      <c r="MG16" s="1576"/>
      <c r="MH16" s="1576"/>
      <c r="MI16" s="1576"/>
      <c r="MJ16" s="1576"/>
      <c r="MK16" s="1576"/>
      <c r="ML16" s="1576"/>
      <c r="MM16" s="1576"/>
      <c r="MN16" s="1576"/>
      <c r="MO16" s="1576"/>
      <c r="MP16" s="1576"/>
      <c r="MQ16" s="1576"/>
      <c r="MR16" s="1576"/>
      <c r="MS16" s="1576"/>
      <c r="MT16" s="1576"/>
      <c r="MU16" s="1576"/>
      <c r="MV16" s="1576"/>
      <c r="MW16" s="1576"/>
      <c r="MX16" s="1576"/>
      <c r="MY16" s="1576">
        <f>'Paso 1.1'!E13*Tiempos!$L$12</f>
        <v>20.237552951468242</v>
      </c>
      <c r="MZ16" s="1576">
        <f>'Paso 1.1'!F13*Tiempos!$L$12</f>
        <v>20.393775959149249</v>
      </c>
      <c r="NA16" s="1576">
        <f>'Paso 1.1'!G13*Tiempos!$L$12</f>
        <v>20.550117003046594</v>
      </c>
      <c r="NB16" s="1576">
        <f>'Paso 1.1'!H13*Tiempos!$L$12</f>
        <v>20.706576151181327</v>
      </c>
      <c r="NC16" s="1576">
        <f>'Paso 1.1'!I13*Tiempos!$L$12</f>
        <v>20.863153471609508</v>
      </c>
      <c r="ND16" s="1576">
        <f>'Paso 1.1'!J13*Tiempos!$L$12</f>
        <v>21.019849032422162</v>
      </c>
      <c r="NE16" s="1576">
        <f>'Paso 1.1'!K13*Tiempos!$L$12</f>
        <v>21.176662901745388</v>
      </c>
      <c r="NF16" s="1576">
        <f>'Paso 1.1'!L13*Tiempos!$L$12</f>
        <v>21.333595147740319</v>
      </c>
      <c r="NG16" s="1576">
        <f>'Paso 1.1'!M13*Tiempos!$L$12</f>
        <v>21.490645838603125</v>
      </c>
      <c r="NH16" s="1576">
        <f>'Paso 1.1'!N13*Tiempos!$L$12</f>
        <v>21.647815042565078</v>
      </c>
      <c r="NI16" s="1576">
        <f>'Paso 1.1'!O13*Tiempos!$L$12</f>
        <v>21.805102827892519</v>
      </c>
      <c r="NJ16" s="1576">
        <f>'Paso 1.1'!P13*Tiempos!$L$12</f>
        <v>21.962509262886925</v>
      </c>
      <c r="NK16" s="1576">
        <f>'Paso 1.1'!Q13*Tiempos!$L$12</f>
        <v>22.120034415884902</v>
      </c>
      <c r="NL16" s="1576">
        <f>'Paso 1.1'!R13*Tiempos!$L$12</f>
        <v>22.277678355258178</v>
      </c>
      <c r="NM16" s="1576">
        <f>'Paso 1.1'!S13*Tiempos!$L$12</f>
        <v>22.435441149413652</v>
      </c>
      <c r="NN16" s="1576">
        <f>'Paso 1.1'!T13*Tiempos!$L$12</f>
        <v>22.593322866793418</v>
      </c>
      <c r="NO16" s="1576">
        <f>'Paso 1.1'!U13*Tiempos!$L$12</f>
        <v>22.751323575874746</v>
      </c>
      <c r="NP16" s="1576"/>
      <c r="NQ16" s="1576"/>
      <c r="NR16" s="1576"/>
      <c r="NS16" s="1576"/>
      <c r="NT16" s="1576"/>
      <c r="NU16" s="1576"/>
      <c r="NV16" s="1576"/>
      <c r="NW16" s="1576"/>
      <c r="NX16" s="1576"/>
      <c r="NY16" s="1576"/>
      <c r="NZ16" s="1576"/>
      <c r="OA16" s="1576"/>
      <c r="OB16" s="1576"/>
      <c r="OC16" s="1576"/>
      <c r="OD16" s="1576"/>
      <c r="OE16" s="1576"/>
      <c r="OF16" s="1576"/>
      <c r="OG16" s="1576"/>
      <c r="OH16" s="1576"/>
      <c r="OI16" s="1576"/>
      <c r="OJ16" s="1576"/>
      <c r="OK16" s="1576"/>
      <c r="OL16" s="1576"/>
      <c r="OM16" s="1576"/>
      <c r="ON16" s="1576"/>
      <c r="OO16" s="1576"/>
      <c r="OP16" s="1576"/>
      <c r="OQ16" s="1576"/>
      <c r="OR16" s="1576"/>
      <c r="OS16" s="1576"/>
      <c r="OT16" s="1576"/>
      <c r="OU16" s="1576"/>
      <c r="OV16" s="1576"/>
      <c r="OW16" s="1576"/>
      <c r="OX16" s="1576"/>
      <c r="OY16" s="1576"/>
      <c r="OZ16" s="1576"/>
      <c r="PA16" s="1576"/>
      <c r="PB16" s="1576"/>
      <c r="PC16" s="1576"/>
      <c r="PD16" s="1576"/>
      <c r="PE16" s="1576"/>
      <c r="PF16" s="1576"/>
      <c r="PG16" s="1576"/>
      <c r="PH16" s="1576"/>
      <c r="PI16" s="1576"/>
      <c r="PJ16" s="1576"/>
      <c r="PK16" s="1576"/>
      <c r="PL16" s="1576"/>
      <c r="PM16" s="1576"/>
      <c r="PN16" s="1576"/>
      <c r="PO16" s="1576"/>
      <c r="PP16" s="1576"/>
      <c r="PQ16" s="1576"/>
      <c r="PR16" s="1576"/>
      <c r="PS16" s="1576"/>
      <c r="PT16" s="1576"/>
      <c r="PU16" s="1576"/>
      <c r="PV16" s="1576"/>
      <c r="PW16" s="1576"/>
      <c r="PX16" s="1576"/>
      <c r="PY16" s="1576"/>
      <c r="PZ16" s="1576"/>
      <c r="QA16" s="1576"/>
      <c r="QB16" s="1576"/>
      <c r="QC16" s="1576"/>
      <c r="QD16" s="1576"/>
      <c r="QE16" s="1576"/>
      <c r="QF16" s="1576"/>
      <c r="QG16" s="1576"/>
      <c r="QH16" s="1576"/>
      <c r="QI16" s="1576"/>
      <c r="QJ16" s="1576"/>
      <c r="QK16" s="1576"/>
      <c r="QL16" s="1576"/>
      <c r="QM16" s="1576"/>
      <c r="QN16" s="1576"/>
      <c r="QO16" s="1576"/>
      <c r="QP16" s="1576"/>
      <c r="QQ16" s="1576"/>
      <c r="QR16" s="1576"/>
      <c r="QS16" s="1576"/>
      <c r="QT16" s="1576"/>
      <c r="QU16" s="1576"/>
      <c r="QV16" s="1576"/>
      <c r="QW16" s="1576"/>
      <c r="QX16" s="1576"/>
      <c r="QY16" s="1576"/>
      <c r="QZ16" s="1576"/>
      <c r="RA16" s="1576"/>
      <c r="RB16" s="1576"/>
      <c r="RC16" s="1576"/>
      <c r="RD16" s="1576"/>
      <c r="RE16" s="1576"/>
      <c r="RF16" s="1576"/>
      <c r="RG16" s="1576"/>
      <c r="RH16" s="1576"/>
      <c r="RI16" s="1576"/>
      <c r="RJ16" s="1576"/>
      <c r="RK16" s="1576"/>
      <c r="RL16" s="1576"/>
      <c r="RM16" s="1576"/>
      <c r="RN16" s="1576"/>
      <c r="RO16" s="1576"/>
      <c r="RP16" s="1576"/>
      <c r="RQ16" s="1576"/>
      <c r="RR16" s="1576"/>
      <c r="RS16" s="1576"/>
      <c r="RT16" s="1576"/>
      <c r="RU16" s="1576"/>
      <c r="RV16" s="1576"/>
      <c r="RW16" s="1576"/>
      <c r="RX16" s="1576"/>
      <c r="RY16" s="1576"/>
      <c r="RZ16" s="1576"/>
      <c r="SA16" s="1576"/>
      <c r="SB16" s="1576"/>
      <c r="SC16" s="1576"/>
      <c r="SD16" s="1576"/>
      <c r="SE16" s="1576"/>
      <c r="SF16" s="1576"/>
      <c r="SG16" s="1576"/>
      <c r="SH16" s="1576"/>
      <c r="SI16" s="1576"/>
      <c r="SJ16" s="1576"/>
      <c r="SK16" s="1576"/>
      <c r="SL16" s="1576"/>
      <c r="SM16" s="1576"/>
      <c r="SN16" s="1576"/>
      <c r="SO16" s="1576"/>
      <c r="SP16" s="1576"/>
      <c r="SQ16" s="1576"/>
      <c r="SR16" s="1576"/>
      <c r="SS16" s="1576"/>
      <c r="ST16" s="1576"/>
      <c r="SU16" s="1576"/>
      <c r="SV16" s="1576"/>
      <c r="SW16" s="1576"/>
      <c r="SX16" s="1576"/>
      <c r="SY16" s="1576"/>
      <c r="SZ16" s="1576"/>
      <c r="TA16" s="1576"/>
      <c r="TB16" s="1576"/>
      <c r="TC16" s="1576"/>
      <c r="TD16" s="1576"/>
      <c r="TE16" s="1576"/>
      <c r="TF16" s="1576"/>
      <c r="TG16" s="1576"/>
      <c r="TH16" s="1576"/>
      <c r="TI16" s="1576"/>
      <c r="TJ16" s="1576"/>
      <c r="TK16" s="1576"/>
      <c r="TL16" s="1576"/>
      <c r="TM16" s="1576"/>
      <c r="TN16" s="1576"/>
      <c r="TO16" s="1576"/>
      <c r="TP16" s="1576"/>
      <c r="TQ16" s="1576"/>
      <c r="TR16" s="1576"/>
      <c r="TS16" s="1576"/>
      <c r="TT16" s="1576"/>
      <c r="TU16" s="1576"/>
      <c r="TV16" s="1576"/>
      <c r="TW16" s="1576"/>
      <c r="TX16" s="1576"/>
      <c r="TY16" s="1576"/>
      <c r="TZ16" s="1576"/>
      <c r="UA16" s="1576"/>
      <c r="UB16" s="1576"/>
      <c r="UC16" s="1576"/>
      <c r="UD16" s="1576"/>
      <c r="UE16" s="1576"/>
      <c r="UF16" s="1576"/>
      <c r="UG16" s="1576"/>
      <c r="UH16" s="1576"/>
      <c r="UI16" s="1576"/>
      <c r="UJ16" s="1576"/>
      <c r="UK16" s="1576"/>
      <c r="UL16" s="1576"/>
      <c r="UM16" s="1576"/>
      <c r="UN16" s="1576"/>
      <c r="UO16" s="1576"/>
      <c r="UP16" s="1576"/>
      <c r="UQ16" s="1576"/>
      <c r="UR16" s="1576"/>
      <c r="US16" s="1576"/>
      <c r="UT16" s="1576"/>
      <c r="UU16" s="1576"/>
      <c r="UV16" s="1576"/>
      <c r="UW16" s="1576"/>
      <c r="UX16" s="1576"/>
      <c r="UY16" s="1576"/>
      <c r="UZ16" s="1576"/>
      <c r="VA16" s="1576"/>
      <c r="VB16" s="1576"/>
      <c r="VC16" s="1576"/>
      <c r="VD16" s="1576"/>
      <c r="VE16" s="1576"/>
      <c r="VF16" s="1576"/>
      <c r="VG16" s="1576"/>
      <c r="VH16" s="1576"/>
      <c r="VI16" s="1576"/>
      <c r="VJ16" s="1576"/>
      <c r="VK16" s="1576"/>
    </row>
    <row r="17" spans="1:583" s="2072" customFormat="1" ht="27" x14ac:dyDescent="0.25">
      <c r="A17" s="694"/>
      <c r="B17" s="2073" t="s">
        <v>629</v>
      </c>
      <c r="C17" s="2074" t="s">
        <v>2695</v>
      </c>
      <c r="D17" s="4715" t="s">
        <v>2696</v>
      </c>
      <c r="E17" s="4715">
        <v>0</v>
      </c>
      <c r="F17" s="1575"/>
      <c r="G17" s="1575"/>
      <c r="H17" s="1575"/>
      <c r="I17" s="1575"/>
      <c r="J17" s="1575"/>
      <c r="K17" s="1575"/>
      <c r="L17" s="1575"/>
      <c r="M17" s="1575"/>
      <c r="N17" s="1575"/>
      <c r="O17" s="1575"/>
      <c r="P17" s="1575"/>
      <c r="Q17" s="1575"/>
      <c r="R17" s="1575"/>
      <c r="S17" s="1575"/>
      <c r="T17" s="1575"/>
      <c r="U17" s="1575"/>
      <c r="V17" s="1575"/>
      <c r="W17" s="1575"/>
      <c r="X17" s="1575"/>
      <c r="Y17" s="1575"/>
      <c r="Z17" s="1575"/>
      <c r="AA17" s="1575"/>
      <c r="AB17" s="1575"/>
      <c r="AC17" s="1575"/>
      <c r="AD17" s="1575"/>
      <c r="AE17" s="1575"/>
      <c r="AF17" s="1575"/>
      <c r="AG17" s="1575"/>
      <c r="AH17" s="1575"/>
      <c r="AI17" s="1575"/>
      <c r="AJ17" s="1575"/>
      <c r="AK17" s="1575"/>
      <c r="AL17" s="1575"/>
      <c r="AM17" s="1575"/>
      <c r="AN17" s="1575"/>
      <c r="AO17" s="1575"/>
      <c r="AP17" s="1575"/>
      <c r="AQ17" s="1575"/>
      <c r="AR17" s="1575"/>
      <c r="AS17" s="1575"/>
      <c r="AT17" s="1575"/>
      <c r="AU17" s="1575"/>
      <c r="AV17" s="1575"/>
      <c r="AW17" s="1575"/>
      <c r="AX17" s="1575"/>
      <c r="AY17" s="1575"/>
      <c r="AZ17" s="1575"/>
      <c r="BA17" s="1575"/>
      <c r="BB17" s="1575"/>
      <c r="BC17" s="1575"/>
      <c r="BD17" s="1575"/>
      <c r="BE17" s="1575"/>
      <c r="BF17" s="1575"/>
      <c r="BG17" s="1575"/>
      <c r="BH17" s="1575"/>
      <c r="BI17" s="1575"/>
      <c r="BJ17" s="1575"/>
      <c r="BK17" s="1575"/>
      <c r="BL17" s="1575"/>
      <c r="BM17" s="1575"/>
      <c r="BN17" s="1575"/>
      <c r="BO17" s="1575"/>
      <c r="BP17" s="1575"/>
      <c r="BQ17" s="1575"/>
      <c r="BR17" s="1575"/>
      <c r="BS17" s="1575"/>
      <c r="BT17" s="1575"/>
      <c r="BU17" s="1575"/>
      <c r="BV17" s="1575"/>
      <c r="BW17" s="1575"/>
      <c r="BX17" s="1575"/>
      <c r="BY17" s="1575"/>
      <c r="BZ17" s="1575"/>
      <c r="CA17" s="1575"/>
      <c r="CB17" s="1575"/>
      <c r="CC17" s="1575"/>
      <c r="CD17" s="1575"/>
      <c r="CE17" s="1575"/>
      <c r="CF17" s="1575"/>
      <c r="CG17" s="1575"/>
      <c r="CH17" s="1575"/>
      <c r="CI17" s="1575"/>
      <c r="CJ17" s="1575"/>
      <c r="CK17" s="1575"/>
      <c r="CL17" s="1575"/>
      <c r="CM17" s="1575"/>
      <c r="CN17" s="1575"/>
      <c r="CO17" s="1575"/>
      <c r="CP17" s="1575"/>
      <c r="CQ17" s="1575"/>
      <c r="CR17" s="1575"/>
      <c r="CS17" s="1575"/>
      <c r="CT17" s="1575"/>
      <c r="CU17" s="1575"/>
      <c r="CV17" s="1575"/>
      <c r="CW17" s="1575"/>
      <c r="CX17" s="1575"/>
      <c r="CY17" s="1575"/>
      <c r="CZ17" s="1575"/>
      <c r="DA17" s="1575"/>
      <c r="DB17" s="1575"/>
      <c r="DC17" s="1575"/>
      <c r="DD17" s="1575"/>
      <c r="DE17" s="1575"/>
      <c r="DF17" s="1575"/>
      <c r="DG17" s="1575"/>
      <c r="DH17" s="1575"/>
      <c r="DI17" s="1575"/>
      <c r="DJ17" s="1575"/>
      <c r="DK17" s="1575"/>
      <c r="DL17" s="1575"/>
      <c r="DM17" s="1575"/>
      <c r="DN17" s="1575"/>
      <c r="DO17" s="1575"/>
      <c r="DP17" s="1575"/>
      <c r="DQ17" s="1575"/>
      <c r="DR17" s="1575"/>
      <c r="DS17" s="1575"/>
      <c r="DT17" s="1575"/>
      <c r="DU17" s="1575"/>
      <c r="DV17" s="1575"/>
      <c r="DW17" s="1575"/>
      <c r="DX17" s="1575"/>
      <c r="DY17" s="1575"/>
      <c r="DZ17" s="1575"/>
      <c r="EA17" s="1575"/>
      <c r="EB17" s="1575"/>
      <c r="EC17" s="1575"/>
      <c r="ED17" s="1575"/>
      <c r="EE17" s="1575"/>
      <c r="EF17" s="1575"/>
      <c r="EG17" s="1575"/>
      <c r="EH17" s="1575"/>
      <c r="EI17" s="1575"/>
      <c r="EJ17" s="1575"/>
      <c r="EK17" s="1575"/>
      <c r="EL17" s="1575"/>
      <c r="EM17" s="1575"/>
      <c r="EN17" s="1575"/>
      <c r="EO17" s="1575"/>
      <c r="EP17" s="1575"/>
      <c r="EQ17" s="1575"/>
      <c r="ER17" s="1575"/>
      <c r="ES17" s="1575"/>
      <c r="ET17" s="1575"/>
      <c r="EU17" s="1575"/>
      <c r="EV17" s="1575"/>
      <c r="EW17" s="1575"/>
      <c r="EX17" s="1575"/>
      <c r="EY17" s="1575"/>
      <c r="EZ17" s="1575"/>
      <c r="FA17" s="1575"/>
      <c r="FB17" s="1575"/>
      <c r="FC17" s="1575"/>
      <c r="FD17" s="1575"/>
      <c r="FE17" s="1575"/>
      <c r="FF17" s="1575"/>
      <c r="FG17" s="1575"/>
      <c r="FH17" s="1575"/>
      <c r="FI17" s="1575"/>
      <c r="FJ17" s="1575"/>
      <c r="FK17" s="1575"/>
      <c r="FL17" s="1575"/>
      <c r="FM17" s="1575"/>
      <c r="FN17" s="1575"/>
      <c r="FO17" s="1575"/>
      <c r="FP17" s="1575"/>
      <c r="FQ17" s="1575"/>
      <c r="FR17" s="1575"/>
      <c r="FS17" s="1575"/>
      <c r="FT17" s="1575"/>
      <c r="FU17" s="1575"/>
      <c r="FV17" s="1575"/>
      <c r="FW17" s="1575"/>
      <c r="FX17" s="1575"/>
      <c r="FY17" s="1575"/>
      <c r="FZ17" s="1575"/>
      <c r="GA17" s="1575"/>
      <c r="GB17" s="1575"/>
      <c r="GC17" s="1575"/>
      <c r="GD17" s="1575"/>
      <c r="GE17" s="1575"/>
      <c r="GF17" s="1575"/>
      <c r="GG17" s="1575"/>
      <c r="GH17" s="1575"/>
      <c r="GI17" s="1575"/>
      <c r="GJ17" s="1575"/>
      <c r="GK17" s="1575"/>
      <c r="GL17" s="1575"/>
      <c r="GM17" s="1575"/>
      <c r="GN17" s="1575"/>
      <c r="GO17" s="1575"/>
      <c r="GP17" s="1575"/>
      <c r="GQ17" s="1575"/>
      <c r="GR17" s="1575"/>
      <c r="GS17" s="1575"/>
      <c r="GT17" s="1575"/>
      <c r="GU17" s="1575"/>
      <c r="GV17" s="1575"/>
      <c r="GW17" s="1575"/>
      <c r="GX17" s="1575"/>
      <c r="GY17" s="1575"/>
      <c r="GZ17" s="1575"/>
      <c r="HA17" s="1575"/>
      <c r="HB17" s="1575"/>
      <c r="HC17" s="1575"/>
      <c r="HD17" s="1575"/>
      <c r="HE17" s="1575"/>
      <c r="HF17" s="1575"/>
      <c r="HG17" s="1575"/>
      <c r="HH17" s="1575"/>
      <c r="HI17" s="1575"/>
      <c r="HJ17" s="1575"/>
      <c r="HK17" s="1575"/>
      <c r="HL17" s="1575"/>
      <c r="HM17" s="1575"/>
      <c r="HN17" s="1575"/>
      <c r="HO17" s="1575"/>
      <c r="HP17" s="1575"/>
      <c r="HQ17" s="1575"/>
      <c r="HR17" s="1575"/>
      <c r="HS17" s="1575"/>
      <c r="HT17" s="1575"/>
      <c r="HU17" s="1575"/>
      <c r="HV17" s="1575"/>
      <c r="HW17" s="1575"/>
      <c r="HX17" s="1575"/>
      <c r="HY17" s="1575"/>
      <c r="HZ17" s="1575"/>
      <c r="IA17" s="1575"/>
      <c r="IB17" s="1575"/>
      <c r="IC17" s="1575"/>
      <c r="ID17" s="1575"/>
      <c r="IE17" s="1575"/>
      <c r="IF17" s="1575"/>
      <c r="IG17" s="1575"/>
      <c r="IH17" s="1575"/>
      <c r="II17" s="1575"/>
      <c r="IJ17" s="1575"/>
      <c r="IK17" s="1575"/>
      <c r="IL17" s="1575"/>
      <c r="IM17" s="1575"/>
      <c r="IN17" s="1575"/>
      <c r="IO17" s="1575"/>
      <c r="IP17" s="1575"/>
      <c r="IQ17" s="1575"/>
      <c r="IR17" s="1575"/>
      <c r="IS17" s="1575"/>
      <c r="IT17" s="1575"/>
      <c r="IU17" s="1575"/>
      <c r="IV17" s="1575"/>
      <c r="IW17" s="1575"/>
      <c r="IX17" s="1575"/>
      <c r="IY17" s="1575"/>
      <c r="IZ17" s="1575"/>
      <c r="JA17" s="1587"/>
      <c r="JB17" s="1587"/>
      <c r="JC17" s="1587"/>
      <c r="JD17" s="1587"/>
      <c r="JE17" s="1587"/>
      <c r="JF17" s="1587"/>
      <c r="JG17" s="1587"/>
      <c r="JH17" s="1587"/>
      <c r="JI17" s="1587"/>
      <c r="JJ17" s="1587"/>
      <c r="JK17" s="1587"/>
      <c r="JL17" s="1587"/>
      <c r="JM17" s="1587"/>
      <c r="JN17" s="1587"/>
      <c r="JO17" s="1587"/>
      <c r="JP17" s="1587"/>
      <c r="JQ17" s="1587"/>
      <c r="JR17" s="1575"/>
      <c r="JS17" s="1575"/>
      <c r="JT17" s="1575"/>
      <c r="JU17" s="1575"/>
      <c r="JV17" s="1575"/>
      <c r="JW17" s="1575"/>
      <c r="JX17" s="1575"/>
      <c r="JY17" s="1575"/>
      <c r="JZ17" s="1575"/>
      <c r="KA17" s="1575"/>
      <c r="KB17" s="1575"/>
      <c r="KC17" s="1575"/>
      <c r="KD17" s="1575"/>
      <c r="KE17" s="1575"/>
      <c r="KF17" s="1575"/>
      <c r="KG17" s="1575"/>
      <c r="KH17" s="1575"/>
      <c r="KI17" s="1575"/>
      <c r="KJ17" s="1575"/>
      <c r="KK17" s="1575"/>
      <c r="KL17" s="1575"/>
      <c r="KM17" s="1575"/>
      <c r="KN17" s="1575"/>
      <c r="KO17" s="1575"/>
      <c r="KP17" s="1575"/>
      <c r="KQ17" s="1575"/>
      <c r="KR17" s="1575"/>
      <c r="KS17" s="1575"/>
      <c r="KT17" s="1575"/>
      <c r="KU17" s="1575"/>
      <c r="KV17" s="1575"/>
      <c r="KW17" s="1575"/>
      <c r="KX17" s="1575"/>
      <c r="KY17" s="1575"/>
      <c r="KZ17" s="1575"/>
      <c r="LA17" s="1575"/>
      <c r="LB17" s="1575"/>
      <c r="LC17" s="1575"/>
      <c r="LD17" s="1575"/>
      <c r="LE17" s="1575"/>
      <c r="LF17" s="1575"/>
      <c r="LG17" s="1575"/>
      <c r="LH17" s="1575"/>
      <c r="LI17" s="1575"/>
      <c r="LJ17" s="1575"/>
      <c r="LK17" s="1575"/>
      <c r="LL17" s="1575"/>
      <c r="LM17" s="1575"/>
      <c r="LN17" s="1575"/>
      <c r="LO17" s="1575"/>
      <c r="LP17" s="1575"/>
      <c r="LQ17" s="1575"/>
      <c r="LR17" s="1575"/>
      <c r="LS17" s="1575"/>
      <c r="LT17" s="1575"/>
      <c r="LU17" s="1575"/>
      <c r="LV17" s="1575"/>
      <c r="LW17" s="1575"/>
      <c r="LX17" s="1575"/>
      <c r="LY17" s="1575"/>
      <c r="LZ17" s="1575"/>
      <c r="MA17" s="1575"/>
      <c r="MB17" s="1575"/>
      <c r="MC17" s="1575"/>
      <c r="MD17" s="1575"/>
      <c r="ME17" s="1575"/>
      <c r="MF17" s="1575"/>
      <c r="MG17" s="1575"/>
      <c r="MH17" s="1575"/>
      <c r="MI17" s="1575"/>
      <c r="MJ17" s="1575"/>
      <c r="MK17" s="1575"/>
      <c r="ML17" s="1575"/>
      <c r="MM17" s="1575"/>
      <c r="MN17" s="1575"/>
      <c r="MO17" s="1575"/>
      <c r="MP17" s="1575"/>
      <c r="MQ17" s="1575"/>
      <c r="MR17" s="1575"/>
      <c r="MS17" s="1575"/>
      <c r="MT17" s="1575"/>
      <c r="MU17" s="1575"/>
      <c r="MV17" s="1575"/>
      <c r="MW17" s="1575"/>
      <c r="MX17" s="1575"/>
      <c r="MY17" s="1575"/>
      <c r="MZ17" s="1575"/>
      <c r="NA17" s="1575"/>
      <c r="NB17" s="1575"/>
      <c r="NC17" s="1575"/>
      <c r="ND17" s="1575"/>
      <c r="NE17" s="1575"/>
      <c r="NF17" s="1575"/>
      <c r="NG17" s="1575"/>
      <c r="NH17" s="1575"/>
      <c r="NI17" s="1575"/>
      <c r="NJ17" s="1575"/>
      <c r="NK17" s="1575"/>
      <c r="NL17" s="1575"/>
      <c r="NM17" s="1575"/>
      <c r="NN17" s="1575"/>
      <c r="NO17" s="1575"/>
      <c r="NP17" s="1575"/>
      <c r="NQ17" s="1575"/>
      <c r="NR17" s="1575"/>
      <c r="NS17" s="1575"/>
      <c r="NT17" s="1575"/>
      <c r="NU17" s="1575"/>
      <c r="NV17" s="1575"/>
      <c r="NW17" s="1575"/>
      <c r="NX17" s="1575"/>
      <c r="NY17" s="1575"/>
      <c r="NZ17" s="1575"/>
      <c r="OA17" s="1575"/>
      <c r="OB17" s="1575"/>
      <c r="OC17" s="1575"/>
      <c r="OD17" s="1575"/>
      <c r="OE17" s="1575"/>
      <c r="OF17" s="1575"/>
      <c r="OG17" s="1575"/>
      <c r="OH17" s="1575"/>
      <c r="OI17" s="1575"/>
      <c r="OJ17" s="1575"/>
      <c r="OK17" s="1575"/>
      <c r="OL17" s="1575"/>
      <c r="OM17" s="1575"/>
      <c r="ON17" s="1575"/>
      <c r="OO17" s="1575"/>
      <c r="OP17" s="1575"/>
      <c r="OQ17" s="1575"/>
      <c r="OR17" s="1575"/>
      <c r="OS17" s="1575"/>
      <c r="OT17" s="1575"/>
      <c r="OU17" s="1575"/>
      <c r="OV17" s="1575"/>
      <c r="OW17" s="1575"/>
      <c r="OX17" s="1575"/>
      <c r="OY17" s="1575"/>
      <c r="OZ17" s="1575"/>
      <c r="PA17" s="1575"/>
      <c r="PB17" s="1575"/>
      <c r="PC17" s="1575"/>
      <c r="PD17" s="1575"/>
      <c r="PE17" s="1575"/>
      <c r="PF17" s="1575"/>
      <c r="PG17" s="1575"/>
      <c r="PH17" s="1575"/>
      <c r="PI17" s="1575"/>
      <c r="PJ17" s="1575"/>
      <c r="PK17" s="1575"/>
      <c r="PL17" s="1575"/>
      <c r="PM17" s="1575"/>
      <c r="PN17" s="1575"/>
      <c r="PO17" s="1575"/>
      <c r="PP17" s="1575"/>
      <c r="PQ17" s="1575"/>
      <c r="PR17" s="1575"/>
      <c r="PS17" s="1575"/>
      <c r="PT17" s="1575"/>
      <c r="PU17" s="1575"/>
      <c r="PV17" s="1575"/>
      <c r="PW17" s="1575"/>
      <c r="PX17" s="1575"/>
      <c r="PY17" s="1575"/>
      <c r="PZ17" s="1575"/>
      <c r="QA17" s="1575"/>
      <c r="QB17" s="1575"/>
      <c r="QC17" s="1575"/>
      <c r="QD17" s="1575"/>
      <c r="QE17" s="1575"/>
      <c r="QF17" s="1575"/>
      <c r="QG17" s="1575"/>
      <c r="QH17" s="1575"/>
      <c r="QI17" s="1575"/>
      <c r="QJ17" s="1575"/>
      <c r="QK17" s="1575"/>
      <c r="QL17" s="1575"/>
      <c r="QM17" s="1575"/>
      <c r="QN17" s="1575"/>
      <c r="QO17" s="1575"/>
      <c r="QP17" s="1575"/>
      <c r="QQ17" s="1575"/>
      <c r="QR17" s="1575"/>
      <c r="QS17" s="1575"/>
      <c r="QT17" s="1575"/>
      <c r="QU17" s="1575"/>
      <c r="QV17" s="1575"/>
      <c r="QW17" s="1575"/>
      <c r="QX17" s="1575"/>
      <c r="QY17" s="1575"/>
      <c r="QZ17" s="1575"/>
      <c r="RA17" s="1575"/>
      <c r="RB17" s="1575"/>
      <c r="RC17" s="1575"/>
      <c r="RD17" s="1575"/>
      <c r="RE17" s="1575"/>
      <c r="RF17" s="1575"/>
      <c r="RG17" s="1575"/>
      <c r="RH17" s="1575"/>
      <c r="RI17" s="1575"/>
      <c r="RJ17" s="1575"/>
      <c r="RK17" s="1575"/>
      <c r="RL17" s="1575"/>
      <c r="RM17" s="1575"/>
      <c r="RN17" s="1575"/>
      <c r="RO17" s="1575"/>
      <c r="RP17" s="1575"/>
      <c r="RQ17" s="1575"/>
      <c r="RR17" s="1575"/>
      <c r="RS17" s="1575"/>
      <c r="RT17" s="1575"/>
      <c r="RU17" s="1575"/>
      <c r="RV17" s="1575"/>
      <c r="RW17" s="1575"/>
      <c r="RX17" s="1575"/>
      <c r="RY17" s="1575"/>
      <c r="RZ17" s="1575"/>
      <c r="SA17" s="1575"/>
      <c r="SB17" s="1575"/>
      <c r="SC17" s="1575"/>
      <c r="SD17" s="1575"/>
      <c r="SE17" s="1575"/>
      <c r="SF17" s="1575"/>
      <c r="SG17" s="1575"/>
      <c r="SH17" s="1575"/>
      <c r="SI17" s="1575"/>
      <c r="SJ17" s="1575"/>
      <c r="SK17" s="1575"/>
      <c r="SL17" s="1575"/>
      <c r="SM17" s="1575"/>
      <c r="SN17" s="1575"/>
      <c r="SO17" s="1575"/>
      <c r="SP17" s="1575"/>
      <c r="SQ17" s="1575"/>
      <c r="SR17" s="1575"/>
      <c r="SS17" s="1575"/>
      <c r="ST17" s="1575"/>
      <c r="SU17" s="1575"/>
      <c r="SV17" s="1575"/>
      <c r="SW17" s="1575"/>
      <c r="SX17" s="1575"/>
      <c r="SY17" s="1575"/>
      <c r="SZ17" s="1575"/>
      <c r="TA17" s="1575"/>
      <c r="TB17" s="1575"/>
      <c r="TC17" s="1575"/>
      <c r="TD17" s="1575"/>
      <c r="TE17" s="1575"/>
      <c r="TF17" s="1575"/>
      <c r="TG17" s="1575"/>
      <c r="TH17" s="1575"/>
      <c r="TI17" s="1575"/>
      <c r="TJ17" s="1575"/>
      <c r="TK17" s="1575"/>
      <c r="TL17" s="1575"/>
      <c r="TM17" s="1575"/>
      <c r="TN17" s="1575"/>
      <c r="TO17" s="1575"/>
      <c r="TP17" s="1575"/>
      <c r="TQ17" s="1575"/>
      <c r="TR17" s="1575"/>
      <c r="TS17" s="1575"/>
      <c r="TT17" s="1575"/>
      <c r="TU17" s="1575"/>
      <c r="TV17" s="1575"/>
      <c r="TW17" s="1575"/>
      <c r="TX17" s="1575"/>
      <c r="TY17" s="1575"/>
      <c r="TZ17" s="1575"/>
      <c r="UA17" s="1575"/>
      <c r="UB17" s="1575"/>
      <c r="UC17" s="1575"/>
      <c r="UD17" s="1575"/>
      <c r="UE17" s="1575"/>
      <c r="UF17" s="1575"/>
      <c r="UG17" s="1575"/>
      <c r="UH17" s="1575"/>
      <c r="UI17" s="1575"/>
      <c r="UJ17" s="1575"/>
      <c r="UK17" s="1575"/>
      <c r="UL17" s="1575"/>
      <c r="UM17" s="1575"/>
      <c r="UN17" s="1575"/>
      <c r="UO17" s="1575"/>
      <c r="UP17" s="1575"/>
      <c r="UQ17" s="1575"/>
      <c r="UR17" s="1575"/>
      <c r="US17" s="1575"/>
      <c r="UT17" s="1575"/>
      <c r="UU17" s="1575"/>
      <c r="UV17" s="1575"/>
      <c r="UW17" s="1575"/>
      <c r="UX17" s="1575"/>
      <c r="UY17" s="1575"/>
      <c r="UZ17" s="1575"/>
      <c r="VA17" s="1575"/>
      <c r="VB17" s="1575"/>
      <c r="VC17" s="1575"/>
      <c r="VD17" s="1575"/>
      <c r="VE17" s="1575"/>
      <c r="VF17" s="1575"/>
      <c r="VG17" s="1575"/>
      <c r="VH17" s="1575"/>
      <c r="VI17" s="1575"/>
      <c r="VJ17" s="1575"/>
      <c r="VK17" s="1575"/>
    </row>
    <row r="18" spans="1:583" s="2072" customFormat="1" ht="27" x14ac:dyDescent="0.25">
      <c r="A18" s="694"/>
      <c r="B18" s="2073" t="s">
        <v>629</v>
      </c>
      <c r="C18" s="2074" t="s">
        <v>2697</v>
      </c>
      <c r="D18" s="4715" t="s">
        <v>2698</v>
      </c>
      <c r="E18" s="4715">
        <v>0</v>
      </c>
      <c r="F18" s="1575"/>
      <c r="G18" s="1575"/>
      <c r="H18" s="1575"/>
      <c r="I18" s="1575"/>
      <c r="J18" s="1575"/>
      <c r="K18" s="1575"/>
      <c r="L18" s="1575"/>
      <c r="M18" s="1575"/>
      <c r="N18" s="1575"/>
      <c r="O18" s="1575"/>
      <c r="P18" s="1575"/>
      <c r="Q18" s="1575"/>
      <c r="R18" s="1575"/>
      <c r="S18" s="1575"/>
      <c r="T18" s="1575"/>
      <c r="U18" s="1575"/>
      <c r="V18" s="1575"/>
      <c r="W18" s="1575"/>
      <c r="X18" s="1575"/>
      <c r="Y18" s="1575"/>
      <c r="Z18" s="1575"/>
      <c r="AA18" s="1575"/>
      <c r="AB18" s="1575"/>
      <c r="AC18" s="1575"/>
      <c r="AD18" s="1575"/>
      <c r="AE18" s="1575"/>
      <c r="AF18" s="1575"/>
      <c r="AG18" s="1575"/>
      <c r="AH18" s="1575"/>
      <c r="AI18" s="1575"/>
      <c r="AJ18" s="1575"/>
      <c r="AK18" s="1575"/>
      <c r="AL18" s="1575"/>
      <c r="AM18" s="1575"/>
      <c r="AN18" s="1575"/>
      <c r="AO18" s="1575"/>
      <c r="AP18" s="1575"/>
      <c r="AQ18" s="1575"/>
      <c r="AR18" s="1575"/>
      <c r="AS18" s="1575"/>
      <c r="AT18" s="1575"/>
      <c r="AU18" s="1575"/>
      <c r="AV18" s="1575"/>
      <c r="AW18" s="1575"/>
      <c r="AX18" s="1575"/>
      <c r="AY18" s="1575"/>
      <c r="AZ18" s="1575"/>
      <c r="BA18" s="1575"/>
      <c r="BB18" s="1575"/>
      <c r="BC18" s="1575"/>
      <c r="BD18" s="1575"/>
      <c r="BE18" s="1575"/>
      <c r="BF18" s="1575"/>
      <c r="BG18" s="1575"/>
      <c r="BH18" s="1575"/>
      <c r="BI18" s="1575"/>
      <c r="BJ18" s="1575"/>
      <c r="BK18" s="1575"/>
      <c r="BL18" s="1575"/>
      <c r="BM18" s="1575"/>
      <c r="BN18" s="1575"/>
      <c r="BO18" s="1575"/>
      <c r="BP18" s="1575"/>
      <c r="BQ18" s="1575"/>
      <c r="BR18" s="1575"/>
      <c r="BS18" s="1575"/>
      <c r="BT18" s="1575"/>
      <c r="BU18" s="1575"/>
      <c r="BV18" s="1575"/>
      <c r="BW18" s="1575"/>
      <c r="BX18" s="1575"/>
      <c r="BY18" s="1575"/>
      <c r="BZ18" s="1575"/>
      <c r="CA18" s="1575"/>
      <c r="CB18" s="1575"/>
      <c r="CC18" s="1575"/>
      <c r="CD18" s="1575"/>
      <c r="CE18" s="1575"/>
      <c r="CF18" s="1575"/>
      <c r="CG18" s="1575"/>
      <c r="CH18" s="1575"/>
      <c r="CI18" s="1575"/>
      <c r="CJ18" s="1575"/>
      <c r="CK18" s="1575"/>
      <c r="CL18" s="1575"/>
      <c r="CM18" s="1575"/>
      <c r="CN18" s="1575"/>
      <c r="CO18" s="1575"/>
      <c r="CP18" s="1575"/>
      <c r="CQ18" s="1575"/>
      <c r="CR18" s="1575"/>
      <c r="CS18" s="1575"/>
      <c r="CT18" s="1575"/>
      <c r="CU18" s="1575"/>
      <c r="CV18" s="1575"/>
      <c r="CW18" s="1575"/>
      <c r="CX18" s="1575"/>
      <c r="CY18" s="1575"/>
      <c r="CZ18" s="1575"/>
      <c r="DA18" s="1575"/>
      <c r="DB18" s="1575"/>
      <c r="DC18" s="1575"/>
      <c r="DD18" s="1575"/>
      <c r="DE18" s="1575"/>
      <c r="DF18" s="1575"/>
      <c r="DG18" s="1575"/>
      <c r="DH18" s="1575"/>
      <c r="DI18" s="1575"/>
      <c r="DJ18" s="1575"/>
      <c r="DK18" s="1575"/>
      <c r="DL18" s="1575"/>
      <c r="DM18" s="1575"/>
      <c r="DN18" s="1575"/>
      <c r="DO18" s="1575"/>
      <c r="DP18" s="1575"/>
      <c r="DQ18" s="1575"/>
      <c r="DR18" s="1575"/>
      <c r="DS18" s="1575"/>
      <c r="DT18" s="1575"/>
      <c r="DU18" s="1575"/>
      <c r="DV18" s="1575"/>
      <c r="DW18" s="1575"/>
      <c r="DX18" s="1575"/>
      <c r="DY18" s="1575"/>
      <c r="DZ18" s="1575"/>
      <c r="EA18" s="1575"/>
      <c r="EB18" s="1575"/>
      <c r="EC18" s="1575"/>
      <c r="ED18" s="1575"/>
      <c r="EE18" s="1575"/>
      <c r="EF18" s="1575"/>
      <c r="EG18" s="1575"/>
      <c r="EH18" s="1575"/>
      <c r="EI18" s="1575"/>
      <c r="EJ18" s="1575"/>
      <c r="EK18" s="1575"/>
      <c r="EL18" s="1575"/>
      <c r="EM18" s="1575"/>
      <c r="EN18" s="1575"/>
      <c r="EO18" s="1575"/>
      <c r="EP18" s="1575"/>
      <c r="EQ18" s="1575"/>
      <c r="ER18" s="1575"/>
      <c r="ES18" s="1575"/>
      <c r="ET18" s="1575"/>
      <c r="EU18" s="1575"/>
      <c r="EV18" s="1575"/>
      <c r="EW18" s="1575"/>
      <c r="EX18" s="1575"/>
      <c r="EY18" s="1575"/>
      <c r="EZ18" s="1575"/>
      <c r="FA18" s="1575"/>
      <c r="FB18" s="1575"/>
      <c r="FC18" s="1575"/>
      <c r="FD18" s="1575"/>
      <c r="FE18" s="1575"/>
      <c r="FF18" s="1575"/>
      <c r="FG18" s="1575"/>
      <c r="FH18" s="1575"/>
      <c r="FI18" s="1575"/>
      <c r="FJ18" s="1575"/>
      <c r="FK18" s="1575"/>
      <c r="FL18" s="1575"/>
      <c r="FM18" s="1575"/>
      <c r="FN18" s="1575"/>
      <c r="FO18" s="1575"/>
      <c r="FP18" s="1575"/>
      <c r="FQ18" s="1575"/>
      <c r="FR18" s="1575"/>
      <c r="FS18" s="1575"/>
      <c r="FT18" s="1575"/>
      <c r="FU18" s="1575"/>
      <c r="FV18" s="1575"/>
      <c r="FW18" s="1575"/>
      <c r="FX18" s="1575"/>
      <c r="FY18" s="1575"/>
      <c r="FZ18" s="1575"/>
      <c r="GA18" s="1575"/>
      <c r="GB18" s="1575"/>
      <c r="GC18" s="1575"/>
      <c r="GD18" s="1575"/>
      <c r="GE18" s="1575"/>
      <c r="GF18" s="1575"/>
      <c r="GG18" s="1575"/>
      <c r="GH18" s="1575"/>
      <c r="GI18" s="1575"/>
      <c r="GJ18" s="1575"/>
      <c r="GK18" s="1575"/>
      <c r="GL18" s="1575"/>
      <c r="GM18" s="1575"/>
      <c r="GN18" s="1575"/>
      <c r="GO18" s="1575"/>
      <c r="GP18" s="1575"/>
      <c r="GQ18" s="1575"/>
      <c r="GR18" s="1575"/>
      <c r="GS18" s="1575"/>
      <c r="GT18" s="1575"/>
      <c r="GU18" s="1575"/>
      <c r="GV18" s="1575"/>
      <c r="GW18" s="1575"/>
      <c r="GX18" s="1575"/>
      <c r="GY18" s="1575"/>
      <c r="GZ18" s="1575"/>
      <c r="HA18" s="1575"/>
      <c r="HB18" s="1575"/>
      <c r="HC18" s="1575"/>
      <c r="HD18" s="1575"/>
      <c r="HE18" s="1575"/>
      <c r="HF18" s="1575"/>
      <c r="HG18" s="1575"/>
      <c r="HH18" s="1575"/>
      <c r="HI18" s="1575"/>
      <c r="HJ18" s="1575"/>
      <c r="HK18" s="1575"/>
      <c r="HL18" s="1575"/>
      <c r="HM18" s="1575"/>
      <c r="HN18" s="1575"/>
      <c r="HO18" s="1575"/>
      <c r="HP18" s="1575"/>
      <c r="HQ18" s="1575"/>
      <c r="HR18" s="1575"/>
      <c r="HS18" s="1575"/>
      <c r="HT18" s="1575"/>
      <c r="HU18" s="1575"/>
      <c r="HV18" s="1575"/>
      <c r="HW18" s="1575"/>
      <c r="HX18" s="1575"/>
      <c r="HY18" s="1575"/>
      <c r="HZ18" s="1575"/>
      <c r="IA18" s="1575"/>
      <c r="IB18" s="1575"/>
      <c r="IC18" s="1575"/>
      <c r="ID18" s="1575"/>
      <c r="IE18" s="1575"/>
      <c r="IF18" s="1575"/>
      <c r="IG18" s="1575"/>
      <c r="IH18" s="1575"/>
      <c r="II18" s="1575"/>
      <c r="IJ18" s="1575"/>
      <c r="IK18" s="1575"/>
      <c r="IL18" s="1575"/>
      <c r="IM18" s="1575"/>
      <c r="IN18" s="1575"/>
      <c r="IO18" s="1575"/>
      <c r="IP18" s="1575"/>
      <c r="IQ18" s="1575"/>
      <c r="IR18" s="1575"/>
      <c r="IS18" s="1575"/>
      <c r="IT18" s="1575"/>
      <c r="IU18" s="1575"/>
      <c r="IV18" s="1575"/>
      <c r="IW18" s="1575"/>
      <c r="IX18" s="1575"/>
      <c r="IY18" s="1575"/>
      <c r="IZ18" s="1575"/>
      <c r="JA18" s="1587"/>
      <c r="JB18" s="1587"/>
      <c r="JC18" s="1587"/>
      <c r="JD18" s="1587"/>
      <c r="JE18" s="1587"/>
      <c r="JF18" s="1587"/>
      <c r="JG18" s="1587"/>
      <c r="JH18" s="1587"/>
      <c r="JI18" s="1587"/>
      <c r="JJ18" s="1587"/>
      <c r="JK18" s="1587"/>
      <c r="JL18" s="1587"/>
      <c r="JM18" s="1587"/>
      <c r="JN18" s="1587"/>
      <c r="JO18" s="1587"/>
      <c r="JP18" s="1587"/>
      <c r="JQ18" s="1587"/>
      <c r="JR18" s="1575"/>
      <c r="JS18" s="1575"/>
      <c r="JT18" s="1575"/>
      <c r="JU18" s="1575"/>
      <c r="JV18" s="1575"/>
      <c r="JW18" s="1575"/>
      <c r="JX18" s="1575"/>
      <c r="JY18" s="1575"/>
      <c r="JZ18" s="1575"/>
      <c r="KA18" s="1575"/>
      <c r="KB18" s="1575"/>
      <c r="KC18" s="1575"/>
      <c r="KD18" s="1575"/>
      <c r="KE18" s="1575"/>
      <c r="KF18" s="1575"/>
      <c r="KG18" s="1575"/>
      <c r="KH18" s="1575"/>
      <c r="KI18" s="1575"/>
      <c r="KJ18" s="1575"/>
      <c r="KK18" s="1575"/>
      <c r="KL18" s="1575"/>
      <c r="KM18" s="1575"/>
      <c r="KN18" s="1575"/>
      <c r="KO18" s="1575"/>
      <c r="KP18" s="1575"/>
      <c r="KQ18" s="1575"/>
      <c r="KR18" s="1575"/>
      <c r="KS18" s="1575"/>
      <c r="KT18" s="1575"/>
      <c r="KU18" s="1575"/>
      <c r="KV18" s="1575"/>
      <c r="KW18" s="1575"/>
      <c r="KX18" s="1575"/>
      <c r="KY18" s="1575"/>
      <c r="KZ18" s="1575"/>
      <c r="LA18" s="1575"/>
      <c r="LB18" s="1575"/>
      <c r="LC18" s="1575"/>
      <c r="LD18" s="1575"/>
      <c r="LE18" s="1575"/>
      <c r="LF18" s="1575"/>
      <c r="LG18" s="1575"/>
      <c r="LH18" s="1575"/>
      <c r="LI18" s="1575"/>
      <c r="LJ18" s="1575"/>
      <c r="LK18" s="1575"/>
      <c r="LL18" s="1575"/>
      <c r="LM18" s="1575"/>
      <c r="LN18" s="1575"/>
      <c r="LO18" s="1575"/>
      <c r="LP18" s="1575"/>
      <c r="LQ18" s="1575"/>
      <c r="LR18" s="1575"/>
      <c r="LS18" s="1575"/>
      <c r="LT18" s="1575"/>
      <c r="LU18" s="1575"/>
      <c r="LV18" s="1575"/>
      <c r="LW18" s="1575"/>
      <c r="LX18" s="1575"/>
      <c r="LY18" s="1575"/>
      <c r="LZ18" s="1575"/>
      <c r="MA18" s="1575"/>
      <c r="MB18" s="1575"/>
      <c r="MC18" s="1575"/>
      <c r="MD18" s="1575"/>
      <c r="ME18" s="1575"/>
      <c r="MF18" s="1575"/>
      <c r="MG18" s="1575"/>
      <c r="MH18" s="1575"/>
      <c r="MI18" s="1575"/>
      <c r="MJ18" s="1575"/>
      <c r="MK18" s="1575"/>
      <c r="ML18" s="1575"/>
      <c r="MM18" s="1575"/>
      <c r="MN18" s="1575"/>
      <c r="MO18" s="1575"/>
      <c r="MP18" s="1575"/>
      <c r="MQ18" s="1575"/>
      <c r="MR18" s="1575"/>
      <c r="MS18" s="1575"/>
      <c r="MT18" s="1575"/>
      <c r="MU18" s="1575"/>
      <c r="MV18" s="1575"/>
      <c r="MW18" s="1575"/>
      <c r="MX18" s="1575"/>
      <c r="MY18" s="1575"/>
      <c r="MZ18" s="1575"/>
      <c r="NA18" s="1575"/>
      <c r="NB18" s="1575"/>
      <c r="NC18" s="1575"/>
      <c r="ND18" s="1575"/>
      <c r="NE18" s="1575"/>
      <c r="NF18" s="1575"/>
      <c r="NG18" s="1575"/>
      <c r="NH18" s="1575"/>
      <c r="NI18" s="1575"/>
      <c r="NJ18" s="1575"/>
      <c r="NK18" s="1575"/>
      <c r="NL18" s="1575"/>
      <c r="NM18" s="1575"/>
      <c r="NN18" s="1575"/>
      <c r="NO18" s="1575"/>
      <c r="NP18" s="1575"/>
      <c r="NQ18" s="1575"/>
      <c r="NR18" s="1575"/>
      <c r="NS18" s="1575"/>
      <c r="NT18" s="1575"/>
      <c r="NU18" s="1575"/>
      <c r="NV18" s="1575"/>
      <c r="NW18" s="1575"/>
      <c r="NX18" s="1575"/>
      <c r="NY18" s="1575"/>
      <c r="NZ18" s="1575"/>
      <c r="OA18" s="1575"/>
      <c r="OB18" s="1575"/>
      <c r="OC18" s="1575"/>
      <c r="OD18" s="1575"/>
      <c r="OE18" s="1575"/>
      <c r="OF18" s="1575"/>
      <c r="OG18" s="1575"/>
      <c r="OH18" s="1575"/>
      <c r="OI18" s="1575"/>
      <c r="OJ18" s="1575"/>
      <c r="OK18" s="1575"/>
      <c r="OL18" s="1575"/>
      <c r="OM18" s="1575"/>
      <c r="ON18" s="1575"/>
      <c r="OO18" s="1575"/>
      <c r="OP18" s="1575"/>
      <c r="OQ18" s="1575"/>
      <c r="OR18" s="1575"/>
      <c r="OS18" s="1575"/>
      <c r="OT18" s="1575"/>
      <c r="OU18" s="1575"/>
      <c r="OV18" s="1575"/>
      <c r="OW18" s="1575"/>
      <c r="OX18" s="1575"/>
      <c r="OY18" s="1575"/>
      <c r="OZ18" s="1575"/>
      <c r="PA18" s="1575"/>
      <c r="PB18" s="1575"/>
      <c r="PC18" s="1575"/>
      <c r="PD18" s="1575"/>
      <c r="PE18" s="1575"/>
      <c r="PF18" s="1575"/>
      <c r="PG18" s="1575"/>
      <c r="PH18" s="1575"/>
      <c r="PI18" s="1575"/>
      <c r="PJ18" s="1575"/>
      <c r="PK18" s="1575"/>
      <c r="PL18" s="1575"/>
      <c r="PM18" s="1575"/>
      <c r="PN18" s="1575"/>
      <c r="PO18" s="1575"/>
      <c r="PP18" s="1575"/>
      <c r="PQ18" s="1575"/>
      <c r="PR18" s="1575"/>
      <c r="PS18" s="1575"/>
      <c r="PT18" s="1575"/>
      <c r="PU18" s="1575"/>
      <c r="PV18" s="1575"/>
      <c r="PW18" s="1575"/>
      <c r="PX18" s="1575"/>
      <c r="PY18" s="1575"/>
      <c r="PZ18" s="1575"/>
      <c r="QA18" s="1575"/>
      <c r="QB18" s="1575"/>
      <c r="QC18" s="1575"/>
      <c r="QD18" s="1575"/>
      <c r="QE18" s="1575"/>
      <c r="QF18" s="1575"/>
      <c r="QG18" s="1575"/>
      <c r="QH18" s="1575"/>
      <c r="QI18" s="1575"/>
      <c r="QJ18" s="1575"/>
      <c r="QK18" s="1575"/>
      <c r="QL18" s="1575"/>
      <c r="QM18" s="1575"/>
      <c r="QN18" s="1575"/>
      <c r="QO18" s="1575"/>
      <c r="QP18" s="1575"/>
      <c r="QQ18" s="1575"/>
      <c r="QR18" s="1575"/>
      <c r="QS18" s="1575"/>
      <c r="QT18" s="1575"/>
      <c r="QU18" s="1575"/>
      <c r="QV18" s="1575"/>
      <c r="QW18" s="1575"/>
      <c r="QX18" s="1575"/>
      <c r="QY18" s="1575"/>
      <c r="QZ18" s="1575"/>
      <c r="RA18" s="1575"/>
      <c r="RB18" s="1575"/>
      <c r="RC18" s="1575"/>
      <c r="RD18" s="1575"/>
      <c r="RE18" s="1575"/>
      <c r="RF18" s="1575"/>
      <c r="RG18" s="1575"/>
      <c r="RH18" s="1575"/>
      <c r="RI18" s="1575"/>
      <c r="RJ18" s="1575"/>
      <c r="RK18" s="1575"/>
      <c r="RL18" s="1575"/>
      <c r="RM18" s="1575"/>
      <c r="RN18" s="1575"/>
      <c r="RO18" s="1575"/>
      <c r="RP18" s="1575"/>
      <c r="RQ18" s="1575"/>
      <c r="RR18" s="1575"/>
      <c r="RS18" s="1575"/>
      <c r="RT18" s="1575"/>
      <c r="RU18" s="1575"/>
      <c r="RV18" s="1575"/>
      <c r="RW18" s="1575"/>
      <c r="RX18" s="1575"/>
      <c r="RY18" s="1575"/>
      <c r="RZ18" s="1575"/>
      <c r="SA18" s="1575"/>
      <c r="SB18" s="1575"/>
      <c r="SC18" s="1575"/>
      <c r="SD18" s="1575"/>
      <c r="SE18" s="1575"/>
      <c r="SF18" s="1575"/>
      <c r="SG18" s="1575"/>
      <c r="SH18" s="1575"/>
      <c r="SI18" s="1575"/>
      <c r="SJ18" s="1575"/>
      <c r="SK18" s="1575"/>
      <c r="SL18" s="1575"/>
      <c r="SM18" s="1575"/>
      <c r="SN18" s="1575"/>
      <c r="SO18" s="1575"/>
      <c r="SP18" s="1575"/>
      <c r="SQ18" s="1575"/>
      <c r="SR18" s="1575"/>
      <c r="SS18" s="1575"/>
      <c r="ST18" s="1575"/>
      <c r="SU18" s="1575"/>
      <c r="SV18" s="1575"/>
      <c r="SW18" s="1575"/>
      <c r="SX18" s="1575"/>
      <c r="SY18" s="1575"/>
      <c r="SZ18" s="1575"/>
      <c r="TA18" s="1575"/>
      <c r="TB18" s="1575"/>
      <c r="TC18" s="1575"/>
      <c r="TD18" s="1575"/>
      <c r="TE18" s="1575"/>
      <c r="TF18" s="1575"/>
      <c r="TG18" s="1575"/>
      <c r="TH18" s="1575"/>
      <c r="TI18" s="1575"/>
      <c r="TJ18" s="1575"/>
      <c r="TK18" s="1575"/>
      <c r="TL18" s="1575"/>
      <c r="TM18" s="1575"/>
      <c r="TN18" s="1575"/>
      <c r="TO18" s="1575"/>
      <c r="TP18" s="1575"/>
      <c r="TQ18" s="1575"/>
      <c r="TR18" s="1575"/>
      <c r="TS18" s="1575"/>
      <c r="TT18" s="1575"/>
      <c r="TU18" s="1575"/>
      <c r="TV18" s="1575"/>
      <c r="TW18" s="1575"/>
      <c r="TX18" s="1575"/>
      <c r="TY18" s="1575"/>
      <c r="TZ18" s="1575"/>
      <c r="UA18" s="1575"/>
      <c r="UB18" s="1575"/>
      <c r="UC18" s="1575"/>
      <c r="UD18" s="1575"/>
      <c r="UE18" s="1575"/>
      <c r="UF18" s="1575"/>
      <c r="UG18" s="1575"/>
      <c r="UH18" s="1575"/>
      <c r="UI18" s="1575"/>
      <c r="UJ18" s="1575"/>
      <c r="UK18" s="1575"/>
      <c r="UL18" s="1575"/>
      <c r="UM18" s="1575"/>
      <c r="UN18" s="1575"/>
      <c r="UO18" s="1575"/>
      <c r="UP18" s="1575"/>
      <c r="UQ18" s="1575"/>
      <c r="UR18" s="1575"/>
      <c r="US18" s="1575"/>
      <c r="UT18" s="1575"/>
      <c r="UU18" s="1575"/>
      <c r="UV18" s="1575"/>
      <c r="UW18" s="1575"/>
      <c r="UX18" s="1575"/>
      <c r="UY18" s="1575"/>
      <c r="UZ18" s="1575"/>
      <c r="VA18" s="1575"/>
      <c r="VB18" s="1575"/>
      <c r="VC18" s="1575"/>
      <c r="VD18" s="1575"/>
      <c r="VE18" s="1575"/>
      <c r="VF18" s="1575"/>
      <c r="VG18" s="1575"/>
      <c r="VH18" s="1575"/>
      <c r="VI18" s="1575"/>
      <c r="VJ18" s="1575"/>
      <c r="VK18" s="1575"/>
    </row>
    <row r="19" spans="1:583" s="2072" customFormat="1" ht="27" x14ac:dyDescent="0.25">
      <c r="A19" s="694"/>
      <c r="B19" s="2073" t="s">
        <v>629</v>
      </c>
      <c r="C19" s="2074" t="s">
        <v>2699</v>
      </c>
      <c r="D19" s="4715" t="s">
        <v>2700</v>
      </c>
      <c r="E19" s="4715">
        <v>0</v>
      </c>
      <c r="F19" s="1575"/>
      <c r="G19" s="1575"/>
      <c r="H19" s="1575"/>
      <c r="I19" s="1575"/>
      <c r="J19" s="1575"/>
      <c r="K19" s="1575"/>
      <c r="L19" s="1575"/>
      <c r="M19" s="1575"/>
      <c r="N19" s="1575"/>
      <c r="O19" s="1575"/>
      <c r="P19" s="1575"/>
      <c r="Q19" s="1575"/>
      <c r="R19" s="1575"/>
      <c r="S19" s="1575"/>
      <c r="T19" s="1575"/>
      <c r="U19" s="1575"/>
      <c r="V19" s="1575"/>
      <c r="W19" s="1575"/>
      <c r="X19" s="1575"/>
      <c r="Y19" s="1575"/>
      <c r="Z19" s="1575"/>
      <c r="AA19" s="1575"/>
      <c r="AB19" s="1575"/>
      <c r="AC19" s="1575"/>
      <c r="AD19" s="1575"/>
      <c r="AE19" s="1575"/>
      <c r="AF19" s="1575"/>
      <c r="AG19" s="1575"/>
      <c r="AH19" s="1575"/>
      <c r="AI19" s="1575"/>
      <c r="AJ19" s="1575"/>
      <c r="AK19" s="1575"/>
      <c r="AL19" s="1575"/>
      <c r="AM19" s="1575"/>
      <c r="AN19" s="1575"/>
      <c r="AO19" s="1575"/>
      <c r="AP19" s="1575"/>
      <c r="AQ19" s="1575"/>
      <c r="AR19" s="1575"/>
      <c r="AS19" s="1575"/>
      <c r="AT19" s="1575"/>
      <c r="AU19" s="1575"/>
      <c r="AV19" s="1575"/>
      <c r="AW19" s="1575"/>
      <c r="AX19" s="1575"/>
      <c r="AY19" s="1575"/>
      <c r="AZ19" s="1575"/>
      <c r="BA19" s="1575"/>
      <c r="BB19" s="1575"/>
      <c r="BC19" s="1575"/>
      <c r="BD19" s="1575"/>
      <c r="BE19" s="1575"/>
      <c r="BF19" s="1575"/>
      <c r="BG19" s="1575"/>
      <c r="BH19" s="1575"/>
      <c r="BI19" s="1575"/>
      <c r="BJ19" s="1575"/>
      <c r="BK19" s="1575"/>
      <c r="BL19" s="1575"/>
      <c r="BM19" s="1575"/>
      <c r="BN19" s="1575"/>
      <c r="BO19" s="1575"/>
      <c r="BP19" s="1575"/>
      <c r="BQ19" s="1575"/>
      <c r="BR19" s="1575"/>
      <c r="BS19" s="1575"/>
      <c r="BT19" s="1575"/>
      <c r="BU19" s="1575"/>
      <c r="BV19" s="1575"/>
      <c r="BW19" s="1575"/>
      <c r="BX19" s="1575"/>
      <c r="BY19" s="1575"/>
      <c r="BZ19" s="1575"/>
      <c r="CA19" s="1575"/>
      <c r="CB19" s="1575"/>
      <c r="CC19" s="1575"/>
      <c r="CD19" s="1575"/>
      <c r="CE19" s="1575"/>
      <c r="CF19" s="1575"/>
      <c r="CG19" s="1575"/>
      <c r="CH19" s="1575"/>
      <c r="CI19" s="1575"/>
      <c r="CJ19" s="1575"/>
      <c r="CK19" s="1575"/>
      <c r="CL19" s="1575"/>
      <c r="CM19" s="1575"/>
      <c r="CN19" s="1575"/>
      <c r="CO19" s="1575"/>
      <c r="CP19" s="1575"/>
      <c r="CQ19" s="1575"/>
      <c r="CR19" s="1575"/>
      <c r="CS19" s="1575"/>
      <c r="CT19" s="1575"/>
      <c r="CU19" s="1575"/>
      <c r="CV19" s="1575"/>
      <c r="CW19" s="1575"/>
      <c r="CX19" s="1575"/>
      <c r="CY19" s="1575"/>
      <c r="CZ19" s="1575"/>
      <c r="DA19" s="1575"/>
      <c r="DB19" s="1575"/>
      <c r="DC19" s="1575"/>
      <c r="DD19" s="1575"/>
      <c r="DE19" s="1575"/>
      <c r="DF19" s="1575"/>
      <c r="DG19" s="1575"/>
      <c r="DH19" s="1575"/>
      <c r="DI19" s="1575"/>
      <c r="DJ19" s="1575"/>
      <c r="DK19" s="1575"/>
      <c r="DL19" s="1575"/>
      <c r="DM19" s="1575"/>
      <c r="DN19" s="1575"/>
      <c r="DO19" s="1575"/>
      <c r="DP19" s="1575"/>
      <c r="DQ19" s="1575"/>
      <c r="DR19" s="1575"/>
      <c r="DS19" s="1575"/>
      <c r="DT19" s="1575"/>
      <c r="DU19" s="1575"/>
      <c r="DV19" s="1575"/>
      <c r="DW19" s="1575"/>
      <c r="DX19" s="1575"/>
      <c r="DY19" s="1575"/>
      <c r="DZ19" s="1575"/>
      <c r="EA19" s="1575"/>
      <c r="EB19" s="1575"/>
      <c r="EC19" s="1575"/>
      <c r="ED19" s="1575"/>
      <c r="EE19" s="1575"/>
      <c r="EF19" s="1575"/>
      <c r="EG19" s="1575"/>
      <c r="EH19" s="1575"/>
      <c r="EI19" s="1575"/>
      <c r="EJ19" s="1575"/>
      <c r="EK19" s="1575"/>
      <c r="EL19" s="1575"/>
      <c r="EM19" s="1575"/>
      <c r="EN19" s="1575"/>
      <c r="EO19" s="1575"/>
      <c r="EP19" s="1575"/>
      <c r="EQ19" s="1575"/>
      <c r="ER19" s="1575"/>
      <c r="ES19" s="1575"/>
      <c r="ET19" s="1575"/>
      <c r="EU19" s="1575"/>
      <c r="EV19" s="1575"/>
      <c r="EW19" s="1575"/>
      <c r="EX19" s="1575"/>
      <c r="EY19" s="1575"/>
      <c r="EZ19" s="1575"/>
      <c r="FA19" s="1575"/>
      <c r="FB19" s="1575"/>
      <c r="FC19" s="1575"/>
      <c r="FD19" s="1575"/>
      <c r="FE19" s="1575"/>
      <c r="FF19" s="1575"/>
      <c r="FG19" s="1575"/>
      <c r="FH19" s="1575"/>
      <c r="FI19" s="1575"/>
      <c r="FJ19" s="1575"/>
      <c r="FK19" s="1575"/>
      <c r="FL19" s="1575"/>
      <c r="FM19" s="1575"/>
      <c r="FN19" s="1575"/>
      <c r="FO19" s="1575"/>
      <c r="FP19" s="1575"/>
      <c r="FQ19" s="1575"/>
      <c r="FR19" s="1575"/>
      <c r="FS19" s="1575"/>
      <c r="FT19" s="1575"/>
      <c r="FU19" s="1575"/>
      <c r="FV19" s="1575"/>
      <c r="FW19" s="1575"/>
      <c r="FX19" s="1575"/>
      <c r="FY19" s="1575"/>
      <c r="FZ19" s="1575"/>
      <c r="GA19" s="1575"/>
      <c r="GB19" s="1575"/>
      <c r="GC19" s="1575"/>
      <c r="GD19" s="1575"/>
      <c r="GE19" s="1575"/>
      <c r="GF19" s="1575"/>
      <c r="GG19" s="1575"/>
      <c r="GH19" s="1575"/>
      <c r="GI19" s="1575"/>
      <c r="GJ19" s="1575"/>
      <c r="GK19" s="1575"/>
      <c r="GL19" s="1575"/>
      <c r="GM19" s="1575"/>
      <c r="GN19" s="1575"/>
      <c r="GO19" s="1575"/>
      <c r="GP19" s="1575"/>
      <c r="GQ19" s="1575"/>
      <c r="GR19" s="1575"/>
      <c r="GS19" s="1575"/>
      <c r="GT19" s="1575"/>
      <c r="GU19" s="1575"/>
      <c r="GV19" s="1575"/>
      <c r="GW19" s="1575"/>
      <c r="GX19" s="1575"/>
      <c r="GY19" s="1575"/>
      <c r="GZ19" s="1575"/>
      <c r="HA19" s="1575"/>
      <c r="HB19" s="1575"/>
      <c r="HC19" s="1575"/>
      <c r="HD19" s="1575"/>
      <c r="HE19" s="1575"/>
      <c r="HF19" s="1575"/>
      <c r="HG19" s="1575"/>
      <c r="HH19" s="1575"/>
      <c r="HI19" s="1575"/>
      <c r="HJ19" s="1575"/>
      <c r="HK19" s="1575"/>
      <c r="HL19" s="1575"/>
      <c r="HM19" s="1575"/>
      <c r="HN19" s="1575"/>
      <c r="HO19" s="1575"/>
      <c r="HP19" s="1575"/>
      <c r="HQ19" s="1575"/>
      <c r="HR19" s="1575"/>
      <c r="HS19" s="1575"/>
      <c r="HT19" s="1575"/>
      <c r="HU19" s="1575"/>
      <c r="HV19" s="1575"/>
      <c r="HW19" s="1575"/>
      <c r="HX19" s="1575"/>
      <c r="HY19" s="1575"/>
      <c r="HZ19" s="1575"/>
      <c r="IA19" s="1575"/>
      <c r="IB19" s="1575"/>
      <c r="IC19" s="1575"/>
      <c r="ID19" s="1575"/>
      <c r="IE19" s="1575"/>
      <c r="IF19" s="1575"/>
      <c r="IG19" s="1575"/>
      <c r="IH19" s="1575"/>
      <c r="II19" s="1575"/>
      <c r="IJ19" s="1575"/>
      <c r="IK19" s="1575"/>
      <c r="IL19" s="1575"/>
      <c r="IM19" s="1575"/>
      <c r="IN19" s="1575"/>
      <c r="IO19" s="1575"/>
      <c r="IP19" s="1575"/>
      <c r="IQ19" s="1575"/>
      <c r="IR19" s="1575"/>
      <c r="IS19" s="1575"/>
      <c r="IT19" s="1575"/>
      <c r="IU19" s="1575"/>
      <c r="IV19" s="1575"/>
      <c r="IW19" s="1575"/>
      <c r="IX19" s="1575"/>
      <c r="IY19" s="1575"/>
      <c r="IZ19" s="1575"/>
      <c r="JA19" s="1587"/>
      <c r="JB19" s="1587"/>
      <c r="JC19" s="1587"/>
      <c r="JD19" s="1587"/>
      <c r="JE19" s="1587"/>
      <c r="JF19" s="1587"/>
      <c r="JG19" s="1587"/>
      <c r="JH19" s="1587"/>
      <c r="JI19" s="1587"/>
      <c r="JJ19" s="1587"/>
      <c r="JK19" s="1587"/>
      <c r="JL19" s="1587"/>
      <c r="JM19" s="1587"/>
      <c r="JN19" s="1587"/>
      <c r="JO19" s="1587"/>
      <c r="JP19" s="1587"/>
      <c r="JQ19" s="1587"/>
      <c r="JR19" s="1575"/>
      <c r="JS19" s="1575"/>
      <c r="JT19" s="1575"/>
      <c r="JU19" s="1575"/>
      <c r="JV19" s="1575"/>
      <c r="JW19" s="1575"/>
      <c r="JX19" s="1575"/>
      <c r="JY19" s="1575"/>
      <c r="JZ19" s="1575"/>
      <c r="KA19" s="1575"/>
      <c r="KB19" s="1575"/>
      <c r="KC19" s="1575"/>
      <c r="KD19" s="1575"/>
      <c r="KE19" s="1575"/>
      <c r="KF19" s="1575"/>
      <c r="KG19" s="1575"/>
      <c r="KH19" s="1575"/>
      <c r="KI19" s="1575"/>
      <c r="KJ19" s="1575"/>
      <c r="KK19" s="1575"/>
      <c r="KL19" s="1575"/>
      <c r="KM19" s="1575"/>
      <c r="KN19" s="1575"/>
      <c r="KO19" s="1575"/>
      <c r="KP19" s="1575"/>
      <c r="KQ19" s="1575"/>
      <c r="KR19" s="1575"/>
      <c r="KS19" s="1575"/>
      <c r="KT19" s="1575"/>
      <c r="KU19" s="1575"/>
      <c r="KV19" s="1575"/>
      <c r="KW19" s="1575"/>
      <c r="KX19" s="1575"/>
      <c r="KY19" s="1575"/>
      <c r="KZ19" s="1575"/>
      <c r="LA19" s="1575"/>
      <c r="LB19" s="1575"/>
      <c r="LC19" s="1575"/>
      <c r="LD19" s="1575"/>
      <c r="LE19" s="1575"/>
      <c r="LF19" s="1575"/>
      <c r="LG19" s="1575"/>
      <c r="LH19" s="1575"/>
      <c r="LI19" s="1575"/>
      <c r="LJ19" s="1575"/>
      <c r="LK19" s="1575"/>
      <c r="LL19" s="1575"/>
      <c r="LM19" s="1575"/>
      <c r="LN19" s="1575"/>
      <c r="LO19" s="1575"/>
      <c r="LP19" s="1575"/>
      <c r="LQ19" s="1575"/>
      <c r="LR19" s="1575"/>
      <c r="LS19" s="1575"/>
      <c r="LT19" s="1575"/>
      <c r="LU19" s="1575"/>
      <c r="LV19" s="1575"/>
      <c r="LW19" s="1575"/>
      <c r="LX19" s="1575"/>
      <c r="LY19" s="1575"/>
      <c r="LZ19" s="1575"/>
      <c r="MA19" s="1575"/>
      <c r="MB19" s="1575"/>
      <c r="MC19" s="1575"/>
      <c r="MD19" s="1575"/>
      <c r="ME19" s="1575"/>
      <c r="MF19" s="1575"/>
      <c r="MG19" s="1575"/>
      <c r="MH19" s="1575"/>
      <c r="MI19" s="1575"/>
      <c r="MJ19" s="1575"/>
      <c r="MK19" s="1575"/>
      <c r="ML19" s="1575"/>
      <c r="MM19" s="1575"/>
      <c r="MN19" s="1575"/>
      <c r="MO19" s="1575"/>
      <c r="MP19" s="1575"/>
      <c r="MQ19" s="1575"/>
      <c r="MR19" s="1575"/>
      <c r="MS19" s="1575"/>
      <c r="MT19" s="1575"/>
      <c r="MU19" s="1575"/>
      <c r="MV19" s="1575"/>
      <c r="MW19" s="1575"/>
      <c r="MX19" s="1575"/>
      <c r="MY19" s="1575"/>
      <c r="MZ19" s="1575"/>
      <c r="NA19" s="1575"/>
      <c r="NB19" s="1575"/>
      <c r="NC19" s="1575"/>
      <c r="ND19" s="1575"/>
      <c r="NE19" s="1575"/>
      <c r="NF19" s="1575"/>
      <c r="NG19" s="1575"/>
      <c r="NH19" s="1575"/>
      <c r="NI19" s="1575"/>
      <c r="NJ19" s="1575"/>
      <c r="NK19" s="1575"/>
      <c r="NL19" s="1575"/>
      <c r="NM19" s="1575"/>
      <c r="NN19" s="1575"/>
      <c r="NO19" s="1575"/>
      <c r="NP19" s="1575"/>
      <c r="NQ19" s="1575"/>
      <c r="NR19" s="1575"/>
      <c r="NS19" s="1575"/>
      <c r="NT19" s="1575"/>
      <c r="NU19" s="1575"/>
      <c r="NV19" s="1575"/>
      <c r="NW19" s="1575"/>
      <c r="NX19" s="1575"/>
      <c r="NY19" s="1575"/>
      <c r="NZ19" s="1575"/>
      <c r="OA19" s="1575"/>
      <c r="OB19" s="1575"/>
      <c r="OC19" s="1575"/>
      <c r="OD19" s="1575"/>
      <c r="OE19" s="1575"/>
      <c r="OF19" s="1575"/>
      <c r="OG19" s="1575"/>
      <c r="OH19" s="1575"/>
      <c r="OI19" s="1575"/>
      <c r="OJ19" s="1575"/>
      <c r="OK19" s="1575"/>
      <c r="OL19" s="1575"/>
      <c r="OM19" s="1575"/>
      <c r="ON19" s="1575"/>
      <c r="OO19" s="1575"/>
      <c r="OP19" s="1575"/>
      <c r="OQ19" s="1575"/>
      <c r="OR19" s="1575"/>
      <c r="OS19" s="1575"/>
      <c r="OT19" s="1575"/>
      <c r="OU19" s="1575"/>
      <c r="OV19" s="1575"/>
      <c r="OW19" s="1575"/>
      <c r="OX19" s="1575"/>
      <c r="OY19" s="1575"/>
      <c r="OZ19" s="1575"/>
      <c r="PA19" s="1575"/>
      <c r="PB19" s="1575"/>
      <c r="PC19" s="1575"/>
      <c r="PD19" s="1575"/>
      <c r="PE19" s="1575"/>
      <c r="PF19" s="1575"/>
      <c r="PG19" s="1575"/>
      <c r="PH19" s="1575"/>
      <c r="PI19" s="1575"/>
      <c r="PJ19" s="1575"/>
      <c r="PK19" s="1575"/>
      <c r="PL19" s="1575"/>
      <c r="PM19" s="1575"/>
      <c r="PN19" s="1575"/>
      <c r="PO19" s="1575"/>
      <c r="PP19" s="1575"/>
      <c r="PQ19" s="1575"/>
      <c r="PR19" s="1575"/>
      <c r="PS19" s="1575"/>
      <c r="PT19" s="1575"/>
      <c r="PU19" s="1575"/>
      <c r="PV19" s="1575"/>
      <c r="PW19" s="1575"/>
      <c r="PX19" s="1575"/>
      <c r="PY19" s="1575"/>
      <c r="PZ19" s="1575"/>
      <c r="QA19" s="1575"/>
      <c r="QB19" s="1575"/>
      <c r="QC19" s="1575"/>
      <c r="QD19" s="1575"/>
      <c r="QE19" s="1575"/>
      <c r="QF19" s="1575"/>
      <c r="QG19" s="1575"/>
      <c r="QH19" s="1575"/>
      <c r="QI19" s="1575"/>
      <c r="QJ19" s="1575"/>
      <c r="QK19" s="1575"/>
      <c r="QL19" s="1575"/>
      <c r="QM19" s="1575"/>
      <c r="QN19" s="1575"/>
      <c r="QO19" s="1575"/>
      <c r="QP19" s="1575"/>
      <c r="QQ19" s="1575"/>
      <c r="QR19" s="1575"/>
      <c r="QS19" s="1575"/>
      <c r="QT19" s="1575"/>
      <c r="QU19" s="1575"/>
      <c r="QV19" s="1575"/>
      <c r="QW19" s="1575"/>
      <c r="QX19" s="1575"/>
      <c r="QY19" s="1575"/>
      <c r="QZ19" s="1575"/>
      <c r="RA19" s="1575"/>
      <c r="RB19" s="1575"/>
      <c r="RC19" s="1575"/>
      <c r="RD19" s="1575"/>
      <c r="RE19" s="1575"/>
      <c r="RF19" s="1575"/>
      <c r="RG19" s="1575"/>
      <c r="RH19" s="1575"/>
      <c r="RI19" s="1575"/>
      <c r="RJ19" s="1575"/>
      <c r="RK19" s="1575"/>
      <c r="RL19" s="1575"/>
      <c r="RM19" s="1575"/>
      <c r="RN19" s="1575"/>
      <c r="RO19" s="1575"/>
      <c r="RP19" s="1575"/>
      <c r="RQ19" s="1575"/>
      <c r="RR19" s="1575"/>
      <c r="RS19" s="1575"/>
      <c r="RT19" s="1575"/>
      <c r="RU19" s="1575"/>
      <c r="RV19" s="1575"/>
      <c r="RW19" s="1575"/>
      <c r="RX19" s="1575"/>
      <c r="RY19" s="1575"/>
      <c r="RZ19" s="1575"/>
      <c r="SA19" s="1575"/>
      <c r="SB19" s="1575"/>
      <c r="SC19" s="1575"/>
      <c r="SD19" s="1575"/>
      <c r="SE19" s="1575"/>
      <c r="SF19" s="1575"/>
      <c r="SG19" s="1575"/>
      <c r="SH19" s="1575"/>
      <c r="SI19" s="1575"/>
      <c r="SJ19" s="1575"/>
      <c r="SK19" s="1575"/>
      <c r="SL19" s="1575"/>
      <c r="SM19" s="1575"/>
      <c r="SN19" s="1575"/>
      <c r="SO19" s="1575"/>
      <c r="SP19" s="1575"/>
      <c r="SQ19" s="1575"/>
      <c r="SR19" s="1575"/>
      <c r="SS19" s="1575"/>
      <c r="ST19" s="1575"/>
      <c r="SU19" s="1575"/>
      <c r="SV19" s="1575"/>
      <c r="SW19" s="1575"/>
      <c r="SX19" s="1575"/>
      <c r="SY19" s="1575"/>
      <c r="SZ19" s="1575"/>
      <c r="TA19" s="1575"/>
      <c r="TB19" s="1575"/>
      <c r="TC19" s="1575"/>
      <c r="TD19" s="1575"/>
      <c r="TE19" s="1575"/>
      <c r="TF19" s="1575"/>
      <c r="TG19" s="1575"/>
      <c r="TH19" s="1575"/>
      <c r="TI19" s="1575"/>
      <c r="TJ19" s="1575"/>
      <c r="TK19" s="1575"/>
      <c r="TL19" s="1575"/>
      <c r="TM19" s="1575"/>
      <c r="TN19" s="1575"/>
      <c r="TO19" s="1575"/>
      <c r="TP19" s="1575"/>
      <c r="TQ19" s="1575"/>
      <c r="TR19" s="1575"/>
      <c r="TS19" s="1575"/>
      <c r="TT19" s="1575"/>
      <c r="TU19" s="1575"/>
      <c r="TV19" s="1575"/>
      <c r="TW19" s="1575"/>
      <c r="TX19" s="1575"/>
      <c r="TY19" s="1575"/>
      <c r="TZ19" s="1575"/>
      <c r="UA19" s="1575"/>
      <c r="UB19" s="1575"/>
      <c r="UC19" s="1575"/>
      <c r="UD19" s="1575"/>
      <c r="UE19" s="1575"/>
      <c r="UF19" s="1575"/>
      <c r="UG19" s="1575"/>
      <c r="UH19" s="1575"/>
      <c r="UI19" s="1575"/>
      <c r="UJ19" s="1575"/>
      <c r="UK19" s="1575"/>
      <c r="UL19" s="1575"/>
      <c r="UM19" s="1575"/>
      <c r="UN19" s="1575"/>
      <c r="UO19" s="1575"/>
      <c r="UP19" s="1575"/>
      <c r="UQ19" s="1575"/>
      <c r="UR19" s="1575"/>
      <c r="US19" s="1575"/>
      <c r="UT19" s="1575"/>
      <c r="UU19" s="1575"/>
      <c r="UV19" s="1575"/>
      <c r="UW19" s="1575"/>
      <c r="UX19" s="1575"/>
      <c r="UY19" s="1575"/>
      <c r="UZ19" s="1575"/>
      <c r="VA19" s="1575"/>
      <c r="VB19" s="1575"/>
      <c r="VC19" s="1575"/>
      <c r="VD19" s="1575"/>
      <c r="VE19" s="1575"/>
      <c r="VF19" s="1575"/>
      <c r="VG19" s="1575"/>
      <c r="VH19" s="1575"/>
      <c r="VI19" s="1575"/>
      <c r="VJ19" s="1575"/>
      <c r="VK19" s="1575"/>
    </row>
    <row r="20" spans="1:583" s="2072" customFormat="1" ht="27" x14ac:dyDescent="0.25">
      <c r="A20" s="694"/>
      <c r="B20" s="2073" t="s">
        <v>629</v>
      </c>
      <c r="C20" s="2074" t="s">
        <v>2701</v>
      </c>
      <c r="D20" s="4715" t="s">
        <v>2702</v>
      </c>
      <c r="E20" s="4715">
        <v>0</v>
      </c>
      <c r="F20" s="1575"/>
      <c r="G20" s="1575"/>
      <c r="H20" s="1575"/>
      <c r="I20" s="1575"/>
      <c r="J20" s="1575"/>
      <c r="K20" s="1575"/>
      <c r="L20" s="1575"/>
      <c r="M20" s="1575"/>
      <c r="N20" s="1575"/>
      <c r="O20" s="1575"/>
      <c r="P20" s="1575"/>
      <c r="Q20" s="1575"/>
      <c r="R20" s="1575"/>
      <c r="S20" s="1575"/>
      <c r="T20" s="1575"/>
      <c r="U20" s="1575"/>
      <c r="V20" s="1575"/>
      <c r="W20" s="1575"/>
      <c r="X20" s="1575"/>
      <c r="Y20" s="1575"/>
      <c r="Z20" s="1575"/>
      <c r="AA20" s="1575"/>
      <c r="AB20" s="1575"/>
      <c r="AC20" s="1575"/>
      <c r="AD20" s="1575"/>
      <c r="AE20" s="1575"/>
      <c r="AF20" s="1575"/>
      <c r="AG20" s="1575"/>
      <c r="AH20" s="1575"/>
      <c r="AI20" s="1575"/>
      <c r="AJ20" s="1575"/>
      <c r="AK20" s="1575"/>
      <c r="AL20" s="1575"/>
      <c r="AM20" s="1575"/>
      <c r="AN20" s="1575"/>
      <c r="AO20" s="1575"/>
      <c r="AP20" s="1575"/>
      <c r="AQ20" s="1575"/>
      <c r="AR20" s="1575"/>
      <c r="AS20" s="1575"/>
      <c r="AT20" s="1575"/>
      <c r="AU20" s="1575"/>
      <c r="AV20" s="1575"/>
      <c r="AW20" s="1575"/>
      <c r="AX20" s="1575"/>
      <c r="AY20" s="1575"/>
      <c r="AZ20" s="1575"/>
      <c r="BA20" s="1575"/>
      <c r="BB20" s="1575"/>
      <c r="BC20" s="1575"/>
      <c r="BD20" s="1575"/>
      <c r="BE20" s="1575"/>
      <c r="BF20" s="1575"/>
      <c r="BG20" s="1575"/>
      <c r="BH20" s="1575"/>
      <c r="BI20" s="1575"/>
      <c r="BJ20" s="1575"/>
      <c r="BK20" s="1575"/>
      <c r="BL20" s="1575"/>
      <c r="BM20" s="1575"/>
      <c r="BN20" s="1575"/>
      <c r="BO20" s="1575"/>
      <c r="BP20" s="1575"/>
      <c r="BQ20" s="1575"/>
      <c r="BR20" s="1575"/>
      <c r="BS20" s="1575"/>
      <c r="BT20" s="1575"/>
      <c r="BU20" s="1575"/>
      <c r="BV20" s="1575"/>
      <c r="BW20" s="1575"/>
      <c r="BX20" s="1575"/>
      <c r="BY20" s="1575"/>
      <c r="BZ20" s="1575"/>
      <c r="CA20" s="1575"/>
      <c r="CB20" s="1575"/>
      <c r="CC20" s="1575"/>
      <c r="CD20" s="1575"/>
      <c r="CE20" s="1575"/>
      <c r="CF20" s="1575"/>
      <c r="CG20" s="1575"/>
      <c r="CH20" s="1575"/>
      <c r="CI20" s="1575"/>
      <c r="CJ20" s="1575"/>
      <c r="CK20" s="1575"/>
      <c r="CL20" s="1575"/>
      <c r="CM20" s="1575"/>
      <c r="CN20" s="1575"/>
      <c r="CO20" s="1575"/>
      <c r="CP20" s="1575"/>
      <c r="CQ20" s="1575"/>
      <c r="CR20" s="1575"/>
      <c r="CS20" s="1575"/>
      <c r="CT20" s="1575"/>
      <c r="CU20" s="1575"/>
      <c r="CV20" s="1575"/>
      <c r="CW20" s="1575"/>
      <c r="CX20" s="1575"/>
      <c r="CY20" s="1575"/>
      <c r="CZ20" s="1575"/>
      <c r="DA20" s="1575"/>
      <c r="DB20" s="1575"/>
      <c r="DC20" s="1575"/>
      <c r="DD20" s="1575"/>
      <c r="DE20" s="1575"/>
      <c r="DF20" s="1575"/>
      <c r="DG20" s="1575"/>
      <c r="DH20" s="1575"/>
      <c r="DI20" s="1575"/>
      <c r="DJ20" s="1575"/>
      <c r="DK20" s="1575"/>
      <c r="DL20" s="1575"/>
      <c r="DM20" s="1575"/>
      <c r="DN20" s="1575"/>
      <c r="DO20" s="1575"/>
      <c r="DP20" s="1575"/>
      <c r="DQ20" s="1575"/>
      <c r="DR20" s="1575"/>
      <c r="DS20" s="1575"/>
      <c r="DT20" s="1575"/>
      <c r="DU20" s="1575"/>
      <c r="DV20" s="1575"/>
      <c r="DW20" s="1575"/>
      <c r="DX20" s="1575"/>
      <c r="DY20" s="1575"/>
      <c r="DZ20" s="1575"/>
      <c r="EA20" s="1575"/>
      <c r="EB20" s="1575"/>
      <c r="EC20" s="1575"/>
      <c r="ED20" s="1575"/>
      <c r="EE20" s="1575"/>
      <c r="EF20" s="1575"/>
      <c r="EG20" s="1575"/>
      <c r="EH20" s="1575"/>
      <c r="EI20" s="1575"/>
      <c r="EJ20" s="1575"/>
      <c r="EK20" s="1575"/>
      <c r="EL20" s="1575"/>
      <c r="EM20" s="1575"/>
      <c r="EN20" s="1575"/>
      <c r="EO20" s="1575"/>
      <c r="EP20" s="1575"/>
      <c r="EQ20" s="1575"/>
      <c r="ER20" s="1575"/>
      <c r="ES20" s="1575"/>
      <c r="ET20" s="1575"/>
      <c r="EU20" s="1575"/>
      <c r="EV20" s="1575"/>
      <c r="EW20" s="1575"/>
      <c r="EX20" s="1575"/>
      <c r="EY20" s="1575"/>
      <c r="EZ20" s="1575"/>
      <c r="FA20" s="1575"/>
      <c r="FB20" s="1575"/>
      <c r="FC20" s="1575"/>
      <c r="FD20" s="1575"/>
      <c r="FE20" s="1575"/>
      <c r="FF20" s="1575"/>
      <c r="FG20" s="1575"/>
      <c r="FH20" s="1575"/>
      <c r="FI20" s="1575"/>
      <c r="FJ20" s="1575"/>
      <c r="FK20" s="1575"/>
      <c r="FL20" s="1575"/>
      <c r="FM20" s="1575"/>
      <c r="FN20" s="1575"/>
      <c r="FO20" s="1575"/>
      <c r="FP20" s="1575"/>
      <c r="FQ20" s="1575"/>
      <c r="FR20" s="1575"/>
      <c r="FS20" s="1575"/>
      <c r="FT20" s="1575"/>
      <c r="FU20" s="1575"/>
      <c r="FV20" s="1575"/>
      <c r="FW20" s="1575"/>
      <c r="FX20" s="1575"/>
      <c r="FY20" s="1575"/>
      <c r="FZ20" s="1575"/>
      <c r="GA20" s="1575"/>
      <c r="GB20" s="1575"/>
      <c r="GC20" s="1575"/>
      <c r="GD20" s="1575"/>
      <c r="GE20" s="1575"/>
      <c r="GF20" s="1575"/>
      <c r="GG20" s="1575"/>
      <c r="GH20" s="1575"/>
      <c r="GI20" s="1575"/>
      <c r="GJ20" s="1575"/>
      <c r="GK20" s="1575"/>
      <c r="GL20" s="1575"/>
      <c r="GM20" s="1575"/>
      <c r="GN20" s="1575"/>
      <c r="GO20" s="1575"/>
      <c r="GP20" s="1575"/>
      <c r="GQ20" s="1575"/>
      <c r="GR20" s="1575"/>
      <c r="GS20" s="1575"/>
      <c r="GT20" s="1575"/>
      <c r="GU20" s="1575"/>
      <c r="GV20" s="1575"/>
      <c r="GW20" s="1575"/>
      <c r="GX20" s="1575"/>
      <c r="GY20" s="1575"/>
      <c r="GZ20" s="1575"/>
      <c r="HA20" s="1575"/>
      <c r="HB20" s="1575"/>
      <c r="HC20" s="1575"/>
      <c r="HD20" s="1575"/>
      <c r="HE20" s="1575"/>
      <c r="HF20" s="1575"/>
      <c r="HG20" s="1575"/>
      <c r="HH20" s="1575"/>
      <c r="HI20" s="1575"/>
      <c r="HJ20" s="1575"/>
      <c r="HK20" s="1575"/>
      <c r="HL20" s="1575"/>
      <c r="HM20" s="1575"/>
      <c r="HN20" s="1575"/>
      <c r="HO20" s="1575"/>
      <c r="HP20" s="1575"/>
      <c r="HQ20" s="1575"/>
      <c r="HR20" s="1575"/>
      <c r="HS20" s="1575"/>
      <c r="HT20" s="1575"/>
      <c r="HU20" s="1575"/>
      <c r="HV20" s="1575"/>
      <c r="HW20" s="1575"/>
      <c r="HX20" s="1575"/>
      <c r="HY20" s="1575"/>
      <c r="HZ20" s="1575"/>
      <c r="IA20" s="1575"/>
      <c r="IB20" s="1575"/>
      <c r="IC20" s="1575"/>
      <c r="ID20" s="1575"/>
      <c r="IE20" s="1575"/>
      <c r="IF20" s="1575"/>
      <c r="IG20" s="1575"/>
      <c r="IH20" s="1575"/>
      <c r="II20" s="1575"/>
      <c r="IJ20" s="1575"/>
      <c r="IK20" s="1575"/>
      <c r="IL20" s="1575"/>
      <c r="IM20" s="1575"/>
      <c r="IN20" s="1575"/>
      <c r="IO20" s="1575"/>
      <c r="IP20" s="1575"/>
      <c r="IQ20" s="1575"/>
      <c r="IR20" s="1575"/>
      <c r="IS20" s="1575"/>
      <c r="IT20" s="1575"/>
      <c r="IU20" s="1575"/>
      <c r="IV20" s="1575"/>
      <c r="IW20" s="1575"/>
      <c r="IX20" s="1575"/>
      <c r="IY20" s="1575"/>
      <c r="IZ20" s="1575"/>
      <c r="JA20" s="1587"/>
      <c r="JB20" s="1587"/>
      <c r="JC20" s="1587"/>
      <c r="JD20" s="1587"/>
      <c r="JE20" s="1587"/>
      <c r="JF20" s="1587"/>
      <c r="JG20" s="1587"/>
      <c r="JH20" s="1587"/>
      <c r="JI20" s="1587"/>
      <c r="JJ20" s="1587"/>
      <c r="JK20" s="1587"/>
      <c r="JL20" s="1587"/>
      <c r="JM20" s="1587"/>
      <c r="JN20" s="1587"/>
      <c r="JO20" s="1587"/>
      <c r="JP20" s="1587"/>
      <c r="JQ20" s="1587"/>
      <c r="JR20" s="1575"/>
      <c r="JS20" s="1575"/>
      <c r="JT20" s="1575"/>
      <c r="JU20" s="1575"/>
      <c r="JV20" s="1575"/>
      <c r="JW20" s="1575"/>
      <c r="JX20" s="1575"/>
      <c r="JY20" s="1575"/>
      <c r="JZ20" s="1575"/>
      <c r="KA20" s="1575"/>
      <c r="KB20" s="1575"/>
      <c r="KC20" s="1575"/>
      <c r="KD20" s="1575"/>
      <c r="KE20" s="1575"/>
      <c r="KF20" s="1575"/>
      <c r="KG20" s="1575"/>
      <c r="KH20" s="1575"/>
      <c r="KI20" s="1575"/>
      <c r="KJ20" s="1575"/>
      <c r="KK20" s="1575"/>
      <c r="KL20" s="1575"/>
      <c r="KM20" s="1575"/>
      <c r="KN20" s="1575"/>
      <c r="KO20" s="1575"/>
      <c r="KP20" s="1575"/>
      <c r="KQ20" s="1575"/>
      <c r="KR20" s="1575"/>
      <c r="KS20" s="1575"/>
      <c r="KT20" s="1575"/>
      <c r="KU20" s="1575"/>
      <c r="KV20" s="1575"/>
      <c r="KW20" s="1575"/>
      <c r="KX20" s="1575"/>
      <c r="KY20" s="1575"/>
      <c r="KZ20" s="1575"/>
      <c r="LA20" s="1575"/>
      <c r="LB20" s="1575"/>
      <c r="LC20" s="1575"/>
      <c r="LD20" s="1575"/>
      <c r="LE20" s="1575"/>
      <c r="LF20" s="1575"/>
      <c r="LG20" s="1575"/>
      <c r="LH20" s="1575"/>
      <c r="LI20" s="1575"/>
      <c r="LJ20" s="1575"/>
      <c r="LK20" s="1575"/>
      <c r="LL20" s="1575"/>
      <c r="LM20" s="1575"/>
      <c r="LN20" s="1575"/>
      <c r="LO20" s="1575"/>
      <c r="LP20" s="1575"/>
      <c r="LQ20" s="1575"/>
      <c r="LR20" s="1575"/>
      <c r="LS20" s="1575"/>
      <c r="LT20" s="1575"/>
      <c r="LU20" s="1575"/>
      <c r="LV20" s="1575"/>
      <c r="LW20" s="1575"/>
      <c r="LX20" s="1575"/>
      <c r="LY20" s="1575"/>
      <c r="LZ20" s="1575"/>
      <c r="MA20" s="1575"/>
      <c r="MB20" s="1575"/>
      <c r="MC20" s="1575"/>
      <c r="MD20" s="1575"/>
      <c r="ME20" s="1575"/>
      <c r="MF20" s="1575"/>
      <c r="MG20" s="1575"/>
      <c r="MH20" s="1575"/>
      <c r="MI20" s="1575"/>
      <c r="MJ20" s="1575"/>
      <c r="MK20" s="1575"/>
      <c r="ML20" s="1575"/>
      <c r="MM20" s="1575"/>
      <c r="MN20" s="1575"/>
      <c r="MO20" s="1575"/>
      <c r="MP20" s="1575"/>
      <c r="MQ20" s="1575"/>
      <c r="MR20" s="1575"/>
      <c r="MS20" s="1575"/>
      <c r="MT20" s="1575"/>
      <c r="MU20" s="1575"/>
      <c r="MV20" s="1575"/>
      <c r="MW20" s="1575"/>
      <c r="MX20" s="1575"/>
      <c r="MY20" s="1575"/>
      <c r="MZ20" s="1575"/>
      <c r="NA20" s="1575"/>
      <c r="NB20" s="1575"/>
      <c r="NC20" s="1575"/>
      <c r="ND20" s="1575"/>
      <c r="NE20" s="1575"/>
      <c r="NF20" s="1575"/>
      <c r="NG20" s="1575"/>
      <c r="NH20" s="1575"/>
      <c r="NI20" s="1575"/>
      <c r="NJ20" s="1575"/>
      <c r="NK20" s="1575"/>
      <c r="NL20" s="1575"/>
      <c r="NM20" s="1575"/>
      <c r="NN20" s="1575"/>
      <c r="NO20" s="1575"/>
      <c r="NP20" s="1575"/>
      <c r="NQ20" s="1575"/>
      <c r="NR20" s="1575"/>
      <c r="NS20" s="1575"/>
      <c r="NT20" s="1575"/>
      <c r="NU20" s="1575"/>
      <c r="NV20" s="1575"/>
      <c r="NW20" s="1575"/>
      <c r="NX20" s="1575"/>
      <c r="NY20" s="1575"/>
      <c r="NZ20" s="1575"/>
      <c r="OA20" s="1575"/>
      <c r="OB20" s="1575"/>
      <c r="OC20" s="1575"/>
      <c r="OD20" s="1575"/>
      <c r="OE20" s="1575"/>
      <c r="OF20" s="1575"/>
      <c r="OG20" s="1575"/>
      <c r="OH20" s="1575"/>
      <c r="OI20" s="1575"/>
      <c r="OJ20" s="1575"/>
      <c r="OK20" s="1575"/>
      <c r="OL20" s="1575"/>
      <c r="OM20" s="1575"/>
      <c r="ON20" s="1575"/>
      <c r="OO20" s="1575"/>
      <c r="OP20" s="1575"/>
      <c r="OQ20" s="1575"/>
      <c r="OR20" s="1575"/>
      <c r="OS20" s="1575"/>
      <c r="OT20" s="1575"/>
      <c r="OU20" s="1575"/>
      <c r="OV20" s="1575"/>
      <c r="OW20" s="1575"/>
      <c r="OX20" s="1575"/>
      <c r="OY20" s="1575"/>
      <c r="OZ20" s="1575"/>
      <c r="PA20" s="1575"/>
      <c r="PB20" s="1575"/>
      <c r="PC20" s="1575"/>
      <c r="PD20" s="1575"/>
      <c r="PE20" s="1575"/>
      <c r="PF20" s="1575"/>
      <c r="PG20" s="1575"/>
      <c r="PH20" s="1575"/>
      <c r="PI20" s="1575"/>
      <c r="PJ20" s="1575"/>
      <c r="PK20" s="1575"/>
      <c r="PL20" s="1575"/>
      <c r="PM20" s="1575"/>
      <c r="PN20" s="1575"/>
      <c r="PO20" s="1575"/>
      <c r="PP20" s="1575"/>
      <c r="PQ20" s="1575"/>
      <c r="PR20" s="1575"/>
      <c r="PS20" s="1575"/>
      <c r="PT20" s="1575"/>
      <c r="PU20" s="1575"/>
      <c r="PV20" s="1575"/>
      <c r="PW20" s="1575"/>
      <c r="PX20" s="1575"/>
      <c r="PY20" s="1575"/>
      <c r="PZ20" s="1575"/>
      <c r="QA20" s="1575"/>
      <c r="QB20" s="1575"/>
      <c r="QC20" s="1575"/>
      <c r="QD20" s="1575"/>
      <c r="QE20" s="1575"/>
      <c r="QF20" s="1575"/>
      <c r="QG20" s="1575"/>
      <c r="QH20" s="1575"/>
      <c r="QI20" s="1575"/>
      <c r="QJ20" s="1575"/>
      <c r="QK20" s="1575"/>
      <c r="QL20" s="1575"/>
      <c r="QM20" s="1575"/>
      <c r="QN20" s="1575"/>
      <c r="QO20" s="1575"/>
      <c r="QP20" s="1575"/>
      <c r="QQ20" s="1575"/>
      <c r="QR20" s="1575"/>
      <c r="QS20" s="1575"/>
      <c r="QT20" s="1575"/>
      <c r="QU20" s="1575"/>
      <c r="QV20" s="1575"/>
      <c r="QW20" s="1575"/>
      <c r="QX20" s="1575"/>
      <c r="QY20" s="1575"/>
      <c r="QZ20" s="1575"/>
      <c r="RA20" s="1575"/>
      <c r="RB20" s="1575"/>
      <c r="RC20" s="1575"/>
      <c r="RD20" s="1575"/>
      <c r="RE20" s="1575"/>
      <c r="RF20" s="1575"/>
      <c r="RG20" s="1575"/>
      <c r="RH20" s="1575"/>
      <c r="RI20" s="1575"/>
      <c r="RJ20" s="1575"/>
      <c r="RK20" s="1575"/>
      <c r="RL20" s="1575"/>
      <c r="RM20" s="1575"/>
      <c r="RN20" s="1575"/>
      <c r="RO20" s="1575"/>
      <c r="RP20" s="1575"/>
      <c r="RQ20" s="1575"/>
      <c r="RR20" s="1575"/>
      <c r="RS20" s="1575"/>
      <c r="RT20" s="1575"/>
      <c r="RU20" s="1575"/>
      <c r="RV20" s="1575"/>
      <c r="RW20" s="1575"/>
      <c r="RX20" s="1575"/>
      <c r="RY20" s="1575"/>
      <c r="RZ20" s="1575"/>
      <c r="SA20" s="1575"/>
      <c r="SB20" s="1575"/>
      <c r="SC20" s="1575"/>
      <c r="SD20" s="1575"/>
      <c r="SE20" s="1575"/>
      <c r="SF20" s="1575"/>
      <c r="SG20" s="1575"/>
      <c r="SH20" s="1575"/>
      <c r="SI20" s="1575"/>
      <c r="SJ20" s="1575"/>
      <c r="SK20" s="1575"/>
      <c r="SL20" s="1575"/>
      <c r="SM20" s="1575"/>
      <c r="SN20" s="1575"/>
      <c r="SO20" s="1575"/>
      <c r="SP20" s="1575"/>
      <c r="SQ20" s="1575"/>
      <c r="SR20" s="1575"/>
      <c r="SS20" s="1575"/>
      <c r="ST20" s="1575"/>
      <c r="SU20" s="1575"/>
      <c r="SV20" s="1575"/>
      <c r="SW20" s="1575"/>
      <c r="SX20" s="1575"/>
      <c r="SY20" s="1575"/>
      <c r="SZ20" s="1575"/>
      <c r="TA20" s="1575"/>
      <c r="TB20" s="1575"/>
      <c r="TC20" s="1575"/>
      <c r="TD20" s="1575"/>
      <c r="TE20" s="1575"/>
      <c r="TF20" s="1575"/>
      <c r="TG20" s="1575"/>
      <c r="TH20" s="1575"/>
      <c r="TI20" s="1575"/>
      <c r="TJ20" s="1575"/>
      <c r="TK20" s="1575"/>
      <c r="TL20" s="1575"/>
      <c r="TM20" s="1575"/>
      <c r="TN20" s="1575"/>
      <c r="TO20" s="1575"/>
      <c r="TP20" s="1575"/>
      <c r="TQ20" s="1575"/>
      <c r="TR20" s="1575"/>
      <c r="TS20" s="1575"/>
      <c r="TT20" s="1575"/>
      <c r="TU20" s="1575"/>
      <c r="TV20" s="1575"/>
      <c r="TW20" s="1575"/>
      <c r="TX20" s="1575"/>
      <c r="TY20" s="1575"/>
      <c r="TZ20" s="1575"/>
      <c r="UA20" s="1575"/>
      <c r="UB20" s="1575"/>
      <c r="UC20" s="1575"/>
      <c r="UD20" s="1575"/>
      <c r="UE20" s="1575"/>
      <c r="UF20" s="1575"/>
      <c r="UG20" s="1575"/>
      <c r="UH20" s="1575"/>
      <c r="UI20" s="1575"/>
      <c r="UJ20" s="1575"/>
      <c r="UK20" s="1575"/>
      <c r="UL20" s="1575"/>
      <c r="UM20" s="1575"/>
      <c r="UN20" s="1575"/>
      <c r="UO20" s="1575"/>
      <c r="UP20" s="1575"/>
      <c r="UQ20" s="1575"/>
      <c r="UR20" s="1575"/>
      <c r="US20" s="1575"/>
      <c r="UT20" s="1575"/>
      <c r="UU20" s="1575"/>
      <c r="UV20" s="1575"/>
      <c r="UW20" s="1575"/>
      <c r="UX20" s="1575"/>
      <c r="UY20" s="1575"/>
      <c r="UZ20" s="1575"/>
      <c r="VA20" s="1575"/>
      <c r="VB20" s="1575"/>
      <c r="VC20" s="1575"/>
      <c r="VD20" s="1575"/>
      <c r="VE20" s="1575"/>
      <c r="VF20" s="1575"/>
      <c r="VG20" s="1575"/>
      <c r="VH20" s="1575"/>
      <c r="VI20" s="1575"/>
      <c r="VJ20" s="1575"/>
      <c r="VK20" s="1575"/>
    </row>
    <row r="21" spans="1:583" s="2072" customFormat="1" ht="27" x14ac:dyDescent="0.25">
      <c r="A21" s="694"/>
      <c r="B21" s="2073" t="s">
        <v>629</v>
      </c>
      <c r="C21" s="2074" t="s">
        <v>2703</v>
      </c>
      <c r="D21" s="4715" t="s">
        <v>2704</v>
      </c>
      <c r="E21" s="4715">
        <v>0</v>
      </c>
      <c r="F21" s="1575"/>
      <c r="G21" s="1575"/>
      <c r="H21" s="1575"/>
      <c r="I21" s="1575"/>
      <c r="J21" s="1575"/>
      <c r="K21" s="1575"/>
      <c r="L21" s="1575"/>
      <c r="M21" s="1575"/>
      <c r="N21" s="1575"/>
      <c r="O21" s="1575"/>
      <c r="P21" s="1575"/>
      <c r="Q21" s="1575"/>
      <c r="R21" s="1575"/>
      <c r="S21" s="1575"/>
      <c r="T21" s="1575"/>
      <c r="U21" s="1575"/>
      <c r="V21" s="1575"/>
      <c r="W21" s="1575"/>
      <c r="X21" s="1575"/>
      <c r="Y21" s="1575"/>
      <c r="Z21" s="1575"/>
      <c r="AA21" s="1575"/>
      <c r="AB21" s="1575"/>
      <c r="AC21" s="1575"/>
      <c r="AD21" s="1575"/>
      <c r="AE21" s="1575"/>
      <c r="AF21" s="1575"/>
      <c r="AG21" s="1575"/>
      <c r="AH21" s="1575"/>
      <c r="AI21" s="1575"/>
      <c r="AJ21" s="1575"/>
      <c r="AK21" s="1575"/>
      <c r="AL21" s="1575"/>
      <c r="AM21" s="1575"/>
      <c r="AN21" s="1575"/>
      <c r="AO21" s="1575"/>
      <c r="AP21" s="1575"/>
      <c r="AQ21" s="1575"/>
      <c r="AR21" s="1575"/>
      <c r="AS21" s="1575"/>
      <c r="AT21" s="1575"/>
      <c r="AU21" s="1575"/>
      <c r="AV21" s="1575"/>
      <c r="AW21" s="1575"/>
      <c r="AX21" s="1575"/>
      <c r="AY21" s="1575"/>
      <c r="AZ21" s="1575"/>
      <c r="BA21" s="1575"/>
      <c r="BB21" s="1575"/>
      <c r="BC21" s="1575"/>
      <c r="BD21" s="1575"/>
      <c r="BE21" s="1575"/>
      <c r="BF21" s="1575"/>
      <c r="BG21" s="1575"/>
      <c r="BH21" s="1575"/>
      <c r="BI21" s="1575"/>
      <c r="BJ21" s="1575"/>
      <c r="BK21" s="1575"/>
      <c r="BL21" s="1575"/>
      <c r="BM21" s="1575"/>
      <c r="BN21" s="1575"/>
      <c r="BO21" s="1575"/>
      <c r="BP21" s="1575"/>
      <c r="BQ21" s="1575"/>
      <c r="BR21" s="1575"/>
      <c r="BS21" s="1575"/>
      <c r="BT21" s="1575"/>
      <c r="BU21" s="1575"/>
      <c r="BV21" s="1575"/>
      <c r="BW21" s="1575"/>
      <c r="BX21" s="1575"/>
      <c r="BY21" s="1575"/>
      <c r="BZ21" s="1575"/>
      <c r="CA21" s="1575"/>
      <c r="CB21" s="1575"/>
      <c r="CC21" s="1575"/>
      <c r="CD21" s="1575"/>
      <c r="CE21" s="1575"/>
      <c r="CF21" s="1575"/>
      <c r="CG21" s="1575"/>
      <c r="CH21" s="1575"/>
      <c r="CI21" s="1575"/>
      <c r="CJ21" s="1575"/>
      <c r="CK21" s="1575"/>
      <c r="CL21" s="1575"/>
      <c r="CM21" s="1575"/>
      <c r="CN21" s="1575"/>
      <c r="CO21" s="1575"/>
      <c r="CP21" s="1575"/>
      <c r="CQ21" s="1575"/>
      <c r="CR21" s="1575"/>
      <c r="CS21" s="1575"/>
      <c r="CT21" s="1575"/>
      <c r="CU21" s="1575"/>
      <c r="CV21" s="1575"/>
      <c r="CW21" s="1575"/>
      <c r="CX21" s="1575"/>
      <c r="CY21" s="1575"/>
      <c r="CZ21" s="1575"/>
      <c r="DA21" s="1575"/>
      <c r="DB21" s="1575"/>
      <c r="DC21" s="1575"/>
      <c r="DD21" s="1575"/>
      <c r="DE21" s="1575"/>
      <c r="DF21" s="1575"/>
      <c r="DG21" s="1575"/>
      <c r="DH21" s="1575"/>
      <c r="DI21" s="1575"/>
      <c r="DJ21" s="1575"/>
      <c r="DK21" s="1575"/>
      <c r="DL21" s="1575"/>
      <c r="DM21" s="1575"/>
      <c r="DN21" s="1575"/>
      <c r="DO21" s="1575"/>
      <c r="DP21" s="1575"/>
      <c r="DQ21" s="1575"/>
      <c r="DR21" s="1575"/>
      <c r="DS21" s="1575"/>
      <c r="DT21" s="1575"/>
      <c r="DU21" s="1575"/>
      <c r="DV21" s="1575"/>
      <c r="DW21" s="1575"/>
      <c r="DX21" s="1575"/>
      <c r="DY21" s="1575"/>
      <c r="DZ21" s="1575"/>
      <c r="EA21" s="1575"/>
      <c r="EB21" s="1575"/>
      <c r="EC21" s="1575"/>
      <c r="ED21" s="1575"/>
      <c r="EE21" s="1575"/>
      <c r="EF21" s="1575"/>
      <c r="EG21" s="1575"/>
      <c r="EH21" s="1575"/>
      <c r="EI21" s="1575"/>
      <c r="EJ21" s="1575"/>
      <c r="EK21" s="1575"/>
      <c r="EL21" s="1575"/>
      <c r="EM21" s="1575"/>
      <c r="EN21" s="1575"/>
      <c r="EO21" s="1575"/>
      <c r="EP21" s="1575"/>
      <c r="EQ21" s="1575"/>
      <c r="ER21" s="1575"/>
      <c r="ES21" s="1575"/>
      <c r="ET21" s="1575"/>
      <c r="EU21" s="1575"/>
      <c r="EV21" s="1575"/>
      <c r="EW21" s="1575"/>
      <c r="EX21" s="1575"/>
      <c r="EY21" s="1575"/>
      <c r="EZ21" s="1575"/>
      <c r="FA21" s="1575"/>
      <c r="FB21" s="1575"/>
      <c r="FC21" s="1575"/>
      <c r="FD21" s="1575"/>
      <c r="FE21" s="1575"/>
      <c r="FF21" s="1575"/>
      <c r="FG21" s="1575"/>
      <c r="FH21" s="1575"/>
      <c r="FI21" s="1575"/>
      <c r="FJ21" s="1575"/>
      <c r="FK21" s="1575"/>
      <c r="FL21" s="1575"/>
      <c r="FM21" s="1575"/>
      <c r="FN21" s="1575"/>
      <c r="FO21" s="1575"/>
      <c r="FP21" s="1575"/>
      <c r="FQ21" s="1575"/>
      <c r="FR21" s="1575"/>
      <c r="FS21" s="1575"/>
      <c r="FT21" s="1575"/>
      <c r="FU21" s="1575"/>
      <c r="FV21" s="1575"/>
      <c r="FW21" s="1575"/>
      <c r="FX21" s="1575"/>
      <c r="FY21" s="1575"/>
      <c r="FZ21" s="1575"/>
      <c r="GA21" s="1575"/>
      <c r="GB21" s="1575"/>
      <c r="GC21" s="1575"/>
      <c r="GD21" s="1575"/>
      <c r="GE21" s="1575"/>
      <c r="GF21" s="1575"/>
      <c r="GG21" s="1575"/>
      <c r="GH21" s="1575"/>
      <c r="GI21" s="1575"/>
      <c r="GJ21" s="1575"/>
      <c r="GK21" s="1575"/>
      <c r="GL21" s="1575"/>
      <c r="GM21" s="1575"/>
      <c r="GN21" s="1575"/>
      <c r="GO21" s="1575"/>
      <c r="GP21" s="1575"/>
      <c r="GQ21" s="1575"/>
      <c r="GR21" s="1575"/>
      <c r="GS21" s="1575"/>
      <c r="GT21" s="1575"/>
      <c r="GU21" s="1575"/>
      <c r="GV21" s="1575"/>
      <c r="GW21" s="1575"/>
      <c r="GX21" s="1575"/>
      <c r="GY21" s="1575"/>
      <c r="GZ21" s="1575"/>
      <c r="HA21" s="1575"/>
      <c r="HB21" s="1575"/>
      <c r="HC21" s="1575"/>
      <c r="HD21" s="1575"/>
      <c r="HE21" s="1575"/>
      <c r="HF21" s="1575"/>
      <c r="HG21" s="1575"/>
      <c r="HH21" s="1575"/>
      <c r="HI21" s="1575"/>
      <c r="HJ21" s="1575"/>
      <c r="HK21" s="1575"/>
      <c r="HL21" s="1575"/>
      <c r="HM21" s="1575"/>
      <c r="HN21" s="1575"/>
      <c r="HO21" s="1575"/>
      <c r="HP21" s="1575"/>
      <c r="HQ21" s="1575"/>
      <c r="HR21" s="1575"/>
      <c r="HS21" s="1575"/>
      <c r="HT21" s="1575"/>
      <c r="HU21" s="1575"/>
      <c r="HV21" s="1575"/>
      <c r="HW21" s="1575"/>
      <c r="HX21" s="1575"/>
      <c r="HY21" s="1575"/>
      <c r="HZ21" s="1575"/>
      <c r="IA21" s="1575"/>
      <c r="IB21" s="1575"/>
      <c r="IC21" s="1575"/>
      <c r="ID21" s="1575"/>
      <c r="IE21" s="1575"/>
      <c r="IF21" s="1575"/>
      <c r="IG21" s="1575"/>
      <c r="IH21" s="1575"/>
      <c r="II21" s="1575"/>
      <c r="IJ21" s="1575"/>
      <c r="IK21" s="1575"/>
      <c r="IL21" s="1575"/>
      <c r="IM21" s="1575"/>
      <c r="IN21" s="1575"/>
      <c r="IO21" s="1575"/>
      <c r="IP21" s="1575"/>
      <c r="IQ21" s="1575"/>
      <c r="IR21" s="1575"/>
      <c r="IS21" s="1575"/>
      <c r="IT21" s="1575"/>
      <c r="IU21" s="1575"/>
      <c r="IV21" s="1575"/>
      <c r="IW21" s="1575"/>
      <c r="IX21" s="1575"/>
      <c r="IY21" s="1575"/>
      <c r="IZ21" s="1575"/>
      <c r="JA21" s="1587"/>
      <c r="JB21" s="1587"/>
      <c r="JC21" s="1587"/>
      <c r="JD21" s="1587"/>
      <c r="JE21" s="1587"/>
      <c r="JF21" s="1587"/>
      <c r="JG21" s="1587"/>
      <c r="JH21" s="1587"/>
      <c r="JI21" s="1587"/>
      <c r="JJ21" s="1587"/>
      <c r="JK21" s="1587"/>
      <c r="JL21" s="1587"/>
      <c r="JM21" s="1587"/>
      <c r="JN21" s="1587"/>
      <c r="JO21" s="1587"/>
      <c r="JP21" s="1587"/>
      <c r="JQ21" s="1587"/>
      <c r="JR21" s="1575"/>
      <c r="JS21" s="1575"/>
      <c r="JT21" s="1575"/>
      <c r="JU21" s="1575"/>
      <c r="JV21" s="1575"/>
      <c r="JW21" s="1575"/>
      <c r="JX21" s="1575"/>
      <c r="JY21" s="1575"/>
      <c r="JZ21" s="1575"/>
      <c r="KA21" s="1575"/>
      <c r="KB21" s="1575"/>
      <c r="KC21" s="1575"/>
      <c r="KD21" s="1575"/>
      <c r="KE21" s="1575"/>
      <c r="KF21" s="1575"/>
      <c r="KG21" s="1575"/>
      <c r="KH21" s="1575"/>
      <c r="KI21" s="1575"/>
      <c r="KJ21" s="1575"/>
      <c r="KK21" s="1575"/>
      <c r="KL21" s="1575"/>
      <c r="KM21" s="1575"/>
      <c r="KN21" s="1575"/>
      <c r="KO21" s="1575"/>
      <c r="KP21" s="1575"/>
      <c r="KQ21" s="1575"/>
      <c r="KR21" s="1575"/>
      <c r="KS21" s="1575"/>
      <c r="KT21" s="1575"/>
      <c r="KU21" s="1575"/>
      <c r="KV21" s="1575"/>
      <c r="KW21" s="1575"/>
      <c r="KX21" s="1575"/>
      <c r="KY21" s="1575"/>
      <c r="KZ21" s="1575"/>
      <c r="LA21" s="1575"/>
      <c r="LB21" s="1575"/>
      <c r="LC21" s="1575"/>
      <c r="LD21" s="1575"/>
      <c r="LE21" s="1575"/>
      <c r="LF21" s="1575"/>
      <c r="LG21" s="1575"/>
      <c r="LH21" s="1575"/>
      <c r="LI21" s="1575"/>
      <c r="LJ21" s="1575"/>
      <c r="LK21" s="1575"/>
      <c r="LL21" s="1575"/>
      <c r="LM21" s="1575"/>
      <c r="LN21" s="1575"/>
      <c r="LO21" s="1575"/>
      <c r="LP21" s="1575"/>
      <c r="LQ21" s="1575"/>
      <c r="LR21" s="1575"/>
      <c r="LS21" s="1575"/>
      <c r="LT21" s="1575"/>
      <c r="LU21" s="1575"/>
      <c r="LV21" s="1575"/>
      <c r="LW21" s="1575"/>
      <c r="LX21" s="1575"/>
      <c r="LY21" s="1575"/>
      <c r="LZ21" s="1575"/>
      <c r="MA21" s="1575"/>
      <c r="MB21" s="1575"/>
      <c r="MC21" s="1575"/>
      <c r="MD21" s="1575"/>
      <c r="ME21" s="1575"/>
      <c r="MF21" s="1575"/>
      <c r="MG21" s="1575"/>
      <c r="MH21" s="1575"/>
      <c r="MI21" s="1575"/>
      <c r="MJ21" s="1575"/>
      <c r="MK21" s="1575"/>
      <c r="ML21" s="1575"/>
      <c r="MM21" s="1575"/>
      <c r="MN21" s="1575"/>
      <c r="MO21" s="1575"/>
      <c r="MP21" s="1575"/>
      <c r="MQ21" s="1575"/>
      <c r="MR21" s="1575"/>
      <c r="MS21" s="1575"/>
      <c r="MT21" s="1575"/>
      <c r="MU21" s="1575"/>
      <c r="MV21" s="1575"/>
      <c r="MW21" s="1575"/>
      <c r="MX21" s="1575"/>
      <c r="MY21" s="1575"/>
      <c r="MZ21" s="1575"/>
      <c r="NA21" s="1575"/>
      <c r="NB21" s="1575"/>
      <c r="NC21" s="1575"/>
      <c r="ND21" s="1575"/>
      <c r="NE21" s="1575"/>
      <c r="NF21" s="1575"/>
      <c r="NG21" s="1575"/>
      <c r="NH21" s="1575"/>
      <c r="NI21" s="1575"/>
      <c r="NJ21" s="1575"/>
      <c r="NK21" s="1575"/>
      <c r="NL21" s="1575"/>
      <c r="NM21" s="1575"/>
      <c r="NN21" s="1575"/>
      <c r="NO21" s="1575"/>
      <c r="NP21" s="1575"/>
      <c r="NQ21" s="1575"/>
      <c r="NR21" s="1575"/>
      <c r="NS21" s="1575"/>
      <c r="NT21" s="1575"/>
      <c r="NU21" s="1575"/>
      <c r="NV21" s="1575"/>
      <c r="NW21" s="1575"/>
      <c r="NX21" s="1575"/>
      <c r="NY21" s="1575"/>
      <c r="NZ21" s="1575"/>
      <c r="OA21" s="1575"/>
      <c r="OB21" s="1575"/>
      <c r="OC21" s="1575"/>
      <c r="OD21" s="1575"/>
      <c r="OE21" s="1575"/>
      <c r="OF21" s="1575"/>
      <c r="OG21" s="1575"/>
      <c r="OH21" s="1575"/>
      <c r="OI21" s="1575"/>
      <c r="OJ21" s="1575"/>
      <c r="OK21" s="1575"/>
      <c r="OL21" s="1575"/>
      <c r="OM21" s="1575"/>
      <c r="ON21" s="1575"/>
      <c r="OO21" s="1575"/>
      <c r="OP21" s="1575"/>
      <c r="OQ21" s="1575"/>
      <c r="OR21" s="1575"/>
      <c r="OS21" s="1575"/>
      <c r="OT21" s="1575"/>
      <c r="OU21" s="1575"/>
      <c r="OV21" s="1575"/>
      <c r="OW21" s="1575"/>
      <c r="OX21" s="1575"/>
      <c r="OY21" s="1575"/>
      <c r="OZ21" s="1575"/>
      <c r="PA21" s="1575"/>
      <c r="PB21" s="1575"/>
      <c r="PC21" s="1575"/>
      <c r="PD21" s="1575"/>
      <c r="PE21" s="1575"/>
      <c r="PF21" s="1575"/>
      <c r="PG21" s="1575"/>
      <c r="PH21" s="1575"/>
      <c r="PI21" s="1575"/>
      <c r="PJ21" s="1575"/>
      <c r="PK21" s="1575"/>
      <c r="PL21" s="1575"/>
      <c r="PM21" s="1575"/>
      <c r="PN21" s="1575"/>
      <c r="PO21" s="1575"/>
      <c r="PP21" s="1575"/>
      <c r="PQ21" s="1575"/>
      <c r="PR21" s="1575"/>
      <c r="PS21" s="1575"/>
      <c r="PT21" s="1575"/>
      <c r="PU21" s="1575"/>
      <c r="PV21" s="1575"/>
      <c r="PW21" s="1575"/>
      <c r="PX21" s="1575"/>
      <c r="PY21" s="1575"/>
      <c r="PZ21" s="1575"/>
      <c r="QA21" s="1575"/>
      <c r="QB21" s="1575"/>
      <c r="QC21" s="1575"/>
      <c r="QD21" s="1575"/>
      <c r="QE21" s="1575"/>
      <c r="QF21" s="1575"/>
      <c r="QG21" s="1575"/>
      <c r="QH21" s="1575"/>
      <c r="QI21" s="1575"/>
      <c r="QJ21" s="1575"/>
      <c r="QK21" s="1575"/>
      <c r="QL21" s="1575"/>
      <c r="QM21" s="1575"/>
      <c r="QN21" s="1575"/>
      <c r="QO21" s="1575"/>
      <c r="QP21" s="1575"/>
      <c r="QQ21" s="1575"/>
      <c r="QR21" s="1575"/>
      <c r="QS21" s="1575"/>
      <c r="QT21" s="1575"/>
      <c r="QU21" s="1575"/>
      <c r="QV21" s="1575"/>
      <c r="QW21" s="1575"/>
      <c r="QX21" s="1575"/>
      <c r="QY21" s="1575"/>
      <c r="QZ21" s="1575"/>
      <c r="RA21" s="1575"/>
      <c r="RB21" s="1575"/>
      <c r="RC21" s="1575"/>
      <c r="RD21" s="1575"/>
      <c r="RE21" s="1575"/>
      <c r="RF21" s="1575"/>
      <c r="RG21" s="1575"/>
      <c r="RH21" s="1575"/>
      <c r="RI21" s="1575"/>
      <c r="RJ21" s="1575"/>
      <c r="RK21" s="1575"/>
      <c r="RL21" s="1575"/>
      <c r="RM21" s="1575"/>
      <c r="RN21" s="1575"/>
      <c r="RO21" s="1575"/>
      <c r="RP21" s="1575"/>
      <c r="RQ21" s="1575"/>
      <c r="RR21" s="1575"/>
      <c r="RS21" s="1575"/>
      <c r="RT21" s="1575"/>
      <c r="RU21" s="1575"/>
      <c r="RV21" s="1575"/>
      <c r="RW21" s="1575"/>
      <c r="RX21" s="1575"/>
      <c r="RY21" s="1575"/>
      <c r="RZ21" s="1575"/>
      <c r="SA21" s="1575"/>
      <c r="SB21" s="1575"/>
      <c r="SC21" s="1575"/>
      <c r="SD21" s="1575"/>
      <c r="SE21" s="1575"/>
      <c r="SF21" s="1575"/>
      <c r="SG21" s="1575"/>
      <c r="SH21" s="1575"/>
      <c r="SI21" s="1575"/>
      <c r="SJ21" s="1575"/>
      <c r="SK21" s="1575"/>
      <c r="SL21" s="1575"/>
      <c r="SM21" s="1575"/>
      <c r="SN21" s="1575"/>
      <c r="SO21" s="1575"/>
      <c r="SP21" s="1575"/>
      <c r="SQ21" s="1575"/>
      <c r="SR21" s="1575"/>
      <c r="SS21" s="1575"/>
      <c r="ST21" s="1575"/>
      <c r="SU21" s="1575"/>
      <c r="SV21" s="1575"/>
      <c r="SW21" s="1575"/>
      <c r="SX21" s="1575"/>
      <c r="SY21" s="1575"/>
      <c r="SZ21" s="1575"/>
      <c r="TA21" s="1575"/>
      <c r="TB21" s="1575"/>
      <c r="TC21" s="1575"/>
      <c r="TD21" s="1575"/>
      <c r="TE21" s="1575"/>
      <c r="TF21" s="1575"/>
      <c r="TG21" s="1575"/>
      <c r="TH21" s="1575"/>
      <c r="TI21" s="1575"/>
      <c r="TJ21" s="1575"/>
      <c r="TK21" s="1575"/>
      <c r="TL21" s="1575"/>
      <c r="TM21" s="1575"/>
      <c r="TN21" s="1575"/>
      <c r="TO21" s="1575"/>
      <c r="TP21" s="1575"/>
      <c r="TQ21" s="1575"/>
      <c r="TR21" s="1575"/>
      <c r="TS21" s="1575"/>
      <c r="TT21" s="1575"/>
      <c r="TU21" s="1575"/>
      <c r="TV21" s="1575"/>
      <c r="TW21" s="1575"/>
      <c r="TX21" s="1575"/>
      <c r="TY21" s="1575"/>
      <c r="TZ21" s="1575"/>
      <c r="UA21" s="1575"/>
      <c r="UB21" s="1575"/>
      <c r="UC21" s="1575"/>
      <c r="UD21" s="1575"/>
      <c r="UE21" s="1575"/>
      <c r="UF21" s="1575"/>
      <c r="UG21" s="1575"/>
      <c r="UH21" s="1575"/>
      <c r="UI21" s="1575"/>
      <c r="UJ21" s="1575"/>
      <c r="UK21" s="1575"/>
      <c r="UL21" s="1575"/>
      <c r="UM21" s="1575"/>
      <c r="UN21" s="1575"/>
      <c r="UO21" s="1575"/>
      <c r="UP21" s="1575"/>
      <c r="UQ21" s="1575"/>
      <c r="UR21" s="1575"/>
      <c r="US21" s="1575"/>
      <c r="UT21" s="1575"/>
      <c r="UU21" s="1575"/>
      <c r="UV21" s="1575"/>
      <c r="UW21" s="1575"/>
      <c r="UX21" s="1575"/>
      <c r="UY21" s="1575"/>
      <c r="UZ21" s="1575"/>
      <c r="VA21" s="1575"/>
      <c r="VB21" s="1575"/>
      <c r="VC21" s="1575"/>
      <c r="VD21" s="1575"/>
      <c r="VE21" s="1575"/>
      <c r="VF21" s="1575"/>
      <c r="VG21" s="1575"/>
      <c r="VH21" s="1575"/>
      <c r="VI21" s="1575"/>
      <c r="VJ21" s="1575"/>
      <c r="VK21" s="1575"/>
    </row>
    <row r="22" spans="1:583" s="2072" customFormat="1" ht="27" x14ac:dyDescent="0.25">
      <c r="A22" s="694"/>
      <c r="B22" s="2073" t="s">
        <v>629</v>
      </c>
      <c r="C22" s="2074" t="s">
        <v>2705</v>
      </c>
      <c r="D22" s="4715" t="s">
        <v>2706</v>
      </c>
      <c r="E22" s="4715">
        <v>0</v>
      </c>
      <c r="F22" s="1575"/>
      <c r="G22" s="1575"/>
      <c r="H22" s="1575"/>
      <c r="I22" s="1575"/>
      <c r="J22" s="1575"/>
      <c r="K22" s="1575"/>
      <c r="L22" s="1575"/>
      <c r="M22" s="1575"/>
      <c r="N22" s="1575"/>
      <c r="O22" s="1575"/>
      <c r="P22" s="1575"/>
      <c r="Q22" s="1575"/>
      <c r="R22" s="1575"/>
      <c r="S22" s="1575"/>
      <c r="T22" s="1575"/>
      <c r="U22" s="1575"/>
      <c r="V22" s="1575"/>
      <c r="W22" s="1575"/>
      <c r="X22" s="1575"/>
      <c r="Y22" s="1575"/>
      <c r="Z22" s="1575"/>
      <c r="AA22" s="1575"/>
      <c r="AB22" s="1575"/>
      <c r="AC22" s="1575"/>
      <c r="AD22" s="1575"/>
      <c r="AE22" s="1575"/>
      <c r="AF22" s="1575"/>
      <c r="AG22" s="1575"/>
      <c r="AH22" s="1575"/>
      <c r="AI22" s="1575"/>
      <c r="AJ22" s="1575"/>
      <c r="AK22" s="1575"/>
      <c r="AL22" s="1575"/>
      <c r="AM22" s="1575"/>
      <c r="AN22" s="1575"/>
      <c r="AO22" s="1575"/>
      <c r="AP22" s="1575"/>
      <c r="AQ22" s="1575"/>
      <c r="AR22" s="1575"/>
      <c r="AS22" s="1575"/>
      <c r="AT22" s="1575"/>
      <c r="AU22" s="1575"/>
      <c r="AV22" s="1575"/>
      <c r="AW22" s="1575"/>
      <c r="AX22" s="1575"/>
      <c r="AY22" s="1575"/>
      <c r="AZ22" s="1575"/>
      <c r="BA22" s="1575"/>
      <c r="BB22" s="1575"/>
      <c r="BC22" s="1575"/>
      <c r="BD22" s="1575"/>
      <c r="BE22" s="1575"/>
      <c r="BF22" s="1575"/>
      <c r="BG22" s="1575"/>
      <c r="BH22" s="1575"/>
      <c r="BI22" s="1575"/>
      <c r="BJ22" s="1575"/>
      <c r="BK22" s="1575"/>
      <c r="BL22" s="1575"/>
      <c r="BM22" s="1575"/>
      <c r="BN22" s="1575"/>
      <c r="BO22" s="1575"/>
      <c r="BP22" s="1575"/>
      <c r="BQ22" s="1575"/>
      <c r="BR22" s="1575"/>
      <c r="BS22" s="1575"/>
      <c r="BT22" s="1575"/>
      <c r="BU22" s="1575"/>
      <c r="BV22" s="1575"/>
      <c r="BW22" s="1575"/>
      <c r="BX22" s="1575"/>
      <c r="BY22" s="1575"/>
      <c r="BZ22" s="1575"/>
      <c r="CA22" s="1575"/>
      <c r="CB22" s="1575"/>
      <c r="CC22" s="1575"/>
      <c r="CD22" s="1575"/>
      <c r="CE22" s="1575"/>
      <c r="CF22" s="1575"/>
      <c r="CG22" s="1575"/>
      <c r="CH22" s="1575"/>
      <c r="CI22" s="1575"/>
      <c r="CJ22" s="1575"/>
      <c r="CK22" s="1575"/>
      <c r="CL22" s="1575"/>
      <c r="CM22" s="1575"/>
      <c r="CN22" s="1575"/>
      <c r="CO22" s="1575"/>
      <c r="CP22" s="1575"/>
      <c r="CQ22" s="1575"/>
      <c r="CR22" s="1575"/>
      <c r="CS22" s="1575"/>
      <c r="CT22" s="1575"/>
      <c r="CU22" s="1575"/>
      <c r="CV22" s="1575"/>
      <c r="CW22" s="1575"/>
      <c r="CX22" s="1575"/>
      <c r="CY22" s="1575"/>
      <c r="CZ22" s="1575"/>
      <c r="DA22" s="1575"/>
      <c r="DB22" s="1575"/>
      <c r="DC22" s="1575"/>
      <c r="DD22" s="1575"/>
      <c r="DE22" s="1575"/>
      <c r="DF22" s="1575"/>
      <c r="DG22" s="1575"/>
      <c r="DH22" s="1575"/>
      <c r="DI22" s="1575"/>
      <c r="DJ22" s="1575"/>
      <c r="DK22" s="1575"/>
      <c r="DL22" s="1575"/>
      <c r="DM22" s="1575"/>
      <c r="DN22" s="1575"/>
      <c r="DO22" s="1575"/>
      <c r="DP22" s="1575"/>
      <c r="DQ22" s="1575"/>
      <c r="DR22" s="1575"/>
      <c r="DS22" s="1575"/>
      <c r="DT22" s="1575"/>
      <c r="DU22" s="1575"/>
      <c r="DV22" s="1575"/>
      <c r="DW22" s="1575"/>
      <c r="DX22" s="1575"/>
      <c r="DY22" s="1575"/>
      <c r="DZ22" s="1575"/>
      <c r="EA22" s="1575"/>
      <c r="EB22" s="1575"/>
      <c r="EC22" s="1575"/>
      <c r="ED22" s="1575"/>
      <c r="EE22" s="1575"/>
      <c r="EF22" s="1575"/>
      <c r="EG22" s="1575"/>
      <c r="EH22" s="1575"/>
      <c r="EI22" s="1575"/>
      <c r="EJ22" s="1575"/>
      <c r="EK22" s="1575"/>
      <c r="EL22" s="1575"/>
      <c r="EM22" s="1575"/>
      <c r="EN22" s="1575"/>
      <c r="EO22" s="1575"/>
      <c r="EP22" s="1575"/>
      <c r="EQ22" s="1575"/>
      <c r="ER22" s="1575"/>
      <c r="ES22" s="1575"/>
      <c r="ET22" s="1575"/>
      <c r="EU22" s="1575"/>
      <c r="EV22" s="1575"/>
      <c r="EW22" s="1575"/>
      <c r="EX22" s="1575"/>
      <c r="EY22" s="1575"/>
      <c r="EZ22" s="1575"/>
      <c r="FA22" s="1575"/>
      <c r="FB22" s="1575"/>
      <c r="FC22" s="1575"/>
      <c r="FD22" s="1575"/>
      <c r="FE22" s="1575"/>
      <c r="FF22" s="1575"/>
      <c r="FG22" s="1575"/>
      <c r="FH22" s="1575"/>
      <c r="FI22" s="1575"/>
      <c r="FJ22" s="1575"/>
      <c r="FK22" s="1575"/>
      <c r="FL22" s="1575"/>
      <c r="FM22" s="1575"/>
      <c r="FN22" s="1575"/>
      <c r="FO22" s="1575"/>
      <c r="FP22" s="1575"/>
      <c r="FQ22" s="1575"/>
      <c r="FR22" s="1575"/>
      <c r="FS22" s="1575"/>
      <c r="FT22" s="1575"/>
      <c r="FU22" s="1575"/>
      <c r="FV22" s="1575"/>
      <c r="FW22" s="1575"/>
      <c r="FX22" s="1575"/>
      <c r="FY22" s="1575"/>
      <c r="FZ22" s="1575"/>
      <c r="GA22" s="1575"/>
      <c r="GB22" s="1575"/>
      <c r="GC22" s="1575"/>
      <c r="GD22" s="1575"/>
      <c r="GE22" s="1575"/>
      <c r="GF22" s="1575"/>
      <c r="GG22" s="1575"/>
      <c r="GH22" s="1575"/>
      <c r="GI22" s="1575"/>
      <c r="GJ22" s="1575"/>
      <c r="GK22" s="1575"/>
      <c r="GL22" s="1575"/>
      <c r="GM22" s="1575"/>
      <c r="GN22" s="1575"/>
      <c r="GO22" s="1575"/>
      <c r="GP22" s="1575"/>
      <c r="GQ22" s="1575"/>
      <c r="GR22" s="1575"/>
      <c r="GS22" s="1575"/>
      <c r="GT22" s="1575"/>
      <c r="GU22" s="1575"/>
      <c r="GV22" s="1575"/>
      <c r="GW22" s="1575"/>
      <c r="GX22" s="1575"/>
      <c r="GY22" s="1575"/>
      <c r="GZ22" s="1575"/>
      <c r="HA22" s="1575"/>
      <c r="HB22" s="1575"/>
      <c r="HC22" s="1575"/>
      <c r="HD22" s="1575"/>
      <c r="HE22" s="1575"/>
      <c r="HF22" s="1575"/>
      <c r="HG22" s="1575"/>
      <c r="HH22" s="1575"/>
      <c r="HI22" s="1575"/>
      <c r="HJ22" s="1575"/>
      <c r="HK22" s="1575"/>
      <c r="HL22" s="1575"/>
      <c r="HM22" s="1575"/>
      <c r="HN22" s="1575"/>
      <c r="HO22" s="1575"/>
      <c r="HP22" s="1575"/>
      <c r="HQ22" s="1575"/>
      <c r="HR22" s="1575"/>
      <c r="HS22" s="1575"/>
      <c r="HT22" s="1575"/>
      <c r="HU22" s="1575"/>
      <c r="HV22" s="1575"/>
      <c r="HW22" s="1575"/>
      <c r="HX22" s="1575"/>
      <c r="HY22" s="1575"/>
      <c r="HZ22" s="1575"/>
      <c r="IA22" s="1575"/>
      <c r="IB22" s="1575"/>
      <c r="IC22" s="1575"/>
      <c r="ID22" s="1575"/>
      <c r="IE22" s="1575"/>
      <c r="IF22" s="1575"/>
      <c r="IG22" s="1575"/>
      <c r="IH22" s="1575"/>
      <c r="II22" s="1575"/>
      <c r="IJ22" s="1575"/>
      <c r="IK22" s="1575"/>
      <c r="IL22" s="1575"/>
      <c r="IM22" s="1575"/>
      <c r="IN22" s="1575"/>
      <c r="IO22" s="1575"/>
      <c r="IP22" s="1575"/>
      <c r="IQ22" s="1575"/>
      <c r="IR22" s="1575"/>
      <c r="IS22" s="1575"/>
      <c r="IT22" s="1575"/>
      <c r="IU22" s="1575"/>
      <c r="IV22" s="1575"/>
      <c r="IW22" s="1575"/>
      <c r="IX22" s="1575"/>
      <c r="IY22" s="1575"/>
      <c r="IZ22" s="1575"/>
      <c r="JA22" s="1587"/>
      <c r="JB22" s="1587"/>
      <c r="JC22" s="1587"/>
      <c r="JD22" s="1587"/>
      <c r="JE22" s="1587"/>
      <c r="JF22" s="1587"/>
      <c r="JG22" s="1587"/>
      <c r="JH22" s="1587"/>
      <c r="JI22" s="1587"/>
      <c r="JJ22" s="1587"/>
      <c r="JK22" s="1587"/>
      <c r="JL22" s="1587"/>
      <c r="JM22" s="1587"/>
      <c r="JN22" s="1587"/>
      <c r="JO22" s="1587"/>
      <c r="JP22" s="1587"/>
      <c r="JQ22" s="1587"/>
      <c r="JR22" s="1575"/>
      <c r="JS22" s="1575"/>
      <c r="JT22" s="1575"/>
      <c r="JU22" s="1575"/>
      <c r="JV22" s="1575"/>
      <c r="JW22" s="1575"/>
      <c r="JX22" s="1575"/>
      <c r="JY22" s="1575"/>
      <c r="JZ22" s="1575"/>
      <c r="KA22" s="1575"/>
      <c r="KB22" s="1575"/>
      <c r="KC22" s="1575"/>
      <c r="KD22" s="1575"/>
      <c r="KE22" s="1575"/>
      <c r="KF22" s="1575"/>
      <c r="KG22" s="1575"/>
      <c r="KH22" s="1575"/>
      <c r="KI22" s="1575"/>
      <c r="KJ22" s="1575"/>
      <c r="KK22" s="1575"/>
      <c r="KL22" s="1575"/>
      <c r="KM22" s="1575"/>
      <c r="KN22" s="1575"/>
      <c r="KO22" s="1575"/>
      <c r="KP22" s="1575"/>
      <c r="KQ22" s="1575"/>
      <c r="KR22" s="1575"/>
      <c r="KS22" s="1575"/>
      <c r="KT22" s="1575"/>
      <c r="KU22" s="1575"/>
      <c r="KV22" s="1575"/>
      <c r="KW22" s="1575"/>
      <c r="KX22" s="1575"/>
      <c r="KY22" s="1575"/>
      <c r="KZ22" s="1575"/>
      <c r="LA22" s="1575"/>
      <c r="LB22" s="1575"/>
      <c r="LC22" s="1575"/>
      <c r="LD22" s="1575"/>
      <c r="LE22" s="1575"/>
      <c r="LF22" s="1575"/>
      <c r="LG22" s="1575"/>
      <c r="LH22" s="1575"/>
      <c r="LI22" s="1575"/>
      <c r="LJ22" s="1575"/>
      <c r="LK22" s="1575"/>
      <c r="LL22" s="1575"/>
      <c r="LM22" s="1575"/>
      <c r="LN22" s="1575"/>
      <c r="LO22" s="1575"/>
      <c r="LP22" s="1575"/>
      <c r="LQ22" s="1575"/>
      <c r="LR22" s="1575"/>
      <c r="LS22" s="1575"/>
      <c r="LT22" s="1575"/>
      <c r="LU22" s="1575"/>
      <c r="LV22" s="1575"/>
      <c r="LW22" s="1575"/>
      <c r="LX22" s="1575"/>
      <c r="LY22" s="1575"/>
      <c r="LZ22" s="1575"/>
      <c r="MA22" s="1575"/>
      <c r="MB22" s="1575"/>
      <c r="MC22" s="1575"/>
      <c r="MD22" s="1575"/>
      <c r="ME22" s="1575"/>
      <c r="MF22" s="1575"/>
      <c r="MG22" s="1575"/>
      <c r="MH22" s="1575"/>
      <c r="MI22" s="1575"/>
      <c r="MJ22" s="1575"/>
      <c r="MK22" s="1575"/>
      <c r="ML22" s="1575"/>
      <c r="MM22" s="1575"/>
      <c r="MN22" s="1575"/>
      <c r="MO22" s="1575"/>
      <c r="MP22" s="1575"/>
      <c r="MQ22" s="1575"/>
      <c r="MR22" s="1575"/>
      <c r="MS22" s="1575"/>
      <c r="MT22" s="1575"/>
      <c r="MU22" s="1575"/>
      <c r="MV22" s="1575"/>
      <c r="MW22" s="1575"/>
      <c r="MX22" s="1575"/>
      <c r="MY22" s="1575"/>
      <c r="MZ22" s="1575"/>
      <c r="NA22" s="1575"/>
      <c r="NB22" s="1575"/>
      <c r="NC22" s="1575"/>
      <c r="ND22" s="1575"/>
      <c r="NE22" s="1575"/>
      <c r="NF22" s="1575"/>
      <c r="NG22" s="1575"/>
      <c r="NH22" s="1575"/>
      <c r="NI22" s="1575"/>
      <c r="NJ22" s="1575"/>
      <c r="NK22" s="1575"/>
      <c r="NL22" s="1575"/>
      <c r="NM22" s="1575"/>
      <c r="NN22" s="1575"/>
      <c r="NO22" s="1575"/>
      <c r="NP22" s="1575"/>
      <c r="NQ22" s="1575"/>
      <c r="NR22" s="1575"/>
      <c r="NS22" s="1575"/>
      <c r="NT22" s="1575"/>
      <c r="NU22" s="1575"/>
      <c r="NV22" s="1575"/>
      <c r="NW22" s="1575"/>
      <c r="NX22" s="1575"/>
      <c r="NY22" s="1575"/>
      <c r="NZ22" s="1575"/>
      <c r="OA22" s="1575"/>
      <c r="OB22" s="1575"/>
      <c r="OC22" s="1575"/>
      <c r="OD22" s="1575"/>
      <c r="OE22" s="1575"/>
      <c r="OF22" s="1575"/>
      <c r="OG22" s="1575"/>
      <c r="OH22" s="1575"/>
      <c r="OI22" s="1575"/>
      <c r="OJ22" s="1575"/>
      <c r="OK22" s="1575"/>
      <c r="OL22" s="1575"/>
      <c r="OM22" s="1575"/>
      <c r="ON22" s="1575"/>
      <c r="OO22" s="1575"/>
      <c r="OP22" s="1575"/>
      <c r="OQ22" s="1575"/>
      <c r="OR22" s="1575"/>
      <c r="OS22" s="1575"/>
      <c r="OT22" s="1575"/>
      <c r="OU22" s="1575"/>
      <c r="OV22" s="1575"/>
      <c r="OW22" s="1575"/>
      <c r="OX22" s="1575"/>
      <c r="OY22" s="1575"/>
      <c r="OZ22" s="1575"/>
      <c r="PA22" s="1575"/>
      <c r="PB22" s="1575"/>
      <c r="PC22" s="1575"/>
      <c r="PD22" s="1575"/>
      <c r="PE22" s="1575"/>
      <c r="PF22" s="1575"/>
      <c r="PG22" s="1575"/>
      <c r="PH22" s="1575"/>
      <c r="PI22" s="1575"/>
      <c r="PJ22" s="1575"/>
      <c r="PK22" s="1575"/>
      <c r="PL22" s="1575"/>
      <c r="PM22" s="1575"/>
      <c r="PN22" s="1575"/>
      <c r="PO22" s="1575"/>
      <c r="PP22" s="1575"/>
      <c r="PQ22" s="1575"/>
      <c r="PR22" s="1575"/>
      <c r="PS22" s="1575"/>
      <c r="PT22" s="1575"/>
      <c r="PU22" s="1575"/>
      <c r="PV22" s="1575"/>
      <c r="PW22" s="1575"/>
      <c r="PX22" s="1575"/>
      <c r="PY22" s="1575"/>
      <c r="PZ22" s="1575"/>
      <c r="QA22" s="1575"/>
      <c r="QB22" s="1575"/>
      <c r="QC22" s="1575"/>
      <c r="QD22" s="1575"/>
      <c r="QE22" s="1575"/>
      <c r="QF22" s="1575"/>
      <c r="QG22" s="1575"/>
      <c r="QH22" s="1575"/>
      <c r="QI22" s="1575"/>
      <c r="QJ22" s="1575"/>
      <c r="QK22" s="1575"/>
      <c r="QL22" s="1575"/>
      <c r="QM22" s="1575"/>
      <c r="QN22" s="1575"/>
      <c r="QO22" s="1575"/>
      <c r="QP22" s="1575"/>
      <c r="QQ22" s="1575"/>
      <c r="QR22" s="1575"/>
      <c r="QS22" s="1575"/>
      <c r="QT22" s="1575"/>
      <c r="QU22" s="1575"/>
      <c r="QV22" s="1575"/>
      <c r="QW22" s="1575"/>
      <c r="QX22" s="1575"/>
      <c r="QY22" s="1575"/>
      <c r="QZ22" s="1575"/>
      <c r="RA22" s="1575"/>
      <c r="RB22" s="1575"/>
      <c r="RC22" s="1575"/>
      <c r="RD22" s="1575"/>
      <c r="RE22" s="1575"/>
      <c r="RF22" s="1575"/>
      <c r="RG22" s="1575"/>
      <c r="RH22" s="1575"/>
      <c r="RI22" s="1575"/>
      <c r="RJ22" s="1575"/>
      <c r="RK22" s="1575"/>
      <c r="RL22" s="1575"/>
      <c r="RM22" s="1575"/>
      <c r="RN22" s="1575"/>
      <c r="RO22" s="1575"/>
      <c r="RP22" s="1575"/>
      <c r="RQ22" s="1575"/>
      <c r="RR22" s="1575"/>
      <c r="RS22" s="1575"/>
      <c r="RT22" s="1575"/>
      <c r="RU22" s="1575"/>
      <c r="RV22" s="1575"/>
      <c r="RW22" s="1575"/>
      <c r="RX22" s="1575"/>
      <c r="RY22" s="1575"/>
      <c r="RZ22" s="1575"/>
      <c r="SA22" s="1575"/>
      <c r="SB22" s="1575"/>
      <c r="SC22" s="1575"/>
      <c r="SD22" s="1575"/>
      <c r="SE22" s="1575"/>
      <c r="SF22" s="1575"/>
      <c r="SG22" s="1575"/>
      <c r="SH22" s="1575"/>
      <c r="SI22" s="1575"/>
      <c r="SJ22" s="1575"/>
      <c r="SK22" s="1575"/>
      <c r="SL22" s="1575"/>
      <c r="SM22" s="1575"/>
      <c r="SN22" s="1575"/>
      <c r="SO22" s="1575"/>
      <c r="SP22" s="1575"/>
      <c r="SQ22" s="1575"/>
      <c r="SR22" s="1575"/>
      <c r="SS22" s="1575"/>
      <c r="ST22" s="1575"/>
      <c r="SU22" s="1575"/>
      <c r="SV22" s="1575"/>
      <c r="SW22" s="1575"/>
      <c r="SX22" s="1575"/>
      <c r="SY22" s="1575"/>
      <c r="SZ22" s="1575"/>
      <c r="TA22" s="1575"/>
      <c r="TB22" s="1575"/>
      <c r="TC22" s="1575"/>
      <c r="TD22" s="1575"/>
      <c r="TE22" s="1575"/>
      <c r="TF22" s="1575"/>
      <c r="TG22" s="1575"/>
      <c r="TH22" s="1575"/>
      <c r="TI22" s="1575"/>
      <c r="TJ22" s="1575"/>
      <c r="TK22" s="1575"/>
      <c r="TL22" s="1575"/>
      <c r="TM22" s="1575"/>
      <c r="TN22" s="1575"/>
      <c r="TO22" s="1575"/>
      <c r="TP22" s="1575"/>
      <c r="TQ22" s="1575"/>
      <c r="TR22" s="1575"/>
      <c r="TS22" s="1575"/>
      <c r="TT22" s="1575"/>
      <c r="TU22" s="1575"/>
      <c r="TV22" s="1575"/>
      <c r="TW22" s="1575"/>
      <c r="TX22" s="1575"/>
      <c r="TY22" s="1575"/>
      <c r="TZ22" s="1575"/>
      <c r="UA22" s="1575"/>
      <c r="UB22" s="1575"/>
      <c r="UC22" s="1575"/>
      <c r="UD22" s="1575"/>
      <c r="UE22" s="1575"/>
      <c r="UF22" s="1575"/>
      <c r="UG22" s="1575"/>
      <c r="UH22" s="1575"/>
      <c r="UI22" s="1575"/>
      <c r="UJ22" s="1575"/>
      <c r="UK22" s="1575"/>
      <c r="UL22" s="1575"/>
      <c r="UM22" s="1575"/>
      <c r="UN22" s="1575"/>
      <c r="UO22" s="1575"/>
      <c r="UP22" s="1575"/>
      <c r="UQ22" s="1575"/>
      <c r="UR22" s="1575"/>
      <c r="US22" s="1575"/>
      <c r="UT22" s="1575"/>
      <c r="UU22" s="1575"/>
      <c r="UV22" s="1575"/>
      <c r="UW22" s="1575"/>
      <c r="UX22" s="1575"/>
      <c r="UY22" s="1575"/>
      <c r="UZ22" s="1575"/>
      <c r="VA22" s="1575"/>
      <c r="VB22" s="1575"/>
      <c r="VC22" s="1575"/>
      <c r="VD22" s="1575"/>
      <c r="VE22" s="1575"/>
      <c r="VF22" s="1575"/>
      <c r="VG22" s="1575"/>
      <c r="VH22" s="1575"/>
      <c r="VI22" s="1575"/>
      <c r="VJ22" s="1575"/>
      <c r="VK22" s="1575"/>
    </row>
    <row r="23" spans="1:583" s="2072" customFormat="1" ht="27" x14ac:dyDescent="0.25">
      <c r="A23" s="694"/>
      <c r="B23" s="2073" t="s">
        <v>629</v>
      </c>
      <c r="C23" s="2074" t="s">
        <v>2707</v>
      </c>
      <c r="D23" s="4715" t="s">
        <v>2708</v>
      </c>
      <c r="E23" s="4715">
        <v>0</v>
      </c>
      <c r="F23" s="1575"/>
      <c r="G23" s="1575"/>
      <c r="H23" s="1575"/>
      <c r="I23" s="1575"/>
      <c r="J23" s="1575"/>
      <c r="K23" s="1575"/>
      <c r="L23" s="1575"/>
      <c r="M23" s="1575"/>
      <c r="N23" s="1575"/>
      <c r="O23" s="1575"/>
      <c r="P23" s="1575"/>
      <c r="Q23" s="1575"/>
      <c r="R23" s="1575"/>
      <c r="S23" s="1575"/>
      <c r="T23" s="1575"/>
      <c r="U23" s="1575"/>
      <c r="V23" s="1575"/>
      <c r="W23" s="1575"/>
      <c r="X23" s="1575"/>
      <c r="Y23" s="1575"/>
      <c r="Z23" s="1575"/>
      <c r="AA23" s="1575"/>
      <c r="AB23" s="1575"/>
      <c r="AC23" s="1575"/>
      <c r="AD23" s="1575"/>
      <c r="AE23" s="1575"/>
      <c r="AF23" s="1575"/>
      <c r="AG23" s="1575"/>
      <c r="AH23" s="1575"/>
      <c r="AI23" s="1575"/>
      <c r="AJ23" s="1575"/>
      <c r="AK23" s="1575"/>
      <c r="AL23" s="1575"/>
      <c r="AM23" s="1575"/>
      <c r="AN23" s="1575"/>
      <c r="AO23" s="1575"/>
      <c r="AP23" s="1575"/>
      <c r="AQ23" s="1575"/>
      <c r="AR23" s="1575"/>
      <c r="AS23" s="1575"/>
      <c r="AT23" s="1575"/>
      <c r="AU23" s="1575"/>
      <c r="AV23" s="1575"/>
      <c r="AW23" s="1575"/>
      <c r="AX23" s="1575"/>
      <c r="AY23" s="1575"/>
      <c r="AZ23" s="1575"/>
      <c r="BA23" s="1575"/>
      <c r="BB23" s="1575"/>
      <c r="BC23" s="1575"/>
      <c r="BD23" s="1575"/>
      <c r="BE23" s="1575"/>
      <c r="BF23" s="1575"/>
      <c r="BG23" s="1575"/>
      <c r="BH23" s="1575"/>
      <c r="BI23" s="1575"/>
      <c r="BJ23" s="1575"/>
      <c r="BK23" s="1575"/>
      <c r="BL23" s="1575"/>
      <c r="BM23" s="1575"/>
      <c r="BN23" s="1575"/>
      <c r="BO23" s="1575"/>
      <c r="BP23" s="1575"/>
      <c r="BQ23" s="1575"/>
      <c r="BR23" s="1575"/>
      <c r="BS23" s="1575"/>
      <c r="BT23" s="1575"/>
      <c r="BU23" s="1575"/>
      <c r="BV23" s="1575"/>
      <c r="BW23" s="1575"/>
      <c r="BX23" s="1575"/>
      <c r="BY23" s="1575"/>
      <c r="BZ23" s="1575"/>
      <c r="CA23" s="1575"/>
      <c r="CB23" s="1575"/>
      <c r="CC23" s="1575"/>
      <c r="CD23" s="1575"/>
      <c r="CE23" s="1575"/>
      <c r="CF23" s="1575"/>
      <c r="CG23" s="1575"/>
      <c r="CH23" s="1575"/>
      <c r="CI23" s="1575"/>
      <c r="CJ23" s="1575"/>
      <c r="CK23" s="1575"/>
      <c r="CL23" s="1575"/>
      <c r="CM23" s="1575"/>
      <c r="CN23" s="1575"/>
      <c r="CO23" s="1575"/>
      <c r="CP23" s="1575"/>
      <c r="CQ23" s="1575"/>
      <c r="CR23" s="1575"/>
      <c r="CS23" s="1575"/>
      <c r="CT23" s="1575"/>
      <c r="CU23" s="1575"/>
      <c r="CV23" s="1575"/>
      <c r="CW23" s="1575"/>
      <c r="CX23" s="1575"/>
      <c r="CY23" s="1575"/>
      <c r="CZ23" s="1575"/>
      <c r="DA23" s="1575"/>
      <c r="DB23" s="1575"/>
      <c r="DC23" s="1575"/>
      <c r="DD23" s="1575"/>
      <c r="DE23" s="1575"/>
      <c r="DF23" s="1575"/>
      <c r="DG23" s="1575"/>
      <c r="DH23" s="1575"/>
      <c r="DI23" s="1575"/>
      <c r="DJ23" s="1575"/>
      <c r="DK23" s="1575"/>
      <c r="DL23" s="1575"/>
      <c r="DM23" s="1575"/>
      <c r="DN23" s="1575"/>
      <c r="DO23" s="1575"/>
      <c r="DP23" s="1575"/>
      <c r="DQ23" s="1575"/>
      <c r="DR23" s="1575"/>
      <c r="DS23" s="1575"/>
      <c r="DT23" s="1575"/>
      <c r="DU23" s="1575"/>
      <c r="DV23" s="1575"/>
      <c r="DW23" s="1575"/>
      <c r="DX23" s="1575"/>
      <c r="DY23" s="1575"/>
      <c r="DZ23" s="1575"/>
      <c r="EA23" s="1575"/>
      <c r="EB23" s="1575"/>
      <c r="EC23" s="1575"/>
      <c r="ED23" s="1575"/>
      <c r="EE23" s="1575"/>
      <c r="EF23" s="1575"/>
      <c r="EG23" s="1575"/>
      <c r="EH23" s="1575"/>
      <c r="EI23" s="1575"/>
      <c r="EJ23" s="1575"/>
      <c r="EK23" s="1575"/>
      <c r="EL23" s="1575"/>
      <c r="EM23" s="1575"/>
      <c r="EN23" s="1575"/>
      <c r="EO23" s="1575"/>
      <c r="EP23" s="1575"/>
      <c r="EQ23" s="1575"/>
      <c r="ER23" s="1575"/>
      <c r="ES23" s="1575"/>
      <c r="ET23" s="1575"/>
      <c r="EU23" s="1575"/>
      <c r="EV23" s="1575"/>
      <c r="EW23" s="1575"/>
      <c r="EX23" s="1575"/>
      <c r="EY23" s="1575"/>
      <c r="EZ23" s="1575"/>
      <c r="FA23" s="1575"/>
      <c r="FB23" s="1575"/>
      <c r="FC23" s="1575"/>
      <c r="FD23" s="1575"/>
      <c r="FE23" s="1575"/>
      <c r="FF23" s="1575"/>
      <c r="FG23" s="1575"/>
      <c r="FH23" s="1575"/>
      <c r="FI23" s="1575"/>
      <c r="FJ23" s="1575"/>
      <c r="FK23" s="1575"/>
      <c r="FL23" s="1575"/>
      <c r="FM23" s="1575"/>
      <c r="FN23" s="1575"/>
      <c r="FO23" s="1575"/>
      <c r="FP23" s="1575"/>
      <c r="FQ23" s="1575"/>
      <c r="FR23" s="1575"/>
      <c r="FS23" s="1575"/>
      <c r="FT23" s="1575"/>
      <c r="FU23" s="1575"/>
      <c r="FV23" s="1575"/>
      <c r="FW23" s="1575"/>
      <c r="FX23" s="1575"/>
      <c r="FY23" s="1575"/>
      <c r="FZ23" s="1575"/>
      <c r="GA23" s="1575"/>
      <c r="GB23" s="1575"/>
      <c r="GC23" s="1575"/>
      <c r="GD23" s="1575"/>
      <c r="GE23" s="1575"/>
      <c r="GF23" s="1575"/>
      <c r="GG23" s="1575"/>
      <c r="GH23" s="1575"/>
      <c r="GI23" s="1575"/>
      <c r="GJ23" s="1575"/>
      <c r="GK23" s="1575"/>
      <c r="GL23" s="1575"/>
      <c r="GM23" s="1575"/>
      <c r="GN23" s="1575"/>
      <c r="GO23" s="1575"/>
      <c r="GP23" s="1575"/>
      <c r="GQ23" s="1575"/>
      <c r="GR23" s="1575"/>
      <c r="GS23" s="1575"/>
      <c r="GT23" s="1575"/>
      <c r="GU23" s="1575"/>
      <c r="GV23" s="1575"/>
      <c r="GW23" s="1575"/>
      <c r="GX23" s="1575"/>
      <c r="GY23" s="1575"/>
      <c r="GZ23" s="1575"/>
      <c r="HA23" s="1575"/>
      <c r="HB23" s="1575"/>
      <c r="HC23" s="1575"/>
      <c r="HD23" s="1575"/>
      <c r="HE23" s="1575"/>
      <c r="HF23" s="1575"/>
      <c r="HG23" s="1575"/>
      <c r="HH23" s="1575"/>
      <c r="HI23" s="1575"/>
      <c r="HJ23" s="1575"/>
      <c r="HK23" s="1575"/>
      <c r="HL23" s="1575"/>
      <c r="HM23" s="1575"/>
      <c r="HN23" s="1575"/>
      <c r="HO23" s="1575"/>
      <c r="HP23" s="1575"/>
      <c r="HQ23" s="1575"/>
      <c r="HR23" s="1575"/>
      <c r="HS23" s="1575"/>
      <c r="HT23" s="1575"/>
      <c r="HU23" s="1575"/>
      <c r="HV23" s="1575"/>
      <c r="HW23" s="1575"/>
      <c r="HX23" s="1575"/>
      <c r="HY23" s="1575"/>
      <c r="HZ23" s="1575"/>
      <c r="IA23" s="1575"/>
      <c r="IB23" s="1575"/>
      <c r="IC23" s="1575"/>
      <c r="ID23" s="1575"/>
      <c r="IE23" s="1575"/>
      <c r="IF23" s="1575"/>
      <c r="IG23" s="1575"/>
      <c r="IH23" s="1575"/>
      <c r="II23" s="1575"/>
      <c r="IJ23" s="1575"/>
      <c r="IK23" s="1575"/>
      <c r="IL23" s="1575"/>
      <c r="IM23" s="1575"/>
      <c r="IN23" s="1575"/>
      <c r="IO23" s="1575"/>
      <c r="IP23" s="1575"/>
      <c r="IQ23" s="1575"/>
      <c r="IR23" s="1575"/>
      <c r="IS23" s="1575"/>
      <c r="IT23" s="1575"/>
      <c r="IU23" s="1575"/>
      <c r="IV23" s="1575"/>
      <c r="IW23" s="1575"/>
      <c r="IX23" s="1575"/>
      <c r="IY23" s="1575"/>
      <c r="IZ23" s="1575"/>
      <c r="JA23" s="1587"/>
      <c r="JB23" s="1587"/>
      <c r="JC23" s="1587"/>
      <c r="JD23" s="1587"/>
      <c r="JE23" s="1587"/>
      <c r="JF23" s="1587"/>
      <c r="JG23" s="1587"/>
      <c r="JH23" s="1587"/>
      <c r="JI23" s="1587"/>
      <c r="JJ23" s="1587"/>
      <c r="JK23" s="1587"/>
      <c r="JL23" s="1587"/>
      <c r="JM23" s="1587"/>
      <c r="JN23" s="1587"/>
      <c r="JO23" s="1587"/>
      <c r="JP23" s="1587"/>
      <c r="JQ23" s="1587"/>
      <c r="JR23" s="1575"/>
      <c r="JS23" s="1575"/>
      <c r="JT23" s="1575"/>
      <c r="JU23" s="1575"/>
      <c r="JV23" s="1575"/>
      <c r="JW23" s="1575"/>
      <c r="JX23" s="1575"/>
      <c r="JY23" s="1575"/>
      <c r="JZ23" s="1575"/>
      <c r="KA23" s="1575"/>
      <c r="KB23" s="1575"/>
      <c r="KC23" s="1575"/>
      <c r="KD23" s="1575"/>
      <c r="KE23" s="1575"/>
      <c r="KF23" s="1575"/>
      <c r="KG23" s="1575"/>
      <c r="KH23" s="1575"/>
      <c r="KI23" s="1575"/>
      <c r="KJ23" s="1575"/>
      <c r="KK23" s="1575"/>
      <c r="KL23" s="1575"/>
      <c r="KM23" s="1575"/>
      <c r="KN23" s="1575"/>
      <c r="KO23" s="1575"/>
      <c r="KP23" s="1575"/>
      <c r="KQ23" s="1575"/>
      <c r="KR23" s="1575"/>
      <c r="KS23" s="1575"/>
      <c r="KT23" s="1575"/>
      <c r="KU23" s="1575"/>
      <c r="KV23" s="1575"/>
      <c r="KW23" s="1575"/>
      <c r="KX23" s="1575"/>
      <c r="KY23" s="1575"/>
      <c r="KZ23" s="1575"/>
      <c r="LA23" s="1575"/>
      <c r="LB23" s="1575"/>
      <c r="LC23" s="1575"/>
      <c r="LD23" s="1575"/>
      <c r="LE23" s="1575"/>
      <c r="LF23" s="1575"/>
      <c r="LG23" s="1575"/>
      <c r="LH23" s="1575"/>
      <c r="LI23" s="1575"/>
      <c r="LJ23" s="1575"/>
      <c r="LK23" s="1575"/>
      <c r="LL23" s="1575"/>
      <c r="LM23" s="1575"/>
      <c r="LN23" s="1575"/>
      <c r="LO23" s="1575"/>
      <c r="LP23" s="1575"/>
      <c r="LQ23" s="1575"/>
      <c r="LR23" s="1575"/>
      <c r="LS23" s="1575"/>
      <c r="LT23" s="1575"/>
      <c r="LU23" s="1575"/>
      <c r="LV23" s="1575"/>
      <c r="LW23" s="1575"/>
      <c r="LX23" s="1575"/>
      <c r="LY23" s="1575"/>
      <c r="LZ23" s="1575"/>
      <c r="MA23" s="1575"/>
      <c r="MB23" s="1575"/>
      <c r="MC23" s="1575"/>
      <c r="MD23" s="1575"/>
      <c r="ME23" s="1575"/>
      <c r="MF23" s="1575"/>
      <c r="MG23" s="1575"/>
      <c r="MH23" s="1575"/>
      <c r="MI23" s="1575"/>
      <c r="MJ23" s="1575"/>
      <c r="MK23" s="1575"/>
      <c r="ML23" s="1575"/>
      <c r="MM23" s="1575"/>
      <c r="MN23" s="1575"/>
      <c r="MO23" s="1575"/>
      <c r="MP23" s="1575"/>
      <c r="MQ23" s="1575"/>
      <c r="MR23" s="1575"/>
      <c r="MS23" s="1575"/>
      <c r="MT23" s="1575"/>
      <c r="MU23" s="1575"/>
      <c r="MV23" s="1575"/>
      <c r="MW23" s="1575"/>
      <c r="MX23" s="1575"/>
      <c r="MY23" s="1575"/>
      <c r="MZ23" s="1575"/>
      <c r="NA23" s="1575"/>
      <c r="NB23" s="1575"/>
      <c r="NC23" s="1575"/>
      <c r="ND23" s="1575"/>
      <c r="NE23" s="1575"/>
      <c r="NF23" s="1575"/>
      <c r="NG23" s="1575"/>
      <c r="NH23" s="1575"/>
      <c r="NI23" s="1575"/>
      <c r="NJ23" s="1575"/>
      <c r="NK23" s="1575"/>
      <c r="NL23" s="1575"/>
      <c r="NM23" s="1575"/>
      <c r="NN23" s="1575"/>
      <c r="NO23" s="1575"/>
      <c r="NP23" s="1575"/>
      <c r="NQ23" s="1575"/>
      <c r="NR23" s="1575"/>
      <c r="NS23" s="1575"/>
      <c r="NT23" s="1575"/>
      <c r="NU23" s="1575"/>
      <c r="NV23" s="1575"/>
      <c r="NW23" s="1575"/>
      <c r="NX23" s="1575"/>
      <c r="NY23" s="1575"/>
      <c r="NZ23" s="1575"/>
      <c r="OA23" s="1575"/>
      <c r="OB23" s="1575"/>
      <c r="OC23" s="1575"/>
      <c r="OD23" s="1575"/>
      <c r="OE23" s="1575"/>
      <c r="OF23" s="1575"/>
      <c r="OG23" s="1575"/>
      <c r="OH23" s="1575"/>
      <c r="OI23" s="1575"/>
      <c r="OJ23" s="1575"/>
      <c r="OK23" s="1575"/>
      <c r="OL23" s="1575"/>
      <c r="OM23" s="1575"/>
      <c r="ON23" s="1575"/>
      <c r="OO23" s="1575"/>
      <c r="OP23" s="1575"/>
      <c r="OQ23" s="1575"/>
      <c r="OR23" s="1575"/>
      <c r="OS23" s="1575"/>
      <c r="OT23" s="1575"/>
      <c r="OU23" s="1575"/>
      <c r="OV23" s="1575"/>
      <c r="OW23" s="1575"/>
      <c r="OX23" s="1575"/>
      <c r="OY23" s="1575"/>
      <c r="OZ23" s="1575"/>
      <c r="PA23" s="1575"/>
      <c r="PB23" s="1575"/>
      <c r="PC23" s="1575"/>
      <c r="PD23" s="1575"/>
      <c r="PE23" s="1575"/>
      <c r="PF23" s="1575"/>
      <c r="PG23" s="1575"/>
      <c r="PH23" s="1575"/>
      <c r="PI23" s="1575"/>
      <c r="PJ23" s="1575"/>
      <c r="PK23" s="1575"/>
      <c r="PL23" s="1575"/>
      <c r="PM23" s="1575"/>
      <c r="PN23" s="1575"/>
      <c r="PO23" s="1575"/>
      <c r="PP23" s="1575"/>
      <c r="PQ23" s="1575"/>
      <c r="PR23" s="1575"/>
      <c r="PS23" s="1575"/>
      <c r="PT23" s="1575"/>
      <c r="PU23" s="1575"/>
      <c r="PV23" s="1575"/>
      <c r="PW23" s="1575"/>
      <c r="PX23" s="1575"/>
      <c r="PY23" s="1575"/>
      <c r="PZ23" s="1575"/>
      <c r="QA23" s="1575"/>
      <c r="QB23" s="1575"/>
      <c r="QC23" s="1575"/>
      <c r="QD23" s="1575"/>
      <c r="QE23" s="1575"/>
      <c r="QF23" s="1575"/>
      <c r="QG23" s="1575"/>
      <c r="QH23" s="1575"/>
      <c r="QI23" s="1575"/>
      <c r="QJ23" s="1575"/>
      <c r="QK23" s="1575"/>
      <c r="QL23" s="1575"/>
      <c r="QM23" s="1575"/>
      <c r="QN23" s="1575"/>
      <c r="QO23" s="1575"/>
      <c r="QP23" s="1575"/>
      <c r="QQ23" s="1575"/>
      <c r="QR23" s="1575"/>
      <c r="QS23" s="1575"/>
      <c r="QT23" s="1575"/>
      <c r="QU23" s="1575"/>
      <c r="QV23" s="1575"/>
      <c r="QW23" s="1575"/>
      <c r="QX23" s="1575"/>
      <c r="QY23" s="1575"/>
      <c r="QZ23" s="1575"/>
      <c r="RA23" s="1575"/>
      <c r="RB23" s="1575"/>
      <c r="RC23" s="1575"/>
      <c r="RD23" s="1575"/>
      <c r="RE23" s="1575"/>
      <c r="RF23" s="1575"/>
      <c r="RG23" s="1575"/>
      <c r="RH23" s="1575"/>
      <c r="RI23" s="1575"/>
      <c r="RJ23" s="1575"/>
      <c r="RK23" s="1575"/>
      <c r="RL23" s="1575"/>
      <c r="RM23" s="1575"/>
      <c r="RN23" s="1575"/>
      <c r="RO23" s="1575"/>
      <c r="RP23" s="1575"/>
      <c r="RQ23" s="1575"/>
      <c r="RR23" s="1575"/>
      <c r="RS23" s="1575"/>
      <c r="RT23" s="1575"/>
      <c r="RU23" s="1575"/>
      <c r="RV23" s="1575"/>
      <c r="RW23" s="1575"/>
      <c r="RX23" s="1575"/>
      <c r="RY23" s="1575"/>
      <c r="RZ23" s="1575"/>
      <c r="SA23" s="1575"/>
      <c r="SB23" s="1575"/>
      <c r="SC23" s="1575"/>
      <c r="SD23" s="1575"/>
      <c r="SE23" s="1575"/>
      <c r="SF23" s="1575"/>
      <c r="SG23" s="1575"/>
      <c r="SH23" s="1575"/>
      <c r="SI23" s="1575"/>
      <c r="SJ23" s="1575"/>
      <c r="SK23" s="1575"/>
      <c r="SL23" s="1575"/>
      <c r="SM23" s="1575"/>
      <c r="SN23" s="1575"/>
      <c r="SO23" s="1575"/>
      <c r="SP23" s="1575"/>
      <c r="SQ23" s="1575"/>
      <c r="SR23" s="1575"/>
      <c r="SS23" s="1575"/>
      <c r="ST23" s="1575"/>
      <c r="SU23" s="1575"/>
      <c r="SV23" s="1575"/>
      <c r="SW23" s="1575"/>
      <c r="SX23" s="1575"/>
      <c r="SY23" s="1575"/>
      <c r="SZ23" s="1575"/>
      <c r="TA23" s="1575"/>
      <c r="TB23" s="1575"/>
      <c r="TC23" s="1575"/>
      <c r="TD23" s="1575"/>
      <c r="TE23" s="1575"/>
      <c r="TF23" s="1575"/>
      <c r="TG23" s="1575"/>
      <c r="TH23" s="1575"/>
      <c r="TI23" s="1575"/>
      <c r="TJ23" s="1575"/>
      <c r="TK23" s="1575"/>
      <c r="TL23" s="1575"/>
      <c r="TM23" s="1575"/>
      <c r="TN23" s="1575"/>
      <c r="TO23" s="1575"/>
      <c r="TP23" s="1575"/>
      <c r="TQ23" s="1575"/>
      <c r="TR23" s="1575"/>
      <c r="TS23" s="1575"/>
      <c r="TT23" s="1575"/>
      <c r="TU23" s="1575"/>
      <c r="TV23" s="1575"/>
      <c r="TW23" s="1575"/>
      <c r="TX23" s="1575"/>
      <c r="TY23" s="1575"/>
      <c r="TZ23" s="1575"/>
      <c r="UA23" s="1575"/>
      <c r="UB23" s="1575"/>
      <c r="UC23" s="1575"/>
      <c r="UD23" s="1575"/>
      <c r="UE23" s="1575"/>
      <c r="UF23" s="1575"/>
      <c r="UG23" s="1575"/>
      <c r="UH23" s="1575"/>
      <c r="UI23" s="1575"/>
      <c r="UJ23" s="1575"/>
      <c r="UK23" s="1575"/>
      <c r="UL23" s="1575"/>
      <c r="UM23" s="1575"/>
      <c r="UN23" s="1575"/>
      <c r="UO23" s="1575"/>
      <c r="UP23" s="1575"/>
      <c r="UQ23" s="1575"/>
      <c r="UR23" s="1575"/>
      <c r="US23" s="1575"/>
      <c r="UT23" s="1575"/>
      <c r="UU23" s="1575"/>
      <c r="UV23" s="1575"/>
      <c r="UW23" s="1575"/>
      <c r="UX23" s="1575"/>
      <c r="UY23" s="1575"/>
      <c r="UZ23" s="1575"/>
      <c r="VA23" s="1575"/>
      <c r="VB23" s="1575"/>
      <c r="VC23" s="1575"/>
      <c r="VD23" s="1575"/>
      <c r="VE23" s="1575"/>
      <c r="VF23" s="1575"/>
      <c r="VG23" s="1575"/>
      <c r="VH23" s="1575"/>
      <c r="VI23" s="1575"/>
      <c r="VJ23" s="1575"/>
      <c r="VK23" s="1575"/>
    </row>
    <row r="24" spans="1:583" s="2072" customFormat="1" ht="27" x14ac:dyDescent="0.25">
      <c r="A24" s="694"/>
      <c r="B24" s="2073" t="s">
        <v>629</v>
      </c>
      <c r="C24" s="2074" t="s">
        <v>2709</v>
      </c>
      <c r="D24" s="4715" t="s">
        <v>2710</v>
      </c>
      <c r="E24" s="4715">
        <v>0</v>
      </c>
      <c r="F24" s="1575"/>
      <c r="G24" s="1575"/>
      <c r="H24" s="1575"/>
      <c r="I24" s="1575"/>
      <c r="J24" s="1575"/>
      <c r="K24" s="1575"/>
      <c r="L24" s="1575"/>
      <c r="M24" s="1575"/>
      <c r="N24" s="1575"/>
      <c r="O24" s="1575"/>
      <c r="P24" s="1575"/>
      <c r="Q24" s="1575"/>
      <c r="R24" s="1575"/>
      <c r="S24" s="1575"/>
      <c r="T24" s="1575"/>
      <c r="U24" s="1575"/>
      <c r="V24" s="1575"/>
      <c r="W24" s="1575"/>
      <c r="X24" s="1575"/>
      <c r="Y24" s="1575"/>
      <c r="Z24" s="1575"/>
      <c r="AA24" s="1575"/>
      <c r="AB24" s="1575"/>
      <c r="AC24" s="1575"/>
      <c r="AD24" s="1575"/>
      <c r="AE24" s="1575"/>
      <c r="AF24" s="1575"/>
      <c r="AG24" s="1575"/>
      <c r="AH24" s="1575"/>
      <c r="AI24" s="1575"/>
      <c r="AJ24" s="1575"/>
      <c r="AK24" s="1575"/>
      <c r="AL24" s="1575"/>
      <c r="AM24" s="1575"/>
      <c r="AN24" s="1575"/>
      <c r="AO24" s="1575"/>
      <c r="AP24" s="1575"/>
      <c r="AQ24" s="1575"/>
      <c r="AR24" s="1575"/>
      <c r="AS24" s="1575"/>
      <c r="AT24" s="1575"/>
      <c r="AU24" s="1575"/>
      <c r="AV24" s="1575"/>
      <c r="AW24" s="1575"/>
      <c r="AX24" s="1575"/>
      <c r="AY24" s="1575"/>
      <c r="AZ24" s="1575"/>
      <c r="BA24" s="1575"/>
      <c r="BB24" s="1575"/>
      <c r="BC24" s="1575"/>
      <c r="BD24" s="1575"/>
      <c r="BE24" s="1575"/>
      <c r="BF24" s="1575"/>
      <c r="BG24" s="1575"/>
      <c r="BH24" s="1575"/>
      <c r="BI24" s="1575"/>
      <c r="BJ24" s="1575"/>
      <c r="BK24" s="1575"/>
      <c r="BL24" s="1575"/>
      <c r="BM24" s="1575"/>
      <c r="BN24" s="1575"/>
      <c r="BO24" s="1575"/>
      <c r="BP24" s="1575"/>
      <c r="BQ24" s="1575"/>
      <c r="BR24" s="1575"/>
      <c r="BS24" s="1575"/>
      <c r="BT24" s="1575"/>
      <c r="BU24" s="1575"/>
      <c r="BV24" s="1575"/>
      <c r="BW24" s="1575"/>
      <c r="BX24" s="1575"/>
      <c r="BY24" s="1575"/>
      <c r="BZ24" s="1575"/>
      <c r="CA24" s="1575"/>
      <c r="CB24" s="1575"/>
      <c r="CC24" s="1575"/>
      <c r="CD24" s="1575"/>
      <c r="CE24" s="1575"/>
      <c r="CF24" s="1575"/>
      <c r="CG24" s="1575"/>
      <c r="CH24" s="1575"/>
      <c r="CI24" s="1575"/>
      <c r="CJ24" s="1575"/>
      <c r="CK24" s="1575"/>
      <c r="CL24" s="1575"/>
      <c r="CM24" s="1575"/>
      <c r="CN24" s="1575"/>
      <c r="CO24" s="1575"/>
      <c r="CP24" s="1575"/>
      <c r="CQ24" s="1575"/>
      <c r="CR24" s="1575"/>
      <c r="CS24" s="1575"/>
      <c r="CT24" s="1575"/>
      <c r="CU24" s="1575"/>
      <c r="CV24" s="1575"/>
      <c r="CW24" s="1575"/>
      <c r="CX24" s="1575"/>
      <c r="CY24" s="1575"/>
      <c r="CZ24" s="1575"/>
      <c r="DA24" s="1575"/>
      <c r="DB24" s="1575"/>
      <c r="DC24" s="1575"/>
      <c r="DD24" s="1575"/>
      <c r="DE24" s="1575"/>
      <c r="DF24" s="1575"/>
      <c r="DG24" s="1575"/>
      <c r="DH24" s="1575"/>
      <c r="DI24" s="1575"/>
      <c r="DJ24" s="1575"/>
      <c r="DK24" s="1575"/>
      <c r="DL24" s="1575"/>
      <c r="DM24" s="1575"/>
      <c r="DN24" s="1575"/>
      <c r="DO24" s="1575"/>
      <c r="DP24" s="1575"/>
      <c r="DQ24" s="1575"/>
      <c r="DR24" s="1575"/>
      <c r="DS24" s="1575"/>
      <c r="DT24" s="1575"/>
      <c r="DU24" s="1575"/>
      <c r="DV24" s="1575"/>
      <c r="DW24" s="1575"/>
      <c r="DX24" s="1575"/>
      <c r="DY24" s="1575"/>
      <c r="DZ24" s="1575"/>
      <c r="EA24" s="1575"/>
      <c r="EB24" s="1575"/>
      <c r="EC24" s="1575"/>
      <c r="ED24" s="1575"/>
      <c r="EE24" s="1575"/>
      <c r="EF24" s="1575"/>
      <c r="EG24" s="1575"/>
      <c r="EH24" s="1575"/>
      <c r="EI24" s="1575"/>
      <c r="EJ24" s="1575"/>
      <c r="EK24" s="1575"/>
      <c r="EL24" s="1575"/>
      <c r="EM24" s="1575"/>
      <c r="EN24" s="1575"/>
      <c r="EO24" s="1575"/>
      <c r="EP24" s="1575"/>
      <c r="EQ24" s="1575"/>
      <c r="ER24" s="1575"/>
      <c r="ES24" s="1575"/>
      <c r="ET24" s="1575"/>
      <c r="EU24" s="1575"/>
      <c r="EV24" s="1575"/>
      <c r="EW24" s="1575"/>
      <c r="EX24" s="1575"/>
      <c r="EY24" s="1575"/>
      <c r="EZ24" s="1575"/>
      <c r="FA24" s="1575"/>
      <c r="FB24" s="1575"/>
      <c r="FC24" s="1575"/>
      <c r="FD24" s="1575"/>
      <c r="FE24" s="1575"/>
      <c r="FF24" s="1575"/>
      <c r="FG24" s="1575"/>
      <c r="FH24" s="1575"/>
      <c r="FI24" s="1575"/>
      <c r="FJ24" s="1575"/>
      <c r="FK24" s="1575"/>
      <c r="FL24" s="1575"/>
      <c r="FM24" s="1575"/>
      <c r="FN24" s="1575"/>
      <c r="FO24" s="1575"/>
      <c r="FP24" s="1575"/>
      <c r="FQ24" s="1575"/>
      <c r="FR24" s="1575"/>
      <c r="FS24" s="1575"/>
      <c r="FT24" s="1575"/>
      <c r="FU24" s="1575"/>
      <c r="FV24" s="1575"/>
      <c r="FW24" s="1575"/>
      <c r="FX24" s="1575"/>
      <c r="FY24" s="1575"/>
      <c r="FZ24" s="1575"/>
      <c r="GA24" s="1575"/>
      <c r="GB24" s="1575"/>
      <c r="GC24" s="1575"/>
      <c r="GD24" s="1575"/>
      <c r="GE24" s="1575"/>
      <c r="GF24" s="1575"/>
      <c r="GG24" s="1575"/>
      <c r="GH24" s="1575"/>
      <c r="GI24" s="1575"/>
      <c r="GJ24" s="1575"/>
      <c r="GK24" s="1575"/>
      <c r="GL24" s="1575"/>
      <c r="GM24" s="1575"/>
      <c r="GN24" s="1575"/>
      <c r="GO24" s="1575"/>
      <c r="GP24" s="1575"/>
      <c r="GQ24" s="1575"/>
      <c r="GR24" s="1575"/>
      <c r="GS24" s="1575"/>
      <c r="GT24" s="1575"/>
      <c r="GU24" s="1575"/>
      <c r="GV24" s="1575"/>
      <c r="GW24" s="1575"/>
      <c r="GX24" s="1575"/>
      <c r="GY24" s="1575"/>
      <c r="GZ24" s="1575"/>
      <c r="HA24" s="1575"/>
      <c r="HB24" s="1575"/>
      <c r="HC24" s="1575"/>
      <c r="HD24" s="1575"/>
      <c r="HE24" s="1575"/>
      <c r="HF24" s="1575"/>
      <c r="HG24" s="1575"/>
      <c r="HH24" s="1575"/>
      <c r="HI24" s="1575"/>
      <c r="HJ24" s="1575"/>
      <c r="HK24" s="1575"/>
      <c r="HL24" s="1575"/>
      <c r="HM24" s="1575"/>
      <c r="HN24" s="1575"/>
      <c r="HO24" s="1575"/>
      <c r="HP24" s="1575"/>
      <c r="HQ24" s="1575"/>
      <c r="HR24" s="1575"/>
      <c r="HS24" s="1575"/>
      <c r="HT24" s="1575"/>
      <c r="HU24" s="1575"/>
      <c r="HV24" s="1575"/>
      <c r="HW24" s="1575"/>
      <c r="HX24" s="1575"/>
      <c r="HY24" s="1575"/>
      <c r="HZ24" s="1575"/>
      <c r="IA24" s="1575"/>
      <c r="IB24" s="1575"/>
      <c r="IC24" s="1575"/>
      <c r="ID24" s="1575"/>
      <c r="IE24" s="1575"/>
      <c r="IF24" s="1575"/>
      <c r="IG24" s="1575"/>
      <c r="IH24" s="1575"/>
      <c r="II24" s="1575"/>
      <c r="IJ24" s="1575"/>
      <c r="IK24" s="1575"/>
      <c r="IL24" s="1575"/>
      <c r="IM24" s="1575"/>
      <c r="IN24" s="1575"/>
      <c r="IO24" s="1575"/>
      <c r="IP24" s="1575"/>
      <c r="IQ24" s="1575"/>
      <c r="IR24" s="1575"/>
      <c r="IS24" s="1575"/>
      <c r="IT24" s="1575"/>
      <c r="IU24" s="1575"/>
      <c r="IV24" s="1575"/>
      <c r="IW24" s="1575"/>
      <c r="IX24" s="1575"/>
      <c r="IY24" s="1575"/>
      <c r="IZ24" s="1575"/>
      <c r="JA24" s="1587"/>
      <c r="JB24" s="1587"/>
      <c r="JC24" s="1587"/>
      <c r="JD24" s="1587"/>
      <c r="JE24" s="1587"/>
      <c r="JF24" s="1587"/>
      <c r="JG24" s="1587"/>
      <c r="JH24" s="1587"/>
      <c r="JI24" s="1587"/>
      <c r="JJ24" s="1587"/>
      <c r="JK24" s="1587"/>
      <c r="JL24" s="1587"/>
      <c r="JM24" s="1587"/>
      <c r="JN24" s="1587"/>
      <c r="JO24" s="1587"/>
      <c r="JP24" s="1587"/>
      <c r="JQ24" s="1587"/>
      <c r="JR24" s="1575"/>
      <c r="JS24" s="1575"/>
      <c r="JT24" s="1575"/>
      <c r="JU24" s="1575"/>
      <c r="JV24" s="1575"/>
      <c r="JW24" s="1575"/>
      <c r="JX24" s="1575"/>
      <c r="JY24" s="1575"/>
      <c r="JZ24" s="1575"/>
      <c r="KA24" s="1575"/>
      <c r="KB24" s="1575"/>
      <c r="KC24" s="1575"/>
      <c r="KD24" s="1575"/>
      <c r="KE24" s="1575"/>
      <c r="KF24" s="1575"/>
      <c r="KG24" s="1575"/>
      <c r="KH24" s="1575"/>
      <c r="KI24" s="1575"/>
      <c r="KJ24" s="1575"/>
      <c r="KK24" s="1575"/>
      <c r="KL24" s="1575"/>
      <c r="KM24" s="1575"/>
      <c r="KN24" s="1575"/>
      <c r="KO24" s="1575"/>
      <c r="KP24" s="1575"/>
      <c r="KQ24" s="1575"/>
      <c r="KR24" s="1575"/>
      <c r="KS24" s="1575"/>
      <c r="KT24" s="1575"/>
      <c r="KU24" s="1575"/>
      <c r="KV24" s="1575"/>
      <c r="KW24" s="1575"/>
      <c r="KX24" s="1575"/>
      <c r="KY24" s="1575"/>
      <c r="KZ24" s="1575"/>
      <c r="LA24" s="1575"/>
      <c r="LB24" s="1575"/>
      <c r="LC24" s="1575"/>
      <c r="LD24" s="1575"/>
      <c r="LE24" s="1575"/>
      <c r="LF24" s="1575"/>
      <c r="LG24" s="1575"/>
      <c r="LH24" s="1575"/>
      <c r="LI24" s="1575"/>
      <c r="LJ24" s="1575"/>
      <c r="LK24" s="1575"/>
      <c r="LL24" s="1575"/>
      <c r="LM24" s="1575"/>
      <c r="LN24" s="1575"/>
      <c r="LO24" s="1575"/>
      <c r="LP24" s="1575"/>
      <c r="LQ24" s="1575"/>
      <c r="LR24" s="1575"/>
      <c r="LS24" s="1575"/>
      <c r="LT24" s="1575"/>
      <c r="LU24" s="1575"/>
      <c r="LV24" s="1575"/>
      <c r="LW24" s="1575"/>
      <c r="LX24" s="1575"/>
      <c r="LY24" s="1575"/>
      <c r="LZ24" s="1575"/>
      <c r="MA24" s="1575"/>
      <c r="MB24" s="1575"/>
      <c r="MC24" s="1575"/>
      <c r="MD24" s="1575"/>
      <c r="ME24" s="1575"/>
      <c r="MF24" s="1575"/>
      <c r="MG24" s="1575"/>
      <c r="MH24" s="1575"/>
      <c r="MI24" s="1575"/>
      <c r="MJ24" s="1575"/>
      <c r="MK24" s="1575"/>
      <c r="ML24" s="1575"/>
      <c r="MM24" s="1575"/>
      <c r="MN24" s="1575"/>
      <c r="MO24" s="1575"/>
      <c r="MP24" s="1575"/>
      <c r="MQ24" s="1575"/>
      <c r="MR24" s="1575"/>
      <c r="MS24" s="1575"/>
      <c r="MT24" s="1575"/>
      <c r="MU24" s="1575"/>
      <c r="MV24" s="1575"/>
      <c r="MW24" s="1575"/>
      <c r="MX24" s="1575"/>
      <c r="MY24" s="1575"/>
      <c r="MZ24" s="1575"/>
      <c r="NA24" s="1575"/>
      <c r="NB24" s="1575"/>
      <c r="NC24" s="1575"/>
      <c r="ND24" s="1575"/>
      <c r="NE24" s="1575"/>
      <c r="NF24" s="1575"/>
      <c r="NG24" s="1575"/>
      <c r="NH24" s="1575"/>
      <c r="NI24" s="1575"/>
      <c r="NJ24" s="1575"/>
      <c r="NK24" s="1575"/>
      <c r="NL24" s="1575"/>
      <c r="NM24" s="1575"/>
      <c r="NN24" s="1575"/>
      <c r="NO24" s="1575"/>
      <c r="NP24" s="1575"/>
      <c r="NQ24" s="1575"/>
      <c r="NR24" s="1575"/>
      <c r="NS24" s="1575"/>
      <c r="NT24" s="1575"/>
      <c r="NU24" s="1575"/>
      <c r="NV24" s="1575"/>
      <c r="NW24" s="1575"/>
      <c r="NX24" s="1575"/>
      <c r="NY24" s="1575"/>
      <c r="NZ24" s="1575"/>
      <c r="OA24" s="1575"/>
      <c r="OB24" s="1575"/>
      <c r="OC24" s="1575"/>
      <c r="OD24" s="1575"/>
      <c r="OE24" s="1575"/>
      <c r="OF24" s="1575"/>
      <c r="OG24" s="1575"/>
      <c r="OH24" s="1575"/>
      <c r="OI24" s="1575"/>
      <c r="OJ24" s="1575"/>
      <c r="OK24" s="1575"/>
      <c r="OL24" s="1575"/>
      <c r="OM24" s="1575"/>
      <c r="ON24" s="1575"/>
      <c r="OO24" s="1575"/>
      <c r="OP24" s="1575"/>
      <c r="OQ24" s="1575"/>
      <c r="OR24" s="1575"/>
      <c r="OS24" s="1575"/>
      <c r="OT24" s="1575"/>
      <c r="OU24" s="1575"/>
      <c r="OV24" s="1575"/>
      <c r="OW24" s="1575"/>
      <c r="OX24" s="1575"/>
      <c r="OY24" s="1575"/>
      <c r="OZ24" s="1575"/>
      <c r="PA24" s="1575"/>
      <c r="PB24" s="1575"/>
      <c r="PC24" s="1575"/>
      <c r="PD24" s="1575"/>
      <c r="PE24" s="1575"/>
      <c r="PF24" s="1575"/>
      <c r="PG24" s="1575"/>
      <c r="PH24" s="1575"/>
      <c r="PI24" s="1575"/>
      <c r="PJ24" s="1575"/>
      <c r="PK24" s="1575"/>
      <c r="PL24" s="1575"/>
      <c r="PM24" s="1575"/>
      <c r="PN24" s="1575"/>
      <c r="PO24" s="1575"/>
      <c r="PP24" s="1575"/>
      <c r="PQ24" s="1575"/>
      <c r="PR24" s="1575"/>
      <c r="PS24" s="1575"/>
      <c r="PT24" s="1575"/>
      <c r="PU24" s="1575"/>
      <c r="PV24" s="1575"/>
      <c r="PW24" s="1575"/>
      <c r="PX24" s="1575"/>
      <c r="PY24" s="1575"/>
      <c r="PZ24" s="1575"/>
      <c r="QA24" s="1575"/>
      <c r="QB24" s="1575"/>
      <c r="QC24" s="1575"/>
      <c r="QD24" s="1575"/>
      <c r="QE24" s="1575"/>
      <c r="QF24" s="1575"/>
      <c r="QG24" s="1575"/>
      <c r="QH24" s="1575"/>
      <c r="QI24" s="1575"/>
      <c r="QJ24" s="1575"/>
      <c r="QK24" s="1575"/>
      <c r="QL24" s="1575"/>
      <c r="QM24" s="1575"/>
      <c r="QN24" s="1575"/>
      <c r="QO24" s="1575"/>
      <c r="QP24" s="1575"/>
      <c r="QQ24" s="1575"/>
      <c r="QR24" s="1575"/>
      <c r="QS24" s="1575"/>
      <c r="QT24" s="1575"/>
      <c r="QU24" s="1575"/>
      <c r="QV24" s="1575"/>
      <c r="QW24" s="1575"/>
      <c r="QX24" s="1575"/>
      <c r="QY24" s="1575"/>
      <c r="QZ24" s="1575"/>
      <c r="RA24" s="1575"/>
      <c r="RB24" s="1575"/>
      <c r="RC24" s="1575"/>
      <c r="RD24" s="1575"/>
      <c r="RE24" s="1575"/>
      <c r="RF24" s="1575"/>
      <c r="RG24" s="1575"/>
      <c r="RH24" s="1575"/>
      <c r="RI24" s="1575"/>
      <c r="RJ24" s="1575"/>
      <c r="RK24" s="1575"/>
      <c r="RL24" s="1575"/>
      <c r="RM24" s="1575"/>
      <c r="RN24" s="1575"/>
      <c r="RO24" s="1575"/>
      <c r="RP24" s="1575"/>
      <c r="RQ24" s="1575"/>
      <c r="RR24" s="1575"/>
      <c r="RS24" s="1575"/>
      <c r="RT24" s="1575"/>
      <c r="RU24" s="1575"/>
      <c r="RV24" s="1575"/>
      <c r="RW24" s="1575"/>
      <c r="RX24" s="1575"/>
      <c r="RY24" s="1575"/>
      <c r="RZ24" s="1575"/>
      <c r="SA24" s="1575"/>
      <c r="SB24" s="1575"/>
      <c r="SC24" s="1575"/>
      <c r="SD24" s="1575"/>
      <c r="SE24" s="1575"/>
      <c r="SF24" s="1575"/>
      <c r="SG24" s="1575"/>
      <c r="SH24" s="1575"/>
      <c r="SI24" s="1575"/>
      <c r="SJ24" s="1575"/>
      <c r="SK24" s="1575"/>
      <c r="SL24" s="1575"/>
      <c r="SM24" s="1575"/>
      <c r="SN24" s="1575"/>
      <c r="SO24" s="1575"/>
      <c r="SP24" s="1575"/>
      <c r="SQ24" s="1575"/>
      <c r="SR24" s="1575"/>
      <c r="SS24" s="1575"/>
      <c r="ST24" s="1575"/>
      <c r="SU24" s="1575"/>
      <c r="SV24" s="1575"/>
      <c r="SW24" s="1575"/>
      <c r="SX24" s="1575"/>
      <c r="SY24" s="1575"/>
      <c r="SZ24" s="1575"/>
      <c r="TA24" s="1575"/>
      <c r="TB24" s="1575"/>
      <c r="TC24" s="1575"/>
      <c r="TD24" s="1575"/>
      <c r="TE24" s="1575"/>
      <c r="TF24" s="1575"/>
      <c r="TG24" s="1575"/>
      <c r="TH24" s="1575"/>
      <c r="TI24" s="1575"/>
      <c r="TJ24" s="1575"/>
      <c r="TK24" s="1575"/>
      <c r="TL24" s="1575"/>
      <c r="TM24" s="1575"/>
      <c r="TN24" s="1575"/>
      <c r="TO24" s="1575"/>
      <c r="TP24" s="1575"/>
      <c r="TQ24" s="1575"/>
      <c r="TR24" s="1575"/>
      <c r="TS24" s="1575"/>
      <c r="TT24" s="1575"/>
      <c r="TU24" s="1575"/>
      <c r="TV24" s="1575"/>
      <c r="TW24" s="1575"/>
      <c r="TX24" s="1575"/>
      <c r="TY24" s="1575"/>
      <c r="TZ24" s="1575"/>
      <c r="UA24" s="1575"/>
      <c r="UB24" s="1575"/>
      <c r="UC24" s="1575"/>
      <c r="UD24" s="1575"/>
      <c r="UE24" s="1575"/>
      <c r="UF24" s="1575"/>
      <c r="UG24" s="1575"/>
      <c r="UH24" s="1575"/>
      <c r="UI24" s="1575"/>
      <c r="UJ24" s="1575"/>
      <c r="UK24" s="1575"/>
      <c r="UL24" s="1575"/>
      <c r="UM24" s="1575"/>
      <c r="UN24" s="1575"/>
      <c r="UO24" s="1575"/>
      <c r="UP24" s="1575"/>
      <c r="UQ24" s="1575"/>
      <c r="UR24" s="1575"/>
      <c r="US24" s="1575"/>
      <c r="UT24" s="1575"/>
      <c r="UU24" s="1575"/>
      <c r="UV24" s="1575"/>
      <c r="UW24" s="1575"/>
      <c r="UX24" s="1575"/>
      <c r="UY24" s="1575"/>
      <c r="UZ24" s="1575"/>
      <c r="VA24" s="1575"/>
      <c r="VB24" s="1575"/>
      <c r="VC24" s="1575"/>
      <c r="VD24" s="1575"/>
      <c r="VE24" s="1575"/>
      <c r="VF24" s="1575"/>
      <c r="VG24" s="1575"/>
      <c r="VH24" s="1575"/>
      <c r="VI24" s="1575"/>
      <c r="VJ24" s="1575"/>
      <c r="VK24" s="1575"/>
    </row>
    <row r="25" spans="1:583" s="2072" customFormat="1" ht="27" x14ac:dyDescent="0.25">
      <c r="A25" s="694"/>
      <c r="B25" s="2073" t="s">
        <v>629</v>
      </c>
      <c r="C25" s="2074" t="s">
        <v>2711</v>
      </c>
      <c r="D25" s="4715" t="s">
        <v>2712</v>
      </c>
      <c r="E25" s="4715">
        <v>0</v>
      </c>
      <c r="F25" s="1575"/>
      <c r="G25" s="1575"/>
      <c r="H25" s="1575"/>
      <c r="I25" s="1575"/>
      <c r="J25" s="1575"/>
      <c r="K25" s="1575"/>
      <c r="L25" s="1575"/>
      <c r="M25" s="1575"/>
      <c r="N25" s="1575"/>
      <c r="O25" s="1575"/>
      <c r="P25" s="1575"/>
      <c r="Q25" s="1575"/>
      <c r="R25" s="1575"/>
      <c r="S25" s="1575"/>
      <c r="T25" s="1575"/>
      <c r="U25" s="1575"/>
      <c r="V25" s="1575"/>
      <c r="W25" s="1575"/>
      <c r="X25" s="1575"/>
      <c r="Y25" s="1575"/>
      <c r="Z25" s="1575"/>
      <c r="AA25" s="1575"/>
      <c r="AB25" s="1575"/>
      <c r="AC25" s="1575"/>
      <c r="AD25" s="1575"/>
      <c r="AE25" s="1575"/>
      <c r="AF25" s="1575"/>
      <c r="AG25" s="1575"/>
      <c r="AH25" s="1575"/>
      <c r="AI25" s="1575"/>
      <c r="AJ25" s="1575"/>
      <c r="AK25" s="1575"/>
      <c r="AL25" s="1575"/>
      <c r="AM25" s="1575"/>
      <c r="AN25" s="1575"/>
      <c r="AO25" s="1575"/>
      <c r="AP25" s="1575"/>
      <c r="AQ25" s="1575"/>
      <c r="AR25" s="1575"/>
      <c r="AS25" s="1575"/>
      <c r="AT25" s="1575"/>
      <c r="AU25" s="1575"/>
      <c r="AV25" s="1575"/>
      <c r="AW25" s="1575"/>
      <c r="AX25" s="1575"/>
      <c r="AY25" s="1575"/>
      <c r="AZ25" s="1575"/>
      <c r="BA25" s="1575"/>
      <c r="BB25" s="1575"/>
      <c r="BC25" s="1575"/>
      <c r="BD25" s="1575"/>
      <c r="BE25" s="1575"/>
      <c r="BF25" s="1575"/>
      <c r="BG25" s="1575"/>
      <c r="BH25" s="1575"/>
      <c r="BI25" s="1575"/>
      <c r="BJ25" s="1575"/>
      <c r="BK25" s="1575"/>
      <c r="BL25" s="1575"/>
      <c r="BM25" s="1575"/>
      <c r="BN25" s="1575"/>
      <c r="BO25" s="1575"/>
      <c r="BP25" s="1575"/>
      <c r="BQ25" s="1575"/>
      <c r="BR25" s="1575"/>
      <c r="BS25" s="1575"/>
      <c r="BT25" s="1575"/>
      <c r="BU25" s="1575"/>
      <c r="BV25" s="1575"/>
      <c r="BW25" s="1575"/>
      <c r="BX25" s="1575"/>
      <c r="BY25" s="1575"/>
      <c r="BZ25" s="1575"/>
      <c r="CA25" s="1575"/>
      <c r="CB25" s="1575"/>
      <c r="CC25" s="1575"/>
      <c r="CD25" s="1575"/>
      <c r="CE25" s="1575"/>
      <c r="CF25" s="1575"/>
      <c r="CG25" s="1575"/>
      <c r="CH25" s="1575"/>
      <c r="CI25" s="1575"/>
      <c r="CJ25" s="1575"/>
      <c r="CK25" s="1575"/>
      <c r="CL25" s="1575"/>
      <c r="CM25" s="1575"/>
      <c r="CN25" s="1575"/>
      <c r="CO25" s="1575"/>
      <c r="CP25" s="1575"/>
      <c r="CQ25" s="1575"/>
      <c r="CR25" s="1575"/>
      <c r="CS25" s="1575"/>
      <c r="CT25" s="1575"/>
      <c r="CU25" s="1575"/>
      <c r="CV25" s="1575"/>
      <c r="CW25" s="1575"/>
      <c r="CX25" s="1575"/>
      <c r="CY25" s="1575"/>
      <c r="CZ25" s="1575"/>
      <c r="DA25" s="1575"/>
      <c r="DB25" s="1575"/>
      <c r="DC25" s="1575"/>
      <c r="DD25" s="1575"/>
      <c r="DE25" s="1575"/>
      <c r="DF25" s="1575"/>
      <c r="DG25" s="1575"/>
      <c r="DH25" s="1575"/>
      <c r="DI25" s="1575"/>
      <c r="DJ25" s="1575"/>
      <c r="DK25" s="1575"/>
      <c r="DL25" s="1575"/>
      <c r="DM25" s="1575"/>
      <c r="DN25" s="1575"/>
      <c r="DO25" s="1575"/>
      <c r="DP25" s="1575"/>
      <c r="DQ25" s="1575"/>
      <c r="DR25" s="1575"/>
      <c r="DS25" s="1575"/>
      <c r="DT25" s="1575"/>
      <c r="DU25" s="1575"/>
      <c r="DV25" s="1575"/>
      <c r="DW25" s="1575"/>
      <c r="DX25" s="1575"/>
      <c r="DY25" s="1575"/>
      <c r="DZ25" s="1575"/>
      <c r="EA25" s="1575"/>
      <c r="EB25" s="1575"/>
      <c r="EC25" s="1575"/>
      <c r="ED25" s="1575"/>
      <c r="EE25" s="1575"/>
      <c r="EF25" s="1575"/>
      <c r="EG25" s="1575"/>
      <c r="EH25" s="1575"/>
      <c r="EI25" s="1575"/>
      <c r="EJ25" s="1575"/>
      <c r="EK25" s="1575"/>
      <c r="EL25" s="1575"/>
      <c r="EM25" s="1575"/>
      <c r="EN25" s="1575"/>
      <c r="EO25" s="1575"/>
      <c r="EP25" s="1575"/>
      <c r="EQ25" s="1575"/>
      <c r="ER25" s="1575"/>
      <c r="ES25" s="1575"/>
      <c r="ET25" s="1575"/>
      <c r="EU25" s="1575"/>
      <c r="EV25" s="1575"/>
      <c r="EW25" s="1575"/>
      <c r="EX25" s="1575"/>
      <c r="EY25" s="1575"/>
      <c r="EZ25" s="1575"/>
      <c r="FA25" s="1575"/>
      <c r="FB25" s="1575"/>
      <c r="FC25" s="1575"/>
      <c r="FD25" s="1575"/>
      <c r="FE25" s="1575"/>
      <c r="FF25" s="1575"/>
      <c r="FG25" s="1575"/>
      <c r="FH25" s="1575"/>
      <c r="FI25" s="1575"/>
      <c r="FJ25" s="1575"/>
      <c r="FK25" s="1575"/>
      <c r="FL25" s="1575"/>
      <c r="FM25" s="1575"/>
      <c r="FN25" s="1575"/>
      <c r="FO25" s="1575"/>
      <c r="FP25" s="1575"/>
      <c r="FQ25" s="1575"/>
      <c r="FR25" s="1575"/>
      <c r="FS25" s="1575"/>
      <c r="FT25" s="1575"/>
      <c r="FU25" s="1575"/>
      <c r="FV25" s="1575"/>
      <c r="FW25" s="1575"/>
      <c r="FX25" s="1575"/>
      <c r="FY25" s="1575"/>
      <c r="FZ25" s="1575"/>
      <c r="GA25" s="1575"/>
      <c r="GB25" s="1575"/>
      <c r="GC25" s="1575"/>
      <c r="GD25" s="1575"/>
      <c r="GE25" s="1575"/>
      <c r="GF25" s="1575"/>
      <c r="GG25" s="1575"/>
      <c r="GH25" s="1575"/>
      <c r="GI25" s="1575"/>
      <c r="GJ25" s="1575"/>
      <c r="GK25" s="1575"/>
      <c r="GL25" s="1575"/>
      <c r="GM25" s="1575"/>
      <c r="GN25" s="1575"/>
      <c r="GO25" s="1575"/>
      <c r="GP25" s="1575"/>
      <c r="GQ25" s="1575"/>
      <c r="GR25" s="1575"/>
      <c r="GS25" s="1575"/>
      <c r="GT25" s="1575"/>
      <c r="GU25" s="1575"/>
      <c r="GV25" s="1575"/>
      <c r="GW25" s="1575"/>
      <c r="GX25" s="1575"/>
      <c r="GY25" s="1575"/>
      <c r="GZ25" s="1575"/>
      <c r="HA25" s="1575"/>
      <c r="HB25" s="1575"/>
      <c r="HC25" s="1575"/>
      <c r="HD25" s="1575"/>
      <c r="HE25" s="1575"/>
      <c r="HF25" s="1575"/>
      <c r="HG25" s="1575"/>
      <c r="HH25" s="1575"/>
      <c r="HI25" s="1575"/>
      <c r="HJ25" s="1575"/>
      <c r="HK25" s="1575"/>
      <c r="HL25" s="1575"/>
      <c r="HM25" s="1575"/>
      <c r="HN25" s="1575"/>
      <c r="HO25" s="1575"/>
      <c r="HP25" s="1575"/>
      <c r="HQ25" s="1575"/>
      <c r="HR25" s="1575"/>
      <c r="HS25" s="1575"/>
      <c r="HT25" s="1575"/>
      <c r="HU25" s="1575"/>
      <c r="HV25" s="1575"/>
      <c r="HW25" s="1575"/>
      <c r="HX25" s="1575"/>
      <c r="HY25" s="1575"/>
      <c r="HZ25" s="1575"/>
      <c r="IA25" s="1575"/>
      <c r="IB25" s="1575"/>
      <c r="IC25" s="1575"/>
      <c r="ID25" s="1575"/>
      <c r="IE25" s="1575"/>
      <c r="IF25" s="1575"/>
      <c r="IG25" s="1575"/>
      <c r="IH25" s="1575"/>
      <c r="II25" s="1575"/>
      <c r="IJ25" s="1575"/>
      <c r="IK25" s="1575"/>
      <c r="IL25" s="1575"/>
      <c r="IM25" s="1575"/>
      <c r="IN25" s="1575"/>
      <c r="IO25" s="1575"/>
      <c r="IP25" s="1575"/>
      <c r="IQ25" s="1575"/>
      <c r="IR25" s="1575"/>
      <c r="IS25" s="1575"/>
      <c r="IT25" s="1575"/>
      <c r="IU25" s="1575"/>
      <c r="IV25" s="1575"/>
      <c r="IW25" s="1575"/>
      <c r="IX25" s="1575"/>
      <c r="IY25" s="1575"/>
      <c r="IZ25" s="1575"/>
      <c r="JA25" s="1587"/>
      <c r="JB25" s="1587"/>
      <c r="JC25" s="1587"/>
      <c r="JD25" s="1587"/>
      <c r="JE25" s="1587"/>
      <c r="JF25" s="1587"/>
      <c r="JG25" s="1587"/>
      <c r="JH25" s="1587"/>
      <c r="JI25" s="1587"/>
      <c r="JJ25" s="1587"/>
      <c r="JK25" s="1587"/>
      <c r="JL25" s="1587"/>
      <c r="JM25" s="1587"/>
      <c r="JN25" s="1587"/>
      <c r="JO25" s="1587"/>
      <c r="JP25" s="1587"/>
      <c r="JQ25" s="1587"/>
      <c r="JR25" s="1575"/>
      <c r="JS25" s="1575"/>
      <c r="JT25" s="1575"/>
      <c r="JU25" s="1575"/>
      <c r="JV25" s="1575"/>
      <c r="JW25" s="1575"/>
      <c r="JX25" s="1575"/>
      <c r="JY25" s="1575"/>
      <c r="JZ25" s="1575"/>
      <c r="KA25" s="1575"/>
      <c r="KB25" s="1575"/>
      <c r="KC25" s="1575"/>
      <c r="KD25" s="1575"/>
      <c r="KE25" s="1575"/>
      <c r="KF25" s="1575"/>
      <c r="KG25" s="1575"/>
      <c r="KH25" s="1575"/>
      <c r="KI25" s="1575"/>
      <c r="KJ25" s="1575"/>
      <c r="KK25" s="1575"/>
      <c r="KL25" s="1575"/>
      <c r="KM25" s="1575"/>
      <c r="KN25" s="1575"/>
      <c r="KO25" s="1575"/>
      <c r="KP25" s="1575"/>
      <c r="KQ25" s="1575"/>
      <c r="KR25" s="1575"/>
      <c r="KS25" s="1575"/>
      <c r="KT25" s="1575"/>
      <c r="KU25" s="1575"/>
      <c r="KV25" s="1575"/>
      <c r="KW25" s="1575"/>
      <c r="KX25" s="1575"/>
      <c r="KY25" s="1575"/>
      <c r="KZ25" s="1575"/>
      <c r="LA25" s="1575"/>
      <c r="LB25" s="1575"/>
      <c r="LC25" s="1575"/>
      <c r="LD25" s="1575"/>
      <c r="LE25" s="1575"/>
      <c r="LF25" s="1575"/>
      <c r="LG25" s="1575"/>
      <c r="LH25" s="1575"/>
      <c r="LI25" s="1575"/>
      <c r="LJ25" s="1575"/>
      <c r="LK25" s="1575"/>
      <c r="LL25" s="1575"/>
      <c r="LM25" s="1575"/>
      <c r="LN25" s="1575"/>
      <c r="LO25" s="1575"/>
      <c r="LP25" s="1575"/>
      <c r="LQ25" s="1575"/>
      <c r="LR25" s="1575"/>
      <c r="LS25" s="1575"/>
      <c r="LT25" s="1575"/>
      <c r="LU25" s="1575"/>
      <c r="LV25" s="1575"/>
      <c r="LW25" s="1575"/>
      <c r="LX25" s="1575"/>
      <c r="LY25" s="1575"/>
      <c r="LZ25" s="1575"/>
      <c r="MA25" s="1575"/>
      <c r="MB25" s="1575"/>
      <c r="MC25" s="1575"/>
      <c r="MD25" s="1575"/>
      <c r="ME25" s="1575"/>
      <c r="MF25" s="1575"/>
      <c r="MG25" s="1575"/>
      <c r="MH25" s="1575"/>
      <c r="MI25" s="1575"/>
      <c r="MJ25" s="1575"/>
      <c r="MK25" s="1575"/>
      <c r="ML25" s="1575"/>
      <c r="MM25" s="1575"/>
      <c r="MN25" s="1575"/>
      <c r="MO25" s="1575"/>
      <c r="MP25" s="1575"/>
      <c r="MQ25" s="1575"/>
      <c r="MR25" s="1575"/>
      <c r="MS25" s="1575"/>
      <c r="MT25" s="1575"/>
      <c r="MU25" s="1575"/>
      <c r="MV25" s="1575"/>
      <c r="MW25" s="1575"/>
      <c r="MX25" s="1575"/>
      <c r="MY25" s="1575"/>
      <c r="MZ25" s="1575"/>
      <c r="NA25" s="1575"/>
      <c r="NB25" s="1575"/>
      <c r="NC25" s="1575"/>
      <c r="ND25" s="1575"/>
      <c r="NE25" s="1575"/>
      <c r="NF25" s="1575"/>
      <c r="NG25" s="1575"/>
      <c r="NH25" s="1575"/>
      <c r="NI25" s="1575"/>
      <c r="NJ25" s="1575"/>
      <c r="NK25" s="1575"/>
      <c r="NL25" s="1575"/>
      <c r="NM25" s="1575"/>
      <c r="NN25" s="1575"/>
      <c r="NO25" s="1575"/>
      <c r="NP25" s="1575"/>
      <c r="NQ25" s="1575"/>
      <c r="NR25" s="1575"/>
      <c r="NS25" s="1575"/>
      <c r="NT25" s="1575"/>
      <c r="NU25" s="1575"/>
      <c r="NV25" s="1575"/>
      <c r="NW25" s="1575"/>
      <c r="NX25" s="1575"/>
      <c r="NY25" s="1575"/>
      <c r="NZ25" s="1575"/>
      <c r="OA25" s="1575"/>
      <c r="OB25" s="1575"/>
      <c r="OC25" s="1575"/>
      <c r="OD25" s="1575"/>
      <c r="OE25" s="1575"/>
      <c r="OF25" s="1575"/>
      <c r="OG25" s="1575"/>
      <c r="OH25" s="1575"/>
      <c r="OI25" s="1575"/>
      <c r="OJ25" s="1575"/>
      <c r="OK25" s="1575"/>
      <c r="OL25" s="1575"/>
      <c r="OM25" s="1575"/>
      <c r="ON25" s="1575"/>
      <c r="OO25" s="1575"/>
      <c r="OP25" s="1575"/>
      <c r="OQ25" s="1575"/>
      <c r="OR25" s="1575"/>
      <c r="OS25" s="1575"/>
      <c r="OT25" s="1575"/>
      <c r="OU25" s="1575"/>
      <c r="OV25" s="1575"/>
      <c r="OW25" s="1575"/>
      <c r="OX25" s="1575"/>
      <c r="OY25" s="1575"/>
      <c r="OZ25" s="1575"/>
      <c r="PA25" s="1575"/>
      <c r="PB25" s="1575"/>
      <c r="PC25" s="1575"/>
      <c r="PD25" s="1575"/>
      <c r="PE25" s="1575"/>
      <c r="PF25" s="1575"/>
      <c r="PG25" s="1575"/>
      <c r="PH25" s="1575"/>
      <c r="PI25" s="1575"/>
      <c r="PJ25" s="1575"/>
      <c r="PK25" s="1575"/>
      <c r="PL25" s="1575"/>
      <c r="PM25" s="1575"/>
      <c r="PN25" s="1575"/>
      <c r="PO25" s="1575"/>
      <c r="PP25" s="1575"/>
      <c r="PQ25" s="1575"/>
      <c r="PR25" s="1575"/>
      <c r="PS25" s="1575"/>
      <c r="PT25" s="1575"/>
      <c r="PU25" s="1575"/>
      <c r="PV25" s="1575"/>
      <c r="PW25" s="1575"/>
      <c r="PX25" s="1575"/>
      <c r="PY25" s="1575"/>
      <c r="PZ25" s="1575"/>
      <c r="QA25" s="1575"/>
      <c r="QB25" s="1575"/>
      <c r="QC25" s="1575"/>
      <c r="QD25" s="1575"/>
      <c r="QE25" s="1575"/>
      <c r="QF25" s="1575"/>
      <c r="QG25" s="1575"/>
      <c r="QH25" s="1575"/>
      <c r="QI25" s="1575"/>
      <c r="QJ25" s="1575"/>
      <c r="QK25" s="1575"/>
      <c r="QL25" s="1575"/>
      <c r="QM25" s="1575"/>
      <c r="QN25" s="1575"/>
      <c r="QO25" s="1575"/>
      <c r="QP25" s="1575"/>
      <c r="QQ25" s="1575"/>
      <c r="QR25" s="1575"/>
      <c r="QS25" s="1575"/>
      <c r="QT25" s="1575"/>
      <c r="QU25" s="1575"/>
      <c r="QV25" s="1575"/>
      <c r="QW25" s="1575"/>
      <c r="QX25" s="1575"/>
      <c r="QY25" s="1575"/>
      <c r="QZ25" s="1575"/>
      <c r="RA25" s="1575"/>
      <c r="RB25" s="1575"/>
      <c r="RC25" s="1575"/>
      <c r="RD25" s="1575"/>
      <c r="RE25" s="1575"/>
      <c r="RF25" s="1575"/>
      <c r="RG25" s="1575"/>
      <c r="RH25" s="1575"/>
      <c r="RI25" s="1575"/>
      <c r="RJ25" s="1575"/>
      <c r="RK25" s="1575"/>
      <c r="RL25" s="1575"/>
      <c r="RM25" s="1575"/>
      <c r="RN25" s="1575"/>
      <c r="RO25" s="1575"/>
      <c r="RP25" s="1575"/>
      <c r="RQ25" s="1575"/>
      <c r="RR25" s="1575"/>
      <c r="RS25" s="1575"/>
      <c r="RT25" s="1575"/>
      <c r="RU25" s="1575"/>
      <c r="RV25" s="1575"/>
      <c r="RW25" s="1575"/>
      <c r="RX25" s="1575"/>
      <c r="RY25" s="1575"/>
      <c r="RZ25" s="1575"/>
      <c r="SA25" s="1575"/>
      <c r="SB25" s="1575"/>
      <c r="SC25" s="1575"/>
      <c r="SD25" s="1575"/>
      <c r="SE25" s="1575"/>
      <c r="SF25" s="1575"/>
      <c r="SG25" s="1575"/>
      <c r="SH25" s="1575"/>
      <c r="SI25" s="1575"/>
      <c r="SJ25" s="1575"/>
      <c r="SK25" s="1575"/>
      <c r="SL25" s="1575"/>
      <c r="SM25" s="1575"/>
      <c r="SN25" s="1575"/>
      <c r="SO25" s="1575"/>
      <c r="SP25" s="1575"/>
      <c r="SQ25" s="1575"/>
      <c r="SR25" s="1575"/>
      <c r="SS25" s="1575"/>
      <c r="ST25" s="1575"/>
      <c r="SU25" s="1575"/>
      <c r="SV25" s="1575"/>
      <c r="SW25" s="1575"/>
      <c r="SX25" s="1575"/>
      <c r="SY25" s="1575"/>
      <c r="SZ25" s="1575"/>
      <c r="TA25" s="1575"/>
      <c r="TB25" s="1575"/>
      <c r="TC25" s="1575"/>
      <c r="TD25" s="1575"/>
      <c r="TE25" s="1575"/>
      <c r="TF25" s="1575"/>
      <c r="TG25" s="1575"/>
      <c r="TH25" s="1575"/>
      <c r="TI25" s="1575"/>
      <c r="TJ25" s="1575"/>
      <c r="TK25" s="1575"/>
      <c r="TL25" s="1575"/>
      <c r="TM25" s="1575"/>
      <c r="TN25" s="1575"/>
      <c r="TO25" s="1575"/>
      <c r="TP25" s="1575"/>
      <c r="TQ25" s="1575"/>
      <c r="TR25" s="1575"/>
      <c r="TS25" s="1575"/>
      <c r="TT25" s="1575"/>
      <c r="TU25" s="1575"/>
      <c r="TV25" s="1575"/>
      <c r="TW25" s="1575"/>
      <c r="TX25" s="1575"/>
      <c r="TY25" s="1575"/>
      <c r="TZ25" s="1575"/>
      <c r="UA25" s="1575"/>
      <c r="UB25" s="1575"/>
      <c r="UC25" s="1575"/>
      <c r="UD25" s="1575"/>
      <c r="UE25" s="1575"/>
      <c r="UF25" s="1575"/>
      <c r="UG25" s="1575"/>
      <c r="UH25" s="1575"/>
      <c r="UI25" s="1575"/>
      <c r="UJ25" s="1575"/>
      <c r="UK25" s="1575"/>
      <c r="UL25" s="1575"/>
      <c r="UM25" s="1575"/>
      <c r="UN25" s="1575"/>
      <c r="UO25" s="1575"/>
      <c r="UP25" s="1575"/>
      <c r="UQ25" s="1575"/>
      <c r="UR25" s="1575"/>
      <c r="US25" s="1575"/>
      <c r="UT25" s="1575"/>
      <c r="UU25" s="1575"/>
      <c r="UV25" s="1575"/>
      <c r="UW25" s="1575"/>
      <c r="UX25" s="1575"/>
      <c r="UY25" s="1575"/>
      <c r="UZ25" s="1575"/>
      <c r="VA25" s="1575"/>
      <c r="VB25" s="1575"/>
      <c r="VC25" s="1575"/>
      <c r="VD25" s="1575"/>
      <c r="VE25" s="1575"/>
      <c r="VF25" s="1575"/>
      <c r="VG25" s="1575"/>
      <c r="VH25" s="1575"/>
      <c r="VI25" s="1575"/>
      <c r="VJ25" s="1575"/>
      <c r="VK25" s="1575"/>
    </row>
    <row r="26" spans="1:583" s="2072" customFormat="1" ht="27" x14ac:dyDescent="0.25">
      <c r="A26" s="694"/>
      <c r="B26" s="2073" t="s">
        <v>629</v>
      </c>
      <c r="C26" s="2074" t="s">
        <v>2713</v>
      </c>
      <c r="D26" s="4715" t="s">
        <v>2714</v>
      </c>
      <c r="E26" s="4715">
        <v>0</v>
      </c>
      <c r="F26" s="1575"/>
      <c r="G26" s="1575"/>
      <c r="H26" s="1575"/>
      <c r="I26" s="1575"/>
      <c r="J26" s="1575"/>
      <c r="K26" s="1575"/>
      <c r="L26" s="1575"/>
      <c r="M26" s="1575"/>
      <c r="N26" s="1575"/>
      <c r="O26" s="1575"/>
      <c r="P26" s="1575"/>
      <c r="Q26" s="1575"/>
      <c r="R26" s="1575"/>
      <c r="S26" s="1575"/>
      <c r="T26" s="1575"/>
      <c r="U26" s="1575"/>
      <c r="V26" s="1575"/>
      <c r="W26" s="1575"/>
      <c r="X26" s="1575"/>
      <c r="Y26" s="1575"/>
      <c r="Z26" s="1575"/>
      <c r="AA26" s="1575"/>
      <c r="AB26" s="1575"/>
      <c r="AC26" s="1575"/>
      <c r="AD26" s="1575"/>
      <c r="AE26" s="1575"/>
      <c r="AF26" s="1575"/>
      <c r="AG26" s="1575"/>
      <c r="AH26" s="1575"/>
      <c r="AI26" s="1575"/>
      <c r="AJ26" s="1575"/>
      <c r="AK26" s="1575"/>
      <c r="AL26" s="1575"/>
      <c r="AM26" s="1575"/>
      <c r="AN26" s="1575"/>
      <c r="AO26" s="1575"/>
      <c r="AP26" s="1575"/>
      <c r="AQ26" s="1575"/>
      <c r="AR26" s="1575"/>
      <c r="AS26" s="1575"/>
      <c r="AT26" s="1575"/>
      <c r="AU26" s="1575"/>
      <c r="AV26" s="1575"/>
      <c r="AW26" s="1575"/>
      <c r="AX26" s="1575"/>
      <c r="AY26" s="1575"/>
      <c r="AZ26" s="1575"/>
      <c r="BA26" s="1575"/>
      <c r="BB26" s="1575"/>
      <c r="BC26" s="1575"/>
      <c r="BD26" s="1575"/>
      <c r="BE26" s="1575"/>
      <c r="BF26" s="1575"/>
      <c r="BG26" s="1575"/>
      <c r="BH26" s="1575"/>
      <c r="BI26" s="1575"/>
      <c r="BJ26" s="1575"/>
      <c r="BK26" s="1575"/>
      <c r="BL26" s="1575"/>
      <c r="BM26" s="1575"/>
      <c r="BN26" s="1575"/>
      <c r="BO26" s="1575"/>
      <c r="BP26" s="1575"/>
      <c r="BQ26" s="1575"/>
      <c r="BR26" s="1575"/>
      <c r="BS26" s="1575"/>
      <c r="BT26" s="1575"/>
      <c r="BU26" s="1575"/>
      <c r="BV26" s="1575"/>
      <c r="BW26" s="1575"/>
      <c r="BX26" s="1575"/>
      <c r="BY26" s="1575"/>
      <c r="BZ26" s="1575"/>
      <c r="CA26" s="1575"/>
      <c r="CB26" s="1575"/>
      <c r="CC26" s="1575"/>
      <c r="CD26" s="1575"/>
      <c r="CE26" s="1575"/>
      <c r="CF26" s="1575"/>
      <c r="CG26" s="1575"/>
      <c r="CH26" s="1575"/>
      <c r="CI26" s="1575"/>
      <c r="CJ26" s="1575"/>
      <c r="CK26" s="1575"/>
      <c r="CL26" s="1575"/>
      <c r="CM26" s="1575"/>
      <c r="CN26" s="1575"/>
      <c r="CO26" s="1575"/>
      <c r="CP26" s="1575"/>
      <c r="CQ26" s="1575"/>
      <c r="CR26" s="1575"/>
      <c r="CS26" s="1575"/>
      <c r="CT26" s="1575"/>
      <c r="CU26" s="1575"/>
      <c r="CV26" s="1575"/>
      <c r="CW26" s="1575"/>
      <c r="CX26" s="1575"/>
      <c r="CY26" s="1575"/>
      <c r="CZ26" s="1575"/>
      <c r="DA26" s="1575"/>
      <c r="DB26" s="1575"/>
      <c r="DC26" s="1575"/>
      <c r="DD26" s="1575"/>
      <c r="DE26" s="1575"/>
      <c r="DF26" s="1575"/>
      <c r="DG26" s="1575"/>
      <c r="DH26" s="1575"/>
      <c r="DI26" s="1575"/>
      <c r="DJ26" s="1575"/>
      <c r="DK26" s="1575"/>
      <c r="DL26" s="1575"/>
      <c r="DM26" s="1575"/>
      <c r="DN26" s="1575"/>
      <c r="DO26" s="1575"/>
      <c r="DP26" s="1575"/>
      <c r="DQ26" s="1575"/>
      <c r="DR26" s="1575"/>
      <c r="DS26" s="1575"/>
      <c r="DT26" s="1575"/>
      <c r="DU26" s="1575"/>
      <c r="DV26" s="1575"/>
      <c r="DW26" s="1575"/>
      <c r="DX26" s="1575"/>
      <c r="DY26" s="1575"/>
      <c r="DZ26" s="1575"/>
      <c r="EA26" s="1575"/>
      <c r="EB26" s="1575"/>
      <c r="EC26" s="1575"/>
      <c r="ED26" s="1575"/>
      <c r="EE26" s="1575"/>
      <c r="EF26" s="1575"/>
      <c r="EG26" s="1575"/>
      <c r="EH26" s="1575"/>
      <c r="EI26" s="1575"/>
      <c r="EJ26" s="1575"/>
      <c r="EK26" s="1575"/>
      <c r="EL26" s="1575"/>
      <c r="EM26" s="1575"/>
      <c r="EN26" s="1575"/>
      <c r="EO26" s="1575"/>
      <c r="EP26" s="1575"/>
      <c r="EQ26" s="1575"/>
      <c r="ER26" s="1575"/>
      <c r="ES26" s="1575"/>
      <c r="ET26" s="1575"/>
      <c r="EU26" s="1575"/>
      <c r="EV26" s="1575"/>
      <c r="EW26" s="1575"/>
      <c r="EX26" s="1575"/>
      <c r="EY26" s="1575"/>
      <c r="EZ26" s="1575"/>
      <c r="FA26" s="1575"/>
      <c r="FB26" s="1575"/>
      <c r="FC26" s="1575"/>
      <c r="FD26" s="1575"/>
      <c r="FE26" s="1575"/>
      <c r="FF26" s="1575"/>
      <c r="FG26" s="1575"/>
      <c r="FH26" s="1575"/>
      <c r="FI26" s="1575"/>
      <c r="FJ26" s="1575"/>
      <c r="FK26" s="1575"/>
      <c r="FL26" s="1575"/>
      <c r="FM26" s="1575"/>
      <c r="FN26" s="1575"/>
      <c r="FO26" s="1575"/>
      <c r="FP26" s="1575"/>
      <c r="FQ26" s="1575"/>
      <c r="FR26" s="1575"/>
      <c r="FS26" s="1575"/>
      <c r="FT26" s="1575"/>
      <c r="FU26" s="1575"/>
      <c r="FV26" s="1575"/>
      <c r="FW26" s="1575"/>
      <c r="FX26" s="1575"/>
      <c r="FY26" s="1575"/>
      <c r="FZ26" s="1575"/>
      <c r="GA26" s="1575"/>
      <c r="GB26" s="1575"/>
      <c r="GC26" s="1575"/>
      <c r="GD26" s="1575"/>
      <c r="GE26" s="1575"/>
      <c r="GF26" s="1575"/>
      <c r="GG26" s="1575"/>
      <c r="GH26" s="1575"/>
      <c r="GI26" s="1575"/>
      <c r="GJ26" s="1575"/>
      <c r="GK26" s="1575"/>
      <c r="GL26" s="1575"/>
      <c r="GM26" s="1575"/>
      <c r="GN26" s="1575"/>
      <c r="GO26" s="1575"/>
      <c r="GP26" s="1575"/>
      <c r="GQ26" s="1575"/>
      <c r="GR26" s="1575"/>
      <c r="GS26" s="1575"/>
      <c r="GT26" s="1575"/>
      <c r="GU26" s="1575"/>
      <c r="GV26" s="1575"/>
      <c r="GW26" s="1575"/>
      <c r="GX26" s="1575"/>
      <c r="GY26" s="1575"/>
      <c r="GZ26" s="1575"/>
      <c r="HA26" s="1575"/>
      <c r="HB26" s="1575"/>
      <c r="HC26" s="1575"/>
      <c r="HD26" s="1575"/>
      <c r="HE26" s="1575"/>
      <c r="HF26" s="1575"/>
      <c r="HG26" s="1575"/>
      <c r="HH26" s="1575"/>
      <c r="HI26" s="1575"/>
      <c r="HJ26" s="1575"/>
      <c r="HK26" s="1575"/>
      <c r="HL26" s="1575"/>
      <c r="HM26" s="1575"/>
      <c r="HN26" s="1575"/>
      <c r="HO26" s="1575"/>
      <c r="HP26" s="1575"/>
      <c r="HQ26" s="1575"/>
      <c r="HR26" s="1575"/>
      <c r="HS26" s="1575"/>
      <c r="HT26" s="1575"/>
      <c r="HU26" s="1575"/>
      <c r="HV26" s="1575"/>
      <c r="HW26" s="1575"/>
      <c r="HX26" s="1575"/>
      <c r="HY26" s="1575"/>
      <c r="HZ26" s="1575"/>
      <c r="IA26" s="1575"/>
      <c r="IB26" s="1575"/>
      <c r="IC26" s="1575"/>
      <c r="ID26" s="1575"/>
      <c r="IE26" s="1575"/>
      <c r="IF26" s="1575"/>
      <c r="IG26" s="1575"/>
      <c r="IH26" s="1575"/>
      <c r="II26" s="1575"/>
      <c r="IJ26" s="1575"/>
      <c r="IK26" s="1575"/>
      <c r="IL26" s="1575"/>
      <c r="IM26" s="1575"/>
      <c r="IN26" s="1575"/>
      <c r="IO26" s="1575"/>
      <c r="IP26" s="1575"/>
      <c r="IQ26" s="1575"/>
      <c r="IR26" s="1575"/>
      <c r="IS26" s="1575"/>
      <c r="IT26" s="1575"/>
      <c r="IU26" s="1575"/>
      <c r="IV26" s="1575"/>
      <c r="IW26" s="1575"/>
      <c r="IX26" s="1575"/>
      <c r="IY26" s="1575"/>
      <c r="IZ26" s="1575"/>
      <c r="JA26" s="1587"/>
      <c r="JB26" s="1587"/>
      <c r="JC26" s="1587"/>
      <c r="JD26" s="1587"/>
      <c r="JE26" s="1587"/>
      <c r="JF26" s="1587"/>
      <c r="JG26" s="1587"/>
      <c r="JH26" s="1587"/>
      <c r="JI26" s="1587"/>
      <c r="JJ26" s="1587"/>
      <c r="JK26" s="1587"/>
      <c r="JL26" s="1587"/>
      <c r="JM26" s="1587"/>
      <c r="JN26" s="1587"/>
      <c r="JO26" s="1587"/>
      <c r="JP26" s="1587"/>
      <c r="JQ26" s="1587"/>
      <c r="JR26" s="1575"/>
      <c r="JS26" s="1575"/>
      <c r="JT26" s="1575"/>
      <c r="JU26" s="1575"/>
      <c r="JV26" s="1575"/>
      <c r="JW26" s="1575"/>
      <c r="JX26" s="1575"/>
      <c r="JY26" s="1575"/>
      <c r="JZ26" s="1575"/>
      <c r="KA26" s="1575"/>
      <c r="KB26" s="1575"/>
      <c r="KC26" s="1575"/>
      <c r="KD26" s="1575"/>
      <c r="KE26" s="1575"/>
      <c r="KF26" s="1575"/>
      <c r="KG26" s="1575"/>
      <c r="KH26" s="1575"/>
      <c r="KI26" s="1575"/>
      <c r="KJ26" s="1575"/>
      <c r="KK26" s="1575"/>
      <c r="KL26" s="1575"/>
      <c r="KM26" s="1575"/>
      <c r="KN26" s="1575"/>
      <c r="KO26" s="1575"/>
      <c r="KP26" s="1575"/>
      <c r="KQ26" s="1575"/>
      <c r="KR26" s="1575"/>
      <c r="KS26" s="1575"/>
      <c r="KT26" s="1575"/>
      <c r="KU26" s="1575"/>
      <c r="KV26" s="1575"/>
      <c r="KW26" s="1575"/>
      <c r="KX26" s="1575"/>
      <c r="KY26" s="1575"/>
      <c r="KZ26" s="1575"/>
      <c r="LA26" s="1575"/>
      <c r="LB26" s="1575"/>
      <c r="LC26" s="1575"/>
      <c r="LD26" s="1575"/>
      <c r="LE26" s="1575"/>
      <c r="LF26" s="1575"/>
      <c r="LG26" s="1575"/>
      <c r="LH26" s="1575"/>
      <c r="LI26" s="1575"/>
      <c r="LJ26" s="1575"/>
      <c r="LK26" s="1575"/>
      <c r="LL26" s="1575"/>
      <c r="LM26" s="1575"/>
      <c r="LN26" s="1575"/>
      <c r="LO26" s="1575"/>
      <c r="LP26" s="1575"/>
      <c r="LQ26" s="1575"/>
      <c r="LR26" s="1575"/>
      <c r="LS26" s="1575"/>
      <c r="LT26" s="1575"/>
      <c r="LU26" s="1575"/>
      <c r="LV26" s="1575"/>
      <c r="LW26" s="1575"/>
      <c r="LX26" s="1575"/>
      <c r="LY26" s="1575"/>
      <c r="LZ26" s="1575"/>
      <c r="MA26" s="1575"/>
      <c r="MB26" s="1575"/>
      <c r="MC26" s="1575"/>
      <c r="MD26" s="1575"/>
      <c r="ME26" s="1575"/>
      <c r="MF26" s="1575"/>
      <c r="MG26" s="1575"/>
      <c r="MH26" s="1575"/>
      <c r="MI26" s="1575"/>
      <c r="MJ26" s="1575"/>
      <c r="MK26" s="1575"/>
      <c r="ML26" s="1575"/>
      <c r="MM26" s="1575"/>
      <c r="MN26" s="1575"/>
      <c r="MO26" s="1575"/>
      <c r="MP26" s="1575"/>
      <c r="MQ26" s="1575"/>
      <c r="MR26" s="1575"/>
      <c r="MS26" s="1575"/>
      <c r="MT26" s="1575"/>
      <c r="MU26" s="1575"/>
      <c r="MV26" s="1575"/>
      <c r="MW26" s="1575"/>
      <c r="MX26" s="1575"/>
      <c r="MY26" s="1575"/>
      <c r="MZ26" s="1575"/>
      <c r="NA26" s="1575"/>
      <c r="NB26" s="1575"/>
      <c r="NC26" s="1575"/>
      <c r="ND26" s="1575"/>
      <c r="NE26" s="1575"/>
      <c r="NF26" s="1575"/>
      <c r="NG26" s="1575"/>
      <c r="NH26" s="1575"/>
      <c r="NI26" s="1575"/>
      <c r="NJ26" s="1575"/>
      <c r="NK26" s="1575"/>
      <c r="NL26" s="1575"/>
      <c r="NM26" s="1575"/>
      <c r="NN26" s="1575"/>
      <c r="NO26" s="1575"/>
      <c r="NP26" s="1575"/>
      <c r="NQ26" s="1575"/>
      <c r="NR26" s="1575"/>
      <c r="NS26" s="1575"/>
      <c r="NT26" s="1575"/>
      <c r="NU26" s="1575"/>
      <c r="NV26" s="1575"/>
      <c r="NW26" s="1575"/>
      <c r="NX26" s="1575"/>
      <c r="NY26" s="1575"/>
      <c r="NZ26" s="1575"/>
      <c r="OA26" s="1575"/>
      <c r="OB26" s="1575"/>
      <c r="OC26" s="1575"/>
      <c r="OD26" s="1575"/>
      <c r="OE26" s="1575"/>
      <c r="OF26" s="1575"/>
      <c r="OG26" s="1575"/>
      <c r="OH26" s="1575"/>
      <c r="OI26" s="1575"/>
      <c r="OJ26" s="1575"/>
      <c r="OK26" s="1575"/>
      <c r="OL26" s="1575"/>
      <c r="OM26" s="1575"/>
      <c r="ON26" s="1575"/>
      <c r="OO26" s="1575"/>
      <c r="OP26" s="1575"/>
      <c r="OQ26" s="1575"/>
      <c r="OR26" s="1575"/>
      <c r="OS26" s="1575"/>
      <c r="OT26" s="1575"/>
      <c r="OU26" s="1575"/>
      <c r="OV26" s="1575"/>
      <c r="OW26" s="1575"/>
      <c r="OX26" s="1575"/>
      <c r="OY26" s="1575"/>
      <c r="OZ26" s="1575"/>
      <c r="PA26" s="1575"/>
      <c r="PB26" s="1575"/>
      <c r="PC26" s="1575"/>
      <c r="PD26" s="1575"/>
      <c r="PE26" s="1575"/>
      <c r="PF26" s="1575"/>
      <c r="PG26" s="1575"/>
      <c r="PH26" s="1575"/>
      <c r="PI26" s="1575"/>
      <c r="PJ26" s="1575"/>
      <c r="PK26" s="1575"/>
      <c r="PL26" s="1575"/>
      <c r="PM26" s="1575"/>
      <c r="PN26" s="1575"/>
      <c r="PO26" s="1575"/>
      <c r="PP26" s="1575"/>
      <c r="PQ26" s="1575"/>
      <c r="PR26" s="1575"/>
      <c r="PS26" s="1575"/>
      <c r="PT26" s="1575"/>
      <c r="PU26" s="1575"/>
      <c r="PV26" s="1575"/>
      <c r="PW26" s="1575"/>
      <c r="PX26" s="1575"/>
      <c r="PY26" s="1575"/>
      <c r="PZ26" s="1575"/>
      <c r="QA26" s="1575"/>
      <c r="QB26" s="1575"/>
      <c r="QC26" s="1575"/>
      <c r="QD26" s="1575"/>
      <c r="QE26" s="1575"/>
      <c r="QF26" s="1575"/>
      <c r="QG26" s="1575"/>
      <c r="QH26" s="1575"/>
      <c r="QI26" s="1575"/>
      <c r="QJ26" s="1575"/>
      <c r="QK26" s="1575"/>
      <c r="QL26" s="1575"/>
      <c r="QM26" s="1575"/>
      <c r="QN26" s="1575"/>
      <c r="QO26" s="1575"/>
      <c r="QP26" s="1575"/>
      <c r="QQ26" s="1575"/>
      <c r="QR26" s="1575"/>
      <c r="QS26" s="1575"/>
      <c r="QT26" s="1575"/>
      <c r="QU26" s="1575"/>
      <c r="QV26" s="1575"/>
      <c r="QW26" s="1575"/>
      <c r="QX26" s="1575"/>
      <c r="QY26" s="1575"/>
      <c r="QZ26" s="1575"/>
      <c r="RA26" s="1575"/>
      <c r="RB26" s="1575"/>
      <c r="RC26" s="1575"/>
      <c r="RD26" s="1575"/>
      <c r="RE26" s="1575"/>
      <c r="RF26" s="1575"/>
      <c r="RG26" s="1575"/>
      <c r="RH26" s="1575"/>
      <c r="RI26" s="1575"/>
      <c r="RJ26" s="1575"/>
      <c r="RK26" s="1575"/>
      <c r="RL26" s="1575"/>
      <c r="RM26" s="1575"/>
      <c r="RN26" s="1575"/>
      <c r="RO26" s="1575"/>
      <c r="RP26" s="1575"/>
      <c r="RQ26" s="1575"/>
      <c r="RR26" s="1575"/>
      <c r="RS26" s="1575"/>
      <c r="RT26" s="1575"/>
      <c r="RU26" s="1575"/>
      <c r="RV26" s="1575"/>
      <c r="RW26" s="1575"/>
      <c r="RX26" s="1575"/>
      <c r="RY26" s="1575"/>
      <c r="RZ26" s="1575"/>
      <c r="SA26" s="1575"/>
      <c r="SB26" s="1575"/>
      <c r="SC26" s="1575"/>
      <c r="SD26" s="1575"/>
      <c r="SE26" s="1575"/>
      <c r="SF26" s="1575"/>
      <c r="SG26" s="1575"/>
      <c r="SH26" s="1575"/>
      <c r="SI26" s="1575"/>
      <c r="SJ26" s="1575"/>
      <c r="SK26" s="1575"/>
      <c r="SL26" s="1575"/>
      <c r="SM26" s="1575"/>
      <c r="SN26" s="1575"/>
      <c r="SO26" s="1575"/>
      <c r="SP26" s="1575"/>
      <c r="SQ26" s="1575"/>
      <c r="SR26" s="1575"/>
      <c r="SS26" s="1575"/>
      <c r="ST26" s="1575"/>
      <c r="SU26" s="1575"/>
      <c r="SV26" s="1575"/>
      <c r="SW26" s="1575"/>
      <c r="SX26" s="1575"/>
      <c r="SY26" s="1575"/>
      <c r="SZ26" s="1575"/>
      <c r="TA26" s="1575"/>
      <c r="TB26" s="1575"/>
      <c r="TC26" s="1575"/>
      <c r="TD26" s="1575"/>
      <c r="TE26" s="1575"/>
      <c r="TF26" s="1575"/>
      <c r="TG26" s="1575"/>
      <c r="TH26" s="1575"/>
      <c r="TI26" s="1575"/>
      <c r="TJ26" s="1575"/>
      <c r="TK26" s="1575"/>
      <c r="TL26" s="1575"/>
      <c r="TM26" s="1575"/>
      <c r="TN26" s="1575"/>
      <c r="TO26" s="1575"/>
      <c r="TP26" s="1575"/>
      <c r="TQ26" s="1575"/>
      <c r="TR26" s="1575"/>
      <c r="TS26" s="1575"/>
      <c r="TT26" s="1575"/>
      <c r="TU26" s="1575"/>
      <c r="TV26" s="1575"/>
      <c r="TW26" s="1575"/>
      <c r="TX26" s="1575"/>
      <c r="TY26" s="1575"/>
      <c r="TZ26" s="1575"/>
      <c r="UA26" s="1575"/>
      <c r="UB26" s="1575"/>
      <c r="UC26" s="1575"/>
      <c r="UD26" s="1575"/>
      <c r="UE26" s="1575"/>
      <c r="UF26" s="1575"/>
      <c r="UG26" s="1575"/>
      <c r="UH26" s="1575"/>
      <c r="UI26" s="1575"/>
      <c r="UJ26" s="1575"/>
      <c r="UK26" s="1575"/>
      <c r="UL26" s="1575"/>
      <c r="UM26" s="1575"/>
      <c r="UN26" s="1575"/>
      <c r="UO26" s="1575"/>
      <c r="UP26" s="1575"/>
      <c r="UQ26" s="1575"/>
      <c r="UR26" s="1575"/>
      <c r="US26" s="1575"/>
      <c r="UT26" s="1575"/>
      <c r="UU26" s="1575"/>
      <c r="UV26" s="1575"/>
      <c r="UW26" s="1575"/>
      <c r="UX26" s="1575"/>
      <c r="UY26" s="1575"/>
      <c r="UZ26" s="1575"/>
      <c r="VA26" s="1575"/>
      <c r="VB26" s="1575"/>
      <c r="VC26" s="1575"/>
      <c r="VD26" s="1575"/>
      <c r="VE26" s="1575"/>
      <c r="VF26" s="1575"/>
      <c r="VG26" s="1575"/>
      <c r="VH26" s="1575"/>
      <c r="VI26" s="1575"/>
      <c r="VJ26" s="1575"/>
      <c r="VK26" s="1575"/>
    </row>
    <row r="27" spans="1:583" s="2072" customFormat="1" ht="27" x14ac:dyDescent="0.25">
      <c r="A27" s="694"/>
      <c r="B27" s="2073" t="s">
        <v>629</v>
      </c>
      <c r="C27" s="2074" t="s">
        <v>2715</v>
      </c>
      <c r="D27" s="4715" t="s">
        <v>2716</v>
      </c>
      <c r="E27" s="4715">
        <v>0</v>
      </c>
      <c r="F27" s="1575"/>
      <c r="G27" s="1575"/>
      <c r="H27" s="1575"/>
      <c r="I27" s="1575"/>
      <c r="J27" s="1575"/>
      <c r="K27" s="1575"/>
      <c r="L27" s="1575"/>
      <c r="M27" s="1575"/>
      <c r="N27" s="1575"/>
      <c r="O27" s="1575"/>
      <c r="P27" s="1575"/>
      <c r="Q27" s="1575"/>
      <c r="R27" s="1575"/>
      <c r="S27" s="1575"/>
      <c r="T27" s="1575"/>
      <c r="U27" s="1575"/>
      <c r="V27" s="1575"/>
      <c r="W27" s="1575"/>
      <c r="X27" s="1575"/>
      <c r="Y27" s="1575"/>
      <c r="Z27" s="1575"/>
      <c r="AA27" s="1575"/>
      <c r="AB27" s="1575"/>
      <c r="AC27" s="1575"/>
      <c r="AD27" s="1575"/>
      <c r="AE27" s="1575"/>
      <c r="AF27" s="1575"/>
      <c r="AG27" s="1575"/>
      <c r="AH27" s="1575"/>
      <c r="AI27" s="1575"/>
      <c r="AJ27" s="1575"/>
      <c r="AK27" s="1575"/>
      <c r="AL27" s="1575"/>
      <c r="AM27" s="1575"/>
      <c r="AN27" s="1575"/>
      <c r="AO27" s="1575"/>
      <c r="AP27" s="1575"/>
      <c r="AQ27" s="1575"/>
      <c r="AR27" s="1575"/>
      <c r="AS27" s="1575"/>
      <c r="AT27" s="1575"/>
      <c r="AU27" s="1575"/>
      <c r="AV27" s="1575"/>
      <c r="AW27" s="1575"/>
      <c r="AX27" s="1575"/>
      <c r="AY27" s="1575"/>
      <c r="AZ27" s="1575"/>
      <c r="BA27" s="1575"/>
      <c r="BB27" s="1575"/>
      <c r="BC27" s="1575"/>
      <c r="BD27" s="1575"/>
      <c r="BE27" s="1575"/>
      <c r="BF27" s="1575"/>
      <c r="BG27" s="1575"/>
      <c r="BH27" s="1575"/>
      <c r="BI27" s="1575"/>
      <c r="BJ27" s="1575"/>
      <c r="BK27" s="1575"/>
      <c r="BL27" s="1575"/>
      <c r="BM27" s="1575"/>
      <c r="BN27" s="1575"/>
      <c r="BO27" s="1575"/>
      <c r="BP27" s="1575"/>
      <c r="BQ27" s="1575"/>
      <c r="BR27" s="1575"/>
      <c r="BS27" s="1575"/>
      <c r="BT27" s="1575"/>
      <c r="BU27" s="1575"/>
      <c r="BV27" s="1575"/>
      <c r="BW27" s="1575"/>
      <c r="BX27" s="1575"/>
      <c r="BY27" s="1575"/>
      <c r="BZ27" s="1575"/>
      <c r="CA27" s="1575"/>
      <c r="CB27" s="1575"/>
      <c r="CC27" s="1575"/>
      <c r="CD27" s="1575"/>
      <c r="CE27" s="1575"/>
      <c r="CF27" s="1575"/>
      <c r="CG27" s="1575"/>
      <c r="CH27" s="1575"/>
      <c r="CI27" s="1575"/>
      <c r="CJ27" s="1575"/>
      <c r="CK27" s="1575"/>
      <c r="CL27" s="1575"/>
      <c r="CM27" s="1575"/>
      <c r="CN27" s="1575"/>
      <c r="CO27" s="1575"/>
      <c r="CP27" s="1575"/>
      <c r="CQ27" s="1575"/>
      <c r="CR27" s="1575"/>
      <c r="CS27" s="1575"/>
      <c r="CT27" s="1575"/>
      <c r="CU27" s="1575"/>
      <c r="CV27" s="1575"/>
      <c r="CW27" s="1575"/>
      <c r="CX27" s="1575"/>
      <c r="CY27" s="1575"/>
      <c r="CZ27" s="1575"/>
      <c r="DA27" s="1575"/>
      <c r="DB27" s="1575"/>
      <c r="DC27" s="1575"/>
      <c r="DD27" s="1575"/>
      <c r="DE27" s="1575"/>
      <c r="DF27" s="1575"/>
      <c r="DG27" s="1575"/>
      <c r="DH27" s="1575"/>
      <c r="DI27" s="1575"/>
      <c r="DJ27" s="1575"/>
      <c r="DK27" s="1575"/>
      <c r="DL27" s="1575"/>
      <c r="DM27" s="1575"/>
      <c r="DN27" s="1575"/>
      <c r="DO27" s="1575"/>
      <c r="DP27" s="1575"/>
      <c r="DQ27" s="1575"/>
      <c r="DR27" s="1575"/>
      <c r="DS27" s="1575"/>
      <c r="DT27" s="1575"/>
      <c r="DU27" s="1575"/>
      <c r="DV27" s="1575"/>
      <c r="DW27" s="1575"/>
      <c r="DX27" s="1575"/>
      <c r="DY27" s="1575"/>
      <c r="DZ27" s="1575"/>
      <c r="EA27" s="1575"/>
      <c r="EB27" s="1575"/>
      <c r="EC27" s="1575"/>
      <c r="ED27" s="1575"/>
      <c r="EE27" s="1575"/>
      <c r="EF27" s="1575"/>
      <c r="EG27" s="1575"/>
      <c r="EH27" s="1575"/>
      <c r="EI27" s="1575"/>
      <c r="EJ27" s="1575"/>
      <c r="EK27" s="1575"/>
      <c r="EL27" s="1575"/>
      <c r="EM27" s="1575"/>
      <c r="EN27" s="1575"/>
      <c r="EO27" s="1575"/>
      <c r="EP27" s="1575"/>
      <c r="EQ27" s="1575"/>
      <c r="ER27" s="1575"/>
      <c r="ES27" s="1575"/>
      <c r="ET27" s="1575"/>
      <c r="EU27" s="1575"/>
      <c r="EV27" s="1575"/>
      <c r="EW27" s="1575"/>
      <c r="EX27" s="1575"/>
      <c r="EY27" s="1575"/>
      <c r="EZ27" s="1575"/>
      <c r="FA27" s="1575"/>
      <c r="FB27" s="1575"/>
      <c r="FC27" s="1575"/>
      <c r="FD27" s="1575"/>
      <c r="FE27" s="1575"/>
      <c r="FF27" s="1575"/>
      <c r="FG27" s="1575"/>
      <c r="FH27" s="1575"/>
      <c r="FI27" s="1575"/>
      <c r="FJ27" s="1575"/>
      <c r="FK27" s="1575"/>
      <c r="FL27" s="1575"/>
      <c r="FM27" s="1575"/>
      <c r="FN27" s="1575"/>
      <c r="FO27" s="1575"/>
      <c r="FP27" s="1575"/>
      <c r="FQ27" s="1575"/>
      <c r="FR27" s="1575"/>
      <c r="FS27" s="1575"/>
      <c r="FT27" s="1575"/>
      <c r="FU27" s="1575"/>
      <c r="FV27" s="1575"/>
      <c r="FW27" s="1575"/>
      <c r="FX27" s="1575"/>
      <c r="FY27" s="1575"/>
      <c r="FZ27" s="1575"/>
      <c r="GA27" s="1575"/>
      <c r="GB27" s="1575"/>
      <c r="GC27" s="1575"/>
      <c r="GD27" s="1575"/>
      <c r="GE27" s="1575"/>
      <c r="GF27" s="1575"/>
      <c r="GG27" s="1575"/>
      <c r="GH27" s="1575"/>
      <c r="GI27" s="1575"/>
      <c r="GJ27" s="1575"/>
      <c r="GK27" s="1575"/>
      <c r="GL27" s="1575"/>
      <c r="GM27" s="1575"/>
      <c r="GN27" s="1575"/>
      <c r="GO27" s="1575"/>
      <c r="GP27" s="1575"/>
      <c r="GQ27" s="1575"/>
      <c r="GR27" s="1575"/>
      <c r="GS27" s="1575"/>
      <c r="GT27" s="1575"/>
      <c r="GU27" s="1575"/>
      <c r="GV27" s="1575"/>
      <c r="GW27" s="1575"/>
      <c r="GX27" s="1575"/>
      <c r="GY27" s="1575"/>
      <c r="GZ27" s="1575"/>
      <c r="HA27" s="1575"/>
      <c r="HB27" s="1575"/>
      <c r="HC27" s="1575"/>
      <c r="HD27" s="1575"/>
      <c r="HE27" s="1575"/>
      <c r="HF27" s="1575"/>
      <c r="HG27" s="1575"/>
      <c r="HH27" s="1575"/>
      <c r="HI27" s="1575"/>
      <c r="HJ27" s="1575"/>
      <c r="HK27" s="1575"/>
      <c r="HL27" s="1575"/>
      <c r="HM27" s="1575"/>
      <c r="HN27" s="1575"/>
      <c r="HO27" s="1575"/>
      <c r="HP27" s="1575"/>
      <c r="HQ27" s="1575"/>
      <c r="HR27" s="1575"/>
      <c r="HS27" s="1575"/>
      <c r="HT27" s="1575"/>
      <c r="HU27" s="1575"/>
      <c r="HV27" s="1575"/>
      <c r="HW27" s="1575"/>
      <c r="HX27" s="1575"/>
      <c r="HY27" s="1575"/>
      <c r="HZ27" s="1575"/>
      <c r="IA27" s="1575"/>
      <c r="IB27" s="1575"/>
      <c r="IC27" s="1575"/>
      <c r="ID27" s="1575"/>
      <c r="IE27" s="1575"/>
      <c r="IF27" s="1575"/>
      <c r="IG27" s="1575"/>
      <c r="IH27" s="1575"/>
      <c r="II27" s="1575"/>
      <c r="IJ27" s="1575"/>
      <c r="IK27" s="1575"/>
      <c r="IL27" s="1575"/>
      <c r="IM27" s="1575"/>
      <c r="IN27" s="1575"/>
      <c r="IO27" s="1575"/>
      <c r="IP27" s="1575"/>
      <c r="IQ27" s="1575"/>
      <c r="IR27" s="1575"/>
      <c r="IS27" s="1575"/>
      <c r="IT27" s="1575"/>
      <c r="IU27" s="1575"/>
      <c r="IV27" s="1575"/>
      <c r="IW27" s="1575"/>
      <c r="IX27" s="1575"/>
      <c r="IY27" s="1575"/>
      <c r="IZ27" s="1575"/>
      <c r="JA27" s="1587"/>
      <c r="JB27" s="1587"/>
      <c r="JC27" s="1587"/>
      <c r="JD27" s="1587"/>
      <c r="JE27" s="1587"/>
      <c r="JF27" s="1587"/>
      <c r="JG27" s="1587"/>
      <c r="JH27" s="1587"/>
      <c r="JI27" s="1587"/>
      <c r="JJ27" s="1587"/>
      <c r="JK27" s="1587"/>
      <c r="JL27" s="1587"/>
      <c r="JM27" s="1587"/>
      <c r="JN27" s="1587"/>
      <c r="JO27" s="1587"/>
      <c r="JP27" s="1587"/>
      <c r="JQ27" s="1587"/>
      <c r="JR27" s="1575"/>
      <c r="JS27" s="1575"/>
      <c r="JT27" s="1575"/>
      <c r="JU27" s="1575"/>
      <c r="JV27" s="1575"/>
      <c r="JW27" s="1575"/>
      <c r="JX27" s="1575"/>
      <c r="JY27" s="1575"/>
      <c r="JZ27" s="1575"/>
      <c r="KA27" s="1575"/>
      <c r="KB27" s="1575"/>
      <c r="KC27" s="1575"/>
      <c r="KD27" s="1575"/>
      <c r="KE27" s="1575"/>
      <c r="KF27" s="1575"/>
      <c r="KG27" s="1575"/>
      <c r="KH27" s="1575"/>
      <c r="KI27" s="1575"/>
      <c r="KJ27" s="1575"/>
      <c r="KK27" s="1575"/>
      <c r="KL27" s="1575"/>
      <c r="KM27" s="1575"/>
      <c r="KN27" s="1575"/>
      <c r="KO27" s="1575"/>
      <c r="KP27" s="1575"/>
      <c r="KQ27" s="1575"/>
      <c r="KR27" s="1575"/>
      <c r="KS27" s="1575"/>
      <c r="KT27" s="1575"/>
      <c r="KU27" s="1575"/>
      <c r="KV27" s="1575"/>
      <c r="KW27" s="1575"/>
      <c r="KX27" s="1575"/>
      <c r="KY27" s="1575"/>
      <c r="KZ27" s="1575"/>
      <c r="LA27" s="1575"/>
      <c r="LB27" s="1575"/>
      <c r="LC27" s="1575"/>
      <c r="LD27" s="1575"/>
      <c r="LE27" s="1575"/>
      <c r="LF27" s="1575"/>
      <c r="LG27" s="1575"/>
      <c r="LH27" s="1575"/>
      <c r="LI27" s="1575"/>
      <c r="LJ27" s="1575"/>
      <c r="LK27" s="1575"/>
      <c r="LL27" s="1575"/>
      <c r="LM27" s="1575"/>
      <c r="LN27" s="1575"/>
      <c r="LO27" s="1575"/>
      <c r="LP27" s="1575"/>
      <c r="LQ27" s="1575"/>
      <c r="LR27" s="1575"/>
      <c r="LS27" s="1575"/>
      <c r="LT27" s="1575"/>
      <c r="LU27" s="1575"/>
      <c r="LV27" s="1575"/>
      <c r="LW27" s="1575"/>
      <c r="LX27" s="1575"/>
      <c r="LY27" s="1575"/>
      <c r="LZ27" s="1575"/>
      <c r="MA27" s="1575"/>
      <c r="MB27" s="1575"/>
      <c r="MC27" s="1575"/>
      <c r="MD27" s="1575"/>
      <c r="ME27" s="1575"/>
      <c r="MF27" s="1575"/>
      <c r="MG27" s="1575"/>
      <c r="MH27" s="1575"/>
      <c r="MI27" s="1575"/>
      <c r="MJ27" s="1575"/>
      <c r="MK27" s="1575"/>
      <c r="ML27" s="1575"/>
      <c r="MM27" s="1575"/>
      <c r="MN27" s="1575"/>
      <c r="MO27" s="1575"/>
      <c r="MP27" s="1575"/>
      <c r="MQ27" s="1575"/>
      <c r="MR27" s="1575"/>
      <c r="MS27" s="1575"/>
      <c r="MT27" s="1575"/>
      <c r="MU27" s="1575"/>
      <c r="MV27" s="1575"/>
      <c r="MW27" s="1575"/>
      <c r="MX27" s="1575"/>
      <c r="MY27" s="1575"/>
      <c r="MZ27" s="1575"/>
      <c r="NA27" s="1575"/>
      <c r="NB27" s="1575"/>
      <c r="NC27" s="1575"/>
      <c r="ND27" s="1575"/>
      <c r="NE27" s="1575"/>
      <c r="NF27" s="1575"/>
      <c r="NG27" s="1575"/>
      <c r="NH27" s="1575"/>
      <c r="NI27" s="1575"/>
      <c r="NJ27" s="1575"/>
      <c r="NK27" s="1575"/>
      <c r="NL27" s="1575"/>
      <c r="NM27" s="1575"/>
      <c r="NN27" s="1575"/>
      <c r="NO27" s="1575"/>
      <c r="NP27" s="1575"/>
      <c r="NQ27" s="1575"/>
      <c r="NR27" s="1575"/>
      <c r="NS27" s="1575"/>
      <c r="NT27" s="1575"/>
      <c r="NU27" s="1575"/>
      <c r="NV27" s="1575"/>
      <c r="NW27" s="1575"/>
      <c r="NX27" s="1575"/>
      <c r="NY27" s="1575"/>
      <c r="NZ27" s="1575"/>
      <c r="OA27" s="1575"/>
      <c r="OB27" s="1575"/>
      <c r="OC27" s="1575"/>
      <c r="OD27" s="1575"/>
      <c r="OE27" s="1575"/>
      <c r="OF27" s="1575"/>
      <c r="OG27" s="1575"/>
      <c r="OH27" s="1575"/>
      <c r="OI27" s="1575"/>
      <c r="OJ27" s="1575"/>
      <c r="OK27" s="1575"/>
      <c r="OL27" s="1575"/>
      <c r="OM27" s="1575"/>
      <c r="ON27" s="1575"/>
      <c r="OO27" s="1575"/>
      <c r="OP27" s="1575"/>
      <c r="OQ27" s="1575"/>
      <c r="OR27" s="1575"/>
      <c r="OS27" s="1575"/>
      <c r="OT27" s="1575"/>
      <c r="OU27" s="1575"/>
      <c r="OV27" s="1575"/>
      <c r="OW27" s="1575"/>
      <c r="OX27" s="1575"/>
      <c r="OY27" s="1575"/>
      <c r="OZ27" s="1575"/>
      <c r="PA27" s="1575"/>
      <c r="PB27" s="1575"/>
      <c r="PC27" s="1575"/>
      <c r="PD27" s="1575"/>
      <c r="PE27" s="1575"/>
      <c r="PF27" s="1575"/>
      <c r="PG27" s="1575"/>
      <c r="PH27" s="1575"/>
      <c r="PI27" s="1575"/>
      <c r="PJ27" s="1575"/>
      <c r="PK27" s="1575"/>
      <c r="PL27" s="1575"/>
      <c r="PM27" s="1575"/>
      <c r="PN27" s="1575"/>
      <c r="PO27" s="1575"/>
      <c r="PP27" s="1575"/>
      <c r="PQ27" s="1575"/>
      <c r="PR27" s="1575"/>
      <c r="PS27" s="1575"/>
      <c r="PT27" s="1575"/>
      <c r="PU27" s="1575"/>
      <c r="PV27" s="1575"/>
      <c r="PW27" s="1575"/>
      <c r="PX27" s="1575"/>
      <c r="PY27" s="1575"/>
      <c r="PZ27" s="1575"/>
      <c r="QA27" s="1575"/>
      <c r="QB27" s="1575"/>
      <c r="QC27" s="1575"/>
      <c r="QD27" s="1575"/>
      <c r="QE27" s="1575"/>
      <c r="QF27" s="1575"/>
      <c r="QG27" s="1575"/>
      <c r="QH27" s="1575"/>
      <c r="QI27" s="1575"/>
      <c r="QJ27" s="1575"/>
      <c r="QK27" s="1575"/>
      <c r="QL27" s="1575"/>
      <c r="QM27" s="1575"/>
      <c r="QN27" s="1575"/>
      <c r="QO27" s="1575"/>
      <c r="QP27" s="1575"/>
      <c r="QQ27" s="1575"/>
      <c r="QR27" s="1575"/>
      <c r="QS27" s="1575"/>
      <c r="QT27" s="1575"/>
      <c r="QU27" s="1575"/>
      <c r="QV27" s="1575"/>
      <c r="QW27" s="1575"/>
      <c r="QX27" s="1575"/>
      <c r="QY27" s="1575"/>
      <c r="QZ27" s="1575"/>
      <c r="RA27" s="1575"/>
      <c r="RB27" s="1575"/>
      <c r="RC27" s="1575"/>
      <c r="RD27" s="1575"/>
      <c r="RE27" s="1575"/>
      <c r="RF27" s="1575"/>
      <c r="RG27" s="1575"/>
      <c r="RH27" s="1575"/>
      <c r="RI27" s="1575"/>
      <c r="RJ27" s="1575"/>
      <c r="RK27" s="1575"/>
      <c r="RL27" s="1575"/>
      <c r="RM27" s="1575"/>
      <c r="RN27" s="1575"/>
      <c r="RO27" s="1575"/>
      <c r="RP27" s="1575"/>
      <c r="RQ27" s="1575"/>
      <c r="RR27" s="1575"/>
      <c r="RS27" s="1575"/>
      <c r="RT27" s="1575"/>
      <c r="RU27" s="1575"/>
      <c r="RV27" s="1575"/>
      <c r="RW27" s="1575"/>
      <c r="RX27" s="1575"/>
      <c r="RY27" s="1575"/>
      <c r="RZ27" s="1575"/>
      <c r="SA27" s="1575"/>
      <c r="SB27" s="1575"/>
      <c r="SC27" s="1575"/>
      <c r="SD27" s="1575"/>
      <c r="SE27" s="1575"/>
      <c r="SF27" s="1575"/>
      <c r="SG27" s="1575"/>
      <c r="SH27" s="1575"/>
      <c r="SI27" s="1575"/>
      <c r="SJ27" s="1575"/>
      <c r="SK27" s="1575"/>
      <c r="SL27" s="1575"/>
      <c r="SM27" s="1575"/>
      <c r="SN27" s="1575"/>
      <c r="SO27" s="1575"/>
      <c r="SP27" s="1575"/>
      <c r="SQ27" s="1575"/>
      <c r="SR27" s="1575"/>
      <c r="SS27" s="1575"/>
      <c r="ST27" s="1575"/>
      <c r="SU27" s="1575"/>
      <c r="SV27" s="1575"/>
      <c r="SW27" s="1575"/>
      <c r="SX27" s="1575"/>
      <c r="SY27" s="1575"/>
      <c r="SZ27" s="1575"/>
      <c r="TA27" s="1575"/>
      <c r="TB27" s="1575"/>
      <c r="TC27" s="1575"/>
      <c r="TD27" s="1575"/>
      <c r="TE27" s="1575"/>
      <c r="TF27" s="1575"/>
      <c r="TG27" s="1575"/>
      <c r="TH27" s="1575"/>
      <c r="TI27" s="1575"/>
      <c r="TJ27" s="1575"/>
      <c r="TK27" s="1575"/>
      <c r="TL27" s="1575"/>
      <c r="TM27" s="1575"/>
      <c r="TN27" s="1575"/>
      <c r="TO27" s="1575"/>
      <c r="TP27" s="1575"/>
      <c r="TQ27" s="1575"/>
      <c r="TR27" s="1575"/>
      <c r="TS27" s="1575"/>
      <c r="TT27" s="1575"/>
      <c r="TU27" s="1575"/>
      <c r="TV27" s="1575"/>
      <c r="TW27" s="1575"/>
      <c r="TX27" s="1575"/>
      <c r="TY27" s="1575"/>
      <c r="TZ27" s="1575"/>
      <c r="UA27" s="1575"/>
      <c r="UB27" s="1575"/>
      <c r="UC27" s="1575"/>
      <c r="UD27" s="1575"/>
      <c r="UE27" s="1575"/>
      <c r="UF27" s="1575"/>
      <c r="UG27" s="1575"/>
      <c r="UH27" s="1575"/>
      <c r="UI27" s="1575"/>
      <c r="UJ27" s="1575"/>
      <c r="UK27" s="1575"/>
      <c r="UL27" s="1575"/>
      <c r="UM27" s="1575"/>
      <c r="UN27" s="1575"/>
      <c r="UO27" s="1575"/>
      <c r="UP27" s="1575"/>
      <c r="UQ27" s="1575"/>
      <c r="UR27" s="1575"/>
      <c r="US27" s="1575"/>
      <c r="UT27" s="1575"/>
      <c r="UU27" s="1575"/>
      <c r="UV27" s="1575"/>
      <c r="UW27" s="1575"/>
      <c r="UX27" s="1575"/>
      <c r="UY27" s="1575"/>
      <c r="UZ27" s="1575"/>
      <c r="VA27" s="1575"/>
      <c r="VB27" s="1575"/>
      <c r="VC27" s="1575"/>
      <c r="VD27" s="1575"/>
      <c r="VE27" s="1575"/>
      <c r="VF27" s="1575"/>
      <c r="VG27" s="1575"/>
      <c r="VH27" s="1575"/>
      <c r="VI27" s="1575"/>
      <c r="VJ27" s="1575"/>
      <c r="VK27" s="1575"/>
    </row>
    <row r="28" spans="1:583" s="2072" customFormat="1" ht="27" x14ac:dyDescent="0.25">
      <c r="A28" s="694"/>
      <c r="B28" s="2073" t="s">
        <v>629</v>
      </c>
      <c r="C28" s="2074" t="s">
        <v>2717</v>
      </c>
      <c r="D28" s="4715" t="s">
        <v>2718</v>
      </c>
      <c r="E28" s="4715">
        <v>0</v>
      </c>
      <c r="F28" s="1575"/>
      <c r="G28" s="1575"/>
      <c r="H28" s="1575"/>
      <c r="I28" s="1575"/>
      <c r="J28" s="1575"/>
      <c r="K28" s="1575"/>
      <c r="L28" s="1575"/>
      <c r="M28" s="1575"/>
      <c r="N28" s="1575"/>
      <c r="O28" s="1575"/>
      <c r="P28" s="1575"/>
      <c r="Q28" s="1575"/>
      <c r="R28" s="1575"/>
      <c r="S28" s="1575"/>
      <c r="T28" s="1575"/>
      <c r="U28" s="1575"/>
      <c r="V28" s="1575"/>
      <c r="W28" s="1575"/>
      <c r="X28" s="1575"/>
      <c r="Y28" s="1575"/>
      <c r="Z28" s="1575"/>
      <c r="AA28" s="1575"/>
      <c r="AB28" s="1575"/>
      <c r="AC28" s="1575"/>
      <c r="AD28" s="1575"/>
      <c r="AE28" s="1575"/>
      <c r="AF28" s="1575"/>
      <c r="AG28" s="1575"/>
      <c r="AH28" s="1575"/>
      <c r="AI28" s="1575"/>
      <c r="AJ28" s="1575"/>
      <c r="AK28" s="1575"/>
      <c r="AL28" s="1575"/>
      <c r="AM28" s="1575"/>
      <c r="AN28" s="1575"/>
      <c r="AO28" s="1575"/>
      <c r="AP28" s="1575"/>
      <c r="AQ28" s="1575"/>
      <c r="AR28" s="1575"/>
      <c r="AS28" s="1575"/>
      <c r="AT28" s="1575"/>
      <c r="AU28" s="1575"/>
      <c r="AV28" s="1575"/>
      <c r="AW28" s="1575"/>
      <c r="AX28" s="1575"/>
      <c r="AY28" s="1575"/>
      <c r="AZ28" s="1575"/>
      <c r="BA28" s="1575"/>
      <c r="BB28" s="1575"/>
      <c r="BC28" s="1575"/>
      <c r="BD28" s="1575"/>
      <c r="BE28" s="1575"/>
      <c r="BF28" s="1575"/>
      <c r="BG28" s="1575"/>
      <c r="BH28" s="1575"/>
      <c r="BI28" s="1575"/>
      <c r="BJ28" s="1575"/>
      <c r="BK28" s="1575"/>
      <c r="BL28" s="1575"/>
      <c r="BM28" s="1575"/>
      <c r="BN28" s="1575"/>
      <c r="BO28" s="1575"/>
      <c r="BP28" s="1575"/>
      <c r="BQ28" s="1575"/>
      <c r="BR28" s="1575"/>
      <c r="BS28" s="1575"/>
      <c r="BT28" s="1575"/>
      <c r="BU28" s="1575"/>
      <c r="BV28" s="1575"/>
      <c r="BW28" s="1575"/>
      <c r="BX28" s="1575"/>
      <c r="BY28" s="1575"/>
      <c r="BZ28" s="1575"/>
      <c r="CA28" s="1575"/>
      <c r="CB28" s="1575"/>
      <c r="CC28" s="1575"/>
      <c r="CD28" s="1575"/>
      <c r="CE28" s="1575"/>
      <c r="CF28" s="1575"/>
      <c r="CG28" s="1575"/>
      <c r="CH28" s="1575"/>
      <c r="CI28" s="1575"/>
      <c r="CJ28" s="1575"/>
      <c r="CK28" s="1575"/>
      <c r="CL28" s="1575"/>
      <c r="CM28" s="1575"/>
      <c r="CN28" s="1575"/>
      <c r="CO28" s="1575"/>
      <c r="CP28" s="1575"/>
      <c r="CQ28" s="1575"/>
      <c r="CR28" s="1575"/>
      <c r="CS28" s="1575"/>
      <c r="CT28" s="1575"/>
      <c r="CU28" s="1575"/>
      <c r="CV28" s="1575"/>
      <c r="CW28" s="1575"/>
      <c r="CX28" s="1575"/>
      <c r="CY28" s="1575"/>
      <c r="CZ28" s="1575"/>
      <c r="DA28" s="1575"/>
      <c r="DB28" s="1575"/>
      <c r="DC28" s="1575"/>
      <c r="DD28" s="1575"/>
      <c r="DE28" s="1575"/>
      <c r="DF28" s="1575"/>
      <c r="DG28" s="1575"/>
      <c r="DH28" s="1575"/>
      <c r="DI28" s="1575"/>
      <c r="DJ28" s="1575"/>
      <c r="DK28" s="1575"/>
      <c r="DL28" s="1575"/>
      <c r="DM28" s="1575"/>
      <c r="DN28" s="1575"/>
      <c r="DO28" s="1575"/>
      <c r="DP28" s="1575"/>
      <c r="DQ28" s="1575"/>
      <c r="DR28" s="1575"/>
      <c r="DS28" s="1575"/>
      <c r="DT28" s="1575"/>
      <c r="DU28" s="1575"/>
      <c r="DV28" s="1575"/>
      <c r="DW28" s="1575"/>
      <c r="DX28" s="1575"/>
      <c r="DY28" s="1575"/>
      <c r="DZ28" s="1575"/>
      <c r="EA28" s="1575"/>
      <c r="EB28" s="1575"/>
      <c r="EC28" s="1575"/>
      <c r="ED28" s="1575"/>
      <c r="EE28" s="1575"/>
      <c r="EF28" s="1575"/>
      <c r="EG28" s="1575"/>
      <c r="EH28" s="1575"/>
      <c r="EI28" s="1575"/>
      <c r="EJ28" s="1575"/>
      <c r="EK28" s="1575"/>
      <c r="EL28" s="1575"/>
      <c r="EM28" s="1575"/>
      <c r="EN28" s="1575"/>
      <c r="EO28" s="1575"/>
      <c r="EP28" s="1575"/>
      <c r="EQ28" s="1575"/>
      <c r="ER28" s="1575"/>
      <c r="ES28" s="1575"/>
      <c r="ET28" s="1575"/>
      <c r="EU28" s="1575"/>
      <c r="EV28" s="1575"/>
      <c r="EW28" s="1575"/>
      <c r="EX28" s="1575"/>
      <c r="EY28" s="1575"/>
      <c r="EZ28" s="1575"/>
      <c r="FA28" s="1575"/>
      <c r="FB28" s="1575"/>
      <c r="FC28" s="1575"/>
      <c r="FD28" s="1575"/>
      <c r="FE28" s="1575"/>
      <c r="FF28" s="1575"/>
      <c r="FG28" s="1575"/>
      <c r="FH28" s="1575"/>
      <c r="FI28" s="1575"/>
      <c r="FJ28" s="1575"/>
      <c r="FK28" s="1575"/>
      <c r="FL28" s="1575"/>
      <c r="FM28" s="1575"/>
      <c r="FN28" s="1575"/>
      <c r="FO28" s="1575"/>
      <c r="FP28" s="1575"/>
      <c r="FQ28" s="1575"/>
      <c r="FR28" s="1575"/>
      <c r="FS28" s="1575"/>
      <c r="FT28" s="1575"/>
      <c r="FU28" s="1575"/>
      <c r="FV28" s="1575"/>
      <c r="FW28" s="1575"/>
      <c r="FX28" s="1575"/>
      <c r="FY28" s="1575"/>
      <c r="FZ28" s="1575"/>
      <c r="GA28" s="1575"/>
      <c r="GB28" s="1575"/>
      <c r="GC28" s="1575"/>
      <c r="GD28" s="1575"/>
      <c r="GE28" s="1575"/>
      <c r="GF28" s="1575"/>
      <c r="GG28" s="1575"/>
      <c r="GH28" s="1575"/>
      <c r="GI28" s="1575"/>
      <c r="GJ28" s="1575"/>
      <c r="GK28" s="1575"/>
      <c r="GL28" s="1575"/>
      <c r="GM28" s="1575"/>
      <c r="GN28" s="1575"/>
      <c r="GO28" s="1575"/>
      <c r="GP28" s="1575"/>
      <c r="GQ28" s="1575"/>
      <c r="GR28" s="1575"/>
      <c r="GS28" s="1575"/>
      <c r="GT28" s="1575"/>
      <c r="GU28" s="1575"/>
      <c r="GV28" s="1575"/>
      <c r="GW28" s="1575"/>
      <c r="GX28" s="1575"/>
      <c r="GY28" s="1575"/>
      <c r="GZ28" s="1575"/>
      <c r="HA28" s="1575"/>
      <c r="HB28" s="1575"/>
      <c r="HC28" s="1575"/>
      <c r="HD28" s="1575"/>
      <c r="HE28" s="1575"/>
      <c r="HF28" s="1575"/>
      <c r="HG28" s="1575"/>
      <c r="HH28" s="1575"/>
      <c r="HI28" s="1575"/>
      <c r="HJ28" s="1575"/>
      <c r="HK28" s="1575"/>
      <c r="HL28" s="1575"/>
      <c r="HM28" s="1575"/>
      <c r="HN28" s="1575"/>
      <c r="HO28" s="1575"/>
      <c r="HP28" s="1575"/>
      <c r="HQ28" s="1575"/>
      <c r="HR28" s="1575"/>
      <c r="HS28" s="1575"/>
      <c r="HT28" s="1575"/>
      <c r="HU28" s="1575"/>
      <c r="HV28" s="1575"/>
      <c r="HW28" s="1575"/>
      <c r="HX28" s="1575"/>
      <c r="HY28" s="1575"/>
      <c r="HZ28" s="1575"/>
      <c r="IA28" s="1575"/>
      <c r="IB28" s="1575"/>
      <c r="IC28" s="1575"/>
      <c r="ID28" s="1575"/>
      <c r="IE28" s="1575"/>
      <c r="IF28" s="1575"/>
      <c r="IG28" s="1575"/>
      <c r="IH28" s="1575"/>
      <c r="II28" s="1575"/>
      <c r="IJ28" s="1575"/>
      <c r="IK28" s="1575"/>
      <c r="IL28" s="1575"/>
      <c r="IM28" s="1575"/>
      <c r="IN28" s="1575"/>
      <c r="IO28" s="1575"/>
      <c r="IP28" s="1575"/>
      <c r="IQ28" s="1575"/>
      <c r="IR28" s="1575"/>
      <c r="IS28" s="1575"/>
      <c r="IT28" s="1575"/>
      <c r="IU28" s="1575"/>
      <c r="IV28" s="1575"/>
      <c r="IW28" s="1575"/>
      <c r="IX28" s="1575"/>
      <c r="IY28" s="1575"/>
      <c r="IZ28" s="1575"/>
      <c r="JA28" s="1587"/>
      <c r="JB28" s="1587"/>
      <c r="JC28" s="1587"/>
      <c r="JD28" s="1587"/>
      <c r="JE28" s="1587"/>
      <c r="JF28" s="1587"/>
      <c r="JG28" s="1587"/>
      <c r="JH28" s="1587"/>
      <c r="JI28" s="1587"/>
      <c r="JJ28" s="1587"/>
      <c r="JK28" s="1587"/>
      <c r="JL28" s="1587"/>
      <c r="JM28" s="1587"/>
      <c r="JN28" s="1587"/>
      <c r="JO28" s="1587"/>
      <c r="JP28" s="1587"/>
      <c r="JQ28" s="1587"/>
      <c r="JR28" s="1575"/>
      <c r="JS28" s="1575"/>
      <c r="JT28" s="1575"/>
      <c r="JU28" s="1575"/>
      <c r="JV28" s="1575"/>
      <c r="JW28" s="1575"/>
      <c r="JX28" s="1575"/>
      <c r="JY28" s="1575"/>
      <c r="JZ28" s="1575"/>
      <c r="KA28" s="1575"/>
      <c r="KB28" s="1575"/>
      <c r="KC28" s="1575"/>
      <c r="KD28" s="1575"/>
      <c r="KE28" s="1575"/>
      <c r="KF28" s="1575"/>
      <c r="KG28" s="1575"/>
      <c r="KH28" s="1575"/>
      <c r="KI28" s="1575"/>
      <c r="KJ28" s="1575"/>
      <c r="KK28" s="1575"/>
      <c r="KL28" s="1575"/>
      <c r="KM28" s="1575"/>
      <c r="KN28" s="1575"/>
      <c r="KO28" s="1575"/>
      <c r="KP28" s="1575"/>
      <c r="KQ28" s="1575"/>
      <c r="KR28" s="1575"/>
      <c r="KS28" s="1575"/>
      <c r="KT28" s="1575"/>
      <c r="KU28" s="1575"/>
      <c r="KV28" s="1575"/>
      <c r="KW28" s="1575"/>
      <c r="KX28" s="1575"/>
      <c r="KY28" s="1575"/>
      <c r="KZ28" s="1575"/>
      <c r="LA28" s="1575"/>
      <c r="LB28" s="1575"/>
      <c r="LC28" s="1575"/>
      <c r="LD28" s="1575"/>
      <c r="LE28" s="1575"/>
      <c r="LF28" s="1575"/>
      <c r="LG28" s="1575"/>
      <c r="LH28" s="1575"/>
      <c r="LI28" s="1575"/>
      <c r="LJ28" s="1575"/>
      <c r="LK28" s="1575"/>
      <c r="LL28" s="1575"/>
      <c r="LM28" s="1575"/>
      <c r="LN28" s="1575"/>
      <c r="LO28" s="1575"/>
      <c r="LP28" s="1575"/>
      <c r="LQ28" s="1575"/>
      <c r="LR28" s="1575"/>
      <c r="LS28" s="1575"/>
      <c r="LT28" s="1575"/>
      <c r="LU28" s="1575"/>
      <c r="LV28" s="1575"/>
      <c r="LW28" s="1575"/>
      <c r="LX28" s="1575"/>
      <c r="LY28" s="1575"/>
      <c r="LZ28" s="1575"/>
      <c r="MA28" s="1575"/>
      <c r="MB28" s="1575"/>
      <c r="MC28" s="1575"/>
      <c r="MD28" s="1575"/>
      <c r="ME28" s="1575"/>
      <c r="MF28" s="1575"/>
      <c r="MG28" s="1575"/>
      <c r="MH28" s="1575"/>
      <c r="MI28" s="1575"/>
      <c r="MJ28" s="1575"/>
      <c r="MK28" s="1575"/>
      <c r="ML28" s="1575"/>
      <c r="MM28" s="1575"/>
      <c r="MN28" s="1575"/>
      <c r="MO28" s="1575"/>
      <c r="MP28" s="1575"/>
      <c r="MQ28" s="1575"/>
      <c r="MR28" s="1575"/>
      <c r="MS28" s="1575"/>
      <c r="MT28" s="1575"/>
      <c r="MU28" s="1575"/>
      <c r="MV28" s="1575"/>
      <c r="MW28" s="1575"/>
      <c r="MX28" s="1575"/>
      <c r="MY28" s="1575"/>
      <c r="MZ28" s="1575"/>
      <c r="NA28" s="1575"/>
      <c r="NB28" s="1575"/>
      <c r="NC28" s="1575"/>
      <c r="ND28" s="1575"/>
      <c r="NE28" s="1575"/>
      <c r="NF28" s="1575"/>
      <c r="NG28" s="1575"/>
      <c r="NH28" s="1575"/>
      <c r="NI28" s="1575"/>
      <c r="NJ28" s="1575"/>
      <c r="NK28" s="1575"/>
      <c r="NL28" s="1575"/>
      <c r="NM28" s="1575"/>
      <c r="NN28" s="1575"/>
      <c r="NO28" s="1575"/>
      <c r="NP28" s="1575"/>
      <c r="NQ28" s="1575"/>
      <c r="NR28" s="1575"/>
      <c r="NS28" s="1575"/>
      <c r="NT28" s="1575"/>
      <c r="NU28" s="1575"/>
      <c r="NV28" s="1575"/>
      <c r="NW28" s="1575"/>
      <c r="NX28" s="1575"/>
      <c r="NY28" s="1575"/>
      <c r="NZ28" s="1575"/>
      <c r="OA28" s="1575"/>
      <c r="OB28" s="1575"/>
      <c r="OC28" s="1575"/>
      <c r="OD28" s="1575"/>
      <c r="OE28" s="1575"/>
      <c r="OF28" s="1575"/>
      <c r="OG28" s="1575"/>
      <c r="OH28" s="1575"/>
      <c r="OI28" s="1575"/>
      <c r="OJ28" s="1575"/>
      <c r="OK28" s="1575"/>
      <c r="OL28" s="1575"/>
      <c r="OM28" s="1575"/>
      <c r="ON28" s="1575"/>
      <c r="OO28" s="1575"/>
      <c r="OP28" s="1575"/>
      <c r="OQ28" s="1575"/>
      <c r="OR28" s="1575"/>
      <c r="OS28" s="1575"/>
      <c r="OT28" s="1575"/>
      <c r="OU28" s="1575"/>
      <c r="OV28" s="1575"/>
      <c r="OW28" s="1575"/>
      <c r="OX28" s="1575"/>
      <c r="OY28" s="1575"/>
      <c r="OZ28" s="1575"/>
      <c r="PA28" s="1575"/>
      <c r="PB28" s="1575"/>
      <c r="PC28" s="1575"/>
      <c r="PD28" s="1575"/>
      <c r="PE28" s="1575"/>
      <c r="PF28" s="1575"/>
      <c r="PG28" s="1575"/>
      <c r="PH28" s="1575"/>
      <c r="PI28" s="1575"/>
      <c r="PJ28" s="1575"/>
      <c r="PK28" s="1575"/>
      <c r="PL28" s="1575"/>
      <c r="PM28" s="1575"/>
      <c r="PN28" s="1575"/>
      <c r="PO28" s="1575"/>
      <c r="PP28" s="1575"/>
      <c r="PQ28" s="1575"/>
      <c r="PR28" s="1575"/>
      <c r="PS28" s="1575"/>
      <c r="PT28" s="1575"/>
      <c r="PU28" s="1575"/>
      <c r="PV28" s="1575"/>
      <c r="PW28" s="1575"/>
      <c r="PX28" s="1575"/>
      <c r="PY28" s="1575"/>
      <c r="PZ28" s="1575"/>
      <c r="QA28" s="1575"/>
      <c r="QB28" s="1575"/>
      <c r="QC28" s="1575"/>
      <c r="QD28" s="1575"/>
      <c r="QE28" s="1575"/>
      <c r="QF28" s="1575"/>
      <c r="QG28" s="1575"/>
      <c r="QH28" s="1575"/>
      <c r="QI28" s="1575"/>
      <c r="QJ28" s="1575"/>
      <c r="QK28" s="1575"/>
      <c r="QL28" s="1575"/>
      <c r="QM28" s="1575"/>
      <c r="QN28" s="1575"/>
      <c r="QO28" s="1575"/>
      <c r="QP28" s="1575"/>
      <c r="QQ28" s="1575"/>
      <c r="QR28" s="1575"/>
      <c r="QS28" s="1575"/>
      <c r="QT28" s="1575"/>
      <c r="QU28" s="1575"/>
      <c r="QV28" s="1575"/>
      <c r="QW28" s="1575"/>
      <c r="QX28" s="1575"/>
      <c r="QY28" s="1575"/>
      <c r="QZ28" s="1575"/>
      <c r="RA28" s="1575"/>
      <c r="RB28" s="1575"/>
      <c r="RC28" s="1575"/>
      <c r="RD28" s="1575"/>
      <c r="RE28" s="1575"/>
      <c r="RF28" s="1575"/>
      <c r="RG28" s="1575"/>
      <c r="RH28" s="1575"/>
      <c r="RI28" s="1575"/>
      <c r="RJ28" s="1575"/>
      <c r="RK28" s="1575"/>
      <c r="RL28" s="1575"/>
      <c r="RM28" s="1575"/>
      <c r="RN28" s="1575"/>
      <c r="RO28" s="1575"/>
      <c r="RP28" s="1575"/>
      <c r="RQ28" s="1575"/>
      <c r="RR28" s="1575"/>
      <c r="RS28" s="1575"/>
      <c r="RT28" s="1575"/>
      <c r="RU28" s="1575"/>
      <c r="RV28" s="1575"/>
      <c r="RW28" s="1575"/>
      <c r="RX28" s="1575"/>
      <c r="RY28" s="1575"/>
      <c r="RZ28" s="1575"/>
      <c r="SA28" s="1575"/>
      <c r="SB28" s="1575"/>
      <c r="SC28" s="1575"/>
      <c r="SD28" s="1575"/>
      <c r="SE28" s="1575"/>
      <c r="SF28" s="1575"/>
      <c r="SG28" s="1575"/>
      <c r="SH28" s="1575"/>
      <c r="SI28" s="1575"/>
      <c r="SJ28" s="1575"/>
      <c r="SK28" s="1575"/>
      <c r="SL28" s="1575"/>
      <c r="SM28" s="1575"/>
      <c r="SN28" s="1575"/>
      <c r="SO28" s="1575"/>
      <c r="SP28" s="1575"/>
      <c r="SQ28" s="1575"/>
      <c r="SR28" s="1575"/>
      <c r="SS28" s="1575"/>
      <c r="ST28" s="1575"/>
      <c r="SU28" s="1575"/>
      <c r="SV28" s="1575"/>
      <c r="SW28" s="1575"/>
      <c r="SX28" s="1575"/>
      <c r="SY28" s="1575"/>
      <c r="SZ28" s="1575"/>
      <c r="TA28" s="1575"/>
      <c r="TB28" s="1575"/>
      <c r="TC28" s="1575"/>
      <c r="TD28" s="1575"/>
      <c r="TE28" s="1575"/>
      <c r="TF28" s="1575"/>
      <c r="TG28" s="1575"/>
      <c r="TH28" s="1575"/>
      <c r="TI28" s="1575"/>
      <c r="TJ28" s="1575"/>
      <c r="TK28" s="1575"/>
      <c r="TL28" s="1575"/>
      <c r="TM28" s="1575"/>
      <c r="TN28" s="1575"/>
      <c r="TO28" s="1575"/>
      <c r="TP28" s="1575"/>
      <c r="TQ28" s="1575"/>
      <c r="TR28" s="1575"/>
      <c r="TS28" s="1575"/>
      <c r="TT28" s="1575"/>
      <c r="TU28" s="1575"/>
      <c r="TV28" s="1575"/>
      <c r="TW28" s="1575"/>
      <c r="TX28" s="1575"/>
      <c r="TY28" s="1575"/>
      <c r="TZ28" s="1575"/>
      <c r="UA28" s="1575"/>
      <c r="UB28" s="1575"/>
      <c r="UC28" s="1575"/>
      <c r="UD28" s="1575"/>
      <c r="UE28" s="1575"/>
      <c r="UF28" s="1575"/>
      <c r="UG28" s="1575"/>
      <c r="UH28" s="1575"/>
      <c r="UI28" s="1575"/>
      <c r="UJ28" s="1575"/>
      <c r="UK28" s="1575"/>
      <c r="UL28" s="1575"/>
      <c r="UM28" s="1575"/>
      <c r="UN28" s="1575"/>
      <c r="UO28" s="1575"/>
      <c r="UP28" s="1575"/>
      <c r="UQ28" s="1575"/>
      <c r="UR28" s="1575"/>
      <c r="US28" s="1575"/>
      <c r="UT28" s="1575"/>
      <c r="UU28" s="1575"/>
      <c r="UV28" s="1575"/>
      <c r="UW28" s="1575"/>
      <c r="UX28" s="1575"/>
      <c r="UY28" s="1575"/>
      <c r="UZ28" s="1575"/>
      <c r="VA28" s="1575"/>
      <c r="VB28" s="1575"/>
      <c r="VC28" s="1575"/>
      <c r="VD28" s="1575"/>
      <c r="VE28" s="1575"/>
      <c r="VF28" s="1575"/>
      <c r="VG28" s="1575"/>
      <c r="VH28" s="1575"/>
      <c r="VI28" s="1575"/>
      <c r="VJ28" s="1575"/>
      <c r="VK28" s="1575"/>
    </row>
    <row r="29" spans="1:583" s="2072" customFormat="1" ht="27" x14ac:dyDescent="0.25">
      <c r="A29" s="694"/>
      <c r="B29" s="2073" t="s">
        <v>629</v>
      </c>
      <c r="C29" s="2074" t="s">
        <v>2719</v>
      </c>
      <c r="D29" s="4715" t="s">
        <v>2720</v>
      </c>
      <c r="E29" s="4715">
        <v>0</v>
      </c>
      <c r="F29" s="1575"/>
      <c r="G29" s="1575"/>
      <c r="H29" s="1575"/>
      <c r="I29" s="1575"/>
      <c r="J29" s="1575"/>
      <c r="K29" s="1575"/>
      <c r="L29" s="1575"/>
      <c r="M29" s="1575"/>
      <c r="N29" s="1575"/>
      <c r="O29" s="1575"/>
      <c r="P29" s="1575"/>
      <c r="Q29" s="1575"/>
      <c r="R29" s="1575"/>
      <c r="S29" s="1575"/>
      <c r="T29" s="1575"/>
      <c r="U29" s="1575"/>
      <c r="V29" s="1575"/>
      <c r="W29" s="1575"/>
      <c r="X29" s="1575"/>
      <c r="Y29" s="1575"/>
      <c r="Z29" s="1575"/>
      <c r="AA29" s="1575"/>
      <c r="AB29" s="1575"/>
      <c r="AC29" s="1575"/>
      <c r="AD29" s="1575"/>
      <c r="AE29" s="1575"/>
      <c r="AF29" s="1575"/>
      <c r="AG29" s="1575"/>
      <c r="AH29" s="1575"/>
      <c r="AI29" s="1575"/>
      <c r="AJ29" s="1575"/>
      <c r="AK29" s="1575"/>
      <c r="AL29" s="1575"/>
      <c r="AM29" s="1575"/>
      <c r="AN29" s="1575"/>
      <c r="AO29" s="1575"/>
      <c r="AP29" s="1575"/>
      <c r="AQ29" s="1575"/>
      <c r="AR29" s="1575"/>
      <c r="AS29" s="1575"/>
      <c r="AT29" s="1575"/>
      <c r="AU29" s="1575"/>
      <c r="AV29" s="1575"/>
      <c r="AW29" s="1575"/>
      <c r="AX29" s="1575"/>
      <c r="AY29" s="1575"/>
      <c r="AZ29" s="1575"/>
      <c r="BA29" s="1575"/>
      <c r="BB29" s="1575"/>
      <c r="BC29" s="1575"/>
      <c r="BD29" s="1575"/>
      <c r="BE29" s="1575"/>
      <c r="BF29" s="1575"/>
      <c r="BG29" s="1575"/>
      <c r="BH29" s="1575"/>
      <c r="BI29" s="1575"/>
      <c r="BJ29" s="1575"/>
      <c r="BK29" s="1575"/>
      <c r="BL29" s="1575"/>
      <c r="BM29" s="1575"/>
      <c r="BN29" s="1575"/>
      <c r="BO29" s="1575"/>
      <c r="BP29" s="1575"/>
      <c r="BQ29" s="1575"/>
      <c r="BR29" s="1575"/>
      <c r="BS29" s="1575"/>
      <c r="BT29" s="1575"/>
      <c r="BU29" s="1575"/>
      <c r="BV29" s="1575"/>
      <c r="BW29" s="1575"/>
      <c r="BX29" s="1575"/>
      <c r="BY29" s="1575"/>
      <c r="BZ29" s="1575"/>
      <c r="CA29" s="1575"/>
      <c r="CB29" s="1575"/>
      <c r="CC29" s="1575"/>
      <c r="CD29" s="1575"/>
      <c r="CE29" s="1575"/>
      <c r="CF29" s="1575"/>
      <c r="CG29" s="1575"/>
      <c r="CH29" s="1575"/>
      <c r="CI29" s="1575"/>
      <c r="CJ29" s="1575"/>
      <c r="CK29" s="1575"/>
      <c r="CL29" s="1575"/>
      <c r="CM29" s="1575"/>
      <c r="CN29" s="1575"/>
      <c r="CO29" s="1575"/>
      <c r="CP29" s="1575"/>
      <c r="CQ29" s="1575"/>
      <c r="CR29" s="1575"/>
      <c r="CS29" s="1575"/>
      <c r="CT29" s="1575"/>
      <c r="CU29" s="1575"/>
      <c r="CV29" s="1575"/>
      <c r="CW29" s="1575"/>
      <c r="CX29" s="1575"/>
      <c r="CY29" s="1575"/>
      <c r="CZ29" s="1575"/>
      <c r="DA29" s="1575"/>
      <c r="DB29" s="1575"/>
      <c r="DC29" s="1575"/>
      <c r="DD29" s="1575"/>
      <c r="DE29" s="1575"/>
      <c r="DF29" s="1575"/>
      <c r="DG29" s="1575"/>
      <c r="DH29" s="1575"/>
      <c r="DI29" s="1575"/>
      <c r="DJ29" s="1575"/>
      <c r="DK29" s="1575"/>
      <c r="DL29" s="1575"/>
      <c r="DM29" s="1575"/>
      <c r="DN29" s="1575"/>
      <c r="DO29" s="1575"/>
      <c r="DP29" s="1575"/>
      <c r="DQ29" s="1575"/>
      <c r="DR29" s="1575"/>
      <c r="DS29" s="1575"/>
      <c r="DT29" s="1575"/>
      <c r="DU29" s="1575"/>
      <c r="DV29" s="1575"/>
      <c r="DW29" s="1575"/>
      <c r="DX29" s="1575"/>
      <c r="DY29" s="1575"/>
      <c r="DZ29" s="1575"/>
      <c r="EA29" s="1575"/>
      <c r="EB29" s="1575"/>
      <c r="EC29" s="1575"/>
      <c r="ED29" s="1575"/>
      <c r="EE29" s="1575"/>
      <c r="EF29" s="1575"/>
      <c r="EG29" s="1575"/>
      <c r="EH29" s="1575"/>
      <c r="EI29" s="1575"/>
      <c r="EJ29" s="1575"/>
      <c r="EK29" s="1575"/>
      <c r="EL29" s="1575"/>
      <c r="EM29" s="1575"/>
      <c r="EN29" s="1575"/>
      <c r="EO29" s="1575"/>
      <c r="EP29" s="1575"/>
      <c r="EQ29" s="1575"/>
      <c r="ER29" s="1575"/>
      <c r="ES29" s="1575"/>
      <c r="ET29" s="1575"/>
      <c r="EU29" s="1575"/>
      <c r="EV29" s="1575"/>
      <c r="EW29" s="1575"/>
      <c r="EX29" s="1575"/>
      <c r="EY29" s="1575"/>
      <c r="EZ29" s="1575"/>
      <c r="FA29" s="1575"/>
      <c r="FB29" s="1575"/>
      <c r="FC29" s="1575"/>
      <c r="FD29" s="1575"/>
      <c r="FE29" s="1575"/>
      <c r="FF29" s="1575"/>
      <c r="FG29" s="1575"/>
      <c r="FH29" s="1575"/>
      <c r="FI29" s="1575"/>
      <c r="FJ29" s="1575"/>
      <c r="FK29" s="1575"/>
      <c r="FL29" s="1575"/>
      <c r="FM29" s="1575"/>
      <c r="FN29" s="1575"/>
      <c r="FO29" s="1575"/>
      <c r="FP29" s="1575"/>
      <c r="FQ29" s="1575"/>
      <c r="FR29" s="1575"/>
      <c r="FS29" s="1575"/>
      <c r="FT29" s="1575"/>
      <c r="FU29" s="1575"/>
      <c r="FV29" s="1575"/>
      <c r="FW29" s="1575"/>
      <c r="FX29" s="1575"/>
      <c r="FY29" s="1575"/>
      <c r="FZ29" s="1575"/>
      <c r="GA29" s="1575"/>
      <c r="GB29" s="1575"/>
      <c r="GC29" s="1575"/>
      <c r="GD29" s="1575"/>
      <c r="GE29" s="1575"/>
      <c r="GF29" s="1575"/>
      <c r="GG29" s="1575"/>
      <c r="GH29" s="1575"/>
      <c r="GI29" s="1575"/>
      <c r="GJ29" s="1575"/>
      <c r="GK29" s="1575"/>
      <c r="GL29" s="1575"/>
      <c r="GM29" s="1575"/>
      <c r="GN29" s="1575"/>
      <c r="GO29" s="1575"/>
      <c r="GP29" s="1575"/>
      <c r="GQ29" s="1575"/>
      <c r="GR29" s="1575"/>
      <c r="GS29" s="1575"/>
      <c r="GT29" s="1575"/>
      <c r="GU29" s="1575"/>
      <c r="GV29" s="1575"/>
      <c r="GW29" s="1575"/>
      <c r="GX29" s="1575"/>
      <c r="GY29" s="1575"/>
      <c r="GZ29" s="1575"/>
      <c r="HA29" s="1575"/>
      <c r="HB29" s="1575"/>
      <c r="HC29" s="1575"/>
      <c r="HD29" s="1575"/>
      <c r="HE29" s="1575"/>
      <c r="HF29" s="1575"/>
      <c r="HG29" s="1575"/>
      <c r="HH29" s="1575"/>
      <c r="HI29" s="1575"/>
      <c r="HJ29" s="1575"/>
      <c r="HK29" s="1575"/>
      <c r="HL29" s="1575"/>
      <c r="HM29" s="1575"/>
      <c r="HN29" s="1575"/>
      <c r="HO29" s="1575"/>
      <c r="HP29" s="1575"/>
      <c r="HQ29" s="1575"/>
      <c r="HR29" s="1575"/>
      <c r="HS29" s="1575"/>
      <c r="HT29" s="1575"/>
      <c r="HU29" s="1575"/>
      <c r="HV29" s="1575"/>
      <c r="HW29" s="1575"/>
      <c r="HX29" s="1575"/>
      <c r="HY29" s="1575"/>
      <c r="HZ29" s="1575"/>
      <c r="IA29" s="1575"/>
      <c r="IB29" s="1575"/>
      <c r="IC29" s="1575"/>
      <c r="ID29" s="1575"/>
      <c r="IE29" s="1575"/>
      <c r="IF29" s="1575"/>
      <c r="IG29" s="1575"/>
      <c r="IH29" s="1575"/>
      <c r="II29" s="1575"/>
      <c r="IJ29" s="1575"/>
      <c r="IK29" s="1575"/>
      <c r="IL29" s="1575"/>
      <c r="IM29" s="1575"/>
      <c r="IN29" s="1575"/>
      <c r="IO29" s="1575"/>
      <c r="IP29" s="1575"/>
      <c r="IQ29" s="1575"/>
      <c r="IR29" s="1575"/>
      <c r="IS29" s="1575"/>
      <c r="IT29" s="1575"/>
      <c r="IU29" s="1575"/>
      <c r="IV29" s="1575"/>
      <c r="IW29" s="1575"/>
      <c r="IX29" s="1575"/>
      <c r="IY29" s="1575"/>
      <c r="IZ29" s="1575"/>
      <c r="JA29" s="1587"/>
      <c r="JB29" s="1587"/>
      <c r="JC29" s="1587"/>
      <c r="JD29" s="1587"/>
      <c r="JE29" s="1587"/>
      <c r="JF29" s="1587"/>
      <c r="JG29" s="1587"/>
      <c r="JH29" s="1587"/>
      <c r="JI29" s="1587"/>
      <c r="JJ29" s="1587"/>
      <c r="JK29" s="1587"/>
      <c r="JL29" s="1587"/>
      <c r="JM29" s="1587"/>
      <c r="JN29" s="1587"/>
      <c r="JO29" s="1587"/>
      <c r="JP29" s="1587"/>
      <c r="JQ29" s="1587"/>
      <c r="JR29" s="1575"/>
      <c r="JS29" s="1575"/>
      <c r="JT29" s="1575"/>
      <c r="JU29" s="1575"/>
      <c r="JV29" s="1575"/>
      <c r="JW29" s="1575"/>
      <c r="JX29" s="1575"/>
      <c r="JY29" s="1575"/>
      <c r="JZ29" s="1575"/>
      <c r="KA29" s="1575"/>
      <c r="KB29" s="1575"/>
      <c r="KC29" s="1575"/>
      <c r="KD29" s="1575"/>
      <c r="KE29" s="1575"/>
      <c r="KF29" s="1575"/>
      <c r="KG29" s="1575"/>
      <c r="KH29" s="1575"/>
      <c r="KI29" s="1575"/>
      <c r="KJ29" s="1575"/>
      <c r="KK29" s="1575"/>
      <c r="KL29" s="1575"/>
      <c r="KM29" s="1575"/>
      <c r="KN29" s="1575"/>
      <c r="KO29" s="1575"/>
      <c r="KP29" s="1575"/>
      <c r="KQ29" s="1575"/>
      <c r="KR29" s="1575"/>
      <c r="KS29" s="1575"/>
      <c r="KT29" s="1575"/>
      <c r="KU29" s="1575"/>
      <c r="KV29" s="1575"/>
      <c r="KW29" s="1575"/>
      <c r="KX29" s="1575"/>
      <c r="KY29" s="1575"/>
      <c r="KZ29" s="1575"/>
      <c r="LA29" s="1575"/>
      <c r="LB29" s="1575"/>
      <c r="LC29" s="1575"/>
      <c r="LD29" s="1575"/>
      <c r="LE29" s="1575"/>
      <c r="LF29" s="1575"/>
      <c r="LG29" s="1575"/>
      <c r="LH29" s="1575"/>
      <c r="LI29" s="1575"/>
      <c r="LJ29" s="1575"/>
      <c r="LK29" s="1575"/>
      <c r="LL29" s="1575"/>
      <c r="LM29" s="1575"/>
      <c r="LN29" s="1575"/>
      <c r="LO29" s="1575"/>
      <c r="LP29" s="1575"/>
      <c r="LQ29" s="1575"/>
      <c r="LR29" s="1575"/>
      <c r="LS29" s="1575"/>
      <c r="LT29" s="1575"/>
      <c r="LU29" s="1575"/>
      <c r="LV29" s="1575"/>
      <c r="LW29" s="1575"/>
      <c r="LX29" s="1575"/>
      <c r="LY29" s="1575"/>
      <c r="LZ29" s="1575"/>
      <c r="MA29" s="1575"/>
      <c r="MB29" s="1575"/>
      <c r="MC29" s="1575"/>
      <c r="MD29" s="1575"/>
      <c r="ME29" s="1575"/>
      <c r="MF29" s="1575"/>
      <c r="MG29" s="1575"/>
      <c r="MH29" s="1575"/>
      <c r="MI29" s="1575"/>
      <c r="MJ29" s="1575"/>
      <c r="MK29" s="1575"/>
      <c r="ML29" s="1575"/>
      <c r="MM29" s="1575"/>
      <c r="MN29" s="1575"/>
      <c r="MO29" s="1575"/>
      <c r="MP29" s="1575"/>
      <c r="MQ29" s="1575"/>
      <c r="MR29" s="1575"/>
      <c r="MS29" s="1575"/>
      <c r="MT29" s="1575"/>
      <c r="MU29" s="1575"/>
      <c r="MV29" s="1575"/>
      <c r="MW29" s="1575"/>
      <c r="MX29" s="1575"/>
      <c r="MY29" s="1575"/>
      <c r="MZ29" s="1575"/>
      <c r="NA29" s="1575"/>
      <c r="NB29" s="1575"/>
      <c r="NC29" s="1575"/>
      <c r="ND29" s="1575"/>
      <c r="NE29" s="1575"/>
      <c r="NF29" s="1575"/>
      <c r="NG29" s="1575"/>
      <c r="NH29" s="1575"/>
      <c r="NI29" s="1575"/>
      <c r="NJ29" s="1575"/>
      <c r="NK29" s="1575"/>
      <c r="NL29" s="1575"/>
      <c r="NM29" s="1575"/>
      <c r="NN29" s="1575"/>
      <c r="NO29" s="1575"/>
      <c r="NP29" s="1575"/>
      <c r="NQ29" s="1575"/>
      <c r="NR29" s="1575"/>
      <c r="NS29" s="1575"/>
      <c r="NT29" s="1575"/>
      <c r="NU29" s="1575"/>
      <c r="NV29" s="1575"/>
      <c r="NW29" s="1575"/>
      <c r="NX29" s="1575"/>
      <c r="NY29" s="1575"/>
      <c r="NZ29" s="1575"/>
      <c r="OA29" s="1575"/>
      <c r="OB29" s="1575"/>
      <c r="OC29" s="1575"/>
      <c r="OD29" s="1575"/>
      <c r="OE29" s="1575"/>
      <c r="OF29" s="1575"/>
      <c r="OG29" s="1575"/>
      <c r="OH29" s="1575"/>
      <c r="OI29" s="1575"/>
      <c r="OJ29" s="1575"/>
      <c r="OK29" s="1575"/>
      <c r="OL29" s="1575"/>
      <c r="OM29" s="1575"/>
      <c r="ON29" s="1575"/>
      <c r="OO29" s="1575"/>
      <c r="OP29" s="1575"/>
      <c r="OQ29" s="1575"/>
      <c r="OR29" s="1575"/>
      <c r="OS29" s="1575"/>
      <c r="OT29" s="1575"/>
      <c r="OU29" s="1575"/>
      <c r="OV29" s="1575"/>
      <c r="OW29" s="1575"/>
      <c r="OX29" s="1575"/>
      <c r="OY29" s="1575"/>
      <c r="OZ29" s="1575"/>
      <c r="PA29" s="1575"/>
      <c r="PB29" s="1575"/>
      <c r="PC29" s="1575"/>
      <c r="PD29" s="1575"/>
      <c r="PE29" s="1575"/>
      <c r="PF29" s="1575"/>
      <c r="PG29" s="1575"/>
      <c r="PH29" s="1575"/>
      <c r="PI29" s="1575"/>
      <c r="PJ29" s="1575"/>
      <c r="PK29" s="1575"/>
      <c r="PL29" s="1575"/>
      <c r="PM29" s="1575"/>
      <c r="PN29" s="1575"/>
      <c r="PO29" s="1575"/>
      <c r="PP29" s="1575"/>
      <c r="PQ29" s="1575"/>
      <c r="PR29" s="1575"/>
      <c r="PS29" s="1575"/>
      <c r="PT29" s="1575"/>
      <c r="PU29" s="1575"/>
      <c r="PV29" s="1575"/>
      <c r="PW29" s="1575"/>
      <c r="PX29" s="1575"/>
      <c r="PY29" s="1575"/>
      <c r="PZ29" s="1575"/>
      <c r="QA29" s="1575"/>
      <c r="QB29" s="1575"/>
      <c r="QC29" s="1575"/>
      <c r="QD29" s="1575"/>
      <c r="QE29" s="1575"/>
      <c r="QF29" s="1575"/>
      <c r="QG29" s="1575"/>
      <c r="QH29" s="1575"/>
      <c r="QI29" s="1575"/>
      <c r="QJ29" s="1575"/>
      <c r="QK29" s="1575"/>
      <c r="QL29" s="1575"/>
      <c r="QM29" s="1575"/>
      <c r="QN29" s="1575"/>
      <c r="QO29" s="1575"/>
      <c r="QP29" s="1575"/>
      <c r="QQ29" s="1575"/>
      <c r="QR29" s="1575"/>
      <c r="QS29" s="1575"/>
      <c r="QT29" s="1575"/>
      <c r="QU29" s="1575"/>
      <c r="QV29" s="1575"/>
      <c r="QW29" s="1575"/>
      <c r="QX29" s="1575"/>
      <c r="QY29" s="1575"/>
      <c r="QZ29" s="1575"/>
      <c r="RA29" s="1575"/>
      <c r="RB29" s="1575"/>
      <c r="RC29" s="1575"/>
      <c r="RD29" s="1575"/>
      <c r="RE29" s="1575"/>
      <c r="RF29" s="1575"/>
      <c r="RG29" s="1575"/>
      <c r="RH29" s="1575"/>
      <c r="RI29" s="1575"/>
      <c r="RJ29" s="1575"/>
      <c r="RK29" s="1575"/>
      <c r="RL29" s="1575"/>
      <c r="RM29" s="1575"/>
      <c r="RN29" s="1575"/>
      <c r="RO29" s="1575"/>
      <c r="RP29" s="1575"/>
      <c r="RQ29" s="1575"/>
      <c r="RR29" s="1575"/>
      <c r="RS29" s="1575"/>
      <c r="RT29" s="1575"/>
      <c r="RU29" s="1575"/>
      <c r="RV29" s="1575"/>
      <c r="RW29" s="1575"/>
      <c r="RX29" s="1575"/>
      <c r="RY29" s="1575"/>
      <c r="RZ29" s="1575"/>
      <c r="SA29" s="1575"/>
      <c r="SB29" s="1575"/>
      <c r="SC29" s="1575"/>
      <c r="SD29" s="1575"/>
      <c r="SE29" s="1575"/>
      <c r="SF29" s="1575"/>
      <c r="SG29" s="1575"/>
      <c r="SH29" s="1575"/>
      <c r="SI29" s="1575"/>
      <c r="SJ29" s="1575"/>
      <c r="SK29" s="1575"/>
      <c r="SL29" s="1575"/>
      <c r="SM29" s="1575"/>
      <c r="SN29" s="1575"/>
      <c r="SO29" s="1575"/>
      <c r="SP29" s="1575"/>
      <c r="SQ29" s="1575"/>
      <c r="SR29" s="1575"/>
      <c r="SS29" s="1575"/>
      <c r="ST29" s="1575"/>
      <c r="SU29" s="1575"/>
      <c r="SV29" s="1575"/>
      <c r="SW29" s="1575"/>
      <c r="SX29" s="1575"/>
      <c r="SY29" s="1575"/>
      <c r="SZ29" s="1575"/>
      <c r="TA29" s="1575"/>
      <c r="TB29" s="1575"/>
      <c r="TC29" s="1575"/>
      <c r="TD29" s="1575"/>
      <c r="TE29" s="1575"/>
      <c r="TF29" s="1575"/>
      <c r="TG29" s="1575"/>
      <c r="TH29" s="1575"/>
      <c r="TI29" s="1575"/>
      <c r="TJ29" s="1575"/>
      <c r="TK29" s="1575"/>
      <c r="TL29" s="1575"/>
      <c r="TM29" s="1575"/>
      <c r="TN29" s="1575"/>
      <c r="TO29" s="1575"/>
      <c r="TP29" s="1575"/>
      <c r="TQ29" s="1575"/>
      <c r="TR29" s="1575"/>
      <c r="TS29" s="1575"/>
      <c r="TT29" s="1575"/>
      <c r="TU29" s="1575"/>
      <c r="TV29" s="1575"/>
      <c r="TW29" s="1575"/>
      <c r="TX29" s="1575"/>
      <c r="TY29" s="1575"/>
      <c r="TZ29" s="1575"/>
      <c r="UA29" s="1575"/>
      <c r="UB29" s="1575"/>
      <c r="UC29" s="1575"/>
      <c r="UD29" s="1575"/>
      <c r="UE29" s="1575"/>
      <c r="UF29" s="1575"/>
      <c r="UG29" s="1575"/>
      <c r="UH29" s="1575"/>
      <c r="UI29" s="1575"/>
      <c r="UJ29" s="1575"/>
      <c r="UK29" s="1575"/>
      <c r="UL29" s="1575"/>
      <c r="UM29" s="1575"/>
      <c r="UN29" s="1575"/>
      <c r="UO29" s="1575"/>
      <c r="UP29" s="1575"/>
      <c r="UQ29" s="1575"/>
      <c r="UR29" s="1575"/>
      <c r="US29" s="1575"/>
      <c r="UT29" s="1575"/>
      <c r="UU29" s="1575"/>
      <c r="UV29" s="1575"/>
      <c r="UW29" s="1575"/>
      <c r="UX29" s="1575"/>
      <c r="UY29" s="1575"/>
      <c r="UZ29" s="1575"/>
      <c r="VA29" s="1575"/>
      <c r="VB29" s="1575"/>
      <c r="VC29" s="1575"/>
      <c r="VD29" s="1575"/>
      <c r="VE29" s="1575"/>
      <c r="VF29" s="1575"/>
      <c r="VG29" s="1575"/>
      <c r="VH29" s="1575"/>
      <c r="VI29" s="1575"/>
      <c r="VJ29" s="1575"/>
      <c r="VK29" s="1575"/>
    </row>
    <row r="30" spans="1:583" s="2072" customFormat="1" ht="27" x14ac:dyDescent="0.25">
      <c r="A30" s="694"/>
      <c r="B30" s="2073" t="s">
        <v>629</v>
      </c>
      <c r="C30" s="2074" t="s">
        <v>2721</v>
      </c>
      <c r="D30" s="4715" t="s">
        <v>2722</v>
      </c>
      <c r="E30" s="4715">
        <v>0</v>
      </c>
      <c r="F30" s="1575"/>
      <c r="G30" s="1575"/>
      <c r="H30" s="1575"/>
      <c r="I30" s="1575"/>
      <c r="J30" s="1575"/>
      <c r="K30" s="1575"/>
      <c r="L30" s="1575"/>
      <c r="M30" s="1575"/>
      <c r="N30" s="1575"/>
      <c r="O30" s="1575"/>
      <c r="P30" s="1575"/>
      <c r="Q30" s="1575"/>
      <c r="R30" s="1575"/>
      <c r="S30" s="1575"/>
      <c r="T30" s="1575"/>
      <c r="U30" s="1575"/>
      <c r="V30" s="1575"/>
      <c r="W30" s="1575"/>
      <c r="X30" s="1575"/>
      <c r="Y30" s="1575"/>
      <c r="Z30" s="1575"/>
      <c r="AA30" s="1575"/>
      <c r="AB30" s="1575"/>
      <c r="AC30" s="1575"/>
      <c r="AD30" s="1575"/>
      <c r="AE30" s="1575"/>
      <c r="AF30" s="1575"/>
      <c r="AG30" s="1575"/>
      <c r="AH30" s="1575"/>
      <c r="AI30" s="1575"/>
      <c r="AJ30" s="1575"/>
      <c r="AK30" s="1575"/>
      <c r="AL30" s="1575"/>
      <c r="AM30" s="1575"/>
      <c r="AN30" s="1575"/>
      <c r="AO30" s="1575"/>
      <c r="AP30" s="1575"/>
      <c r="AQ30" s="1575"/>
      <c r="AR30" s="1575"/>
      <c r="AS30" s="1575"/>
      <c r="AT30" s="1575"/>
      <c r="AU30" s="1575"/>
      <c r="AV30" s="1575"/>
      <c r="AW30" s="1575"/>
      <c r="AX30" s="1575"/>
      <c r="AY30" s="1575"/>
      <c r="AZ30" s="1575"/>
      <c r="BA30" s="1575"/>
      <c r="BB30" s="1575"/>
      <c r="BC30" s="1575"/>
      <c r="BD30" s="1575"/>
      <c r="BE30" s="1575"/>
      <c r="BF30" s="1575"/>
      <c r="BG30" s="1575"/>
      <c r="BH30" s="1575"/>
      <c r="BI30" s="1575"/>
      <c r="BJ30" s="1575"/>
      <c r="BK30" s="1575"/>
      <c r="BL30" s="1575"/>
      <c r="BM30" s="1575"/>
      <c r="BN30" s="1575"/>
      <c r="BO30" s="1575"/>
      <c r="BP30" s="1575"/>
      <c r="BQ30" s="1575"/>
      <c r="BR30" s="1575"/>
      <c r="BS30" s="1575"/>
      <c r="BT30" s="1575"/>
      <c r="BU30" s="1575"/>
      <c r="BV30" s="1575"/>
      <c r="BW30" s="1575"/>
      <c r="BX30" s="1575"/>
      <c r="BY30" s="1575"/>
      <c r="BZ30" s="1575"/>
      <c r="CA30" s="1575"/>
      <c r="CB30" s="1575"/>
      <c r="CC30" s="1575"/>
      <c r="CD30" s="1575"/>
      <c r="CE30" s="1575"/>
      <c r="CF30" s="1575"/>
      <c r="CG30" s="1575"/>
      <c r="CH30" s="1575"/>
      <c r="CI30" s="1575"/>
      <c r="CJ30" s="1575"/>
      <c r="CK30" s="1575"/>
      <c r="CL30" s="1575"/>
      <c r="CM30" s="1575"/>
      <c r="CN30" s="1575"/>
      <c r="CO30" s="1575"/>
      <c r="CP30" s="1575"/>
      <c r="CQ30" s="1575"/>
      <c r="CR30" s="1575"/>
      <c r="CS30" s="1575"/>
      <c r="CT30" s="1575"/>
      <c r="CU30" s="1575"/>
      <c r="CV30" s="1575"/>
      <c r="CW30" s="1575"/>
      <c r="CX30" s="1575"/>
      <c r="CY30" s="1575"/>
      <c r="CZ30" s="1575"/>
      <c r="DA30" s="1575"/>
      <c r="DB30" s="1575"/>
      <c r="DC30" s="1575"/>
      <c r="DD30" s="1575"/>
      <c r="DE30" s="1575"/>
      <c r="DF30" s="1575"/>
      <c r="DG30" s="1575"/>
      <c r="DH30" s="1575"/>
      <c r="DI30" s="1575"/>
      <c r="DJ30" s="1575"/>
      <c r="DK30" s="1575"/>
      <c r="DL30" s="1575"/>
      <c r="DM30" s="1575"/>
      <c r="DN30" s="1575"/>
      <c r="DO30" s="1575"/>
      <c r="DP30" s="1575"/>
      <c r="DQ30" s="1575"/>
      <c r="DR30" s="1575"/>
      <c r="DS30" s="1575"/>
      <c r="DT30" s="1575"/>
      <c r="DU30" s="1575"/>
      <c r="DV30" s="1575"/>
      <c r="DW30" s="1575"/>
      <c r="DX30" s="1575"/>
      <c r="DY30" s="1575"/>
      <c r="DZ30" s="1575"/>
      <c r="EA30" s="1575"/>
      <c r="EB30" s="1575"/>
      <c r="EC30" s="1575"/>
      <c r="ED30" s="1575"/>
      <c r="EE30" s="1575"/>
      <c r="EF30" s="1575"/>
      <c r="EG30" s="1575"/>
      <c r="EH30" s="1575"/>
      <c r="EI30" s="1575"/>
      <c r="EJ30" s="1575"/>
      <c r="EK30" s="1575"/>
      <c r="EL30" s="1575"/>
      <c r="EM30" s="1575"/>
      <c r="EN30" s="1575"/>
      <c r="EO30" s="1575"/>
      <c r="EP30" s="1575"/>
      <c r="EQ30" s="1575"/>
      <c r="ER30" s="1575"/>
      <c r="ES30" s="1575"/>
      <c r="ET30" s="1575"/>
      <c r="EU30" s="1575"/>
      <c r="EV30" s="1575"/>
      <c r="EW30" s="1575"/>
      <c r="EX30" s="1575"/>
      <c r="EY30" s="1575"/>
      <c r="EZ30" s="1575"/>
      <c r="FA30" s="1575"/>
      <c r="FB30" s="1575"/>
      <c r="FC30" s="1575"/>
      <c r="FD30" s="1575"/>
      <c r="FE30" s="1575"/>
      <c r="FF30" s="1575"/>
      <c r="FG30" s="1575"/>
      <c r="FH30" s="1575"/>
      <c r="FI30" s="1575"/>
      <c r="FJ30" s="1575"/>
      <c r="FK30" s="1575"/>
      <c r="FL30" s="1575"/>
      <c r="FM30" s="1575"/>
      <c r="FN30" s="1575"/>
      <c r="FO30" s="1575"/>
      <c r="FP30" s="1575"/>
      <c r="FQ30" s="1575"/>
      <c r="FR30" s="1575"/>
      <c r="FS30" s="1575"/>
      <c r="FT30" s="1575"/>
      <c r="FU30" s="1575"/>
      <c r="FV30" s="1575"/>
      <c r="FW30" s="1575"/>
      <c r="FX30" s="1575"/>
      <c r="FY30" s="1575"/>
      <c r="FZ30" s="1575"/>
      <c r="GA30" s="1575"/>
      <c r="GB30" s="1575"/>
      <c r="GC30" s="1575"/>
      <c r="GD30" s="1575"/>
      <c r="GE30" s="1575"/>
      <c r="GF30" s="1575"/>
      <c r="GG30" s="1575"/>
      <c r="GH30" s="1575"/>
      <c r="GI30" s="1575"/>
      <c r="GJ30" s="1575"/>
      <c r="GK30" s="1575"/>
      <c r="GL30" s="1575"/>
      <c r="GM30" s="1575"/>
      <c r="GN30" s="1575"/>
      <c r="GO30" s="1575"/>
      <c r="GP30" s="1575"/>
      <c r="GQ30" s="1575"/>
      <c r="GR30" s="1575"/>
      <c r="GS30" s="1575"/>
      <c r="GT30" s="1575"/>
      <c r="GU30" s="1575"/>
      <c r="GV30" s="1575"/>
      <c r="GW30" s="1575"/>
      <c r="GX30" s="1575"/>
      <c r="GY30" s="1575"/>
      <c r="GZ30" s="1575"/>
      <c r="HA30" s="1575"/>
      <c r="HB30" s="1575"/>
      <c r="HC30" s="1575"/>
      <c r="HD30" s="1575"/>
      <c r="HE30" s="1575"/>
      <c r="HF30" s="1575"/>
      <c r="HG30" s="1575"/>
      <c r="HH30" s="1575"/>
      <c r="HI30" s="1575"/>
      <c r="HJ30" s="1575"/>
      <c r="HK30" s="1575"/>
      <c r="HL30" s="1575"/>
      <c r="HM30" s="1575"/>
      <c r="HN30" s="1575"/>
      <c r="HO30" s="1575"/>
      <c r="HP30" s="1575"/>
      <c r="HQ30" s="1575"/>
      <c r="HR30" s="1575"/>
      <c r="HS30" s="1575"/>
      <c r="HT30" s="1575"/>
      <c r="HU30" s="1575"/>
      <c r="HV30" s="1575"/>
      <c r="HW30" s="1575"/>
      <c r="HX30" s="1575"/>
      <c r="HY30" s="1575"/>
      <c r="HZ30" s="1575"/>
      <c r="IA30" s="1575"/>
      <c r="IB30" s="1575"/>
      <c r="IC30" s="1575"/>
      <c r="ID30" s="1575"/>
      <c r="IE30" s="1575"/>
      <c r="IF30" s="1575"/>
      <c r="IG30" s="1575"/>
      <c r="IH30" s="1575"/>
      <c r="II30" s="1575"/>
      <c r="IJ30" s="1575"/>
      <c r="IK30" s="1575"/>
      <c r="IL30" s="1575"/>
      <c r="IM30" s="1575"/>
      <c r="IN30" s="1575"/>
      <c r="IO30" s="1575"/>
      <c r="IP30" s="1575"/>
      <c r="IQ30" s="1575"/>
      <c r="IR30" s="1575"/>
      <c r="IS30" s="1575"/>
      <c r="IT30" s="1575"/>
      <c r="IU30" s="1575"/>
      <c r="IV30" s="1575"/>
      <c r="IW30" s="1575"/>
      <c r="IX30" s="1575"/>
      <c r="IY30" s="1575"/>
      <c r="IZ30" s="1575"/>
      <c r="JA30" s="1587"/>
      <c r="JB30" s="1587"/>
      <c r="JC30" s="1587"/>
      <c r="JD30" s="1587"/>
      <c r="JE30" s="1587"/>
      <c r="JF30" s="1587"/>
      <c r="JG30" s="1587"/>
      <c r="JH30" s="1587"/>
      <c r="JI30" s="1587"/>
      <c r="JJ30" s="1587"/>
      <c r="JK30" s="1587"/>
      <c r="JL30" s="1587"/>
      <c r="JM30" s="1587"/>
      <c r="JN30" s="1587"/>
      <c r="JO30" s="1587"/>
      <c r="JP30" s="1587"/>
      <c r="JQ30" s="1587"/>
      <c r="JR30" s="1575"/>
      <c r="JS30" s="1575"/>
      <c r="JT30" s="1575"/>
      <c r="JU30" s="1575"/>
      <c r="JV30" s="1575"/>
      <c r="JW30" s="1575"/>
      <c r="JX30" s="1575"/>
      <c r="JY30" s="1575"/>
      <c r="JZ30" s="1575"/>
      <c r="KA30" s="1575"/>
      <c r="KB30" s="1575"/>
      <c r="KC30" s="1575"/>
      <c r="KD30" s="1575"/>
      <c r="KE30" s="1575"/>
      <c r="KF30" s="1575"/>
      <c r="KG30" s="1575"/>
      <c r="KH30" s="1575"/>
      <c r="KI30" s="1575"/>
      <c r="KJ30" s="1575"/>
      <c r="KK30" s="1575"/>
      <c r="KL30" s="1575"/>
      <c r="KM30" s="1575"/>
      <c r="KN30" s="1575"/>
      <c r="KO30" s="1575"/>
      <c r="KP30" s="1575"/>
      <c r="KQ30" s="1575"/>
      <c r="KR30" s="1575"/>
      <c r="KS30" s="1575"/>
      <c r="KT30" s="1575"/>
      <c r="KU30" s="1575"/>
      <c r="KV30" s="1575"/>
      <c r="KW30" s="1575"/>
      <c r="KX30" s="1575"/>
      <c r="KY30" s="1575"/>
      <c r="KZ30" s="1575"/>
      <c r="LA30" s="1575"/>
      <c r="LB30" s="1575"/>
      <c r="LC30" s="1575"/>
      <c r="LD30" s="1575"/>
      <c r="LE30" s="1575"/>
      <c r="LF30" s="1575"/>
      <c r="LG30" s="1575"/>
      <c r="LH30" s="1575"/>
      <c r="LI30" s="1575"/>
      <c r="LJ30" s="1575"/>
      <c r="LK30" s="1575"/>
      <c r="LL30" s="1575"/>
      <c r="LM30" s="1575"/>
      <c r="LN30" s="1575"/>
      <c r="LO30" s="1575"/>
      <c r="LP30" s="1575"/>
      <c r="LQ30" s="1575"/>
      <c r="LR30" s="1575"/>
      <c r="LS30" s="1575"/>
      <c r="LT30" s="1575"/>
      <c r="LU30" s="1575"/>
      <c r="LV30" s="1575"/>
      <c r="LW30" s="1575"/>
      <c r="LX30" s="1575"/>
      <c r="LY30" s="1575"/>
      <c r="LZ30" s="1575"/>
      <c r="MA30" s="1575"/>
      <c r="MB30" s="1575"/>
      <c r="MC30" s="1575"/>
      <c r="MD30" s="1575"/>
      <c r="ME30" s="1575"/>
      <c r="MF30" s="1575"/>
      <c r="MG30" s="1575"/>
      <c r="MH30" s="1575"/>
      <c r="MI30" s="1575"/>
      <c r="MJ30" s="1575"/>
      <c r="MK30" s="1575"/>
      <c r="ML30" s="1575"/>
      <c r="MM30" s="1575"/>
      <c r="MN30" s="1575"/>
      <c r="MO30" s="1575"/>
      <c r="MP30" s="1575"/>
      <c r="MQ30" s="1575"/>
      <c r="MR30" s="1575"/>
      <c r="MS30" s="1575"/>
      <c r="MT30" s="1575"/>
      <c r="MU30" s="1575"/>
      <c r="MV30" s="1575"/>
      <c r="MW30" s="1575"/>
      <c r="MX30" s="1575"/>
      <c r="MY30" s="1575"/>
      <c r="MZ30" s="1575"/>
      <c r="NA30" s="1575"/>
      <c r="NB30" s="1575"/>
      <c r="NC30" s="1575"/>
      <c r="ND30" s="1575"/>
      <c r="NE30" s="1575"/>
      <c r="NF30" s="1575"/>
      <c r="NG30" s="1575"/>
      <c r="NH30" s="1575"/>
      <c r="NI30" s="1575"/>
      <c r="NJ30" s="1575"/>
      <c r="NK30" s="1575"/>
      <c r="NL30" s="1575"/>
      <c r="NM30" s="1575"/>
      <c r="NN30" s="1575"/>
      <c r="NO30" s="1575"/>
      <c r="NP30" s="1575"/>
      <c r="NQ30" s="1575"/>
      <c r="NR30" s="1575"/>
      <c r="NS30" s="1575"/>
      <c r="NT30" s="1575"/>
      <c r="NU30" s="1575"/>
      <c r="NV30" s="1575"/>
      <c r="NW30" s="1575"/>
      <c r="NX30" s="1575"/>
      <c r="NY30" s="1575"/>
      <c r="NZ30" s="1575"/>
      <c r="OA30" s="1575"/>
      <c r="OB30" s="1575"/>
      <c r="OC30" s="1575"/>
      <c r="OD30" s="1575"/>
      <c r="OE30" s="1575"/>
      <c r="OF30" s="1575"/>
      <c r="OG30" s="1575"/>
      <c r="OH30" s="1575"/>
      <c r="OI30" s="1575"/>
      <c r="OJ30" s="1575"/>
      <c r="OK30" s="1575"/>
      <c r="OL30" s="1575"/>
      <c r="OM30" s="1575"/>
      <c r="ON30" s="1575"/>
      <c r="OO30" s="1575"/>
      <c r="OP30" s="1575"/>
      <c r="OQ30" s="1575"/>
      <c r="OR30" s="1575"/>
      <c r="OS30" s="1575"/>
      <c r="OT30" s="1575"/>
      <c r="OU30" s="1575"/>
      <c r="OV30" s="1575"/>
      <c r="OW30" s="1575"/>
      <c r="OX30" s="1575"/>
      <c r="OY30" s="1575"/>
      <c r="OZ30" s="1575"/>
      <c r="PA30" s="1575"/>
      <c r="PB30" s="1575"/>
      <c r="PC30" s="1575"/>
      <c r="PD30" s="1575"/>
      <c r="PE30" s="1575"/>
      <c r="PF30" s="1575"/>
      <c r="PG30" s="1575"/>
      <c r="PH30" s="1575"/>
      <c r="PI30" s="1575"/>
      <c r="PJ30" s="1575"/>
      <c r="PK30" s="1575"/>
      <c r="PL30" s="1575"/>
      <c r="PM30" s="1575"/>
      <c r="PN30" s="1575"/>
      <c r="PO30" s="1575"/>
      <c r="PP30" s="1575"/>
      <c r="PQ30" s="1575"/>
      <c r="PR30" s="1575"/>
      <c r="PS30" s="1575"/>
      <c r="PT30" s="1575"/>
      <c r="PU30" s="1575"/>
      <c r="PV30" s="1575"/>
      <c r="PW30" s="1575"/>
      <c r="PX30" s="1575"/>
      <c r="PY30" s="1575"/>
      <c r="PZ30" s="1575"/>
      <c r="QA30" s="1575"/>
      <c r="QB30" s="1575"/>
      <c r="QC30" s="1575"/>
      <c r="QD30" s="1575"/>
      <c r="QE30" s="1575"/>
      <c r="QF30" s="1575"/>
      <c r="QG30" s="1575"/>
      <c r="QH30" s="1575"/>
      <c r="QI30" s="1575"/>
      <c r="QJ30" s="1575"/>
      <c r="QK30" s="1575"/>
      <c r="QL30" s="1575"/>
      <c r="QM30" s="1575"/>
      <c r="QN30" s="1575"/>
      <c r="QO30" s="1575"/>
      <c r="QP30" s="1575"/>
      <c r="QQ30" s="1575"/>
      <c r="QR30" s="1575"/>
      <c r="QS30" s="1575"/>
      <c r="QT30" s="1575"/>
      <c r="QU30" s="1575"/>
      <c r="QV30" s="1575"/>
      <c r="QW30" s="1575"/>
      <c r="QX30" s="1575"/>
      <c r="QY30" s="1575"/>
      <c r="QZ30" s="1575"/>
      <c r="RA30" s="1575"/>
      <c r="RB30" s="1575"/>
      <c r="RC30" s="1575"/>
      <c r="RD30" s="1575"/>
      <c r="RE30" s="1575"/>
      <c r="RF30" s="1575"/>
      <c r="RG30" s="1575"/>
      <c r="RH30" s="1575"/>
      <c r="RI30" s="1575"/>
      <c r="RJ30" s="1575"/>
      <c r="RK30" s="1575"/>
      <c r="RL30" s="1575"/>
      <c r="RM30" s="1575"/>
      <c r="RN30" s="1575"/>
      <c r="RO30" s="1575"/>
      <c r="RP30" s="1575"/>
      <c r="RQ30" s="1575"/>
      <c r="RR30" s="1575"/>
      <c r="RS30" s="1575"/>
      <c r="RT30" s="1575"/>
      <c r="RU30" s="1575"/>
      <c r="RV30" s="1575"/>
      <c r="RW30" s="1575"/>
      <c r="RX30" s="1575"/>
      <c r="RY30" s="1575"/>
      <c r="RZ30" s="1575"/>
      <c r="SA30" s="1575"/>
      <c r="SB30" s="1575"/>
      <c r="SC30" s="1575"/>
      <c r="SD30" s="1575"/>
      <c r="SE30" s="1575"/>
      <c r="SF30" s="1575"/>
      <c r="SG30" s="1575"/>
      <c r="SH30" s="1575"/>
      <c r="SI30" s="1575"/>
      <c r="SJ30" s="1575"/>
      <c r="SK30" s="1575"/>
      <c r="SL30" s="1575"/>
      <c r="SM30" s="1575"/>
      <c r="SN30" s="1575"/>
      <c r="SO30" s="1575"/>
      <c r="SP30" s="1575"/>
      <c r="SQ30" s="1575"/>
      <c r="SR30" s="1575"/>
      <c r="SS30" s="1575"/>
      <c r="ST30" s="1575"/>
      <c r="SU30" s="1575"/>
      <c r="SV30" s="1575"/>
      <c r="SW30" s="1575"/>
      <c r="SX30" s="1575"/>
      <c r="SY30" s="1575"/>
      <c r="SZ30" s="1575"/>
      <c r="TA30" s="1575"/>
      <c r="TB30" s="1575"/>
      <c r="TC30" s="1575"/>
      <c r="TD30" s="1575"/>
      <c r="TE30" s="1575"/>
      <c r="TF30" s="1575"/>
      <c r="TG30" s="1575"/>
      <c r="TH30" s="1575"/>
      <c r="TI30" s="1575"/>
      <c r="TJ30" s="1575"/>
      <c r="TK30" s="1575"/>
      <c r="TL30" s="1575"/>
      <c r="TM30" s="1575"/>
      <c r="TN30" s="1575"/>
      <c r="TO30" s="1575"/>
      <c r="TP30" s="1575"/>
      <c r="TQ30" s="1575"/>
      <c r="TR30" s="1575"/>
      <c r="TS30" s="1575"/>
      <c r="TT30" s="1575"/>
      <c r="TU30" s="1575"/>
      <c r="TV30" s="1575"/>
      <c r="TW30" s="1575"/>
      <c r="TX30" s="1575"/>
      <c r="TY30" s="1575"/>
      <c r="TZ30" s="1575"/>
      <c r="UA30" s="1575"/>
      <c r="UB30" s="1575"/>
      <c r="UC30" s="1575"/>
      <c r="UD30" s="1575"/>
      <c r="UE30" s="1575"/>
      <c r="UF30" s="1575"/>
      <c r="UG30" s="1575"/>
      <c r="UH30" s="1575"/>
      <c r="UI30" s="1575"/>
      <c r="UJ30" s="1575"/>
      <c r="UK30" s="1575"/>
      <c r="UL30" s="1575"/>
      <c r="UM30" s="1575"/>
      <c r="UN30" s="1575"/>
      <c r="UO30" s="1575"/>
      <c r="UP30" s="1575"/>
      <c r="UQ30" s="1575"/>
      <c r="UR30" s="1575"/>
      <c r="US30" s="1575"/>
      <c r="UT30" s="1575"/>
      <c r="UU30" s="1575"/>
      <c r="UV30" s="1575"/>
      <c r="UW30" s="1575"/>
      <c r="UX30" s="1575"/>
      <c r="UY30" s="1575"/>
      <c r="UZ30" s="1575"/>
      <c r="VA30" s="1575"/>
      <c r="VB30" s="1575"/>
      <c r="VC30" s="1575"/>
      <c r="VD30" s="1575"/>
      <c r="VE30" s="1575"/>
      <c r="VF30" s="1575"/>
      <c r="VG30" s="1575"/>
      <c r="VH30" s="1575"/>
      <c r="VI30" s="1575"/>
      <c r="VJ30" s="1575"/>
      <c r="VK30" s="1575"/>
    </row>
    <row r="31" spans="1:583" s="2072" customFormat="1" ht="27" x14ac:dyDescent="0.25">
      <c r="A31" s="694"/>
      <c r="B31" s="2073" t="s">
        <v>629</v>
      </c>
      <c r="C31" s="2074" t="s">
        <v>2723</v>
      </c>
      <c r="D31" s="4715" t="s">
        <v>2724</v>
      </c>
      <c r="E31" s="4715">
        <v>0</v>
      </c>
      <c r="F31" s="1575"/>
      <c r="G31" s="1575"/>
      <c r="H31" s="1575"/>
      <c r="I31" s="1575"/>
      <c r="J31" s="1575"/>
      <c r="K31" s="1575"/>
      <c r="L31" s="1575"/>
      <c r="M31" s="1575"/>
      <c r="N31" s="1575"/>
      <c r="O31" s="1575"/>
      <c r="P31" s="1575"/>
      <c r="Q31" s="1575"/>
      <c r="R31" s="1575"/>
      <c r="S31" s="1575"/>
      <c r="T31" s="1575"/>
      <c r="U31" s="1575"/>
      <c r="V31" s="1575"/>
      <c r="W31" s="1575"/>
      <c r="X31" s="1575"/>
      <c r="Y31" s="1575"/>
      <c r="Z31" s="1575"/>
      <c r="AA31" s="1575"/>
      <c r="AB31" s="1575"/>
      <c r="AC31" s="1575"/>
      <c r="AD31" s="1575"/>
      <c r="AE31" s="1575"/>
      <c r="AF31" s="1575"/>
      <c r="AG31" s="1575"/>
      <c r="AH31" s="1575"/>
      <c r="AI31" s="1575"/>
      <c r="AJ31" s="1575"/>
      <c r="AK31" s="1575"/>
      <c r="AL31" s="1575"/>
      <c r="AM31" s="1575"/>
      <c r="AN31" s="1575"/>
      <c r="AO31" s="1575"/>
      <c r="AP31" s="1575"/>
      <c r="AQ31" s="1575"/>
      <c r="AR31" s="1575"/>
      <c r="AS31" s="1575"/>
      <c r="AT31" s="1575"/>
      <c r="AU31" s="1575"/>
      <c r="AV31" s="1575"/>
      <c r="AW31" s="1575"/>
      <c r="AX31" s="1575"/>
      <c r="AY31" s="1575"/>
      <c r="AZ31" s="1575"/>
      <c r="BA31" s="1575"/>
      <c r="BB31" s="1575"/>
      <c r="BC31" s="1575"/>
      <c r="BD31" s="1575"/>
      <c r="BE31" s="1575"/>
      <c r="BF31" s="1575"/>
      <c r="BG31" s="1575"/>
      <c r="BH31" s="1575"/>
      <c r="BI31" s="1575"/>
      <c r="BJ31" s="1575"/>
      <c r="BK31" s="1575"/>
      <c r="BL31" s="1575"/>
      <c r="BM31" s="1575"/>
      <c r="BN31" s="1575"/>
      <c r="BO31" s="1575"/>
      <c r="BP31" s="1575"/>
      <c r="BQ31" s="1575"/>
      <c r="BR31" s="1575"/>
      <c r="BS31" s="1575"/>
      <c r="BT31" s="1575"/>
      <c r="BU31" s="1575"/>
      <c r="BV31" s="1575"/>
      <c r="BW31" s="1575"/>
      <c r="BX31" s="1575"/>
      <c r="BY31" s="1575"/>
      <c r="BZ31" s="1575"/>
      <c r="CA31" s="1575"/>
      <c r="CB31" s="1575"/>
      <c r="CC31" s="1575"/>
      <c r="CD31" s="1575"/>
      <c r="CE31" s="1575"/>
      <c r="CF31" s="1575"/>
      <c r="CG31" s="1575"/>
      <c r="CH31" s="1575"/>
      <c r="CI31" s="1575"/>
      <c r="CJ31" s="1575"/>
      <c r="CK31" s="1575"/>
      <c r="CL31" s="1575"/>
      <c r="CM31" s="1575"/>
      <c r="CN31" s="1575"/>
      <c r="CO31" s="1575"/>
      <c r="CP31" s="1575"/>
      <c r="CQ31" s="1575"/>
      <c r="CR31" s="1575"/>
      <c r="CS31" s="1575"/>
      <c r="CT31" s="1575"/>
      <c r="CU31" s="1575"/>
      <c r="CV31" s="1575"/>
      <c r="CW31" s="1575"/>
      <c r="CX31" s="1575"/>
      <c r="CY31" s="1575"/>
      <c r="CZ31" s="1575"/>
      <c r="DA31" s="1575"/>
      <c r="DB31" s="1575"/>
      <c r="DC31" s="1575"/>
      <c r="DD31" s="1575"/>
      <c r="DE31" s="1575"/>
      <c r="DF31" s="1575"/>
      <c r="DG31" s="1575"/>
      <c r="DH31" s="1575"/>
      <c r="DI31" s="1575"/>
      <c r="DJ31" s="1575"/>
      <c r="DK31" s="1575"/>
      <c r="DL31" s="1575"/>
      <c r="DM31" s="1575"/>
      <c r="DN31" s="1575"/>
      <c r="DO31" s="1575"/>
      <c r="DP31" s="1575"/>
      <c r="DQ31" s="1575"/>
      <c r="DR31" s="1575"/>
      <c r="DS31" s="1575"/>
      <c r="DT31" s="1575"/>
      <c r="DU31" s="1575"/>
      <c r="DV31" s="1575"/>
      <c r="DW31" s="1575"/>
      <c r="DX31" s="1575"/>
      <c r="DY31" s="1575"/>
      <c r="DZ31" s="1575"/>
      <c r="EA31" s="1575"/>
      <c r="EB31" s="1575"/>
      <c r="EC31" s="1575"/>
      <c r="ED31" s="1575"/>
      <c r="EE31" s="1575"/>
      <c r="EF31" s="1575"/>
      <c r="EG31" s="1575"/>
      <c r="EH31" s="1575"/>
      <c r="EI31" s="1575"/>
      <c r="EJ31" s="1575"/>
      <c r="EK31" s="1575"/>
      <c r="EL31" s="1575"/>
      <c r="EM31" s="1575"/>
      <c r="EN31" s="1575"/>
      <c r="EO31" s="1575"/>
      <c r="EP31" s="1575"/>
      <c r="EQ31" s="1575"/>
      <c r="ER31" s="1575"/>
      <c r="ES31" s="1575"/>
      <c r="ET31" s="1575"/>
      <c r="EU31" s="1575"/>
      <c r="EV31" s="1575"/>
      <c r="EW31" s="1575"/>
      <c r="EX31" s="1575"/>
      <c r="EY31" s="1575"/>
      <c r="EZ31" s="1575"/>
      <c r="FA31" s="1575"/>
      <c r="FB31" s="1575"/>
      <c r="FC31" s="1575"/>
      <c r="FD31" s="1575"/>
      <c r="FE31" s="1575"/>
      <c r="FF31" s="1575"/>
      <c r="FG31" s="1575"/>
      <c r="FH31" s="1575"/>
      <c r="FI31" s="1575"/>
      <c r="FJ31" s="1575"/>
      <c r="FK31" s="1575"/>
      <c r="FL31" s="1575"/>
      <c r="FM31" s="1575"/>
      <c r="FN31" s="1575"/>
      <c r="FO31" s="1575"/>
      <c r="FP31" s="1575"/>
      <c r="FQ31" s="1575"/>
      <c r="FR31" s="1575"/>
      <c r="FS31" s="1575"/>
      <c r="FT31" s="1575"/>
      <c r="FU31" s="1575"/>
      <c r="FV31" s="1575"/>
      <c r="FW31" s="1575"/>
      <c r="FX31" s="1575"/>
      <c r="FY31" s="1575"/>
      <c r="FZ31" s="1575"/>
      <c r="GA31" s="1575"/>
      <c r="GB31" s="1575"/>
      <c r="GC31" s="1575"/>
      <c r="GD31" s="1575"/>
      <c r="GE31" s="1575"/>
      <c r="GF31" s="1575"/>
      <c r="GG31" s="1575"/>
      <c r="GH31" s="1575"/>
      <c r="GI31" s="1575"/>
      <c r="GJ31" s="1575"/>
      <c r="GK31" s="1575"/>
      <c r="GL31" s="1575"/>
      <c r="GM31" s="1575"/>
      <c r="GN31" s="1575"/>
      <c r="GO31" s="1575"/>
      <c r="GP31" s="1575"/>
      <c r="GQ31" s="1575"/>
      <c r="GR31" s="1575"/>
      <c r="GS31" s="1575"/>
      <c r="GT31" s="1575"/>
      <c r="GU31" s="1575"/>
      <c r="GV31" s="1575"/>
      <c r="GW31" s="1575"/>
      <c r="GX31" s="1575"/>
      <c r="GY31" s="1575"/>
      <c r="GZ31" s="1575"/>
      <c r="HA31" s="1575"/>
      <c r="HB31" s="1575"/>
      <c r="HC31" s="1575"/>
      <c r="HD31" s="1575"/>
      <c r="HE31" s="1575"/>
      <c r="HF31" s="1575"/>
      <c r="HG31" s="1575"/>
      <c r="HH31" s="1575"/>
      <c r="HI31" s="1575"/>
      <c r="HJ31" s="1575"/>
      <c r="HK31" s="1575"/>
      <c r="HL31" s="1575"/>
      <c r="HM31" s="1575"/>
      <c r="HN31" s="1575"/>
      <c r="HO31" s="1575"/>
      <c r="HP31" s="1575"/>
      <c r="HQ31" s="1575"/>
      <c r="HR31" s="1575"/>
      <c r="HS31" s="1575"/>
      <c r="HT31" s="1575"/>
      <c r="HU31" s="1575"/>
      <c r="HV31" s="1575"/>
      <c r="HW31" s="1575"/>
      <c r="HX31" s="1575"/>
      <c r="HY31" s="1575"/>
      <c r="HZ31" s="1575"/>
      <c r="IA31" s="1575"/>
      <c r="IB31" s="1575"/>
      <c r="IC31" s="1575"/>
      <c r="ID31" s="1575"/>
      <c r="IE31" s="1575"/>
      <c r="IF31" s="1575"/>
      <c r="IG31" s="1575"/>
      <c r="IH31" s="1575"/>
      <c r="II31" s="1575"/>
      <c r="IJ31" s="1575"/>
      <c r="IK31" s="1575"/>
      <c r="IL31" s="1575"/>
      <c r="IM31" s="1575"/>
      <c r="IN31" s="1575"/>
      <c r="IO31" s="1575"/>
      <c r="IP31" s="1575"/>
      <c r="IQ31" s="1575"/>
      <c r="IR31" s="1575"/>
      <c r="IS31" s="1575"/>
      <c r="IT31" s="1575"/>
      <c r="IU31" s="1575"/>
      <c r="IV31" s="1575"/>
      <c r="IW31" s="1575"/>
      <c r="IX31" s="1575"/>
      <c r="IY31" s="1575"/>
      <c r="IZ31" s="1575"/>
      <c r="JA31" s="1587"/>
      <c r="JB31" s="1587"/>
      <c r="JC31" s="1587"/>
      <c r="JD31" s="1587"/>
      <c r="JE31" s="1587"/>
      <c r="JF31" s="1587"/>
      <c r="JG31" s="1587"/>
      <c r="JH31" s="1587"/>
      <c r="JI31" s="1587"/>
      <c r="JJ31" s="1587"/>
      <c r="JK31" s="1587"/>
      <c r="JL31" s="1587"/>
      <c r="JM31" s="1587"/>
      <c r="JN31" s="1587"/>
      <c r="JO31" s="1587"/>
      <c r="JP31" s="1587"/>
      <c r="JQ31" s="1587"/>
      <c r="JR31" s="1575"/>
      <c r="JS31" s="1575"/>
      <c r="JT31" s="1575"/>
      <c r="JU31" s="1575"/>
      <c r="JV31" s="1575"/>
      <c r="JW31" s="1575"/>
      <c r="JX31" s="1575"/>
      <c r="JY31" s="1575"/>
      <c r="JZ31" s="1575"/>
      <c r="KA31" s="1575"/>
      <c r="KB31" s="1575"/>
      <c r="KC31" s="1575"/>
      <c r="KD31" s="1575"/>
      <c r="KE31" s="1575"/>
      <c r="KF31" s="1575"/>
      <c r="KG31" s="1575"/>
      <c r="KH31" s="1575"/>
      <c r="KI31" s="1575"/>
      <c r="KJ31" s="1575"/>
      <c r="KK31" s="1575"/>
      <c r="KL31" s="1575"/>
      <c r="KM31" s="1575"/>
      <c r="KN31" s="1575"/>
      <c r="KO31" s="1575"/>
      <c r="KP31" s="1575"/>
      <c r="KQ31" s="1575"/>
      <c r="KR31" s="1575"/>
      <c r="KS31" s="1575"/>
      <c r="KT31" s="1575"/>
      <c r="KU31" s="1575"/>
      <c r="KV31" s="1575"/>
      <c r="KW31" s="1575"/>
      <c r="KX31" s="1575"/>
      <c r="KY31" s="1575"/>
      <c r="KZ31" s="1575"/>
      <c r="LA31" s="1575"/>
      <c r="LB31" s="1575"/>
      <c r="LC31" s="1575"/>
      <c r="LD31" s="1575"/>
      <c r="LE31" s="1575"/>
      <c r="LF31" s="1575"/>
      <c r="LG31" s="1575"/>
      <c r="LH31" s="1575"/>
      <c r="LI31" s="1575"/>
      <c r="LJ31" s="1575"/>
      <c r="LK31" s="1575"/>
      <c r="LL31" s="1575"/>
      <c r="LM31" s="1575"/>
      <c r="LN31" s="1575"/>
      <c r="LO31" s="1575"/>
      <c r="LP31" s="1575"/>
      <c r="LQ31" s="1575"/>
      <c r="LR31" s="1575"/>
      <c r="LS31" s="1575"/>
      <c r="LT31" s="1575"/>
      <c r="LU31" s="1575"/>
      <c r="LV31" s="1575"/>
      <c r="LW31" s="1575"/>
      <c r="LX31" s="1575"/>
      <c r="LY31" s="1575"/>
      <c r="LZ31" s="1575"/>
      <c r="MA31" s="1575"/>
      <c r="MB31" s="1575"/>
      <c r="MC31" s="1575"/>
      <c r="MD31" s="1575"/>
      <c r="ME31" s="1575"/>
      <c r="MF31" s="1575"/>
      <c r="MG31" s="1575"/>
      <c r="MH31" s="1575"/>
      <c r="MI31" s="1575"/>
      <c r="MJ31" s="1575"/>
      <c r="MK31" s="1575"/>
      <c r="ML31" s="1575"/>
      <c r="MM31" s="1575"/>
      <c r="MN31" s="1575"/>
      <c r="MO31" s="1575"/>
      <c r="MP31" s="1575"/>
      <c r="MQ31" s="1575"/>
      <c r="MR31" s="1575"/>
      <c r="MS31" s="1575"/>
      <c r="MT31" s="1575"/>
      <c r="MU31" s="1575"/>
      <c r="MV31" s="1575"/>
      <c r="MW31" s="1575"/>
      <c r="MX31" s="1575"/>
      <c r="MY31" s="1575"/>
      <c r="MZ31" s="1575"/>
      <c r="NA31" s="1575"/>
      <c r="NB31" s="1575"/>
      <c r="NC31" s="1575"/>
      <c r="ND31" s="1575"/>
      <c r="NE31" s="1575"/>
      <c r="NF31" s="1575"/>
      <c r="NG31" s="1575"/>
      <c r="NH31" s="1575"/>
      <c r="NI31" s="1575"/>
      <c r="NJ31" s="1575"/>
      <c r="NK31" s="1575"/>
      <c r="NL31" s="1575"/>
      <c r="NM31" s="1575"/>
      <c r="NN31" s="1575"/>
      <c r="NO31" s="1575"/>
      <c r="NP31" s="1575"/>
      <c r="NQ31" s="1575"/>
      <c r="NR31" s="1575"/>
      <c r="NS31" s="1575"/>
      <c r="NT31" s="1575"/>
      <c r="NU31" s="1575"/>
      <c r="NV31" s="1575"/>
      <c r="NW31" s="1575"/>
      <c r="NX31" s="1575"/>
      <c r="NY31" s="1575"/>
      <c r="NZ31" s="1575"/>
      <c r="OA31" s="1575"/>
      <c r="OB31" s="1575"/>
      <c r="OC31" s="1575"/>
      <c r="OD31" s="1575"/>
      <c r="OE31" s="1575"/>
      <c r="OF31" s="1575"/>
      <c r="OG31" s="1575"/>
      <c r="OH31" s="1575"/>
      <c r="OI31" s="1575"/>
      <c r="OJ31" s="1575"/>
      <c r="OK31" s="1575"/>
      <c r="OL31" s="1575"/>
      <c r="OM31" s="1575"/>
      <c r="ON31" s="1575"/>
      <c r="OO31" s="1575"/>
      <c r="OP31" s="1575"/>
      <c r="OQ31" s="1575"/>
      <c r="OR31" s="1575"/>
      <c r="OS31" s="1575"/>
      <c r="OT31" s="1575"/>
      <c r="OU31" s="1575"/>
      <c r="OV31" s="1575"/>
      <c r="OW31" s="1575"/>
      <c r="OX31" s="1575"/>
      <c r="OY31" s="1575"/>
      <c r="OZ31" s="1575"/>
      <c r="PA31" s="1575"/>
      <c r="PB31" s="1575"/>
      <c r="PC31" s="1575"/>
      <c r="PD31" s="1575"/>
      <c r="PE31" s="1575"/>
      <c r="PF31" s="1575"/>
      <c r="PG31" s="1575"/>
      <c r="PH31" s="1575"/>
      <c r="PI31" s="1575"/>
      <c r="PJ31" s="1575"/>
      <c r="PK31" s="1575"/>
      <c r="PL31" s="1575"/>
      <c r="PM31" s="1575"/>
      <c r="PN31" s="1575"/>
      <c r="PO31" s="1575"/>
      <c r="PP31" s="1575"/>
      <c r="PQ31" s="1575"/>
      <c r="PR31" s="1575"/>
      <c r="PS31" s="1575"/>
      <c r="PT31" s="1575"/>
      <c r="PU31" s="1575"/>
      <c r="PV31" s="1575"/>
      <c r="PW31" s="1575"/>
      <c r="PX31" s="1575"/>
      <c r="PY31" s="1575"/>
      <c r="PZ31" s="1575"/>
      <c r="QA31" s="1575"/>
      <c r="QB31" s="1575"/>
      <c r="QC31" s="1575"/>
      <c r="QD31" s="1575"/>
      <c r="QE31" s="1575"/>
      <c r="QF31" s="1575"/>
      <c r="QG31" s="1575"/>
      <c r="QH31" s="1575"/>
      <c r="QI31" s="1575"/>
      <c r="QJ31" s="1575"/>
      <c r="QK31" s="1575"/>
      <c r="QL31" s="1575"/>
      <c r="QM31" s="1575"/>
      <c r="QN31" s="1575"/>
      <c r="QO31" s="1575"/>
      <c r="QP31" s="1575"/>
      <c r="QQ31" s="1575"/>
      <c r="QR31" s="1575"/>
      <c r="QS31" s="1575"/>
      <c r="QT31" s="1575"/>
      <c r="QU31" s="1575"/>
      <c r="QV31" s="1575"/>
      <c r="QW31" s="1575"/>
      <c r="QX31" s="1575"/>
      <c r="QY31" s="1575"/>
      <c r="QZ31" s="1575"/>
      <c r="RA31" s="1575"/>
      <c r="RB31" s="1575"/>
      <c r="RC31" s="1575"/>
      <c r="RD31" s="1575"/>
      <c r="RE31" s="1575"/>
      <c r="RF31" s="1575"/>
      <c r="RG31" s="1575"/>
      <c r="RH31" s="1575"/>
      <c r="RI31" s="1575"/>
      <c r="RJ31" s="1575"/>
      <c r="RK31" s="1575"/>
      <c r="RL31" s="1575"/>
      <c r="RM31" s="1575"/>
      <c r="RN31" s="1575"/>
      <c r="RO31" s="1575"/>
      <c r="RP31" s="1575"/>
      <c r="RQ31" s="1575"/>
      <c r="RR31" s="1575"/>
      <c r="RS31" s="1575"/>
      <c r="RT31" s="1575"/>
      <c r="RU31" s="1575"/>
      <c r="RV31" s="1575"/>
      <c r="RW31" s="1575"/>
      <c r="RX31" s="1575"/>
      <c r="RY31" s="1575"/>
      <c r="RZ31" s="1575"/>
      <c r="SA31" s="1575"/>
      <c r="SB31" s="1575"/>
      <c r="SC31" s="1575"/>
      <c r="SD31" s="1575"/>
      <c r="SE31" s="1575"/>
      <c r="SF31" s="1575"/>
      <c r="SG31" s="1575"/>
      <c r="SH31" s="1575"/>
      <c r="SI31" s="1575"/>
      <c r="SJ31" s="1575"/>
      <c r="SK31" s="1575"/>
      <c r="SL31" s="1575"/>
      <c r="SM31" s="1575"/>
      <c r="SN31" s="1575"/>
      <c r="SO31" s="1575"/>
      <c r="SP31" s="1575"/>
      <c r="SQ31" s="1575"/>
      <c r="SR31" s="1575"/>
      <c r="SS31" s="1575"/>
      <c r="ST31" s="1575"/>
      <c r="SU31" s="1575"/>
      <c r="SV31" s="1575"/>
      <c r="SW31" s="1575"/>
      <c r="SX31" s="1575"/>
      <c r="SY31" s="1575"/>
      <c r="SZ31" s="1575"/>
      <c r="TA31" s="1575"/>
      <c r="TB31" s="1575"/>
      <c r="TC31" s="1575"/>
      <c r="TD31" s="1575"/>
      <c r="TE31" s="1575"/>
      <c r="TF31" s="1575"/>
      <c r="TG31" s="1575"/>
      <c r="TH31" s="1575"/>
      <c r="TI31" s="1575"/>
      <c r="TJ31" s="1575"/>
      <c r="TK31" s="1575"/>
      <c r="TL31" s="1575"/>
      <c r="TM31" s="1575"/>
      <c r="TN31" s="1575"/>
      <c r="TO31" s="1575"/>
      <c r="TP31" s="1575"/>
      <c r="TQ31" s="1575"/>
      <c r="TR31" s="1575"/>
      <c r="TS31" s="1575"/>
      <c r="TT31" s="1575"/>
      <c r="TU31" s="1575"/>
      <c r="TV31" s="1575"/>
      <c r="TW31" s="1575"/>
      <c r="TX31" s="1575"/>
      <c r="TY31" s="1575"/>
      <c r="TZ31" s="1575"/>
      <c r="UA31" s="1575"/>
      <c r="UB31" s="1575"/>
      <c r="UC31" s="1575"/>
      <c r="UD31" s="1575"/>
      <c r="UE31" s="1575"/>
      <c r="UF31" s="1575"/>
      <c r="UG31" s="1575"/>
      <c r="UH31" s="1575"/>
      <c r="UI31" s="1575"/>
      <c r="UJ31" s="1575"/>
      <c r="UK31" s="1575"/>
      <c r="UL31" s="1575"/>
      <c r="UM31" s="1575"/>
      <c r="UN31" s="1575"/>
      <c r="UO31" s="1575"/>
      <c r="UP31" s="1575"/>
      <c r="UQ31" s="1575"/>
      <c r="UR31" s="1575"/>
      <c r="US31" s="1575"/>
      <c r="UT31" s="1575"/>
      <c r="UU31" s="1575"/>
      <c r="UV31" s="1575"/>
      <c r="UW31" s="1575"/>
      <c r="UX31" s="1575"/>
      <c r="UY31" s="1575"/>
      <c r="UZ31" s="1575"/>
      <c r="VA31" s="1575"/>
      <c r="VB31" s="1575"/>
      <c r="VC31" s="1575"/>
      <c r="VD31" s="1575"/>
      <c r="VE31" s="1575"/>
      <c r="VF31" s="1575"/>
      <c r="VG31" s="1575"/>
      <c r="VH31" s="1575"/>
      <c r="VI31" s="1575"/>
      <c r="VJ31" s="1575"/>
      <c r="VK31" s="1575"/>
    </row>
    <row r="32" spans="1:583" x14ac:dyDescent="0.25">
      <c r="B32" s="1610" t="s">
        <v>629</v>
      </c>
      <c r="C32" s="1582" t="s">
        <v>2725</v>
      </c>
      <c r="D32" s="4710" t="s">
        <v>2726</v>
      </c>
      <c r="E32" s="4710">
        <v>0</v>
      </c>
      <c r="F32" s="1576" t="e">
        <f>'Paso 1.1'!E29*Tiempos!$H$28</f>
        <v>#DIV/0!</v>
      </c>
      <c r="G32" s="1576" t="e">
        <f>'Paso 1.1'!F29*Tiempos!$H$28</f>
        <v>#DIV/0!</v>
      </c>
      <c r="H32" s="1576" t="e">
        <f>'Paso 1.1'!G29*Tiempos!$H$28</f>
        <v>#DIV/0!</v>
      </c>
      <c r="I32" s="1576" t="e">
        <f>'Paso 1.1'!H29*Tiempos!$H$28</f>
        <v>#DIV/0!</v>
      </c>
      <c r="J32" s="1576" t="e">
        <f>'Paso 1.1'!I29*Tiempos!$H$28</f>
        <v>#DIV/0!</v>
      </c>
      <c r="K32" s="1576" t="e">
        <f>'Paso 1.1'!J29*Tiempos!$H$28</f>
        <v>#DIV/0!</v>
      </c>
      <c r="L32" s="1576" t="e">
        <f>'Paso 1.1'!K29*Tiempos!$H$28</f>
        <v>#DIV/0!</v>
      </c>
      <c r="M32" s="1576" t="e">
        <f>'Paso 1.1'!L29*Tiempos!$H$28</f>
        <v>#DIV/0!</v>
      </c>
      <c r="N32" s="1576" t="e">
        <f>'Paso 1.1'!M29*Tiempos!$H$28</f>
        <v>#DIV/0!</v>
      </c>
      <c r="O32" s="1576" t="e">
        <f>'Paso 1.1'!N29*Tiempos!$H$28</f>
        <v>#DIV/0!</v>
      </c>
      <c r="P32" s="1576" t="e">
        <f>'Paso 1.1'!O29*Tiempos!$H$28</f>
        <v>#DIV/0!</v>
      </c>
      <c r="Q32" s="1576" t="e">
        <f>'Paso 1.1'!P29*Tiempos!$H$28</f>
        <v>#DIV/0!</v>
      </c>
      <c r="R32" s="1576" t="e">
        <f>'Paso 1.1'!Q29*Tiempos!$H$28</f>
        <v>#DIV/0!</v>
      </c>
      <c r="S32" s="1576" t="e">
        <f>'Paso 1.1'!R29*Tiempos!$H$28</f>
        <v>#DIV/0!</v>
      </c>
      <c r="T32" s="1576" t="e">
        <f>'Paso 1.1'!S29*Tiempos!$H$28</f>
        <v>#DIV/0!</v>
      </c>
      <c r="U32" s="1576" t="e">
        <f>'Paso 1.1'!T29*Tiempos!$H$28</f>
        <v>#DIV/0!</v>
      </c>
      <c r="V32" s="1576" t="e">
        <f>'Paso 1.1'!U29*Tiempos!$H$28</f>
        <v>#DIV/0!</v>
      </c>
      <c r="W32" s="1576"/>
      <c r="X32" s="1576"/>
      <c r="Y32" s="1576"/>
      <c r="Z32" s="1576"/>
      <c r="AA32" s="1576"/>
      <c r="AB32" s="1576"/>
      <c r="AC32" s="1576"/>
      <c r="AD32" s="1576"/>
      <c r="AE32" s="1576"/>
      <c r="AF32" s="1576"/>
      <c r="AG32" s="1576"/>
      <c r="AH32" s="1576"/>
      <c r="AI32" s="1576"/>
      <c r="AJ32" s="1576"/>
      <c r="AK32" s="1576"/>
      <c r="AL32" s="1576"/>
      <c r="AM32" s="1576"/>
      <c r="AN32" s="1576" t="e">
        <f>'Paso 1.1'!E29*Tiempos!$H$28</f>
        <v>#DIV/0!</v>
      </c>
      <c r="AO32" s="1576" t="e">
        <f>'Paso 1.1'!F29*Tiempos!$H$28</f>
        <v>#DIV/0!</v>
      </c>
      <c r="AP32" s="1576" t="e">
        <f>'Paso 1.1'!G29*Tiempos!$H$28</f>
        <v>#DIV/0!</v>
      </c>
      <c r="AQ32" s="1576" t="e">
        <f>'Paso 1.1'!H29*Tiempos!$H$28</f>
        <v>#DIV/0!</v>
      </c>
      <c r="AR32" s="1576" t="e">
        <f>'Paso 1.1'!I29*Tiempos!$H$28</f>
        <v>#DIV/0!</v>
      </c>
      <c r="AS32" s="1576" t="e">
        <f>'Paso 1.1'!J29*Tiempos!$H$28</f>
        <v>#DIV/0!</v>
      </c>
      <c r="AT32" s="1576" t="e">
        <f>'Paso 1.1'!K29*Tiempos!$H$28</f>
        <v>#DIV/0!</v>
      </c>
      <c r="AU32" s="1576" t="e">
        <f>'Paso 1.1'!L29*Tiempos!$H$28</f>
        <v>#DIV/0!</v>
      </c>
      <c r="AV32" s="1576" t="e">
        <f>'Paso 1.1'!M29*Tiempos!$H$28</f>
        <v>#DIV/0!</v>
      </c>
      <c r="AW32" s="1576" t="e">
        <f>'Paso 1.1'!N29*Tiempos!$H$28</f>
        <v>#DIV/0!</v>
      </c>
      <c r="AX32" s="1576" t="e">
        <f>'Paso 1.1'!O29*Tiempos!$H$28</f>
        <v>#DIV/0!</v>
      </c>
      <c r="AY32" s="1576" t="e">
        <f>'Paso 1.1'!P29*Tiempos!$H$28</f>
        <v>#DIV/0!</v>
      </c>
      <c r="AZ32" s="1576" t="e">
        <f>'Paso 1.1'!Q29*Tiempos!$H$28</f>
        <v>#DIV/0!</v>
      </c>
      <c r="BA32" s="1576" t="e">
        <f>'Paso 1.1'!R29*Tiempos!$H$28</f>
        <v>#DIV/0!</v>
      </c>
      <c r="BB32" s="1576" t="e">
        <f>'Paso 1.1'!S29*Tiempos!$H$28</f>
        <v>#DIV/0!</v>
      </c>
      <c r="BC32" s="1576" t="e">
        <f>'Paso 1.1'!T29*Tiempos!$H$28</f>
        <v>#DIV/0!</v>
      </c>
      <c r="BD32" s="1576" t="e">
        <f>'Paso 1.1'!U29*Tiempos!$H$28</f>
        <v>#DIV/0!</v>
      </c>
      <c r="BE32" s="1576"/>
      <c r="BF32" s="1576"/>
      <c r="BG32" s="1576"/>
      <c r="BH32" s="1576"/>
      <c r="BI32" s="1576"/>
      <c r="BJ32" s="1576"/>
      <c r="BK32" s="1576"/>
      <c r="BL32" s="1576"/>
      <c r="BM32" s="1576"/>
      <c r="BN32" s="1576"/>
      <c r="BO32" s="1576"/>
      <c r="BP32" s="1576"/>
      <c r="BQ32" s="1576"/>
      <c r="BR32" s="1576"/>
      <c r="BS32" s="1576"/>
      <c r="BT32" s="1576"/>
      <c r="BU32" s="1576"/>
      <c r="BV32" s="1576" t="e">
        <f>'Paso 1.1'!E29*Tiempos!$H$28</f>
        <v>#DIV/0!</v>
      </c>
      <c r="BW32" s="1576" t="e">
        <f>'Paso 1.1'!F29*Tiempos!$H$28</f>
        <v>#DIV/0!</v>
      </c>
      <c r="BX32" s="1576" t="e">
        <f>'Paso 1.1'!G29*Tiempos!$H$28</f>
        <v>#DIV/0!</v>
      </c>
      <c r="BY32" s="1576" t="e">
        <f>'Paso 1.1'!H29*Tiempos!$H$28</f>
        <v>#DIV/0!</v>
      </c>
      <c r="BZ32" s="1576" t="e">
        <f>'Paso 1.1'!I29*Tiempos!$H$28</f>
        <v>#DIV/0!</v>
      </c>
      <c r="CA32" s="1576" t="e">
        <f>'Paso 1.1'!J29*Tiempos!$H$28</f>
        <v>#DIV/0!</v>
      </c>
      <c r="CB32" s="1576" t="e">
        <f>'Paso 1.1'!K29*Tiempos!$H$28</f>
        <v>#DIV/0!</v>
      </c>
      <c r="CC32" s="1576" t="e">
        <f>'Paso 1.1'!L29*Tiempos!$H$28</f>
        <v>#DIV/0!</v>
      </c>
      <c r="CD32" s="1576" t="e">
        <f>'Paso 1.1'!M29*Tiempos!$H$28</f>
        <v>#DIV/0!</v>
      </c>
      <c r="CE32" s="1576" t="e">
        <f>'Paso 1.1'!N29*Tiempos!$H$28</f>
        <v>#DIV/0!</v>
      </c>
      <c r="CF32" s="1576" t="e">
        <f>'Paso 1.1'!O29*Tiempos!$H$28</f>
        <v>#DIV/0!</v>
      </c>
      <c r="CG32" s="1576" t="e">
        <f>'Paso 1.1'!P29*Tiempos!$H$28</f>
        <v>#DIV/0!</v>
      </c>
      <c r="CH32" s="1576" t="e">
        <f>'Paso 1.1'!Q29*Tiempos!$H$28</f>
        <v>#DIV/0!</v>
      </c>
      <c r="CI32" s="1576" t="e">
        <f>'Paso 1.1'!R29*Tiempos!$H$28</f>
        <v>#DIV/0!</v>
      </c>
      <c r="CJ32" s="1576" t="e">
        <f>'Paso 1.1'!S29*Tiempos!$H$28</f>
        <v>#DIV/0!</v>
      </c>
      <c r="CK32" s="1576" t="e">
        <f>'Paso 1.1'!T29*Tiempos!$H$28</f>
        <v>#DIV/0!</v>
      </c>
      <c r="CL32" s="1576" t="e">
        <f>'Paso 1.1'!U29*Tiempos!$H$28</f>
        <v>#DIV/0!</v>
      </c>
      <c r="CM32" s="1576" t="e">
        <f>'Paso 1.1'!E29*Tiempos!$H$28</f>
        <v>#DIV/0!</v>
      </c>
      <c r="CN32" s="1576" t="e">
        <f>'Paso 1.1'!F29*Tiempos!$H$28</f>
        <v>#DIV/0!</v>
      </c>
      <c r="CO32" s="1576" t="e">
        <f>'Paso 1.1'!G29*Tiempos!$H$28</f>
        <v>#DIV/0!</v>
      </c>
      <c r="CP32" s="1576" t="e">
        <f>'Paso 1.1'!H29*Tiempos!$H$28</f>
        <v>#DIV/0!</v>
      </c>
      <c r="CQ32" s="1576" t="e">
        <f>'Paso 1.1'!I29*Tiempos!$H$28</f>
        <v>#DIV/0!</v>
      </c>
      <c r="CR32" s="1576" t="e">
        <f>'Paso 1.1'!J29*Tiempos!$H$28</f>
        <v>#DIV/0!</v>
      </c>
      <c r="CS32" s="1576" t="e">
        <f>'Paso 1.1'!K29*Tiempos!$H$28</f>
        <v>#DIV/0!</v>
      </c>
      <c r="CT32" s="1576" t="e">
        <f>'Paso 1.1'!L29*Tiempos!$H$28</f>
        <v>#DIV/0!</v>
      </c>
      <c r="CU32" s="1576" t="e">
        <f>'Paso 1.1'!M29*Tiempos!$H$28</f>
        <v>#DIV/0!</v>
      </c>
      <c r="CV32" s="1576" t="e">
        <f>'Paso 1.1'!N29*Tiempos!$H$28</f>
        <v>#DIV/0!</v>
      </c>
      <c r="CW32" s="1576" t="e">
        <f>'Paso 1.1'!O29*Tiempos!$H$28</f>
        <v>#DIV/0!</v>
      </c>
      <c r="CX32" s="1576" t="e">
        <f>'Paso 1.1'!P29*Tiempos!$H$28</f>
        <v>#DIV/0!</v>
      </c>
      <c r="CY32" s="1576" t="e">
        <f>'Paso 1.1'!Q29*Tiempos!$H$28</f>
        <v>#DIV/0!</v>
      </c>
      <c r="CZ32" s="1576" t="e">
        <f>'Paso 1.1'!R29*Tiempos!$H$28</f>
        <v>#DIV/0!</v>
      </c>
      <c r="DA32" s="1576" t="e">
        <f>'Paso 1.1'!S29*Tiempos!$H$28</f>
        <v>#DIV/0!</v>
      </c>
      <c r="DB32" s="1576" t="e">
        <f>'Paso 1.1'!T29*Tiempos!$H$28</f>
        <v>#DIV/0!</v>
      </c>
      <c r="DC32" s="1576" t="e">
        <f>'Paso 1.1'!U29*Tiempos!$H$28</f>
        <v>#DIV/0!</v>
      </c>
      <c r="DD32" s="1576">
        <f>'Paso 1.1'!AM29*Tiempos!$H$28</f>
        <v>0</v>
      </c>
      <c r="DE32" s="1576">
        <f>'Paso 1.1'!AN29*Tiempos!$H$28</f>
        <v>0</v>
      </c>
      <c r="DF32" s="1576">
        <f>'Paso 1.1'!AO29*Tiempos!$H$28</f>
        <v>0</v>
      </c>
      <c r="DG32" s="1576">
        <f>'Paso 1.1'!AP29*Tiempos!$H$28</f>
        <v>0</v>
      </c>
      <c r="DH32" s="1576">
        <f>'Paso 1.1'!AQ29*Tiempos!$H$28</f>
        <v>0</v>
      </c>
      <c r="DI32" s="1576">
        <f>'Paso 1.1'!AR29*Tiempos!$H$28</f>
        <v>0</v>
      </c>
      <c r="DJ32" s="1576">
        <f>'Paso 1.1'!AS29*Tiempos!$H$28</f>
        <v>0</v>
      </c>
      <c r="DK32" s="1576">
        <f>'Paso 1.1'!AT29*Tiempos!$H$28</f>
        <v>0</v>
      </c>
      <c r="DL32" s="1576">
        <f>'Paso 1.1'!AU29*Tiempos!$H$28</f>
        <v>0</v>
      </c>
      <c r="DM32" s="1576">
        <f>'Paso 1.1'!AV29*Tiempos!$H$28</f>
        <v>0</v>
      </c>
      <c r="DN32" s="1576">
        <f>'Paso 1.1'!AW29*Tiempos!$H$28</f>
        <v>0</v>
      </c>
      <c r="DO32" s="1576">
        <f>'Paso 1.1'!AX29*Tiempos!$H$28</f>
        <v>0</v>
      </c>
      <c r="DP32" s="1576">
        <f>'Paso 1.1'!AY29*Tiempos!$H$28</f>
        <v>0</v>
      </c>
      <c r="DQ32" s="1576">
        <f>'Paso 1.1'!AZ29*Tiempos!$H$28</f>
        <v>0</v>
      </c>
      <c r="DR32" s="1576">
        <f>'Paso 1.1'!BA29*Tiempos!$H$28</f>
        <v>0</v>
      </c>
      <c r="DS32" s="1576">
        <f>'Paso 1.1'!BB29*Tiempos!$H$28</f>
        <v>0</v>
      </c>
      <c r="DT32" s="1576">
        <f>'Paso 1.1'!BC29*Tiempos!$H$28</f>
        <v>0</v>
      </c>
      <c r="DU32" s="1576">
        <f>'Paso 1.1'!BD29*Tiempos!$H$28</f>
        <v>0</v>
      </c>
      <c r="DV32" s="1576">
        <f>'Paso 1.1'!BE29*Tiempos!$H$28</f>
        <v>0</v>
      </c>
      <c r="DW32" s="1576">
        <f>'Paso 1.1'!BF29*Tiempos!$H$28</f>
        <v>0</v>
      </c>
      <c r="DX32" s="1576">
        <f>'Paso 1.1'!BG29*Tiempos!$H$28</f>
        <v>0</v>
      </c>
      <c r="DY32" s="1576">
        <f>'Paso 1.1'!BH29*Tiempos!$H$28</f>
        <v>0</v>
      </c>
      <c r="DZ32" s="1576">
        <f>'Paso 1.1'!BI29*Tiempos!$H$28</f>
        <v>0</v>
      </c>
      <c r="EA32" s="1576">
        <f>'Paso 1.1'!BJ29*Tiempos!$H$28</f>
        <v>0</v>
      </c>
      <c r="EB32" s="1576">
        <f>'Paso 1.1'!BK29*Tiempos!$H$28</f>
        <v>0</v>
      </c>
      <c r="EC32" s="1576">
        <f>'Paso 1.1'!BL29*Tiempos!$H$28</f>
        <v>0</v>
      </c>
      <c r="ED32" s="1576">
        <f>'Paso 1.1'!BM29*Tiempos!$H$28</f>
        <v>0</v>
      </c>
      <c r="EE32" s="1576">
        <f>'Paso 1.1'!BN29*Tiempos!$H$28</f>
        <v>0</v>
      </c>
      <c r="EF32" s="1576">
        <f>'Paso 1.1'!BO29*Tiempos!$H$28</f>
        <v>0</v>
      </c>
      <c r="EG32" s="1576">
        <f>'Paso 1.1'!BP29*Tiempos!$H$28</f>
        <v>0</v>
      </c>
      <c r="EH32" s="1576">
        <f>'Paso 1.1'!BQ29*Tiempos!$H$28</f>
        <v>0</v>
      </c>
      <c r="EI32" s="1576">
        <f>'Paso 1.1'!BR29*Tiempos!$H$28</f>
        <v>0</v>
      </c>
      <c r="EJ32" s="1576">
        <f>'Paso 1.1'!BS29*Tiempos!$H$28</f>
        <v>0</v>
      </c>
      <c r="EK32" s="1576">
        <f>'Paso 1.1'!BT29*Tiempos!$H$28</f>
        <v>0</v>
      </c>
      <c r="EL32" s="1576">
        <f>'Paso 1.1'!BU29*Tiempos!$H$28</f>
        <v>0</v>
      </c>
      <c r="EM32" s="1576">
        <f>'Paso 1.1'!BV29*Tiempos!$H$28</f>
        <v>0</v>
      </c>
      <c r="EN32" s="1576">
        <f>'Paso 1.1'!BW29*Tiempos!$H$28</f>
        <v>0</v>
      </c>
      <c r="EO32" s="1576">
        <f>'Paso 1.1'!BX29*Tiempos!$H$28</f>
        <v>0</v>
      </c>
      <c r="EP32" s="1576">
        <f>'Paso 1.1'!BY29*Tiempos!$H$28</f>
        <v>0</v>
      </c>
      <c r="EQ32" s="1576">
        <f>'Paso 1.1'!BZ29*Tiempos!$H$28</f>
        <v>0</v>
      </c>
      <c r="ER32" s="1576">
        <f>'Paso 1.1'!CA29*Tiempos!$H$28</f>
        <v>0</v>
      </c>
      <c r="ES32" s="1576">
        <f>'Paso 1.1'!CB29*Tiempos!$H$28</f>
        <v>0</v>
      </c>
      <c r="ET32" s="1576">
        <f>'Paso 1.1'!CC29*Tiempos!$H$28</f>
        <v>0</v>
      </c>
      <c r="EU32" s="1576">
        <f>'Paso 1.1'!CD29*Tiempos!$H$28</f>
        <v>0</v>
      </c>
      <c r="EV32" s="1576">
        <f>'Paso 1.1'!CE29*Tiempos!$H$28</f>
        <v>0</v>
      </c>
      <c r="EW32" s="1576">
        <f>'Paso 1.1'!CF29*Tiempos!$H$28</f>
        <v>0</v>
      </c>
      <c r="EX32" s="1576">
        <f>'Paso 1.1'!CG29*Tiempos!$H$28</f>
        <v>0</v>
      </c>
      <c r="EY32" s="1576">
        <f>'Paso 1.1'!CH29*Tiempos!$H$28</f>
        <v>0</v>
      </c>
      <c r="EZ32" s="1576">
        <f>'Paso 1.1'!CI29*Tiempos!$H$28</f>
        <v>0</v>
      </c>
      <c r="FA32" s="1576">
        <f>'Paso 1.1'!CJ29*Tiempos!$H$28</f>
        <v>0</v>
      </c>
      <c r="FB32" s="1576">
        <f>'Paso 1.1'!CK29*Tiempos!$H$28</f>
        <v>0</v>
      </c>
      <c r="FC32" s="1576">
        <f>'Paso 1.1'!CL29*Tiempos!$H$28</f>
        <v>0</v>
      </c>
      <c r="FD32" s="1576">
        <f>'Paso 1.1'!CM29*Tiempos!$H$28</f>
        <v>0</v>
      </c>
      <c r="FE32" s="1576">
        <f>'Paso 1.1'!CN29*Tiempos!$H$28</f>
        <v>0</v>
      </c>
      <c r="FF32" s="1576">
        <f>'Paso 1.1'!CO29*Tiempos!$H$28</f>
        <v>0</v>
      </c>
      <c r="FG32" s="1576">
        <f>'Paso 1.1'!CP29*Tiempos!$H$28</f>
        <v>0</v>
      </c>
      <c r="FH32" s="1576">
        <f>'Paso 1.1'!CQ29*Tiempos!$H$28</f>
        <v>0</v>
      </c>
      <c r="FI32" s="1576">
        <f>'Paso 1.1'!CR29*Tiempos!$H$28</f>
        <v>0</v>
      </c>
      <c r="FJ32" s="1576">
        <f>'Paso 1.1'!CS29*Tiempos!$H$28</f>
        <v>0</v>
      </c>
      <c r="FK32" s="1576">
        <f>'Paso 1.1'!CT29*Tiempos!$H$28</f>
        <v>0</v>
      </c>
      <c r="FL32" s="1576">
        <f>'Paso 1.1'!CU29*Tiempos!$H$28</f>
        <v>0</v>
      </c>
      <c r="FM32" s="1576">
        <f>'Paso 1.1'!CV29*Tiempos!$H$28</f>
        <v>0</v>
      </c>
      <c r="FN32" s="1576">
        <f>'Paso 1.1'!CW29*Tiempos!$H$28</f>
        <v>0</v>
      </c>
      <c r="FO32" s="1576">
        <f>'Paso 1.1'!CX29*Tiempos!$H$28</f>
        <v>0</v>
      </c>
      <c r="FP32" s="1576">
        <f>'Paso 1.1'!CY29*Tiempos!$H$28</f>
        <v>0</v>
      </c>
      <c r="FQ32" s="1576">
        <f>'Paso 1.1'!CZ29*Tiempos!$H$28</f>
        <v>0</v>
      </c>
      <c r="FR32" s="1576">
        <f>'Paso 1.1'!DA29*Tiempos!$H$28</f>
        <v>0</v>
      </c>
      <c r="FS32" s="1576">
        <f>'Paso 1.1'!DB29*Tiempos!$H$28</f>
        <v>0</v>
      </c>
      <c r="FT32" s="1576">
        <f>'Paso 1.1'!DC29*Tiempos!$H$28</f>
        <v>0</v>
      </c>
      <c r="FU32" s="1576">
        <f>'Paso 1.1'!DD29*Tiempos!$H$28</f>
        <v>0</v>
      </c>
      <c r="FV32" s="1576">
        <f>'Paso 1.1'!DE29*Tiempos!$H$28</f>
        <v>0</v>
      </c>
      <c r="FW32" s="1576">
        <f>'Paso 1.1'!DF29*Tiempos!$H$28</f>
        <v>0</v>
      </c>
      <c r="FX32" s="1576">
        <f>'Paso 1.1'!DG29*Tiempos!$H$28</f>
        <v>0</v>
      </c>
      <c r="FY32" s="1576">
        <f>'Paso 1.1'!DH29*Tiempos!$H$28</f>
        <v>0</v>
      </c>
      <c r="FZ32" s="1576">
        <f>'Paso 1.1'!DI29*Tiempos!$H$28</f>
        <v>0</v>
      </c>
      <c r="GA32" s="1576">
        <f>'Paso 1.1'!DJ29*Tiempos!$H$28</f>
        <v>0</v>
      </c>
      <c r="GB32" s="1576">
        <f>'Paso 1.1'!DK29*Tiempos!$H$28</f>
        <v>0</v>
      </c>
      <c r="GC32" s="1576">
        <f>'Paso 1.1'!DL29*Tiempos!$H$28</f>
        <v>0</v>
      </c>
      <c r="GD32" s="1576">
        <f>'Paso 1.1'!DM29*Tiempos!$H$28</f>
        <v>0</v>
      </c>
      <c r="GE32" s="1576">
        <f>'Paso 1.1'!DN29*Tiempos!$H$28</f>
        <v>0</v>
      </c>
      <c r="GF32" s="1576">
        <f>'Paso 1.1'!DO29*Tiempos!$H$28</f>
        <v>0</v>
      </c>
      <c r="GG32" s="1576">
        <f>'Paso 1.1'!DP29*Tiempos!$H$28</f>
        <v>0</v>
      </c>
      <c r="GH32" s="1576">
        <f>'Paso 1.1'!DQ29*Tiempos!$H$28</f>
        <v>0</v>
      </c>
      <c r="GI32" s="1576">
        <f>'Paso 1.1'!DR29*Tiempos!$H$28</f>
        <v>0</v>
      </c>
      <c r="GJ32" s="1576">
        <f>'Paso 1.1'!DS29*Tiempos!$H$28</f>
        <v>0</v>
      </c>
      <c r="GK32" s="1576">
        <f>'Paso 1.1'!DT29*Tiempos!$H$28</f>
        <v>0</v>
      </c>
      <c r="GL32" s="1576">
        <f>'Paso 1.1'!DU29*Tiempos!$H$28</f>
        <v>0</v>
      </c>
      <c r="GM32" s="1576">
        <f>'Paso 1.1'!DV29*Tiempos!$H$28</f>
        <v>0</v>
      </c>
      <c r="GN32" s="1576">
        <f>'Paso 1.1'!DW29*Tiempos!$H$28</f>
        <v>0</v>
      </c>
      <c r="GO32" s="1576">
        <f>'Paso 1.1'!DX29*Tiempos!$H$28</f>
        <v>0</v>
      </c>
      <c r="GP32" s="1576">
        <f>'Paso 1.1'!DY29*Tiempos!$H$28</f>
        <v>0</v>
      </c>
      <c r="GQ32" s="1576">
        <f>'Paso 1.1'!DZ29*Tiempos!$H$28</f>
        <v>0</v>
      </c>
      <c r="GR32" s="1576">
        <f>'Paso 1.1'!EA29*Tiempos!$H$28</f>
        <v>0</v>
      </c>
      <c r="GS32" s="1576">
        <f>'Paso 1.1'!EB29*Tiempos!$H$28</f>
        <v>0</v>
      </c>
      <c r="GT32" s="1576">
        <f>'Paso 1.1'!EC29*Tiempos!$H$28</f>
        <v>0</v>
      </c>
      <c r="GU32" s="1576">
        <f>'Paso 1.1'!ED29*Tiempos!$H$28</f>
        <v>0</v>
      </c>
      <c r="GV32" s="1576">
        <f>'Paso 1.1'!EE29*Tiempos!$H$28</f>
        <v>0</v>
      </c>
      <c r="GW32" s="1576">
        <f>'Paso 1.1'!EF29*Tiempos!$H$28</f>
        <v>0</v>
      </c>
      <c r="GX32" s="1576">
        <f>'Paso 1.1'!EG29*Tiempos!$H$28</f>
        <v>0</v>
      </c>
      <c r="GY32" s="1576">
        <f>'Paso 1.1'!EH29*Tiempos!$H$28</f>
        <v>0</v>
      </c>
      <c r="GZ32" s="1576">
        <f>'Paso 1.1'!EI29*Tiempos!$H$28</f>
        <v>0</v>
      </c>
      <c r="HA32" s="1576">
        <f>'Paso 1.1'!EJ29*Tiempos!$H$28</f>
        <v>0</v>
      </c>
      <c r="HB32" s="1576">
        <f>'Paso 1.1'!EK29*Tiempos!$H$28</f>
        <v>0</v>
      </c>
      <c r="HC32" s="1576">
        <f>'Paso 1.1'!EL29*Tiempos!$H$28</f>
        <v>0</v>
      </c>
      <c r="HD32" s="1576">
        <f>'Paso 1.1'!EM29*Tiempos!$H$28</f>
        <v>0</v>
      </c>
      <c r="HE32" s="1576">
        <f>'Paso 1.1'!EN29*Tiempos!$H$28</f>
        <v>0</v>
      </c>
      <c r="HF32" s="1576">
        <f>'Paso 1.1'!EO29*Tiempos!$H$28</f>
        <v>0</v>
      </c>
      <c r="HG32" s="1576">
        <f>'Paso 1.1'!EP29*Tiempos!$H$28</f>
        <v>0</v>
      </c>
      <c r="HH32" s="1576">
        <f>'Paso 1.1'!EQ29*Tiempos!$H$28</f>
        <v>0</v>
      </c>
      <c r="HI32" s="1576">
        <f>'Paso 1.1'!ER29*Tiempos!$H$28</f>
        <v>0</v>
      </c>
      <c r="HJ32" s="1576">
        <f>'Paso 1.1'!ES29*Tiempos!$H$28</f>
        <v>0</v>
      </c>
      <c r="HK32" s="1576">
        <f>'Paso 1.1'!ET29*Tiempos!$H$28</f>
        <v>0</v>
      </c>
      <c r="HL32" s="1576">
        <f>'Paso 1.1'!EU29*Tiempos!$H$28</f>
        <v>0</v>
      </c>
      <c r="HM32" s="1576">
        <f>'Paso 1.1'!EV29*Tiempos!$H$28</f>
        <v>0</v>
      </c>
      <c r="HN32" s="1576">
        <f>'Paso 1.1'!EW29*Tiempos!$H$28</f>
        <v>0</v>
      </c>
      <c r="HO32" s="1576">
        <f>'Paso 1.1'!EX29*Tiempos!$H$28</f>
        <v>0</v>
      </c>
      <c r="HP32" s="1576">
        <f>'Paso 1.1'!EY29*Tiempos!$H$28</f>
        <v>0</v>
      </c>
      <c r="HQ32" s="1576">
        <f>'Paso 1.1'!EZ29*Tiempos!$H$28</f>
        <v>0</v>
      </c>
      <c r="HR32" s="1576">
        <f>'Paso 1.1'!FA29*Tiempos!$H$28</f>
        <v>0</v>
      </c>
      <c r="HS32" s="1576">
        <f>'Paso 1.1'!FB29*Tiempos!$H$28</f>
        <v>0</v>
      </c>
      <c r="HT32" s="1576">
        <f>'Paso 1.1'!FC29*Tiempos!$H$28</f>
        <v>0</v>
      </c>
      <c r="HU32" s="1576">
        <f>'Paso 1.1'!FD29*Tiempos!$H$28</f>
        <v>0</v>
      </c>
      <c r="HV32" s="1576">
        <f>'Paso 1.1'!FE29*Tiempos!$H$28</f>
        <v>0</v>
      </c>
      <c r="HW32" s="1576">
        <f>'Paso 1.1'!FF29*Tiempos!$H$28</f>
        <v>0</v>
      </c>
      <c r="HX32" s="1576">
        <f>'Paso 1.1'!FG29*Tiempos!$H$28</f>
        <v>0</v>
      </c>
      <c r="HY32" s="1576">
        <f>'Paso 1.1'!FH29*Tiempos!$H$28</f>
        <v>0</v>
      </c>
      <c r="HZ32" s="1576">
        <f>'Paso 1.1'!FI29*Tiempos!$H$28</f>
        <v>0</v>
      </c>
      <c r="IA32" s="1576">
        <f>'Paso 1.1'!FJ29*Tiempos!$H$28</f>
        <v>0</v>
      </c>
      <c r="IB32" s="1576">
        <f>'Paso 1.1'!FK29*Tiempos!$H$28</f>
        <v>0</v>
      </c>
      <c r="IC32" s="1576">
        <f>'Paso 1.1'!FL29*Tiempos!$H$28</f>
        <v>0</v>
      </c>
      <c r="ID32" s="1576">
        <f>'Paso 1.1'!FM29*Tiempos!$H$28</f>
        <v>0</v>
      </c>
      <c r="IE32" s="1576">
        <f>'Paso 1.1'!FN29*Tiempos!$H$28</f>
        <v>0</v>
      </c>
      <c r="IF32" s="1576">
        <f>'Paso 1.1'!FO29*Tiempos!$H$28</f>
        <v>0</v>
      </c>
      <c r="IG32" s="1576">
        <f>'Paso 1.1'!FP29*Tiempos!$H$28</f>
        <v>0</v>
      </c>
      <c r="IH32" s="1576">
        <f>'Paso 1.1'!FQ29*Tiempos!$H$28</f>
        <v>0</v>
      </c>
      <c r="II32" s="1576">
        <f>'Paso 1.1'!FR29*Tiempos!$H$28</f>
        <v>0</v>
      </c>
      <c r="IJ32" s="1576">
        <f>'Paso 1.1'!FS29*Tiempos!$H$28</f>
        <v>0</v>
      </c>
      <c r="IK32" s="1576">
        <f>'Paso 1.1'!FT29*Tiempos!$H$28</f>
        <v>0</v>
      </c>
      <c r="IL32" s="1576">
        <f>'Paso 1.1'!FU29*Tiempos!$H$28</f>
        <v>0</v>
      </c>
      <c r="IM32" s="1576">
        <f>'Paso 1.1'!FV29*Tiempos!$H$28</f>
        <v>0</v>
      </c>
      <c r="IN32" s="1576">
        <f>'Paso 1.1'!FW29*Tiempos!$H$28</f>
        <v>0</v>
      </c>
      <c r="IO32" s="1576">
        <f>'Paso 1.1'!FX29*Tiempos!$H$28</f>
        <v>0</v>
      </c>
      <c r="IP32" s="1576">
        <f>'Paso 1.1'!FY29*Tiempos!$H$28</f>
        <v>0</v>
      </c>
      <c r="IQ32" s="1576">
        <f>'Paso 1.1'!FZ29*Tiempos!$H$28</f>
        <v>0</v>
      </c>
      <c r="IR32" s="1576">
        <f>'Paso 1.1'!GA29*Tiempos!$H$28</f>
        <v>0</v>
      </c>
      <c r="IS32" s="1576">
        <f>'Paso 1.1'!GB29*Tiempos!$H$28</f>
        <v>0</v>
      </c>
      <c r="IT32" s="1576">
        <f>'Paso 1.1'!GC29*Tiempos!$H$28</f>
        <v>0</v>
      </c>
      <c r="IU32" s="1576">
        <f>'Paso 1.1'!GD29*Tiempos!$H$28</f>
        <v>0</v>
      </c>
      <c r="IV32" s="1576">
        <f>'Paso 1.1'!GE29*Tiempos!$H$28</f>
        <v>0</v>
      </c>
      <c r="IW32" s="1576">
        <f>'Paso 1.1'!GF29*Tiempos!$H$28</f>
        <v>0</v>
      </c>
      <c r="IX32" s="1576">
        <f>'Paso 1.1'!GG29*Tiempos!$H$28</f>
        <v>0</v>
      </c>
      <c r="IY32" s="1576">
        <f>'Paso 1.1'!GH29*Tiempos!$H$28</f>
        <v>0</v>
      </c>
      <c r="IZ32" s="1576">
        <f>'Paso 1.1'!GI29*Tiempos!$H$28</f>
        <v>0</v>
      </c>
      <c r="JA32" s="2054">
        <f>'Paso 1.1'!GJ29*Tiempos!$H$28</f>
        <v>0</v>
      </c>
      <c r="JB32" s="2054">
        <f>'Paso 1.1'!GK29*Tiempos!$H$28</f>
        <v>0</v>
      </c>
      <c r="JC32" s="2054">
        <f>'Paso 1.1'!GL29*Tiempos!$H$28</f>
        <v>0</v>
      </c>
      <c r="JD32" s="2054">
        <f>'Paso 1.1'!GM29*Tiempos!$H$28</f>
        <v>0</v>
      </c>
      <c r="JE32" s="2054">
        <f>'Paso 1.1'!GN29*Tiempos!$H$28</f>
        <v>0</v>
      </c>
      <c r="JF32" s="2054">
        <f>'Paso 1.1'!GO29*Tiempos!$H$28</f>
        <v>0</v>
      </c>
      <c r="JG32" s="2054">
        <f>'Paso 1.1'!GP29*Tiempos!$H$28</f>
        <v>0</v>
      </c>
      <c r="JH32" s="2054">
        <f>'Paso 1.1'!GQ29*Tiempos!$H$28</f>
        <v>0</v>
      </c>
      <c r="JI32" s="2054">
        <f>'Paso 1.1'!GR29*Tiempos!$H$28</f>
        <v>0</v>
      </c>
      <c r="JJ32" s="2054">
        <f>'Paso 1.1'!GS29*Tiempos!$H$28</f>
        <v>0</v>
      </c>
      <c r="JK32" s="2054">
        <f>'Paso 1.1'!GT29*Tiempos!$H$28</f>
        <v>0</v>
      </c>
      <c r="JL32" s="2054">
        <f>'Paso 1.1'!GU29*Tiempos!$H$28</f>
        <v>0</v>
      </c>
      <c r="JM32" s="2054">
        <f>'Paso 1.1'!GV29*Tiempos!$H$28</f>
        <v>0</v>
      </c>
      <c r="JN32" s="2054">
        <f>'Paso 1.1'!GW29*Tiempos!$H$28</f>
        <v>0</v>
      </c>
      <c r="JO32" s="2054">
        <f>'Paso 1.1'!GX29*Tiempos!$H$28</f>
        <v>0</v>
      </c>
      <c r="JP32" s="2054">
        <f>'Paso 1.1'!GY29*Tiempos!$H$28</f>
        <v>0</v>
      </c>
      <c r="JQ32" s="2054">
        <f>'Paso 1.1'!GZ29*Tiempos!$H$28</f>
        <v>0</v>
      </c>
      <c r="JR32" s="1576">
        <f>'Paso 1.1'!HA29*Tiempos!$H$28</f>
        <v>0</v>
      </c>
      <c r="JS32" s="1576">
        <f>'Paso 1.1'!HB29*Tiempos!$H$28</f>
        <v>0</v>
      </c>
      <c r="JT32" s="1576">
        <f>'Paso 1.1'!HC29*Tiempos!$H$28</f>
        <v>0</v>
      </c>
      <c r="JU32" s="1576">
        <f>'Paso 1.1'!HD29*Tiempos!$H$28</f>
        <v>0</v>
      </c>
      <c r="JV32" s="1576">
        <f>'Paso 1.1'!HE29*Tiempos!$H$28</f>
        <v>0</v>
      </c>
      <c r="JW32" s="1576">
        <f>'Paso 1.1'!HF29*Tiempos!$H$28</f>
        <v>0</v>
      </c>
      <c r="JX32" s="1576">
        <f>'Paso 1.1'!HG29*Tiempos!$H$28</f>
        <v>0</v>
      </c>
      <c r="JY32" s="1576">
        <f>'Paso 1.1'!HH29*Tiempos!$H$28</f>
        <v>0</v>
      </c>
      <c r="JZ32" s="1576">
        <f>'Paso 1.1'!HI29*Tiempos!$H$28</f>
        <v>0</v>
      </c>
      <c r="KA32" s="1576">
        <f>'Paso 1.1'!HJ29*Tiempos!$H$28</f>
        <v>0</v>
      </c>
      <c r="KB32" s="1576">
        <f>'Paso 1.1'!HK29*Tiempos!$H$28</f>
        <v>0</v>
      </c>
      <c r="KC32" s="1576">
        <f>'Paso 1.1'!HL29*Tiempos!$H$28</f>
        <v>0</v>
      </c>
      <c r="KD32" s="1576">
        <f>'Paso 1.1'!HM29*Tiempos!$H$28</f>
        <v>0</v>
      </c>
      <c r="KE32" s="1576">
        <f>'Paso 1.1'!HN29*Tiempos!$H$28</f>
        <v>0</v>
      </c>
      <c r="KF32" s="1576">
        <f>'Paso 1.1'!HO29*Tiempos!$H$28</f>
        <v>0</v>
      </c>
      <c r="KG32" s="1576">
        <f>'Paso 1.1'!HP29*Tiempos!$H$28</f>
        <v>0</v>
      </c>
      <c r="KH32" s="1576">
        <f>'Paso 1.1'!HQ29*Tiempos!$H$28</f>
        <v>0</v>
      </c>
      <c r="KI32" s="1576"/>
      <c r="KJ32" s="1576"/>
      <c r="KK32" s="1576"/>
      <c r="KL32" s="1576"/>
      <c r="KM32" s="1576"/>
      <c r="KN32" s="1576"/>
      <c r="KO32" s="1576"/>
      <c r="KP32" s="1576"/>
      <c r="KQ32" s="1576"/>
      <c r="KR32" s="1576"/>
      <c r="KS32" s="1576"/>
      <c r="KT32" s="1576"/>
      <c r="KU32" s="1576"/>
      <c r="KV32" s="1576"/>
      <c r="KW32" s="1576"/>
      <c r="KX32" s="1576"/>
      <c r="KY32" s="1576"/>
      <c r="KZ32" s="1576"/>
      <c r="LA32" s="1576"/>
      <c r="LB32" s="1576"/>
      <c r="LC32" s="1576"/>
      <c r="LD32" s="1576"/>
      <c r="LE32" s="1576"/>
      <c r="LF32" s="1576"/>
      <c r="LG32" s="1576"/>
      <c r="LH32" s="1576"/>
      <c r="LI32" s="1576"/>
      <c r="LJ32" s="1576"/>
      <c r="LK32" s="1576"/>
      <c r="LL32" s="1576"/>
      <c r="LM32" s="1576"/>
      <c r="LN32" s="1576"/>
      <c r="LO32" s="1576"/>
      <c r="LP32" s="1576"/>
      <c r="LQ32" s="1576"/>
      <c r="LR32" s="1576"/>
      <c r="LS32" s="1576"/>
      <c r="LT32" s="1576"/>
      <c r="LU32" s="1576"/>
      <c r="LV32" s="1576"/>
      <c r="LW32" s="1576"/>
      <c r="LX32" s="1576"/>
      <c r="LY32" s="1576"/>
      <c r="LZ32" s="1576"/>
      <c r="MA32" s="1576"/>
      <c r="MB32" s="1576"/>
      <c r="MC32" s="1576"/>
      <c r="MD32" s="1576"/>
      <c r="ME32" s="1576"/>
      <c r="MF32" s="1576"/>
      <c r="MG32" s="1576"/>
      <c r="MH32" s="1576"/>
      <c r="MI32" s="1576"/>
      <c r="MJ32" s="1576"/>
      <c r="MK32" s="1576"/>
      <c r="ML32" s="1576"/>
      <c r="MM32" s="1576"/>
      <c r="MN32" s="1576"/>
      <c r="MO32" s="1576"/>
      <c r="MP32" s="1576"/>
      <c r="MQ32" s="1576"/>
      <c r="MR32" s="1576"/>
      <c r="MS32" s="1576"/>
      <c r="MT32" s="1576"/>
      <c r="MU32" s="1576"/>
      <c r="MV32" s="1576"/>
      <c r="MW32" s="1576"/>
      <c r="MX32" s="1576"/>
      <c r="MY32" s="1576"/>
      <c r="MZ32" s="1576"/>
      <c r="NA32" s="1576"/>
      <c r="NB32" s="1576"/>
      <c r="NC32" s="1576"/>
      <c r="ND32" s="1576"/>
      <c r="NE32" s="1576"/>
      <c r="NF32" s="1576"/>
      <c r="NG32" s="1576"/>
      <c r="NH32" s="1576"/>
      <c r="NI32" s="1576"/>
      <c r="NJ32" s="1576"/>
      <c r="NK32" s="1576"/>
      <c r="NL32" s="1576"/>
      <c r="NM32" s="1576"/>
      <c r="NN32" s="1576"/>
      <c r="NO32" s="1576"/>
      <c r="NP32" s="1576"/>
      <c r="NQ32" s="1576"/>
      <c r="NR32" s="1576"/>
      <c r="NS32" s="1576"/>
      <c r="NT32" s="1576"/>
      <c r="NU32" s="1576"/>
      <c r="NV32" s="1576"/>
      <c r="NW32" s="1576"/>
      <c r="NX32" s="1576"/>
      <c r="NY32" s="1576"/>
      <c r="NZ32" s="1576"/>
      <c r="OA32" s="1576"/>
      <c r="OB32" s="1576"/>
      <c r="OC32" s="1576"/>
      <c r="OD32" s="1576"/>
      <c r="OE32" s="1576"/>
      <c r="OF32" s="1576"/>
      <c r="OG32" s="1576"/>
      <c r="OH32" s="1576"/>
      <c r="OI32" s="1576"/>
      <c r="OJ32" s="1576"/>
      <c r="OK32" s="1576"/>
      <c r="OL32" s="1576"/>
      <c r="OM32" s="1576"/>
      <c r="ON32" s="1576"/>
      <c r="OO32" s="1576"/>
      <c r="OP32" s="1576"/>
      <c r="OQ32" s="1576"/>
      <c r="OR32" s="1576"/>
      <c r="OS32" s="1576"/>
      <c r="OT32" s="1576"/>
      <c r="OU32" s="1576"/>
      <c r="OV32" s="1576"/>
      <c r="OW32" s="1576"/>
      <c r="OX32" s="1576"/>
      <c r="OY32" s="1576"/>
      <c r="OZ32" s="1576"/>
      <c r="PA32" s="1576"/>
      <c r="PB32" s="1576"/>
      <c r="PC32" s="1576"/>
      <c r="PD32" s="1576"/>
      <c r="PE32" s="1576"/>
      <c r="PF32" s="1576"/>
      <c r="PG32" s="1576"/>
      <c r="PH32" s="1576"/>
      <c r="PI32" s="1576"/>
      <c r="PJ32" s="1576"/>
      <c r="PK32" s="1576"/>
      <c r="PL32" s="1576"/>
      <c r="PM32" s="1576"/>
      <c r="PN32" s="1576"/>
      <c r="PO32" s="1576"/>
      <c r="PP32" s="1576"/>
      <c r="PQ32" s="1576"/>
      <c r="PR32" s="1576"/>
      <c r="PS32" s="1576"/>
      <c r="PT32" s="1576"/>
      <c r="PU32" s="1576"/>
      <c r="PV32" s="1576"/>
      <c r="PW32" s="1576"/>
      <c r="PX32" s="1576"/>
      <c r="PY32" s="1576"/>
      <c r="PZ32" s="1576"/>
      <c r="QA32" s="1576"/>
      <c r="QB32" s="1576"/>
      <c r="QC32" s="1576"/>
      <c r="QD32" s="1576"/>
      <c r="QE32" s="1576"/>
      <c r="QF32" s="1576"/>
      <c r="QG32" s="1576"/>
      <c r="QH32" s="1576"/>
      <c r="QI32" s="1576"/>
      <c r="QJ32" s="1576"/>
      <c r="QK32" s="1576"/>
      <c r="QL32" s="1576"/>
      <c r="QM32" s="1576"/>
      <c r="QN32" s="1576"/>
      <c r="QO32" s="1576"/>
      <c r="QP32" s="1576"/>
      <c r="QQ32" s="1576"/>
      <c r="QR32" s="1576"/>
      <c r="QS32" s="1576"/>
      <c r="QT32" s="1576"/>
      <c r="QU32" s="1576"/>
      <c r="QV32" s="1576"/>
      <c r="QW32" s="1576"/>
      <c r="QX32" s="1576"/>
      <c r="QY32" s="1576"/>
      <c r="QZ32" s="1576"/>
      <c r="RA32" s="1576"/>
      <c r="RB32" s="1576"/>
      <c r="RC32" s="1576"/>
      <c r="RD32" s="1576"/>
      <c r="RE32" s="1576"/>
      <c r="RF32" s="1576"/>
      <c r="RG32" s="1576"/>
      <c r="RH32" s="1576"/>
      <c r="RI32" s="1576"/>
      <c r="RJ32" s="1576"/>
      <c r="RK32" s="1576"/>
      <c r="RL32" s="1576"/>
      <c r="RM32" s="1576"/>
      <c r="RN32" s="1576"/>
      <c r="RO32" s="1576"/>
      <c r="RP32" s="1576"/>
      <c r="RQ32" s="1576"/>
      <c r="RR32" s="1576"/>
      <c r="RS32" s="1576"/>
      <c r="RT32" s="1576"/>
      <c r="RU32" s="1576"/>
      <c r="RV32" s="1576"/>
      <c r="RW32" s="1576"/>
      <c r="RX32" s="1576"/>
      <c r="RY32" s="1576"/>
      <c r="RZ32" s="1576"/>
      <c r="SA32" s="1576"/>
      <c r="SB32" s="1576"/>
      <c r="SC32" s="1576"/>
      <c r="SD32" s="1576"/>
      <c r="SE32" s="1576"/>
      <c r="SF32" s="1576"/>
      <c r="SG32" s="1576"/>
      <c r="SH32" s="1576"/>
      <c r="SI32" s="1576"/>
      <c r="SJ32" s="1576"/>
      <c r="SK32" s="1576"/>
      <c r="SL32" s="1576"/>
      <c r="SM32" s="1576"/>
      <c r="SN32" s="1576"/>
      <c r="SO32" s="1576"/>
      <c r="SP32" s="1576"/>
      <c r="SQ32" s="1576"/>
      <c r="SR32" s="1576"/>
      <c r="SS32" s="1576"/>
      <c r="ST32" s="1576"/>
      <c r="SU32" s="1576"/>
      <c r="SV32" s="1576"/>
      <c r="SW32" s="1576"/>
      <c r="SX32" s="1576"/>
      <c r="SY32" s="1576"/>
      <c r="SZ32" s="1576"/>
      <c r="TA32" s="1576"/>
      <c r="TB32" s="1576"/>
      <c r="TC32" s="1576"/>
      <c r="TD32" s="1576"/>
      <c r="TE32" s="1576"/>
      <c r="TF32" s="1576"/>
      <c r="TG32" s="1576"/>
      <c r="TH32" s="1576"/>
      <c r="TI32" s="1576"/>
      <c r="TJ32" s="1576"/>
      <c r="TK32" s="1576"/>
      <c r="TL32" s="1576"/>
      <c r="TM32" s="1576"/>
      <c r="TN32" s="1576"/>
      <c r="TO32" s="1576"/>
      <c r="TP32" s="1576"/>
      <c r="TQ32" s="1576"/>
      <c r="TR32" s="1576"/>
      <c r="TS32" s="1576"/>
      <c r="TT32" s="1576"/>
      <c r="TU32" s="1576"/>
      <c r="TV32" s="1576"/>
      <c r="TW32" s="1576"/>
      <c r="TX32" s="1576"/>
      <c r="TY32" s="1576"/>
      <c r="TZ32" s="1576"/>
      <c r="UA32" s="1576"/>
      <c r="UB32" s="1576"/>
      <c r="UC32" s="1576"/>
      <c r="UD32" s="1576"/>
      <c r="UE32" s="1576"/>
      <c r="UF32" s="1576"/>
      <c r="UG32" s="1576"/>
      <c r="UH32" s="1576"/>
      <c r="UI32" s="1576"/>
      <c r="UJ32" s="1576"/>
      <c r="UK32" s="1576"/>
      <c r="UL32" s="1576"/>
      <c r="UM32" s="1576"/>
      <c r="UN32" s="1576"/>
      <c r="UO32" s="1576"/>
      <c r="UP32" s="1576"/>
      <c r="UQ32" s="1576"/>
      <c r="UR32" s="1576"/>
      <c r="US32" s="1576"/>
      <c r="UT32" s="1576"/>
      <c r="UU32" s="1576"/>
      <c r="UV32" s="1576"/>
      <c r="UW32" s="1576"/>
      <c r="UX32" s="1576"/>
      <c r="UY32" s="1576"/>
      <c r="UZ32" s="1576"/>
      <c r="VA32" s="1576"/>
      <c r="VB32" s="1576"/>
      <c r="VC32" s="1576"/>
      <c r="VD32" s="1576"/>
      <c r="VE32" s="1576"/>
      <c r="VF32" s="1576"/>
      <c r="VG32" s="1576"/>
      <c r="VH32" s="1576"/>
      <c r="VI32" s="1576"/>
      <c r="VJ32" s="1576"/>
      <c r="VK32" s="1576"/>
    </row>
    <row r="33" spans="1:583" s="2072" customFormat="1" ht="27" x14ac:dyDescent="0.25">
      <c r="A33" s="694"/>
      <c r="B33" s="2073" t="s">
        <v>629</v>
      </c>
      <c r="C33" s="2074" t="s">
        <v>2727</v>
      </c>
      <c r="D33" s="4715" t="s">
        <v>2726</v>
      </c>
      <c r="E33" s="4715">
        <v>0</v>
      </c>
      <c r="F33" s="1575"/>
      <c r="G33" s="1575"/>
      <c r="H33" s="1575"/>
      <c r="I33" s="1575"/>
      <c r="J33" s="1575"/>
      <c r="K33" s="1575"/>
      <c r="L33" s="1575"/>
      <c r="M33" s="1575"/>
      <c r="N33" s="1575"/>
      <c r="O33" s="1575"/>
      <c r="P33" s="1575"/>
      <c r="Q33" s="1575"/>
      <c r="R33" s="1575"/>
      <c r="S33" s="1575"/>
      <c r="T33" s="1575"/>
      <c r="U33" s="1575"/>
      <c r="V33" s="1575"/>
      <c r="W33" s="1575"/>
      <c r="X33" s="1575"/>
      <c r="Y33" s="1575"/>
      <c r="Z33" s="1575"/>
      <c r="AA33" s="1575"/>
      <c r="AB33" s="1575"/>
      <c r="AC33" s="1575"/>
      <c r="AD33" s="1575"/>
      <c r="AE33" s="1575"/>
      <c r="AF33" s="1575"/>
      <c r="AG33" s="1575"/>
      <c r="AH33" s="1575"/>
      <c r="AI33" s="1575"/>
      <c r="AJ33" s="1575"/>
      <c r="AK33" s="1575"/>
      <c r="AL33" s="1575"/>
      <c r="AM33" s="1575"/>
      <c r="AN33" s="1575"/>
      <c r="AO33" s="1575"/>
      <c r="AP33" s="1575"/>
      <c r="AQ33" s="1575"/>
      <c r="AR33" s="1575"/>
      <c r="AS33" s="1575"/>
      <c r="AT33" s="1575"/>
      <c r="AU33" s="1575"/>
      <c r="AV33" s="1575"/>
      <c r="AW33" s="1575"/>
      <c r="AX33" s="1575"/>
      <c r="AY33" s="1575"/>
      <c r="AZ33" s="1575"/>
      <c r="BA33" s="1575"/>
      <c r="BB33" s="1575"/>
      <c r="BC33" s="1575"/>
      <c r="BD33" s="1575"/>
      <c r="BE33" s="1575"/>
      <c r="BF33" s="1575"/>
      <c r="BG33" s="1575"/>
      <c r="BH33" s="1575"/>
      <c r="BI33" s="1575"/>
      <c r="BJ33" s="1575"/>
      <c r="BK33" s="1575"/>
      <c r="BL33" s="1575"/>
      <c r="BM33" s="1575"/>
      <c r="BN33" s="1575"/>
      <c r="BO33" s="1575"/>
      <c r="BP33" s="1575"/>
      <c r="BQ33" s="1575"/>
      <c r="BR33" s="1575"/>
      <c r="BS33" s="1575"/>
      <c r="BT33" s="1575"/>
      <c r="BU33" s="1575"/>
      <c r="BV33" s="1575"/>
      <c r="BW33" s="1575"/>
      <c r="BX33" s="1575"/>
      <c r="BY33" s="1575"/>
      <c r="BZ33" s="1575"/>
      <c r="CA33" s="1575"/>
      <c r="CB33" s="1575"/>
      <c r="CC33" s="1575"/>
      <c r="CD33" s="1575"/>
      <c r="CE33" s="1575"/>
      <c r="CF33" s="1575"/>
      <c r="CG33" s="1575"/>
      <c r="CH33" s="1575"/>
      <c r="CI33" s="1575"/>
      <c r="CJ33" s="1575"/>
      <c r="CK33" s="1575"/>
      <c r="CL33" s="1575"/>
      <c r="CM33" s="1575"/>
      <c r="CN33" s="1575"/>
      <c r="CO33" s="1575"/>
      <c r="CP33" s="1575"/>
      <c r="CQ33" s="1575"/>
      <c r="CR33" s="1575"/>
      <c r="CS33" s="1575"/>
      <c r="CT33" s="1575"/>
      <c r="CU33" s="1575"/>
      <c r="CV33" s="1575"/>
      <c r="CW33" s="1575"/>
      <c r="CX33" s="1575"/>
      <c r="CY33" s="1575"/>
      <c r="CZ33" s="1575"/>
      <c r="DA33" s="1575"/>
      <c r="DB33" s="1575"/>
      <c r="DC33" s="1575"/>
      <c r="DD33" s="1575"/>
      <c r="DE33" s="1575"/>
      <c r="DF33" s="1575"/>
      <c r="DG33" s="1575"/>
      <c r="DH33" s="1575"/>
      <c r="DI33" s="1575"/>
      <c r="DJ33" s="1575"/>
      <c r="DK33" s="1575"/>
      <c r="DL33" s="1575"/>
      <c r="DM33" s="1575"/>
      <c r="DN33" s="1575"/>
      <c r="DO33" s="1575"/>
      <c r="DP33" s="1575"/>
      <c r="DQ33" s="1575"/>
      <c r="DR33" s="1575"/>
      <c r="DS33" s="1575"/>
      <c r="DT33" s="1575"/>
      <c r="DU33" s="1575"/>
      <c r="DV33" s="1575"/>
      <c r="DW33" s="1575"/>
      <c r="DX33" s="1575"/>
      <c r="DY33" s="1575"/>
      <c r="DZ33" s="1575"/>
      <c r="EA33" s="1575"/>
      <c r="EB33" s="1575"/>
      <c r="EC33" s="1575"/>
      <c r="ED33" s="1575"/>
      <c r="EE33" s="1575"/>
      <c r="EF33" s="1575"/>
      <c r="EG33" s="1575"/>
      <c r="EH33" s="1575"/>
      <c r="EI33" s="1575"/>
      <c r="EJ33" s="1575"/>
      <c r="EK33" s="1575"/>
      <c r="EL33" s="1575"/>
      <c r="EM33" s="1575"/>
      <c r="EN33" s="1575"/>
      <c r="EO33" s="1575"/>
      <c r="EP33" s="1575"/>
      <c r="EQ33" s="1575"/>
      <c r="ER33" s="1575"/>
      <c r="ES33" s="1575"/>
      <c r="ET33" s="1575"/>
      <c r="EU33" s="1575"/>
      <c r="EV33" s="1575"/>
      <c r="EW33" s="1575"/>
      <c r="EX33" s="1575"/>
      <c r="EY33" s="1575"/>
      <c r="EZ33" s="1575"/>
      <c r="FA33" s="1575"/>
      <c r="FB33" s="1575"/>
      <c r="FC33" s="1575"/>
      <c r="FD33" s="1575"/>
      <c r="FE33" s="1575"/>
      <c r="FF33" s="1575"/>
      <c r="FG33" s="1575"/>
      <c r="FH33" s="1575"/>
      <c r="FI33" s="1575"/>
      <c r="FJ33" s="1575"/>
      <c r="FK33" s="1575"/>
      <c r="FL33" s="1575"/>
      <c r="FM33" s="1575"/>
      <c r="FN33" s="1575"/>
      <c r="FO33" s="1575"/>
      <c r="FP33" s="1575"/>
      <c r="FQ33" s="1575"/>
      <c r="FR33" s="1575"/>
      <c r="FS33" s="1575"/>
      <c r="FT33" s="1575"/>
      <c r="FU33" s="1575"/>
      <c r="FV33" s="1575"/>
      <c r="FW33" s="1575"/>
      <c r="FX33" s="1575"/>
      <c r="FY33" s="1575"/>
      <c r="FZ33" s="1575"/>
      <c r="GA33" s="1575"/>
      <c r="GB33" s="1575"/>
      <c r="GC33" s="1575"/>
      <c r="GD33" s="1575"/>
      <c r="GE33" s="1575"/>
      <c r="GF33" s="1575"/>
      <c r="GG33" s="1575"/>
      <c r="GH33" s="1575"/>
      <c r="GI33" s="1575"/>
      <c r="GJ33" s="1575"/>
      <c r="GK33" s="1575"/>
      <c r="GL33" s="1575"/>
      <c r="GM33" s="1575"/>
      <c r="GN33" s="1575"/>
      <c r="GO33" s="1575"/>
      <c r="GP33" s="1575"/>
      <c r="GQ33" s="1575"/>
      <c r="GR33" s="1575"/>
      <c r="GS33" s="1575"/>
      <c r="GT33" s="1575"/>
      <c r="GU33" s="1575"/>
      <c r="GV33" s="1575"/>
      <c r="GW33" s="1575"/>
      <c r="GX33" s="1575"/>
      <c r="GY33" s="1575"/>
      <c r="GZ33" s="1575"/>
      <c r="HA33" s="1575"/>
      <c r="HB33" s="1575"/>
      <c r="HC33" s="1575"/>
      <c r="HD33" s="1575"/>
      <c r="HE33" s="1575"/>
      <c r="HF33" s="1575"/>
      <c r="HG33" s="1575"/>
      <c r="HH33" s="1575"/>
      <c r="HI33" s="1575"/>
      <c r="HJ33" s="1575"/>
      <c r="HK33" s="1575"/>
      <c r="HL33" s="1575"/>
      <c r="HM33" s="1575"/>
      <c r="HN33" s="1575"/>
      <c r="HO33" s="1575"/>
      <c r="HP33" s="1575"/>
      <c r="HQ33" s="1575"/>
      <c r="HR33" s="1575"/>
      <c r="HS33" s="1575"/>
      <c r="HT33" s="1575"/>
      <c r="HU33" s="1575"/>
      <c r="HV33" s="1575"/>
      <c r="HW33" s="1575"/>
      <c r="HX33" s="1575"/>
      <c r="HY33" s="1575"/>
      <c r="HZ33" s="1575"/>
      <c r="IA33" s="1575"/>
      <c r="IB33" s="1575"/>
      <c r="IC33" s="1575"/>
      <c r="ID33" s="1575"/>
      <c r="IE33" s="1575"/>
      <c r="IF33" s="1575"/>
      <c r="IG33" s="1575"/>
      <c r="IH33" s="1575"/>
      <c r="II33" s="1575"/>
      <c r="IJ33" s="1575"/>
      <c r="IK33" s="1575"/>
      <c r="IL33" s="1575"/>
      <c r="IM33" s="1575"/>
      <c r="IN33" s="1575"/>
      <c r="IO33" s="1575"/>
      <c r="IP33" s="1575"/>
      <c r="IQ33" s="1575"/>
      <c r="IR33" s="1575"/>
      <c r="IS33" s="1575"/>
      <c r="IT33" s="1575"/>
      <c r="IU33" s="1575"/>
      <c r="IV33" s="1575"/>
      <c r="IW33" s="1575"/>
      <c r="IX33" s="1575"/>
      <c r="IY33" s="1575"/>
      <c r="IZ33" s="1575"/>
      <c r="JA33" s="1587"/>
      <c r="JB33" s="1587"/>
      <c r="JC33" s="1587"/>
      <c r="JD33" s="1587"/>
      <c r="JE33" s="1587"/>
      <c r="JF33" s="1587"/>
      <c r="JG33" s="1587"/>
      <c r="JH33" s="1587"/>
      <c r="JI33" s="1587"/>
      <c r="JJ33" s="1587"/>
      <c r="JK33" s="1587"/>
      <c r="JL33" s="1587"/>
      <c r="JM33" s="1587"/>
      <c r="JN33" s="1587"/>
      <c r="JO33" s="1587"/>
      <c r="JP33" s="1587"/>
      <c r="JQ33" s="1587"/>
      <c r="JR33" s="1575"/>
      <c r="JS33" s="1575"/>
      <c r="JT33" s="1575"/>
      <c r="JU33" s="1575"/>
      <c r="JV33" s="1575"/>
      <c r="JW33" s="1575"/>
      <c r="JX33" s="1575"/>
      <c r="JY33" s="1575"/>
      <c r="JZ33" s="1575"/>
      <c r="KA33" s="1575"/>
      <c r="KB33" s="1575"/>
      <c r="KC33" s="1575"/>
      <c r="KD33" s="1575"/>
      <c r="KE33" s="1575"/>
      <c r="KF33" s="1575"/>
      <c r="KG33" s="1575"/>
      <c r="KH33" s="1575"/>
      <c r="KI33" s="1575"/>
      <c r="KJ33" s="1575"/>
      <c r="KK33" s="1575"/>
      <c r="KL33" s="1575"/>
      <c r="KM33" s="1575"/>
      <c r="KN33" s="1575"/>
      <c r="KO33" s="1575"/>
      <c r="KP33" s="1575"/>
      <c r="KQ33" s="1575"/>
      <c r="KR33" s="1575"/>
      <c r="KS33" s="1575"/>
      <c r="KT33" s="1575"/>
      <c r="KU33" s="1575"/>
      <c r="KV33" s="1575"/>
      <c r="KW33" s="1575"/>
      <c r="KX33" s="1575"/>
      <c r="KY33" s="1575"/>
      <c r="KZ33" s="1575"/>
      <c r="LA33" s="1575"/>
      <c r="LB33" s="1575"/>
      <c r="LC33" s="1575"/>
      <c r="LD33" s="1575"/>
      <c r="LE33" s="1575"/>
      <c r="LF33" s="1575"/>
      <c r="LG33" s="1575"/>
      <c r="LH33" s="1575"/>
      <c r="LI33" s="1575"/>
      <c r="LJ33" s="1575"/>
      <c r="LK33" s="1575"/>
      <c r="LL33" s="1575"/>
      <c r="LM33" s="1575"/>
      <c r="LN33" s="1575"/>
      <c r="LO33" s="1575"/>
      <c r="LP33" s="1575"/>
      <c r="LQ33" s="1575"/>
      <c r="LR33" s="1575"/>
      <c r="LS33" s="1575"/>
      <c r="LT33" s="1575"/>
      <c r="LU33" s="1575"/>
      <c r="LV33" s="1575"/>
      <c r="LW33" s="1575"/>
      <c r="LX33" s="1575"/>
      <c r="LY33" s="1575"/>
      <c r="LZ33" s="1575"/>
      <c r="MA33" s="1575"/>
      <c r="MB33" s="1575"/>
      <c r="MC33" s="1575"/>
      <c r="MD33" s="1575"/>
      <c r="ME33" s="1575"/>
      <c r="MF33" s="1575"/>
      <c r="MG33" s="1575"/>
      <c r="MH33" s="1575"/>
      <c r="MI33" s="1575"/>
      <c r="MJ33" s="1575"/>
      <c r="MK33" s="1575"/>
      <c r="ML33" s="1575"/>
      <c r="MM33" s="1575"/>
      <c r="MN33" s="1575"/>
      <c r="MO33" s="1575"/>
      <c r="MP33" s="1575"/>
      <c r="MQ33" s="1575"/>
      <c r="MR33" s="1575"/>
      <c r="MS33" s="1575"/>
      <c r="MT33" s="1575"/>
      <c r="MU33" s="1575"/>
      <c r="MV33" s="1575"/>
      <c r="MW33" s="1575"/>
      <c r="MX33" s="1575"/>
      <c r="MY33" s="1575"/>
      <c r="MZ33" s="1575"/>
      <c r="NA33" s="1575"/>
      <c r="NB33" s="1575"/>
      <c r="NC33" s="1575"/>
      <c r="ND33" s="1575"/>
      <c r="NE33" s="1575"/>
      <c r="NF33" s="1575"/>
      <c r="NG33" s="1575"/>
      <c r="NH33" s="1575"/>
      <c r="NI33" s="1575"/>
      <c r="NJ33" s="1575"/>
      <c r="NK33" s="1575"/>
      <c r="NL33" s="1575"/>
      <c r="NM33" s="1575"/>
      <c r="NN33" s="1575"/>
      <c r="NO33" s="1575"/>
      <c r="NP33" s="1575"/>
      <c r="NQ33" s="1575"/>
      <c r="NR33" s="1575"/>
      <c r="NS33" s="1575"/>
      <c r="NT33" s="1575"/>
      <c r="NU33" s="1575"/>
      <c r="NV33" s="1575"/>
      <c r="NW33" s="1575"/>
      <c r="NX33" s="1575"/>
      <c r="NY33" s="1575"/>
      <c r="NZ33" s="1575"/>
      <c r="OA33" s="1575"/>
      <c r="OB33" s="1575"/>
      <c r="OC33" s="1575"/>
      <c r="OD33" s="1575"/>
      <c r="OE33" s="1575"/>
      <c r="OF33" s="1575"/>
      <c r="OG33" s="1575"/>
      <c r="OH33" s="1575"/>
      <c r="OI33" s="1575"/>
      <c r="OJ33" s="1575"/>
      <c r="OK33" s="1575"/>
      <c r="OL33" s="1575"/>
      <c r="OM33" s="1575"/>
      <c r="ON33" s="1575"/>
      <c r="OO33" s="1575"/>
      <c r="OP33" s="1575"/>
      <c r="OQ33" s="1575"/>
      <c r="OR33" s="1575"/>
      <c r="OS33" s="1575"/>
      <c r="OT33" s="1575"/>
      <c r="OU33" s="1575"/>
      <c r="OV33" s="1575"/>
      <c r="OW33" s="1575"/>
      <c r="OX33" s="1575"/>
      <c r="OY33" s="1575"/>
      <c r="OZ33" s="1575"/>
      <c r="PA33" s="1575"/>
      <c r="PB33" s="1575"/>
      <c r="PC33" s="1575"/>
      <c r="PD33" s="1575"/>
      <c r="PE33" s="1575"/>
      <c r="PF33" s="1575"/>
      <c r="PG33" s="1575"/>
      <c r="PH33" s="1575"/>
      <c r="PI33" s="1575"/>
      <c r="PJ33" s="1575"/>
      <c r="PK33" s="1575"/>
      <c r="PL33" s="1575"/>
      <c r="PM33" s="1575"/>
      <c r="PN33" s="1575"/>
      <c r="PO33" s="1575"/>
      <c r="PP33" s="1575"/>
      <c r="PQ33" s="1575"/>
      <c r="PR33" s="1575"/>
      <c r="PS33" s="1575"/>
      <c r="PT33" s="1575"/>
      <c r="PU33" s="1575"/>
      <c r="PV33" s="1575"/>
      <c r="PW33" s="1575"/>
      <c r="PX33" s="1575"/>
      <c r="PY33" s="1575"/>
      <c r="PZ33" s="1575"/>
      <c r="QA33" s="1575"/>
      <c r="QB33" s="1575"/>
      <c r="QC33" s="1575"/>
      <c r="QD33" s="1575"/>
      <c r="QE33" s="1575"/>
      <c r="QF33" s="1575"/>
      <c r="QG33" s="1575"/>
      <c r="QH33" s="1575"/>
      <c r="QI33" s="1575"/>
      <c r="QJ33" s="1575"/>
      <c r="QK33" s="1575"/>
      <c r="QL33" s="1575"/>
      <c r="QM33" s="1575"/>
      <c r="QN33" s="1575"/>
      <c r="QO33" s="1575"/>
      <c r="QP33" s="1575"/>
      <c r="QQ33" s="1575"/>
      <c r="QR33" s="1575"/>
      <c r="QS33" s="1575"/>
      <c r="QT33" s="1575"/>
      <c r="QU33" s="1575"/>
      <c r="QV33" s="1575"/>
      <c r="QW33" s="1575"/>
      <c r="QX33" s="1575"/>
      <c r="QY33" s="1575"/>
      <c r="QZ33" s="1575"/>
      <c r="RA33" s="1575"/>
      <c r="RB33" s="1575"/>
      <c r="RC33" s="1575"/>
      <c r="RD33" s="1575"/>
      <c r="RE33" s="1575"/>
      <c r="RF33" s="1575"/>
      <c r="RG33" s="1575"/>
      <c r="RH33" s="1575"/>
      <c r="RI33" s="1575"/>
      <c r="RJ33" s="1575"/>
      <c r="RK33" s="1575"/>
      <c r="RL33" s="1575"/>
      <c r="RM33" s="1575"/>
      <c r="RN33" s="1575"/>
      <c r="RO33" s="1575"/>
      <c r="RP33" s="1575"/>
      <c r="RQ33" s="1575"/>
      <c r="RR33" s="1575"/>
      <c r="RS33" s="1575"/>
      <c r="RT33" s="1575"/>
      <c r="RU33" s="1575"/>
      <c r="RV33" s="1575"/>
      <c r="RW33" s="1575"/>
      <c r="RX33" s="1575"/>
      <c r="RY33" s="1575"/>
      <c r="RZ33" s="1575"/>
      <c r="SA33" s="1575"/>
      <c r="SB33" s="1575"/>
      <c r="SC33" s="1575"/>
      <c r="SD33" s="1575"/>
      <c r="SE33" s="1575"/>
      <c r="SF33" s="1575"/>
      <c r="SG33" s="1575"/>
      <c r="SH33" s="1575"/>
      <c r="SI33" s="1575"/>
      <c r="SJ33" s="1575"/>
      <c r="SK33" s="1575"/>
      <c r="SL33" s="1575"/>
      <c r="SM33" s="1575"/>
      <c r="SN33" s="1575"/>
      <c r="SO33" s="1575"/>
      <c r="SP33" s="1575"/>
      <c r="SQ33" s="1575"/>
      <c r="SR33" s="1575"/>
      <c r="SS33" s="1575"/>
      <c r="ST33" s="1575"/>
      <c r="SU33" s="1575"/>
      <c r="SV33" s="1575"/>
      <c r="SW33" s="1575"/>
      <c r="SX33" s="1575"/>
      <c r="SY33" s="1575"/>
      <c r="SZ33" s="1575"/>
      <c r="TA33" s="1575"/>
      <c r="TB33" s="1575"/>
      <c r="TC33" s="1575"/>
      <c r="TD33" s="1575"/>
      <c r="TE33" s="1575"/>
      <c r="TF33" s="1575"/>
      <c r="TG33" s="1575"/>
      <c r="TH33" s="1575"/>
      <c r="TI33" s="1575"/>
      <c r="TJ33" s="1575"/>
      <c r="TK33" s="1575"/>
      <c r="TL33" s="1575"/>
      <c r="TM33" s="1575"/>
      <c r="TN33" s="1575"/>
      <c r="TO33" s="1575"/>
      <c r="TP33" s="1575"/>
      <c r="TQ33" s="1575"/>
      <c r="TR33" s="1575"/>
      <c r="TS33" s="1575"/>
      <c r="TT33" s="1575"/>
      <c r="TU33" s="1575"/>
      <c r="TV33" s="1575"/>
      <c r="TW33" s="1575"/>
      <c r="TX33" s="1575"/>
      <c r="TY33" s="1575"/>
      <c r="TZ33" s="1575"/>
      <c r="UA33" s="1575"/>
      <c r="UB33" s="1575"/>
      <c r="UC33" s="1575"/>
      <c r="UD33" s="1575"/>
      <c r="UE33" s="1575"/>
      <c r="UF33" s="1575"/>
      <c r="UG33" s="1575"/>
      <c r="UH33" s="1575"/>
      <c r="UI33" s="1575"/>
      <c r="UJ33" s="1575"/>
      <c r="UK33" s="1575"/>
      <c r="UL33" s="1575"/>
      <c r="UM33" s="1575"/>
      <c r="UN33" s="1575"/>
      <c r="UO33" s="1575"/>
      <c r="UP33" s="1575"/>
      <c r="UQ33" s="1575"/>
      <c r="UR33" s="1575"/>
      <c r="US33" s="1575"/>
      <c r="UT33" s="1575"/>
      <c r="UU33" s="1575"/>
      <c r="UV33" s="1575"/>
      <c r="UW33" s="1575"/>
      <c r="UX33" s="1575"/>
      <c r="UY33" s="1575"/>
      <c r="UZ33" s="1575"/>
      <c r="VA33" s="1575"/>
      <c r="VB33" s="1575"/>
      <c r="VC33" s="1575"/>
      <c r="VD33" s="1575"/>
      <c r="VE33" s="1575"/>
      <c r="VF33" s="1575"/>
      <c r="VG33" s="1575"/>
      <c r="VH33" s="1575"/>
      <c r="VI33" s="1575"/>
      <c r="VJ33" s="1575"/>
      <c r="VK33" s="1575"/>
    </row>
    <row r="34" spans="1:583" x14ac:dyDescent="0.25">
      <c r="B34" s="4710" t="s">
        <v>629</v>
      </c>
      <c r="C34" s="4710" t="s">
        <v>2728</v>
      </c>
      <c r="D34" s="4710" t="s">
        <v>2086</v>
      </c>
      <c r="E34" s="4710"/>
      <c r="F34" s="1576"/>
      <c r="G34" s="1576"/>
      <c r="H34" s="1576"/>
      <c r="I34" s="1576"/>
      <c r="J34" s="1576"/>
      <c r="K34" s="1576"/>
      <c r="L34" s="1576"/>
      <c r="M34" s="1576"/>
      <c r="N34" s="1576"/>
      <c r="O34" s="1576"/>
      <c r="P34" s="1576"/>
      <c r="Q34" s="1576"/>
      <c r="R34" s="1576"/>
      <c r="S34" s="1576"/>
      <c r="T34" s="1576"/>
      <c r="U34" s="1576"/>
      <c r="V34" s="1576"/>
      <c r="W34" s="1576"/>
      <c r="X34" s="1576"/>
      <c r="Y34" s="1576"/>
      <c r="Z34" s="1576"/>
      <c r="AA34" s="1576"/>
      <c r="AB34" s="1576"/>
      <c r="AC34" s="1576"/>
      <c r="AD34" s="1576"/>
      <c r="AE34" s="1576"/>
      <c r="AF34" s="1576"/>
      <c r="AG34" s="1576"/>
      <c r="AH34" s="1576"/>
      <c r="AI34" s="1576"/>
      <c r="AJ34" s="1576"/>
      <c r="AK34" s="1576"/>
      <c r="AL34" s="1576"/>
      <c r="AM34" s="1576"/>
      <c r="AN34" s="1576"/>
      <c r="AO34" s="1576"/>
      <c r="AP34" s="1576"/>
      <c r="AQ34" s="1576"/>
      <c r="AR34" s="1576"/>
      <c r="AS34" s="1576"/>
      <c r="AT34" s="1576"/>
      <c r="AU34" s="1576"/>
      <c r="AV34" s="1576"/>
      <c r="AW34" s="1576"/>
      <c r="AX34" s="1576"/>
      <c r="AY34" s="1576"/>
      <c r="AZ34" s="1576"/>
      <c r="BA34" s="1576"/>
      <c r="BB34" s="1576"/>
      <c r="BC34" s="1576"/>
      <c r="BD34" s="1576"/>
      <c r="BE34" s="1576"/>
      <c r="BF34" s="1576"/>
      <c r="BG34" s="1576"/>
      <c r="BH34" s="1576"/>
      <c r="BI34" s="1576"/>
      <c r="BJ34" s="1576"/>
      <c r="BK34" s="1576"/>
      <c r="BL34" s="1576"/>
      <c r="BM34" s="1576"/>
      <c r="BN34" s="1576"/>
      <c r="BO34" s="1576"/>
      <c r="BP34" s="1576"/>
      <c r="BQ34" s="1576"/>
      <c r="BR34" s="1576"/>
      <c r="BS34" s="1576"/>
      <c r="BT34" s="1576"/>
      <c r="BU34" s="1576"/>
      <c r="BV34" s="1576"/>
      <c r="BW34" s="1576"/>
      <c r="BX34" s="1576"/>
      <c r="BY34" s="1576"/>
      <c r="BZ34" s="1576"/>
      <c r="CA34" s="1576"/>
      <c r="CB34" s="1576"/>
      <c r="CC34" s="1576"/>
      <c r="CD34" s="1576"/>
      <c r="CE34" s="1576"/>
      <c r="CF34" s="1576"/>
      <c r="CG34" s="1576"/>
      <c r="CH34" s="1576"/>
      <c r="CI34" s="1576"/>
      <c r="CJ34" s="1576"/>
      <c r="CK34" s="1576"/>
      <c r="CL34" s="1576"/>
      <c r="CM34" s="1576"/>
      <c r="CN34" s="1576"/>
      <c r="CO34" s="1576"/>
      <c r="CP34" s="1576"/>
      <c r="CQ34" s="1576"/>
      <c r="CR34" s="1576"/>
      <c r="CS34" s="1576"/>
      <c r="CT34" s="1576"/>
      <c r="CU34" s="1576"/>
      <c r="CV34" s="1576"/>
      <c r="CW34" s="1576"/>
      <c r="CX34" s="1576"/>
      <c r="CY34" s="1576"/>
      <c r="CZ34" s="1576"/>
      <c r="DA34" s="1576"/>
      <c r="DB34" s="1576"/>
      <c r="DC34" s="1576"/>
      <c r="DD34" s="1576"/>
      <c r="DE34" s="1576"/>
      <c r="DF34" s="1576"/>
      <c r="DG34" s="1576"/>
      <c r="DH34" s="1576"/>
      <c r="DI34" s="1576"/>
      <c r="DJ34" s="1576"/>
      <c r="DK34" s="1576"/>
      <c r="DL34" s="1576"/>
      <c r="DM34" s="1576"/>
      <c r="DN34" s="1576"/>
      <c r="DO34" s="1576"/>
      <c r="DP34" s="1576"/>
      <c r="DQ34" s="1576"/>
      <c r="DR34" s="1576"/>
      <c r="DS34" s="1576"/>
      <c r="DT34" s="1576"/>
      <c r="DU34" s="1576"/>
      <c r="DV34" s="1576"/>
      <c r="DW34" s="1576"/>
      <c r="DX34" s="1576"/>
      <c r="DY34" s="1576"/>
      <c r="DZ34" s="1576"/>
      <c r="EA34" s="1576"/>
      <c r="EB34" s="1576"/>
      <c r="EC34" s="1576"/>
      <c r="ED34" s="1576"/>
      <c r="EE34" s="1576"/>
      <c r="EF34" s="1576"/>
      <c r="EG34" s="1576"/>
      <c r="EH34" s="1576"/>
      <c r="EI34" s="1576"/>
      <c r="EJ34" s="1576"/>
      <c r="EK34" s="1576"/>
      <c r="EL34" s="1576"/>
      <c r="EM34" s="1576"/>
      <c r="EN34" s="1576"/>
      <c r="EO34" s="1576"/>
      <c r="EP34" s="1576"/>
      <c r="EQ34" s="1576"/>
      <c r="ER34" s="1576"/>
      <c r="ES34" s="1576"/>
      <c r="ET34" s="1576"/>
      <c r="EU34" s="1576"/>
      <c r="EV34" s="1576"/>
      <c r="EW34" s="1576"/>
      <c r="EX34" s="1576"/>
      <c r="EY34" s="1576"/>
      <c r="EZ34" s="1576"/>
      <c r="FA34" s="1576"/>
      <c r="FB34" s="1576"/>
      <c r="FC34" s="1576"/>
      <c r="FD34" s="1576"/>
      <c r="FE34" s="1576"/>
      <c r="FF34" s="1576"/>
      <c r="FG34" s="1576"/>
      <c r="FH34" s="1576"/>
      <c r="FI34" s="1576"/>
      <c r="FJ34" s="1576"/>
      <c r="FK34" s="1576"/>
      <c r="FL34" s="1576"/>
      <c r="FM34" s="1576"/>
      <c r="FN34" s="1576"/>
      <c r="FO34" s="1576"/>
      <c r="FP34" s="1576"/>
      <c r="FQ34" s="1576"/>
      <c r="FR34" s="1576"/>
      <c r="FS34" s="1576"/>
      <c r="FT34" s="1576"/>
      <c r="FU34" s="1576"/>
      <c r="FV34" s="1576"/>
      <c r="FW34" s="1576"/>
      <c r="FX34" s="1576"/>
      <c r="FY34" s="1576"/>
      <c r="FZ34" s="1576"/>
      <c r="GA34" s="1576"/>
      <c r="GB34" s="1576"/>
      <c r="GC34" s="1576"/>
      <c r="GD34" s="1576"/>
      <c r="GE34" s="1576"/>
      <c r="GF34" s="1576"/>
      <c r="GG34" s="1576"/>
      <c r="GH34" s="1576"/>
      <c r="GI34" s="1576"/>
      <c r="GJ34" s="1576"/>
      <c r="GK34" s="1576"/>
      <c r="GL34" s="1576"/>
      <c r="GM34" s="1576"/>
      <c r="GN34" s="1576"/>
      <c r="GO34" s="1576"/>
      <c r="GP34" s="1576"/>
      <c r="GQ34" s="1576"/>
      <c r="GR34" s="1576"/>
      <c r="GS34" s="1576"/>
      <c r="GT34" s="1576"/>
      <c r="GU34" s="1576"/>
      <c r="GV34" s="1576"/>
      <c r="GW34" s="1576"/>
      <c r="GX34" s="1576"/>
      <c r="GY34" s="1576"/>
      <c r="GZ34" s="1576"/>
      <c r="HA34" s="1576"/>
      <c r="HB34" s="1576"/>
      <c r="HC34" s="1576"/>
      <c r="HD34" s="1576"/>
      <c r="HE34" s="1576"/>
      <c r="HF34" s="1576"/>
      <c r="HG34" s="1576"/>
      <c r="HH34" s="1576"/>
      <c r="HI34" s="1576"/>
      <c r="HJ34" s="1576"/>
      <c r="HK34" s="1576"/>
      <c r="HL34" s="1576"/>
      <c r="HM34" s="1576"/>
      <c r="HN34" s="1576"/>
      <c r="HO34" s="1576"/>
      <c r="HP34" s="1576"/>
      <c r="HQ34" s="1576"/>
      <c r="HR34" s="1576"/>
      <c r="HS34" s="1576"/>
      <c r="HT34" s="1576"/>
      <c r="HU34" s="1576"/>
      <c r="HV34" s="1576"/>
      <c r="HW34" s="1576"/>
      <c r="HX34" s="1576"/>
      <c r="HY34" s="1576"/>
      <c r="HZ34" s="1576"/>
      <c r="IA34" s="1576"/>
      <c r="IB34" s="1576"/>
      <c r="IC34" s="1576"/>
      <c r="ID34" s="1576"/>
      <c r="IE34" s="1576"/>
      <c r="IF34" s="1576"/>
      <c r="IG34" s="1576"/>
      <c r="IH34" s="1576"/>
      <c r="II34" s="1576"/>
      <c r="IJ34" s="1576"/>
      <c r="IK34" s="1576"/>
      <c r="IL34" s="1576"/>
      <c r="IM34" s="1576"/>
      <c r="IN34" s="1576"/>
      <c r="IO34" s="1576"/>
      <c r="IP34" s="1576"/>
      <c r="IQ34" s="1576"/>
      <c r="IR34" s="1576"/>
      <c r="IS34" s="1576"/>
      <c r="IT34" s="1576"/>
      <c r="IU34" s="1576"/>
      <c r="IV34" s="1576"/>
      <c r="IW34" s="1576"/>
      <c r="IX34" s="1576"/>
      <c r="IY34" s="1576"/>
      <c r="IZ34" s="1576"/>
      <c r="JA34" s="2054"/>
      <c r="JB34" s="2054"/>
      <c r="JC34" s="2054"/>
      <c r="JD34" s="2054"/>
      <c r="JE34" s="2054"/>
      <c r="JF34" s="2054"/>
      <c r="JG34" s="2054"/>
      <c r="JH34" s="2054"/>
      <c r="JI34" s="2054"/>
      <c r="JJ34" s="2054"/>
      <c r="JK34" s="2054"/>
      <c r="JL34" s="2054"/>
      <c r="JM34" s="2054"/>
      <c r="JN34" s="2054"/>
      <c r="JO34" s="2054"/>
      <c r="JP34" s="2054"/>
      <c r="JQ34" s="2054"/>
      <c r="JR34" s="1576">
        <f>'Paso 1.1'!E31*Tiempos!$H$30</f>
        <v>221.54983327158195</v>
      </c>
      <c r="JS34" s="1576">
        <f>'Paso 1.1'!F31*Tiempos!$H$30</f>
        <v>221.63568545980493</v>
      </c>
      <c r="JT34" s="1576">
        <f>'Paso 1.1'!G31*Tiempos!$H$30</f>
        <v>221.72157091638167</v>
      </c>
      <c r="JU34" s="1576">
        <f>'Paso 1.1'!H31*Tiempos!$H$30</f>
        <v>221.80748965420386</v>
      </c>
      <c r="JV34" s="1576">
        <f>'Paso 1.1'!I31*Tiempos!$H$30</f>
        <v>221.89344168616825</v>
      </c>
      <c r="JW34" s="1576">
        <f>'Paso 1.1'!J31*Tiempos!$H$30</f>
        <v>221.97942702517653</v>
      </c>
      <c r="JX34" s="1576">
        <f>'Paso 1.1'!K31*Tiempos!$H$30</f>
        <v>222.06544568413545</v>
      </c>
      <c r="JY34" s="1576">
        <f>'Paso 1.1'!L31*Tiempos!$H$30</f>
        <v>222.15149767595676</v>
      </c>
      <c r="JZ34" s="1576">
        <f>'Paso 1.1'!M31*Tiempos!$H$30</f>
        <v>222.23758301355716</v>
      </c>
      <c r="KA34" s="1576">
        <f>'Paso 1.1'!N31*Tiempos!$H$30</f>
        <v>222.32370170985837</v>
      </c>
      <c r="KB34" s="1576">
        <f>'Paso 1.1'!O31*Tiempos!$H$30</f>
        <v>222.40985377778716</v>
      </c>
      <c r="KC34" s="1576">
        <f>'Paso 1.1'!P31*Tiempos!$H$30</f>
        <v>222.49603923027527</v>
      </c>
      <c r="KD34" s="1576">
        <f>'Paso 1.1'!Q31*Tiempos!$H$30</f>
        <v>222.58225808025946</v>
      </c>
      <c r="KE34" s="1576">
        <f>'Paso 1.1'!R31*Tiempos!$H$30</f>
        <v>222.66851034068154</v>
      </c>
      <c r="KF34" s="1576">
        <f>'Paso 1.1'!S31*Tiempos!$H$30</f>
        <v>222.75479602448826</v>
      </c>
      <c r="KG34" s="1576">
        <f>'Paso 1.1'!T31*Tiempos!$H$30</f>
        <v>222.84111514463143</v>
      </c>
      <c r="KH34" s="1576">
        <f>'Paso 1.1'!U31*Tiempos!$H$30</f>
        <v>222.92746771406789</v>
      </c>
      <c r="KI34" s="1576"/>
      <c r="KJ34" s="1576"/>
      <c r="KK34" s="1576"/>
      <c r="KL34" s="1576"/>
      <c r="KM34" s="1576"/>
      <c r="KN34" s="1576"/>
      <c r="KO34" s="1576"/>
      <c r="KP34" s="1576"/>
      <c r="KQ34" s="1576"/>
      <c r="KR34" s="1576"/>
      <c r="KS34" s="1576"/>
      <c r="KT34" s="1576"/>
      <c r="KU34" s="1576"/>
      <c r="KV34" s="1576"/>
      <c r="KW34" s="1576"/>
      <c r="KX34" s="1576"/>
      <c r="KY34" s="1576"/>
      <c r="KZ34" s="1576"/>
      <c r="LA34" s="1576"/>
      <c r="LB34" s="1576"/>
      <c r="LC34" s="1576"/>
      <c r="LD34" s="1576"/>
      <c r="LE34" s="1576"/>
      <c r="LF34" s="1576"/>
      <c r="LG34" s="1576"/>
      <c r="LH34" s="1576"/>
      <c r="LI34" s="1576"/>
      <c r="LJ34" s="1576"/>
      <c r="LK34" s="1576"/>
      <c r="LL34" s="1576"/>
      <c r="LM34" s="1576"/>
      <c r="LN34" s="1576"/>
      <c r="LO34" s="1576"/>
      <c r="LP34" s="1576"/>
      <c r="LQ34" s="1576"/>
      <c r="LR34" s="1576"/>
      <c r="LS34" s="1576"/>
      <c r="LT34" s="1576"/>
      <c r="LU34" s="1576"/>
      <c r="LV34" s="1576"/>
      <c r="LW34" s="1576"/>
      <c r="LX34" s="1576"/>
      <c r="LY34" s="1576"/>
      <c r="LZ34" s="1576"/>
      <c r="MA34" s="1576"/>
      <c r="MB34" s="1576"/>
      <c r="MC34" s="1576"/>
      <c r="MD34" s="1576"/>
      <c r="ME34" s="1576"/>
      <c r="MF34" s="1576"/>
      <c r="MG34" s="1576"/>
      <c r="MH34" s="1576"/>
      <c r="MI34" s="1576"/>
      <c r="MJ34" s="1576"/>
      <c r="MK34" s="1576"/>
      <c r="ML34" s="1576"/>
      <c r="MM34" s="1576"/>
      <c r="MN34" s="1576"/>
      <c r="MO34" s="1576"/>
      <c r="MP34" s="1576"/>
      <c r="MQ34" s="1576"/>
      <c r="MR34" s="1576"/>
      <c r="MS34" s="1576"/>
      <c r="MT34" s="1576"/>
      <c r="MU34" s="1576"/>
      <c r="MV34" s="1576"/>
      <c r="MW34" s="1576"/>
      <c r="MX34" s="1576"/>
      <c r="MY34" s="1576">
        <f>'Paso 1.1'!E31*Tiempos!$L$30</f>
        <v>44.309966654316391</v>
      </c>
      <c r="MZ34" s="1576">
        <f>'Paso 1.1'!F31*Tiempos!$L$30</f>
        <v>44.327137091960992</v>
      </c>
      <c r="NA34" s="1576">
        <f>'Paso 1.1'!G31*Tiempos!$L$30</f>
        <v>44.344314183276339</v>
      </c>
      <c r="NB34" s="1576">
        <f>'Paso 1.1'!H31*Tiempos!$L$30</f>
        <v>44.361497930840777</v>
      </c>
      <c r="NC34" s="1576">
        <f>'Paso 1.1'!I31*Tiempos!$L$30</f>
        <v>44.378688337233655</v>
      </c>
      <c r="ND34" s="1576">
        <f>'Paso 1.1'!J31*Tiempos!$L$30</f>
        <v>44.395885405035308</v>
      </c>
      <c r="NE34" s="1576">
        <f>'Paso 1.1'!K31*Tiempos!$L$30</f>
        <v>44.413089136827097</v>
      </c>
      <c r="NF34" s="1576">
        <f>'Paso 1.1'!L31*Tiempos!$L$30</f>
        <v>44.430299535191352</v>
      </c>
      <c r="NG34" s="1576">
        <f>'Paso 1.1'!M31*Tiempos!$L$30</f>
        <v>44.447516602711431</v>
      </c>
      <c r="NH34" s="1576">
        <f>'Paso 1.1'!N31*Tiempos!$L$30</f>
        <v>44.464740341971677</v>
      </c>
      <c r="NI34" s="1576">
        <f>'Paso 1.1'!O31*Tiempos!$L$30</f>
        <v>44.481970755557434</v>
      </c>
      <c r="NJ34" s="1576">
        <f>'Paso 1.1'!P31*Tiempos!$L$30</f>
        <v>44.499207846055057</v>
      </c>
      <c r="NK34" s="1576">
        <f>'Paso 1.1'!Q31*Tiempos!$L$30</f>
        <v>44.516451616051896</v>
      </c>
      <c r="NL34" s="1576">
        <f>'Paso 1.1'!R31*Tiempos!$L$30</f>
        <v>44.533702068136307</v>
      </c>
      <c r="NM34" s="1576">
        <f>'Paso 1.1'!S31*Tiempos!$L$30</f>
        <v>44.550959204897651</v>
      </c>
      <c r="NN34" s="1576">
        <f>'Paso 1.1'!T31*Tiempos!$L$30</f>
        <v>44.56822302892629</v>
      </c>
      <c r="NO34" s="1576">
        <f>'Paso 1.1'!U31*Tiempos!$L$30</f>
        <v>44.58549354281358</v>
      </c>
      <c r="NP34" s="1576"/>
      <c r="NQ34" s="1576"/>
      <c r="NR34" s="1576"/>
      <c r="NS34" s="1576"/>
      <c r="NT34" s="1576"/>
      <c r="NU34" s="1576"/>
      <c r="NV34" s="1576"/>
      <c r="NW34" s="1576"/>
      <c r="NX34" s="1576"/>
      <c r="NY34" s="1576"/>
      <c r="NZ34" s="1576"/>
      <c r="OA34" s="1576"/>
      <c r="OB34" s="1576"/>
      <c r="OC34" s="1576"/>
      <c r="OD34" s="1576"/>
      <c r="OE34" s="1576"/>
      <c r="OF34" s="1576"/>
      <c r="OG34" s="1576"/>
      <c r="OH34" s="1576"/>
      <c r="OI34" s="1576"/>
      <c r="OJ34" s="1576"/>
      <c r="OK34" s="1576"/>
      <c r="OL34" s="1576"/>
      <c r="OM34" s="1576"/>
      <c r="ON34" s="1576"/>
      <c r="OO34" s="1576"/>
      <c r="OP34" s="1576"/>
      <c r="OQ34" s="1576"/>
      <c r="OR34" s="1576"/>
      <c r="OS34" s="1576"/>
      <c r="OT34" s="1576"/>
      <c r="OU34" s="1576"/>
      <c r="OV34" s="1576"/>
      <c r="OW34" s="1576"/>
      <c r="OX34" s="1576"/>
      <c r="OY34" s="1576"/>
      <c r="OZ34" s="1576"/>
      <c r="PA34" s="1576"/>
      <c r="PB34" s="1576"/>
      <c r="PC34" s="1576"/>
      <c r="PD34" s="1576"/>
      <c r="PE34" s="1576"/>
      <c r="PF34" s="1576"/>
      <c r="PG34" s="1576"/>
      <c r="PH34" s="1576"/>
      <c r="PI34" s="1576"/>
      <c r="PJ34" s="1576"/>
      <c r="PK34" s="1576"/>
      <c r="PL34" s="1576"/>
      <c r="PM34" s="1576"/>
      <c r="PN34" s="1576"/>
      <c r="PO34" s="1576"/>
      <c r="PP34" s="1576"/>
      <c r="PQ34" s="1576"/>
      <c r="PR34" s="1576"/>
      <c r="PS34" s="1576"/>
      <c r="PT34" s="1576"/>
      <c r="PU34" s="1576"/>
      <c r="PV34" s="1576"/>
      <c r="PW34" s="1576"/>
      <c r="PX34" s="1576"/>
      <c r="PY34" s="1576"/>
      <c r="PZ34" s="1576"/>
      <c r="QA34" s="1576"/>
      <c r="QB34" s="1576"/>
      <c r="QC34" s="1576"/>
      <c r="QD34" s="1576"/>
      <c r="QE34" s="1576"/>
      <c r="QF34" s="1576"/>
      <c r="QG34" s="1576"/>
      <c r="QH34" s="1576"/>
      <c r="QI34" s="1576"/>
      <c r="QJ34" s="1576"/>
      <c r="QK34" s="1576"/>
      <c r="QL34" s="1576"/>
      <c r="QM34" s="1576"/>
      <c r="QN34" s="1576"/>
      <c r="QO34" s="1576"/>
      <c r="QP34" s="1576"/>
      <c r="QQ34" s="1576"/>
      <c r="QR34" s="1576"/>
      <c r="QS34" s="1576"/>
      <c r="QT34" s="1576"/>
      <c r="QU34" s="1576"/>
      <c r="QV34" s="1576"/>
      <c r="QW34" s="1576"/>
      <c r="QX34" s="1576"/>
      <c r="QY34" s="1576"/>
      <c r="QZ34" s="1576"/>
      <c r="RA34" s="1576"/>
      <c r="RB34" s="1576"/>
      <c r="RC34" s="1576"/>
      <c r="RD34" s="1576"/>
      <c r="RE34" s="1576"/>
      <c r="RF34" s="1576"/>
      <c r="RG34" s="1576"/>
      <c r="RH34" s="1576"/>
      <c r="RI34" s="1576"/>
      <c r="RJ34" s="1576"/>
      <c r="RK34" s="1576"/>
      <c r="RL34" s="1576"/>
      <c r="RM34" s="1576"/>
      <c r="RN34" s="1576"/>
      <c r="RO34" s="1576"/>
      <c r="RP34" s="1576"/>
      <c r="RQ34" s="1576"/>
      <c r="RR34" s="1576"/>
      <c r="RS34" s="1576"/>
      <c r="RT34" s="1576"/>
      <c r="RU34" s="1576"/>
      <c r="RV34" s="1576"/>
      <c r="RW34" s="1576"/>
      <c r="RX34" s="1576"/>
      <c r="RY34" s="1576"/>
      <c r="RZ34" s="1576"/>
      <c r="SA34" s="1576"/>
      <c r="SB34" s="1576"/>
      <c r="SC34" s="1576"/>
      <c r="SD34" s="1576"/>
      <c r="SE34" s="1576"/>
      <c r="SF34" s="1576"/>
      <c r="SG34" s="1576"/>
      <c r="SH34" s="1576"/>
      <c r="SI34" s="1576"/>
      <c r="SJ34" s="1576"/>
      <c r="SK34" s="1576"/>
      <c r="SL34" s="1576"/>
      <c r="SM34" s="1576"/>
      <c r="SN34" s="1576"/>
      <c r="SO34" s="1576"/>
      <c r="SP34" s="1576"/>
      <c r="SQ34" s="1576"/>
      <c r="SR34" s="1576"/>
      <c r="SS34" s="1576"/>
      <c r="ST34" s="1576"/>
      <c r="SU34" s="1576"/>
      <c r="SV34" s="1576"/>
      <c r="SW34" s="1576"/>
      <c r="SX34" s="1576"/>
      <c r="SY34" s="1576"/>
      <c r="SZ34" s="1576"/>
      <c r="TA34" s="1576"/>
      <c r="TB34" s="1576"/>
      <c r="TC34" s="1576"/>
      <c r="TD34" s="1576"/>
      <c r="TE34" s="1576"/>
      <c r="TF34" s="1576"/>
      <c r="TG34" s="1576"/>
      <c r="TH34" s="1576"/>
      <c r="TI34" s="1576"/>
      <c r="TJ34" s="1576"/>
      <c r="TK34" s="1576"/>
      <c r="TL34" s="1576"/>
      <c r="TM34" s="1576"/>
      <c r="TN34" s="1576"/>
      <c r="TO34" s="1576"/>
      <c r="TP34" s="1576"/>
      <c r="TQ34" s="1576"/>
      <c r="TR34" s="1576"/>
      <c r="TS34" s="1576"/>
      <c r="TT34" s="1576"/>
      <c r="TU34" s="1576"/>
      <c r="TV34" s="1576"/>
      <c r="TW34" s="1576"/>
      <c r="TX34" s="1576"/>
      <c r="TY34" s="1576"/>
      <c r="TZ34" s="1576"/>
      <c r="UA34" s="1576"/>
      <c r="UB34" s="1576"/>
      <c r="UC34" s="1576"/>
      <c r="UD34" s="1576"/>
      <c r="UE34" s="1576"/>
      <c r="UF34" s="1576"/>
      <c r="UG34" s="1576"/>
      <c r="UH34" s="1576"/>
      <c r="UI34" s="1576"/>
      <c r="UJ34" s="1576"/>
      <c r="UK34" s="1576"/>
      <c r="UL34" s="1576"/>
      <c r="UM34" s="1576"/>
      <c r="UN34" s="1576"/>
      <c r="UO34" s="1576"/>
      <c r="UP34" s="1576"/>
      <c r="UQ34" s="1576"/>
      <c r="UR34" s="1576"/>
      <c r="US34" s="1576"/>
      <c r="UT34" s="1576"/>
      <c r="UU34" s="1576"/>
      <c r="UV34" s="1576"/>
      <c r="UW34" s="1576"/>
      <c r="UX34" s="1576"/>
      <c r="UY34" s="1576"/>
      <c r="UZ34" s="1576"/>
      <c r="VA34" s="1576"/>
      <c r="VB34" s="1576"/>
      <c r="VC34" s="1576"/>
      <c r="VD34" s="1576"/>
      <c r="VE34" s="1576"/>
      <c r="VF34" s="1576"/>
      <c r="VG34" s="1576"/>
      <c r="VH34" s="1576"/>
      <c r="VI34" s="1576"/>
      <c r="VJ34" s="1576"/>
      <c r="VK34" s="1576"/>
    </row>
    <row r="35" spans="1:583" x14ac:dyDescent="0.25">
      <c r="B35" s="4710"/>
      <c r="C35" s="4710"/>
      <c r="D35" s="4710" t="s">
        <v>2088</v>
      </c>
      <c r="E35" s="4710"/>
      <c r="F35" s="1576"/>
      <c r="G35" s="1576"/>
      <c r="H35" s="1576"/>
      <c r="I35" s="1576"/>
      <c r="J35" s="1576"/>
      <c r="K35" s="1576"/>
      <c r="L35" s="1576"/>
      <c r="M35" s="1576"/>
      <c r="N35" s="1576"/>
      <c r="O35" s="1576"/>
      <c r="P35" s="1576"/>
      <c r="Q35" s="1576"/>
      <c r="R35" s="1576"/>
      <c r="S35" s="1576"/>
      <c r="T35" s="1576"/>
      <c r="U35" s="1576"/>
      <c r="V35" s="1576"/>
      <c r="W35" s="1576"/>
      <c r="X35" s="1576"/>
      <c r="Y35" s="1576"/>
      <c r="Z35" s="1576"/>
      <c r="AA35" s="1576"/>
      <c r="AB35" s="1576"/>
      <c r="AC35" s="1576"/>
      <c r="AD35" s="1576"/>
      <c r="AE35" s="1576"/>
      <c r="AF35" s="1576"/>
      <c r="AG35" s="1576"/>
      <c r="AH35" s="1576"/>
      <c r="AI35" s="1576"/>
      <c r="AJ35" s="1576"/>
      <c r="AK35" s="1576"/>
      <c r="AL35" s="1576"/>
      <c r="AM35" s="1576"/>
      <c r="AN35" s="1576"/>
      <c r="AO35" s="1576"/>
      <c r="AP35" s="1576"/>
      <c r="AQ35" s="1576"/>
      <c r="AR35" s="1576"/>
      <c r="AS35" s="1576"/>
      <c r="AT35" s="1576"/>
      <c r="AU35" s="1576"/>
      <c r="AV35" s="1576"/>
      <c r="AW35" s="1576"/>
      <c r="AX35" s="1576"/>
      <c r="AY35" s="1576"/>
      <c r="AZ35" s="1576"/>
      <c r="BA35" s="1576"/>
      <c r="BB35" s="1576"/>
      <c r="BC35" s="1576"/>
      <c r="BD35" s="1576"/>
      <c r="BE35" s="1576"/>
      <c r="BF35" s="1576"/>
      <c r="BG35" s="1576"/>
      <c r="BH35" s="1576"/>
      <c r="BI35" s="1576"/>
      <c r="BJ35" s="1576"/>
      <c r="BK35" s="1576"/>
      <c r="BL35" s="1576"/>
      <c r="BM35" s="1576"/>
      <c r="BN35" s="1576"/>
      <c r="BO35" s="1576"/>
      <c r="BP35" s="1576"/>
      <c r="BQ35" s="1576"/>
      <c r="BR35" s="1576"/>
      <c r="BS35" s="1576"/>
      <c r="BT35" s="1576"/>
      <c r="BU35" s="1576"/>
      <c r="BV35" s="1576"/>
      <c r="BW35" s="1576"/>
      <c r="BX35" s="1576"/>
      <c r="BY35" s="1576"/>
      <c r="BZ35" s="1576"/>
      <c r="CA35" s="1576"/>
      <c r="CB35" s="1576"/>
      <c r="CC35" s="1576"/>
      <c r="CD35" s="1576"/>
      <c r="CE35" s="1576"/>
      <c r="CF35" s="1576"/>
      <c r="CG35" s="1576"/>
      <c r="CH35" s="1576"/>
      <c r="CI35" s="1576"/>
      <c r="CJ35" s="1576"/>
      <c r="CK35" s="1576"/>
      <c r="CL35" s="1576"/>
      <c r="CM35" s="1576"/>
      <c r="CN35" s="1576"/>
      <c r="CO35" s="1576"/>
      <c r="CP35" s="1576"/>
      <c r="CQ35" s="1576"/>
      <c r="CR35" s="1576"/>
      <c r="CS35" s="1576"/>
      <c r="CT35" s="1576"/>
      <c r="CU35" s="1576"/>
      <c r="CV35" s="1576"/>
      <c r="CW35" s="1576"/>
      <c r="CX35" s="1576"/>
      <c r="CY35" s="1576"/>
      <c r="CZ35" s="1576"/>
      <c r="DA35" s="1576"/>
      <c r="DB35" s="1576"/>
      <c r="DC35" s="1576"/>
      <c r="DD35" s="1576"/>
      <c r="DE35" s="1576"/>
      <c r="DF35" s="1576"/>
      <c r="DG35" s="1576"/>
      <c r="DH35" s="1576"/>
      <c r="DI35" s="1576"/>
      <c r="DJ35" s="1576"/>
      <c r="DK35" s="1576"/>
      <c r="DL35" s="1576"/>
      <c r="DM35" s="1576"/>
      <c r="DN35" s="1576"/>
      <c r="DO35" s="1576"/>
      <c r="DP35" s="1576"/>
      <c r="DQ35" s="1576"/>
      <c r="DR35" s="1576"/>
      <c r="DS35" s="1576"/>
      <c r="DT35" s="1576"/>
      <c r="DU35" s="1576"/>
      <c r="DV35" s="1576"/>
      <c r="DW35" s="1576"/>
      <c r="DX35" s="1576"/>
      <c r="DY35" s="1576"/>
      <c r="DZ35" s="1576"/>
      <c r="EA35" s="1576"/>
      <c r="EB35" s="1576"/>
      <c r="EC35" s="1576"/>
      <c r="ED35" s="1576"/>
      <c r="EE35" s="1576"/>
      <c r="EF35" s="1576"/>
      <c r="EG35" s="1576"/>
      <c r="EH35" s="1576"/>
      <c r="EI35" s="1576"/>
      <c r="EJ35" s="1576"/>
      <c r="EK35" s="1576"/>
      <c r="EL35" s="1576"/>
      <c r="EM35" s="1576"/>
      <c r="EN35" s="1576"/>
      <c r="EO35" s="1576"/>
      <c r="EP35" s="1576"/>
      <c r="EQ35" s="1576"/>
      <c r="ER35" s="1576"/>
      <c r="ES35" s="1576"/>
      <c r="ET35" s="1576"/>
      <c r="EU35" s="1576"/>
      <c r="EV35" s="1576"/>
      <c r="EW35" s="1576"/>
      <c r="EX35" s="1576"/>
      <c r="EY35" s="1576"/>
      <c r="EZ35" s="1576"/>
      <c r="FA35" s="1576"/>
      <c r="FB35" s="1576"/>
      <c r="FC35" s="1576"/>
      <c r="FD35" s="1576"/>
      <c r="FE35" s="1576"/>
      <c r="FF35" s="1576"/>
      <c r="FG35" s="1576"/>
      <c r="FH35" s="1576"/>
      <c r="FI35" s="1576"/>
      <c r="FJ35" s="1576"/>
      <c r="FK35" s="1576"/>
      <c r="FL35" s="1576"/>
      <c r="FM35" s="1576"/>
      <c r="FN35" s="1576"/>
      <c r="FO35" s="1576"/>
      <c r="FP35" s="1576"/>
      <c r="FQ35" s="1576"/>
      <c r="FR35" s="1576"/>
      <c r="FS35" s="1576"/>
      <c r="FT35" s="1576"/>
      <c r="FU35" s="1576"/>
      <c r="FV35" s="1576"/>
      <c r="FW35" s="1576"/>
      <c r="FX35" s="1576"/>
      <c r="FY35" s="1576"/>
      <c r="FZ35" s="1576"/>
      <c r="GA35" s="1576"/>
      <c r="GB35" s="1576"/>
      <c r="GC35" s="1576"/>
      <c r="GD35" s="1576"/>
      <c r="GE35" s="1576"/>
      <c r="GF35" s="1576"/>
      <c r="GG35" s="1576"/>
      <c r="GH35" s="1576"/>
      <c r="GI35" s="1576"/>
      <c r="GJ35" s="1576"/>
      <c r="GK35" s="1576"/>
      <c r="GL35" s="1576"/>
      <c r="GM35" s="1576"/>
      <c r="GN35" s="1576"/>
      <c r="GO35" s="1576"/>
      <c r="GP35" s="1576"/>
      <c r="GQ35" s="1576"/>
      <c r="GR35" s="1576"/>
      <c r="GS35" s="1576"/>
      <c r="GT35" s="1576"/>
      <c r="GU35" s="1576"/>
      <c r="GV35" s="1576"/>
      <c r="GW35" s="1576"/>
      <c r="GX35" s="1576"/>
      <c r="GY35" s="1576"/>
      <c r="GZ35" s="1576"/>
      <c r="HA35" s="1576"/>
      <c r="HB35" s="1576"/>
      <c r="HC35" s="1576"/>
      <c r="HD35" s="1576"/>
      <c r="HE35" s="1576"/>
      <c r="HF35" s="1576"/>
      <c r="HG35" s="1576"/>
      <c r="HH35" s="1576"/>
      <c r="HI35" s="1576"/>
      <c r="HJ35" s="1576"/>
      <c r="HK35" s="1576"/>
      <c r="HL35" s="1576"/>
      <c r="HM35" s="1576"/>
      <c r="HN35" s="1576"/>
      <c r="HO35" s="1576"/>
      <c r="HP35" s="1576"/>
      <c r="HQ35" s="1576"/>
      <c r="HR35" s="1576"/>
      <c r="HS35" s="1576"/>
      <c r="HT35" s="1576"/>
      <c r="HU35" s="1576"/>
      <c r="HV35" s="1576"/>
      <c r="HW35" s="1576"/>
      <c r="HX35" s="1576"/>
      <c r="HY35" s="1576"/>
      <c r="HZ35" s="1576"/>
      <c r="IA35" s="1576"/>
      <c r="IB35" s="1576"/>
      <c r="IC35" s="1576"/>
      <c r="ID35" s="1576"/>
      <c r="IE35" s="1576"/>
      <c r="IF35" s="1576"/>
      <c r="IG35" s="1576"/>
      <c r="IH35" s="1576"/>
      <c r="II35" s="1576"/>
      <c r="IJ35" s="1576"/>
      <c r="IK35" s="1576"/>
      <c r="IL35" s="1576"/>
      <c r="IM35" s="1576"/>
      <c r="IN35" s="1576"/>
      <c r="IO35" s="1576"/>
      <c r="IP35" s="1576"/>
      <c r="IQ35" s="1576"/>
      <c r="IR35" s="1576"/>
      <c r="IS35" s="1576"/>
      <c r="IT35" s="1576"/>
      <c r="IU35" s="1576"/>
      <c r="IV35" s="1576"/>
      <c r="IW35" s="1576"/>
      <c r="IX35" s="1576"/>
      <c r="IY35" s="1576"/>
      <c r="IZ35" s="1576"/>
      <c r="JA35" s="2054"/>
      <c r="JB35" s="2054"/>
      <c r="JC35" s="2054"/>
      <c r="JD35" s="2054"/>
      <c r="JE35" s="2054"/>
      <c r="JF35" s="2054"/>
      <c r="JG35" s="2054"/>
      <c r="JH35" s="2054"/>
      <c r="JI35" s="2054"/>
      <c r="JJ35" s="2054"/>
      <c r="JK35" s="2054"/>
      <c r="JL35" s="2054"/>
      <c r="JM35" s="2054"/>
      <c r="JN35" s="2054"/>
      <c r="JO35" s="2054"/>
      <c r="JP35" s="2054"/>
      <c r="JQ35" s="2054"/>
      <c r="JR35" s="1576">
        <f>'Paso 1.1'!E32*Tiempos!$H$31</f>
        <v>288.80503516647133</v>
      </c>
      <c r="JS35" s="1576">
        <f>'Paso 1.1'!F32*Tiempos!$H$31</f>
        <v>288.91694923958403</v>
      </c>
      <c r="JT35" s="1576">
        <f>'Paso 1.1'!G32*Tiempos!$H$31</f>
        <v>289.02890668022235</v>
      </c>
      <c r="JU35" s="1576">
        <f>'Paso 1.1'!H32*Tiempos!$H$31</f>
        <v>289.14090750519148</v>
      </c>
      <c r="JV35" s="1576">
        <f>'Paso 1.1'!I32*Tiempos!$H$31</f>
        <v>289.25295173130326</v>
      </c>
      <c r="JW35" s="1576">
        <f>'Paso 1.1'!J32*Tiempos!$H$31</f>
        <v>289.36503937537589</v>
      </c>
      <c r="JX35" s="1576">
        <f>'Paso 1.1'!K32*Tiempos!$H$31</f>
        <v>289.47717045423411</v>
      </c>
      <c r="JY35" s="1576">
        <f>'Paso 1.1'!L32*Tiempos!$H$31</f>
        <v>289.58934498470927</v>
      </c>
      <c r="JZ35" s="1576">
        <f>'Paso 1.1'!M32*Tiempos!$H$31</f>
        <v>289.70156298363923</v>
      </c>
      <c r="KA35" s="1576">
        <f>'Paso 1.1'!N32*Tiempos!$H$31</f>
        <v>289.8138244678683</v>
      </c>
      <c r="KB35" s="1576">
        <f>'Paso 1.1'!O32*Tiempos!$H$31</f>
        <v>289.9261294542473</v>
      </c>
      <c r="KC35" s="1576">
        <f>'Paso 1.1'!P32*Tiempos!$H$31</f>
        <v>290.03847795963372</v>
      </c>
      <c r="KD35" s="1576">
        <f>'Paso 1.1'!Q32*Tiempos!$H$31</f>
        <v>290.15087000089142</v>
      </c>
      <c r="KE35" s="1576">
        <f>'Paso 1.1'!R32*Tiempos!$H$31</f>
        <v>290.26330559489094</v>
      </c>
      <c r="KF35" s="1576">
        <f>'Paso 1.1'!S32*Tiempos!$H$31</f>
        <v>290.37578475850921</v>
      </c>
      <c r="KG35" s="1576">
        <f>'Paso 1.1'!T32*Tiempos!$H$31</f>
        <v>290.48830750862982</v>
      </c>
      <c r="KH35" s="1576">
        <f>'Paso 1.1'!U32*Tiempos!$H$31</f>
        <v>290.60087386214286</v>
      </c>
      <c r="KI35" s="1576"/>
      <c r="KJ35" s="1576"/>
      <c r="KK35" s="1576"/>
      <c r="KL35" s="1576"/>
      <c r="KM35" s="1576"/>
      <c r="KN35" s="1576"/>
      <c r="KO35" s="1576"/>
      <c r="KP35" s="1576"/>
      <c r="KQ35" s="1576"/>
      <c r="KR35" s="1576"/>
      <c r="KS35" s="1576"/>
      <c r="KT35" s="1576"/>
      <c r="KU35" s="1576"/>
      <c r="KV35" s="1576"/>
      <c r="KW35" s="1576"/>
      <c r="KX35" s="1576"/>
      <c r="KY35" s="1576"/>
      <c r="KZ35" s="1576"/>
      <c r="LA35" s="1576"/>
      <c r="LB35" s="1576"/>
      <c r="LC35" s="1576"/>
      <c r="LD35" s="1576"/>
      <c r="LE35" s="1576"/>
      <c r="LF35" s="1576"/>
      <c r="LG35" s="1576"/>
      <c r="LH35" s="1576"/>
      <c r="LI35" s="1576"/>
      <c r="LJ35" s="1576"/>
      <c r="LK35" s="1576"/>
      <c r="LL35" s="1576"/>
      <c r="LM35" s="1576"/>
      <c r="LN35" s="1576"/>
      <c r="LO35" s="1576"/>
      <c r="LP35" s="1576"/>
      <c r="LQ35" s="1576"/>
      <c r="LR35" s="1576"/>
      <c r="LS35" s="1576"/>
      <c r="LT35" s="1576"/>
      <c r="LU35" s="1576"/>
      <c r="LV35" s="1576"/>
      <c r="LW35" s="1576"/>
      <c r="LX35" s="1576"/>
      <c r="LY35" s="1576"/>
      <c r="LZ35" s="1576"/>
      <c r="MA35" s="1576"/>
      <c r="MB35" s="1576"/>
      <c r="MC35" s="1576"/>
      <c r="MD35" s="1576"/>
      <c r="ME35" s="1576"/>
      <c r="MF35" s="1576"/>
      <c r="MG35" s="1576"/>
      <c r="MH35" s="1576"/>
      <c r="MI35" s="1576"/>
      <c r="MJ35" s="1576"/>
      <c r="MK35" s="1576"/>
      <c r="ML35" s="1576"/>
      <c r="MM35" s="1576"/>
      <c r="MN35" s="1576"/>
      <c r="MO35" s="1576"/>
      <c r="MP35" s="1576"/>
      <c r="MQ35" s="1576"/>
      <c r="MR35" s="1576"/>
      <c r="MS35" s="1576"/>
      <c r="MT35" s="1576"/>
      <c r="MU35" s="1576"/>
      <c r="MV35" s="1576"/>
      <c r="MW35" s="1576"/>
      <c r="MX35" s="1576"/>
      <c r="MY35" s="1576">
        <f>'Paso 1.1'!E32*Tiempos!$L$31</f>
        <v>57.76100703329427</v>
      </c>
      <c r="MZ35" s="1576">
        <f>'Paso 1.1'!F32*Tiempos!$L$31</f>
        <v>57.783389847916808</v>
      </c>
      <c r="NA35" s="1576">
        <f>'Paso 1.1'!G32*Tiempos!$L$31</f>
        <v>57.805781336044475</v>
      </c>
      <c r="NB35" s="1576">
        <f>'Paso 1.1'!H32*Tiempos!$L$31</f>
        <v>57.828181501038301</v>
      </c>
      <c r="NC35" s="1576">
        <f>'Paso 1.1'!I32*Tiempos!$L$31</f>
        <v>57.850590346260653</v>
      </c>
      <c r="ND35" s="1576">
        <f>'Paso 1.1'!J32*Tiempos!$L$31</f>
        <v>57.873007875075182</v>
      </c>
      <c r="NE35" s="1576">
        <f>'Paso 1.1'!K32*Tiempos!$L$31</f>
        <v>57.895434090846827</v>
      </c>
      <c r="NF35" s="1576">
        <f>'Paso 1.1'!L32*Tiempos!$L$31</f>
        <v>57.917868996941856</v>
      </c>
      <c r="NG35" s="1576">
        <f>'Paso 1.1'!M32*Tiempos!$L$31</f>
        <v>57.94031259672785</v>
      </c>
      <c r="NH35" s="1576">
        <f>'Paso 1.1'!N32*Tiempos!$L$31</f>
        <v>57.962764893573663</v>
      </c>
      <c r="NI35" s="1576">
        <f>'Paso 1.1'!O32*Tiempos!$L$31</f>
        <v>57.985225890849463</v>
      </c>
      <c r="NJ35" s="1576">
        <f>'Paso 1.1'!P32*Tiempos!$L$31</f>
        <v>58.007695591926748</v>
      </c>
      <c r="NK35" s="1576">
        <f>'Paso 1.1'!Q32*Tiempos!$L$31</f>
        <v>58.030174000178285</v>
      </c>
      <c r="NL35" s="1576">
        <f>'Paso 1.1'!R32*Tiempos!$L$31</f>
        <v>58.052661118978193</v>
      </c>
      <c r="NM35" s="1576">
        <f>'Paso 1.1'!S32*Tiempos!$L$31</f>
        <v>58.075156951701842</v>
      </c>
      <c r="NN35" s="1576">
        <f>'Paso 1.1'!T32*Tiempos!$L$31</f>
        <v>58.097661501725966</v>
      </c>
      <c r="NO35" s="1576">
        <f>'Paso 1.1'!U32*Tiempos!$L$31</f>
        <v>58.120174772428577</v>
      </c>
      <c r="NP35" s="1576"/>
      <c r="NQ35" s="1576"/>
      <c r="NR35" s="1576"/>
      <c r="NS35" s="1576"/>
      <c r="NT35" s="1576"/>
      <c r="NU35" s="1576"/>
      <c r="NV35" s="1576"/>
      <c r="NW35" s="1576"/>
      <c r="NX35" s="1576"/>
      <c r="NY35" s="1576"/>
      <c r="NZ35" s="1576"/>
      <c r="OA35" s="1576"/>
      <c r="OB35" s="1576"/>
      <c r="OC35" s="1576"/>
      <c r="OD35" s="1576"/>
      <c r="OE35" s="1576"/>
      <c r="OF35" s="1576"/>
      <c r="OG35" s="1576"/>
      <c r="OH35" s="1576"/>
      <c r="OI35" s="1576"/>
      <c r="OJ35" s="1576"/>
      <c r="OK35" s="1576"/>
      <c r="OL35" s="1576"/>
      <c r="OM35" s="1576"/>
      <c r="ON35" s="1576"/>
      <c r="OO35" s="1576"/>
      <c r="OP35" s="1576"/>
      <c r="OQ35" s="1576"/>
      <c r="OR35" s="1576"/>
      <c r="OS35" s="1576"/>
      <c r="OT35" s="1576"/>
      <c r="OU35" s="1576"/>
      <c r="OV35" s="1576"/>
      <c r="OW35" s="1576"/>
      <c r="OX35" s="1576"/>
      <c r="OY35" s="1576"/>
      <c r="OZ35" s="1576"/>
      <c r="PA35" s="1576"/>
      <c r="PB35" s="1576"/>
      <c r="PC35" s="1576"/>
      <c r="PD35" s="1576"/>
      <c r="PE35" s="1576"/>
      <c r="PF35" s="1576"/>
      <c r="PG35" s="1576"/>
      <c r="PH35" s="1576"/>
      <c r="PI35" s="1576"/>
      <c r="PJ35" s="1576"/>
      <c r="PK35" s="1576"/>
      <c r="PL35" s="1576"/>
      <c r="PM35" s="1576"/>
      <c r="PN35" s="1576"/>
      <c r="PO35" s="1576"/>
      <c r="PP35" s="1576"/>
      <c r="PQ35" s="1576"/>
      <c r="PR35" s="1576"/>
      <c r="PS35" s="1576"/>
      <c r="PT35" s="1576"/>
      <c r="PU35" s="1576"/>
      <c r="PV35" s="1576"/>
      <c r="PW35" s="1576"/>
      <c r="PX35" s="1576"/>
      <c r="PY35" s="1576"/>
      <c r="PZ35" s="1576"/>
      <c r="QA35" s="1576"/>
      <c r="QB35" s="1576"/>
      <c r="QC35" s="1576"/>
      <c r="QD35" s="1576"/>
      <c r="QE35" s="1576"/>
      <c r="QF35" s="1576"/>
      <c r="QG35" s="1576"/>
      <c r="QH35" s="1576"/>
      <c r="QI35" s="1576"/>
      <c r="QJ35" s="1576"/>
      <c r="QK35" s="1576"/>
      <c r="QL35" s="1576"/>
      <c r="QM35" s="1576"/>
      <c r="QN35" s="1576"/>
      <c r="QO35" s="1576"/>
      <c r="QP35" s="1576"/>
      <c r="QQ35" s="1576"/>
      <c r="QR35" s="1576"/>
      <c r="QS35" s="1576"/>
      <c r="QT35" s="1576"/>
      <c r="QU35" s="1576"/>
      <c r="QV35" s="1576"/>
      <c r="QW35" s="1576"/>
      <c r="QX35" s="1576"/>
      <c r="QY35" s="1576"/>
      <c r="QZ35" s="1576"/>
      <c r="RA35" s="1576"/>
      <c r="RB35" s="1576"/>
      <c r="RC35" s="1576"/>
      <c r="RD35" s="1576"/>
      <c r="RE35" s="1576"/>
      <c r="RF35" s="1576"/>
      <c r="RG35" s="1576"/>
      <c r="RH35" s="1576"/>
      <c r="RI35" s="1576"/>
      <c r="RJ35" s="1576"/>
      <c r="RK35" s="1576"/>
      <c r="RL35" s="1576"/>
      <c r="RM35" s="1576"/>
      <c r="RN35" s="1576"/>
      <c r="RO35" s="1576"/>
      <c r="RP35" s="1576"/>
      <c r="RQ35" s="1576"/>
      <c r="RR35" s="1576"/>
      <c r="RS35" s="1576"/>
      <c r="RT35" s="1576"/>
      <c r="RU35" s="1576"/>
      <c r="RV35" s="1576"/>
      <c r="RW35" s="1576"/>
      <c r="RX35" s="1576"/>
      <c r="RY35" s="1576"/>
      <c r="RZ35" s="1576"/>
      <c r="SA35" s="1576"/>
      <c r="SB35" s="1576"/>
      <c r="SC35" s="1576"/>
      <c r="SD35" s="1576"/>
      <c r="SE35" s="1576"/>
      <c r="SF35" s="1576"/>
      <c r="SG35" s="1576"/>
      <c r="SH35" s="1576"/>
      <c r="SI35" s="1576"/>
      <c r="SJ35" s="1576"/>
      <c r="SK35" s="1576"/>
      <c r="SL35" s="1576"/>
      <c r="SM35" s="1576"/>
      <c r="SN35" s="1576"/>
      <c r="SO35" s="1576"/>
      <c r="SP35" s="1576"/>
      <c r="SQ35" s="1576"/>
      <c r="SR35" s="1576"/>
      <c r="SS35" s="1576"/>
      <c r="ST35" s="1576"/>
      <c r="SU35" s="1576"/>
      <c r="SV35" s="1576"/>
      <c r="SW35" s="1576"/>
      <c r="SX35" s="1576"/>
      <c r="SY35" s="1576"/>
      <c r="SZ35" s="1576"/>
      <c r="TA35" s="1576"/>
      <c r="TB35" s="1576"/>
      <c r="TC35" s="1576"/>
      <c r="TD35" s="1576"/>
      <c r="TE35" s="1576"/>
      <c r="TF35" s="1576"/>
      <c r="TG35" s="1576"/>
      <c r="TH35" s="1576"/>
      <c r="TI35" s="1576"/>
      <c r="TJ35" s="1576"/>
      <c r="TK35" s="1576"/>
      <c r="TL35" s="1576"/>
      <c r="TM35" s="1576"/>
      <c r="TN35" s="1576"/>
      <c r="TO35" s="1576"/>
      <c r="TP35" s="1576"/>
      <c r="TQ35" s="1576"/>
      <c r="TR35" s="1576"/>
      <c r="TS35" s="1576"/>
      <c r="TT35" s="1576"/>
      <c r="TU35" s="1576"/>
      <c r="TV35" s="1576"/>
      <c r="TW35" s="1576"/>
      <c r="TX35" s="1576"/>
      <c r="TY35" s="1576"/>
      <c r="TZ35" s="1576"/>
      <c r="UA35" s="1576"/>
      <c r="UB35" s="1576"/>
      <c r="UC35" s="1576"/>
      <c r="UD35" s="1576"/>
      <c r="UE35" s="1576"/>
      <c r="UF35" s="1576"/>
      <c r="UG35" s="1576"/>
      <c r="UH35" s="1576"/>
      <c r="UI35" s="1576"/>
      <c r="UJ35" s="1576"/>
      <c r="UK35" s="1576"/>
      <c r="UL35" s="1576"/>
      <c r="UM35" s="1576"/>
      <c r="UN35" s="1576"/>
      <c r="UO35" s="1576"/>
      <c r="UP35" s="1576"/>
      <c r="UQ35" s="1576"/>
      <c r="UR35" s="1576"/>
      <c r="US35" s="1576"/>
      <c r="UT35" s="1576"/>
      <c r="UU35" s="1576"/>
      <c r="UV35" s="1576"/>
      <c r="UW35" s="1576"/>
      <c r="UX35" s="1576"/>
      <c r="UY35" s="1576"/>
      <c r="UZ35" s="1576"/>
      <c r="VA35" s="1576"/>
      <c r="VB35" s="1576"/>
      <c r="VC35" s="1576"/>
      <c r="VD35" s="1576"/>
      <c r="VE35" s="1576"/>
      <c r="VF35" s="1576"/>
      <c r="VG35" s="1576"/>
      <c r="VH35" s="1576"/>
      <c r="VI35" s="1576"/>
      <c r="VJ35" s="1576"/>
      <c r="VK35" s="1576"/>
    </row>
    <row r="36" spans="1:583" ht="27" x14ac:dyDescent="0.25">
      <c r="B36" s="1610" t="s">
        <v>629</v>
      </c>
      <c r="C36" s="1582" t="s">
        <v>2729</v>
      </c>
      <c r="D36" s="4710" t="s">
        <v>2092</v>
      </c>
      <c r="E36" s="4710">
        <v>0</v>
      </c>
      <c r="F36" s="1576"/>
      <c r="G36" s="1576"/>
      <c r="H36" s="1576"/>
      <c r="I36" s="1576"/>
      <c r="J36" s="1576"/>
      <c r="K36" s="1576"/>
      <c r="L36" s="1576"/>
      <c r="M36" s="1576"/>
      <c r="N36" s="1576"/>
      <c r="O36" s="1576"/>
      <c r="P36" s="1576"/>
      <c r="Q36" s="1576"/>
      <c r="R36" s="1576"/>
      <c r="S36" s="1576"/>
      <c r="T36" s="1576"/>
      <c r="U36" s="1576"/>
      <c r="V36" s="1576"/>
      <c r="W36" s="1576"/>
      <c r="X36" s="1576"/>
      <c r="Y36" s="1576"/>
      <c r="Z36" s="1576"/>
      <c r="AA36" s="1576"/>
      <c r="AB36" s="1576"/>
      <c r="AC36" s="1576"/>
      <c r="AD36" s="1576"/>
      <c r="AE36" s="1576"/>
      <c r="AF36" s="1576"/>
      <c r="AG36" s="1576"/>
      <c r="AH36" s="1576"/>
      <c r="AI36" s="1576"/>
      <c r="AJ36" s="1576"/>
      <c r="AK36" s="1576"/>
      <c r="AL36" s="1576"/>
      <c r="AM36" s="1576"/>
      <c r="AN36" s="1576"/>
      <c r="AO36" s="1576"/>
      <c r="AP36" s="1576"/>
      <c r="AQ36" s="1576"/>
      <c r="AR36" s="1576"/>
      <c r="AS36" s="1576"/>
      <c r="AT36" s="1576"/>
      <c r="AU36" s="1576"/>
      <c r="AV36" s="1576"/>
      <c r="AW36" s="1576"/>
      <c r="AX36" s="1576"/>
      <c r="AY36" s="1576"/>
      <c r="AZ36" s="1576"/>
      <c r="BA36" s="1576"/>
      <c r="BB36" s="1576"/>
      <c r="BC36" s="1576"/>
      <c r="BD36" s="1576"/>
      <c r="BE36" s="1576"/>
      <c r="BF36" s="1576"/>
      <c r="BG36" s="1576"/>
      <c r="BH36" s="1576"/>
      <c r="BI36" s="1576"/>
      <c r="BJ36" s="1576"/>
      <c r="BK36" s="1576"/>
      <c r="BL36" s="1576"/>
      <c r="BM36" s="1576"/>
      <c r="BN36" s="1576"/>
      <c r="BO36" s="1576"/>
      <c r="BP36" s="1576"/>
      <c r="BQ36" s="1576"/>
      <c r="BR36" s="1576"/>
      <c r="BS36" s="1576"/>
      <c r="BT36" s="1576"/>
      <c r="BU36" s="1576"/>
      <c r="BV36" s="1576"/>
      <c r="BW36" s="1576"/>
      <c r="BX36" s="1576"/>
      <c r="BY36" s="1576"/>
      <c r="BZ36" s="1576"/>
      <c r="CA36" s="1576"/>
      <c r="CB36" s="1576"/>
      <c r="CC36" s="1576"/>
      <c r="CD36" s="1576"/>
      <c r="CE36" s="1576"/>
      <c r="CF36" s="1576"/>
      <c r="CG36" s="1576"/>
      <c r="CH36" s="1576"/>
      <c r="CI36" s="1576"/>
      <c r="CJ36" s="1576"/>
      <c r="CK36" s="1576"/>
      <c r="CL36" s="1576"/>
      <c r="CM36" s="1576"/>
      <c r="CN36" s="1576"/>
      <c r="CO36" s="1576"/>
      <c r="CP36" s="1576"/>
      <c r="CQ36" s="1576"/>
      <c r="CR36" s="1576"/>
      <c r="CS36" s="1576"/>
      <c r="CT36" s="1576"/>
      <c r="CU36" s="1576"/>
      <c r="CV36" s="1576"/>
      <c r="CW36" s="1576"/>
      <c r="CX36" s="1576"/>
      <c r="CY36" s="1576"/>
      <c r="CZ36" s="1576"/>
      <c r="DA36" s="1576"/>
      <c r="DB36" s="1576"/>
      <c r="DC36" s="1576"/>
      <c r="DD36" s="1576"/>
      <c r="DE36" s="1576"/>
      <c r="DF36" s="1576"/>
      <c r="DG36" s="1576"/>
      <c r="DH36" s="1576"/>
      <c r="DI36" s="1576"/>
      <c r="DJ36" s="1576"/>
      <c r="DK36" s="1576"/>
      <c r="DL36" s="1576"/>
      <c r="DM36" s="1576"/>
      <c r="DN36" s="1576"/>
      <c r="DO36" s="1576"/>
      <c r="DP36" s="1576"/>
      <c r="DQ36" s="1576"/>
      <c r="DR36" s="1576"/>
      <c r="DS36" s="1576"/>
      <c r="DT36" s="1576"/>
      <c r="DU36" s="1576"/>
      <c r="DV36" s="1576"/>
      <c r="DW36" s="1576"/>
      <c r="DX36" s="1576"/>
      <c r="DY36" s="1576"/>
      <c r="DZ36" s="1576"/>
      <c r="EA36" s="1576"/>
      <c r="EB36" s="1576"/>
      <c r="EC36" s="1576"/>
      <c r="ED36" s="1576"/>
      <c r="EE36" s="1576"/>
      <c r="EF36" s="1576"/>
      <c r="EG36" s="1576"/>
      <c r="EH36" s="1576"/>
      <c r="EI36" s="1576"/>
      <c r="EJ36" s="1576"/>
      <c r="EK36" s="1576"/>
      <c r="EL36" s="1576"/>
      <c r="EM36" s="1576"/>
      <c r="EN36" s="1576"/>
      <c r="EO36" s="1576"/>
      <c r="EP36" s="1576"/>
      <c r="EQ36" s="1576"/>
      <c r="ER36" s="1576"/>
      <c r="ES36" s="1576"/>
      <c r="ET36" s="1576"/>
      <c r="EU36" s="1576"/>
      <c r="EV36" s="1576"/>
      <c r="EW36" s="1576"/>
      <c r="EX36" s="1576"/>
      <c r="EY36" s="1576"/>
      <c r="EZ36" s="1576"/>
      <c r="FA36" s="1576"/>
      <c r="FB36" s="1576"/>
      <c r="FC36" s="1576"/>
      <c r="FD36" s="1576"/>
      <c r="FE36" s="1576"/>
      <c r="FF36" s="1576"/>
      <c r="FG36" s="1576"/>
      <c r="FH36" s="1576"/>
      <c r="FI36" s="1576"/>
      <c r="FJ36" s="1576"/>
      <c r="FK36" s="1576"/>
      <c r="FL36" s="1576"/>
      <c r="FM36" s="1576"/>
      <c r="FN36" s="1576"/>
      <c r="FO36" s="1576"/>
      <c r="FP36" s="1576"/>
      <c r="FQ36" s="1576"/>
      <c r="FR36" s="1576"/>
      <c r="FS36" s="1576"/>
      <c r="FT36" s="1576"/>
      <c r="FU36" s="1576"/>
      <c r="FV36" s="1576"/>
      <c r="FW36" s="1576"/>
      <c r="FX36" s="1576"/>
      <c r="FY36" s="1576"/>
      <c r="FZ36" s="1576"/>
      <c r="GA36" s="1576"/>
      <c r="GB36" s="1576"/>
      <c r="GC36" s="1576"/>
      <c r="GD36" s="1576"/>
      <c r="GE36" s="1576"/>
      <c r="GF36" s="1576"/>
      <c r="GG36" s="1576"/>
      <c r="GH36" s="1576"/>
      <c r="GI36" s="1576"/>
      <c r="GJ36" s="1576"/>
      <c r="GK36" s="1576"/>
      <c r="GL36" s="1576"/>
      <c r="GM36" s="1576"/>
      <c r="GN36" s="1576"/>
      <c r="GO36" s="1576"/>
      <c r="GP36" s="1576"/>
      <c r="GQ36" s="1576"/>
      <c r="GR36" s="1576"/>
      <c r="GS36" s="1576"/>
      <c r="GT36" s="1576"/>
      <c r="GU36" s="1576"/>
      <c r="GV36" s="1576"/>
      <c r="GW36" s="1576"/>
      <c r="GX36" s="1576"/>
      <c r="GY36" s="1576"/>
      <c r="GZ36" s="1576"/>
      <c r="HA36" s="1576"/>
      <c r="HB36" s="1576"/>
      <c r="HC36" s="1576"/>
      <c r="HD36" s="1576"/>
      <c r="HE36" s="1576"/>
      <c r="HF36" s="1576"/>
      <c r="HG36" s="1576"/>
      <c r="HH36" s="1576"/>
      <c r="HI36" s="1576"/>
      <c r="HJ36" s="1576"/>
      <c r="HK36" s="1576"/>
      <c r="HL36" s="1576"/>
      <c r="HM36" s="1576"/>
      <c r="HN36" s="1576"/>
      <c r="HO36" s="1576"/>
      <c r="HP36" s="1576"/>
      <c r="HQ36" s="1576"/>
      <c r="HR36" s="1576"/>
      <c r="HS36" s="1576"/>
      <c r="HT36" s="1576"/>
      <c r="HU36" s="1576"/>
      <c r="HV36" s="1576"/>
      <c r="HW36" s="1576"/>
      <c r="HX36" s="1576"/>
      <c r="HY36" s="1576"/>
      <c r="HZ36" s="1576"/>
      <c r="IA36" s="1576"/>
      <c r="IB36" s="1576"/>
      <c r="IC36" s="1576"/>
      <c r="ID36" s="1576"/>
      <c r="IE36" s="1576"/>
      <c r="IF36" s="1576"/>
      <c r="IG36" s="1576"/>
      <c r="IH36" s="1576"/>
      <c r="II36" s="1576"/>
      <c r="IJ36" s="1576"/>
      <c r="IK36" s="1576"/>
      <c r="IL36" s="1576"/>
      <c r="IM36" s="1576"/>
      <c r="IN36" s="1576"/>
      <c r="IO36" s="1576"/>
      <c r="IP36" s="1576"/>
      <c r="IQ36" s="1576"/>
      <c r="IR36" s="1576"/>
      <c r="IS36" s="1576"/>
      <c r="IT36" s="1576"/>
      <c r="IU36" s="1576"/>
      <c r="IV36" s="1576"/>
      <c r="IW36" s="1576"/>
      <c r="IX36" s="1576"/>
      <c r="IY36" s="1576"/>
      <c r="IZ36" s="1576"/>
      <c r="JA36" s="2054"/>
      <c r="JB36" s="2054"/>
      <c r="JC36" s="2054"/>
      <c r="JD36" s="2054"/>
      <c r="JE36" s="2054"/>
      <c r="JF36" s="2054"/>
      <c r="JG36" s="2054"/>
      <c r="JH36" s="2054"/>
      <c r="JI36" s="2054"/>
      <c r="JJ36" s="2054"/>
      <c r="JK36" s="2054"/>
      <c r="JL36" s="2054"/>
      <c r="JM36" s="2054"/>
      <c r="JN36" s="2054"/>
      <c r="JO36" s="2054"/>
      <c r="JP36" s="2054"/>
      <c r="JQ36" s="2054"/>
      <c r="JR36" s="1576"/>
      <c r="JS36" s="1576"/>
      <c r="JT36" s="1576"/>
      <c r="JU36" s="1576"/>
      <c r="JV36" s="1576"/>
      <c r="JW36" s="1576"/>
      <c r="JX36" s="1576"/>
      <c r="JY36" s="1576"/>
      <c r="JZ36" s="1576"/>
      <c r="KA36" s="1576"/>
      <c r="KB36" s="1576"/>
      <c r="KC36" s="1576"/>
      <c r="KD36" s="1576"/>
      <c r="KE36" s="1576"/>
      <c r="KF36" s="1576"/>
      <c r="KG36" s="1576"/>
      <c r="KH36" s="1576"/>
      <c r="KI36" s="1576">
        <f>'Paso 1.1'!E34*Tiempos!$H$32</f>
        <v>140.13991078719712</v>
      </c>
      <c r="KJ36" s="1576">
        <f>'Paso 1.1'!F34*Tiempos!$H$32</f>
        <v>140.33363105723109</v>
      </c>
      <c r="KK36" s="1576">
        <f>'Paso 1.1'!G34*Tiempos!$H$32</f>
        <v>140.52748041963955</v>
      </c>
      <c r="KL36" s="1576">
        <f>'Paso 1.1'!H34*Tiempos!$H$32</f>
        <v>140.72145894538161</v>
      </c>
      <c r="KM36" s="1576">
        <f>'Paso 1.1'!I34*Tiempos!$H$32</f>
        <v>140.91556670545191</v>
      </c>
      <c r="KN36" s="1576">
        <f>'Paso 1.1'!J34*Tiempos!$H$32</f>
        <v>141.10980377088077</v>
      </c>
      <c r="KO36" s="1576">
        <f>'Paso 1.1'!K34*Tiempos!$H$32</f>
        <v>141.30417021273416</v>
      </c>
      <c r="KP36" s="1576">
        <f>'Paso 1.1'!L34*Tiempos!$H$32</f>
        <v>141.49866610211373</v>
      </c>
      <c r="KQ36" s="1576">
        <f>'Paso 1.1'!M34*Tiempos!$H$32</f>
        <v>141.69329151015671</v>
      </c>
      <c r="KR36" s="1576">
        <f>'Paso 1.1'!N34*Tiempos!$H$32</f>
        <v>141.88804650803607</v>
      </c>
      <c r="KS36" s="1576">
        <f>'Paso 1.1'!O34*Tiempos!$H$32</f>
        <v>142.08293116696058</v>
      </c>
      <c r="KT36" s="1576">
        <f>'Paso 1.1'!P34*Tiempos!$H$32</f>
        <v>142.27794555817462</v>
      </c>
      <c r="KU36" s="1576">
        <f>'Paso 1.1'!Q34*Tiempos!$H$32</f>
        <v>142.47308975295837</v>
      </c>
      <c r="KV36" s="1576">
        <f>'Paso 1.1'!R34*Tiempos!$H$32</f>
        <v>142.66836382262778</v>
      </c>
      <c r="KW36" s="1576">
        <f>'Paso 1.1'!S34*Tiempos!$H$32</f>
        <v>142.86376783853456</v>
      </c>
      <c r="KX36" s="1576">
        <f>'Paso 1.1'!T34*Tiempos!$H$32</f>
        <v>143.05930187206619</v>
      </c>
      <c r="KY36" s="1576">
        <f>'Paso 1.1'!U34*Tiempos!$H$32</f>
        <v>143.254965994646</v>
      </c>
      <c r="KZ36" s="1576"/>
      <c r="LA36" s="1576"/>
      <c r="LB36" s="1576"/>
      <c r="LC36" s="1576"/>
      <c r="LD36" s="1576"/>
      <c r="LE36" s="1576"/>
      <c r="LF36" s="1576"/>
      <c r="LG36" s="1576"/>
      <c r="LH36" s="1576"/>
      <c r="LI36" s="1576"/>
      <c r="LJ36" s="1576"/>
      <c r="LK36" s="1576"/>
      <c r="LL36" s="1576"/>
      <c r="LM36" s="1576"/>
      <c r="LN36" s="1576"/>
      <c r="LO36" s="1576"/>
      <c r="LP36" s="1576"/>
      <c r="LQ36" s="1576"/>
      <c r="LR36" s="1576"/>
      <c r="LS36" s="1576"/>
      <c r="LT36" s="1576"/>
      <c r="LU36" s="1576"/>
      <c r="LV36" s="1576"/>
      <c r="LW36" s="1576"/>
      <c r="LX36" s="1576"/>
      <c r="LY36" s="1576"/>
      <c r="LZ36" s="1576"/>
      <c r="MA36" s="1576"/>
      <c r="MB36" s="1576"/>
      <c r="MC36" s="1576"/>
      <c r="MD36" s="1576"/>
      <c r="ME36" s="1576"/>
      <c r="MF36" s="1576"/>
      <c r="MG36" s="1576"/>
      <c r="MH36" s="1576"/>
      <c r="MI36" s="1576"/>
      <c r="MJ36" s="1576"/>
      <c r="MK36" s="1576"/>
      <c r="ML36" s="1576"/>
      <c r="MM36" s="1576"/>
      <c r="MN36" s="1576"/>
      <c r="MO36" s="1576"/>
      <c r="MP36" s="1576"/>
      <c r="MQ36" s="1576"/>
      <c r="MR36" s="1576"/>
      <c r="MS36" s="1576"/>
      <c r="MT36" s="1576"/>
      <c r="MU36" s="1576"/>
      <c r="MV36" s="1576"/>
      <c r="MW36" s="1576"/>
      <c r="MX36" s="1576"/>
      <c r="MY36" s="1576">
        <f>'Paso 1.1'!E34*Tiempos!$L$32</f>
        <v>28.027982157439425</v>
      </c>
      <c r="MZ36" s="1576">
        <f>'Paso 1.1'!F34*Tiempos!$L$32</f>
        <v>28.06672621144622</v>
      </c>
      <c r="NA36" s="1576">
        <f>'Paso 1.1'!G34*Tiempos!$L$32</f>
        <v>28.10549608392791</v>
      </c>
      <c r="NB36" s="1576">
        <f>'Paso 1.1'!H34*Tiempos!$L$32</f>
        <v>28.144291789076323</v>
      </c>
      <c r="NC36" s="1576">
        <f>'Paso 1.1'!I34*Tiempos!$L$32</f>
        <v>28.183113341090383</v>
      </c>
      <c r="ND36" s="1576">
        <f>'Paso 1.1'!J34*Tiempos!$L$32</f>
        <v>28.221960754176155</v>
      </c>
      <c r="NE36" s="1576">
        <f>'Paso 1.1'!K34*Tiempos!$L$32</f>
        <v>28.260834042546833</v>
      </c>
      <c r="NF36" s="1576">
        <f>'Paso 1.1'!L34*Tiempos!$L$32</f>
        <v>28.299733220422748</v>
      </c>
      <c r="NG36" s="1576">
        <f>'Paso 1.1'!M34*Tiempos!$L$32</f>
        <v>28.338658302031345</v>
      </c>
      <c r="NH36" s="1576">
        <f>'Paso 1.1'!N34*Tiempos!$L$32</f>
        <v>28.377609301607215</v>
      </c>
      <c r="NI36" s="1576">
        <f>'Paso 1.1'!O34*Tiempos!$L$32</f>
        <v>28.416586233392117</v>
      </c>
      <c r="NJ36" s="1576">
        <f>'Paso 1.1'!P34*Tiempos!$L$32</f>
        <v>28.455589111634925</v>
      </c>
      <c r="NK36" s="1576">
        <f>'Paso 1.1'!Q34*Tiempos!$L$32</f>
        <v>28.494617950591675</v>
      </c>
      <c r="NL36" s="1576">
        <f>'Paso 1.1'!R34*Tiempos!$L$32</f>
        <v>28.533672764525559</v>
      </c>
      <c r="NM36" s="1576">
        <f>'Paso 1.1'!S34*Tiempos!$L$32</f>
        <v>28.572753567706911</v>
      </c>
      <c r="NN36" s="1576">
        <f>'Paso 1.1'!T34*Tiempos!$L$32</f>
        <v>28.61186037441324</v>
      </c>
      <c r="NO36" s="1576">
        <f>'Paso 1.1'!U34*Tiempos!$L$32</f>
        <v>28.6509931989292</v>
      </c>
      <c r="NP36" s="1576"/>
      <c r="NQ36" s="1576"/>
      <c r="NR36" s="1576"/>
      <c r="NS36" s="1576"/>
      <c r="NT36" s="1576"/>
      <c r="NU36" s="1576"/>
      <c r="NV36" s="1576"/>
      <c r="NW36" s="1576"/>
      <c r="NX36" s="1576"/>
      <c r="NY36" s="1576"/>
      <c r="NZ36" s="1576"/>
      <c r="OA36" s="1576"/>
      <c r="OB36" s="1576"/>
      <c r="OC36" s="1576"/>
      <c r="OD36" s="1576"/>
      <c r="OE36" s="1576"/>
      <c r="OF36" s="1576"/>
      <c r="OG36" s="1576"/>
      <c r="OH36" s="1576"/>
      <c r="OI36" s="1576"/>
      <c r="OJ36" s="1576"/>
      <c r="OK36" s="1576"/>
      <c r="OL36" s="1576"/>
      <c r="OM36" s="1576"/>
      <c r="ON36" s="1576"/>
      <c r="OO36" s="1576"/>
      <c r="OP36" s="1576"/>
      <c r="OQ36" s="1576"/>
      <c r="OR36" s="1576"/>
      <c r="OS36" s="1576"/>
      <c r="OT36" s="1576"/>
      <c r="OU36" s="1576"/>
      <c r="OV36" s="1576"/>
      <c r="OW36" s="1576"/>
      <c r="OX36" s="1576"/>
      <c r="OY36" s="1576"/>
      <c r="OZ36" s="1576"/>
      <c r="PA36" s="1576"/>
      <c r="PB36" s="1576"/>
      <c r="PC36" s="1576"/>
      <c r="PD36" s="1576"/>
      <c r="PE36" s="1576"/>
      <c r="PF36" s="1576"/>
      <c r="PG36" s="1576"/>
      <c r="PH36" s="1576"/>
      <c r="PI36" s="1576"/>
      <c r="PJ36" s="1576"/>
      <c r="PK36" s="1576"/>
      <c r="PL36" s="1576"/>
      <c r="PM36" s="1576"/>
      <c r="PN36" s="1576"/>
      <c r="PO36" s="1576"/>
      <c r="PP36" s="1576"/>
      <c r="PQ36" s="1576"/>
      <c r="PR36" s="1576"/>
      <c r="PS36" s="1576"/>
      <c r="PT36" s="1576"/>
      <c r="PU36" s="1576"/>
      <c r="PV36" s="1576"/>
      <c r="PW36" s="1576"/>
      <c r="PX36" s="1576"/>
      <c r="PY36" s="1576"/>
      <c r="PZ36" s="1576"/>
      <c r="QA36" s="1576"/>
      <c r="QB36" s="1576"/>
      <c r="QC36" s="1576"/>
      <c r="QD36" s="1576"/>
      <c r="QE36" s="1576"/>
      <c r="QF36" s="1576"/>
      <c r="QG36" s="1576"/>
      <c r="QH36" s="1576"/>
      <c r="QI36" s="1576"/>
      <c r="QJ36" s="1576"/>
      <c r="QK36" s="1576"/>
      <c r="QL36" s="1576"/>
      <c r="QM36" s="1576"/>
      <c r="QN36" s="1576"/>
      <c r="QO36" s="1576"/>
      <c r="QP36" s="1576"/>
      <c r="QQ36" s="1576"/>
      <c r="QR36" s="1576"/>
      <c r="QS36" s="1576"/>
      <c r="QT36" s="1576"/>
      <c r="QU36" s="1576"/>
      <c r="QV36" s="1576"/>
      <c r="QW36" s="1576"/>
      <c r="QX36" s="1576"/>
      <c r="QY36" s="1576"/>
      <c r="QZ36" s="1576"/>
      <c r="RA36" s="1576"/>
      <c r="RB36" s="1576"/>
      <c r="RC36" s="1576"/>
      <c r="RD36" s="1576"/>
      <c r="RE36" s="1576"/>
      <c r="RF36" s="1576"/>
      <c r="RG36" s="1576"/>
      <c r="RH36" s="1576"/>
      <c r="RI36" s="1576"/>
      <c r="RJ36" s="1576"/>
      <c r="RK36" s="1576"/>
      <c r="RL36" s="1576"/>
      <c r="RM36" s="1576"/>
      <c r="RN36" s="1576"/>
      <c r="RO36" s="1576"/>
      <c r="RP36" s="1576"/>
      <c r="RQ36" s="1576"/>
      <c r="RR36" s="1576"/>
      <c r="RS36" s="1576"/>
      <c r="RT36" s="1576"/>
      <c r="RU36" s="1576"/>
      <c r="RV36" s="1576"/>
      <c r="RW36" s="1576"/>
      <c r="RX36" s="1576"/>
      <c r="RY36" s="1576"/>
      <c r="RZ36" s="1576"/>
      <c r="SA36" s="1576"/>
      <c r="SB36" s="1576"/>
      <c r="SC36" s="1576"/>
      <c r="SD36" s="1576"/>
      <c r="SE36" s="1576"/>
      <c r="SF36" s="1576"/>
      <c r="SG36" s="1576"/>
      <c r="SH36" s="1576"/>
      <c r="SI36" s="1576"/>
      <c r="SJ36" s="1576"/>
      <c r="SK36" s="1576"/>
      <c r="SL36" s="1576"/>
      <c r="SM36" s="1576"/>
      <c r="SN36" s="1576"/>
      <c r="SO36" s="1576"/>
      <c r="SP36" s="1576"/>
      <c r="SQ36" s="1576"/>
      <c r="SR36" s="1576"/>
      <c r="SS36" s="1576"/>
      <c r="ST36" s="1576"/>
      <c r="SU36" s="1576"/>
      <c r="SV36" s="1576"/>
      <c r="SW36" s="1576"/>
      <c r="SX36" s="1576"/>
      <c r="SY36" s="1576"/>
      <c r="SZ36" s="1576"/>
      <c r="TA36" s="1576"/>
      <c r="TB36" s="1576"/>
      <c r="TC36" s="1576"/>
      <c r="TD36" s="1576"/>
      <c r="TE36" s="1576"/>
      <c r="TF36" s="1576"/>
      <c r="TG36" s="1576"/>
      <c r="TH36" s="1576"/>
      <c r="TI36" s="1576"/>
      <c r="TJ36" s="1576"/>
      <c r="TK36" s="1576"/>
      <c r="TL36" s="1576"/>
      <c r="TM36" s="1576"/>
      <c r="TN36" s="1576"/>
      <c r="TO36" s="1576"/>
      <c r="TP36" s="1576"/>
      <c r="TQ36" s="1576"/>
      <c r="TR36" s="1576"/>
      <c r="TS36" s="1576"/>
      <c r="TT36" s="1576"/>
      <c r="TU36" s="1576"/>
      <c r="TV36" s="1576"/>
      <c r="TW36" s="1576"/>
      <c r="TX36" s="1576"/>
      <c r="TY36" s="1576"/>
      <c r="TZ36" s="1576"/>
      <c r="UA36" s="1576"/>
      <c r="UB36" s="1576"/>
      <c r="UC36" s="1576"/>
      <c r="UD36" s="1576"/>
      <c r="UE36" s="1576"/>
      <c r="UF36" s="1576"/>
      <c r="UG36" s="1576"/>
      <c r="UH36" s="1576"/>
      <c r="UI36" s="1576"/>
      <c r="UJ36" s="1576"/>
      <c r="UK36" s="1576"/>
      <c r="UL36" s="1576"/>
      <c r="UM36" s="1576"/>
      <c r="UN36" s="1576"/>
      <c r="UO36" s="1576"/>
      <c r="UP36" s="1576"/>
      <c r="UQ36" s="1576"/>
      <c r="UR36" s="1576"/>
      <c r="US36" s="1576"/>
      <c r="UT36" s="1576"/>
      <c r="UU36" s="1576"/>
      <c r="UV36" s="1576"/>
      <c r="UW36" s="1576"/>
      <c r="UX36" s="1576"/>
      <c r="UY36" s="1576"/>
      <c r="UZ36" s="1576"/>
      <c r="VA36" s="1576"/>
      <c r="VB36" s="1576"/>
      <c r="VC36" s="1576"/>
      <c r="VD36" s="1576"/>
      <c r="VE36" s="1576"/>
      <c r="VF36" s="1576"/>
      <c r="VG36" s="1576"/>
      <c r="VH36" s="1576"/>
      <c r="VI36" s="1576"/>
      <c r="VJ36" s="1576"/>
      <c r="VK36" s="1576"/>
    </row>
    <row r="37" spans="1:583" ht="27" x14ac:dyDescent="0.25">
      <c r="B37" s="1610" t="s">
        <v>629</v>
      </c>
      <c r="C37" s="1582" t="s">
        <v>2729</v>
      </c>
      <c r="D37" s="4710" t="s">
        <v>46</v>
      </c>
      <c r="E37" s="4710">
        <v>0</v>
      </c>
      <c r="F37" s="1576"/>
      <c r="G37" s="1576"/>
      <c r="H37" s="1576"/>
      <c r="I37" s="1576"/>
      <c r="J37" s="1576"/>
      <c r="K37" s="1576"/>
      <c r="L37" s="1576"/>
      <c r="M37" s="1576"/>
      <c r="N37" s="1576"/>
      <c r="O37" s="1576"/>
      <c r="P37" s="1576"/>
      <c r="Q37" s="1576"/>
      <c r="R37" s="1576"/>
      <c r="S37" s="1576"/>
      <c r="T37" s="1576"/>
      <c r="U37" s="1576"/>
      <c r="V37" s="1576"/>
      <c r="W37" s="1576"/>
      <c r="X37" s="1576"/>
      <c r="Y37" s="1576"/>
      <c r="Z37" s="1576"/>
      <c r="AA37" s="1576"/>
      <c r="AB37" s="1576"/>
      <c r="AC37" s="1576"/>
      <c r="AD37" s="1576"/>
      <c r="AE37" s="1576"/>
      <c r="AF37" s="1576"/>
      <c r="AG37" s="1576"/>
      <c r="AH37" s="1576"/>
      <c r="AI37" s="1576"/>
      <c r="AJ37" s="1576"/>
      <c r="AK37" s="1576"/>
      <c r="AL37" s="1576"/>
      <c r="AM37" s="1576"/>
      <c r="AN37" s="1576"/>
      <c r="AO37" s="1576"/>
      <c r="AP37" s="1576"/>
      <c r="AQ37" s="1576"/>
      <c r="AR37" s="1576"/>
      <c r="AS37" s="1576"/>
      <c r="AT37" s="1576"/>
      <c r="AU37" s="1576"/>
      <c r="AV37" s="1576"/>
      <c r="AW37" s="1576"/>
      <c r="AX37" s="1576"/>
      <c r="AY37" s="1576"/>
      <c r="AZ37" s="1576"/>
      <c r="BA37" s="1576"/>
      <c r="BB37" s="1576"/>
      <c r="BC37" s="1576"/>
      <c r="BD37" s="1576"/>
      <c r="BE37" s="1576"/>
      <c r="BF37" s="1576"/>
      <c r="BG37" s="1576"/>
      <c r="BH37" s="1576"/>
      <c r="BI37" s="1576"/>
      <c r="BJ37" s="1576"/>
      <c r="BK37" s="1576"/>
      <c r="BL37" s="1576"/>
      <c r="BM37" s="1576"/>
      <c r="BN37" s="1576"/>
      <c r="BO37" s="1576"/>
      <c r="BP37" s="1576"/>
      <c r="BQ37" s="1576"/>
      <c r="BR37" s="1576"/>
      <c r="BS37" s="1576"/>
      <c r="BT37" s="1576"/>
      <c r="BU37" s="1576"/>
      <c r="BV37" s="1576"/>
      <c r="BW37" s="1576"/>
      <c r="BX37" s="1576"/>
      <c r="BY37" s="1576"/>
      <c r="BZ37" s="1576"/>
      <c r="CA37" s="1576"/>
      <c r="CB37" s="1576"/>
      <c r="CC37" s="1576"/>
      <c r="CD37" s="1576"/>
      <c r="CE37" s="1576"/>
      <c r="CF37" s="1576"/>
      <c r="CG37" s="1576"/>
      <c r="CH37" s="1576"/>
      <c r="CI37" s="1576"/>
      <c r="CJ37" s="1576"/>
      <c r="CK37" s="1576"/>
      <c r="CL37" s="1576"/>
      <c r="CM37" s="1576"/>
      <c r="CN37" s="1576"/>
      <c r="CO37" s="1576"/>
      <c r="CP37" s="1576"/>
      <c r="CQ37" s="1576"/>
      <c r="CR37" s="1576"/>
      <c r="CS37" s="1576"/>
      <c r="CT37" s="1576"/>
      <c r="CU37" s="1576"/>
      <c r="CV37" s="1576"/>
      <c r="CW37" s="1576"/>
      <c r="CX37" s="1576"/>
      <c r="CY37" s="1576"/>
      <c r="CZ37" s="1576"/>
      <c r="DA37" s="1576"/>
      <c r="DB37" s="1576"/>
      <c r="DC37" s="1576"/>
      <c r="DD37" s="1576"/>
      <c r="DE37" s="1576"/>
      <c r="DF37" s="1576"/>
      <c r="DG37" s="1576"/>
      <c r="DH37" s="1576"/>
      <c r="DI37" s="1576"/>
      <c r="DJ37" s="1576"/>
      <c r="DK37" s="1576"/>
      <c r="DL37" s="1576"/>
      <c r="DM37" s="1576"/>
      <c r="DN37" s="1576"/>
      <c r="DO37" s="1576"/>
      <c r="DP37" s="1576"/>
      <c r="DQ37" s="1576"/>
      <c r="DR37" s="1576"/>
      <c r="DS37" s="1576"/>
      <c r="DT37" s="1576"/>
      <c r="DU37" s="1576"/>
      <c r="DV37" s="1576"/>
      <c r="DW37" s="1576"/>
      <c r="DX37" s="1576"/>
      <c r="DY37" s="1576"/>
      <c r="DZ37" s="1576"/>
      <c r="EA37" s="1576"/>
      <c r="EB37" s="1576"/>
      <c r="EC37" s="1576"/>
      <c r="ED37" s="1576"/>
      <c r="EE37" s="1576"/>
      <c r="EF37" s="1576"/>
      <c r="EG37" s="1576"/>
      <c r="EH37" s="1576"/>
      <c r="EI37" s="1576"/>
      <c r="EJ37" s="1576"/>
      <c r="EK37" s="1576"/>
      <c r="EL37" s="1576"/>
      <c r="EM37" s="1576"/>
      <c r="EN37" s="1576"/>
      <c r="EO37" s="1576"/>
      <c r="EP37" s="1576"/>
      <c r="EQ37" s="1576"/>
      <c r="ER37" s="1576"/>
      <c r="ES37" s="1576"/>
      <c r="ET37" s="1576"/>
      <c r="EU37" s="1576"/>
      <c r="EV37" s="1576"/>
      <c r="EW37" s="1576"/>
      <c r="EX37" s="1576"/>
      <c r="EY37" s="1576"/>
      <c r="EZ37" s="1576"/>
      <c r="FA37" s="1576"/>
      <c r="FB37" s="1576"/>
      <c r="FC37" s="1576"/>
      <c r="FD37" s="1576"/>
      <c r="FE37" s="1576"/>
      <c r="FF37" s="1576"/>
      <c r="FG37" s="1576"/>
      <c r="FH37" s="1576"/>
      <c r="FI37" s="1576"/>
      <c r="FJ37" s="1576"/>
      <c r="FK37" s="1576"/>
      <c r="FL37" s="1576"/>
      <c r="FM37" s="1576"/>
      <c r="FN37" s="1576"/>
      <c r="FO37" s="1576"/>
      <c r="FP37" s="1576"/>
      <c r="FQ37" s="1576"/>
      <c r="FR37" s="1576"/>
      <c r="FS37" s="1576"/>
      <c r="FT37" s="1576"/>
      <c r="FU37" s="1576"/>
      <c r="FV37" s="1576"/>
      <c r="FW37" s="1576"/>
      <c r="FX37" s="1576"/>
      <c r="FY37" s="1576"/>
      <c r="FZ37" s="1576"/>
      <c r="GA37" s="1576"/>
      <c r="GB37" s="1576"/>
      <c r="GC37" s="1576"/>
      <c r="GD37" s="1576"/>
      <c r="GE37" s="1576"/>
      <c r="GF37" s="1576"/>
      <c r="GG37" s="1576"/>
      <c r="GH37" s="1576"/>
      <c r="GI37" s="1576"/>
      <c r="GJ37" s="1576"/>
      <c r="GK37" s="1576"/>
      <c r="GL37" s="1576"/>
      <c r="GM37" s="1576"/>
      <c r="GN37" s="1576"/>
      <c r="GO37" s="1576"/>
      <c r="GP37" s="1576"/>
      <c r="GQ37" s="1576"/>
      <c r="GR37" s="1576"/>
      <c r="GS37" s="1576"/>
      <c r="GT37" s="1576"/>
      <c r="GU37" s="1576"/>
      <c r="GV37" s="1576"/>
      <c r="GW37" s="1576"/>
      <c r="GX37" s="1576"/>
      <c r="GY37" s="1576"/>
      <c r="GZ37" s="1576"/>
      <c r="HA37" s="1576"/>
      <c r="HB37" s="1576"/>
      <c r="HC37" s="1576"/>
      <c r="HD37" s="1576"/>
      <c r="HE37" s="1576"/>
      <c r="HF37" s="1576"/>
      <c r="HG37" s="1576"/>
      <c r="HH37" s="1576"/>
      <c r="HI37" s="1576"/>
      <c r="HJ37" s="1576"/>
      <c r="HK37" s="1576"/>
      <c r="HL37" s="1576"/>
      <c r="HM37" s="1576"/>
      <c r="HN37" s="1576"/>
      <c r="HO37" s="1576"/>
      <c r="HP37" s="1576"/>
      <c r="HQ37" s="1576"/>
      <c r="HR37" s="1576"/>
      <c r="HS37" s="1576"/>
      <c r="HT37" s="1576"/>
      <c r="HU37" s="1576"/>
      <c r="HV37" s="1576"/>
      <c r="HW37" s="1576"/>
      <c r="HX37" s="1576"/>
      <c r="HY37" s="1576"/>
      <c r="HZ37" s="1576"/>
      <c r="IA37" s="1576"/>
      <c r="IB37" s="1576"/>
      <c r="IC37" s="1576"/>
      <c r="ID37" s="1576"/>
      <c r="IE37" s="1576"/>
      <c r="IF37" s="1576"/>
      <c r="IG37" s="1576"/>
      <c r="IH37" s="1576"/>
      <c r="II37" s="1576"/>
      <c r="IJ37" s="1576"/>
      <c r="IK37" s="1576"/>
      <c r="IL37" s="1576"/>
      <c r="IM37" s="1576"/>
      <c r="IN37" s="1576"/>
      <c r="IO37" s="1576"/>
      <c r="IP37" s="1576"/>
      <c r="IQ37" s="1576"/>
      <c r="IR37" s="1576"/>
      <c r="IS37" s="1576"/>
      <c r="IT37" s="1576"/>
      <c r="IU37" s="1576"/>
      <c r="IV37" s="1576"/>
      <c r="IW37" s="1576"/>
      <c r="IX37" s="1576"/>
      <c r="IY37" s="1576"/>
      <c r="IZ37" s="1576"/>
      <c r="JA37" s="2054"/>
      <c r="JB37" s="2054"/>
      <c r="JC37" s="2054"/>
      <c r="JD37" s="2054"/>
      <c r="JE37" s="2054"/>
      <c r="JF37" s="2054"/>
      <c r="JG37" s="2054"/>
      <c r="JH37" s="2054"/>
      <c r="JI37" s="2054"/>
      <c r="JJ37" s="2054"/>
      <c r="JK37" s="2054"/>
      <c r="JL37" s="2054"/>
      <c r="JM37" s="2054"/>
      <c r="JN37" s="2054"/>
      <c r="JO37" s="2054"/>
      <c r="JP37" s="2054"/>
      <c r="JQ37" s="2054"/>
      <c r="JR37" s="1576">
        <f>'Paso 1.1'!E33*Tiempos!$H$33</f>
        <v>90.683710016055286</v>
      </c>
      <c r="JS37" s="1576">
        <f>'Paso 1.1'!F33*Tiempos!$H$33</f>
        <v>90.718850619982135</v>
      </c>
      <c r="JT37" s="1576">
        <f>'Paso 1.1'!G33*Tiempos!$H$33</f>
        <v>90.754004841151215</v>
      </c>
      <c r="JU37" s="1576">
        <f>'Paso 1.1'!H33*Tiempos!$H$33</f>
        <v>90.789172684839286</v>
      </c>
      <c r="JV37" s="1576">
        <f>'Paso 1.1'!I33*Tiempos!$H$33</f>
        <v>90.824354156325171</v>
      </c>
      <c r="JW37" s="1576">
        <f>'Paso 1.1'!J33*Tiempos!$H$33</f>
        <v>90.859549260889764</v>
      </c>
      <c r="JX37" s="1576">
        <f>'Paso 1.1'!K33*Tiempos!$H$33</f>
        <v>90.894758003815951</v>
      </c>
      <c r="JY37" s="1576">
        <f>'Paso 1.1'!L33*Tiempos!$H$33</f>
        <v>90.929980390388735</v>
      </c>
      <c r="JZ37" s="1576">
        <f>'Paso 1.1'!M33*Tiempos!$H$33</f>
        <v>90.965216425895107</v>
      </c>
      <c r="KA37" s="1576">
        <f>'Paso 1.1'!N33*Tiempos!$H$33</f>
        <v>91.000466115624135</v>
      </c>
      <c r="KB37" s="1576">
        <f>'Paso 1.1'!O33*Tiempos!$H$33</f>
        <v>91.035729464866918</v>
      </c>
      <c r="KC37" s="1576">
        <f>'Paso 1.1'!P33*Tiempos!$H$33</f>
        <v>91.07100647891663</v>
      </c>
      <c r="KD37" s="1576">
        <f>'Paso 1.1'!Q33*Tiempos!$H$33</f>
        <v>91.10629716306849</v>
      </c>
      <c r="KE37" s="1576">
        <f>'Paso 1.1'!R33*Tiempos!$H$33</f>
        <v>91.141601522619766</v>
      </c>
      <c r="KF37" s="1576">
        <f>'Paso 1.1'!S33*Tiempos!$H$33</f>
        <v>91.176919562869756</v>
      </c>
      <c r="KG37" s="1576">
        <f>'Paso 1.1'!T33*Tiempos!$H$33</f>
        <v>91.212251289119848</v>
      </c>
      <c r="KH37" s="1576">
        <f>'Paso 1.1'!U33*Tiempos!$H$33</f>
        <v>91.247596706673463</v>
      </c>
      <c r="KI37" s="1576"/>
      <c r="KJ37" s="1576"/>
      <c r="KK37" s="1576"/>
      <c r="KL37" s="1576"/>
      <c r="KM37" s="1576"/>
      <c r="KN37" s="1576"/>
      <c r="KO37" s="1576"/>
      <c r="KP37" s="1576"/>
      <c r="KQ37" s="1576"/>
      <c r="KR37" s="1576"/>
      <c r="KS37" s="1576"/>
      <c r="KT37" s="1576"/>
      <c r="KU37" s="1576"/>
      <c r="KV37" s="1576"/>
      <c r="KW37" s="1576"/>
      <c r="KX37" s="1576"/>
      <c r="KY37" s="1576"/>
      <c r="KZ37" s="1576"/>
      <c r="LA37" s="1576"/>
      <c r="LB37" s="1576"/>
      <c r="LC37" s="1576"/>
      <c r="LD37" s="1576"/>
      <c r="LE37" s="1576"/>
      <c r="LF37" s="1576"/>
      <c r="LG37" s="1576"/>
      <c r="LH37" s="1576"/>
      <c r="LI37" s="1576"/>
      <c r="LJ37" s="1576"/>
      <c r="LK37" s="1576"/>
      <c r="LL37" s="1576"/>
      <c r="LM37" s="1576"/>
      <c r="LN37" s="1576"/>
      <c r="LO37" s="1576"/>
      <c r="LP37" s="1576"/>
      <c r="LQ37" s="1576"/>
      <c r="LR37" s="1576"/>
      <c r="LS37" s="1576"/>
      <c r="LT37" s="1576"/>
      <c r="LU37" s="1576"/>
      <c r="LV37" s="1576"/>
      <c r="LW37" s="1576"/>
      <c r="LX37" s="1576"/>
      <c r="LY37" s="1576"/>
      <c r="LZ37" s="1576"/>
      <c r="MA37" s="1576"/>
      <c r="MB37" s="1576"/>
      <c r="MC37" s="1576"/>
      <c r="MD37" s="1576"/>
      <c r="ME37" s="1576"/>
      <c r="MF37" s="1576"/>
      <c r="MG37" s="1576"/>
      <c r="MH37" s="1576"/>
      <c r="MI37" s="1576"/>
      <c r="MJ37" s="1576"/>
      <c r="MK37" s="1576"/>
      <c r="ML37" s="1576"/>
      <c r="MM37" s="1576"/>
      <c r="MN37" s="1576"/>
      <c r="MO37" s="1576"/>
      <c r="MP37" s="1576"/>
      <c r="MQ37" s="1576"/>
      <c r="MR37" s="1576"/>
      <c r="MS37" s="1576"/>
      <c r="MT37" s="1576"/>
      <c r="MU37" s="1576"/>
      <c r="MV37" s="1576"/>
      <c r="MW37" s="1576"/>
      <c r="MX37" s="1576"/>
      <c r="MY37" s="1576">
        <f>'Paso 1.1'!E33*Tiempos!$L$33</f>
        <v>18.136742003211058</v>
      </c>
      <c r="MZ37" s="1576">
        <f>'Paso 1.1'!F33*Tiempos!$L$33</f>
        <v>18.143770123996429</v>
      </c>
      <c r="NA37" s="1576">
        <f>'Paso 1.1'!G33*Tiempos!$L$33</f>
        <v>18.150800968230243</v>
      </c>
      <c r="NB37" s="1576">
        <f>'Paso 1.1'!H33*Tiempos!$L$33</f>
        <v>18.157834536967858</v>
      </c>
      <c r="NC37" s="1576">
        <f>'Paso 1.1'!I33*Tiempos!$L$33</f>
        <v>18.164870831265034</v>
      </c>
      <c r="ND37" s="1576">
        <f>'Paso 1.1'!J33*Tiempos!$L$33</f>
        <v>18.171909852177954</v>
      </c>
      <c r="NE37" s="1576">
        <f>'Paso 1.1'!K33*Tiempos!$L$33</f>
        <v>18.178951600763192</v>
      </c>
      <c r="NF37" s="1576">
        <f>'Paso 1.1'!L33*Tiempos!$L$33</f>
        <v>18.185996078077746</v>
      </c>
      <c r="NG37" s="1576">
        <f>'Paso 1.1'!M33*Tiempos!$L$33</f>
        <v>18.193043285179023</v>
      </c>
      <c r="NH37" s="1576">
        <f>'Paso 1.1'!N33*Tiempos!$L$33</f>
        <v>18.200093223124828</v>
      </c>
      <c r="NI37" s="1576">
        <f>'Paso 1.1'!O33*Tiempos!$L$33</f>
        <v>18.207145892973383</v>
      </c>
      <c r="NJ37" s="1576">
        <f>'Paso 1.1'!P33*Tiempos!$L$33</f>
        <v>18.214201295783326</v>
      </c>
      <c r="NK37" s="1576">
        <f>'Paso 1.1'!Q33*Tiempos!$L$33</f>
        <v>18.221259432613699</v>
      </c>
      <c r="NL37" s="1576">
        <f>'Paso 1.1'!R33*Tiempos!$L$33</f>
        <v>18.228320304523955</v>
      </c>
      <c r="NM37" s="1576">
        <f>'Paso 1.1'!S33*Tiempos!$L$33</f>
        <v>18.235383912573951</v>
      </c>
      <c r="NN37" s="1576">
        <f>'Paso 1.1'!T33*Tiempos!$L$33</f>
        <v>18.242450257823972</v>
      </c>
      <c r="NO37" s="1576">
        <f>'Paso 1.1'!U33*Tiempos!$L$33</f>
        <v>18.249519341334693</v>
      </c>
      <c r="NP37" s="1576"/>
      <c r="NQ37" s="1576"/>
      <c r="NR37" s="1576"/>
      <c r="NS37" s="1576"/>
      <c r="NT37" s="1576"/>
      <c r="NU37" s="1576"/>
      <c r="NV37" s="1576"/>
      <c r="NW37" s="1576"/>
      <c r="NX37" s="1576"/>
      <c r="NY37" s="1576"/>
      <c r="NZ37" s="1576"/>
      <c r="OA37" s="1576"/>
      <c r="OB37" s="1576"/>
      <c r="OC37" s="1576"/>
      <c r="OD37" s="1576"/>
      <c r="OE37" s="1576"/>
      <c r="OF37" s="1576"/>
      <c r="OG37" s="1576"/>
      <c r="OH37" s="1576"/>
      <c r="OI37" s="1576"/>
      <c r="OJ37" s="1576"/>
      <c r="OK37" s="1576"/>
      <c r="OL37" s="1576"/>
      <c r="OM37" s="1576"/>
      <c r="ON37" s="1576"/>
      <c r="OO37" s="1576"/>
      <c r="OP37" s="1576"/>
      <c r="OQ37" s="1576"/>
      <c r="OR37" s="1576"/>
      <c r="OS37" s="1576"/>
      <c r="OT37" s="1576"/>
      <c r="OU37" s="1576"/>
      <c r="OV37" s="1576"/>
      <c r="OW37" s="1576"/>
      <c r="OX37" s="1576"/>
      <c r="OY37" s="1576"/>
      <c r="OZ37" s="1576"/>
      <c r="PA37" s="1576"/>
      <c r="PB37" s="1576"/>
      <c r="PC37" s="1576"/>
      <c r="PD37" s="1576"/>
      <c r="PE37" s="1576"/>
      <c r="PF37" s="1576"/>
      <c r="PG37" s="1576"/>
      <c r="PH37" s="1576"/>
      <c r="PI37" s="1576"/>
      <c r="PJ37" s="1576"/>
      <c r="PK37" s="1576"/>
      <c r="PL37" s="1576"/>
      <c r="PM37" s="1576"/>
      <c r="PN37" s="1576"/>
      <c r="PO37" s="1576"/>
      <c r="PP37" s="1576"/>
      <c r="PQ37" s="1576"/>
      <c r="PR37" s="1576"/>
      <c r="PS37" s="1576"/>
      <c r="PT37" s="1576"/>
      <c r="PU37" s="1576"/>
      <c r="PV37" s="1576"/>
      <c r="PW37" s="1576"/>
      <c r="PX37" s="1576"/>
      <c r="PY37" s="1576"/>
      <c r="PZ37" s="1576"/>
      <c r="QA37" s="1576"/>
      <c r="QB37" s="1576"/>
      <c r="QC37" s="1576"/>
      <c r="QD37" s="1576"/>
      <c r="QE37" s="1576"/>
      <c r="QF37" s="1576"/>
      <c r="QG37" s="1576"/>
      <c r="QH37" s="1576"/>
      <c r="QI37" s="1576"/>
      <c r="QJ37" s="1576"/>
      <c r="QK37" s="1576"/>
      <c r="QL37" s="1576"/>
      <c r="QM37" s="1576"/>
      <c r="QN37" s="1576"/>
      <c r="QO37" s="1576"/>
      <c r="QP37" s="1576"/>
      <c r="QQ37" s="1576"/>
      <c r="QR37" s="1576"/>
      <c r="QS37" s="1576"/>
      <c r="QT37" s="1576"/>
      <c r="QU37" s="1576"/>
      <c r="QV37" s="1576"/>
      <c r="QW37" s="1576"/>
      <c r="QX37" s="1576"/>
      <c r="QY37" s="1576"/>
      <c r="QZ37" s="1576"/>
      <c r="RA37" s="1576"/>
      <c r="RB37" s="1576"/>
      <c r="RC37" s="1576"/>
      <c r="RD37" s="1576"/>
      <c r="RE37" s="1576"/>
      <c r="RF37" s="1576"/>
      <c r="RG37" s="1576"/>
      <c r="RH37" s="1576"/>
      <c r="RI37" s="1576"/>
      <c r="RJ37" s="1576"/>
      <c r="RK37" s="1576"/>
      <c r="RL37" s="1576"/>
      <c r="RM37" s="1576"/>
      <c r="RN37" s="1576"/>
      <c r="RO37" s="1576"/>
      <c r="RP37" s="1576"/>
      <c r="RQ37" s="1576"/>
      <c r="RR37" s="1576"/>
      <c r="RS37" s="1576"/>
      <c r="RT37" s="1576"/>
      <c r="RU37" s="1576"/>
      <c r="RV37" s="1576"/>
      <c r="RW37" s="1576"/>
      <c r="RX37" s="1576"/>
      <c r="RY37" s="1576"/>
      <c r="RZ37" s="1576"/>
      <c r="SA37" s="1576"/>
      <c r="SB37" s="1576"/>
      <c r="SC37" s="1576"/>
      <c r="SD37" s="1576"/>
      <c r="SE37" s="1576"/>
      <c r="SF37" s="1576"/>
      <c r="SG37" s="1576"/>
      <c r="SH37" s="1576"/>
      <c r="SI37" s="1576"/>
      <c r="SJ37" s="1576"/>
      <c r="SK37" s="1576"/>
      <c r="SL37" s="1576"/>
      <c r="SM37" s="1576"/>
      <c r="SN37" s="1576"/>
      <c r="SO37" s="1576"/>
      <c r="SP37" s="1576"/>
      <c r="SQ37" s="1576"/>
      <c r="SR37" s="1576"/>
      <c r="SS37" s="1576"/>
      <c r="ST37" s="1576"/>
      <c r="SU37" s="1576"/>
      <c r="SV37" s="1576"/>
      <c r="SW37" s="1576"/>
      <c r="SX37" s="1576"/>
      <c r="SY37" s="1576"/>
      <c r="SZ37" s="1576"/>
      <c r="TA37" s="1576"/>
      <c r="TB37" s="1576"/>
      <c r="TC37" s="1576"/>
      <c r="TD37" s="1576"/>
      <c r="TE37" s="1576"/>
      <c r="TF37" s="1576"/>
      <c r="TG37" s="1576"/>
      <c r="TH37" s="1576"/>
      <c r="TI37" s="1576"/>
      <c r="TJ37" s="1576"/>
      <c r="TK37" s="1576"/>
      <c r="TL37" s="1576"/>
      <c r="TM37" s="1576"/>
      <c r="TN37" s="1576"/>
      <c r="TO37" s="1576"/>
      <c r="TP37" s="1576"/>
      <c r="TQ37" s="1576"/>
      <c r="TR37" s="1576"/>
      <c r="TS37" s="1576"/>
      <c r="TT37" s="1576"/>
      <c r="TU37" s="1576"/>
      <c r="TV37" s="1576"/>
      <c r="TW37" s="1576"/>
      <c r="TX37" s="1576"/>
      <c r="TY37" s="1576"/>
      <c r="TZ37" s="1576"/>
      <c r="UA37" s="1576"/>
      <c r="UB37" s="1576"/>
      <c r="UC37" s="1576"/>
      <c r="UD37" s="1576"/>
      <c r="UE37" s="1576"/>
      <c r="UF37" s="1576"/>
      <c r="UG37" s="1576"/>
      <c r="UH37" s="1576"/>
      <c r="UI37" s="1576"/>
      <c r="UJ37" s="1576"/>
      <c r="UK37" s="1576"/>
      <c r="UL37" s="1576"/>
      <c r="UM37" s="1576"/>
      <c r="UN37" s="1576"/>
      <c r="UO37" s="1576"/>
      <c r="UP37" s="1576"/>
      <c r="UQ37" s="1576"/>
      <c r="UR37" s="1576"/>
      <c r="US37" s="1576"/>
      <c r="UT37" s="1576"/>
      <c r="UU37" s="1576"/>
      <c r="UV37" s="1576"/>
      <c r="UW37" s="1576"/>
      <c r="UX37" s="1576"/>
      <c r="UY37" s="1576"/>
      <c r="UZ37" s="1576"/>
      <c r="VA37" s="1576"/>
      <c r="VB37" s="1576"/>
      <c r="VC37" s="1576"/>
      <c r="VD37" s="1576"/>
      <c r="VE37" s="1576"/>
      <c r="VF37" s="1576"/>
      <c r="VG37" s="1576"/>
      <c r="VH37" s="1576"/>
      <c r="VI37" s="1576"/>
      <c r="VJ37" s="1576"/>
      <c r="VK37" s="1576"/>
    </row>
    <row r="38" spans="1:583" ht="27" x14ac:dyDescent="0.25">
      <c r="B38" s="1610" t="s">
        <v>629</v>
      </c>
      <c r="C38" s="1582" t="s">
        <v>2729</v>
      </c>
      <c r="D38" s="4710" t="s">
        <v>2093</v>
      </c>
      <c r="E38" s="4710">
        <v>0</v>
      </c>
      <c r="F38" s="1576">
        <f>'Paso 1.1'!E35*Tiempos!$H$34</f>
        <v>76.536182044693348</v>
      </c>
      <c r="G38" s="1576">
        <f>'Paso 1.1'!F35*Tiempos!$H$34</f>
        <v>76.565840377582802</v>
      </c>
      <c r="H38" s="1576">
        <f>'Paso 1.1'!G35*Tiempos!$H$34</f>
        <v>76.595510203294154</v>
      </c>
      <c r="I38" s="1576">
        <f>'Paso 1.1'!H35*Tiempos!$H$34</f>
        <v>76.625191526280972</v>
      </c>
      <c r="J38" s="1576">
        <f>'Paso 1.1'!I35*Tiempos!$H$34</f>
        <v>76.654884350998529</v>
      </c>
      <c r="K38" s="1576">
        <f>'Paso 1.1'!J35*Tiempos!$H$34</f>
        <v>76.684588681903833</v>
      </c>
      <c r="L38" s="1576">
        <f>'Paso 1.1'!K35*Tiempos!$H$34</f>
        <v>76.71430452345561</v>
      </c>
      <c r="M38" s="1576">
        <f>'Paso 1.1'!L35*Tiempos!$H$34</f>
        <v>76.744031880114321</v>
      </c>
      <c r="N38" s="1576">
        <f>'Paso 1.1'!M35*Tiempos!$H$34</f>
        <v>76.773770756342174</v>
      </c>
      <c r="O38" s="1576">
        <f>'Paso 1.1'!N35*Tiempos!$H$34</f>
        <v>76.803521156603054</v>
      </c>
      <c r="P38" s="1576">
        <f>'Paso 1.1'!O35*Tiempos!$H$34</f>
        <v>76.833283085362638</v>
      </c>
      <c r="Q38" s="1576">
        <f>'Paso 1.1'!P35*Tiempos!$H$34</f>
        <v>76.863056547088291</v>
      </c>
      <c r="R38" s="1576">
        <f>'Paso 1.1'!Q35*Tiempos!$H$34</f>
        <v>76.892841546249116</v>
      </c>
      <c r="S38" s="1576">
        <f>'Paso 1.1'!R35*Tiempos!$H$34</f>
        <v>76.92263808731596</v>
      </c>
      <c r="T38" s="1576">
        <f>'Paso 1.1'!S35*Tiempos!$H$34</f>
        <v>76.952446174761405</v>
      </c>
      <c r="U38" s="1576">
        <f>'Paso 1.1'!T35*Tiempos!$H$34</f>
        <v>76.982265813059726</v>
      </c>
      <c r="V38" s="1576">
        <f>'Paso 1.1'!U35*Tiempos!$H$34</f>
        <v>77.012097006687014</v>
      </c>
      <c r="W38" s="1576"/>
      <c r="X38" s="1576"/>
      <c r="Y38" s="1576"/>
      <c r="Z38" s="1576"/>
      <c r="AA38" s="1576"/>
      <c r="AB38" s="1576"/>
      <c r="AC38" s="1576"/>
      <c r="AD38" s="1576"/>
      <c r="AE38" s="1576"/>
      <c r="AF38" s="1576"/>
      <c r="AG38" s="1576"/>
      <c r="AH38" s="1576"/>
      <c r="AI38" s="1576"/>
      <c r="AJ38" s="1576"/>
      <c r="AK38" s="1576"/>
      <c r="AL38" s="1576"/>
      <c r="AM38" s="1576"/>
      <c r="AN38" s="1576"/>
      <c r="AO38" s="1576"/>
      <c r="AP38" s="1576"/>
      <c r="AQ38" s="1576"/>
      <c r="AR38" s="1576"/>
      <c r="AS38" s="1576"/>
      <c r="AT38" s="1576"/>
      <c r="AU38" s="1576"/>
      <c r="AV38" s="1576"/>
      <c r="AW38" s="1576"/>
      <c r="AX38" s="1576"/>
      <c r="AY38" s="1576"/>
      <c r="AZ38" s="1576"/>
      <c r="BA38" s="1576"/>
      <c r="BB38" s="1576"/>
      <c r="BC38" s="1576"/>
      <c r="BD38" s="1576"/>
      <c r="BE38" s="1576"/>
      <c r="BF38" s="1576"/>
      <c r="BG38" s="1576"/>
      <c r="BH38" s="1576"/>
      <c r="BI38" s="1576"/>
      <c r="BJ38" s="1576"/>
      <c r="BK38" s="1576"/>
      <c r="BL38" s="1576"/>
      <c r="BM38" s="1576"/>
      <c r="BN38" s="1576"/>
      <c r="BO38" s="1576"/>
      <c r="BP38" s="1576"/>
      <c r="BQ38" s="1576"/>
      <c r="BR38" s="1576"/>
      <c r="BS38" s="1576"/>
      <c r="BT38" s="1576"/>
      <c r="BU38" s="1576"/>
      <c r="BV38" s="1576"/>
      <c r="BW38" s="1576"/>
      <c r="BX38" s="1576"/>
      <c r="BY38" s="1576"/>
      <c r="BZ38" s="1576"/>
      <c r="CA38" s="1576"/>
      <c r="CB38" s="1576"/>
      <c r="CC38" s="1576"/>
      <c r="CD38" s="1576"/>
      <c r="CE38" s="1576"/>
      <c r="CF38" s="1576"/>
      <c r="CG38" s="1576"/>
      <c r="CH38" s="1576"/>
      <c r="CI38" s="1576"/>
      <c r="CJ38" s="1576"/>
      <c r="CK38" s="1576"/>
      <c r="CL38" s="1576"/>
      <c r="CM38" s="1576"/>
      <c r="CN38" s="1576"/>
      <c r="CO38" s="1576"/>
      <c r="CP38" s="1576"/>
      <c r="CQ38" s="1576"/>
      <c r="CR38" s="1576"/>
      <c r="CS38" s="1576"/>
      <c r="CT38" s="1576"/>
      <c r="CU38" s="1576"/>
      <c r="CV38" s="1576"/>
      <c r="CW38" s="1576"/>
      <c r="CX38" s="1576"/>
      <c r="CY38" s="1576"/>
      <c r="CZ38" s="1576"/>
      <c r="DA38" s="1576"/>
      <c r="DB38" s="1576"/>
      <c r="DC38" s="1576"/>
      <c r="DD38" s="1576"/>
      <c r="DE38" s="1576"/>
      <c r="DF38" s="1576"/>
      <c r="DG38" s="1576"/>
      <c r="DH38" s="1576"/>
      <c r="DI38" s="1576"/>
      <c r="DJ38" s="1576"/>
      <c r="DK38" s="1576"/>
      <c r="DL38" s="1576"/>
      <c r="DM38" s="1576"/>
      <c r="DN38" s="1576"/>
      <c r="DO38" s="1576"/>
      <c r="DP38" s="1576"/>
      <c r="DQ38" s="1576"/>
      <c r="DR38" s="1576"/>
      <c r="DS38" s="1576"/>
      <c r="DT38" s="1576"/>
      <c r="DU38" s="1576"/>
      <c r="DV38" s="1576"/>
      <c r="DW38" s="1576"/>
      <c r="DX38" s="1576"/>
      <c r="DY38" s="1576"/>
      <c r="DZ38" s="1576"/>
      <c r="EA38" s="1576"/>
      <c r="EB38" s="1576"/>
      <c r="EC38" s="1576"/>
      <c r="ED38" s="1576"/>
      <c r="EE38" s="1576"/>
      <c r="EF38" s="1576"/>
      <c r="EG38" s="1576"/>
      <c r="EH38" s="1576"/>
      <c r="EI38" s="1576"/>
      <c r="EJ38" s="1576"/>
      <c r="EK38" s="1576"/>
      <c r="EL38" s="1576"/>
      <c r="EM38" s="1576"/>
      <c r="EN38" s="1576"/>
      <c r="EO38" s="1576"/>
      <c r="EP38" s="1576"/>
      <c r="EQ38" s="1576"/>
      <c r="ER38" s="1576"/>
      <c r="ES38" s="1576"/>
      <c r="ET38" s="1576"/>
      <c r="EU38" s="1576"/>
      <c r="EV38" s="1576"/>
      <c r="EW38" s="1576"/>
      <c r="EX38" s="1576"/>
      <c r="EY38" s="1576"/>
      <c r="EZ38" s="1576"/>
      <c r="FA38" s="1576"/>
      <c r="FB38" s="1576"/>
      <c r="FC38" s="1576"/>
      <c r="FD38" s="1576"/>
      <c r="FE38" s="1576"/>
      <c r="FF38" s="1576"/>
      <c r="FG38" s="1576"/>
      <c r="FH38" s="1576"/>
      <c r="FI38" s="1576"/>
      <c r="FJ38" s="1576"/>
      <c r="FK38" s="1576"/>
      <c r="FL38" s="1576"/>
      <c r="FM38" s="1576"/>
      <c r="FN38" s="1576"/>
      <c r="FO38" s="1576"/>
      <c r="FP38" s="1576"/>
      <c r="FQ38" s="1576"/>
      <c r="FR38" s="1576"/>
      <c r="FS38" s="1576"/>
      <c r="FT38" s="1576"/>
      <c r="FU38" s="1576"/>
      <c r="FV38" s="1576"/>
      <c r="FW38" s="1576"/>
      <c r="FX38" s="1576"/>
      <c r="FY38" s="1576"/>
      <c r="FZ38" s="1576"/>
      <c r="GA38" s="1576"/>
      <c r="GB38" s="1576"/>
      <c r="GC38" s="1576"/>
      <c r="GD38" s="1576"/>
      <c r="GE38" s="1576"/>
      <c r="GF38" s="1576"/>
      <c r="GG38" s="1576"/>
      <c r="GH38" s="1576"/>
      <c r="GI38" s="1576"/>
      <c r="GJ38" s="1576"/>
      <c r="GK38" s="1576"/>
      <c r="GL38" s="1576"/>
      <c r="GM38" s="1576"/>
      <c r="GN38" s="1576"/>
      <c r="GO38" s="1576"/>
      <c r="GP38" s="1576"/>
      <c r="GQ38" s="1576"/>
      <c r="GR38" s="1576"/>
      <c r="GS38" s="1576"/>
      <c r="GT38" s="1576"/>
      <c r="GU38" s="1576"/>
      <c r="GV38" s="1576"/>
      <c r="GW38" s="1576"/>
      <c r="GX38" s="1576"/>
      <c r="GY38" s="1576"/>
      <c r="GZ38" s="1576"/>
      <c r="HA38" s="1576"/>
      <c r="HB38" s="1576"/>
      <c r="HC38" s="1576"/>
      <c r="HD38" s="1576"/>
      <c r="HE38" s="1576"/>
      <c r="HF38" s="1576"/>
      <c r="HG38" s="1576"/>
      <c r="HH38" s="1576"/>
      <c r="HI38" s="1576"/>
      <c r="HJ38" s="1576"/>
      <c r="HK38" s="1576"/>
      <c r="HL38" s="1576"/>
      <c r="HM38" s="1576"/>
      <c r="HN38" s="1576"/>
      <c r="HO38" s="1576"/>
      <c r="HP38" s="1576"/>
      <c r="HQ38" s="1576"/>
      <c r="HR38" s="1576"/>
      <c r="HS38" s="1576"/>
      <c r="HT38" s="1576"/>
      <c r="HU38" s="1576"/>
      <c r="HV38" s="1576"/>
      <c r="HW38" s="1576"/>
      <c r="HX38" s="1576"/>
      <c r="HY38" s="1576"/>
      <c r="HZ38" s="1576"/>
      <c r="IA38" s="1576"/>
      <c r="IB38" s="1576"/>
      <c r="IC38" s="1576"/>
      <c r="ID38" s="1576"/>
      <c r="IE38" s="1576"/>
      <c r="IF38" s="1576"/>
      <c r="IG38" s="1576"/>
      <c r="IH38" s="1576"/>
      <c r="II38" s="1576"/>
      <c r="IJ38" s="1576"/>
      <c r="IK38" s="1576"/>
      <c r="IL38" s="1576"/>
      <c r="IM38" s="1576"/>
      <c r="IN38" s="1576"/>
      <c r="IO38" s="1576"/>
      <c r="IP38" s="1576"/>
      <c r="IQ38" s="1576"/>
      <c r="IR38" s="1576"/>
      <c r="IS38" s="1576"/>
      <c r="IT38" s="1576"/>
      <c r="IU38" s="1576"/>
      <c r="IV38" s="1576"/>
      <c r="IW38" s="1576"/>
      <c r="IX38" s="1576"/>
      <c r="IY38" s="1576"/>
      <c r="IZ38" s="1576"/>
      <c r="JA38" s="2054"/>
      <c r="JB38" s="2054"/>
      <c r="JC38" s="2054"/>
      <c r="JD38" s="2054"/>
      <c r="JE38" s="2054"/>
      <c r="JF38" s="2054"/>
      <c r="JG38" s="2054"/>
      <c r="JH38" s="2054"/>
      <c r="JI38" s="2054"/>
      <c r="JJ38" s="2054"/>
      <c r="JK38" s="2054"/>
      <c r="JL38" s="2054"/>
      <c r="JM38" s="2054"/>
      <c r="JN38" s="2054"/>
      <c r="JO38" s="2054"/>
      <c r="JP38" s="2054"/>
      <c r="JQ38" s="2054"/>
      <c r="JR38" s="1576"/>
      <c r="JS38" s="1576"/>
      <c r="JT38" s="1576"/>
      <c r="JU38" s="1576"/>
      <c r="JV38" s="1576"/>
      <c r="JW38" s="1576"/>
      <c r="JX38" s="1576"/>
      <c r="JY38" s="1576"/>
      <c r="JZ38" s="1576"/>
      <c r="KA38" s="1576"/>
      <c r="KB38" s="1576"/>
      <c r="KC38" s="1576"/>
      <c r="KD38" s="1576"/>
      <c r="KE38" s="1576"/>
      <c r="KF38" s="1576"/>
      <c r="KG38" s="1576"/>
      <c r="KH38" s="1576"/>
      <c r="KI38" s="1576"/>
      <c r="KJ38" s="1576"/>
      <c r="KK38" s="1576"/>
      <c r="KL38" s="1576"/>
      <c r="KM38" s="1576"/>
      <c r="KN38" s="1576"/>
      <c r="KO38" s="1576"/>
      <c r="KP38" s="1576"/>
      <c r="KQ38" s="1576"/>
      <c r="KR38" s="1576"/>
      <c r="KS38" s="1576"/>
      <c r="KT38" s="1576"/>
      <c r="KU38" s="1576"/>
      <c r="KV38" s="1576"/>
      <c r="KW38" s="1576"/>
      <c r="KX38" s="1576"/>
      <c r="KY38" s="1576"/>
      <c r="KZ38" s="1576"/>
      <c r="LA38" s="1576"/>
      <c r="LB38" s="1576"/>
      <c r="LC38" s="1576"/>
      <c r="LD38" s="1576"/>
      <c r="LE38" s="1576"/>
      <c r="LF38" s="1576"/>
      <c r="LG38" s="1576"/>
      <c r="LH38" s="1576"/>
      <c r="LI38" s="1576"/>
      <c r="LJ38" s="1576"/>
      <c r="LK38" s="1576"/>
      <c r="LL38" s="1576"/>
      <c r="LM38" s="1576"/>
      <c r="LN38" s="1576"/>
      <c r="LO38" s="1576"/>
      <c r="LP38" s="1576"/>
      <c r="LQ38" s="1576"/>
      <c r="LR38" s="1576"/>
      <c r="LS38" s="1576"/>
      <c r="LT38" s="1576"/>
      <c r="LU38" s="1576"/>
      <c r="LV38" s="1576"/>
      <c r="LW38" s="1576"/>
      <c r="LX38" s="1576"/>
      <c r="LY38" s="1576"/>
      <c r="LZ38" s="1576"/>
      <c r="MA38" s="1576"/>
      <c r="MB38" s="1576"/>
      <c r="MC38" s="1576"/>
      <c r="MD38" s="1576"/>
      <c r="ME38" s="1576"/>
      <c r="MF38" s="1576"/>
      <c r="MG38" s="1576"/>
      <c r="MH38" s="1576"/>
      <c r="MI38" s="1576"/>
      <c r="MJ38" s="1576"/>
      <c r="MK38" s="1576"/>
      <c r="ML38" s="1576"/>
      <c r="MM38" s="1576"/>
      <c r="MN38" s="1576"/>
      <c r="MO38" s="1576"/>
      <c r="MP38" s="1576"/>
      <c r="MQ38" s="1576"/>
      <c r="MR38" s="1576"/>
      <c r="MS38" s="1576"/>
      <c r="MT38" s="1576"/>
      <c r="MU38" s="1576"/>
      <c r="MV38" s="1576"/>
      <c r="MW38" s="1576"/>
      <c r="MX38" s="1576"/>
      <c r="MY38" s="1576">
        <f>'Paso 1.1'!E35*Tiempos!$L$34</f>
        <v>15.307236408938671</v>
      </c>
      <c r="MZ38" s="1576">
        <f>'Paso 1.1'!F35*Tiempos!$L$34</f>
        <v>15.313168075516561</v>
      </c>
      <c r="NA38" s="1576">
        <f>'Paso 1.1'!G35*Tiempos!$L$34</f>
        <v>15.319102040658832</v>
      </c>
      <c r="NB38" s="1576">
        <f>'Paso 1.1'!H35*Tiempos!$L$34</f>
        <v>15.325038305256195</v>
      </c>
      <c r="NC38" s="1576">
        <f>'Paso 1.1'!I35*Tiempos!$L$34</f>
        <v>15.330976870199706</v>
      </c>
      <c r="ND38" s="1576">
        <f>'Paso 1.1'!J35*Tiempos!$L$34</f>
        <v>15.336917736380768</v>
      </c>
      <c r="NE38" s="1576">
        <f>'Paso 1.1'!K35*Tiempos!$L$34</f>
        <v>15.342860904691122</v>
      </c>
      <c r="NF38" s="1576">
        <f>'Paso 1.1'!L35*Tiempos!$L$34</f>
        <v>15.348806376022864</v>
      </c>
      <c r="NG38" s="1576">
        <f>'Paso 1.1'!M35*Tiempos!$L$34</f>
        <v>15.354754151268436</v>
      </c>
      <c r="NH38" s="1576">
        <f>'Paso 1.1'!N35*Tiempos!$L$34</f>
        <v>15.360704231320611</v>
      </c>
      <c r="NI38" s="1576">
        <f>'Paso 1.1'!O35*Tiempos!$L$34</f>
        <v>15.366656617072529</v>
      </c>
      <c r="NJ38" s="1576">
        <f>'Paso 1.1'!P35*Tiempos!$L$34</f>
        <v>15.372611309417659</v>
      </c>
      <c r="NK38" s="1576">
        <f>'Paso 1.1'!Q35*Tiempos!$L$34</f>
        <v>15.378568309249824</v>
      </c>
      <c r="NL38" s="1576">
        <f>'Paso 1.1'!R35*Tiempos!$L$34</f>
        <v>15.384527617463192</v>
      </c>
      <c r="NM38" s="1576">
        <f>'Paso 1.1'!S35*Tiempos!$L$34</f>
        <v>15.390489234952282</v>
      </c>
      <c r="NN38" s="1576">
        <f>'Paso 1.1'!T35*Tiempos!$L$34</f>
        <v>15.396453162611946</v>
      </c>
      <c r="NO38" s="1576">
        <f>'Paso 1.1'!U35*Tiempos!$L$34</f>
        <v>15.402419401337404</v>
      </c>
      <c r="NP38" s="1576"/>
      <c r="NQ38" s="1576"/>
      <c r="NR38" s="1576"/>
      <c r="NS38" s="1576"/>
      <c r="NT38" s="1576"/>
      <c r="NU38" s="1576"/>
      <c r="NV38" s="1576"/>
      <c r="NW38" s="1576"/>
      <c r="NX38" s="1576"/>
      <c r="NY38" s="1576"/>
      <c r="NZ38" s="1576"/>
      <c r="OA38" s="1576"/>
      <c r="OB38" s="1576"/>
      <c r="OC38" s="1576"/>
      <c r="OD38" s="1576"/>
      <c r="OE38" s="1576"/>
      <c r="OF38" s="1576"/>
      <c r="OG38" s="1576"/>
      <c r="OH38" s="1576"/>
      <c r="OI38" s="1576"/>
      <c r="OJ38" s="1576"/>
      <c r="OK38" s="1576"/>
      <c r="OL38" s="1576"/>
      <c r="OM38" s="1576"/>
      <c r="ON38" s="1576"/>
      <c r="OO38" s="1576"/>
      <c r="OP38" s="1576"/>
      <c r="OQ38" s="1576"/>
      <c r="OR38" s="1576"/>
      <c r="OS38" s="1576"/>
      <c r="OT38" s="1576"/>
      <c r="OU38" s="1576"/>
      <c r="OV38" s="1576"/>
      <c r="OW38" s="1576"/>
      <c r="OX38" s="1576"/>
      <c r="OY38" s="1576"/>
      <c r="OZ38" s="1576"/>
      <c r="PA38" s="1576"/>
      <c r="PB38" s="1576"/>
      <c r="PC38" s="1576"/>
      <c r="PD38" s="1576"/>
      <c r="PE38" s="1576"/>
      <c r="PF38" s="1576"/>
      <c r="PG38" s="1576"/>
      <c r="PH38" s="1576"/>
      <c r="PI38" s="1576"/>
      <c r="PJ38" s="1576"/>
      <c r="PK38" s="1576"/>
      <c r="PL38" s="1576"/>
      <c r="PM38" s="1576"/>
      <c r="PN38" s="1576"/>
      <c r="PO38" s="1576"/>
      <c r="PP38" s="1576"/>
      <c r="PQ38" s="1576"/>
      <c r="PR38" s="1576"/>
      <c r="PS38" s="1576"/>
      <c r="PT38" s="1576"/>
      <c r="PU38" s="1576"/>
      <c r="PV38" s="1576"/>
      <c r="PW38" s="1576"/>
      <c r="PX38" s="1576"/>
      <c r="PY38" s="1576"/>
      <c r="PZ38" s="1576"/>
      <c r="QA38" s="1576"/>
      <c r="QB38" s="1576"/>
      <c r="QC38" s="1576"/>
      <c r="QD38" s="1576"/>
      <c r="QE38" s="1576"/>
      <c r="QF38" s="1576"/>
      <c r="QG38" s="1576"/>
      <c r="QH38" s="1576"/>
      <c r="QI38" s="1576"/>
      <c r="QJ38" s="1576"/>
      <c r="QK38" s="1576"/>
      <c r="QL38" s="1576"/>
      <c r="QM38" s="1576"/>
      <c r="QN38" s="1576"/>
      <c r="QO38" s="1576"/>
      <c r="QP38" s="1576"/>
      <c r="QQ38" s="1576"/>
      <c r="QR38" s="1576"/>
      <c r="QS38" s="1576"/>
      <c r="QT38" s="1576"/>
      <c r="QU38" s="1576"/>
      <c r="QV38" s="1576"/>
      <c r="QW38" s="1576"/>
      <c r="QX38" s="1576"/>
      <c r="QY38" s="1576"/>
      <c r="QZ38" s="1576"/>
      <c r="RA38" s="1576"/>
      <c r="RB38" s="1576"/>
      <c r="RC38" s="1576"/>
      <c r="RD38" s="1576"/>
      <c r="RE38" s="1576"/>
      <c r="RF38" s="1576"/>
      <c r="RG38" s="1576"/>
      <c r="RH38" s="1576"/>
      <c r="RI38" s="1576"/>
      <c r="RJ38" s="1576"/>
      <c r="RK38" s="1576"/>
      <c r="RL38" s="1576"/>
      <c r="RM38" s="1576"/>
      <c r="RN38" s="1576"/>
      <c r="RO38" s="1576"/>
      <c r="RP38" s="1576"/>
      <c r="RQ38" s="1576"/>
      <c r="RR38" s="1576"/>
      <c r="RS38" s="1576"/>
      <c r="RT38" s="1576"/>
      <c r="RU38" s="1576"/>
      <c r="RV38" s="1576"/>
      <c r="RW38" s="1576"/>
      <c r="RX38" s="1576"/>
      <c r="RY38" s="1576"/>
      <c r="RZ38" s="1576"/>
      <c r="SA38" s="1576"/>
      <c r="SB38" s="1576"/>
      <c r="SC38" s="1576"/>
      <c r="SD38" s="1576"/>
      <c r="SE38" s="1576"/>
      <c r="SF38" s="1576"/>
      <c r="SG38" s="1576"/>
      <c r="SH38" s="1576"/>
      <c r="SI38" s="1576"/>
      <c r="SJ38" s="1576"/>
      <c r="SK38" s="1576"/>
      <c r="SL38" s="1576"/>
      <c r="SM38" s="1576"/>
      <c r="SN38" s="1576"/>
      <c r="SO38" s="1576"/>
      <c r="SP38" s="1576"/>
      <c r="SQ38" s="1576"/>
      <c r="SR38" s="1576"/>
      <c r="SS38" s="1576"/>
      <c r="ST38" s="1576"/>
      <c r="SU38" s="1576"/>
      <c r="SV38" s="1576"/>
      <c r="SW38" s="1576"/>
      <c r="SX38" s="1576"/>
      <c r="SY38" s="1576"/>
      <c r="SZ38" s="1576"/>
      <c r="TA38" s="1576"/>
      <c r="TB38" s="1576"/>
      <c r="TC38" s="1576"/>
      <c r="TD38" s="1576"/>
      <c r="TE38" s="1576"/>
      <c r="TF38" s="1576"/>
      <c r="TG38" s="1576"/>
      <c r="TH38" s="1576"/>
      <c r="TI38" s="1576"/>
      <c r="TJ38" s="1576"/>
      <c r="TK38" s="1576"/>
      <c r="TL38" s="1576"/>
      <c r="TM38" s="1576"/>
      <c r="TN38" s="1576"/>
      <c r="TO38" s="1576"/>
      <c r="TP38" s="1576"/>
      <c r="TQ38" s="1576"/>
      <c r="TR38" s="1576"/>
      <c r="TS38" s="1576"/>
      <c r="TT38" s="1576"/>
      <c r="TU38" s="1576"/>
      <c r="TV38" s="1576"/>
      <c r="TW38" s="1576"/>
      <c r="TX38" s="1576"/>
      <c r="TY38" s="1576"/>
      <c r="TZ38" s="1576"/>
      <c r="UA38" s="1576"/>
      <c r="UB38" s="1576"/>
      <c r="UC38" s="1576"/>
      <c r="UD38" s="1576"/>
      <c r="UE38" s="1576"/>
      <c r="UF38" s="1576"/>
      <c r="UG38" s="1576"/>
      <c r="UH38" s="1576"/>
      <c r="UI38" s="1576"/>
      <c r="UJ38" s="1576"/>
      <c r="UK38" s="1576"/>
      <c r="UL38" s="1576"/>
      <c r="UM38" s="1576"/>
      <c r="UN38" s="1576"/>
      <c r="UO38" s="1576"/>
      <c r="UP38" s="1576"/>
      <c r="UQ38" s="1576"/>
      <c r="UR38" s="1576"/>
      <c r="US38" s="1576"/>
      <c r="UT38" s="1576"/>
      <c r="UU38" s="1576"/>
      <c r="UV38" s="1576"/>
      <c r="UW38" s="1576"/>
      <c r="UX38" s="1576"/>
      <c r="UY38" s="1576"/>
      <c r="UZ38" s="1576"/>
      <c r="VA38" s="1576"/>
      <c r="VB38" s="1576"/>
      <c r="VC38" s="1576"/>
      <c r="VD38" s="1576"/>
      <c r="VE38" s="1576"/>
      <c r="VF38" s="1576"/>
      <c r="VG38" s="1576"/>
      <c r="VH38" s="1576"/>
      <c r="VI38" s="1576"/>
      <c r="VJ38" s="1576"/>
      <c r="VK38" s="1576"/>
    </row>
    <row r="39" spans="1:583" ht="24.75" customHeight="1" x14ac:dyDescent="0.25">
      <c r="B39" s="1610" t="s">
        <v>629</v>
      </c>
      <c r="C39" s="1582" t="s">
        <v>2729</v>
      </c>
      <c r="D39" s="4710" t="s">
        <v>2730</v>
      </c>
      <c r="E39" s="4710">
        <v>0</v>
      </c>
      <c r="F39" s="1576">
        <f>'Paso 1.1'!E36*Tiempos!$H$35</f>
        <v>0</v>
      </c>
      <c r="G39" s="1576">
        <f>'Paso 1.1'!F36*Tiempos!$H$35</f>
        <v>0</v>
      </c>
      <c r="H39" s="1576">
        <f>'Paso 1.1'!G36*Tiempos!$H$35</f>
        <v>0</v>
      </c>
      <c r="I39" s="1576">
        <f>'Paso 1.1'!H36*Tiempos!$H$35</f>
        <v>0</v>
      </c>
      <c r="J39" s="1576">
        <f>'Paso 1.1'!I36*Tiempos!$H$35</f>
        <v>0</v>
      </c>
      <c r="K39" s="1576">
        <f>'Paso 1.1'!J36*Tiempos!$H$35</f>
        <v>0</v>
      </c>
      <c r="L39" s="1576">
        <f>'Paso 1.1'!K36*Tiempos!$H$35</f>
        <v>0</v>
      </c>
      <c r="M39" s="1576">
        <f>'Paso 1.1'!L36*Tiempos!$H$35</f>
        <v>0</v>
      </c>
      <c r="N39" s="1576">
        <f>'Paso 1.1'!M36*Tiempos!$H$35</f>
        <v>0</v>
      </c>
      <c r="O39" s="1576">
        <f>'Paso 1.1'!N36*Tiempos!$H$35</f>
        <v>0</v>
      </c>
      <c r="P39" s="1576">
        <f>'Paso 1.1'!O36*Tiempos!$H$35</f>
        <v>0</v>
      </c>
      <c r="Q39" s="1576">
        <f>'Paso 1.1'!P36*Tiempos!$H$35</f>
        <v>0</v>
      </c>
      <c r="R39" s="1576">
        <f>'Paso 1.1'!Q36*Tiempos!$H$35</f>
        <v>0</v>
      </c>
      <c r="S39" s="1576">
        <f>'Paso 1.1'!R36*Tiempos!$H$35</f>
        <v>0</v>
      </c>
      <c r="T39" s="1576">
        <f>'Paso 1.1'!S36*Tiempos!$H$35</f>
        <v>0</v>
      </c>
      <c r="U39" s="1576">
        <f>'Paso 1.1'!T36*Tiempos!$H$35</f>
        <v>0</v>
      </c>
      <c r="V39" s="1576">
        <f>'Paso 1.1'!U36*Tiempos!$H$35</f>
        <v>0</v>
      </c>
      <c r="W39" s="1576"/>
      <c r="X39" s="1576"/>
      <c r="Y39" s="1576"/>
      <c r="Z39" s="1576"/>
      <c r="AA39" s="1576"/>
      <c r="AB39" s="1576"/>
      <c r="AC39" s="1576"/>
      <c r="AD39" s="1576"/>
      <c r="AE39" s="1576"/>
      <c r="AF39" s="1576"/>
      <c r="AG39" s="1576"/>
      <c r="AH39" s="1576"/>
      <c r="AI39" s="1576"/>
      <c r="AJ39" s="1576"/>
      <c r="AK39" s="1576"/>
      <c r="AL39" s="1576"/>
      <c r="AM39" s="1576"/>
      <c r="AN39" s="1576"/>
      <c r="AO39" s="1576"/>
      <c r="AP39" s="1576"/>
      <c r="AQ39" s="1576"/>
      <c r="AR39" s="1576"/>
      <c r="AS39" s="1576"/>
      <c r="AT39" s="1576"/>
      <c r="AU39" s="1576"/>
      <c r="AV39" s="1576"/>
      <c r="AW39" s="1576"/>
      <c r="AX39" s="1576"/>
      <c r="AY39" s="1576"/>
      <c r="AZ39" s="1576"/>
      <c r="BA39" s="1576"/>
      <c r="BB39" s="1576"/>
      <c r="BC39" s="1576"/>
      <c r="BD39" s="1576"/>
      <c r="BE39" s="1576"/>
      <c r="BF39" s="1576"/>
      <c r="BG39" s="1576"/>
      <c r="BH39" s="1576"/>
      <c r="BI39" s="1576"/>
      <c r="BJ39" s="1576"/>
      <c r="BK39" s="1576"/>
      <c r="BL39" s="1576"/>
      <c r="BM39" s="1576"/>
      <c r="BN39" s="1576"/>
      <c r="BO39" s="1576"/>
      <c r="BP39" s="1576"/>
      <c r="BQ39" s="1576"/>
      <c r="BR39" s="1576"/>
      <c r="BS39" s="1576"/>
      <c r="BT39" s="1576"/>
      <c r="BU39" s="1576"/>
      <c r="BV39" s="1576"/>
      <c r="BW39" s="1576"/>
      <c r="BX39" s="1576"/>
      <c r="BY39" s="1576"/>
      <c r="BZ39" s="1576"/>
      <c r="CA39" s="1576"/>
      <c r="CB39" s="1576"/>
      <c r="CC39" s="1576"/>
      <c r="CD39" s="1576"/>
      <c r="CE39" s="1576"/>
      <c r="CF39" s="1576"/>
      <c r="CG39" s="1576"/>
      <c r="CH39" s="1576"/>
      <c r="CI39" s="1576"/>
      <c r="CJ39" s="1576"/>
      <c r="CK39" s="1576"/>
      <c r="CL39" s="1576"/>
      <c r="CM39" s="1576"/>
      <c r="CN39" s="1576"/>
      <c r="CO39" s="1576"/>
      <c r="CP39" s="1576"/>
      <c r="CQ39" s="1576"/>
      <c r="CR39" s="1576"/>
      <c r="CS39" s="1576"/>
      <c r="CT39" s="1576"/>
      <c r="CU39" s="1576"/>
      <c r="CV39" s="1576"/>
      <c r="CW39" s="1576"/>
      <c r="CX39" s="1576"/>
      <c r="CY39" s="1576"/>
      <c r="CZ39" s="1576"/>
      <c r="DA39" s="1576"/>
      <c r="DB39" s="1576"/>
      <c r="DC39" s="1576"/>
      <c r="DD39" s="1576"/>
      <c r="DE39" s="1576"/>
      <c r="DF39" s="1576"/>
      <c r="DG39" s="1576"/>
      <c r="DH39" s="1576"/>
      <c r="DI39" s="1576"/>
      <c r="DJ39" s="1576"/>
      <c r="DK39" s="1576"/>
      <c r="DL39" s="1576"/>
      <c r="DM39" s="1576"/>
      <c r="DN39" s="1576"/>
      <c r="DO39" s="1576"/>
      <c r="DP39" s="1576"/>
      <c r="DQ39" s="1576"/>
      <c r="DR39" s="1576"/>
      <c r="DS39" s="1576"/>
      <c r="DT39" s="1576"/>
      <c r="DU39" s="1576"/>
      <c r="DV39" s="1576"/>
      <c r="DW39" s="1576"/>
      <c r="DX39" s="1576"/>
      <c r="DY39" s="1576"/>
      <c r="DZ39" s="1576"/>
      <c r="EA39" s="1576"/>
      <c r="EB39" s="1576"/>
      <c r="EC39" s="1576"/>
      <c r="ED39" s="1576"/>
      <c r="EE39" s="1576"/>
      <c r="EF39" s="1576"/>
      <c r="EG39" s="1576"/>
      <c r="EH39" s="1576"/>
      <c r="EI39" s="1576"/>
      <c r="EJ39" s="1576"/>
      <c r="EK39" s="1576"/>
      <c r="EL39" s="1576"/>
      <c r="EM39" s="1576"/>
      <c r="EN39" s="1576"/>
      <c r="EO39" s="1576"/>
      <c r="EP39" s="1576"/>
      <c r="EQ39" s="1576"/>
      <c r="ER39" s="1576"/>
      <c r="ES39" s="1576"/>
      <c r="ET39" s="1576"/>
      <c r="EU39" s="1576"/>
      <c r="EV39" s="1576"/>
      <c r="EW39" s="1576"/>
      <c r="EX39" s="1576"/>
      <c r="EY39" s="1576"/>
      <c r="EZ39" s="1576"/>
      <c r="FA39" s="1576"/>
      <c r="FB39" s="1576"/>
      <c r="FC39" s="1576"/>
      <c r="FD39" s="1576"/>
      <c r="FE39" s="1576"/>
      <c r="FF39" s="1576"/>
      <c r="FG39" s="1576"/>
      <c r="FH39" s="1576"/>
      <c r="FI39" s="1576"/>
      <c r="FJ39" s="1576"/>
      <c r="FK39" s="1576"/>
      <c r="FL39" s="1576"/>
      <c r="FM39" s="1576"/>
      <c r="FN39" s="1576"/>
      <c r="FO39" s="1576"/>
      <c r="FP39" s="1576"/>
      <c r="FQ39" s="1576"/>
      <c r="FR39" s="1576"/>
      <c r="FS39" s="1576"/>
      <c r="FT39" s="1576"/>
      <c r="FU39" s="1576"/>
      <c r="FV39" s="1576"/>
      <c r="FW39" s="1576"/>
      <c r="FX39" s="1576"/>
      <c r="FY39" s="1576"/>
      <c r="FZ39" s="1576"/>
      <c r="GA39" s="1576"/>
      <c r="GB39" s="1576"/>
      <c r="GC39" s="1576"/>
      <c r="GD39" s="1576"/>
      <c r="GE39" s="1576"/>
      <c r="GF39" s="1576"/>
      <c r="GG39" s="1576"/>
      <c r="GH39" s="1576"/>
      <c r="GI39" s="1576"/>
      <c r="GJ39" s="1576"/>
      <c r="GK39" s="1576"/>
      <c r="GL39" s="1576"/>
      <c r="GM39" s="1576"/>
      <c r="GN39" s="1576"/>
      <c r="GO39" s="1576"/>
      <c r="GP39" s="1576"/>
      <c r="GQ39" s="1576"/>
      <c r="GR39" s="1576"/>
      <c r="GS39" s="1576"/>
      <c r="GT39" s="1576"/>
      <c r="GU39" s="1576"/>
      <c r="GV39" s="1576"/>
      <c r="GW39" s="1576"/>
      <c r="GX39" s="1576"/>
      <c r="GY39" s="1576"/>
      <c r="GZ39" s="1576"/>
      <c r="HA39" s="1576"/>
      <c r="HB39" s="1576"/>
      <c r="HC39" s="1576"/>
      <c r="HD39" s="1576"/>
      <c r="HE39" s="1576"/>
      <c r="HF39" s="1576"/>
      <c r="HG39" s="1576"/>
      <c r="HH39" s="1576"/>
      <c r="HI39" s="1576"/>
      <c r="HJ39" s="1576"/>
      <c r="HK39" s="1576"/>
      <c r="HL39" s="1576"/>
      <c r="HM39" s="1576"/>
      <c r="HN39" s="1576"/>
      <c r="HO39" s="1576"/>
      <c r="HP39" s="1576"/>
      <c r="HQ39" s="1576"/>
      <c r="HR39" s="1576"/>
      <c r="HS39" s="1576"/>
      <c r="HT39" s="1576"/>
      <c r="HU39" s="1576"/>
      <c r="HV39" s="1576"/>
      <c r="HW39" s="1576"/>
      <c r="HX39" s="1576"/>
      <c r="HY39" s="1576"/>
      <c r="HZ39" s="1576"/>
      <c r="IA39" s="1576"/>
      <c r="IB39" s="1576"/>
      <c r="IC39" s="1576"/>
      <c r="ID39" s="1576"/>
      <c r="IE39" s="1576"/>
      <c r="IF39" s="1576"/>
      <c r="IG39" s="1576"/>
      <c r="IH39" s="1576"/>
      <c r="II39" s="1576"/>
      <c r="IJ39" s="1576"/>
      <c r="IK39" s="1576"/>
      <c r="IL39" s="1576"/>
      <c r="IM39" s="1576"/>
      <c r="IN39" s="1576"/>
      <c r="IO39" s="1576"/>
      <c r="IP39" s="1576"/>
      <c r="IQ39" s="1576"/>
      <c r="IR39" s="1576"/>
      <c r="IS39" s="1576"/>
      <c r="IT39" s="1576"/>
      <c r="IU39" s="1576"/>
      <c r="IV39" s="1576"/>
      <c r="IW39" s="1576"/>
      <c r="IX39" s="1576"/>
      <c r="IY39" s="1576"/>
      <c r="IZ39" s="1576"/>
      <c r="JA39" s="2054"/>
      <c r="JB39" s="2054"/>
      <c r="JC39" s="2054"/>
      <c r="JD39" s="2054"/>
      <c r="JE39" s="2054"/>
      <c r="JF39" s="2054"/>
      <c r="JG39" s="2054"/>
      <c r="JH39" s="2054"/>
      <c r="JI39" s="2054"/>
      <c r="JJ39" s="2054"/>
      <c r="JK39" s="2054"/>
      <c r="JL39" s="2054"/>
      <c r="JM39" s="2054"/>
      <c r="JN39" s="2054"/>
      <c r="JO39" s="2054"/>
      <c r="JP39" s="2054"/>
      <c r="JQ39" s="2054"/>
      <c r="JR39" s="1576"/>
      <c r="JS39" s="1576"/>
      <c r="JT39" s="1576"/>
      <c r="JU39" s="1576"/>
      <c r="JV39" s="1576"/>
      <c r="JW39" s="1576"/>
      <c r="JX39" s="1576"/>
      <c r="JY39" s="1576"/>
      <c r="JZ39" s="1576"/>
      <c r="KA39" s="1576"/>
      <c r="KB39" s="1576"/>
      <c r="KC39" s="1576"/>
      <c r="KD39" s="1576"/>
      <c r="KE39" s="1576"/>
      <c r="KF39" s="1576"/>
      <c r="KG39" s="1576"/>
      <c r="KH39" s="1576"/>
      <c r="KI39" s="1576"/>
      <c r="KJ39" s="1576"/>
      <c r="KK39" s="1576"/>
      <c r="KL39" s="1576"/>
      <c r="KM39" s="1576"/>
      <c r="KN39" s="1576"/>
      <c r="KO39" s="1576"/>
      <c r="KP39" s="1576"/>
      <c r="KQ39" s="1576"/>
      <c r="KR39" s="1576"/>
      <c r="KS39" s="1576"/>
      <c r="KT39" s="1576"/>
      <c r="KU39" s="1576"/>
      <c r="KV39" s="1576"/>
      <c r="KW39" s="1576"/>
      <c r="KX39" s="1576"/>
      <c r="KY39" s="1576"/>
      <c r="KZ39" s="1576"/>
      <c r="LA39" s="1576"/>
      <c r="LB39" s="1576"/>
      <c r="LC39" s="1576"/>
      <c r="LD39" s="1576"/>
      <c r="LE39" s="1576"/>
      <c r="LF39" s="1576"/>
      <c r="LG39" s="1576"/>
      <c r="LH39" s="1576"/>
      <c r="LI39" s="1576"/>
      <c r="LJ39" s="1576"/>
      <c r="LK39" s="1576"/>
      <c r="LL39" s="1576"/>
      <c r="LM39" s="1576"/>
      <c r="LN39" s="1576"/>
      <c r="LO39" s="1576"/>
      <c r="LP39" s="1576"/>
      <c r="LQ39" s="1576"/>
      <c r="LR39" s="1576"/>
      <c r="LS39" s="1576"/>
      <c r="LT39" s="1576"/>
      <c r="LU39" s="1576"/>
      <c r="LV39" s="1576"/>
      <c r="LW39" s="1576"/>
      <c r="LX39" s="1576"/>
      <c r="LY39" s="1576"/>
      <c r="LZ39" s="1576"/>
      <c r="MA39" s="1576"/>
      <c r="MB39" s="1576"/>
      <c r="MC39" s="1576"/>
      <c r="MD39" s="1576"/>
      <c r="ME39" s="1576"/>
      <c r="MF39" s="1576"/>
      <c r="MG39" s="1576"/>
      <c r="MH39" s="1576"/>
      <c r="MI39" s="1576"/>
      <c r="MJ39" s="1576"/>
      <c r="MK39" s="1576"/>
      <c r="ML39" s="1576"/>
      <c r="MM39" s="1576"/>
      <c r="MN39" s="1576"/>
      <c r="MO39" s="1576"/>
      <c r="MP39" s="1576"/>
      <c r="MQ39" s="1576"/>
      <c r="MR39" s="1576"/>
      <c r="MS39" s="1576"/>
      <c r="MT39" s="1576"/>
      <c r="MU39" s="1576"/>
      <c r="MV39" s="1576"/>
      <c r="MW39" s="1576"/>
      <c r="MX39" s="1576"/>
      <c r="MY39" s="1576">
        <f>'Paso 1.1'!E36*Tiempos!$L$35</f>
        <v>0</v>
      </c>
      <c r="MZ39" s="1576">
        <f>'Paso 1.1'!F36*Tiempos!$L$35</f>
        <v>0</v>
      </c>
      <c r="NA39" s="1576">
        <f>'Paso 1.1'!G36*Tiempos!$L$35</f>
        <v>0</v>
      </c>
      <c r="NB39" s="1576">
        <f>'Paso 1.1'!H36*Tiempos!$L$35</f>
        <v>0</v>
      </c>
      <c r="NC39" s="1576">
        <f>'Paso 1.1'!I36*Tiempos!$L$35</f>
        <v>0</v>
      </c>
      <c r="ND39" s="1576">
        <f>'Paso 1.1'!J36*Tiempos!$L$35</f>
        <v>0</v>
      </c>
      <c r="NE39" s="1576">
        <f>'Paso 1.1'!K36*Tiempos!$L$35</f>
        <v>0</v>
      </c>
      <c r="NF39" s="1576">
        <f>'Paso 1.1'!L36*Tiempos!$L$35</f>
        <v>0</v>
      </c>
      <c r="NG39" s="1576">
        <f>'Paso 1.1'!M36*Tiempos!$L$35</f>
        <v>0</v>
      </c>
      <c r="NH39" s="1576">
        <f>'Paso 1.1'!N36*Tiempos!$L$35</f>
        <v>0</v>
      </c>
      <c r="NI39" s="1576">
        <f>'Paso 1.1'!O36*Tiempos!$L$35</f>
        <v>0</v>
      </c>
      <c r="NJ39" s="1576">
        <f>'Paso 1.1'!P36*Tiempos!$L$35</f>
        <v>0</v>
      </c>
      <c r="NK39" s="1576">
        <f>'Paso 1.1'!Q36*Tiempos!$L$35</f>
        <v>0</v>
      </c>
      <c r="NL39" s="1576">
        <f>'Paso 1.1'!R36*Tiempos!$L$35</f>
        <v>0</v>
      </c>
      <c r="NM39" s="1576">
        <f>'Paso 1.1'!S36*Tiempos!$L$35</f>
        <v>0</v>
      </c>
      <c r="NN39" s="1576">
        <f>'Paso 1.1'!T36*Tiempos!$L$35</f>
        <v>0</v>
      </c>
      <c r="NO39" s="1576">
        <f>'Paso 1.1'!U36*Tiempos!$L$35</f>
        <v>0</v>
      </c>
      <c r="NP39" s="1576"/>
      <c r="NQ39" s="1576"/>
      <c r="NR39" s="1576"/>
      <c r="NS39" s="1576"/>
      <c r="NT39" s="1576"/>
      <c r="NU39" s="1576"/>
      <c r="NV39" s="1576"/>
      <c r="NW39" s="1576"/>
      <c r="NX39" s="1576"/>
      <c r="NY39" s="1576"/>
      <c r="NZ39" s="1576"/>
      <c r="OA39" s="1576"/>
      <c r="OB39" s="1576"/>
      <c r="OC39" s="1576"/>
      <c r="OD39" s="1576"/>
      <c r="OE39" s="1576"/>
      <c r="OF39" s="1576"/>
      <c r="OG39" s="1576"/>
      <c r="OH39" s="1576"/>
      <c r="OI39" s="1576"/>
      <c r="OJ39" s="1576"/>
      <c r="OK39" s="1576"/>
      <c r="OL39" s="1576"/>
      <c r="OM39" s="1576"/>
      <c r="ON39" s="1576"/>
      <c r="OO39" s="1576"/>
      <c r="OP39" s="1576"/>
      <c r="OQ39" s="1576"/>
      <c r="OR39" s="1576"/>
      <c r="OS39" s="1576"/>
      <c r="OT39" s="1576"/>
      <c r="OU39" s="1576"/>
      <c r="OV39" s="1576"/>
      <c r="OW39" s="1576"/>
      <c r="OX39" s="1576"/>
      <c r="OY39" s="1576"/>
      <c r="OZ39" s="1576"/>
      <c r="PA39" s="1576"/>
      <c r="PB39" s="1576"/>
      <c r="PC39" s="1576"/>
      <c r="PD39" s="1576"/>
      <c r="PE39" s="1576"/>
      <c r="PF39" s="1576"/>
      <c r="PG39" s="1576"/>
      <c r="PH39" s="1576"/>
      <c r="PI39" s="1576"/>
      <c r="PJ39" s="1576"/>
      <c r="PK39" s="1576"/>
      <c r="PL39" s="1576"/>
      <c r="PM39" s="1576"/>
      <c r="PN39" s="1576"/>
      <c r="PO39" s="1576"/>
      <c r="PP39" s="1576"/>
      <c r="PQ39" s="1576"/>
      <c r="PR39" s="1576"/>
      <c r="PS39" s="1576"/>
      <c r="PT39" s="1576"/>
      <c r="PU39" s="1576"/>
      <c r="PV39" s="1576"/>
      <c r="PW39" s="1576"/>
      <c r="PX39" s="1576"/>
      <c r="PY39" s="1576"/>
      <c r="PZ39" s="1576"/>
      <c r="QA39" s="1576"/>
      <c r="QB39" s="1576"/>
      <c r="QC39" s="1576"/>
      <c r="QD39" s="1576"/>
      <c r="QE39" s="1576"/>
      <c r="QF39" s="1576"/>
      <c r="QG39" s="1576"/>
      <c r="QH39" s="1576"/>
      <c r="QI39" s="1576"/>
      <c r="QJ39" s="1576"/>
      <c r="QK39" s="1576"/>
      <c r="QL39" s="1576"/>
      <c r="QM39" s="1576"/>
      <c r="QN39" s="1576"/>
      <c r="QO39" s="1576"/>
      <c r="QP39" s="1576"/>
      <c r="QQ39" s="1576"/>
      <c r="QR39" s="1576"/>
      <c r="QS39" s="1576"/>
      <c r="QT39" s="1576"/>
      <c r="QU39" s="1576"/>
      <c r="QV39" s="1576"/>
      <c r="QW39" s="1576"/>
      <c r="QX39" s="1576"/>
      <c r="QY39" s="1576"/>
      <c r="QZ39" s="1576"/>
      <c r="RA39" s="1576"/>
      <c r="RB39" s="1576"/>
      <c r="RC39" s="1576"/>
      <c r="RD39" s="1576"/>
      <c r="RE39" s="1576"/>
      <c r="RF39" s="1576"/>
      <c r="RG39" s="1576"/>
      <c r="RH39" s="1576"/>
      <c r="RI39" s="1576"/>
      <c r="RJ39" s="1576"/>
      <c r="RK39" s="1576"/>
      <c r="RL39" s="1576"/>
      <c r="RM39" s="1576"/>
      <c r="RN39" s="1576"/>
      <c r="RO39" s="1576"/>
      <c r="RP39" s="1576"/>
      <c r="RQ39" s="1576"/>
      <c r="RR39" s="1576"/>
      <c r="RS39" s="1576"/>
      <c r="RT39" s="1576"/>
      <c r="RU39" s="1576"/>
      <c r="RV39" s="1576"/>
      <c r="RW39" s="1576"/>
      <c r="RX39" s="1576"/>
      <c r="RY39" s="1576"/>
      <c r="RZ39" s="1576"/>
      <c r="SA39" s="1576"/>
      <c r="SB39" s="1576"/>
      <c r="SC39" s="1576"/>
      <c r="SD39" s="1576"/>
      <c r="SE39" s="1576"/>
      <c r="SF39" s="1576"/>
      <c r="SG39" s="1576"/>
      <c r="SH39" s="1576"/>
      <c r="SI39" s="1576"/>
      <c r="SJ39" s="1576"/>
      <c r="SK39" s="1576"/>
      <c r="SL39" s="1576"/>
      <c r="SM39" s="1576"/>
      <c r="SN39" s="1576"/>
      <c r="SO39" s="1576"/>
      <c r="SP39" s="1576"/>
      <c r="SQ39" s="1576"/>
      <c r="SR39" s="1576"/>
      <c r="SS39" s="1576"/>
      <c r="ST39" s="1576"/>
      <c r="SU39" s="1576"/>
      <c r="SV39" s="1576"/>
      <c r="SW39" s="1576"/>
      <c r="SX39" s="1576"/>
      <c r="SY39" s="1576"/>
      <c r="SZ39" s="1576"/>
      <c r="TA39" s="1576"/>
      <c r="TB39" s="1576"/>
      <c r="TC39" s="1576"/>
      <c r="TD39" s="1576"/>
      <c r="TE39" s="1576"/>
      <c r="TF39" s="1576"/>
      <c r="TG39" s="1576"/>
      <c r="TH39" s="1576"/>
      <c r="TI39" s="1576"/>
      <c r="TJ39" s="1576"/>
      <c r="TK39" s="1576"/>
      <c r="TL39" s="1576"/>
      <c r="TM39" s="1576"/>
      <c r="TN39" s="1576"/>
      <c r="TO39" s="1576"/>
      <c r="TP39" s="1576"/>
      <c r="TQ39" s="1576"/>
      <c r="TR39" s="1576"/>
      <c r="TS39" s="1576"/>
      <c r="TT39" s="1576"/>
      <c r="TU39" s="1576"/>
      <c r="TV39" s="1576"/>
      <c r="TW39" s="1576"/>
      <c r="TX39" s="1576"/>
      <c r="TY39" s="1576"/>
      <c r="TZ39" s="1576"/>
      <c r="UA39" s="1576"/>
      <c r="UB39" s="1576"/>
      <c r="UC39" s="1576"/>
      <c r="UD39" s="1576"/>
      <c r="UE39" s="1576"/>
      <c r="UF39" s="1576"/>
      <c r="UG39" s="1576"/>
      <c r="UH39" s="1576"/>
      <c r="UI39" s="1576"/>
      <c r="UJ39" s="1576"/>
      <c r="UK39" s="1576"/>
      <c r="UL39" s="1576"/>
      <c r="UM39" s="1576"/>
      <c r="UN39" s="1576"/>
      <c r="UO39" s="1576"/>
      <c r="UP39" s="1576"/>
      <c r="UQ39" s="1576"/>
      <c r="UR39" s="1576"/>
      <c r="US39" s="1576"/>
      <c r="UT39" s="1576"/>
      <c r="UU39" s="1576"/>
      <c r="UV39" s="1576"/>
      <c r="UW39" s="1576"/>
      <c r="UX39" s="1576"/>
      <c r="UY39" s="1576"/>
      <c r="UZ39" s="1576"/>
      <c r="VA39" s="1576"/>
      <c r="VB39" s="1576"/>
      <c r="VC39" s="1576"/>
      <c r="VD39" s="1576"/>
      <c r="VE39" s="1576"/>
      <c r="VF39" s="1576"/>
      <c r="VG39" s="1576"/>
      <c r="VH39" s="1576"/>
      <c r="VI39" s="1576"/>
      <c r="VJ39" s="1576"/>
      <c r="VK39" s="1576"/>
    </row>
    <row r="40" spans="1:583" ht="27" x14ac:dyDescent="0.25">
      <c r="B40" s="1610" t="s">
        <v>629</v>
      </c>
      <c r="C40" s="1582" t="s">
        <v>2729</v>
      </c>
      <c r="D40" s="4710" t="s">
        <v>2095</v>
      </c>
      <c r="E40" s="4710">
        <v>0</v>
      </c>
      <c r="F40" s="1576"/>
      <c r="G40" s="1576"/>
      <c r="H40" s="1576"/>
      <c r="I40" s="1576"/>
      <c r="J40" s="1576"/>
      <c r="K40" s="1576"/>
      <c r="L40" s="1576"/>
      <c r="M40" s="1576"/>
      <c r="N40" s="1576"/>
      <c r="O40" s="1576"/>
      <c r="P40" s="1576"/>
      <c r="Q40" s="1576"/>
      <c r="R40" s="1576"/>
      <c r="S40" s="1576"/>
      <c r="T40" s="1576"/>
      <c r="U40" s="1576"/>
      <c r="V40" s="1576"/>
      <c r="W40" s="1576"/>
      <c r="X40" s="1576"/>
      <c r="Y40" s="1576"/>
      <c r="Z40" s="1576"/>
      <c r="AA40" s="1576"/>
      <c r="AB40" s="1576"/>
      <c r="AC40" s="1576"/>
      <c r="AD40" s="1576"/>
      <c r="AE40" s="1576"/>
      <c r="AF40" s="1576"/>
      <c r="AG40" s="1576"/>
      <c r="AH40" s="1576"/>
      <c r="AI40" s="1576"/>
      <c r="AJ40" s="1576"/>
      <c r="AK40" s="1576"/>
      <c r="AL40" s="1576"/>
      <c r="AM40" s="1576"/>
      <c r="AN40" s="1576"/>
      <c r="AO40" s="1576"/>
      <c r="AP40" s="1576"/>
      <c r="AQ40" s="1576"/>
      <c r="AR40" s="1576"/>
      <c r="AS40" s="1576"/>
      <c r="AT40" s="1576"/>
      <c r="AU40" s="1576"/>
      <c r="AV40" s="1576"/>
      <c r="AW40" s="1576"/>
      <c r="AX40" s="1576"/>
      <c r="AY40" s="1576"/>
      <c r="AZ40" s="1576"/>
      <c r="BA40" s="1576"/>
      <c r="BB40" s="1576"/>
      <c r="BC40" s="1576"/>
      <c r="BD40" s="1576"/>
      <c r="BE40" s="1576"/>
      <c r="BF40" s="1576"/>
      <c r="BG40" s="1576"/>
      <c r="BH40" s="1576"/>
      <c r="BI40" s="1576"/>
      <c r="BJ40" s="1576"/>
      <c r="BK40" s="1576"/>
      <c r="BL40" s="1576"/>
      <c r="BM40" s="1576"/>
      <c r="BN40" s="1576"/>
      <c r="BO40" s="1576"/>
      <c r="BP40" s="1576"/>
      <c r="BQ40" s="1576"/>
      <c r="BR40" s="1576"/>
      <c r="BS40" s="1576"/>
      <c r="BT40" s="1576"/>
      <c r="BU40" s="1576"/>
      <c r="BV40" s="1576"/>
      <c r="BW40" s="1576"/>
      <c r="BX40" s="1576"/>
      <c r="BY40" s="1576"/>
      <c r="BZ40" s="1576"/>
      <c r="CA40" s="1576"/>
      <c r="CB40" s="1576"/>
      <c r="CC40" s="1576"/>
      <c r="CD40" s="1576"/>
      <c r="CE40" s="1576"/>
      <c r="CF40" s="1576"/>
      <c r="CG40" s="1576"/>
      <c r="CH40" s="1576"/>
      <c r="CI40" s="1576"/>
      <c r="CJ40" s="1576"/>
      <c r="CK40" s="1576"/>
      <c r="CL40" s="1576"/>
      <c r="CM40" s="1576"/>
      <c r="CN40" s="1576"/>
      <c r="CO40" s="1576"/>
      <c r="CP40" s="1576"/>
      <c r="CQ40" s="1576"/>
      <c r="CR40" s="1576"/>
      <c r="CS40" s="1576"/>
      <c r="CT40" s="1576"/>
      <c r="CU40" s="1576"/>
      <c r="CV40" s="1576"/>
      <c r="CW40" s="1576"/>
      <c r="CX40" s="1576"/>
      <c r="CY40" s="1576"/>
      <c r="CZ40" s="1576"/>
      <c r="DA40" s="1576"/>
      <c r="DB40" s="1576"/>
      <c r="DC40" s="1576"/>
      <c r="DD40" s="1576"/>
      <c r="DE40" s="1576"/>
      <c r="DF40" s="1576"/>
      <c r="DG40" s="1576"/>
      <c r="DH40" s="1576"/>
      <c r="DI40" s="1576"/>
      <c r="DJ40" s="1576"/>
      <c r="DK40" s="1576"/>
      <c r="DL40" s="1576"/>
      <c r="DM40" s="1576"/>
      <c r="DN40" s="1576"/>
      <c r="DO40" s="1576"/>
      <c r="DP40" s="1576"/>
      <c r="DQ40" s="1576"/>
      <c r="DR40" s="1576"/>
      <c r="DS40" s="1576"/>
      <c r="DT40" s="1576"/>
      <c r="DU40" s="1576"/>
      <c r="DV40" s="1576"/>
      <c r="DW40" s="1576"/>
      <c r="DX40" s="1576"/>
      <c r="DY40" s="1576"/>
      <c r="DZ40" s="1576"/>
      <c r="EA40" s="1576"/>
      <c r="EB40" s="1576"/>
      <c r="EC40" s="1576"/>
      <c r="ED40" s="1576"/>
      <c r="EE40" s="1576"/>
      <c r="EF40" s="1576"/>
      <c r="EG40" s="1576"/>
      <c r="EH40" s="1576"/>
      <c r="EI40" s="1576"/>
      <c r="EJ40" s="1576"/>
      <c r="EK40" s="1576"/>
      <c r="EL40" s="1576"/>
      <c r="EM40" s="1576"/>
      <c r="EN40" s="1576"/>
      <c r="EO40" s="1576"/>
      <c r="EP40" s="1576"/>
      <c r="EQ40" s="1576"/>
      <c r="ER40" s="1576"/>
      <c r="ES40" s="1576"/>
      <c r="ET40" s="1576"/>
      <c r="EU40" s="1576"/>
      <c r="EV40" s="1576"/>
      <c r="EW40" s="1576"/>
      <c r="EX40" s="1576"/>
      <c r="EY40" s="1576"/>
      <c r="EZ40" s="1576"/>
      <c r="FA40" s="1576"/>
      <c r="FB40" s="1576"/>
      <c r="FC40" s="1576"/>
      <c r="FD40" s="1576"/>
      <c r="FE40" s="1576"/>
      <c r="FF40" s="1576"/>
      <c r="FG40" s="1576"/>
      <c r="FH40" s="1576"/>
      <c r="FI40" s="1576"/>
      <c r="FJ40" s="1576"/>
      <c r="FK40" s="1576"/>
      <c r="FL40" s="1576"/>
      <c r="FM40" s="1576"/>
      <c r="FN40" s="1576"/>
      <c r="FO40" s="1576"/>
      <c r="FP40" s="1576"/>
      <c r="FQ40" s="1576"/>
      <c r="FR40" s="1576"/>
      <c r="FS40" s="1576"/>
      <c r="FT40" s="1576"/>
      <c r="FU40" s="1576"/>
      <c r="FV40" s="1576"/>
      <c r="FW40" s="1576"/>
      <c r="FX40" s="1576"/>
      <c r="FY40" s="1576"/>
      <c r="FZ40" s="1576"/>
      <c r="GA40" s="1576"/>
      <c r="GB40" s="1576"/>
      <c r="GC40" s="1576"/>
      <c r="GD40" s="1576"/>
      <c r="GE40" s="1576"/>
      <c r="GF40" s="1576"/>
      <c r="GG40" s="1576"/>
      <c r="GH40" s="1576"/>
      <c r="GI40" s="1576"/>
      <c r="GJ40" s="1576"/>
      <c r="GK40" s="1576"/>
      <c r="GL40" s="1576"/>
      <c r="GM40" s="1576"/>
      <c r="GN40" s="1576"/>
      <c r="GO40" s="1576"/>
      <c r="GP40" s="1576"/>
      <c r="GQ40" s="1576"/>
      <c r="GR40" s="1576"/>
      <c r="GS40" s="1576"/>
      <c r="GT40" s="1576"/>
      <c r="GU40" s="1576"/>
      <c r="GV40" s="1576"/>
      <c r="GW40" s="1576"/>
      <c r="GX40" s="1576"/>
      <c r="GY40" s="1576"/>
      <c r="GZ40" s="1576"/>
      <c r="HA40" s="1576"/>
      <c r="HB40" s="1576"/>
      <c r="HC40" s="1576"/>
      <c r="HD40" s="1576"/>
      <c r="HE40" s="1576"/>
      <c r="HF40" s="1576"/>
      <c r="HG40" s="1576"/>
      <c r="HH40" s="1576"/>
      <c r="HI40" s="1576"/>
      <c r="HJ40" s="1576"/>
      <c r="HK40" s="1576"/>
      <c r="HL40" s="1576"/>
      <c r="HM40" s="1576"/>
      <c r="HN40" s="1576"/>
      <c r="HO40" s="1576"/>
      <c r="HP40" s="1576"/>
      <c r="HQ40" s="1576"/>
      <c r="HR40" s="1576"/>
      <c r="HS40" s="1576"/>
      <c r="HT40" s="1576"/>
      <c r="HU40" s="1576"/>
      <c r="HV40" s="1576"/>
      <c r="HW40" s="1576"/>
      <c r="HX40" s="1576"/>
      <c r="HY40" s="1576"/>
      <c r="HZ40" s="1576"/>
      <c r="IA40" s="1576"/>
      <c r="IB40" s="1576"/>
      <c r="IC40" s="1576"/>
      <c r="ID40" s="1576"/>
      <c r="IE40" s="1576"/>
      <c r="IF40" s="1576"/>
      <c r="IG40" s="1576"/>
      <c r="IH40" s="1576"/>
      <c r="II40" s="1576"/>
      <c r="IJ40" s="1576"/>
      <c r="IK40" s="1576"/>
      <c r="IL40" s="1576"/>
      <c r="IM40" s="1576"/>
      <c r="IN40" s="1576"/>
      <c r="IO40" s="1576"/>
      <c r="IP40" s="1576"/>
      <c r="IQ40" s="1576"/>
      <c r="IR40" s="1576"/>
      <c r="IS40" s="1576"/>
      <c r="IT40" s="1576"/>
      <c r="IU40" s="1576"/>
      <c r="IV40" s="1576"/>
      <c r="IW40" s="1576"/>
      <c r="IX40" s="1576"/>
      <c r="IY40" s="1576"/>
      <c r="IZ40" s="1576"/>
      <c r="JA40" s="2054"/>
      <c r="JB40" s="2054"/>
      <c r="JC40" s="2054"/>
      <c r="JD40" s="2054"/>
      <c r="JE40" s="2054"/>
      <c r="JF40" s="2054"/>
      <c r="JG40" s="2054"/>
      <c r="JH40" s="2054"/>
      <c r="JI40" s="2054"/>
      <c r="JJ40" s="2054"/>
      <c r="JK40" s="2054"/>
      <c r="JL40" s="2054"/>
      <c r="JM40" s="2054"/>
      <c r="JN40" s="2054"/>
      <c r="JO40" s="2054"/>
      <c r="JP40" s="2054"/>
      <c r="JQ40" s="2054"/>
      <c r="JR40" s="1576"/>
      <c r="JS40" s="1576"/>
      <c r="JT40" s="1576"/>
      <c r="JU40" s="1576"/>
      <c r="JV40" s="1576"/>
      <c r="JW40" s="1576"/>
      <c r="JX40" s="1576"/>
      <c r="JY40" s="1576"/>
      <c r="JZ40" s="1576"/>
      <c r="KA40" s="1576"/>
      <c r="KB40" s="1576"/>
      <c r="KC40" s="1576"/>
      <c r="KD40" s="1576"/>
      <c r="KE40" s="1576"/>
      <c r="KF40" s="1576"/>
      <c r="KG40" s="1576"/>
      <c r="KH40" s="1576"/>
      <c r="KI40" s="1576">
        <f>'Paso 1.1'!E37*Tiempos!$H$36</f>
        <v>254.53612084609102</v>
      </c>
      <c r="KJ40" s="1576">
        <f>'Paso 1.1'!F37*Tiempos!$H$36</f>
        <v>254.63475546311489</v>
      </c>
      <c r="KK40" s="1576">
        <f>'Paso 1.1'!G37*Tiempos!$H$36</f>
        <v>254.73342830177745</v>
      </c>
      <c r="KL40" s="1576">
        <f>'Paso 1.1'!H37*Tiempos!$H$36</f>
        <v>254.83213937689004</v>
      </c>
      <c r="KM40" s="1576">
        <f>'Paso 1.1'!I37*Tiempos!$H$36</f>
        <v>254.93088870326955</v>
      </c>
      <c r="KN40" s="1576">
        <f>'Paso 1.1'!J37*Tiempos!$H$36</f>
        <v>255.02967629573851</v>
      </c>
      <c r="KO40" s="1576">
        <f>'Paso 1.1'!K37*Tiempos!$H$36</f>
        <v>255.12850216912545</v>
      </c>
      <c r="KP40" s="1576">
        <f>'Paso 1.1'!L37*Tiempos!$H$36</f>
        <v>255.22736633826437</v>
      </c>
      <c r="KQ40" s="1576">
        <f>'Paso 1.1'!M37*Tiempos!$H$36</f>
        <v>255.3262688179953</v>
      </c>
      <c r="KR40" s="1576">
        <f>'Paso 1.1'!N37*Tiempos!$H$36</f>
        <v>255.42520962316385</v>
      </c>
      <c r="KS40" s="1576">
        <f>'Paso 1.1'!O37*Tiempos!$H$36</f>
        <v>255.52418876862126</v>
      </c>
      <c r="KT40" s="1576">
        <f>'Paso 1.1'!P37*Tiempos!$H$36</f>
        <v>255.62320626922485</v>
      </c>
      <c r="KU40" s="1576">
        <f>'Paso 1.1'!Q37*Tiempos!$H$36</f>
        <v>255.72226213983743</v>
      </c>
      <c r="KV40" s="1576">
        <f>'Paso 1.1'!R37*Tiempos!$H$36</f>
        <v>255.82135639532765</v>
      </c>
      <c r="KW40" s="1576">
        <f>'Paso 1.1'!S37*Tiempos!$H$36</f>
        <v>255.92048905056998</v>
      </c>
      <c r="KX40" s="1576">
        <f>'Paso 1.1'!T37*Tiempos!$H$36</f>
        <v>256.01966012044454</v>
      </c>
      <c r="KY40" s="1576">
        <f>'Paso 1.1'!U37*Tiempos!$H$36</f>
        <v>256.11886961983748</v>
      </c>
      <c r="KZ40" s="1576"/>
      <c r="LA40" s="1576"/>
      <c r="LB40" s="1576"/>
      <c r="LC40" s="1576"/>
      <c r="LD40" s="1576"/>
      <c r="LE40" s="1576"/>
      <c r="LF40" s="1576"/>
      <c r="LG40" s="1576"/>
      <c r="LH40" s="1576"/>
      <c r="LI40" s="1576"/>
      <c r="LJ40" s="1576"/>
      <c r="LK40" s="1576"/>
      <c r="LL40" s="1576"/>
      <c r="LM40" s="1576"/>
      <c r="LN40" s="1576"/>
      <c r="LO40" s="1576"/>
      <c r="LP40" s="1576"/>
      <c r="LQ40" s="1576"/>
      <c r="LR40" s="1576"/>
      <c r="LS40" s="1576"/>
      <c r="LT40" s="1576"/>
      <c r="LU40" s="1576"/>
      <c r="LV40" s="1576"/>
      <c r="LW40" s="1576"/>
      <c r="LX40" s="1576"/>
      <c r="LY40" s="1576"/>
      <c r="LZ40" s="1576"/>
      <c r="MA40" s="1576"/>
      <c r="MB40" s="1576"/>
      <c r="MC40" s="1576"/>
      <c r="MD40" s="1576"/>
      <c r="ME40" s="1576"/>
      <c r="MF40" s="1576"/>
      <c r="MG40" s="1576"/>
      <c r="MH40" s="1576"/>
      <c r="MI40" s="1576"/>
      <c r="MJ40" s="1576"/>
      <c r="MK40" s="1576"/>
      <c r="ML40" s="1576"/>
      <c r="MM40" s="1576"/>
      <c r="MN40" s="1576"/>
      <c r="MO40" s="1576"/>
      <c r="MP40" s="1576"/>
      <c r="MQ40" s="1576"/>
      <c r="MR40" s="1576"/>
      <c r="MS40" s="1576"/>
      <c r="MT40" s="1576"/>
      <c r="MU40" s="1576"/>
      <c r="MV40" s="1576"/>
      <c r="MW40" s="1576"/>
      <c r="MX40" s="1576"/>
      <c r="MY40" s="1576">
        <f>'Paso 1.1'!E37*Tiempos!$L$36</f>
        <v>50.90722416921821</v>
      </c>
      <c r="MZ40" s="1576">
        <f>'Paso 1.1'!F37*Tiempos!$L$36</f>
        <v>50.926951092622978</v>
      </c>
      <c r="NA40" s="1576">
        <f>'Paso 1.1'!G37*Tiempos!$L$36</f>
        <v>50.946685660355492</v>
      </c>
      <c r="NB40" s="1576">
        <f>'Paso 1.1'!H37*Tiempos!$L$36</f>
        <v>50.96642787537801</v>
      </c>
      <c r="NC40" s="1576">
        <f>'Paso 1.1'!I37*Tiempos!$L$36</f>
        <v>50.986177740653915</v>
      </c>
      <c r="ND40" s="1576">
        <f>'Paso 1.1'!J37*Tiempos!$L$36</f>
        <v>51.005935259147705</v>
      </c>
      <c r="NE40" s="1576">
        <f>'Paso 1.1'!K37*Tiempos!$L$36</f>
        <v>51.025700433825094</v>
      </c>
      <c r="NF40" s="1576">
        <f>'Paso 1.1'!L37*Tiempos!$L$36</f>
        <v>51.045473267652874</v>
      </c>
      <c r="NG40" s="1576">
        <f>'Paso 1.1'!M37*Tiempos!$L$36</f>
        <v>51.06525376359906</v>
      </c>
      <c r="NH40" s="1576">
        <f>'Paso 1.1'!N37*Tiempos!$L$36</f>
        <v>51.085041924632769</v>
      </c>
      <c r="NI40" s="1576">
        <f>'Paso 1.1'!O37*Tiempos!$L$36</f>
        <v>51.104837753724254</v>
      </c>
      <c r="NJ40" s="1576">
        <f>'Paso 1.1'!P37*Tiempos!$L$36</f>
        <v>51.12464125384497</v>
      </c>
      <c r="NK40" s="1576">
        <f>'Paso 1.1'!Q37*Tiempos!$L$36</f>
        <v>51.144452427967487</v>
      </c>
      <c r="NL40" s="1576">
        <f>'Paso 1.1'!R37*Tiempos!$L$36</f>
        <v>51.164271279065531</v>
      </c>
      <c r="NM40" s="1576">
        <f>'Paso 1.1'!S37*Tiempos!$L$36</f>
        <v>51.184097810113997</v>
      </c>
      <c r="NN40" s="1576">
        <f>'Paso 1.1'!T37*Tiempos!$L$36</f>
        <v>51.203932024088914</v>
      </c>
      <c r="NO40" s="1576">
        <f>'Paso 1.1'!U37*Tiempos!$L$36</f>
        <v>51.223773923967499</v>
      </c>
      <c r="NP40" s="1576"/>
      <c r="NQ40" s="1576"/>
      <c r="NR40" s="1576"/>
      <c r="NS40" s="1576"/>
      <c r="NT40" s="1576"/>
      <c r="NU40" s="1576"/>
      <c r="NV40" s="1576"/>
      <c r="NW40" s="1576"/>
      <c r="NX40" s="1576"/>
      <c r="NY40" s="1576"/>
      <c r="NZ40" s="1576"/>
      <c r="OA40" s="1576"/>
      <c r="OB40" s="1576"/>
      <c r="OC40" s="1576"/>
      <c r="OD40" s="1576"/>
      <c r="OE40" s="1576"/>
      <c r="OF40" s="1576"/>
      <c r="OG40" s="1576"/>
      <c r="OH40" s="1576"/>
      <c r="OI40" s="1576"/>
      <c r="OJ40" s="1576"/>
      <c r="OK40" s="1576"/>
      <c r="OL40" s="1576"/>
      <c r="OM40" s="1576"/>
      <c r="ON40" s="1576"/>
      <c r="OO40" s="1576"/>
      <c r="OP40" s="1576"/>
      <c r="OQ40" s="1576"/>
      <c r="OR40" s="1576"/>
      <c r="OS40" s="1576"/>
      <c r="OT40" s="1576"/>
      <c r="OU40" s="1576"/>
      <c r="OV40" s="1576"/>
      <c r="OW40" s="1576"/>
      <c r="OX40" s="1576"/>
      <c r="OY40" s="1576"/>
      <c r="OZ40" s="1576"/>
      <c r="PA40" s="1576"/>
      <c r="PB40" s="1576"/>
      <c r="PC40" s="1576"/>
      <c r="PD40" s="1576"/>
      <c r="PE40" s="1576"/>
      <c r="PF40" s="1576"/>
      <c r="PG40" s="1576"/>
      <c r="PH40" s="1576"/>
      <c r="PI40" s="1576"/>
      <c r="PJ40" s="1576"/>
      <c r="PK40" s="1576"/>
      <c r="PL40" s="1576"/>
      <c r="PM40" s="1576"/>
      <c r="PN40" s="1576"/>
      <c r="PO40" s="1576"/>
      <c r="PP40" s="1576"/>
      <c r="PQ40" s="1576"/>
      <c r="PR40" s="1576"/>
      <c r="PS40" s="1576"/>
      <c r="PT40" s="1576"/>
      <c r="PU40" s="1576"/>
      <c r="PV40" s="1576"/>
      <c r="PW40" s="1576"/>
      <c r="PX40" s="1576"/>
      <c r="PY40" s="1576"/>
      <c r="PZ40" s="1576"/>
      <c r="QA40" s="1576"/>
      <c r="QB40" s="1576"/>
      <c r="QC40" s="1576"/>
      <c r="QD40" s="1576"/>
      <c r="QE40" s="1576"/>
      <c r="QF40" s="1576"/>
      <c r="QG40" s="1576"/>
      <c r="QH40" s="1576"/>
      <c r="QI40" s="1576"/>
      <c r="QJ40" s="1576"/>
      <c r="QK40" s="1576"/>
      <c r="QL40" s="1576"/>
      <c r="QM40" s="1576"/>
      <c r="QN40" s="1576"/>
      <c r="QO40" s="1576"/>
      <c r="QP40" s="1576"/>
      <c r="QQ40" s="1576"/>
      <c r="QR40" s="1576"/>
      <c r="QS40" s="1576"/>
      <c r="QT40" s="1576"/>
      <c r="QU40" s="1576"/>
      <c r="QV40" s="1576"/>
      <c r="QW40" s="1576"/>
      <c r="QX40" s="1576"/>
      <c r="QY40" s="1576"/>
      <c r="QZ40" s="1576"/>
      <c r="RA40" s="1576"/>
      <c r="RB40" s="1576"/>
      <c r="RC40" s="1576"/>
      <c r="RD40" s="1576"/>
      <c r="RE40" s="1576"/>
      <c r="RF40" s="1576"/>
      <c r="RG40" s="1576"/>
      <c r="RH40" s="1576"/>
      <c r="RI40" s="1576"/>
      <c r="RJ40" s="1576"/>
      <c r="RK40" s="1576"/>
      <c r="RL40" s="1576"/>
      <c r="RM40" s="1576"/>
      <c r="RN40" s="1576"/>
      <c r="RO40" s="1576"/>
      <c r="RP40" s="1576"/>
      <c r="RQ40" s="1576"/>
      <c r="RR40" s="1576"/>
      <c r="RS40" s="1576"/>
      <c r="RT40" s="1576"/>
      <c r="RU40" s="1576"/>
      <c r="RV40" s="1576"/>
      <c r="RW40" s="1576"/>
      <c r="RX40" s="1576"/>
      <c r="RY40" s="1576"/>
      <c r="RZ40" s="1576"/>
      <c r="SA40" s="1576"/>
      <c r="SB40" s="1576"/>
      <c r="SC40" s="1576"/>
      <c r="SD40" s="1576"/>
      <c r="SE40" s="1576"/>
      <c r="SF40" s="1576"/>
      <c r="SG40" s="1576"/>
      <c r="SH40" s="1576"/>
      <c r="SI40" s="1576"/>
      <c r="SJ40" s="1576"/>
      <c r="SK40" s="1576"/>
      <c r="SL40" s="1576"/>
      <c r="SM40" s="1576"/>
      <c r="SN40" s="1576"/>
      <c r="SO40" s="1576"/>
      <c r="SP40" s="1576"/>
      <c r="SQ40" s="1576"/>
      <c r="SR40" s="1576"/>
      <c r="SS40" s="1576"/>
      <c r="ST40" s="1576"/>
      <c r="SU40" s="1576"/>
      <c r="SV40" s="1576"/>
      <c r="SW40" s="1576"/>
      <c r="SX40" s="1576"/>
      <c r="SY40" s="1576"/>
      <c r="SZ40" s="1576"/>
      <c r="TA40" s="1576"/>
      <c r="TB40" s="1576"/>
      <c r="TC40" s="1576"/>
      <c r="TD40" s="1576"/>
      <c r="TE40" s="1576"/>
      <c r="TF40" s="1576"/>
      <c r="TG40" s="1576"/>
      <c r="TH40" s="1576"/>
      <c r="TI40" s="1576"/>
      <c r="TJ40" s="1576"/>
      <c r="TK40" s="1576"/>
      <c r="TL40" s="1576"/>
      <c r="TM40" s="1576"/>
      <c r="TN40" s="1576"/>
      <c r="TO40" s="1576"/>
      <c r="TP40" s="1576"/>
      <c r="TQ40" s="1576"/>
      <c r="TR40" s="1576"/>
      <c r="TS40" s="1576"/>
      <c r="TT40" s="1576"/>
      <c r="TU40" s="1576"/>
      <c r="TV40" s="1576"/>
      <c r="TW40" s="1576"/>
      <c r="TX40" s="1576"/>
      <c r="TY40" s="1576"/>
      <c r="TZ40" s="1576"/>
      <c r="UA40" s="1576"/>
      <c r="UB40" s="1576"/>
      <c r="UC40" s="1576"/>
      <c r="UD40" s="1576"/>
      <c r="UE40" s="1576"/>
      <c r="UF40" s="1576"/>
      <c r="UG40" s="1576"/>
      <c r="UH40" s="1576"/>
      <c r="UI40" s="1576"/>
      <c r="UJ40" s="1576"/>
      <c r="UK40" s="1576"/>
      <c r="UL40" s="1576"/>
      <c r="UM40" s="1576"/>
      <c r="UN40" s="1576"/>
      <c r="UO40" s="1576"/>
      <c r="UP40" s="1576"/>
      <c r="UQ40" s="1576"/>
      <c r="UR40" s="1576"/>
      <c r="US40" s="1576"/>
      <c r="UT40" s="1576"/>
      <c r="UU40" s="1576"/>
      <c r="UV40" s="1576"/>
      <c r="UW40" s="1576"/>
      <c r="UX40" s="1576"/>
      <c r="UY40" s="1576"/>
      <c r="UZ40" s="1576"/>
      <c r="VA40" s="1576"/>
      <c r="VB40" s="1576"/>
      <c r="VC40" s="1576"/>
      <c r="VD40" s="1576"/>
      <c r="VE40" s="1576"/>
      <c r="VF40" s="1576"/>
      <c r="VG40" s="1576"/>
      <c r="VH40" s="1576"/>
      <c r="VI40" s="1576"/>
      <c r="VJ40" s="1576"/>
      <c r="VK40" s="1576"/>
    </row>
    <row r="41" spans="1:583" ht="27" x14ac:dyDescent="0.25">
      <c r="B41" s="1610" t="s">
        <v>629</v>
      </c>
      <c r="C41" s="1582" t="s">
        <v>2729</v>
      </c>
      <c r="D41" s="4710" t="s">
        <v>2091</v>
      </c>
      <c r="E41" s="4710">
        <v>0</v>
      </c>
      <c r="F41" s="1576"/>
      <c r="G41" s="1576"/>
      <c r="H41" s="1576"/>
      <c r="I41" s="1576"/>
      <c r="J41" s="1576"/>
      <c r="K41" s="1576"/>
      <c r="L41" s="1576"/>
      <c r="M41" s="1576"/>
      <c r="N41" s="1576"/>
      <c r="O41" s="1576"/>
      <c r="P41" s="1576"/>
      <c r="Q41" s="1576"/>
      <c r="R41" s="1576"/>
      <c r="S41" s="1576"/>
      <c r="T41" s="1576"/>
      <c r="U41" s="1576"/>
      <c r="V41" s="1576"/>
      <c r="W41" s="1576"/>
      <c r="X41" s="1576"/>
      <c r="Y41" s="1576"/>
      <c r="Z41" s="1576"/>
      <c r="AA41" s="1576"/>
      <c r="AB41" s="1576"/>
      <c r="AC41" s="1576"/>
      <c r="AD41" s="1576"/>
      <c r="AE41" s="1576"/>
      <c r="AF41" s="1576"/>
      <c r="AG41" s="1576"/>
      <c r="AH41" s="1576"/>
      <c r="AI41" s="1576"/>
      <c r="AJ41" s="1576"/>
      <c r="AK41" s="1576"/>
      <c r="AL41" s="1576"/>
      <c r="AM41" s="1576"/>
      <c r="AN41" s="1576"/>
      <c r="AO41" s="1576"/>
      <c r="AP41" s="1576"/>
      <c r="AQ41" s="1576"/>
      <c r="AR41" s="1576"/>
      <c r="AS41" s="1576"/>
      <c r="AT41" s="1576"/>
      <c r="AU41" s="1576"/>
      <c r="AV41" s="1576"/>
      <c r="AW41" s="1576"/>
      <c r="AX41" s="1576"/>
      <c r="AY41" s="1576"/>
      <c r="AZ41" s="1576"/>
      <c r="BA41" s="1576"/>
      <c r="BB41" s="1576"/>
      <c r="BC41" s="1576"/>
      <c r="BD41" s="1576"/>
      <c r="BE41" s="1576"/>
      <c r="BF41" s="1576"/>
      <c r="BG41" s="1576"/>
      <c r="BH41" s="1576"/>
      <c r="BI41" s="1576"/>
      <c r="BJ41" s="1576"/>
      <c r="BK41" s="1576"/>
      <c r="BL41" s="1576"/>
      <c r="BM41" s="1576"/>
      <c r="BN41" s="1576"/>
      <c r="BO41" s="1576"/>
      <c r="BP41" s="1576"/>
      <c r="BQ41" s="1576"/>
      <c r="BR41" s="1576"/>
      <c r="BS41" s="1576"/>
      <c r="BT41" s="1576"/>
      <c r="BU41" s="1576"/>
      <c r="BV41" s="1576"/>
      <c r="BW41" s="1576"/>
      <c r="BX41" s="1576"/>
      <c r="BY41" s="1576"/>
      <c r="BZ41" s="1576"/>
      <c r="CA41" s="1576"/>
      <c r="CB41" s="1576"/>
      <c r="CC41" s="1576"/>
      <c r="CD41" s="1576"/>
      <c r="CE41" s="1576"/>
      <c r="CF41" s="1576"/>
      <c r="CG41" s="1576"/>
      <c r="CH41" s="1576"/>
      <c r="CI41" s="1576"/>
      <c r="CJ41" s="1576"/>
      <c r="CK41" s="1576"/>
      <c r="CL41" s="1576"/>
      <c r="CM41" s="1576"/>
      <c r="CN41" s="1576"/>
      <c r="CO41" s="1576"/>
      <c r="CP41" s="1576"/>
      <c r="CQ41" s="1576"/>
      <c r="CR41" s="1576"/>
      <c r="CS41" s="1576"/>
      <c r="CT41" s="1576"/>
      <c r="CU41" s="1576"/>
      <c r="CV41" s="1576"/>
      <c r="CW41" s="1576"/>
      <c r="CX41" s="1576"/>
      <c r="CY41" s="1576"/>
      <c r="CZ41" s="1576"/>
      <c r="DA41" s="1576"/>
      <c r="DB41" s="1576"/>
      <c r="DC41" s="1576"/>
      <c r="DD41" s="1576"/>
      <c r="DE41" s="1576"/>
      <c r="DF41" s="1576"/>
      <c r="DG41" s="1576"/>
      <c r="DH41" s="1576"/>
      <c r="DI41" s="1576"/>
      <c r="DJ41" s="1576"/>
      <c r="DK41" s="1576"/>
      <c r="DL41" s="1576"/>
      <c r="DM41" s="1576"/>
      <c r="DN41" s="1576"/>
      <c r="DO41" s="1576"/>
      <c r="DP41" s="1576"/>
      <c r="DQ41" s="1576"/>
      <c r="DR41" s="1576"/>
      <c r="DS41" s="1576"/>
      <c r="DT41" s="1576"/>
      <c r="DU41" s="1576"/>
      <c r="DV41" s="1576"/>
      <c r="DW41" s="1576"/>
      <c r="DX41" s="1576"/>
      <c r="DY41" s="1576"/>
      <c r="DZ41" s="1576"/>
      <c r="EA41" s="1576"/>
      <c r="EB41" s="1576"/>
      <c r="EC41" s="1576"/>
      <c r="ED41" s="1576"/>
      <c r="EE41" s="1576"/>
      <c r="EF41" s="1576"/>
      <c r="EG41" s="1576"/>
      <c r="EH41" s="1576"/>
      <c r="EI41" s="1576"/>
      <c r="EJ41" s="1576"/>
      <c r="EK41" s="1576"/>
      <c r="EL41" s="1576"/>
      <c r="EM41" s="1576"/>
      <c r="EN41" s="1576"/>
      <c r="EO41" s="1576"/>
      <c r="EP41" s="1576"/>
      <c r="EQ41" s="1576"/>
      <c r="ER41" s="1576"/>
      <c r="ES41" s="1576"/>
      <c r="ET41" s="1576"/>
      <c r="EU41" s="1576"/>
      <c r="EV41" s="1576"/>
      <c r="EW41" s="1576"/>
      <c r="EX41" s="1576"/>
      <c r="EY41" s="1576"/>
      <c r="EZ41" s="1576"/>
      <c r="FA41" s="1576"/>
      <c r="FB41" s="1576"/>
      <c r="FC41" s="1576"/>
      <c r="FD41" s="1576"/>
      <c r="FE41" s="1576"/>
      <c r="FF41" s="1576"/>
      <c r="FG41" s="1576"/>
      <c r="FH41" s="1576"/>
      <c r="FI41" s="1576"/>
      <c r="FJ41" s="1576"/>
      <c r="FK41" s="1576"/>
      <c r="FL41" s="1576"/>
      <c r="FM41" s="1576"/>
      <c r="FN41" s="1576"/>
      <c r="FO41" s="1576"/>
      <c r="FP41" s="1576"/>
      <c r="FQ41" s="1576"/>
      <c r="FR41" s="1576"/>
      <c r="FS41" s="1576"/>
      <c r="FT41" s="1576"/>
      <c r="FU41" s="1576"/>
      <c r="FV41" s="1576"/>
      <c r="FW41" s="1576"/>
      <c r="FX41" s="1576"/>
      <c r="FY41" s="1576"/>
      <c r="FZ41" s="1576"/>
      <c r="GA41" s="1576"/>
      <c r="GB41" s="1576"/>
      <c r="GC41" s="1576"/>
      <c r="GD41" s="1576"/>
      <c r="GE41" s="1576"/>
      <c r="GF41" s="1576"/>
      <c r="GG41" s="1576"/>
      <c r="GH41" s="1576"/>
      <c r="GI41" s="1576"/>
      <c r="GJ41" s="1576"/>
      <c r="GK41" s="1576"/>
      <c r="GL41" s="1576"/>
      <c r="GM41" s="1576"/>
      <c r="GN41" s="1576"/>
      <c r="GO41" s="1576"/>
      <c r="GP41" s="1576"/>
      <c r="GQ41" s="1576"/>
      <c r="GR41" s="1576"/>
      <c r="GS41" s="1576"/>
      <c r="GT41" s="1576"/>
      <c r="GU41" s="1576"/>
      <c r="GV41" s="1576"/>
      <c r="GW41" s="1576"/>
      <c r="GX41" s="1576"/>
      <c r="GY41" s="1576"/>
      <c r="GZ41" s="1576"/>
      <c r="HA41" s="1576"/>
      <c r="HB41" s="1576"/>
      <c r="HC41" s="1576"/>
      <c r="HD41" s="1576"/>
      <c r="HE41" s="1576"/>
      <c r="HF41" s="1576"/>
      <c r="HG41" s="1576"/>
      <c r="HH41" s="1576"/>
      <c r="HI41" s="1576"/>
      <c r="HJ41" s="1576"/>
      <c r="HK41" s="1576"/>
      <c r="HL41" s="1576"/>
      <c r="HM41" s="1576"/>
      <c r="HN41" s="1576"/>
      <c r="HO41" s="1576"/>
      <c r="HP41" s="1576"/>
      <c r="HQ41" s="1576"/>
      <c r="HR41" s="1576"/>
      <c r="HS41" s="1576"/>
      <c r="HT41" s="1576"/>
      <c r="HU41" s="1576"/>
      <c r="HV41" s="1576"/>
      <c r="HW41" s="1576"/>
      <c r="HX41" s="1576"/>
      <c r="HY41" s="1576"/>
      <c r="HZ41" s="1576"/>
      <c r="IA41" s="1576"/>
      <c r="IB41" s="1576"/>
      <c r="IC41" s="1576"/>
      <c r="ID41" s="1576"/>
      <c r="IE41" s="1576"/>
      <c r="IF41" s="1576"/>
      <c r="IG41" s="1576"/>
      <c r="IH41" s="1576"/>
      <c r="II41" s="1576"/>
      <c r="IJ41" s="1576"/>
      <c r="IK41" s="1576"/>
      <c r="IL41" s="1576"/>
      <c r="IM41" s="1576"/>
      <c r="IN41" s="1576"/>
      <c r="IO41" s="1576"/>
      <c r="IP41" s="1576"/>
      <c r="IQ41" s="1576"/>
      <c r="IR41" s="1576"/>
      <c r="IS41" s="1576"/>
      <c r="IT41" s="1576"/>
      <c r="IU41" s="1576"/>
      <c r="IV41" s="1576"/>
      <c r="IW41" s="1576"/>
      <c r="IX41" s="1576"/>
      <c r="IY41" s="1576"/>
      <c r="IZ41" s="1576"/>
      <c r="JA41" s="2054"/>
      <c r="JB41" s="2054"/>
      <c r="JC41" s="2054"/>
      <c r="JD41" s="2054"/>
      <c r="JE41" s="2054"/>
      <c r="JF41" s="2054"/>
      <c r="JG41" s="2054"/>
      <c r="JH41" s="2054"/>
      <c r="JI41" s="2054"/>
      <c r="JJ41" s="2054"/>
      <c r="JK41" s="2054"/>
      <c r="JL41" s="2054"/>
      <c r="JM41" s="2054"/>
      <c r="JN41" s="2054"/>
      <c r="JO41" s="2054"/>
      <c r="JP41" s="2054"/>
      <c r="JQ41" s="2054"/>
      <c r="JR41" s="1576"/>
      <c r="JS41" s="1576"/>
      <c r="JT41" s="1576"/>
      <c r="JU41" s="1576"/>
      <c r="JV41" s="1576"/>
      <c r="JW41" s="1576"/>
      <c r="JX41" s="1576"/>
      <c r="JY41" s="1576"/>
      <c r="JZ41" s="1576"/>
      <c r="KA41" s="1576"/>
      <c r="KB41" s="1576"/>
      <c r="KC41" s="1576"/>
      <c r="KD41" s="1576"/>
      <c r="KE41" s="1576"/>
      <c r="KF41" s="1576"/>
      <c r="KG41" s="1576"/>
      <c r="KH41" s="1576"/>
      <c r="KI41" s="1576" t="e">
        <f>'Paso 1.1'!E38*Tiempos!$H$37</f>
        <v>#REF!</v>
      </c>
      <c r="KJ41" s="1576" t="e">
        <f>'Paso 1.1'!F38*Tiempos!$H$37</f>
        <v>#REF!</v>
      </c>
      <c r="KK41" s="1576" t="e">
        <f>'Paso 1.1'!G38*Tiempos!$H$37</f>
        <v>#REF!</v>
      </c>
      <c r="KL41" s="1576" t="e">
        <f>'Paso 1.1'!H38*Tiempos!$H$37</f>
        <v>#REF!</v>
      </c>
      <c r="KM41" s="1576" t="e">
        <f>'Paso 1.1'!I38*Tiempos!$H$37</f>
        <v>#REF!</v>
      </c>
      <c r="KN41" s="1576" t="e">
        <f>'Paso 1.1'!J38*Tiempos!$H$37</f>
        <v>#REF!</v>
      </c>
      <c r="KO41" s="1576" t="e">
        <f>'Paso 1.1'!K38*Tiempos!$H$37</f>
        <v>#REF!</v>
      </c>
      <c r="KP41" s="1576" t="e">
        <f>'Paso 1.1'!L38*Tiempos!$H$37</f>
        <v>#REF!</v>
      </c>
      <c r="KQ41" s="1576" t="e">
        <f>'Paso 1.1'!M38*Tiempos!$H$37</f>
        <v>#REF!</v>
      </c>
      <c r="KR41" s="1576" t="e">
        <f>'Paso 1.1'!N38*Tiempos!$H$37</f>
        <v>#REF!</v>
      </c>
      <c r="KS41" s="1576" t="e">
        <f>'Paso 1.1'!O38*Tiempos!$H$37</f>
        <v>#REF!</v>
      </c>
      <c r="KT41" s="1576" t="e">
        <f>'Paso 1.1'!P38*Tiempos!$H$37</f>
        <v>#REF!</v>
      </c>
      <c r="KU41" s="1576" t="e">
        <f>'Paso 1.1'!Q38*Tiempos!$H$37</f>
        <v>#REF!</v>
      </c>
      <c r="KV41" s="1576" t="e">
        <f>'Paso 1.1'!R38*Tiempos!$H$37</f>
        <v>#REF!</v>
      </c>
      <c r="KW41" s="1576" t="e">
        <f>'Paso 1.1'!S38*Tiempos!$H$37</f>
        <v>#REF!</v>
      </c>
      <c r="KX41" s="1576" t="e">
        <f>'Paso 1.1'!T38*Tiempos!$H$37</f>
        <v>#REF!</v>
      </c>
      <c r="KY41" s="1576" t="e">
        <f>'Paso 1.1'!U38*Tiempos!$H$37</f>
        <v>#REF!</v>
      </c>
      <c r="KZ41" s="1576"/>
      <c r="LA41" s="1576"/>
      <c r="LB41" s="1576"/>
      <c r="LC41" s="1576"/>
      <c r="LD41" s="1576"/>
      <c r="LE41" s="1576"/>
      <c r="LF41" s="1576"/>
      <c r="LG41" s="1576"/>
      <c r="LH41" s="1576"/>
      <c r="LI41" s="1576"/>
      <c r="LJ41" s="1576"/>
      <c r="LK41" s="1576"/>
      <c r="LL41" s="1576"/>
      <c r="LM41" s="1576"/>
      <c r="LN41" s="1576"/>
      <c r="LO41" s="1576"/>
      <c r="LP41" s="1576"/>
      <c r="LQ41" s="1576"/>
      <c r="LR41" s="1576"/>
      <c r="LS41" s="1576"/>
      <c r="LT41" s="1576"/>
      <c r="LU41" s="1576"/>
      <c r="LV41" s="1576"/>
      <c r="LW41" s="1576"/>
      <c r="LX41" s="1576"/>
      <c r="LY41" s="1576"/>
      <c r="LZ41" s="1576"/>
      <c r="MA41" s="1576"/>
      <c r="MB41" s="1576"/>
      <c r="MC41" s="1576"/>
      <c r="MD41" s="1576"/>
      <c r="ME41" s="1576"/>
      <c r="MF41" s="1576"/>
      <c r="MG41" s="1576"/>
      <c r="MH41" s="1576"/>
      <c r="MI41" s="1576"/>
      <c r="MJ41" s="1576"/>
      <c r="MK41" s="1576"/>
      <c r="ML41" s="1576"/>
      <c r="MM41" s="1576"/>
      <c r="MN41" s="1576"/>
      <c r="MO41" s="1576"/>
      <c r="MP41" s="1576"/>
      <c r="MQ41" s="1576"/>
      <c r="MR41" s="1576"/>
      <c r="MS41" s="1576"/>
      <c r="MT41" s="1576"/>
      <c r="MU41" s="1576"/>
      <c r="MV41" s="1576"/>
      <c r="MW41" s="1576"/>
      <c r="MX41" s="1576"/>
      <c r="MY41" s="1576" t="e">
        <f>'Paso 1.1'!E38*Tiempos!$L$37</f>
        <v>#REF!</v>
      </c>
      <c r="MZ41" s="1576" t="e">
        <f>'Paso 1.1'!F38*Tiempos!$L$37</f>
        <v>#REF!</v>
      </c>
      <c r="NA41" s="1576" t="e">
        <f>'Paso 1.1'!G38*Tiempos!$L$37</f>
        <v>#REF!</v>
      </c>
      <c r="NB41" s="1576" t="e">
        <f>'Paso 1.1'!H38*Tiempos!$L$37</f>
        <v>#REF!</v>
      </c>
      <c r="NC41" s="1576" t="e">
        <f>'Paso 1.1'!I38*Tiempos!$L$37</f>
        <v>#REF!</v>
      </c>
      <c r="ND41" s="1576" t="e">
        <f>'Paso 1.1'!J38*Tiempos!$L$37</f>
        <v>#REF!</v>
      </c>
      <c r="NE41" s="1576" t="e">
        <f>'Paso 1.1'!K38*Tiempos!$L$37</f>
        <v>#REF!</v>
      </c>
      <c r="NF41" s="1576" t="e">
        <f>'Paso 1.1'!L38*Tiempos!$L$37</f>
        <v>#REF!</v>
      </c>
      <c r="NG41" s="1576" t="e">
        <f>'Paso 1.1'!M38*Tiempos!$L$37</f>
        <v>#REF!</v>
      </c>
      <c r="NH41" s="1576" t="e">
        <f>'Paso 1.1'!N38*Tiempos!$L$37</f>
        <v>#REF!</v>
      </c>
      <c r="NI41" s="1576" t="e">
        <f>'Paso 1.1'!O38*Tiempos!$L$37</f>
        <v>#REF!</v>
      </c>
      <c r="NJ41" s="1576" t="e">
        <f>'Paso 1.1'!P38*Tiempos!$L$37</f>
        <v>#REF!</v>
      </c>
      <c r="NK41" s="1576" t="e">
        <f>'Paso 1.1'!Q38*Tiempos!$L$37</f>
        <v>#REF!</v>
      </c>
      <c r="NL41" s="1576" t="e">
        <f>'Paso 1.1'!R38*Tiempos!$L$37</f>
        <v>#REF!</v>
      </c>
      <c r="NM41" s="1576" t="e">
        <f>'Paso 1.1'!S38*Tiempos!$L$37</f>
        <v>#REF!</v>
      </c>
      <c r="NN41" s="1576" t="e">
        <f>'Paso 1.1'!T38*Tiempos!$L$37</f>
        <v>#REF!</v>
      </c>
      <c r="NO41" s="1576" t="e">
        <f>'Paso 1.1'!U38*Tiempos!$L$37</f>
        <v>#REF!</v>
      </c>
      <c r="NP41" s="1576"/>
      <c r="NQ41" s="1576"/>
      <c r="NR41" s="1576"/>
      <c r="NS41" s="1576"/>
      <c r="NT41" s="1576"/>
      <c r="NU41" s="1576"/>
      <c r="NV41" s="1576"/>
      <c r="NW41" s="1576"/>
      <c r="NX41" s="1576"/>
      <c r="NY41" s="1576"/>
      <c r="NZ41" s="1576"/>
      <c r="OA41" s="1576"/>
      <c r="OB41" s="1576"/>
      <c r="OC41" s="1576"/>
      <c r="OD41" s="1576"/>
      <c r="OE41" s="1576"/>
      <c r="OF41" s="1576"/>
      <c r="OG41" s="1576"/>
      <c r="OH41" s="1576"/>
      <c r="OI41" s="1576"/>
      <c r="OJ41" s="1576"/>
      <c r="OK41" s="1576"/>
      <c r="OL41" s="1576"/>
      <c r="OM41" s="1576"/>
      <c r="ON41" s="1576"/>
      <c r="OO41" s="1576"/>
      <c r="OP41" s="1576"/>
      <c r="OQ41" s="1576"/>
      <c r="OR41" s="1576"/>
      <c r="OS41" s="1576"/>
      <c r="OT41" s="1576"/>
      <c r="OU41" s="1576"/>
      <c r="OV41" s="1576"/>
      <c r="OW41" s="1576"/>
      <c r="OX41" s="1576"/>
      <c r="OY41" s="1576"/>
      <c r="OZ41" s="1576"/>
      <c r="PA41" s="1576"/>
      <c r="PB41" s="1576"/>
      <c r="PC41" s="1576"/>
      <c r="PD41" s="1576"/>
      <c r="PE41" s="1576"/>
      <c r="PF41" s="1576"/>
      <c r="PG41" s="1576"/>
      <c r="PH41" s="1576"/>
      <c r="PI41" s="1576"/>
      <c r="PJ41" s="1576"/>
      <c r="PK41" s="1576"/>
      <c r="PL41" s="1576"/>
      <c r="PM41" s="1576"/>
      <c r="PN41" s="1576"/>
      <c r="PO41" s="1576"/>
      <c r="PP41" s="1576"/>
      <c r="PQ41" s="1576"/>
      <c r="PR41" s="1576"/>
      <c r="PS41" s="1576"/>
      <c r="PT41" s="1576"/>
      <c r="PU41" s="1576"/>
      <c r="PV41" s="1576"/>
      <c r="PW41" s="1576"/>
      <c r="PX41" s="1576"/>
      <c r="PY41" s="1576"/>
      <c r="PZ41" s="1576"/>
      <c r="QA41" s="1576"/>
      <c r="QB41" s="1576"/>
      <c r="QC41" s="1576"/>
      <c r="QD41" s="1576"/>
      <c r="QE41" s="1576"/>
      <c r="QF41" s="1576"/>
      <c r="QG41" s="1576"/>
      <c r="QH41" s="1576"/>
      <c r="QI41" s="1576"/>
      <c r="QJ41" s="1576"/>
      <c r="QK41" s="1576"/>
      <c r="QL41" s="1576"/>
      <c r="QM41" s="1576"/>
      <c r="QN41" s="1576"/>
      <c r="QO41" s="1576"/>
      <c r="QP41" s="1576"/>
      <c r="QQ41" s="1576"/>
      <c r="QR41" s="1576"/>
      <c r="QS41" s="1576"/>
      <c r="QT41" s="1576"/>
      <c r="QU41" s="1576"/>
      <c r="QV41" s="1576"/>
      <c r="QW41" s="1576"/>
      <c r="QX41" s="1576"/>
      <c r="QY41" s="1576"/>
      <c r="QZ41" s="1576"/>
      <c r="RA41" s="1576"/>
      <c r="RB41" s="1576"/>
      <c r="RC41" s="1576"/>
      <c r="RD41" s="1576"/>
      <c r="RE41" s="1576"/>
      <c r="RF41" s="1576"/>
      <c r="RG41" s="1576"/>
      <c r="RH41" s="1576"/>
      <c r="RI41" s="1576"/>
      <c r="RJ41" s="1576"/>
      <c r="RK41" s="1576"/>
      <c r="RL41" s="1576"/>
      <c r="RM41" s="1576"/>
      <c r="RN41" s="1576"/>
      <c r="RO41" s="1576"/>
      <c r="RP41" s="1576"/>
      <c r="RQ41" s="1576"/>
      <c r="RR41" s="1576"/>
      <c r="RS41" s="1576"/>
      <c r="RT41" s="1576"/>
      <c r="RU41" s="1576"/>
      <c r="RV41" s="1576"/>
      <c r="RW41" s="1576"/>
      <c r="RX41" s="1576"/>
      <c r="RY41" s="1576"/>
      <c r="RZ41" s="1576"/>
      <c r="SA41" s="1576"/>
      <c r="SB41" s="1576"/>
      <c r="SC41" s="1576"/>
      <c r="SD41" s="1576"/>
      <c r="SE41" s="1576"/>
      <c r="SF41" s="1576"/>
      <c r="SG41" s="1576"/>
      <c r="SH41" s="1576"/>
      <c r="SI41" s="1576"/>
      <c r="SJ41" s="1576"/>
      <c r="SK41" s="1576"/>
      <c r="SL41" s="1576"/>
      <c r="SM41" s="1576"/>
      <c r="SN41" s="1576"/>
      <c r="SO41" s="1576"/>
      <c r="SP41" s="1576"/>
      <c r="SQ41" s="1576"/>
      <c r="SR41" s="1576"/>
      <c r="SS41" s="1576"/>
      <c r="ST41" s="1576"/>
      <c r="SU41" s="1576"/>
      <c r="SV41" s="1576"/>
      <c r="SW41" s="1576"/>
      <c r="SX41" s="1576"/>
      <c r="SY41" s="1576"/>
      <c r="SZ41" s="1576"/>
      <c r="TA41" s="1576"/>
      <c r="TB41" s="1576"/>
      <c r="TC41" s="1576"/>
      <c r="TD41" s="1576"/>
      <c r="TE41" s="1576"/>
      <c r="TF41" s="1576"/>
      <c r="TG41" s="1576"/>
      <c r="TH41" s="1576"/>
      <c r="TI41" s="1576"/>
      <c r="TJ41" s="1576"/>
      <c r="TK41" s="1576"/>
      <c r="TL41" s="1576"/>
      <c r="TM41" s="1576"/>
      <c r="TN41" s="1576"/>
      <c r="TO41" s="1576"/>
      <c r="TP41" s="1576"/>
      <c r="TQ41" s="1576"/>
      <c r="TR41" s="1576"/>
      <c r="TS41" s="1576"/>
      <c r="TT41" s="1576"/>
      <c r="TU41" s="1576"/>
      <c r="TV41" s="1576"/>
      <c r="TW41" s="1576"/>
      <c r="TX41" s="1576"/>
      <c r="TY41" s="1576"/>
      <c r="TZ41" s="1576"/>
      <c r="UA41" s="1576"/>
      <c r="UB41" s="1576"/>
      <c r="UC41" s="1576"/>
      <c r="UD41" s="1576"/>
      <c r="UE41" s="1576"/>
      <c r="UF41" s="1576"/>
      <c r="UG41" s="1576"/>
      <c r="UH41" s="1576"/>
      <c r="UI41" s="1576"/>
      <c r="UJ41" s="1576"/>
      <c r="UK41" s="1576"/>
      <c r="UL41" s="1576"/>
      <c r="UM41" s="1576"/>
      <c r="UN41" s="1576"/>
      <c r="UO41" s="1576"/>
      <c r="UP41" s="1576"/>
      <c r="UQ41" s="1576"/>
      <c r="UR41" s="1576"/>
      <c r="US41" s="1576"/>
      <c r="UT41" s="1576"/>
      <c r="UU41" s="1576"/>
      <c r="UV41" s="1576"/>
      <c r="UW41" s="1576"/>
      <c r="UX41" s="1576"/>
      <c r="UY41" s="1576"/>
      <c r="UZ41" s="1576"/>
      <c r="VA41" s="1576"/>
      <c r="VB41" s="1576"/>
      <c r="VC41" s="1576"/>
      <c r="VD41" s="1576"/>
      <c r="VE41" s="1576"/>
      <c r="VF41" s="1576"/>
      <c r="VG41" s="1576"/>
      <c r="VH41" s="1576"/>
      <c r="VI41" s="1576"/>
      <c r="VJ41" s="1576"/>
      <c r="VK41" s="1576"/>
    </row>
    <row r="42" spans="1:583" ht="27" x14ac:dyDescent="0.25">
      <c r="B42" s="1610" t="s">
        <v>629</v>
      </c>
      <c r="C42" s="1582" t="s">
        <v>2729</v>
      </c>
      <c r="D42" s="4710" t="s">
        <v>2090</v>
      </c>
      <c r="E42" s="4710">
        <v>0</v>
      </c>
      <c r="F42" s="1576"/>
      <c r="G42" s="1576"/>
      <c r="H42" s="1576"/>
      <c r="I42" s="1576"/>
      <c r="J42" s="1576"/>
      <c r="K42" s="1576"/>
      <c r="L42" s="1576"/>
      <c r="M42" s="1576"/>
      <c r="N42" s="1576"/>
      <c r="O42" s="1576"/>
      <c r="P42" s="1576"/>
      <c r="Q42" s="1576"/>
      <c r="R42" s="1576"/>
      <c r="S42" s="1576"/>
      <c r="T42" s="1576"/>
      <c r="U42" s="1576"/>
      <c r="V42" s="1576"/>
      <c r="W42" s="1576"/>
      <c r="X42" s="1576"/>
      <c r="Y42" s="1576"/>
      <c r="Z42" s="1576"/>
      <c r="AA42" s="1576"/>
      <c r="AB42" s="1576"/>
      <c r="AC42" s="1576"/>
      <c r="AD42" s="1576"/>
      <c r="AE42" s="1576"/>
      <c r="AF42" s="1576"/>
      <c r="AG42" s="1576"/>
      <c r="AH42" s="1576"/>
      <c r="AI42" s="1576"/>
      <c r="AJ42" s="1576"/>
      <c r="AK42" s="1576"/>
      <c r="AL42" s="1576"/>
      <c r="AM42" s="1576"/>
      <c r="AN42" s="1576"/>
      <c r="AO42" s="1576"/>
      <c r="AP42" s="1576"/>
      <c r="AQ42" s="1576"/>
      <c r="AR42" s="1576"/>
      <c r="AS42" s="1576"/>
      <c r="AT42" s="1576"/>
      <c r="AU42" s="1576"/>
      <c r="AV42" s="1576"/>
      <c r="AW42" s="1576"/>
      <c r="AX42" s="1576"/>
      <c r="AY42" s="1576"/>
      <c r="AZ42" s="1576"/>
      <c r="BA42" s="1576"/>
      <c r="BB42" s="1576"/>
      <c r="BC42" s="1576"/>
      <c r="BD42" s="1576"/>
      <c r="BE42" s="1576"/>
      <c r="BF42" s="1576"/>
      <c r="BG42" s="1576"/>
      <c r="BH42" s="1576"/>
      <c r="BI42" s="1576"/>
      <c r="BJ42" s="1576"/>
      <c r="BK42" s="1576"/>
      <c r="BL42" s="1576"/>
      <c r="BM42" s="1576"/>
      <c r="BN42" s="1576"/>
      <c r="BO42" s="1576"/>
      <c r="BP42" s="1576"/>
      <c r="BQ42" s="1576"/>
      <c r="BR42" s="1576"/>
      <c r="BS42" s="1576"/>
      <c r="BT42" s="1576"/>
      <c r="BU42" s="1576"/>
      <c r="BV42" s="1576"/>
      <c r="BW42" s="1576"/>
      <c r="BX42" s="1576"/>
      <c r="BY42" s="1576"/>
      <c r="BZ42" s="1576"/>
      <c r="CA42" s="1576"/>
      <c r="CB42" s="1576"/>
      <c r="CC42" s="1576"/>
      <c r="CD42" s="1576"/>
      <c r="CE42" s="1576"/>
      <c r="CF42" s="1576"/>
      <c r="CG42" s="1576"/>
      <c r="CH42" s="1576"/>
      <c r="CI42" s="1576"/>
      <c r="CJ42" s="1576"/>
      <c r="CK42" s="1576"/>
      <c r="CL42" s="1576"/>
      <c r="CM42" s="1576"/>
      <c r="CN42" s="1576"/>
      <c r="CO42" s="1576"/>
      <c r="CP42" s="1576"/>
      <c r="CQ42" s="1576"/>
      <c r="CR42" s="1576"/>
      <c r="CS42" s="1576"/>
      <c r="CT42" s="1576"/>
      <c r="CU42" s="1576"/>
      <c r="CV42" s="1576"/>
      <c r="CW42" s="1576"/>
      <c r="CX42" s="1576"/>
      <c r="CY42" s="1576"/>
      <c r="CZ42" s="1576"/>
      <c r="DA42" s="1576"/>
      <c r="DB42" s="1576"/>
      <c r="DC42" s="1576"/>
      <c r="DD42" s="1576"/>
      <c r="DE42" s="1576"/>
      <c r="DF42" s="1576"/>
      <c r="DG42" s="1576"/>
      <c r="DH42" s="1576"/>
      <c r="DI42" s="1576"/>
      <c r="DJ42" s="1576"/>
      <c r="DK42" s="1576"/>
      <c r="DL42" s="1576"/>
      <c r="DM42" s="1576"/>
      <c r="DN42" s="1576"/>
      <c r="DO42" s="1576"/>
      <c r="DP42" s="1576"/>
      <c r="DQ42" s="1576"/>
      <c r="DR42" s="1576"/>
      <c r="DS42" s="1576"/>
      <c r="DT42" s="1576"/>
      <c r="DU42" s="1576"/>
      <c r="DV42" s="1576"/>
      <c r="DW42" s="1576"/>
      <c r="DX42" s="1576"/>
      <c r="DY42" s="1576"/>
      <c r="DZ42" s="1576"/>
      <c r="EA42" s="1576"/>
      <c r="EB42" s="1576"/>
      <c r="EC42" s="1576"/>
      <c r="ED42" s="1576"/>
      <c r="EE42" s="1576"/>
      <c r="EF42" s="1576"/>
      <c r="EG42" s="1576"/>
      <c r="EH42" s="1576"/>
      <c r="EI42" s="1576"/>
      <c r="EJ42" s="1576"/>
      <c r="EK42" s="1576"/>
      <c r="EL42" s="1576"/>
      <c r="EM42" s="1576"/>
      <c r="EN42" s="1576"/>
      <c r="EO42" s="1576"/>
      <c r="EP42" s="1576"/>
      <c r="EQ42" s="1576"/>
      <c r="ER42" s="1576"/>
      <c r="ES42" s="1576"/>
      <c r="ET42" s="1576"/>
      <c r="EU42" s="1576"/>
      <c r="EV42" s="1576"/>
      <c r="EW42" s="1576"/>
      <c r="EX42" s="1576"/>
      <c r="EY42" s="1576"/>
      <c r="EZ42" s="1576"/>
      <c r="FA42" s="1576"/>
      <c r="FB42" s="1576"/>
      <c r="FC42" s="1576"/>
      <c r="FD42" s="1576"/>
      <c r="FE42" s="1576"/>
      <c r="FF42" s="1576"/>
      <c r="FG42" s="1576"/>
      <c r="FH42" s="1576"/>
      <c r="FI42" s="1576"/>
      <c r="FJ42" s="1576"/>
      <c r="FK42" s="1576"/>
      <c r="FL42" s="1576"/>
      <c r="FM42" s="1576"/>
      <c r="FN42" s="1576"/>
      <c r="FO42" s="1576"/>
      <c r="FP42" s="1576"/>
      <c r="FQ42" s="1576"/>
      <c r="FR42" s="1576"/>
      <c r="FS42" s="1576"/>
      <c r="FT42" s="1576"/>
      <c r="FU42" s="1576"/>
      <c r="FV42" s="1576"/>
      <c r="FW42" s="1576"/>
      <c r="FX42" s="1576"/>
      <c r="FY42" s="1576"/>
      <c r="FZ42" s="1576"/>
      <c r="GA42" s="1576"/>
      <c r="GB42" s="1576"/>
      <c r="GC42" s="1576"/>
      <c r="GD42" s="1576"/>
      <c r="GE42" s="1576"/>
      <c r="GF42" s="1576"/>
      <c r="GG42" s="1576"/>
      <c r="GH42" s="1576"/>
      <c r="GI42" s="1576"/>
      <c r="GJ42" s="1576"/>
      <c r="GK42" s="1576"/>
      <c r="GL42" s="1576"/>
      <c r="GM42" s="1576"/>
      <c r="GN42" s="1576"/>
      <c r="GO42" s="1576"/>
      <c r="GP42" s="1576"/>
      <c r="GQ42" s="1576"/>
      <c r="GR42" s="1576"/>
      <c r="GS42" s="1576"/>
      <c r="GT42" s="1576"/>
      <c r="GU42" s="1576"/>
      <c r="GV42" s="1576"/>
      <c r="GW42" s="1576"/>
      <c r="GX42" s="1576"/>
      <c r="GY42" s="1576"/>
      <c r="GZ42" s="1576"/>
      <c r="HA42" s="1576"/>
      <c r="HB42" s="1576"/>
      <c r="HC42" s="1576"/>
      <c r="HD42" s="1576"/>
      <c r="HE42" s="1576"/>
      <c r="HF42" s="1576"/>
      <c r="HG42" s="1576"/>
      <c r="HH42" s="1576"/>
      <c r="HI42" s="1576"/>
      <c r="HJ42" s="1576"/>
      <c r="HK42" s="1576"/>
      <c r="HL42" s="1576"/>
      <c r="HM42" s="1576"/>
      <c r="HN42" s="1576"/>
      <c r="HO42" s="1576"/>
      <c r="HP42" s="1576"/>
      <c r="HQ42" s="1576"/>
      <c r="HR42" s="1576"/>
      <c r="HS42" s="1576"/>
      <c r="HT42" s="1576"/>
      <c r="HU42" s="1576"/>
      <c r="HV42" s="1576"/>
      <c r="HW42" s="1576"/>
      <c r="HX42" s="1576"/>
      <c r="HY42" s="1576"/>
      <c r="HZ42" s="1576"/>
      <c r="IA42" s="1576"/>
      <c r="IB42" s="1576"/>
      <c r="IC42" s="1576"/>
      <c r="ID42" s="1576"/>
      <c r="IE42" s="1576"/>
      <c r="IF42" s="1576"/>
      <c r="IG42" s="1576"/>
      <c r="IH42" s="1576"/>
      <c r="II42" s="1576"/>
      <c r="IJ42" s="1576"/>
      <c r="IK42" s="1576"/>
      <c r="IL42" s="1576"/>
      <c r="IM42" s="1576"/>
      <c r="IN42" s="1576"/>
      <c r="IO42" s="1576"/>
      <c r="IP42" s="1576"/>
      <c r="IQ42" s="1576"/>
      <c r="IR42" s="1576"/>
      <c r="IS42" s="1576"/>
      <c r="IT42" s="1576"/>
      <c r="IU42" s="1576"/>
      <c r="IV42" s="1576"/>
      <c r="IW42" s="1576"/>
      <c r="IX42" s="1576"/>
      <c r="IY42" s="1576"/>
      <c r="IZ42" s="1576"/>
      <c r="JA42" s="2054"/>
      <c r="JB42" s="2054"/>
      <c r="JC42" s="2054"/>
      <c r="JD42" s="2054"/>
      <c r="JE42" s="2054"/>
      <c r="JF42" s="2054"/>
      <c r="JG42" s="2054"/>
      <c r="JH42" s="2054"/>
      <c r="JI42" s="2054"/>
      <c r="JJ42" s="2054"/>
      <c r="JK42" s="2054"/>
      <c r="JL42" s="2054"/>
      <c r="JM42" s="2054"/>
      <c r="JN42" s="2054"/>
      <c r="JO42" s="2054"/>
      <c r="JP42" s="2054"/>
      <c r="JQ42" s="2054"/>
      <c r="JR42" s="1576" t="e">
        <f>'Paso 1.1'!E39*Tiempos!$H$38</f>
        <v>#DIV/0!</v>
      </c>
      <c r="JS42" s="1576" t="e">
        <f>'Paso 1.1'!F39*Tiempos!$H$38</f>
        <v>#DIV/0!</v>
      </c>
      <c r="JT42" s="1576" t="e">
        <f>'Paso 1.1'!G39*Tiempos!$H$38</f>
        <v>#DIV/0!</v>
      </c>
      <c r="JU42" s="1576" t="e">
        <f>'Paso 1.1'!H39*Tiempos!$H$38</f>
        <v>#DIV/0!</v>
      </c>
      <c r="JV42" s="1576" t="e">
        <f>'Paso 1.1'!I39*Tiempos!$H$38</f>
        <v>#DIV/0!</v>
      </c>
      <c r="JW42" s="1576" t="e">
        <f>'Paso 1.1'!J39*Tiempos!$H$38</f>
        <v>#DIV/0!</v>
      </c>
      <c r="JX42" s="1576" t="e">
        <f>'Paso 1.1'!K39*Tiempos!$H$38</f>
        <v>#DIV/0!</v>
      </c>
      <c r="JY42" s="1576" t="e">
        <f>'Paso 1.1'!L39*Tiempos!$H$38</f>
        <v>#DIV/0!</v>
      </c>
      <c r="JZ42" s="1576" t="e">
        <f>'Paso 1.1'!M39*Tiempos!$H$38</f>
        <v>#DIV/0!</v>
      </c>
      <c r="KA42" s="1576" t="e">
        <f>'Paso 1.1'!N39*Tiempos!$H$38</f>
        <v>#DIV/0!</v>
      </c>
      <c r="KB42" s="1576" t="e">
        <f>'Paso 1.1'!O39*Tiempos!$H$38</f>
        <v>#DIV/0!</v>
      </c>
      <c r="KC42" s="1576" t="e">
        <f>'Paso 1.1'!P39*Tiempos!$H$38</f>
        <v>#DIV/0!</v>
      </c>
      <c r="KD42" s="1576" t="e">
        <f>'Paso 1.1'!Q39*Tiempos!$H$38</f>
        <v>#DIV/0!</v>
      </c>
      <c r="KE42" s="1576" t="e">
        <f>'Paso 1.1'!R39*Tiempos!$H$38</f>
        <v>#DIV/0!</v>
      </c>
      <c r="KF42" s="1576" t="e">
        <f>'Paso 1.1'!S39*Tiempos!$H$38</f>
        <v>#DIV/0!</v>
      </c>
      <c r="KG42" s="1576" t="e">
        <f>'Paso 1.1'!T39*Tiempos!$H$38</f>
        <v>#DIV/0!</v>
      </c>
      <c r="KH42" s="1576" t="e">
        <f>'Paso 1.1'!U39*Tiempos!$H$38</f>
        <v>#DIV/0!</v>
      </c>
      <c r="KI42" s="1576"/>
      <c r="KJ42" s="1576"/>
      <c r="KK42" s="1576"/>
      <c r="KL42" s="1576"/>
      <c r="KM42" s="1576"/>
      <c r="KN42" s="1576"/>
      <c r="KO42" s="1576"/>
      <c r="KP42" s="1576"/>
      <c r="KQ42" s="1576"/>
      <c r="KR42" s="1576"/>
      <c r="KS42" s="1576"/>
      <c r="KT42" s="1576"/>
      <c r="KU42" s="1576"/>
      <c r="KV42" s="1576"/>
      <c r="KW42" s="1576"/>
      <c r="KX42" s="1576"/>
      <c r="KY42" s="1576"/>
      <c r="KZ42" s="1576"/>
      <c r="LA42" s="1576"/>
      <c r="LB42" s="1576"/>
      <c r="LC42" s="1576"/>
      <c r="LD42" s="1576"/>
      <c r="LE42" s="1576"/>
      <c r="LF42" s="1576"/>
      <c r="LG42" s="1576"/>
      <c r="LH42" s="1576"/>
      <c r="LI42" s="1576"/>
      <c r="LJ42" s="1576"/>
      <c r="LK42" s="1576"/>
      <c r="LL42" s="1576"/>
      <c r="LM42" s="1576"/>
      <c r="LN42" s="1576"/>
      <c r="LO42" s="1576"/>
      <c r="LP42" s="1576"/>
      <c r="LQ42" s="1576"/>
      <c r="LR42" s="1576"/>
      <c r="LS42" s="1576"/>
      <c r="LT42" s="1576"/>
      <c r="LU42" s="1576"/>
      <c r="LV42" s="1576"/>
      <c r="LW42" s="1576"/>
      <c r="LX42" s="1576"/>
      <c r="LY42" s="1576"/>
      <c r="LZ42" s="1576"/>
      <c r="MA42" s="1576"/>
      <c r="MB42" s="1576"/>
      <c r="MC42" s="1576"/>
      <c r="MD42" s="1576"/>
      <c r="ME42" s="1576"/>
      <c r="MF42" s="1576"/>
      <c r="MG42" s="1576"/>
      <c r="MH42" s="1576"/>
      <c r="MI42" s="1576"/>
      <c r="MJ42" s="1576"/>
      <c r="MK42" s="1576"/>
      <c r="ML42" s="1576"/>
      <c r="MM42" s="1576"/>
      <c r="MN42" s="1576"/>
      <c r="MO42" s="1576"/>
      <c r="MP42" s="1576"/>
      <c r="MQ42" s="1576"/>
      <c r="MR42" s="1576"/>
      <c r="MS42" s="1576"/>
      <c r="MT42" s="1576"/>
      <c r="MU42" s="1576"/>
      <c r="MV42" s="1576"/>
      <c r="MW42" s="1576"/>
      <c r="MX42" s="1576"/>
      <c r="MY42" s="1576" t="e">
        <f>'Paso 1.1'!E39*Tiempos!$L$38</f>
        <v>#DIV/0!</v>
      </c>
      <c r="MZ42" s="1576" t="e">
        <f>'Paso 1.1'!F39*Tiempos!$L$38</f>
        <v>#DIV/0!</v>
      </c>
      <c r="NA42" s="1576" t="e">
        <f>'Paso 1.1'!G39*Tiempos!$L$38</f>
        <v>#DIV/0!</v>
      </c>
      <c r="NB42" s="1576" t="e">
        <f>'Paso 1.1'!H39*Tiempos!$L$38</f>
        <v>#DIV/0!</v>
      </c>
      <c r="NC42" s="1576" t="e">
        <f>'Paso 1.1'!I39*Tiempos!$L$38</f>
        <v>#DIV/0!</v>
      </c>
      <c r="ND42" s="1576" t="e">
        <f>'Paso 1.1'!J39*Tiempos!$L$38</f>
        <v>#DIV/0!</v>
      </c>
      <c r="NE42" s="1576" t="e">
        <f>'Paso 1.1'!K39*Tiempos!$L$38</f>
        <v>#DIV/0!</v>
      </c>
      <c r="NF42" s="1576" t="e">
        <f>'Paso 1.1'!L39*Tiempos!$L$38</f>
        <v>#DIV/0!</v>
      </c>
      <c r="NG42" s="1576" t="e">
        <f>'Paso 1.1'!M39*Tiempos!$L$38</f>
        <v>#DIV/0!</v>
      </c>
      <c r="NH42" s="1576" t="e">
        <f>'Paso 1.1'!N39*Tiempos!$L$38</f>
        <v>#DIV/0!</v>
      </c>
      <c r="NI42" s="1576" t="e">
        <f>'Paso 1.1'!O39*Tiempos!$L$38</f>
        <v>#DIV/0!</v>
      </c>
      <c r="NJ42" s="1576" t="e">
        <f>'Paso 1.1'!P39*Tiempos!$L$38</f>
        <v>#DIV/0!</v>
      </c>
      <c r="NK42" s="1576" t="e">
        <f>'Paso 1.1'!Q39*Tiempos!$L$38</f>
        <v>#DIV/0!</v>
      </c>
      <c r="NL42" s="1576" t="e">
        <f>'Paso 1.1'!R39*Tiempos!$L$38</f>
        <v>#DIV/0!</v>
      </c>
      <c r="NM42" s="1576" t="e">
        <f>'Paso 1.1'!S39*Tiempos!$L$38</f>
        <v>#DIV/0!</v>
      </c>
      <c r="NN42" s="1576" t="e">
        <f>'Paso 1.1'!T39*Tiempos!$L$38</f>
        <v>#DIV/0!</v>
      </c>
      <c r="NO42" s="1576" t="e">
        <f>'Paso 1.1'!U39*Tiempos!$L$38</f>
        <v>#DIV/0!</v>
      </c>
      <c r="NP42" s="1576"/>
      <c r="NQ42" s="1576"/>
      <c r="NR42" s="1576"/>
      <c r="NS42" s="1576"/>
      <c r="NT42" s="1576"/>
      <c r="NU42" s="1576"/>
      <c r="NV42" s="1576"/>
      <c r="NW42" s="1576"/>
      <c r="NX42" s="1576"/>
      <c r="NY42" s="1576"/>
      <c r="NZ42" s="1576"/>
      <c r="OA42" s="1576"/>
      <c r="OB42" s="1576"/>
      <c r="OC42" s="1576"/>
      <c r="OD42" s="1576"/>
      <c r="OE42" s="1576"/>
      <c r="OF42" s="1576"/>
      <c r="OG42" s="1576"/>
      <c r="OH42" s="1576"/>
      <c r="OI42" s="1576"/>
      <c r="OJ42" s="1576"/>
      <c r="OK42" s="1576"/>
      <c r="OL42" s="1576"/>
      <c r="OM42" s="1576"/>
      <c r="ON42" s="1576"/>
      <c r="OO42" s="1576"/>
      <c r="OP42" s="1576"/>
      <c r="OQ42" s="1576"/>
      <c r="OR42" s="1576"/>
      <c r="OS42" s="1576"/>
      <c r="OT42" s="1576"/>
      <c r="OU42" s="1576"/>
      <c r="OV42" s="1576"/>
      <c r="OW42" s="1576"/>
      <c r="OX42" s="1576"/>
      <c r="OY42" s="1576"/>
      <c r="OZ42" s="1576"/>
      <c r="PA42" s="1576"/>
      <c r="PB42" s="1576"/>
      <c r="PC42" s="1576"/>
      <c r="PD42" s="1576"/>
      <c r="PE42" s="1576"/>
      <c r="PF42" s="1576"/>
      <c r="PG42" s="1576"/>
      <c r="PH42" s="1576"/>
      <c r="PI42" s="1576"/>
      <c r="PJ42" s="1576"/>
      <c r="PK42" s="1576"/>
      <c r="PL42" s="1576"/>
      <c r="PM42" s="1576"/>
      <c r="PN42" s="1576"/>
      <c r="PO42" s="1576"/>
      <c r="PP42" s="1576"/>
      <c r="PQ42" s="1576"/>
      <c r="PR42" s="1576"/>
      <c r="PS42" s="1576"/>
      <c r="PT42" s="1576"/>
      <c r="PU42" s="1576"/>
      <c r="PV42" s="1576"/>
      <c r="PW42" s="1576"/>
      <c r="PX42" s="1576"/>
      <c r="PY42" s="1576"/>
      <c r="PZ42" s="1576"/>
      <c r="QA42" s="1576"/>
      <c r="QB42" s="1576"/>
      <c r="QC42" s="1576"/>
      <c r="QD42" s="1576"/>
      <c r="QE42" s="1576"/>
      <c r="QF42" s="1576"/>
      <c r="QG42" s="1576"/>
      <c r="QH42" s="1576"/>
      <c r="QI42" s="1576"/>
      <c r="QJ42" s="1576"/>
      <c r="QK42" s="1576"/>
      <c r="QL42" s="1576"/>
      <c r="QM42" s="1576"/>
      <c r="QN42" s="1576"/>
      <c r="QO42" s="1576"/>
      <c r="QP42" s="1576"/>
      <c r="QQ42" s="1576"/>
      <c r="QR42" s="1576"/>
      <c r="QS42" s="1576"/>
      <c r="QT42" s="1576"/>
      <c r="QU42" s="1576"/>
      <c r="QV42" s="1576"/>
      <c r="QW42" s="1576"/>
      <c r="QX42" s="1576"/>
      <c r="QY42" s="1576"/>
      <c r="QZ42" s="1576"/>
      <c r="RA42" s="1576"/>
      <c r="RB42" s="1576"/>
      <c r="RC42" s="1576"/>
      <c r="RD42" s="1576"/>
      <c r="RE42" s="1576"/>
      <c r="RF42" s="1576"/>
      <c r="RG42" s="1576"/>
      <c r="RH42" s="1576"/>
      <c r="RI42" s="1576"/>
      <c r="RJ42" s="1576"/>
      <c r="RK42" s="1576"/>
      <c r="RL42" s="1576"/>
      <c r="RM42" s="1576"/>
      <c r="RN42" s="1576"/>
      <c r="RO42" s="1576"/>
      <c r="RP42" s="1576"/>
      <c r="RQ42" s="1576"/>
      <c r="RR42" s="1576"/>
      <c r="RS42" s="1576"/>
      <c r="RT42" s="1576"/>
      <c r="RU42" s="1576"/>
      <c r="RV42" s="1576"/>
      <c r="RW42" s="1576"/>
      <c r="RX42" s="1576"/>
      <c r="RY42" s="1576"/>
      <c r="RZ42" s="1576"/>
      <c r="SA42" s="1576"/>
      <c r="SB42" s="1576"/>
      <c r="SC42" s="1576"/>
      <c r="SD42" s="1576"/>
      <c r="SE42" s="1576"/>
      <c r="SF42" s="1576"/>
      <c r="SG42" s="1576"/>
      <c r="SH42" s="1576"/>
      <c r="SI42" s="1576"/>
      <c r="SJ42" s="1576"/>
      <c r="SK42" s="1576"/>
      <c r="SL42" s="1576"/>
      <c r="SM42" s="1576"/>
      <c r="SN42" s="1576"/>
      <c r="SO42" s="1576"/>
      <c r="SP42" s="1576"/>
      <c r="SQ42" s="1576"/>
      <c r="SR42" s="1576"/>
      <c r="SS42" s="1576"/>
      <c r="ST42" s="1576"/>
      <c r="SU42" s="1576"/>
      <c r="SV42" s="1576"/>
      <c r="SW42" s="1576"/>
      <c r="SX42" s="1576"/>
      <c r="SY42" s="1576"/>
      <c r="SZ42" s="1576"/>
      <c r="TA42" s="1576"/>
      <c r="TB42" s="1576"/>
      <c r="TC42" s="1576"/>
      <c r="TD42" s="1576"/>
      <c r="TE42" s="1576"/>
      <c r="TF42" s="1576"/>
      <c r="TG42" s="1576"/>
      <c r="TH42" s="1576"/>
      <c r="TI42" s="1576"/>
      <c r="TJ42" s="1576"/>
      <c r="TK42" s="1576"/>
      <c r="TL42" s="1576"/>
      <c r="TM42" s="1576"/>
      <c r="TN42" s="1576"/>
      <c r="TO42" s="1576"/>
      <c r="TP42" s="1576"/>
      <c r="TQ42" s="1576"/>
      <c r="TR42" s="1576"/>
      <c r="TS42" s="1576"/>
      <c r="TT42" s="1576"/>
      <c r="TU42" s="1576"/>
      <c r="TV42" s="1576"/>
      <c r="TW42" s="1576"/>
      <c r="TX42" s="1576"/>
      <c r="TY42" s="1576"/>
      <c r="TZ42" s="1576"/>
      <c r="UA42" s="1576"/>
      <c r="UB42" s="1576"/>
      <c r="UC42" s="1576"/>
      <c r="UD42" s="1576"/>
      <c r="UE42" s="1576"/>
      <c r="UF42" s="1576"/>
      <c r="UG42" s="1576"/>
      <c r="UH42" s="1576"/>
      <c r="UI42" s="1576"/>
      <c r="UJ42" s="1576"/>
      <c r="UK42" s="1576"/>
      <c r="UL42" s="1576"/>
      <c r="UM42" s="1576"/>
      <c r="UN42" s="1576"/>
      <c r="UO42" s="1576"/>
      <c r="UP42" s="1576"/>
      <c r="UQ42" s="1576"/>
      <c r="UR42" s="1576"/>
      <c r="US42" s="1576"/>
      <c r="UT42" s="1576"/>
      <c r="UU42" s="1576"/>
      <c r="UV42" s="1576"/>
      <c r="UW42" s="1576"/>
      <c r="UX42" s="1576"/>
      <c r="UY42" s="1576"/>
      <c r="UZ42" s="1576"/>
      <c r="VA42" s="1576"/>
      <c r="VB42" s="1576"/>
      <c r="VC42" s="1576"/>
      <c r="VD42" s="1576"/>
      <c r="VE42" s="1576"/>
      <c r="VF42" s="1576"/>
      <c r="VG42" s="1576"/>
      <c r="VH42" s="1576"/>
      <c r="VI42" s="1576"/>
      <c r="VJ42" s="1576"/>
      <c r="VK42" s="1576"/>
    </row>
    <row r="43" spans="1:583" ht="27" x14ac:dyDescent="0.25">
      <c r="B43" s="1610" t="s">
        <v>629</v>
      </c>
      <c r="C43" s="1582" t="s">
        <v>2731</v>
      </c>
      <c r="D43" s="4710" t="s">
        <v>2732</v>
      </c>
      <c r="E43" s="4710">
        <v>0</v>
      </c>
      <c r="F43" s="2057"/>
      <c r="G43" s="2057"/>
      <c r="H43" s="2057"/>
      <c r="I43" s="2058"/>
      <c r="J43" s="2058"/>
      <c r="K43" s="2058"/>
      <c r="L43" s="2058"/>
      <c r="M43" s="2058"/>
      <c r="N43" s="2058"/>
      <c r="O43" s="2058"/>
      <c r="P43" s="2058"/>
      <c r="Q43" s="2058"/>
      <c r="R43" s="2058"/>
      <c r="S43" s="2058"/>
      <c r="T43" s="2058"/>
      <c r="U43" s="2058"/>
      <c r="V43" s="2058"/>
      <c r="W43" s="2059"/>
      <c r="X43" s="2059"/>
      <c r="Y43" s="2059"/>
      <c r="Z43" s="2059"/>
      <c r="AA43" s="2059"/>
      <c r="AB43" s="2059"/>
      <c r="AC43" s="2059"/>
      <c r="AD43" s="2059"/>
      <c r="AE43" s="2059"/>
      <c r="AF43" s="2059"/>
      <c r="AG43" s="2059"/>
      <c r="AH43" s="2059"/>
      <c r="AI43" s="2059"/>
      <c r="AJ43" s="2059"/>
      <c r="AK43" s="2059"/>
      <c r="AL43" s="2059"/>
      <c r="AM43" s="2059"/>
      <c r="AN43" s="2059"/>
      <c r="AO43" s="2059"/>
      <c r="AP43" s="2059"/>
      <c r="AQ43" s="2059"/>
      <c r="AR43" s="2059"/>
      <c r="AS43" s="2059"/>
      <c r="AT43" s="2059"/>
      <c r="AU43" s="2059"/>
      <c r="AV43" s="2059"/>
      <c r="AW43" s="2059"/>
      <c r="AX43" s="2059"/>
      <c r="AY43" s="2059"/>
      <c r="AZ43" s="2059"/>
      <c r="BA43" s="2059"/>
      <c r="BB43" s="2059"/>
      <c r="BC43" s="2059"/>
      <c r="BD43" s="2059"/>
      <c r="BE43" s="2059"/>
      <c r="BF43" s="2059"/>
      <c r="BG43" s="2059"/>
      <c r="BH43" s="2059"/>
      <c r="BI43" s="2059"/>
      <c r="BJ43" s="2059"/>
      <c r="BK43" s="2059"/>
      <c r="BL43" s="2059"/>
      <c r="BM43" s="2059"/>
      <c r="BN43" s="2059"/>
      <c r="BO43" s="2059"/>
      <c r="BP43" s="2059"/>
      <c r="BQ43" s="2059"/>
      <c r="BR43" s="2059"/>
      <c r="BS43" s="2059"/>
      <c r="BT43" s="2059"/>
      <c r="BU43" s="2059"/>
      <c r="BV43" s="2059"/>
      <c r="BW43" s="2059"/>
      <c r="BX43" s="2059"/>
      <c r="BY43" s="2059"/>
      <c r="BZ43" s="2059"/>
      <c r="CA43" s="2059"/>
      <c r="CB43" s="2059"/>
      <c r="CC43" s="2059"/>
      <c r="CD43" s="2059"/>
      <c r="CE43" s="2059"/>
      <c r="CF43" s="2059"/>
      <c r="CG43" s="2059"/>
      <c r="CH43" s="2059"/>
      <c r="CI43" s="2059"/>
      <c r="CJ43" s="2059"/>
      <c r="CK43" s="2059"/>
      <c r="CL43" s="2059"/>
      <c r="CM43" s="2059"/>
      <c r="CN43" s="2059"/>
      <c r="CO43" s="2059"/>
      <c r="CP43" s="1576"/>
      <c r="CQ43" s="1576"/>
      <c r="CR43" s="1576"/>
      <c r="CS43" s="1576"/>
      <c r="CT43" s="1576"/>
      <c r="CU43" s="1576"/>
      <c r="CV43" s="1576"/>
      <c r="CW43" s="1576"/>
      <c r="CX43" s="1576"/>
      <c r="CY43" s="1576"/>
      <c r="CZ43" s="1576"/>
      <c r="DA43" s="1576"/>
      <c r="DB43" s="1576"/>
      <c r="DC43" s="1576"/>
      <c r="DD43" s="1576"/>
      <c r="DE43" s="1576"/>
      <c r="DF43" s="1576"/>
      <c r="DG43" s="1576"/>
      <c r="DH43" s="1576"/>
      <c r="DI43" s="1576"/>
      <c r="DJ43" s="1576"/>
      <c r="DK43" s="1576"/>
      <c r="DL43" s="1576"/>
      <c r="DM43" s="1576"/>
      <c r="DN43" s="1576"/>
      <c r="DO43" s="1576"/>
      <c r="DP43" s="1576"/>
      <c r="DQ43" s="1576"/>
      <c r="DR43" s="1576"/>
      <c r="DS43" s="1576"/>
      <c r="DT43" s="1576"/>
      <c r="DU43" s="1576"/>
      <c r="DV43" s="1576"/>
      <c r="DW43" s="1576"/>
      <c r="DX43" s="1576"/>
      <c r="DY43" s="1576"/>
      <c r="DZ43" s="1576"/>
      <c r="EA43" s="1576"/>
      <c r="EB43" s="1576"/>
      <c r="EC43" s="1576"/>
      <c r="ED43" s="1576"/>
      <c r="EE43" s="1576"/>
      <c r="EF43" s="1576"/>
      <c r="EG43" s="1576"/>
      <c r="EH43" s="1576"/>
      <c r="EI43" s="1576"/>
      <c r="EJ43" s="1576"/>
      <c r="EK43" s="1576"/>
      <c r="EL43" s="1576"/>
      <c r="EM43" s="1576"/>
      <c r="EN43" s="1576"/>
      <c r="EO43" s="1576"/>
      <c r="EP43" s="1576"/>
      <c r="EQ43" s="1576"/>
      <c r="ER43" s="1576"/>
      <c r="ES43" s="1576"/>
      <c r="ET43" s="1576"/>
      <c r="EU43" s="1576"/>
      <c r="EV43" s="1576"/>
      <c r="EW43" s="1576"/>
      <c r="EX43" s="1576"/>
      <c r="EY43" s="1576"/>
      <c r="EZ43" s="1576"/>
      <c r="FA43" s="1576"/>
      <c r="FB43" s="1576"/>
      <c r="FC43" s="1576"/>
      <c r="FD43" s="1576"/>
      <c r="FE43" s="1576"/>
      <c r="FF43" s="1576"/>
      <c r="FG43" s="1576"/>
      <c r="FH43" s="1576"/>
      <c r="FI43" s="1576"/>
      <c r="FJ43" s="1576"/>
      <c r="FK43" s="1576"/>
      <c r="FL43" s="1576"/>
      <c r="FM43" s="1576"/>
      <c r="FN43" s="1576"/>
      <c r="FO43" s="1576"/>
      <c r="FP43" s="1576"/>
      <c r="FQ43" s="1576"/>
      <c r="FR43" s="1576"/>
      <c r="FS43" s="1576"/>
      <c r="FT43" s="1576"/>
      <c r="FU43" s="1576"/>
      <c r="FV43" s="1576"/>
      <c r="FW43" s="1576"/>
      <c r="FX43" s="1576"/>
      <c r="FY43" s="1576"/>
      <c r="FZ43" s="1576"/>
      <c r="GA43" s="1576"/>
      <c r="GB43" s="1576"/>
      <c r="GC43" s="1576"/>
      <c r="GD43" s="1576"/>
      <c r="GE43" s="1576"/>
      <c r="GF43" s="1576"/>
      <c r="GG43" s="1576"/>
      <c r="GH43" s="1576"/>
      <c r="GI43" s="1576"/>
      <c r="GJ43" s="1576"/>
      <c r="GK43" s="1576"/>
      <c r="GL43" s="1576"/>
      <c r="GM43" s="1576"/>
      <c r="GN43" s="1576"/>
      <c r="GO43" s="1576"/>
      <c r="GP43" s="1576"/>
      <c r="GQ43" s="1576"/>
      <c r="GR43" s="1576"/>
      <c r="GS43" s="1576"/>
      <c r="GT43" s="1576"/>
      <c r="GU43" s="1576"/>
      <c r="GV43" s="1576"/>
      <c r="GW43" s="1576"/>
      <c r="GX43" s="1576"/>
      <c r="GY43" s="1576"/>
      <c r="GZ43" s="1576"/>
      <c r="HA43" s="1576"/>
      <c r="HB43" s="1576"/>
      <c r="HC43" s="1576"/>
      <c r="HD43" s="1576"/>
      <c r="HE43" s="1576"/>
      <c r="HF43" s="1576"/>
      <c r="HG43" s="1576"/>
      <c r="HH43" s="1576"/>
      <c r="HI43" s="1576"/>
      <c r="HJ43" s="1576"/>
      <c r="HK43" s="1576"/>
      <c r="HL43" s="1576"/>
      <c r="HM43" s="1576"/>
      <c r="HN43" s="1576"/>
      <c r="HO43" s="1576"/>
      <c r="HP43" s="1576"/>
      <c r="HQ43" s="1576"/>
      <c r="HR43" s="1576"/>
      <c r="HS43" s="1576"/>
      <c r="HT43" s="1576"/>
      <c r="HU43" s="1576"/>
      <c r="HV43" s="1576"/>
      <c r="HW43" s="1576"/>
      <c r="HX43" s="1576"/>
      <c r="HY43" s="1576"/>
      <c r="HZ43" s="1576"/>
      <c r="IA43" s="1576"/>
      <c r="IB43" s="1576"/>
      <c r="IC43" s="1576"/>
      <c r="ID43" s="1576"/>
      <c r="IE43" s="1576"/>
      <c r="IF43" s="1576"/>
      <c r="IG43" s="1576"/>
      <c r="IH43" s="1576"/>
      <c r="II43" s="1576"/>
      <c r="IJ43" s="1576"/>
      <c r="IK43" s="1576"/>
      <c r="IL43" s="1576"/>
      <c r="IM43" s="1576"/>
      <c r="IN43" s="1576"/>
      <c r="IO43" s="1576"/>
      <c r="IP43" s="1576"/>
      <c r="IQ43" s="1576"/>
      <c r="IR43" s="1576"/>
      <c r="IS43" s="1576"/>
      <c r="IT43" s="1576"/>
      <c r="IU43" s="1576"/>
      <c r="IV43" s="1576"/>
      <c r="IW43" s="1576"/>
      <c r="IX43" s="1576"/>
      <c r="IY43" s="1576"/>
      <c r="IZ43" s="1576"/>
      <c r="JA43" s="2054"/>
      <c r="JB43" s="2054"/>
      <c r="JC43" s="2054"/>
      <c r="JD43" s="2054"/>
      <c r="JE43" s="2054"/>
      <c r="JF43" s="2054"/>
      <c r="JG43" s="2054"/>
      <c r="JH43" s="2054"/>
      <c r="JI43" s="2054"/>
      <c r="JJ43" s="2054"/>
      <c r="JK43" s="2054"/>
      <c r="JL43" s="2054"/>
      <c r="JM43" s="2054"/>
      <c r="JN43" s="2054"/>
      <c r="JO43" s="2054"/>
      <c r="JP43" s="2054"/>
      <c r="JQ43" s="2054"/>
      <c r="JR43" s="1576"/>
      <c r="JS43" s="1576"/>
      <c r="JT43" s="1576"/>
      <c r="JU43" s="1576"/>
      <c r="JV43" s="1576"/>
      <c r="JW43" s="1576"/>
      <c r="JX43" s="1576"/>
      <c r="JY43" s="1576"/>
      <c r="JZ43" s="1576"/>
      <c r="KA43" s="1576"/>
      <c r="KB43" s="1576"/>
      <c r="KC43" s="1576"/>
      <c r="KD43" s="1576"/>
      <c r="KE43" s="1576"/>
      <c r="KF43" s="1576"/>
      <c r="KG43" s="1576"/>
      <c r="KH43" s="1576"/>
      <c r="KI43" s="1576"/>
      <c r="KJ43" s="1576"/>
      <c r="KK43" s="1576"/>
      <c r="KL43" s="1576"/>
      <c r="KM43" s="1576"/>
      <c r="KN43" s="1576"/>
      <c r="KO43" s="1576"/>
      <c r="KP43" s="1576"/>
      <c r="KQ43" s="1576"/>
      <c r="KR43" s="1576"/>
      <c r="KS43" s="1576"/>
      <c r="KT43" s="1576"/>
      <c r="KU43" s="1576"/>
      <c r="KV43" s="1576"/>
      <c r="KW43" s="1576"/>
      <c r="KX43" s="1576"/>
      <c r="KY43" s="1576"/>
      <c r="KZ43" s="1576"/>
      <c r="LA43" s="1576"/>
      <c r="LB43" s="1576"/>
      <c r="LC43" s="1576"/>
      <c r="LD43" s="1576"/>
      <c r="LE43" s="1576"/>
      <c r="LF43" s="1576"/>
      <c r="LG43" s="1576"/>
      <c r="LH43" s="1576"/>
      <c r="LI43" s="1576"/>
      <c r="LJ43" s="1576"/>
      <c r="LK43" s="1576"/>
      <c r="LL43" s="1576"/>
      <c r="LM43" s="1576"/>
      <c r="LN43" s="1576"/>
      <c r="LO43" s="1576"/>
      <c r="LP43" s="1576"/>
      <c r="LQ43" s="1576"/>
      <c r="LR43" s="1576"/>
      <c r="LS43" s="1576"/>
      <c r="LT43" s="1576"/>
      <c r="LU43" s="1576"/>
      <c r="LV43" s="1576"/>
      <c r="LW43" s="1576"/>
      <c r="LX43" s="1576"/>
      <c r="LY43" s="1576"/>
      <c r="LZ43" s="1576"/>
      <c r="MA43" s="1576"/>
      <c r="MB43" s="1576"/>
      <c r="MC43" s="1576"/>
      <c r="MD43" s="1576"/>
      <c r="ME43" s="1576"/>
      <c r="MF43" s="1576"/>
      <c r="MG43" s="1576"/>
      <c r="MH43" s="1576"/>
      <c r="MI43" s="1576"/>
      <c r="MJ43" s="1576"/>
      <c r="MK43" s="1576"/>
      <c r="ML43" s="1576"/>
      <c r="MM43" s="1576"/>
      <c r="MN43" s="1576"/>
      <c r="MO43" s="1576"/>
      <c r="MP43" s="1576"/>
      <c r="MQ43" s="1576"/>
      <c r="MR43" s="1576"/>
      <c r="MS43" s="1576"/>
      <c r="MT43" s="1576"/>
      <c r="MU43" s="1576"/>
      <c r="MV43" s="1576"/>
      <c r="MW43" s="1576"/>
      <c r="MX43" s="1576"/>
      <c r="MY43" s="1576"/>
      <c r="MZ43" s="1576"/>
      <c r="NA43" s="1576"/>
      <c r="NB43" s="1576"/>
      <c r="NC43" s="1576"/>
      <c r="ND43" s="1576"/>
      <c r="NE43" s="1576"/>
      <c r="NF43" s="1576"/>
      <c r="NG43" s="1576"/>
      <c r="NH43" s="1576"/>
      <c r="NI43" s="1576"/>
      <c r="NJ43" s="1576"/>
      <c r="NK43" s="1576"/>
      <c r="NL43" s="1576"/>
      <c r="NM43" s="1576"/>
      <c r="NN43" s="1576"/>
      <c r="NO43" s="1576"/>
      <c r="NP43" s="1576"/>
      <c r="NQ43" s="1576"/>
      <c r="NR43" s="1576"/>
      <c r="NS43" s="1576"/>
      <c r="NT43" s="1576"/>
      <c r="NU43" s="1576"/>
      <c r="NV43" s="1576"/>
      <c r="NW43" s="1576"/>
      <c r="NX43" s="1576"/>
      <c r="NY43" s="1576"/>
      <c r="NZ43" s="1576"/>
      <c r="OA43" s="1576"/>
      <c r="OB43" s="1576"/>
      <c r="OC43" s="1576"/>
      <c r="OD43" s="1576"/>
      <c r="OE43" s="1576"/>
      <c r="OF43" s="1576"/>
      <c r="OG43" s="1576"/>
      <c r="OH43" s="1576"/>
      <c r="OI43" s="1576"/>
      <c r="OJ43" s="1576"/>
      <c r="OK43" s="1576"/>
      <c r="OL43" s="1576"/>
      <c r="OM43" s="1576"/>
      <c r="ON43" s="1576"/>
      <c r="OO43" s="1576"/>
      <c r="OP43" s="1576"/>
      <c r="OQ43" s="1576"/>
      <c r="OR43" s="1576"/>
      <c r="OS43" s="1576"/>
      <c r="OT43" s="1576"/>
      <c r="OU43" s="1576"/>
      <c r="OV43" s="1576"/>
      <c r="OW43" s="1576"/>
      <c r="OX43" s="1576"/>
      <c r="OY43" s="1576"/>
      <c r="OZ43" s="1576"/>
      <c r="PA43" s="1576"/>
      <c r="PB43" s="1576"/>
      <c r="PC43" s="1576"/>
      <c r="PD43" s="1576"/>
      <c r="PE43" s="1576"/>
      <c r="PF43" s="1576"/>
      <c r="PG43" s="1576"/>
      <c r="PH43" s="1576"/>
      <c r="PI43" s="1576"/>
      <c r="PJ43" s="1576"/>
      <c r="PK43" s="1576"/>
      <c r="PL43" s="1576"/>
      <c r="PM43" s="1576"/>
      <c r="PN43" s="1576"/>
      <c r="PO43" s="1576"/>
      <c r="PP43" s="1576"/>
      <c r="PQ43" s="1576"/>
      <c r="PR43" s="1576"/>
      <c r="PS43" s="1576"/>
      <c r="PT43" s="1576"/>
      <c r="PU43" s="1576"/>
      <c r="PV43" s="1576"/>
      <c r="PW43" s="1576"/>
      <c r="PX43" s="1576"/>
      <c r="PY43" s="1576"/>
      <c r="PZ43" s="1576"/>
      <c r="QA43" s="1576"/>
      <c r="QB43" s="1576"/>
      <c r="QC43" s="1576"/>
      <c r="QD43" s="1576"/>
      <c r="QE43" s="1576"/>
      <c r="QF43" s="1576"/>
      <c r="QG43" s="1576"/>
      <c r="QH43" s="1576"/>
      <c r="QI43" s="1576"/>
      <c r="QJ43" s="1576"/>
      <c r="QK43" s="1576"/>
      <c r="QL43" s="1576"/>
      <c r="QM43" s="1576"/>
      <c r="QN43" s="1576"/>
      <c r="QO43" s="1576"/>
      <c r="QP43" s="1576"/>
      <c r="QQ43" s="1576"/>
      <c r="QR43" s="1576"/>
      <c r="QS43" s="1576"/>
      <c r="QT43" s="1576"/>
      <c r="QU43" s="1576"/>
      <c r="QV43" s="1576"/>
      <c r="QW43" s="1576"/>
      <c r="QX43" s="1576"/>
      <c r="QY43" s="1576"/>
      <c r="QZ43" s="1576"/>
      <c r="RA43" s="1576"/>
      <c r="RB43" s="1576"/>
      <c r="RC43" s="1576"/>
      <c r="RD43" s="1576"/>
      <c r="RE43" s="1576"/>
      <c r="RF43" s="1576"/>
      <c r="RG43" s="1576"/>
      <c r="RH43" s="1576"/>
      <c r="RI43" s="1576"/>
      <c r="RJ43" s="1576"/>
      <c r="RK43" s="1576"/>
      <c r="RL43" s="1576"/>
      <c r="RM43" s="1576"/>
      <c r="RN43" s="1576"/>
      <c r="RO43" s="1576"/>
      <c r="RP43" s="1576"/>
      <c r="RQ43" s="1576"/>
      <c r="RR43" s="1576"/>
      <c r="RS43" s="1576"/>
      <c r="RT43" s="1576"/>
      <c r="RU43" s="1576"/>
      <c r="RV43" s="1576"/>
      <c r="RW43" s="1576"/>
      <c r="RX43" s="1576"/>
      <c r="RY43" s="1576"/>
      <c r="RZ43" s="1576"/>
      <c r="SA43" s="1576"/>
      <c r="SB43" s="1576"/>
      <c r="SC43" s="1576"/>
      <c r="SD43" s="1576"/>
      <c r="SE43" s="1576"/>
      <c r="SF43" s="1576"/>
      <c r="SG43" s="1576"/>
      <c r="SH43" s="1576"/>
      <c r="SI43" s="1576"/>
      <c r="SJ43" s="1576"/>
      <c r="SK43" s="1576"/>
      <c r="SL43" s="1576"/>
      <c r="SM43" s="1576"/>
      <c r="SN43" s="1576"/>
      <c r="SO43" s="1576"/>
      <c r="SP43" s="1576"/>
      <c r="SQ43" s="1576"/>
      <c r="SR43" s="1576"/>
      <c r="SS43" s="1576"/>
      <c r="ST43" s="1576"/>
      <c r="SU43" s="1576"/>
      <c r="SV43" s="1576"/>
      <c r="SW43" s="1576"/>
      <c r="SX43" s="1576"/>
      <c r="SY43" s="1576"/>
      <c r="SZ43" s="1576"/>
      <c r="TA43" s="1576"/>
      <c r="TB43" s="1576"/>
      <c r="TC43" s="1576"/>
      <c r="TD43" s="1576"/>
      <c r="TE43" s="1576"/>
      <c r="TF43" s="1576"/>
      <c r="TG43" s="1576"/>
      <c r="TH43" s="1576"/>
      <c r="TI43" s="1576"/>
      <c r="TJ43" s="1576"/>
      <c r="TK43" s="1576"/>
      <c r="TL43" s="1576"/>
      <c r="TM43" s="1576"/>
      <c r="TN43" s="1576"/>
      <c r="TO43" s="1576"/>
      <c r="TP43" s="1576"/>
      <c r="TQ43" s="1576"/>
      <c r="TR43" s="1576"/>
      <c r="TS43" s="1576"/>
      <c r="TT43" s="1576"/>
      <c r="TU43" s="1576"/>
      <c r="TV43" s="1576"/>
      <c r="TW43" s="1576"/>
      <c r="TX43" s="1576"/>
      <c r="TY43" s="1576"/>
      <c r="TZ43" s="1576"/>
      <c r="UA43" s="1576"/>
      <c r="UB43" s="1576"/>
      <c r="UC43" s="1576"/>
      <c r="UD43" s="1576"/>
      <c r="UE43" s="1576"/>
      <c r="UF43" s="1576"/>
      <c r="UG43" s="1576"/>
      <c r="UH43" s="1576"/>
      <c r="UI43" s="1576"/>
      <c r="UJ43" s="1576"/>
      <c r="UK43" s="1576"/>
      <c r="UL43" s="1576"/>
      <c r="UM43" s="1576"/>
      <c r="UN43" s="1576"/>
      <c r="UO43" s="1576"/>
      <c r="UP43" s="1576"/>
      <c r="UQ43" s="1576"/>
      <c r="UR43" s="1576"/>
      <c r="US43" s="1576"/>
      <c r="UT43" s="1576"/>
      <c r="UU43" s="1576"/>
      <c r="UV43" s="1576"/>
      <c r="UW43" s="1576"/>
      <c r="UX43" s="1576"/>
      <c r="UY43" s="1576"/>
      <c r="UZ43" s="1576"/>
      <c r="VA43" s="1576"/>
      <c r="VB43" s="1576"/>
      <c r="VC43" s="1576"/>
      <c r="VD43" s="1576"/>
      <c r="VE43" s="1576"/>
      <c r="VF43" s="1576"/>
      <c r="VG43" s="1576"/>
      <c r="VH43" s="1576"/>
      <c r="VI43" s="1576"/>
      <c r="VJ43" s="1576"/>
      <c r="VK43" s="1576"/>
    </row>
    <row r="44" spans="1:583" ht="27" x14ac:dyDescent="0.25">
      <c r="B44" s="1610" t="s">
        <v>629</v>
      </c>
      <c r="C44" s="1582" t="s">
        <v>2733</v>
      </c>
      <c r="D44" s="4710" t="s">
        <v>2734</v>
      </c>
      <c r="E44" s="4710">
        <v>0</v>
      </c>
      <c r="F44" s="1579"/>
      <c r="G44" s="1579"/>
      <c r="H44" s="1579"/>
      <c r="I44" s="1579"/>
      <c r="J44" s="1579"/>
      <c r="K44" s="1579"/>
      <c r="L44" s="1579"/>
      <c r="M44" s="1579"/>
      <c r="N44" s="1579"/>
      <c r="O44" s="1579"/>
      <c r="P44" s="1579"/>
      <c r="Q44" s="1579"/>
      <c r="R44" s="1579"/>
      <c r="S44" s="1579"/>
      <c r="T44" s="1579"/>
      <c r="U44" s="1579"/>
      <c r="V44" s="1579"/>
      <c r="W44" s="2059"/>
      <c r="X44" s="2059"/>
      <c r="Y44" s="2059"/>
      <c r="Z44" s="2059"/>
      <c r="AA44" s="2059"/>
      <c r="AB44" s="2059"/>
      <c r="AC44" s="2059"/>
      <c r="AD44" s="2059"/>
      <c r="AE44" s="2059"/>
      <c r="AF44" s="2059"/>
      <c r="AG44" s="2059"/>
      <c r="AH44" s="2059"/>
      <c r="AI44" s="2059"/>
      <c r="AJ44" s="2059"/>
      <c r="AK44" s="2059"/>
      <c r="AL44" s="2059"/>
      <c r="AM44" s="2059"/>
      <c r="AN44" s="2059"/>
      <c r="AO44" s="2059"/>
      <c r="AP44" s="2059"/>
      <c r="AQ44" s="2059"/>
      <c r="AR44" s="2059"/>
      <c r="AS44" s="2059"/>
      <c r="AT44" s="2059"/>
      <c r="AU44" s="2059"/>
      <c r="AV44" s="2059"/>
      <c r="AW44" s="2059"/>
      <c r="AX44" s="2059"/>
      <c r="AY44" s="2059"/>
      <c r="AZ44" s="2059"/>
      <c r="BA44" s="2059"/>
      <c r="BB44" s="2059"/>
      <c r="BC44" s="2059"/>
      <c r="BD44" s="2059"/>
      <c r="BE44" s="2059"/>
      <c r="BF44" s="2059"/>
      <c r="BG44" s="2059"/>
      <c r="BH44" s="2059"/>
      <c r="BI44" s="2059"/>
      <c r="BJ44" s="2059"/>
      <c r="BK44" s="2059"/>
      <c r="BL44" s="2059"/>
      <c r="BM44" s="2059"/>
      <c r="BN44" s="2059"/>
      <c r="BO44" s="2059"/>
      <c r="BP44" s="2059"/>
      <c r="BQ44" s="2059"/>
      <c r="BR44" s="2059"/>
      <c r="BS44" s="2059"/>
      <c r="BT44" s="2059"/>
      <c r="BU44" s="2059"/>
      <c r="BV44" s="2059"/>
      <c r="BW44" s="2059"/>
      <c r="BX44" s="2059"/>
      <c r="BY44" s="2059"/>
      <c r="BZ44" s="2059"/>
      <c r="CA44" s="2059"/>
      <c r="CB44" s="2059"/>
      <c r="CC44" s="2059"/>
      <c r="CD44" s="2059"/>
      <c r="CE44" s="2059"/>
      <c r="CF44" s="2059"/>
      <c r="CG44" s="2059"/>
      <c r="CH44" s="2059"/>
      <c r="CI44" s="2059"/>
      <c r="CJ44" s="2059"/>
      <c r="CK44" s="2059"/>
      <c r="CL44" s="2059"/>
      <c r="CM44" s="2059"/>
      <c r="CN44" s="2059"/>
      <c r="CO44" s="2059"/>
      <c r="CP44" s="1576"/>
      <c r="CQ44" s="1576"/>
      <c r="CR44" s="1576"/>
      <c r="CS44" s="1576"/>
      <c r="CT44" s="1576"/>
      <c r="CU44" s="1576"/>
      <c r="CV44" s="1576"/>
      <c r="CW44" s="1576"/>
      <c r="CX44" s="1576"/>
      <c r="CY44" s="1576"/>
      <c r="CZ44" s="1576"/>
      <c r="DA44" s="1576"/>
      <c r="DB44" s="1576"/>
      <c r="DC44" s="1576"/>
      <c r="DD44" s="1576"/>
      <c r="DE44" s="1576"/>
      <c r="DF44" s="1576"/>
      <c r="DG44" s="1576"/>
      <c r="DH44" s="1576"/>
      <c r="DI44" s="1576"/>
      <c r="DJ44" s="1576"/>
      <c r="DK44" s="1576"/>
      <c r="DL44" s="1576"/>
      <c r="DM44" s="1576"/>
      <c r="DN44" s="1576"/>
      <c r="DO44" s="1576"/>
      <c r="DP44" s="1576"/>
      <c r="DQ44" s="1576"/>
      <c r="DR44" s="1576"/>
      <c r="DS44" s="1576"/>
      <c r="DT44" s="1576"/>
      <c r="DU44" s="1576"/>
      <c r="DV44" s="1576"/>
      <c r="DW44" s="1576"/>
      <c r="DX44" s="1576"/>
      <c r="DY44" s="1576"/>
      <c r="DZ44" s="1576"/>
      <c r="EA44" s="1576"/>
      <c r="EB44" s="1576"/>
      <c r="EC44" s="1576"/>
      <c r="ED44" s="1576"/>
      <c r="EE44" s="1576"/>
      <c r="EF44" s="1576"/>
      <c r="EG44" s="1576"/>
      <c r="EH44" s="1576"/>
      <c r="EI44" s="1576"/>
      <c r="EJ44" s="1576"/>
      <c r="EK44" s="1576"/>
      <c r="EL44" s="1576"/>
      <c r="EM44" s="1576"/>
      <c r="EN44" s="1576"/>
      <c r="EO44" s="1576"/>
      <c r="EP44" s="1576"/>
      <c r="EQ44" s="1576"/>
      <c r="ER44" s="1576"/>
      <c r="ES44" s="1576"/>
      <c r="ET44" s="1576"/>
      <c r="EU44" s="1576"/>
      <c r="EV44" s="1576"/>
      <c r="EW44" s="1576"/>
      <c r="EX44" s="1576"/>
      <c r="EY44" s="1576"/>
      <c r="EZ44" s="1576"/>
      <c r="FA44" s="1576"/>
      <c r="FB44" s="1576"/>
      <c r="FC44" s="1576"/>
      <c r="FD44" s="1576"/>
      <c r="FE44" s="1576"/>
      <c r="FF44" s="1576"/>
      <c r="FG44" s="1576"/>
      <c r="FH44" s="1576"/>
      <c r="FI44" s="1576"/>
      <c r="FJ44" s="1576"/>
      <c r="FK44" s="1576"/>
      <c r="FL44" s="1576"/>
      <c r="FM44" s="1576"/>
      <c r="FN44" s="1576"/>
      <c r="FO44" s="1576"/>
      <c r="FP44" s="1576"/>
      <c r="FQ44" s="1576"/>
      <c r="FR44" s="1576"/>
      <c r="FS44" s="1576"/>
      <c r="FT44" s="1576"/>
      <c r="FU44" s="1576"/>
      <c r="FV44" s="1576"/>
      <c r="FW44" s="1576"/>
      <c r="FX44" s="1576"/>
      <c r="FY44" s="1576"/>
      <c r="FZ44" s="1576"/>
      <c r="GA44" s="1576"/>
      <c r="GB44" s="1576"/>
      <c r="GC44" s="1576"/>
      <c r="GD44" s="1576"/>
      <c r="GE44" s="1576"/>
      <c r="GF44" s="1576"/>
      <c r="GG44" s="1576"/>
      <c r="GH44" s="1576"/>
      <c r="GI44" s="1576"/>
      <c r="GJ44" s="1576"/>
      <c r="GK44" s="1576"/>
      <c r="GL44" s="1576"/>
      <c r="GM44" s="1576"/>
      <c r="GN44" s="1576"/>
      <c r="GO44" s="1576"/>
      <c r="GP44" s="1576"/>
      <c r="GQ44" s="1576"/>
      <c r="GR44" s="1576"/>
      <c r="GS44" s="1576"/>
      <c r="GT44" s="1576"/>
      <c r="GU44" s="1576"/>
      <c r="GV44" s="1576"/>
      <c r="GW44" s="1576"/>
      <c r="GX44" s="1576"/>
      <c r="GY44" s="1576"/>
      <c r="GZ44" s="1576"/>
      <c r="HA44" s="1576"/>
      <c r="HB44" s="1576"/>
      <c r="HC44" s="1576"/>
      <c r="HD44" s="1576"/>
      <c r="HE44" s="1576"/>
      <c r="HF44" s="1576"/>
      <c r="HG44" s="1576"/>
      <c r="HH44" s="1576"/>
      <c r="HI44" s="1576"/>
      <c r="HJ44" s="1576"/>
      <c r="HK44" s="1576"/>
      <c r="HL44" s="1576"/>
      <c r="HM44" s="1576"/>
      <c r="HN44" s="1576"/>
      <c r="HO44" s="1576"/>
      <c r="HP44" s="1576"/>
      <c r="HQ44" s="1576"/>
      <c r="HR44" s="1576"/>
      <c r="HS44" s="1576"/>
      <c r="HT44" s="1576"/>
      <c r="HU44" s="1576"/>
      <c r="HV44" s="1576"/>
      <c r="HW44" s="1576"/>
      <c r="HX44" s="1576"/>
      <c r="HY44" s="1576"/>
      <c r="HZ44" s="1576"/>
      <c r="IA44" s="1576"/>
      <c r="IB44" s="1576"/>
      <c r="IC44" s="1576"/>
      <c r="ID44" s="1576"/>
      <c r="IE44" s="1576"/>
      <c r="IF44" s="1576"/>
      <c r="IG44" s="1576"/>
      <c r="IH44" s="1576"/>
      <c r="II44" s="1576"/>
      <c r="IJ44" s="1576"/>
      <c r="IK44" s="1576"/>
      <c r="IL44" s="1576"/>
      <c r="IM44" s="1576"/>
      <c r="IN44" s="1576"/>
      <c r="IO44" s="1576"/>
      <c r="IP44" s="1576"/>
      <c r="IQ44" s="1576"/>
      <c r="IR44" s="1576"/>
      <c r="IS44" s="1576"/>
      <c r="IT44" s="1576"/>
      <c r="IU44" s="1576"/>
      <c r="IV44" s="1576"/>
      <c r="IW44" s="1576"/>
      <c r="IX44" s="1576"/>
      <c r="IY44" s="1576"/>
      <c r="IZ44" s="1576"/>
      <c r="JA44" s="2054"/>
      <c r="JB44" s="2054"/>
      <c r="JC44" s="2054"/>
      <c r="JD44" s="2054"/>
      <c r="JE44" s="2054"/>
      <c r="JF44" s="2054"/>
      <c r="JG44" s="2054"/>
      <c r="JH44" s="2054"/>
      <c r="JI44" s="2054"/>
      <c r="JJ44" s="2054"/>
      <c r="JK44" s="2054"/>
      <c r="JL44" s="2054"/>
      <c r="JM44" s="2054"/>
      <c r="JN44" s="2054"/>
      <c r="JO44" s="2054"/>
      <c r="JP44" s="2054"/>
      <c r="JQ44" s="2054"/>
      <c r="JR44" s="1576"/>
      <c r="JS44" s="1576"/>
      <c r="JT44" s="1576"/>
      <c r="JU44" s="1576"/>
      <c r="JV44" s="1576"/>
      <c r="JW44" s="1576"/>
      <c r="JX44" s="1576"/>
      <c r="JY44" s="1576"/>
      <c r="JZ44" s="1576"/>
      <c r="KA44" s="1576"/>
      <c r="KB44" s="1576"/>
      <c r="KC44" s="1576"/>
      <c r="KD44" s="1576"/>
      <c r="KE44" s="1576"/>
      <c r="KF44" s="1576"/>
      <c r="KG44" s="1576"/>
      <c r="KH44" s="1576"/>
      <c r="KI44" s="1576"/>
      <c r="KJ44" s="1576"/>
      <c r="KK44" s="1576"/>
      <c r="KL44" s="1576"/>
      <c r="KM44" s="1576"/>
      <c r="KN44" s="1576"/>
      <c r="KO44" s="1576"/>
      <c r="KP44" s="1576"/>
      <c r="KQ44" s="1576"/>
      <c r="KR44" s="1576"/>
      <c r="KS44" s="1576"/>
      <c r="KT44" s="1576"/>
      <c r="KU44" s="1576"/>
      <c r="KV44" s="1576"/>
      <c r="KW44" s="1576"/>
      <c r="KX44" s="1576"/>
      <c r="KY44" s="1576"/>
      <c r="KZ44" s="1576"/>
      <c r="LA44" s="1576"/>
      <c r="LB44" s="1576"/>
      <c r="LC44" s="1576"/>
      <c r="LD44" s="1576"/>
      <c r="LE44" s="1576"/>
      <c r="LF44" s="1576"/>
      <c r="LG44" s="1576"/>
      <c r="LH44" s="1576"/>
      <c r="LI44" s="1576"/>
      <c r="LJ44" s="1576"/>
      <c r="LK44" s="1576"/>
      <c r="LL44" s="1576"/>
      <c r="LM44" s="1576"/>
      <c r="LN44" s="1576"/>
      <c r="LO44" s="1576"/>
      <c r="LP44" s="1576"/>
      <c r="LQ44" s="1576"/>
      <c r="LR44" s="1576"/>
      <c r="LS44" s="1576"/>
      <c r="LT44" s="1576"/>
      <c r="LU44" s="1576"/>
      <c r="LV44" s="1576"/>
      <c r="LW44" s="1576"/>
      <c r="LX44" s="1576"/>
      <c r="LY44" s="1576"/>
      <c r="LZ44" s="1576"/>
      <c r="MA44" s="1576"/>
      <c r="MB44" s="1576"/>
      <c r="MC44" s="1576"/>
      <c r="MD44" s="1576"/>
      <c r="ME44" s="1576"/>
      <c r="MF44" s="1576"/>
      <c r="MG44" s="1576"/>
      <c r="MH44" s="1576"/>
      <c r="MI44" s="1576"/>
      <c r="MJ44" s="1576"/>
      <c r="MK44" s="1576"/>
      <c r="ML44" s="1576"/>
      <c r="MM44" s="1576"/>
      <c r="MN44" s="1576"/>
      <c r="MO44" s="1576"/>
      <c r="MP44" s="1576"/>
      <c r="MQ44" s="1576"/>
      <c r="MR44" s="1576"/>
      <c r="MS44" s="1576"/>
      <c r="MT44" s="1576"/>
      <c r="MU44" s="1576"/>
      <c r="MV44" s="1576"/>
      <c r="MW44" s="1576"/>
      <c r="MX44" s="1576"/>
      <c r="MY44" s="1576"/>
      <c r="MZ44" s="1576"/>
      <c r="NA44" s="1576"/>
      <c r="NB44" s="1576"/>
      <c r="NC44" s="1576"/>
      <c r="ND44" s="1576"/>
      <c r="NE44" s="1576"/>
      <c r="NF44" s="1576"/>
      <c r="NG44" s="1576"/>
      <c r="NH44" s="1576"/>
      <c r="NI44" s="1576"/>
      <c r="NJ44" s="1576"/>
      <c r="NK44" s="1576"/>
      <c r="NL44" s="1576"/>
      <c r="NM44" s="1576"/>
      <c r="NN44" s="1576"/>
      <c r="NO44" s="1576"/>
      <c r="NP44" s="1576"/>
      <c r="NQ44" s="1576"/>
      <c r="NR44" s="1576"/>
      <c r="NS44" s="1576"/>
      <c r="NT44" s="1576"/>
      <c r="NU44" s="1576"/>
      <c r="NV44" s="1576"/>
      <c r="NW44" s="1576"/>
      <c r="NX44" s="1576"/>
      <c r="NY44" s="1576"/>
      <c r="NZ44" s="1576"/>
      <c r="OA44" s="1576"/>
      <c r="OB44" s="1576"/>
      <c r="OC44" s="1576"/>
      <c r="OD44" s="1576"/>
      <c r="OE44" s="1576"/>
      <c r="OF44" s="1576"/>
      <c r="OG44" s="1576"/>
      <c r="OH44" s="1576"/>
      <c r="OI44" s="1576"/>
      <c r="OJ44" s="1576"/>
      <c r="OK44" s="1576"/>
      <c r="OL44" s="1576"/>
      <c r="OM44" s="1576"/>
      <c r="ON44" s="1576"/>
      <c r="OO44" s="1576"/>
      <c r="OP44" s="1576"/>
      <c r="OQ44" s="1576"/>
      <c r="OR44" s="1576"/>
      <c r="OS44" s="1576"/>
      <c r="OT44" s="1576"/>
      <c r="OU44" s="1576"/>
      <c r="OV44" s="1576"/>
      <c r="OW44" s="1576"/>
      <c r="OX44" s="1576"/>
      <c r="OY44" s="1576"/>
      <c r="OZ44" s="1576"/>
      <c r="PA44" s="1576"/>
      <c r="PB44" s="1576"/>
      <c r="PC44" s="1576"/>
      <c r="PD44" s="1576"/>
      <c r="PE44" s="1576"/>
      <c r="PF44" s="1576"/>
      <c r="PG44" s="1576"/>
      <c r="PH44" s="1576"/>
      <c r="PI44" s="1576"/>
      <c r="PJ44" s="1576"/>
      <c r="PK44" s="1576"/>
      <c r="PL44" s="1576"/>
      <c r="PM44" s="1576"/>
      <c r="PN44" s="1576"/>
      <c r="PO44" s="1576"/>
      <c r="PP44" s="1576"/>
      <c r="PQ44" s="1576"/>
      <c r="PR44" s="1576"/>
      <c r="PS44" s="1576"/>
      <c r="PT44" s="1576"/>
      <c r="PU44" s="1576"/>
      <c r="PV44" s="1576"/>
      <c r="PW44" s="1576"/>
      <c r="PX44" s="1576"/>
      <c r="PY44" s="1576"/>
      <c r="PZ44" s="1576"/>
      <c r="QA44" s="1576"/>
      <c r="QB44" s="1576"/>
      <c r="QC44" s="1576"/>
      <c r="QD44" s="1576"/>
      <c r="QE44" s="1576"/>
      <c r="QF44" s="1576"/>
      <c r="QG44" s="1576"/>
      <c r="QH44" s="1576"/>
      <c r="QI44" s="1576"/>
      <c r="QJ44" s="1576"/>
      <c r="QK44" s="1576"/>
      <c r="QL44" s="1576"/>
      <c r="QM44" s="1576"/>
      <c r="QN44" s="1576"/>
      <c r="QO44" s="1576"/>
      <c r="QP44" s="1576"/>
      <c r="QQ44" s="1576"/>
      <c r="QR44" s="1576"/>
      <c r="QS44" s="1576"/>
      <c r="QT44" s="1576"/>
      <c r="QU44" s="1576"/>
      <c r="QV44" s="1576"/>
      <c r="QW44" s="1576"/>
      <c r="QX44" s="1576"/>
      <c r="QY44" s="1576"/>
      <c r="QZ44" s="1576"/>
      <c r="RA44" s="1576"/>
      <c r="RB44" s="1576"/>
      <c r="RC44" s="1576"/>
      <c r="RD44" s="1576"/>
      <c r="RE44" s="1576"/>
      <c r="RF44" s="1576"/>
      <c r="RG44" s="1576"/>
      <c r="RH44" s="1576"/>
      <c r="RI44" s="1576"/>
      <c r="RJ44" s="1576"/>
      <c r="RK44" s="1576"/>
      <c r="RL44" s="1576"/>
      <c r="RM44" s="1576"/>
      <c r="RN44" s="1576"/>
      <c r="RO44" s="1576"/>
      <c r="RP44" s="1576"/>
      <c r="RQ44" s="1576"/>
      <c r="RR44" s="1576"/>
      <c r="RS44" s="1576"/>
      <c r="RT44" s="1576"/>
      <c r="RU44" s="1576"/>
      <c r="RV44" s="1576"/>
      <c r="RW44" s="1576"/>
      <c r="RX44" s="1576"/>
      <c r="RY44" s="1576"/>
      <c r="RZ44" s="1576"/>
      <c r="SA44" s="1576"/>
      <c r="SB44" s="1576"/>
      <c r="SC44" s="1576"/>
      <c r="SD44" s="1576"/>
      <c r="SE44" s="1576"/>
      <c r="SF44" s="1576"/>
      <c r="SG44" s="1576"/>
      <c r="SH44" s="1576"/>
      <c r="SI44" s="1576"/>
      <c r="SJ44" s="1576"/>
      <c r="SK44" s="1576"/>
      <c r="SL44" s="1576"/>
      <c r="SM44" s="1576"/>
      <c r="SN44" s="1576"/>
      <c r="SO44" s="1576"/>
      <c r="SP44" s="1576"/>
      <c r="SQ44" s="1576"/>
      <c r="SR44" s="1576"/>
      <c r="SS44" s="1576"/>
      <c r="ST44" s="1576"/>
      <c r="SU44" s="1576"/>
      <c r="SV44" s="1576"/>
      <c r="SW44" s="1576"/>
      <c r="SX44" s="1576"/>
      <c r="SY44" s="1576"/>
      <c r="SZ44" s="1576"/>
      <c r="TA44" s="1576"/>
      <c r="TB44" s="1576"/>
      <c r="TC44" s="1576"/>
      <c r="TD44" s="1576"/>
      <c r="TE44" s="1576"/>
      <c r="TF44" s="1576"/>
      <c r="TG44" s="1576"/>
      <c r="TH44" s="1576"/>
      <c r="TI44" s="1576"/>
      <c r="TJ44" s="1576"/>
      <c r="TK44" s="1576"/>
      <c r="TL44" s="1576"/>
      <c r="TM44" s="1576"/>
      <c r="TN44" s="1576"/>
      <c r="TO44" s="1576"/>
      <c r="TP44" s="1576"/>
      <c r="TQ44" s="1576"/>
      <c r="TR44" s="1576"/>
      <c r="TS44" s="1576"/>
      <c r="TT44" s="1576"/>
      <c r="TU44" s="1576"/>
      <c r="TV44" s="1576"/>
      <c r="TW44" s="1576"/>
      <c r="TX44" s="1576"/>
      <c r="TY44" s="1576"/>
      <c r="TZ44" s="1576"/>
      <c r="UA44" s="1576"/>
      <c r="UB44" s="1576"/>
      <c r="UC44" s="1576"/>
      <c r="UD44" s="1576"/>
      <c r="UE44" s="1576"/>
      <c r="UF44" s="1576"/>
      <c r="UG44" s="1576"/>
      <c r="UH44" s="1576"/>
      <c r="UI44" s="1576"/>
      <c r="UJ44" s="1576"/>
      <c r="UK44" s="1576"/>
      <c r="UL44" s="1576"/>
      <c r="UM44" s="1576"/>
      <c r="UN44" s="1576"/>
      <c r="UO44" s="1576"/>
      <c r="UP44" s="1576"/>
      <c r="UQ44" s="1576"/>
      <c r="UR44" s="1576"/>
      <c r="US44" s="1576"/>
      <c r="UT44" s="1576"/>
      <c r="UU44" s="1576"/>
      <c r="UV44" s="1576"/>
      <c r="UW44" s="1576"/>
      <c r="UX44" s="1576"/>
      <c r="UY44" s="1576"/>
      <c r="UZ44" s="1576"/>
      <c r="VA44" s="1576"/>
      <c r="VB44" s="1576"/>
      <c r="VC44" s="1576"/>
      <c r="VD44" s="1576"/>
      <c r="VE44" s="1576"/>
      <c r="VF44" s="1576"/>
      <c r="VG44" s="1576"/>
      <c r="VH44" s="1576"/>
      <c r="VI44" s="1576"/>
      <c r="VJ44" s="1576"/>
      <c r="VK44" s="1576"/>
    </row>
    <row r="45" spans="1:583" x14ac:dyDescent="0.25">
      <c r="B45" s="1610" t="s">
        <v>629</v>
      </c>
      <c r="C45" s="1582" t="s">
        <v>2735</v>
      </c>
      <c r="D45" s="4710" t="s">
        <v>2736</v>
      </c>
      <c r="E45" s="4710">
        <v>0</v>
      </c>
      <c r="F45" s="2057"/>
      <c r="G45" s="2057"/>
      <c r="H45" s="2057"/>
      <c r="I45" s="2058"/>
      <c r="J45" s="2058"/>
      <c r="K45" s="2058"/>
      <c r="L45" s="2058"/>
      <c r="M45" s="2058"/>
      <c r="N45" s="2058"/>
      <c r="O45" s="2058"/>
      <c r="P45" s="2058"/>
      <c r="Q45" s="2058"/>
      <c r="R45" s="2058"/>
      <c r="S45" s="2058"/>
      <c r="T45" s="2058"/>
      <c r="U45" s="2058"/>
      <c r="V45" s="2058"/>
      <c r="W45" s="2059"/>
      <c r="X45" s="2059"/>
      <c r="Y45" s="2059"/>
      <c r="Z45" s="2059"/>
      <c r="AA45" s="2059"/>
      <c r="AB45" s="2059"/>
      <c r="AC45" s="2059"/>
      <c r="AD45" s="2059"/>
      <c r="AE45" s="2059"/>
      <c r="AF45" s="2059"/>
      <c r="AG45" s="2059"/>
      <c r="AH45" s="2059"/>
      <c r="AI45" s="2059"/>
      <c r="AJ45" s="2059"/>
      <c r="AK45" s="2059"/>
      <c r="AL45" s="2059"/>
      <c r="AM45" s="2059"/>
      <c r="AN45" s="2059"/>
      <c r="AO45" s="2059"/>
      <c r="AP45" s="2059"/>
      <c r="AQ45" s="2059"/>
      <c r="AR45" s="2059"/>
      <c r="AS45" s="2059"/>
      <c r="AT45" s="2059"/>
      <c r="AU45" s="2059"/>
      <c r="AV45" s="2059"/>
      <c r="AW45" s="2059"/>
      <c r="AX45" s="2059"/>
      <c r="AY45" s="2059"/>
      <c r="AZ45" s="2059"/>
      <c r="BA45" s="2059"/>
      <c r="BB45" s="2059"/>
      <c r="BC45" s="2059"/>
      <c r="BD45" s="2059"/>
      <c r="BE45" s="2059"/>
      <c r="BF45" s="2059"/>
      <c r="BG45" s="2059"/>
      <c r="BH45" s="2059"/>
      <c r="BI45" s="2059"/>
      <c r="BJ45" s="2059"/>
      <c r="BK45" s="2059"/>
      <c r="BL45" s="2059"/>
      <c r="BM45" s="2059"/>
      <c r="BN45" s="2059"/>
      <c r="BO45" s="2059"/>
      <c r="BP45" s="2059"/>
      <c r="BQ45" s="2059"/>
      <c r="BR45" s="2059"/>
      <c r="BS45" s="2059"/>
      <c r="BT45" s="2059"/>
      <c r="BU45" s="2059"/>
      <c r="BV45" s="2059"/>
      <c r="BW45" s="2059"/>
      <c r="BX45" s="2059"/>
      <c r="BY45" s="2059"/>
      <c r="BZ45" s="2059"/>
      <c r="CA45" s="2059"/>
      <c r="CB45" s="2059"/>
      <c r="CC45" s="2059"/>
      <c r="CD45" s="2059"/>
      <c r="CE45" s="2059"/>
      <c r="CF45" s="2059"/>
      <c r="CG45" s="2059"/>
      <c r="CH45" s="2059"/>
      <c r="CI45" s="2059"/>
      <c r="CJ45" s="2059"/>
      <c r="CK45" s="2059"/>
      <c r="CL45" s="2059"/>
      <c r="CM45" s="2059"/>
      <c r="CN45" s="2059"/>
      <c r="CO45" s="2059"/>
      <c r="CP45" s="1576"/>
      <c r="CQ45" s="1576"/>
      <c r="CR45" s="1576"/>
      <c r="CS45" s="1576"/>
      <c r="CT45" s="1576"/>
      <c r="CU45" s="1576"/>
      <c r="CV45" s="1576"/>
      <c r="CW45" s="1576"/>
      <c r="CX45" s="1576"/>
      <c r="CY45" s="1576"/>
      <c r="CZ45" s="1576"/>
      <c r="DA45" s="1576"/>
      <c r="DB45" s="1576"/>
      <c r="DC45" s="1576"/>
      <c r="DD45" s="1576"/>
      <c r="DE45" s="1576"/>
      <c r="DF45" s="1576"/>
      <c r="DG45" s="1576"/>
      <c r="DH45" s="1576"/>
      <c r="DI45" s="1576"/>
      <c r="DJ45" s="1576"/>
      <c r="DK45" s="1576"/>
      <c r="DL45" s="1576"/>
      <c r="DM45" s="1576"/>
      <c r="DN45" s="1576"/>
      <c r="DO45" s="1576"/>
      <c r="DP45" s="1576"/>
      <c r="DQ45" s="1576"/>
      <c r="DR45" s="1576"/>
      <c r="DS45" s="1576"/>
      <c r="DT45" s="1576"/>
      <c r="DU45" s="1576"/>
      <c r="DV45" s="1576"/>
      <c r="DW45" s="1576"/>
      <c r="DX45" s="1576"/>
      <c r="DY45" s="1576"/>
      <c r="DZ45" s="1576"/>
      <c r="EA45" s="1576"/>
      <c r="EB45" s="1576"/>
      <c r="EC45" s="1576"/>
      <c r="ED45" s="1576"/>
      <c r="EE45" s="1576"/>
      <c r="EF45" s="1576"/>
      <c r="EG45" s="1576"/>
      <c r="EH45" s="1576"/>
      <c r="EI45" s="1576"/>
      <c r="EJ45" s="1576"/>
      <c r="EK45" s="1576"/>
      <c r="EL45" s="1576"/>
      <c r="EM45" s="1576"/>
      <c r="EN45" s="1576"/>
      <c r="EO45" s="1576"/>
      <c r="EP45" s="1576"/>
      <c r="EQ45" s="1576"/>
      <c r="ER45" s="1576"/>
      <c r="ES45" s="1576"/>
      <c r="ET45" s="1576"/>
      <c r="EU45" s="1576"/>
      <c r="EV45" s="1576"/>
      <c r="EW45" s="1576"/>
      <c r="EX45" s="1576"/>
      <c r="EY45" s="1576"/>
      <c r="EZ45" s="1576"/>
      <c r="FA45" s="1576"/>
      <c r="FB45" s="1576"/>
      <c r="FC45" s="1576"/>
      <c r="FD45" s="1576"/>
      <c r="FE45" s="1576"/>
      <c r="FF45" s="1576"/>
      <c r="FG45" s="1576"/>
      <c r="FH45" s="1576"/>
      <c r="FI45" s="1576"/>
      <c r="FJ45" s="1576"/>
      <c r="FK45" s="1576"/>
      <c r="FL45" s="1576"/>
      <c r="FM45" s="1576"/>
      <c r="FN45" s="1576"/>
      <c r="FO45" s="1576"/>
      <c r="FP45" s="1576"/>
      <c r="FQ45" s="1576"/>
      <c r="FR45" s="1576"/>
      <c r="FS45" s="1576"/>
      <c r="FT45" s="1576"/>
      <c r="FU45" s="1576"/>
      <c r="FV45" s="1576"/>
      <c r="FW45" s="1576"/>
      <c r="FX45" s="1576"/>
      <c r="FY45" s="1576"/>
      <c r="FZ45" s="1576"/>
      <c r="GA45" s="1576"/>
      <c r="GB45" s="1576"/>
      <c r="GC45" s="1576"/>
      <c r="GD45" s="1576"/>
      <c r="GE45" s="1576"/>
      <c r="GF45" s="1576"/>
      <c r="GG45" s="1576"/>
      <c r="GH45" s="1576"/>
      <c r="GI45" s="1576"/>
      <c r="GJ45" s="1576"/>
      <c r="GK45" s="1576"/>
      <c r="GL45" s="1576"/>
      <c r="GM45" s="1576"/>
      <c r="GN45" s="1576"/>
      <c r="GO45" s="1576"/>
      <c r="GP45" s="1576"/>
      <c r="GQ45" s="1576"/>
      <c r="GR45" s="1576"/>
      <c r="GS45" s="1576"/>
      <c r="GT45" s="1576"/>
      <c r="GU45" s="1576"/>
      <c r="GV45" s="1576"/>
      <c r="GW45" s="1576"/>
      <c r="GX45" s="1576"/>
      <c r="GY45" s="1576"/>
      <c r="GZ45" s="1576"/>
      <c r="HA45" s="1576"/>
      <c r="HB45" s="1576"/>
      <c r="HC45" s="1576"/>
      <c r="HD45" s="1576"/>
      <c r="HE45" s="1576"/>
      <c r="HF45" s="1576"/>
      <c r="HG45" s="1576"/>
      <c r="HH45" s="1576"/>
      <c r="HI45" s="1576"/>
      <c r="HJ45" s="1576"/>
      <c r="HK45" s="1576"/>
      <c r="HL45" s="1576"/>
      <c r="HM45" s="1576"/>
      <c r="HN45" s="1576"/>
      <c r="HO45" s="1576"/>
      <c r="HP45" s="1576"/>
      <c r="HQ45" s="1576"/>
      <c r="HR45" s="1576"/>
      <c r="HS45" s="1576"/>
      <c r="HT45" s="1576"/>
      <c r="HU45" s="1576"/>
      <c r="HV45" s="1576"/>
      <c r="HW45" s="1576"/>
      <c r="HX45" s="1576"/>
      <c r="HY45" s="1576"/>
      <c r="HZ45" s="1576"/>
      <c r="IA45" s="1576"/>
      <c r="IB45" s="1576"/>
      <c r="IC45" s="1576"/>
      <c r="ID45" s="1576"/>
      <c r="IE45" s="1576"/>
      <c r="IF45" s="1576"/>
      <c r="IG45" s="1576"/>
      <c r="IH45" s="1576"/>
      <c r="II45" s="1576"/>
      <c r="IJ45" s="1576"/>
      <c r="IK45" s="1576"/>
      <c r="IL45" s="1576"/>
      <c r="IM45" s="1576"/>
      <c r="IN45" s="1576"/>
      <c r="IO45" s="1576"/>
      <c r="IP45" s="1576"/>
      <c r="IQ45" s="1576"/>
      <c r="IR45" s="1576"/>
      <c r="IS45" s="1576"/>
      <c r="IT45" s="1576"/>
      <c r="IU45" s="1576"/>
      <c r="IV45" s="1576"/>
      <c r="IW45" s="1576"/>
      <c r="IX45" s="1576"/>
      <c r="IY45" s="1576"/>
      <c r="IZ45" s="1576"/>
      <c r="JA45" s="2054"/>
      <c r="JB45" s="2054"/>
      <c r="JC45" s="2054"/>
      <c r="JD45" s="2054"/>
      <c r="JE45" s="2054"/>
      <c r="JF45" s="2054"/>
      <c r="JG45" s="2054"/>
      <c r="JH45" s="2054"/>
      <c r="JI45" s="2054"/>
      <c r="JJ45" s="2054"/>
      <c r="JK45" s="2054"/>
      <c r="JL45" s="2054"/>
      <c r="JM45" s="2054"/>
      <c r="JN45" s="2054"/>
      <c r="JO45" s="2054"/>
      <c r="JP45" s="2054"/>
      <c r="JQ45" s="2054"/>
      <c r="JR45" s="1576"/>
      <c r="JS45" s="1576"/>
      <c r="JT45" s="1576"/>
      <c r="JU45" s="1576"/>
      <c r="JV45" s="1576"/>
      <c r="JW45" s="1576"/>
      <c r="JX45" s="1576"/>
      <c r="JY45" s="1576"/>
      <c r="JZ45" s="1576"/>
      <c r="KA45" s="1576"/>
      <c r="KB45" s="1576"/>
      <c r="KC45" s="1576"/>
      <c r="KD45" s="1576"/>
      <c r="KE45" s="1576"/>
      <c r="KF45" s="1576"/>
      <c r="KG45" s="1576"/>
      <c r="KH45" s="1576"/>
      <c r="KI45" s="1576"/>
      <c r="KJ45" s="1576"/>
      <c r="KK45" s="1576"/>
      <c r="KL45" s="1576"/>
      <c r="KM45" s="1576"/>
      <c r="KN45" s="1576"/>
      <c r="KO45" s="1576"/>
      <c r="KP45" s="1576"/>
      <c r="KQ45" s="1576"/>
      <c r="KR45" s="1576"/>
      <c r="KS45" s="1576"/>
      <c r="KT45" s="1576"/>
      <c r="KU45" s="1576"/>
      <c r="KV45" s="1576"/>
      <c r="KW45" s="1576"/>
      <c r="KX45" s="1576"/>
      <c r="KY45" s="1576"/>
      <c r="KZ45" s="1576">
        <f>'Paso 1.1'!E42*Tiempos!$H$41</f>
        <v>38</v>
      </c>
      <c r="LA45" s="1576">
        <f>'Paso 1.1'!F42*Tiempos!$H$41</f>
        <v>38.014725279203773</v>
      </c>
      <c r="LB45" s="1576">
        <f>'Paso 1.1'!G42*Tiempos!$H$41</f>
        <v>38.029456264561432</v>
      </c>
      <c r="LC45" s="1576">
        <f>'Paso 1.1'!H42*Tiempos!$H$41</f>
        <v>38.04419295828415</v>
      </c>
      <c r="LD45" s="1576">
        <f>'Paso 1.1'!I42*Tiempos!$H$41</f>
        <v>38.058935362583966</v>
      </c>
      <c r="LE45" s="1576">
        <f>'Paso 1.1'!J42*Tiempos!$H$41</f>
        <v>38.073683479673768</v>
      </c>
      <c r="LF45" s="1576">
        <f>'Paso 1.1'!K42*Tiempos!$H$41</f>
        <v>38.088437311767301</v>
      </c>
      <c r="LG45" s="1576">
        <f>'Paso 1.1'!L42*Tiempos!$H$41</f>
        <v>38.103196861079176</v>
      </c>
      <c r="LH45" s="1576">
        <f>'Paso 1.1'!M42*Tiempos!$H$41</f>
        <v>38.117962129824853</v>
      </c>
      <c r="LI45" s="1576">
        <f>'Paso 1.1'!N42*Tiempos!$H$41</f>
        <v>38.132733120220657</v>
      </c>
      <c r="LJ45" s="1576">
        <f>'Paso 1.1'!O42*Tiempos!$H$41</f>
        <v>38.14750983448377</v>
      </c>
      <c r="LK45" s="1576">
        <f>'Paso 1.1'!P42*Tiempos!$H$41</f>
        <v>38.162292274832232</v>
      </c>
      <c r="LL45" s="1576">
        <f>'Paso 1.1'!Q42*Tiempos!$H$41</f>
        <v>38.17708044348494</v>
      </c>
      <c r="LM45" s="1576">
        <f>'Paso 1.1'!R42*Tiempos!$H$41</f>
        <v>38.191874342661656</v>
      </c>
      <c r="LN45" s="1576">
        <f>'Paso 1.1'!S42*Tiempos!$H$41</f>
        <v>38.206673974583005</v>
      </c>
      <c r="LO45" s="1576">
        <f>'Paso 1.1'!T42*Tiempos!$H$41</f>
        <v>38.221479341470463</v>
      </c>
      <c r="LP45" s="1576">
        <f>'Paso 1.1'!U42*Tiempos!$H$41</f>
        <v>38.236290445546366</v>
      </c>
      <c r="LQ45" s="1576"/>
      <c r="LR45" s="1576"/>
      <c r="LS45" s="1576"/>
      <c r="LT45" s="1576"/>
      <c r="LU45" s="1576"/>
      <c r="LV45" s="1576"/>
      <c r="LW45" s="1576"/>
      <c r="LX45" s="1576"/>
      <c r="LY45" s="1576"/>
      <c r="LZ45" s="1576"/>
      <c r="MA45" s="1576"/>
      <c r="MB45" s="1576"/>
      <c r="MC45" s="1576"/>
      <c r="MD45" s="1576"/>
      <c r="ME45" s="1576"/>
      <c r="MF45" s="1576"/>
      <c r="MG45" s="1576"/>
      <c r="MH45" s="1576"/>
      <c r="MI45" s="1576"/>
      <c r="MJ45" s="1576"/>
      <c r="MK45" s="1576"/>
      <c r="ML45" s="1576"/>
      <c r="MM45" s="1576"/>
      <c r="MN45" s="1576"/>
      <c r="MO45" s="1576"/>
      <c r="MP45" s="1576"/>
      <c r="MQ45" s="1576"/>
      <c r="MR45" s="1576"/>
      <c r="MS45" s="1576"/>
      <c r="MT45" s="1576"/>
      <c r="MU45" s="1576"/>
      <c r="MV45" s="1576"/>
      <c r="MW45" s="1576"/>
      <c r="MX45" s="1576"/>
      <c r="MY45" s="1576">
        <f>'Paso 1.1'!E42*Tiempos!$L$41</f>
        <v>7.6000000000000005</v>
      </c>
      <c r="MZ45" s="1576">
        <f>'Paso 1.1'!F42*Tiempos!$L$41</f>
        <v>7.6029450558407552</v>
      </c>
      <c r="NA45" s="1576">
        <f>'Paso 1.1'!G42*Tiempos!$L$41</f>
        <v>7.6058912529122864</v>
      </c>
      <c r="NB45" s="1576">
        <f>'Paso 1.1'!H42*Tiempos!$L$41</f>
        <v>7.6088385916568306</v>
      </c>
      <c r="NC45" s="1576">
        <f>'Paso 1.1'!I42*Tiempos!$L$41</f>
        <v>7.611787072516794</v>
      </c>
      <c r="ND45" s="1576">
        <f>'Paso 1.1'!J42*Tiempos!$L$41</f>
        <v>7.614736695934754</v>
      </c>
      <c r="NE45" s="1576">
        <f>'Paso 1.1'!K42*Tiempos!$L$41</f>
        <v>7.6176874623534605</v>
      </c>
      <c r="NF45" s="1576">
        <f>'Paso 1.1'!L42*Tiempos!$L$41</f>
        <v>7.6206393722158356</v>
      </c>
      <c r="NG45" s="1576">
        <f>'Paso 1.1'!M42*Tiempos!$L$41</f>
        <v>7.6235924259649712</v>
      </c>
      <c r="NH45" s="1576">
        <f>'Paso 1.1'!N42*Tiempos!$L$41</f>
        <v>7.6265466240441313</v>
      </c>
      <c r="NI45" s="1576">
        <f>'Paso 1.1'!O42*Tiempos!$L$41</f>
        <v>7.6295019668967541</v>
      </c>
      <c r="NJ45" s="1576">
        <f>'Paso 1.1'!P42*Tiempos!$L$41</f>
        <v>7.6324584549664465</v>
      </c>
      <c r="NK45" s="1576">
        <f>'Paso 1.1'!Q42*Tiempos!$L$41</f>
        <v>7.6354160886969886</v>
      </c>
      <c r="NL45" s="1576">
        <f>'Paso 1.1'!R42*Tiempos!$L$41</f>
        <v>7.6383748685323312</v>
      </c>
      <c r="NM45" s="1576">
        <f>'Paso 1.1'!S42*Tiempos!$L$41</f>
        <v>7.6413347949166015</v>
      </c>
      <c r="NN45" s="1576">
        <f>'Paso 1.1'!T42*Tiempos!$L$41</f>
        <v>7.6442958682940931</v>
      </c>
      <c r="NO45" s="1576">
        <f>'Paso 1.1'!U42*Tiempos!$L$41</f>
        <v>7.6472580891092736</v>
      </c>
      <c r="NP45" s="1576"/>
      <c r="NQ45" s="1576"/>
      <c r="NR45" s="1576"/>
      <c r="NS45" s="1576"/>
      <c r="NT45" s="1576"/>
      <c r="NU45" s="1576"/>
      <c r="NV45" s="1576"/>
      <c r="NW45" s="1576"/>
      <c r="NX45" s="1576"/>
      <c r="NY45" s="1576"/>
      <c r="NZ45" s="1576"/>
      <c r="OA45" s="1576"/>
      <c r="OB45" s="1576"/>
      <c r="OC45" s="1576"/>
      <c r="OD45" s="1576"/>
      <c r="OE45" s="1576"/>
      <c r="OF45" s="1576"/>
      <c r="OG45" s="1576"/>
      <c r="OH45" s="1576"/>
      <c r="OI45" s="1576"/>
      <c r="OJ45" s="1576"/>
      <c r="OK45" s="1576"/>
      <c r="OL45" s="1576"/>
      <c r="OM45" s="1576"/>
      <c r="ON45" s="1576"/>
      <c r="OO45" s="1576"/>
      <c r="OP45" s="1576"/>
      <c r="OQ45" s="1576"/>
      <c r="OR45" s="1576"/>
      <c r="OS45" s="1576"/>
      <c r="OT45" s="1576"/>
      <c r="OU45" s="1576"/>
      <c r="OV45" s="1576"/>
      <c r="OW45" s="1576"/>
      <c r="OX45" s="1576"/>
      <c r="OY45" s="1576"/>
      <c r="OZ45" s="1576"/>
      <c r="PA45" s="1576"/>
      <c r="PB45" s="1576"/>
      <c r="PC45" s="1576"/>
      <c r="PD45" s="1576"/>
      <c r="PE45" s="1576"/>
      <c r="PF45" s="1576"/>
      <c r="PG45" s="1576"/>
      <c r="PH45" s="1576"/>
      <c r="PI45" s="1576"/>
      <c r="PJ45" s="1576"/>
      <c r="PK45" s="1576"/>
      <c r="PL45" s="1576"/>
      <c r="PM45" s="1576"/>
      <c r="PN45" s="1576"/>
      <c r="PO45" s="1576"/>
      <c r="PP45" s="1576"/>
      <c r="PQ45" s="1576"/>
      <c r="PR45" s="1576"/>
      <c r="PS45" s="1576"/>
      <c r="PT45" s="1576"/>
      <c r="PU45" s="1576"/>
      <c r="PV45" s="1576"/>
      <c r="PW45" s="1576"/>
      <c r="PX45" s="1576"/>
      <c r="PY45" s="1576"/>
      <c r="PZ45" s="1576"/>
      <c r="QA45" s="1576"/>
      <c r="QB45" s="1576"/>
      <c r="QC45" s="1576"/>
      <c r="QD45" s="1576"/>
      <c r="QE45" s="1576"/>
      <c r="QF45" s="1576"/>
      <c r="QG45" s="1576"/>
      <c r="QH45" s="1576"/>
      <c r="QI45" s="1576"/>
      <c r="QJ45" s="1576"/>
      <c r="QK45" s="1576"/>
      <c r="QL45" s="1576"/>
      <c r="QM45" s="1576"/>
      <c r="QN45" s="1576"/>
      <c r="QO45" s="1576"/>
      <c r="QP45" s="1576"/>
      <c r="QQ45" s="1576"/>
      <c r="QR45" s="1576"/>
      <c r="QS45" s="1576"/>
      <c r="QT45" s="1576"/>
      <c r="QU45" s="1576"/>
      <c r="QV45" s="1576"/>
      <c r="QW45" s="1576"/>
      <c r="QX45" s="1576"/>
      <c r="QY45" s="1576"/>
      <c r="QZ45" s="1576"/>
      <c r="RA45" s="1576"/>
      <c r="RB45" s="1576"/>
      <c r="RC45" s="1576"/>
      <c r="RD45" s="1576"/>
      <c r="RE45" s="1576"/>
      <c r="RF45" s="1576"/>
      <c r="RG45" s="1576"/>
      <c r="RH45" s="1576"/>
      <c r="RI45" s="1576"/>
      <c r="RJ45" s="1576"/>
      <c r="RK45" s="1576"/>
      <c r="RL45" s="1576"/>
      <c r="RM45" s="1576"/>
      <c r="RN45" s="1576"/>
      <c r="RO45" s="1576"/>
      <c r="RP45" s="1576"/>
      <c r="RQ45" s="1576"/>
      <c r="RR45" s="1576"/>
      <c r="RS45" s="1576"/>
      <c r="RT45" s="1576"/>
      <c r="RU45" s="1576"/>
      <c r="RV45" s="1576"/>
      <c r="RW45" s="1576"/>
      <c r="RX45" s="1576"/>
      <c r="RY45" s="1576"/>
      <c r="RZ45" s="1576"/>
      <c r="SA45" s="1576"/>
      <c r="SB45" s="1576"/>
      <c r="SC45" s="1576"/>
      <c r="SD45" s="1576"/>
      <c r="SE45" s="1576"/>
      <c r="SF45" s="1576"/>
      <c r="SG45" s="1576"/>
      <c r="SH45" s="1576"/>
      <c r="SI45" s="1576"/>
      <c r="SJ45" s="1576"/>
      <c r="SK45" s="1576"/>
      <c r="SL45" s="1576"/>
      <c r="SM45" s="1576"/>
      <c r="SN45" s="1576"/>
      <c r="SO45" s="1576"/>
      <c r="SP45" s="1576"/>
      <c r="SQ45" s="1576"/>
      <c r="SR45" s="1576"/>
      <c r="SS45" s="1576"/>
      <c r="ST45" s="1576"/>
      <c r="SU45" s="1576"/>
      <c r="SV45" s="1576"/>
      <c r="SW45" s="1576"/>
      <c r="SX45" s="1576"/>
      <c r="SY45" s="1576"/>
      <c r="SZ45" s="1576"/>
      <c r="TA45" s="1576"/>
      <c r="TB45" s="1576"/>
      <c r="TC45" s="1576"/>
      <c r="TD45" s="1576"/>
      <c r="TE45" s="1576"/>
      <c r="TF45" s="1576"/>
      <c r="TG45" s="1576"/>
      <c r="TH45" s="1576"/>
      <c r="TI45" s="1576"/>
      <c r="TJ45" s="1576"/>
      <c r="TK45" s="1576"/>
      <c r="TL45" s="1576"/>
      <c r="TM45" s="1576"/>
      <c r="TN45" s="1576"/>
      <c r="TO45" s="1576"/>
      <c r="TP45" s="1576"/>
      <c r="TQ45" s="1576"/>
      <c r="TR45" s="1576"/>
      <c r="TS45" s="1576"/>
      <c r="TT45" s="1576"/>
      <c r="TU45" s="1576"/>
      <c r="TV45" s="1576"/>
      <c r="TW45" s="1576"/>
      <c r="TX45" s="1576"/>
      <c r="TY45" s="1576"/>
      <c r="TZ45" s="1576"/>
      <c r="UA45" s="1576"/>
      <c r="UB45" s="1576"/>
      <c r="UC45" s="1576"/>
      <c r="UD45" s="1576"/>
      <c r="UE45" s="1576"/>
      <c r="UF45" s="1576"/>
      <c r="UG45" s="1576"/>
      <c r="UH45" s="1576"/>
      <c r="UI45" s="1576"/>
      <c r="UJ45" s="1576"/>
      <c r="UK45" s="1576"/>
      <c r="UL45" s="1576"/>
      <c r="UM45" s="1576"/>
      <c r="UN45" s="1576"/>
      <c r="UO45" s="1576"/>
      <c r="UP45" s="1576"/>
      <c r="UQ45" s="1576"/>
      <c r="UR45" s="1576"/>
      <c r="US45" s="1576"/>
      <c r="UT45" s="1576"/>
      <c r="UU45" s="1576"/>
      <c r="UV45" s="1576"/>
      <c r="UW45" s="1576"/>
      <c r="UX45" s="1576"/>
      <c r="UY45" s="1576"/>
      <c r="UZ45" s="1576"/>
      <c r="VA45" s="1576"/>
      <c r="VB45" s="1576"/>
      <c r="VC45" s="1576"/>
      <c r="VD45" s="1576"/>
      <c r="VE45" s="1576"/>
      <c r="VF45" s="1576"/>
      <c r="VG45" s="1576"/>
      <c r="VH45" s="1576"/>
      <c r="VI45" s="1576"/>
      <c r="VJ45" s="1576"/>
      <c r="VK45" s="1576"/>
    </row>
    <row r="46" spans="1:583" ht="26.25" customHeight="1" x14ac:dyDescent="0.25">
      <c r="B46" s="4710" t="s">
        <v>629</v>
      </c>
      <c r="C46" s="4710" t="s">
        <v>2097</v>
      </c>
      <c r="D46" s="4710" t="s">
        <v>2099</v>
      </c>
      <c r="E46" s="4710"/>
      <c r="F46" s="2057"/>
      <c r="G46" s="2057"/>
      <c r="H46" s="2057"/>
      <c r="I46" s="2058"/>
      <c r="J46" s="2058"/>
      <c r="K46" s="2058"/>
      <c r="L46" s="2058"/>
      <c r="M46" s="2058"/>
      <c r="N46" s="2058"/>
      <c r="O46" s="2058"/>
      <c r="P46" s="2058"/>
      <c r="Q46" s="2058"/>
      <c r="R46" s="2058"/>
      <c r="S46" s="2058"/>
      <c r="T46" s="2058"/>
      <c r="U46" s="2058"/>
      <c r="V46" s="2058"/>
      <c r="W46" s="2059"/>
      <c r="X46" s="2059"/>
      <c r="Y46" s="2059"/>
      <c r="Z46" s="2059"/>
      <c r="AA46" s="2059"/>
      <c r="AB46" s="2059"/>
      <c r="AC46" s="2059"/>
      <c r="AD46" s="2059"/>
      <c r="AE46" s="2059"/>
      <c r="AF46" s="2059"/>
      <c r="AG46" s="2059"/>
      <c r="AH46" s="2059"/>
      <c r="AI46" s="2059"/>
      <c r="AJ46" s="2059"/>
      <c r="AK46" s="2059"/>
      <c r="AL46" s="2059"/>
      <c r="AM46" s="2059"/>
      <c r="AN46" s="2059"/>
      <c r="AO46" s="2059"/>
      <c r="AP46" s="2059"/>
      <c r="AQ46" s="2059"/>
      <c r="AR46" s="2059"/>
      <c r="AS46" s="2059"/>
      <c r="AT46" s="2059"/>
      <c r="AU46" s="2059"/>
      <c r="AV46" s="2059"/>
      <c r="AW46" s="2059"/>
      <c r="AX46" s="2059"/>
      <c r="AY46" s="2059"/>
      <c r="AZ46" s="2059"/>
      <c r="BA46" s="2059"/>
      <c r="BB46" s="2059"/>
      <c r="BC46" s="2059"/>
      <c r="BD46" s="2059"/>
      <c r="BE46" s="2059"/>
      <c r="BF46" s="2059"/>
      <c r="BG46" s="2059"/>
      <c r="BH46" s="2059"/>
      <c r="BI46" s="2059"/>
      <c r="BJ46" s="2059"/>
      <c r="BK46" s="2059"/>
      <c r="BL46" s="2059"/>
      <c r="BM46" s="2059"/>
      <c r="BN46" s="2059"/>
      <c r="BO46" s="2059"/>
      <c r="BP46" s="2059"/>
      <c r="BQ46" s="2059"/>
      <c r="BR46" s="2059"/>
      <c r="BS46" s="2059"/>
      <c r="BT46" s="2059"/>
      <c r="BU46" s="2059"/>
      <c r="BV46" s="2059"/>
      <c r="BW46" s="2059"/>
      <c r="BX46" s="2059"/>
      <c r="BY46" s="2059"/>
      <c r="BZ46" s="2059"/>
      <c r="CA46" s="2059"/>
      <c r="CB46" s="2059"/>
      <c r="CC46" s="2059"/>
      <c r="CD46" s="2059"/>
      <c r="CE46" s="2059"/>
      <c r="CF46" s="2059"/>
      <c r="CG46" s="2059"/>
      <c r="CH46" s="2059"/>
      <c r="CI46" s="2059"/>
      <c r="CJ46" s="2059"/>
      <c r="CK46" s="2059"/>
      <c r="CL46" s="2059"/>
      <c r="CM46" s="2059"/>
      <c r="CN46" s="2059"/>
      <c r="CO46" s="2059"/>
      <c r="CP46" s="1576"/>
      <c r="CQ46" s="1576"/>
      <c r="CR46" s="1576"/>
      <c r="CS46" s="1576"/>
      <c r="CT46" s="1576"/>
      <c r="CU46" s="1576"/>
      <c r="CV46" s="1576"/>
      <c r="CW46" s="1576"/>
      <c r="CX46" s="1576"/>
      <c r="CY46" s="1576"/>
      <c r="CZ46" s="1576"/>
      <c r="DA46" s="1576"/>
      <c r="DB46" s="1576"/>
      <c r="DC46" s="1576"/>
      <c r="DD46" s="1576"/>
      <c r="DE46" s="1576"/>
      <c r="DF46" s="1576"/>
      <c r="DG46" s="1576"/>
      <c r="DH46" s="1576"/>
      <c r="DI46" s="1576"/>
      <c r="DJ46" s="1576"/>
      <c r="DK46" s="1576"/>
      <c r="DL46" s="1576"/>
      <c r="DM46" s="1576"/>
      <c r="DN46" s="1576"/>
      <c r="DO46" s="1576"/>
      <c r="DP46" s="1576"/>
      <c r="DQ46" s="1576"/>
      <c r="DR46" s="1576"/>
      <c r="DS46" s="1576"/>
      <c r="DT46" s="1576"/>
      <c r="DU46" s="1576"/>
      <c r="DV46" s="1576"/>
      <c r="DW46" s="1576"/>
      <c r="DX46" s="1576"/>
      <c r="DY46" s="1576"/>
      <c r="DZ46" s="1576"/>
      <c r="EA46" s="1576"/>
      <c r="EB46" s="1576"/>
      <c r="EC46" s="1576"/>
      <c r="ED46" s="1576"/>
      <c r="EE46" s="1576"/>
      <c r="EF46" s="1576"/>
      <c r="EG46" s="1576"/>
      <c r="EH46" s="1576"/>
      <c r="EI46" s="1576"/>
      <c r="EJ46" s="1576"/>
      <c r="EK46" s="1576"/>
      <c r="EL46" s="1576"/>
      <c r="EM46" s="1576"/>
      <c r="EN46" s="1576"/>
      <c r="EO46" s="1576"/>
      <c r="EP46" s="1576"/>
      <c r="EQ46" s="1576"/>
      <c r="ER46" s="1576"/>
      <c r="ES46" s="1576"/>
      <c r="ET46" s="1576"/>
      <c r="EU46" s="1576"/>
      <c r="EV46" s="1576"/>
      <c r="EW46" s="1576"/>
      <c r="EX46" s="1576"/>
      <c r="EY46" s="1576"/>
      <c r="EZ46" s="1576"/>
      <c r="FA46" s="1576"/>
      <c r="FB46" s="1576"/>
      <c r="FC46" s="1576"/>
      <c r="FD46" s="1576"/>
      <c r="FE46" s="1576"/>
      <c r="FF46" s="1576"/>
      <c r="FG46" s="1576"/>
      <c r="FH46" s="1576"/>
      <c r="FI46" s="1576"/>
      <c r="FJ46" s="1576"/>
      <c r="FK46" s="1576"/>
      <c r="FL46" s="1576"/>
      <c r="FM46" s="1576"/>
      <c r="FN46" s="1576"/>
      <c r="FO46" s="1576"/>
      <c r="FP46" s="1576"/>
      <c r="FQ46" s="1576"/>
      <c r="FR46" s="1576"/>
      <c r="FS46" s="1576"/>
      <c r="FT46" s="1576"/>
      <c r="FU46" s="1576"/>
      <c r="FV46" s="1576"/>
      <c r="FW46" s="1576"/>
      <c r="FX46" s="1576"/>
      <c r="FY46" s="1576"/>
      <c r="FZ46" s="1576"/>
      <c r="GA46" s="1576"/>
      <c r="GB46" s="1576"/>
      <c r="GC46" s="1576"/>
      <c r="GD46" s="1576"/>
      <c r="GE46" s="1576"/>
      <c r="GF46" s="1576"/>
      <c r="GG46" s="1576"/>
      <c r="GH46" s="1576"/>
      <c r="GI46" s="1576"/>
      <c r="GJ46" s="1576"/>
      <c r="GK46" s="1576"/>
      <c r="GL46" s="1576"/>
      <c r="GM46" s="1576"/>
      <c r="GN46" s="1576"/>
      <c r="GO46" s="1576"/>
      <c r="GP46" s="1576"/>
      <c r="GQ46" s="1576"/>
      <c r="GR46" s="1576"/>
      <c r="GS46" s="1576"/>
      <c r="GT46" s="1576"/>
      <c r="GU46" s="1576"/>
      <c r="GV46" s="1576"/>
      <c r="GW46" s="1576"/>
      <c r="GX46" s="1576"/>
      <c r="GY46" s="1576"/>
      <c r="GZ46" s="1576"/>
      <c r="HA46" s="1576"/>
      <c r="HB46" s="1576"/>
      <c r="HC46" s="1576"/>
      <c r="HD46" s="1576"/>
      <c r="HE46" s="1576"/>
      <c r="HF46" s="1576"/>
      <c r="HG46" s="1576"/>
      <c r="HH46" s="1576"/>
      <c r="HI46" s="1576"/>
      <c r="HJ46" s="1576"/>
      <c r="HK46" s="1576"/>
      <c r="HL46" s="1576"/>
      <c r="HM46" s="1576"/>
      <c r="HN46" s="1576"/>
      <c r="HO46" s="1576"/>
      <c r="HP46" s="1576"/>
      <c r="HQ46" s="1576"/>
      <c r="HR46" s="1576"/>
      <c r="HS46" s="1576"/>
      <c r="HT46" s="1576"/>
      <c r="HU46" s="1576"/>
      <c r="HV46" s="1576"/>
      <c r="HW46" s="1576"/>
      <c r="HX46" s="1576"/>
      <c r="HY46" s="1576"/>
      <c r="HZ46" s="1576"/>
      <c r="IA46" s="1576"/>
      <c r="IB46" s="1576"/>
      <c r="IC46" s="1576"/>
      <c r="ID46" s="1576"/>
      <c r="IE46" s="1576"/>
      <c r="IF46" s="1576"/>
      <c r="IG46" s="1576"/>
      <c r="IH46" s="1576"/>
      <c r="II46" s="1576"/>
      <c r="IJ46" s="1576"/>
      <c r="IK46" s="1576"/>
      <c r="IL46" s="1576"/>
      <c r="IM46" s="1576"/>
      <c r="IN46" s="1576"/>
      <c r="IO46" s="1576"/>
      <c r="IP46" s="1576"/>
      <c r="IQ46" s="1576"/>
      <c r="IR46" s="1576"/>
      <c r="IS46" s="1576"/>
      <c r="IT46" s="1576"/>
      <c r="IU46" s="1576"/>
      <c r="IV46" s="1576"/>
      <c r="IW46" s="1576"/>
      <c r="IX46" s="1576"/>
      <c r="IY46" s="1576"/>
      <c r="IZ46" s="1576"/>
      <c r="JA46" s="2054"/>
      <c r="JB46" s="2054"/>
      <c r="JC46" s="2054"/>
      <c r="JD46" s="2054"/>
      <c r="JE46" s="2054"/>
      <c r="JF46" s="2054"/>
      <c r="JG46" s="2054"/>
      <c r="JH46" s="2054"/>
      <c r="JI46" s="2054"/>
      <c r="JJ46" s="2054"/>
      <c r="JK46" s="2054"/>
      <c r="JL46" s="2054"/>
      <c r="JM46" s="2054"/>
      <c r="JN46" s="2054"/>
      <c r="JO46" s="2054"/>
      <c r="JP46" s="2054"/>
      <c r="JQ46" s="2054"/>
      <c r="JR46" s="1576"/>
      <c r="JS46" s="1576"/>
      <c r="JT46" s="1576"/>
      <c r="JU46" s="1576"/>
      <c r="JV46" s="1576"/>
      <c r="JW46" s="1576"/>
      <c r="JX46" s="1576"/>
      <c r="JY46" s="1576"/>
      <c r="JZ46" s="1576"/>
      <c r="KA46" s="1576"/>
      <c r="KB46" s="1576"/>
      <c r="KC46" s="1576"/>
      <c r="KD46" s="1576"/>
      <c r="KE46" s="1576"/>
      <c r="KF46" s="1576"/>
      <c r="KG46" s="1576"/>
      <c r="KH46" s="1576"/>
      <c r="KI46" s="1576">
        <f>'Paso 1.1'!E43*Tiempos!$H$42</f>
        <v>142.5</v>
      </c>
      <c r="KJ46" s="1576">
        <f>'Paso 1.1'!F43*Tiempos!$H$42</f>
        <v>142.55521979701416</v>
      </c>
      <c r="KK46" s="1576">
        <f>'Paso 1.1'!G43*Tiempos!$H$42</f>
        <v>142.61046099210537</v>
      </c>
      <c r="KL46" s="1576">
        <f>'Paso 1.1'!H43*Tiempos!$H$42</f>
        <v>142.66572359356556</v>
      </c>
      <c r="KM46" s="1576">
        <f>'Paso 1.1'!I43*Tiempos!$H$42</f>
        <v>142.72100760968988</v>
      </c>
      <c r="KN46" s="1576">
        <f>'Paso 1.1'!J43*Tiempos!$H$42</f>
        <v>142.77631304877664</v>
      </c>
      <c r="KO46" s="1576">
        <f>'Paso 1.1'!K43*Tiempos!$H$42</f>
        <v>142.83163991912738</v>
      </c>
      <c r="KP46" s="1576">
        <f>'Paso 1.1'!L43*Tiempos!$H$42</f>
        <v>142.88698822904692</v>
      </c>
      <c r="KQ46" s="1576">
        <f>'Paso 1.1'!M43*Tiempos!$H$42</f>
        <v>142.94235798684321</v>
      </c>
      <c r="KR46" s="1576">
        <f>'Paso 1.1'!N43*Tiempos!$H$42</f>
        <v>142.99774920082749</v>
      </c>
      <c r="KS46" s="1576">
        <f>'Paso 1.1'!O43*Tiempos!$H$42</f>
        <v>143.05316187931416</v>
      </c>
      <c r="KT46" s="1576">
        <f>'Paso 1.1'!P43*Tiempos!$H$42</f>
        <v>143.10859603062087</v>
      </c>
      <c r="KU46" s="1576">
        <f>'Paso 1.1'!Q43*Tiempos!$H$42</f>
        <v>143.16405166306853</v>
      </c>
      <c r="KV46" s="1576">
        <f>'Paso 1.1'!R43*Tiempos!$H$42</f>
        <v>143.21952878498121</v>
      </c>
      <c r="KW46" s="1576">
        <f>'Paso 1.1'!S43*Tiempos!$H$42</f>
        <v>143.27502740468628</v>
      </c>
      <c r="KX46" s="1576">
        <f>'Paso 1.1'!T43*Tiempos!$H$42</f>
        <v>143.33054753051425</v>
      </c>
      <c r="KY46" s="1576">
        <f>'Paso 1.1'!U43*Tiempos!$H$42</f>
        <v>143.3860891707989</v>
      </c>
      <c r="KZ46" s="1576"/>
      <c r="LA46" s="1576"/>
      <c r="LB46" s="1576"/>
      <c r="LC46" s="1576"/>
      <c r="LD46" s="1576"/>
      <c r="LE46" s="1576"/>
      <c r="LF46" s="1576"/>
      <c r="LG46" s="1576"/>
      <c r="LH46" s="1576"/>
      <c r="LI46" s="1576"/>
      <c r="LJ46" s="1576"/>
      <c r="LK46" s="1576"/>
      <c r="LL46" s="1576"/>
      <c r="LM46" s="1576"/>
      <c r="LN46" s="1576"/>
      <c r="LO46" s="1576"/>
      <c r="LP46" s="1576"/>
      <c r="LQ46" s="1576"/>
      <c r="LR46" s="1576"/>
      <c r="LS46" s="1576"/>
      <c r="LT46" s="1576"/>
      <c r="LU46" s="1576"/>
      <c r="LV46" s="1576"/>
      <c r="LW46" s="1576"/>
      <c r="LX46" s="1576"/>
      <c r="LY46" s="1576"/>
      <c r="LZ46" s="1576"/>
      <c r="MA46" s="1576"/>
      <c r="MB46" s="1576"/>
      <c r="MC46" s="1576"/>
      <c r="MD46" s="1576"/>
      <c r="ME46" s="1576"/>
      <c r="MF46" s="1576"/>
      <c r="MG46" s="1576"/>
      <c r="MH46" s="1576"/>
      <c r="MI46" s="1576"/>
      <c r="MJ46" s="1576"/>
      <c r="MK46" s="1576"/>
      <c r="ML46" s="1576"/>
      <c r="MM46" s="1576"/>
      <c r="MN46" s="1576"/>
      <c r="MO46" s="1576"/>
      <c r="MP46" s="1576"/>
      <c r="MQ46" s="1576"/>
      <c r="MR46" s="1576"/>
      <c r="MS46" s="1576"/>
      <c r="MT46" s="1576"/>
      <c r="MU46" s="1576"/>
      <c r="MV46" s="1576"/>
      <c r="MW46" s="1576"/>
      <c r="MX46" s="1576"/>
      <c r="MY46" s="1576">
        <f>'Paso 1.1'!E43*Tiempos!$L$42</f>
        <v>28.5</v>
      </c>
      <c r="MZ46" s="1576">
        <f>'Paso 1.1'!F43*Tiempos!$L$42</f>
        <v>28.51104395940283</v>
      </c>
      <c r="NA46" s="1576">
        <f>'Paso 1.1'!G43*Tiempos!$L$42</f>
        <v>28.52209219842107</v>
      </c>
      <c r="NB46" s="1576">
        <f>'Paso 1.1'!H43*Tiempos!$L$42</f>
        <v>28.53314471871311</v>
      </c>
      <c r="NC46" s="1576">
        <f>'Paso 1.1'!I43*Tiempos!$L$42</f>
        <v>28.544201521937971</v>
      </c>
      <c r="ND46" s="1576">
        <f>'Paso 1.1'!J43*Tiempos!$L$42</f>
        <v>28.555262609755324</v>
      </c>
      <c r="NE46" s="1576">
        <f>'Paso 1.1'!K43*Tiempos!$L$42</f>
        <v>28.566327983825474</v>
      </c>
      <c r="NF46" s="1576">
        <f>'Paso 1.1'!L43*Tiempos!$L$42</f>
        <v>28.577397645809384</v>
      </c>
      <c r="NG46" s="1576">
        <f>'Paso 1.1'!M43*Tiempos!$L$42</f>
        <v>28.588471597368638</v>
      </c>
      <c r="NH46" s="1576">
        <f>'Paso 1.1'!N43*Tiempos!$L$42</f>
        <v>28.599549840165494</v>
      </c>
      <c r="NI46" s="1576">
        <f>'Paso 1.1'!O43*Tiempos!$L$42</f>
        <v>28.610632375862828</v>
      </c>
      <c r="NJ46" s="1576">
        <f>'Paso 1.1'!P43*Tiempos!$L$42</f>
        <v>28.621719206124173</v>
      </c>
      <c r="NK46" s="1576">
        <f>'Paso 1.1'!Q43*Tiempos!$L$42</f>
        <v>28.632810332613705</v>
      </c>
      <c r="NL46" s="1576">
        <f>'Paso 1.1'!R43*Tiempos!$L$42</f>
        <v>28.64390575699624</v>
      </c>
      <c r="NM46" s="1576">
        <f>'Paso 1.1'!S43*Tiempos!$L$42</f>
        <v>28.655005480937252</v>
      </c>
      <c r="NN46" s="1576">
        <f>'Paso 1.1'!T43*Tiempos!$L$42</f>
        <v>28.666109506102845</v>
      </c>
      <c r="NO46" s="1576">
        <f>'Paso 1.1'!U43*Tiempos!$L$42</f>
        <v>28.677217834159777</v>
      </c>
      <c r="NP46" s="1576"/>
      <c r="NQ46" s="1576"/>
      <c r="NR46" s="1576"/>
      <c r="NS46" s="1576"/>
      <c r="NT46" s="1576"/>
      <c r="NU46" s="1576"/>
      <c r="NV46" s="1576"/>
      <c r="NW46" s="1576"/>
      <c r="NX46" s="1576"/>
      <c r="NY46" s="1576"/>
      <c r="NZ46" s="1576"/>
      <c r="OA46" s="1576"/>
      <c r="OB46" s="1576"/>
      <c r="OC46" s="1576"/>
      <c r="OD46" s="1576"/>
      <c r="OE46" s="1576"/>
      <c r="OF46" s="1576"/>
      <c r="OG46" s="1576"/>
      <c r="OH46" s="1576"/>
      <c r="OI46" s="1576"/>
      <c r="OJ46" s="1576"/>
      <c r="OK46" s="1576"/>
      <c r="OL46" s="1576"/>
      <c r="OM46" s="1576"/>
      <c r="ON46" s="1576"/>
      <c r="OO46" s="1576"/>
      <c r="OP46" s="1576"/>
      <c r="OQ46" s="1576"/>
      <c r="OR46" s="1576"/>
      <c r="OS46" s="1576"/>
      <c r="OT46" s="1576"/>
      <c r="OU46" s="1576"/>
      <c r="OV46" s="1576"/>
      <c r="OW46" s="1576"/>
      <c r="OX46" s="1576"/>
      <c r="OY46" s="1576"/>
      <c r="OZ46" s="1576"/>
      <c r="PA46" s="1576"/>
      <c r="PB46" s="1576"/>
      <c r="PC46" s="1576"/>
      <c r="PD46" s="1576"/>
      <c r="PE46" s="1576"/>
      <c r="PF46" s="1576"/>
      <c r="PG46" s="1576"/>
      <c r="PH46" s="1576"/>
      <c r="PI46" s="1576"/>
      <c r="PJ46" s="1576"/>
      <c r="PK46" s="1576"/>
      <c r="PL46" s="1576"/>
      <c r="PM46" s="1576"/>
      <c r="PN46" s="1576"/>
      <c r="PO46" s="1576"/>
      <c r="PP46" s="1576"/>
      <c r="PQ46" s="1576"/>
      <c r="PR46" s="1576"/>
      <c r="PS46" s="1576"/>
      <c r="PT46" s="1576"/>
      <c r="PU46" s="1576"/>
      <c r="PV46" s="1576"/>
      <c r="PW46" s="1576"/>
      <c r="PX46" s="1576"/>
      <c r="PY46" s="1576"/>
      <c r="PZ46" s="1576"/>
      <c r="QA46" s="1576"/>
      <c r="QB46" s="1576"/>
      <c r="QC46" s="1576"/>
      <c r="QD46" s="1576"/>
      <c r="QE46" s="1576"/>
      <c r="QF46" s="1576"/>
      <c r="QG46" s="1576"/>
      <c r="QH46" s="1576"/>
      <c r="QI46" s="1576"/>
      <c r="QJ46" s="1576"/>
      <c r="QK46" s="1576"/>
      <c r="QL46" s="1576"/>
      <c r="QM46" s="1576"/>
      <c r="QN46" s="1576"/>
      <c r="QO46" s="1576"/>
      <c r="QP46" s="1576"/>
      <c r="QQ46" s="1576"/>
      <c r="QR46" s="1576"/>
      <c r="QS46" s="1576"/>
      <c r="QT46" s="1576"/>
      <c r="QU46" s="1576"/>
      <c r="QV46" s="1576"/>
      <c r="QW46" s="1576"/>
      <c r="QX46" s="1576"/>
      <c r="QY46" s="1576"/>
      <c r="QZ46" s="1576"/>
      <c r="RA46" s="1576"/>
      <c r="RB46" s="1576"/>
      <c r="RC46" s="1576"/>
      <c r="RD46" s="1576"/>
      <c r="RE46" s="1576"/>
      <c r="RF46" s="1576"/>
      <c r="RG46" s="1576"/>
      <c r="RH46" s="1576"/>
      <c r="RI46" s="1576"/>
      <c r="RJ46" s="1576"/>
      <c r="RK46" s="1576"/>
      <c r="RL46" s="1576"/>
      <c r="RM46" s="1576"/>
      <c r="RN46" s="1576"/>
      <c r="RO46" s="1576"/>
      <c r="RP46" s="1576"/>
      <c r="RQ46" s="1576"/>
      <c r="RR46" s="1576"/>
      <c r="RS46" s="1576"/>
      <c r="RT46" s="1576"/>
      <c r="RU46" s="1576"/>
      <c r="RV46" s="1576"/>
      <c r="RW46" s="1576"/>
      <c r="RX46" s="1576"/>
      <c r="RY46" s="1576"/>
      <c r="RZ46" s="1576"/>
      <c r="SA46" s="1576"/>
      <c r="SB46" s="1576"/>
      <c r="SC46" s="1576"/>
      <c r="SD46" s="1576"/>
      <c r="SE46" s="1576"/>
      <c r="SF46" s="1576"/>
      <c r="SG46" s="1576"/>
      <c r="SH46" s="1576"/>
      <c r="SI46" s="1576"/>
      <c r="SJ46" s="1576"/>
      <c r="SK46" s="1576"/>
      <c r="SL46" s="1576"/>
      <c r="SM46" s="1576"/>
      <c r="SN46" s="1576"/>
      <c r="SO46" s="1576"/>
      <c r="SP46" s="1576"/>
      <c r="SQ46" s="1576"/>
      <c r="SR46" s="1576"/>
      <c r="SS46" s="1576"/>
      <c r="ST46" s="1576"/>
      <c r="SU46" s="1576"/>
      <c r="SV46" s="1576"/>
      <c r="SW46" s="1576"/>
      <c r="SX46" s="1576"/>
      <c r="SY46" s="1576"/>
      <c r="SZ46" s="1576"/>
      <c r="TA46" s="1576"/>
      <c r="TB46" s="1576"/>
      <c r="TC46" s="1576"/>
      <c r="TD46" s="1576"/>
      <c r="TE46" s="1576"/>
      <c r="TF46" s="1576"/>
      <c r="TG46" s="1576"/>
      <c r="TH46" s="1576"/>
      <c r="TI46" s="1576"/>
      <c r="TJ46" s="1576"/>
      <c r="TK46" s="1576"/>
      <c r="TL46" s="1576"/>
      <c r="TM46" s="1576"/>
      <c r="TN46" s="1576"/>
      <c r="TO46" s="1576"/>
      <c r="TP46" s="1576"/>
      <c r="TQ46" s="1576"/>
      <c r="TR46" s="1576"/>
      <c r="TS46" s="1576"/>
      <c r="TT46" s="1576"/>
      <c r="TU46" s="1576"/>
      <c r="TV46" s="1576"/>
      <c r="TW46" s="1576"/>
      <c r="TX46" s="1576"/>
      <c r="TY46" s="1576"/>
      <c r="TZ46" s="1576"/>
      <c r="UA46" s="1576"/>
      <c r="UB46" s="1576"/>
      <c r="UC46" s="1576"/>
      <c r="UD46" s="1576"/>
      <c r="UE46" s="1576"/>
      <c r="UF46" s="1576"/>
      <c r="UG46" s="1576"/>
      <c r="UH46" s="1576"/>
      <c r="UI46" s="1576"/>
      <c r="UJ46" s="1576"/>
      <c r="UK46" s="1576"/>
      <c r="UL46" s="1576"/>
      <c r="UM46" s="1576"/>
      <c r="UN46" s="1576"/>
      <c r="UO46" s="1576"/>
      <c r="UP46" s="1576"/>
      <c r="UQ46" s="1576"/>
      <c r="UR46" s="1576"/>
      <c r="US46" s="1576"/>
      <c r="UT46" s="1576"/>
      <c r="UU46" s="1576"/>
      <c r="UV46" s="1576"/>
      <c r="UW46" s="1576"/>
      <c r="UX46" s="1576"/>
      <c r="UY46" s="1576"/>
      <c r="UZ46" s="1576"/>
      <c r="VA46" s="1576"/>
      <c r="VB46" s="1576"/>
      <c r="VC46" s="1576"/>
      <c r="VD46" s="1576"/>
      <c r="VE46" s="1576"/>
      <c r="VF46" s="1576"/>
      <c r="VG46" s="1576"/>
      <c r="VH46" s="1576"/>
      <c r="VI46" s="1576"/>
      <c r="VJ46" s="1576"/>
      <c r="VK46" s="1576"/>
    </row>
    <row r="47" spans="1:583" x14ac:dyDescent="0.25">
      <c r="B47" s="4710"/>
      <c r="C47" s="4710"/>
      <c r="D47" s="4710" t="s">
        <v>2101</v>
      </c>
      <c r="E47" s="4710"/>
      <c r="F47" s="2057"/>
      <c r="G47" s="2057"/>
      <c r="H47" s="2057"/>
      <c r="I47" s="2058"/>
      <c r="J47" s="2058"/>
      <c r="K47" s="2058"/>
      <c r="L47" s="2058"/>
      <c r="M47" s="2058"/>
      <c r="N47" s="2058"/>
      <c r="O47" s="2058"/>
      <c r="P47" s="2058"/>
      <c r="Q47" s="2058"/>
      <c r="R47" s="2058"/>
      <c r="S47" s="2058"/>
      <c r="T47" s="2058"/>
      <c r="U47" s="2058"/>
      <c r="V47" s="2058"/>
      <c r="W47" s="2059"/>
      <c r="X47" s="2059"/>
      <c r="Y47" s="2059"/>
      <c r="Z47" s="2059"/>
      <c r="AA47" s="2059"/>
      <c r="AB47" s="2059"/>
      <c r="AC47" s="2059"/>
      <c r="AD47" s="2059"/>
      <c r="AE47" s="2059"/>
      <c r="AF47" s="2059"/>
      <c r="AG47" s="2059"/>
      <c r="AH47" s="2059"/>
      <c r="AI47" s="2059"/>
      <c r="AJ47" s="2059"/>
      <c r="AK47" s="2059"/>
      <c r="AL47" s="2059"/>
      <c r="AM47" s="2059"/>
      <c r="AN47" s="2059"/>
      <c r="AO47" s="2059"/>
      <c r="AP47" s="2059"/>
      <c r="AQ47" s="2059"/>
      <c r="AR47" s="2059"/>
      <c r="AS47" s="2059"/>
      <c r="AT47" s="2059"/>
      <c r="AU47" s="2059"/>
      <c r="AV47" s="2059"/>
      <c r="AW47" s="2059"/>
      <c r="AX47" s="2059"/>
      <c r="AY47" s="2059"/>
      <c r="AZ47" s="2059"/>
      <c r="BA47" s="2059"/>
      <c r="BB47" s="2059"/>
      <c r="BC47" s="2059"/>
      <c r="BD47" s="2059"/>
      <c r="BE47" s="2059"/>
      <c r="BF47" s="2059"/>
      <c r="BG47" s="2059"/>
      <c r="BH47" s="2059"/>
      <c r="BI47" s="2059"/>
      <c r="BJ47" s="2059"/>
      <c r="BK47" s="2059"/>
      <c r="BL47" s="2059"/>
      <c r="BM47" s="2059"/>
      <c r="BN47" s="2059"/>
      <c r="BO47" s="2059"/>
      <c r="BP47" s="2059"/>
      <c r="BQ47" s="2059"/>
      <c r="BR47" s="2059"/>
      <c r="BS47" s="2059"/>
      <c r="BT47" s="2059"/>
      <c r="BU47" s="2059"/>
      <c r="BV47" s="2059"/>
      <c r="BW47" s="2059"/>
      <c r="BX47" s="2059"/>
      <c r="BY47" s="2059"/>
      <c r="BZ47" s="2059"/>
      <c r="CA47" s="2059"/>
      <c r="CB47" s="2059"/>
      <c r="CC47" s="2059"/>
      <c r="CD47" s="2059"/>
      <c r="CE47" s="2059"/>
      <c r="CF47" s="2059"/>
      <c r="CG47" s="2059"/>
      <c r="CH47" s="2059"/>
      <c r="CI47" s="2059"/>
      <c r="CJ47" s="2059"/>
      <c r="CK47" s="2059"/>
      <c r="CL47" s="2059"/>
      <c r="CM47" s="2059"/>
      <c r="CN47" s="2059"/>
      <c r="CO47" s="2059"/>
      <c r="CP47" s="1576"/>
      <c r="CQ47" s="1576"/>
      <c r="CR47" s="1576"/>
      <c r="CS47" s="1576"/>
      <c r="CT47" s="1576"/>
      <c r="CU47" s="1576"/>
      <c r="CV47" s="1576"/>
      <c r="CW47" s="1576"/>
      <c r="CX47" s="1576"/>
      <c r="CY47" s="1576"/>
      <c r="CZ47" s="1576"/>
      <c r="DA47" s="1576"/>
      <c r="DB47" s="1576"/>
      <c r="DC47" s="1576"/>
      <c r="DD47" s="1576"/>
      <c r="DE47" s="1576"/>
      <c r="DF47" s="1576"/>
      <c r="DG47" s="1576"/>
      <c r="DH47" s="1576"/>
      <c r="DI47" s="1576"/>
      <c r="DJ47" s="1576"/>
      <c r="DK47" s="1576"/>
      <c r="DL47" s="1576"/>
      <c r="DM47" s="1576"/>
      <c r="DN47" s="1576"/>
      <c r="DO47" s="1576"/>
      <c r="DP47" s="1576"/>
      <c r="DQ47" s="1576"/>
      <c r="DR47" s="1576"/>
      <c r="DS47" s="1576"/>
      <c r="DT47" s="1576"/>
      <c r="DU47" s="1576"/>
      <c r="DV47" s="1576"/>
      <c r="DW47" s="1576"/>
      <c r="DX47" s="1576"/>
      <c r="DY47" s="1576"/>
      <c r="DZ47" s="1576"/>
      <c r="EA47" s="1576"/>
      <c r="EB47" s="1576"/>
      <c r="EC47" s="1576"/>
      <c r="ED47" s="1576"/>
      <c r="EE47" s="1576"/>
      <c r="EF47" s="1576"/>
      <c r="EG47" s="1576"/>
      <c r="EH47" s="1576"/>
      <c r="EI47" s="1576"/>
      <c r="EJ47" s="1576"/>
      <c r="EK47" s="1576"/>
      <c r="EL47" s="1576"/>
      <c r="EM47" s="1576"/>
      <c r="EN47" s="1576"/>
      <c r="EO47" s="1576"/>
      <c r="EP47" s="1576"/>
      <c r="EQ47" s="1576"/>
      <c r="ER47" s="1576"/>
      <c r="ES47" s="1576"/>
      <c r="ET47" s="1576"/>
      <c r="EU47" s="1576"/>
      <c r="EV47" s="1576"/>
      <c r="EW47" s="1576"/>
      <c r="EX47" s="1576"/>
      <c r="EY47" s="1576"/>
      <c r="EZ47" s="1576"/>
      <c r="FA47" s="1576"/>
      <c r="FB47" s="1576"/>
      <c r="FC47" s="1576"/>
      <c r="FD47" s="1576"/>
      <c r="FE47" s="1576"/>
      <c r="FF47" s="1576"/>
      <c r="FG47" s="1576"/>
      <c r="FH47" s="1576"/>
      <c r="FI47" s="1576"/>
      <c r="FJ47" s="1576"/>
      <c r="FK47" s="1576"/>
      <c r="FL47" s="1576"/>
      <c r="FM47" s="1576"/>
      <c r="FN47" s="1576"/>
      <c r="FO47" s="1576"/>
      <c r="FP47" s="1576"/>
      <c r="FQ47" s="1576"/>
      <c r="FR47" s="1576"/>
      <c r="FS47" s="1576"/>
      <c r="FT47" s="1576"/>
      <c r="FU47" s="1576"/>
      <c r="FV47" s="1576"/>
      <c r="FW47" s="1576"/>
      <c r="FX47" s="1576"/>
      <c r="FY47" s="1576"/>
      <c r="FZ47" s="1576"/>
      <c r="GA47" s="1576"/>
      <c r="GB47" s="1576"/>
      <c r="GC47" s="1576"/>
      <c r="GD47" s="1576"/>
      <c r="GE47" s="1576"/>
      <c r="GF47" s="1576"/>
      <c r="GG47" s="1576"/>
      <c r="GH47" s="1576"/>
      <c r="GI47" s="1576"/>
      <c r="GJ47" s="1576"/>
      <c r="GK47" s="1576"/>
      <c r="GL47" s="1576"/>
      <c r="GM47" s="1576"/>
      <c r="GN47" s="1576"/>
      <c r="GO47" s="1576"/>
      <c r="GP47" s="1576"/>
      <c r="GQ47" s="1576"/>
      <c r="GR47" s="1576"/>
      <c r="GS47" s="1576"/>
      <c r="GT47" s="1576"/>
      <c r="GU47" s="1576"/>
      <c r="GV47" s="1576"/>
      <c r="GW47" s="1576"/>
      <c r="GX47" s="1576"/>
      <c r="GY47" s="1576"/>
      <c r="GZ47" s="1576"/>
      <c r="HA47" s="1576"/>
      <c r="HB47" s="1576"/>
      <c r="HC47" s="1576"/>
      <c r="HD47" s="1576"/>
      <c r="HE47" s="1576"/>
      <c r="HF47" s="1576"/>
      <c r="HG47" s="1576"/>
      <c r="HH47" s="1576"/>
      <c r="HI47" s="1576"/>
      <c r="HJ47" s="1576"/>
      <c r="HK47" s="1576"/>
      <c r="HL47" s="1576"/>
      <c r="HM47" s="1576"/>
      <c r="HN47" s="1576"/>
      <c r="HO47" s="1576"/>
      <c r="HP47" s="1576"/>
      <c r="HQ47" s="1576"/>
      <c r="HR47" s="1576"/>
      <c r="HS47" s="1576"/>
      <c r="HT47" s="1576"/>
      <c r="HU47" s="1576"/>
      <c r="HV47" s="1576"/>
      <c r="HW47" s="1576"/>
      <c r="HX47" s="1576"/>
      <c r="HY47" s="1576"/>
      <c r="HZ47" s="1576"/>
      <c r="IA47" s="1576"/>
      <c r="IB47" s="1576"/>
      <c r="IC47" s="1576"/>
      <c r="ID47" s="1576"/>
      <c r="IE47" s="1576"/>
      <c r="IF47" s="1576"/>
      <c r="IG47" s="1576"/>
      <c r="IH47" s="1576"/>
      <c r="II47" s="1576"/>
      <c r="IJ47" s="1576"/>
      <c r="IK47" s="1576"/>
      <c r="IL47" s="1576"/>
      <c r="IM47" s="1576"/>
      <c r="IN47" s="1576"/>
      <c r="IO47" s="1576"/>
      <c r="IP47" s="1576"/>
      <c r="IQ47" s="1576"/>
      <c r="IR47" s="1576"/>
      <c r="IS47" s="1576"/>
      <c r="IT47" s="1576"/>
      <c r="IU47" s="1576"/>
      <c r="IV47" s="1576"/>
      <c r="IW47" s="1576"/>
      <c r="IX47" s="1576"/>
      <c r="IY47" s="1576"/>
      <c r="IZ47" s="1576"/>
      <c r="JA47" s="2054"/>
      <c r="JB47" s="2054"/>
      <c r="JC47" s="2054"/>
      <c r="JD47" s="2054"/>
      <c r="JE47" s="2054"/>
      <c r="JF47" s="2054"/>
      <c r="JG47" s="2054"/>
      <c r="JH47" s="2054"/>
      <c r="JI47" s="2054"/>
      <c r="JJ47" s="2054"/>
      <c r="JK47" s="2054"/>
      <c r="JL47" s="2054"/>
      <c r="JM47" s="2054"/>
      <c r="JN47" s="2054"/>
      <c r="JO47" s="2054"/>
      <c r="JP47" s="2054"/>
      <c r="JQ47" s="2054"/>
      <c r="JR47" s="1576"/>
      <c r="JS47" s="1576"/>
      <c r="JT47" s="1576"/>
      <c r="JU47" s="1576"/>
      <c r="JV47" s="1576"/>
      <c r="JW47" s="1576"/>
      <c r="JX47" s="1576"/>
      <c r="JY47" s="1576"/>
      <c r="JZ47" s="1576"/>
      <c r="KA47" s="1576"/>
      <c r="KB47" s="1576"/>
      <c r="KC47" s="1576"/>
      <c r="KD47" s="1576"/>
      <c r="KE47" s="1576"/>
      <c r="KF47" s="1576"/>
      <c r="KG47" s="1576"/>
      <c r="KH47" s="1576"/>
      <c r="KI47" s="1576">
        <f>'Paso 1.1'!E44*Tiempos!$H$43</f>
        <v>324.67455999999999</v>
      </c>
      <c r="KJ47" s="1576">
        <f>'Paso 1.1'!F44*Tiempos!$H$43</f>
        <v>324.80037377753581</v>
      </c>
      <c r="KK47" s="1576">
        <f>'Paso 1.1'!G44*Tiempos!$H$43</f>
        <v>324.92623630883486</v>
      </c>
      <c r="KL47" s="1576">
        <f>'Paso 1.1'!H44*Tiempos!$H$43</f>
        <v>325.05214761278961</v>
      </c>
      <c r="KM47" s="1576">
        <f>'Paso 1.1'!I44*Tiempos!$H$43</f>
        <v>325.17810770829976</v>
      </c>
      <c r="KN47" s="1576">
        <f>'Paso 1.1'!J44*Tiempos!$H$43</f>
        <v>325.30411661427235</v>
      </c>
      <c r="KO47" s="1576">
        <f>'Paso 1.1'!K44*Tiempos!$H$43</f>
        <v>325.43017434962189</v>
      </c>
      <c r="KP47" s="1576">
        <f>'Paso 1.1'!L44*Tiempos!$H$43</f>
        <v>325.55628093327005</v>
      </c>
      <c r="KQ47" s="1576">
        <f>'Paso 1.1'!M44*Tiempos!$H$43</f>
        <v>325.68243638414594</v>
      </c>
      <c r="KR47" s="1576">
        <f>'Paso 1.1'!N44*Tiempos!$H$43</f>
        <v>325.80864072118601</v>
      </c>
      <c r="KS47" s="1576">
        <f>'Paso 1.1'!O44*Tiempos!$H$43</f>
        <v>325.93489396333399</v>
      </c>
      <c r="KT47" s="1576">
        <f>'Paso 1.1'!P44*Tiempos!$H$43</f>
        <v>326.06119612954086</v>
      </c>
      <c r="KU47" s="1576">
        <f>'Paso 1.1'!Q44*Tiempos!$H$43</f>
        <v>326.18754723876521</v>
      </c>
      <c r="KV47" s="1576">
        <f>'Paso 1.1'!R44*Tiempos!$H$43</f>
        <v>326.31394730997266</v>
      </c>
      <c r="KW47" s="1576">
        <f>'Paso 1.1'!S44*Tiempos!$H$43</f>
        <v>326.44039636213648</v>
      </c>
      <c r="KX47" s="1576">
        <f>'Paso 1.1'!T44*Tiempos!$H$43</f>
        <v>326.56689441423703</v>
      </c>
      <c r="KY47" s="1576">
        <f>'Paso 1.1'!U44*Tiempos!$H$43</f>
        <v>326.69344148526227</v>
      </c>
      <c r="KZ47" s="1576"/>
      <c r="LA47" s="1576"/>
      <c r="LB47" s="1576"/>
      <c r="LC47" s="1576"/>
      <c r="LD47" s="1576"/>
      <c r="LE47" s="1576"/>
      <c r="LF47" s="1576"/>
      <c r="LG47" s="1576"/>
      <c r="LH47" s="1576"/>
      <c r="LI47" s="1576"/>
      <c r="LJ47" s="1576"/>
      <c r="LK47" s="1576"/>
      <c r="LL47" s="1576"/>
      <c r="LM47" s="1576"/>
      <c r="LN47" s="1576"/>
      <c r="LO47" s="1576"/>
      <c r="LP47" s="1576"/>
      <c r="LQ47" s="1576"/>
      <c r="LR47" s="1576"/>
      <c r="LS47" s="1576"/>
      <c r="LT47" s="1576"/>
      <c r="LU47" s="1576"/>
      <c r="LV47" s="1576"/>
      <c r="LW47" s="1576"/>
      <c r="LX47" s="1576"/>
      <c r="LY47" s="1576"/>
      <c r="LZ47" s="1576"/>
      <c r="MA47" s="1576"/>
      <c r="MB47" s="1576"/>
      <c r="MC47" s="1576"/>
      <c r="MD47" s="1576"/>
      <c r="ME47" s="1576"/>
      <c r="MF47" s="1576"/>
      <c r="MG47" s="1576"/>
      <c r="MH47" s="1576"/>
      <c r="MI47" s="1576"/>
      <c r="MJ47" s="1576"/>
      <c r="MK47" s="1576"/>
      <c r="ML47" s="1576"/>
      <c r="MM47" s="1576"/>
      <c r="MN47" s="1576"/>
      <c r="MO47" s="1576"/>
      <c r="MP47" s="1576"/>
      <c r="MQ47" s="1576"/>
      <c r="MR47" s="1576"/>
      <c r="MS47" s="1576"/>
      <c r="MT47" s="1576"/>
      <c r="MU47" s="1576"/>
      <c r="MV47" s="1576"/>
      <c r="MW47" s="1576"/>
      <c r="MX47" s="1576"/>
      <c r="MY47" s="1576">
        <f>'Paso 1.1'!E44*Tiempos!$L$43</f>
        <v>64.934911999999997</v>
      </c>
      <c r="MZ47" s="1576">
        <f>'Paso 1.1'!F44*Tiempos!$L$43</f>
        <v>64.960074755507165</v>
      </c>
      <c r="NA47" s="1576">
        <f>'Paso 1.1'!G44*Tiempos!$L$43</f>
        <v>64.985247261766972</v>
      </c>
      <c r="NB47" s="1576">
        <f>'Paso 1.1'!H44*Tiempos!$L$43</f>
        <v>65.010429522557928</v>
      </c>
      <c r="NC47" s="1576">
        <f>'Paso 1.1'!I44*Tiempos!$L$43</f>
        <v>65.035621541659964</v>
      </c>
      <c r="ND47" s="1576">
        <f>'Paso 1.1'!J44*Tiempos!$L$43</f>
        <v>65.060823322854475</v>
      </c>
      <c r="NE47" s="1576">
        <f>'Paso 1.1'!K44*Tiempos!$L$43</f>
        <v>65.086034869924376</v>
      </c>
      <c r="NF47" s="1576">
        <f>'Paso 1.1'!L44*Tiempos!$L$43</f>
        <v>65.111256186654018</v>
      </c>
      <c r="NG47" s="1576">
        <f>'Paso 1.1'!M44*Tiempos!$L$43</f>
        <v>65.1364872768292</v>
      </c>
      <c r="NH47" s="1576">
        <f>'Paso 1.1'!N44*Tiempos!$L$43</f>
        <v>65.161728144237202</v>
      </c>
      <c r="NI47" s="1576">
        <f>'Paso 1.1'!O44*Tiempos!$L$43</f>
        <v>65.186978792666807</v>
      </c>
      <c r="NJ47" s="1576">
        <f>'Paso 1.1'!P44*Tiempos!$L$43</f>
        <v>65.212239225908178</v>
      </c>
      <c r="NK47" s="1576">
        <f>'Paso 1.1'!Q44*Tiempos!$L$43</f>
        <v>65.237509447753041</v>
      </c>
      <c r="NL47" s="1576">
        <f>'Paso 1.1'!R44*Tiempos!$L$43</f>
        <v>65.262789461994529</v>
      </c>
      <c r="NM47" s="1576">
        <f>'Paso 1.1'!S44*Tiempos!$L$43</f>
        <v>65.288079272427296</v>
      </c>
      <c r="NN47" s="1576">
        <f>'Paso 1.1'!T44*Tiempos!$L$43</f>
        <v>65.313378882847417</v>
      </c>
      <c r="NO47" s="1576">
        <f>'Paso 1.1'!U44*Tiempos!$L$43</f>
        <v>65.338688297052457</v>
      </c>
      <c r="NP47" s="1576"/>
      <c r="NQ47" s="1576"/>
      <c r="NR47" s="1576"/>
      <c r="NS47" s="1576"/>
      <c r="NT47" s="1576"/>
      <c r="NU47" s="1576"/>
      <c r="NV47" s="1576"/>
      <c r="NW47" s="1576"/>
      <c r="NX47" s="1576"/>
      <c r="NY47" s="1576"/>
      <c r="NZ47" s="1576"/>
      <c r="OA47" s="1576"/>
      <c r="OB47" s="1576"/>
      <c r="OC47" s="1576"/>
      <c r="OD47" s="1576"/>
      <c r="OE47" s="1576"/>
      <c r="OF47" s="1576"/>
      <c r="OG47" s="1576"/>
      <c r="OH47" s="1576"/>
      <c r="OI47" s="1576"/>
      <c r="OJ47" s="1576"/>
      <c r="OK47" s="1576"/>
      <c r="OL47" s="1576"/>
      <c r="OM47" s="1576"/>
      <c r="ON47" s="1576"/>
      <c r="OO47" s="1576"/>
      <c r="OP47" s="1576"/>
      <c r="OQ47" s="1576"/>
      <c r="OR47" s="1576"/>
      <c r="OS47" s="1576"/>
      <c r="OT47" s="1576"/>
      <c r="OU47" s="1576"/>
      <c r="OV47" s="1576"/>
      <c r="OW47" s="1576"/>
      <c r="OX47" s="1576"/>
      <c r="OY47" s="1576"/>
      <c r="OZ47" s="1576"/>
      <c r="PA47" s="1576"/>
      <c r="PB47" s="1576"/>
      <c r="PC47" s="1576"/>
      <c r="PD47" s="1576"/>
      <c r="PE47" s="1576"/>
      <c r="PF47" s="1576"/>
      <c r="PG47" s="1576"/>
      <c r="PH47" s="1576"/>
      <c r="PI47" s="1576"/>
      <c r="PJ47" s="1576"/>
      <c r="PK47" s="1576"/>
      <c r="PL47" s="1576"/>
      <c r="PM47" s="1576"/>
      <c r="PN47" s="1576"/>
      <c r="PO47" s="1576"/>
      <c r="PP47" s="1576"/>
      <c r="PQ47" s="1576"/>
      <c r="PR47" s="1576"/>
      <c r="PS47" s="1576"/>
      <c r="PT47" s="1576"/>
      <c r="PU47" s="1576"/>
      <c r="PV47" s="1576"/>
      <c r="PW47" s="1576"/>
      <c r="PX47" s="1576"/>
      <c r="PY47" s="1576"/>
      <c r="PZ47" s="1576"/>
      <c r="QA47" s="1576"/>
      <c r="QB47" s="1576"/>
      <c r="QC47" s="1576"/>
      <c r="QD47" s="1576"/>
      <c r="QE47" s="1576"/>
      <c r="QF47" s="1576"/>
      <c r="QG47" s="1576"/>
      <c r="QH47" s="1576"/>
      <c r="QI47" s="1576"/>
      <c r="QJ47" s="1576"/>
      <c r="QK47" s="1576"/>
      <c r="QL47" s="1576"/>
      <c r="QM47" s="1576"/>
      <c r="QN47" s="1576"/>
      <c r="QO47" s="1576"/>
      <c r="QP47" s="1576"/>
      <c r="QQ47" s="1576"/>
      <c r="QR47" s="1576"/>
      <c r="QS47" s="1576"/>
      <c r="QT47" s="1576"/>
      <c r="QU47" s="1576"/>
      <c r="QV47" s="1576"/>
      <c r="QW47" s="1576"/>
      <c r="QX47" s="1576"/>
      <c r="QY47" s="1576"/>
      <c r="QZ47" s="1576"/>
      <c r="RA47" s="1576"/>
      <c r="RB47" s="1576"/>
      <c r="RC47" s="1576"/>
      <c r="RD47" s="1576"/>
      <c r="RE47" s="1576"/>
      <c r="RF47" s="1576"/>
      <c r="RG47" s="1576"/>
      <c r="RH47" s="1576"/>
      <c r="RI47" s="1576"/>
      <c r="RJ47" s="1576"/>
      <c r="RK47" s="1576"/>
      <c r="RL47" s="1576"/>
      <c r="RM47" s="1576"/>
      <c r="RN47" s="1576"/>
      <c r="RO47" s="1576"/>
      <c r="RP47" s="1576"/>
      <c r="RQ47" s="1576"/>
      <c r="RR47" s="1576"/>
      <c r="RS47" s="1576"/>
      <c r="RT47" s="1576"/>
      <c r="RU47" s="1576"/>
      <c r="RV47" s="1576"/>
      <c r="RW47" s="1576"/>
      <c r="RX47" s="1576"/>
      <c r="RY47" s="1576"/>
      <c r="RZ47" s="1576"/>
      <c r="SA47" s="1576"/>
      <c r="SB47" s="1576"/>
      <c r="SC47" s="1576"/>
      <c r="SD47" s="1576"/>
      <c r="SE47" s="1576"/>
      <c r="SF47" s="1576"/>
      <c r="SG47" s="1576"/>
      <c r="SH47" s="1576"/>
      <c r="SI47" s="1576"/>
      <c r="SJ47" s="1576"/>
      <c r="SK47" s="1576"/>
      <c r="SL47" s="1576"/>
      <c r="SM47" s="1576"/>
      <c r="SN47" s="1576"/>
      <c r="SO47" s="1576"/>
      <c r="SP47" s="1576"/>
      <c r="SQ47" s="1576"/>
      <c r="SR47" s="1576"/>
      <c r="SS47" s="1576"/>
      <c r="ST47" s="1576"/>
      <c r="SU47" s="1576"/>
      <c r="SV47" s="1576"/>
      <c r="SW47" s="1576"/>
      <c r="SX47" s="1576"/>
      <c r="SY47" s="1576"/>
      <c r="SZ47" s="1576"/>
      <c r="TA47" s="1576"/>
      <c r="TB47" s="1576"/>
      <c r="TC47" s="1576"/>
      <c r="TD47" s="1576"/>
      <c r="TE47" s="1576"/>
      <c r="TF47" s="1576"/>
      <c r="TG47" s="1576"/>
      <c r="TH47" s="1576"/>
      <c r="TI47" s="1576"/>
      <c r="TJ47" s="1576"/>
      <c r="TK47" s="1576"/>
      <c r="TL47" s="1576"/>
      <c r="TM47" s="1576"/>
      <c r="TN47" s="1576"/>
      <c r="TO47" s="1576"/>
      <c r="TP47" s="1576"/>
      <c r="TQ47" s="1576"/>
      <c r="TR47" s="1576"/>
      <c r="TS47" s="1576"/>
      <c r="TT47" s="1576"/>
      <c r="TU47" s="1576"/>
      <c r="TV47" s="1576"/>
      <c r="TW47" s="1576"/>
      <c r="TX47" s="1576"/>
      <c r="TY47" s="1576"/>
      <c r="TZ47" s="1576"/>
      <c r="UA47" s="1576"/>
      <c r="UB47" s="1576"/>
      <c r="UC47" s="1576"/>
      <c r="UD47" s="1576"/>
      <c r="UE47" s="1576"/>
      <c r="UF47" s="1576"/>
      <c r="UG47" s="1576"/>
      <c r="UH47" s="1576"/>
      <c r="UI47" s="1576"/>
      <c r="UJ47" s="1576"/>
      <c r="UK47" s="1576"/>
      <c r="UL47" s="1576"/>
      <c r="UM47" s="1576"/>
      <c r="UN47" s="1576"/>
      <c r="UO47" s="1576"/>
      <c r="UP47" s="1576"/>
      <c r="UQ47" s="1576"/>
      <c r="UR47" s="1576"/>
      <c r="US47" s="1576"/>
      <c r="UT47" s="1576"/>
      <c r="UU47" s="1576"/>
      <c r="UV47" s="1576"/>
      <c r="UW47" s="1576"/>
      <c r="UX47" s="1576"/>
      <c r="UY47" s="1576"/>
      <c r="UZ47" s="1576"/>
      <c r="VA47" s="1576"/>
      <c r="VB47" s="1576"/>
      <c r="VC47" s="1576"/>
      <c r="VD47" s="1576"/>
      <c r="VE47" s="1576"/>
      <c r="VF47" s="1576"/>
      <c r="VG47" s="1576"/>
      <c r="VH47" s="1576"/>
      <c r="VI47" s="1576"/>
      <c r="VJ47" s="1576"/>
      <c r="VK47" s="1576"/>
    </row>
    <row r="48" spans="1:583" x14ac:dyDescent="0.25">
      <c r="B48" s="4710"/>
      <c r="C48" s="4710"/>
      <c r="D48" s="4710" t="s">
        <v>2104</v>
      </c>
      <c r="E48" s="4710"/>
      <c r="F48" s="2057"/>
      <c r="G48" s="2057"/>
      <c r="H48" s="2057"/>
      <c r="I48" s="2058"/>
      <c r="J48" s="2058"/>
      <c r="K48" s="2058"/>
      <c r="L48" s="2058"/>
      <c r="M48" s="2058"/>
      <c r="N48" s="2058"/>
      <c r="O48" s="2058"/>
      <c r="P48" s="2058"/>
      <c r="Q48" s="2058"/>
      <c r="R48" s="2058"/>
      <c r="S48" s="2058"/>
      <c r="T48" s="2058"/>
      <c r="U48" s="2058"/>
      <c r="V48" s="2058"/>
      <c r="W48" s="2059"/>
      <c r="X48" s="2059"/>
      <c r="Y48" s="2059"/>
      <c r="Z48" s="2059"/>
      <c r="AA48" s="2059"/>
      <c r="AB48" s="2059"/>
      <c r="AC48" s="2059"/>
      <c r="AD48" s="2059"/>
      <c r="AE48" s="2059"/>
      <c r="AF48" s="2059"/>
      <c r="AG48" s="2059"/>
      <c r="AH48" s="2059"/>
      <c r="AI48" s="2059"/>
      <c r="AJ48" s="2059"/>
      <c r="AK48" s="2059"/>
      <c r="AL48" s="2059"/>
      <c r="AM48" s="2059"/>
      <c r="AN48" s="2059"/>
      <c r="AO48" s="2059"/>
      <c r="AP48" s="2059"/>
      <c r="AQ48" s="2059"/>
      <c r="AR48" s="2059"/>
      <c r="AS48" s="2059"/>
      <c r="AT48" s="2059"/>
      <c r="AU48" s="2059"/>
      <c r="AV48" s="2059"/>
      <c r="AW48" s="2059"/>
      <c r="AX48" s="2059"/>
      <c r="AY48" s="2059"/>
      <c r="AZ48" s="2059"/>
      <c r="BA48" s="2059"/>
      <c r="BB48" s="2059"/>
      <c r="BC48" s="2059"/>
      <c r="BD48" s="2059"/>
      <c r="BE48" s="2059"/>
      <c r="BF48" s="2059"/>
      <c r="BG48" s="2059"/>
      <c r="BH48" s="2059"/>
      <c r="BI48" s="2059"/>
      <c r="BJ48" s="2059"/>
      <c r="BK48" s="2059"/>
      <c r="BL48" s="2059"/>
      <c r="BM48" s="2059"/>
      <c r="BN48" s="2059"/>
      <c r="BO48" s="2059"/>
      <c r="BP48" s="2059"/>
      <c r="BQ48" s="2059"/>
      <c r="BR48" s="2059"/>
      <c r="BS48" s="2059"/>
      <c r="BT48" s="2059"/>
      <c r="BU48" s="2059"/>
      <c r="BV48" s="2059"/>
      <c r="BW48" s="2059"/>
      <c r="BX48" s="2059"/>
      <c r="BY48" s="2059"/>
      <c r="BZ48" s="2059"/>
      <c r="CA48" s="2059"/>
      <c r="CB48" s="2059"/>
      <c r="CC48" s="2059"/>
      <c r="CD48" s="2059"/>
      <c r="CE48" s="2059"/>
      <c r="CF48" s="2059"/>
      <c r="CG48" s="2059"/>
      <c r="CH48" s="2059"/>
      <c r="CI48" s="2059"/>
      <c r="CJ48" s="2059"/>
      <c r="CK48" s="2059"/>
      <c r="CL48" s="2059"/>
      <c r="CM48" s="2059"/>
      <c r="CN48" s="2059"/>
      <c r="CO48" s="2059"/>
      <c r="CP48" s="1576"/>
      <c r="CQ48" s="1576"/>
      <c r="CR48" s="1576"/>
      <c r="CS48" s="1576"/>
      <c r="CT48" s="1576"/>
      <c r="CU48" s="1576"/>
      <c r="CV48" s="1576"/>
      <c r="CW48" s="1576"/>
      <c r="CX48" s="1576"/>
      <c r="CY48" s="1576"/>
      <c r="CZ48" s="1576"/>
      <c r="DA48" s="1576"/>
      <c r="DB48" s="1576"/>
      <c r="DC48" s="1576"/>
      <c r="DD48" s="1576"/>
      <c r="DE48" s="1576"/>
      <c r="DF48" s="1576"/>
      <c r="DG48" s="1576"/>
      <c r="DH48" s="1576"/>
      <c r="DI48" s="1576"/>
      <c r="DJ48" s="1576"/>
      <c r="DK48" s="1576"/>
      <c r="DL48" s="1576"/>
      <c r="DM48" s="1576"/>
      <c r="DN48" s="1576"/>
      <c r="DO48" s="1576"/>
      <c r="DP48" s="1576"/>
      <c r="DQ48" s="1576"/>
      <c r="DR48" s="1576"/>
      <c r="DS48" s="1576"/>
      <c r="DT48" s="1576"/>
      <c r="DU48" s="1576"/>
      <c r="DV48" s="1576"/>
      <c r="DW48" s="1576"/>
      <c r="DX48" s="1576"/>
      <c r="DY48" s="1576"/>
      <c r="DZ48" s="1576"/>
      <c r="EA48" s="1576"/>
      <c r="EB48" s="1576"/>
      <c r="EC48" s="1576"/>
      <c r="ED48" s="1576"/>
      <c r="EE48" s="1576"/>
      <c r="EF48" s="1576"/>
      <c r="EG48" s="1576"/>
      <c r="EH48" s="1576"/>
      <c r="EI48" s="1576"/>
      <c r="EJ48" s="1576"/>
      <c r="EK48" s="1576"/>
      <c r="EL48" s="1576"/>
      <c r="EM48" s="1576"/>
      <c r="EN48" s="1576"/>
      <c r="EO48" s="1576"/>
      <c r="EP48" s="1576"/>
      <c r="EQ48" s="1576"/>
      <c r="ER48" s="1576"/>
      <c r="ES48" s="1576"/>
      <c r="ET48" s="1576"/>
      <c r="EU48" s="1576"/>
      <c r="EV48" s="1576"/>
      <c r="EW48" s="1576"/>
      <c r="EX48" s="1576"/>
      <c r="EY48" s="1576"/>
      <c r="EZ48" s="1576"/>
      <c r="FA48" s="1576"/>
      <c r="FB48" s="1576"/>
      <c r="FC48" s="1576"/>
      <c r="FD48" s="1576"/>
      <c r="FE48" s="1576"/>
      <c r="FF48" s="1576"/>
      <c r="FG48" s="1576"/>
      <c r="FH48" s="1576"/>
      <c r="FI48" s="1576"/>
      <c r="FJ48" s="1576"/>
      <c r="FK48" s="1576"/>
      <c r="FL48" s="1576"/>
      <c r="FM48" s="1576"/>
      <c r="FN48" s="1576"/>
      <c r="FO48" s="1576"/>
      <c r="FP48" s="1576"/>
      <c r="FQ48" s="1576"/>
      <c r="FR48" s="1576"/>
      <c r="FS48" s="1576"/>
      <c r="FT48" s="1576"/>
      <c r="FU48" s="1576"/>
      <c r="FV48" s="1576"/>
      <c r="FW48" s="1576"/>
      <c r="FX48" s="1576"/>
      <c r="FY48" s="1576"/>
      <c r="FZ48" s="1576"/>
      <c r="GA48" s="1576"/>
      <c r="GB48" s="1576"/>
      <c r="GC48" s="1576"/>
      <c r="GD48" s="1576"/>
      <c r="GE48" s="1576"/>
      <c r="GF48" s="1576"/>
      <c r="GG48" s="1576"/>
      <c r="GH48" s="1576"/>
      <c r="GI48" s="1576"/>
      <c r="GJ48" s="1576"/>
      <c r="GK48" s="1576"/>
      <c r="GL48" s="1576"/>
      <c r="GM48" s="1576"/>
      <c r="GN48" s="1576"/>
      <c r="GO48" s="1576"/>
      <c r="GP48" s="1576"/>
      <c r="GQ48" s="1576"/>
      <c r="GR48" s="1576"/>
      <c r="GS48" s="1576"/>
      <c r="GT48" s="1576"/>
      <c r="GU48" s="1576"/>
      <c r="GV48" s="1576"/>
      <c r="GW48" s="1576"/>
      <c r="GX48" s="1576"/>
      <c r="GY48" s="1576"/>
      <c r="GZ48" s="1576"/>
      <c r="HA48" s="1576"/>
      <c r="HB48" s="1576"/>
      <c r="HC48" s="1576"/>
      <c r="HD48" s="1576"/>
      <c r="HE48" s="1576"/>
      <c r="HF48" s="1576"/>
      <c r="HG48" s="1576"/>
      <c r="HH48" s="1576"/>
      <c r="HI48" s="1576"/>
      <c r="HJ48" s="1576"/>
      <c r="HK48" s="1576"/>
      <c r="HL48" s="1576"/>
      <c r="HM48" s="1576"/>
      <c r="HN48" s="1576"/>
      <c r="HO48" s="1576"/>
      <c r="HP48" s="1576"/>
      <c r="HQ48" s="1576"/>
      <c r="HR48" s="1576"/>
      <c r="HS48" s="1576"/>
      <c r="HT48" s="1576"/>
      <c r="HU48" s="1576"/>
      <c r="HV48" s="1576"/>
      <c r="HW48" s="1576"/>
      <c r="HX48" s="1576"/>
      <c r="HY48" s="1576"/>
      <c r="HZ48" s="1576"/>
      <c r="IA48" s="1576"/>
      <c r="IB48" s="1576"/>
      <c r="IC48" s="1576"/>
      <c r="ID48" s="1576"/>
      <c r="IE48" s="1576"/>
      <c r="IF48" s="1576"/>
      <c r="IG48" s="1576"/>
      <c r="IH48" s="1576"/>
      <c r="II48" s="1576"/>
      <c r="IJ48" s="1576"/>
      <c r="IK48" s="1576"/>
      <c r="IL48" s="1576"/>
      <c r="IM48" s="1576"/>
      <c r="IN48" s="1576"/>
      <c r="IO48" s="1576"/>
      <c r="IP48" s="1576"/>
      <c r="IQ48" s="1576"/>
      <c r="IR48" s="1576"/>
      <c r="IS48" s="1576"/>
      <c r="IT48" s="1576"/>
      <c r="IU48" s="1576"/>
      <c r="IV48" s="1576"/>
      <c r="IW48" s="1576"/>
      <c r="IX48" s="1576"/>
      <c r="IY48" s="1576"/>
      <c r="IZ48" s="1576"/>
      <c r="JA48" s="2054"/>
      <c r="JB48" s="2054"/>
      <c r="JC48" s="2054"/>
      <c r="JD48" s="2054"/>
      <c r="JE48" s="2054"/>
      <c r="JF48" s="2054"/>
      <c r="JG48" s="2054"/>
      <c r="JH48" s="2054"/>
      <c r="JI48" s="2054"/>
      <c r="JJ48" s="2054"/>
      <c r="JK48" s="2054"/>
      <c r="JL48" s="2054"/>
      <c r="JM48" s="2054"/>
      <c r="JN48" s="2054"/>
      <c r="JO48" s="2054"/>
      <c r="JP48" s="2054"/>
      <c r="JQ48" s="2054"/>
      <c r="JR48" s="1576"/>
      <c r="JS48" s="1576"/>
      <c r="JT48" s="1576"/>
      <c r="JU48" s="1576"/>
      <c r="JV48" s="1576"/>
      <c r="JW48" s="1576"/>
      <c r="JX48" s="1576"/>
      <c r="JY48" s="1576"/>
      <c r="JZ48" s="1576"/>
      <c r="KA48" s="1576"/>
      <c r="KB48" s="1576"/>
      <c r="KC48" s="1576"/>
      <c r="KD48" s="1576"/>
      <c r="KE48" s="1576"/>
      <c r="KF48" s="1576"/>
      <c r="KG48" s="1576"/>
      <c r="KH48" s="1576"/>
      <c r="KI48" s="1576">
        <f>'Paso 1.1'!E45*Tiempos!$H$133</f>
        <v>228</v>
      </c>
      <c r="KJ48" s="1576">
        <f>'Paso 1.1'!F45*Tiempos!$H$133</f>
        <v>228.08835167522264</v>
      </c>
      <c r="KK48" s="1576">
        <f>'Paso 1.1'!G45*Tiempos!$H$133</f>
        <v>228.17673758736859</v>
      </c>
      <c r="KL48" s="1576">
        <f>'Paso 1.1'!H45*Tiempos!$H$133</f>
        <v>228.26515774970488</v>
      </c>
      <c r="KM48" s="1576">
        <f>'Paso 1.1'!I45*Tiempos!$H$133</f>
        <v>228.3536121755038</v>
      </c>
      <c r="KN48" s="1576">
        <f>'Paso 1.1'!J45*Tiempos!$H$133</f>
        <v>228.4421008780426</v>
      </c>
      <c r="KO48" s="1576">
        <f>'Paso 1.1'!K45*Tiempos!$H$133</f>
        <v>228.53062387060379</v>
      </c>
      <c r="KP48" s="1576">
        <f>'Paso 1.1'!L45*Tiempos!$H$133</f>
        <v>228.61918116647507</v>
      </c>
      <c r="KQ48" s="1576">
        <f>'Paso 1.1'!M45*Tiempos!$H$133</f>
        <v>228.70777277894911</v>
      </c>
      <c r="KR48" s="1576">
        <f>'Paso 1.1'!N45*Tiempos!$H$133</f>
        <v>228.79639872132395</v>
      </c>
      <c r="KS48" s="1576">
        <f>'Paso 1.1'!O45*Tiempos!$H$133</f>
        <v>228.88505900690262</v>
      </c>
      <c r="KT48" s="1576">
        <f>'Paso 1.1'!P45*Tiempos!$H$133</f>
        <v>228.97375364899341</v>
      </c>
      <c r="KU48" s="1576">
        <f>'Paso 1.1'!Q45*Tiempos!$H$133</f>
        <v>229.06248266090964</v>
      </c>
      <c r="KV48" s="1576">
        <f>'Paso 1.1'!R45*Tiempos!$H$133</f>
        <v>229.15124605596992</v>
      </c>
      <c r="KW48" s="1576">
        <f>'Paso 1.1'!S45*Tiempos!$H$133</f>
        <v>229.24004384749804</v>
      </c>
      <c r="KX48" s="1576">
        <f>'Paso 1.1'!T45*Tiempos!$H$133</f>
        <v>229.32887604882279</v>
      </c>
      <c r="KY48" s="1576">
        <f>'Paso 1.1'!U45*Tiempos!$H$133</f>
        <v>229.41774267327821</v>
      </c>
      <c r="KZ48" s="1576"/>
      <c r="LA48" s="1576"/>
      <c r="LB48" s="1576"/>
      <c r="LC48" s="1576"/>
      <c r="LD48" s="1576"/>
      <c r="LE48" s="1576"/>
      <c r="LF48" s="1576"/>
      <c r="LG48" s="1576"/>
      <c r="LH48" s="1576"/>
      <c r="LI48" s="1576"/>
      <c r="LJ48" s="1576"/>
      <c r="LK48" s="1576"/>
      <c r="LL48" s="1576"/>
      <c r="LM48" s="1576"/>
      <c r="LN48" s="1576"/>
      <c r="LO48" s="1576"/>
      <c r="LP48" s="1576"/>
      <c r="LQ48" s="1576"/>
      <c r="LR48" s="1576"/>
      <c r="LS48" s="1576"/>
      <c r="LT48" s="1576"/>
      <c r="LU48" s="1576"/>
      <c r="LV48" s="1576"/>
      <c r="LW48" s="1576"/>
      <c r="LX48" s="1576"/>
      <c r="LY48" s="1576"/>
      <c r="LZ48" s="1576"/>
      <c r="MA48" s="1576"/>
      <c r="MB48" s="1576"/>
      <c r="MC48" s="1576"/>
      <c r="MD48" s="1576"/>
      <c r="ME48" s="1576"/>
      <c r="MF48" s="1576"/>
      <c r="MG48" s="1576"/>
      <c r="MH48" s="1576"/>
      <c r="MI48" s="1576"/>
      <c r="MJ48" s="1576"/>
      <c r="MK48" s="1576"/>
      <c r="ML48" s="1576"/>
      <c r="MM48" s="1576"/>
      <c r="MN48" s="1576"/>
      <c r="MO48" s="1576"/>
      <c r="MP48" s="1576"/>
      <c r="MQ48" s="1576"/>
      <c r="MR48" s="1576"/>
      <c r="MS48" s="1576"/>
      <c r="MT48" s="1576"/>
      <c r="MU48" s="1576"/>
      <c r="MV48" s="1576"/>
      <c r="MW48" s="1576"/>
      <c r="MX48" s="1576"/>
      <c r="MY48" s="1576">
        <f>'Paso 1.1'!E45*Tiempos!$H$133</f>
        <v>228</v>
      </c>
      <c r="MZ48" s="1576">
        <f>'Paso 1.1'!F45*Tiempos!$H$133</f>
        <v>228.08835167522264</v>
      </c>
      <c r="NA48" s="1576">
        <f>'Paso 1.1'!G45*Tiempos!$H$133</f>
        <v>228.17673758736859</v>
      </c>
      <c r="NB48" s="1576">
        <f>'Paso 1.1'!H45*Tiempos!$H$133</f>
        <v>228.26515774970488</v>
      </c>
      <c r="NC48" s="1576">
        <f>'Paso 1.1'!I45*Tiempos!$H$133</f>
        <v>228.3536121755038</v>
      </c>
      <c r="ND48" s="1576">
        <f>'Paso 1.1'!J45*Tiempos!$H$133</f>
        <v>228.4421008780426</v>
      </c>
      <c r="NE48" s="1576">
        <f>'Paso 1.1'!K45*Tiempos!$H$133</f>
        <v>228.53062387060379</v>
      </c>
      <c r="NF48" s="1576">
        <f>'Paso 1.1'!L45*Tiempos!$H$133</f>
        <v>228.61918116647507</v>
      </c>
      <c r="NG48" s="1576">
        <f>'Paso 1.1'!M45*Tiempos!$H$133</f>
        <v>228.70777277894911</v>
      </c>
      <c r="NH48" s="1576">
        <f>'Paso 1.1'!N45*Tiempos!$H$133</f>
        <v>228.79639872132395</v>
      </c>
      <c r="NI48" s="1576">
        <f>'Paso 1.1'!O45*Tiempos!$H$133</f>
        <v>228.88505900690262</v>
      </c>
      <c r="NJ48" s="1576">
        <f>'Paso 1.1'!P45*Tiempos!$H$133</f>
        <v>228.97375364899341</v>
      </c>
      <c r="NK48" s="1576">
        <f>'Paso 1.1'!Q45*Tiempos!$H$133</f>
        <v>229.06248266090964</v>
      </c>
      <c r="NL48" s="1576">
        <f>'Paso 1.1'!R45*Tiempos!$H$133</f>
        <v>229.15124605596992</v>
      </c>
      <c r="NM48" s="1576">
        <f>'Paso 1.1'!S45*Tiempos!$H$133</f>
        <v>229.24004384749804</v>
      </c>
      <c r="NN48" s="1576">
        <f>'Paso 1.1'!T45*Tiempos!$H$133</f>
        <v>229.32887604882279</v>
      </c>
      <c r="NO48" s="1576">
        <f>'Paso 1.1'!U45*Tiempos!$H$133</f>
        <v>229.41774267327821</v>
      </c>
      <c r="NP48" s="1576"/>
      <c r="NQ48" s="1576"/>
      <c r="NR48" s="1576"/>
      <c r="NS48" s="1576"/>
      <c r="NT48" s="1576"/>
      <c r="NU48" s="1576"/>
      <c r="NV48" s="1576"/>
      <c r="NW48" s="1576"/>
      <c r="NX48" s="1576"/>
      <c r="NY48" s="1576"/>
      <c r="NZ48" s="1576"/>
      <c r="OA48" s="1576"/>
      <c r="OB48" s="1576"/>
      <c r="OC48" s="1576"/>
      <c r="OD48" s="1576"/>
      <c r="OE48" s="1576"/>
      <c r="OF48" s="1576"/>
      <c r="OG48" s="1576"/>
      <c r="OH48" s="1576"/>
      <c r="OI48" s="1576"/>
      <c r="OJ48" s="1576"/>
      <c r="OK48" s="1576"/>
      <c r="OL48" s="1576"/>
      <c r="OM48" s="1576"/>
      <c r="ON48" s="1576"/>
      <c r="OO48" s="1576"/>
      <c r="OP48" s="1576"/>
      <c r="OQ48" s="1576"/>
      <c r="OR48" s="1576"/>
      <c r="OS48" s="1576"/>
      <c r="OT48" s="1576"/>
      <c r="OU48" s="1576"/>
      <c r="OV48" s="1576"/>
      <c r="OW48" s="1576"/>
      <c r="OX48" s="1576"/>
      <c r="OY48" s="1576"/>
      <c r="OZ48" s="1576"/>
      <c r="PA48" s="1576"/>
      <c r="PB48" s="1576"/>
      <c r="PC48" s="1576"/>
      <c r="PD48" s="1576"/>
      <c r="PE48" s="1576"/>
      <c r="PF48" s="1576"/>
      <c r="PG48" s="1576"/>
      <c r="PH48" s="1576"/>
      <c r="PI48" s="1576"/>
      <c r="PJ48" s="1576"/>
      <c r="PK48" s="1576"/>
      <c r="PL48" s="1576"/>
      <c r="PM48" s="1576"/>
      <c r="PN48" s="1576"/>
      <c r="PO48" s="1576"/>
      <c r="PP48" s="1576"/>
      <c r="PQ48" s="1576"/>
      <c r="PR48" s="1576"/>
      <c r="PS48" s="1576"/>
      <c r="PT48" s="1576"/>
      <c r="PU48" s="1576"/>
      <c r="PV48" s="1576"/>
      <c r="PW48" s="1576"/>
      <c r="PX48" s="1576"/>
      <c r="PY48" s="1576"/>
      <c r="PZ48" s="1576"/>
      <c r="QA48" s="1576"/>
      <c r="QB48" s="1576"/>
      <c r="QC48" s="1576"/>
      <c r="QD48" s="1576"/>
      <c r="QE48" s="1576"/>
      <c r="QF48" s="1576"/>
      <c r="QG48" s="1576"/>
      <c r="QH48" s="1576"/>
      <c r="QI48" s="1576"/>
      <c r="QJ48" s="1576"/>
      <c r="QK48" s="1576"/>
      <c r="QL48" s="1576"/>
      <c r="QM48" s="1576"/>
      <c r="QN48" s="1576"/>
      <c r="QO48" s="1576"/>
      <c r="QP48" s="1576"/>
      <c r="QQ48" s="1576"/>
      <c r="QR48" s="1576"/>
      <c r="QS48" s="1576"/>
      <c r="QT48" s="1576"/>
      <c r="QU48" s="1576"/>
      <c r="QV48" s="1576"/>
      <c r="QW48" s="1576"/>
      <c r="QX48" s="1576"/>
      <c r="QY48" s="1576"/>
      <c r="QZ48" s="1576"/>
      <c r="RA48" s="1576"/>
      <c r="RB48" s="1576"/>
      <c r="RC48" s="1576"/>
      <c r="RD48" s="1576"/>
      <c r="RE48" s="1576"/>
      <c r="RF48" s="1576"/>
      <c r="RG48" s="1576"/>
      <c r="RH48" s="1576"/>
      <c r="RI48" s="1576"/>
      <c r="RJ48" s="1576"/>
      <c r="RK48" s="1576"/>
      <c r="RL48" s="1576"/>
      <c r="RM48" s="1576"/>
      <c r="RN48" s="1576"/>
      <c r="RO48" s="1576"/>
      <c r="RP48" s="1576"/>
      <c r="RQ48" s="1576"/>
      <c r="RR48" s="1576"/>
      <c r="RS48" s="1576"/>
      <c r="RT48" s="1576"/>
      <c r="RU48" s="1576"/>
      <c r="RV48" s="1576"/>
      <c r="RW48" s="1576"/>
      <c r="RX48" s="1576"/>
      <c r="RY48" s="1576"/>
      <c r="RZ48" s="1576"/>
      <c r="SA48" s="1576"/>
      <c r="SB48" s="1576"/>
      <c r="SC48" s="1576"/>
      <c r="SD48" s="1576"/>
      <c r="SE48" s="1576"/>
      <c r="SF48" s="1576"/>
      <c r="SG48" s="1576"/>
      <c r="SH48" s="1576"/>
      <c r="SI48" s="1576"/>
      <c r="SJ48" s="1576"/>
      <c r="SK48" s="1576"/>
      <c r="SL48" s="1576"/>
      <c r="SM48" s="1576"/>
      <c r="SN48" s="1576"/>
      <c r="SO48" s="1576"/>
      <c r="SP48" s="1576"/>
      <c r="SQ48" s="1576"/>
      <c r="SR48" s="1576"/>
      <c r="SS48" s="1576"/>
      <c r="ST48" s="1576"/>
      <c r="SU48" s="1576"/>
      <c r="SV48" s="1576"/>
      <c r="SW48" s="1576"/>
      <c r="SX48" s="1576"/>
      <c r="SY48" s="1576"/>
      <c r="SZ48" s="1576"/>
      <c r="TA48" s="1576"/>
      <c r="TB48" s="1576"/>
      <c r="TC48" s="1576"/>
      <c r="TD48" s="1576"/>
      <c r="TE48" s="1576"/>
      <c r="TF48" s="1576"/>
      <c r="TG48" s="1576"/>
      <c r="TH48" s="1576"/>
      <c r="TI48" s="1576"/>
      <c r="TJ48" s="1576"/>
      <c r="TK48" s="1576"/>
      <c r="TL48" s="1576"/>
      <c r="TM48" s="1576"/>
      <c r="TN48" s="1576"/>
      <c r="TO48" s="1576"/>
      <c r="TP48" s="1576"/>
      <c r="TQ48" s="1576"/>
      <c r="TR48" s="1576"/>
      <c r="TS48" s="1576"/>
      <c r="TT48" s="1576"/>
      <c r="TU48" s="1576"/>
      <c r="TV48" s="1576"/>
      <c r="TW48" s="1576"/>
      <c r="TX48" s="1576"/>
      <c r="TY48" s="1576"/>
      <c r="TZ48" s="1576"/>
      <c r="UA48" s="1576"/>
      <c r="UB48" s="1576"/>
      <c r="UC48" s="1576"/>
      <c r="UD48" s="1576"/>
      <c r="UE48" s="1576"/>
      <c r="UF48" s="1576"/>
      <c r="UG48" s="1576"/>
      <c r="UH48" s="1576"/>
      <c r="UI48" s="1576"/>
      <c r="UJ48" s="1576"/>
      <c r="UK48" s="1576"/>
      <c r="UL48" s="1576"/>
      <c r="UM48" s="1576"/>
      <c r="UN48" s="1576"/>
      <c r="UO48" s="1576"/>
      <c r="UP48" s="1576"/>
      <c r="UQ48" s="1576"/>
      <c r="UR48" s="1576"/>
      <c r="US48" s="1576"/>
      <c r="UT48" s="1576"/>
      <c r="UU48" s="1576"/>
      <c r="UV48" s="1576"/>
      <c r="UW48" s="1576"/>
      <c r="UX48" s="1576"/>
      <c r="UY48" s="1576"/>
      <c r="UZ48" s="1576"/>
      <c r="VA48" s="1576"/>
      <c r="VB48" s="1576"/>
      <c r="VC48" s="1576"/>
      <c r="VD48" s="1576"/>
      <c r="VE48" s="1576"/>
      <c r="VF48" s="1576"/>
      <c r="VG48" s="1576"/>
      <c r="VH48" s="1576"/>
      <c r="VI48" s="1576"/>
      <c r="VJ48" s="1576"/>
      <c r="VK48" s="1576"/>
    </row>
    <row r="49" spans="1:583" ht="27" customHeight="1" x14ac:dyDescent="0.25">
      <c r="B49" s="1610" t="s">
        <v>629</v>
      </c>
      <c r="C49" s="1582" t="s">
        <v>2737</v>
      </c>
      <c r="D49" s="4710" t="s">
        <v>2738</v>
      </c>
      <c r="E49" s="4710">
        <v>0</v>
      </c>
      <c r="F49" s="2057"/>
      <c r="G49" s="2057"/>
      <c r="H49" s="2057"/>
      <c r="I49" s="2058"/>
      <c r="J49" s="2058"/>
      <c r="K49" s="2058"/>
      <c r="L49" s="2058"/>
      <c r="M49" s="2058"/>
      <c r="N49" s="2058"/>
      <c r="O49" s="2058"/>
      <c r="P49" s="2058"/>
      <c r="Q49" s="2058"/>
      <c r="R49" s="2058"/>
      <c r="S49" s="2058"/>
      <c r="T49" s="2058"/>
      <c r="U49" s="2058"/>
      <c r="V49" s="2058"/>
      <c r="W49" s="2059"/>
      <c r="X49" s="2059"/>
      <c r="Y49" s="2059"/>
      <c r="Z49" s="2059"/>
      <c r="AA49" s="2059"/>
      <c r="AB49" s="2059"/>
      <c r="AC49" s="2059"/>
      <c r="AD49" s="2059"/>
      <c r="AE49" s="2059"/>
      <c r="AF49" s="2059"/>
      <c r="AG49" s="2059"/>
      <c r="AH49" s="2059"/>
      <c r="AI49" s="2059"/>
      <c r="AJ49" s="2059"/>
      <c r="AK49" s="2059"/>
      <c r="AL49" s="2059"/>
      <c r="AM49" s="2059"/>
      <c r="AN49" s="2059"/>
      <c r="AO49" s="2059"/>
      <c r="AP49" s="2059"/>
      <c r="AQ49" s="2059"/>
      <c r="AR49" s="2059"/>
      <c r="AS49" s="2059"/>
      <c r="AT49" s="2059"/>
      <c r="AU49" s="2059"/>
      <c r="AV49" s="2059"/>
      <c r="AW49" s="2059"/>
      <c r="AX49" s="2059"/>
      <c r="AY49" s="2059"/>
      <c r="AZ49" s="2059"/>
      <c r="BA49" s="2059"/>
      <c r="BB49" s="2059"/>
      <c r="BC49" s="2059"/>
      <c r="BD49" s="2059"/>
      <c r="BE49" s="2059"/>
      <c r="BF49" s="2059"/>
      <c r="BG49" s="2059"/>
      <c r="BH49" s="2059"/>
      <c r="BI49" s="2059"/>
      <c r="BJ49" s="2059"/>
      <c r="BK49" s="2059"/>
      <c r="BL49" s="2059"/>
      <c r="BM49" s="2059"/>
      <c r="BN49" s="2059"/>
      <c r="BO49" s="2059"/>
      <c r="BP49" s="2059"/>
      <c r="BQ49" s="2059"/>
      <c r="BR49" s="2059"/>
      <c r="BS49" s="2059"/>
      <c r="BT49" s="2059"/>
      <c r="BU49" s="2059"/>
      <c r="BV49" s="2059"/>
      <c r="BW49" s="2059"/>
      <c r="BX49" s="2059"/>
      <c r="BY49" s="2059"/>
      <c r="BZ49" s="2059"/>
      <c r="CA49" s="2059"/>
      <c r="CB49" s="2059"/>
      <c r="CC49" s="2059"/>
      <c r="CD49" s="2059"/>
      <c r="CE49" s="2059"/>
      <c r="CF49" s="2059"/>
      <c r="CG49" s="2059"/>
      <c r="CH49" s="2059"/>
      <c r="CI49" s="2059"/>
      <c r="CJ49" s="2059"/>
      <c r="CK49" s="2059"/>
      <c r="CL49" s="2059"/>
      <c r="CM49" s="2059"/>
      <c r="CN49" s="2059"/>
      <c r="CO49" s="2059"/>
      <c r="CP49" s="1576"/>
      <c r="CQ49" s="1576"/>
      <c r="CR49" s="1576"/>
      <c r="CS49" s="1576"/>
      <c r="CT49" s="1576"/>
      <c r="CU49" s="1576"/>
      <c r="CV49" s="1576"/>
      <c r="CW49" s="1576"/>
      <c r="CX49" s="1576"/>
      <c r="CY49" s="1576"/>
      <c r="CZ49" s="1576"/>
      <c r="DA49" s="1576"/>
      <c r="DB49" s="1576"/>
      <c r="DC49" s="1576"/>
      <c r="DD49" s="1576"/>
      <c r="DE49" s="1576"/>
      <c r="DF49" s="1576"/>
      <c r="DG49" s="1576"/>
      <c r="DH49" s="1576"/>
      <c r="DI49" s="1576"/>
      <c r="DJ49" s="1576"/>
      <c r="DK49" s="1576"/>
      <c r="DL49" s="1576"/>
      <c r="DM49" s="1576"/>
      <c r="DN49" s="1576"/>
      <c r="DO49" s="1576"/>
      <c r="DP49" s="1576"/>
      <c r="DQ49" s="1576"/>
      <c r="DR49" s="1576"/>
      <c r="DS49" s="1576"/>
      <c r="DT49" s="1576"/>
      <c r="DU49" s="1576"/>
      <c r="DV49" s="1576"/>
      <c r="DW49" s="1576"/>
      <c r="DX49" s="1576"/>
      <c r="DY49" s="1576"/>
      <c r="DZ49" s="1576"/>
      <c r="EA49" s="1576"/>
      <c r="EB49" s="1576"/>
      <c r="EC49" s="1576"/>
      <c r="ED49" s="1576"/>
      <c r="EE49" s="1576"/>
      <c r="EF49" s="1576"/>
      <c r="EG49" s="1576"/>
      <c r="EH49" s="1576"/>
      <c r="EI49" s="1576"/>
      <c r="EJ49" s="1576"/>
      <c r="EK49" s="1576"/>
      <c r="EL49" s="1576"/>
      <c r="EM49" s="1576"/>
      <c r="EN49" s="1576"/>
      <c r="EO49" s="1576"/>
      <c r="EP49" s="1576"/>
      <c r="EQ49" s="1576"/>
      <c r="ER49" s="1576"/>
      <c r="ES49" s="1576"/>
      <c r="ET49" s="1576"/>
      <c r="EU49" s="1576"/>
      <c r="EV49" s="1576"/>
      <c r="EW49" s="1576"/>
      <c r="EX49" s="1576"/>
      <c r="EY49" s="1576"/>
      <c r="EZ49" s="1576"/>
      <c r="FA49" s="1576"/>
      <c r="FB49" s="1576"/>
      <c r="FC49" s="1576"/>
      <c r="FD49" s="1576"/>
      <c r="FE49" s="1576"/>
      <c r="FF49" s="1576"/>
      <c r="FG49" s="1576"/>
      <c r="FH49" s="1576"/>
      <c r="FI49" s="1576"/>
      <c r="FJ49" s="1576"/>
      <c r="FK49" s="1576"/>
      <c r="FL49" s="1576"/>
      <c r="FM49" s="1576"/>
      <c r="FN49" s="1576"/>
      <c r="FO49" s="1576"/>
      <c r="FP49" s="1576"/>
      <c r="FQ49" s="1576"/>
      <c r="FR49" s="1576"/>
      <c r="FS49" s="1576"/>
      <c r="FT49" s="1576"/>
      <c r="FU49" s="1576"/>
      <c r="FV49" s="1576"/>
      <c r="FW49" s="1576"/>
      <c r="FX49" s="1576"/>
      <c r="FY49" s="1576"/>
      <c r="FZ49" s="1576"/>
      <c r="GA49" s="1576"/>
      <c r="GB49" s="1576"/>
      <c r="GC49" s="1576"/>
      <c r="GD49" s="1576"/>
      <c r="GE49" s="1576"/>
      <c r="GF49" s="1576"/>
      <c r="GG49" s="1576"/>
      <c r="GH49" s="1576"/>
      <c r="GI49" s="1576"/>
      <c r="GJ49" s="1576"/>
      <c r="GK49" s="1576"/>
      <c r="GL49" s="1576"/>
      <c r="GM49" s="1576"/>
      <c r="GN49" s="1576"/>
      <c r="GO49" s="1576"/>
      <c r="GP49" s="1576"/>
      <c r="GQ49" s="1576"/>
      <c r="GR49" s="1576"/>
      <c r="GS49" s="1576"/>
      <c r="GT49" s="1576"/>
      <c r="GU49" s="1576"/>
      <c r="GV49" s="1576"/>
      <c r="GW49" s="1576"/>
      <c r="GX49" s="1576"/>
      <c r="GY49" s="1576"/>
      <c r="GZ49" s="1576"/>
      <c r="HA49" s="1576"/>
      <c r="HB49" s="1576"/>
      <c r="HC49" s="1576"/>
      <c r="HD49" s="1576"/>
      <c r="HE49" s="1576"/>
      <c r="HF49" s="1576"/>
      <c r="HG49" s="1576"/>
      <c r="HH49" s="1576"/>
      <c r="HI49" s="1576"/>
      <c r="HJ49" s="1576"/>
      <c r="HK49" s="1576"/>
      <c r="HL49" s="1576"/>
      <c r="HM49" s="1576"/>
      <c r="HN49" s="1576"/>
      <c r="HO49" s="1576"/>
      <c r="HP49" s="1576"/>
      <c r="HQ49" s="1576"/>
      <c r="HR49" s="1576"/>
      <c r="HS49" s="1576"/>
      <c r="HT49" s="1576"/>
      <c r="HU49" s="1576"/>
      <c r="HV49" s="1576"/>
      <c r="HW49" s="1576"/>
      <c r="HX49" s="1576"/>
      <c r="HY49" s="1576"/>
      <c r="HZ49" s="1576"/>
      <c r="IA49" s="1576"/>
      <c r="IB49" s="1576"/>
      <c r="IC49" s="1576"/>
      <c r="ID49" s="1576"/>
      <c r="IE49" s="1576"/>
      <c r="IF49" s="1576"/>
      <c r="IG49" s="1576"/>
      <c r="IH49" s="1576"/>
      <c r="II49" s="1576"/>
      <c r="IJ49" s="1576"/>
      <c r="IK49" s="1576"/>
      <c r="IL49" s="1576"/>
      <c r="IM49" s="1576"/>
      <c r="IN49" s="1576"/>
      <c r="IO49" s="1576"/>
      <c r="IP49" s="1576"/>
      <c r="IQ49" s="1576"/>
      <c r="IR49" s="1576"/>
      <c r="IS49" s="1576"/>
      <c r="IT49" s="1576"/>
      <c r="IU49" s="1576"/>
      <c r="IV49" s="1576"/>
      <c r="IW49" s="1576"/>
      <c r="IX49" s="1576"/>
      <c r="IY49" s="1576"/>
      <c r="IZ49" s="1576"/>
      <c r="JA49" s="2054"/>
      <c r="JB49" s="2054"/>
      <c r="JC49" s="2054"/>
      <c r="JD49" s="2054"/>
      <c r="JE49" s="2054"/>
      <c r="JF49" s="2054"/>
      <c r="JG49" s="2054"/>
      <c r="JH49" s="2054"/>
      <c r="JI49" s="2054"/>
      <c r="JJ49" s="2054"/>
      <c r="JK49" s="2054"/>
      <c r="JL49" s="2054"/>
      <c r="JM49" s="2054"/>
      <c r="JN49" s="2054"/>
      <c r="JO49" s="2054"/>
      <c r="JP49" s="2054"/>
      <c r="JQ49" s="2054"/>
      <c r="JR49" s="1576"/>
      <c r="JS49" s="1576"/>
      <c r="JT49" s="1576"/>
      <c r="JU49" s="1576"/>
      <c r="JV49" s="1576"/>
      <c r="JW49" s="1576"/>
      <c r="JX49" s="1576"/>
      <c r="JY49" s="1576"/>
      <c r="JZ49" s="1576"/>
      <c r="KA49" s="1576"/>
      <c r="KB49" s="1576"/>
      <c r="KC49" s="1576"/>
      <c r="KD49" s="1576"/>
      <c r="KE49" s="1576"/>
      <c r="KF49" s="1576"/>
      <c r="KG49" s="1576"/>
      <c r="KH49" s="1576"/>
      <c r="KI49" s="1576"/>
      <c r="KJ49" s="1576"/>
      <c r="KK49" s="1576"/>
      <c r="KL49" s="1576"/>
      <c r="KM49" s="1576"/>
      <c r="KN49" s="1576"/>
      <c r="KO49" s="1576"/>
      <c r="KP49" s="1576"/>
      <c r="KQ49" s="1576"/>
      <c r="KR49" s="1576"/>
      <c r="KS49" s="1576"/>
      <c r="KT49" s="1576"/>
      <c r="KU49" s="1576"/>
      <c r="KV49" s="1576"/>
      <c r="KW49" s="1576"/>
      <c r="KX49" s="1576"/>
      <c r="KY49" s="1576"/>
      <c r="KZ49" s="1576"/>
      <c r="LA49" s="1576"/>
      <c r="LB49" s="1576"/>
      <c r="LC49" s="1576"/>
      <c r="LD49" s="1576"/>
      <c r="LE49" s="1576"/>
      <c r="LF49" s="1576"/>
      <c r="LG49" s="1576"/>
      <c r="LH49" s="1576"/>
      <c r="LI49" s="1576"/>
      <c r="LJ49" s="1576"/>
      <c r="LK49" s="1576"/>
      <c r="LL49" s="1576"/>
      <c r="LM49" s="1576"/>
      <c r="LN49" s="1576"/>
      <c r="LO49" s="1576"/>
      <c r="LP49" s="1576"/>
      <c r="LQ49" s="1576"/>
      <c r="LR49" s="1576"/>
      <c r="LS49" s="1576"/>
      <c r="LT49" s="1576"/>
      <c r="LU49" s="1576"/>
      <c r="LV49" s="1576"/>
      <c r="LW49" s="1576"/>
      <c r="LX49" s="1576"/>
      <c r="LY49" s="1576"/>
      <c r="LZ49" s="1576"/>
      <c r="MA49" s="1576"/>
      <c r="MB49" s="1576"/>
      <c r="MC49" s="1576"/>
      <c r="MD49" s="1576"/>
      <c r="ME49" s="1576"/>
      <c r="MF49" s="1576"/>
      <c r="MG49" s="1576"/>
      <c r="MH49" s="1576">
        <f>'Paso 1.1'!E46*Tiempos!$H$44</f>
        <v>164.41876145114466</v>
      </c>
      <c r="MI49" s="1576">
        <f>'Paso 1.1'!F46*Tiempos!$H$44</f>
        <v>165.08332282169445</v>
      </c>
      <c r="MJ49" s="1576">
        <f>'Paso 1.1'!G46*Tiempos!$H$44</f>
        <v>165.75057027144427</v>
      </c>
      <c r="MK49" s="1576">
        <f>'Paso 1.1'!H46*Tiempos!$H$44</f>
        <v>166.42051465721153</v>
      </c>
      <c r="ML49" s="1576">
        <f>'Paso 1.1'!I46*Tiempos!$H$44</f>
        <v>167.09316687969567</v>
      </c>
      <c r="MM49" s="1576">
        <f>'Paso 1.1'!J46*Tiempos!$H$44</f>
        <v>167.7685378836554</v>
      </c>
      <c r="MN49" s="1576">
        <f>'Paso 1.1'!K46*Tiempos!$H$44</f>
        <v>168.44663865808695</v>
      </c>
      <c r="MO49" s="1576">
        <f>'Paso 1.1'!L46*Tiempos!$H$44</f>
        <v>169.12748023640273</v>
      </c>
      <c r="MP49" s="1576">
        <f>'Paso 1.1'!M46*Tiempos!$H$44</f>
        <v>169.81107369661095</v>
      </c>
      <c r="MQ49" s="1576">
        <f>'Paso 1.1'!N46*Tiempos!$H$44</f>
        <v>170.4974301614958</v>
      </c>
      <c r="MR49" s="1576">
        <f>'Paso 1.1'!O46*Tiempos!$H$44</f>
        <v>171.1865607987985</v>
      </c>
      <c r="MS49" s="1576">
        <f>'Paso 1.1'!P46*Tiempos!$H$44</f>
        <v>171.87847682139886</v>
      </c>
      <c r="MT49" s="1576">
        <f>'Paso 1.1'!Q46*Tiempos!$H$44</f>
        <v>172.57318948749798</v>
      </c>
      <c r="MU49" s="1576">
        <f>'Paso 1.1'!R46*Tiempos!$H$44</f>
        <v>173.27071010080124</v>
      </c>
      <c r="MV49" s="1576">
        <f>'Paso 1.1'!S46*Tiempos!$H$44</f>
        <v>173.97105001070219</v>
      </c>
      <c r="MW49" s="1576">
        <f>'Paso 1.1'!T46*Tiempos!$H$44</f>
        <v>174.67422061246748</v>
      </c>
      <c r="MX49" s="1576">
        <f>'Paso 1.1'!U46*Tiempos!$H$44</f>
        <v>175.38023334742186</v>
      </c>
      <c r="MY49" s="1576">
        <f>'Paso 1.1'!E46*Tiempos!$L$44</f>
        <v>82.209380725572331</v>
      </c>
      <c r="MZ49" s="1576">
        <f>'Paso 1.1'!F46*Tiempos!$L$44</f>
        <v>82.541661410847226</v>
      </c>
      <c r="NA49" s="1576">
        <f>'Paso 1.1'!G46*Tiempos!$L$44</f>
        <v>82.875285135722137</v>
      </c>
      <c r="NB49" s="1576">
        <f>'Paso 1.1'!H46*Tiempos!$L$44</f>
        <v>83.210257328605763</v>
      </c>
      <c r="NC49" s="1576">
        <f>'Paso 1.1'!I46*Tiempos!$L$44</f>
        <v>83.546583439847836</v>
      </c>
      <c r="ND49" s="1576">
        <f>'Paso 1.1'!J46*Tiempos!$L$44</f>
        <v>83.884268941827699</v>
      </c>
      <c r="NE49" s="1576">
        <f>'Paso 1.1'!K46*Tiempos!$L$44</f>
        <v>84.223319329043477</v>
      </c>
      <c r="NF49" s="1576">
        <f>'Paso 1.1'!L46*Tiempos!$L$44</f>
        <v>84.563740118201366</v>
      </c>
      <c r="NG49" s="1576">
        <f>'Paso 1.1'!M46*Tiempos!$L$44</f>
        <v>84.905536848305474</v>
      </c>
      <c r="NH49" s="1576">
        <f>'Paso 1.1'!N46*Tiempos!$L$44</f>
        <v>85.2487150807479</v>
      </c>
      <c r="NI49" s="1576">
        <f>'Paso 1.1'!O46*Tiempos!$L$44</f>
        <v>85.593280399399248</v>
      </c>
      <c r="NJ49" s="1576">
        <f>'Paso 1.1'!P46*Tiempos!$L$44</f>
        <v>85.939238410699431</v>
      </c>
      <c r="NK49" s="1576">
        <f>'Paso 1.1'!Q46*Tiempos!$L$44</f>
        <v>86.286594743748992</v>
      </c>
      <c r="NL49" s="1576">
        <f>'Paso 1.1'!R46*Tiempos!$L$44</f>
        <v>86.635355050400619</v>
      </c>
      <c r="NM49" s="1576">
        <f>'Paso 1.1'!S46*Tiempos!$L$44</f>
        <v>86.985525005351093</v>
      </c>
      <c r="NN49" s="1576">
        <f>'Paso 1.1'!T46*Tiempos!$L$44</f>
        <v>87.33711030623374</v>
      </c>
      <c r="NO49" s="1576">
        <f>'Paso 1.1'!U46*Tiempos!$L$44</f>
        <v>87.690116673710932</v>
      </c>
      <c r="NP49" s="1576"/>
      <c r="NQ49" s="1576"/>
      <c r="NR49" s="1576"/>
      <c r="NS49" s="1576"/>
      <c r="NT49" s="1576"/>
      <c r="NU49" s="1576"/>
      <c r="NV49" s="1576"/>
      <c r="NW49" s="1576"/>
      <c r="NX49" s="1576"/>
      <c r="NY49" s="1576"/>
      <c r="NZ49" s="1576"/>
      <c r="OA49" s="1576"/>
      <c r="OB49" s="1576"/>
      <c r="OC49" s="1576"/>
      <c r="OD49" s="1576"/>
      <c r="OE49" s="1576"/>
      <c r="OF49" s="1576"/>
      <c r="OG49" s="1576"/>
      <c r="OH49" s="1576"/>
      <c r="OI49" s="1576"/>
      <c r="OJ49" s="1576"/>
      <c r="OK49" s="1576"/>
      <c r="OL49" s="1576"/>
      <c r="OM49" s="1576"/>
      <c r="ON49" s="1576"/>
      <c r="OO49" s="1576"/>
      <c r="OP49" s="1576"/>
      <c r="OQ49" s="1576"/>
      <c r="OR49" s="1576"/>
      <c r="OS49" s="1576"/>
      <c r="OT49" s="1576"/>
      <c r="OU49" s="1576"/>
      <c r="OV49" s="1576"/>
      <c r="OW49" s="1576"/>
      <c r="OX49" s="1576"/>
      <c r="OY49" s="1576"/>
      <c r="OZ49" s="1576"/>
      <c r="PA49" s="1576"/>
      <c r="PB49" s="1576"/>
      <c r="PC49" s="1576"/>
      <c r="PD49" s="1576"/>
      <c r="PE49" s="1576"/>
      <c r="PF49" s="1576"/>
      <c r="PG49" s="1576"/>
      <c r="PH49" s="1576"/>
      <c r="PI49" s="1576"/>
      <c r="PJ49" s="1576"/>
      <c r="PK49" s="1576"/>
      <c r="PL49" s="1576"/>
      <c r="PM49" s="1576"/>
      <c r="PN49" s="1576"/>
      <c r="PO49" s="1576"/>
      <c r="PP49" s="1576"/>
      <c r="PQ49" s="1576"/>
      <c r="PR49" s="1576"/>
      <c r="PS49" s="1576"/>
      <c r="PT49" s="1576"/>
      <c r="PU49" s="1576"/>
      <c r="PV49" s="1576"/>
      <c r="PW49" s="1576"/>
      <c r="PX49" s="1576"/>
      <c r="PY49" s="1576"/>
      <c r="PZ49" s="1576"/>
      <c r="QA49" s="1576"/>
      <c r="QB49" s="1576"/>
      <c r="QC49" s="1576"/>
      <c r="QD49" s="1576"/>
      <c r="QE49" s="1576"/>
      <c r="QF49" s="1576"/>
      <c r="QG49" s="1576"/>
      <c r="QH49" s="1576"/>
      <c r="QI49" s="1576"/>
      <c r="QJ49" s="1576"/>
      <c r="QK49" s="1576"/>
      <c r="QL49" s="1576"/>
      <c r="QM49" s="1576"/>
      <c r="QN49" s="1576"/>
      <c r="QO49" s="1576"/>
      <c r="QP49" s="1576"/>
      <c r="QQ49" s="1576"/>
      <c r="QR49" s="1576"/>
      <c r="QS49" s="1576"/>
      <c r="QT49" s="1576"/>
      <c r="QU49" s="1576"/>
      <c r="QV49" s="1576"/>
      <c r="QW49" s="1576"/>
      <c r="QX49" s="1576"/>
      <c r="QY49" s="1576"/>
      <c r="QZ49" s="1576"/>
      <c r="RA49" s="1576"/>
      <c r="RB49" s="1576"/>
      <c r="RC49" s="1576"/>
      <c r="RD49" s="1576"/>
      <c r="RE49" s="1576"/>
      <c r="RF49" s="1576"/>
      <c r="RG49" s="1576"/>
      <c r="RH49" s="1576"/>
      <c r="RI49" s="1576"/>
      <c r="RJ49" s="1576"/>
      <c r="RK49" s="1576"/>
      <c r="RL49" s="1576"/>
      <c r="RM49" s="1576"/>
      <c r="RN49" s="1576"/>
      <c r="RO49" s="1576"/>
      <c r="RP49" s="1576"/>
      <c r="RQ49" s="1576"/>
      <c r="RR49" s="1576"/>
      <c r="RS49" s="1576"/>
      <c r="RT49" s="1576"/>
      <c r="RU49" s="1576"/>
      <c r="RV49" s="1576"/>
      <c r="RW49" s="1576"/>
      <c r="RX49" s="1576"/>
      <c r="RY49" s="1576"/>
      <c r="RZ49" s="1576"/>
      <c r="SA49" s="1576"/>
      <c r="SB49" s="1576"/>
      <c r="SC49" s="1576"/>
      <c r="SD49" s="1576"/>
      <c r="SE49" s="1576"/>
      <c r="SF49" s="1576"/>
      <c r="SG49" s="1576"/>
      <c r="SH49" s="1576"/>
      <c r="SI49" s="1576"/>
      <c r="SJ49" s="1576"/>
      <c r="SK49" s="1576"/>
      <c r="SL49" s="1576"/>
      <c r="SM49" s="1576"/>
      <c r="SN49" s="1576"/>
      <c r="SO49" s="1576"/>
      <c r="SP49" s="1576"/>
      <c r="SQ49" s="1576"/>
      <c r="SR49" s="1576"/>
      <c r="SS49" s="1576"/>
      <c r="ST49" s="1576"/>
      <c r="SU49" s="1576"/>
      <c r="SV49" s="1576"/>
      <c r="SW49" s="1576"/>
      <c r="SX49" s="1576"/>
      <c r="SY49" s="1576"/>
      <c r="SZ49" s="1576"/>
      <c r="TA49" s="1576"/>
      <c r="TB49" s="1576"/>
      <c r="TC49" s="1576"/>
      <c r="TD49" s="1576"/>
      <c r="TE49" s="1576"/>
      <c r="TF49" s="1576"/>
      <c r="TG49" s="1576"/>
      <c r="TH49" s="1576"/>
      <c r="TI49" s="1576"/>
      <c r="TJ49" s="1576"/>
      <c r="TK49" s="1576"/>
      <c r="TL49" s="1576"/>
      <c r="TM49" s="1576"/>
      <c r="TN49" s="1576"/>
      <c r="TO49" s="1576"/>
      <c r="TP49" s="1576"/>
      <c r="TQ49" s="1576"/>
      <c r="TR49" s="1576"/>
      <c r="TS49" s="1576"/>
      <c r="TT49" s="1576"/>
      <c r="TU49" s="1576"/>
      <c r="TV49" s="1576"/>
      <c r="TW49" s="1576"/>
      <c r="TX49" s="1576"/>
      <c r="TY49" s="1576"/>
      <c r="TZ49" s="1576"/>
      <c r="UA49" s="1576"/>
      <c r="UB49" s="1576"/>
      <c r="UC49" s="1576"/>
      <c r="UD49" s="1576"/>
      <c r="UE49" s="1576"/>
      <c r="UF49" s="1576"/>
      <c r="UG49" s="1576"/>
      <c r="UH49" s="1576"/>
      <c r="UI49" s="1576"/>
      <c r="UJ49" s="1576"/>
      <c r="UK49" s="1576"/>
      <c r="UL49" s="1576"/>
      <c r="UM49" s="1576"/>
      <c r="UN49" s="1576"/>
      <c r="UO49" s="1576"/>
      <c r="UP49" s="1576"/>
      <c r="UQ49" s="1576"/>
      <c r="UR49" s="1576"/>
      <c r="US49" s="1576"/>
      <c r="UT49" s="1576"/>
      <c r="UU49" s="1576"/>
      <c r="UV49" s="1576"/>
      <c r="UW49" s="1576"/>
      <c r="UX49" s="1576"/>
      <c r="UY49" s="1576"/>
      <c r="UZ49" s="1576"/>
      <c r="VA49" s="1576"/>
      <c r="VB49" s="1576"/>
      <c r="VC49" s="1576"/>
      <c r="VD49" s="1576"/>
      <c r="VE49" s="1576"/>
      <c r="VF49" s="1576"/>
      <c r="VG49" s="1576"/>
      <c r="VH49" s="1576"/>
      <c r="VI49" s="1576"/>
      <c r="VJ49" s="1576"/>
      <c r="VK49" s="1576"/>
    </row>
    <row r="50" spans="1:583" ht="45" customHeight="1" x14ac:dyDescent="0.25">
      <c r="A50" s="691" t="s">
        <v>2917</v>
      </c>
      <c r="B50" s="1610" t="s">
        <v>629</v>
      </c>
      <c r="C50" s="1582" t="s">
        <v>1318</v>
      </c>
      <c r="D50" s="4710" t="s">
        <v>2108</v>
      </c>
      <c r="E50" s="4710">
        <v>0</v>
      </c>
      <c r="F50" s="2057"/>
      <c r="G50" s="2057"/>
      <c r="H50" s="2057"/>
      <c r="I50" s="2058"/>
      <c r="J50" s="2058"/>
      <c r="K50" s="2058"/>
      <c r="L50" s="2058"/>
      <c r="M50" s="2058"/>
      <c r="N50" s="2058"/>
      <c r="O50" s="2058"/>
      <c r="P50" s="2058"/>
      <c r="Q50" s="2058"/>
      <c r="R50" s="2058"/>
      <c r="S50" s="2058"/>
      <c r="T50" s="2058"/>
      <c r="U50" s="2058"/>
      <c r="V50" s="2058"/>
      <c r="W50" s="2059"/>
      <c r="X50" s="2059"/>
      <c r="Y50" s="2059"/>
      <c r="Z50" s="2059"/>
      <c r="AA50" s="2059"/>
      <c r="AB50" s="2059"/>
      <c r="AC50" s="2059"/>
      <c r="AD50" s="2059"/>
      <c r="AE50" s="2059"/>
      <c r="AF50" s="2059"/>
      <c r="AG50" s="2059"/>
      <c r="AH50" s="2059"/>
      <c r="AI50" s="2059"/>
      <c r="AJ50" s="2059"/>
      <c r="AK50" s="2059"/>
      <c r="AL50" s="2059"/>
      <c r="AM50" s="2059"/>
      <c r="AN50" s="2059"/>
      <c r="AO50" s="2059"/>
      <c r="AP50" s="2059"/>
      <c r="AQ50" s="2059"/>
      <c r="AR50" s="2059"/>
      <c r="AS50" s="2059"/>
      <c r="AT50" s="2059"/>
      <c r="AU50" s="2059"/>
      <c r="AV50" s="2059"/>
      <c r="AW50" s="2059"/>
      <c r="AX50" s="2059"/>
      <c r="AY50" s="2059"/>
      <c r="AZ50" s="2059"/>
      <c r="BA50" s="2059"/>
      <c r="BB50" s="2059"/>
      <c r="BC50" s="2059"/>
      <c r="BD50" s="2059"/>
      <c r="BE50" s="2059"/>
      <c r="BF50" s="2059"/>
      <c r="BG50" s="2059"/>
      <c r="BH50" s="2059"/>
      <c r="BI50" s="2059"/>
      <c r="BJ50" s="2059"/>
      <c r="BK50" s="2059"/>
      <c r="BL50" s="2059"/>
      <c r="BM50" s="2059"/>
      <c r="BN50" s="2059"/>
      <c r="BO50" s="2059"/>
      <c r="BP50" s="2059"/>
      <c r="BQ50" s="2059"/>
      <c r="BR50" s="2059"/>
      <c r="BS50" s="2059"/>
      <c r="BT50" s="2059"/>
      <c r="BU50" s="2059"/>
      <c r="BV50" s="2059"/>
      <c r="BW50" s="2059"/>
      <c r="BX50" s="2059"/>
      <c r="BY50" s="2059"/>
      <c r="BZ50" s="2059"/>
      <c r="CA50" s="2059"/>
      <c r="CB50" s="2059"/>
      <c r="CC50" s="2059"/>
      <c r="CD50" s="2059"/>
      <c r="CE50" s="2059"/>
      <c r="CF50" s="2059"/>
      <c r="CG50" s="2059"/>
      <c r="CH50" s="2059"/>
      <c r="CI50" s="2059"/>
      <c r="CJ50" s="2059"/>
      <c r="CK50" s="2059"/>
      <c r="CL50" s="2059"/>
      <c r="CM50" s="2059"/>
      <c r="CN50" s="2059"/>
      <c r="CO50" s="2059"/>
      <c r="CP50" s="1576"/>
      <c r="CQ50" s="1576"/>
      <c r="CR50" s="1576"/>
      <c r="CS50" s="1576"/>
      <c r="CT50" s="1576"/>
      <c r="CU50" s="1576"/>
      <c r="CV50" s="1576"/>
      <c r="CW50" s="1576"/>
      <c r="CX50" s="1576"/>
      <c r="CY50" s="1576"/>
      <c r="CZ50" s="1576"/>
      <c r="DA50" s="1576"/>
      <c r="DB50" s="1576"/>
      <c r="DC50" s="1576"/>
      <c r="DD50" s="1576"/>
      <c r="DE50" s="1576"/>
      <c r="DF50" s="1576"/>
      <c r="DG50" s="1576"/>
      <c r="DH50" s="1576"/>
      <c r="DI50" s="1576"/>
      <c r="DJ50" s="1576"/>
      <c r="DK50" s="1576"/>
      <c r="DL50" s="1576"/>
      <c r="DM50" s="1576"/>
      <c r="DN50" s="1576"/>
      <c r="DO50" s="1576"/>
      <c r="DP50" s="1576"/>
      <c r="DQ50" s="1576"/>
      <c r="DR50" s="1576"/>
      <c r="DS50" s="1576"/>
      <c r="DT50" s="1576"/>
      <c r="DU50" s="1576"/>
      <c r="DV50" s="1576"/>
      <c r="DW50" s="1576"/>
      <c r="DX50" s="1576"/>
      <c r="DY50" s="1576"/>
      <c r="DZ50" s="1576"/>
      <c r="EA50" s="1576"/>
      <c r="EB50" s="1576"/>
      <c r="EC50" s="1576"/>
      <c r="ED50" s="1576"/>
      <c r="EE50" s="1576"/>
      <c r="EF50" s="1576"/>
      <c r="EG50" s="1576"/>
      <c r="EH50" s="1576"/>
      <c r="EI50" s="1576"/>
      <c r="EJ50" s="1576"/>
      <c r="EK50" s="1576"/>
      <c r="EL50" s="1576"/>
      <c r="EM50" s="1576"/>
      <c r="EN50" s="1576"/>
      <c r="EO50" s="1576"/>
      <c r="EP50" s="1576"/>
      <c r="EQ50" s="1576"/>
      <c r="ER50" s="1576"/>
      <c r="ES50" s="1576"/>
      <c r="ET50" s="1576"/>
      <c r="EU50" s="1576"/>
      <c r="EV50" s="1576"/>
      <c r="EW50" s="1576"/>
      <c r="EX50" s="1576"/>
      <c r="EY50" s="1576"/>
      <c r="EZ50" s="1576"/>
      <c r="FA50" s="1576"/>
      <c r="FB50" s="1576"/>
      <c r="FC50" s="1576"/>
      <c r="FD50" s="1576"/>
      <c r="FE50" s="1576"/>
      <c r="FF50" s="1576"/>
      <c r="FG50" s="1576"/>
      <c r="FH50" s="1576"/>
      <c r="FI50" s="1576"/>
      <c r="FJ50" s="1576"/>
      <c r="FK50" s="1576"/>
      <c r="FL50" s="1576"/>
      <c r="FM50" s="1576"/>
      <c r="FN50" s="1576"/>
      <c r="FO50" s="1576"/>
      <c r="FP50" s="1576"/>
      <c r="FQ50" s="1576"/>
      <c r="FR50" s="1576"/>
      <c r="FS50" s="1576"/>
      <c r="FT50" s="1576"/>
      <c r="FU50" s="1576"/>
      <c r="FV50" s="1576"/>
      <c r="FW50" s="1576"/>
      <c r="FX50" s="1576"/>
      <c r="FY50" s="1576"/>
      <c r="FZ50" s="1576"/>
      <c r="GA50" s="1576"/>
      <c r="GB50" s="1576"/>
      <c r="GC50" s="1576"/>
      <c r="GD50" s="1576"/>
      <c r="GE50" s="1576"/>
      <c r="GF50" s="1576"/>
      <c r="GG50" s="1576"/>
      <c r="GH50" s="1576"/>
      <c r="GI50" s="1576"/>
      <c r="GJ50" s="1576"/>
      <c r="GK50" s="1576"/>
      <c r="GL50" s="1576"/>
      <c r="GM50" s="1576"/>
      <c r="GN50" s="1576"/>
      <c r="GO50" s="1576"/>
      <c r="GP50" s="1576"/>
      <c r="GQ50" s="1576"/>
      <c r="GR50" s="1576"/>
      <c r="GS50" s="1576"/>
      <c r="GT50" s="1576"/>
      <c r="GU50" s="1576"/>
      <c r="GV50" s="1576"/>
      <c r="GW50" s="1576"/>
      <c r="GX50" s="1576"/>
      <c r="GY50" s="1576"/>
      <c r="GZ50" s="1576"/>
      <c r="HA50" s="1576"/>
      <c r="HB50" s="1576"/>
      <c r="HC50" s="1576"/>
      <c r="HD50" s="1576"/>
      <c r="HE50" s="1576"/>
      <c r="HF50" s="1576"/>
      <c r="HG50" s="1576"/>
      <c r="HH50" s="1576"/>
      <c r="HI50" s="1576"/>
      <c r="HJ50" s="1576"/>
      <c r="HK50" s="1576"/>
      <c r="HL50" s="1576"/>
      <c r="HM50" s="1576"/>
      <c r="HN50" s="1576"/>
      <c r="HO50" s="1576"/>
      <c r="HP50" s="1576"/>
      <c r="HQ50" s="1576"/>
      <c r="HR50" s="1576"/>
      <c r="HS50" s="1576"/>
      <c r="HT50" s="1576"/>
      <c r="HU50" s="1576"/>
      <c r="HV50" s="1576"/>
      <c r="HW50" s="1576"/>
      <c r="HX50" s="1576"/>
      <c r="HY50" s="1576"/>
      <c r="HZ50" s="1576"/>
      <c r="IA50" s="1576"/>
      <c r="IB50" s="1576"/>
      <c r="IC50" s="1576"/>
      <c r="ID50" s="1576"/>
      <c r="IE50" s="1576"/>
      <c r="IF50" s="1576"/>
      <c r="IG50" s="1576"/>
      <c r="IH50" s="1576"/>
      <c r="II50" s="1576"/>
      <c r="IJ50" s="1576"/>
      <c r="IK50" s="1576"/>
      <c r="IL50" s="1576"/>
      <c r="IM50" s="1576"/>
      <c r="IN50" s="1576"/>
      <c r="IO50" s="1576"/>
      <c r="IP50" s="1576"/>
      <c r="IQ50" s="1576"/>
      <c r="IR50" s="1576"/>
      <c r="IS50" s="1576"/>
      <c r="IT50" s="1576"/>
      <c r="IU50" s="1576"/>
      <c r="IV50" s="1576"/>
      <c r="IW50" s="1576"/>
      <c r="IX50" s="1576"/>
      <c r="IY50" s="1576"/>
      <c r="IZ50" s="1576"/>
      <c r="JA50" s="2054"/>
      <c r="JB50" s="2054"/>
      <c r="JC50" s="2054"/>
      <c r="JD50" s="2054"/>
      <c r="JE50" s="2054"/>
      <c r="JF50" s="2054"/>
      <c r="JG50" s="2054"/>
      <c r="JH50" s="2054"/>
      <c r="JI50" s="2054"/>
      <c r="JJ50" s="2054"/>
      <c r="JK50" s="2054"/>
      <c r="JL50" s="2054"/>
      <c r="JM50" s="2054"/>
      <c r="JN50" s="2054"/>
      <c r="JO50" s="2054"/>
      <c r="JP50" s="2054"/>
      <c r="JQ50" s="2054"/>
      <c r="JR50" s="1576"/>
      <c r="JS50" s="1576"/>
      <c r="JT50" s="1576"/>
      <c r="JU50" s="1576"/>
      <c r="JV50" s="1576"/>
      <c r="JW50" s="1576"/>
      <c r="JX50" s="1576"/>
      <c r="JY50" s="1576"/>
      <c r="JZ50" s="1576"/>
      <c r="KA50" s="1576"/>
      <c r="KB50" s="1576"/>
      <c r="KC50" s="1576"/>
      <c r="KD50" s="1576"/>
      <c r="KE50" s="1576"/>
      <c r="KF50" s="1576"/>
      <c r="KG50" s="1576"/>
      <c r="KH50" s="1576"/>
      <c r="KI50" s="1576"/>
      <c r="KJ50" s="1576"/>
      <c r="KK50" s="1576"/>
      <c r="KL50" s="1576"/>
      <c r="KM50" s="1576"/>
      <c r="KN50" s="1576"/>
      <c r="KO50" s="1576"/>
      <c r="KP50" s="1576"/>
      <c r="KQ50" s="1576"/>
      <c r="KR50" s="1576"/>
      <c r="KS50" s="1576"/>
      <c r="KT50" s="1576"/>
      <c r="KU50" s="1576"/>
      <c r="KV50" s="1576"/>
      <c r="KW50" s="1576"/>
      <c r="KX50" s="1576"/>
      <c r="KY50" s="1576"/>
      <c r="KZ50" s="1576"/>
      <c r="LA50" s="1576"/>
      <c r="LB50" s="1576"/>
      <c r="LC50" s="1576"/>
      <c r="LD50" s="1576"/>
      <c r="LE50" s="1576"/>
      <c r="LF50" s="1576"/>
      <c r="LG50" s="1576"/>
      <c r="LH50" s="1576"/>
      <c r="LI50" s="1576"/>
      <c r="LJ50" s="1576"/>
      <c r="LK50" s="1576"/>
      <c r="LL50" s="1576"/>
      <c r="LM50" s="1576"/>
      <c r="LN50" s="1576"/>
      <c r="LO50" s="1576"/>
      <c r="LP50" s="1576"/>
      <c r="LQ50" s="1576"/>
      <c r="LR50" s="1576"/>
      <c r="LS50" s="1576"/>
      <c r="LT50" s="1576"/>
      <c r="LU50" s="1576"/>
      <c r="LV50" s="1576"/>
      <c r="LW50" s="1576"/>
      <c r="LX50" s="1576"/>
      <c r="LY50" s="1576"/>
      <c r="LZ50" s="1576"/>
      <c r="MA50" s="1576"/>
      <c r="MB50" s="1576"/>
      <c r="MC50" s="1576"/>
      <c r="MD50" s="1576"/>
      <c r="ME50" s="1576"/>
      <c r="MF50" s="1576"/>
      <c r="MG50" s="1576"/>
      <c r="MH50" s="1576">
        <f>'Paso 1.1'!E47*Tiempos!$H$45</f>
        <v>59.815427442763273</v>
      </c>
      <c r="MI50" s="1576">
        <f>'Paso 1.1'!F47*Tiempos!$H$45</f>
        <v>60.277170322608626</v>
      </c>
      <c r="MJ50" s="1576">
        <f>'Paso 1.1'!G47*Tiempos!$H$45</f>
        <v>60.739262077970224</v>
      </c>
      <c r="MK50" s="1576">
        <f>'Paso 1.1'!H47*Tiempos!$H$45</f>
        <v>61.201702909895559</v>
      </c>
      <c r="ML50" s="1576">
        <f>'Paso 1.1'!I47*Tiempos!$H$45</f>
        <v>61.664493019535485</v>
      </c>
      <c r="MM50" s="1576">
        <f>'Paso 1.1'!J47*Tiempos!$H$45</f>
        <v>62.127632608144324</v>
      </c>
      <c r="MN50" s="1576">
        <f>'Paso 1.1'!K47*Tiempos!$H$45</f>
        <v>62.591121877079971</v>
      </c>
      <c r="MO50" s="1576">
        <f>'Paso 1.1'!L47*Tiempos!$H$45</f>
        <v>63.054961027803898</v>
      </c>
      <c r="MP50" s="1576">
        <f>'Paso 1.1'!M47*Tiempos!$H$45</f>
        <v>63.519150261881165</v>
      </c>
      <c r="MQ50" s="1576">
        <f>'Paso 1.1'!N47*Tiempos!$H$45</f>
        <v>63.983689780980527</v>
      </c>
      <c r="MR50" s="1576">
        <f>'Paso 1.1'!O47*Tiempos!$H$45</f>
        <v>64.448579786874447</v>
      </c>
      <c r="MS50" s="1576">
        <f>'Paso 1.1'!P47*Tiempos!$H$45</f>
        <v>64.913820481439188</v>
      </c>
      <c r="MT50" s="1576">
        <f>'Paso 1.1'!Q47*Tiempos!$H$45</f>
        <v>65.379412066654879</v>
      </c>
      <c r="MU50" s="1576">
        <f>'Paso 1.1'!R47*Tiempos!$H$45</f>
        <v>65.845354744605444</v>
      </c>
      <c r="MV50" s="1576">
        <f>'Paso 1.1'!S47*Tiempos!$H$45</f>
        <v>66.311648717478789</v>
      </c>
      <c r="MW50" s="1576">
        <f>'Paso 1.1'!T47*Tiempos!$H$45</f>
        <v>66.778294187566758</v>
      </c>
      <c r="MX50" s="1576">
        <f>'Paso 1.1'!U47*Tiempos!$H$45</f>
        <v>67.245291357265259</v>
      </c>
      <c r="MY50" s="1576">
        <f>'Paso 1.1'!E47*Tiempos!$L$45</f>
        <v>29.907713721381636</v>
      </c>
      <c r="MZ50" s="1576">
        <f>'Paso 1.1'!F47*Tiempos!$L$45</f>
        <v>30.138585161304313</v>
      </c>
      <c r="NA50" s="1576">
        <f>'Paso 1.1'!G47*Tiempos!$L$45</f>
        <v>30.369631038985112</v>
      </c>
      <c r="NB50" s="1576">
        <f>'Paso 1.1'!H47*Tiempos!$L$45</f>
        <v>30.600851454947779</v>
      </c>
      <c r="NC50" s="1576">
        <f>'Paso 1.1'!I47*Tiempos!$L$45</f>
        <v>30.832246509767742</v>
      </c>
      <c r="ND50" s="1576">
        <f>'Paso 1.1'!J47*Tiempos!$L$45</f>
        <v>31.063816304072162</v>
      </c>
      <c r="NE50" s="1576">
        <f>'Paso 1.1'!K47*Tiempos!$L$45</f>
        <v>31.295560938539985</v>
      </c>
      <c r="NF50" s="1576">
        <f>'Paso 1.1'!L47*Tiempos!$L$45</f>
        <v>31.527480513901949</v>
      </c>
      <c r="NG50" s="1576">
        <f>'Paso 1.1'!M47*Tiempos!$L$45</f>
        <v>31.759575130940583</v>
      </c>
      <c r="NH50" s="1576">
        <f>'Paso 1.1'!N47*Tiempos!$L$45</f>
        <v>31.991844890490263</v>
      </c>
      <c r="NI50" s="1576">
        <f>'Paso 1.1'!O47*Tiempos!$L$45</f>
        <v>32.224289893437223</v>
      </c>
      <c r="NJ50" s="1576">
        <f>'Paso 1.1'!P47*Tiempos!$L$45</f>
        <v>32.456910240719594</v>
      </c>
      <c r="NK50" s="1576">
        <f>'Paso 1.1'!Q47*Tiempos!$L$45</f>
        <v>32.68970603332744</v>
      </c>
      <c r="NL50" s="1576">
        <f>'Paso 1.1'!R47*Tiempos!$L$45</f>
        <v>32.922677372302722</v>
      </c>
      <c r="NM50" s="1576">
        <f>'Paso 1.1'!S47*Tiempos!$L$45</f>
        <v>33.155824358739395</v>
      </c>
      <c r="NN50" s="1576">
        <f>'Paso 1.1'!T47*Tiempos!$L$45</f>
        <v>33.389147093783379</v>
      </c>
      <c r="NO50" s="1576">
        <f>'Paso 1.1'!U47*Tiempos!$L$45</f>
        <v>33.62264567863263</v>
      </c>
      <c r="NP50" s="1576"/>
      <c r="NQ50" s="1576"/>
      <c r="NR50" s="1576"/>
      <c r="NS50" s="1576"/>
      <c r="NT50" s="1576"/>
      <c r="NU50" s="1576"/>
      <c r="NV50" s="1576"/>
      <c r="NW50" s="1576"/>
      <c r="NX50" s="1576"/>
      <c r="NY50" s="1576"/>
      <c r="NZ50" s="1576"/>
      <c r="OA50" s="1576"/>
      <c r="OB50" s="1576"/>
      <c r="OC50" s="1576"/>
      <c r="OD50" s="1576"/>
      <c r="OE50" s="1576"/>
      <c r="OF50" s="1576"/>
      <c r="OG50" s="1576"/>
      <c r="OH50" s="1576"/>
      <c r="OI50" s="1576"/>
      <c r="OJ50" s="1576"/>
      <c r="OK50" s="1576"/>
      <c r="OL50" s="1576"/>
      <c r="OM50" s="1576"/>
      <c r="ON50" s="1576"/>
      <c r="OO50" s="1576"/>
      <c r="OP50" s="1576"/>
      <c r="OQ50" s="1576"/>
      <c r="OR50" s="1576"/>
      <c r="OS50" s="1576"/>
      <c r="OT50" s="1576"/>
      <c r="OU50" s="1576"/>
      <c r="OV50" s="1576"/>
      <c r="OW50" s="1576"/>
      <c r="OX50" s="1576"/>
      <c r="OY50" s="1576"/>
      <c r="OZ50" s="1576"/>
      <c r="PA50" s="1576"/>
      <c r="PB50" s="1576"/>
      <c r="PC50" s="1576"/>
      <c r="PD50" s="1576"/>
      <c r="PE50" s="1576"/>
      <c r="PF50" s="1576"/>
      <c r="PG50" s="1576"/>
      <c r="PH50" s="1576"/>
      <c r="PI50" s="1576"/>
      <c r="PJ50" s="1576"/>
      <c r="PK50" s="1576"/>
      <c r="PL50" s="1576"/>
      <c r="PM50" s="1576"/>
      <c r="PN50" s="1576"/>
      <c r="PO50" s="1576"/>
      <c r="PP50" s="1576"/>
      <c r="PQ50" s="1576"/>
      <c r="PR50" s="1576"/>
      <c r="PS50" s="1576"/>
      <c r="PT50" s="1576"/>
      <c r="PU50" s="1576"/>
      <c r="PV50" s="1576"/>
      <c r="PW50" s="1576"/>
      <c r="PX50" s="1576"/>
      <c r="PY50" s="1576"/>
      <c r="PZ50" s="1576"/>
      <c r="QA50" s="1576"/>
      <c r="QB50" s="1576"/>
      <c r="QC50" s="1576"/>
      <c r="QD50" s="1576"/>
      <c r="QE50" s="1576"/>
      <c r="QF50" s="1576"/>
      <c r="QG50" s="1576"/>
      <c r="QH50" s="1576"/>
      <c r="QI50" s="1576"/>
      <c r="QJ50" s="1576"/>
      <c r="QK50" s="1576"/>
      <c r="QL50" s="1576"/>
      <c r="QM50" s="1576"/>
      <c r="QN50" s="1576"/>
      <c r="QO50" s="1576"/>
      <c r="QP50" s="1576"/>
      <c r="QQ50" s="1576"/>
      <c r="QR50" s="1576"/>
      <c r="QS50" s="1576"/>
      <c r="QT50" s="1576"/>
      <c r="QU50" s="1576"/>
      <c r="QV50" s="1576"/>
      <c r="QW50" s="1576"/>
      <c r="QX50" s="1576"/>
      <c r="QY50" s="1576"/>
      <c r="QZ50" s="1576"/>
      <c r="RA50" s="1576"/>
      <c r="RB50" s="1576"/>
      <c r="RC50" s="1576"/>
      <c r="RD50" s="1576"/>
      <c r="RE50" s="1576"/>
      <c r="RF50" s="1576"/>
      <c r="RG50" s="1576"/>
      <c r="RH50" s="1576"/>
      <c r="RI50" s="1576"/>
      <c r="RJ50" s="1576"/>
      <c r="RK50" s="1576"/>
      <c r="RL50" s="1576"/>
      <c r="RM50" s="1576"/>
      <c r="RN50" s="1576"/>
      <c r="RO50" s="1576"/>
      <c r="RP50" s="1576"/>
      <c r="RQ50" s="1576"/>
      <c r="RR50" s="1576"/>
      <c r="RS50" s="1576"/>
      <c r="RT50" s="1576"/>
      <c r="RU50" s="1576"/>
      <c r="RV50" s="1576"/>
      <c r="RW50" s="1576"/>
      <c r="RX50" s="1576"/>
      <c r="RY50" s="1576"/>
      <c r="RZ50" s="1576"/>
      <c r="SA50" s="1576"/>
      <c r="SB50" s="1576"/>
      <c r="SC50" s="1576"/>
      <c r="SD50" s="1576"/>
      <c r="SE50" s="1576"/>
      <c r="SF50" s="1576"/>
      <c r="SG50" s="1576"/>
      <c r="SH50" s="1576"/>
      <c r="SI50" s="1576"/>
      <c r="SJ50" s="1576"/>
      <c r="SK50" s="1576"/>
      <c r="SL50" s="1576"/>
      <c r="SM50" s="1576"/>
      <c r="SN50" s="1576"/>
      <c r="SO50" s="1576"/>
      <c r="SP50" s="1576"/>
      <c r="SQ50" s="1576"/>
      <c r="SR50" s="1576"/>
      <c r="SS50" s="1576"/>
      <c r="ST50" s="1576"/>
      <c r="SU50" s="1576"/>
      <c r="SV50" s="1576"/>
      <c r="SW50" s="1576"/>
      <c r="SX50" s="1576"/>
      <c r="SY50" s="1576"/>
      <c r="SZ50" s="1576"/>
      <c r="TA50" s="1576"/>
      <c r="TB50" s="1576"/>
      <c r="TC50" s="1576"/>
      <c r="TD50" s="1576"/>
      <c r="TE50" s="1576"/>
      <c r="TF50" s="1576"/>
      <c r="TG50" s="1576"/>
      <c r="TH50" s="1576"/>
      <c r="TI50" s="1576"/>
      <c r="TJ50" s="1576"/>
      <c r="TK50" s="1576"/>
      <c r="TL50" s="1576"/>
      <c r="TM50" s="1576"/>
      <c r="TN50" s="1576"/>
      <c r="TO50" s="1576"/>
      <c r="TP50" s="1576"/>
      <c r="TQ50" s="1576"/>
      <c r="TR50" s="1576"/>
      <c r="TS50" s="1576"/>
      <c r="TT50" s="1576"/>
      <c r="TU50" s="1576"/>
      <c r="TV50" s="1576"/>
      <c r="TW50" s="1576"/>
      <c r="TX50" s="1576"/>
      <c r="TY50" s="1576"/>
      <c r="TZ50" s="1576"/>
      <c r="UA50" s="1576"/>
      <c r="UB50" s="1576"/>
      <c r="UC50" s="1576"/>
      <c r="UD50" s="1576"/>
      <c r="UE50" s="1576"/>
      <c r="UF50" s="1576"/>
      <c r="UG50" s="1576"/>
      <c r="UH50" s="1576"/>
      <c r="UI50" s="1576"/>
      <c r="UJ50" s="1576"/>
      <c r="UK50" s="1576"/>
      <c r="UL50" s="1576"/>
      <c r="UM50" s="1576"/>
      <c r="UN50" s="1576"/>
      <c r="UO50" s="1576"/>
      <c r="UP50" s="1576"/>
      <c r="UQ50" s="1576"/>
      <c r="UR50" s="1576"/>
      <c r="US50" s="1576"/>
      <c r="UT50" s="1576"/>
      <c r="UU50" s="1576"/>
      <c r="UV50" s="1576"/>
      <c r="UW50" s="1576"/>
      <c r="UX50" s="1576"/>
      <c r="UY50" s="1576"/>
      <c r="UZ50" s="1576"/>
      <c r="VA50" s="1576"/>
      <c r="VB50" s="1576"/>
      <c r="VC50" s="1576"/>
      <c r="VD50" s="1576"/>
      <c r="VE50" s="1576"/>
      <c r="VF50" s="1576"/>
      <c r="VG50" s="1576"/>
      <c r="VH50" s="1576"/>
      <c r="VI50" s="1576"/>
      <c r="VJ50" s="1576"/>
      <c r="VK50" s="1576"/>
    </row>
    <row r="51" spans="1:583" x14ac:dyDescent="0.25">
      <c r="B51" s="1610" t="s">
        <v>629</v>
      </c>
      <c r="C51" s="1582" t="s">
        <v>2739</v>
      </c>
      <c r="D51" s="4710" t="s">
        <v>2114</v>
      </c>
      <c r="E51" s="4710">
        <v>0</v>
      </c>
      <c r="F51" s="2057"/>
      <c r="G51" s="2057"/>
      <c r="H51" s="2057"/>
      <c r="I51" s="2058"/>
      <c r="J51" s="2058"/>
      <c r="K51" s="2058"/>
      <c r="L51" s="2058"/>
      <c r="M51" s="2058"/>
      <c r="N51" s="2058"/>
      <c r="O51" s="2058"/>
      <c r="P51" s="2058"/>
      <c r="Q51" s="2058"/>
      <c r="R51" s="2058"/>
      <c r="S51" s="2058"/>
      <c r="T51" s="2058"/>
      <c r="U51" s="2058"/>
      <c r="V51" s="2058"/>
      <c r="W51" s="2059"/>
      <c r="X51" s="2059"/>
      <c r="Y51" s="2059"/>
      <c r="Z51" s="2059"/>
      <c r="AA51" s="2059"/>
      <c r="AB51" s="2059"/>
      <c r="AC51" s="2059"/>
      <c r="AD51" s="2059"/>
      <c r="AE51" s="2059"/>
      <c r="AF51" s="2059"/>
      <c r="AG51" s="2059"/>
      <c r="AH51" s="2059"/>
      <c r="AI51" s="2059"/>
      <c r="AJ51" s="2059"/>
      <c r="AK51" s="2059"/>
      <c r="AL51" s="2059"/>
      <c r="AM51" s="2059"/>
      <c r="AN51" s="2059"/>
      <c r="AO51" s="2059"/>
      <c r="AP51" s="2059"/>
      <c r="AQ51" s="2059"/>
      <c r="AR51" s="2059"/>
      <c r="AS51" s="2059"/>
      <c r="AT51" s="2059"/>
      <c r="AU51" s="2059"/>
      <c r="AV51" s="2059"/>
      <c r="AW51" s="2059"/>
      <c r="AX51" s="2059"/>
      <c r="AY51" s="2059"/>
      <c r="AZ51" s="2059"/>
      <c r="BA51" s="2059"/>
      <c r="BB51" s="2059"/>
      <c r="BC51" s="2059"/>
      <c r="BD51" s="2059"/>
      <c r="BE51" s="2059"/>
      <c r="BF51" s="2059"/>
      <c r="BG51" s="2059"/>
      <c r="BH51" s="2059"/>
      <c r="BI51" s="2059"/>
      <c r="BJ51" s="2059"/>
      <c r="BK51" s="2059"/>
      <c r="BL51" s="2059"/>
      <c r="BM51" s="2059"/>
      <c r="BN51" s="2059"/>
      <c r="BO51" s="2059"/>
      <c r="BP51" s="2059"/>
      <c r="BQ51" s="2059"/>
      <c r="BR51" s="2059"/>
      <c r="BS51" s="2059"/>
      <c r="BT51" s="2059"/>
      <c r="BU51" s="2059"/>
      <c r="BV51" s="2059"/>
      <c r="BW51" s="2059"/>
      <c r="BX51" s="2059"/>
      <c r="BY51" s="2059"/>
      <c r="BZ51" s="2059"/>
      <c r="CA51" s="2059"/>
      <c r="CB51" s="2059"/>
      <c r="CC51" s="2059"/>
      <c r="CD51" s="2059"/>
      <c r="CE51" s="2059"/>
      <c r="CF51" s="2059"/>
      <c r="CG51" s="2059"/>
      <c r="CH51" s="2059"/>
      <c r="CI51" s="2059"/>
      <c r="CJ51" s="2059"/>
      <c r="CK51" s="2059"/>
      <c r="CL51" s="2059"/>
      <c r="CM51" s="2059"/>
      <c r="CN51" s="2059"/>
      <c r="CO51" s="2059"/>
      <c r="CP51" s="1576"/>
      <c r="CQ51" s="1576"/>
      <c r="CR51" s="1576"/>
      <c r="CS51" s="1576"/>
      <c r="CT51" s="1576"/>
      <c r="CU51" s="1576"/>
      <c r="CV51" s="1576"/>
      <c r="CW51" s="1576"/>
      <c r="CX51" s="1576"/>
      <c r="CY51" s="1576"/>
      <c r="CZ51" s="1576"/>
      <c r="DA51" s="1576"/>
      <c r="DB51" s="1576"/>
      <c r="DC51" s="1576"/>
      <c r="DD51" s="1576"/>
      <c r="DE51" s="1576"/>
      <c r="DF51" s="1576"/>
      <c r="DG51" s="1576"/>
      <c r="DH51" s="1576"/>
      <c r="DI51" s="1576"/>
      <c r="DJ51" s="1576"/>
      <c r="DK51" s="1576"/>
      <c r="DL51" s="1576"/>
      <c r="DM51" s="1576"/>
      <c r="DN51" s="1576"/>
      <c r="DO51" s="1576"/>
      <c r="DP51" s="1576"/>
      <c r="DQ51" s="1576"/>
      <c r="DR51" s="1576"/>
      <c r="DS51" s="1576"/>
      <c r="DT51" s="1576"/>
      <c r="DU51" s="1576"/>
      <c r="DV51" s="1576"/>
      <c r="DW51" s="1576"/>
      <c r="DX51" s="1576"/>
      <c r="DY51" s="1576"/>
      <c r="DZ51" s="1576"/>
      <c r="EA51" s="1576"/>
      <c r="EB51" s="1576"/>
      <c r="EC51" s="1576"/>
      <c r="ED51" s="1576"/>
      <c r="EE51" s="1576"/>
      <c r="EF51" s="1576"/>
      <c r="EG51" s="1576"/>
      <c r="EH51" s="1576"/>
      <c r="EI51" s="1576"/>
      <c r="EJ51" s="1576"/>
      <c r="EK51" s="1576"/>
      <c r="EL51" s="1576"/>
      <c r="EM51" s="1576"/>
      <c r="EN51" s="1576"/>
      <c r="EO51" s="1576"/>
      <c r="EP51" s="1576"/>
      <c r="EQ51" s="1576"/>
      <c r="ER51" s="1576"/>
      <c r="ES51" s="1576"/>
      <c r="ET51" s="1576"/>
      <c r="EU51" s="1576"/>
      <c r="EV51" s="1576"/>
      <c r="EW51" s="1576"/>
      <c r="EX51" s="1576"/>
      <c r="EY51" s="1576"/>
      <c r="EZ51" s="1576"/>
      <c r="FA51" s="1576"/>
      <c r="FB51" s="1576"/>
      <c r="FC51" s="1576"/>
      <c r="FD51" s="1576"/>
      <c r="FE51" s="1576"/>
      <c r="FF51" s="1576"/>
      <c r="FG51" s="1576"/>
      <c r="FH51" s="1576"/>
      <c r="FI51" s="1576"/>
      <c r="FJ51" s="1576"/>
      <c r="FK51" s="1576"/>
      <c r="FL51" s="1576"/>
      <c r="FM51" s="1576"/>
      <c r="FN51" s="1576"/>
      <c r="FO51" s="1576"/>
      <c r="FP51" s="1576"/>
      <c r="FQ51" s="1576"/>
      <c r="FR51" s="1576"/>
      <c r="FS51" s="1576"/>
      <c r="FT51" s="1576"/>
      <c r="FU51" s="1576"/>
      <c r="FV51" s="1576"/>
      <c r="FW51" s="1576"/>
      <c r="FX51" s="1576"/>
      <c r="FY51" s="1576"/>
      <c r="FZ51" s="1576"/>
      <c r="GA51" s="1576"/>
      <c r="GB51" s="1576"/>
      <c r="GC51" s="1576"/>
      <c r="GD51" s="1576"/>
      <c r="GE51" s="1576"/>
      <c r="GF51" s="1576"/>
      <c r="GG51" s="1576"/>
      <c r="GH51" s="1576"/>
      <c r="GI51" s="1576"/>
      <c r="GJ51" s="1576"/>
      <c r="GK51" s="1576"/>
      <c r="GL51" s="1576"/>
      <c r="GM51" s="1576"/>
      <c r="GN51" s="1576"/>
      <c r="GO51" s="1576"/>
      <c r="GP51" s="1576"/>
      <c r="GQ51" s="1576"/>
      <c r="GR51" s="1576"/>
      <c r="GS51" s="1576"/>
      <c r="GT51" s="1576"/>
      <c r="GU51" s="1576"/>
      <c r="GV51" s="1576"/>
      <c r="GW51" s="1576"/>
      <c r="GX51" s="1576"/>
      <c r="GY51" s="1576"/>
      <c r="GZ51" s="1576"/>
      <c r="HA51" s="1576"/>
      <c r="HB51" s="1576"/>
      <c r="HC51" s="1576"/>
      <c r="HD51" s="1576"/>
      <c r="HE51" s="1576"/>
      <c r="HF51" s="1576"/>
      <c r="HG51" s="1576"/>
      <c r="HH51" s="1576"/>
      <c r="HI51" s="1576"/>
      <c r="HJ51" s="1576"/>
      <c r="HK51" s="1576"/>
      <c r="HL51" s="1576"/>
      <c r="HM51" s="1576"/>
      <c r="HN51" s="1576"/>
      <c r="HO51" s="1576"/>
      <c r="HP51" s="1576"/>
      <c r="HQ51" s="1576"/>
      <c r="HR51" s="1576"/>
      <c r="HS51" s="1576"/>
      <c r="HT51" s="1576"/>
      <c r="HU51" s="1576"/>
      <c r="HV51" s="1576"/>
      <c r="HW51" s="1576"/>
      <c r="HX51" s="1576"/>
      <c r="HY51" s="1576"/>
      <c r="HZ51" s="1576"/>
      <c r="IA51" s="1576"/>
      <c r="IB51" s="1576"/>
      <c r="IC51" s="1576"/>
      <c r="ID51" s="1576"/>
      <c r="IE51" s="1576"/>
      <c r="IF51" s="1576"/>
      <c r="IG51" s="1576"/>
      <c r="IH51" s="1576"/>
      <c r="II51" s="1576"/>
      <c r="IJ51" s="1576"/>
      <c r="IK51" s="1576"/>
      <c r="IL51" s="1576"/>
      <c r="IM51" s="1576"/>
      <c r="IN51" s="1576"/>
      <c r="IO51" s="1576"/>
      <c r="IP51" s="1576"/>
      <c r="IQ51" s="1576"/>
      <c r="IR51" s="1576"/>
      <c r="IS51" s="1576"/>
      <c r="IT51" s="1576"/>
      <c r="IU51" s="1576"/>
      <c r="IV51" s="1576"/>
      <c r="IW51" s="1576"/>
      <c r="IX51" s="1576"/>
      <c r="IY51" s="1576"/>
      <c r="IZ51" s="1576"/>
      <c r="JA51" s="2054"/>
      <c r="JB51" s="2054"/>
      <c r="JC51" s="2054"/>
      <c r="JD51" s="2054"/>
      <c r="JE51" s="2054"/>
      <c r="JF51" s="2054"/>
      <c r="JG51" s="2054"/>
      <c r="JH51" s="2054"/>
      <c r="JI51" s="2054"/>
      <c r="JJ51" s="2054"/>
      <c r="JK51" s="2054"/>
      <c r="JL51" s="2054"/>
      <c r="JM51" s="2054"/>
      <c r="JN51" s="2054"/>
      <c r="JO51" s="2054"/>
      <c r="JP51" s="2054"/>
      <c r="JQ51" s="2054"/>
      <c r="JR51" s="1576"/>
      <c r="JS51" s="1576"/>
      <c r="JT51" s="1576"/>
      <c r="JU51" s="1576"/>
      <c r="JV51" s="1576"/>
      <c r="JW51" s="1576"/>
      <c r="JX51" s="1576"/>
      <c r="JY51" s="1576"/>
      <c r="JZ51" s="1576"/>
      <c r="KA51" s="1576"/>
      <c r="KB51" s="1576"/>
      <c r="KC51" s="1576"/>
      <c r="KD51" s="1576"/>
      <c r="KE51" s="1576"/>
      <c r="KF51" s="1576"/>
      <c r="KG51" s="1576"/>
      <c r="KH51" s="1576"/>
      <c r="KI51" s="1576"/>
      <c r="KJ51" s="1576"/>
      <c r="KK51" s="1576"/>
      <c r="KL51" s="1576"/>
      <c r="KM51" s="1576"/>
      <c r="KN51" s="1576"/>
      <c r="KO51" s="1576"/>
      <c r="KP51" s="1576"/>
      <c r="KQ51" s="1576"/>
      <c r="KR51" s="1576"/>
      <c r="KS51" s="1576"/>
      <c r="KT51" s="1576"/>
      <c r="KU51" s="1576"/>
      <c r="KV51" s="1576"/>
      <c r="KW51" s="1576"/>
      <c r="KX51" s="1576"/>
      <c r="KY51" s="1576"/>
      <c r="KZ51" s="1576"/>
      <c r="LA51" s="1576"/>
      <c r="LB51" s="1576"/>
      <c r="LC51" s="1576"/>
      <c r="LD51" s="1576"/>
      <c r="LE51" s="1576"/>
      <c r="LF51" s="1576"/>
      <c r="LG51" s="1576"/>
      <c r="LH51" s="1576"/>
      <c r="LI51" s="1576"/>
      <c r="LJ51" s="1576"/>
      <c r="LK51" s="1576"/>
      <c r="LL51" s="1576"/>
      <c r="LM51" s="1576"/>
      <c r="LN51" s="1576"/>
      <c r="LO51" s="1576"/>
      <c r="LP51" s="1576"/>
      <c r="LQ51" s="1576" t="e">
        <f>'Paso 1.1'!E48*Tiempos!$H$46</f>
        <v>#DIV/0!</v>
      </c>
      <c r="LR51" s="1576" t="e">
        <f>'Paso 1.1'!F48*Tiempos!$H$46</f>
        <v>#DIV/0!</v>
      </c>
      <c r="LS51" s="1576" t="e">
        <f>'Paso 1.1'!G48*Tiempos!$H$46</f>
        <v>#DIV/0!</v>
      </c>
      <c r="LT51" s="1576" t="e">
        <f>'Paso 1.1'!H48*Tiempos!$H$46</f>
        <v>#DIV/0!</v>
      </c>
      <c r="LU51" s="1576" t="e">
        <f>'Paso 1.1'!I48*Tiempos!$H$46</f>
        <v>#DIV/0!</v>
      </c>
      <c r="LV51" s="1576" t="e">
        <f>'Paso 1.1'!J48*Tiempos!$H$46</f>
        <v>#DIV/0!</v>
      </c>
      <c r="LW51" s="1576" t="e">
        <f>'Paso 1.1'!K48*Tiempos!$H$46</f>
        <v>#DIV/0!</v>
      </c>
      <c r="LX51" s="1576" t="e">
        <f>'Paso 1.1'!L48*Tiempos!$H$46</f>
        <v>#DIV/0!</v>
      </c>
      <c r="LY51" s="1576" t="e">
        <f>'Paso 1.1'!M48*Tiempos!$H$46</f>
        <v>#DIV/0!</v>
      </c>
      <c r="LZ51" s="1576" t="e">
        <f>'Paso 1.1'!N48*Tiempos!$H$46</f>
        <v>#DIV/0!</v>
      </c>
      <c r="MA51" s="1576" t="e">
        <f>'Paso 1.1'!O48*Tiempos!$H$46</f>
        <v>#DIV/0!</v>
      </c>
      <c r="MB51" s="1576" t="e">
        <f>'Paso 1.1'!P48*Tiempos!$H$46</f>
        <v>#DIV/0!</v>
      </c>
      <c r="MC51" s="1576" t="e">
        <f>'Paso 1.1'!Q48*Tiempos!$H$46</f>
        <v>#DIV/0!</v>
      </c>
      <c r="MD51" s="1576" t="e">
        <f>'Paso 1.1'!R48*Tiempos!$H$46</f>
        <v>#DIV/0!</v>
      </c>
      <c r="ME51" s="1576" t="e">
        <f>'Paso 1.1'!S48*Tiempos!$H$46</f>
        <v>#DIV/0!</v>
      </c>
      <c r="MF51" s="1576" t="e">
        <f>'Paso 1.1'!T48*Tiempos!$H$46</f>
        <v>#DIV/0!</v>
      </c>
      <c r="MG51" s="1576" t="e">
        <f>'Paso 1.1'!U48*Tiempos!$H$46</f>
        <v>#DIV/0!</v>
      </c>
      <c r="MH51" s="1576"/>
      <c r="MI51" s="1576"/>
      <c r="MJ51" s="1576"/>
      <c r="MK51" s="1576"/>
      <c r="ML51" s="1576"/>
      <c r="MM51" s="1576"/>
      <c r="MN51" s="1576"/>
      <c r="MO51" s="1576"/>
      <c r="MP51" s="1576"/>
      <c r="MQ51" s="1576"/>
      <c r="MR51" s="1576"/>
      <c r="MS51" s="1576"/>
      <c r="MT51" s="1576"/>
      <c r="MU51" s="1576"/>
      <c r="MV51" s="1576"/>
      <c r="MW51" s="1576"/>
      <c r="MX51" s="1576"/>
      <c r="MY51" s="1576" t="e">
        <f>'Paso 1.1'!E48*Tiempos!$L$46</f>
        <v>#DIV/0!</v>
      </c>
      <c r="MZ51" s="1576" t="e">
        <f>'Paso 1.1'!F48*Tiempos!$L$46</f>
        <v>#DIV/0!</v>
      </c>
      <c r="NA51" s="1576" t="e">
        <f>'Paso 1.1'!G48*Tiempos!$L$46</f>
        <v>#DIV/0!</v>
      </c>
      <c r="NB51" s="1576" t="e">
        <f>'Paso 1.1'!H48*Tiempos!$L$46</f>
        <v>#DIV/0!</v>
      </c>
      <c r="NC51" s="1576" t="e">
        <f>'Paso 1.1'!I48*Tiempos!$L$46</f>
        <v>#DIV/0!</v>
      </c>
      <c r="ND51" s="1576" t="e">
        <f>'Paso 1.1'!J48*Tiempos!$L$46</f>
        <v>#DIV/0!</v>
      </c>
      <c r="NE51" s="1576" t="e">
        <f>'Paso 1.1'!K48*Tiempos!$L$46</f>
        <v>#DIV/0!</v>
      </c>
      <c r="NF51" s="1576" t="e">
        <f>'Paso 1.1'!L48*Tiempos!$L$46</f>
        <v>#DIV/0!</v>
      </c>
      <c r="NG51" s="1576" t="e">
        <f>'Paso 1.1'!M48*Tiempos!$L$46</f>
        <v>#DIV/0!</v>
      </c>
      <c r="NH51" s="1576" t="e">
        <f>'Paso 1.1'!N48*Tiempos!$L$46</f>
        <v>#DIV/0!</v>
      </c>
      <c r="NI51" s="1576" t="e">
        <f>'Paso 1.1'!O48*Tiempos!$L$46</f>
        <v>#DIV/0!</v>
      </c>
      <c r="NJ51" s="1576" t="e">
        <f>'Paso 1.1'!P48*Tiempos!$L$46</f>
        <v>#DIV/0!</v>
      </c>
      <c r="NK51" s="1576" t="e">
        <f>'Paso 1.1'!Q48*Tiempos!$L$46</f>
        <v>#DIV/0!</v>
      </c>
      <c r="NL51" s="1576" t="e">
        <f>'Paso 1.1'!R48*Tiempos!$L$46</f>
        <v>#DIV/0!</v>
      </c>
      <c r="NM51" s="1576" t="e">
        <f>'Paso 1.1'!S48*Tiempos!$L$46</f>
        <v>#DIV/0!</v>
      </c>
      <c r="NN51" s="1576" t="e">
        <f>'Paso 1.1'!T48*Tiempos!$L$46</f>
        <v>#DIV/0!</v>
      </c>
      <c r="NO51" s="1576" t="e">
        <f>'Paso 1.1'!U48*Tiempos!$L$46</f>
        <v>#DIV/0!</v>
      </c>
      <c r="NP51" s="1576"/>
      <c r="NQ51" s="1576"/>
      <c r="NR51" s="1576"/>
      <c r="NS51" s="1576"/>
      <c r="NT51" s="1576"/>
      <c r="NU51" s="1576"/>
      <c r="NV51" s="1576"/>
      <c r="NW51" s="1576"/>
      <c r="NX51" s="1576"/>
      <c r="NY51" s="1576"/>
      <c r="NZ51" s="1576"/>
      <c r="OA51" s="1576"/>
      <c r="OB51" s="1576"/>
      <c r="OC51" s="1576"/>
      <c r="OD51" s="1576"/>
      <c r="OE51" s="1576"/>
      <c r="OF51" s="1576"/>
      <c r="OG51" s="1576"/>
      <c r="OH51" s="1576"/>
      <c r="OI51" s="1576"/>
      <c r="OJ51" s="1576"/>
      <c r="OK51" s="1576"/>
      <c r="OL51" s="1576"/>
      <c r="OM51" s="1576"/>
      <c r="ON51" s="1576"/>
      <c r="OO51" s="1576"/>
      <c r="OP51" s="1576"/>
      <c r="OQ51" s="1576"/>
      <c r="OR51" s="1576"/>
      <c r="OS51" s="1576"/>
      <c r="OT51" s="1576"/>
      <c r="OU51" s="1576"/>
      <c r="OV51" s="1576"/>
      <c r="OW51" s="1576"/>
      <c r="OX51" s="1576"/>
      <c r="OY51" s="1576"/>
      <c r="OZ51" s="1576"/>
      <c r="PA51" s="1576"/>
      <c r="PB51" s="1576"/>
      <c r="PC51" s="1576"/>
      <c r="PD51" s="1576"/>
      <c r="PE51" s="1576"/>
      <c r="PF51" s="1576"/>
      <c r="PG51" s="1576"/>
      <c r="PH51" s="1576"/>
      <c r="PI51" s="1576"/>
      <c r="PJ51" s="1576"/>
      <c r="PK51" s="1576"/>
      <c r="PL51" s="1576"/>
      <c r="PM51" s="1576"/>
      <c r="PN51" s="1576"/>
      <c r="PO51" s="1576"/>
      <c r="PP51" s="1576"/>
      <c r="PQ51" s="1576"/>
      <c r="PR51" s="1576"/>
      <c r="PS51" s="1576"/>
      <c r="PT51" s="1576"/>
      <c r="PU51" s="1576"/>
      <c r="PV51" s="1576"/>
      <c r="PW51" s="1576"/>
      <c r="PX51" s="1576"/>
      <c r="PY51" s="1576"/>
      <c r="PZ51" s="1576"/>
      <c r="QA51" s="1576"/>
      <c r="QB51" s="1576"/>
      <c r="QC51" s="1576"/>
      <c r="QD51" s="1576"/>
      <c r="QE51" s="1576"/>
      <c r="QF51" s="1576"/>
      <c r="QG51" s="1576"/>
      <c r="QH51" s="1576"/>
      <c r="QI51" s="1576"/>
      <c r="QJ51" s="1576"/>
      <c r="QK51" s="1576"/>
      <c r="QL51" s="1576"/>
      <c r="QM51" s="1576"/>
      <c r="QN51" s="1576"/>
      <c r="QO51" s="1576"/>
      <c r="QP51" s="1576"/>
      <c r="QQ51" s="1576"/>
      <c r="QR51" s="1576"/>
      <c r="QS51" s="1576"/>
      <c r="QT51" s="1576"/>
      <c r="QU51" s="1576"/>
      <c r="QV51" s="1576"/>
      <c r="QW51" s="1576"/>
      <c r="QX51" s="1576"/>
      <c r="QY51" s="1576"/>
      <c r="QZ51" s="1576"/>
      <c r="RA51" s="1576"/>
      <c r="RB51" s="1576"/>
      <c r="RC51" s="1576"/>
      <c r="RD51" s="1576"/>
      <c r="RE51" s="1576"/>
      <c r="RF51" s="1576"/>
      <c r="RG51" s="1576"/>
      <c r="RH51" s="1576"/>
      <c r="RI51" s="1576"/>
      <c r="RJ51" s="1576"/>
      <c r="RK51" s="1576"/>
      <c r="RL51" s="1576"/>
      <c r="RM51" s="1576"/>
      <c r="RN51" s="1576"/>
      <c r="RO51" s="1576"/>
      <c r="RP51" s="1576"/>
      <c r="RQ51" s="1576"/>
      <c r="RR51" s="1576"/>
      <c r="RS51" s="1576"/>
      <c r="RT51" s="1576"/>
      <c r="RU51" s="1576"/>
      <c r="RV51" s="1576"/>
      <c r="RW51" s="1576"/>
      <c r="RX51" s="1576"/>
      <c r="RY51" s="1576"/>
      <c r="RZ51" s="1576"/>
      <c r="SA51" s="1576"/>
      <c r="SB51" s="1576"/>
      <c r="SC51" s="1576"/>
      <c r="SD51" s="1576"/>
      <c r="SE51" s="1576"/>
      <c r="SF51" s="1576"/>
      <c r="SG51" s="1576"/>
      <c r="SH51" s="1576"/>
      <c r="SI51" s="1576"/>
      <c r="SJ51" s="1576"/>
      <c r="SK51" s="1576"/>
      <c r="SL51" s="1576"/>
      <c r="SM51" s="1576"/>
      <c r="SN51" s="1576"/>
      <c r="SO51" s="1576"/>
      <c r="SP51" s="1576"/>
      <c r="SQ51" s="1576"/>
      <c r="SR51" s="1576"/>
      <c r="SS51" s="1576"/>
      <c r="ST51" s="1576"/>
      <c r="SU51" s="1576"/>
      <c r="SV51" s="1576"/>
      <c r="SW51" s="1576"/>
      <c r="SX51" s="1576"/>
      <c r="SY51" s="1576"/>
      <c r="SZ51" s="1576"/>
      <c r="TA51" s="1576"/>
      <c r="TB51" s="1576"/>
      <c r="TC51" s="1576"/>
      <c r="TD51" s="1576"/>
      <c r="TE51" s="1576"/>
      <c r="TF51" s="1576"/>
      <c r="TG51" s="1576"/>
      <c r="TH51" s="1576"/>
      <c r="TI51" s="1576"/>
      <c r="TJ51" s="1576"/>
      <c r="TK51" s="1576"/>
      <c r="TL51" s="1576"/>
      <c r="TM51" s="1576"/>
      <c r="TN51" s="1576"/>
      <c r="TO51" s="1576"/>
      <c r="TP51" s="1576"/>
      <c r="TQ51" s="1576"/>
      <c r="TR51" s="1576"/>
      <c r="TS51" s="1576"/>
      <c r="TT51" s="1576"/>
      <c r="TU51" s="1576"/>
      <c r="TV51" s="1576"/>
      <c r="TW51" s="1576"/>
      <c r="TX51" s="1576"/>
      <c r="TY51" s="1576"/>
      <c r="TZ51" s="1576"/>
      <c r="UA51" s="1576"/>
      <c r="UB51" s="1576"/>
      <c r="UC51" s="1576"/>
      <c r="UD51" s="1576"/>
      <c r="UE51" s="1576"/>
      <c r="UF51" s="1576"/>
      <c r="UG51" s="1576"/>
      <c r="UH51" s="1576"/>
      <c r="UI51" s="1576"/>
      <c r="UJ51" s="1576"/>
      <c r="UK51" s="1576"/>
      <c r="UL51" s="1576"/>
      <c r="UM51" s="1576"/>
      <c r="UN51" s="1576"/>
      <c r="UO51" s="1576"/>
      <c r="UP51" s="1576"/>
      <c r="UQ51" s="1576"/>
      <c r="UR51" s="1576"/>
      <c r="US51" s="1576"/>
      <c r="UT51" s="1576"/>
      <c r="UU51" s="1576"/>
      <c r="UV51" s="1576"/>
      <c r="UW51" s="1576"/>
      <c r="UX51" s="1576"/>
      <c r="UY51" s="1576"/>
      <c r="UZ51" s="1576"/>
      <c r="VA51" s="1576"/>
      <c r="VB51" s="1576"/>
      <c r="VC51" s="1576"/>
      <c r="VD51" s="1576"/>
      <c r="VE51" s="1576"/>
      <c r="VF51" s="1576"/>
      <c r="VG51" s="1576"/>
      <c r="VH51" s="1576"/>
      <c r="VI51" s="1576"/>
      <c r="VJ51" s="1576"/>
      <c r="VK51" s="1576"/>
    </row>
    <row r="52" spans="1:583" ht="46.5" customHeight="1" x14ac:dyDescent="0.25">
      <c r="B52" s="1610" t="s">
        <v>629</v>
      </c>
      <c r="C52" s="1582" t="s">
        <v>1321</v>
      </c>
      <c r="D52" s="4710" t="s">
        <v>2117</v>
      </c>
      <c r="E52" s="4710">
        <v>0</v>
      </c>
      <c r="F52" s="1579" t="e">
        <f>'Paso 1.1'!E49*Tiempos!$H$47</f>
        <v>#DIV/0!</v>
      </c>
      <c r="G52" s="1579" t="e">
        <f>'Paso 1.1'!F49*Tiempos!$H$47</f>
        <v>#DIV/0!</v>
      </c>
      <c r="H52" s="1579" t="e">
        <f>'Paso 1.1'!G49*Tiempos!$H$47</f>
        <v>#DIV/0!</v>
      </c>
      <c r="I52" s="1579" t="e">
        <f>'Paso 1.1'!H49*Tiempos!$H$47</f>
        <v>#DIV/0!</v>
      </c>
      <c r="J52" s="1579" t="e">
        <f>'Paso 1.1'!I49*Tiempos!$H$47</f>
        <v>#DIV/0!</v>
      </c>
      <c r="K52" s="1579" t="e">
        <f>'Paso 1.1'!J49*Tiempos!$H$47</f>
        <v>#DIV/0!</v>
      </c>
      <c r="L52" s="1579" t="e">
        <f>'Paso 1.1'!K49*Tiempos!$H$47</f>
        <v>#DIV/0!</v>
      </c>
      <c r="M52" s="1579" t="e">
        <f>'Paso 1.1'!L49*Tiempos!$H$47</f>
        <v>#DIV/0!</v>
      </c>
      <c r="N52" s="1579" t="e">
        <f>'Paso 1.1'!M49*Tiempos!$H$47</f>
        <v>#DIV/0!</v>
      </c>
      <c r="O52" s="1579" t="e">
        <f>'Paso 1.1'!N49*Tiempos!$H$47</f>
        <v>#DIV/0!</v>
      </c>
      <c r="P52" s="1579" t="e">
        <f>'Paso 1.1'!O49*Tiempos!$H$47</f>
        <v>#DIV/0!</v>
      </c>
      <c r="Q52" s="1579" t="e">
        <f>'Paso 1.1'!P49*Tiempos!$H$47</f>
        <v>#DIV/0!</v>
      </c>
      <c r="R52" s="1579" t="e">
        <f>'Paso 1.1'!Q49*Tiempos!$H$47</f>
        <v>#DIV/0!</v>
      </c>
      <c r="S52" s="1579" t="e">
        <f>'Paso 1.1'!R49*Tiempos!$H$47</f>
        <v>#DIV/0!</v>
      </c>
      <c r="T52" s="1579" t="e">
        <f>'Paso 1.1'!S49*Tiempos!$H$47</f>
        <v>#DIV/0!</v>
      </c>
      <c r="U52" s="1579" t="e">
        <f>'Paso 1.1'!T49*Tiempos!$H$47</f>
        <v>#DIV/0!</v>
      </c>
      <c r="V52" s="1579" t="e">
        <f>'Paso 1.1'!U49*Tiempos!$H$47</f>
        <v>#DIV/0!</v>
      </c>
      <c r="W52" s="2058"/>
      <c r="X52" s="2058"/>
      <c r="Y52" s="2058"/>
      <c r="Z52" s="2059"/>
      <c r="AA52" s="2059"/>
      <c r="AB52" s="2059"/>
      <c r="AC52" s="2059"/>
      <c r="AD52" s="2059"/>
      <c r="AE52" s="2059"/>
      <c r="AF52" s="2059"/>
      <c r="AG52" s="2059"/>
      <c r="AH52" s="2059"/>
      <c r="AI52" s="2059"/>
      <c r="AJ52" s="2059"/>
      <c r="AK52" s="2059"/>
      <c r="AL52" s="2059"/>
      <c r="AM52" s="2059"/>
      <c r="AN52" s="2059"/>
      <c r="AO52" s="2059"/>
      <c r="AP52" s="2059"/>
      <c r="AQ52" s="2059"/>
      <c r="AR52" s="2059"/>
      <c r="AS52" s="2059"/>
      <c r="AT52" s="2059"/>
      <c r="AU52" s="2059"/>
      <c r="AV52" s="2059"/>
      <c r="AW52" s="2059"/>
      <c r="AX52" s="2059"/>
      <c r="AY52" s="2059"/>
      <c r="AZ52" s="2059"/>
      <c r="BA52" s="2059"/>
      <c r="BB52" s="2059"/>
      <c r="BC52" s="2059"/>
      <c r="BD52" s="2059"/>
      <c r="BE52" s="2059"/>
      <c r="BF52" s="2059"/>
      <c r="BG52" s="2059"/>
      <c r="BH52" s="2059"/>
      <c r="BI52" s="2059"/>
      <c r="BJ52" s="2059"/>
      <c r="BK52" s="2059"/>
      <c r="BL52" s="2059"/>
      <c r="BM52" s="2059"/>
      <c r="BN52" s="2059"/>
      <c r="BO52" s="2059"/>
      <c r="BP52" s="2059"/>
      <c r="BQ52" s="2059"/>
      <c r="BR52" s="2059"/>
      <c r="BS52" s="2059"/>
      <c r="BT52" s="2059"/>
      <c r="BU52" s="2059"/>
      <c r="BV52" s="2059"/>
      <c r="BW52" s="2059"/>
      <c r="BX52" s="2059"/>
      <c r="BY52" s="2059"/>
      <c r="BZ52" s="2059"/>
      <c r="CA52" s="2059"/>
      <c r="CB52" s="2059"/>
      <c r="CC52" s="2059"/>
      <c r="CD52" s="2059"/>
      <c r="CE52" s="2059"/>
      <c r="CF52" s="2059"/>
      <c r="CG52" s="2059"/>
      <c r="CH52" s="2059"/>
      <c r="CI52" s="2059"/>
      <c r="CJ52" s="2059"/>
      <c r="CK52" s="2059"/>
      <c r="CL52" s="2059"/>
      <c r="CM52" s="2059"/>
      <c r="CN52" s="2059"/>
      <c r="CO52" s="2059"/>
      <c r="CP52" s="1576"/>
      <c r="CQ52" s="1576"/>
      <c r="CR52" s="1576"/>
      <c r="CS52" s="1576"/>
      <c r="CT52" s="1576"/>
      <c r="CU52" s="1576"/>
      <c r="CV52" s="1576"/>
      <c r="CW52" s="1576"/>
      <c r="CX52" s="1576"/>
      <c r="CY52" s="1576"/>
      <c r="CZ52" s="1576"/>
      <c r="DA52" s="1576"/>
      <c r="DB52" s="1576"/>
      <c r="DC52" s="1576"/>
      <c r="DD52" s="1576"/>
      <c r="DE52" s="1576"/>
      <c r="DF52" s="1576"/>
      <c r="DG52" s="1576"/>
      <c r="DH52" s="1576"/>
      <c r="DI52" s="1576"/>
      <c r="DJ52" s="1576"/>
      <c r="DK52" s="1576"/>
      <c r="DL52" s="1576"/>
      <c r="DM52" s="1576"/>
      <c r="DN52" s="1576"/>
      <c r="DO52" s="1576"/>
      <c r="DP52" s="1576"/>
      <c r="DQ52" s="1576"/>
      <c r="DR52" s="1576"/>
      <c r="DS52" s="1576"/>
      <c r="DT52" s="1576"/>
      <c r="DU52" s="1576"/>
      <c r="DV52" s="1576"/>
      <c r="DW52" s="1576"/>
      <c r="DX52" s="1576"/>
      <c r="DY52" s="1576"/>
      <c r="DZ52" s="1576"/>
      <c r="EA52" s="1576"/>
      <c r="EB52" s="1576"/>
      <c r="EC52" s="1576"/>
      <c r="ED52" s="1576"/>
      <c r="EE52" s="1576"/>
      <c r="EF52" s="1576"/>
      <c r="EG52" s="1576"/>
      <c r="EH52" s="1576"/>
      <c r="EI52" s="1576"/>
      <c r="EJ52" s="1576"/>
      <c r="EK52" s="1576"/>
      <c r="EL52" s="1576"/>
      <c r="EM52" s="1576"/>
      <c r="EN52" s="1576"/>
      <c r="EO52" s="1576"/>
      <c r="EP52" s="1576"/>
      <c r="EQ52" s="1576"/>
      <c r="ER52" s="1576"/>
      <c r="ES52" s="1576"/>
      <c r="ET52" s="1576"/>
      <c r="EU52" s="1576"/>
      <c r="EV52" s="1576"/>
      <c r="EW52" s="1576"/>
      <c r="EX52" s="1576"/>
      <c r="EY52" s="1576"/>
      <c r="EZ52" s="1576"/>
      <c r="FA52" s="1576"/>
      <c r="FB52" s="1576"/>
      <c r="FC52" s="1576"/>
      <c r="FD52" s="1576"/>
      <c r="FE52" s="1576"/>
      <c r="FF52" s="1576"/>
      <c r="FG52" s="1576"/>
      <c r="FH52" s="1576"/>
      <c r="FI52" s="1576"/>
      <c r="FJ52" s="1576"/>
      <c r="FK52" s="1576"/>
      <c r="FL52" s="1576"/>
      <c r="FM52" s="1576"/>
      <c r="FN52" s="1576"/>
      <c r="FO52" s="1576"/>
      <c r="FP52" s="1576"/>
      <c r="FQ52" s="1576"/>
      <c r="FR52" s="1576"/>
      <c r="FS52" s="1576"/>
      <c r="FT52" s="1576"/>
      <c r="FU52" s="1576"/>
      <c r="FV52" s="1576"/>
      <c r="FW52" s="1576"/>
      <c r="FX52" s="1576"/>
      <c r="FY52" s="1576"/>
      <c r="FZ52" s="1576"/>
      <c r="GA52" s="1576"/>
      <c r="GB52" s="1576"/>
      <c r="GC52" s="1576"/>
      <c r="GD52" s="1576"/>
      <c r="GE52" s="1576"/>
      <c r="GF52" s="1576"/>
      <c r="GG52" s="1576"/>
      <c r="GH52" s="1576"/>
      <c r="GI52" s="1576"/>
      <c r="GJ52" s="1576"/>
      <c r="GK52" s="1576"/>
      <c r="GL52" s="1576"/>
      <c r="GM52" s="1576"/>
      <c r="GN52" s="1576"/>
      <c r="GO52" s="1576"/>
      <c r="GP52" s="1576"/>
      <c r="GQ52" s="1576"/>
      <c r="GR52" s="1576"/>
      <c r="GS52" s="1576"/>
      <c r="GT52" s="1576"/>
      <c r="GU52" s="1576"/>
      <c r="GV52" s="1576"/>
      <c r="GW52" s="1576"/>
      <c r="GX52" s="1576"/>
      <c r="GY52" s="1576"/>
      <c r="GZ52" s="1576"/>
      <c r="HA52" s="1576"/>
      <c r="HB52" s="1576"/>
      <c r="HC52" s="1576"/>
      <c r="HD52" s="1576"/>
      <c r="HE52" s="1576"/>
      <c r="HF52" s="1576"/>
      <c r="HG52" s="1576"/>
      <c r="HH52" s="1576"/>
      <c r="HI52" s="1576"/>
      <c r="HJ52" s="1576"/>
      <c r="HK52" s="1576"/>
      <c r="HL52" s="1576"/>
      <c r="HM52" s="1576"/>
      <c r="HN52" s="1576"/>
      <c r="HO52" s="1576"/>
      <c r="HP52" s="1576"/>
      <c r="HQ52" s="1576"/>
      <c r="HR52" s="1576"/>
      <c r="HS52" s="1576"/>
      <c r="HT52" s="1576"/>
      <c r="HU52" s="1576"/>
      <c r="HV52" s="1576"/>
      <c r="HW52" s="1576"/>
      <c r="HX52" s="1576"/>
      <c r="HY52" s="1576"/>
      <c r="HZ52" s="1576"/>
      <c r="IA52" s="1576"/>
      <c r="IB52" s="1576"/>
      <c r="IC52" s="1576"/>
      <c r="ID52" s="1576"/>
      <c r="IE52" s="1576"/>
      <c r="IF52" s="1576"/>
      <c r="IG52" s="1576"/>
      <c r="IH52" s="1576"/>
      <c r="II52" s="1576"/>
      <c r="IJ52" s="1576"/>
      <c r="IK52" s="1576"/>
      <c r="IL52" s="1576"/>
      <c r="IM52" s="1576"/>
      <c r="IN52" s="1576"/>
      <c r="IO52" s="1576"/>
      <c r="IP52" s="1576"/>
      <c r="IQ52" s="1576"/>
      <c r="IR52" s="1576"/>
      <c r="IS52" s="1576"/>
      <c r="IT52" s="1576"/>
      <c r="IU52" s="1576"/>
      <c r="IV52" s="1576"/>
      <c r="IW52" s="1576"/>
      <c r="IX52" s="1576"/>
      <c r="IY52" s="1576"/>
      <c r="IZ52" s="1576"/>
      <c r="JA52" s="2054"/>
      <c r="JB52" s="2054"/>
      <c r="JC52" s="2054"/>
      <c r="JD52" s="2054"/>
      <c r="JE52" s="2054"/>
      <c r="JF52" s="2054"/>
      <c r="JG52" s="2054"/>
      <c r="JH52" s="2054"/>
      <c r="JI52" s="2054"/>
      <c r="JJ52" s="2054"/>
      <c r="JK52" s="2054"/>
      <c r="JL52" s="2054"/>
      <c r="JM52" s="2054"/>
      <c r="JN52" s="2054"/>
      <c r="JO52" s="2054"/>
      <c r="JP52" s="2054"/>
      <c r="JQ52" s="2054"/>
      <c r="JR52" s="1576" t="e">
        <f>'Paso 1.1'!E49*Tiempos!$H$47</f>
        <v>#DIV/0!</v>
      </c>
      <c r="JS52" s="1576" t="e">
        <f>'Paso 1.1'!F49*Tiempos!$H$47</f>
        <v>#DIV/0!</v>
      </c>
      <c r="JT52" s="1576" t="e">
        <f>'Paso 1.1'!G49*Tiempos!$H$47</f>
        <v>#DIV/0!</v>
      </c>
      <c r="JU52" s="1576" t="e">
        <f>'Paso 1.1'!H49*Tiempos!$H$47</f>
        <v>#DIV/0!</v>
      </c>
      <c r="JV52" s="1576" t="e">
        <f>'Paso 1.1'!I49*Tiempos!$H$47</f>
        <v>#DIV/0!</v>
      </c>
      <c r="JW52" s="1576" t="e">
        <f>'Paso 1.1'!J49*Tiempos!$H$47</f>
        <v>#DIV/0!</v>
      </c>
      <c r="JX52" s="1576" t="e">
        <f>'Paso 1.1'!K49*Tiempos!$H$47</f>
        <v>#DIV/0!</v>
      </c>
      <c r="JY52" s="1576" t="e">
        <f>'Paso 1.1'!L49*Tiempos!$H$47</f>
        <v>#DIV/0!</v>
      </c>
      <c r="JZ52" s="1576" t="e">
        <f>'Paso 1.1'!M49*Tiempos!$H$47</f>
        <v>#DIV/0!</v>
      </c>
      <c r="KA52" s="1576" t="e">
        <f>'Paso 1.1'!N49*Tiempos!$H$47</f>
        <v>#DIV/0!</v>
      </c>
      <c r="KB52" s="1576" t="e">
        <f>'Paso 1.1'!O49*Tiempos!$H$47</f>
        <v>#DIV/0!</v>
      </c>
      <c r="KC52" s="1576" t="e">
        <f>'Paso 1.1'!P49*Tiempos!$H$47</f>
        <v>#DIV/0!</v>
      </c>
      <c r="KD52" s="1576" t="e">
        <f>'Paso 1.1'!Q49*Tiempos!$H$47</f>
        <v>#DIV/0!</v>
      </c>
      <c r="KE52" s="1576" t="e">
        <f>'Paso 1.1'!R49*Tiempos!$H$47</f>
        <v>#DIV/0!</v>
      </c>
      <c r="KF52" s="1576" t="e">
        <f>'Paso 1.1'!S49*Tiempos!$H$47</f>
        <v>#DIV/0!</v>
      </c>
      <c r="KG52" s="1576" t="e">
        <f>'Paso 1.1'!T49*Tiempos!$H$47</f>
        <v>#DIV/0!</v>
      </c>
      <c r="KH52" s="1576" t="e">
        <f>'Paso 1.1'!U49*Tiempos!$H$47</f>
        <v>#DIV/0!</v>
      </c>
      <c r="KI52" s="1576" t="e">
        <f>'Paso 1.1'!E49*Tiempos!$H$47</f>
        <v>#DIV/0!</v>
      </c>
      <c r="KJ52" s="1576" t="e">
        <f>'Paso 1.1'!F49*Tiempos!$H$47</f>
        <v>#DIV/0!</v>
      </c>
      <c r="KK52" s="1576" t="e">
        <f>'Paso 1.1'!G49*Tiempos!$H$47</f>
        <v>#DIV/0!</v>
      </c>
      <c r="KL52" s="1576" t="e">
        <f>'Paso 1.1'!H49*Tiempos!$H$47</f>
        <v>#DIV/0!</v>
      </c>
      <c r="KM52" s="1576" t="e">
        <f>'Paso 1.1'!I49*Tiempos!$H$47</f>
        <v>#DIV/0!</v>
      </c>
      <c r="KN52" s="1576" t="e">
        <f>'Paso 1.1'!J49*Tiempos!$H$47</f>
        <v>#DIV/0!</v>
      </c>
      <c r="KO52" s="1576" t="e">
        <f>'Paso 1.1'!K49*Tiempos!$H$47</f>
        <v>#DIV/0!</v>
      </c>
      <c r="KP52" s="1576" t="e">
        <f>'Paso 1.1'!L49*Tiempos!$H$47</f>
        <v>#DIV/0!</v>
      </c>
      <c r="KQ52" s="1576" t="e">
        <f>'Paso 1.1'!M49*Tiempos!$H$47</f>
        <v>#DIV/0!</v>
      </c>
      <c r="KR52" s="1576" t="e">
        <f>'Paso 1.1'!N49*Tiempos!$H$47</f>
        <v>#DIV/0!</v>
      </c>
      <c r="KS52" s="1576" t="e">
        <f>'Paso 1.1'!O49*Tiempos!$H$47</f>
        <v>#DIV/0!</v>
      </c>
      <c r="KT52" s="1576" t="e">
        <f>'Paso 1.1'!P49*Tiempos!$H$47</f>
        <v>#DIV/0!</v>
      </c>
      <c r="KU52" s="1576" t="e">
        <f>'Paso 1.1'!Q49*Tiempos!$H$47</f>
        <v>#DIV/0!</v>
      </c>
      <c r="KV52" s="1576" t="e">
        <f>'Paso 1.1'!R49*Tiempos!$H$47</f>
        <v>#DIV/0!</v>
      </c>
      <c r="KW52" s="1576" t="e">
        <f>'Paso 1.1'!S49*Tiempos!$H$47</f>
        <v>#DIV/0!</v>
      </c>
      <c r="KX52" s="1576" t="e">
        <f>'Paso 1.1'!T49*Tiempos!$H$47</f>
        <v>#DIV/0!</v>
      </c>
      <c r="KY52" s="1576" t="e">
        <f>'Paso 1.1'!U49*Tiempos!$H$47</f>
        <v>#DIV/0!</v>
      </c>
      <c r="KZ52" s="1576"/>
      <c r="LA52" s="1576"/>
      <c r="LB52" s="1576"/>
      <c r="LC52" s="1576"/>
      <c r="LD52" s="1576"/>
      <c r="LE52" s="1576"/>
      <c r="LF52" s="1576"/>
      <c r="LG52" s="1576"/>
      <c r="LH52" s="1576"/>
      <c r="LI52" s="1576"/>
      <c r="LJ52" s="1576"/>
      <c r="LK52" s="1576"/>
      <c r="LL52" s="1576"/>
      <c r="LM52" s="1576"/>
      <c r="LN52" s="1576"/>
      <c r="LO52" s="1576"/>
      <c r="LP52" s="1576"/>
      <c r="LQ52" s="1576"/>
      <c r="LR52" s="1576"/>
      <c r="LS52" s="1576"/>
      <c r="LT52" s="1576"/>
      <c r="LU52" s="1576"/>
      <c r="LV52" s="1576"/>
      <c r="LW52" s="1576"/>
      <c r="LX52" s="1576"/>
      <c r="LY52" s="1576"/>
      <c r="LZ52" s="1576"/>
      <c r="MA52" s="1576"/>
      <c r="MB52" s="1576"/>
      <c r="MC52" s="1576"/>
      <c r="MD52" s="1576"/>
      <c r="ME52" s="1576"/>
      <c r="MF52" s="1576"/>
      <c r="MG52" s="1576"/>
      <c r="MH52" s="1576"/>
      <c r="MI52" s="1576"/>
      <c r="MJ52" s="1576"/>
      <c r="MK52" s="1576"/>
      <c r="ML52" s="1576"/>
      <c r="MM52" s="1576"/>
      <c r="MN52" s="1576"/>
      <c r="MO52" s="1576"/>
      <c r="MP52" s="1576"/>
      <c r="MQ52" s="1576"/>
      <c r="MR52" s="1576"/>
      <c r="MS52" s="1576"/>
      <c r="MT52" s="1576"/>
      <c r="MU52" s="1576"/>
      <c r="MV52" s="1576"/>
      <c r="MW52" s="1576"/>
      <c r="MX52" s="1576"/>
      <c r="MY52" s="1576" t="e">
        <f>'Paso 1.1'!E49*Tiempos!$L$47</f>
        <v>#DIV/0!</v>
      </c>
      <c r="MZ52" s="1576" t="e">
        <f>'Paso 1.1'!F49*Tiempos!$L$47</f>
        <v>#DIV/0!</v>
      </c>
      <c r="NA52" s="1576" t="e">
        <f>'Paso 1.1'!G49*Tiempos!$L$47</f>
        <v>#DIV/0!</v>
      </c>
      <c r="NB52" s="1576" t="e">
        <f>'Paso 1.1'!H49*Tiempos!$L$47</f>
        <v>#DIV/0!</v>
      </c>
      <c r="NC52" s="1576" t="e">
        <f>'Paso 1.1'!I49*Tiempos!$L$47</f>
        <v>#DIV/0!</v>
      </c>
      <c r="ND52" s="1576" t="e">
        <f>'Paso 1.1'!J49*Tiempos!$L$47</f>
        <v>#DIV/0!</v>
      </c>
      <c r="NE52" s="1576" t="e">
        <f>'Paso 1.1'!K49*Tiempos!$L$47</f>
        <v>#DIV/0!</v>
      </c>
      <c r="NF52" s="1576" t="e">
        <f>'Paso 1.1'!L49*Tiempos!$L$47</f>
        <v>#DIV/0!</v>
      </c>
      <c r="NG52" s="1576" t="e">
        <f>'Paso 1.1'!M49*Tiempos!$L$47</f>
        <v>#DIV/0!</v>
      </c>
      <c r="NH52" s="1576" t="e">
        <f>'Paso 1.1'!N49*Tiempos!$L$47</f>
        <v>#DIV/0!</v>
      </c>
      <c r="NI52" s="1576" t="e">
        <f>'Paso 1.1'!O49*Tiempos!$L$47</f>
        <v>#DIV/0!</v>
      </c>
      <c r="NJ52" s="1576" t="e">
        <f>'Paso 1.1'!P49*Tiempos!$L$47</f>
        <v>#DIV/0!</v>
      </c>
      <c r="NK52" s="1576" t="e">
        <f>'Paso 1.1'!Q49*Tiempos!$L$47</f>
        <v>#DIV/0!</v>
      </c>
      <c r="NL52" s="1576" t="e">
        <f>'Paso 1.1'!R49*Tiempos!$L$47</f>
        <v>#DIV/0!</v>
      </c>
      <c r="NM52" s="1576" t="e">
        <f>'Paso 1.1'!S49*Tiempos!$L$47</f>
        <v>#DIV/0!</v>
      </c>
      <c r="NN52" s="1576" t="e">
        <f>'Paso 1.1'!T49*Tiempos!$L$47</f>
        <v>#DIV/0!</v>
      </c>
      <c r="NO52" s="1576" t="e">
        <f>'Paso 1.1'!U49*Tiempos!$L$47</f>
        <v>#DIV/0!</v>
      </c>
      <c r="NP52" s="1576"/>
      <c r="NQ52" s="1576"/>
      <c r="NR52" s="1576"/>
      <c r="NS52" s="1576"/>
      <c r="NT52" s="1576"/>
      <c r="NU52" s="1576"/>
      <c r="NV52" s="1576"/>
      <c r="NW52" s="1576"/>
      <c r="NX52" s="1576"/>
      <c r="NY52" s="1576"/>
      <c r="NZ52" s="1576"/>
      <c r="OA52" s="1576"/>
      <c r="OB52" s="1576"/>
      <c r="OC52" s="1576"/>
      <c r="OD52" s="1576"/>
      <c r="OE52" s="1576"/>
      <c r="OF52" s="1576"/>
      <c r="OG52" s="1576"/>
      <c r="OH52" s="1576"/>
      <c r="OI52" s="1576"/>
      <c r="OJ52" s="1576"/>
      <c r="OK52" s="1576"/>
      <c r="OL52" s="1576"/>
      <c r="OM52" s="1576"/>
      <c r="ON52" s="1576"/>
      <c r="OO52" s="1576"/>
      <c r="OP52" s="1576"/>
      <c r="OQ52" s="1576"/>
      <c r="OR52" s="1576"/>
      <c r="OS52" s="1576"/>
      <c r="OT52" s="1576"/>
      <c r="OU52" s="1576"/>
      <c r="OV52" s="1576"/>
      <c r="OW52" s="1576"/>
      <c r="OX52" s="1576"/>
      <c r="OY52" s="1576"/>
      <c r="OZ52" s="1576"/>
      <c r="PA52" s="1576"/>
      <c r="PB52" s="1576"/>
      <c r="PC52" s="1576"/>
      <c r="PD52" s="1576"/>
      <c r="PE52" s="1576"/>
      <c r="PF52" s="1576"/>
      <c r="PG52" s="1576"/>
      <c r="PH52" s="1576"/>
      <c r="PI52" s="1576"/>
      <c r="PJ52" s="1576"/>
      <c r="PK52" s="1576"/>
      <c r="PL52" s="1576"/>
      <c r="PM52" s="1576"/>
      <c r="PN52" s="1576"/>
      <c r="PO52" s="1576"/>
      <c r="PP52" s="1576"/>
      <c r="PQ52" s="1576"/>
      <c r="PR52" s="1576"/>
      <c r="PS52" s="1576"/>
      <c r="PT52" s="1576"/>
      <c r="PU52" s="1576"/>
      <c r="PV52" s="1576"/>
      <c r="PW52" s="1576"/>
      <c r="PX52" s="1576"/>
      <c r="PY52" s="1576"/>
      <c r="PZ52" s="1576"/>
      <c r="QA52" s="1576"/>
      <c r="QB52" s="1576"/>
      <c r="QC52" s="1576"/>
      <c r="QD52" s="1576"/>
      <c r="QE52" s="1576"/>
      <c r="QF52" s="1576"/>
      <c r="QG52" s="1576"/>
      <c r="QH52" s="1576"/>
      <c r="QI52" s="1576"/>
      <c r="QJ52" s="1576"/>
      <c r="QK52" s="1576"/>
      <c r="QL52" s="1576"/>
      <c r="QM52" s="1576"/>
      <c r="QN52" s="1576"/>
      <c r="QO52" s="1576"/>
      <c r="QP52" s="1576"/>
      <c r="QQ52" s="1576"/>
      <c r="QR52" s="1576"/>
      <c r="QS52" s="1576"/>
      <c r="QT52" s="1576"/>
      <c r="QU52" s="1576"/>
      <c r="QV52" s="1576"/>
      <c r="QW52" s="1576"/>
      <c r="QX52" s="1576"/>
      <c r="QY52" s="1576"/>
      <c r="QZ52" s="1576"/>
      <c r="RA52" s="1576"/>
      <c r="RB52" s="1576"/>
      <c r="RC52" s="1576"/>
      <c r="RD52" s="1576"/>
      <c r="RE52" s="1576"/>
      <c r="RF52" s="1576"/>
      <c r="RG52" s="1576"/>
      <c r="RH52" s="1576"/>
      <c r="RI52" s="1576"/>
      <c r="RJ52" s="1576"/>
      <c r="RK52" s="1576"/>
      <c r="RL52" s="1576"/>
      <c r="RM52" s="1576"/>
      <c r="RN52" s="1576"/>
      <c r="RO52" s="1576"/>
      <c r="RP52" s="1576"/>
      <c r="RQ52" s="1576"/>
      <c r="RR52" s="1576"/>
      <c r="RS52" s="1576"/>
      <c r="RT52" s="1576"/>
      <c r="RU52" s="1576"/>
      <c r="RV52" s="1576"/>
      <c r="RW52" s="1576"/>
      <c r="RX52" s="1576"/>
      <c r="RY52" s="1576"/>
      <c r="RZ52" s="1576"/>
      <c r="SA52" s="1576"/>
      <c r="SB52" s="1576"/>
      <c r="SC52" s="1576"/>
      <c r="SD52" s="1576"/>
      <c r="SE52" s="1576"/>
      <c r="SF52" s="1576"/>
      <c r="SG52" s="1576"/>
      <c r="SH52" s="1576"/>
      <c r="SI52" s="1576"/>
      <c r="SJ52" s="1576"/>
      <c r="SK52" s="1576"/>
      <c r="SL52" s="1576"/>
      <c r="SM52" s="1576"/>
      <c r="SN52" s="1576"/>
      <c r="SO52" s="1576"/>
      <c r="SP52" s="1576"/>
      <c r="SQ52" s="1576"/>
      <c r="SR52" s="1576"/>
      <c r="SS52" s="1576"/>
      <c r="ST52" s="1576"/>
      <c r="SU52" s="1576"/>
      <c r="SV52" s="1576"/>
      <c r="SW52" s="1576"/>
      <c r="SX52" s="1576"/>
      <c r="SY52" s="1576"/>
      <c r="SZ52" s="1576"/>
      <c r="TA52" s="1576"/>
      <c r="TB52" s="1576"/>
      <c r="TC52" s="1576"/>
      <c r="TD52" s="1576"/>
      <c r="TE52" s="1576"/>
      <c r="TF52" s="1576"/>
      <c r="TG52" s="1576"/>
      <c r="TH52" s="1576"/>
      <c r="TI52" s="1576"/>
      <c r="TJ52" s="1576"/>
      <c r="TK52" s="1576"/>
      <c r="TL52" s="1576"/>
      <c r="TM52" s="1576"/>
      <c r="TN52" s="1576"/>
      <c r="TO52" s="1576"/>
      <c r="TP52" s="1576"/>
      <c r="TQ52" s="1576"/>
      <c r="TR52" s="1576"/>
      <c r="TS52" s="1576"/>
      <c r="TT52" s="1576"/>
      <c r="TU52" s="1576"/>
      <c r="TV52" s="1576"/>
      <c r="TW52" s="1576"/>
      <c r="TX52" s="1576"/>
      <c r="TY52" s="1576"/>
      <c r="TZ52" s="1576"/>
      <c r="UA52" s="1576"/>
      <c r="UB52" s="1576"/>
      <c r="UC52" s="1576"/>
      <c r="UD52" s="1576"/>
      <c r="UE52" s="1576"/>
      <c r="UF52" s="1576"/>
      <c r="UG52" s="1576"/>
      <c r="UH52" s="1576"/>
      <c r="UI52" s="1576"/>
      <c r="UJ52" s="1576"/>
      <c r="UK52" s="1576"/>
      <c r="UL52" s="1576"/>
      <c r="UM52" s="1576"/>
      <c r="UN52" s="1576"/>
      <c r="UO52" s="1576"/>
      <c r="UP52" s="1576"/>
      <c r="UQ52" s="1576"/>
      <c r="UR52" s="1576"/>
      <c r="US52" s="1576"/>
      <c r="UT52" s="1576"/>
      <c r="UU52" s="1576"/>
      <c r="UV52" s="1576"/>
      <c r="UW52" s="1576"/>
      <c r="UX52" s="1576"/>
      <c r="UY52" s="1576"/>
      <c r="UZ52" s="1576"/>
      <c r="VA52" s="1576"/>
      <c r="VB52" s="1576"/>
      <c r="VC52" s="1576"/>
      <c r="VD52" s="1576"/>
      <c r="VE52" s="1576"/>
      <c r="VF52" s="1576"/>
      <c r="VG52" s="1576"/>
      <c r="VH52" s="1576"/>
      <c r="VI52" s="1576"/>
      <c r="VJ52" s="1576"/>
      <c r="VK52" s="1576"/>
    </row>
    <row r="53" spans="1:583" ht="40.5" x14ac:dyDescent="0.25">
      <c r="B53" s="1610" t="s">
        <v>629</v>
      </c>
      <c r="C53" s="1582" t="s">
        <v>2740</v>
      </c>
      <c r="D53" s="4710" t="s">
        <v>2741</v>
      </c>
      <c r="E53" s="4710">
        <v>0</v>
      </c>
      <c r="F53" s="2057"/>
      <c r="G53" s="2057"/>
      <c r="H53" s="2057"/>
      <c r="I53" s="2058"/>
      <c r="J53" s="2058"/>
      <c r="K53" s="2058"/>
      <c r="L53" s="2058"/>
      <c r="M53" s="2058"/>
      <c r="N53" s="2058"/>
      <c r="O53" s="2058"/>
      <c r="P53" s="2058"/>
      <c r="Q53" s="2058"/>
      <c r="R53" s="2058"/>
      <c r="S53" s="2058"/>
      <c r="T53" s="2058"/>
      <c r="U53" s="2058"/>
      <c r="V53" s="2058"/>
      <c r="W53" s="2059"/>
      <c r="X53" s="2059"/>
      <c r="Y53" s="2059"/>
      <c r="Z53" s="2059"/>
      <c r="AA53" s="2059"/>
      <c r="AB53" s="2059"/>
      <c r="AC53" s="2059"/>
      <c r="AD53" s="2059"/>
      <c r="AE53" s="2059"/>
      <c r="AF53" s="2059"/>
      <c r="AG53" s="2059"/>
      <c r="AH53" s="2059"/>
      <c r="AI53" s="2059"/>
      <c r="AJ53" s="2059"/>
      <c r="AK53" s="2059"/>
      <c r="AL53" s="2059"/>
      <c r="AM53" s="2059"/>
      <c r="AN53" s="2059"/>
      <c r="AO53" s="2059"/>
      <c r="AP53" s="2059"/>
      <c r="AQ53" s="2059"/>
      <c r="AR53" s="2059"/>
      <c r="AS53" s="2059"/>
      <c r="AT53" s="2059"/>
      <c r="AU53" s="2059"/>
      <c r="AV53" s="2059"/>
      <c r="AW53" s="2059"/>
      <c r="AX53" s="2059"/>
      <c r="AY53" s="2059"/>
      <c r="AZ53" s="2059"/>
      <c r="BA53" s="2059"/>
      <c r="BB53" s="2059"/>
      <c r="BC53" s="2059"/>
      <c r="BD53" s="2059"/>
      <c r="BE53" s="2059"/>
      <c r="BF53" s="2059"/>
      <c r="BG53" s="2059"/>
      <c r="BH53" s="2059"/>
      <c r="BI53" s="2059"/>
      <c r="BJ53" s="2059"/>
      <c r="BK53" s="2059"/>
      <c r="BL53" s="2059"/>
      <c r="BM53" s="2059"/>
      <c r="BN53" s="2059"/>
      <c r="BO53" s="2059"/>
      <c r="BP53" s="2059"/>
      <c r="BQ53" s="2059"/>
      <c r="BR53" s="2059"/>
      <c r="BS53" s="2059"/>
      <c r="BT53" s="2059"/>
      <c r="BU53" s="2059"/>
      <c r="BV53" s="2059"/>
      <c r="BW53" s="2059"/>
      <c r="BX53" s="2059"/>
      <c r="BY53" s="2059"/>
      <c r="BZ53" s="2059"/>
      <c r="CA53" s="2059"/>
      <c r="CB53" s="2059"/>
      <c r="CC53" s="2059"/>
      <c r="CD53" s="2059"/>
      <c r="CE53" s="2059"/>
      <c r="CF53" s="2059"/>
      <c r="CG53" s="2059"/>
      <c r="CH53" s="2059"/>
      <c r="CI53" s="2059"/>
      <c r="CJ53" s="2059"/>
      <c r="CK53" s="2059"/>
      <c r="CL53" s="2059"/>
      <c r="CM53" s="2059"/>
      <c r="CN53" s="2059"/>
      <c r="CO53" s="2059"/>
      <c r="CP53" s="1576"/>
      <c r="CQ53" s="1576"/>
      <c r="CR53" s="1576"/>
      <c r="CS53" s="1576"/>
      <c r="CT53" s="1576"/>
      <c r="CU53" s="1576"/>
      <c r="CV53" s="1576"/>
      <c r="CW53" s="1576"/>
      <c r="CX53" s="1576"/>
      <c r="CY53" s="1576"/>
      <c r="CZ53" s="1576"/>
      <c r="DA53" s="1576"/>
      <c r="DB53" s="1576"/>
      <c r="DC53" s="1576"/>
      <c r="DD53" s="1576"/>
      <c r="DE53" s="1576"/>
      <c r="DF53" s="1576"/>
      <c r="DG53" s="1576"/>
      <c r="DH53" s="1576"/>
      <c r="DI53" s="1576"/>
      <c r="DJ53" s="1576"/>
      <c r="DK53" s="1576"/>
      <c r="DL53" s="1576"/>
      <c r="DM53" s="1576"/>
      <c r="DN53" s="1576"/>
      <c r="DO53" s="1576"/>
      <c r="DP53" s="1576"/>
      <c r="DQ53" s="1576"/>
      <c r="DR53" s="1576"/>
      <c r="DS53" s="1576"/>
      <c r="DT53" s="1576"/>
      <c r="DU53" s="1576"/>
      <c r="DV53" s="1576"/>
      <c r="DW53" s="1576"/>
      <c r="DX53" s="1576"/>
      <c r="DY53" s="1576"/>
      <c r="DZ53" s="1576"/>
      <c r="EA53" s="1576"/>
      <c r="EB53" s="1576"/>
      <c r="EC53" s="1576"/>
      <c r="ED53" s="1576"/>
      <c r="EE53" s="1576"/>
      <c r="EF53" s="1576"/>
      <c r="EG53" s="1576"/>
      <c r="EH53" s="1576"/>
      <c r="EI53" s="1576"/>
      <c r="EJ53" s="1576"/>
      <c r="EK53" s="1576"/>
      <c r="EL53" s="1576"/>
      <c r="EM53" s="1576"/>
      <c r="EN53" s="1576"/>
      <c r="EO53" s="1576"/>
      <c r="EP53" s="1576"/>
      <c r="EQ53" s="1576"/>
      <c r="ER53" s="1576"/>
      <c r="ES53" s="1576"/>
      <c r="ET53" s="1576"/>
      <c r="EU53" s="1576"/>
      <c r="EV53" s="1576"/>
      <c r="EW53" s="1576"/>
      <c r="EX53" s="1576"/>
      <c r="EY53" s="1576"/>
      <c r="EZ53" s="1576"/>
      <c r="FA53" s="1576"/>
      <c r="FB53" s="1576"/>
      <c r="FC53" s="1576"/>
      <c r="FD53" s="1576"/>
      <c r="FE53" s="1576"/>
      <c r="FF53" s="1576"/>
      <c r="FG53" s="1576"/>
      <c r="FH53" s="1576"/>
      <c r="FI53" s="1576"/>
      <c r="FJ53" s="1576"/>
      <c r="FK53" s="1576"/>
      <c r="FL53" s="1576"/>
      <c r="FM53" s="1576"/>
      <c r="FN53" s="1576"/>
      <c r="FO53" s="1576"/>
      <c r="FP53" s="1576"/>
      <c r="FQ53" s="1576"/>
      <c r="FR53" s="1576"/>
      <c r="FS53" s="1576"/>
      <c r="FT53" s="1576"/>
      <c r="FU53" s="1576"/>
      <c r="FV53" s="1576"/>
      <c r="FW53" s="1576"/>
      <c r="FX53" s="1576"/>
      <c r="FY53" s="1576"/>
      <c r="FZ53" s="1576"/>
      <c r="GA53" s="1576"/>
      <c r="GB53" s="1576"/>
      <c r="GC53" s="1576"/>
      <c r="GD53" s="1576"/>
      <c r="GE53" s="1576"/>
      <c r="GF53" s="1576"/>
      <c r="GG53" s="1576"/>
      <c r="GH53" s="1576"/>
      <c r="GI53" s="1576"/>
      <c r="GJ53" s="1576"/>
      <c r="GK53" s="1576"/>
      <c r="GL53" s="1576"/>
      <c r="GM53" s="1576"/>
      <c r="GN53" s="1576"/>
      <c r="GO53" s="1576"/>
      <c r="GP53" s="1576"/>
      <c r="GQ53" s="1576"/>
      <c r="GR53" s="1576"/>
      <c r="GS53" s="1576"/>
      <c r="GT53" s="1576"/>
      <c r="GU53" s="1576"/>
      <c r="GV53" s="1576"/>
      <c r="GW53" s="1576"/>
      <c r="GX53" s="1576"/>
      <c r="GY53" s="1576"/>
      <c r="GZ53" s="1576"/>
      <c r="HA53" s="1576"/>
      <c r="HB53" s="1576"/>
      <c r="HC53" s="1576"/>
      <c r="HD53" s="1576"/>
      <c r="HE53" s="1576"/>
      <c r="HF53" s="1576"/>
      <c r="HG53" s="1576"/>
      <c r="HH53" s="1576"/>
      <c r="HI53" s="1576"/>
      <c r="HJ53" s="1576"/>
      <c r="HK53" s="1576"/>
      <c r="HL53" s="1576"/>
      <c r="HM53" s="1576"/>
      <c r="HN53" s="1576"/>
      <c r="HO53" s="1576"/>
      <c r="HP53" s="1576"/>
      <c r="HQ53" s="1576"/>
      <c r="HR53" s="1576"/>
      <c r="HS53" s="1576"/>
      <c r="HT53" s="1576"/>
      <c r="HU53" s="1576"/>
      <c r="HV53" s="1576"/>
      <c r="HW53" s="1576"/>
      <c r="HX53" s="1576"/>
      <c r="HY53" s="1576"/>
      <c r="HZ53" s="1576"/>
      <c r="IA53" s="1576"/>
      <c r="IB53" s="1576"/>
      <c r="IC53" s="1576"/>
      <c r="ID53" s="1576"/>
      <c r="IE53" s="1576"/>
      <c r="IF53" s="1576"/>
      <c r="IG53" s="1576"/>
      <c r="IH53" s="1576"/>
      <c r="II53" s="1576"/>
      <c r="IJ53" s="1576"/>
      <c r="IK53" s="1576"/>
      <c r="IL53" s="1576"/>
      <c r="IM53" s="1576"/>
      <c r="IN53" s="1576"/>
      <c r="IO53" s="1576"/>
      <c r="IP53" s="1576"/>
      <c r="IQ53" s="1576"/>
      <c r="IR53" s="1576"/>
      <c r="IS53" s="1576"/>
      <c r="IT53" s="1576"/>
      <c r="IU53" s="1576"/>
      <c r="IV53" s="1576"/>
      <c r="IW53" s="1576"/>
      <c r="IX53" s="1576"/>
      <c r="IY53" s="1576"/>
      <c r="IZ53" s="1576"/>
      <c r="JA53" s="2054"/>
      <c r="JB53" s="2054"/>
      <c r="JC53" s="2054"/>
      <c r="JD53" s="2054"/>
      <c r="JE53" s="2054"/>
      <c r="JF53" s="2054"/>
      <c r="JG53" s="2054"/>
      <c r="JH53" s="2054"/>
      <c r="JI53" s="2054"/>
      <c r="JJ53" s="2054"/>
      <c r="JK53" s="2054"/>
      <c r="JL53" s="2054"/>
      <c r="JM53" s="2054"/>
      <c r="JN53" s="2054"/>
      <c r="JO53" s="2054"/>
      <c r="JP53" s="2054"/>
      <c r="JQ53" s="2054"/>
      <c r="JR53" s="1576"/>
      <c r="JS53" s="1576"/>
      <c r="JT53" s="1576"/>
      <c r="JU53" s="1576"/>
      <c r="JV53" s="1576"/>
      <c r="JW53" s="1576"/>
      <c r="JX53" s="1576"/>
      <c r="JY53" s="1576"/>
      <c r="JZ53" s="1576"/>
      <c r="KA53" s="1576"/>
      <c r="KB53" s="1576"/>
      <c r="KC53" s="1576"/>
      <c r="KD53" s="1576"/>
      <c r="KE53" s="1576"/>
      <c r="KF53" s="1576"/>
      <c r="KG53" s="1576"/>
      <c r="KH53" s="1576"/>
      <c r="KI53" s="1576"/>
      <c r="KJ53" s="1576"/>
      <c r="KK53" s="1576"/>
      <c r="KL53" s="1576"/>
      <c r="KM53" s="1576"/>
      <c r="KN53" s="1576"/>
      <c r="KO53" s="1576"/>
      <c r="KP53" s="1576"/>
      <c r="KQ53" s="1576"/>
      <c r="KR53" s="1576"/>
      <c r="KS53" s="1576"/>
      <c r="KT53" s="1576"/>
      <c r="KU53" s="1576"/>
      <c r="KV53" s="1576"/>
      <c r="KW53" s="1576"/>
      <c r="KX53" s="1576"/>
      <c r="KY53" s="1576"/>
      <c r="KZ53" s="1576"/>
      <c r="LA53" s="1576"/>
      <c r="LB53" s="1576"/>
      <c r="LC53" s="1576"/>
      <c r="LD53" s="1576"/>
      <c r="LE53" s="1576"/>
      <c r="LF53" s="1576"/>
      <c r="LG53" s="1576"/>
      <c r="LH53" s="1576"/>
      <c r="LI53" s="1576"/>
      <c r="LJ53" s="1576"/>
      <c r="LK53" s="1576"/>
      <c r="LL53" s="1576"/>
      <c r="LM53" s="1576"/>
      <c r="LN53" s="1576"/>
      <c r="LO53" s="1576"/>
      <c r="LP53" s="1576"/>
      <c r="LQ53" s="1576"/>
      <c r="LR53" s="1576"/>
      <c r="LS53" s="1576"/>
      <c r="LT53" s="1576"/>
      <c r="LU53" s="1576"/>
      <c r="LV53" s="1576"/>
      <c r="LW53" s="1576"/>
      <c r="LX53" s="1576"/>
      <c r="LY53" s="1576"/>
      <c r="LZ53" s="1576"/>
      <c r="MA53" s="1576"/>
      <c r="MB53" s="1576"/>
      <c r="MC53" s="1576"/>
      <c r="MD53" s="1576"/>
      <c r="ME53" s="1576"/>
      <c r="MF53" s="1576"/>
      <c r="MG53" s="1576"/>
      <c r="MH53" s="1576"/>
      <c r="MI53" s="1576"/>
      <c r="MJ53" s="1576"/>
      <c r="MK53" s="1576"/>
      <c r="ML53" s="1576"/>
      <c r="MM53" s="1576"/>
      <c r="MN53" s="1576"/>
      <c r="MO53" s="1576"/>
      <c r="MP53" s="1576"/>
      <c r="MQ53" s="1576"/>
      <c r="MR53" s="1576"/>
      <c r="MS53" s="1576"/>
      <c r="MT53" s="1576"/>
      <c r="MU53" s="1576"/>
      <c r="MV53" s="1576"/>
      <c r="MW53" s="1576"/>
      <c r="MX53" s="1576"/>
      <c r="MY53" s="1576"/>
      <c r="MZ53" s="1576"/>
      <c r="NA53" s="1576"/>
      <c r="NB53" s="1576"/>
      <c r="NC53" s="1576"/>
      <c r="ND53" s="1576"/>
      <c r="NE53" s="1576"/>
      <c r="NF53" s="1576"/>
      <c r="NG53" s="1576"/>
      <c r="NH53" s="1576"/>
      <c r="NI53" s="1576"/>
      <c r="NJ53" s="1576"/>
      <c r="NK53" s="1576"/>
      <c r="NL53" s="1576"/>
      <c r="NM53" s="1576"/>
      <c r="NN53" s="1576"/>
      <c r="NO53" s="1576"/>
      <c r="NP53" s="1576"/>
      <c r="NQ53" s="1576"/>
      <c r="NR53" s="1576"/>
      <c r="NS53" s="1576"/>
      <c r="NT53" s="1576"/>
      <c r="NU53" s="1576"/>
      <c r="NV53" s="1576"/>
      <c r="NW53" s="1576"/>
      <c r="NX53" s="1576"/>
      <c r="NY53" s="1576"/>
      <c r="NZ53" s="1576"/>
      <c r="OA53" s="1576"/>
      <c r="OB53" s="1576"/>
      <c r="OC53" s="1576"/>
      <c r="OD53" s="1576"/>
      <c r="OE53" s="1576"/>
      <c r="OF53" s="1576"/>
      <c r="OG53" s="1576"/>
      <c r="OH53" s="1576"/>
      <c r="OI53" s="1576"/>
      <c r="OJ53" s="1576"/>
      <c r="OK53" s="1576"/>
      <c r="OL53" s="1576"/>
      <c r="OM53" s="1576"/>
      <c r="ON53" s="1576"/>
      <c r="OO53" s="1576"/>
      <c r="OP53" s="1576"/>
      <c r="OQ53" s="1576"/>
      <c r="OR53" s="1576"/>
      <c r="OS53" s="1576"/>
      <c r="OT53" s="1576"/>
      <c r="OU53" s="1576"/>
      <c r="OV53" s="1576"/>
      <c r="OW53" s="1576"/>
      <c r="OX53" s="1576"/>
      <c r="OY53" s="1576"/>
      <c r="OZ53" s="1576"/>
      <c r="PA53" s="1576"/>
      <c r="PB53" s="1576"/>
      <c r="PC53" s="1576"/>
      <c r="PD53" s="1576"/>
      <c r="PE53" s="1576"/>
      <c r="PF53" s="1576"/>
      <c r="PG53" s="1576"/>
      <c r="PH53" s="1576"/>
      <c r="PI53" s="1576"/>
      <c r="PJ53" s="1576"/>
      <c r="PK53" s="1576"/>
      <c r="PL53" s="1576"/>
      <c r="PM53" s="1576"/>
      <c r="PN53" s="1576"/>
      <c r="PO53" s="1576"/>
      <c r="PP53" s="1576"/>
      <c r="PQ53" s="1576"/>
      <c r="PR53" s="1576"/>
      <c r="PS53" s="1576"/>
      <c r="PT53" s="1576"/>
      <c r="PU53" s="1576"/>
      <c r="PV53" s="1576"/>
      <c r="PW53" s="1576"/>
      <c r="PX53" s="1576"/>
      <c r="PY53" s="1576"/>
      <c r="PZ53" s="1576"/>
      <c r="QA53" s="1576"/>
      <c r="QB53" s="1576"/>
      <c r="QC53" s="1576"/>
      <c r="QD53" s="1576"/>
      <c r="QE53" s="1576"/>
      <c r="QF53" s="1576"/>
      <c r="QG53" s="1576"/>
      <c r="QH53" s="1576"/>
      <c r="QI53" s="1576"/>
      <c r="QJ53" s="1576"/>
      <c r="QK53" s="1576"/>
      <c r="QL53" s="1576"/>
      <c r="QM53" s="1576"/>
      <c r="QN53" s="1576"/>
      <c r="QO53" s="1576"/>
      <c r="QP53" s="1576"/>
      <c r="QQ53" s="1576"/>
      <c r="QR53" s="1576"/>
      <c r="QS53" s="1576"/>
      <c r="QT53" s="1576"/>
      <c r="QU53" s="1576"/>
      <c r="QV53" s="1576"/>
      <c r="QW53" s="1576"/>
      <c r="QX53" s="1576"/>
      <c r="QY53" s="1576"/>
      <c r="QZ53" s="1576"/>
      <c r="RA53" s="1576"/>
      <c r="RB53" s="1576"/>
      <c r="RC53" s="1576"/>
      <c r="RD53" s="1576"/>
      <c r="RE53" s="1576"/>
      <c r="RF53" s="1576"/>
      <c r="RG53" s="1576"/>
      <c r="RH53" s="1576"/>
      <c r="RI53" s="1576"/>
      <c r="RJ53" s="1576"/>
      <c r="RK53" s="1576"/>
      <c r="RL53" s="1576"/>
      <c r="RM53" s="1576"/>
      <c r="RN53" s="1576"/>
      <c r="RO53" s="1576"/>
      <c r="RP53" s="1576"/>
      <c r="RQ53" s="1576"/>
      <c r="RR53" s="1576"/>
      <c r="RS53" s="1576"/>
      <c r="RT53" s="1576"/>
      <c r="RU53" s="1576"/>
      <c r="RV53" s="1576"/>
      <c r="RW53" s="1576"/>
      <c r="RX53" s="1576"/>
      <c r="RY53" s="1576"/>
      <c r="RZ53" s="1576"/>
      <c r="SA53" s="1576"/>
      <c r="SB53" s="1576"/>
      <c r="SC53" s="1576"/>
      <c r="SD53" s="1576"/>
      <c r="SE53" s="1576"/>
      <c r="SF53" s="1576"/>
      <c r="SG53" s="1576"/>
      <c r="SH53" s="1576"/>
      <c r="SI53" s="1576"/>
      <c r="SJ53" s="1576"/>
      <c r="SK53" s="1576"/>
      <c r="SL53" s="1576"/>
      <c r="SM53" s="1576"/>
      <c r="SN53" s="1576"/>
      <c r="SO53" s="1576"/>
      <c r="SP53" s="1576"/>
      <c r="SQ53" s="1576"/>
      <c r="SR53" s="1576"/>
      <c r="SS53" s="1576"/>
      <c r="ST53" s="1576"/>
      <c r="SU53" s="1576"/>
      <c r="SV53" s="1576"/>
      <c r="SW53" s="1576"/>
      <c r="SX53" s="1576"/>
      <c r="SY53" s="1576"/>
      <c r="SZ53" s="1576"/>
      <c r="TA53" s="1576"/>
      <c r="TB53" s="1576"/>
      <c r="TC53" s="1576"/>
      <c r="TD53" s="1576"/>
      <c r="TE53" s="1576"/>
      <c r="TF53" s="1576"/>
      <c r="TG53" s="1576"/>
      <c r="TH53" s="1576"/>
      <c r="TI53" s="1576"/>
      <c r="TJ53" s="1576"/>
      <c r="TK53" s="1576"/>
      <c r="TL53" s="1576"/>
      <c r="TM53" s="1576"/>
      <c r="TN53" s="1576"/>
      <c r="TO53" s="1576"/>
      <c r="TP53" s="1576"/>
      <c r="TQ53" s="1576"/>
      <c r="TR53" s="1576"/>
      <c r="TS53" s="1576"/>
      <c r="TT53" s="1576"/>
      <c r="TU53" s="1576"/>
      <c r="TV53" s="1576"/>
      <c r="TW53" s="1576"/>
      <c r="TX53" s="1576"/>
      <c r="TY53" s="1576"/>
      <c r="TZ53" s="1576"/>
      <c r="UA53" s="1576"/>
      <c r="UB53" s="1576"/>
      <c r="UC53" s="1576"/>
      <c r="UD53" s="1576"/>
      <c r="UE53" s="1576"/>
      <c r="UF53" s="1576"/>
      <c r="UG53" s="1576"/>
      <c r="UH53" s="1576"/>
      <c r="UI53" s="1576"/>
      <c r="UJ53" s="1576"/>
      <c r="UK53" s="1576"/>
      <c r="UL53" s="1576"/>
      <c r="UM53" s="1576"/>
      <c r="UN53" s="1576"/>
      <c r="UO53" s="1576"/>
      <c r="UP53" s="1576"/>
      <c r="UQ53" s="1576"/>
      <c r="UR53" s="1576"/>
      <c r="US53" s="1576"/>
      <c r="UT53" s="1576"/>
      <c r="UU53" s="1576"/>
      <c r="UV53" s="1576"/>
      <c r="UW53" s="1576"/>
      <c r="UX53" s="1576"/>
      <c r="UY53" s="1576"/>
      <c r="UZ53" s="1576"/>
      <c r="VA53" s="1576"/>
      <c r="VB53" s="1576"/>
      <c r="VC53" s="1576"/>
      <c r="VD53" s="1576"/>
      <c r="VE53" s="1576"/>
      <c r="VF53" s="1576"/>
      <c r="VG53" s="1576"/>
      <c r="VH53" s="1576"/>
      <c r="VI53" s="1576"/>
      <c r="VJ53" s="1576"/>
      <c r="VK53" s="1576"/>
    </row>
    <row r="54" spans="1:583" ht="27" x14ac:dyDescent="0.25">
      <c r="B54" s="1610" t="s">
        <v>629</v>
      </c>
      <c r="C54" s="1582" t="s">
        <v>2742</v>
      </c>
      <c r="D54" s="4710" t="s">
        <v>2918</v>
      </c>
      <c r="E54" s="4710">
        <v>0</v>
      </c>
      <c r="F54" s="2057"/>
      <c r="G54" s="2057"/>
      <c r="H54" s="2057"/>
      <c r="I54" s="2058"/>
      <c r="J54" s="2058"/>
      <c r="K54" s="2058"/>
      <c r="L54" s="2058"/>
      <c r="M54" s="2058"/>
      <c r="N54" s="2058"/>
      <c r="O54" s="2058"/>
      <c r="P54" s="2058"/>
      <c r="Q54" s="2058"/>
      <c r="R54" s="2058"/>
      <c r="S54" s="2058"/>
      <c r="T54" s="2058"/>
      <c r="U54" s="2058"/>
      <c r="V54" s="2058"/>
      <c r="W54" s="2059"/>
      <c r="X54" s="2059"/>
      <c r="Y54" s="2059"/>
      <c r="Z54" s="2059"/>
      <c r="AA54" s="2059"/>
      <c r="AB54" s="2059"/>
      <c r="AC54" s="2059"/>
      <c r="AD54" s="2059"/>
      <c r="AE54" s="2059"/>
      <c r="AF54" s="2059"/>
      <c r="AG54" s="2059"/>
      <c r="AH54" s="2059"/>
      <c r="AI54" s="2059"/>
      <c r="AJ54" s="2059"/>
      <c r="AK54" s="2059"/>
      <c r="AL54" s="2059"/>
      <c r="AM54" s="2059"/>
      <c r="AN54" s="2059"/>
      <c r="AO54" s="2059"/>
      <c r="AP54" s="2059"/>
      <c r="AQ54" s="2059"/>
      <c r="AR54" s="2059"/>
      <c r="AS54" s="2059"/>
      <c r="AT54" s="2059"/>
      <c r="AU54" s="2059"/>
      <c r="AV54" s="2059"/>
      <c r="AW54" s="2059"/>
      <c r="AX54" s="2059"/>
      <c r="AY54" s="2059"/>
      <c r="AZ54" s="2059"/>
      <c r="BA54" s="2059"/>
      <c r="BB54" s="2059"/>
      <c r="BC54" s="2059"/>
      <c r="BD54" s="2059"/>
      <c r="BE54" s="2059"/>
      <c r="BF54" s="2059"/>
      <c r="BG54" s="2059"/>
      <c r="BH54" s="2059"/>
      <c r="BI54" s="2059"/>
      <c r="BJ54" s="2059"/>
      <c r="BK54" s="2059"/>
      <c r="BL54" s="2059"/>
      <c r="BM54" s="2059"/>
      <c r="BN54" s="2059"/>
      <c r="BO54" s="2059"/>
      <c r="BP54" s="2059"/>
      <c r="BQ54" s="2059"/>
      <c r="BR54" s="2059"/>
      <c r="BS54" s="2059"/>
      <c r="BT54" s="2059"/>
      <c r="BU54" s="2059"/>
      <c r="BV54" s="2059"/>
      <c r="BW54" s="2059"/>
      <c r="BX54" s="2059"/>
      <c r="BY54" s="2059"/>
      <c r="BZ54" s="2059"/>
      <c r="CA54" s="2059"/>
      <c r="CB54" s="2059"/>
      <c r="CC54" s="2059"/>
      <c r="CD54" s="2059"/>
      <c r="CE54" s="2059"/>
      <c r="CF54" s="2059"/>
      <c r="CG54" s="2059"/>
      <c r="CH54" s="2059"/>
      <c r="CI54" s="2059"/>
      <c r="CJ54" s="2059"/>
      <c r="CK54" s="2059"/>
      <c r="CL54" s="2059"/>
      <c r="CM54" s="2059"/>
      <c r="CN54" s="2059"/>
      <c r="CO54" s="2059"/>
      <c r="CP54" s="1576"/>
      <c r="CQ54" s="1576"/>
      <c r="CR54" s="1576"/>
      <c r="CS54" s="1576"/>
      <c r="CT54" s="1576"/>
      <c r="CU54" s="1576"/>
      <c r="CV54" s="1576"/>
      <c r="CW54" s="1576"/>
      <c r="CX54" s="1576"/>
      <c r="CY54" s="1576"/>
      <c r="CZ54" s="1576"/>
      <c r="DA54" s="1576"/>
      <c r="DB54" s="1576"/>
      <c r="DC54" s="1576"/>
      <c r="DD54" s="1576"/>
      <c r="DE54" s="1576"/>
      <c r="DF54" s="1576"/>
      <c r="DG54" s="1576"/>
      <c r="DH54" s="1576"/>
      <c r="DI54" s="1576"/>
      <c r="DJ54" s="1576"/>
      <c r="DK54" s="1576"/>
      <c r="DL54" s="1576"/>
      <c r="DM54" s="1576"/>
      <c r="DN54" s="1576"/>
      <c r="DO54" s="1576"/>
      <c r="DP54" s="1576"/>
      <c r="DQ54" s="1576"/>
      <c r="DR54" s="1576"/>
      <c r="DS54" s="1576"/>
      <c r="DT54" s="1576"/>
      <c r="DU54" s="1576"/>
      <c r="DV54" s="1576"/>
      <c r="DW54" s="1576"/>
      <c r="DX54" s="1576"/>
      <c r="DY54" s="1576"/>
      <c r="DZ54" s="1576"/>
      <c r="EA54" s="1576"/>
      <c r="EB54" s="1576"/>
      <c r="EC54" s="1576"/>
      <c r="ED54" s="1576"/>
      <c r="EE54" s="1576"/>
      <c r="EF54" s="1576"/>
      <c r="EG54" s="1576"/>
      <c r="EH54" s="1576"/>
      <c r="EI54" s="1576"/>
      <c r="EJ54" s="1576"/>
      <c r="EK54" s="1576"/>
      <c r="EL54" s="1576"/>
      <c r="EM54" s="1576"/>
      <c r="EN54" s="1576"/>
      <c r="EO54" s="1576"/>
      <c r="EP54" s="1576"/>
      <c r="EQ54" s="1576"/>
      <c r="ER54" s="1576"/>
      <c r="ES54" s="1576"/>
      <c r="ET54" s="1576"/>
      <c r="EU54" s="1576"/>
      <c r="EV54" s="1576"/>
      <c r="EW54" s="1576"/>
      <c r="EX54" s="1576"/>
      <c r="EY54" s="1576"/>
      <c r="EZ54" s="1576"/>
      <c r="FA54" s="1576"/>
      <c r="FB54" s="1576"/>
      <c r="FC54" s="1576"/>
      <c r="FD54" s="1576"/>
      <c r="FE54" s="1576"/>
      <c r="FF54" s="1576"/>
      <c r="FG54" s="1576"/>
      <c r="FH54" s="1576"/>
      <c r="FI54" s="1576"/>
      <c r="FJ54" s="1576"/>
      <c r="FK54" s="1576"/>
      <c r="FL54" s="1576"/>
      <c r="FM54" s="1576"/>
      <c r="FN54" s="1576"/>
      <c r="FO54" s="1576"/>
      <c r="FP54" s="1576"/>
      <c r="FQ54" s="1576"/>
      <c r="FR54" s="1576"/>
      <c r="FS54" s="1576"/>
      <c r="FT54" s="1576"/>
      <c r="FU54" s="1576"/>
      <c r="FV54" s="1576"/>
      <c r="FW54" s="1576"/>
      <c r="FX54" s="1576"/>
      <c r="FY54" s="1576"/>
      <c r="FZ54" s="1576"/>
      <c r="GA54" s="1576"/>
      <c r="GB54" s="1576"/>
      <c r="GC54" s="1576"/>
      <c r="GD54" s="1576"/>
      <c r="GE54" s="1576"/>
      <c r="GF54" s="1576"/>
      <c r="GG54" s="1576"/>
      <c r="GH54" s="1576"/>
      <c r="GI54" s="1576"/>
      <c r="GJ54" s="1576"/>
      <c r="GK54" s="1576"/>
      <c r="GL54" s="1576"/>
      <c r="GM54" s="1576"/>
      <c r="GN54" s="1576"/>
      <c r="GO54" s="1576"/>
      <c r="GP54" s="1576"/>
      <c r="GQ54" s="1576"/>
      <c r="GR54" s="1576"/>
      <c r="GS54" s="1576"/>
      <c r="GT54" s="1576"/>
      <c r="GU54" s="1576"/>
      <c r="GV54" s="1576"/>
      <c r="GW54" s="1576"/>
      <c r="GX54" s="1576"/>
      <c r="GY54" s="1576"/>
      <c r="GZ54" s="1576"/>
      <c r="HA54" s="1576"/>
      <c r="HB54" s="1576"/>
      <c r="HC54" s="1576"/>
      <c r="HD54" s="1576"/>
      <c r="HE54" s="1576"/>
      <c r="HF54" s="1576"/>
      <c r="HG54" s="1576"/>
      <c r="HH54" s="1576"/>
      <c r="HI54" s="1576"/>
      <c r="HJ54" s="1576"/>
      <c r="HK54" s="1576"/>
      <c r="HL54" s="1576"/>
      <c r="HM54" s="1576"/>
      <c r="HN54" s="1576"/>
      <c r="HO54" s="1576"/>
      <c r="HP54" s="1576"/>
      <c r="HQ54" s="1576"/>
      <c r="HR54" s="1576"/>
      <c r="HS54" s="1576"/>
      <c r="HT54" s="1576"/>
      <c r="HU54" s="1576"/>
      <c r="HV54" s="1576"/>
      <c r="HW54" s="1576"/>
      <c r="HX54" s="1576"/>
      <c r="HY54" s="1576"/>
      <c r="HZ54" s="1576"/>
      <c r="IA54" s="1576"/>
      <c r="IB54" s="1576"/>
      <c r="IC54" s="1576"/>
      <c r="ID54" s="1576"/>
      <c r="IE54" s="1576"/>
      <c r="IF54" s="1576"/>
      <c r="IG54" s="1576"/>
      <c r="IH54" s="1576"/>
      <c r="II54" s="1576"/>
      <c r="IJ54" s="1576"/>
      <c r="IK54" s="1576"/>
      <c r="IL54" s="1576"/>
      <c r="IM54" s="1576"/>
      <c r="IN54" s="1576"/>
      <c r="IO54" s="1576"/>
      <c r="IP54" s="1576"/>
      <c r="IQ54" s="1576"/>
      <c r="IR54" s="1576"/>
      <c r="IS54" s="1576"/>
      <c r="IT54" s="1576"/>
      <c r="IU54" s="1576"/>
      <c r="IV54" s="1576"/>
      <c r="IW54" s="1576"/>
      <c r="IX54" s="1576"/>
      <c r="IY54" s="1576"/>
      <c r="IZ54" s="1576"/>
      <c r="JA54" s="2054"/>
      <c r="JB54" s="2054"/>
      <c r="JC54" s="2054"/>
      <c r="JD54" s="2054"/>
      <c r="JE54" s="2054"/>
      <c r="JF54" s="2054"/>
      <c r="JG54" s="2054"/>
      <c r="JH54" s="2054"/>
      <c r="JI54" s="2054"/>
      <c r="JJ54" s="2054"/>
      <c r="JK54" s="2054"/>
      <c r="JL54" s="2054"/>
      <c r="JM54" s="2054"/>
      <c r="JN54" s="2054"/>
      <c r="JO54" s="2054"/>
      <c r="JP54" s="2054"/>
      <c r="JQ54" s="2054"/>
      <c r="JR54" s="1576"/>
      <c r="JS54" s="1576"/>
      <c r="JT54" s="1576"/>
      <c r="JU54" s="1576"/>
      <c r="JV54" s="1576"/>
      <c r="JW54" s="1576"/>
      <c r="JX54" s="1576"/>
      <c r="JY54" s="1576"/>
      <c r="JZ54" s="1576"/>
      <c r="KA54" s="1576"/>
      <c r="KB54" s="1576"/>
      <c r="KC54" s="1576"/>
      <c r="KD54" s="1576"/>
      <c r="KE54" s="1576"/>
      <c r="KF54" s="1576"/>
      <c r="KG54" s="1576"/>
      <c r="KH54" s="1576"/>
      <c r="KI54" s="1576"/>
      <c r="KJ54" s="1576"/>
      <c r="KK54" s="1576"/>
      <c r="KL54" s="1576"/>
      <c r="KM54" s="1576"/>
      <c r="KN54" s="1576"/>
      <c r="KO54" s="1576"/>
      <c r="KP54" s="1576"/>
      <c r="KQ54" s="1576"/>
      <c r="KR54" s="1576"/>
      <c r="KS54" s="1576"/>
      <c r="KT54" s="1576"/>
      <c r="KU54" s="1576"/>
      <c r="KV54" s="1576"/>
      <c r="KW54" s="1576"/>
      <c r="KX54" s="1576"/>
      <c r="KY54" s="1576"/>
      <c r="KZ54" s="1576"/>
      <c r="LA54" s="1576"/>
      <c r="LB54" s="1576"/>
      <c r="LC54" s="1576"/>
      <c r="LD54" s="1576"/>
      <c r="LE54" s="1576"/>
      <c r="LF54" s="1576"/>
      <c r="LG54" s="1576"/>
      <c r="LH54" s="1576"/>
      <c r="LI54" s="1576"/>
      <c r="LJ54" s="1576"/>
      <c r="LK54" s="1576"/>
      <c r="LL54" s="1576"/>
      <c r="LM54" s="1576"/>
      <c r="LN54" s="1576"/>
      <c r="LO54" s="1576"/>
      <c r="LP54" s="1576"/>
      <c r="LQ54" s="1576"/>
      <c r="LR54" s="1576"/>
      <c r="LS54" s="1576"/>
      <c r="LT54" s="1576"/>
      <c r="LU54" s="1576"/>
      <c r="LV54" s="1576"/>
      <c r="LW54" s="1576"/>
      <c r="LX54" s="1576"/>
      <c r="LY54" s="1576"/>
      <c r="LZ54" s="1576"/>
      <c r="MA54" s="1576"/>
      <c r="MB54" s="1576"/>
      <c r="MC54" s="1576"/>
      <c r="MD54" s="1576"/>
      <c r="ME54" s="1576"/>
      <c r="MF54" s="1576"/>
      <c r="MG54" s="1576"/>
      <c r="MH54" s="1576"/>
      <c r="MI54" s="1576"/>
      <c r="MJ54" s="1576"/>
      <c r="MK54" s="1576"/>
      <c r="ML54" s="1576"/>
      <c r="MM54" s="1576"/>
      <c r="MN54" s="1576"/>
      <c r="MO54" s="1576"/>
      <c r="MP54" s="1576"/>
      <c r="MQ54" s="1576"/>
      <c r="MR54" s="1576"/>
      <c r="MS54" s="1576"/>
      <c r="MT54" s="1576"/>
      <c r="MU54" s="1576"/>
      <c r="MV54" s="1576"/>
      <c r="MW54" s="1576"/>
      <c r="MX54" s="1576"/>
      <c r="MY54" s="1576"/>
      <c r="MZ54" s="1576"/>
      <c r="NA54" s="1576"/>
      <c r="NB54" s="1576"/>
      <c r="NC54" s="1576"/>
      <c r="ND54" s="1576"/>
      <c r="NE54" s="1576"/>
      <c r="NF54" s="1576"/>
      <c r="NG54" s="1576"/>
      <c r="NH54" s="1576"/>
      <c r="NI54" s="1576"/>
      <c r="NJ54" s="1576"/>
      <c r="NK54" s="1576"/>
      <c r="NL54" s="1576"/>
      <c r="NM54" s="1576"/>
      <c r="NN54" s="1576"/>
      <c r="NO54" s="1576"/>
      <c r="NP54" s="1576"/>
      <c r="NQ54" s="1576"/>
      <c r="NR54" s="1576"/>
      <c r="NS54" s="1576"/>
      <c r="NT54" s="1576"/>
      <c r="NU54" s="1576"/>
      <c r="NV54" s="1576"/>
      <c r="NW54" s="1576"/>
      <c r="NX54" s="1576"/>
      <c r="NY54" s="1576"/>
      <c r="NZ54" s="1576"/>
      <c r="OA54" s="1576"/>
      <c r="OB54" s="1576"/>
      <c r="OC54" s="1576"/>
      <c r="OD54" s="1576"/>
      <c r="OE54" s="1576"/>
      <c r="OF54" s="1576"/>
      <c r="OG54" s="1576"/>
      <c r="OH54" s="1576"/>
      <c r="OI54" s="1576"/>
      <c r="OJ54" s="1576"/>
      <c r="OK54" s="1576"/>
      <c r="OL54" s="1576"/>
      <c r="OM54" s="1576"/>
      <c r="ON54" s="1576"/>
      <c r="OO54" s="1576"/>
      <c r="OP54" s="1576"/>
      <c r="OQ54" s="1576"/>
      <c r="OR54" s="1576"/>
      <c r="OS54" s="1576"/>
      <c r="OT54" s="1576"/>
      <c r="OU54" s="1576"/>
      <c r="OV54" s="1576"/>
      <c r="OW54" s="1576"/>
      <c r="OX54" s="1576"/>
      <c r="OY54" s="1576"/>
      <c r="OZ54" s="1576"/>
      <c r="PA54" s="1576"/>
      <c r="PB54" s="1576"/>
      <c r="PC54" s="1576"/>
      <c r="PD54" s="1576"/>
      <c r="PE54" s="1576"/>
      <c r="PF54" s="1576"/>
      <c r="PG54" s="1576"/>
      <c r="PH54" s="1576"/>
      <c r="PI54" s="1576"/>
      <c r="PJ54" s="1576"/>
      <c r="PK54" s="1576"/>
      <c r="PL54" s="1576"/>
      <c r="PM54" s="1576"/>
      <c r="PN54" s="1576"/>
      <c r="PO54" s="1576"/>
      <c r="PP54" s="1576"/>
      <c r="PQ54" s="1576"/>
      <c r="PR54" s="1576"/>
      <c r="PS54" s="1576"/>
      <c r="PT54" s="1576"/>
      <c r="PU54" s="1576"/>
      <c r="PV54" s="1576"/>
      <c r="PW54" s="1576"/>
      <c r="PX54" s="1576"/>
      <c r="PY54" s="1576"/>
      <c r="PZ54" s="1576"/>
      <c r="QA54" s="1576"/>
      <c r="QB54" s="1576"/>
      <c r="QC54" s="1576"/>
      <c r="QD54" s="1576"/>
      <c r="QE54" s="1576"/>
      <c r="QF54" s="1576"/>
      <c r="QG54" s="1576"/>
      <c r="QH54" s="1576"/>
      <c r="QI54" s="1576"/>
      <c r="QJ54" s="1576"/>
      <c r="QK54" s="1576"/>
      <c r="QL54" s="1576"/>
      <c r="QM54" s="1576"/>
      <c r="QN54" s="1576"/>
      <c r="QO54" s="1576"/>
      <c r="QP54" s="1576"/>
      <c r="QQ54" s="1576"/>
      <c r="QR54" s="1576"/>
      <c r="QS54" s="1576"/>
      <c r="QT54" s="1576"/>
      <c r="QU54" s="1576"/>
      <c r="QV54" s="1576"/>
      <c r="QW54" s="1576"/>
      <c r="QX54" s="1576"/>
      <c r="QY54" s="1576"/>
      <c r="QZ54" s="1576"/>
      <c r="RA54" s="1576"/>
      <c r="RB54" s="1576"/>
      <c r="RC54" s="1576"/>
      <c r="RD54" s="1576"/>
      <c r="RE54" s="1576"/>
      <c r="RF54" s="1576"/>
      <c r="RG54" s="1576"/>
      <c r="RH54" s="1576"/>
      <c r="RI54" s="1576"/>
      <c r="RJ54" s="1576"/>
      <c r="RK54" s="1576"/>
      <c r="RL54" s="1576"/>
      <c r="RM54" s="1576"/>
      <c r="RN54" s="1576"/>
      <c r="RO54" s="1576"/>
      <c r="RP54" s="1576"/>
      <c r="RQ54" s="1576"/>
      <c r="RR54" s="1576"/>
      <c r="RS54" s="1576"/>
      <c r="RT54" s="1576"/>
      <c r="RU54" s="1576"/>
      <c r="RV54" s="1576"/>
      <c r="RW54" s="1576"/>
      <c r="RX54" s="1576"/>
      <c r="RY54" s="1576"/>
      <c r="RZ54" s="1576"/>
      <c r="SA54" s="1576"/>
      <c r="SB54" s="1576"/>
      <c r="SC54" s="1576"/>
      <c r="SD54" s="1576"/>
      <c r="SE54" s="1576"/>
      <c r="SF54" s="1576"/>
      <c r="SG54" s="1576"/>
      <c r="SH54" s="1576"/>
      <c r="SI54" s="1576"/>
      <c r="SJ54" s="1576"/>
      <c r="SK54" s="1576"/>
      <c r="SL54" s="1576"/>
      <c r="SM54" s="1576"/>
      <c r="SN54" s="1576"/>
      <c r="SO54" s="1576"/>
      <c r="SP54" s="1576"/>
      <c r="SQ54" s="1576"/>
      <c r="SR54" s="1576"/>
      <c r="SS54" s="1576"/>
      <c r="ST54" s="1576"/>
      <c r="SU54" s="1576"/>
      <c r="SV54" s="1576"/>
      <c r="SW54" s="1576"/>
      <c r="SX54" s="1576"/>
      <c r="SY54" s="1576"/>
      <c r="SZ54" s="1576"/>
      <c r="TA54" s="1576"/>
      <c r="TB54" s="1576"/>
      <c r="TC54" s="1576"/>
      <c r="TD54" s="1576"/>
      <c r="TE54" s="1576"/>
      <c r="TF54" s="1576"/>
      <c r="TG54" s="1576"/>
      <c r="TH54" s="1576"/>
      <c r="TI54" s="1576"/>
      <c r="TJ54" s="1576"/>
      <c r="TK54" s="1576"/>
      <c r="TL54" s="1576"/>
      <c r="TM54" s="1576"/>
      <c r="TN54" s="1576"/>
      <c r="TO54" s="1576"/>
      <c r="TP54" s="1576"/>
      <c r="TQ54" s="1576"/>
      <c r="TR54" s="1576"/>
      <c r="TS54" s="1576"/>
      <c r="TT54" s="1576"/>
      <c r="TU54" s="1576"/>
      <c r="TV54" s="1576"/>
      <c r="TW54" s="1576"/>
      <c r="TX54" s="1576"/>
      <c r="TY54" s="1576"/>
      <c r="TZ54" s="1576"/>
      <c r="UA54" s="1576"/>
      <c r="UB54" s="1576"/>
      <c r="UC54" s="1576"/>
      <c r="UD54" s="1576"/>
      <c r="UE54" s="1576"/>
      <c r="UF54" s="1576"/>
      <c r="UG54" s="1576"/>
      <c r="UH54" s="1576"/>
      <c r="UI54" s="1576"/>
      <c r="UJ54" s="1576"/>
      <c r="UK54" s="1576"/>
      <c r="UL54" s="1576"/>
      <c r="UM54" s="1576"/>
      <c r="UN54" s="1576"/>
      <c r="UO54" s="1576"/>
      <c r="UP54" s="1576"/>
      <c r="UQ54" s="1576"/>
      <c r="UR54" s="1576"/>
      <c r="US54" s="1576"/>
      <c r="UT54" s="1576"/>
      <c r="UU54" s="1576"/>
      <c r="UV54" s="1576"/>
      <c r="UW54" s="1576"/>
      <c r="UX54" s="1576"/>
      <c r="UY54" s="1576"/>
      <c r="UZ54" s="1576"/>
      <c r="VA54" s="1576"/>
      <c r="VB54" s="1576"/>
      <c r="VC54" s="1576"/>
      <c r="VD54" s="1576"/>
      <c r="VE54" s="1576"/>
      <c r="VF54" s="1576"/>
      <c r="VG54" s="1576"/>
      <c r="VH54" s="1576"/>
      <c r="VI54" s="1576"/>
      <c r="VJ54" s="1576"/>
      <c r="VK54" s="1576"/>
    </row>
    <row r="55" spans="1:583" ht="27" x14ac:dyDescent="0.25">
      <c r="B55" s="1610" t="s">
        <v>629</v>
      </c>
      <c r="C55" s="1582" t="s">
        <v>2742</v>
      </c>
      <c r="D55" s="4710" t="s">
        <v>2919</v>
      </c>
      <c r="E55" s="4710">
        <v>0</v>
      </c>
      <c r="F55" s="2057"/>
      <c r="G55" s="2057"/>
      <c r="H55" s="2057"/>
      <c r="I55" s="2058"/>
      <c r="J55" s="2058"/>
      <c r="K55" s="2058"/>
      <c r="L55" s="2058"/>
      <c r="M55" s="2058"/>
      <c r="N55" s="2058"/>
      <c r="O55" s="2058"/>
      <c r="P55" s="2058"/>
      <c r="Q55" s="2058"/>
      <c r="R55" s="2058"/>
      <c r="S55" s="2058"/>
      <c r="T55" s="2058"/>
      <c r="U55" s="2058"/>
      <c r="V55" s="2058"/>
      <c r="W55" s="2059"/>
      <c r="X55" s="2059"/>
      <c r="Y55" s="2059"/>
      <c r="Z55" s="2059"/>
      <c r="AA55" s="2059"/>
      <c r="AB55" s="2059"/>
      <c r="AC55" s="2059"/>
      <c r="AD55" s="2059"/>
      <c r="AE55" s="2059"/>
      <c r="AF55" s="2059"/>
      <c r="AG55" s="2059"/>
      <c r="AH55" s="2059"/>
      <c r="AI55" s="2059"/>
      <c r="AJ55" s="2059"/>
      <c r="AK55" s="2059"/>
      <c r="AL55" s="2059"/>
      <c r="AM55" s="2059"/>
      <c r="AN55" s="2059"/>
      <c r="AO55" s="2059"/>
      <c r="AP55" s="2059"/>
      <c r="AQ55" s="2059"/>
      <c r="AR55" s="2059"/>
      <c r="AS55" s="2059"/>
      <c r="AT55" s="2059"/>
      <c r="AU55" s="2059"/>
      <c r="AV55" s="2059"/>
      <c r="AW55" s="2059"/>
      <c r="AX55" s="2059"/>
      <c r="AY55" s="2059"/>
      <c r="AZ55" s="2059"/>
      <c r="BA55" s="2059"/>
      <c r="BB55" s="2059"/>
      <c r="BC55" s="2059"/>
      <c r="BD55" s="2059"/>
      <c r="BE55" s="2059"/>
      <c r="BF55" s="2059"/>
      <c r="BG55" s="2059"/>
      <c r="BH55" s="2059"/>
      <c r="BI55" s="2059"/>
      <c r="BJ55" s="2059"/>
      <c r="BK55" s="2059"/>
      <c r="BL55" s="2059"/>
      <c r="BM55" s="2059"/>
      <c r="BN55" s="2059"/>
      <c r="BO55" s="2059"/>
      <c r="BP55" s="2059"/>
      <c r="BQ55" s="2059"/>
      <c r="BR55" s="2059"/>
      <c r="BS55" s="2059"/>
      <c r="BT55" s="2059"/>
      <c r="BU55" s="2059"/>
      <c r="BV55" s="2059"/>
      <c r="BW55" s="2059"/>
      <c r="BX55" s="2059"/>
      <c r="BY55" s="2059"/>
      <c r="BZ55" s="2059"/>
      <c r="CA55" s="2059"/>
      <c r="CB55" s="2059"/>
      <c r="CC55" s="2059"/>
      <c r="CD55" s="2059"/>
      <c r="CE55" s="2059"/>
      <c r="CF55" s="2059"/>
      <c r="CG55" s="2059"/>
      <c r="CH55" s="2059"/>
      <c r="CI55" s="2059"/>
      <c r="CJ55" s="2059"/>
      <c r="CK55" s="2059"/>
      <c r="CL55" s="2059"/>
      <c r="CM55" s="2059"/>
      <c r="CN55" s="2059"/>
      <c r="CO55" s="2059"/>
      <c r="CP55" s="1576"/>
      <c r="CQ55" s="1576"/>
      <c r="CR55" s="1576"/>
      <c r="CS55" s="1576"/>
      <c r="CT55" s="1576"/>
      <c r="CU55" s="1576"/>
      <c r="CV55" s="1576"/>
      <c r="CW55" s="1576"/>
      <c r="CX55" s="1576"/>
      <c r="CY55" s="1576"/>
      <c r="CZ55" s="1576"/>
      <c r="DA55" s="1576"/>
      <c r="DB55" s="1576"/>
      <c r="DC55" s="1576"/>
      <c r="DD55" s="1576"/>
      <c r="DE55" s="1576"/>
      <c r="DF55" s="1576"/>
      <c r="DG55" s="1576"/>
      <c r="DH55" s="1576"/>
      <c r="DI55" s="1576"/>
      <c r="DJ55" s="1576"/>
      <c r="DK55" s="1576"/>
      <c r="DL55" s="1576"/>
      <c r="DM55" s="1576"/>
      <c r="DN55" s="1576"/>
      <c r="DO55" s="1576"/>
      <c r="DP55" s="1576"/>
      <c r="DQ55" s="1576"/>
      <c r="DR55" s="1576"/>
      <c r="DS55" s="1576"/>
      <c r="DT55" s="1576"/>
      <c r="DU55" s="1576"/>
      <c r="DV55" s="1576"/>
      <c r="DW55" s="1576"/>
      <c r="DX55" s="1576"/>
      <c r="DY55" s="1576"/>
      <c r="DZ55" s="1576"/>
      <c r="EA55" s="1576"/>
      <c r="EB55" s="1576"/>
      <c r="EC55" s="1576"/>
      <c r="ED55" s="1576"/>
      <c r="EE55" s="1576"/>
      <c r="EF55" s="1576"/>
      <c r="EG55" s="1576"/>
      <c r="EH55" s="1576"/>
      <c r="EI55" s="1576"/>
      <c r="EJ55" s="1576"/>
      <c r="EK55" s="1576"/>
      <c r="EL55" s="1576"/>
      <c r="EM55" s="1576"/>
      <c r="EN55" s="1576"/>
      <c r="EO55" s="1576"/>
      <c r="EP55" s="1576"/>
      <c r="EQ55" s="1576"/>
      <c r="ER55" s="1576"/>
      <c r="ES55" s="1576"/>
      <c r="ET55" s="1576"/>
      <c r="EU55" s="1576"/>
      <c r="EV55" s="1576"/>
      <c r="EW55" s="1576"/>
      <c r="EX55" s="1576"/>
      <c r="EY55" s="1576"/>
      <c r="EZ55" s="1576"/>
      <c r="FA55" s="1576"/>
      <c r="FB55" s="1576"/>
      <c r="FC55" s="1576"/>
      <c r="FD55" s="1576"/>
      <c r="FE55" s="1576"/>
      <c r="FF55" s="1576"/>
      <c r="FG55" s="1576"/>
      <c r="FH55" s="1576"/>
      <c r="FI55" s="1576"/>
      <c r="FJ55" s="1576"/>
      <c r="FK55" s="1576"/>
      <c r="FL55" s="1576"/>
      <c r="FM55" s="1576"/>
      <c r="FN55" s="1576"/>
      <c r="FO55" s="1576"/>
      <c r="FP55" s="1576"/>
      <c r="FQ55" s="1576"/>
      <c r="FR55" s="1576"/>
      <c r="FS55" s="1576"/>
      <c r="FT55" s="1576"/>
      <c r="FU55" s="1576"/>
      <c r="FV55" s="1576"/>
      <c r="FW55" s="1576"/>
      <c r="FX55" s="1576"/>
      <c r="FY55" s="1576"/>
      <c r="FZ55" s="1576"/>
      <c r="GA55" s="1576"/>
      <c r="GB55" s="1576"/>
      <c r="GC55" s="1576"/>
      <c r="GD55" s="1576"/>
      <c r="GE55" s="1576"/>
      <c r="GF55" s="1576"/>
      <c r="GG55" s="1576"/>
      <c r="GH55" s="1576"/>
      <c r="GI55" s="1576"/>
      <c r="GJ55" s="1576"/>
      <c r="GK55" s="1576"/>
      <c r="GL55" s="1576"/>
      <c r="GM55" s="1576"/>
      <c r="GN55" s="1576"/>
      <c r="GO55" s="1576"/>
      <c r="GP55" s="1576"/>
      <c r="GQ55" s="1576"/>
      <c r="GR55" s="1576"/>
      <c r="GS55" s="1576"/>
      <c r="GT55" s="1576"/>
      <c r="GU55" s="1576"/>
      <c r="GV55" s="1576"/>
      <c r="GW55" s="1576"/>
      <c r="GX55" s="1576"/>
      <c r="GY55" s="1576"/>
      <c r="GZ55" s="1576"/>
      <c r="HA55" s="1576"/>
      <c r="HB55" s="1576"/>
      <c r="HC55" s="1576"/>
      <c r="HD55" s="1576"/>
      <c r="HE55" s="1576"/>
      <c r="HF55" s="1576"/>
      <c r="HG55" s="1576"/>
      <c r="HH55" s="1576"/>
      <c r="HI55" s="1576"/>
      <c r="HJ55" s="1576"/>
      <c r="HK55" s="1576"/>
      <c r="HL55" s="1576"/>
      <c r="HM55" s="1576"/>
      <c r="HN55" s="1576"/>
      <c r="HO55" s="1576"/>
      <c r="HP55" s="1576"/>
      <c r="HQ55" s="1576"/>
      <c r="HR55" s="1576"/>
      <c r="HS55" s="1576"/>
      <c r="HT55" s="1576"/>
      <c r="HU55" s="1576"/>
      <c r="HV55" s="1576"/>
      <c r="HW55" s="1576"/>
      <c r="HX55" s="1576"/>
      <c r="HY55" s="1576"/>
      <c r="HZ55" s="1576"/>
      <c r="IA55" s="1576"/>
      <c r="IB55" s="1576"/>
      <c r="IC55" s="1576"/>
      <c r="ID55" s="1576"/>
      <c r="IE55" s="1576"/>
      <c r="IF55" s="1576"/>
      <c r="IG55" s="1576"/>
      <c r="IH55" s="1576"/>
      <c r="II55" s="1576"/>
      <c r="IJ55" s="1576"/>
      <c r="IK55" s="1576"/>
      <c r="IL55" s="1576"/>
      <c r="IM55" s="1576"/>
      <c r="IN55" s="1576"/>
      <c r="IO55" s="1576"/>
      <c r="IP55" s="1576"/>
      <c r="IQ55" s="1576"/>
      <c r="IR55" s="1576"/>
      <c r="IS55" s="1576"/>
      <c r="IT55" s="1576"/>
      <c r="IU55" s="1576"/>
      <c r="IV55" s="1576"/>
      <c r="IW55" s="1576"/>
      <c r="IX55" s="1576"/>
      <c r="IY55" s="1576"/>
      <c r="IZ55" s="1576"/>
      <c r="JA55" s="2054"/>
      <c r="JB55" s="2054"/>
      <c r="JC55" s="2054"/>
      <c r="JD55" s="2054"/>
      <c r="JE55" s="2054"/>
      <c r="JF55" s="2054"/>
      <c r="JG55" s="2054"/>
      <c r="JH55" s="2054"/>
      <c r="JI55" s="2054"/>
      <c r="JJ55" s="2054"/>
      <c r="JK55" s="2054"/>
      <c r="JL55" s="2054"/>
      <c r="JM55" s="2054"/>
      <c r="JN55" s="2054"/>
      <c r="JO55" s="2054"/>
      <c r="JP55" s="2054"/>
      <c r="JQ55" s="2054"/>
      <c r="JR55" s="1576"/>
      <c r="JS55" s="1576"/>
      <c r="JT55" s="1576"/>
      <c r="JU55" s="1576"/>
      <c r="JV55" s="1576"/>
      <c r="JW55" s="1576"/>
      <c r="JX55" s="1576"/>
      <c r="JY55" s="1576"/>
      <c r="JZ55" s="1576"/>
      <c r="KA55" s="1576"/>
      <c r="KB55" s="1576"/>
      <c r="KC55" s="1576"/>
      <c r="KD55" s="1576"/>
      <c r="KE55" s="1576"/>
      <c r="KF55" s="1576"/>
      <c r="KG55" s="1576"/>
      <c r="KH55" s="1576"/>
      <c r="KI55" s="1576"/>
      <c r="KJ55" s="1576"/>
      <c r="KK55" s="1576"/>
      <c r="KL55" s="1576"/>
      <c r="KM55" s="1576"/>
      <c r="KN55" s="1576"/>
      <c r="KO55" s="1576"/>
      <c r="KP55" s="1576"/>
      <c r="KQ55" s="1576"/>
      <c r="KR55" s="1576"/>
      <c r="KS55" s="1576"/>
      <c r="KT55" s="1576"/>
      <c r="KU55" s="1576"/>
      <c r="KV55" s="1576"/>
      <c r="KW55" s="1576"/>
      <c r="KX55" s="1576"/>
      <c r="KY55" s="1576"/>
      <c r="KZ55" s="1576"/>
      <c r="LA55" s="1576"/>
      <c r="LB55" s="1576"/>
      <c r="LC55" s="1576"/>
      <c r="LD55" s="1576"/>
      <c r="LE55" s="1576"/>
      <c r="LF55" s="1576"/>
      <c r="LG55" s="1576"/>
      <c r="LH55" s="1576"/>
      <c r="LI55" s="1576"/>
      <c r="LJ55" s="1576"/>
      <c r="LK55" s="1576"/>
      <c r="LL55" s="1576"/>
      <c r="LM55" s="1576"/>
      <c r="LN55" s="1576"/>
      <c r="LO55" s="1576"/>
      <c r="LP55" s="1576"/>
      <c r="LQ55" s="1576"/>
      <c r="LR55" s="1576"/>
      <c r="LS55" s="1576"/>
      <c r="LT55" s="1576"/>
      <c r="LU55" s="1576"/>
      <c r="LV55" s="1576"/>
      <c r="LW55" s="1576"/>
      <c r="LX55" s="1576"/>
      <c r="LY55" s="1576"/>
      <c r="LZ55" s="1576"/>
      <c r="MA55" s="1576"/>
      <c r="MB55" s="1576"/>
      <c r="MC55" s="1576"/>
      <c r="MD55" s="1576"/>
      <c r="ME55" s="1576"/>
      <c r="MF55" s="1576"/>
      <c r="MG55" s="1576"/>
      <c r="MH55" s="1576"/>
      <c r="MI55" s="1576"/>
      <c r="MJ55" s="1576"/>
      <c r="MK55" s="1576"/>
      <c r="ML55" s="1576"/>
      <c r="MM55" s="1576"/>
      <c r="MN55" s="1576"/>
      <c r="MO55" s="1576"/>
      <c r="MP55" s="1576"/>
      <c r="MQ55" s="1576"/>
      <c r="MR55" s="1576"/>
      <c r="MS55" s="1576"/>
      <c r="MT55" s="1576"/>
      <c r="MU55" s="1576"/>
      <c r="MV55" s="1576"/>
      <c r="MW55" s="1576"/>
      <c r="MX55" s="1576"/>
      <c r="MY55" s="1576"/>
      <c r="MZ55" s="1576"/>
      <c r="NA55" s="1576"/>
      <c r="NB55" s="1576"/>
      <c r="NC55" s="1576"/>
      <c r="ND55" s="1576"/>
      <c r="NE55" s="1576"/>
      <c r="NF55" s="1576"/>
      <c r="NG55" s="1576"/>
      <c r="NH55" s="1576"/>
      <c r="NI55" s="1576"/>
      <c r="NJ55" s="1576"/>
      <c r="NK55" s="1576"/>
      <c r="NL55" s="1576"/>
      <c r="NM55" s="1576"/>
      <c r="NN55" s="1576"/>
      <c r="NO55" s="1576"/>
      <c r="NP55" s="1576"/>
      <c r="NQ55" s="1576"/>
      <c r="NR55" s="1576"/>
      <c r="NS55" s="1576"/>
      <c r="NT55" s="1576"/>
      <c r="NU55" s="1576"/>
      <c r="NV55" s="1576"/>
      <c r="NW55" s="1576"/>
      <c r="NX55" s="1576"/>
      <c r="NY55" s="1576"/>
      <c r="NZ55" s="1576"/>
      <c r="OA55" s="1576"/>
      <c r="OB55" s="1576"/>
      <c r="OC55" s="1576"/>
      <c r="OD55" s="1576"/>
      <c r="OE55" s="1576"/>
      <c r="OF55" s="1576"/>
      <c r="OG55" s="1576"/>
      <c r="OH55" s="1576"/>
      <c r="OI55" s="1576"/>
      <c r="OJ55" s="1576"/>
      <c r="OK55" s="1576"/>
      <c r="OL55" s="1576"/>
      <c r="OM55" s="1576"/>
      <c r="ON55" s="1576"/>
      <c r="OO55" s="1576"/>
      <c r="OP55" s="1576"/>
      <c r="OQ55" s="1576"/>
      <c r="OR55" s="1576"/>
      <c r="OS55" s="1576"/>
      <c r="OT55" s="1576"/>
      <c r="OU55" s="1576"/>
      <c r="OV55" s="1576"/>
      <c r="OW55" s="1576"/>
      <c r="OX55" s="1576"/>
      <c r="OY55" s="1576"/>
      <c r="OZ55" s="1576"/>
      <c r="PA55" s="1576"/>
      <c r="PB55" s="1576"/>
      <c r="PC55" s="1576"/>
      <c r="PD55" s="1576"/>
      <c r="PE55" s="1576"/>
      <c r="PF55" s="1576"/>
      <c r="PG55" s="1576"/>
      <c r="PH55" s="1576"/>
      <c r="PI55" s="1576"/>
      <c r="PJ55" s="1576"/>
      <c r="PK55" s="1576"/>
      <c r="PL55" s="1576"/>
      <c r="PM55" s="1576"/>
      <c r="PN55" s="1576"/>
      <c r="PO55" s="1576"/>
      <c r="PP55" s="1576"/>
      <c r="PQ55" s="1576"/>
      <c r="PR55" s="1576"/>
      <c r="PS55" s="1576"/>
      <c r="PT55" s="1576"/>
      <c r="PU55" s="1576"/>
      <c r="PV55" s="1576"/>
      <c r="PW55" s="1576"/>
      <c r="PX55" s="1576"/>
      <c r="PY55" s="1576"/>
      <c r="PZ55" s="1576"/>
      <c r="QA55" s="1576"/>
      <c r="QB55" s="1576"/>
      <c r="QC55" s="1576"/>
      <c r="QD55" s="1576"/>
      <c r="QE55" s="1576"/>
      <c r="QF55" s="1576"/>
      <c r="QG55" s="1576"/>
      <c r="QH55" s="1576"/>
      <c r="QI55" s="1576"/>
      <c r="QJ55" s="1576"/>
      <c r="QK55" s="1576"/>
      <c r="QL55" s="1576"/>
      <c r="QM55" s="1576"/>
      <c r="QN55" s="1576"/>
      <c r="QO55" s="1576"/>
      <c r="QP55" s="1576"/>
      <c r="QQ55" s="1576"/>
      <c r="QR55" s="1576"/>
      <c r="QS55" s="1576"/>
      <c r="QT55" s="1576"/>
      <c r="QU55" s="1576"/>
      <c r="QV55" s="1576"/>
      <c r="QW55" s="1576"/>
      <c r="QX55" s="1576"/>
      <c r="QY55" s="1576"/>
      <c r="QZ55" s="1576"/>
      <c r="RA55" s="1576"/>
      <c r="RB55" s="1576"/>
      <c r="RC55" s="1576"/>
      <c r="RD55" s="1576"/>
      <c r="RE55" s="1576"/>
      <c r="RF55" s="1576"/>
      <c r="RG55" s="1576"/>
      <c r="RH55" s="1576"/>
      <c r="RI55" s="1576"/>
      <c r="RJ55" s="1576"/>
      <c r="RK55" s="1576"/>
      <c r="RL55" s="1576"/>
      <c r="RM55" s="1576"/>
      <c r="RN55" s="1576"/>
      <c r="RO55" s="1576"/>
      <c r="RP55" s="1576"/>
      <c r="RQ55" s="1576"/>
      <c r="RR55" s="1576"/>
      <c r="RS55" s="1576"/>
      <c r="RT55" s="1576"/>
      <c r="RU55" s="1576"/>
      <c r="RV55" s="1576"/>
      <c r="RW55" s="1576"/>
      <c r="RX55" s="1576"/>
      <c r="RY55" s="1576"/>
      <c r="RZ55" s="1576"/>
      <c r="SA55" s="1576"/>
      <c r="SB55" s="1576"/>
      <c r="SC55" s="1576"/>
      <c r="SD55" s="1576"/>
      <c r="SE55" s="1576"/>
      <c r="SF55" s="1576"/>
      <c r="SG55" s="1576"/>
      <c r="SH55" s="1576"/>
      <c r="SI55" s="1576"/>
      <c r="SJ55" s="1576"/>
      <c r="SK55" s="1576"/>
      <c r="SL55" s="1576"/>
      <c r="SM55" s="1576"/>
      <c r="SN55" s="1576"/>
      <c r="SO55" s="1576"/>
      <c r="SP55" s="1576"/>
      <c r="SQ55" s="1576"/>
      <c r="SR55" s="1576"/>
      <c r="SS55" s="1576"/>
      <c r="ST55" s="1576"/>
      <c r="SU55" s="1576"/>
      <c r="SV55" s="1576"/>
      <c r="SW55" s="1576"/>
      <c r="SX55" s="1576"/>
      <c r="SY55" s="1576"/>
      <c r="SZ55" s="1576"/>
      <c r="TA55" s="1576"/>
      <c r="TB55" s="1576"/>
      <c r="TC55" s="1576"/>
      <c r="TD55" s="1576"/>
      <c r="TE55" s="1576"/>
      <c r="TF55" s="1576"/>
      <c r="TG55" s="1576"/>
      <c r="TH55" s="1576"/>
      <c r="TI55" s="1576"/>
      <c r="TJ55" s="1576"/>
      <c r="TK55" s="1576"/>
      <c r="TL55" s="1576"/>
      <c r="TM55" s="1576"/>
      <c r="TN55" s="1576"/>
      <c r="TO55" s="1576"/>
      <c r="TP55" s="1576"/>
      <c r="TQ55" s="1576"/>
      <c r="TR55" s="1576"/>
      <c r="TS55" s="1576"/>
      <c r="TT55" s="1576"/>
      <c r="TU55" s="1576"/>
      <c r="TV55" s="1576"/>
      <c r="TW55" s="1576"/>
      <c r="TX55" s="1576"/>
      <c r="TY55" s="1576"/>
      <c r="TZ55" s="1576"/>
      <c r="UA55" s="1576"/>
      <c r="UB55" s="1576"/>
      <c r="UC55" s="1576"/>
      <c r="UD55" s="1576"/>
      <c r="UE55" s="1576"/>
      <c r="UF55" s="1576"/>
      <c r="UG55" s="1576"/>
      <c r="UH55" s="1576"/>
      <c r="UI55" s="1576"/>
      <c r="UJ55" s="1576"/>
      <c r="UK55" s="1576"/>
      <c r="UL55" s="1576"/>
      <c r="UM55" s="1576"/>
      <c r="UN55" s="1576"/>
      <c r="UO55" s="1576"/>
      <c r="UP55" s="1576"/>
      <c r="UQ55" s="1576"/>
      <c r="UR55" s="1576"/>
      <c r="US55" s="1576"/>
      <c r="UT55" s="1576"/>
      <c r="UU55" s="1576"/>
      <c r="UV55" s="1576"/>
      <c r="UW55" s="1576"/>
      <c r="UX55" s="1576"/>
      <c r="UY55" s="1576"/>
      <c r="UZ55" s="1576"/>
      <c r="VA55" s="1576"/>
      <c r="VB55" s="1576"/>
      <c r="VC55" s="1576"/>
      <c r="VD55" s="1576"/>
      <c r="VE55" s="1576"/>
      <c r="VF55" s="1576"/>
      <c r="VG55" s="1576"/>
      <c r="VH55" s="1576"/>
      <c r="VI55" s="1576"/>
      <c r="VJ55" s="1576"/>
      <c r="VK55" s="1576"/>
    </row>
    <row r="56" spans="1:583" ht="27" x14ac:dyDescent="0.25">
      <c r="B56" s="1610" t="s">
        <v>629</v>
      </c>
      <c r="C56" s="1582" t="s">
        <v>2745</v>
      </c>
      <c r="D56" s="4710" t="s">
        <v>2920</v>
      </c>
      <c r="E56" s="4710">
        <v>0</v>
      </c>
      <c r="F56" s="2057"/>
      <c r="G56" s="2057"/>
      <c r="H56" s="2057"/>
      <c r="I56" s="2058"/>
      <c r="J56" s="2058"/>
      <c r="K56" s="2058"/>
      <c r="L56" s="2058"/>
      <c r="M56" s="2058"/>
      <c r="N56" s="2058"/>
      <c r="O56" s="2058"/>
      <c r="P56" s="2058"/>
      <c r="Q56" s="2058"/>
      <c r="R56" s="2058"/>
      <c r="S56" s="2058"/>
      <c r="T56" s="2058"/>
      <c r="U56" s="2058"/>
      <c r="V56" s="2058"/>
      <c r="W56" s="2059"/>
      <c r="X56" s="2059"/>
      <c r="Y56" s="2059"/>
      <c r="Z56" s="2059"/>
      <c r="AA56" s="2059"/>
      <c r="AB56" s="2059"/>
      <c r="AC56" s="2059"/>
      <c r="AD56" s="2059"/>
      <c r="AE56" s="2059"/>
      <c r="AF56" s="2059"/>
      <c r="AG56" s="2059"/>
      <c r="AH56" s="2059"/>
      <c r="AI56" s="2059"/>
      <c r="AJ56" s="2059"/>
      <c r="AK56" s="2059"/>
      <c r="AL56" s="2059"/>
      <c r="AM56" s="2059"/>
      <c r="AN56" s="2059"/>
      <c r="AO56" s="2059"/>
      <c r="AP56" s="2059"/>
      <c r="AQ56" s="2059"/>
      <c r="AR56" s="2059"/>
      <c r="AS56" s="2059"/>
      <c r="AT56" s="2059"/>
      <c r="AU56" s="2059"/>
      <c r="AV56" s="2059"/>
      <c r="AW56" s="2059"/>
      <c r="AX56" s="2059"/>
      <c r="AY56" s="2059"/>
      <c r="AZ56" s="2059"/>
      <c r="BA56" s="2059"/>
      <c r="BB56" s="2059"/>
      <c r="BC56" s="2059"/>
      <c r="BD56" s="2059"/>
      <c r="BE56" s="2059"/>
      <c r="BF56" s="2059"/>
      <c r="BG56" s="2059"/>
      <c r="BH56" s="2059"/>
      <c r="BI56" s="2059"/>
      <c r="BJ56" s="2059"/>
      <c r="BK56" s="2059"/>
      <c r="BL56" s="2059"/>
      <c r="BM56" s="2059"/>
      <c r="BN56" s="2059"/>
      <c r="BO56" s="2059"/>
      <c r="BP56" s="2059"/>
      <c r="BQ56" s="2059"/>
      <c r="BR56" s="2059"/>
      <c r="BS56" s="2059"/>
      <c r="BT56" s="2059"/>
      <c r="BU56" s="2059"/>
      <c r="BV56" s="2059"/>
      <c r="BW56" s="2059"/>
      <c r="BX56" s="2059"/>
      <c r="BY56" s="2059"/>
      <c r="BZ56" s="2059"/>
      <c r="CA56" s="2059"/>
      <c r="CB56" s="2059"/>
      <c r="CC56" s="2059"/>
      <c r="CD56" s="2059"/>
      <c r="CE56" s="2059"/>
      <c r="CF56" s="2059"/>
      <c r="CG56" s="2059"/>
      <c r="CH56" s="2059"/>
      <c r="CI56" s="2059"/>
      <c r="CJ56" s="2059"/>
      <c r="CK56" s="2059"/>
      <c r="CL56" s="2059"/>
      <c r="CM56" s="2059"/>
      <c r="CN56" s="2059"/>
      <c r="CO56" s="2059"/>
      <c r="CP56" s="1576"/>
      <c r="CQ56" s="1576"/>
      <c r="CR56" s="1576"/>
      <c r="CS56" s="1576"/>
      <c r="CT56" s="1576"/>
      <c r="CU56" s="1576"/>
      <c r="CV56" s="1576"/>
      <c r="CW56" s="1576"/>
      <c r="CX56" s="1576"/>
      <c r="CY56" s="1576"/>
      <c r="CZ56" s="1576"/>
      <c r="DA56" s="1576"/>
      <c r="DB56" s="1576"/>
      <c r="DC56" s="1576"/>
      <c r="DD56" s="1576"/>
      <c r="DE56" s="1576"/>
      <c r="DF56" s="1576"/>
      <c r="DG56" s="1576"/>
      <c r="DH56" s="1576"/>
      <c r="DI56" s="1576"/>
      <c r="DJ56" s="1576"/>
      <c r="DK56" s="1576"/>
      <c r="DL56" s="1576"/>
      <c r="DM56" s="1576"/>
      <c r="DN56" s="1576"/>
      <c r="DO56" s="1576"/>
      <c r="DP56" s="1576"/>
      <c r="DQ56" s="1576"/>
      <c r="DR56" s="1576"/>
      <c r="DS56" s="1576"/>
      <c r="DT56" s="1576"/>
      <c r="DU56" s="1576"/>
      <c r="DV56" s="1576"/>
      <c r="DW56" s="1576"/>
      <c r="DX56" s="1576"/>
      <c r="DY56" s="1576"/>
      <c r="DZ56" s="1576"/>
      <c r="EA56" s="1576"/>
      <c r="EB56" s="1576"/>
      <c r="EC56" s="1576"/>
      <c r="ED56" s="1576"/>
      <c r="EE56" s="1576"/>
      <c r="EF56" s="1576"/>
      <c r="EG56" s="1576"/>
      <c r="EH56" s="1576"/>
      <c r="EI56" s="1576"/>
      <c r="EJ56" s="1576"/>
      <c r="EK56" s="1576"/>
      <c r="EL56" s="1576"/>
      <c r="EM56" s="1576"/>
      <c r="EN56" s="1576"/>
      <c r="EO56" s="1576"/>
      <c r="EP56" s="1576"/>
      <c r="EQ56" s="1576"/>
      <c r="ER56" s="1576"/>
      <c r="ES56" s="1576"/>
      <c r="ET56" s="1576"/>
      <c r="EU56" s="1576"/>
      <c r="EV56" s="1576"/>
      <c r="EW56" s="1576"/>
      <c r="EX56" s="1576"/>
      <c r="EY56" s="1576"/>
      <c r="EZ56" s="1576"/>
      <c r="FA56" s="1576"/>
      <c r="FB56" s="1576"/>
      <c r="FC56" s="1576"/>
      <c r="FD56" s="1576"/>
      <c r="FE56" s="1576"/>
      <c r="FF56" s="1576"/>
      <c r="FG56" s="1576"/>
      <c r="FH56" s="1576"/>
      <c r="FI56" s="1576"/>
      <c r="FJ56" s="1576"/>
      <c r="FK56" s="1576"/>
      <c r="FL56" s="1576"/>
      <c r="FM56" s="1576"/>
      <c r="FN56" s="1576"/>
      <c r="FO56" s="1576"/>
      <c r="FP56" s="1576"/>
      <c r="FQ56" s="1576"/>
      <c r="FR56" s="1576"/>
      <c r="FS56" s="1576"/>
      <c r="FT56" s="1576"/>
      <c r="FU56" s="1576"/>
      <c r="FV56" s="1576"/>
      <c r="FW56" s="1576"/>
      <c r="FX56" s="1576"/>
      <c r="FY56" s="1576"/>
      <c r="FZ56" s="1576"/>
      <c r="GA56" s="1576"/>
      <c r="GB56" s="1576"/>
      <c r="GC56" s="1576"/>
      <c r="GD56" s="1576"/>
      <c r="GE56" s="1576"/>
      <c r="GF56" s="1576"/>
      <c r="GG56" s="1576"/>
      <c r="GH56" s="1576"/>
      <c r="GI56" s="1576"/>
      <c r="GJ56" s="1576"/>
      <c r="GK56" s="1576"/>
      <c r="GL56" s="1576"/>
      <c r="GM56" s="1576"/>
      <c r="GN56" s="1576"/>
      <c r="GO56" s="1576"/>
      <c r="GP56" s="1576"/>
      <c r="GQ56" s="1576"/>
      <c r="GR56" s="1576"/>
      <c r="GS56" s="1576"/>
      <c r="GT56" s="1576"/>
      <c r="GU56" s="1576"/>
      <c r="GV56" s="1576"/>
      <c r="GW56" s="1576"/>
      <c r="GX56" s="1576"/>
      <c r="GY56" s="1576"/>
      <c r="GZ56" s="1576"/>
      <c r="HA56" s="1576"/>
      <c r="HB56" s="1576"/>
      <c r="HC56" s="1576"/>
      <c r="HD56" s="1576"/>
      <c r="HE56" s="1576"/>
      <c r="HF56" s="1576"/>
      <c r="HG56" s="1576"/>
      <c r="HH56" s="1576"/>
      <c r="HI56" s="1576"/>
      <c r="HJ56" s="1576"/>
      <c r="HK56" s="1576"/>
      <c r="HL56" s="1576"/>
      <c r="HM56" s="1576"/>
      <c r="HN56" s="1576"/>
      <c r="HO56" s="1576"/>
      <c r="HP56" s="1576"/>
      <c r="HQ56" s="1576"/>
      <c r="HR56" s="1576"/>
      <c r="HS56" s="1576"/>
      <c r="HT56" s="1576"/>
      <c r="HU56" s="1576"/>
      <c r="HV56" s="1576"/>
      <c r="HW56" s="1576"/>
      <c r="HX56" s="1576"/>
      <c r="HY56" s="1576"/>
      <c r="HZ56" s="1576"/>
      <c r="IA56" s="1576"/>
      <c r="IB56" s="1576"/>
      <c r="IC56" s="1576"/>
      <c r="ID56" s="1576"/>
      <c r="IE56" s="1576"/>
      <c r="IF56" s="1576"/>
      <c r="IG56" s="1576"/>
      <c r="IH56" s="1576"/>
      <c r="II56" s="1576"/>
      <c r="IJ56" s="1576"/>
      <c r="IK56" s="1576"/>
      <c r="IL56" s="1576"/>
      <c r="IM56" s="1576"/>
      <c r="IN56" s="1576"/>
      <c r="IO56" s="1576"/>
      <c r="IP56" s="1576"/>
      <c r="IQ56" s="1576"/>
      <c r="IR56" s="1576"/>
      <c r="IS56" s="1576"/>
      <c r="IT56" s="1576"/>
      <c r="IU56" s="1576"/>
      <c r="IV56" s="1576"/>
      <c r="IW56" s="1576"/>
      <c r="IX56" s="1576"/>
      <c r="IY56" s="1576"/>
      <c r="IZ56" s="1576"/>
      <c r="JA56" s="2054"/>
      <c r="JB56" s="2054"/>
      <c r="JC56" s="2054"/>
      <c r="JD56" s="2054"/>
      <c r="JE56" s="2054"/>
      <c r="JF56" s="2054"/>
      <c r="JG56" s="2054"/>
      <c r="JH56" s="2054"/>
      <c r="JI56" s="2054"/>
      <c r="JJ56" s="2054"/>
      <c r="JK56" s="2054"/>
      <c r="JL56" s="2054"/>
      <c r="JM56" s="2054"/>
      <c r="JN56" s="2054"/>
      <c r="JO56" s="2054"/>
      <c r="JP56" s="2054"/>
      <c r="JQ56" s="2054"/>
      <c r="JR56" s="1576"/>
      <c r="JS56" s="1576"/>
      <c r="JT56" s="1576"/>
      <c r="JU56" s="1576"/>
      <c r="JV56" s="1576"/>
      <c r="JW56" s="1576"/>
      <c r="JX56" s="1576"/>
      <c r="JY56" s="1576"/>
      <c r="JZ56" s="1576"/>
      <c r="KA56" s="1576"/>
      <c r="KB56" s="1576"/>
      <c r="KC56" s="1576"/>
      <c r="KD56" s="1576"/>
      <c r="KE56" s="1576"/>
      <c r="KF56" s="1576"/>
      <c r="KG56" s="1576"/>
      <c r="KH56" s="1576"/>
      <c r="KI56" s="1576"/>
      <c r="KJ56" s="1576"/>
      <c r="KK56" s="1576"/>
      <c r="KL56" s="1576"/>
      <c r="KM56" s="1576"/>
      <c r="KN56" s="1576"/>
      <c r="KO56" s="1576"/>
      <c r="KP56" s="1576"/>
      <c r="KQ56" s="1576"/>
      <c r="KR56" s="1576"/>
      <c r="KS56" s="1576"/>
      <c r="KT56" s="1576"/>
      <c r="KU56" s="1576"/>
      <c r="KV56" s="1576"/>
      <c r="KW56" s="1576"/>
      <c r="KX56" s="1576"/>
      <c r="KY56" s="1576"/>
      <c r="KZ56" s="1576"/>
      <c r="LA56" s="1576"/>
      <c r="LB56" s="1576"/>
      <c r="LC56" s="1576"/>
      <c r="LD56" s="1576"/>
      <c r="LE56" s="1576"/>
      <c r="LF56" s="1576"/>
      <c r="LG56" s="1576"/>
      <c r="LH56" s="1576"/>
      <c r="LI56" s="1576"/>
      <c r="LJ56" s="1576"/>
      <c r="LK56" s="1576"/>
      <c r="LL56" s="1576"/>
      <c r="LM56" s="1576"/>
      <c r="LN56" s="1576"/>
      <c r="LO56" s="1576"/>
      <c r="LP56" s="1576"/>
      <c r="LQ56" s="1576"/>
      <c r="LR56" s="1576"/>
      <c r="LS56" s="1576"/>
      <c r="LT56" s="1576"/>
      <c r="LU56" s="1576"/>
      <c r="LV56" s="1576"/>
      <c r="LW56" s="1576"/>
      <c r="LX56" s="1576"/>
      <c r="LY56" s="1576"/>
      <c r="LZ56" s="1576"/>
      <c r="MA56" s="1576"/>
      <c r="MB56" s="1576"/>
      <c r="MC56" s="1576"/>
      <c r="MD56" s="1576"/>
      <c r="ME56" s="1576"/>
      <c r="MF56" s="1576"/>
      <c r="MG56" s="1576"/>
      <c r="MH56" s="1576"/>
      <c r="MI56" s="1576"/>
      <c r="MJ56" s="1576"/>
      <c r="MK56" s="1576"/>
      <c r="ML56" s="1576"/>
      <c r="MM56" s="1576"/>
      <c r="MN56" s="1576"/>
      <c r="MO56" s="1576"/>
      <c r="MP56" s="1576"/>
      <c r="MQ56" s="1576"/>
      <c r="MR56" s="1576"/>
      <c r="MS56" s="1576"/>
      <c r="MT56" s="1576"/>
      <c r="MU56" s="1576"/>
      <c r="MV56" s="1576"/>
      <c r="MW56" s="1576"/>
      <c r="MX56" s="1576"/>
      <c r="MY56" s="1576"/>
      <c r="MZ56" s="1576"/>
      <c r="NA56" s="1576"/>
      <c r="NB56" s="1576"/>
      <c r="NC56" s="1576"/>
      <c r="ND56" s="1576"/>
      <c r="NE56" s="1576"/>
      <c r="NF56" s="1576"/>
      <c r="NG56" s="1576"/>
      <c r="NH56" s="1576"/>
      <c r="NI56" s="1576"/>
      <c r="NJ56" s="1576"/>
      <c r="NK56" s="1576"/>
      <c r="NL56" s="1576"/>
      <c r="NM56" s="1576"/>
      <c r="NN56" s="1576"/>
      <c r="NO56" s="1576"/>
      <c r="NP56" s="1576"/>
      <c r="NQ56" s="1576"/>
      <c r="NR56" s="1576"/>
      <c r="NS56" s="1576"/>
      <c r="NT56" s="1576"/>
      <c r="NU56" s="1576"/>
      <c r="NV56" s="1576"/>
      <c r="NW56" s="1576"/>
      <c r="NX56" s="1576"/>
      <c r="NY56" s="1576"/>
      <c r="NZ56" s="1576"/>
      <c r="OA56" s="1576"/>
      <c r="OB56" s="1576"/>
      <c r="OC56" s="1576"/>
      <c r="OD56" s="1576"/>
      <c r="OE56" s="1576"/>
      <c r="OF56" s="1576"/>
      <c r="OG56" s="1576"/>
      <c r="OH56" s="1576"/>
      <c r="OI56" s="1576"/>
      <c r="OJ56" s="1576"/>
      <c r="OK56" s="1576"/>
      <c r="OL56" s="1576"/>
      <c r="OM56" s="1576"/>
      <c r="ON56" s="1576"/>
      <c r="OO56" s="1576"/>
      <c r="OP56" s="1576"/>
      <c r="OQ56" s="1576"/>
      <c r="OR56" s="1576"/>
      <c r="OS56" s="1576"/>
      <c r="OT56" s="1576"/>
      <c r="OU56" s="1576"/>
      <c r="OV56" s="1576"/>
      <c r="OW56" s="1576"/>
      <c r="OX56" s="1576"/>
      <c r="OY56" s="1576"/>
      <c r="OZ56" s="1576"/>
      <c r="PA56" s="1576"/>
      <c r="PB56" s="1576"/>
      <c r="PC56" s="1576"/>
      <c r="PD56" s="1576"/>
      <c r="PE56" s="1576"/>
      <c r="PF56" s="1576"/>
      <c r="PG56" s="1576"/>
      <c r="PH56" s="1576"/>
      <c r="PI56" s="1576"/>
      <c r="PJ56" s="1576"/>
      <c r="PK56" s="1576"/>
      <c r="PL56" s="1576"/>
      <c r="PM56" s="1576"/>
      <c r="PN56" s="1576"/>
      <c r="PO56" s="1576"/>
      <c r="PP56" s="1576"/>
      <c r="PQ56" s="1576"/>
      <c r="PR56" s="1576"/>
      <c r="PS56" s="1576"/>
      <c r="PT56" s="1576"/>
      <c r="PU56" s="1576"/>
      <c r="PV56" s="1576"/>
      <c r="PW56" s="1576"/>
      <c r="PX56" s="1576"/>
      <c r="PY56" s="1576"/>
      <c r="PZ56" s="1576"/>
      <c r="QA56" s="1576"/>
      <c r="QB56" s="1576"/>
      <c r="QC56" s="1576"/>
      <c r="QD56" s="1576"/>
      <c r="QE56" s="1576"/>
      <c r="QF56" s="1576"/>
      <c r="QG56" s="1576"/>
      <c r="QH56" s="1576"/>
      <c r="QI56" s="1576"/>
      <c r="QJ56" s="1576"/>
      <c r="QK56" s="1576"/>
      <c r="QL56" s="1576"/>
      <c r="QM56" s="1576"/>
      <c r="QN56" s="1576"/>
      <c r="QO56" s="1576"/>
      <c r="QP56" s="1576"/>
      <c r="QQ56" s="1576"/>
      <c r="QR56" s="1576"/>
      <c r="QS56" s="1576"/>
      <c r="QT56" s="1576"/>
      <c r="QU56" s="1576"/>
      <c r="QV56" s="1576"/>
      <c r="QW56" s="1576"/>
      <c r="QX56" s="1576"/>
      <c r="QY56" s="1576"/>
      <c r="QZ56" s="1576"/>
      <c r="RA56" s="1576"/>
      <c r="RB56" s="1576"/>
      <c r="RC56" s="1576"/>
      <c r="RD56" s="1576"/>
      <c r="RE56" s="1576"/>
      <c r="RF56" s="1576"/>
      <c r="RG56" s="1576"/>
      <c r="RH56" s="1576"/>
      <c r="RI56" s="1576"/>
      <c r="RJ56" s="1576"/>
      <c r="RK56" s="1576"/>
      <c r="RL56" s="1576"/>
      <c r="RM56" s="1576"/>
      <c r="RN56" s="1576"/>
      <c r="RO56" s="1576"/>
      <c r="RP56" s="1576"/>
      <c r="RQ56" s="1576"/>
      <c r="RR56" s="1576"/>
      <c r="RS56" s="1576"/>
      <c r="RT56" s="1576"/>
      <c r="RU56" s="1576"/>
      <c r="RV56" s="1576"/>
      <c r="RW56" s="1576"/>
      <c r="RX56" s="1576"/>
      <c r="RY56" s="1576"/>
      <c r="RZ56" s="1576"/>
      <c r="SA56" s="1576"/>
      <c r="SB56" s="1576"/>
      <c r="SC56" s="1576"/>
      <c r="SD56" s="1576"/>
      <c r="SE56" s="1576"/>
      <c r="SF56" s="1576"/>
      <c r="SG56" s="1576"/>
      <c r="SH56" s="1576"/>
      <c r="SI56" s="1576"/>
      <c r="SJ56" s="1576"/>
      <c r="SK56" s="1576"/>
      <c r="SL56" s="1576"/>
      <c r="SM56" s="1576"/>
      <c r="SN56" s="1576"/>
      <c r="SO56" s="1576"/>
      <c r="SP56" s="1576"/>
      <c r="SQ56" s="1576"/>
      <c r="SR56" s="1576"/>
      <c r="SS56" s="1576"/>
      <c r="ST56" s="1576"/>
      <c r="SU56" s="1576"/>
      <c r="SV56" s="1576"/>
      <c r="SW56" s="1576"/>
      <c r="SX56" s="1576"/>
      <c r="SY56" s="1576"/>
      <c r="SZ56" s="1576"/>
      <c r="TA56" s="1576"/>
      <c r="TB56" s="1576"/>
      <c r="TC56" s="1576"/>
      <c r="TD56" s="1576"/>
      <c r="TE56" s="1576"/>
      <c r="TF56" s="1576"/>
      <c r="TG56" s="1576"/>
      <c r="TH56" s="1576"/>
      <c r="TI56" s="1576"/>
      <c r="TJ56" s="1576"/>
      <c r="TK56" s="1576"/>
      <c r="TL56" s="1576"/>
      <c r="TM56" s="1576"/>
      <c r="TN56" s="1576"/>
      <c r="TO56" s="1576"/>
      <c r="TP56" s="1576"/>
      <c r="TQ56" s="1576"/>
      <c r="TR56" s="1576"/>
      <c r="TS56" s="1576"/>
      <c r="TT56" s="1576"/>
      <c r="TU56" s="1576"/>
      <c r="TV56" s="1576"/>
      <c r="TW56" s="1576"/>
      <c r="TX56" s="1576"/>
      <c r="TY56" s="1576"/>
      <c r="TZ56" s="1576"/>
      <c r="UA56" s="1576"/>
      <c r="UB56" s="1576"/>
      <c r="UC56" s="1576"/>
      <c r="UD56" s="1576"/>
      <c r="UE56" s="1576"/>
      <c r="UF56" s="1576"/>
      <c r="UG56" s="1576"/>
      <c r="UH56" s="1576"/>
      <c r="UI56" s="1576"/>
      <c r="UJ56" s="1576"/>
      <c r="UK56" s="1576"/>
      <c r="UL56" s="1576"/>
      <c r="UM56" s="1576"/>
      <c r="UN56" s="1576"/>
      <c r="UO56" s="1576"/>
      <c r="UP56" s="1576"/>
      <c r="UQ56" s="1576"/>
      <c r="UR56" s="1576"/>
      <c r="US56" s="1576"/>
      <c r="UT56" s="1576"/>
      <c r="UU56" s="1576"/>
      <c r="UV56" s="1576"/>
      <c r="UW56" s="1576"/>
      <c r="UX56" s="1576"/>
      <c r="UY56" s="1576"/>
      <c r="UZ56" s="1576"/>
      <c r="VA56" s="1576"/>
      <c r="VB56" s="1576"/>
      <c r="VC56" s="1576"/>
      <c r="VD56" s="1576"/>
      <c r="VE56" s="1576"/>
      <c r="VF56" s="1576"/>
      <c r="VG56" s="1576"/>
      <c r="VH56" s="1576"/>
      <c r="VI56" s="1576"/>
      <c r="VJ56" s="1576"/>
      <c r="VK56" s="1576"/>
    </row>
    <row r="57" spans="1:583" ht="27" x14ac:dyDescent="0.25">
      <c r="B57" s="1610" t="s">
        <v>629</v>
      </c>
      <c r="C57" s="1582" t="s">
        <v>2745</v>
      </c>
      <c r="D57" s="4710" t="s">
        <v>131</v>
      </c>
      <c r="E57" s="4710">
        <v>0</v>
      </c>
      <c r="F57" s="2057"/>
      <c r="G57" s="2057"/>
      <c r="H57" s="2057"/>
      <c r="I57" s="2058"/>
      <c r="J57" s="2058"/>
      <c r="K57" s="2058"/>
      <c r="L57" s="2058"/>
      <c r="M57" s="2058"/>
      <c r="N57" s="2058"/>
      <c r="O57" s="2058"/>
      <c r="P57" s="2058"/>
      <c r="Q57" s="2058"/>
      <c r="R57" s="2058"/>
      <c r="S57" s="2058"/>
      <c r="T57" s="2058"/>
      <c r="U57" s="2058"/>
      <c r="V57" s="2058"/>
      <c r="W57" s="2058"/>
      <c r="X57" s="2058"/>
      <c r="Y57" s="2058"/>
      <c r="Z57" s="2059"/>
      <c r="AA57" s="2059"/>
      <c r="AB57" s="2059"/>
      <c r="AC57" s="2059"/>
      <c r="AD57" s="2059"/>
      <c r="AE57" s="2059"/>
      <c r="AF57" s="2059"/>
      <c r="AG57" s="2059"/>
      <c r="AH57" s="2059"/>
      <c r="AI57" s="2059"/>
      <c r="AJ57" s="2059"/>
      <c r="AK57" s="2059"/>
      <c r="AL57" s="2059"/>
      <c r="AM57" s="2059"/>
      <c r="AN57" s="2059"/>
      <c r="AO57" s="2059"/>
      <c r="AP57" s="2059"/>
      <c r="AQ57" s="2059"/>
      <c r="AR57" s="2059"/>
      <c r="AS57" s="2059"/>
      <c r="AT57" s="2059"/>
      <c r="AU57" s="2059"/>
      <c r="AV57" s="2059"/>
      <c r="AW57" s="2059"/>
      <c r="AX57" s="2059"/>
      <c r="AY57" s="2059"/>
      <c r="AZ57" s="2059"/>
      <c r="BA57" s="2059"/>
      <c r="BB57" s="2059"/>
      <c r="BC57" s="2059"/>
      <c r="BD57" s="2059"/>
      <c r="BE57" s="2059"/>
      <c r="BF57" s="2059"/>
      <c r="BG57" s="2059"/>
      <c r="BH57" s="2059"/>
      <c r="BI57" s="2059"/>
      <c r="BJ57" s="2059"/>
      <c r="BK57" s="2059"/>
      <c r="BL57" s="2059"/>
      <c r="BM57" s="2059"/>
      <c r="BN57" s="2059"/>
      <c r="BO57" s="2059"/>
      <c r="BP57" s="2059"/>
      <c r="BQ57" s="2059"/>
      <c r="BR57" s="2059"/>
      <c r="BS57" s="2059"/>
      <c r="BT57" s="2059"/>
      <c r="BU57" s="2059"/>
      <c r="BV57" s="2059"/>
      <c r="BW57" s="2059"/>
      <c r="BX57" s="2059"/>
      <c r="BY57" s="2059"/>
      <c r="BZ57" s="2059"/>
      <c r="CA57" s="2059"/>
      <c r="CB57" s="2059"/>
      <c r="CC57" s="2059"/>
      <c r="CD57" s="2059"/>
      <c r="CE57" s="2059"/>
      <c r="CF57" s="2059"/>
      <c r="CG57" s="2059"/>
      <c r="CH57" s="2059"/>
      <c r="CI57" s="2059"/>
      <c r="CJ57" s="2059"/>
      <c r="CK57" s="2059"/>
      <c r="CL57" s="2059"/>
      <c r="CM57" s="2059"/>
      <c r="CN57" s="2059"/>
      <c r="CO57" s="2059"/>
      <c r="CP57" s="1576"/>
      <c r="CQ57" s="1576"/>
      <c r="CR57" s="1576"/>
      <c r="CS57" s="1576"/>
      <c r="CT57" s="1576"/>
      <c r="CU57" s="1576"/>
      <c r="CV57" s="1576"/>
      <c r="CW57" s="1576"/>
      <c r="CX57" s="1576"/>
      <c r="CY57" s="1576"/>
      <c r="CZ57" s="1576"/>
      <c r="DA57" s="1576"/>
      <c r="DB57" s="1576"/>
      <c r="DC57" s="1576"/>
      <c r="DD57" s="1576"/>
      <c r="DE57" s="1576"/>
      <c r="DF57" s="1576"/>
      <c r="DG57" s="1576"/>
      <c r="DH57" s="1576"/>
      <c r="DI57" s="1576"/>
      <c r="DJ57" s="1576"/>
      <c r="DK57" s="1576"/>
      <c r="DL57" s="1576"/>
      <c r="DM57" s="1576"/>
      <c r="DN57" s="1576"/>
      <c r="DO57" s="1576"/>
      <c r="DP57" s="1576"/>
      <c r="DQ57" s="1576"/>
      <c r="DR57" s="1576"/>
      <c r="DS57" s="1576"/>
      <c r="DT57" s="1576"/>
      <c r="DU57" s="1576"/>
      <c r="DV57" s="1576"/>
      <c r="DW57" s="1576"/>
      <c r="DX57" s="1576"/>
      <c r="DY57" s="1576"/>
      <c r="DZ57" s="1576"/>
      <c r="EA57" s="1576"/>
      <c r="EB57" s="1576"/>
      <c r="EC57" s="1576"/>
      <c r="ED57" s="1576"/>
      <c r="EE57" s="1576"/>
      <c r="EF57" s="1576"/>
      <c r="EG57" s="1576"/>
      <c r="EH57" s="1576"/>
      <c r="EI57" s="1576"/>
      <c r="EJ57" s="1576"/>
      <c r="EK57" s="1576"/>
      <c r="EL57" s="1576"/>
      <c r="EM57" s="1576"/>
      <c r="EN57" s="1576"/>
      <c r="EO57" s="1576"/>
      <c r="EP57" s="1576"/>
      <c r="EQ57" s="1576"/>
      <c r="ER57" s="1576"/>
      <c r="ES57" s="1576"/>
      <c r="ET57" s="1576"/>
      <c r="EU57" s="1576"/>
      <c r="EV57" s="1576"/>
      <c r="EW57" s="1576"/>
      <c r="EX57" s="1576"/>
      <c r="EY57" s="1576"/>
      <c r="EZ57" s="1576"/>
      <c r="FA57" s="1576"/>
      <c r="FB57" s="1576"/>
      <c r="FC57" s="1576"/>
      <c r="FD57" s="1576"/>
      <c r="FE57" s="1576"/>
      <c r="FF57" s="1576"/>
      <c r="FG57" s="1576"/>
      <c r="FH57" s="1576"/>
      <c r="FI57" s="1576"/>
      <c r="FJ57" s="1576"/>
      <c r="FK57" s="1576"/>
      <c r="FL57" s="1576"/>
      <c r="FM57" s="1576"/>
      <c r="FN57" s="1576"/>
      <c r="FO57" s="1576"/>
      <c r="FP57" s="1576"/>
      <c r="FQ57" s="1576"/>
      <c r="FR57" s="1576"/>
      <c r="FS57" s="1576"/>
      <c r="FT57" s="1576"/>
      <c r="FU57" s="1576"/>
      <c r="FV57" s="1576"/>
      <c r="FW57" s="1576"/>
      <c r="FX57" s="1576"/>
      <c r="FY57" s="1576"/>
      <c r="FZ57" s="1576"/>
      <c r="GA57" s="1576"/>
      <c r="GB57" s="1576"/>
      <c r="GC57" s="1576"/>
      <c r="GD57" s="1576"/>
      <c r="GE57" s="1576"/>
      <c r="GF57" s="1576"/>
      <c r="GG57" s="1576"/>
      <c r="GH57" s="1576"/>
      <c r="GI57" s="1576"/>
      <c r="GJ57" s="1576"/>
      <c r="GK57" s="1576"/>
      <c r="GL57" s="1576"/>
      <c r="GM57" s="1576"/>
      <c r="GN57" s="1576"/>
      <c r="GO57" s="1576"/>
      <c r="GP57" s="1576"/>
      <c r="GQ57" s="1576"/>
      <c r="GR57" s="1576"/>
      <c r="GS57" s="1576"/>
      <c r="GT57" s="1576"/>
      <c r="GU57" s="1576"/>
      <c r="GV57" s="1576"/>
      <c r="GW57" s="1576"/>
      <c r="GX57" s="1576"/>
      <c r="GY57" s="1576"/>
      <c r="GZ57" s="1576"/>
      <c r="HA57" s="1576"/>
      <c r="HB57" s="1576"/>
      <c r="HC57" s="1576"/>
      <c r="HD57" s="1576"/>
      <c r="HE57" s="1576"/>
      <c r="HF57" s="1576"/>
      <c r="HG57" s="1576"/>
      <c r="HH57" s="1576"/>
      <c r="HI57" s="1576"/>
      <c r="HJ57" s="1576"/>
      <c r="HK57" s="1576"/>
      <c r="HL57" s="1576"/>
      <c r="HM57" s="1576"/>
      <c r="HN57" s="1576"/>
      <c r="HO57" s="1576"/>
      <c r="HP57" s="1576"/>
      <c r="HQ57" s="1576"/>
      <c r="HR57" s="1576"/>
      <c r="HS57" s="1576"/>
      <c r="HT57" s="1576"/>
      <c r="HU57" s="1576"/>
      <c r="HV57" s="1576"/>
      <c r="HW57" s="1576"/>
      <c r="HX57" s="1576"/>
      <c r="HY57" s="1576"/>
      <c r="HZ57" s="1576"/>
      <c r="IA57" s="1576"/>
      <c r="IB57" s="1576"/>
      <c r="IC57" s="1576"/>
      <c r="ID57" s="1576"/>
      <c r="IE57" s="1576"/>
      <c r="IF57" s="1576"/>
      <c r="IG57" s="1576"/>
      <c r="IH57" s="1576"/>
      <c r="II57" s="1576"/>
      <c r="IJ57" s="1576"/>
      <c r="IK57" s="1576"/>
      <c r="IL57" s="1576"/>
      <c r="IM57" s="1576"/>
      <c r="IN57" s="1576"/>
      <c r="IO57" s="1576"/>
      <c r="IP57" s="1576"/>
      <c r="IQ57" s="1576"/>
      <c r="IR57" s="1576"/>
      <c r="IS57" s="1576"/>
      <c r="IT57" s="1576"/>
      <c r="IU57" s="1576"/>
      <c r="IV57" s="1576"/>
      <c r="IW57" s="1576"/>
      <c r="IX57" s="1576"/>
      <c r="IY57" s="1576"/>
      <c r="IZ57" s="1576"/>
      <c r="JA57" s="2054"/>
      <c r="JB57" s="2054"/>
      <c r="JC57" s="2054"/>
      <c r="JD57" s="2054"/>
      <c r="JE57" s="2054"/>
      <c r="JF57" s="2054"/>
      <c r="JG57" s="2054"/>
      <c r="JH57" s="2054"/>
      <c r="JI57" s="2054"/>
      <c r="JJ57" s="2054"/>
      <c r="JK57" s="2054"/>
      <c r="JL57" s="2054"/>
      <c r="JM57" s="2054"/>
      <c r="JN57" s="2054"/>
      <c r="JO57" s="2054"/>
      <c r="JP57" s="2054"/>
      <c r="JQ57" s="2054"/>
      <c r="JR57" s="1576"/>
      <c r="JS57" s="1576"/>
      <c r="JT57" s="1576"/>
      <c r="JU57" s="1576"/>
      <c r="JV57" s="1576"/>
      <c r="JW57" s="1576"/>
      <c r="JX57" s="1576"/>
      <c r="JY57" s="1576"/>
      <c r="JZ57" s="1576"/>
      <c r="KA57" s="1576"/>
      <c r="KB57" s="1576"/>
      <c r="KC57" s="1576"/>
      <c r="KD57" s="1576"/>
      <c r="KE57" s="1576"/>
      <c r="KF57" s="1576"/>
      <c r="KG57" s="1576"/>
      <c r="KH57" s="1576"/>
      <c r="KI57" s="1576"/>
      <c r="KJ57" s="1576"/>
      <c r="KK57" s="1576"/>
      <c r="KL57" s="1576"/>
      <c r="KM57" s="1576"/>
      <c r="KN57" s="1576"/>
      <c r="KO57" s="1576"/>
      <c r="KP57" s="1576"/>
      <c r="KQ57" s="1576"/>
      <c r="KR57" s="1576"/>
      <c r="KS57" s="1576"/>
      <c r="KT57" s="1576"/>
      <c r="KU57" s="1576"/>
      <c r="KV57" s="1576"/>
      <c r="KW57" s="1576"/>
      <c r="KX57" s="1576"/>
      <c r="KY57" s="1576"/>
      <c r="KZ57" s="1576"/>
      <c r="LA57" s="1576"/>
      <c r="LB57" s="1576"/>
      <c r="LC57" s="1576"/>
      <c r="LD57" s="1576"/>
      <c r="LE57" s="1576"/>
      <c r="LF57" s="1576"/>
      <c r="LG57" s="1576"/>
      <c r="LH57" s="1576"/>
      <c r="LI57" s="1576"/>
      <c r="LJ57" s="1576"/>
      <c r="LK57" s="1576"/>
      <c r="LL57" s="1576"/>
      <c r="LM57" s="1576"/>
      <c r="LN57" s="1576"/>
      <c r="LO57" s="1576"/>
      <c r="LP57" s="1576"/>
      <c r="LQ57" s="1576"/>
      <c r="LR57" s="1576"/>
      <c r="LS57" s="1576"/>
      <c r="LT57" s="1576"/>
      <c r="LU57" s="1576"/>
      <c r="LV57" s="1576"/>
      <c r="LW57" s="1576"/>
      <c r="LX57" s="1576"/>
      <c r="LY57" s="1576"/>
      <c r="LZ57" s="1576"/>
      <c r="MA57" s="1576"/>
      <c r="MB57" s="1576"/>
      <c r="MC57" s="1576"/>
      <c r="MD57" s="1576"/>
      <c r="ME57" s="1576"/>
      <c r="MF57" s="1576"/>
      <c r="MG57" s="1576"/>
      <c r="MH57" s="1576"/>
      <c r="MI57" s="1576"/>
      <c r="MJ57" s="1576"/>
      <c r="MK57" s="1576"/>
      <c r="ML57" s="1576"/>
      <c r="MM57" s="1576"/>
      <c r="MN57" s="1576"/>
      <c r="MO57" s="1576"/>
      <c r="MP57" s="1576"/>
      <c r="MQ57" s="1576"/>
      <c r="MR57" s="1576"/>
      <c r="MS57" s="1576"/>
      <c r="MT57" s="1576"/>
      <c r="MU57" s="1576"/>
      <c r="MV57" s="1576"/>
      <c r="MW57" s="1576"/>
      <c r="MX57" s="1576"/>
      <c r="MY57" s="1576"/>
      <c r="MZ57" s="1576"/>
      <c r="NA57" s="1576"/>
      <c r="NB57" s="1576"/>
      <c r="NC57" s="1576"/>
      <c r="ND57" s="1576"/>
      <c r="NE57" s="1576"/>
      <c r="NF57" s="1576"/>
      <c r="NG57" s="1576"/>
      <c r="NH57" s="1576"/>
      <c r="NI57" s="1576"/>
      <c r="NJ57" s="1576"/>
      <c r="NK57" s="1576"/>
      <c r="NL57" s="1576"/>
      <c r="NM57" s="1576"/>
      <c r="NN57" s="1576"/>
      <c r="NO57" s="1576"/>
      <c r="NP57" s="1576"/>
      <c r="NQ57" s="1576"/>
      <c r="NR57" s="1576"/>
      <c r="NS57" s="1576"/>
      <c r="NT57" s="1576"/>
      <c r="NU57" s="1576"/>
      <c r="NV57" s="1576"/>
      <c r="NW57" s="1576"/>
      <c r="NX57" s="1576"/>
      <c r="NY57" s="1576"/>
      <c r="NZ57" s="1576"/>
      <c r="OA57" s="1576"/>
      <c r="OB57" s="1576"/>
      <c r="OC57" s="1576"/>
      <c r="OD57" s="1576"/>
      <c r="OE57" s="1576"/>
      <c r="OF57" s="1576"/>
      <c r="OG57" s="1576"/>
      <c r="OH57" s="1576"/>
      <c r="OI57" s="1576"/>
      <c r="OJ57" s="1576"/>
      <c r="OK57" s="1576"/>
      <c r="OL57" s="1576"/>
      <c r="OM57" s="1576"/>
      <c r="ON57" s="1576"/>
      <c r="OO57" s="1576"/>
      <c r="OP57" s="1576"/>
      <c r="OQ57" s="1576"/>
      <c r="OR57" s="1576"/>
      <c r="OS57" s="1576"/>
      <c r="OT57" s="1576"/>
      <c r="OU57" s="1576"/>
      <c r="OV57" s="1576"/>
      <c r="OW57" s="1576"/>
      <c r="OX57" s="1576"/>
      <c r="OY57" s="1576"/>
      <c r="OZ57" s="1576"/>
      <c r="PA57" s="1576"/>
      <c r="PB57" s="1576"/>
      <c r="PC57" s="1576"/>
      <c r="PD57" s="1576"/>
      <c r="PE57" s="1576"/>
      <c r="PF57" s="1576"/>
      <c r="PG57" s="1576"/>
      <c r="PH57" s="1576"/>
      <c r="PI57" s="1576"/>
      <c r="PJ57" s="1576"/>
      <c r="PK57" s="1576"/>
      <c r="PL57" s="1576"/>
      <c r="PM57" s="1576"/>
      <c r="PN57" s="1576"/>
      <c r="PO57" s="1576"/>
      <c r="PP57" s="1576"/>
      <c r="PQ57" s="1576"/>
      <c r="PR57" s="1576"/>
      <c r="PS57" s="1576"/>
      <c r="PT57" s="1576"/>
      <c r="PU57" s="1576"/>
      <c r="PV57" s="1576"/>
      <c r="PW57" s="1576"/>
      <c r="PX57" s="1576"/>
      <c r="PY57" s="1576"/>
      <c r="PZ57" s="1576"/>
      <c r="QA57" s="1576"/>
      <c r="QB57" s="1576"/>
      <c r="QC57" s="1576"/>
      <c r="QD57" s="1576"/>
      <c r="QE57" s="1576"/>
      <c r="QF57" s="1576"/>
      <c r="QG57" s="1576"/>
      <c r="QH57" s="1576"/>
      <c r="QI57" s="1576"/>
      <c r="QJ57" s="1576"/>
      <c r="QK57" s="1576"/>
      <c r="QL57" s="1576"/>
      <c r="QM57" s="1576"/>
      <c r="QN57" s="1576"/>
      <c r="QO57" s="1576"/>
      <c r="QP57" s="1576"/>
      <c r="QQ57" s="1576"/>
      <c r="QR57" s="1576"/>
      <c r="QS57" s="1576"/>
      <c r="QT57" s="1576"/>
      <c r="QU57" s="1576"/>
      <c r="QV57" s="1576"/>
      <c r="QW57" s="1576"/>
      <c r="QX57" s="1576"/>
      <c r="QY57" s="1576"/>
      <c r="QZ57" s="1576"/>
      <c r="RA57" s="1576"/>
      <c r="RB57" s="1576"/>
      <c r="RC57" s="1576"/>
      <c r="RD57" s="1576"/>
      <c r="RE57" s="1576"/>
      <c r="RF57" s="1576"/>
      <c r="RG57" s="1576"/>
      <c r="RH57" s="1576"/>
      <c r="RI57" s="1576"/>
      <c r="RJ57" s="1576"/>
      <c r="RK57" s="1576"/>
      <c r="RL57" s="1576"/>
      <c r="RM57" s="1576"/>
      <c r="RN57" s="1576"/>
      <c r="RO57" s="1576"/>
      <c r="RP57" s="1576"/>
      <c r="RQ57" s="1576"/>
      <c r="RR57" s="1576"/>
      <c r="RS57" s="1576"/>
      <c r="RT57" s="1576"/>
      <c r="RU57" s="1576"/>
      <c r="RV57" s="1576"/>
      <c r="RW57" s="1576"/>
      <c r="RX57" s="1576"/>
      <c r="RY57" s="1576"/>
      <c r="RZ57" s="1576"/>
      <c r="SA57" s="1576"/>
      <c r="SB57" s="1576"/>
      <c r="SC57" s="1576"/>
      <c r="SD57" s="1576"/>
      <c r="SE57" s="1576"/>
      <c r="SF57" s="1576"/>
      <c r="SG57" s="1576"/>
      <c r="SH57" s="1576"/>
      <c r="SI57" s="1576"/>
      <c r="SJ57" s="1576"/>
      <c r="SK57" s="1576"/>
      <c r="SL57" s="1576"/>
      <c r="SM57" s="1576"/>
      <c r="SN57" s="1576"/>
      <c r="SO57" s="1576"/>
      <c r="SP57" s="1576"/>
      <c r="SQ57" s="1576"/>
      <c r="SR57" s="1576"/>
      <c r="SS57" s="1576"/>
      <c r="ST57" s="1576"/>
      <c r="SU57" s="1576"/>
      <c r="SV57" s="1576"/>
      <c r="SW57" s="1576"/>
      <c r="SX57" s="1576"/>
      <c r="SY57" s="1576"/>
      <c r="SZ57" s="1576"/>
      <c r="TA57" s="1576"/>
      <c r="TB57" s="1576"/>
      <c r="TC57" s="1576"/>
      <c r="TD57" s="1576"/>
      <c r="TE57" s="1576"/>
      <c r="TF57" s="1576"/>
      <c r="TG57" s="1576"/>
      <c r="TH57" s="1576"/>
      <c r="TI57" s="1576"/>
      <c r="TJ57" s="1576"/>
      <c r="TK57" s="1576"/>
      <c r="TL57" s="1576"/>
      <c r="TM57" s="1576"/>
      <c r="TN57" s="1576"/>
      <c r="TO57" s="1576"/>
      <c r="TP57" s="1576"/>
      <c r="TQ57" s="1576"/>
      <c r="TR57" s="1576"/>
      <c r="TS57" s="1576"/>
      <c r="TT57" s="1576"/>
      <c r="TU57" s="1576"/>
      <c r="TV57" s="1576"/>
      <c r="TW57" s="1576"/>
      <c r="TX57" s="1576"/>
      <c r="TY57" s="1576"/>
      <c r="TZ57" s="1576"/>
      <c r="UA57" s="1576"/>
      <c r="UB57" s="1576"/>
      <c r="UC57" s="1576"/>
      <c r="UD57" s="1576"/>
      <c r="UE57" s="1576"/>
      <c r="UF57" s="1576"/>
      <c r="UG57" s="1576"/>
      <c r="UH57" s="1576"/>
      <c r="UI57" s="1576"/>
      <c r="UJ57" s="1576"/>
      <c r="UK57" s="1576"/>
      <c r="UL57" s="1576"/>
      <c r="UM57" s="1576"/>
      <c r="UN57" s="1576"/>
      <c r="UO57" s="1576"/>
      <c r="UP57" s="1576"/>
      <c r="UQ57" s="1576"/>
      <c r="UR57" s="1576"/>
      <c r="US57" s="1576"/>
      <c r="UT57" s="1576"/>
      <c r="UU57" s="1576"/>
      <c r="UV57" s="1576"/>
      <c r="UW57" s="1576"/>
      <c r="UX57" s="1576"/>
      <c r="UY57" s="1576"/>
      <c r="UZ57" s="1576"/>
      <c r="VA57" s="1576"/>
      <c r="VB57" s="1576"/>
      <c r="VC57" s="1576"/>
      <c r="VD57" s="1576"/>
      <c r="VE57" s="1576"/>
      <c r="VF57" s="1576"/>
      <c r="VG57" s="1576"/>
      <c r="VH57" s="1576"/>
      <c r="VI57" s="1576"/>
      <c r="VJ57" s="1576"/>
      <c r="VK57" s="1576"/>
    </row>
    <row r="58" spans="1:583" ht="27" x14ac:dyDescent="0.25">
      <c r="B58" s="1610" t="s">
        <v>629</v>
      </c>
      <c r="C58" s="1582" t="s">
        <v>2747</v>
      </c>
      <c r="D58" s="4710" t="s">
        <v>2748</v>
      </c>
      <c r="E58" s="4710">
        <v>0</v>
      </c>
      <c r="F58" s="2057"/>
      <c r="G58" s="2057"/>
      <c r="H58" s="2057"/>
      <c r="I58" s="2058"/>
      <c r="J58" s="2058"/>
      <c r="K58" s="2058"/>
      <c r="L58" s="2058"/>
      <c r="M58" s="2058"/>
      <c r="N58" s="2058"/>
      <c r="O58" s="2058"/>
      <c r="P58" s="2058"/>
      <c r="Q58" s="2058"/>
      <c r="R58" s="2058"/>
      <c r="S58" s="2058"/>
      <c r="T58" s="2058"/>
      <c r="U58" s="2058"/>
      <c r="V58" s="2058"/>
      <c r="W58" s="2059"/>
      <c r="X58" s="2059"/>
      <c r="Y58" s="2059"/>
      <c r="Z58" s="2059"/>
      <c r="AA58" s="2059"/>
      <c r="AB58" s="2059"/>
      <c r="AC58" s="2059"/>
      <c r="AD58" s="2059"/>
      <c r="AE58" s="2059"/>
      <c r="AF58" s="2059"/>
      <c r="AG58" s="2059"/>
      <c r="AH58" s="2059"/>
      <c r="AI58" s="2059"/>
      <c r="AJ58" s="2059"/>
      <c r="AK58" s="2059"/>
      <c r="AL58" s="2059"/>
      <c r="AM58" s="2059"/>
      <c r="AN58" s="2059"/>
      <c r="AO58" s="2059"/>
      <c r="AP58" s="2059"/>
      <c r="AQ58" s="2059"/>
      <c r="AR58" s="2059"/>
      <c r="AS58" s="2059"/>
      <c r="AT58" s="2059"/>
      <c r="AU58" s="2059"/>
      <c r="AV58" s="2059"/>
      <c r="AW58" s="2059"/>
      <c r="AX58" s="2059"/>
      <c r="AY58" s="2059"/>
      <c r="AZ58" s="2059"/>
      <c r="BA58" s="2059"/>
      <c r="BB58" s="2059"/>
      <c r="BC58" s="2059"/>
      <c r="BD58" s="2059"/>
      <c r="BE58" s="2059"/>
      <c r="BF58" s="2059"/>
      <c r="BG58" s="2059"/>
      <c r="BH58" s="2059"/>
      <c r="BI58" s="2059"/>
      <c r="BJ58" s="2059"/>
      <c r="BK58" s="2059"/>
      <c r="BL58" s="2059"/>
      <c r="BM58" s="2059"/>
      <c r="BN58" s="2059"/>
      <c r="BO58" s="2059"/>
      <c r="BP58" s="2059"/>
      <c r="BQ58" s="2059"/>
      <c r="BR58" s="2059"/>
      <c r="BS58" s="2059"/>
      <c r="BT58" s="2059"/>
      <c r="BU58" s="2059"/>
      <c r="BV58" s="2059"/>
      <c r="BW58" s="2059"/>
      <c r="BX58" s="2059"/>
      <c r="BY58" s="2059"/>
      <c r="BZ58" s="2059"/>
      <c r="CA58" s="2059"/>
      <c r="CB58" s="2059"/>
      <c r="CC58" s="2059"/>
      <c r="CD58" s="2059"/>
      <c r="CE58" s="2059"/>
      <c r="CF58" s="2059"/>
      <c r="CG58" s="2059"/>
      <c r="CH58" s="2059"/>
      <c r="CI58" s="2059"/>
      <c r="CJ58" s="2059"/>
      <c r="CK58" s="2059"/>
      <c r="CL58" s="2059"/>
      <c r="CM58" s="2059"/>
      <c r="CN58" s="2059"/>
      <c r="CO58" s="2059"/>
      <c r="CP58" s="1576"/>
      <c r="CQ58" s="1576"/>
      <c r="CR58" s="1576"/>
      <c r="CS58" s="1576"/>
      <c r="CT58" s="1576"/>
      <c r="CU58" s="1576"/>
      <c r="CV58" s="1576"/>
      <c r="CW58" s="1576"/>
      <c r="CX58" s="1576"/>
      <c r="CY58" s="1576"/>
      <c r="CZ58" s="1576"/>
      <c r="DA58" s="1576"/>
      <c r="DB58" s="1576"/>
      <c r="DC58" s="1576"/>
      <c r="DD58" s="1576"/>
      <c r="DE58" s="1576"/>
      <c r="DF58" s="1576"/>
      <c r="DG58" s="1576"/>
      <c r="DH58" s="1576"/>
      <c r="DI58" s="1576"/>
      <c r="DJ58" s="1576"/>
      <c r="DK58" s="1576"/>
      <c r="DL58" s="1576"/>
      <c r="DM58" s="1576"/>
      <c r="DN58" s="1576"/>
      <c r="DO58" s="1576"/>
      <c r="DP58" s="1576"/>
      <c r="DQ58" s="1576"/>
      <c r="DR58" s="1576"/>
      <c r="DS58" s="1576"/>
      <c r="DT58" s="1576"/>
      <c r="DU58" s="1576"/>
      <c r="DV58" s="1576"/>
      <c r="DW58" s="1576"/>
      <c r="DX58" s="1576"/>
      <c r="DY58" s="1576"/>
      <c r="DZ58" s="1576"/>
      <c r="EA58" s="1576"/>
      <c r="EB58" s="1576"/>
      <c r="EC58" s="1576"/>
      <c r="ED58" s="1576"/>
      <c r="EE58" s="1576"/>
      <c r="EF58" s="1576"/>
      <c r="EG58" s="1576"/>
      <c r="EH58" s="1576"/>
      <c r="EI58" s="1576"/>
      <c r="EJ58" s="1576"/>
      <c r="EK58" s="1576"/>
      <c r="EL58" s="1576"/>
      <c r="EM58" s="1576"/>
      <c r="EN58" s="1576"/>
      <c r="EO58" s="1576"/>
      <c r="EP58" s="1576"/>
      <c r="EQ58" s="1576"/>
      <c r="ER58" s="1576"/>
      <c r="ES58" s="1576"/>
      <c r="ET58" s="1576"/>
      <c r="EU58" s="1576"/>
      <c r="EV58" s="1576"/>
      <c r="EW58" s="1576"/>
      <c r="EX58" s="1576"/>
      <c r="EY58" s="1576"/>
      <c r="EZ58" s="1576"/>
      <c r="FA58" s="1576"/>
      <c r="FB58" s="1576"/>
      <c r="FC58" s="1576"/>
      <c r="FD58" s="1576"/>
      <c r="FE58" s="1576"/>
      <c r="FF58" s="1576"/>
      <c r="FG58" s="1576"/>
      <c r="FH58" s="1576"/>
      <c r="FI58" s="1576"/>
      <c r="FJ58" s="1576"/>
      <c r="FK58" s="1576"/>
      <c r="FL58" s="1576"/>
      <c r="FM58" s="1576"/>
      <c r="FN58" s="1576"/>
      <c r="FO58" s="1576"/>
      <c r="FP58" s="1576"/>
      <c r="FQ58" s="1576"/>
      <c r="FR58" s="1576"/>
      <c r="FS58" s="1576"/>
      <c r="FT58" s="1576"/>
      <c r="FU58" s="1576"/>
      <c r="FV58" s="1576"/>
      <c r="FW58" s="1576"/>
      <c r="FX58" s="1576"/>
      <c r="FY58" s="1576"/>
      <c r="FZ58" s="1576"/>
      <c r="GA58" s="1576"/>
      <c r="GB58" s="1576"/>
      <c r="GC58" s="1576"/>
      <c r="GD58" s="1576"/>
      <c r="GE58" s="1576"/>
      <c r="GF58" s="1576"/>
      <c r="GG58" s="1576"/>
      <c r="GH58" s="1576"/>
      <c r="GI58" s="1576"/>
      <c r="GJ58" s="1576"/>
      <c r="GK58" s="1576"/>
      <c r="GL58" s="1576"/>
      <c r="GM58" s="1576"/>
      <c r="GN58" s="1576"/>
      <c r="GO58" s="1576"/>
      <c r="GP58" s="1576"/>
      <c r="GQ58" s="1576"/>
      <c r="GR58" s="1576"/>
      <c r="GS58" s="1576"/>
      <c r="GT58" s="1576"/>
      <c r="GU58" s="1576"/>
      <c r="GV58" s="1576"/>
      <c r="GW58" s="1576"/>
      <c r="GX58" s="1576"/>
      <c r="GY58" s="1576"/>
      <c r="GZ58" s="1576"/>
      <c r="HA58" s="1576"/>
      <c r="HB58" s="1576"/>
      <c r="HC58" s="1576"/>
      <c r="HD58" s="1576"/>
      <c r="HE58" s="1576"/>
      <c r="HF58" s="1576"/>
      <c r="HG58" s="1576"/>
      <c r="HH58" s="1576"/>
      <c r="HI58" s="1576"/>
      <c r="HJ58" s="1576"/>
      <c r="HK58" s="1576"/>
      <c r="HL58" s="1576"/>
      <c r="HM58" s="1576"/>
      <c r="HN58" s="1576"/>
      <c r="HO58" s="1576"/>
      <c r="HP58" s="1576"/>
      <c r="HQ58" s="1576"/>
      <c r="HR58" s="1576"/>
      <c r="HS58" s="1576"/>
      <c r="HT58" s="1576"/>
      <c r="HU58" s="1576"/>
      <c r="HV58" s="1576"/>
      <c r="HW58" s="1576"/>
      <c r="HX58" s="1576"/>
      <c r="HY58" s="1576"/>
      <c r="HZ58" s="1576"/>
      <c r="IA58" s="1576"/>
      <c r="IB58" s="1576"/>
      <c r="IC58" s="1576"/>
      <c r="ID58" s="1576"/>
      <c r="IE58" s="1576"/>
      <c r="IF58" s="1576"/>
      <c r="IG58" s="1576"/>
      <c r="IH58" s="1576"/>
      <c r="II58" s="1576"/>
      <c r="IJ58" s="1576"/>
      <c r="IK58" s="1576"/>
      <c r="IL58" s="1576"/>
      <c r="IM58" s="1576"/>
      <c r="IN58" s="1576"/>
      <c r="IO58" s="1576"/>
      <c r="IP58" s="1576"/>
      <c r="IQ58" s="1576"/>
      <c r="IR58" s="1576"/>
      <c r="IS58" s="1576"/>
      <c r="IT58" s="1576"/>
      <c r="IU58" s="1576"/>
      <c r="IV58" s="1576"/>
      <c r="IW58" s="1576"/>
      <c r="IX58" s="1576"/>
      <c r="IY58" s="1576"/>
      <c r="IZ58" s="1576"/>
      <c r="JA58" s="2054"/>
      <c r="JB58" s="2054"/>
      <c r="JC58" s="2054"/>
      <c r="JD58" s="2054"/>
      <c r="JE58" s="2054"/>
      <c r="JF58" s="2054"/>
      <c r="JG58" s="2054"/>
      <c r="JH58" s="2054"/>
      <c r="JI58" s="2054"/>
      <c r="JJ58" s="2054"/>
      <c r="JK58" s="2054"/>
      <c r="JL58" s="2054"/>
      <c r="JM58" s="2054"/>
      <c r="JN58" s="2054"/>
      <c r="JO58" s="2054"/>
      <c r="JP58" s="2054"/>
      <c r="JQ58" s="2054"/>
      <c r="JR58" s="1576"/>
      <c r="JS58" s="1576"/>
      <c r="JT58" s="1576"/>
      <c r="JU58" s="1576"/>
      <c r="JV58" s="1576"/>
      <c r="JW58" s="1576"/>
      <c r="JX58" s="1576"/>
      <c r="JY58" s="1576"/>
      <c r="JZ58" s="1576"/>
      <c r="KA58" s="1576"/>
      <c r="KB58" s="1576"/>
      <c r="KC58" s="1576"/>
      <c r="KD58" s="1576"/>
      <c r="KE58" s="1576"/>
      <c r="KF58" s="1576"/>
      <c r="KG58" s="1576"/>
      <c r="KH58" s="1576"/>
      <c r="KI58" s="1576"/>
      <c r="KJ58" s="1576"/>
      <c r="KK58" s="1576"/>
      <c r="KL58" s="1576"/>
      <c r="KM58" s="1576"/>
      <c r="KN58" s="1576"/>
      <c r="KO58" s="1576"/>
      <c r="KP58" s="1576"/>
      <c r="KQ58" s="1576"/>
      <c r="KR58" s="1576"/>
      <c r="KS58" s="1576"/>
      <c r="KT58" s="1576"/>
      <c r="KU58" s="1576"/>
      <c r="KV58" s="1576"/>
      <c r="KW58" s="1576"/>
      <c r="KX58" s="1576"/>
      <c r="KY58" s="1576"/>
      <c r="KZ58" s="1576"/>
      <c r="LA58" s="1576"/>
      <c r="LB58" s="1576"/>
      <c r="LC58" s="1576"/>
      <c r="LD58" s="1576"/>
      <c r="LE58" s="1576"/>
      <c r="LF58" s="1576"/>
      <c r="LG58" s="1576"/>
      <c r="LH58" s="1576"/>
      <c r="LI58" s="1576"/>
      <c r="LJ58" s="1576"/>
      <c r="LK58" s="1576"/>
      <c r="LL58" s="1576"/>
      <c r="LM58" s="1576"/>
      <c r="LN58" s="1576"/>
      <c r="LO58" s="1576"/>
      <c r="LP58" s="1576"/>
      <c r="LQ58" s="1576"/>
      <c r="LR58" s="1576"/>
      <c r="LS58" s="1576"/>
      <c r="LT58" s="1576"/>
      <c r="LU58" s="1576"/>
      <c r="LV58" s="1576"/>
      <c r="LW58" s="1576"/>
      <c r="LX58" s="1576"/>
      <c r="LY58" s="1576"/>
      <c r="LZ58" s="1576"/>
      <c r="MA58" s="1576"/>
      <c r="MB58" s="1576"/>
      <c r="MC58" s="1576"/>
      <c r="MD58" s="1576"/>
      <c r="ME58" s="1576"/>
      <c r="MF58" s="1576"/>
      <c r="MG58" s="1576"/>
      <c r="MH58" s="1576"/>
      <c r="MI58" s="1576"/>
      <c r="MJ58" s="1576"/>
      <c r="MK58" s="1576"/>
      <c r="ML58" s="1576"/>
      <c r="MM58" s="1576"/>
      <c r="MN58" s="1576"/>
      <c r="MO58" s="1576"/>
      <c r="MP58" s="1576"/>
      <c r="MQ58" s="1576"/>
      <c r="MR58" s="1576"/>
      <c r="MS58" s="1576"/>
      <c r="MT58" s="1576"/>
      <c r="MU58" s="1576"/>
      <c r="MV58" s="1576"/>
      <c r="MW58" s="1576"/>
      <c r="MX58" s="1576"/>
      <c r="MY58" s="1576"/>
      <c r="MZ58" s="1576"/>
      <c r="NA58" s="1576"/>
      <c r="NB58" s="1576"/>
      <c r="NC58" s="1576"/>
      <c r="ND58" s="1576"/>
      <c r="NE58" s="1576"/>
      <c r="NF58" s="1576"/>
      <c r="NG58" s="1576"/>
      <c r="NH58" s="1576"/>
      <c r="NI58" s="1576"/>
      <c r="NJ58" s="1576"/>
      <c r="NK58" s="1576"/>
      <c r="NL58" s="1576"/>
      <c r="NM58" s="1576"/>
      <c r="NN58" s="1576"/>
      <c r="NO58" s="1576"/>
      <c r="NP58" s="1576"/>
      <c r="NQ58" s="1576"/>
      <c r="NR58" s="1576"/>
      <c r="NS58" s="1576"/>
      <c r="NT58" s="1576"/>
      <c r="NU58" s="1576"/>
      <c r="NV58" s="1576"/>
      <c r="NW58" s="1576"/>
      <c r="NX58" s="1576"/>
      <c r="NY58" s="1576"/>
      <c r="NZ58" s="1576"/>
      <c r="OA58" s="1576"/>
      <c r="OB58" s="1576"/>
      <c r="OC58" s="1576"/>
      <c r="OD58" s="1576"/>
      <c r="OE58" s="1576"/>
      <c r="OF58" s="1576"/>
      <c r="OG58" s="1576"/>
      <c r="OH58" s="1576"/>
      <c r="OI58" s="1576"/>
      <c r="OJ58" s="1576"/>
      <c r="OK58" s="1576"/>
      <c r="OL58" s="1576"/>
      <c r="OM58" s="1576"/>
      <c r="ON58" s="1576"/>
      <c r="OO58" s="1576"/>
      <c r="OP58" s="1576"/>
      <c r="OQ58" s="1576"/>
      <c r="OR58" s="1576"/>
      <c r="OS58" s="1576"/>
      <c r="OT58" s="1576"/>
      <c r="OU58" s="1576"/>
      <c r="OV58" s="1576"/>
      <c r="OW58" s="1576"/>
      <c r="OX58" s="1576"/>
      <c r="OY58" s="1576"/>
      <c r="OZ58" s="1576"/>
      <c r="PA58" s="1576"/>
      <c r="PB58" s="1576"/>
      <c r="PC58" s="1576"/>
      <c r="PD58" s="1576"/>
      <c r="PE58" s="1576"/>
      <c r="PF58" s="1576"/>
      <c r="PG58" s="1576"/>
      <c r="PH58" s="1576"/>
      <c r="PI58" s="1576"/>
      <c r="PJ58" s="1576"/>
      <c r="PK58" s="1576"/>
      <c r="PL58" s="1576"/>
      <c r="PM58" s="1576"/>
      <c r="PN58" s="1576"/>
      <c r="PO58" s="1576"/>
      <c r="PP58" s="1576"/>
      <c r="PQ58" s="1576"/>
      <c r="PR58" s="1576"/>
      <c r="PS58" s="1576"/>
      <c r="PT58" s="1576"/>
      <c r="PU58" s="1576"/>
      <c r="PV58" s="1576"/>
      <c r="PW58" s="1576"/>
      <c r="PX58" s="1576"/>
      <c r="PY58" s="1576"/>
      <c r="PZ58" s="1576"/>
      <c r="QA58" s="1576"/>
      <c r="QB58" s="1576"/>
      <c r="QC58" s="1576"/>
      <c r="QD58" s="1576"/>
      <c r="QE58" s="1576"/>
      <c r="QF58" s="1576"/>
      <c r="QG58" s="1576"/>
      <c r="QH58" s="1576"/>
      <c r="QI58" s="1576"/>
      <c r="QJ58" s="1576"/>
      <c r="QK58" s="1576"/>
      <c r="QL58" s="1576"/>
      <c r="QM58" s="1576"/>
      <c r="QN58" s="1576"/>
      <c r="QO58" s="1576"/>
      <c r="QP58" s="1576"/>
      <c r="QQ58" s="1576"/>
      <c r="QR58" s="1576"/>
      <c r="QS58" s="1576"/>
      <c r="QT58" s="1576"/>
      <c r="QU58" s="1576"/>
      <c r="QV58" s="1576"/>
      <c r="QW58" s="1576"/>
      <c r="QX58" s="1576"/>
      <c r="QY58" s="1576"/>
      <c r="QZ58" s="1576"/>
      <c r="RA58" s="1576"/>
      <c r="RB58" s="1576"/>
      <c r="RC58" s="1576"/>
      <c r="RD58" s="1576"/>
      <c r="RE58" s="1576"/>
      <c r="RF58" s="1576"/>
      <c r="RG58" s="1576"/>
      <c r="RH58" s="1576"/>
      <c r="RI58" s="1576"/>
      <c r="RJ58" s="1576"/>
      <c r="RK58" s="1576"/>
      <c r="RL58" s="1576"/>
      <c r="RM58" s="1576"/>
      <c r="RN58" s="1576"/>
      <c r="RO58" s="1576"/>
      <c r="RP58" s="1576"/>
      <c r="RQ58" s="1576"/>
      <c r="RR58" s="1576"/>
      <c r="RS58" s="1576"/>
      <c r="RT58" s="1576"/>
      <c r="RU58" s="1576"/>
      <c r="RV58" s="1576"/>
      <c r="RW58" s="1576"/>
      <c r="RX58" s="1576"/>
      <c r="RY58" s="1576"/>
      <c r="RZ58" s="1576"/>
      <c r="SA58" s="1576"/>
      <c r="SB58" s="1576"/>
      <c r="SC58" s="1576"/>
      <c r="SD58" s="1576"/>
      <c r="SE58" s="1576"/>
      <c r="SF58" s="1576"/>
      <c r="SG58" s="1576"/>
      <c r="SH58" s="1576"/>
      <c r="SI58" s="1576"/>
      <c r="SJ58" s="1576"/>
      <c r="SK58" s="1576"/>
      <c r="SL58" s="1576"/>
      <c r="SM58" s="1576"/>
      <c r="SN58" s="1576"/>
      <c r="SO58" s="1576"/>
      <c r="SP58" s="1576"/>
      <c r="SQ58" s="1576"/>
      <c r="SR58" s="1576"/>
      <c r="SS58" s="1576"/>
      <c r="ST58" s="1576"/>
      <c r="SU58" s="1576"/>
      <c r="SV58" s="1576"/>
      <c r="SW58" s="1576"/>
      <c r="SX58" s="1576"/>
      <c r="SY58" s="1576"/>
      <c r="SZ58" s="1576"/>
      <c r="TA58" s="1576"/>
      <c r="TB58" s="1576"/>
      <c r="TC58" s="1576"/>
      <c r="TD58" s="1576"/>
      <c r="TE58" s="1576"/>
      <c r="TF58" s="1576"/>
      <c r="TG58" s="1576"/>
      <c r="TH58" s="1576"/>
      <c r="TI58" s="1576"/>
      <c r="TJ58" s="1576"/>
      <c r="TK58" s="1576"/>
      <c r="TL58" s="1576"/>
      <c r="TM58" s="1576"/>
      <c r="TN58" s="1576"/>
      <c r="TO58" s="1576"/>
      <c r="TP58" s="1576"/>
      <c r="TQ58" s="1576"/>
      <c r="TR58" s="1576"/>
      <c r="TS58" s="1576"/>
      <c r="TT58" s="1576"/>
      <c r="TU58" s="1576"/>
      <c r="TV58" s="1576"/>
      <c r="TW58" s="1576"/>
      <c r="TX58" s="1576"/>
      <c r="TY58" s="1576"/>
      <c r="TZ58" s="1576"/>
      <c r="UA58" s="1576"/>
      <c r="UB58" s="1576"/>
      <c r="UC58" s="1576"/>
      <c r="UD58" s="1576"/>
      <c r="UE58" s="1576"/>
      <c r="UF58" s="1576"/>
      <c r="UG58" s="1576"/>
      <c r="UH58" s="1576"/>
      <c r="UI58" s="1576"/>
      <c r="UJ58" s="1576"/>
      <c r="UK58" s="1576"/>
      <c r="UL58" s="1576"/>
      <c r="UM58" s="1576"/>
      <c r="UN58" s="1576"/>
      <c r="UO58" s="1576"/>
      <c r="UP58" s="1576"/>
      <c r="UQ58" s="1576"/>
      <c r="UR58" s="1576"/>
      <c r="US58" s="1576"/>
      <c r="UT58" s="1576"/>
      <c r="UU58" s="1576"/>
      <c r="UV58" s="1576"/>
      <c r="UW58" s="1576"/>
      <c r="UX58" s="1576"/>
      <c r="UY58" s="1576"/>
      <c r="UZ58" s="1576"/>
      <c r="VA58" s="1576"/>
      <c r="VB58" s="1576"/>
      <c r="VC58" s="1576"/>
      <c r="VD58" s="1576"/>
      <c r="VE58" s="1576"/>
      <c r="VF58" s="1576"/>
      <c r="VG58" s="1576"/>
      <c r="VH58" s="1576"/>
      <c r="VI58" s="1576"/>
      <c r="VJ58" s="1576"/>
      <c r="VK58" s="1576"/>
    </row>
    <row r="59" spans="1:583" ht="27" x14ac:dyDescent="0.25">
      <c r="B59" s="1610" t="s">
        <v>629</v>
      </c>
      <c r="C59" s="1582" t="s">
        <v>2747</v>
      </c>
      <c r="D59" s="4710" t="s">
        <v>2749</v>
      </c>
      <c r="E59" s="4710">
        <v>0</v>
      </c>
      <c r="F59" s="2057"/>
      <c r="G59" s="2057"/>
      <c r="H59" s="2057"/>
      <c r="I59" s="2059"/>
      <c r="J59" s="2059"/>
      <c r="K59" s="2059"/>
      <c r="L59" s="2059"/>
      <c r="M59" s="2059"/>
      <c r="N59" s="2059"/>
      <c r="O59" s="2059"/>
      <c r="P59" s="2059"/>
      <c r="Q59" s="2059"/>
      <c r="R59" s="2059"/>
      <c r="S59" s="2059"/>
      <c r="T59" s="2059"/>
      <c r="U59" s="2059"/>
      <c r="V59" s="2059"/>
      <c r="W59" s="2059"/>
      <c r="X59" s="2059"/>
      <c r="Y59" s="2059"/>
      <c r="Z59" s="2059"/>
      <c r="AA59" s="2059"/>
      <c r="AB59" s="2059"/>
      <c r="AC59" s="2059"/>
      <c r="AD59" s="2059"/>
      <c r="AE59" s="2059"/>
      <c r="AF59" s="2059"/>
      <c r="AG59" s="2059"/>
      <c r="AH59" s="2059"/>
      <c r="AI59" s="2059"/>
      <c r="AJ59" s="2059"/>
      <c r="AK59" s="2059"/>
      <c r="AL59" s="2059"/>
      <c r="AM59" s="2059"/>
      <c r="AN59" s="2059"/>
      <c r="AO59" s="2059"/>
      <c r="AP59" s="2059"/>
      <c r="AQ59" s="2059"/>
      <c r="AR59" s="2059"/>
      <c r="AS59" s="2059"/>
      <c r="AT59" s="2059"/>
      <c r="AU59" s="2059"/>
      <c r="AV59" s="2059"/>
      <c r="AW59" s="2059"/>
      <c r="AX59" s="2059"/>
      <c r="AY59" s="2059"/>
      <c r="AZ59" s="2059"/>
      <c r="BA59" s="2059"/>
      <c r="BB59" s="2059"/>
      <c r="BC59" s="2059"/>
      <c r="BD59" s="2059"/>
      <c r="BE59" s="2059"/>
      <c r="BF59" s="2059"/>
      <c r="BG59" s="2059"/>
      <c r="BH59" s="2059"/>
      <c r="BI59" s="2059"/>
      <c r="BJ59" s="2059"/>
      <c r="BK59" s="2059"/>
      <c r="BL59" s="2059"/>
      <c r="BM59" s="2059"/>
      <c r="BN59" s="2059"/>
      <c r="BO59" s="2059"/>
      <c r="BP59" s="2059"/>
      <c r="BQ59" s="2059"/>
      <c r="BR59" s="2059"/>
      <c r="BS59" s="2059"/>
      <c r="BT59" s="2059"/>
      <c r="BU59" s="2059"/>
      <c r="BV59" s="2059"/>
      <c r="BW59" s="2059"/>
      <c r="BX59" s="2059"/>
      <c r="BY59" s="2059"/>
      <c r="BZ59" s="2059"/>
      <c r="CA59" s="2059"/>
      <c r="CB59" s="2059"/>
      <c r="CC59" s="2059"/>
      <c r="CD59" s="2059"/>
      <c r="CE59" s="2059"/>
      <c r="CF59" s="2059"/>
      <c r="CG59" s="2059"/>
      <c r="CH59" s="2059"/>
      <c r="CI59" s="2059"/>
      <c r="CJ59" s="2059"/>
      <c r="CK59" s="2059"/>
      <c r="CL59" s="2059"/>
      <c r="CM59" s="2059"/>
      <c r="CN59" s="2059"/>
      <c r="CO59" s="2059"/>
      <c r="CP59" s="1576"/>
      <c r="CQ59" s="1576"/>
      <c r="CR59" s="1576"/>
      <c r="CS59" s="1576"/>
      <c r="CT59" s="1576"/>
      <c r="CU59" s="1576"/>
      <c r="CV59" s="1576"/>
      <c r="CW59" s="1576"/>
      <c r="CX59" s="1576"/>
      <c r="CY59" s="1576"/>
      <c r="CZ59" s="1576"/>
      <c r="DA59" s="1576"/>
      <c r="DB59" s="1576"/>
      <c r="DC59" s="1576"/>
      <c r="DD59" s="1576"/>
      <c r="DE59" s="1576"/>
      <c r="DF59" s="1576"/>
      <c r="DG59" s="1576"/>
      <c r="DH59" s="1576"/>
      <c r="DI59" s="1576"/>
      <c r="DJ59" s="1576"/>
      <c r="DK59" s="1576"/>
      <c r="DL59" s="1576"/>
      <c r="DM59" s="1576"/>
      <c r="DN59" s="1576"/>
      <c r="DO59" s="1576"/>
      <c r="DP59" s="1576"/>
      <c r="DQ59" s="1576"/>
      <c r="DR59" s="1576"/>
      <c r="DS59" s="1576"/>
      <c r="DT59" s="1576"/>
      <c r="DU59" s="1576"/>
      <c r="DV59" s="1576"/>
      <c r="DW59" s="1576"/>
      <c r="DX59" s="1576"/>
      <c r="DY59" s="1576"/>
      <c r="DZ59" s="1576"/>
      <c r="EA59" s="1576"/>
      <c r="EB59" s="1576"/>
      <c r="EC59" s="1576"/>
      <c r="ED59" s="1576"/>
      <c r="EE59" s="1576"/>
      <c r="EF59" s="1576"/>
      <c r="EG59" s="1576"/>
      <c r="EH59" s="1576"/>
      <c r="EI59" s="1576"/>
      <c r="EJ59" s="1576"/>
      <c r="EK59" s="1576"/>
      <c r="EL59" s="1576"/>
      <c r="EM59" s="1576"/>
      <c r="EN59" s="1576"/>
      <c r="EO59" s="1576"/>
      <c r="EP59" s="1576"/>
      <c r="EQ59" s="1576"/>
      <c r="ER59" s="1576"/>
      <c r="ES59" s="1576"/>
      <c r="ET59" s="1576"/>
      <c r="EU59" s="1576"/>
      <c r="EV59" s="1576"/>
      <c r="EW59" s="1576"/>
      <c r="EX59" s="1576"/>
      <c r="EY59" s="1576"/>
      <c r="EZ59" s="1576"/>
      <c r="FA59" s="1576"/>
      <c r="FB59" s="1576"/>
      <c r="FC59" s="1576"/>
      <c r="FD59" s="1576"/>
      <c r="FE59" s="1576"/>
      <c r="FF59" s="1576"/>
      <c r="FG59" s="1576"/>
      <c r="FH59" s="1576"/>
      <c r="FI59" s="1576"/>
      <c r="FJ59" s="1576"/>
      <c r="FK59" s="1576"/>
      <c r="FL59" s="1576"/>
      <c r="FM59" s="1576"/>
      <c r="FN59" s="1576"/>
      <c r="FO59" s="1576"/>
      <c r="FP59" s="1576"/>
      <c r="FQ59" s="1576"/>
      <c r="FR59" s="1576"/>
      <c r="FS59" s="1576"/>
      <c r="FT59" s="1576"/>
      <c r="FU59" s="1576"/>
      <c r="FV59" s="1576"/>
      <c r="FW59" s="1576"/>
      <c r="FX59" s="1576"/>
      <c r="FY59" s="1576"/>
      <c r="FZ59" s="1576"/>
      <c r="GA59" s="1576"/>
      <c r="GB59" s="1576"/>
      <c r="GC59" s="1576"/>
      <c r="GD59" s="1576"/>
      <c r="GE59" s="1576"/>
      <c r="GF59" s="1576"/>
      <c r="GG59" s="1576"/>
      <c r="GH59" s="1576"/>
      <c r="GI59" s="1576"/>
      <c r="GJ59" s="1576"/>
      <c r="GK59" s="1576"/>
      <c r="GL59" s="1576"/>
      <c r="GM59" s="1576"/>
      <c r="GN59" s="1576"/>
      <c r="GO59" s="1576"/>
      <c r="GP59" s="1576"/>
      <c r="GQ59" s="1576"/>
      <c r="GR59" s="1576"/>
      <c r="GS59" s="1576"/>
      <c r="GT59" s="1576"/>
      <c r="GU59" s="1576"/>
      <c r="GV59" s="1576"/>
      <c r="GW59" s="1576"/>
      <c r="GX59" s="1576"/>
      <c r="GY59" s="1576"/>
      <c r="GZ59" s="1576"/>
      <c r="HA59" s="1576"/>
      <c r="HB59" s="1576"/>
      <c r="HC59" s="1576"/>
      <c r="HD59" s="1576"/>
      <c r="HE59" s="1576"/>
      <c r="HF59" s="1576"/>
      <c r="HG59" s="1576"/>
      <c r="HH59" s="1576"/>
      <c r="HI59" s="1576"/>
      <c r="HJ59" s="1576"/>
      <c r="HK59" s="1576"/>
      <c r="HL59" s="1576"/>
      <c r="HM59" s="1576"/>
      <c r="HN59" s="1576"/>
      <c r="HO59" s="1576"/>
      <c r="HP59" s="1576"/>
      <c r="HQ59" s="1576"/>
      <c r="HR59" s="1576"/>
      <c r="HS59" s="1576"/>
      <c r="HT59" s="1576"/>
      <c r="HU59" s="1576"/>
      <c r="HV59" s="1576"/>
      <c r="HW59" s="1576"/>
      <c r="HX59" s="1576"/>
      <c r="HY59" s="1576"/>
      <c r="HZ59" s="1576"/>
      <c r="IA59" s="1576"/>
      <c r="IB59" s="1576"/>
      <c r="IC59" s="1576"/>
      <c r="ID59" s="1576"/>
      <c r="IE59" s="1576"/>
      <c r="IF59" s="1576"/>
      <c r="IG59" s="1576"/>
      <c r="IH59" s="1576"/>
      <c r="II59" s="1576"/>
      <c r="IJ59" s="1576"/>
      <c r="IK59" s="1576"/>
      <c r="IL59" s="1576"/>
      <c r="IM59" s="1576"/>
      <c r="IN59" s="1576"/>
      <c r="IO59" s="1576"/>
      <c r="IP59" s="1576"/>
      <c r="IQ59" s="1576"/>
      <c r="IR59" s="1576"/>
      <c r="IS59" s="1576"/>
      <c r="IT59" s="1576"/>
      <c r="IU59" s="1576"/>
      <c r="IV59" s="1576"/>
      <c r="IW59" s="1576"/>
      <c r="IX59" s="1576"/>
      <c r="IY59" s="1576"/>
      <c r="IZ59" s="1576"/>
      <c r="JA59" s="2054"/>
      <c r="JB59" s="2054"/>
      <c r="JC59" s="2054"/>
      <c r="JD59" s="2054"/>
      <c r="JE59" s="2054"/>
      <c r="JF59" s="2054"/>
      <c r="JG59" s="2054"/>
      <c r="JH59" s="2054"/>
      <c r="JI59" s="2054"/>
      <c r="JJ59" s="2054"/>
      <c r="JK59" s="2054"/>
      <c r="JL59" s="2054"/>
      <c r="JM59" s="2054"/>
      <c r="JN59" s="2054"/>
      <c r="JO59" s="2054"/>
      <c r="JP59" s="2054"/>
      <c r="JQ59" s="2054"/>
      <c r="JR59" s="1576"/>
      <c r="JS59" s="1576"/>
      <c r="JT59" s="1576"/>
      <c r="JU59" s="1576"/>
      <c r="JV59" s="1576"/>
      <c r="JW59" s="1576"/>
      <c r="JX59" s="1576"/>
      <c r="JY59" s="1576"/>
      <c r="JZ59" s="1576"/>
      <c r="KA59" s="1576"/>
      <c r="KB59" s="1576"/>
      <c r="KC59" s="1576"/>
      <c r="KD59" s="1576"/>
      <c r="KE59" s="1576"/>
      <c r="KF59" s="1576"/>
      <c r="KG59" s="1576"/>
      <c r="KH59" s="1576"/>
      <c r="KI59" s="1576"/>
      <c r="KJ59" s="1576"/>
      <c r="KK59" s="1576"/>
      <c r="KL59" s="1576"/>
      <c r="KM59" s="1576"/>
      <c r="KN59" s="1576"/>
      <c r="KO59" s="1576"/>
      <c r="KP59" s="1576"/>
      <c r="KQ59" s="1576"/>
      <c r="KR59" s="1576"/>
      <c r="KS59" s="1576"/>
      <c r="KT59" s="1576"/>
      <c r="KU59" s="1576"/>
      <c r="KV59" s="1576"/>
      <c r="KW59" s="1576"/>
      <c r="KX59" s="1576"/>
      <c r="KY59" s="1576"/>
      <c r="KZ59" s="1576"/>
      <c r="LA59" s="1576"/>
      <c r="LB59" s="1576"/>
      <c r="LC59" s="1576"/>
      <c r="LD59" s="1576"/>
      <c r="LE59" s="1576"/>
      <c r="LF59" s="1576"/>
      <c r="LG59" s="1576"/>
      <c r="LH59" s="1576"/>
      <c r="LI59" s="1576"/>
      <c r="LJ59" s="1576"/>
      <c r="LK59" s="1576"/>
      <c r="LL59" s="1576"/>
      <c r="LM59" s="1576"/>
      <c r="LN59" s="1576"/>
      <c r="LO59" s="1576"/>
      <c r="LP59" s="1576"/>
      <c r="LQ59" s="1576"/>
      <c r="LR59" s="1576"/>
      <c r="LS59" s="1576"/>
      <c r="LT59" s="1576"/>
      <c r="LU59" s="1576"/>
      <c r="LV59" s="1576"/>
      <c r="LW59" s="1576"/>
      <c r="LX59" s="1576"/>
      <c r="LY59" s="1576"/>
      <c r="LZ59" s="1576"/>
      <c r="MA59" s="1576"/>
      <c r="MB59" s="1576"/>
      <c r="MC59" s="1576"/>
      <c r="MD59" s="1576"/>
      <c r="ME59" s="1576"/>
      <c r="MF59" s="1576"/>
      <c r="MG59" s="1576"/>
      <c r="MH59" s="1576"/>
      <c r="MI59" s="1576"/>
      <c r="MJ59" s="1576"/>
      <c r="MK59" s="1576"/>
      <c r="ML59" s="1576"/>
      <c r="MM59" s="1576"/>
      <c r="MN59" s="1576"/>
      <c r="MO59" s="1576"/>
      <c r="MP59" s="1576"/>
      <c r="MQ59" s="1576"/>
      <c r="MR59" s="1576"/>
      <c r="MS59" s="1576"/>
      <c r="MT59" s="1576"/>
      <c r="MU59" s="1576"/>
      <c r="MV59" s="1576"/>
      <c r="MW59" s="1576"/>
      <c r="MX59" s="1576"/>
      <c r="MY59" s="1576"/>
      <c r="MZ59" s="1576"/>
      <c r="NA59" s="1576"/>
      <c r="NB59" s="1576"/>
      <c r="NC59" s="1576"/>
      <c r="ND59" s="1576"/>
      <c r="NE59" s="1576"/>
      <c r="NF59" s="1576"/>
      <c r="NG59" s="1576"/>
      <c r="NH59" s="1576"/>
      <c r="NI59" s="1576"/>
      <c r="NJ59" s="1576"/>
      <c r="NK59" s="1576"/>
      <c r="NL59" s="1576"/>
      <c r="NM59" s="1576"/>
      <c r="NN59" s="1576"/>
      <c r="NO59" s="1576"/>
      <c r="NP59" s="1576"/>
      <c r="NQ59" s="1576"/>
      <c r="NR59" s="1576"/>
      <c r="NS59" s="1576"/>
      <c r="NT59" s="1576"/>
      <c r="NU59" s="1576"/>
      <c r="NV59" s="1576"/>
      <c r="NW59" s="1576"/>
      <c r="NX59" s="1576"/>
      <c r="NY59" s="1576"/>
      <c r="NZ59" s="1576"/>
      <c r="OA59" s="1576"/>
      <c r="OB59" s="1576"/>
      <c r="OC59" s="1576"/>
      <c r="OD59" s="1576"/>
      <c r="OE59" s="1576"/>
      <c r="OF59" s="1576"/>
      <c r="OG59" s="1576"/>
      <c r="OH59" s="1576"/>
      <c r="OI59" s="1576"/>
      <c r="OJ59" s="1576"/>
      <c r="OK59" s="1576"/>
      <c r="OL59" s="1576"/>
      <c r="OM59" s="1576"/>
      <c r="ON59" s="1576"/>
      <c r="OO59" s="1576"/>
      <c r="OP59" s="1576"/>
      <c r="OQ59" s="1576"/>
      <c r="OR59" s="1576"/>
      <c r="OS59" s="1576"/>
      <c r="OT59" s="1576"/>
      <c r="OU59" s="1576"/>
      <c r="OV59" s="1576"/>
      <c r="OW59" s="1576"/>
      <c r="OX59" s="1576"/>
      <c r="OY59" s="1576"/>
      <c r="OZ59" s="1576"/>
      <c r="PA59" s="1576"/>
      <c r="PB59" s="1576"/>
      <c r="PC59" s="1576"/>
      <c r="PD59" s="1576"/>
      <c r="PE59" s="1576"/>
      <c r="PF59" s="1576"/>
      <c r="PG59" s="1576"/>
      <c r="PH59" s="1576"/>
      <c r="PI59" s="1576"/>
      <c r="PJ59" s="1576"/>
      <c r="PK59" s="1576"/>
      <c r="PL59" s="1576"/>
      <c r="PM59" s="1576"/>
      <c r="PN59" s="1576"/>
      <c r="PO59" s="1576"/>
      <c r="PP59" s="1576"/>
      <c r="PQ59" s="1576"/>
      <c r="PR59" s="1576"/>
      <c r="PS59" s="1576"/>
      <c r="PT59" s="1576"/>
      <c r="PU59" s="1576"/>
      <c r="PV59" s="1576"/>
      <c r="PW59" s="1576"/>
      <c r="PX59" s="1576"/>
      <c r="PY59" s="1576"/>
      <c r="PZ59" s="1576"/>
      <c r="QA59" s="1576"/>
      <c r="QB59" s="1576"/>
      <c r="QC59" s="1576"/>
      <c r="QD59" s="1576"/>
      <c r="QE59" s="1576"/>
      <c r="QF59" s="1576"/>
      <c r="QG59" s="1576"/>
      <c r="QH59" s="1576"/>
      <c r="QI59" s="1576"/>
      <c r="QJ59" s="1576"/>
      <c r="QK59" s="1576"/>
      <c r="QL59" s="1576"/>
      <c r="QM59" s="1576"/>
      <c r="QN59" s="1576"/>
      <c r="QO59" s="1576"/>
      <c r="QP59" s="1576"/>
      <c r="QQ59" s="1576"/>
      <c r="QR59" s="1576"/>
      <c r="QS59" s="1576"/>
      <c r="QT59" s="1576"/>
      <c r="QU59" s="1576"/>
      <c r="QV59" s="1576"/>
      <c r="QW59" s="1576"/>
      <c r="QX59" s="1576"/>
      <c r="QY59" s="1576"/>
      <c r="QZ59" s="1576"/>
      <c r="RA59" s="1576"/>
      <c r="RB59" s="1576"/>
      <c r="RC59" s="1576"/>
      <c r="RD59" s="1576"/>
      <c r="RE59" s="1576"/>
      <c r="RF59" s="1576"/>
      <c r="RG59" s="1576"/>
      <c r="RH59" s="1576"/>
      <c r="RI59" s="1576"/>
      <c r="RJ59" s="1576"/>
      <c r="RK59" s="1576"/>
      <c r="RL59" s="1576"/>
      <c r="RM59" s="1576"/>
      <c r="RN59" s="1576"/>
      <c r="RO59" s="1576"/>
      <c r="RP59" s="1576"/>
      <c r="RQ59" s="1576"/>
      <c r="RR59" s="1576"/>
      <c r="RS59" s="1576"/>
      <c r="RT59" s="1576"/>
      <c r="RU59" s="1576"/>
      <c r="RV59" s="1576"/>
      <c r="RW59" s="1576"/>
      <c r="RX59" s="1576"/>
      <c r="RY59" s="1576"/>
      <c r="RZ59" s="1576"/>
      <c r="SA59" s="1576"/>
      <c r="SB59" s="1576"/>
      <c r="SC59" s="1576"/>
      <c r="SD59" s="1576"/>
      <c r="SE59" s="1576"/>
      <c r="SF59" s="1576"/>
      <c r="SG59" s="1576"/>
      <c r="SH59" s="1576"/>
      <c r="SI59" s="1576"/>
      <c r="SJ59" s="1576"/>
      <c r="SK59" s="1576"/>
      <c r="SL59" s="1576"/>
      <c r="SM59" s="1576"/>
      <c r="SN59" s="1576"/>
      <c r="SO59" s="1576"/>
      <c r="SP59" s="1576"/>
      <c r="SQ59" s="1576"/>
      <c r="SR59" s="1576"/>
      <c r="SS59" s="1576"/>
      <c r="ST59" s="1576"/>
      <c r="SU59" s="1576"/>
      <c r="SV59" s="1576"/>
      <c r="SW59" s="1576"/>
      <c r="SX59" s="1576"/>
      <c r="SY59" s="1576"/>
      <c r="SZ59" s="1576"/>
      <c r="TA59" s="1576"/>
      <c r="TB59" s="1576"/>
      <c r="TC59" s="1576"/>
      <c r="TD59" s="1576"/>
      <c r="TE59" s="1576"/>
      <c r="TF59" s="1576"/>
      <c r="TG59" s="1576"/>
      <c r="TH59" s="1576"/>
      <c r="TI59" s="1576"/>
      <c r="TJ59" s="1576"/>
      <c r="TK59" s="1576"/>
      <c r="TL59" s="1576"/>
      <c r="TM59" s="1576"/>
      <c r="TN59" s="1576"/>
      <c r="TO59" s="1576"/>
      <c r="TP59" s="1576"/>
      <c r="TQ59" s="1576"/>
      <c r="TR59" s="1576"/>
      <c r="TS59" s="1576"/>
      <c r="TT59" s="1576"/>
      <c r="TU59" s="1576"/>
      <c r="TV59" s="1576"/>
      <c r="TW59" s="1576"/>
      <c r="TX59" s="1576"/>
      <c r="TY59" s="1576"/>
      <c r="TZ59" s="1576"/>
      <c r="UA59" s="1576"/>
      <c r="UB59" s="1576"/>
      <c r="UC59" s="1576"/>
      <c r="UD59" s="1576"/>
      <c r="UE59" s="1576"/>
      <c r="UF59" s="1576"/>
      <c r="UG59" s="1576"/>
      <c r="UH59" s="1576"/>
      <c r="UI59" s="1576"/>
      <c r="UJ59" s="1576"/>
      <c r="UK59" s="1576"/>
      <c r="UL59" s="1576"/>
      <c r="UM59" s="1576"/>
      <c r="UN59" s="1576"/>
      <c r="UO59" s="1576"/>
      <c r="UP59" s="1576"/>
      <c r="UQ59" s="1576"/>
      <c r="UR59" s="1576"/>
      <c r="US59" s="1576"/>
      <c r="UT59" s="1576"/>
      <c r="UU59" s="1576"/>
      <c r="UV59" s="1576"/>
      <c r="UW59" s="1576"/>
      <c r="UX59" s="1576"/>
      <c r="UY59" s="1576"/>
      <c r="UZ59" s="1576"/>
      <c r="VA59" s="1576"/>
      <c r="VB59" s="1576"/>
      <c r="VC59" s="1576"/>
      <c r="VD59" s="1576"/>
      <c r="VE59" s="1576"/>
      <c r="VF59" s="1576"/>
      <c r="VG59" s="1576"/>
      <c r="VH59" s="1576"/>
      <c r="VI59" s="1576"/>
      <c r="VJ59" s="1576"/>
      <c r="VK59" s="1576"/>
    </row>
    <row r="60" spans="1:583" ht="27" x14ac:dyDescent="0.25">
      <c r="B60" s="1610" t="s">
        <v>629</v>
      </c>
      <c r="C60" s="1582" t="s">
        <v>2747</v>
      </c>
      <c r="D60" s="4710" t="s">
        <v>2750</v>
      </c>
      <c r="E60" s="4710">
        <v>0</v>
      </c>
      <c r="F60" s="2057"/>
      <c r="G60" s="2057"/>
      <c r="H60" s="2057"/>
      <c r="I60" s="2059"/>
      <c r="J60" s="2059"/>
      <c r="K60" s="2059"/>
      <c r="L60" s="2059"/>
      <c r="M60" s="2059"/>
      <c r="N60" s="2059"/>
      <c r="O60" s="2059"/>
      <c r="P60" s="2059"/>
      <c r="Q60" s="2059"/>
      <c r="R60" s="2059"/>
      <c r="S60" s="2059"/>
      <c r="T60" s="2059"/>
      <c r="U60" s="2059"/>
      <c r="V60" s="2059"/>
      <c r="W60" s="2059"/>
      <c r="X60" s="2059"/>
      <c r="Y60" s="2059"/>
      <c r="Z60" s="2059"/>
      <c r="AA60" s="2059"/>
      <c r="AB60" s="2059"/>
      <c r="AC60" s="2059"/>
      <c r="AD60" s="2059"/>
      <c r="AE60" s="2059"/>
      <c r="AF60" s="2059"/>
      <c r="AG60" s="2059"/>
      <c r="AH60" s="2059"/>
      <c r="AI60" s="2059"/>
      <c r="AJ60" s="2059"/>
      <c r="AK60" s="2059"/>
      <c r="AL60" s="2059"/>
      <c r="AM60" s="2059"/>
      <c r="AN60" s="2059"/>
      <c r="AO60" s="2059"/>
      <c r="AP60" s="2059"/>
      <c r="AQ60" s="2059"/>
      <c r="AR60" s="2059"/>
      <c r="AS60" s="2059"/>
      <c r="AT60" s="2059"/>
      <c r="AU60" s="2059"/>
      <c r="AV60" s="2059"/>
      <c r="AW60" s="2059"/>
      <c r="AX60" s="2059"/>
      <c r="AY60" s="2059"/>
      <c r="AZ60" s="2059"/>
      <c r="BA60" s="2059"/>
      <c r="BB60" s="2059"/>
      <c r="BC60" s="2059"/>
      <c r="BD60" s="2059"/>
      <c r="BE60" s="2059"/>
      <c r="BF60" s="2059"/>
      <c r="BG60" s="2059"/>
      <c r="BH60" s="2059"/>
      <c r="BI60" s="2059"/>
      <c r="BJ60" s="2059"/>
      <c r="BK60" s="2059"/>
      <c r="BL60" s="2059"/>
      <c r="BM60" s="2059"/>
      <c r="BN60" s="2059"/>
      <c r="BO60" s="2059"/>
      <c r="BP60" s="2059"/>
      <c r="BQ60" s="2059"/>
      <c r="BR60" s="2059"/>
      <c r="BS60" s="2059"/>
      <c r="BT60" s="2059"/>
      <c r="BU60" s="2059"/>
      <c r="BV60" s="2059"/>
      <c r="BW60" s="2059"/>
      <c r="BX60" s="2059"/>
      <c r="BY60" s="2059"/>
      <c r="BZ60" s="2059"/>
      <c r="CA60" s="2059"/>
      <c r="CB60" s="2059"/>
      <c r="CC60" s="2059"/>
      <c r="CD60" s="2059"/>
      <c r="CE60" s="2059"/>
      <c r="CF60" s="2059"/>
      <c r="CG60" s="2059"/>
      <c r="CH60" s="2059"/>
      <c r="CI60" s="2059"/>
      <c r="CJ60" s="2059"/>
      <c r="CK60" s="2059"/>
      <c r="CL60" s="2059"/>
      <c r="CM60" s="2059"/>
      <c r="CN60" s="2059"/>
      <c r="CO60" s="2059"/>
      <c r="CP60" s="1576"/>
      <c r="CQ60" s="1576"/>
      <c r="CR60" s="1576"/>
      <c r="CS60" s="1576"/>
      <c r="CT60" s="1576"/>
      <c r="CU60" s="1576"/>
      <c r="CV60" s="1576"/>
      <c r="CW60" s="1576"/>
      <c r="CX60" s="1576"/>
      <c r="CY60" s="1576"/>
      <c r="CZ60" s="1576"/>
      <c r="DA60" s="1576"/>
      <c r="DB60" s="1576"/>
      <c r="DC60" s="1576"/>
      <c r="DD60" s="1576"/>
      <c r="DE60" s="1576"/>
      <c r="DF60" s="1576"/>
      <c r="DG60" s="1576"/>
      <c r="DH60" s="1576"/>
      <c r="DI60" s="1576"/>
      <c r="DJ60" s="1576"/>
      <c r="DK60" s="1576"/>
      <c r="DL60" s="1576"/>
      <c r="DM60" s="1576"/>
      <c r="DN60" s="1576"/>
      <c r="DO60" s="1576"/>
      <c r="DP60" s="1576"/>
      <c r="DQ60" s="1576"/>
      <c r="DR60" s="1576"/>
      <c r="DS60" s="1576"/>
      <c r="DT60" s="1576"/>
      <c r="DU60" s="1576"/>
      <c r="DV60" s="1576"/>
      <c r="DW60" s="1576"/>
      <c r="DX60" s="1576"/>
      <c r="DY60" s="1576"/>
      <c r="DZ60" s="1576"/>
      <c r="EA60" s="1576"/>
      <c r="EB60" s="1576"/>
      <c r="EC60" s="1576"/>
      <c r="ED60" s="1576"/>
      <c r="EE60" s="1576"/>
      <c r="EF60" s="1576"/>
      <c r="EG60" s="1576"/>
      <c r="EH60" s="1576"/>
      <c r="EI60" s="1576"/>
      <c r="EJ60" s="1576"/>
      <c r="EK60" s="1576"/>
      <c r="EL60" s="1576"/>
      <c r="EM60" s="1576"/>
      <c r="EN60" s="1576"/>
      <c r="EO60" s="1576"/>
      <c r="EP60" s="1576"/>
      <c r="EQ60" s="1576"/>
      <c r="ER60" s="1576"/>
      <c r="ES60" s="1576"/>
      <c r="ET60" s="1576"/>
      <c r="EU60" s="1576"/>
      <c r="EV60" s="1576"/>
      <c r="EW60" s="1576"/>
      <c r="EX60" s="1576"/>
      <c r="EY60" s="1576"/>
      <c r="EZ60" s="1576"/>
      <c r="FA60" s="1576"/>
      <c r="FB60" s="1576"/>
      <c r="FC60" s="1576"/>
      <c r="FD60" s="1576"/>
      <c r="FE60" s="1576"/>
      <c r="FF60" s="1576"/>
      <c r="FG60" s="1576"/>
      <c r="FH60" s="1576"/>
      <c r="FI60" s="1576"/>
      <c r="FJ60" s="1576"/>
      <c r="FK60" s="1576"/>
      <c r="FL60" s="1576"/>
      <c r="FM60" s="1576"/>
      <c r="FN60" s="1576"/>
      <c r="FO60" s="1576"/>
      <c r="FP60" s="1576"/>
      <c r="FQ60" s="1576"/>
      <c r="FR60" s="1576"/>
      <c r="FS60" s="1576"/>
      <c r="FT60" s="1576"/>
      <c r="FU60" s="1576"/>
      <c r="FV60" s="1576"/>
      <c r="FW60" s="1576"/>
      <c r="FX60" s="1576"/>
      <c r="FY60" s="1576"/>
      <c r="FZ60" s="1576"/>
      <c r="GA60" s="1576"/>
      <c r="GB60" s="1576"/>
      <c r="GC60" s="1576"/>
      <c r="GD60" s="1576"/>
      <c r="GE60" s="1576"/>
      <c r="GF60" s="1576"/>
      <c r="GG60" s="1576"/>
      <c r="GH60" s="1576"/>
      <c r="GI60" s="1576"/>
      <c r="GJ60" s="1576"/>
      <c r="GK60" s="1576"/>
      <c r="GL60" s="1576"/>
      <c r="GM60" s="1576"/>
      <c r="GN60" s="1576"/>
      <c r="GO60" s="1576"/>
      <c r="GP60" s="1576"/>
      <c r="GQ60" s="1576"/>
      <c r="GR60" s="1576"/>
      <c r="GS60" s="1576"/>
      <c r="GT60" s="1576"/>
      <c r="GU60" s="1576"/>
      <c r="GV60" s="1576"/>
      <c r="GW60" s="1576"/>
      <c r="GX60" s="1576"/>
      <c r="GY60" s="1576"/>
      <c r="GZ60" s="1576"/>
      <c r="HA60" s="1576"/>
      <c r="HB60" s="1576"/>
      <c r="HC60" s="1576"/>
      <c r="HD60" s="1576"/>
      <c r="HE60" s="1576"/>
      <c r="HF60" s="1576"/>
      <c r="HG60" s="1576"/>
      <c r="HH60" s="1576"/>
      <c r="HI60" s="1576"/>
      <c r="HJ60" s="1576"/>
      <c r="HK60" s="1576"/>
      <c r="HL60" s="1576"/>
      <c r="HM60" s="1576"/>
      <c r="HN60" s="1576"/>
      <c r="HO60" s="1576"/>
      <c r="HP60" s="1576"/>
      <c r="HQ60" s="1576"/>
      <c r="HR60" s="1576"/>
      <c r="HS60" s="1576"/>
      <c r="HT60" s="1576"/>
      <c r="HU60" s="1576"/>
      <c r="HV60" s="1576"/>
      <c r="HW60" s="1576"/>
      <c r="HX60" s="1576"/>
      <c r="HY60" s="1576"/>
      <c r="HZ60" s="1576"/>
      <c r="IA60" s="1576"/>
      <c r="IB60" s="1576"/>
      <c r="IC60" s="1576"/>
      <c r="ID60" s="1576"/>
      <c r="IE60" s="1576"/>
      <c r="IF60" s="1576"/>
      <c r="IG60" s="1576"/>
      <c r="IH60" s="1576"/>
      <c r="II60" s="1576"/>
      <c r="IJ60" s="1576"/>
      <c r="IK60" s="1576"/>
      <c r="IL60" s="1576"/>
      <c r="IM60" s="1576"/>
      <c r="IN60" s="1576"/>
      <c r="IO60" s="1576"/>
      <c r="IP60" s="1576"/>
      <c r="IQ60" s="1576"/>
      <c r="IR60" s="1576"/>
      <c r="IS60" s="1576"/>
      <c r="IT60" s="1576"/>
      <c r="IU60" s="1576"/>
      <c r="IV60" s="1576"/>
      <c r="IW60" s="1576"/>
      <c r="IX60" s="1576"/>
      <c r="IY60" s="1576"/>
      <c r="IZ60" s="1576"/>
      <c r="JA60" s="2054"/>
      <c r="JB60" s="2054"/>
      <c r="JC60" s="2054"/>
      <c r="JD60" s="2054"/>
      <c r="JE60" s="2054"/>
      <c r="JF60" s="2054"/>
      <c r="JG60" s="2054"/>
      <c r="JH60" s="2054"/>
      <c r="JI60" s="2054"/>
      <c r="JJ60" s="2054"/>
      <c r="JK60" s="2054"/>
      <c r="JL60" s="2054"/>
      <c r="JM60" s="2054"/>
      <c r="JN60" s="2054"/>
      <c r="JO60" s="2054"/>
      <c r="JP60" s="2054"/>
      <c r="JQ60" s="2054"/>
      <c r="JR60" s="1576"/>
      <c r="JS60" s="1576"/>
      <c r="JT60" s="1576"/>
      <c r="JU60" s="1576"/>
      <c r="JV60" s="1576"/>
      <c r="JW60" s="1576"/>
      <c r="JX60" s="1576"/>
      <c r="JY60" s="1576"/>
      <c r="JZ60" s="1576"/>
      <c r="KA60" s="1576"/>
      <c r="KB60" s="1576"/>
      <c r="KC60" s="1576"/>
      <c r="KD60" s="1576"/>
      <c r="KE60" s="1576"/>
      <c r="KF60" s="1576"/>
      <c r="KG60" s="1576"/>
      <c r="KH60" s="1576"/>
      <c r="KI60" s="1576"/>
      <c r="KJ60" s="1576"/>
      <c r="KK60" s="1576"/>
      <c r="KL60" s="1576"/>
      <c r="KM60" s="1576"/>
      <c r="KN60" s="1576"/>
      <c r="KO60" s="1576"/>
      <c r="KP60" s="1576"/>
      <c r="KQ60" s="1576"/>
      <c r="KR60" s="1576"/>
      <c r="KS60" s="1576"/>
      <c r="KT60" s="1576"/>
      <c r="KU60" s="1576"/>
      <c r="KV60" s="1576"/>
      <c r="KW60" s="1576"/>
      <c r="KX60" s="1576"/>
      <c r="KY60" s="1576"/>
      <c r="KZ60" s="1576"/>
      <c r="LA60" s="1576"/>
      <c r="LB60" s="1576"/>
      <c r="LC60" s="1576"/>
      <c r="LD60" s="1576"/>
      <c r="LE60" s="1576"/>
      <c r="LF60" s="1576"/>
      <c r="LG60" s="1576"/>
      <c r="LH60" s="1576"/>
      <c r="LI60" s="1576"/>
      <c r="LJ60" s="1576"/>
      <c r="LK60" s="1576"/>
      <c r="LL60" s="1576"/>
      <c r="LM60" s="1576"/>
      <c r="LN60" s="1576"/>
      <c r="LO60" s="1576"/>
      <c r="LP60" s="1576"/>
      <c r="LQ60" s="1576"/>
      <c r="LR60" s="1576"/>
      <c r="LS60" s="1576"/>
      <c r="LT60" s="1576"/>
      <c r="LU60" s="1576"/>
      <c r="LV60" s="1576"/>
      <c r="LW60" s="1576"/>
      <c r="LX60" s="1576"/>
      <c r="LY60" s="1576"/>
      <c r="LZ60" s="1576"/>
      <c r="MA60" s="1576"/>
      <c r="MB60" s="1576"/>
      <c r="MC60" s="1576"/>
      <c r="MD60" s="1576"/>
      <c r="ME60" s="1576"/>
      <c r="MF60" s="1576"/>
      <c r="MG60" s="1576"/>
      <c r="MH60" s="1576"/>
      <c r="MI60" s="1576"/>
      <c r="MJ60" s="1576"/>
      <c r="MK60" s="1576"/>
      <c r="ML60" s="1576"/>
      <c r="MM60" s="1576"/>
      <c r="MN60" s="1576"/>
      <c r="MO60" s="1576"/>
      <c r="MP60" s="1576"/>
      <c r="MQ60" s="1576"/>
      <c r="MR60" s="1576"/>
      <c r="MS60" s="1576"/>
      <c r="MT60" s="1576"/>
      <c r="MU60" s="1576"/>
      <c r="MV60" s="1576"/>
      <c r="MW60" s="1576"/>
      <c r="MX60" s="1576"/>
      <c r="MY60" s="1576"/>
      <c r="MZ60" s="1576"/>
      <c r="NA60" s="1576"/>
      <c r="NB60" s="1576"/>
      <c r="NC60" s="1576"/>
      <c r="ND60" s="1576"/>
      <c r="NE60" s="1576"/>
      <c r="NF60" s="1576"/>
      <c r="NG60" s="1576"/>
      <c r="NH60" s="1576"/>
      <c r="NI60" s="1576"/>
      <c r="NJ60" s="1576"/>
      <c r="NK60" s="1576"/>
      <c r="NL60" s="1576"/>
      <c r="NM60" s="1576"/>
      <c r="NN60" s="1576"/>
      <c r="NO60" s="1576"/>
      <c r="NP60" s="1576"/>
      <c r="NQ60" s="1576"/>
      <c r="NR60" s="1576"/>
      <c r="NS60" s="1576"/>
      <c r="NT60" s="1576"/>
      <c r="NU60" s="1576"/>
      <c r="NV60" s="1576"/>
      <c r="NW60" s="1576"/>
      <c r="NX60" s="1576"/>
      <c r="NY60" s="1576"/>
      <c r="NZ60" s="1576"/>
      <c r="OA60" s="1576"/>
      <c r="OB60" s="1576"/>
      <c r="OC60" s="1576"/>
      <c r="OD60" s="1576"/>
      <c r="OE60" s="1576"/>
      <c r="OF60" s="1576"/>
      <c r="OG60" s="1576"/>
      <c r="OH60" s="1576"/>
      <c r="OI60" s="1576"/>
      <c r="OJ60" s="1576"/>
      <c r="OK60" s="1576"/>
      <c r="OL60" s="1576"/>
      <c r="OM60" s="1576"/>
      <c r="ON60" s="1576"/>
      <c r="OO60" s="1576"/>
      <c r="OP60" s="1576"/>
      <c r="OQ60" s="1576"/>
      <c r="OR60" s="1576"/>
      <c r="OS60" s="1576"/>
      <c r="OT60" s="1576"/>
      <c r="OU60" s="1576"/>
      <c r="OV60" s="1576"/>
      <c r="OW60" s="1576"/>
      <c r="OX60" s="1576"/>
      <c r="OY60" s="1576"/>
      <c r="OZ60" s="1576"/>
      <c r="PA60" s="1576"/>
      <c r="PB60" s="1576"/>
      <c r="PC60" s="1576"/>
      <c r="PD60" s="1576"/>
      <c r="PE60" s="1576"/>
      <c r="PF60" s="1576"/>
      <c r="PG60" s="1576"/>
      <c r="PH60" s="1576"/>
      <c r="PI60" s="1576"/>
      <c r="PJ60" s="1576"/>
      <c r="PK60" s="1576"/>
      <c r="PL60" s="1576"/>
      <c r="PM60" s="1576"/>
      <c r="PN60" s="1576"/>
      <c r="PO60" s="1576"/>
      <c r="PP60" s="1576"/>
      <c r="PQ60" s="1576"/>
      <c r="PR60" s="1576"/>
      <c r="PS60" s="1576"/>
      <c r="PT60" s="1576"/>
      <c r="PU60" s="1576"/>
      <c r="PV60" s="1576"/>
      <c r="PW60" s="1576"/>
      <c r="PX60" s="1576"/>
      <c r="PY60" s="1576"/>
      <c r="PZ60" s="1576"/>
      <c r="QA60" s="1576"/>
      <c r="QB60" s="1576"/>
      <c r="QC60" s="1576"/>
      <c r="QD60" s="1576"/>
      <c r="QE60" s="1576"/>
      <c r="QF60" s="1576"/>
      <c r="QG60" s="1576"/>
      <c r="QH60" s="1576"/>
      <c r="QI60" s="1576"/>
      <c r="QJ60" s="1576"/>
      <c r="QK60" s="1576"/>
      <c r="QL60" s="1576"/>
      <c r="QM60" s="1576"/>
      <c r="QN60" s="1576"/>
      <c r="QO60" s="1576"/>
      <c r="QP60" s="1576"/>
      <c r="QQ60" s="1576"/>
      <c r="QR60" s="1576"/>
      <c r="QS60" s="1576"/>
      <c r="QT60" s="1576"/>
      <c r="QU60" s="1576"/>
      <c r="QV60" s="1576"/>
      <c r="QW60" s="1576"/>
      <c r="QX60" s="1576"/>
      <c r="QY60" s="1576"/>
      <c r="QZ60" s="1576"/>
      <c r="RA60" s="1576"/>
      <c r="RB60" s="1576"/>
      <c r="RC60" s="1576"/>
      <c r="RD60" s="1576"/>
      <c r="RE60" s="1576"/>
      <c r="RF60" s="1576"/>
      <c r="RG60" s="1576"/>
      <c r="RH60" s="1576"/>
      <c r="RI60" s="1576"/>
      <c r="RJ60" s="1576"/>
      <c r="RK60" s="1576"/>
      <c r="RL60" s="1576"/>
      <c r="RM60" s="1576"/>
      <c r="RN60" s="1576"/>
      <c r="RO60" s="1576"/>
      <c r="RP60" s="1576"/>
      <c r="RQ60" s="1576"/>
      <c r="RR60" s="1576"/>
      <c r="RS60" s="1576"/>
      <c r="RT60" s="1576"/>
      <c r="RU60" s="1576"/>
      <c r="RV60" s="1576"/>
      <c r="RW60" s="1576"/>
      <c r="RX60" s="1576"/>
      <c r="RY60" s="1576"/>
      <c r="RZ60" s="1576"/>
      <c r="SA60" s="1576"/>
      <c r="SB60" s="1576"/>
      <c r="SC60" s="1576"/>
      <c r="SD60" s="1576"/>
      <c r="SE60" s="1576"/>
      <c r="SF60" s="1576"/>
      <c r="SG60" s="1576"/>
      <c r="SH60" s="1576"/>
      <c r="SI60" s="1576"/>
      <c r="SJ60" s="1576"/>
      <c r="SK60" s="1576"/>
      <c r="SL60" s="1576"/>
      <c r="SM60" s="1576"/>
      <c r="SN60" s="1576"/>
      <c r="SO60" s="1576"/>
      <c r="SP60" s="1576"/>
      <c r="SQ60" s="1576"/>
      <c r="SR60" s="1576"/>
      <c r="SS60" s="1576"/>
      <c r="ST60" s="1576"/>
      <c r="SU60" s="1576"/>
      <c r="SV60" s="1576"/>
      <c r="SW60" s="1576"/>
      <c r="SX60" s="1576"/>
      <c r="SY60" s="1576"/>
      <c r="SZ60" s="1576"/>
      <c r="TA60" s="1576"/>
      <c r="TB60" s="1576"/>
      <c r="TC60" s="1576"/>
      <c r="TD60" s="1576"/>
      <c r="TE60" s="1576"/>
      <c r="TF60" s="1576"/>
      <c r="TG60" s="1576"/>
      <c r="TH60" s="1576"/>
      <c r="TI60" s="1576"/>
      <c r="TJ60" s="1576"/>
      <c r="TK60" s="1576"/>
      <c r="TL60" s="1576"/>
      <c r="TM60" s="1576"/>
      <c r="TN60" s="1576"/>
      <c r="TO60" s="1576"/>
      <c r="TP60" s="1576"/>
      <c r="TQ60" s="1576"/>
      <c r="TR60" s="1576"/>
      <c r="TS60" s="1576"/>
      <c r="TT60" s="1576"/>
      <c r="TU60" s="1576"/>
      <c r="TV60" s="1576"/>
      <c r="TW60" s="1576"/>
      <c r="TX60" s="1576"/>
      <c r="TY60" s="1576"/>
      <c r="TZ60" s="1576"/>
      <c r="UA60" s="1576"/>
      <c r="UB60" s="1576"/>
      <c r="UC60" s="1576"/>
      <c r="UD60" s="1576"/>
      <c r="UE60" s="1576"/>
      <c r="UF60" s="1576"/>
      <c r="UG60" s="1576"/>
      <c r="UH60" s="1576"/>
      <c r="UI60" s="1576"/>
      <c r="UJ60" s="1576"/>
      <c r="UK60" s="1576"/>
      <c r="UL60" s="1576"/>
      <c r="UM60" s="1576"/>
      <c r="UN60" s="1576"/>
      <c r="UO60" s="1576"/>
      <c r="UP60" s="1576"/>
      <c r="UQ60" s="1576"/>
      <c r="UR60" s="1576"/>
      <c r="US60" s="1576"/>
      <c r="UT60" s="1576"/>
      <c r="UU60" s="1576"/>
      <c r="UV60" s="1576"/>
      <c r="UW60" s="1576"/>
      <c r="UX60" s="1576"/>
      <c r="UY60" s="1576"/>
      <c r="UZ60" s="1576"/>
      <c r="VA60" s="1576"/>
      <c r="VB60" s="1576"/>
      <c r="VC60" s="1576"/>
      <c r="VD60" s="1576"/>
      <c r="VE60" s="1576"/>
      <c r="VF60" s="1576"/>
      <c r="VG60" s="1576"/>
      <c r="VH60" s="1576"/>
      <c r="VI60" s="1576"/>
      <c r="VJ60" s="1576"/>
      <c r="VK60" s="1576"/>
    </row>
    <row r="61" spans="1:583" ht="27" x14ac:dyDescent="0.25">
      <c r="B61" s="1610" t="s">
        <v>629</v>
      </c>
      <c r="C61" s="1582" t="s">
        <v>2747</v>
      </c>
      <c r="D61" s="4710" t="s">
        <v>2921</v>
      </c>
      <c r="E61" s="4710">
        <v>0</v>
      </c>
      <c r="F61" s="2057"/>
      <c r="G61" s="2057"/>
      <c r="H61" s="2057"/>
      <c r="I61" s="2059"/>
      <c r="J61" s="2059"/>
      <c r="K61" s="2059"/>
      <c r="L61" s="2059"/>
      <c r="M61" s="2059"/>
      <c r="N61" s="2059"/>
      <c r="O61" s="2059"/>
      <c r="P61" s="2059"/>
      <c r="Q61" s="2059"/>
      <c r="R61" s="2059"/>
      <c r="S61" s="2059"/>
      <c r="T61" s="2059"/>
      <c r="U61" s="2059"/>
      <c r="V61" s="2059"/>
      <c r="W61" s="2059"/>
      <c r="X61" s="2059"/>
      <c r="Y61" s="2059"/>
      <c r="Z61" s="2059"/>
      <c r="AA61" s="2059"/>
      <c r="AB61" s="2059"/>
      <c r="AC61" s="2059"/>
      <c r="AD61" s="2059"/>
      <c r="AE61" s="2059"/>
      <c r="AF61" s="2059"/>
      <c r="AG61" s="2059"/>
      <c r="AH61" s="2059"/>
      <c r="AI61" s="2059"/>
      <c r="AJ61" s="2059"/>
      <c r="AK61" s="2059"/>
      <c r="AL61" s="2059"/>
      <c r="AM61" s="2059"/>
      <c r="AN61" s="2059"/>
      <c r="AO61" s="2059"/>
      <c r="AP61" s="2059"/>
      <c r="AQ61" s="2059"/>
      <c r="AR61" s="2059"/>
      <c r="AS61" s="2059"/>
      <c r="AT61" s="2059"/>
      <c r="AU61" s="2059"/>
      <c r="AV61" s="2059"/>
      <c r="AW61" s="2059"/>
      <c r="AX61" s="2059"/>
      <c r="AY61" s="2059"/>
      <c r="AZ61" s="2059"/>
      <c r="BA61" s="2059"/>
      <c r="BB61" s="2059"/>
      <c r="BC61" s="2059"/>
      <c r="BD61" s="2059"/>
      <c r="BE61" s="2059"/>
      <c r="BF61" s="2059"/>
      <c r="BG61" s="2059"/>
      <c r="BH61" s="2059"/>
      <c r="BI61" s="2059"/>
      <c r="BJ61" s="2059"/>
      <c r="BK61" s="2059"/>
      <c r="BL61" s="2059"/>
      <c r="BM61" s="2059"/>
      <c r="BN61" s="2059"/>
      <c r="BO61" s="2059"/>
      <c r="BP61" s="2059"/>
      <c r="BQ61" s="2059"/>
      <c r="BR61" s="2059"/>
      <c r="BS61" s="2059"/>
      <c r="BT61" s="2059"/>
      <c r="BU61" s="2059"/>
      <c r="BV61" s="2059"/>
      <c r="BW61" s="2059"/>
      <c r="BX61" s="2059"/>
      <c r="BY61" s="2059"/>
      <c r="BZ61" s="2059"/>
      <c r="CA61" s="2059"/>
      <c r="CB61" s="2059"/>
      <c r="CC61" s="2059"/>
      <c r="CD61" s="2059"/>
      <c r="CE61" s="2059"/>
      <c r="CF61" s="2059"/>
      <c r="CG61" s="2059"/>
      <c r="CH61" s="2059"/>
      <c r="CI61" s="2059"/>
      <c r="CJ61" s="2059"/>
      <c r="CK61" s="2059"/>
      <c r="CL61" s="2059"/>
      <c r="CM61" s="2059"/>
      <c r="CN61" s="2059"/>
      <c r="CO61" s="2059"/>
      <c r="CP61" s="1576"/>
      <c r="CQ61" s="1576"/>
      <c r="CR61" s="1576"/>
      <c r="CS61" s="1576"/>
      <c r="CT61" s="1576"/>
      <c r="CU61" s="1576"/>
      <c r="CV61" s="1576"/>
      <c r="CW61" s="1576"/>
      <c r="CX61" s="1576"/>
      <c r="CY61" s="1576"/>
      <c r="CZ61" s="1576"/>
      <c r="DA61" s="1576"/>
      <c r="DB61" s="1576"/>
      <c r="DC61" s="1576"/>
      <c r="DD61" s="1576"/>
      <c r="DE61" s="1576"/>
      <c r="DF61" s="1576"/>
      <c r="DG61" s="1576"/>
      <c r="DH61" s="1576"/>
      <c r="DI61" s="1576"/>
      <c r="DJ61" s="1576"/>
      <c r="DK61" s="1576"/>
      <c r="DL61" s="1576"/>
      <c r="DM61" s="1576"/>
      <c r="DN61" s="1576"/>
      <c r="DO61" s="1576"/>
      <c r="DP61" s="1576"/>
      <c r="DQ61" s="1576"/>
      <c r="DR61" s="1576"/>
      <c r="DS61" s="1576"/>
      <c r="DT61" s="1576"/>
      <c r="DU61" s="1576"/>
      <c r="DV61" s="1576"/>
      <c r="DW61" s="1576"/>
      <c r="DX61" s="1576"/>
      <c r="DY61" s="1576"/>
      <c r="DZ61" s="1576"/>
      <c r="EA61" s="1576"/>
      <c r="EB61" s="1576"/>
      <c r="EC61" s="1576"/>
      <c r="ED61" s="1576"/>
      <c r="EE61" s="1576"/>
      <c r="EF61" s="1576"/>
      <c r="EG61" s="1576"/>
      <c r="EH61" s="1576"/>
      <c r="EI61" s="1576"/>
      <c r="EJ61" s="1576"/>
      <c r="EK61" s="1576"/>
      <c r="EL61" s="1576"/>
      <c r="EM61" s="1576"/>
      <c r="EN61" s="1576"/>
      <c r="EO61" s="1576"/>
      <c r="EP61" s="1576"/>
      <c r="EQ61" s="1576"/>
      <c r="ER61" s="1576"/>
      <c r="ES61" s="1576"/>
      <c r="ET61" s="1576"/>
      <c r="EU61" s="1576"/>
      <c r="EV61" s="1576"/>
      <c r="EW61" s="1576"/>
      <c r="EX61" s="1576"/>
      <c r="EY61" s="1576"/>
      <c r="EZ61" s="1576"/>
      <c r="FA61" s="1576"/>
      <c r="FB61" s="1576"/>
      <c r="FC61" s="1576"/>
      <c r="FD61" s="1576"/>
      <c r="FE61" s="1576"/>
      <c r="FF61" s="1576"/>
      <c r="FG61" s="1576"/>
      <c r="FH61" s="1576"/>
      <c r="FI61" s="1576"/>
      <c r="FJ61" s="1576"/>
      <c r="FK61" s="1576"/>
      <c r="FL61" s="1576"/>
      <c r="FM61" s="1576"/>
      <c r="FN61" s="1576"/>
      <c r="FO61" s="1576"/>
      <c r="FP61" s="1576"/>
      <c r="FQ61" s="1576"/>
      <c r="FR61" s="1576"/>
      <c r="FS61" s="1576"/>
      <c r="FT61" s="1576"/>
      <c r="FU61" s="1576"/>
      <c r="FV61" s="1576"/>
      <c r="FW61" s="1576"/>
      <c r="FX61" s="1576"/>
      <c r="FY61" s="1576"/>
      <c r="FZ61" s="1576"/>
      <c r="GA61" s="1576"/>
      <c r="GB61" s="1576"/>
      <c r="GC61" s="1576"/>
      <c r="GD61" s="1576"/>
      <c r="GE61" s="1576"/>
      <c r="GF61" s="1576"/>
      <c r="GG61" s="1576"/>
      <c r="GH61" s="1576"/>
      <c r="GI61" s="1576"/>
      <c r="GJ61" s="1576"/>
      <c r="GK61" s="1576"/>
      <c r="GL61" s="1576"/>
      <c r="GM61" s="1576"/>
      <c r="GN61" s="1576"/>
      <c r="GO61" s="1576"/>
      <c r="GP61" s="1576"/>
      <c r="GQ61" s="1576"/>
      <c r="GR61" s="1576"/>
      <c r="GS61" s="1576"/>
      <c r="GT61" s="1576"/>
      <c r="GU61" s="1576"/>
      <c r="GV61" s="1576"/>
      <c r="GW61" s="1576"/>
      <c r="GX61" s="1576"/>
      <c r="GY61" s="1576"/>
      <c r="GZ61" s="1576"/>
      <c r="HA61" s="1576"/>
      <c r="HB61" s="1576"/>
      <c r="HC61" s="1576"/>
      <c r="HD61" s="1576"/>
      <c r="HE61" s="1576"/>
      <c r="HF61" s="1576"/>
      <c r="HG61" s="1576"/>
      <c r="HH61" s="1576"/>
      <c r="HI61" s="1576"/>
      <c r="HJ61" s="1576"/>
      <c r="HK61" s="1576"/>
      <c r="HL61" s="1576"/>
      <c r="HM61" s="1576"/>
      <c r="HN61" s="1576"/>
      <c r="HO61" s="1576"/>
      <c r="HP61" s="1576"/>
      <c r="HQ61" s="1576"/>
      <c r="HR61" s="1576"/>
      <c r="HS61" s="1576"/>
      <c r="HT61" s="1576"/>
      <c r="HU61" s="1576"/>
      <c r="HV61" s="1576"/>
      <c r="HW61" s="1576"/>
      <c r="HX61" s="1576"/>
      <c r="HY61" s="1576"/>
      <c r="HZ61" s="1576"/>
      <c r="IA61" s="1576"/>
      <c r="IB61" s="1576"/>
      <c r="IC61" s="1576"/>
      <c r="ID61" s="1576"/>
      <c r="IE61" s="1576"/>
      <c r="IF61" s="1576"/>
      <c r="IG61" s="1576"/>
      <c r="IH61" s="1576"/>
      <c r="II61" s="1576"/>
      <c r="IJ61" s="1576"/>
      <c r="IK61" s="1576"/>
      <c r="IL61" s="1576"/>
      <c r="IM61" s="1576"/>
      <c r="IN61" s="1576"/>
      <c r="IO61" s="1576"/>
      <c r="IP61" s="1576"/>
      <c r="IQ61" s="1576"/>
      <c r="IR61" s="1576"/>
      <c r="IS61" s="1576"/>
      <c r="IT61" s="1576"/>
      <c r="IU61" s="1576"/>
      <c r="IV61" s="1576"/>
      <c r="IW61" s="1576"/>
      <c r="IX61" s="1576"/>
      <c r="IY61" s="1576"/>
      <c r="IZ61" s="1576"/>
      <c r="JA61" s="2054"/>
      <c r="JB61" s="2054"/>
      <c r="JC61" s="2054"/>
      <c r="JD61" s="2054"/>
      <c r="JE61" s="2054"/>
      <c r="JF61" s="2054"/>
      <c r="JG61" s="2054"/>
      <c r="JH61" s="2054"/>
      <c r="JI61" s="2054"/>
      <c r="JJ61" s="2054"/>
      <c r="JK61" s="2054"/>
      <c r="JL61" s="2054"/>
      <c r="JM61" s="2054"/>
      <c r="JN61" s="2054"/>
      <c r="JO61" s="2054"/>
      <c r="JP61" s="2054"/>
      <c r="JQ61" s="2054"/>
      <c r="JR61" s="1576"/>
      <c r="JS61" s="1576"/>
      <c r="JT61" s="1576"/>
      <c r="JU61" s="1576"/>
      <c r="JV61" s="1576"/>
      <c r="JW61" s="1576"/>
      <c r="JX61" s="1576"/>
      <c r="JY61" s="1576"/>
      <c r="JZ61" s="1576"/>
      <c r="KA61" s="1576"/>
      <c r="KB61" s="1576"/>
      <c r="KC61" s="1576"/>
      <c r="KD61" s="1576"/>
      <c r="KE61" s="1576"/>
      <c r="KF61" s="1576"/>
      <c r="KG61" s="1576"/>
      <c r="KH61" s="1576"/>
      <c r="KI61" s="1576"/>
      <c r="KJ61" s="1576"/>
      <c r="KK61" s="1576"/>
      <c r="KL61" s="1576"/>
      <c r="KM61" s="1576"/>
      <c r="KN61" s="1576"/>
      <c r="KO61" s="1576"/>
      <c r="KP61" s="1576"/>
      <c r="KQ61" s="1576"/>
      <c r="KR61" s="1576"/>
      <c r="KS61" s="1576"/>
      <c r="KT61" s="1576"/>
      <c r="KU61" s="1576"/>
      <c r="KV61" s="1576"/>
      <c r="KW61" s="1576"/>
      <c r="KX61" s="1576"/>
      <c r="KY61" s="1576"/>
      <c r="KZ61" s="1576"/>
      <c r="LA61" s="1576"/>
      <c r="LB61" s="1576"/>
      <c r="LC61" s="1576"/>
      <c r="LD61" s="1576"/>
      <c r="LE61" s="1576"/>
      <c r="LF61" s="1576"/>
      <c r="LG61" s="1576"/>
      <c r="LH61" s="1576"/>
      <c r="LI61" s="1576"/>
      <c r="LJ61" s="1576"/>
      <c r="LK61" s="1576"/>
      <c r="LL61" s="1576"/>
      <c r="LM61" s="1576"/>
      <c r="LN61" s="1576"/>
      <c r="LO61" s="1576"/>
      <c r="LP61" s="1576"/>
      <c r="LQ61" s="1576"/>
      <c r="LR61" s="1576"/>
      <c r="LS61" s="1576"/>
      <c r="LT61" s="1576"/>
      <c r="LU61" s="1576"/>
      <c r="LV61" s="1576"/>
      <c r="LW61" s="1576"/>
      <c r="LX61" s="1576"/>
      <c r="LY61" s="1576"/>
      <c r="LZ61" s="1576"/>
      <c r="MA61" s="1576"/>
      <c r="MB61" s="1576"/>
      <c r="MC61" s="1576"/>
      <c r="MD61" s="1576"/>
      <c r="ME61" s="1576"/>
      <c r="MF61" s="1576"/>
      <c r="MG61" s="1576"/>
      <c r="MH61" s="1576"/>
      <c r="MI61" s="1576"/>
      <c r="MJ61" s="1576"/>
      <c r="MK61" s="1576"/>
      <c r="ML61" s="1576"/>
      <c r="MM61" s="1576"/>
      <c r="MN61" s="1576"/>
      <c r="MO61" s="1576"/>
      <c r="MP61" s="1576"/>
      <c r="MQ61" s="1576"/>
      <c r="MR61" s="1576"/>
      <c r="MS61" s="1576"/>
      <c r="MT61" s="1576"/>
      <c r="MU61" s="1576"/>
      <c r="MV61" s="1576"/>
      <c r="MW61" s="1576"/>
      <c r="MX61" s="1576"/>
      <c r="MY61" s="1576"/>
      <c r="MZ61" s="1576"/>
      <c r="NA61" s="1576"/>
      <c r="NB61" s="1576"/>
      <c r="NC61" s="1576"/>
      <c r="ND61" s="1576"/>
      <c r="NE61" s="1576"/>
      <c r="NF61" s="1576"/>
      <c r="NG61" s="1576"/>
      <c r="NH61" s="1576"/>
      <c r="NI61" s="1576"/>
      <c r="NJ61" s="1576"/>
      <c r="NK61" s="1576"/>
      <c r="NL61" s="1576"/>
      <c r="NM61" s="1576"/>
      <c r="NN61" s="1576"/>
      <c r="NO61" s="1576"/>
      <c r="NP61" s="1576"/>
      <c r="NQ61" s="1576"/>
      <c r="NR61" s="1576"/>
      <c r="NS61" s="1576"/>
      <c r="NT61" s="1576"/>
      <c r="NU61" s="1576"/>
      <c r="NV61" s="1576"/>
      <c r="NW61" s="1576"/>
      <c r="NX61" s="1576"/>
      <c r="NY61" s="1576"/>
      <c r="NZ61" s="1576"/>
      <c r="OA61" s="1576"/>
      <c r="OB61" s="1576"/>
      <c r="OC61" s="1576"/>
      <c r="OD61" s="1576"/>
      <c r="OE61" s="1576"/>
      <c r="OF61" s="1576"/>
      <c r="OG61" s="1576"/>
      <c r="OH61" s="1576"/>
      <c r="OI61" s="1576"/>
      <c r="OJ61" s="1576"/>
      <c r="OK61" s="1576"/>
      <c r="OL61" s="1576"/>
      <c r="OM61" s="1576"/>
      <c r="ON61" s="1576"/>
      <c r="OO61" s="1576"/>
      <c r="OP61" s="1576"/>
      <c r="OQ61" s="1576"/>
      <c r="OR61" s="1576"/>
      <c r="OS61" s="1576"/>
      <c r="OT61" s="1576"/>
      <c r="OU61" s="1576"/>
      <c r="OV61" s="1576"/>
      <c r="OW61" s="1576"/>
      <c r="OX61" s="1576"/>
      <c r="OY61" s="1576"/>
      <c r="OZ61" s="1576"/>
      <c r="PA61" s="1576"/>
      <c r="PB61" s="1576"/>
      <c r="PC61" s="1576"/>
      <c r="PD61" s="1576"/>
      <c r="PE61" s="1576"/>
      <c r="PF61" s="1576"/>
      <c r="PG61" s="1576"/>
      <c r="PH61" s="1576"/>
      <c r="PI61" s="1576"/>
      <c r="PJ61" s="1576"/>
      <c r="PK61" s="1576"/>
      <c r="PL61" s="1576"/>
      <c r="PM61" s="1576"/>
      <c r="PN61" s="1576"/>
      <c r="PO61" s="1576"/>
      <c r="PP61" s="1576"/>
      <c r="PQ61" s="1576"/>
      <c r="PR61" s="1576"/>
      <c r="PS61" s="1576"/>
      <c r="PT61" s="1576"/>
      <c r="PU61" s="1576"/>
      <c r="PV61" s="1576"/>
      <c r="PW61" s="1576"/>
      <c r="PX61" s="1576"/>
      <c r="PY61" s="1576"/>
      <c r="PZ61" s="1576"/>
      <c r="QA61" s="1576"/>
      <c r="QB61" s="1576"/>
      <c r="QC61" s="1576"/>
      <c r="QD61" s="1576"/>
      <c r="QE61" s="1576"/>
      <c r="QF61" s="1576"/>
      <c r="QG61" s="1576"/>
      <c r="QH61" s="1576"/>
      <c r="QI61" s="1576"/>
      <c r="QJ61" s="1576"/>
      <c r="QK61" s="1576"/>
      <c r="QL61" s="1576"/>
      <c r="QM61" s="1576"/>
      <c r="QN61" s="1576"/>
      <c r="QO61" s="1576"/>
      <c r="QP61" s="1576"/>
      <c r="QQ61" s="1576"/>
      <c r="QR61" s="1576"/>
      <c r="QS61" s="1576"/>
      <c r="QT61" s="1576"/>
      <c r="QU61" s="1576"/>
      <c r="QV61" s="1576"/>
      <c r="QW61" s="1576"/>
      <c r="QX61" s="1576"/>
      <c r="QY61" s="1576"/>
      <c r="QZ61" s="1576"/>
      <c r="RA61" s="1576"/>
      <c r="RB61" s="1576"/>
      <c r="RC61" s="1576"/>
      <c r="RD61" s="1576"/>
      <c r="RE61" s="1576"/>
      <c r="RF61" s="1576"/>
      <c r="RG61" s="1576"/>
      <c r="RH61" s="1576"/>
      <c r="RI61" s="1576"/>
      <c r="RJ61" s="1576"/>
      <c r="RK61" s="1576"/>
      <c r="RL61" s="1576"/>
      <c r="RM61" s="1576"/>
      <c r="RN61" s="1576"/>
      <c r="RO61" s="1576"/>
      <c r="RP61" s="1576"/>
      <c r="RQ61" s="1576"/>
      <c r="RR61" s="1576"/>
      <c r="RS61" s="1576"/>
      <c r="RT61" s="1576"/>
      <c r="RU61" s="1576"/>
      <c r="RV61" s="1576"/>
      <c r="RW61" s="1576"/>
      <c r="RX61" s="1576"/>
      <c r="RY61" s="1576"/>
      <c r="RZ61" s="1576"/>
      <c r="SA61" s="1576"/>
      <c r="SB61" s="1576"/>
      <c r="SC61" s="1576"/>
      <c r="SD61" s="1576"/>
      <c r="SE61" s="1576"/>
      <c r="SF61" s="1576"/>
      <c r="SG61" s="1576"/>
      <c r="SH61" s="1576"/>
      <c r="SI61" s="1576"/>
      <c r="SJ61" s="1576"/>
      <c r="SK61" s="1576"/>
      <c r="SL61" s="1576"/>
      <c r="SM61" s="1576"/>
      <c r="SN61" s="1576"/>
      <c r="SO61" s="1576"/>
      <c r="SP61" s="1576"/>
      <c r="SQ61" s="1576"/>
      <c r="SR61" s="1576"/>
      <c r="SS61" s="1576"/>
      <c r="ST61" s="1576"/>
      <c r="SU61" s="1576"/>
      <c r="SV61" s="1576"/>
      <c r="SW61" s="1576"/>
      <c r="SX61" s="1576"/>
      <c r="SY61" s="1576"/>
      <c r="SZ61" s="1576"/>
      <c r="TA61" s="1576"/>
      <c r="TB61" s="1576"/>
      <c r="TC61" s="1576"/>
      <c r="TD61" s="1576"/>
      <c r="TE61" s="1576"/>
      <c r="TF61" s="1576"/>
      <c r="TG61" s="1576"/>
      <c r="TH61" s="1576"/>
      <c r="TI61" s="1576"/>
      <c r="TJ61" s="1576"/>
      <c r="TK61" s="1576"/>
      <c r="TL61" s="1576"/>
      <c r="TM61" s="1576"/>
      <c r="TN61" s="1576"/>
      <c r="TO61" s="1576"/>
      <c r="TP61" s="1576"/>
      <c r="TQ61" s="1576"/>
      <c r="TR61" s="1576"/>
      <c r="TS61" s="1576"/>
      <c r="TT61" s="1576"/>
      <c r="TU61" s="1576"/>
      <c r="TV61" s="1576"/>
      <c r="TW61" s="1576"/>
      <c r="TX61" s="1576"/>
      <c r="TY61" s="1576"/>
      <c r="TZ61" s="1576"/>
      <c r="UA61" s="1576"/>
      <c r="UB61" s="1576"/>
      <c r="UC61" s="1576"/>
      <c r="UD61" s="1576"/>
      <c r="UE61" s="1576"/>
      <c r="UF61" s="1576"/>
      <c r="UG61" s="1576"/>
      <c r="UH61" s="1576"/>
      <c r="UI61" s="1576"/>
      <c r="UJ61" s="1576"/>
      <c r="UK61" s="1576"/>
      <c r="UL61" s="1576"/>
      <c r="UM61" s="1576"/>
      <c r="UN61" s="1576"/>
      <c r="UO61" s="1576"/>
      <c r="UP61" s="1576"/>
      <c r="UQ61" s="1576"/>
      <c r="UR61" s="1576"/>
      <c r="US61" s="1576"/>
      <c r="UT61" s="1576"/>
      <c r="UU61" s="1576"/>
      <c r="UV61" s="1576"/>
      <c r="UW61" s="1576"/>
      <c r="UX61" s="1576"/>
      <c r="UY61" s="1576"/>
      <c r="UZ61" s="1576"/>
      <c r="VA61" s="1576"/>
      <c r="VB61" s="1576"/>
      <c r="VC61" s="1576"/>
      <c r="VD61" s="1576"/>
      <c r="VE61" s="1576"/>
      <c r="VF61" s="1576"/>
      <c r="VG61" s="1576"/>
      <c r="VH61" s="1576"/>
      <c r="VI61" s="1576"/>
      <c r="VJ61" s="1576"/>
      <c r="VK61" s="1576"/>
    </row>
    <row r="62" spans="1:583" ht="27" x14ac:dyDescent="0.25">
      <c r="B62" s="1610" t="s">
        <v>629</v>
      </c>
      <c r="C62" s="1582" t="s">
        <v>2752</v>
      </c>
      <c r="D62" s="4710" t="s">
        <v>2753</v>
      </c>
      <c r="E62" s="4710">
        <v>0</v>
      </c>
      <c r="F62" s="2057"/>
      <c r="G62" s="2057"/>
      <c r="H62" s="2057"/>
      <c r="I62" s="2059"/>
      <c r="J62" s="2059"/>
      <c r="K62" s="2059"/>
      <c r="L62" s="2059"/>
      <c r="M62" s="2059"/>
      <c r="N62" s="2059"/>
      <c r="O62" s="2059"/>
      <c r="P62" s="2059"/>
      <c r="Q62" s="2059"/>
      <c r="R62" s="2059"/>
      <c r="S62" s="2059"/>
      <c r="T62" s="2059"/>
      <c r="U62" s="2059"/>
      <c r="V62" s="2059"/>
      <c r="W62" s="2059"/>
      <c r="X62" s="2059"/>
      <c r="Y62" s="2059"/>
      <c r="Z62" s="2059"/>
      <c r="AA62" s="2059"/>
      <c r="AB62" s="2059"/>
      <c r="AC62" s="2059"/>
      <c r="AD62" s="2059"/>
      <c r="AE62" s="2059"/>
      <c r="AF62" s="2059"/>
      <c r="AG62" s="2059"/>
      <c r="AH62" s="2059"/>
      <c r="AI62" s="2059"/>
      <c r="AJ62" s="2059"/>
      <c r="AK62" s="2059"/>
      <c r="AL62" s="2059"/>
      <c r="AM62" s="2059"/>
      <c r="AN62" s="2059"/>
      <c r="AO62" s="2059"/>
      <c r="AP62" s="2059"/>
      <c r="AQ62" s="2059"/>
      <c r="AR62" s="2059"/>
      <c r="AS62" s="2059"/>
      <c r="AT62" s="2059"/>
      <c r="AU62" s="2059"/>
      <c r="AV62" s="2059"/>
      <c r="AW62" s="2059"/>
      <c r="AX62" s="2059"/>
      <c r="AY62" s="2059"/>
      <c r="AZ62" s="2059"/>
      <c r="BA62" s="2059"/>
      <c r="BB62" s="2059"/>
      <c r="BC62" s="2059"/>
      <c r="BD62" s="2059"/>
      <c r="BE62" s="2059"/>
      <c r="BF62" s="2059"/>
      <c r="BG62" s="2059"/>
      <c r="BH62" s="2059"/>
      <c r="BI62" s="2059"/>
      <c r="BJ62" s="2059"/>
      <c r="BK62" s="2059"/>
      <c r="BL62" s="2059"/>
      <c r="BM62" s="2059"/>
      <c r="BN62" s="2059"/>
      <c r="BO62" s="2059"/>
      <c r="BP62" s="2059"/>
      <c r="BQ62" s="2059"/>
      <c r="BR62" s="2059"/>
      <c r="BS62" s="2059"/>
      <c r="BT62" s="2059"/>
      <c r="BU62" s="2059"/>
      <c r="BV62" s="2059"/>
      <c r="BW62" s="2059"/>
      <c r="BX62" s="2059"/>
      <c r="BY62" s="2059"/>
      <c r="BZ62" s="2059"/>
      <c r="CA62" s="2059"/>
      <c r="CB62" s="2059"/>
      <c r="CC62" s="2059"/>
      <c r="CD62" s="2059"/>
      <c r="CE62" s="2059"/>
      <c r="CF62" s="2059"/>
      <c r="CG62" s="2059"/>
      <c r="CH62" s="2059"/>
      <c r="CI62" s="2059"/>
      <c r="CJ62" s="2059"/>
      <c r="CK62" s="2059"/>
      <c r="CL62" s="2059"/>
      <c r="CM62" s="2059"/>
      <c r="CN62" s="2059"/>
      <c r="CO62" s="2059"/>
      <c r="CP62" s="1576"/>
      <c r="CQ62" s="1576"/>
      <c r="CR62" s="1576"/>
      <c r="CS62" s="1576"/>
      <c r="CT62" s="1576"/>
      <c r="CU62" s="1576"/>
      <c r="CV62" s="1576"/>
      <c r="CW62" s="1576"/>
      <c r="CX62" s="1576"/>
      <c r="CY62" s="1576"/>
      <c r="CZ62" s="1576"/>
      <c r="DA62" s="1576"/>
      <c r="DB62" s="1576"/>
      <c r="DC62" s="1576"/>
      <c r="DD62" s="1576"/>
      <c r="DE62" s="1576"/>
      <c r="DF62" s="1576"/>
      <c r="DG62" s="1576"/>
      <c r="DH62" s="1576"/>
      <c r="DI62" s="1576"/>
      <c r="DJ62" s="1576"/>
      <c r="DK62" s="1576"/>
      <c r="DL62" s="1576"/>
      <c r="DM62" s="1576"/>
      <c r="DN62" s="1576"/>
      <c r="DO62" s="1576"/>
      <c r="DP62" s="1576"/>
      <c r="DQ62" s="1576"/>
      <c r="DR62" s="1576"/>
      <c r="DS62" s="1576"/>
      <c r="DT62" s="1576"/>
      <c r="DU62" s="1576"/>
      <c r="DV62" s="1576"/>
      <c r="DW62" s="1576"/>
      <c r="DX62" s="1576"/>
      <c r="DY62" s="1576"/>
      <c r="DZ62" s="1576"/>
      <c r="EA62" s="1576"/>
      <c r="EB62" s="1576"/>
      <c r="EC62" s="1576"/>
      <c r="ED62" s="1576"/>
      <c r="EE62" s="1576"/>
      <c r="EF62" s="1576"/>
      <c r="EG62" s="1576"/>
      <c r="EH62" s="1576"/>
      <c r="EI62" s="1576"/>
      <c r="EJ62" s="1576"/>
      <c r="EK62" s="1576"/>
      <c r="EL62" s="1576"/>
      <c r="EM62" s="1576"/>
      <c r="EN62" s="1576"/>
      <c r="EO62" s="1576"/>
      <c r="EP62" s="1576"/>
      <c r="EQ62" s="1576"/>
      <c r="ER62" s="1576"/>
      <c r="ES62" s="1576"/>
      <c r="ET62" s="1576"/>
      <c r="EU62" s="1576"/>
      <c r="EV62" s="1576"/>
      <c r="EW62" s="1576"/>
      <c r="EX62" s="1576"/>
      <c r="EY62" s="1576"/>
      <c r="EZ62" s="1576"/>
      <c r="FA62" s="1576"/>
      <c r="FB62" s="1576"/>
      <c r="FC62" s="1576"/>
      <c r="FD62" s="1576"/>
      <c r="FE62" s="1576"/>
      <c r="FF62" s="1576"/>
      <c r="FG62" s="1576"/>
      <c r="FH62" s="1576"/>
      <c r="FI62" s="1576"/>
      <c r="FJ62" s="1576"/>
      <c r="FK62" s="1576"/>
      <c r="FL62" s="1576"/>
      <c r="FM62" s="1576"/>
      <c r="FN62" s="1576"/>
      <c r="FO62" s="1576"/>
      <c r="FP62" s="1576"/>
      <c r="FQ62" s="1576"/>
      <c r="FR62" s="1576"/>
      <c r="FS62" s="1576"/>
      <c r="FT62" s="1576"/>
      <c r="FU62" s="1576"/>
      <c r="FV62" s="1576"/>
      <c r="FW62" s="1576"/>
      <c r="FX62" s="1576"/>
      <c r="FY62" s="1576"/>
      <c r="FZ62" s="1576"/>
      <c r="GA62" s="1576"/>
      <c r="GB62" s="1576"/>
      <c r="GC62" s="1576"/>
      <c r="GD62" s="1576"/>
      <c r="GE62" s="1576"/>
      <c r="GF62" s="1576"/>
      <c r="GG62" s="1576"/>
      <c r="GH62" s="1576"/>
      <c r="GI62" s="1576"/>
      <c r="GJ62" s="1576"/>
      <c r="GK62" s="1576"/>
      <c r="GL62" s="1576"/>
      <c r="GM62" s="1576"/>
      <c r="GN62" s="1576"/>
      <c r="GO62" s="1576"/>
      <c r="GP62" s="1576"/>
      <c r="GQ62" s="1576"/>
      <c r="GR62" s="1576"/>
      <c r="GS62" s="1576"/>
      <c r="GT62" s="1576"/>
      <c r="GU62" s="1576"/>
      <c r="GV62" s="1576"/>
      <c r="GW62" s="1576"/>
      <c r="GX62" s="1576"/>
      <c r="GY62" s="1576"/>
      <c r="GZ62" s="1576"/>
      <c r="HA62" s="1576"/>
      <c r="HB62" s="1576"/>
      <c r="HC62" s="1576"/>
      <c r="HD62" s="1576"/>
      <c r="HE62" s="1576"/>
      <c r="HF62" s="1576"/>
      <c r="HG62" s="1576"/>
      <c r="HH62" s="1576"/>
      <c r="HI62" s="1576"/>
      <c r="HJ62" s="1576"/>
      <c r="HK62" s="1576"/>
      <c r="HL62" s="1576"/>
      <c r="HM62" s="1576"/>
      <c r="HN62" s="1576"/>
      <c r="HO62" s="1576"/>
      <c r="HP62" s="1576"/>
      <c r="HQ62" s="1576"/>
      <c r="HR62" s="1576"/>
      <c r="HS62" s="1576"/>
      <c r="HT62" s="1576"/>
      <c r="HU62" s="1576"/>
      <c r="HV62" s="1576"/>
      <c r="HW62" s="1576"/>
      <c r="HX62" s="1576"/>
      <c r="HY62" s="1576"/>
      <c r="HZ62" s="1576"/>
      <c r="IA62" s="1576"/>
      <c r="IB62" s="1576"/>
      <c r="IC62" s="1576"/>
      <c r="ID62" s="1576"/>
      <c r="IE62" s="1576"/>
      <c r="IF62" s="1576"/>
      <c r="IG62" s="1576"/>
      <c r="IH62" s="1576"/>
      <c r="II62" s="1576"/>
      <c r="IJ62" s="1576"/>
      <c r="IK62" s="1576"/>
      <c r="IL62" s="1576"/>
      <c r="IM62" s="1576"/>
      <c r="IN62" s="1576"/>
      <c r="IO62" s="1576"/>
      <c r="IP62" s="1576"/>
      <c r="IQ62" s="1576"/>
      <c r="IR62" s="1576"/>
      <c r="IS62" s="1576"/>
      <c r="IT62" s="1576"/>
      <c r="IU62" s="1576"/>
      <c r="IV62" s="1576"/>
      <c r="IW62" s="1576"/>
      <c r="IX62" s="1576"/>
      <c r="IY62" s="1576"/>
      <c r="IZ62" s="1576"/>
      <c r="JA62" s="2054"/>
      <c r="JB62" s="2054"/>
      <c r="JC62" s="2054"/>
      <c r="JD62" s="2054"/>
      <c r="JE62" s="2054"/>
      <c r="JF62" s="2054"/>
      <c r="JG62" s="2054"/>
      <c r="JH62" s="2054"/>
      <c r="JI62" s="2054"/>
      <c r="JJ62" s="2054"/>
      <c r="JK62" s="2054"/>
      <c r="JL62" s="2054"/>
      <c r="JM62" s="2054"/>
      <c r="JN62" s="2054"/>
      <c r="JO62" s="2054"/>
      <c r="JP62" s="2054"/>
      <c r="JQ62" s="2054"/>
      <c r="JR62" s="1576"/>
      <c r="JS62" s="1576"/>
      <c r="JT62" s="1576"/>
      <c r="JU62" s="1576"/>
      <c r="JV62" s="1576"/>
      <c r="JW62" s="1576"/>
      <c r="JX62" s="1576"/>
      <c r="JY62" s="1576"/>
      <c r="JZ62" s="1576"/>
      <c r="KA62" s="1576"/>
      <c r="KB62" s="1576"/>
      <c r="KC62" s="1576"/>
      <c r="KD62" s="1576"/>
      <c r="KE62" s="1576"/>
      <c r="KF62" s="1576"/>
      <c r="KG62" s="1576"/>
      <c r="KH62" s="1576"/>
      <c r="KI62" s="1576"/>
      <c r="KJ62" s="1576"/>
      <c r="KK62" s="1576"/>
      <c r="KL62" s="1576"/>
      <c r="KM62" s="1576"/>
      <c r="KN62" s="1576"/>
      <c r="KO62" s="1576"/>
      <c r="KP62" s="1576"/>
      <c r="KQ62" s="1576"/>
      <c r="KR62" s="1576"/>
      <c r="KS62" s="1576"/>
      <c r="KT62" s="1576"/>
      <c r="KU62" s="1576"/>
      <c r="KV62" s="1576"/>
      <c r="KW62" s="1576"/>
      <c r="KX62" s="1576"/>
      <c r="KY62" s="1576"/>
      <c r="KZ62" s="1576"/>
      <c r="LA62" s="1576"/>
      <c r="LB62" s="1576"/>
      <c r="LC62" s="1576"/>
      <c r="LD62" s="1576"/>
      <c r="LE62" s="1576"/>
      <c r="LF62" s="1576"/>
      <c r="LG62" s="1576"/>
      <c r="LH62" s="1576"/>
      <c r="LI62" s="1576"/>
      <c r="LJ62" s="1576"/>
      <c r="LK62" s="1576"/>
      <c r="LL62" s="1576"/>
      <c r="LM62" s="1576"/>
      <c r="LN62" s="1576"/>
      <c r="LO62" s="1576"/>
      <c r="LP62" s="1576"/>
      <c r="LQ62" s="1576"/>
      <c r="LR62" s="1576"/>
      <c r="LS62" s="1576"/>
      <c r="LT62" s="1576"/>
      <c r="LU62" s="1576"/>
      <c r="LV62" s="1576"/>
      <c r="LW62" s="1576"/>
      <c r="LX62" s="1576"/>
      <c r="LY62" s="1576"/>
      <c r="LZ62" s="1576"/>
      <c r="MA62" s="1576"/>
      <c r="MB62" s="1576"/>
      <c r="MC62" s="1576"/>
      <c r="MD62" s="1576"/>
      <c r="ME62" s="1576"/>
      <c r="MF62" s="1576"/>
      <c r="MG62" s="1576"/>
      <c r="MH62" s="1576"/>
      <c r="MI62" s="1576"/>
      <c r="MJ62" s="1576"/>
      <c r="MK62" s="1576"/>
      <c r="ML62" s="1576"/>
      <c r="MM62" s="1576"/>
      <c r="MN62" s="1576"/>
      <c r="MO62" s="1576"/>
      <c r="MP62" s="1576"/>
      <c r="MQ62" s="1576"/>
      <c r="MR62" s="1576"/>
      <c r="MS62" s="1576"/>
      <c r="MT62" s="1576"/>
      <c r="MU62" s="1576"/>
      <c r="MV62" s="1576"/>
      <c r="MW62" s="1576"/>
      <c r="MX62" s="1576"/>
      <c r="MY62" s="1576"/>
      <c r="MZ62" s="1576"/>
      <c r="NA62" s="1576"/>
      <c r="NB62" s="1576"/>
      <c r="NC62" s="1576"/>
      <c r="ND62" s="1576"/>
      <c r="NE62" s="1576"/>
      <c r="NF62" s="1576"/>
      <c r="NG62" s="1576"/>
      <c r="NH62" s="1576"/>
      <c r="NI62" s="1576"/>
      <c r="NJ62" s="1576"/>
      <c r="NK62" s="1576"/>
      <c r="NL62" s="1576"/>
      <c r="NM62" s="1576"/>
      <c r="NN62" s="1576"/>
      <c r="NO62" s="1576"/>
      <c r="NP62" s="1576"/>
      <c r="NQ62" s="1576"/>
      <c r="NR62" s="1576"/>
      <c r="NS62" s="1576"/>
      <c r="NT62" s="1576"/>
      <c r="NU62" s="1576"/>
      <c r="NV62" s="1576"/>
      <c r="NW62" s="1576"/>
      <c r="NX62" s="1576"/>
      <c r="NY62" s="1576"/>
      <c r="NZ62" s="1576"/>
      <c r="OA62" s="1576"/>
      <c r="OB62" s="1576"/>
      <c r="OC62" s="1576"/>
      <c r="OD62" s="1576"/>
      <c r="OE62" s="1576"/>
      <c r="OF62" s="1576"/>
      <c r="OG62" s="1576"/>
      <c r="OH62" s="1576"/>
      <c r="OI62" s="1576"/>
      <c r="OJ62" s="1576"/>
      <c r="OK62" s="1576"/>
      <c r="OL62" s="1576"/>
      <c r="OM62" s="1576"/>
      <c r="ON62" s="1576"/>
      <c r="OO62" s="1576"/>
      <c r="OP62" s="1576"/>
      <c r="OQ62" s="1576"/>
      <c r="OR62" s="1576"/>
      <c r="OS62" s="1576"/>
      <c r="OT62" s="1576"/>
      <c r="OU62" s="1576"/>
      <c r="OV62" s="1576"/>
      <c r="OW62" s="1576"/>
      <c r="OX62" s="1576"/>
      <c r="OY62" s="1576"/>
      <c r="OZ62" s="1576"/>
      <c r="PA62" s="1576"/>
      <c r="PB62" s="1576"/>
      <c r="PC62" s="1576"/>
      <c r="PD62" s="1576"/>
      <c r="PE62" s="1576"/>
      <c r="PF62" s="1576"/>
      <c r="PG62" s="1576"/>
      <c r="PH62" s="1576"/>
      <c r="PI62" s="1576"/>
      <c r="PJ62" s="1576"/>
      <c r="PK62" s="1576"/>
      <c r="PL62" s="1576"/>
      <c r="PM62" s="1576"/>
      <c r="PN62" s="1576"/>
      <c r="PO62" s="1576"/>
      <c r="PP62" s="1576"/>
      <c r="PQ62" s="1576"/>
      <c r="PR62" s="1576"/>
      <c r="PS62" s="1576"/>
      <c r="PT62" s="1576"/>
      <c r="PU62" s="1576"/>
      <c r="PV62" s="1576"/>
      <c r="PW62" s="1576"/>
      <c r="PX62" s="1576"/>
      <c r="PY62" s="1576"/>
      <c r="PZ62" s="1576"/>
      <c r="QA62" s="1576"/>
      <c r="QB62" s="1576"/>
      <c r="QC62" s="1576"/>
      <c r="QD62" s="1576"/>
      <c r="QE62" s="1576"/>
      <c r="QF62" s="1576"/>
      <c r="QG62" s="1576"/>
      <c r="QH62" s="1576"/>
      <c r="QI62" s="1576"/>
      <c r="QJ62" s="1576"/>
      <c r="QK62" s="1576"/>
      <c r="QL62" s="1576"/>
      <c r="QM62" s="1576"/>
      <c r="QN62" s="1576"/>
      <c r="QO62" s="1576"/>
      <c r="QP62" s="1576"/>
      <c r="QQ62" s="1576"/>
      <c r="QR62" s="1576"/>
      <c r="QS62" s="1576"/>
      <c r="QT62" s="1576"/>
      <c r="QU62" s="1576"/>
      <c r="QV62" s="1576"/>
      <c r="QW62" s="1576"/>
      <c r="QX62" s="1576"/>
      <c r="QY62" s="1576"/>
      <c r="QZ62" s="1576"/>
      <c r="RA62" s="1576"/>
      <c r="RB62" s="1576"/>
      <c r="RC62" s="1576"/>
      <c r="RD62" s="1576"/>
      <c r="RE62" s="1576"/>
      <c r="RF62" s="1576"/>
      <c r="RG62" s="1576"/>
      <c r="RH62" s="1576"/>
      <c r="RI62" s="1576"/>
      <c r="RJ62" s="1576"/>
      <c r="RK62" s="1576"/>
      <c r="RL62" s="1576"/>
      <c r="RM62" s="1576"/>
      <c r="RN62" s="1576"/>
      <c r="RO62" s="1576"/>
      <c r="RP62" s="1576"/>
      <c r="RQ62" s="1576"/>
      <c r="RR62" s="1576"/>
      <c r="RS62" s="1576"/>
      <c r="RT62" s="1576"/>
      <c r="RU62" s="1576"/>
      <c r="RV62" s="1576"/>
      <c r="RW62" s="1576"/>
      <c r="RX62" s="1576"/>
      <c r="RY62" s="1576"/>
      <c r="RZ62" s="1576"/>
      <c r="SA62" s="1576"/>
      <c r="SB62" s="1576"/>
      <c r="SC62" s="1576"/>
      <c r="SD62" s="1576"/>
      <c r="SE62" s="1576"/>
      <c r="SF62" s="1576"/>
      <c r="SG62" s="1576"/>
      <c r="SH62" s="1576"/>
      <c r="SI62" s="1576"/>
      <c r="SJ62" s="1576"/>
      <c r="SK62" s="1576"/>
      <c r="SL62" s="1576"/>
      <c r="SM62" s="1576"/>
      <c r="SN62" s="1576"/>
      <c r="SO62" s="1576"/>
      <c r="SP62" s="1576"/>
      <c r="SQ62" s="1576"/>
      <c r="SR62" s="1576"/>
      <c r="SS62" s="1576"/>
      <c r="ST62" s="1576"/>
      <c r="SU62" s="1576"/>
      <c r="SV62" s="1576"/>
      <c r="SW62" s="1576"/>
      <c r="SX62" s="1576"/>
      <c r="SY62" s="1576"/>
      <c r="SZ62" s="1576"/>
      <c r="TA62" s="1576"/>
      <c r="TB62" s="1576"/>
      <c r="TC62" s="1576"/>
      <c r="TD62" s="1576"/>
      <c r="TE62" s="1576"/>
      <c r="TF62" s="1576"/>
      <c r="TG62" s="1576"/>
      <c r="TH62" s="1576"/>
      <c r="TI62" s="1576"/>
      <c r="TJ62" s="1576"/>
      <c r="TK62" s="1576"/>
      <c r="TL62" s="1576"/>
      <c r="TM62" s="1576"/>
      <c r="TN62" s="1576"/>
      <c r="TO62" s="1576"/>
      <c r="TP62" s="1576"/>
      <c r="TQ62" s="1576"/>
      <c r="TR62" s="1576"/>
      <c r="TS62" s="1576"/>
      <c r="TT62" s="1576"/>
      <c r="TU62" s="1576"/>
      <c r="TV62" s="1576"/>
      <c r="TW62" s="1576"/>
      <c r="TX62" s="1576"/>
      <c r="TY62" s="1576"/>
      <c r="TZ62" s="1576"/>
      <c r="UA62" s="1576"/>
      <c r="UB62" s="1576"/>
      <c r="UC62" s="1576"/>
      <c r="UD62" s="1576"/>
      <c r="UE62" s="1576"/>
      <c r="UF62" s="1576"/>
      <c r="UG62" s="1576"/>
      <c r="UH62" s="1576"/>
      <c r="UI62" s="1576"/>
      <c r="UJ62" s="1576"/>
      <c r="UK62" s="1576"/>
      <c r="UL62" s="1576"/>
      <c r="UM62" s="1576"/>
      <c r="UN62" s="1576"/>
      <c r="UO62" s="1576"/>
      <c r="UP62" s="1576"/>
      <c r="UQ62" s="1576"/>
      <c r="UR62" s="1576"/>
      <c r="US62" s="1576"/>
      <c r="UT62" s="1576"/>
      <c r="UU62" s="1576"/>
      <c r="UV62" s="1576"/>
      <c r="UW62" s="1576"/>
      <c r="UX62" s="1576"/>
      <c r="UY62" s="1576"/>
      <c r="UZ62" s="1576"/>
      <c r="VA62" s="1576"/>
      <c r="VB62" s="1576"/>
      <c r="VC62" s="1576"/>
      <c r="VD62" s="1576"/>
      <c r="VE62" s="1576"/>
      <c r="VF62" s="1576"/>
      <c r="VG62" s="1576"/>
      <c r="VH62" s="1576"/>
      <c r="VI62" s="1576"/>
      <c r="VJ62" s="1576"/>
      <c r="VK62" s="1576"/>
    </row>
    <row r="63" spans="1:583" ht="27" x14ac:dyDescent="0.25">
      <c r="B63" s="1610" t="s">
        <v>629</v>
      </c>
      <c r="C63" s="1582" t="s">
        <v>2752</v>
      </c>
      <c r="D63" s="4710" t="s">
        <v>2754</v>
      </c>
      <c r="E63" s="4710">
        <v>0</v>
      </c>
      <c r="F63" s="2057"/>
      <c r="G63" s="2057"/>
      <c r="H63" s="2057"/>
      <c r="I63" s="2059"/>
      <c r="J63" s="2059"/>
      <c r="K63" s="2059"/>
      <c r="L63" s="2059"/>
      <c r="M63" s="2059"/>
      <c r="N63" s="2059"/>
      <c r="O63" s="2059"/>
      <c r="P63" s="2059"/>
      <c r="Q63" s="2059"/>
      <c r="R63" s="2059"/>
      <c r="S63" s="2059"/>
      <c r="T63" s="2059"/>
      <c r="U63" s="2059"/>
      <c r="V63" s="2059"/>
      <c r="W63" s="2059"/>
      <c r="X63" s="2059"/>
      <c r="Y63" s="2059"/>
      <c r="Z63" s="2059"/>
      <c r="AA63" s="2059"/>
      <c r="AB63" s="2059"/>
      <c r="AC63" s="2059"/>
      <c r="AD63" s="2059"/>
      <c r="AE63" s="2059"/>
      <c r="AF63" s="2059"/>
      <c r="AG63" s="2059"/>
      <c r="AH63" s="2059"/>
      <c r="AI63" s="2059"/>
      <c r="AJ63" s="2059"/>
      <c r="AK63" s="2059"/>
      <c r="AL63" s="2059"/>
      <c r="AM63" s="2059"/>
      <c r="AN63" s="2059"/>
      <c r="AO63" s="2059"/>
      <c r="AP63" s="2059"/>
      <c r="AQ63" s="2059"/>
      <c r="AR63" s="2059"/>
      <c r="AS63" s="2059"/>
      <c r="AT63" s="2059"/>
      <c r="AU63" s="2059"/>
      <c r="AV63" s="2059"/>
      <c r="AW63" s="2059"/>
      <c r="AX63" s="2059"/>
      <c r="AY63" s="2059"/>
      <c r="AZ63" s="2059"/>
      <c r="BA63" s="2059"/>
      <c r="BB63" s="2059"/>
      <c r="BC63" s="2059"/>
      <c r="BD63" s="2059"/>
      <c r="BE63" s="2059"/>
      <c r="BF63" s="2059"/>
      <c r="BG63" s="2059"/>
      <c r="BH63" s="2059"/>
      <c r="BI63" s="2059"/>
      <c r="BJ63" s="2059"/>
      <c r="BK63" s="2059"/>
      <c r="BL63" s="2059"/>
      <c r="BM63" s="2059"/>
      <c r="BN63" s="2059"/>
      <c r="BO63" s="2059"/>
      <c r="BP63" s="2059"/>
      <c r="BQ63" s="2059"/>
      <c r="BR63" s="2059"/>
      <c r="BS63" s="2059"/>
      <c r="BT63" s="2059"/>
      <c r="BU63" s="2059"/>
      <c r="BV63" s="2059"/>
      <c r="BW63" s="2059"/>
      <c r="BX63" s="2059"/>
      <c r="BY63" s="2059"/>
      <c r="BZ63" s="2059"/>
      <c r="CA63" s="2059"/>
      <c r="CB63" s="2059"/>
      <c r="CC63" s="2059"/>
      <c r="CD63" s="2059"/>
      <c r="CE63" s="2059"/>
      <c r="CF63" s="2059"/>
      <c r="CG63" s="2059"/>
      <c r="CH63" s="2059"/>
      <c r="CI63" s="2059"/>
      <c r="CJ63" s="2059"/>
      <c r="CK63" s="2059"/>
      <c r="CL63" s="2059"/>
      <c r="CM63" s="2059"/>
      <c r="CN63" s="2059"/>
      <c r="CO63" s="2059"/>
      <c r="CP63" s="1576"/>
      <c r="CQ63" s="1576"/>
      <c r="CR63" s="1576"/>
      <c r="CS63" s="1576"/>
      <c r="CT63" s="1576"/>
      <c r="CU63" s="1576"/>
      <c r="CV63" s="1576"/>
      <c r="CW63" s="1576"/>
      <c r="CX63" s="1576"/>
      <c r="CY63" s="1576"/>
      <c r="CZ63" s="1576"/>
      <c r="DA63" s="1576"/>
      <c r="DB63" s="1576"/>
      <c r="DC63" s="1576"/>
      <c r="DD63" s="1576"/>
      <c r="DE63" s="1576"/>
      <c r="DF63" s="1576"/>
      <c r="DG63" s="1576"/>
      <c r="DH63" s="1576"/>
      <c r="DI63" s="1576"/>
      <c r="DJ63" s="1576"/>
      <c r="DK63" s="1576"/>
      <c r="DL63" s="1576"/>
      <c r="DM63" s="1576"/>
      <c r="DN63" s="1576"/>
      <c r="DO63" s="1576"/>
      <c r="DP63" s="1576"/>
      <c r="DQ63" s="1576"/>
      <c r="DR63" s="1576"/>
      <c r="DS63" s="1576"/>
      <c r="DT63" s="1576"/>
      <c r="DU63" s="1576"/>
      <c r="DV63" s="1576"/>
      <c r="DW63" s="1576"/>
      <c r="DX63" s="1576"/>
      <c r="DY63" s="1576"/>
      <c r="DZ63" s="1576"/>
      <c r="EA63" s="1576"/>
      <c r="EB63" s="1576"/>
      <c r="EC63" s="1576"/>
      <c r="ED63" s="1576"/>
      <c r="EE63" s="1576"/>
      <c r="EF63" s="1576"/>
      <c r="EG63" s="1576"/>
      <c r="EH63" s="1576"/>
      <c r="EI63" s="1576"/>
      <c r="EJ63" s="1576"/>
      <c r="EK63" s="1576"/>
      <c r="EL63" s="1576"/>
      <c r="EM63" s="1576"/>
      <c r="EN63" s="1576"/>
      <c r="EO63" s="1576"/>
      <c r="EP63" s="1576"/>
      <c r="EQ63" s="1576"/>
      <c r="ER63" s="1576"/>
      <c r="ES63" s="1576"/>
      <c r="ET63" s="1576"/>
      <c r="EU63" s="1576"/>
      <c r="EV63" s="1576"/>
      <c r="EW63" s="1576"/>
      <c r="EX63" s="1576"/>
      <c r="EY63" s="1576"/>
      <c r="EZ63" s="1576"/>
      <c r="FA63" s="1576"/>
      <c r="FB63" s="1576"/>
      <c r="FC63" s="1576"/>
      <c r="FD63" s="1576"/>
      <c r="FE63" s="1576"/>
      <c r="FF63" s="1576"/>
      <c r="FG63" s="1576"/>
      <c r="FH63" s="1576"/>
      <c r="FI63" s="1576"/>
      <c r="FJ63" s="1576"/>
      <c r="FK63" s="1576"/>
      <c r="FL63" s="1576"/>
      <c r="FM63" s="1576"/>
      <c r="FN63" s="1576"/>
      <c r="FO63" s="1576"/>
      <c r="FP63" s="1576"/>
      <c r="FQ63" s="1576"/>
      <c r="FR63" s="1576"/>
      <c r="FS63" s="1576"/>
      <c r="FT63" s="1576"/>
      <c r="FU63" s="1576"/>
      <c r="FV63" s="1576"/>
      <c r="FW63" s="1576"/>
      <c r="FX63" s="1576"/>
      <c r="FY63" s="1576"/>
      <c r="FZ63" s="1576"/>
      <c r="GA63" s="1576"/>
      <c r="GB63" s="1576"/>
      <c r="GC63" s="1576"/>
      <c r="GD63" s="1576"/>
      <c r="GE63" s="1576"/>
      <c r="GF63" s="1576"/>
      <c r="GG63" s="1576"/>
      <c r="GH63" s="1576"/>
      <c r="GI63" s="1576"/>
      <c r="GJ63" s="1576"/>
      <c r="GK63" s="1576"/>
      <c r="GL63" s="1576"/>
      <c r="GM63" s="1576"/>
      <c r="GN63" s="1576"/>
      <c r="GO63" s="1576"/>
      <c r="GP63" s="1576"/>
      <c r="GQ63" s="1576"/>
      <c r="GR63" s="1576"/>
      <c r="GS63" s="1576"/>
      <c r="GT63" s="1576"/>
      <c r="GU63" s="1576"/>
      <c r="GV63" s="1576"/>
      <c r="GW63" s="1576"/>
      <c r="GX63" s="1576"/>
      <c r="GY63" s="1576"/>
      <c r="GZ63" s="1576"/>
      <c r="HA63" s="1576"/>
      <c r="HB63" s="1576"/>
      <c r="HC63" s="1576"/>
      <c r="HD63" s="1576"/>
      <c r="HE63" s="1576"/>
      <c r="HF63" s="1576"/>
      <c r="HG63" s="1576"/>
      <c r="HH63" s="1576"/>
      <c r="HI63" s="1576"/>
      <c r="HJ63" s="1576"/>
      <c r="HK63" s="1576"/>
      <c r="HL63" s="1576"/>
      <c r="HM63" s="1576"/>
      <c r="HN63" s="1576"/>
      <c r="HO63" s="1576"/>
      <c r="HP63" s="1576"/>
      <c r="HQ63" s="1576"/>
      <c r="HR63" s="1576"/>
      <c r="HS63" s="1576"/>
      <c r="HT63" s="1576"/>
      <c r="HU63" s="1576"/>
      <c r="HV63" s="1576"/>
      <c r="HW63" s="1576"/>
      <c r="HX63" s="1576"/>
      <c r="HY63" s="1576"/>
      <c r="HZ63" s="1576"/>
      <c r="IA63" s="1576"/>
      <c r="IB63" s="1576"/>
      <c r="IC63" s="1576"/>
      <c r="ID63" s="1576"/>
      <c r="IE63" s="1576"/>
      <c r="IF63" s="1576"/>
      <c r="IG63" s="1576"/>
      <c r="IH63" s="1576"/>
      <c r="II63" s="1576"/>
      <c r="IJ63" s="1576"/>
      <c r="IK63" s="1576"/>
      <c r="IL63" s="1576"/>
      <c r="IM63" s="1576"/>
      <c r="IN63" s="1576"/>
      <c r="IO63" s="1576"/>
      <c r="IP63" s="1576"/>
      <c r="IQ63" s="1576"/>
      <c r="IR63" s="1576"/>
      <c r="IS63" s="1576"/>
      <c r="IT63" s="1576"/>
      <c r="IU63" s="1576"/>
      <c r="IV63" s="1576"/>
      <c r="IW63" s="1576"/>
      <c r="IX63" s="1576"/>
      <c r="IY63" s="1576"/>
      <c r="IZ63" s="1576"/>
      <c r="JA63" s="2054"/>
      <c r="JB63" s="2054"/>
      <c r="JC63" s="2054"/>
      <c r="JD63" s="2054"/>
      <c r="JE63" s="2054"/>
      <c r="JF63" s="2054"/>
      <c r="JG63" s="2054"/>
      <c r="JH63" s="2054"/>
      <c r="JI63" s="2054"/>
      <c r="JJ63" s="2054"/>
      <c r="JK63" s="2054"/>
      <c r="JL63" s="2054"/>
      <c r="JM63" s="2054"/>
      <c r="JN63" s="2054"/>
      <c r="JO63" s="2054"/>
      <c r="JP63" s="2054"/>
      <c r="JQ63" s="2054"/>
      <c r="JR63" s="1576"/>
      <c r="JS63" s="1576"/>
      <c r="JT63" s="1576"/>
      <c r="JU63" s="1576"/>
      <c r="JV63" s="1576"/>
      <c r="JW63" s="1576"/>
      <c r="JX63" s="1576"/>
      <c r="JY63" s="1576"/>
      <c r="JZ63" s="1576"/>
      <c r="KA63" s="1576"/>
      <c r="KB63" s="1576"/>
      <c r="KC63" s="1576"/>
      <c r="KD63" s="1576"/>
      <c r="KE63" s="1576"/>
      <c r="KF63" s="1576"/>
      <c r="KG63" s="1576"/>
      <c r="KH63" s="1576"/>
      <c r="KI63" s="1576"/>
      <c r="KJ63" s="1576"/>
      <c r="KK63" s="1576"/>
      <c r="KL63" s="1576"/>
      <c r="KM63" s="1576"/>
      <c r="KN63" s="1576"/>
      <c r="KO63" s="1576"/>
      <c r="KP63" s="1576"/>
      <c r="KQ63" s="1576"/>
      <c r="KR63" s="1576"/>
      <c r="KS63" s="1576"/>
      <c r="KT63" s="1576"/>
      <c r="KU63" s="1576"/>
      <c r="KV63" s="1576"/>
      <c r="KW63" s="1576"/>
      <c r="KX63" s="1576"/>
      <c r="KY63" s="1576"/>
      <c r="KZ63" s="1576"/>
      <c r="LA63" s="1576"/>
      <c r="LB63" s="1576"/>
      <c r="LC63" s="1576"/>
      <c r="LD63" s="1576"/>
      <c r="LE63" s="1576"/>
      <c r="LF63" s="1576"/>
      <c r="LG63" s="1576"/>
      <c r="LH63" s="1576"/>
      <c r="LI63" s="1576"/>
      <c r="LJ63" s="1576"/>
      <c r="LK63" s="1576"/>
      <c r="LL63" s="1576"/>
      <c r="LM63" s="1576"/>
      <c r="LN63" s="1576"/>
      <c r="LO63" s="1576"/>
      <c r="LP63" s="1576"/>
      <c r="LQ63" s="1576"/>
      <c r="LR63" s="1576"/>
      <c r="LS63" s="1576"/>
      <c r="LT63" s="1576"/>
      <c r="LU63" s="1576"/>
      <c r="LV63" s="1576"/>
      <c r="LW63" s="1576"/>
      <c r="LX63" s="1576"/>
      <c r="LY63" s="1576"/>
      <c r="LZ63" s="1576"/>
      <c r="MA63" s="1576"/>
      <c r="MB63" s="1576"/>
      <c r="MC63" s="1576"/>
      <c r="MD63" s="1576"/>
      <c r="ME63" s="1576"/>
      <c r="MF63" s="1576"/>
      <c r="MG63" s="1576"/>
      <c r="MH63" s="1576"/>
      <c r="MI63" s="1576"/>
      <c r="MJ63" s="1576"/>
      <c r="MK63" s="1576"/>
      <c r="ML63" s="1576"/>
      <c r="MM63" s="1576"/>
      <c r="MN63" s="1576"/>
      <c r="MO63" s="1576"/>
      <c r="MP63" s="1576"/>
      <c r="MQ63" s="1576"/>
      <c r="MR63" s="1576"/>
      <c r="MS63" s="1576"/>
      <c r="MT63" s="1576"/>
      <c r="MU63" s="1576"/>
      <c r="MV63" s="1576"/>
      <c r="MW63" s="1576"/>
      <c r="MX63" s="1576"/>
      <c r="MY63" s="1576"/>
      <c r="MZ63" s="1576"/>
      <c r="NA63" s="1576"/>
      <c r="NB63" s="1576"/>
      <c r="NC63" s="1576"/>
      <c r="ND63" s="1576"/>
      <c r="NE63" s="1576"/>
      <c r="NF63" s="1576"/>
      <c r="NG63" s="1576"/>
      <c r="NH63" s="1576"/>
      <c r="NI63" s="1576"/>
      <c r="NJ63" s="1576"/>
      <c r="NK63" s="1576"/>
      <c r="NL63" s="1576"/>
      <c r="NM63" s="1576"/>
      <c r="NN63" s="1576"/>
      <c r="NO63" s="1576"/>
      <c r="NP63" s="1576"/>
      <c r="NQ63" s="1576"/>
      <c r="NR63" s="1576"/>
      <c r="NS63" s="1576"/>
      <c r="NT63" s="1576"/>
      <c r="NU63" s="1576"/>
      <c r="NV63" s="1576"/>
      <c r="NW63" s="1576"/>
      <c r="NX63" s="1576"/>
      <c r="NY63" s="1576"/>
      <c r="NZ63" s="1576"/>
      <c r="OA63" s="1576"/>
      <c r="OB63" s="1576"/>
      <c r="OC63" s="1576"/>
      <c r="OD63" s="1576"/>
      <c r="OE63" s="1576"/>
      <c r="OF63" s="1576"/>
      <c r="OG63" s="1576"/>
      <c r="OH63" s="1576"/>
      <c r="OI63" s="1576"/>
      <c r="OJ63" s="1576"/>
      <c r="OK63" s="1576"/>
      <c r="OL63" s="1576"/>
      <c r="OM63" s="1576"/>
      <c r="ON63" s="1576"/>
      <c r="OO63" s="1576"/>
      <c r="OP63" s="1576"/>
      <c r="OQ63" s="1576"/>
      <c r="OR63" s="1576"/>
      <c r="OS63" s="1576"/>
      <c r="OT63" s="1576"/>
      <c r="OU63" s="1576"/>
      <c r="OV63" s="1576"/>
      <c r="OW63" s="1576"/>
      <c r="OX63" s="1576"/>
      <c r="OY63" s="1576"/>
      <c r="OZ63" s="1576"/>
      <c r="PA63" s="1576"/>
      <c r="PB63" s="1576"/>
      <c r="PC63" s="1576"/>
      <c r="PD63" s="1576"/>
      <c r="PE63" s="1576"/>
      <c r="PF63" s="1576"/>
      <c r="PG63" s="1576"/>
      <c r="PH63" s="1576"/>
      <c r="PI63" s="1576"/>
      <c r="PJ63" s="1576"/>
      <c r="PK63" s="1576"/>
      <c r="PL63" s="1576"/>
      <c r="PM63" s="1576"/>
      <c r="PN63" s="1576"/>
      <c r="PO63" s="1576"/>
      <c r="PP63" s="1576"/>
      <c r="PQ63" s="1576"/>
      <c r="PR63" s="1576"/>
      <c r="PS63" s="1576"/>
      <c r="PT63" s="1576"/>
      <c r="PU63" s="1576"/>
      <c r="PV63" s="1576"/>
      <c r="PW63" s="1576"/>
      <c r="PX63" s="1576"/>
      <c r="PY63" s="1576"/>
      <c r="PZ63" s="1576"/>
      <c r="QA63" s="1576"/>
      <c r="QB63" s="1576"/>
      <c r="QC63" s="1576"/>
      <c r="QD63" s="1576"/>
      <c r="QE63" s="1576"/>
      <c r="QF63" s="1576"/>
      <c r="QG63" s="1576"/>
      <c r="QH63" s="1576"/>
      <c r="QI63" s="1576"/>
      <c r="QJ63" s="1576"/>
      <c r="QK63" s="1576"/>
      <c r="QL63" s="1576"/>
      <c r="QM63" s="1576"/>
      <c r="QN63" s="1576"/>
      <c r="QO63" s="1576"/>
      <c r="QP63" s="1576"/>
      <c r="QQ63" s="1576"/>
      <c r="QR63" s="1576"/>
      <c r="QS63" s="1576"/>
      <c r="QT63" s="1576"/>
      <c r="QU63" s="1576"/>
      <c r="QV63" s="1576"/>
      <c r="QW63" s="1576"/>
      <c r="QX63" s="1576"/>
      <c r="QY63" s="1576"/>
      <c r="QZ63" s="1576"/>
      <c r="RA63" s="1576"/>
      <c r="RB63" s="1576"/>
      <c r="RC63" s="1576"/>
      <c r="RD63" s="1576"/>
      <c r="RE63" s="1576"/>
      <c r="RF63" s="1576"/>
      <c r="RG63" s="1576"/>
      <c r="RH63" s="1576"/>
      <c r="RI63" s="1576"/>
      <c r="RJ63" s="1576"/>
      <c r="RK63" s="1576"/>
      <c r="RL63" s="1576"/>
      <c r="RM63" s="1576"/>
      <c r="RN63" s="1576"/>
      <c r="RO63" s="1576"/>
      <c r="RP63" s="1576"/>
      <c r="RQ63" s="1576"/>
      <c r="RR63" s="1576"/>
      <c r="RS63" s="1576"/>
      <c r="RT63" s="1576"/>
      <c r="RU63" s="1576"/>
      <c r="RV63" s="1576"/>
      <c r="RW63" s="1576"/>
      <c r="RX63" s="1576"/>
      <c r="RY63" s="1576"/>
      <c r="RZ63" s="1576"/>
      <c r="SA63" s="1576"/>
      <c r="SB63" s="1576"/>
      <c r="SC63" s="1576"/>
      <c r="SD63" s="1576"/>
      <c r="SE63" s="1576"/>
      <c r="SF63" s="1576"/>
      <c r="SG63" s="1576"/>
      <c r="SH63" s="1576"/>
      <c r="SI63" s="1576"/>
      <c r="SJ63" s="1576"/>
      <c r="SK63" s="1576"/>
      <c r="SL63" s="1576"/>
      <c r="SM63" s="1576"/>
      <c r="SN63" s="1576"/>
      <c r="SO63" s="1576"/>
      <c r="SP63" s="1576"/>
      <c r="SQ63" s="1576"/>
      <c r="SR63" s="1576"/>
      <c r="SS63" s="1576"/>
      <c r="ST63" s="1576"/>
      <c r="SU63" s="1576"/>
      <c r="SV63" s="1576"/>
      <c r="SW63" s="1576"/>
      <c r="SX63" s="1576"/>
      <c r="SY63" s="1576"/>
      <c r="SZ63" s="1576"/>
      <c r="TA63" s="1576"/>
      <c r="TB63" s="1576"/>
      <c r="TC63" s="1576"/>
      <c r="TD63" s="1576"/>
      <c r="TE63" s="1576"/>
      <c r="TF63" s="1576"/>
      <c r="TG63" s="1576"/>
      <c r="TH63" s="1576"/>
      <c r="TI63" s="1576"/>
      <c r="TJ63" s="1576"/>
      <c r="TK63" s="1576"/>
      <c r="TL63" s="1576"/>
      <c r="TM63" s="1576"/>
      <c r="TN63" s="1576"/>
      <c r="TO63" s="1576"/>
      <c r="TP63" s="1576"/>
      <c r="TQ63" s="1576"/>
      <c r="TR63" s="1576"/>
      <c r="TS63" s="1576"/>
      <c r="TT63" s="1576"/>
      <c r="TU63" s="1576"/>
      <c r="TV63" s="1576"/>
      <c r="TW63" s="1576"/>
      <c r="TX63" s="1576"/>
      <c r="TY63" s="1576"/>
      <c r="TZ63" s="1576"/>
      <c r="UA63" s="1576"/>
      <c r="UB63" s="1576"/>
      <c r="UC63" s="1576"/>
      <c r="UD63" s="1576"/>
      <c r="UE63" s="1576"/>
      <c r="UF63" s="1576"/>
      <c r="UG63" s="1576"/>
      <c r="UH63" s="1576"/>
      <c r="UI63" s="1576"/>
      <c r="UJ63" s="1576"/>
      <c r="UK63" s="1576"/>
      <c r="UL63" s="1576"/>
      <c r="UM63" s="1576"/>
      <c r="UN63" s="1576"/>
      <c r="UO63" s="1576"/>
      <c r="UP63" s="1576"/>
      <c r="UQ63" s="1576"/>
      <c r="UR63" s="1576"/>
      <c r="US63" s="1576"/>
      <c r="UT63" s="1576"/>
      <c r="UU63" s="1576"/>
      <c r="UV63" s="1576"/>
      <c r="UW63" s="1576"/>
      <c r="UX63" s="1576"/>
      <c r="UY63" s="1576"/>
      <c r="UZ63" s="1576"/>
      <c r="VA63" s="1576"/>
      <c r="VB63" s="1576"/>
      <c r="VC63" s="1576"/>
      <c r="VD63" s="1576"/>
      <c r="VE63" s="1576"/>
      <c r="VF63" s="1576"/>
      <c r="VG63" s="1576"/>
      <c r="VH63" s="1576"/>
      <c r="VI63" s="1576"/>
      <c r="VJ63" s="1576"/>
      <c r="VK63" s="1576"/>
    </row>
    <row r="64" spans="1:583" ht="27" x14ac:dyDescent="0.25">
      <c r="B64" s="1610" t="s">
        <v>629</v>
      </c>
      <c r="C64" s="1582" t="s">
        <v>2755</v>
      </c>
      <c r="D64" s="4710" t="s">
        <v>2756</v>
      </c>
      <c r="E64" s="4710">
        <v>0</v>
      </c>
      <c r="F64" s="2057"/>
      <c r="G64" s="2057"/>
      <c r="H64" s="2057"/>
      <c r="I64" s="2059"/>
      <c r="J64" s="2059"/>
      <c r="K64" s="2059"/>
      <c r="L64" s="2059"/>
      <c r="M64" s="2059"/>
      <c r="N64" s="2059"/>
      <c r="O64" s="2059"/>
      <c r="P64" s="2059"/>
      <c r="Q64" s="2059"/>
      <c r="R64" s="2059"/>
      <c r="S64" s="2059"/>
      <c r="T64" s="2059"/>
      <c r="U64" s="2059"/>
      <c r="V64" s="2059"/>
      <c r="W64" s="2059"/>
      <c r="X64" s="2059"/>
      <c r="Y64" s="2059"/>
      <c r="Z64" s="2059"/>
      <c r="AA64" s="2059"/>
      <c r="AB64" s="2059"/>
      <c r="AC64" s="2059"/>
      <c r="AD64" s="2059"/>
      <c r="AE64" s="2059"/>
      <c r="AF64" s="2059"/>
      <c r="AG64" s="2059"/>
      <c r="AH64" s="2059"/>
      <c r="AI64" s="2059"/>
      <c r="AJ64" s="2059"/>
      <c r="AK64" s="2059"/>
      <c r="AL64" s="2059"/>
      <c r="AM64" s="2059"/>
      <c r="AN64" s="2059"/>
      <c r="AO64" s="2059"/>
      <c r="AP64" s="2059"/>
      <c r="AQ64" s="2059"/>
      <c r="AR64" s="2059"/>
      <c r="AS64" s="2059"/>
      <c r="AT64" s="2059"/>
      <c r="AU64" s="2059"/>
      <c r="AV64" s="2059"/>
      <c r="AW64" s="2059"/>
      <c r="AX64" s="2059"/>
      <c r="AY64" s="2059"/>
      <c r="AZ64" s="2059"/>
      <c r="BA64" s="2059"/>
      <c r="BB64" s="2059"/>
      <c r="BC64" s="2059"/>
      <c r="BD64" s="2059"/>
      <c r="BE64" s="2059"/>
      <c r="BF64" s="2059"/>
      <c r="BG64" s="2059"/>
      <c r="BH64" s="2059"/>
      <c r="BI64" s="2059"/>
      <c r="BJ64" s="2059"/>
      <c r="BK64" s="2059"/>
      <c r="BL64" s="2059"/>
      <c r="BM64" s="2059"/>
      <c r="BN64" s="2059"/>
      <c r="BO64" s="2059"/>
      <c r="BP64" s="2059"/>
      <c r="BQ64" s="2059"/>
      <c r="BR64" s="2059"/>
      <c r="BS64" s="2059"/>
      <c r="BT64" s="2059"/>
      <c r="BU64" s="2059"/>
      <c r="BV64" s="2059"/>
      <c r="BW64" s="2059"/>
      <c r="BX64" s="2059"/>
      <c r="BY64" s="2059"/>
      <c r="BZ64" s="2059"/>
      <c r="CA64" s="2059"/>
      <c r="CB64" s="2059"/>
      <c r="CC64" s="2059"/>
      <c r="CD64" s="2059"/>
      <c r="CE64" s="2059"/>
      <c r="CF64" s="2059"/>
      <c r="CG64" s="2059"/>
      <c r="CH64" s="2059"/>
      <c r="CI64" s="2059"/>
      <c r="CJ64" s="2059"/>
      <c r="CK64" s="2059"/>
      <c r="CL64" s="2059"/>
      <c r="CM64" s="2059"/>
      <c r="CN64" s="2059"/>
      <c r="CO64" s="2059"/>
      <c r="CP64" s="1576"/>
      <c r="CQ64" s="1576"/>
      <c r="CR64" s="1576"/>
      <c r="CS64" s="1576"/>
      <c r="CT64" s="1576"/>
      <c r="CU64" s="1576"/>
      <c r="CV64" s="1576"/>
      <c r="CW64" s="1576"/>
      <c r="CX64" s="1576"/>
      <c r="CY64" s="1576"/>
      <c r="CZ64" s="1576"/>
      <c r="DA64" s="1576"/>
      <c r="DB64" s="1576"/>
      <c r="DC64" s="1576"/>
      <c r="DD64" s="1576"/>
      <c r="DE64" s="1576"/>
      <c r="DF64" s="1576"/>
      <c r="DG64" s="1576"/>
      <c r="DH64" s="1576"/>
      <c r="DI64" s="1576"/>
      <c r="DJ64" s="1576"/>
      <c r="DK64" s="1576"/>
      <c r="DL64" s="1576"/>
      <c r="DM64" s="1576"/>
      <c r="DN64" s="1576"/>
      <c r="DO64" s="1576"/>
      <c r="DP64" s="1576"/>
      <c r="DQ64" s="1576"/>
      <c r="DR64" s="1576"/>
      <c r="DS64" s="1576"/>
      <c r="DT64" s="1576"/>
      <c r="DU64" s="1576"/>
      <c r="DV64" s="1576"/>
      <c r="DW64" s="1576"/>
      <c r="DX64" s="1576"/>
      <c r="DY64" s="1576"/>
      <c r="DZ64" s="1576"/>
      <c r="EA64" s="1576"/>
      <c r="EB64" s="1576"/>
      <c r="EC64" s="1576"/>
      <c r="ED64" s="1576"/>
      <c r="EE64" s="1576"/>
      <c r="EF64" s="1576"/>
      <c r="EG64" s="1576"/>
      <c r="EH64" s="1576"/>
      <c r="EI64" s="1576"/>
      <c r="EJ64" s="1576"/>
      <c r="EK64" s="1576"/>
      <c r="EL64" s="1576"/>
      <c r="EM64" s="1576"/>
      <c r="EN64" s="1576"/>
      <c r="EO64" s="1576"/>
      <c r="EP64" s="1576"/>
      <c r="EQ64" s="1576"/>
      <c r="ER64" s="1576"/>
      <c r="ES64" s="1576"/>
      <c r="ET64" s="1576"/>
      <c r="EU64" s="1576"/>
      <c r="EV64" s="1576"/>
      <c r="EW64" s="1576"/>
      <c r="EX64" s="1576"/>
      <c r="EY64" s="1576"/>
      <c r="EZ64" s="1576"/>
      <c r="FA64" s="1576"/>
      <c r="FB64" s="1576"/>
      <c r="FC64" s="1576"/>
      <c r="FD64" s="1576"/>
      <c r="FE64" s="1576"/>
      <c r="FF64" s="1576"/>
      <c r="FG64" s="1576"/>
      <c r="FH64" s="1576"/>
      <c r="FI64" s="1576"/>
      <c r="FJ64" s="1576"/>
      <c r="FK64" s="1576"/>
      <c r="FL64" s="1576"/>
      <c r="FM64" s="1576"/>
      <c r="FN64" s="1576"/>
      <c r="FO64" s="1576"/>
      <c r="FP64" s="1576"/>
      <c r="FQ64" s="1576"/>
      <c r="FR64" s="1576"/>
      <c r="FS64" s="1576"/>
      <c r="FT64" s="1576"/>
      <c r="FU64" s="1576"/>
      <c r="FV64" s="1576"/>
      <c r="FW64" s="1576"/>
      <c r="FX64" s="1576"/>
      <c r="FY64" s="1576"/>
      <c r="FZ64" s="1576"/>
      <c r="GA64" s="1576"/>
      <c r="GB64" s="1576"/>
      <c r="GC64" s="1576"/>
      <c r="GD64" s="1576"/>
      <c r="GE64" s="1576"/>
      <c r="GF64" s="1576"/>
      <c r="GG64" s="1576"/>
      <c r="GH64" s="1576"/>
      <c r="GI64" s="1576"/>
      <c r="GJ64" s="1576"/>
      <c r="GK64" s="1576"/>
      <c r="GL64" s="1576"/>
      <c r="GM64" s="1576"/>
      <c r="GN64" s="1576"/>
      <c r="GO64" s="1576"/>
      <c r="GP64" s="1576"/>
      <c r="GQ64" s="1576"/>
      <c r="GR64" s="1576"/>
      <c r="GS64" s="1576"/>
      <c r="GT64" s="1576"/>
      <c r="GU64" s="1576"/>
      <c r="GV64" s="1576"/>
      <c r="GW64" s="1576"/>
      <c r="GX64" s="1576"/>
      <c r="GY64" s="1576"/>
      <c r="GZ64" s="1576"/>
      <c r="HA64" s="1576"/>
      <c r="HB64" s="1576"/>
      <c r="HC64" s="1576"/>
      <c r="HD64" s="1576"/>
      <c r="HE64" s="1576"/>
      <c r="HF64" s="1576"/>
      <c r="HG64" s="1576"/>
      <c r="HH64" s="1576"/>
      <c r="HI64" s="1576"/>
      <c r="HJ64" s="1576"/>
      <c r="HK64" s="1576"/>
      <c r="HL64" s="1576"/>
      <c r="HM64" s="1576"/>
      <c r="HN64" s="1576"/>
      <c r="HO64" s="1576"/>
      <c r="HP64" s="1576"/>
      <c r="HQ64" s="1576"/>
      <c r="HR64" s="1576"/>
      <c r="HS64" s="1576"/>
      <c r="HT64" s="1576"/>
      <c r="HU64" s="1576"/>
      <c r="HV64" s="1576"/>
      <c r="HW64" s="1576"/>
      <c r="HX64" s="1576"/>
      <c r="HY64" s="1576"/>
      <c r="HZ64" s="1576"/>
      <c r="IA64" s="1576"/>
      <c r="IB64" s="1576"/>
      <c r="IC64" s="1576"/>
      <c r="ID64" s="1576"/>
      <c r="IE64" s="1576"/>
      <c r="IF64" s="1576"/>
      <c r="IG64" s="1576"/>
      <c r="IH64" s="1576"/>
      <c r="II64" s="1576"/>
      <c r="IJ64" s="1576"/>
      <c r="IK64" s="1576"/>
      <c r="IL64" s="1576"/>
      <c r="IM64" s="1576"/>
      <c r="IN64" s="1576"/>
      <c r="IO64" s="1576"/>
      <c r="IP64" s="1576"/>
      <c r="IQ64" s="1576"/>
      <c r="IR64" s="1576"/>
      <c r="IS64" s="1576"/>
      <c r="IT64" s="1576"/>
      <c r="IU64" s="1576"/>
      <c r="IV64" s="1576"/>
      <c r="IW64" s="1576"/>
      <c r="IX64" s="1576"/>
      <c r="IY64" s="1576"/>
      <c r="IZ64" s="1576"/>
      <c r="JA64" s="2054"/>
      <c r="JB64" s="2054"/>
      <c r="JC64" s="2054"/>
      <c r="JD64" s="2054"/>
      <c r="JE64" s="2054"/>
      <c r="JF64" s="2054"/>
      <c r="JG64" s="2054"/>
      <c r="JH64" s="2054"/>
      <c r="JI64" s="2054"/>
      <c r="JJ64" s="2054"/>
      <c r="JK64" s="2054"/>
      <c r="JL64" s="2054"/>
      <c r="JM64" s="2054"/>
      <c r="JN64" s="2054"/>
      <c r="JO64" s="2054"/>
      <c r="JP64" s="2054"/>
      <c r="JQ64" s="2054"/>
      <c r="JR64" s="1576"/>
      <c r="JS64" s="1576"/>
      <c r="JT64" s="1576"/>
      <c r="JU64" s="1576"/>
      <c r="JV64" s="1576"/>
      <c r="JW64" s="1576"/>
      <c r="JX64" s="1576"/>
      <c r="JY64" s="1576"/>
      <c r="JZ64" s="1576"/>
      <c r="KA64" s="1576"/>
      <c r="KB64" s="1576"/>
      <c r="KC64" s="1576"/>
      <c r="KD64" s="1576"/>
      <c r="KE64" s="1576"/>
      <c r="KF64" s="1576"/>
      <c r="KG64" s="1576"/>
      <c r="KH64" s="1576"/>
      <c r="KI64" s="1576"/>
      <c r="KJ64" s="1576"/>
      <c r="KK64" s="1576"/>
      <c r="KL64" s="1576"/>
      <c r="KM64" s="1576"/>
      <c r="KN64" s="1576"/>
      <c r="KO64" s="1576"/>
      <c r="KP64" s="1576"/>
      <c r="KQ64" s="1576"/>
      <c r="KR64" s="1576"/>
      <c r="KS64" s="1576"/>
      <c r="KT64" s="1576"/>
      <c r="KU64" s="1576"/>
      <c r="KV64" s="1576"/>
      <c r="KW64" s="1576"/>
      <c r="KX64" s="1576"/>
      <c r="KY64" s="1576"/>
      <c r="KZ64" s="1576"/>
      <c r="LA64" s="1576"/>
      <c r="LB64" s="1576"/>
      <c r="LC64" s="1576"/>
      <c r="LD64" s="1576"/>
      <c r="LE64" s="1576"/>
      <c r="LF64" s="1576"/>
      <c r="LG64" s="1576"/>
      <c r="LH64" s="1576"/>
      <c r="LI64" s="1576"/>
      <c r="LJ64" s="1576"/>
      <c r="LK64" s="1576"/>
      <c r="LL64" s="1576"/>
      <c r="LM64" s="1576"/>
      <c r="LN64" s="1576"/>
      <c r="LO64" s="1576"/>
      <c r="LP64" s="1576"/>
      <c r="LQ64" s="1576"/>
      <c r="LR64" s="1576"/>
      <c r="LS64" s="1576"/>
      <c r="LT64" s="1576"/>
      <c r="LU64" s="1576"/>
      <c r="LV64" s="1576"/>
      <c r="LW64" s="1576"/>
      <c r="LX64" s="1576"/>
      <c r="LY64" s="1576"/>
      <c r="LZ64" s="1576"/>
      <c r="MA64" s="1576"/>
      <c r="MB64" s="1576"/>
      <c r="MC64" s="1576"/>
      <c r="MD64" s="1576"/>
      <c r="ME64" s="1576"/>
      <c r="MF64" s="1576"/>
      <c r="MG64" s="1576"/>
      <c r="MH64" s="1576"/>
      <c r="MI64" s="1576"/>
      <c r="MJ64" s="1576"/>
      <c r="MK64" s="1576"/>
      <c r="ML64" s="1576"/>
      <c r="MM64" s="1576"/>
      <c r="MN64" s="1576"/>
      <c r="MO64" s="1576"/>
      <c r="MP64" s="1576"/>
      <c r="MQ64" s="1576"/>
      <c r="MR64" s="1576"/>
      <c r="MS64" s="1576"/>
      <c r="MT64" s="1576"/>
      <c r="MU64" s="1576"/>
      <c r="MV64" s="1576"/>
      <c r="MW64" s="1576"/>
      <c r="MX64" s="1576"/>
      <c r="MY64" s="1576"/>
      <c r="MZ64" s="1576"/>
      <c r="NA64" s="1576"/>
      <c r="NB64" s="1576"/>
      <c r="NC64" s="1576"/>
      <c r="ND64" s="1576"/>
      <c r="NE64" s="1576"/>
      <c r="NF64" s="1576"/>
      <c r="NG64" s="1576"/>
      <c r="NH64" s="1576"/>
      <c r="NI64" s="1576"/>
      <c r="NJ64" s="1576"/>
      <c r="NK64" s="1576"/>
      <c r="NL64" s="1576"/>
      <c r="NM64" s="1576"/>
      <c r="NN64" s="1576"/>
      <c r="NO64" s="1576"/>
      <c r="NP64" s="1576"/>
      <c r="NQ64" s="1576"/>
      <c r="NR64" s="1576"/>
      <c r="NS64" s="1576"/>
      <c r="NT64" s="1576"/>
      <c r="NU64" s="1576"/>
      <c r="NV64" s="1576"/>
      <c r="NW64" s="1576"/>
      <c r="NX64" s="1576"/>
      <c r="NY64" s="1576"/>
      <c r="NZ64" s="1576"/>
      <c r="OA64" s="1576"/>
      <c r="OB64" s="1576"/>
      <c r="OC64" s="1576"/>
      <c r="OD64" s="1576"/>
      <c r="OE64" s="1576"/>
      <c r="OF64" s="1576"/>
      <c r="OG64" s="1576"/>
      <c r="OH64" s="1576"/>
      <c r="OI64" s="1576"/>
      <c r="OJ64" s="1576"/>
      <c r="OK64" s="1576"/>
      <c r="OL64" s="1576"/>
      <c r="OM64" s="1576"/>
      <c r="ON64" s="1576"/>
      <c r="OO64" s="1576"/>
      <c r="OP64" s="1576"/>
      <c r="OQ64" s="1576"/>
      <c r="OR64" s="1576"/>
      <c r="OS64" s="1576"/>
      <c r="OT64" s="1576"/>
      <c r="OU64" s="1576"/>
      <c r="OV64" s="1576"/>
      <c r="OW64" s="1576"/>
      <c r="OX64" s="1576"/>
      <c r="OY64" s="1576"/>
      <c r="OZ64" s="1576"/>
      <c r="PA64" s="1576"/>
      <c r="PB64" s="1576"/>
      <c r="PC64" s="1576"/>
      <c r="PD64" s="1576"/>
      <c r="PE64" s="1576"/>
      <c r="PF64" s="1576"/>
      <c r="PG64" s="1576"/>
      <c r="PH64" s="1576"/>
      <c r="PI64" s="1576"/>
      <c r="PJ64" s="1576"/>
      <c r="PK64" s="1576"/>
      <c r="PL64" s="1576"/>
      <c r="PM64" s="1576"/>
      <c r="PN64" s="1576"/>
      <c r="PO64" s="1576"/>
      <c r="PP64" s="1576"/>
      <c r="PQ64" s="1576"/>
      <c r="PR64" s="1576"/>
      <c r="PS64" s="1576"/>
      <c r="PT64" s="1576"/>
      <c r="PU64" s="1576"/>
      <c r="PV64" s="1576"/>
      <c r="PW64" s="1576"/>
      <c r="PX64" s="1576"/>
      <c r="PY64" s="1576"/>
      <c r="PZ64" s="1576"/>
      <c r="QA64" s="1576"/>
      <c r="QB64" s="1576"/>
      <c r="QC64" s="1576"/>
      <c r="QD64" s="1576"/>
      <c r="QE64" s="1576"/>
      <c r="QF64" s="1576"/>
      <c r="QG64" s="1576"/>
      <c r="QH64" s="1576"/>
      <c r="QI64" s="1576"/>
      <c r="QJ64" s="1576"/>
      <c r="QK64" s="1576"/>
      <c r="QL64" s="1576"/>
      <c r="QM64" s="1576"/>
      <c r="QN64" s="1576"/>
      <c r="QO64" s="1576"/>
      <c r="QP64" s="1576"/>
      <c r="QQ64" s="1576"/>
      <c r="QR64" s="1576"/>
      <c r="QS64" s="1576"/>
      <c r="QT64" s="1576"/>
      <c r="QU64" s="1576"/>
      <c r="QV64" s="1576"/>
      <c r="QW64" s="1576"/>
      <c r="QX64" s="1576"/>
      <c r="QY64" s="1576"/>
      <c r="QZ64" s="1576"/>
      <c r="RA64" s="1576"/>
      <c r="RB64" s="1576"/>
      <c r="RC64" s="1576"/>
      <c r="RD64" s="1576"/>
      <c r="RE64" s="1576"/>
      <c r="RF64" s="1576"/>
      <c r="RG64" s="1576"/>
      <c r="RH64" s="1576"/>
      <c r="RI64" s="1576"/>
      <c r="RJ64" s="1576"/>
      <c r="RK64" s="1576"/>
      <c r="RL64" s="1576"/>
      <c r="RM64" s="1576"/>
      <c r="RN64" s="1576"/>
      <c r="RO64" s="1576"/>
      <c r="RP64" s="1576"/>
      <c r="RQ64" s="1576"/>
      <c r="RR64" s="1576"/>
      <c r="RS64" s="1576"/>
      <c r="RT64" s="1576"/>
      <c r="RU64" s="1576"/>
      <c r="RV64" s="1576"/>
      <c r="RW64" s="1576"/>
      <c r="RX64" s="1576"/>
      <c r="RY64" s="1576"/>
      <c r="RZ64" s="1576"/>
      <c r="SA64" s="1576"/>
      <c r="SB64" s="1576"/>
      <c r="SC64" s="1576"/>
      <c r="SD64" s="1576"/>
      <c r="SE64" s="1576"/>
      <c r="SF64" s="1576"/>
      <c r="SG64" s="1576"/>
      <c r="SH64" s="1576"/>
      <c r="SI64" s="1576"/>
      <c r="SJ64" s="1576"/>
      <c r="SK64" s="1576"/>
      <c r="SL64" s="1576"/>
      <c r="SM64" s="1576"/>
      <c r="SN64" s="1576"/>
      <c r="SO64" s="1576"/>
      <c r="SP64" s="1576"/>
      <c r="SQ64" s="1576"/>
      <c r="SR64" s="1576"/>
      <c r="SS64" s="1576"/>
      <c r="ST64" s="1576"/>
      <c r="SU64" s="1576"/>
      <c r="SV64" s="1576"/>
      <c r="SW64" s="1576"/>
      <c r="SX64" s="1576"/>
      <c r="SY64" s="1576"/>
      <c r="SZ64" s="1576"/>
      <c r="TA64" s="1576"/>
      <c r="TB64" s="1576"/>
      <c r="TC64" s="1576"/>
      <c r="TD64" s="1576"/>
      <c r="TE64" s="1576"/>
      <c r="TF64" s="1576"/>
      <c r="TG64" s="1576"/>
      <c r="TH64" s="1576"/>
      <c r="TI64" s="1576"/>
      <c r="TJ64" s="1576"/>
      <c r="TK64" s="1576"/>
      <c r="TL64" s="1576"/>
      <c r="TM64" s="1576"/>
      <c r="TN64" s="1576"/>
      <c r="TO64" s="1576"/>
      <c r="TP64" s="1576"/>
      <c r="TQ64" s="1576"/>
      <c r="TR64" s="1576"/>
      <c r="TS64" s="1576"/>
      <c r="TT64" s="1576"/>
      <c r="TU64" s="1576"/>
      <c r="TV64" s="1576"/>
      <c r="TW64" s="1576"/>
      <c r="TX64" s="1576"/>
      <c r="TY64" s="1576"/>
      <c r="TZ64" s="1576"/>
      <c r="UA64" s="1576"/>
      <c r="UB64" s="1576"/>
      <c r="UC64" s="1576"/>
      <c r="UD64" s="1576"/>
      <c r="UE64" s="1576"/>
      <c r="UF64" s="1576"/>
      <c r="UG64" s="1576"/>
      <c r="UH64" s="1576"/>
      <c r="UI64" s="1576"/>
      <c r="UJ64" s="1576"/>
      <c r="UK64" s="1576"/>
      <c r="UL64" s="1576"/>
      <c r="UM64" s="1576"/>
      <c r="UN64" s="1576"/>
      <c r="UO64" s="1576"/>
      <c r="UP64" s="1576"/>
      <c r="UQ64" s="1576"/>
      <c r="UR64" s="1576"/>
      <c r="US64" s="1576"/>
      <c r="UT64" s="1576"/>
      <c r="UU64" s="1576"/>
      <c r="UV64" s="1576"/>
      <c r="UW64" s="1576"/>
      <c r="UX64" s="1576"/>
      <c r="UY64" s="1576"/>
      <c r="UZ64" s="1576"/>
      <c r="VA64" s="1576"/>
      <c r="VB64" s="1576"/>
      <c r="VC64" s="1576"/>
      <c r="VD64" s="1576"/>
      <c r="VE64" s="1576"/>
      <c r="VF64" s="1576"/>
      <c r="VG64" s="1576"/>
      <c r="VH64" s="1576"/>
      <c r="VI64" s="1576"/>
      <c r="VJ64" s="1576"/>
      <c r="VK64" s="1576"/>
    </row>
    <row r="65" spans="1:583" ht="27" x14ac:dyDescent="0.25">
      <c r="B65" s="1610" t="s">
        <v>629</v>
      </c>
      <c r="C65" s="1582" t="s">
        <v>2697</v>
      </c>
      <c r="D65" s="4710" t="s">
        <v>2757</v>
      </c>
      <c r="E65" s="4710">
        <v>0</v>
      </c>
      <c r="F65" s="2057"/>
      <c r="G65" s="2057"/>
      <c r="H65" s="2057"/>
      <c r="I65" s="2059"/>
      <c r="J65" s="2059"/>
      <c r="K65" s="2059"/>
      <c r="L65" s="2059"/>
      <c r="M65" s="2059"/>
      <c r="N65" s="2059"/>
      <c r="O65" s="2059"/>
      <c r="P65" s="2059"/>
      <c r="Q65" s="2059"/>
      <c r="R65" s="2059"/>
      <c r="S65" s="2059"/>
      <c r="T65" s="2059"/>
      <c r="U65" s="2059"/>
      <c r="V65" s="2059"/>
      <c r="W65" s="2059"/>
      <c r="X65" s="2059"/>
      <c r="Y65" s="2059"/>
      <c r="Z65" s="2059"/>
      <c r="AA65" s="2059"/>
      <c r="AB65" s="2059"/>
      <c r="AC65" s="2059"/>
      <c r="AD65" s="2059"/>
      <c r="AE65" s="2059"/>
      <c r="AF65" s="2059"/>
      <c r="AG65" s="2059"/>
      <c r="AH65" s="2059"/>
      <c r="AI65" s="2059"/>
      <c r="AJ65" s="2059"/>
      <c r="AK65" s="2059"/>
      <c r="AL65" s="2059"/>
      <c r="AM65" s="2059"/>
      <c r="AN65" s="2059"/>
      <c r="AO65" s="2059"/>
      <c r="AP65" s="2059"/>
      <c r="AQ65" s="2059"/>
      <c r="AR65" s="2059"/>
      <c r="AS65" s="2059"/>
      <c r="AT65" s="2059"/>
      <c r="AU65" s="2059"/>
      <c r="AV65" s="2059"/>
      <c r="AW65" s="2059"/>
      <c r="AX65" s="2059"/>
      <c r="AY65" s="2059"/>
      <c r="AZ65" s="2059"/>
      <c r="BA65" s="2059"/>
      <c r="BB65" s="2059"/>
      <c r="BC65" s="2059"/>
      <c r="BD65" s="2059"/>
      <c r="BE65" s="2059"/>
      <c r="BF65" s="2059"/>
      <c r="BG65" s="2059"/>
      <c r="BH65" s="2059"/>
      <c r="BI65" s="2059"/>
      <c r="BJ65" s="2059"/>
      <c r="BK65" s="2059"/>
      <c r="BL65" s="2059"/>
      <c r="BM65" s="2059"/>
      <c r="BN65" s="2059"/>
      <c r="BO65" s="2059"/>
      <c r="BP65" s="2059"/>
      <c r="BQ65" s="2059"/>
      <c r="BR65" s="2059"/>
      <c r="BS65" s="2059"/>
      <c r="BT65" s="2059"/>
      <c r="BU65" s="2059"/>
      <c r="BV65" s="2059"/>
      <c r="BW65" s="2059"/>
      <c r="BX65" s="2059"/>
      <c r="BY65" s="2059"/>
      <c r="BZ65" s="2059"/>
      <c r="CA65" s="2059"/>
      <c r="CB65" s="2059"/>
      <c r="CC65" s="2059"/>
      <c r="CD65" s="2059"/>
      <c r="CE65" s="2059"/>
      <c r="CF65" s="2059"/>
      <c r="CG65" s="2059"/>
      <c r="CH65" s="2059"/>
      <c r="CI65" s="2059"/>
      <c r="CJ65" s="2059"/>
      <c r="CK65" s="2059"/>
      <c r="CL65" s="2059"/>
      <c r="CM65" s="2059"/>
      <c r="CN65" s="2059"/>
      <c r="CO65" s="2059"/>
      <c r="CP65" s="1576"/>
      <c r="CQ65" s="1576"/>
      <c r="CR65" s="1576"/>
      <c r="CS65" s="1576"/>
      <c r="CT65" s="1576"/>
      <c r="CU65" s="1576"/>
      <c r="CV65" s="1576"/>
      <c r="CW65" s="1576"/>
      <c r="CX65" s="1576"/>
      <c r="CY65" s="1576"/>
      <c r="CZ65" s="1576"/>
      <c r="DA65" s="1576"/>
      <c r="DB65" s="1576"/>
      <c r="DC65" s="1576"/>
      <c r="DD65" s="1576"/>
      <c r="DE65" s="1576"/>
      <c r="DF65" s="1576"/>
      <c r="DG65" s="1576"/>
      <c r="DH65" s="1576"/>
      <c r="DI65" s="1576"/>
      <c r="DJ65" s="1576"/>
      <c r="DK65" s="1576"/>
      <c r="DL65" s="1576"/>
      <c r="DM65" s="1576"/>
      <c r="DN65" s="1576"/>
      <c r="DO65" s="1576"/>
      <c r="DP65" s="1576"/>
      <c r="DQ65" s="1576"/>
      <c r="DR65" s="1576"/>
      <c r="DS65" s="1576"/>
      <c r="DT65" s="1576"/>
      <c r="DU65" s="1576"/>
      <c r="DV65" s="1576"/>
      <c r="DW65" s="1576"/>
      <c r="DX65" s="1576"/>
      <c r="DY65" s="1576"/>
      <c r="DZ65" s="1576"/>
      <c r="EA65" s="1576"/>
      <c r="EB65" s="1576"/>
      <c r="EC65" s="1576"/>
      <c r="ED65" s="1576"/>
      <c r="EE65" s="1576"/>
      <c r="EF65" s="1576"/>
      <c r="EG65" s="1576"/>
      <c r="EH65" s="1576"/>
      <c r="EI65" s="1576"/>
      <c r="EJ65" s="1576"/>
      <c r="EK65" s="1576"/>
      <c r="EL65" s="1576"/>
      <c r="EM65" s="1576"/>
      <c r="EN65" s="1576"/>
      <c r="EO65" s="1576"/>
      <c r="EP65" s="1576"/>
      <c r="EQ65" s="1576"/>
      <c r="ER65" s="1576"/>
      <c r="ES65" s="1576"/>
      <c r="ET65" s="1576"/>
      <c r="EU65" s="1576"/>
      <c r="EV65" s="1576"/>
      <c r="EW65" s="1576"/>
      <c r="EX65" s="1576"/>
      <c r="EY65" s="1576"/>
      <c r="EZ65" s="1576"/>
      <c r="FA65" s="1576"/>
      <c r="FB65" s="1576"/>
      <c r="FC65" s="1576"/>
      <c r="FD65" s="1576"/>
      <c r="FE65" s="1576"/>
      <c r="FF65" s="1576"/>
      <c r="FG65" s="1576"/>
      <c r="FH65" s="1576"/>
      <c r="FI65" s="1576"/>
      <c r="FJ65" s="1576"/>
      <c r="FK65" s="1576"/>
      <c r="FL65" s="1576"/>
      <c r="FM65" s="1576"/>
      <c r="FN65" s="1576"/>
      <c r="FO65" s="1576"/>
      <c r="FP65" s="1576"/>
      <c r="FQ65" s="1576"/>
      <c r="FR65" s="1576"/>
      <c r="FS65" s="1576"/>
      <c r="FT65" s="1576"/>
      <c r="FU65" s="1576"/>
      <c r="FV65" s="1576"/>
      <c r="FW65" s="1576"/>
      <c r="FX65" s="1576"/>
      <c r="FY65" s="1576"/>
      <c r="FZ65" s="1576"/>
      <c r="GA65" s="1576"/>
      <c r="GB65" s="1576"/>
      <c r="GC65" s="1576"/>
      <c r="GD65" s="1576"/>
      <c r="GE65" s="1576"/>
      <c r="GF65" s="1576"/>
      <c r="GG65" s="1576"/>
      <c r="GH65" s="1576"/>
      <c r="GI65" s="1576"/>
      <c r="GJ65" s="1576"/>
      <c r="GK65" s="1576"/>
      <c r="GL65" s="1576"/>
      <c r="GM65" s="1576"/>
      <c r="GN65" s="1576"/>
      <c r="GO65" s="1576"/>
      <c r="GP65" s="1576"/>
      <c r="GQ65" s="1576"/>
      <c r="GR65" s="1576"/>
      <c r="GS65" s="1576"/>
      <c r="GT65" s="1576"/>
      <c r="GU65" s="1576"/>
      <c r="GV65" s="1576"/>
      <c r="GW65" s="1576"/>
      <c r="GX65" s="1576"/>
      <c r="GY65" s="1576"/>
      <c r="GZ65" s="1576"/>
      <c r="HA65" s="1576"/>
      <c r="HB65" s="1576"/>
      <c r="HC65" s="1576"/>
      <c r="HD65" s="1576"/>
      <c r="HE65" s="1576"/>
      <c r="HF65" s="1576"/>
      <c r="HG65" s="1576"/>
      <c r="HH65" s="1576"/>
      <c r="HI65" s="1576"/>
      <c r="HJ65" s="1576"/>
      <c r="HK65" s="1576"/>
      <c r="HL65" s="1576"/>
      <c r="HM65" s="1576"/>
      <c r="HN65" s="1576"/>
      <c r="HO65" s="1576"/>
      <c r="HP65" s="1576"/>
      <c r="HQ65" s="1576"/>
      <c r="HR65" s="1576"/>
      <c r="HS65" s="1576"/>
      <c r="HT65" s="1576"/>
      <c r="HU65" s="1576"/>
      <c r="HV65" s="1576"/>
      <c r="HW65" s="1576"/>
      <c r="HX65" s="1576"/>
      <c r="HY65" s="1576"/>
      <c r="HZ65" s="1576"/>
      <c r="IA65" s="1576"/>
      <c r="IB65" s="1576"/>
      <c r="IC65" s="1576"/>
      <c r="ID65" s="1576"/>
      <c r="IE65" s="1576"/>
      <c r="IF65" s="1576"/>
      <c r="IG65" s="1576"/>
      <c r="IH65" s="1576"/>
      <c r="II65" s="1576"/>
      <c r="IJ65" s="1576"/>
      <c r="IK65" s="1576"/>
      <c r="IL65" s="1576"/>
      <c r="IM65" s="1576"/>
      <c r="IN65" s="1576"/>
      <c r="IO65" s="1576"/>
      <c r="IP65" s="1576"/>
      <c r="IQ65" s="1576"/>
      <c r="IR65" s="1576"/>
      <c r="IS65" s="1576"/>
      <c r="IT65" s="1576"/>
      <c r="IU65" s="1576"/>
      <c r="IV65" s="1576"/>
      <c r="IW65" s="1576"/>
      <c r="IX65" s="1576"/>
      <c r="IY65" s="1576"/>
      <c r="IZ65" s="1576"/>
      <c r="JA65" s="2054"/>
      <c r="JB65" s="2054"/>
      <c r="JC65" s="2054"/>
      <c r="JD65" s="2054"/>
      <c r="JE65" s="2054"/>
      <c r="JF65" s="2054"/>
      <c r="JG65" s="2054"/>
      <c r="JH65" s="2054"/>
      <c r="JI65" s="2054"/>
      <c r="JJ65" s="2054"/>
      <c r="JK65" s="2054"/>
      <c r="JL65" s="2054"/>
      <c r="JM65" s="2054"/>
      <c r="JN65" s="2054"/>
      <c r="JO65" s="2054"/>
      <c r="JP65" s="2054"/>
      <c r="JQ65" s="2054"/>
      <c r="JR65" s="1576"/>
      <c r="JS65" s="1576"/>
      <c r="JT65" s="1576"/>
      <c r="JU65" s="1576"/>
      <c r="JV65" s="1576"/>
      <c r="JW65" s="1576"/>
      <c r="JX65" s="1576"/>
      <c r="JY65" s="1576"/>
      <c r="JZ65" s="1576"/>
      <c r="KA65" s="1576"/>
      <c r="KB65" s="1576"/>
      <c r="KC65" s="1576"/>
      <c r="KD65" s="1576"/>
      <c r="KE65" s="1576"/>
      <c r="KF65" s="1576"/>
      <c r="KG65" s="1576"/>
      <c r="KH65" s="1576"/>
      <c r="KI65" s="1576"/>
      <c r="KJ65" s="1576"/>
      <c r="KK65" s="1576"/>
      <c r="KL65" s="1576"/>
      <c r="KM65" s="1576"/>
      <c r="KN65" s="1576"/>
      <c r="KO65" s="1576"/>
      <c r="KP65" s="1576"/>
      <c r="KQ65" s="1576"/>
      <c r="KR65" s="1576"/>
      <c r="KS65" s="1576"/>
      <c r="KT65" s="1576"/>
      <c r="KU65" s="1576"/>
      <c r="KV65" s="1576"/>
      <c r="KW65" s="1576"/>
      <c r="KX65" s="1576"/>
      <c r="KY65" s="1576"/>
      <c r="KZ65" s="1576"/>
      <c r="LA65" s="1576"/>
      <c r="LB65" s="1576"/>
      <c r="LC65" s="1576"/>
      <c r="LD65" s="1576"/>
      <c r="LE65" s="1576"/>
      <c r="LF65" s="1576"/>
      <c r="LG65" s="1576"/>
      <c r="LH65" s="1576"/>
      <c r="LI65" s="1576"/>
      <c r="LJ65" s="1576"/>
      <c r="LK65" s="1576"/>
      <c r="LL65" s="1576"/>
      <c r="LM65" s="1576"/>
      <c r="LN65" s="1576"/>
      <c r="LO65" s="1576"/>
      <c r="LP65" s="1576"/>
      <c r="LQ65" s="1576"/>
      <c r="LR65" s="1576"/>
      <c r="LS65" s="1576"/>
      <c r="LT65" s="1576"/>
      <c r="LU65" s="1576"/>
      <c r="LV65" s="1576"/>
      <c r="LW65" s="1576"/>
      <c r="LX65" s="1576"/>
      <c r="LY65" s="1576"/>
      <c r="LZ65" s="1576"/>
      <c r="MA65" s="1576"/>
      <c r="MB65" s="1576"/>
      <c r="MC65" s="1576"/>
      <c r="MD65" s="1576"/>
      <c r="ME65" s="1576"/>
      <c r="MF65" s="1576"/>
      <c r="MG65" s="1576"/>
      <c r="MH65" s="1576"/>
      <c r="MI65" s="1576"/>
      <c r="MJ65" s="1576"/>
      <c r="MK65" s="1576"/>
      <c r="ML65" s="1576"/>
      <c r="MM65" s="1576"/>
      <c r="MN65" s="1576"/>
      <c r="MO65" s="1576"/>
      <c r="MP65" s="1576"/>
      <c r="MQ65" s="1576"/>
      <c r="MR65" s="1576"/>
      <c r="MS65" s="1576"/>
      <c r="MT65" s="1576"/>
      <c r="MU65" s="1576"/>
      <c r="MV65" s="1576"/>
      <c r="MW65" s="1576"/>
      <c r="MX65" s="1576"/>
      <c r="MY65" s="1576"/>
      <c r="MZ65" s="1576"/>
      <c r="NA65" s="1576"/>
      <c r="NB65" s="1576"/>
      <c r="NC65" s="1576"/>
      <c r="ND65" s="1576"/>
      <c r="NE65" s="1576"/>
      <c r="NF65" s="1576"/>
      <c r="NG65" s="1576"/>
      <c r="NH65" s="1576"/>
      <c r="NI65" s="1576"/>
      <c r="NJ65" s="1576"/>
      <c r="NK65" s="1576"/>
      <c r="NL65" s="1576"/>
      <c r="NM65" s="1576"/>
      <c r="NN65" s="1576"/>
      <c r="NO65" s="1576"/>
      <c r="NP65" s="1576"/>
      <c r="NQ65" s="1576"/>
      <c r="NR65" s="1576"/>
      <c r="NS65" s="1576"/>
      <c r="NT65" s="1576"/>
      <c r="NU65" s="1576"/>
      <c r="NV65" s="1576"/>
      <c r="NW65" s="1576"/>
      <c r="NX65" s="1576"/>
      <c r="NY65" s="1576"/>
      <c r="NZ65" s="1576"/>
      <c r="OA65" s="1576"/>
      <c r="OB65" s="1576"/>
      <c r="OC65" s="1576"/>
      <c r="OD65" s="1576"/>
      <c r="OE65" s="1576"/>
      <c r="OF65" s="1576"/>
      <c r="OG65" s="1576"/>
      <c r="OH65" s="1576"/>
      <c r="OI65" s="1576"/>
      <c r="OJ65" s="1576"/>
      <c r="OK65" s="1576"/>
      <c r="OL65" s="1576"/>
      <c r="OM65" s="1576"/>
      <c r="ON65" s="1576"/>
      <c r="OO65" s="1576"/>
      <c r="OP65" s="1576"/>
      <c r="OQ65" s="1576"/>
      <c r="OR65" s="1576"/>
      <c r="OS65" s="1576"/>
      <c r="OT65" s="1576"/>
      <c r="OU65" s="1576"/>
      <c r="OV65" s="1576"/>
      <c r="OW65" s="1576"/>
      <c r="OX65" s="1576"/>
      <c r="OY65" s="1576"/>
      <c r="OZ65" s="1576"/>
      <c r="PA65" s="1576"/>
      <c r="PB65" s="1576"/>
      <c r="PC65" s="1576"/>
      <c r="PD65" s="1576"/>
      <c r="PE65" s="1576"/>
      <c r="PF65" s="1576"/>
      <c r="PG65" s="1576"/>
      <c r="PH65" s="1576"/>
      <c r="PI65" s="1576"/>
      <c r="PJ65" s="1576"/>
      <c r="PK65" s="1576"/>
      <c r="PL65" s="1576"/>
      <c r="PM65" s="1576"/>
      <c r="PN65" s="1576"/>
      <c r="PO65" s="1576"/>
      <c r="PP65" s="1576"/>
      <c r="PQ65" s="1576"/>
      <c r="PR65" s="1576"/>
      <c r="PS65" s="1576"/>
      <c r="PT65" s="1576"/>
      <c r="PU65" s="1576"/>
      <c r="PV65" s="1576"/>
      <c r="PW65" s="1576"/>
      <c r="PX65" s="1576"/>
      <c r="PY65" s="1576"/>
      <c r="PZ65" s="1576"/>
      <c r="QA65" s="1576"/>
      <c r="QB65" s="1576"/>
      <c r="QC65" s="1576"/>
      <c r="QD65" s="1576"/>
      <c r="QE65" s="1576"/>
      <c r="QF65" s="1576"/>
      <c r="QG65" s="1576"/>
      <c r="QH65" s="1576"/>
      <c r="QI65" s="1576"/>
      <c r="QJ65" s="1576"/>
      <c r="QK65" s="1576"/>
      <c r="QL65" s="1576"/>
      <c r="QM65" s="1576"/>
      <c r="QN65" s="1576"/>
      <c r="QO65" s="1576"/>
      <c r="QP65" s="1576"/>
      <c r="QQ65" s="1576"/>
      <c r="QR65" s="1576"/>
      <c r="QS65" s="1576"/>
      <c r="QT65" s="1576"/>
      <c r="QU65" s="1576"/>
      <c r="QV65" s="1576"/>
      <c r="QW65" s="1576"/>
      <c r="QX65" s="1576"/>
      <c r="QY65" s="1576"/>
      <c r="QZ65" s="1576"/>
      <c r="RA65" s="1576"/>
      <c r="RB65" s="1576"/>
      <c r="RC65" s="1576"/>
      <c r="RD65" s="1576"/>
      <c r="RE65" s="1576"/>
      <c r="RF65" s="1576"/>
      <c r="RG65" s="1576"/>
      <c r="RH65" s="1576"/>
      <c r="RI65" s="1576"/>
      <c r="RJ65" s="1576"/>
      <c r="RK65" s="1576"/>
      <c r="RL65" s="1576"/>
      <c r="RM65" s="1576"/>
      <c r="RN65" s="1576"/>
      <c r="RO65" s="1576"/>
      <c r="RP65" s="1576"/>
      <c r="RQ65" s="1576"/>
      <c r="RR65" s="1576"/>
      <c r="RS65" s="1576"/>
      <c r="RT65" s="1576"/>
      <c r="RU65" s="1576"/>
      <c r="RV65" s="1576"/>
      <c r="RW65" s="1576"/>
      <c r="RX65" s="1576"/>
      <c r="RY65" s="1576"/>
      <c r="RZ65" s="1576"/>
      <c r="SA65" s="1576"/>
      <c r="SB65" s="1576"/>
      <c r="SC65" s="1576"/>
      <c r="SD65" s="1576"/>
      <c r="SE65" s="1576"/>
      <c r="SF65" s="1576"/>
      <c r="SG65" s="1576"/>
      <c r="SH65" s="1576"/>
      <c r="SI65" s="1576"/>
      <c r="SJ65" s="1576"/>
      <c r="SK65" s="1576"/>
      <c r="SL65" s="1576"/>
      <c r="SM65" s="1576"/>
      <c r="SN65" s="1576"/>
      <c r="SO65" s="1576"/>
      <c r="SP65" s="1576"/>
      <c r="SQ65" s="1576"/>
      <c r="SR65" s="1576"/>
      <c r="SS65" s="1576"/>
      <c r="ST65" s="1576"/>
      <c r="SU65" s="1576"/>
      <c r="SV65" s="1576"/>
      <c r="SW65" s="1576"/>
      <c r="SX65" s="1576"/>
      <c r="SY65" s="1576"/>
      <c r="SZ65" s="1576"/>
      <c r="TA65" s="1576"/>
      <c r="TB65" s="1576"/>
      <c r="TC65" s="1576"/>
      <c r="TD65" s="1576"/>
      <c r="TE65" s="1576"/>
      <c r="TF65" s="1576"/>
      <c r="TG65" s="1576"/>
      <c r="TH65" s="1576"/>
      <c r="TI65" s="1576"/>
      <c r="TJ65" s="1576"/>
      <c r="TK65" s="1576"/>
      <c r="TL65" s="1576"/>
      <c r="TM65" s="1576"/>
      <c r="TN65" s="1576"/>
      <c r="TO65" s="1576"/>
      <c r="TP65" s="1576"/>
      <c r="TQ65" s="1576"/>
      <c r="TR65" s="1576"/>
      <c r="TS65" s="1576"/>
      <c r="TT65" s="1576"/>
      <c r="TU65" s="1576"/>
      <c r="TV65" s="1576"/>
      <c r="TW65" s="1576"/>
      <c r="TX65" s="1576"/>
      <c r="TY65" s="1576"/>
      <c r="TZ65" s="1576"/>
      <c r="UA65" s="1576"/>
      <c r="UB65" s="1576"/>
      <c r="UC65" s="1576"/>
      <c r="UD65" s="1576"/>
      <c r="UE65" s="1576"/>
      <c r="UF65" s="1576"/>
      <c r="UG65" s="1576"/>
      <c r="UH65" s="1576"/>
      <c r="UI65" s="1576"/>
      <c r="UJ65" s="1576"/>
      <c r="UK65" s="1576"/>
      <c r="UL65" s="1576"/>
      <c r="UM65" s="1576"/>
      <c r="UN65" s="1576"/>
      <c r="UO65" s="1576"/>
      <c r="UP65" s="1576"/>
      <c r="UQ65" s="1576"/>
      <c r="UR65" s="1576"/>
      <c r="US65" s="1576"/>
      <c r="UT65" s="1576"/>
      <c r="UU65" s="1576"/>
      <c r="UV65" s="1576"/>
      <c r="UW65" s="1576"/>
      <c r="UX65" s="1576"/>
      <c r="UY65" s="1576"/>
      <c r="UZ65" s="1576"/>
      <c r="VA65" s="1576"/>
      <c r="VB65" s="1576"/>
      <c r="VC65" s="1576"/>
      <c r="VD65" s="1576"/>
      <c r="VE65" s="1576"/>
      <c r="VF65" s="1576"/>
      <c r="VG65" s="1576"/>
      <c r="VH65" s="1576"/>
      <c r="VI65" s="1576"/>
      <c r="VJ65" s="1576"/>
      <c r="VK65" s="1576"/>
    </row>
    <row r="66" spans="1:583" ht="27" x14ac:dyDescent="0.25">
      <c r="B66" s="1610" t="s">
        <v>629</v>
      </c>
      <c r="C66" s="1582" t="s">
        <v>2922</v>
      </c>
      <c r="D66" s="4710" t="s">
        <v>2758</v>
      </c>
      <c r="E66" s="4710">
        <v>0</v>
      </c>
      <c r="F66" s="2057"/>
      <c r="G66" s="2057"/>
      <c r="H66" s="2057"/>
      <c r="I66" s="2059"/>
      <c r="J66" s="2059"/>
      <c r="K66" s="2059"/>
      <c r="L66" s="2059"/>
      <c r="M66" s="2059"/>
      <c r="N66" s="2059"/>
      <c r="O66" s="2059"/>
      <c r="P66" s="2059"/>
      <c r="Q66" s="2059"/>
      <c r="R66" s="2059"/>
      <c r="S66" s="2059"/>
      <c r="T66" s="2059"/>
      <c r="U66" s="2059"/>
      <c r="V66" s="2059"/>
      <c r="W66" s="2059"/>
      <c r="X66" s="2059"/>
      <c r="Y66" s="2059"/>
      <c r="Z66" s="2059"/>
      <c r="AA66" s="2059"/>
      <c r="AB66" s="2059"/>
      <c r="AC66" s="2059"/>
      <c r="AD66" s="2059"/>
      <c r="AE66" s="2059"/>
      <c r="AF66" s="2059"/>
      <c r="AG66" s="2059"/>
      <c r="AH66" s="2059"/>
      <c r="AI66" s="2059"/>
      <c r="AJ66" s="2059"/>
      <c r="AK66" s="2059"/>
      <c r="AL66" s="2059"/>
      <c r="AM66" s="2059"/>
      <c r="AN66" s="2059"/>
      <c r="AO66" s="2059"/>
      <c r="AP66" s="2059"/>
      <c r="AQ66" s="2059"/>
      <c r="AR66" s="2059"/>
      <c r="AS66" s="2059"/>
      <c r="AT66" s="2059"/>
      <c r="AU66" s="2059"/>
      <c r="AV66" s="2059"/>
      <c r="AW66" s="2059"/>
      <c r="AX66" s="2059"/>
      <c r="AY66" s="2059"/>
      <c r="AZ66" s="2059"/>
      <c r="BA66" s="2059"/>
      <c r="BB66" s="2059"/>
      <c r="BC66" s="2059"/>
      <c r="BD66" s="2059"/>
      <c r="BE66" s="2059"/>
      <c r="BF66" s="2059"/>
      <c r="BG66" s="2059"/>
      <c r="BH66" s="2059"/>
      <c r="BI66" s="2059"/>
      <c r="BJ66" s="2059"/>
      <c r="BK66" s="2059"/>
      <c r="BL66" s="2059"/>
      <c r="BM66" s="2059"/>
      <c r="BN66" s="2059"/>
      <c r="BO66" s="2059"/>
      <c r="BP66" s="2059"/>
      <c r="BQ66" s="2059"/>
      <c r="BR66" s="2059"/>
      <c r="BS66" s="2059"/>
      <c r="BT66" s="2059"/>
      <c r="BU66" s="2059"/>
      <c r="BV66" s="2059"/>
      <c r="BW66" s="2059"/>
      <c r="BX66" s="2059"/>
      <c r="BY66" s="2059"/>
      <c r="BZ66" s="2059"/>
      <c r="CA66" s="2059"/>
      <c r="CB66" s="2059"/>
      <c r="CC66" s="2059"/>
      <c r="CD66" s="2059"/>
      <c r="CE66" s="2059"/>
      <c r="CF66" s="2059"/>
      <c r="CG66" s="2059"/>
      <c r="CH66" s="2059"/>
      <c r="CI66" s="2059"/>
      <c r="CJ66" s="2059"/>
      <c r="CK66" s="2059"/>
      <c r="CL66" s="2059"/>
      <c r="CM66" s="2059"/>
      <c r="CN66" s="2059"/>
      <c r="CO66" s="2059"/>
      <c r="CP66" s="1576"/>
      <c r="CQ66" s="1576"/>
      <c r="CR66" s="1576"/>
      <c r="CS66" s="1576"/>
      <c r="CT66" s="1576"/>
      <c r="CU66" s="1576"/>
      <c r="CV66" s="1576"/>
      <c r="CW66" s="1576"/>
      <c r="CX66" s="1576"/>
      <c r="CY66" s="1576"/>
      <c r="CZ66" s="1576"/>
      <c r="DA66" s="1576"/>
      <c r="DB66" s="1576"/>
      <c r="DC66" s="1576"/>
      <c r="DD66" s="1576"/>
      <c r="DE66" s="1576"/>
      <c r="DF66" s="1576"/>
      <c r="DG66" s="1576"/>
      <c r="DH66" s="1576"/>
      <c r="DI66" s="1576"/>
      <c r="DJ66" s="1576"/>
      <c r="DK66" s="1576"/>
      <c r="DL66" s="1576"/>
      <c r="DM66" s="1576"/>
      <c r="DN66" s="1576"/>
      <c r="DO66" s="1576"/>
      <c r="DP66" s="1576"/>
      <c r="DQ66" s="1576"/>
      <c r="DR66" s="1576"/>
      <c r="DS66" s="1576"/>
      <c r="DT66" s="1576"/>
      <c r="DU66" s="1576"/>
      <c r="DV66" s="1576"/>
      <c r="DW66" s="1576"/>
      <c r="DX66" s="1576"/>
      <c r="DY66" s="1576"/>
      <c r="DZ66" s="1576"/>
      <c r="EA66" s="1576"/>
      <c r="EB66" s="1576"/>
      <c r="EC66" s="1576"/>
      <c r="ED66" s="1576"/>
      <c r="EE66" s="1576"/>
      <c r="EF66" s="1576"/>
      <c r="EG66" s="1576"/>
      <c r="EH66" s="1576"/>
      <c r="EI66" s="1576"/>
      <c r="EJ66" s="1576"/>
      <c r="EK66" s="1576"/>
      <c r="EL66" s="1576"/>
      <c r="EM66" s="1576"/>
      <c r="EN66" s="1576"/>
      <c r="EO66" s="1576"/>
      <c r="EP66" s="1576"/>
      <c r="EQ66" s="1576"/>
      <c r="ER66" s="1576"/>
      <c r="ES66" s="1576"/>
      <c r="ET66" s="1576"/>
      <c r="EU66" s="1576"/>
      <c r="EV66" s="1576"/>
      <c r="EW66" s="1576"/>
      <c r="EX66" s="1576"/>
      <c r="EY66" s="1576"/>
      <c r="EZ66" s="1576"/>
      <c r="FA66" s="1576"/>
      <c r="FB66" s="1576"/>
      <c r="FC66" s="1576"/>
      <c r="FD66" s="1576"/>
      <c r="FE66" s="1576"/>
      <c r="FF66" s="1576"/>
      <c r="FG66" s="1576"/>
      <c r="FH66" s="1576"/>
      <c r="FI66" s="1576"/>
      <c r="FJ66" s="1576"/>
      <c r="FK66" s="1576"/>
      <c r="FL66" s="1576"/>
      <c r="FM66" s="1576"/>
      <c r="FN66" s="1576"/>
      <c r="FO66" s="1576"/>
      <c r="FP66" s="1576"/>
      <c r="FQ66" s="1576"/>
      <c r="FR66" s="1576"/>
      <c r="FS66" s="1576"/>
      <c r="FT66" s="1576"/>
      <c r="FU66" s="1576"/>
      <c r="FV66" s="1576"/>
      <c r="FW66" s="1576"/>
      <c r="FX66" s="1576"/>
      <c r="FY66" s="1576"/>
      <c r="FZ66" s="1576"/>
      <c r="GA66" s="1576"/>
      <c r="GB66" s="1576"/>
      <c r="GC66" s="1576"/>
      <c r="GD66" s="1576"/>
      <c r="GE66" s="1576"/>
      <c r="GF66" s="1576"/>
      <c r="GG66" s="1576"/>
      <c r="GH66" s="1576"/>
      <c r="GI66" s="1576"/>
      <c r="GJ66" s="1576"/>
      <c r="GK66" s="1576"/>
      <c r="GL66" s="1576"/>
      <c r="GM66" s="1576"/>
      <c r="GN66" s="1576"/>
      <c r="GO66" s="1576"/>
      <c r="GP66" s="1576"/>
      <c r="GQ66" s="1576"/>
      <c r="GR66" s="1576"/>
      <c r="GS66" s="1576"/>
      <c r="GT66" s="1576"/>
      <c r="GU66" s="1576"/>
      <c r="GV66" s="1576"/>
      <c r="GW66" s="1576"/>
      <c r="GX66" s="1576"/>
      <c r="GY66" s="1576"/>
      <c r="GZ66" s="1576"/>
      <c r="HA66" s="1576"/>
      <c r="HB66" s="1576"/>
      <c r="HC66" s="1576"/>
      <c r="HD66" s="1576"/>
      <c r="HE66" s="1576"/>
      <c r="HF66" s="1576"/>
      <c r="HG66" s="1576"/>
      <c r="HH66" s="1576"/>
      <c r="HI66" s="1576"/>
      <c r="HJ66" s="1576"/>
      <c r="HK66" s="1576"/>
      <c r="HL66" s="1576"/>
      <c r="HM66" s="1576"/>
      <c r="HN66" s="1576"/>
      <c r="HO66" s="1576"/>
      <c r="HP66" s="1576"/>
      <c r="HQ66" s="1576"/>
      <c r="HR66" s="1576"/>
      <c r="HS66" s="1576"/>
      <c r="HT66" s="1576"/>
      <c r="HU66" s="1576"/>
      <c r="HV66" s="1576"/>
      <c r="HW66" s="1576"/>
      <c r="HX66" s="1576"/>
      <c r="HY66" s="1576"/>
      <c r="HZ66" s="1576"/>
      <c r="IA66" s="1576"/>
      <c r="IB66" s="1576"/>
      <c r="IC66" s="1576"/>
      <c r="ID66" s="1576"/>
      <c r="IE66" s="1576"/>
      <c r="IF66" s="1576"/>
      <c r="IG66" s="1576"/>
      <c r="IH66" s="1576"/>
      <c r="II66" s="1576"/>
      <c r="IJ66" s="1576"/>
      <c r="IK66" s="1576"/>
      <c r="IL66" s="1576"/>
      <c r="IM66" s="1576"/>
      <c r="IN66" s="1576"/>
      <c r="IO66" s="1576"/>
      <c r="IP66" s="1576"/>
      <c r="IQ66" s="1576"/>
      <c r="IR66" s="1576"/>
      <c r="IS66" s="1576"/>
      <c r="IT66" s="1576"/>
      <c r="IU66" s="1576"/>
      <c r="IV66" s="1576"/>
      <c r="IW66" s="1576"/>
      <c r="IX66" s="1576"/>
      <c r="IY66" s="1576"/>
      <c r="IZ66" s="1576"/>
      <c r="JA66" s="2054"/>
      <c r="JB66" s="2054"/>
      <c r="JC66" s="2054"/>
      <c r="JD66" s="2054"/>
      <c r="JE66" s="2054"/>
      <c r="JF66" s="2054"/>
      <c r="JG66" s="2054"/>
      <c r="JH66" s="2054"/>
      <c r="JI66" s="2054"/>
      <c r="JJ66" s="2054"/>
      <c r="JK66" s="2054"/>
      <c r="JL66" s="2054"/>
      <c r="JM66" s="2054"/>
      <c r="JN66" s="2054"/>
      <c r="JO66" s="2054"/>
      <c r="JP66" s="2054"/>
      <c r="JQ66" s="2054"/>
      <c r="JR66" s="1576"/>
      <c r="JS66" s="1576"/>
      <c r="JT66" s="1576"/>
      <c r="JU66" s="1576"/>
      <c r="JV66" s="1576"/>
      <c r="JW66" s="1576"/>
      <c r="JX66" s="1576"/>
      <c r="JY66" s="1576"/>
      <c r="JZ66" s="1576"/>
      <c r="KA66" s="1576"/>
      <c r="KB66" s="1576"/>
      <c r="KC66" s="1576"/>
      <c r="KD66" s="1576"/>
      <c r="KE66" s="1576"/>
      <c r="KF66" s="1576"/>
      <c r="KG66" s="1576"/>
      <c r="KH66" s="1576"/>
      <c r="KI66" s="1576"/>
      <c r="KJ66" s="1576"/>
      <c r="KK66" s="1576"/>
      <c r="KL66" s="1576"/>
      <c r="KM66" s="1576"/>
      <c r="KN66" s="1576"/>
      <c r="KO66" s="1576"/>
      <c r="KP66" s="1576"/>
      <c r="KQ66" s="1576"/>
      <c r="KR66" s="1576"/>
      <c r="KS66" s="1576"/>
      <c r="KT66" s="1576"/>
      <c r="KU66" s="1576"/>
      <c r="KV66" s="1576"/>
      <c r="KW66" s="1576"/>
      <c r="KX66" s="1576"/>
      <c r="KY66" s="1576"/>
      <c r="KZ66" s="1576"/>
      <c r="LA66" s="1576"/>
      <c r="LB66" s="1576"/>
      <c r="LC66" s="1576"/>
      <c r="LD66" s="1576"/>
      <c r="LE66" s="1576"/>
      <c r="LF66" s="1576"/>
      <c r="LG66" s="1576"/>
      <c r="LH66" s="1576"/>
      <c r="LI66" s="1576"/>
      <c r="LJ66" s="1576"/>
      <c r="LK66" s="1576"/>
      <c r="LL66" s="1576"/>
      <c r="LM66" s="1576"/>
      <c r="LN66" s="1576"/>
      <c r="LO66" s="1576"/>
      <c r="LP66" s="1576"/>
      <c r="LQ66" s="1576"/>
      <c r="LR66" s="1576"/>
      <c r="LS66" s="1576"/>
      <c r="LT66" s="1576"/>
      <c r="LU66" s="1576"/>
      <c r="LV66" s="1576"/>
      <c r="LW66" s="1576"/>
      <c r="LX66" s="1576"/>
      <c r="LY66" s="1576"/>
      <c r="LZ66" s="1576"/>
      <c r="MA66" s="1576"/>
      <c r="MB66" s="1576"/>
      <c r="MC66" s="1576"/>
      <c r="MD66" s="1576"/>
      <c r="ME66" s="1576"/>
      <c r="MF66" s="1576"/>
      <c r="MG66" s="1576"/>
      <c r="MH66" s="1576"/>
      <c r="MI66" s="1576"/>
      <c r="MJ66" s="1576"/>
      <c r="MK66" s="1576"/>
      <c r="ML66" s="1576"/>
      <c r="MM66" s="1576"/>
      <c r="MN66" s="1576"/>
      <c r="MO66" s="1576"/>
      <c r="MP66" s="1576"/>
      <c r="MQ66" s="1576"/>
      <c r="MR66" s="1576"/>
      <c r="MS66" s="1576"/>
      <c r="MT66" s="1576"/>
      <c r="MU66" s="1576"/>
      <c r="MV66" s="1576"/>
      <c r="MW66" s="1576"/>
      <c r="MX66" s="1576"/>
      <c r="MY66" s="1576"/>
      <c r="MZ66" s="1576"/>
      <c r="NA66" s="1576"/>
      <c r="NB66" s="1576"/>
      <c r="NC66" s="1576"/>
      <c r="ND66" s="1576"/>
      <c r="NE66" s="1576"/>
      <c r="NF66" s="1576"/>
      <c r="NG66" s="1576"/>
      <c r="NH66" s="1576"/>
      <c r="NI66" s="1576"/>
      <c r="NJ66" s="1576"/>
      <c r="NK66" s="1576"/>
      <c r="NL66" s="1576"/>
      <c r="NM66" s="1576"/>
      <c r="NN66" s="1576"/>
      <c r="NO66" s="1576"/>
      <c r="NP66" s="1576"/>
      <c r="NQ66" s="1576"/>
      <c r="NR66" s="1576"/>
      <c r="NS66" s="1576"/>
      <c r="NT66" s="1576"/>
      <c r="NU66" s="1576"/>
      <c r="NV66" s="1576"/>
      <c r="NW66" s="1576"/>
      <c r="NX66" s="1576"/>
      <c r="NY66" s="1576"/>
      <c r="NZ66" s="1576"/>
      <c r="OA66" s="1576"/>
      <c r="OB66" s="1576"/>
      <c r="OC66" s="1576"/>
      <c r="OD66" s="1576"/>
      <c r="OE66" s="1576"/>
      <c r="OF66" s="1576"/>
      <c r="OG66" s="1576"/>
      <c r="OH66" s="1576"/>
      <c r="OI66" s="1576"/>
      <c r="OJ66" s="1576"/>
      <c r="OK66" s="1576"/>
      <c r="OL66" s="1576"/>
      <c r="OM66" s="1576"/>
      <c r="ON66" s="1576"/>
      <c r="OO66" s="1576"/>
      <c r="OP66" s="1576"/>
      <c r="OQ66" s="1576"/>
      <c r="OR66" s="1576"/>
      <c r="OS66" s="1576"/>
      <c r="OT66" s="1576"/>
      <c r="OU66" s="1576"/>
      <c r="OV66" s="1576"/>
      <c r="OW66" s="1576"/>
      <c r="OX66" s="1576"/>
      <c r="OY66" s="1576"/>
      <c r="OZ66" s="1576"/>
      <c r="PA66" s="1576"/>
      <c r="PB66" s="1576"/>
      <c r="PC66" s="1576"/>
      <c r="PD66" s="1576"/>
      <c r="PE66" s="1576"/>
      <c r="PF66" s="1576"/>
      <c r="PG66" s="1576"/>
      <c r="PH66" s="1576"/>
      <c r="PI66" s="1576"/>
      <c r="PJ66" s="1576"/>
      <c r="PK66" s="1576"/>
      <c r="PL66" s="1576"/>
      <c r="PM66" s="1576"/>
      <c r="PN66" s="1576"/>
      <c r="PO66" s="1576"/>
      <c r="PP66" s="1576"/>
      <c r="PQ66" s="1576"/>
      <c r="PR66" s="1576"/>
      <c r="PS66" s="1576"/>
      <c r="PT66" s="1576"/>
      <c r="PU66" s="1576"/>
      <c r="PV66" s="1576"/>
      <c r="PW66" s="1576"/>
      <c r="PX66" s="1576"/>
      <c r="PY66" s="1576"/>
      <c r="PZ66" s="1576"/>
      <c r="QA66" s="1576"/>
      <c r="QB66" s="1576"/>
      <c r="QC66" s="1576"/>
      <c r="QD66" s="1576"/>
      <c r="QE66" s="1576"/>
      <c r="QF66" s="1576"/>
      <c r="QG66" s="1576"/>
      <c r="QH66" s="1576"/>
      <c r="QI66" s="1576"/>
      <c r="QJ66" s="1576"/>
      <c r="QK66" s="1576"/>
      <c r="QL66" s="1576"/>
      <c r="QM66" s="1576"/>
      <c r="QN66" s="1576"/>
      <c r="QO66" s="1576"/>
      <c r="QP66" s="1576"/>
      <c r="QQ66" s="1576"/>
      <c r="QR66" s="1576"/>
      <c r="QS66" s="1576"/>
      <c r="QT66" s="1576"/>
      <c r="QU66" s="1576"/>
      <c r="QV66" s="1576"/>
      <c r="QW66" s="1576"/>
      <c r="QX66" s="1576"/>
      <c r="QY66" s="1576"/>
      <c r="QZ66" s="1576"/>
      <c r="RA66" s="1576"/>
      <c r="RB66" s="1576"/>
      <c r="RC66" s="1576"/>
      <c r="RD66" s="1576"/>
      <c r="RE66" s="1576"/>
      <c r="RF66" s="1576"/>
      <c r="RG66" s="1576"/>
      <c r="RH66" s="1576"/>
      <c r="RI66" s="1576"/>
      <c r="RJ66" s="1576"/>
      <c r="RK66" s="1576"/>
      <c r="RL66" s="1576"/>
      <c r="RM66" s="1576"/>
      <c r="RN66" s="1576"/>
      <c r="RO66" s="1576"/>
      <c r="RP66" s="1576"/>
      <c r="RQ66" s="1576"/>
      <c r="RR66" s="1576"/>
      <c r="RS66" s="1576"/>
      <c r="RT66" s="1576"/>
      <c r="RU66" s="1576"/>
      <c r="RV66" s="1576"/>
      <c r="RW66" s="1576"/>
      <c r="RX66" s="1576"/>
      <c r="RY66" s="1576"/>
      <c r="RZ66" s="1576"/>
      <c r="SA66" s="1576"/>
      <c r="SB66" s="1576"/>
      <c r="SC66" s="1576"/>
      <c r="SD66" s="1576"/>
      <c r="SE66" s="1576"/>
      <c r="SF66" s="1576"/>
      <c r="SG66" s="1576"/>
      <c r="SH66" s="1576"/>
      <c r="SI66" s="1576"/>
      <c r="SJ66" s="1576"/>
      <c r="SK66" s="1576"/>
      <c r="SL66" s="1576"/>
      <c r="SM66" s="1576"/>
      <c r="SN66" s="1576"/>
      <c r="SO66" s="1576"/>
      <c r="SP66" s="1576"/>
      <c r="SQ66" s="1576"/>
      <c r="SR66" s="1576"/>
      <c r="SS66" s="1576"/>
      <c r="ST66" s="1576"/>
      <c r="SU66" s="1576"/>
      <c r="SV66" s="1576"/>
      <c r="SW66" s="1576"/>
      <c r="SX66" s="1576"/>
      <c r="SY66" s="1576"/>
      <c r="SZ66" s="1576"/>
      <c r="TA66" s="1576"/>
      <c r="TB66" s="1576"/>
      <c r="TC66" s="1576"/>
      <c r="TD66" s="1576"/>
      <c r="TE66" s="1576"/>
      <c r="TF66" s="1576"/>
      <c r="TG66" s="1576"/>
      <c r="TH66" s="1576"/>
      <c r="TI66" s="1576"/>
      <c r="TJ66" s="1576"/>
      <c r="TK66" s="1576"/>
      <c r="TL66" s="1576"/>
      <c r="TM66" s="1576"/>
      <c r="TN66" s="1576"/>
      <c r="TO66" s="1576"/>
      <c r="TP66" s="1576"/>
      <c r="TQ66" s="1576"/>
      <c r="TR66" s="1576"/>
      <c r="TS66" s="1576"/>
      <c r="TT66" s="1576"/>
      <c r="TU66" s="1576"/>
      <c r="TV66" s="1576"/>
      <c r="TW66" s="1576"/>
      <c r="TX66" s="1576"/>
      <c r="TY66" s="1576"/>
      <c r="TZ66" s="1576"/>
      <c r="UA66" s="1576"/>
      <c r="UB66" s="1576"/>
      <c r="UC66" s="1576"/>
      <c r="UD66" s="1576"/>
      <c r="UE66" s="1576"/>
      <c r="UF66" s="1576"/>
      <c r="UG66" s="1576"/>
      <c r="UH66" s="1576"/>
      <c r="UI66" s="1576"/>
      <c r="UJ66" s="1576"/>
      <c r="UK66" s="1576"/>
      <c r="UL66" s="1576"/>
      <c r="UM66" s="1576"/>
      <c r="UN66" s="1576"/>
      <c r="UO66" s="1576"/>
      <c r="UP66" s="1576"/>
      <c r="UQ66" s="1576"/>
      <c r="UR66" s="1576"/>
      <c r="US66" s="1576"/>
      <c r="UT66" s="1576"/>
      <c r="UU66" s="1576"/>
      <c r="UV66" s="1576"/>
      <c r="UW66" s="1576"/>
      <c r="UX66" s="1576"/>
      <c r="UY66" s="1576"/>
      <c r="UZ66" s="1576"/>
      <c r="VA66" s="1576"/>
      <c r="VB66" s="1576"/>
      <c r="VC66" s="1576"/>
      <c r="VD66" s="1576"/>
      <c r="VE66" s="1576"/>
      <c r="VF66" s="1576"/>
      <c r="VG66" s="1576"/>
      <c r="VH66" s="1576"/>
      <c r="VI66" s="1576"/>
      <c r="VJ66" s="1576"/>
      <c r="VK66" s="1576"/>
    </row>
    <row r="67" spans="1:583" ht="27" x14ac:dyDescent="0.25">
      <c r="B67" s="1610" t="s">
        <v>629</v>
      </c>
      <c r="C67" s="1582" t="s">
        <v>2760</v>
      </c>
      <c r="D67" s="4710" t="s">
        <v>2761</v>
      </c>
      <c r="E67" s="4710">
        <v>0</v>
      </c>
      <c r="F67" s="2057"/>
      <c r="G67" s="2057"/>
      <c r="H67" s="2057"/>
      <c r="I67" s="2059"/>
      <c r="J67" s="2059"/>
      <c r="K67" s="2059"/>
      <c r="L67" s="2059"/>
      <c r="M67" s="2059"/>
      <c r="N67" s="2059"/>
      <c r="O67" s="2059"/>
      <c r="P67" s="2059"/>
      <c r="Q67" s="2059"/>
      <c r="R67" s="2059"/>
      <c r="S67" s="2059"/>
      <c r="T67" s="2059"/>
      <c r="U67" s="2059"/>
      <c r="V67" s="2059"/>
      <c r="W67" s="2059"/>
      <c r="X67" s="2059"/>
      <c r="Y67" s="2059"/>
      <c r="Z67" s="2059"/>
      <c r="AA67" s="2059"/>
      <c r="AB67" s="2059"/>
      <c r="AC67" s="2059"/>
      <c r="AD67" s="2059"/>
      <c r="AE67" s="2059"/>
      <c r="AF67" s="2059"/>
      <c r="AG67" s="2059"/>
      <c r="AH67" s="2059"/>
      <c r="AI67" s="2059"/>
      <c r="AJ67" s="2059"/>
      <c r="AK67" s="2059"/>
      <c r="AL67" s="2059"/>
      <c r="AM67" s="2059"/>
      <c r="AN67" s="2059"/>
      <c r="AO67" s="2059"/>
      <c r="AP67" s="2059"/>
      <c r="AQ67" s="2059"/>
      <c r="AR67" s="2059"/>
      <c r="AS67" s="2059"/>
      <c r="AT67" s="2059"/>
      <c r="AU67" s="2059"/>
      <c r="AV67" s="2059"/>
      <c r="AW67" s="2059"/>
      <c r="AX67" s="2059"/>
      <c r="AY67" s="2059"/>
      <c r="AZ67" s="2059"/>
      <c r="BA67" s="2059"/>
      <c r="BB67" s="2059"/>
      <c r="BC67" s="2059"/>
      <c r="BD67" s="2059"/>
      <c r="BE67" s="2059"/>
      <c r="BF67" s="2059"/>
      <c r="BG67" s="2059"/>
      <c r="BH67" s="2059"/>
      <c r="BI67" s="2059"/>
      <c r="BJ67" s="2059"/>
      <c r="BK67" s="2059"/>
      <c r="BL67" s="2059"/>
      <c r="BM67" s="2059"/>
      <c r="BN67" s="2059"/>
      <c r="BO67" s="2059"/>
      <c r="BP67" s="2059"/>
      <c r="BQ67" s="2059"/>
      <c r="BR67" s="2059"/>
      <c r="BS67" s="2059"/>
      <c r="BT67" s="2059"/>
      <c r="BU67" s="2059"/>
      <c r="BV67" s="2059"/>
      <c r="BW67" s="2059"/>
      <c r="BX67" s="2059"/>
      <c r="BY67" s="2059"/>
      <c r="BZ67" s="2059"/>
      <c r="CA67" s="2059"/>
      <c r="CB67" s="2059"/>
      <c r="CC67" s="2059"/>
      <c r="CD67" s="2059"/>
      <c r="CE67" s="2059"/>
      <c r="CF67" s="2059"/>
      <c r="CG67" s="2059"/>
      <c r="CH67" s="2059"/>
      <c r="CI67" s="2059"/>
      <c r="CJ67" s="2059"/>
      <c r="CK67" s="2059"/>
      <c r="CL67" s="2059"/>
      <c r="CM67" s="2059"/>
      <c r="CN67" s="2059"/>
      <c r="CO67" s="2059"/>
      <c r="CP67" s="1576"/>
      <c r="CQ67" s="1576"/>
      <c r="CR67" s="1576"/>
      <c r="CS67" s="1576"/>
      <c r="CT67" s="1576"/>
      <c r="CU67" s="1576"/>
      <c r="CV67" s="1576"/>
      <c r="CW67" s="1576"/>
      <c r="CX67" s="1576"/>
      <c r="CY67" s="1576"/>
      <c r="CZ67" s="1576"/>
      <c r="DA67" s="1576"/>
      <c r="DB67" s="1576"/>
      <c r="DC67" s="1576"/>
      <c r="DD67" s="1576"/>
      <c r="DE67" s="1576"/>
      <c r="DF67" s="1576"/>
      <c r="DG67" s="1576"/>
      <c r="DH67" s="1576"/>
      <c r="DI67" s="1576"/>
      <c r="DJ67" s="1576"/>
      <c r="DK67" s="1576"/>
      <c r="DL67" s="1576"/>
      <c r="DM67" s="1576"/>
      <c r="DN67" s="1576"/>
      <c r="DO67" s="1576"/>
      <c r="DP67" s="1576"/>
      <c r="DQ67" s="1576"/>
      <c r="DR67" s="1576"/>
      <c r="DS67" s="1576"/>
      <c r="DT67" s="1576"/>
      <c r="DU67" s="1576"/>
      <c r="DV67" s="1576"/>
      <c r="DW67" s="1576"/>
      <c r="DX67" s="1576"/>
      <c r="DY67" s="1576"/>
      <c r="DZ67" s="1576"/>
      <c r="EA67" s="1576"/>
      <c r="EB67" s="1576"/>
      <c r="EC67" s="1576"/>
      <c r="ED67" s="1576"/>
      <c r="EE67" s="1576"/>
      <c r="EF67" s="1576"/>
      <c r="EG67" s="1576"/>
      <c r="EH67" s="1576"/>
      <c r="EI67" s="1576"/>
      <c r="EJ67" s="1576"/>
      <c r="EK67" s="1576"/>
      <c r="EL67" s="1576"/>
      <c r="EM67" s="1576"/>
      <c r="EN67" s="1576"/>
      <c r="EO67" s="1576"/>
      <c r="EP67" s="1576"/>
      <c r="EQ67" s="1576"/>
      <c r="ER67" s="1576"/>
      <c r="ES67" s="1576"/>
      <c r="ET67" s="1576"/>
      <c r="EU67" s="1576"/>
      <c r="EV67" s="1576"/>
      <c r="EW67" s="1576"/>
      <c r="EX67" s="1576"/>
      <c r="EY67" s="1576"/>
      <c r="EZ67" s="1576"/>
      <c r="FA67" s="1576"/>
      <c r="FB67" s="1576"/>
      <c r="FC67" s="1576"/>
      <c r="FD67" s="1576"/>
      <c r="FE67" s="1576"/>
      <c r="FF67" s="1576"/>
      <c r="FG67" s="1576"/>
      <c r="FH67" s="1576"/>
      <c r="FI67" s="1576"/>
      <c r="FJ67" s="1576"/>
      <c r="FK67" s="1576"/>
      <c r="FL67" s="1576"/>
      <c r="FM67" s="1576"/>
      <c r="FN67" s="1576"/>
      <c r="FO67" s="1576"/>
      <c r="FP67" s="1576"/>
      <c r="FQ67" s="1576"/>
      <c r="FR67" s="1576"/>
      <c r="FS67" s="1576"/>
      <c r="FT67" s="1576"/>
      <c r="FU67" s="1576"/>
      <c r="FV67" s="1576"/>
      <c r="FW67" s="1576"/>
      <c r="FX67" s="1576"/>
      <c r="FY67" s="1576"/>
      <c r="FZ67" s="1576"/>
      <c r="GA67" s="1576"/>
      <c r="GB67" s="1576"/>
      <c r="GC67" s="1576"/>
      <c r="GD67" s="1576"/>
      <c r="GE67" s="1576"/>
      <c r="GF67" s="1576"/>
      <c r="GG67" s="1576"/>
      <c r="GH67" s="1576"/>
      <c r="GI67" s="1576"/>
      <c r="GJ67" s="1576"/>
      <c r="GK67" s="1576"/>
      <c r="GL67" s="1576"/>
      <c r="GM67" s="1576"/>
      <c r="GN67" s="1576"/>
      <c r="GO67" s="1576"/>
      <c r="GP67" s="1576"/>
      <c r="GQ67" s="1576"/>
      <c r="GR67" s="1576"/>
      <c r="GS67" s="1576"/>
      <c r="GT67" s="1576"/>
      <c r="GU67" s="1576"/>
      <c r="GV67" s="1576"/>
      <c r="GW67" s="1576"/>
      <c r="GX67" s="1576"/>
      <c r="GY67" s="1576"/>
      <c r="GZ67" s="1576"/>
      <c r="HA67" s="1576"/>
      <c r="HB67" s="1576"/>
      <c r="HC67" s="1576"/>
      <c r="HD67" s="1576"/>
      <c r="HE67" s="1576"/>
      <c r="HF67" s="1576"/>
      <c r="HG67" s="1576"/>
      <c r="HH67" s="1576"/>
      <c r="HI67" s="1576"/>
      <c r="HJ67" s="1576"/>
      <c r="HK67" s="1576"/>
      <c r="HL67" s="1576"/>
      <c r="HM67" s="1576"/>
      <c r="HN67" s="1576"/>
      <c r="HO67" s="1576"/>
      <c r="HP67" s="1576"/>
      <c r="HQ67" s="1576"/>
      <c r="HR67" s="1576"/>
      <c r="HS67" s="1576"/>
      <c r="HT67" s="1576"/>
      <c r="HU67" s="1576"/>
      <c r="HV67" s="1576"/>
      <c r="HW67" s="1576"/>
      <c r="HX67" s="1576"/>
      <c r="HY67" s="1576"/>
      <c r="HZ67" s="1576"/>
      <c r="IA67" s="1576"/>
      <c r="IB67" s="1576"/>
      <c r="IC67" s="1576"/>
      <c r="ID67" s="1576"/>
      <c r="IE67" s="1576"/>
      <c r="IF67" s="1576"/>
      <c r="IG67" s="1576"/>
      <c r="IH67" s="1576"/>
      <c r="II67" s="1576"/>
      <c r="IJ67" s="1576"/>
      <c r="IK67" s="1576"/>
      <c r="IL67" s="1576"/>
      <c r="IM67" s="1576"/>
      <c r="IN67" s="1576"/>
      <c r="IO67" s="1576"/>
      <c r="IP67" s="1576"/>
      <c r="IQ67" s="1576"/>
      <c r="IR67" s="1576"/>
      <c r="IS67" s="1576"/>
      <c r="IT67" s="1576"/>
      <c r="IU67" s="1576"/>
      <c r="IV67" s="1576"/>
      <c r="IW67" s="1576"/>
      <c r="IX67" s="1576"/>
      <c r="IY67" s="1576"/>
      <c r="IZ67" s="1576"/>
      <c r="JA67" s="2054"/>
      <c r="JB67" s="2054"/>
      <c r="JC67" s="2054"/>
      <c r="JD67" s="2054"/>
      <c r="JE67" s="2054"/>
      <c r="JF67" s="2054"/>
      <c r="JG67" s="2054"/>
      <c r="JH67" s="2054"/>
      <c r="JI67" s="2054"/>
      <c r="JJ67" s="2054"/>
      <c r="JK67" s="2054"/>
      <c r="JL67" s="2054"/>
      <c r="JM67" s="2054"/>
      <c r="JN67" s="2054"/>
      <c r="JO67" s="2054"/>
      <c r="JP67" s="2054"/>
      <c r="JQ67" s="2054"/>
      <c r="JR67" s="1576"/>
      <c r="JS67" s="1576"/>
      <c r="JT67" s="1576"/>
      <c r="JU67" s="1576"/>
      <c r="JV67" s="1576"/>
      <c r="JW67" s="1576"/>
      <c r="JX67" s="1576"/>
      <c r="JY67" s="1576"/>
      <c r="JZ67" s="1576"/>
      <c r="KA67" s="1576"/>
      <c r="KB67" s="1576"/>
      <c r="KC67" s="1576"/>
      <c r="KD67" s="1576"/>
      <c r="KE67" s="1576"/>
      <c r="KF67" s="1576"/>
      <c r="KG67" s="1576"/>
      <c r="KH67" s="1576"/>
      <c r="KI67" s="1576"/>
      <c r="KJ67" s="1576"/>
      <c r="KK67" s="1576"/>
      <c r="KL67" s="1576"/>
      <c r="KM67" s="1576"/>
      <c r="KN67" s="1576"/>
      <c r="KO67" s="1576"/>
      <c r="KP67" s="1576"/>
      <c r="KQ67" s="1576"/>
      <c r="KR67" s="1576"/>
      <c r="KS67" s="1576"/>
      <c r="KT67" s="1576"/>
      <c r="KU67" s="1576"/>
      <c r="KV67" s="1576"/>
      <c r="KW67" s="1576"/>
      <c r="KX67" s="1576"/>
      <c r="KY67" s="1576"/>
      <c r="KZ67" s="1576"/>
      <c r="LA67" s="1576"/>
      <c r="LB67" s="1576"/>
      <c r="LC67" s="1576"/>
      <c r="LD67" s="1576"/>
      <c r="LE67" s="1576"/>
      <c r="LF67" s="1576"/>
      <c r="LG67" s="1576"/>
      <c r="LH67" s="1576"/>
      <c r="LI67" s="1576"/>
      <c r="LJ67" s="1576"/>
      <c r="LK67" s="1576"/>
      <c r="LL67" s="1576"/>
      <c r="LM67" s="1576"/>
      <c r="LN67" s="1576"/>
      <c r="LO67" s="1576"/>
      <c r="LP67" s="1576"/>
      <c r="LQ67" s="1576"/>
      <c r="LR67" s="1576"/>
      <c r="LS67" s="1576"/>
      <c r="LT67" s="1576"/>
      <c r="LU67" s="1576"/>
      <c r="LV67" s="1576"/>
      <c r="LW67" s="1576"/>
      <c r="LX67" s="1576"/>
      <c r="LY67" s="1576"/>
      <c r="LZ67" s="1576"/>
      <c r="MA67" s="1576"/>
      <c r="MB67" s="1576"/>
      <c r="MC67" s="1576"/>
      <c r="MD67" s="1576"/>
      <c r="ME67" s="1576"/>
      <c r="MF67" s="1576"/>
      <c r="MG67" s="1576"/>
      <c r="MH67" s="1576"/>
      <c r="MI67" s="1576"/>
      <c r="MJ67" s="1576"/>
      <c r="MK67" s="1576"/>
      <c r="ML67" s="1576"/>
      <c r="MM67" s="1576"/>
      <c r="MN67" s="1576"/>
      <c r="MO67" s="1576"/>
      <c r="MP67" s="1576"/>
      <c r="MQ67" s="1576"/>
      <c r="MR67" s="1576"/>
      <c r="MS67" s="1576"/>
      <c r="MT67" s="1576"/>
      <c r="MU67" s="1576"/>
      <c r="MV67" s="1576"/>
      <c r="MW67" s="1576"/>
      <c r="MX67" s="1576"/>
      <c r="MY67" s="1576"/>
      <c r="MZ67" s="1576"/>
      <c r="NA67" s="1576"/>
      <c r="NB67" s="1576"/>
      <c r="NC67" s="1576"/>
      <c r="ND67" s="1576"/>
      <c r="NE67" s="1576"/>
      <c r="NF67" s="1576"/>
      <c r="NG67" s="1576"/>
      <c r="NH67" s="1576"/>
      <c r="NI67" s="1576"/>
      <c r="NJ67" s="1576"/>
      <c r="NK67" s="1576"/>
      <c r="NL67" s="1576"/>
      <c r="NM67" s="1576"/>
      <c r="NN67" s="1576"/>
      <c r="NO67" s="1576"/>
      <c r="NP67" s="1576"/>
      <c r="NQ67" s="1576"/>
      <c r="NR67" s="1576"/>
      <c r="NS67" s="1576"/>
      <c r="NT67" s="1576"/>
      <c r="NU67" s="1576"/>
      <c r="NV67" s="1576"/>
      <c r="NW67" s="1576"/>
      <c r="NX67" s="1576"/>
      <c r="NY67" s="1576"/>
      <c r="NZ67" s="1576"/>
      <c r="OA67" s="1576"/>
      <c r="OB67" s="1576"/>
      <c r="OC67" s="1576"/>
      <c r="OD67" s="1576"/>
      <c r="OE67" s="1576"/>
      <c r="OF67" s="1576"/>
      <c r="OG67" s="1576"/>
      <c r="OH67" s="1576"/>
      <c r="OI67" s="1576"/>
      <c r="OJ67" s="1576"/>
      <c r="OK67" s="1576"/>
      <c r="OL67" s="1576"/>
      <c r="OM67" s="1576"/>
      <c r="ON67" s="1576"/>
      <c r="OO67" s="1576"/>
      <c r="OP67" s="1576"/>
      <c r="OQ67" s="1576"/>
      <c r="OR67" s="1576"/>
      <c r="OS67" s="1576"/>
      <c r="OT67" s="1576"/>
      <c r="OU67" s="1576"/>
      <c r="OV67" s="1576"/>
      <c r="OW67" s="1576"/>
      <c r="OX67" s="1576"/>
      <c r="OY67" s="1576"/>
      <c r="OZ67" s="1576"/>
      <c r="PA67" s="1576"/>
      <c r="PB67" s="1576"/>
      <c r="PC67" s="1576"/>
      <c r="PD67" s="1576"/>
      <c r="PE67" s="1576"/>
      <c r="PF67" s="1576"/>
      <c r="PG67" s="1576"/>
      <c r="PH67" s="1576"/>
      <c r="PI67" s="1576"/>
      <c r="PJ67" s="1576"/>
      <c r="PK67" s="1576"/>
      <c r="PL67" s="1576"/>
      <c r="PM67" s="1576"/>
      <c r="PN67" s="1576"/>
      <c r="PO67" s="1576"/>
      <c r="PP67" s="1576"/>
      <c r="PQ67" s="1576"/>
      <c r="PR67" s="1576"/>
      <c r="PS67" s="1576"/>
      <c r="PT67" s="1576"/>
      <c r="PU67" s="1576"/>
      <c r="PV67" s="1576"/>
      <c r="PW67" s="1576"/>
      <c r="PX67" s="1576"/>
      <c r="PY67" s="1576"/>
      <c r="PZ67" s="1576"/>
      <c r="QA67" s="1576"/>
      <c r="QB67" s="1576"/>
      <c r="QC67" s="1576"/>
      <c r="QD67" s="1576"/>
      <c r="QE67" s="1576"/>
      <c r="QF67" s="1576"/>
      <c r="QG67" s="1576"/>
      <c r="QH67" s="1576"/>
      <c r="QI67" s="1576"/>
      <c r="QJ67" s="1576"/>
      <c r="QK67" s="1576"/>
      <c r="QL67" s="1576"/>
      <c r="QM67" s="1576"/>
      <c r="QN67" s="1576"/>
      <c r="QO67" s="1576"/>
      <c r="QP67" s="1576"/>
      <c r="QQ67" s="1576"/>
      <c r="QR67" s="1576"/>
      <c r="QS67" s="1576"/>
      <c r="QT67" s="1576"/>
      <c r="QU67" s="1576"/>
      <c r="QV67" s="1576"/>
      <c r="QW67" s="1576"/>
      <c r="QX67" s="1576"/>
      <c r="QY67" s="1576"/>
      <c r="QZ67" s="1576"/>
      <c r="RA67" s="1576"/>
      <c r="RB67" s="1576"/>
      <c r="RC67" s="1576"/>
      <c r="RD67" s="1576"/>
      <c r="RE67" s="1576"/>
      <c r="RF67" s="1576"/>
      <c r="RG67" s="1576"/>
      <c r="RH67" s="1576"/>
      <c r="RI67" s="1576"/>
      <c r="RJ67" s="1576"/>
      <c r="RK67" s="1576"/>
      <c r="RL67" s="1576"/>
      <c r="RM67" s="1576"/>
      <c r="RN67" s="1576"/>
      <c r="RO67" s="1576"/>
      <c r="RP67" s="1576"/>
      <c r="RQ67" s="1576"/>
      <c r="RR67" s="1576"/>
      <c r="RS67" s="1576"/>
      <c r="RT67" s="1576"/>
      <c r="RU67" s="1576"/>
      <c r="RV67" s="1576"/>
      <c r="RW67" s="1576"/>
      <c r="RX67" s="1576"/>
      <c r="RY67" s="1576"/>
      <c r="RZ67" s="1576"/>
      <c r="SA67" s="1576"/>
      <c r="SB67" s="1576"/>
      <c r="SC67" s="1576"/>
      <c r="SD67" s="1576"/>
      <c r="SE67" s="1576"/>
      <c r="SF67" s="1576"/>
      <c r="SG67" s="1576"/>
      <c r="SH67" s="1576"/>
      <c r="SI67" s="1576"/>
      <c r="SJ67" s="1576"/>
      <c r="SK67" s="1576"/>
      <c r="SL67" s="1576"/>
      <c r="SM67" s="1576"/>
      <c r="SN67" s="1576"/>
      <c r="SO67" s="1576"/>
      <c r="SP67" s="1576"/>
      <c r="SQ67" s="1576"/>
      <c r="SR67" s="1576"/>
      <c r="SS67" s="1576"/>
      <c r="ST67" s="1576"/>
      <c r="SU67" s="1576"/>
      <c r="SV67" s="1576"/>
      <c r="SW67" s="1576"/>
      <c r="SX67" s="1576"/>
      <c r="SY67" s="1576"/>
      <c r="SZ67" s="1576"/>
      <c r="TA67" s="1576"/>
      <c r="TB67" s="1576"/>
      <c r="TC67" s="1576"/>
      <c r="TD67" s="1576"/>
      <c r="TE67" s="1576"/>
      <c r="TF67" s="1576"/>
      <c r="TG67" s="1576"/>
      <c r="TH67" s="1576"/>
      <c r="TI67" s="1576"/>
      <c r="TJ67" s="1576"/>
      <c r="TK67" s="1576"/>
      <c r="TL67" s="1576"/>
      <c r="TM67" s="1576"/>
      <c r="TN67" s="1576"/>
      <c r="TO67" s="1576"/>
      <c r="TP67" s="1576"/>
      <c r="TQ67" s="1576"/>
      <c r="TR67" s="1576"/>
      <c r="TS67" s="1576"/>
      <c r="TT67" s="1576"/>
      <c r="TU67" s="1576"/>
      <c r="TV67" s="1576"/>
      <c r="TW67" s="1576"/>
      <c r="TX67" s="1576"/>
      <c r="TY67" s="1576"/>
      <c r="TZ67" s="1576"/>
      <c r="UA67" s="1576"/>
      <c r="UB67" s="1576"/>
      <c r="UC67" s="1576"/>
      <c r="UD67" s="1576"/>
      <c r="UE67" s="1576"/>
      <c r="UF67" s="1576"/>
      <c r="UG67" s="1576"/>
      <c r="UH67" s="1576"/>
      <c r="UI67" s="1576"/>
      <c r="UJ67" s="1576"/>
      <c r="UK67" s="1576"/>
      <c r="UL67" s="1576"/>
      <c r="UM67" s="1576"/>
      <c r="UN67" s="1576"/>
      <c r="UO67" s="1576"/>
      <c r="UP67" s="1576"/>
      <c r="UQ67" s="1576"/>
      <c r="UR67" s="1576"/>
      <c r="US67" s="1576"/>
      <c r="UT67" s="1576"/>
      <c r="UU67" s="1576"/>
      <c r="UV67" s="1576"/>
      <c r="UW67" s="1576"/>
      <c r="UX67" s="1576"/>
      <c r="UY67" s="1576"/>
      <c r="UZ67" s="1576"/>
      <c r="VA67" s="1576"/>
      <c r="VB67" s="1576"/>
      <c r="VC67" s="1576"/>
      <c r="VD67" s="1576"/>
      <c r="VE67" s="1576"/>
      <c r="VF67" s="1576"/>
      <c r="VG67" s="1576"/>
      <c r="VH67" s="1576"/>
      <c r="VI67" s="1576"/>
      <c r="VJ67" s="1576"/>
      <c r="VK67" s="1576"/>
    </row>
    <row r="68" spans="1:583" ht="27" x14ac:dyDescent="0.25">
      <c r="B68" s="1610" t="s">
        <v>629</v>
      </c>
      <c r="C68" s="1582" t="s">
        <v>2763</v>
      </c>
      <c r="D68" s="4710" t="s">
        <v>2764</v>
      </c>
      <c r="E68" s="4710">
        <v>0</v>
      </c>
      <c r="F68" s="2057"/>
      <c r="G68" s="2057"/>
      <c r="H68" s="2057"/>
      <c r="I68" s="2059"/>
      <c r="J68" s="2059"/>
      <c r="K68" s="2059"/>
      <c r="L68" s="2059"/>
      <c r="M68" s="2059"/>
      <c r="N68" s="2059"/>
      <c r="O68" s="2059"/>
      <c r="P68" s="2059"/>
      <c r="Q68" s="2059"/>
      <c r="R68" s="2059"/>
      <c r="S68" s="2059"/>
      <c r="T68" s="2059"/>
      <c r="U68" s="2059"/>
      <c r="V68" s="2059"/>
      <c r="W68" s="2059"/>
      <c r="X68" s="2059"/>
      <c r="Y68" s="2059"/>
      <c r="Z68" s="2059"/>
      <c r="AA68" s="2059"/>
      <c r="AB68" s="2059"/>
      <c r="AC68" s="2059"/>
      <c r="AD68" s="2059"/>
      <c r="AE68" s="2059"/>
      <c r="AF68" s="2059"/>
      <c r="AG68" s="2059"/>
      <c r="AH68" s="2059"/>
      <c r="AI68" s="2059"/>
      <c r="AJ68" s="2059"/>
      <c r="AK68" s="2059"/>
      <c r="AL68" s="2059"/>
      <c r="AM68" s="2059"/>
      <c r="AN68" s="2059"/>
      <c r="AO68" s="2059"/>
      <c r="AP68" s="2059"/>
      <c r="AQ68" s="2059"/>
      <c r="AR68" s="2059"/>
      <c r="AS68" s="2059"/>
      <c r="AT68" s="2059"/>
      <c r="AU68" s="2059"/>
      <c r="AV68" s="2059"/>
      <c r="AW68" s="2059"/>
      <c r="AX68" s="2059"/>
      <c r="AY68" s="2059"/>
      <c r="AZ68" s="2059"/>
      <c r="BA68" s="2059"/>
      <c r="BB68" s="2059"/>
      <c r="BC68" s="2059"/>
      <c r="BD68" s="2059"/>
      <c r="BE68" s="2059"/>
      <c r="BF68" s="2059"/>
      <c r="BG68" s="2059"/>
      <c r="BH68" s="2059"/>
      <c r="BI68" s="2059"/>
      <c r="BJ68" s="2059"/>
      <c r="BK68" s="2059"/>
      <c r="BL68" s="2059"/>
      <c r="BM68" s="2059"/>
      <c r="BN68" s="2059"/>
      <c r="BO68" s="2059"/>
      <c r="BP68" s="2059"/>
      <c r="BQ68" s="2059"/>
      <c r="BR68" s="2059"/>
      <c r="BS68" s="2059"/>
      <c r="BT68" s="2059"/>
      <c r="BU68" s="2059"/>
      <c r="BV68" s="2059"/>
      <c r="BW68" s="2059"/>
      <c r="BX68" s="2059"/>
      <c r="BY68" s="2059"/>
      <c r="BZ68" s="2059"/>
      <c r="CA68" s="2059"/>
      <c r="CB68" s="2059"/>
      <c r="CC68" s="2059"/>
      <c r="CD68" s="2059"/>
      <c r="CE68" s="2059"/>
      <c r="CF68" s="2059"/>
      <c r="CG68" s="2059"/>
      <c r="CH68" s="2059"/>
      <c r="CI68" s="2059"/>
      <c r="CJ68" s="2059"/>
      <c r="CK68" s="2059"/>
      <c r="CL68" s="2059"/>
      <c r="CM68" s="2059"/>
      <c r="CN68" s="2059"/>
      <c r="CO68" s="2059"/>
      <c r="CP68" s="1576"/>
      <c r="CQ68" s="1576"/>
      <c r="CR68" s="1576"/>
      <c r="CS68" s="1576"/>
      <c r="CT68" s="1576"/>
      <c r="CU68" s="1576"/>
      <c r="CV68" s="1576"/>
      <c r="CW68" s="1576"/>
      <c r="CX68" s="1576"/>
      <c r="CY68" s="1576"/>
      <c r="CZ68" s="1576"/>
      <c r="DA68" s="1576"/>
      <c r="DB68" s="1576"/>
      <c r="DC68" s="1576"/>
      <c r="DD68" s="1576"/>
      <c r="DE68" s="1576"/>
      <c r="DF68" s="1576"/>
      <c r="DG68" s="1576"/>
      <c r="DH68" s="1576"/>
      <c r="DI68" s="1576"/>
      <c r="DJ68" s="1576"/>
      <c r="DK68" s="1576"/>
      <c r="DL68" s="1576"/>
      <c r="DM68" s="1576"/>
      <c r="DN68" s="1576"/>
      <c r="DO68" s="1576"/>
      <c r="DP68" s="1576"/>
      <c r="DQ68" s="1576"/>
      <c r="DR68" s="1576"/>
      <c r="DS68" s="1576"/>
      <c r="DT68" s="1576"/>
      <c r="DU68" s="1576"/>
      <c r="DV68" s="1576"/>
      <c r="DW68" s="1576"/>
      <c r="DX68" s="1576"/>
      <c r="DY68" s="1576"/>
      <c r="DZ68" s="1576"/>
      <c r="EA68" s="1576"/>
      <c r="EB68" s="1576"/>
      <c r="EC68" s="1576"/>
      <c r="ED68" s="1576"/>
      <c r="EE68" s="1576"/>
      <c r="EF68" s="1576"/>
      <c r="EG68" s="1576"/>
      <c r="EH68" s="1576"/>
      <c r="EI68" s="1576"/>
      <c r="EJ68" s="1576"/>
      <c r="EK68" s="1576"/>
      <c r="EL68" s="1576"/>
      <c r="EM68" s="1576"/>
      <c r="EN68" s="1576"/>
      <c r="EO68" s="1576"/>
      <c r="EP68" s="1576"/>
      <c r="EQ68" s="1576"/>
      <c r="ER68" s="1576"/>
      <c r="ES68" s="1576"/>
      <c r="ET68" s="1576"/>
      <c r="EU68" s="1576"/>
      <c r="EV68" s="1576"/>
      <c r="EW68" s="1576"/>
      <c r="EX68" s="1576"/>
      <c r="EY68" s="1576"/>
      <c r="EZ68" s="1576"/>
      <c r="FA68" s="1576"/>
      <c r="FB68" s="1576"/>
      <c r="FC68" s="1576"/>
      <c r="FD68" s="1576"/>
      <c r="FE68" s="1576"/>
      <c r="FF68" s="1576"/>
      <c r="FG68" s="1576"/>
      <c r="FH68" s="1576"/>
      <c r="FI68" s="1576"/>
      <c r="FJ68" s="1576"/>
      <c r="FK68" s="1576"/>
      <c r="FL68" s="1576"/>
      <c r="FM68" s="1576"/>
      <c r="FN68" s="1576"/>
      <c r="FO68" s="1576"/>
      <c r="FP68" s="1576"/>
      <c r="FQ68" s="1576"/>
      <c r="FR68" s="1576"/>
      <c r="FS68" s="1576"/>
      <c r="FT68" s="1576"/>
      <c r="FU68" s="1576"/>
      <c r="FV68" s="1576"/>
      <c r="FW68" s="1576"/>
      <c r="FX68" s="1576"/>
      <c r="FY68" s="1576"/>
      <c r="FZ68" s="1576"/>
      <c r="GA68" s="1576"/>
      <c r="GB68" s="1576"/>
      <c r="GC68" s="1576"/>
      <c r="GD68" s="1576"/>
      <c r="GE68" s="1576"/>
      <c r="GF68" s="1576"/>
      <c r="GG68" s="1576"/>
      <c r="GH68" s="1576"/>
      <c r="GI68" s="1576"/>
      <c r="GJ68" s="1576"/>
      <c r="GK68" s="1576"/>
      <c r="GL68" s="1576"/>
      <c r="GM68" s="1576"/>
      <c r="GN68" s="1576"/>
      <c r="GO68" s="1576"/>
      <c r="GP68" s="1576"/>
      <c r="GQ68" s="1576"/>
      <c r="GR68" s="1576"/>
      <c r="GS68" s="1576"/>
      <c r="GT68" s="1576"/>
      <c r="GU68" s="1576"/>
      <c r="GV68" s="1576"/>
      <c r="GW68" s="1576"/>
      <c r="GX68" s="1576"/>
      <c r="GY68" s="1576"/>
      <c r="GZ68" s="1576"/>
      <c r="HA68" s="1576"/>
      <c r="HB68" s="1576"/>
      <c r="HC68" s="1576"/>
      <c r="HD68" s="1576"/>
      <c r="HE68" s="1576"/>
      <c r="HF68" s="1576"/>
      <c r="HG68" s="1576"/>
      <c r="HH68" s="1576"/>
      <c r="HI68" s="1576"/>
      <c r="HJ68" s="1576"/>
      <c r="HK68" s="1576"/>
      <c r="HL68" s="1576"/>
      <c r="HM68" s="1576"/>
      <c r="HN68" s="1576"/>
      <c r="HO68" s="1576"/>
      <c r="HP68" s="1576"/>
      <c r="HQ68" s="1576"/>
      <c r="HR68" s="1576"/>
      <c r="HS68" s="1576"/>
      <c r="HT68" s="1576"/>
      <c r="HU68" s="1576"/>
      <c r="HV68" s="1576"/>
      <c r="HW68" s="1576"/>
      <c r="HX68" s="1576"/>
      <c r="HY68" s="1576"/>
      <c r="HZ68" s="1576"/>
      <c r="IA68" s="1576"/>
      <c r="IB68" s="1576"/>
      <c r="IC68" s="1576"/>
      <c r="ID68" s="1576"/>
      <c r="IE68" s="1576"/>
      <c r="IF68" s="1576"/>
      <c r="IG68" s="1576"/>
      <c r="IH68" s="1576"/>
      <c r="II68" s="1576"/>
      <c r="IJ68" s="1576"/>
      <c r="IK68" s="1576"/>
      <c r="IL68" s="1576"/>
      <c r="IM68" s="1576"/>
      <c r="IN68" s="1576"/>
      <c r="IO68" s="1576"/>
      <c r="IP68" s="1576"/>
      <c r="IQ68" s="1576"/>
      <c r="IR68" s="1576"/>
      <c r="IS68" s="1576"/>
      <c r="IT68" s="1576"/>
      <c r="IU68" s="1576"/>
      <c r="IV68" s="1576"/>
      <c r="IW68" s="1576"/>
      <c r="IX68" s="1576"/>
      <c r="IY68" s="1576"/>
      <c r="IZ68" s="1576"/>
      <c r="JA68" s="2054"/>
      <c r="JB68" s="2054"/>
      <c r="JC68" s="2054"/>
      <c r="JD68" s="2054"/>
      <c r="JE68" s="2054"/>
      <c r="JF68" s="2054"/>
      <c r="JG68" s="2054"/>
      <c r="JH68" s="2054"/>
      <c r="JI68" s="2054"/>
      <c r="JJ68" s="2054"/>
      <c r="JK68" s="2054"/>
      <c r="JL68" s="2054"/>
      <c r="JM68" s="2054"/>
      <c r="JN68" s="2054"/>
      <c r="JO68" s="2054"/>
      <c r="JP68" s="2054"/>
      <c r="JQ68" s="2054"/>
      <c r="JR68" s="1576"/>
      <c r="JS68" s="1576"/>
      <c r="JT68" s="1576"/>
      <c r="JU68" s="1576"/>
      <c r="JV68" s="1576"/>
      <c r="JW68" s="1576"/>
      <c r="JX68" s="1576"/>
      <c r="JY68" s="1576"/>
      <c r="JZ68" s="1576"/>
      <c r="KA68" s="1576"/>
      <c r="KB68" s="1576"/>
      <c r="KC68" s="1576"/>
      <c r="KD68" s="1576"/>
      <c r="KE68" s="1576"/>
      <c r="KF68" s="1576"/>
      <c r="KG68" s="1576"/>
      <c r="KH68" s="1576"/>
      <c r="KI68" s="1576"/>
      <c r="KJ68" s="1576"/>
      <c r="KK68" s="1576"/>
      <c r="KL68" s="1576"/>
      <c r="KM68" s="1576"/>
      <c r="KN68" s="1576"/>
      <c r="KO68" s="1576"/>
      <c r="KP68" s="1576"/>
      <c r="KQ68" s="1576"/>
      <c r="KR68" s="1576"/>
      <c r="KS68" s="1576"/>
      <c r="KT68" s="1576"/>
      <c r="KU68" s="1576"/>
      <c r="KV68" s="1576"/>
      <c r="KW68" s="1576"/>
      <c r="KX68" s="1576"/>
      <c r="KY68" s="1576"/>
      <c r="KZ68" s="1576"/>
      <c r="LA68" s="1576"/>
      <c r="LB68" s="1576"/>
      <c r="LC68" s="1576"/>
      <c r="LD68" s="1576"/>
      <c r="LE68" s="1576"/>
      <c r="LF68" s="1576"/>
      <c r="LG68" s="1576"/>
      <c r="LH68" s="1576"/>
      <c r="LI68" s="1576"/>
      <c r="LJ68" s="1576"/>
      <c r="LK68" s="1576"/>
      <c r="LL68" s="1576"/>
      <c r="LM68" s="1576"/>
      <c r="LN68" s="1576"/>
      <c r="LO68" s="1576"/>
      <c r="LP68" s="1576"/>
      <c r="LQ68" s="1576"/>
      <c r="LR68" s="1576"/>
      <c r="LS68" s="1576"/>
      <c r="LT68" s="1576"/>
      <c r="LU68" s="1576"/>
      <c r="LV68" s="1576"/>
      <c r="LW68" s="1576"/>
      <c r="LX68" s="1576"/>
      <c r="LY68" s="1576"/>
      <c r="LZ68" s="1576"/>
      <c r="MA68" s="1576"/>
      <c r="MB68" s="1576"/>
      <c r="MC68" s="1576"/>
      <c r="MD68" s="1576"/>
      <c r="ME68" s="1576"/>
      <c r="MF68" s="1576"/>
      <c r="MG68" s="1576"/>
      <c r="MH68" s="1576"/>
      <c r="MI68" s="1576"/>
      <c r="MJ68" s="1576"/>
      <c r="MK68" s="1576"/>
      <c r="ML68" s="1576"/>
      <c r="MM68" s="1576"/>
      <c r="MN68" s="1576"/>
      <c r="MO68" s="1576"/>
      <c r="MP68" s="1576"/>
      <c r="MQ68" s="1576"/>
      <c r="MR68" s="1576"/>
      <c r="MS68" s="1576"/>
      <c r="MT68" s="1576"/>
      <c r="MU68" s="1576"/>
      <c r="MV68" s="1576"/>
      <c r="MW68" s="1576"/>
      <c r="MX68" s="1576"/>
      <c r="MY68" s="1576"/>
      <c r="MZ68" s="1576"/>
      <c r="NA68" s="1576"/>
      <c r="NB68" s="1576"/>
      <c r="NC68" s="1576"/>
      <c r="ND68" s="1576"/>
      <c r="NE68" s="1576"/>
      <c r="NF68" s="1576"/>
      <c r="NG68" s="1576"/>
      <c r="NH68" s="1576"/>
      <c r="NI68" s="1576"/>
      <c r="NJ68" s="1576"/>
      <c r="NK68" s="1576"/>
      <c r="NL68" s="1576"/>
      <c r="NM68" s="1576"/>
      <c r="NN68" s="1576"/>
      <c r="NO68" s="1576"/>
      <c r="NP68" s="1576"/>
      <c r="NQ68" s="1576"/>
      <c r="NR68" s="1576"/>
      <c r="NS68" s="1576"/>
      <c r="NT68" s="1576"/>
      <c r="NU68" s="1576"/>
      <c r="NV68" s="1576"/>
      <c r="NW68" s="1576"/>
      <c r="NX68" s="1576"/>
      <c r="NY68" s="1576"/>
      <c r="NZ68" s="1576"/>
      <c r="OA68" s="1576"/>
      <c r="OB68" s="1576"/>
      <c r="OC68" s="1576"/>
      <c r="OD68" s="1576"/>
      <c r="OE68" s="1576"/>
      <c r="OF68" s="1576"/>
      <c r="OG68" s="1576"/>
      <c r="OH68" s="1576"/>
      <c r="OI68" s="1576"/>
      <c r="OJ68" s="1576"/>
      <c r="OK68" s="1576"/>
      <c r="OL68" s="1576"/>
      <c r="OM68" s="1576"/>
      <c r="ON68" s="1576"/>
      <c r="OO68" s="1576"/>
      <c r="OP68" s="1576"/>
      <c r="OQ68" s="1576"/>
      <c r="OR68" s="1576"/>
      <c r="OS68" s="1576"/>
      <c r="OT68" s="1576"/>
      <c r="OU68" s="1576"/>
      <c r="OV68" s="1576"/>
      <c r="OW68" s="1576"/>
      <c r="OX68" s="1576"/>
      <c r="OY68" s="1576"/>
      <c r="OZ68" s="1576"/>
      <c r="PA68" s="1576"/>
      <c r="PB68" s="1576"/>
      <c r="PC68" s="1576"/>
      <c r="PD68" s="1576"/>
      <c r="PE68" s="1576"/>
      <c r="PF68" s="1576"/>
      <c r="PG68" s="1576"/>
      <c r="PH68" s="1576"/>
      <c r="PI68" s="1576"/>
      <c r="PJ68" s="1576"/>
      <c r="PK68" s="1576"/>
      <c r="PL68" s="1576"/>
      <c r="PM68" s="1576"/>
      <c r="PN68" s="1576"/>
      <c r="PO68" s="1576"/>
      <c r="PP68" s="1576"/>
      <c r="PQ68" s="1576"/>
      <c r="PR68" s="1576"/>
      <c r="PS68" s="1576"/>
      <c r="PT68" s="1576"/>
      <c r="PU68" s="1576"/>
      <c r="PV68" s="1576"/>
      <c r="PW68" s="1576"/>
      <c r="PX68" s="1576"/>
      <c r="PY68" s="1576"/>
      <c r="PZ68" s="1576"/>
      <c r="QA68" s="1576"/>
      <c r="QB68" s="1576"/>
      <c r="QC68" s="1576"/>
      <c r="QD68" s="1576"/>
      <c r="QE68" s="1576"/>
      <c r="QF68" s="1576"/>
      <c r="QG68" s="1576"/>
      <c r="QH68" s="1576"/>
      <c r="QI68" s="1576"/>
      <c r="QJ68" s="1576"/>
      <c r="QK68" s="1576"/>
      <c r="QL68" s="1576"/>
      <c r="QM68" s="1576"/>
      <c r="QN68" s="1576"/>
      <c r="QO68" s="1576"/>
      <c r="QP68" s="1576"/>
      <c r="QQ68" s="1576"/>
      <c r="QR68" s="1576"/>
      <c r="QS68" s="1576"/>
      <c r="QT68" s="1576"/>
      <c r="QU68" s="1576"/>
      <c r="QV68" s="1576"/>
      <c r="QW68" s="1576"/>
      <c r="QX68" s="1576"/>
      <c r="QY68" s="1576"/>
      <c r="QZ68" s="1576"/>
      <c r="RA68" s="1576"/>
      <c r="RB68" s="1576"/>
      <c r="RC68" s="1576"/>
      <c r="RD68" s="1576"/>
      <c r="RE68" s="1576"/>
      <c r="RF68" s="1576"/>
      <c r="RG68" s="1576"/>
      <c r="RH68" s="1576"/>
      <c r="RI68" s="1576"/>
      <c r="RJ68" s="1576"/>
      <c r="RK68" s="1576"/>
      <c r="RL68" s="1576"/>
      <c r="RM68" s="1576"/>
      <c r="RN68" s="1576"/>
      <c r="RO68" s="1576"/>
      <c r="RP68" s="1576"/>
      <c r="RQ68" s="1576"/>
      <c r="RR68" s="1576"/>
      <c r="RS68" s="1576"/>
      <c r="RT68" s="1576"/>
      <c r="RU68" s="1576"/>
      <c r="RV68" s="1576"/>
      <c r="RW68" s="1576"/>
      <c r="RX68" s="1576"/>
      <c r="RY68" s="1576"/>
      <c r="RZ68" s="1576"/>
      <c r="SA68" s="1576"/>
      <c r="SB68" s="1576"/>
      <c r="SC68" s="1576"/>
      <c r="SD68" s="1576"/>
      <c r="SE68" s="1576"/>
      <c r="SF68" s="1576"/>
      <c r="SG68" s="1576"/>
      <c r="SH68" s="1576"/>
      <c r="SI68" s="1576"/>
      <c r="SJ68" s="1576"/>
      <c r="SK68" s="1576"/>
      <c r="SL68" s="1576"/>
      <c r="SM68" s="1576"/>
      <c r="SN68" s="1576"/>
      <c r="SO68" s="1576"/>
      <c r="SP68" s="1576"/>
      <c r="SQ68" s="1576"/>
      <c r="SR68" s="1576"/>
      <c r="SS68" s="1576"/>
      <c r="ST68" s="1576"/>
      <c r="SU68" s="1576"/>
      <c r="SV68" s="1576"/>
      <c r="SW68" s="1576"/>
      <c r="SX68" s="1576"/>
      <c r="SY68" s="1576"/>
      <c r="SZ68" s="1576"/>
      <c r="TA68" s="1576"/>
      <c r="TB68" s="1576"/>
      <c r="TC68" s="1576"/>
      <c r="TD68" s="1576"/>
      <c r="TE68" s="1576"/>
      <c r="TF68" s="1576"/>
      <c r="TG68" s="1576"/>
      <c r="TH68" s="1576"/>
      <c r="TI68" s="1576"/>
      <c r="TJ68" s="1576"/>
      <c r="TK68" s="1576"/>
      <c r="TL68" s="1576"/>
      <c r="TM68" s="1576"/>
      <c r="TN68" s="1576"/>
      <c r="TO68" s="1576"/>
      <c r="TP68" s="1576"/>
      <c r="TQ68" s="1576"/>
      <c r="TR68" s="1576"/>
      <c r="TS68" s="1576"/>
      <c r="TT68" s="1576"/>
      <c r="TU68" s="1576"/>
      <c r="TV68" s="1576"/>
      <c r="TW68" s="1576"/>
      <c r="TX68" s="1576"/>
      <c r="TY68" s="1576"/>
      <c r="TZ68" s="1576"/>
      <c r="UA68" s="1576"/>
      <c r="UB68" s="1576"/>
      <c r="UC68" s="1576"/>
      <c r="UD68" s="1576"/>
      <c r="UE68" s="1576"/>
      <c r="UF68" s="1576"/>
      <c r="UG68" s="1576"/>
      <c r="UH68" s="1576"/>
      <c r="UI68" s="1576"/>
      <c r="UJ68" s="1576"/>
      <c r="UK68" s="1576"/>
      <c r="UL68" s="1576"/>
      <c r="UM68" s="1576"/>
      <c r="UN68" s="1576"/>
      <c r="UO68" s="1576"/>
      <c r="UP68" s="1576"/>
      <c r="UQ68" s="1576"/>
      <c r="UR68" s="1576"/>
      <c r="US68" s="1576"/>
      <c r="UT68" s="1576"/>
      <c r="UU68" s="1576"/>
      <c r="UV68" s="1576"/>
      <c r="UW68" s="1576"/>
      <c r="UX68" s="1576"/>
      <c r="UY68" s="1576"/>
      <c r="UZ68" s="1576"/>
      <c r="VA68" s="1576"/>
      <c r="VB68" s="1576"/>
      <c r="VC68" s="1576"/>
      <c r="VD68" s="1576"/>
      <c r="VE68" s="1576"/>
      <c r="VF68" s="1576"/>
      <c r="VG68" s="1576"/>
      <c r="VH68" s="1576"/>
      <c r="VI68" s="1576"/>
      <c r="VJ68" s="1576"/>
      <c r="VK68" s="1576"/>
    </row>
    <row r="69" spans="1:583" s="1296" customFormat="1" ht="27" x14ac:dyDescent="0.25">
      <c r="B69" s="2055" t="s">
        <v>629</v>
      </c>
      <c r="C69" s="2060" t="s">
        <v>2923</v>
      </c>
      <c r="D69" s="2056" t="s">
        <v>629</v>
      </c>
      <c r="E69" s="2060" t="s">
        <v>2923</v>
      </c>
      <c r="F69" s="2061" t="e">
        <f>SUM(F9:F68)</f>
        <v>#DIV/0!</v>
      </c>
      <c r="G69" s="2061" t="e">
        <f t="shared" ref="G69:BR69" si="34">SUM(G9:G68)</f>
        <v>#DIV/0!</v>
      </c>
      <c r="H69" s="2061" t="e">
        <f t="shared" si="34"/>
        <v>#DIV/0!</v>
      </c>
      <c r="I69" s="2061" t="e">
        <f t="shared" si="34"/>
        <v>#DIV/0!</v>
      </c>
      <c r="J69" s="2061" t="e">
        <f t="shared" si="34"/>
        <v>#DIV/0!</v>
      </c>
      <c r="K69" s="2061" t="e">
        <f t="shared" si="34"/>
        <v>#DIV/0!</v>
      </c>
      <c r="L69" s="2061" t="e">
        <f t="shared" si="34"/>
        <v>#DIV/0!</v>
      </c>
      <c r="M69" s="2061" t="e">
        <f t="shared" si="34"/>
        <v>#DIV/0!</v>
      </c>
      <c r="N69" s="2061" t="e">
        <f t="shared" si="34"/>
        <v>#DIV/0!</v>
      </c>
      <c r="O69" s="2061" t="e">
        <f t="shared" si="34"/>
        <v>#DIV/0!</v>
      </c>
      <c r="P69" s="2061" t="e">
        <f t="shared" si="34"/>
        <v>#DIV/0!</v>
      </c>
      <c r="Q69" s="2061" t="e">
        <f t="shared" si="34"/>
        <v>#DIV/0!</v>
      </c>
      <c r="R69" s="2061" t="e">
        <f t="shared" si="34"/>
        <v>#DIV/0!</v>
      </c>
      <c r="S69" s="2061" t="e">
        <f t="shared" si="34"/>
        <v>#DIV/0!</v>
      </c>
      <c r="T69" s="2061" t="e">
        <f t="shared" si="34"/>
        <v>#DIV/0!</v>
      </c>
      <c r="U69" s="2061" t="e">
        <f t="shared" si="34"/>
        <v>#DIV/0!</v>
      </c>
      <c r="V69" s="2061" t="e">
        <f t="shared" si="34"/>
        <v>#DIV/0!</v>
      </c>
      <c r="W69" s="2061">
        <f t="shared" si="34"/>
        <v>0</v>
      </c>
      <c r="X69" s="2061">
        <f t="shared" si="34"/>
        <v>0</v>
      </c>
      <c r="Y69" s="2061">
        <f t="shared" si="34"/>
        <v>0</v>
      </c>
      <c r="Z69" s="2061">
        <f t="shared" si="34"/>
        <v>0</v>
      </c>
      <c r="AA69" s="2061">
        <f t="shared" si="34"/>
        <v>0</v>
      </c>
      <c r="AB69" s="2061">
        <f t="shared" si="34"/>
        <v>0</v>
      </c>
      <c r="AC69" s="2061">
        <f t="shared" si="34"/>
        <v>0</v>
      </c>
      <c r="AD69" s="2061">
        <f t="shared" si="34"/>
        <v>0</v>
      </c>
      <c r="AE69" s="2061">
        <f t="shared" si="34"/>
        <v>0</v>
      </c>
      <c r="AF69" s="2061">
        <f t="shared" si="34"/>
        <v>0</v>
      </c>
      <c r="AG69" s="2061">
        <f t="shared" si="34"/>
        <v>0</v>
      </c>
      <c r="AH69" s="2061">
        <f t="shared" si="34"/>
        <v>0</v>
      </c>
      <c r="AI69" s="2061">
        <f t="shared" si="34"/>
        <v>0</v>
      </c>
      <c r="AJ69" s="2061">
        <f t="shared" si="34"/>
        <v>0</v>
      </c>
      <c r="AK69" s="2061">
        <f t="shared" si="34"/>
        <v>0</v>
      </c>
      <c r="AL69" s="2061">
        <f t="shared" si="34"/>
        <v>0</v>
      </c>
      <c r="AM69" s="2061">
        <f t="shared" si="34"/>
        <v>0</v>
      </c>
      <c r="AN69" s="2061" t="e">
        <f t="shared" si="34"/>
        <v>#DIV/0!</v>
      </c>
      <c r="AO69" s="2061" t="e">
        <f t="shared" si="34"/>
        <v>#DIV/0!</v>
      </c>
      <c r="AP69" s="2061" t="e">
        <f t="shared" si="34"/>
        <v>#DIV/0!</v>
      </c>
      <c r="AQ69" s="2061" t="e">
        <f t="shared" si="34"/>
        <v>#DIV/0!</v>
      </c>
      <c r="AR69" s="2061" t="e">
        <f t="shared" si="34"/>
        <v>#DIV/0!</v>
      </c>
      <c r="AS69" s="2061" t="e">
        <f t="shared" si="34"/>
        <v>#DIV/0!</v>
      </c>
      <c r="AT69" s="2061" t="e">
        <f t="shared" si="34"/>
        <v>#DIV/0!</v>
      </c>
      <c r="AU69" s="2061" t="e">
        <f t="shared" si="34"/>
        <v>#DIV/0!</v>
      </c>
      <c r="AV69" s="2061" t="e">
        <f t="shared" si="34"/>
        <v>#DIV/0!</v>
      </c>
      <c r="AW69" s="2061" t="e">
        <f t="shared" si="34"/>
        <v>#DIV/0!</v>
      </c>
      <c r="AX69" s="2061" t="e">
        <f t="shared" si="34"/>
        <v>#DIV/0!</v>
      </c>
      <c r="AY69" s="2061" t="e">
        <f t="shared" si="34"/>
        <v>#DIV/0!</v>
      </c>
      <c r="AZ69" s="2061" t="e">
        <f t="shared" si="34"/>
        <v>#DIV/0!</v>
      </c>
      <c r="BA69" s="2061" t="e">
        <f t="shared" si="34"/>
        <v>#DIV/0!</v>
      </c>
      <c r="BB69" s="2061" t="e">
        <f t="shared" si="34"/>
        <v>#DIV/0!</v>
      </c>
      <c r="BC69" s="2061" t="e">
        <f t="shared" si="34"/>
        <v>#DIV/0!</v>
      </c>
      <c r="BD69" s="2061" t="e">
        <f t="shared" si="34"/>
        <v>#DIV/0!</v>
      </c>
      <c r="BE69" s="2061">
        <f t="shared" si="34"/>
        <v>0</v>
      </c>
      <c r="BF69" s="2061">
        <f t="shared" si="34"/>
        <v>0</v>
      </c>
      <c r="BG69" s="2061">
        <f t="shared" si="34"/>
        <v>0</v>
      </c>
      <c r="BH69" s="2061">
        <f t="shared" si="34"/>
        <v>0</v>
      </c>
      <c r="BI69" s="2061">
        <f t="shared" si="34"/>
        <v>0</v>
      </c>
      <c r="BJ69" s="2061">
        <f t="shared" si="34"/>
        <v>0</v>
      </c>
      <c r="BK69" s="2061">
        <f t="shared" si="34"/>
        <v>0</v>
      </c>
      <c r="BL69" s="2061">
        <f t="shared" si="34"/>
        <v>0</v>
      </c>
      <c r="BM69" s="2061">
        <f t="shared" si="34"/>
        <v>0</v>
      </c>
      <c r="BN69" s="2061">
        <f t="shared" si="34"/>
        <v>0</v>
      </c>
      <c r="BO69" s="2061">
        <f t="shared" si="34"/>
        <v>0</v>
      </c>
      <c r="BP69" s="2061">
        <f t="shared" si="34"/>
        <v>0</v>
      </c>
      <c r="BQ69" s="2061">
        <f t="shared" si="34"/>
        <v>0</v>
      </c>
      <c r="BR69" s="2061">
        <f t="shared" si="34"/>
        <v>0</v>
      </c>
      <c r="BS69" s="2061">
        <f t="shared" ref="BS69:ED69" si="35">SUM(BS9:BS68)</f>
        <v>0</v>
      </c>
      <c r="BT69" s="2061">
        <f t="shared" si="35"/>
        <v>0</v>
      </c>
      <c r="BU69" s="2061">
        <f t="shared" si="35"/>
        <v>0</v>
      </c>
      <c r="BV69" s="2061" t="e">
        <f t="shared" si="35"/>
        <v>#DIV/0!</v>
      </c>
      <c r="BW69" s="2061" t="e">
        <f t="shared" si="35"/>
        <v>#DIV/0!</v>
      </c>
      <c r="BX69" s="2061" t="e">
        <f t="shared" si="35"/>
        <v>#DIV/0!</v>
      </c>
      <c r="BY69" s="2061" t="e">
        <f t="shared" si="35"/>
        <v>#DIV/0!</v>
      </c>
      <c r="BZ69" s="2061" t="e">
        <f t="shared" si="35"/>
        <v>#DIV/0!</v>
      </c>
      <c r="CA69" s="2061" t="e">
        <f t="shared" si="35"/>
        <v>#DIV/0!</v>
      </c>
      <c r="CB69" s="2061" t="e">
        <f t="shared" si="35"/>
        <v>#DIV/0!</v>
      </c>
      <c r="CC69" s="2061" t="e">
        <f t="shared" si="35"/>
        <v>#DIV/0!</v>
      </c>
      <c r="CD69" s="2061" t="e">
        <f t="shared" si="35"/>
        <v>#DIV/0!</v>
      </c>
      <c r="CE69" s="2061" t="e">
        <f t="shared" si="35"/>
        <v>#DIV/0!</v>
      </c>
      <c r="CF69" s="2061" t="e">
        <f t="shared" si="35"/>
        <v>#DIV/0!</v>
      </c>
      <c r="CG69" s="2061" t="e">
        <f t="shared" si="35"/>
        <v>#DIV/0!</v>
      </c>
      <c r="CH69" s="2061" t="e">
        <f t="shared" si="35"/>
        <v>#DIV/0!</v>
      </c>
      <c r="CI69" s="2061" t="e">
        <f t="shared" si="35"/>
        <v>#DIV/0!</v>
      </c>
      <c r="CJ69" s="2061" t="e">
        <f t="shared" si="35"/>
        <v>#DIV/0!</v>
      </c>
      <c r="CK69" s="2061" t="e">
        <f t="shared" si="35"/>
        <v>#DIV/0!</v>
      </c>
      <c r="CL69" s="2061" t="e">
        <f t="shared" si="35"/>
        <v>#DIV/0!</v>
      </c>
      <c r="CM69" s="2061" t="e">
        <f t="shared" si="35"/>
        <v>#DIV/0!</v>
      </c>
      <c r="CN69" s="2061" t="e">
        <f t="shared" si="35"/>
        <v>#DIV/0!</v>
      </c>
      <c r="CO69" s="2061" t="e">
        <f t="shared" si="35"/>
        <v>#DIV/0!</v>
      </c>
      <c r="CP69" s="2061" t="e">
        <f t="shared" si="35"/>
        <v>#DIV/0!</v>
      </c>
      <c r="CQ69" s="2061" t="e">
        <f t="shared" si="35"/>
        <v>#DIV/0!</v>
      </c>
      <c r="CR69" s="2061" t="e">
        <f t="shared" si="35"/>
        <v>#DIV/0!</v>
      </c>
      <c r="CS69" s="2061" t="e">
        <f t="shared" si="35"/>
        <v>#DIV/0!</v>
      </c>
      <c r="CT69" s="2061" t="e">
        <f t="shared" si="35"/>
        <v>#DIV/0!</v>
      </c>
      <c r="CU69" s="2061" t="e">
        <f t="shared" si="35"/>
        <v>#DIV/0!</v>
      </c>
      <c r="CV69" s="2061" t="e">
        <f t="shared" si="35"/>
        <v>#DIV/0!</v>
      </c>
      <c r="CW69" s="2061" t="e">
        <f t="shared" si="35"/>
        <v>#DIV/0!</v>
      </c>
      <c r="CX69" s="2061" t="e">
        <f t="shared" si="35"/>
        <v>#DIV/0!</v>
      </c>
      <c r="CY69" s="2061" t="e">
        <f t="shared" si="35"/>
        <v>#DIV/0!</v>
      </c>
      <c r="CZ69" s="2061" t="e">
        <f t="shared" si="35"/>
        <v>#DIV/0!</v>
      </c>
      <c r="DA69" s="2061" t="e">
        <f t="shared" si="35"/>
        <v>#DIV/0!</v>
      </c>
      <c r="DB69" s="2061" t="e">
        <f t="shared" si="35"/>
        <v>#DIV/0!</v>
      </c>
      <c r="DC69" s="2061" t="e">
        <f t="shared" si="35"/>
        <v>#DIV/0!</v>
      </c>
      <c r="DD69" s="2061">
        <f t="shared" si="35"/>
        <v>0</v>
      </c>
      <c r="DE69" s="2061">
        <f t="shared" si="35"/>
        <v>0</v>
      </c>
      <c r="DF69" s="2061">
        <f t="shared" si="35"/>
        <v>0</v>
      </c>
      <c r="DG69" s="2061">
        <f t="shared" si="35"/>
        <v>0</v>
      </c>
      <c r="DH69" s="2061">
        <f t="shared" si="35"/>
        <v>0</v>
      </c>
      <c r="DI69" s="2061">
        <f t="shared" si="35"/>
        <v>0</v>
      </c>
      <c r="DJ69" s="2061">
        <f t="shared" si="35"/>
        <v>0</v>
      </c>
      <c r="DK69" s="2061">
        <f t="shared" si="35"/>
        <v>0</v>
      </c>
      <c r="DL69" s="2061">
        <f t="shared" si="35"/>
        <v>0</v>
      </c>
      <c r="DM69" s="2061">
        <f t="shared" si="35"/>
        <v>0</v>
      </c>
      <c r="DN69" s="2061">
        <f t="shared" si="35"/>
        <v>0</v>
      </c>
      <c r="DO69" s="2061">
        <f t="shared" si="35"/>
        <v>0</v>
      </c>
      <c r="DP69" s="2061">
        <f t="shared" si="35"/>
        <v>0</v>
      </c>
      <c r="DQ69" s="2061">
        <f t="shared" si="35"/>
        <v>0</v>
      </c>
      <c r="DR69" s="2061">
        <f t="shared" si="35"/>
        <v>0</v>
      </c>
      <c r="DS69" s="2061">
        <f t="shared" si="35"/>
        <v>0</v>
      </c>
      <c r="DT69" s="2061">
        <f t="shared" si="35"/>
        <v>0</v>
      </c>
      <c r="DU69" s="2061">
        <f t="shared" si="35"/>
        <v>0</v>
      </c>
      <c r="DV69" s="2061">
        <f t="shared" si="35"/>
        <v>0</v>
      </c>
      <c r="DW69" s="2061">
        <f t="shared" si="35"/>
        <v>0</v>
      </c>
      <c r="DX69" s="2061">
        <f t="shared" si="35"/>
        <v>0</v>
      </c>
      <c r="DY69" s="2061">
        <f t="shared" si="35"/>
        <v>0</v>
      </c>
      <c r="DZ69" s="2061">
        <f t="shared" si="35"/>
        <v>0</v>
      </c>
      <c r="EA69" s="2061">
        <f t="shared" si="35"/>
        <v>0</v>
      </c>
      <c r="EB69" s="2061">
        <f t="shared" si="35"/>
        <v>0</v>
      </c>
      <c r="EC69" s="2061">
        <f t="shared" si="35"/>
        <v>0</v>
      </c>
      <c r="ED69" s="2061">
        <f t="shared" si="35"/>
        <v>0</v>
      </c>
      <c r="EE69" s="2061">
        <f t="shared" ref="EE69:GP69" si="36">SUM(EE9:EE68)</f>
        <v>0</v>
      </c>
      <c r="EF69" s="2061">
        <f t="shared" si="36"/>
        <v>0</v>
      </c>
      <c r="EG69" s="2061">
        <f t="shared" si="36"/>
        <v>0</v>
      </c>
      <c r="EH69" s="2061">
        <f t="shared" si="36"/>
        <v>0</v>
      </c>
      <c r="EI69" s="2061">
        <f t="shared" si="36"/>
        <v>0</v>
      </c>
      <c r="EJ69" s="2061">
        <f t="shared" si="36"/>
        <v>0</v>
      </c>
      <c r="EK69" s="2061">
        <f t="shared" si="36"/>
        <v>0</v>
      </c>
      <c r="EL69" s="2061">
        <f t="shared" si="36"/>
        <v>0</v>
      </c>
      <c r="EM69" s="2061">
        <f t="shared" si="36"/>
        <v>0</v>
      </c>
      <c r="EN69" s="2061">
        <f t="shared" si="36"/>
        <v>0</v>
      </c>
      <c r="EO69" s="2061">
        <f t="shared" si="36"/>
        <v>0</v>
      </c>
      <c r="EP69" s="2061">
        <f t="shared" si="36"/>
        <v>0</v>
      </c>
      <c r="EQ69" s="2061">
        <f t="shared" si="36"/>
        <v>0</v>
      </c>
      <c r="ER69" s="2061">
        <f t="shared" si="36"/>
        <v>0</v>
      </c>
      <c r="ES69" s="2061">
        <f t="shared" si="36"/>
        <v>0</v>
      </c>
      <c r="ET69" s="2061">
        <f t="shared" si="36"/>
        <v>0</v>
      </c>
      <c r="EU69" s="2061">
        <f t="shared" si="36"/>
        <v>0</v>
      </c>
      <c r="EV69" s="2061">
        <f t="shared" si="36"/>
        <v>0</v>
      </c>
      <c r="EW69" s="2061">
        <f t="shared" si="36"/>
        <v>0</v>
      </c>
      <c r="EX69" s="2061">
        <f t="shared" si="36"/>
        <v>0</v>
      </c>
      <c r="EY69" s="2061">
        <f t="shared" si="36"/>
        <v>0</v>
      </c>
      <c r="EZ69" s="2061">
        <f t="shared" si="36"/>
        <v>0</v>
      </c>
      <c r="FA69" s="2061">
        <f t="shared" si="36"/>
        <v>0</v>
      </c>
      <c r="FB69" s="2061">
        <f t="shared" si="36"/>
        <v>0</v>
      </c>
      <c r="FC69" s="2061">
        <f t="shared" si="36"/>
        <v>0</v>
      </c>
      <c r="FD69" s="2061">
        <f t="shared" si="36"/>
        <v>0</v>
      </c>
      <c r="FE69" s="2061">
        <f t="shared" si="36"/>
        <v>0</v>
      </c>
      <c r="FF69" s="2061">
        <f t="shared" si="36"/>
        <v>0</v>
      </c>
      <c r="FG69" s="2061">
        <f t="shared" si="36"/>
        <v>0</v>
      </c>
      <c r="FH69" s="2061">
        <f t="shared" si="36"/>
        <v>0</v>
      </c>
      <c r="FI69" s="2061">
        <f t="shared" si="36"/>
        <v>0</v>
      </c>
      <c r="FJ69" s="2061">
        <f t="shared" si="36"/>
        <v>0</v>
      </c>
      <c r="FK69" s="2061">
        <f t="shared" si="36"/>
        <v>0</v>
      </c>
      <c r="FL69" s="2061">
        <f t="shared" si="36"/>
        <v>0</v>
      </c>
      <c r="FM69" s="2061">
        <f t="shared" si="36"/>
        <v>0</v>
      </c>
      <c r="FN69" s="2061">
        <f t="shared" si="36"/>
        <v>0</v>
      </c>
      <c r="FO69" s="2061">
        <f t="shared" si="36"/>
        <v>0</v>
      </c>
      <c r="FP69" s="2061">
        <f t="shared" si="36"/>
        <v>0</v>
      </c>
      <c r="FQ69" s="2061">
        <f t="shared" si="36"/>
        <v>0</v>
      </c>
      <c r="FR69" s="2061">
        <f t="shared" si="36"/>
        <v>0</v>
      </c>
      <c r="FS69" s="2061">
        <f t="shared" si="36"/>
        <v>0</v>
      </c>
      <c r="FT69" s="2061">
        <f t="shared" si="36"/>
        <v>0</v>
      </c>
      <c r="FU69" s="2061">
        <f t="shared" si="36"/>
        <v>0</v>
      </c>
      <c r="FV69" s="2061">
        <f t="shared" si="36"/>
        <v>0</v>
      </c>
      <c r="FW69" s="2061">
        <f t="shared" si="36"/>
        <v>0</v>
      </c>
      <c r="FX69" s="2061">
        <f t="shared" si="36"/>
        <v>0</v>
      </c>
      <c r="FY69" s="2061">
        <f t="shared" si="36"/>
        <v>0</v>
      </c>
      <c r="FZ69" s="2061">
        <f t="shared" si="36"/>
        <v>0</v>
      </c>
      <c r="GA69" s="2061">
        <f t="shared" si="36"/>
        <v>0</v>
      </c>
      <c r="GB69" s="2061">
        <f t="shared" si="36"/>
        <v>0</v>
      </c>
      <c r="GC69" s="2061">
        <f t="shared" si="36"/>
        <v>0</v>
      </c>
      <c r="GD69" s="2061">
        <f t="shared" si="36"/>
        <v>0</v>
      </c>
      <c r="GE69" s="2061">
        <f t="shared" si="36"/>
        <v>0</v>
      </c>
      <c r="GF69" s="2061">
        <f t="shared" si="36"/>
        <v>0</v>
      </c>
      <c r="GG69" s="2061">
        <f t="shared" si="36"/>
        <v>0</v>
      </c>
      <c r="GH69" s="2061">
        <f t="shared" si="36"/>
        <v>0</v>
      </c>
      <c r="GI69" s="2061">
        <f t="shared" si="36"/>
        <v>0</v>
      </c>
      <c r="GJ69" s="2061">
        <f t="shared" si="36"/>
        <v>0</v>
      </c>
      <c r="GK69" s="2061">
        <f t="shared" si="36"/>
        <v>0</v>
      </c>
      <c r="GL69" s="2061">
        <f t="shared" si="36"/>
        <v>0</v>
      </c>
      <c r="GM69" s="2061">
        <f t="shared" si="36"/>
        <v>0</v>
      </c>
      <c r="GN69" s="2061">
        <f t="shared" si="36"/>
        <v>0</v>
      </c>
      <c r="GO69" s="2061">
        <f t="shared" si="36"/>
        <v>0</v>
      </c>
      <c r="GP69" s="2061">
        <f t="shared" si="36"/>
        <v>0</v>
      </c>
      <c r="GQ69" s="2061">
        <f t="shared" ref="GQ69:JB69" si="37">SUM(GQ9:GQ68)</f>
        <v>0</v>
      </c>
      <c r="GR69" s="2061">
        <f t="shared" si="37"/>
        <v>0</v>
      </c>
      <c r="GS69" s="2061">
        <f t="shared" si="37"/>
        <v>0</v>
      </c>
      <c r="GT69" s="2061">
        <f t="shared" si="37"/>
        <v>0</v>
      </c>
      <c r="GU69" s="2061">
        <f t="shared" si="37"/>
        <v>0</v>
      </c>
      <c r="GV69" s="2061">
        <f t="shared" si="37"/>
        <v>0</v>
      </c>
      <c r="GW69" s="2061">
        <f t="shared" si="37"/>
        <v>0</v>
      </c>
      <c r="GX69" s="2061">
        <f t="shared" si="37"/>
        <v>0</v>
      </c>
      <c r="GY69" s="2061">
        <f t="shared" si="37"/>
        <v>0</v>
      </c>
      <c r="GZ69" s="2061">
        <f t="shared" si="37"/>
        <v>0</v>
      </c>
      <c r="HA69" s="2061">
        <f t="shared" si="37"/>
        <v>0</v>
      </c>
      <c r="HB69" s="2061">
        <f t="shared" si="37"/>
        <v>0</v>
      </c>
      <c r="HC69" s="2061">
        <f t="shared" si="37"/>
        <v>0</v>
      </c>
      <c r="HD69" s="2061">
        <f t="shared" si="37"/>
        <v>0</v>
      </c>
      <c r="HE69" s="2061">
        <f t="shared" si="37"/>
        <v>0</v>
      </c>
      <c r="HF69" s="2061">
        <f t="shared" si="37"/>
        <v>0</v>
      </c>
      <c r="HG69" s="2061">
        <f t="shared" si="37"/>
        <v>0</v>
      </c>
      <c r="HH69" s="2061">
        <f t="shared" si="37"/>
        <v>0</v>
      </c>
      <c r="HI69" s="2061">
        <f t="shared" si="37"/>
        <v>0</v>
      </c>
      <c r="HJ69" s="2061">
        <f t="shared" si="37"/>
        <v>0</v>
      </c>
      <c r="HK69" s="2061">
        <f t="shared" si="37"/>
        <v>0</v>
      </c>
      <c r="HL69" s="2061">
        <f t="shared" si="37"/>
        <v>0</v>
      </c>
      <c r="HM69" s="2061">
        <f t="shared" si="37"/>
        <v>0</v>
      </c>
      <c r="HN69" s="2061">
        <f t="shared" si="37"/>
        <v>0</v>
      </c>
      <c r="HO69" s="2061">
        <f t="shared" si="37"/>
        <v>0</v>
      </c>
      <c r="HP69" s="2061">
        <f t="shared" si="37"/>
        <v>0</v>
      </c>
      <c r="HQ69" s="2061">
        <f t="shared" si="37"/>
        <v>0</v>
      </c>
      <c r="HR69" s="2061">
        <f t="shared" si="37"/>
        <v>0</v>
      </c>
      <c r="HS69" s="2061">
        <f t="shared" si="37"/>
        <v>0</v>
      </c>
      <c r="HT69" s="2061">
        <f t="shared" si="37"/>
        <v>0</v>
      </c>
      <c r="HU69" s="2061">
        <f t="shared" si="37"/>
        <v>0</v>
      </c>
      <c r="HV69" s="2061">
        <f t="shared" si="37"/>
        <v>0</v>
      </c>
      <c r="HW69" s="2061">
        <f t="shared" si="37"/>
        <v>0</v>
      </c>
      <c r="HX69" s="2061">
        <f t="shared" si="37"/>
        <v>0</v>
      </c>
      <c r="HY69" s="2061">
        <f t="shared" si="37"/>
        <v>0</v>
      </c>
      <c r="HZ69" s="2061">
        <f t="shared" si="37"/>
        <v>0</v>
      </c>
      <c r="IA69" s="2061">
        <f t="shared" si="37"/>
        <v>0</v>
      </c>
      <c r="IB69" s="2061">
        <f t="shared" si="37"/>
        <v>0</v>
      </c>
      <c r="IC69" s="2061">
        <f t="shared" si="37"/>
        <v>0</v>
      </c>
      <c r="ID69" s="2061">
        <f t="shared" si="37"/>
        <v>0</v>
      </c>
      <c r="IE69" s="2061">
        <f t="shared" si="37"/>
        <v>0</v>
      </c>
      <c r="IF69" s="2061">
        <f t="shared" si="37"/>
        <v>0</v>
      </c>
      <c r="IG69" s="2061">
        <f t="shared" si="37"/>
        <v>0</v>
      </c>
      <c r="IH69" s="2061">
        <f t="shared" si="37"/>
        <v>0</v>
      </c>
      <c r="II69" s="2061">
        <f t="shared" si="37"/>
        <v>0</v>
      </c>
      <c r="IJ69" s="2061">
        <f t="shared" si="37"/>
        <v>0</v>
      </c>
      <c r="IK69" s="2061">
        <f t="shared" si="37"/>
        <v>0</v>
      </c>
      <c r="IL69" s="2061">
        <f t="shared" si="37"/>
        <v>0</v>
      </c>
      <c r="IM69" s="2061">
        <f t="shared" si="37"/>
        <v>0</v>
      </c>
      <c r="IN69" s="2061">
        <f t="shared" si="37"/>
        <v>0</v>
      </c>
      <c r="IO69" s="2061">
        <f t="shared" si="37"/>
        <v>0</v>
      </c>
      <c r="IP69" s="2061">
        <f t="shared" si="37"/>
        <v>0</v>
      </c>
      <c r="IQ69" s="2061">
        <f t="shared" si="37"/>
        <v>0</v>
      </c>
      <c r="IR69" s="2061">
        <f t="shared" si="37"/>
        <v>0</v>
      </c>
      <c r="IS69" s="2061">
        <f t="shared" si="37"/>
        <v>0</v>
      </c>
      <c r="IT69" s="2061">
        <f t="shared" si="37"/>
        <v>0</v>
      </c>
      <c r="IU69" s="2061">
        <f t="shared" si="37"/>
        <v>0</v>
      </c>
      <c r="IV69" s="2061">
        <f t="shared" si="37"/>
        <v>0</v>
      </c>
      <c r="IW69" s="2061">
        <f t="shared" si="37"/>
        <v>0</v>
      </c>
      <c r="IX69" s="2061">
        <f t="shared" si="37"/>
        <v>0</v>
      </c>
      <c r="IY69" s="2061">
        <f t="shared" si="37"/>
        <v>0</v>
      </c>
      <c r="IZ69" s="2061">
        <f t="shared" si="37"/>
        <v>0</v>
      </c>
      <c r="JA69" s="2061">
        <f t="shared" si="37"/>
        <v>0</v>
      </c>
      <c r="JB69" s="2061">
        <f t="shared" si="37"/>
        <v>0</v>
      </c>
      <c r="JC69" s="2061">
        <f t="shared" ref="JC69:LN69" si="38">SUM(JC9:JC68)</f>
        <v>0</v>
      </c>
      <c r="JD69" s="2061">
        <f t="shared" si="38"/>
        <v>0</v>
      </c>
      <c r="JE69" s="2061">
        <f t="shared" si="38"/>
        <v>0</v>
      </c>
      <c r="JF69" s="2061">
        <f t="shared" si="38"/>
        <v>0</v>
      </c>
      <c r="JG69" s="2061">
        <f t="shared" si="38"/>
        <v>0</v>
      </c>
      <c r="JH69" s="2061">
        <f t="shared" si="38"/>
        <v>0</v>
      </c>
      <c r="JI69" s="2061">
        <f t="shared" si="38"/>
        <v>0</v>
      </c>
      <c r="JJ69" s="2061">
        <f t="shared" si="38"/>
        <v>0</v>
      </c>
      <c r="JK69" s="2061">
        <f t="shared" si="38"/>
        <v>0</v>
      </c>
      <c r="JL69" s="2061">
        <f t="shared" si="38"/>
        <v>0</v>
      </c>
      <c r="JM69" s="2061">
        <f t="shared" si="38"/>
        <v>0</v>
      </c>
      <c r="JN69" s="2061">
        <f t="shared" si="38"/>
        <v>0</v>
      </c>
      <c r="JO69" s="2061">
        <f t="shared" si="38"/>
        <v>0</v>
      </c>
      <c r="JP69" s="2061">
        <f t="shared" si="38"/>
        <v>0</v>
      </c>
      <c r="JQ69" s="2061">
        <f t="shared" si="38"/>
        <v>0</v>
      </c>
      <c r="JR69" s="2061" t="e">
        <f t="shared" si="38"/>
        <v>#DIV/0!</v>
      </c>
      <c r="JS69" s="2061" t="e">
        <f t="shared" si="38"/>
        <v>#DIV/0!</v>
      </c>
      <c r="JT69" s="2061" t="e">
        <f t="shared" si="38"/>
        <v>#DIV/0!</v>
      </c>
      <c r="JU69" s="2061" t="e">
        <f t="shared" si="38"/>
        <v>#DIV/0!</v>
      </c>
      <c r="JV69" s="2061" t="e">
        <f t="shared" si="38"/>
        <v>#DIV/0!</v>
      </c>
      <c r="JW69" s="2061" t="e">
        <f t="shared" si="38"/>
        <v>#DIV/0!</v>
      </c>
      <c r="JX69" s="2061" t="e">
        <f t="shared" si="38"/>
        <v>#DIV/0!</v>
      </c>
      <c r="JY69" s="2061" t="e">
        <f t="shared" si="38"/>
        <v>#DIV/0!</v>
      </c>
      <c r="JZ69" s="2061" t="e">
        <f t="shared" si="38"/>
        <v>#DIV/0!</v>
      </c>
      <c r="KA69" s="2061" t="e">
        <f t="shared" si="38"/>
        <v>#DIV/0!</v>
      </c>
      <c r="KB69" s="2061" t="e">
        <f t="shared" si="38"/>
        <v>#DIV/0!</v>
      </c>
      <c r="KC69" s="2061" t="e">
        <f t="shared" si="38"/>
        <v>#DIV/0!</v>
      </c>
      <c r="KD69" s="2061" t="e">
        <f t="shared" si="38"/>
        <v>#DIV/0!</v>
      </c>
      <c r="KE69" s="2061" t="e">
        <f t="shared" si="38"/>
        <v>#DIV/0!</v>
      </c>
      <c r="KF69" s="2061" t="e">
        <f t="shared" si="38"/>
        <v>#DIV/0!</v>
      </c>
      <c r="KG69" s="2061" t="e">
        <f t="shared" si="38"/>
        <v>#DIV/0!</v>
      </c>
      <c r="KH69" s="2061" t="e">
        <f t="shared" si="38"/>
        <v>#DIV/0!</v>
      </c>
      <c r="KI69" s="2061" t="e">
        <f t="shared" si="38"/>
        <v>#REF!</v>
      </c>
      <c r="KJ69" s="2061" t="e">
        <f t="shared" si="38"/>
        <v>#REF!</v>
      </c>
      <c r="KK69" s="2061" t="e">
        <f t="shared" si="38"/>
        <v>#REF!</v>
      </c>
      <c r="KL69" s="2061" t="e">
        <f t="shared" si="38"/>
        <v>#REF!</v>
      </c>
      <c r="KM69" s="2061" t="e">
        <f t="shared" si="38"/>
        <v>#REF!</v>
      </c>
      <c r="KN69" s="2061" t="e">
        <f t="shared" si="38"/>
        <v>#REF!</v>
      </c>
      <c r="KO69" s="2061" t="e">
        <f t="shared" si="38"/>
        <v>#REF!</v>
      </c>
      <c r="KP69" s="2061" t="e">
        <f t="shared" si="38"/>
        <v>#REF!</v>
      </c>
      <c r="KQ69" s="2061" t="e">
        <f t="shared" si="38"/>
        <v>#REF!</v>
      </c>
      <c r="KR69" s="2061" t="e">
        <f t="shared" si="38"/>
        <v>#REF!</v>
      </c>
      <c r="KS69" s="2061" t="e">
        <f t="shared" si="38"/>
        <v>#REF!</v>
      </c>
      <c r="KT69" s="2061" t="e">
        <f t="shared" si="38"/>
        <v>#REF!</v>
      </c>
      <c r="KU69" s="2061" t="e">
        <f t="shared" si="38"/>
        <v>#REF!</v>
      </c>
      <c r="KV69" s="2061" t="e">
        <f t="shared" si="38"/>
        <v>#REF!</v>
      </c>
      <c r="KW69" s="2061" t="e">
        <f t="shared" si="38"/>
        <v>#REF!</v>
      </c>
      <c r="KX69" s="2061" t="e">
        <f t="shared" si="38"/>
        <v>#REF!</v>
      </c>
      <c r="KY69" s="2061" t="e">
        <f t="shared" si="38"/>
        <v>#REF!</v>
      </c>
      <c r="KZ69" s="2061">
        <f t="shared" si="38"/>
        <v>38</v>
      </c>
      <c r="LA69" s="2061">
        <f t="shared" si="38"/>
        <v>38.014725279203773</v>
      </c>
      <c r="LB69" s="2061">
        <f t="shared" si="38"/>
        <v>38.029456264561432</v>
      </c>
      <c r="LC69" s="2061">
        <f t="shared" si="38"/>
        <v>38.04419295828415</v>
      </c>
      <c r="LD69" s="2061">
        <f t="shared" si="38"/>
        <v>38.058935362583966</v>
      </c>
      <c r="LE69" s="2061">
        <f t="shared" si="38"/>
        <v>38.073683479673768</v>
      </c>
      <c r="LF69" s="2061">
        <f t="shared" si="38"/>
        <v>38.088437311767301</v>
      </c>
      <c r="LG69" s="2061">
        <f t="shared" si="38"/>
        <v>38.103196861079176</v>
      </c>
      <c r="LH69" s="2061">
        <f t="shared" si="38"/>
        <v>38.117962129824853</v>
      </c>
      <c r="LI69" s="2061">
        <f t="shared" si="38"/>
        <v>38.132733120220657</v>
      </c>
      <c r="LJ69" s="2061">
        <f t="shared" si="38"/>
        <v>38.14750983448377</v>
      </c>
      <c r="LK69" s="2061">
        <f t="shared" si="38"/>
        <v>38.162292274832232</v>
      </c>
      <c r="LL69" s="2061">
        <f t="shared" si="38"/>
        <v>38.17708044348494</v>
      </c>
      <c r="LM69" s="2061">
        <f t="shared" si="38"/>
        <v>38.191874342661656</v>
      </c>
      <c r="LN69" s="2061">
        <f t="shared" si="38"/>
        <v>38.206673974583005</v>
      </c>
      <c r="LO69" s="2061">
        <f t="shared" ref="LO69:NZ69" si="39">SUM(LO9:LO68)</f>
        <v>38.221479341470463</v>
      </c>
      <c r="LP69" s="2061">
        <f t="shared" si="39"/>
        <v>38.236290445546366</v>
      </c>
      <c r="LQ69" s="2061" t="e">
        <f t="shared" si="39"/>
        <v>#DIV/0!</v>
      </c>
      <c r="LR69" s="2061" t="e">
        <f t="shared" si="39"/>
        <v>#DIV/0!</v>
      </c>
      <c r="LS69" s="2061" t="e">
        <f t="shared" si="39"/>
        <v>#DIV/0!</v>
      </c>
      <c r="LT69" s="2061" t="e">
        <f t="shared" si="39"/>
        <v>#DIV/0!</v>
      </c>
      <c r="LU69" s="2061" t="e">
        <f t="shared" si="39"/>
        <v>#DIV/0!</v>
      </c>
      <c r="LV69" s="2061" t="e">
        <f t="shared" si="39"/>
        <v>#DIV/0!</v>
      </c>
      <c r="LW69" s="2061" t="e">
        <f t="shared" si="39"/>
        <v>#DIV/0!</v>
      </c>
      <c r="LX69" s="2061" t="e">
        <f t="shared" si="39"/>
        <v>#DIV/0!</v>
      </c>
      <c r="LY69" s="2061" t="e">
        <f t="shared" si="39"/>
        <v>#DIV/0!</v>
      </c>
      <c r="LZ69" s="2061" t="e">
        <f t="shared" si="39"/>
        <v>#DIV/0!</v>
      </c>
      <c r="MA69" s="2061" t="e">
        <f t="shared" si="39"/>
        <v>#DIV/0!</v>
      </c>
      <c r="MB69" s="2061" t="e">
        <f t="shared" si="39"/>
        <v>#DIV/0!</v>
      </c>
      <c r="MC69" s="2061" t="e">
        <f t="shared" si="39"/>
        <v>#DIV/0!</v>
      </c>
      <c r="MD69" s="2061" t="e">
        <f t="shared" si="39"/>
        <v>#DIV/0!</v>
      </c>
      <c r="ME69" s="2061" t="e">
        <f t="shared" si="39"/>
        <v>#DIV/0!</v>
      </c>
      <c r="MF69" s="2061" t="e">
        <f t="shared" si="39"/>
        <v>#DIV/0!</v>
      </c>
      <c r="MG69" s="2061" t="e">
        <f t="shared" si="39"/>
        <v>#DIV/0!</v>
      </c>
      <c r="MH69" s="2061">
        <f t="shared" si="39"/>
        <v>224.23418889390794</v>
      </c>
      <c r="MI69" s="2061">
        <f t="shared" si="39"/>
        <v>225.36049314430306</v>
      </c>
      <c r="MJ69" s="2061">
        <f t="shared" si="39"/>
        <v>226.48983234941448</v>
      </c>
      <c r="MK69" s="2061">
        <f t="shared" si="39"/>
        <v>227.6222175671071</v>
      </c>
      <c r="ML69" s="2061">
        <f t="shared" si="39"/>
        <v>228.75765989923116</v>
      </c>
      <c r="MM69" s="2061">
        <f t="shared" si="39"/>
        <v>229.89617049179972</v>
      </c>
      <c r="MN69" s="2061">
        <f t="shared" si="39"/>
        <v>231.03776053516691</v>
      </c>
      <c r="MO69" s="2061">
        <f t="shared" si="39"/>
        <v>232.18244126420663</v>
      </c>
      <c r="MP69" s="2061">
        <f t="shared" si="39"/>
        <v>233.33022395849213</v>
      </c>
      <c r="MQ69" s="2061">
        <f t="shared" si="39"/>
        <v>234.48111994247631</v>
      </c>
      <c r="MR69" s="2061">
        <f t="shared" si="39"/>
        <v>235.63514058567296</v>
      </c>
      <c r="MS69" s="2061">
        <f t="shared" si="39"/>
        <v>236.79229730283805</v>
      </c>
      <c r="MT69" s="2061">
        <f t="shared" si="39"/>
        <v>237.95260155415286</v>
      </c>
      <c r="MU69" s="2061">
        <f t="shared" si="39"/>
        <v>239.1160648454067</v>
      </c>
      <c r="MV69" s="2061">
        <f t="shared" si="39"/>
        <v>240.28269872818097</v>
      </c>
      <c r="MW69" s="2061">
        <f t="shared" si="39"/>
        <v>241.45251480003424</v>
      </c>
      <c r="MX69" s="2061">
        <f t="shared" si="39"/>
        <v>242.62552470468711</v>
      </c>
      <c r="MY69" s="2061" t="e">
        <f t="shared" si="39"/>
        <v>#DIV/0!</v>
      </c>
      <c r="MZ69" s="2061" t="e">
        <f t="shared" si="39"/>
        <v>#DIV/0!</v>
      </c>
      <c r="NA69" s="2061" t="e">
        <f t="shared" si="39"/>
        <v>#DIV/0!</v>
      </c>
      <c r="NB69" s="2061" t="e">
        <f t="shared" si="39"/>
        <v>#DIV/0!</v>
      </c>
      <c r="NC69" s="2061" t="e">
        <f t="shared" si="39"/>
        <v>#DIV/0!</v>
      </c>
      <c r="ND69" s="2061" t="e">
        <f t="shared" si="39"/>
        <v>#DIV/0!</v>
      </c>
      <c r="NE69" s="2061" t="e">
        <f t="shared" si="39"/>
        <v>#DIV/0!</v>
      </c>
      <c r="NF69" s="2061" t="e">
        <f t="shared" si="39"/>
        <v>#DIV/0!</v>
      </c>
      <c r="NG69" s="2061" t="e">
        <f t="shared" si="39"/>
        <v>#DIV/0!</v>
      </c>
      <c r="NH69" s="2061" t="e">
        <f t="shared" si="39"/>
        <v>#DIV/0!</v>
      </c>
      <c r="NI69" s="2061" t="e">
        <f t="shared" si="39"/>
        <v>#DIV/0!</v>
      </c>
      <c r="NJ69" s="2061" t="e">
        <f t="shared" si="39"/>
        <v>#DIV/0!</v>
      </c>
      <c r="NK69" s="2061" t="e">
        <f t="shared" si="39"/>
        <v>#DIV/0!</v>
      </c>
      <c r="NL69" s="2061" t="e">
        <f t="shared" si="39"/>
        <v>#DIV/0!</v>
      </c>
      <c r="NM69" s="2061" t="e">
        <f t="shared" si="39"/>
        <v>#DIV/0!</v>
      </c>
      <c r="NN69" s="2061" t="e">
        <f t="shared" si="39"/>
        <v>#DIV/0!</v>
      </c>
      <c r="NO69" s="2061" t="e">
        <f t="shared" si="39"/>
        <v>#DIV/0!</v>
      </c>
      <c r="NP69" s="2061">
        <f t="shared" si="39"/>
        <v>0</v>
      </c>
      <c r="NQ69" s="2061">
        <f t="shared" si="39"/>
        <v>0</v>
      </c>
      <c r="NR69" s="2061">
        <f t="shared" si="39"/>
        <v>0</v>
      </c>
      <c r="NS69" s="2061">
        <f t="shared" si="39"/>
        <v>0</v>
      </c>
      <c r="NT69" s="2061">
        <f t="shared" si="39"/>
        <v>0</v>
      </c>
      <c r="NU69" s="2061">
        <f t="shared" si="39"/>
        <v>0</v>
      </c>
      <c r="NV69" s="2061">
        <f t="shared" si="39"/>
        <v>0</v>
      </c>
      <c r="NW69" s="2061">
        <f t="shared" si="39"/>
        <v>0</v>
      </c>
      <c r="NX69" s="2061">
        <f t="shared" si="39"/>
        <v>0</v>
      </c>
      <c r="NY69" s="2061">
        <f t="shared" si="39"/>
        <v>0</v>
      </c>
      <c r="NZ69" s="2061">
        <f t="shared" si="39"/>
        <v>0</v>
      </c>
      <c r="OA69" s="2061">
        <f t="shared" ref="OA69:QL69" si="40">SUM(OA9:OA68)</f>
        <v>0</v>
      </c>
      <c r="OB69" s="2061">
        <f t="shared" si="40"/>
        <v>0</v>
      </c>
      <c r="OC69" s="2061">
        <f t="shared" si="40"/>
        <v>0</v>
      </c>
      <c r="OD69" s="2061">
        <f t="shared" si="40"/>
        <v>0</v>
      </c>
      <c r="OE69" s="2061">
        <f t="shared" si="40"/>
        <v>0</v>
      </c>
      <c r="OF69" s="2061">
        <f t="shared" si="40"/>
        <v>0</v>
      </c>
      <c r="OG69" s="2061">
        <f t="shared" si="40"/>
        <v>0</v>
      </c>
      <c r="OH69" s="2061">
        <f t="shared" si="40"/>
        <v>0</v>
      </c>
      <c r="OI69" s="2061">
        <f t="shared" si="40"/>
        <v>0</v>
      </c>
      <c r="OJ69" s="2061">
        <f t="shared" si="40"/>
        <v>0</v>
      </c>
      <c r="OK69" s="2061">
        <f t="shared" si="40"/>
        <v>0</v>
      </c>
      <c r="OL69" s="2061">
        <f t="shared" si="40"/>
        <v>0</v>
      </c>
      <c r="OM69" s="2061">
        <f t="shared" si="40"/>
        <v>0</v>
      </c>
      <c r="ON69" s="2061">
        <f t="shared" si="40"/>
        <v>0</v>
      </c>
      <c r="OO69" s="2061">
        <f t="shared" si="40"/>
        <v>0</v>
      </c>
      <c r="OP69" s="2061">
        <f t="shared" si="40"/>
        <v>0</v>
      </c>
      <c r="OQ69" s="2061">
        <f t="shared" si="40"/>
        <v>0</v>
      </c>
      <c r="OR69" s="2061">
        <f t="shared" si="40"/>
        <v>0</v>
      </c>
      <c r="OS69" s="2061">
        <f t="shared" si="40"/>
        <v>0</v>
      </c>
      <c r="OT69" s="2061">
        <f t="shared" si="40"/>
        <v>0</v>
      </c>
      <c r="OU69" s="2061">
        <f t="shared" si="40"/>
        <v>0</v>
      </c>
      <c r="OV69" s="2061">
        <f t="shared" si="40"/>
        <v>0</v>
      </c>
      <c r="OW69" s="2061">
        <f t="shared" si="40"/>
        <v>0</v>
      </c>
      <c r="OX69" s="2061">
        <f t="shared" si="40"/>
        <v>0</v>
      </c>
      <c r="OY69" s="2061">
        <f t="shared" si="40"/>
        <v>0</v>
      </c>
      <c r="OZ69" s="2061">
        <f t="shared" si="40"/>
        <v>0</v>
      </c>
      <c r="PA69" s="2061">
        <f t="shared" si="40"/>
        <v>0</v>
      </c>
      <c r="PB69" s="2061">
        <f t="shared" si="40"/>
        <v>0</v>
      </c>
      <c r="PC69" s="2061">
        <f t="shared" si="40"/>
        <v>0</v>
      </c>
      <c r="PD69" s="2061">
        <f t="shared" si="40"/>
        <v>0</v>
      </c>
      <c r="PE69" s="2061">
        <f t="shared" si="40"/>
        <v>0</v>
      </c>
      <c r="PF69" s="2061">
        <f t="shared" si="40"/>
        <v>0</v>
      </c>
      <c r="PG69" s="2061">
        <f t="shared" si="40"/>
        <v>0</v>
      </c>
      <c r="PH69" s="2061">
        <f t="shared" si="40"/>
        <v>0</v>
      </c>
      <c r="PI69" s="2061">
        <f t="shared" si="40"/>
        <v>0</v>
      </c>
      <c r="PJ69" s="2061">
        <f t="shared" si="40"/>
        <v>0</v>
      </c>
      <c r="PK69" s="2061">
        <f t="shared" si="40"/>
        <v>0</v>
      </c>
      <c r="PL69" s="2061">
        <f t="shared" si="40"/>
        <v>0</v>
      </c>
      <c r="PM69" s="2061">
        <f t="shared" si="40"/>
        <v>0</v>
      </c>
      <c r="PN69" s="2061">
        <f t="shared" si="40"/>
        <v>0</v>
      </c>
      <c r="PO69" s="2061">
        <f t="shared" si="40"/>
        <v>0</v>
      </c>
      <c r="PP69" s="2061">
        <f t="shared" si="40"/>
        <v>0</v>
      </c>
      <c r="PQ69" s="2061">
        <f t="shared" si="40"/>
        <v>0</v>
      </c>
      <c r="PR69" s="2061">
        <f t="shared" si="40"/>
        <v>0</v>
      </c>
      <c r="PS69" s="2061">
        <f t="shared" si="40"/>
        <v>0</v>
      </c>
      <c r="PT69" s="2061">
        <f t="shared" si="40"/>
        <v>0</v>
      </c>
      <c r="PU69" s="2061">
        <f t="shared" si="40"/>
        <v>0</v>
      </c>
      <c r="PV69" s="2061">
        <f t="shared" si="40"/>
        <v>0</v>
      </c>
      <c r="PW69" s="2061">
        <f t="shared" si="40"/>
        <v>0</v>
      </c>
      <c r="PX69" s="2061">
        <f t="shared" si="40"/>
        <v>0</v>
      </c>
      <c r="PY69" s="2061">
        <f t="shared" si="40"/>
        <v>0</v>
      </c>
      <c r="PZ69" s="2061">
        <f t="shared" si="40"/>
        <v>0</v>
      </c>
      <c r="QA69" s="2061">
        <f t="shared" si="40"/>
        <v>0</v>
      </c>
      <c r="QB69" s="2061">
        <f t="shared" si="40"/>
        <v>0</v>
      </c>
      <c r="QC69" s="2061">
        <f t="shared" si="40"/>
        <v>0</v>
      </c>
      <c r="QD69" s="2061">
        <f t="shared" si="40"/>
        <v>0</v>
      </c>
      <c r="QE69" s="2061">
        <f t="shared" si="40"/>
        <v>0</v>
      </c>
      <c r="QF69" s="2061">
        <f t="shared" si="40"/>
        <v>0</v>
      </c>
      <c r="QG69" s="2061">
        <f t="shared" si="40"/>
        <v>0</v>
      </c>
      <c r="QH69" s="2061">
        <f t="shared" si="40"/>
        <v>0</v>
      </c>
      <c r="QI69" s="2061">
        <f t="shared" si="40"/>
        <v>0</v>
      </c>
      <c r="QJ69" s="2061">
        <f t="shared" si="40"/>
        <v>0</v>
      </c>
      <c r="QK69" s="2061">
        <f t="shared" si="40"/>
        <v>0</v>
      </c>
      <c r="QL69" s="2061">
        <f t="shared" si="40"/>
        <v>0</v>
      </c>
      <c r="QM69" s="2061">
        <f t="shared" ref="QM69:SX69" si="41">SUM(QM9:QM68)</f>
        <v>0</v>
      </c>
      <c r="QN69" s="2061">
        <f t="shared" si="41"/>
        <v>0</v>
      </c>
      <c r="QO69" s="2061">
        <f t="shared" si="41"/>
        <v>0</v>
      </c>
      <c r="QP69" s="2061">
        <f t="shared" si="41"/>
        <v>0</v>
      </c>
      <c r="QQ69" s="2061">
        <f t="shared" si="41"/>
        <v>0</v>
      </c>
      <c r="QR69" s="2061">
        <f t="shared" si="41"/>
        <v>0</v>
      </c>
      <c r="QS69" s="2061">
        <f t="shared" si="41"/>
        <v>0</v>
      </c>
      <c r="QT69" s="2061">
        <f t="shared" si="41"/>
        <v>0</v>
      </c>
      <c r="QU69" s="2061">
        <f t="shared" si="41"/>
        <v>0</v>
      </c>
      <c r="QV69" s="2061">
        <f t="shared" si="41"/>
        <v>0</v>
      </c>
      <c r="QW69" s="2061">
        <f t="shared" si="41"/>
        <v>0</v>
      </c>
      <c r="QX69" s="2061">
        <f t="shared" si="41"/>
        <v>0</v>
      </c>
      <c r="QY69" s="2061">
        <f t="shared" si="41"/>
        <v>0</v>
      </c>
      <c r="QZ69" s="2061">
        <f t="shared" si="41"/>
        <v>0</v>
      </c>
      <c r="RA69" s="2061">
        <f t="shared" si="41"/>
        <v>0</v>
      </c>
      <c r="RB69" s="2061">
        <f t="shared" si="41"/>
        <v>0</v>
      </c>
      <c r="RC69" s="2061">
        <f t="shared" si="41"/>
        <v>0</v>
      </c>
      <c r="RD69" s="2061">
        <f t="shared" si="41"/>
        <v>0</v>
      </c>
      <c r="RE69" s="2061">
        <f t="shared" si="41"/>
        <v>0</v>
      </c>
      <c r="RF69" s="2061">
        <f t="shared" si="41"/>
        <v>0</v>
      </c>
      <c r="RG69" s="2061">
        <f t="shared" si="41"/>
        <v>0</v>
      </c>
      <c r="RH69" s="2061">
        <f t="shared" si="41"/>
        <v>0</v>
      </c>
      <c r="RI69" s="2061">
        <f t="shared" si="41"/>
        <v>0</v>
      </c>
      <c r="RJ69" s="2061">
        <f t="shared" si="41"/>
        <v>0</v>
      </c>
      <c r="RK69" s="2061">
        <f t="shared" si="41"/>
        <v>0</v>
      </c>
      <c r="RL69" s="2061">
        <f t="shared" si="41"/>
        <v>0</v>
      </c>
      <c r="RM69" s="2061">
        <f t="shared" si="41"/>
        <v>0</v>
      </c>
      <c r="RN69" s="2061">
        <f t="shared" si="41"/>
        <v>0</v>
      </c>
      <c r="RO69" s="2061">
        <f t="shared" si="41"/>
        <v>0</v>
      </c>
      <c r="RP69" s="2061">
        <f t="shared" si="41"/>
        <v>0</v>
      </c>
      <c r="RQ69" s="2061">
        <f t="shared" si="41"/>
        <v>0</v>
      </c>
      <c r="RR69" s="2061">
        <f t="shared" si="41"/>
        <v>0</v>
      </c>
      <c r="RS69" s="2061">
        <f t="shared" si="41"/>
        <v>0</v>
      </c>
      <c r="RT69" s="2061">
        <f t="shared" si="41"/>
        <v>0</v>
      </c>
      <c r="RU69" s="2061">
        <f t="shared" si="41"/>
        <v>0</v>
      </c>
      <c r="RV69" s="2061">
        <f t="shared" si="41"/>
        <v>0</v>
      </c>
      <c r="RW69" s="2061">
        <f t="shared" si="41"/>
        <v>0</v>
      </c>
      <c r="RX69" s="2061">
        <f t="shared" si="41"/>
        <v>0</v>
      </c>
      <c r="RY69" s="2061">
        <f t="shared" si="41"/>
        <v>0</v>
      </c>
      <c r="RZ69" s="2061">
        <f t="shared" si="41"/>
        <v>0</v>
      </c>
      <c r="SA69" s="2061">
        <f t="shared" si="41"/>
        <v>0</v>
      </c>
      <c r="SB69" s="2061">
        <f t="shared" si="41"/>
        <v>0</v>
      </c>
      <c r="SC69" s="2061">
        <f t="shared" si="41"/>
        <v>0</v>
      </c>
      <c r="SD69" s="2061">
        <f t="shared" si="41"/>
        <v>0</v>
      </c>
      <c r="SE69" s="2061">
        <f t="shared" si="41"/>
        <v>0</v>
      </c>
      <c r="SF69" s="2061">
        <f t="shared" si="41"/>
        <v>0</v>
      </c>
      <c r="SG69" s="2061">
        <f t="shared" si="41"/>
        <v>0</v>
      </c>
      <c r="SH69" s="2061">
        <f t="shared" si="41"/>
        <v>0</v>
      </c>
      <c r="SI69" s="2061">
        <f t="shared" si="41"/>
        <v>0</v>
      </c>
      <c r="SJ69" s="2061">
        <f t="shared" si="41"/>
        <v>0</v>
      </c>
      <c r="SK69" s="2061">
        <f t="shared" si="41"/>
        <v>0</v>
      </c>
      <c r="SL69" s="2061">
        <f t="shared" si="41"/>
        <v>0</v>
      </c>
      <c r="SM69" s="2061">
        <f t="shared" si="41"/>
        <v>0</v>
      </c>
      <c r="SN69" s="2061">
        <f t="shared" si="41"/>
        <v>0</v>
      </c>
      <c r="SO69" s="2061">
        <f t="shared" si="41"/>
        <v>0</v>
      </c>
      <c r="SP69" s="2061">
        <f t="shared" si="41"/>
        <v>0</v>
      </c>
      <c r="SQ69" s="2061">
        <f t="shared" si="41"/>
        <v>0</v>
      </c>
      <c r="SR69" s="2061">
        <f t="shared" si="41"/>
        <v>0</v>
      </c>
      <c r="SS69" s="2061">
        <f t="shared" si="41"/>
        <v>0</v>
      </c>
      <c r="ST69" s="2061">
        <f t="shared" si="41"/>
        <v>0</v>
      </c>
      <c r="SU69" s="2061">
        <f t="shared" si="41"/>
        <v>0</v>
      </c>
      <c r="SV69" s="2061">
        <f t="shared" si="41"/>
        <v>0</v>
      </c>
      <c r="SW69" s="2061">
        <f t="shared" si="41"/>
        <v>0</v>
      </c>
      <c r="SX69" s="2061">
        <f t="shared" si="41"/>
        <v>0</v>
      </c>
      <c r="SY69" s="2061">
        <f t="shared" ref="SY69:VJ69" si="42">SUM(SY9:SY68)</f>
        <v>0</v>
      </c>
      <c r="SZ69" s="2061">
        <f t="shared" si="42"/>
        <v>0</v>
      </c>
      <c r="TA69" s="2061">
        <f t="shared" si="42"/>
        <v>0</v>
      </c>
      <c r="TB69" s="2061">
        <f t="shared" si="42"/>
        <v>0</v>
      </c>
      <c r="TC69" s="2061">
        <f t="shared" si="42"/>
        <v>0</v>
      </c>
      <c r="TD69" s="2061">
        <f t="shared" si="42"/>
        <v>0</v>
      </c>
      <c r="TE69" s="2061">
        <f t="shared" si="42"/>
        <v>0</v>
      </c>
      <c r="TF69" s="2061">
        <f t="shared" si="42"/>
        <v>0</v>
      </c>
      <c r="TG69" s="2061">
        <f t="shared" si="42"/>
        <v>0</v>
      </c>
      <c r="TH69" s="2061">
        <f t="shared" si="42"/>
        <v>0</v>
      </c>
      <c r="TI69" s="2061">
        <f t="shared" si="42"/>
        <v>0</v>
      </c>
      <c r="TJ69" s="2061">
        <f t="shared" si="42"/>
        <v>0</v>
      </c>
      <c r="TK69" s="2061">
        <f t="shared" si="42"/>
        <v>0</v>
      </c>
      <c r="TL69" s="2061">
        <f t="shared" si="42"/>
        <v>0</v>
      </c>
      <c r="TM69" s="2061">
        <f t="shared" si="42"/>
        <v>0</v>
      </c>
      <c r="TN69" s="2061">
        <f t="shared" si="42"/>
        <v>0</v>
      </c>
      <c r="TO69" s="2061">
        <f t="shared" si="42"/>
        <v>0</v>
      </c>
      <c r="TP69" s="2061">
        <f t="shared" si="42"/>
        <v>0</v>
      </c>
      <c r="TQ69" s="2061">
        <f t="shared" si="42"/>
        <v>0</v>
      </c>
      <c r="TR69" s="2061">
        <f t="shared" si="42"/>
        <v>0</v>
      </c>
      <c r="TS69" s="2061">
        <f t="shared" si="42"/>
        <v>0</v>
      </c>
      <c r="TT69" s="2061">
        <f t="shared" si="42"/>
        <v>0</v>
      </c>
      <c r="TU69" s="2061">
        <f t="shared" si="42"/>
        <v>0</v>
      </c>
      <c r="TV69" s="2061">
        <f t="shared" si="42"/>
        <v>0</v>
      </c>
      <c r="TW69" s="2061">
        <f t="shared" si="42"/>
        <v>0</v>
      </c>
      <c r="TX69" s="2061">
        <f t="shared" si="42"/>
        <v>0</v>
      </c>
      <c r="TY69" s="2061">
        <f t="shared" si="42"/>
        <v>0</v>
      </c>
      <c r="TZ69" s="2061">
        <f t="shared" si="42"/>
        <v>0</v>
      </c>
      <c r="UA69" s="2061">
        <f t="shared" si="42"/>
        <v>0</v>
      </c>
      <c r="UB69" s="2061">
        <f t="shared" si="42"/>
        <v>0</v>
      </c>
      <c r="UC69" s="2061">
        <f t="shared" si="42"/>
        <v>0</v>
      </c>
      <c r="UD69" s="2061">
        <f t="shared" si="42"/>
        <v>0</v>
      </c>
      <c r="UE69" s="2061">
        <f t="shared" si="42"/>
        <v>0</v>
      </c>
      <c r="UF69" s="2061">
        <f t="shared" si="42"/>
        <v>0</v>
      </c>
      <c r="UG69" s="2061">
        <f t="shared" si="42"/>
        <v>0</v>
      </c>
      <c r="UH69" s="2061">
        <f t="shared" si="42"/>
        <v>0</v>
      </c>
      <c r="UI69" s="2061">
        <f t="shared" si="42"/>
        <v>0</v>
      </c>
      <c r="UJ69" s="2061">
        <f t="shared" si="42"/>
        <v>0</v>
      </c>
      <c r="UK69" s="2061">
        <f t="shared" si="42"/>
        <v>0</v>
      </c>
      <c r="UL69" s="2061">
        <f t="shared" si="42"/>
        <v>0</v>
      </c>
      <c r="UM69" s="2061">
        <f t="shared" si="42"/>
        <v>0</v>
      </c>
      <c r="UN69" s="2061">
        <f t="shared" si="42"/>
        <v>0</v>
      </c>
      <c r="UO69" s="2061">
        <f t="shared" si="42"/>
        <v>0</v>
      </c>
      <c r="UP69" s="2061">
        <f t="shared" si="42"/>
        <v>0</v>
      </c>
      <c r="UQ69" s="2061">
        <f t="shared" si="42"/>
        <v>0</v>
      </c>
      <c r="UR69" s="2061">
        <f t="shared" si="42"/>
        <v>0</v>
      </c>
      <c r="US69" s="2061">
        <f t="shared" si="42"/>
        <v>0</v>
      </c>
      <c r="UT69" s="2061">
        <f t="shared" si="42"/>
        <v>0</v>
      </c>
      <c r="UU69" s="2061">
        <f t="shared" si="42"/>
        <v>0</v>
      </c>
      <c r="UV69" s="2061">
        <f t="shared" si="42"/>
        <v>0</v>
      </c>
      <c r="UW69" s="2061">
        <f t="shared" si="42"/>
        <v>0</v>
      </c>
      <c r="UX69" s="2061">
        <f t="shared" si="42"/>
        <v>0</v>
      </c>
      <c r="UY69" s="2061">
        <f t="shared" si="42"/>
        <v>0</v>
      </c>
      <c r="UZ69" s="2061">
        <f t="shared" si="42"/>
        <v>0</v>
      </c>
      <c r="VA69" s="2061">
        <f t="shared" si="42"/>
        <v>0</v>
      </c>
      <c r="VB69" s="2061">
        <f t="shared" si="42"/>
        <v>0</v>
      </c>
      <c r="VC69" s="2061">
        <f t="shared" si="42"/>
        <v>0</v>
      </c>
      <c r="VD69" s="2061">
        <f t="shared" si="42"/>
        <v>0</v>
      </c>
      <c r="VE69" s="2061">
        <f t="shared" si="42"/>
        <v>0</v>
      </c>
      <c r="VF69" s="2061">
        <f t="shared" si="42"/>
        <v>0</v>
      </c>
      <c r="VG69" s="2061">
        <f t="shared" si="42"/>
        <v>0</v>
      </c>
      <c r="VH69" s="2061">
        <f t="shared" si="42"/>
        <v>0</v>
      </c>
      <c r="VI69" s="2061">
        <f t="shared" si="42"/>
        <v>0</v>
      </c>
      <c r="VJ69" s="2061">
        <f t="shared" si="42"/>
        <v>0</v>
      </c>
      <c r="VK69" s="2061">
        <f>SUM(VK9:VK68)</f>
        <v>0</v>
      </c>
    </row>
    <row r="70" spans="1:583" s="1584" customFormat="1" x14ac:dyDescent="0.25">
      <c r="B70" s="4709" t="s">
        <v>2924</v>
      </c>
      <c r="C70" s="4709"/>
      <c r="D70" s="4709" t="s">
        <v>2924</v>
      </c>
      <c r="E70" s="4709"/>
      <c r="F70" s="1577"/>
      <c r="G70" s="1577"/>
      <c r="H70" s="1577"/>
      <c r="I70" s="1577"/>
      <c r="J70" s="1577"/>
      <c r="K70" s="1577"/>
      <c r="L70" s="1577"/>
      <c r="M70" s="1577"/>
      <c r="N70" s="1577"/>
      <c r="O70" s="1577"/>
      <c r="P70" s="1577"/>
      <c r="Q70" s="1577"/>
      <c r="R70" s="1577"/>
      <c r="S70" s="1577"/>
      <c r="T70" s="1577"/>
      <c r="U70" s="1577"/>
      <c r="V70" s="1577"/>
      <c r="W70" s="1577"/>
      <c r="X70" s="1577"/>
      <c r="Y70" s="1577"/>
      <c r="Z70" s="1577"/>
      <c r="AA70" s="1577"/>
      <c r="AB70" s="1577"/>
      <c r="AC70" s="1577"/>
      <c r="AD70" s="1577"/>
      <c r="AE70" s="1577"/>
      <c r="AF70" s="1577"/>
      <c r="AG70" s="1577"/>
      <c r="AH70" s="1577"/>
      <c r="AI70" s="1577"/>
      <c r="AJ70" s="1577"/>
      <c r="AK70" s="1577"/>
      <c r="AL70" s="1577"/>
      <c r="AM70" s="1577"/>
      <c r="AN70" s="1577"/>
      <c r="AO70" s="1577"/>
      <c r="AP70" s="1577"/>
      <c r="AQ70" s="1577"/>
      <c r="AR70" s="1577"/>
      <c r="AS70" s="1577"/>
      <c r="AT70" s="1577"/>
      <c r="AU70" s="1577"/>
      <c r="AV70" s="1577"/>
      <c r="AW70" s="1577"/>
      <c r="AX70" s="1577"/>
      <c r="AY70" s="1577"/>
      <c r="AZ70" s="1577"/>
      <c r="BA70" s="1577"/>
      <c r="BB70" s="1577"/>
      <c r="BC70" s="1577"/>
      <c r="BD70" s="1577"/>
      <c r="BE70" s="1577"/>
      <c r="BF70" s="1577"/>
      <c r="BG70" s="1577"/>
      <c r="BH70" s="1577"/>
      <c r="BI70" s="1577"/>
      <c r="BJ70" s="1577"/>
      <c r="BK70" s="1577"/>
      <c r="BL70" s="1577"/>
      <c r="BM70" s="1577"/>
      <c r="BN70" s="1577"/>
      <c r="BO70" s="1577"/>
      <c r="BP70" s="1577"/>
      <c r="BQ70" s="1577"/>
      <c r="BR70" s="1577"/>
      <c r="BS70" s="1577"/>
      <c r="BT70" s="1577"/>
      <c r="BU70" s="1577"/>
      <c r="BV70" s="1577"/>
      <c r="BW70" s="1577"/>
      <c r="BX70" s="1577"/>
      <c r="BY70" s="1577"/>
      <c r="BZ70" s="1577"/>
      <c r="CA70" s="1577"/>
      <c r="CB70" s="1577"/>
      <c r="CC70" s="1577"/>
      <c r="CD70" s="1577"/>
      <c r="CE70" s="1577"/>
      <c r="CF70" s="1577"/>
      <c r="CG70" s="1577"/>
      <c r="CH70" s="1577"/>
      <c r="CI70" s="1577"/>
      <c r="CJ70" s="1577"/>
      <c r="CK70" s="1577"/>
      <c r="CL70" s="1577"/>
      <c r="CM70" s="1577"/>
      <c r="CN70" s="1577"/>
      <c r="CO70" s="1577"/>
      <c r="CP70" s="1577"/>
      <c r="CQ70" s="1577"/>
      <c r="CR70" s="1577"/>
      <c r="CS70" s="1577"/>
      <c r="CT70" s="1577"/>
      <c r="CU70" s="1577"/>
      <c r="CV70" s="1577"/>
      <c r="CW70" s="1577"/>
      <c r="CX70" s="1577"/>
      <c r="CY70" s="1577"/>
      <c r="CZ70" s="1577"/>
      <c r="DA70" s="1577"/>
      <c r="DB70" s="1577"/>
      <c r="DC70" s="1577"/>
      <c r="DD70" s="1577"/>
      <c r="DE70" s="1577"/>
      <c r="DF70" s="1577"/>
      <c r="DG70" s="1577"/>
      <c r="DH70" s="1577"/>
      <c r="DI70" s="1577"/>
      <c r="DJ70" s="1577"/>
      <c r="DK70" s="1577"/>
      <c r="DL70" s="1577"/>
      <c r="DM70" s="1577"/>
      <c r="DN70" s="1577"/>
      <c r="DO70" s="1577"/>
      <c r="DP70" s="1577"/>
      <c r="DQ70" s="1577"/>
      <c r="DR70" s="1577"/>
      <c r="DS70" s="1577"/>
      <c r="DT70" s="1577"/>
      <c r="DU70" s="1577"/>
      <c r="DV70" s="1577"/>
      <c r="DW70" s="1577"/>
      <c r="DX70" s="1577"/>
      <c r="DY70" s="1577"/>
      <c r="DZ70" s="1577"/>
      <c r="EA70" s="1577"/>
      <c r="EB70" s="1577"/>
      <c r="EC70" s="1577"/>
      <c r="ED70" s="1577"/>
      <c r="EE70" s="1577"/>
      <c r="EF70" s="1577"/>
      <c r="EG70" s="1577"/>
      <c r="EH70" s="1577"/>
      <c r="EI70" s="1577"/>
      <c r="EJ70" s="1577"/>
      <c r="EK70" s="1577"/>
      <c r="EL70" s="1577"/>
      <c r="EM70" s="1577"/>
      <c r="EN70" s="1577"/>
      <c r="EO70" s="1577"/>
      <c r="EP70" s="1577"/>
      <c r="EQ70" s="1577"/>
      <c r="ER70" s="1577"/>
      <c r="ES70" s="1577"/>
      <c r="ET70" s="1577"/>
      <c r="EU70" s="1577"/>
      <c r="EV70" s="1577"/>
      <c r="EW70" s="1577"/>
      <c r="EX70" s="1577"/>
      <c r="EY70" s="1577"/>
      <c r="EZ70" s="1577"/>
      <c r="FA70" s="1577"/>
      <c r="FB70" s="1577"/>
      <c r="FC70" s="1577"/>
      <c r="FD70" s="1577"/>
      <c r="FE70" s="1577"/>
      <c r="FF70" s="1577"/>
      <c r="FG70" s="1577"/>
      <c r="FH70" s="1577"/>
      <c r="FI70" s="1577"/>
      <c r="FJ70" s="1577"/>
      <c r="FK70" s="1577"/>
      <c r="FL70" s="1577"/>
      <c r="FM70" s="1577"/>
      <c r="FN70" s="1577"/>
      <c r="FO70" s="1577"/>
      <c r="FP70" s="1577"/>
      <c r="FQ70" s="1577"/>
      <c r="FR70" s="1577"/>
      <c r="FS70" s="1577"/>
      <c r="FT70" s="1577"/>
      <c r="FU70" s="1577"/>
      <c r="FV70" s="1577"/>
      <c r="FW70" s="1577"/>
      <c r="FX70" s="1577"/>
      <c r="FY70" s="1577"/>
      <c r="FZ70" s="1577"/>
      <c r="GA70" s="1577"/>
      <c r="GB70" s="1577"/>
      <c r="GC70" s="1577"/>
      <c r="GD70" s="1577"/>
      <c r="GE70" s="1577"/>
      <c r="GF70" s="1577"/>
      <c r="GG70" s="1577"/>
      <c r="GH70" s="1577"/>
      <c r="GI70" s="1577"/>
      <c r="GJ70" s="1577"/>
      <c r="GK70" s="1577"/>
      <c r="GL70" s="1577"/>
      <c r="GM70" s="1577"/>
      <c r="GN70" s="1577"/>
      <c r="GO70" s="1577"/>
      <c r="GP70" s="1577"/>
      <c r="GQ70" s="1577"/>
      <c r="GR70" s="1577"/>
      <c r="GS70" s="1577"/>
      <c r="GT70" s="1577"/>
      <c r="GU70" s="1577"/>
      <c r="GV70" s="1577"/>
      <c r="GW70" s="1577"/>
      <c r="GX70" s="1577"/>
      <c r="GY70" s="1577"/>
      <c r="GZ70" s="1577"/>
      <c r="HA70" s="1577"/>
      <c r="HB70" s="1577"/>
      <c r="HC70" s="1577"/>
      <c r="HD70" s="1577"/>
      <c r="HE70" s="1577"/>
      <c r="HF70" s="1577"/>
      <c r="HG70" s="1577"/>
      <c r="HH70" s="1577"/>
      <c r="HI70" s="1577"/>
      <c r="HJ70" s="1577"/>
      <c r="HK70" s="1577"/>
      <c r="HL70" s="1577"/>
      <c r="HM70" s="1577"/>
      <c r="HN70" s="1577"/>
      <c r="HO70" s="1577"/>
      <c r="HP70" s="1577"/>
      <c r="HQ70" s="1577"/>
      <c r="HR70" s="1577"/>
      <c r="HS70" s="1577"/>
      <c r="HT70" s="1577"/>
      <c r="HU70" s="1577"/>
      <c r="HV70" s="1577"/>
      <c r="HW70" s="1577"/>
      <c r="HX70" s="1577"/>
      <c r="HY70" s="1577"/>
      <c r="HZ70" s="1577"/>
      <c r="IA70" s="1577"/>
      <c r="IB70" s="1577"/>
      <c r="IC70" s="1577"/>
      <c r="ID70" s="1577"/>
      <c r="IE70" s="1577"/>
      <c r="IF70" s="1577"/>
      <c r="IG70" s="1577"/>
      <c r="IH70" s="1577"/>
      <c r="II70" s="1577"/>
      <c r="IJ70" s="1577"/>
      <c r="IK70" s="1577"/>
      <c r="IL70" s="1577"/>
      <c r="IM70" s="1577"/>
      <c r="IN70" s="1577"/>
      <c r="IO70" s="1577"/>
      <c r="IP70" s="1577"/>
      <c r="IQ70" s="1577"/>
      <c r="IR70" s="1577"/>
      <c r="IS70" s="1577"/>
      <c r="IT70" s="1577"/>
      <c r="IU70" s="1577"/>
      <c r="IV70" s="1577"/>
      <c r="IW70" s="1577"/>
      <c r="IX70" s="1577"/>
      <c r="IY70" s="1577"/>
      <c r="IZ70" s="1577"/>
      <c r="JA70" s="1574"/>
      <c r="JB70" s="1574"/>
      <c r="JC70" s="1574"/>
      <c r="JD70" s="1574"/>
      <c r="JE70" s="1574"/>
      <c r="JF70" s="1574"/>
      <c r="JG70" s="1574"/>
      <c r="JH70" s="1574"/>
      <c r="JI70" s="1574"/>
      <c r="JJ70" s="1574"/>
      <c r="JK70" s="1574"/>
      <c r="JL70" s="1574"/>
      <c r="JM70" s="1574"/>
      <c r="JN70" s="1574"/>
      <c r="JO70" s="1574"/>
      <c r="JP70" s="1574"/>
      <c r="JQ70" s="1574"/>
      <c r="JR70" s="1577"/>
      <c r="JS70" s="1577"/>
      <c r="JT70" s="1577"/>
      <c r="JU70" s="1577"/>
      <c r="JV70" s="1577"/>
      <c r="JW70" s="1577"/>
      <c r="JX70" s="1577"/>
      <c r="JY70" s="1577"/>
      <c r="JZ70" s="1577"/>
      <c r="KA70" s="1577"/>
      <c r="KB70" s="1577"/>
      <c r="KC70" s="1577"/>
      <c r="KD70" s="1577"/>
      <c r="KE70" s="1577"/>
      <c r="KF70" s="1577"/>
      <c r="KG70" s="1577"/>
      <c r="KH70" s="1577"/>
      <c r="KI70" s="1577"/>
      <c r="KJ70" s="1577"/>
      <c r="KK70" s="1577"/>
      <c r="KL70" s="1577"/>
      <c r="KM70" s="1577"/>
      <c r="KN70" s="1577"/>
      <c r="KO70" s="1577"/>
      <c r="KP70" s="1577"/>
      <c r="KQ70" s="1577"/>
      <c r="KR70" s="1577"/>
      <c r="KS70" s="1577"/>
      <c r="KT70" s="1577"/>
      <c r="KU70" s="1577"/>
      <c r="KV70" s="1577"/>
      <c r="KW70" s="1577"/>
      <c r="KX70" s="1577"/>
      <c r="KY70" s="1577"/>
      <c r="KZ70" s="1577"/>
      <c r="LA70" s="1577"/>
      <c r="LB70" s="1577"/>
      <c r="LC70" s="1577"/>
      <c r="LD70" s="1577"/>
      <c r="LE70" s="1577"/>
      <c r="LF70" s="1577"/>
      <c r="LG70" s="1577"/>
      <c r="LH70" s="1577"/>
      <c r="LI70" s="1577"/>
      <c r="LJ70" s="1577"/>
      <c r="LK70" s="1577"/>
      <c r="LL70" s="1577"/>
      <c r="LM70" s="1577"/>
      <c r="LN70" s="1577"/>
      <c r="LO70" s="1577"/>
      <c r="LP70" s="1577"/>
      <c r="LQ70" s="1577"/>
      <c r="LR70" s="1577"/>
      <c r="LS70" s="1577"/>
      <c r="LT70" s="1577"/>
      <c r="LU70" s="1577"/>
      <c r="LV70" s="1577"/>
      <c r="LW70" s="1577"/>
      <c r="LX70" s="1577"/>
      <c r="LY70" s="1577"/>
      <c r="LZ70" s="1577"/>
      <c r="MA70" s="1577"/>
      <c r="MB70" s="1577"/>
      <c r="MC70" s="1577"/>
      <c r="MD70" s="1577"/>
      <c r="ME70" s="1577"/>
      <c r="MF70" s="1577"/>
      <c r="MG70" s="1577"/>
      <c r="MH70" s="1577"/>
      <c r="MI70" s="1577"/>
      <c r="MJ70" s="1577"/>
      <c r="MK70" s="1577"/>
      <c r="ML70" s="1577"/>
      <c r="MM70" s="1577"/>
      <c r="MN70" s="1577"/>
      <c r="MO70" s="1577"/>
      <c r="MP70" s="1577"/>
      <c r="MQ70" s="1577"/>
      <c r="MR70" s="1577"/>
      <c r="MS70" s="1577"/>
      <c r="MT70" s="1577"/>
      <c r="MU70" s="1577"/>
      <c r="MV70" s="1577"/>
      <c r="MW70" s="1577"/>
      <c r="MX70" s="1577"/>
      <c r="MY70" s="1577"/>
      <c r="MZ70" s="1577"/>
      <c r="NA70" s="1577"/>
      <c r="NB70" s="1577"/>
      <c r="NC70" s="1577"/>
      <c r="ND70" s="1577"/>
      <c r="NE70" s="1577"/>
      <c r="NF70" s="1577"/>
      <c r="NG70" s="1577"/>
      <c r="NH70" s="1577"/>
      <c r="NI70" s="1577"/>
      <c r="NJ70" s="1577"/>
      <c r="NK70" s="1577"/>
      <c r="NL70" s="1577"/>
      <c r="NM70" s="1577"/>
      <c r="NN70" s="1577"/>
      <c r="NO70" s="1577"/>
      <c r="NP70" s="1577"/>
      <c r="NQ70" s="1577"/>
      <c r="NR70" s="1577"/>
      <c r="NS70" s="1577"/>
      <c r="NT70" s="1577"/>
      <c r="NU70" s="1577"/>
      <c r="NV70" s="1577"/>
      <c r="NW70" s="1577"/>
      <c r="NX70" s="1577"/>
      <c r="NY70" s="1577"/>
      <c r="NZ70" s="1577"/>
      <c r="OA70" s="1577"/>
      <c r="OB70" s="1577"/>
      <c r="OC70" s="1577"/>
      <c r="OD70" s="1577"/>
      <c r="OE70" s="1577"/>
      <c r="OF70" s="1577"/>
      <c r="OG70" s="1577"/>
      <c r="OH70" s="1577"/>
      <c r="OI70" s="1577"/>
      <c r="OJ70" s="1577"/>
      <c r="OK70" s="1577"/>
      <c r="OL70" s="1577"/>
      <c r="OM70" s="1577"/>
      <c r="ON70" s="1577"/>
      <c r="OO70" s="1577"/>
      <c r="OP70" s="1577"/>
      <c r="OQ70" s="1577"/>
      <c r="OR70" s="1577"/>
      <c r="OS70" s="1577"/>
      <c r="OT70" s="1577"/>
      <c r="OU70" s="1577"/>
      <c r="OV70" s="1577"/>
      <c r="OW70" s="1577"/>
      <c r="OX70" s="1577"/>
      <c r="OY70" s="1577"/>
      <c r="OZ70" s="1577"/>
      <c r="PA70" s="1577"/>
      <c r="PB70" s="1577"/>
      <c r="PC70" s="1577"/>
      <c r="PD70" s="1577"/>
      <c r="PE70" s="1577"/>
      <c r="PF70" s="1577"/>
      <c r="PG70" s="1577"/>
      <c r="PH70" s="1577"/>
      <c r="PI70" s="1577"/>
      <c r="PJ70" s="1577"/>
      <c r="PK70" s="1577"/>
      <c r="PL70" s="1577"/>
      <c r="PM70" s="1577"/>
      <c r="PN70" s="1577"/>
      <c r="PO70" s="1577"/>
      <c r="PP70" s="1577"/>
      <c r="PQ70" s="1577"/>
      <c r="PR70" s="1577"/>
      <c r="PS70" s="1577"/>
      <c r="PT70" s="1577"/>
      <c r="PU70" s="1577"/>
      <c r="PV70" s="1577"/>
      <c r="PW70" s="1577"/>
      <c r="PX70" s="1577"/>
      <c r="PY70" s="1577"/>
      <c r="PZ70" s="1577"/>
      <c r="QA70" s="1577"/>
      <c r="QB70" s="1577"/>
      <c r="QC70" s="1577"/>
      <c r="QD70" s="1577"/>
      <c r="QE70" s="1577"/>
      <c r="QF70" s="1577"/>
      <c r="QG70" s="1577"/>
      <c r="QH70" s="1577"/>
      <c r="QI70" s="1577"/>
      <c r="QJ70" s="1577"/>
      <c r="QK70" s="1577"/>
      <c r="QL70" s="1577"/>
      <c r="QM70" s="1577"/>
      <c r="QN70" s="1577"/>
      <c r="QO70" s="1577"/>
      <c r="QP70" s="1577"/>
      <c r="QQ70" s="1577"/>
      <c r="QR70" s="1577"/>
      <c r="QS70" s="1577"/>
      <c r="QT70" s="1577"/>
      <c r="QU70" s="1577"/>
      <c r="QV70" s="1577"/>
      <c r="QW70" s="1577"/>
      <c r="QX70" s="1577"/>
      <c r="QY70" s="1577"/>
      <c r="QZ70" s="1577"/>
      <c r="RA70" s="1577"/>
      <c r="RB70" s="1577"/>
      <c r="RC70" s="1577"/>
      <c r="RD70" s="1577"/>
      <c r="RE70" s="1577"/>
      <c r="RF70" s="1577"/>
      <c r="RG70" s="1577"/>
      <c r="RH70" s="1577"/>
      <c r="RI70" s="1577"/>
      <c r="RJ70" s="1577"/>
      <c r="RK70" s="1577"/>
      <c r="RL70" s="1577"/>
      <c r="RM70" s="1577"/>
      <c r="RN70" s="1577"/>
      <c r="RO70" s="1577"/>
      <c r="RP70" s="1577"/>
      <c r="RQ70" s="1577"/>
      <c r="RR70" s="1577"/>
      <c r="RS70" s="1577"/>
      <c r="RT70" s="1577"/>
      <c r="RU70" s="1577"/>
      <c r="RV70" s="1577"/>
      <c r="RW70" s="1577"/>
      <c r="RX70" s="1577"/>
      <c r="RY70" s="1577"/>
      <c r="RZ70" s="1577"/>
      <c r="SA70" s="1577"/>
      <c r="SB70" s="1577"/>
      <c r="SC70" s="1577"/>
      <c r="SD70" s="1577"/>
      <c r="SE70" s="1577"/>
      <c r="SF70" s="1577"/>
      <c r="SG70" s="1577"/>
      <c r="SH70" s="1577"/>
      <c r="SI70" s="1577"/>
      <c r="SJ70" s="1577"/>
      <c r="SK70" s="1577"/>
      <c r="SL70" s="1577"/>
      <c r="SM70" s="1577"/>
      <c r="SN70" s="1577"/>
      <c r="SO70" s="1577"/>
      <c r="SP70" s="1577"/>
      <c r="SQ70" s="1577"/>
      <c r="SR70" s="1577"/>
      <c r="SS70" s="1577"/>
      <c r="ST70" s="1577"/>
      <c r="SU70" s="1577"/>
      <c r="SV70" s="1577"/>
      <c r="SW70" s="1577"/>
      <c r="SX70" s="1577"/>
      <c r="SY70" s="1577"/>
      <c r="SZ70" s="1577"/>
      <c r="TA70" s="1577"/>
      <c r="TB70" s="1577"/>
      <c r="TC70" s="1577"/>
      <c r="TD70" s="1577"/>
      <c r="TE70" s="1577"/>
      <c r="TF70" s="1577"/>
      <c r="TG70" s="1577"/>
      <c r="TH70" s="1577"/>
      <c r="TI70" s="1577"/>
      <c r="TJ70" s="1577"/>
      <c r="TK70" s="1577"/>
      <c r="TL70" s="1577"/>
      <c r="TM70" s="1577"/>
      <c r="TN70" s="1577"/>
      <c r="TO70" s="1577"/>
      <c r="TP70" s="1577"/>
      <c r="TQ70" s="1577"/>
      <c r="TR70" s="1577"/>
      <c r="TS70" s="1577"/>
      <c r="TT70" s="1577"/>
      <c r="TU70" s="1577"/>
      <c r="TV70" s="1577"/>
      <c r="TW70" s="1577"/>
      <c r="TX70" s="1577"/>
      <c r="TY70" s="1577"/>
      <c r="TZ70" s="1577"/>
      <c r="UA70" s="1577"/>
      <c r="UB70" s="1577"/>
      <c r="UC70" s="1577"/>
      <c r="UD70" s="1577"/>
      <c r="UE70" s="1577"/>
      <c r="UF70" s="1577"/>
      <c r="UG70" s="1577"/>
      <c r="UH70" s="1577"/>
      <c r="UI70" s="1577"/>
      <c r="UJ70" s="1577"/>
      <c r="UK70" s="1577"/>
      <c r="UL70" s="1577"/>
      <c r="UM70" s="1577"/>
      <c r="UN70" s="1577"/>
      <c r="UO70" s="1577"/>
      <c r="UP70" s="1577"/>
      <c r="UQ70" s="1577"/>
      <c r="UR70" s="1577"/>
      <c r="US70" s="1577"/>
      <c r="UT70" s="1577"/>
      <c r="UU70" s="1577"/>
      <c r="UV70" s="1577"/>
      <c r="UW70" s="1577"/>
      <c r="UX70" s="1577"/>
      <c r="UY70" s="1577"/>
      <c r="UZ70" s="1577"/>
      <c r="VA70" s="1577"/>
      <c r="VB70" s="1577"/>
      <c r="VC70" s="1577"/>
      <c r="VD70" s="1577"/>
      <c r="VE70" s="1577"/>
      <c r="VF70" s="1577"/>
      <c r="VG70" s="1577"/>
      <c r="VH70" s="1577"/>
      <c r="VI70" s="1577"/>
      <c r="VJ70" s="1577"/>
      <c r="VK70" s="1577"/>
    </row>
    <row r="71" spans="1:583" ht="30" customHeight="1" x14ac:dyDescent="0.25">
      <c r="B71" s="1610" t="s">
        <v>1275</v>
      </c>
      <c r="C71" s="1582" t="s">
        <v>2122</v>
      </c>
      <c r="D71" s="4711" t="s">
        <v>2766</v>
      </c>
      <c r="E71" s="4711"/>
      <c r="F71" s="2057"/>
      <c r="G71" s="2057"/>
      <c r="H71" s="2057"/>
      <c r="I71" s="2059"/>
      <c r="J71" s="2059"/>
      <c r="K71" s="2059"/>
      <c r="L71" s="2059"/>
      <c r="M71" s="2059"/>
      <c r="N71" s="2059"/>
      <c r="O71" s="2059"/>
      <c r="P71" s="2059"/>
      <c r="Q71" s="2059"/>
      <c r="R71" s="2059"/>
      <c r="S71" s="2059"/>
      <c r="T71" s="2059"/>
      <c r="U71" s="2059"/>
      <c r="V71" s="2059"/>
      <c r="W71" s="2059"/>
      <c r="X71" s="2059"/>
      <c r="Y71" s="2059"/>
      <c r="Z71" s="2059"/>
      <c r="AA71" s="2059"/>
      <c r="AB71" s="2059"/>
      <c r="AC71" s="2059"/>
      <c r="AD71" s="2059"/>
      <c r="AE71" s="2059"/>
      <c r="AF71" s="2059"/>
      <c r="AG71" s="2059"/>
      <c r="AH71" s="2059"/>
      <c r="AI71" s="2059"/>
      <c r="AJ71" s="2059"/>
      <c r="AK71" s="2059"/>
      <c r="AL71" s="2059"/>
      <c r="AM71" s="2059"/>
      <c r="AN71" s="2059"/>
      <c r="AO71" s="2059"/>
      <c r="AP71" s="2059"/>
      <c r="AQ71" s="2059"/>
      <c r="AR71" s="2059"/>
      <c r="AS71" s="2059"/>
      <c r="AT71" s="2059"/>
      <c r="AU71" s="2059"/>
      <c r="AV71" s="2059"/>
      <c r="AW71" s="2059"/>
      <c r="AX71" s="2059"/>
      <c r="AY71" s="2059"/>
      <c r="AZ71" s="2059"/>
      <c r="BA71" s="2059"/>
      <c r="BB71" s="2059"/>
      <c r="BC71" s="2059"/>
      <c r="BD71" s="2059"/>
      <c r="BE71" s="2059"/>
      <c r="BF71" s="2059"/>
      <c r="BG71" s="2059"/>
      <c r="BH71" s="2059"/>
      <c r="BI71" s="2059"/>
      <c r="BJ71" s="2059"/>
      <c r="BK71" s="2059"/>
      <c r="BL71" s="2059"/>
      <c r="BM71" s="2059"/>
      <c r="BN71" s="2059"/>
      <c r="BO71" s="2059"/>
      <c r="BP71" s="2059"/>
      <c r="BQ71" s="2059"/>
      <c r="BR71" s="2059"/>
      <c r="BS71" s="2059"/>
      <c r="BT71" s="2059"/>
      <c r="BU71" s="2059"/>
      <c r="BV71" s="2059"/>
      <c r="BW71" s="2059"/>
      <c r="BX71" s="2059"/>
      <c r="BY71" s="2059"/>
      <c r="BZ71" s="2059"/>
      <c r="CA71" s="2059"/>
      <c r="CB71" s="2059"/>
      <c r="CC71" s="2059"/>
      <c r="CD71" s="2059"/>
      <c r="CE71" s="2059"/>
      <c r="CF71" s="2059"/>
      <c r="CG71" s="2059"/>
      <c r="CH71" s="2059"/>
      <c r="CI71" s="2059"/>
      <c r="CJ71" s="2059"/>
      <c r="CK71" s="2059"/>
      <c r="CL71" s="2059"/>
      <c r="CM71" s="2059"/>
      <c r="CN71" s="2059"/>
      <c r="CO71" s="2059"/>
      <c r="CP71" s="1576"/>
      <c r="CQ71" s="1576"/>
      <c r="CR71" s="1576"/>
      <c r="CS71" s="1576"/>
      <c r="CT71" s="1576"/>
      <c r="CU71" s="1576"/>
      <c r="CV71" s="1576"/>
      <c r="CW71" s="1576"/>
      <c r="CX71" s="1576"/>
      <c r="CY71" s="1576"/>
      <c r="CZ71" s="1576"/>
      <c r="DA71" s="1576"/>
      <c r="DB71" s="1576"/>
      <c r="DC71" s="1576"/>
      <c r="DD71" s="1576"/>
      <c r="DE71" s="1576"/>
      <c r="DF71" s="1576"/>
      <c r="DG71" s="1576"/>
      <c r="DH71" s="1576"/>
      <c r="DI71" s="1576"/>
      <c r="DJ71" s="1576"/>
      <c r="DK71" s="1576"/>
      <c r="DL71" s="1576"/>
      <c r="DM71" s="1576"/>
      <c r="DN71" s="1576"/>
      <c r="DO71" s="1576"/>
      <c r="DP71" s="1576"/>
      <c r="DQ71" s="1576"/>
      <c r="DR71" s="1576"/>
      <c r="DS71" s="1576"/>
      <c r="DT71" s="1576"/>
      <c r="DU71" s="1576"/>
      <c r="DV71" s="1576"/>
      <c r="DW71" s="1576"/>
      <c r="DX71" s="1576"/>
      <c r="DY71" s="1576"/>
      <c r="DZ71" s="1576"/>
      <c r="EA71" s="1576"/>
      <c r="EB71" s="1576"/>
      <c r="EC71" s="1576"/>
      <c r="ED71" s="1576"/>
      <c r="EE71" s="1576"/>
      <c r="EF71" s="1576"/>
      <c r="EG71" s="1576"/>
      <c r="EH71" s="1576"/>
      <c r="EI71" s="1576"/>
      <c r="EJ71" s="1576"/>
      <c r="EK71" s="1576"/>
      <c r="EL71" s="1576"/>
      <c r="EM71" s="1576"/>
      <c r="EN71" s="1576"/>
      <c r="EO71" s="1576"/>
      <c r="EP71" s="1576"/>
      <c r="EQ71" s="1576"/>
      <c r="ER71" s="1576"/>
      <c r="ES71" s="1576"/>
      <c r="ET71" s="1576"/>
      <c r="EU71" s="1576"/>
      <c r="EV71" s="1576"/>
      <c r="EW71" s="1576"/>
      <c r="EX71" s="1576"/>
      <c r="EY71" s="1576"/>
      <c r="EZ71" s="1576"/>
      <c r="FA71" s="1576"/>
      <c r="FB71" s="1576"/>
      <c r="FC71" s="1576"/>
      <c r="FD71" s="1576"/>
      <c r="FE71" s="1576"/>
      <c r="FF71" s="1576"/>
      <c r="FG71" s="1576"/>
      <c r="FH71" s="1576"/>
      <c r="FI71" s="1576"/>
      <c r="FJ71" s="1576"/>
      <c r="FK71" s="1576"/>
      <c r="FL71" s="1576"/>
      <c r="FM71" s="1576"/>
      <c r="FN71" s="1576"/>
      <c r="FO71" s="1576"/>
      <c r="FP71" s="1576"/>
      <c r="FQ71" s="1576"/>
      <c r="FR71" s="1576"/>
      <c r="FS71" s="1576"/>
      <c r="FT71" s="1576"/>
      <c r="FU71" s="1576"/>
      <c r="FV71" s="1576"/>
      <c r="FW71" s="1576"/>
      <c r="FX71" s="1576"/>
      <c r="FY71" s="1576"/>
      <c r="FZ71" s="1576"/>
      <c r="GA71" s="1576"/>
      <c r="GB71" s="1576"/>
      <c r="GC71" s="1576"/>
      <c r="GD71" s="1576"/>
      <c r="GE71" s="1576"/>
      <c r="GF71" s="1576"/>
      <c r="GG71" s="1576"/>
      <c r="GH71" s="1576"/>
      <c r="GI71" s="1576"/>
      <c r="GJ71" s="1576"/>
      <c r="GK71" s="1576"/>
      <c r="GL71" s="1576"/>
      <c r="GM71" s="1576"/>
      <c r="GN71" s="1576"/>
      <c r="GO71" s="1576"/>
      <c r="GP71" s="1576"/>
      <c r="GQ71" s="1576"/>
      <c r="GR71" s="1576"/>
      <c r="GS71" s="1576"/>
      <c r="GT71" s="1576"/>
      <c r="GU71" s="1576"/>
      <c r="GV71" s="1576"/>
      <c r="GW71" s="1576"/>
      <c r="GX71" s="1576"/>
      <c r="GY71" s="1576"/>
      <c r="GZ71" s="1576"/>
      <c r="HA71" s="1576"/>
      <c r="HB71" s="1576"/>
      <c r="HC71" s="1576"/>
      <c r="HD71" s="1576"/>
      <c r="HE71" s="1576"/>
      <c r="HF71" s="1576"/>
      <c r="HG71" s="1576"/>
      <c r="HH71" s="1576"/>
      <c r="HI71" s="1576"/>
      <c r="HJ71" s="1576"/>
      <c r="HK71" s="1576"/>
      <c r="HL71" s="1576"/>
      <c r="HM71" s="1576"/>
      <c r="HN71" s="1576"/>
      <c r="HO71" s="1576"/>
      <c r="HP71" s="1576"/>
      <c r="HQ71" s="1576"/>
      <c r="HR71" s="1576"/>
      <c r="HS71" s="1576"/>
      <c r="HT71" s="1576"/>
      <c r="HU71" s="1576"/>
      <c r="HV71" s="1576"/>
      <c r="HW71" s="1576"/>
      <c r="HX71" s="1576"/>
      <c r="HY71" s="1576"/>
      <c r="HZ71" s="1576"/>
      <c r="IA71" s="1576"/>
      <c r="IB71" s="1576"/>
      <c r="IC71" s="1576"/>
      <c r="ID71" s="1576"/>
      <c r="IE71" s="1576"/>
      <c r="IF71" s="1576"/>
      <c r="IG71" s="1576"/>
      <c r="IH71" s="1576"/>
      <c r="II71" s="1576"/>
      <c r="IJ71" s="1576"/>
      <c r="IK71" s="1576"/>
      <c r="IL71" s="1576"/>
      <c r="IM71" s="1576"/>
      <c r="IN71" s="1576"/>
      <c r="IO71" s="1576"/>
      <c r="IP71" s="1576"/>
      <c r="IQ71" s="1576"/>
      <c r="IR71" s="1576"/>
      <c r="IS71" s="1576"/>
      <c r="IT71" s="1576"/>
      <c r="IU71" s="1576"/>
      <c r="IV71" s="1576"/>
      <c r="IW71" s="1576"/>
      <c r="IX71" s="1576"/>
      <c r="IY71" s="1576"/>
      <c r="IZ71" s="1576"/>
      <c r="JA71" s="2054"/>
      <c r="JB71" s="2054"/>
      <c r="JC71" s="2054"/>
      <c r="JD71" s="2054"/>
      <c r="JE71" s="2054"/>
      <c r="JF71" s="2054"/>
      <c r="JG71" s="2054"/>
      <c r="JH71" s="2054"/>
      <c r="JI71" s="2054"/>
      <c r="JJ71" s="2054"/>
      <c r="JK71" s="2054"/>
      <c r="JL71" s="2054"/>
      <c r="JM71" s="2054"/>
      <c r="JN71" s="2054"/>
      <c r="JO71" s="2054"/>
      <c r="JP71" s="2054"/>
      <c r="JQ71" s="2054"/>
      <c r="JR71" s="1576" t="e">
        <f>'Paso 1.1'!E70*Tiempos!$H$64</f>
        <v>#REF!</v>
      </c>
      <c r="JS71" s="1576" t="e">
        <f>'Paso 1.1'!F70*Tiempos!$H$64</f>
        <v>#REF!</v>
      </c>
      <c r="JT71" s="1576" t="e">
        <f>'Paso 1.1'!G70*Tiempos!$H$64</f>
        <v>#REF!</v>
      </c>
      <c r="JU71" s="1576" t="e">
        <f>'Paso 1.1'!H70*Tiempos!$H$64</f>
        <v>#REF!</v>
      </c>
      <c r="JV71" s="1576" t="e">
        <f>'Paso 1.1'!I70*Tiempos!$H$64</f>
        <v>#REF!</v>
      </c>
      <c r="JW71" s="1576" t="e">
        <f>'Paso 1.1'!J70*Tiempos!$H$64</f>
        <v>#REF!</v>
      </c>
      <c r="JX71" s="1576" t="e">
        <f>'Paso 1.1'!K70*Tiempos!$H$64</f>
        <v>#REF!</v>
      </c>
      <c r="JY71" s="1576" t="e">
        <f>'Paso 1.1'!L70*Tiempos!$H$64</f>
        <v>#REF!</v>
      </c>
      <c r="JZ71" s="1576" t="e">
        <f>'Paso 1.1'!M70*Tiempos!$H$64</f>
        <v>#REF!</v>
      </c>
      <c r="KA71" s="1576" t="e">
        <f>'Paso 1.1'!N70*Tiempos!$H$64</f>
        <v>#REF!</v>
      </c>
      <c r="KB71" s="1576" t="e">
        <f>'Paso 1.1'!O70*Tiempos!$H$64</f>
        <v>#REF!</v>
      </c>
      <c r="KC71" s="1576" t="e">
        <f>'Paso 1.1'!P70*Tiempos!$H$64</f>
        <v>#REF!</v>
      </c>
      <c r="KD71" s="1576" t="e">
        <f>'Paso 1.1'!Q70*Tiempos!$H$64</f>
        <v>#REF!</v>
      </c>
      <c r="KE71" s="1576" t="e">
        <f>'Paso 1.1'!R70*Tiempos!$H$64</f>
        <v>#REF!</v>
      </c>
      <c r="KF71" s="1576" t="e">
        <f>'Paso 1.1'!S70*Tiempos!$H$64</f>
        <v>#REF!</v>
      </c>
      <c r="KG71" s="1576" t="e">
        <f>'Paso 1.1'!T70*Tiempos!$H$64</f>
        <v>#REF!</v>
      </c>
      <c r="KH71" s="1576" t="e">
        <f>'Paso 1.1'!U70*Tiempos!$H$64</f>
        <v>#REF!</v>
      </c>
      <c r="KI71" s="1576" t="e">
        <f>'Paso 1.1'!E70*Tiempos!$H$64</f>
        <v>#REF!</v>
      </c>
      <c r="KJ71" s="1576" t="e">
        <f>'Paso 1.1'!F70*Tiempos!$H$64</f>
        <v>#REF!</v>
      </c>
      <c r="KK71" s="1576" t="e">
        <f>'Paso 1.1'!G70*Tiempos!$H$64</f>
        <v>#REF!</v>
      </c>
      <c r="KL71" s="1576" t="e">
        <f>'Paso 1.1'!H70*Tiempos!$H$64</f>
        <v>#REF!</v>
      </c>
      <c r="KM71" s="1576" t="e">
        <f>'Paso 1.1'!I70*Tiempos!$H$64</f>
        <v>#REF!</v>
      </c>
      <c r="KN71" s="1576" t="e">
        <f>'Paso 1.1'!J70*Tiempos!$H$64</f>
        <v>#REF!</v>
      </c>
      <c r="KO71" s="1576" t="e">
        <f>'Paso 1.1'!K70*Tiempos!$H$64</f>
        <v>#REF!</v>
      </c>
      <c r="KP71" s="1576" t="e">
        <f>'Paso 1.1'!L70*Tiempos!$H$64</f>
        <v>#REF!</v>
      </c>
      <c r="KQ71" s="1576" t="e">
        <f>'Paso 1.1'!M70*Tiempos!$H$64</f>
        <v>#REF!</v>
      </c>
      <c r="KR71" s="1576" t="e">
        <f>'Paso 1.1'!N70*Tiempos!$H$64</f>
        <v>#REF!</v>
      </c>
      <c r="KS71" s="1576" t="e">
        <f>'Paso 1.1'!O70*Tiempos!$H$64</f>
        <v>#REF!</v>
      </c>
      <c r="KT71" s="1576" t="e">
        <f>'Paso 1.1'!P70*Tiempos!$H$64</f>
        <v>#REF!</v>
      </c>
      <c r="KU71" s="1576" t="e">
        <f>'Paso 1.1'!Q70*Tiempos!$H$64</f>
        <v>#REF!</v>
      </c>
      <c r="KV71" s="1576" t="e">
        <f>'Paso 1.1'!R70*Tiempos!$H$64</f>
        <v>#REF!</v>
      </c>
      <c r="KW71" s="1576" t="e">
        <f>'Paso 1.1'!S70*Tiempos!$H$64</f>
        <v>#REF!</v>
      </c>
      <c r="KX71" s="1576" t="e">
        <f>'Paso 1.1'!T70*Tiempos!$H$64</f>
        <v>#REF!</v>
      </c>
      <c r="KY71" s="1576" t="e">
        <f>'Paso 1.1'!U70*Tiempos!$H$64</f>
        <v>#REF!</v>
      </c>
      <c r="KZ71" s="1576" t="e">
        <f>'Paso 1.1'!E70*Tiempos!$H$64</f>
        <v>#REF!</v>
      </c>
      <c r="LA71" s="1576" t="e">
        <f>'Paso 1.1'!F70*Tiempos!$H$64</f>
        <v>#REF!</v>
      </c>
      <c r="LB71" s="1576" t="e">
        <f>'Paso 1.1'!G70*Tiempos!$H$64</f>
        <v>#REF!</v>
      </c>
      <c r="LC71" s="1576" t="e">
        <f>'Paso 1.1'!H70*Tiempos!$H$64</f>
        <v>#REF!</v>
      </c>
      <c r="LD71" s="1576" t="e">
        <f>'Paso 1.1'!I70*Tiempos!$H$64</f>
        <v>#REF!</v>
      </c>
      <c r="LE71" s="1576" t="e">
        <f>'Paso 1.1'!J70*Tiempos!$H$64</f>
        <v>#REF!</v>
      </c>
      <c r="LF71" s="1576" t="e">
        <f>'Paso 1.1'!K70*Tiempos!$H$64</f>
        <v>#REF!</v>
      </c>
      <c r="LG71" s="1576" t="e">
        <f>'Paso 1.1'!L70*Tiempos!$H$64</f>
        <v>#REF!</v>
      </c>
      <c r="LH71" s="1576" t="e">
        <f>'Paso 1.1'!M70*Tiempos!$H$64</f>
        <v>#REF!</v>
      </c>
      <c r="LI71" s="1576" t="e">
        <f>'Paso 1.1'!N70*Tiempos!$H$64</f>
        <v>#REF!</v>
      </c>
      <c r="LJ71" s="1576" t="e">
        <f>'Paso 1.1'!O70*Tiempos!$H$64</f>
        <v>#REF!</v>
      </c>
      <c r="LK71" s="1576" t="e">
        <f>'Paso 1.1'!P70*Tiempos!$H$64</f>
        <v>#REF!</v>
      </c>
      <c r="LL71" s="1576" t="e">
        <f>'Paso 1.1'!Q70*Tiempos!$H$64</f>
        <v>#REF!</v>
      </c>
      <c r="LM71" s="1576" t="e">
        <f>'Paso 1.1'!R70*Tiempos!$H$64</f>
        <v>#REF!</v>
      </c>
      <c r="LN71" s="1576" t="e">
        <f>'Paso 1.1'!S70*Tiempos!$H$64</f>
        <v>#REF!</v>
      </c>
      <c r="LO71" s="1576" t="e">
        <f>'Paso 1.1'!T70*Tiempos!$H$64</f>
        <v>#REF!</v>
      </c>
      <c r="LP71" s="1576" t="e">
        <f>'Paso 1.1'!U70*Tiempos!$H$64</f>
        <v>#REF!</v>
      </c>
      <c r="LQ71" s="1576" t="e">
        <f>'Paso 1.1'!E70*Tiempos!$H$64</f>
        <v>#REF!</v>
      </c>
      <c r="LR71" s="1576" t="e">
        <f>'Paso 1.1'!F70*Tiempos!$H$64</f>
        <v>#REF!</v>
      </c>
      <c r="LS71" s="1576" t="e">
        <f>'Paso 1.1'!G70*Tiempos!$H$64</f>
        <v>#REF!</v>
      </c>
      <c r="LT71" s="1576" t="e">
        <f>'Paso 1.1'!H70*Tiempos!$H$64</f>
        <v>#REF!</v>
      </c>
      <c r="LU71" s="1576" t="e">
        <f>'Paso 1.1'!I70*Tiempos!$H$64</f>
        <v>#REF!</v>
      </c>
      <c r="LV71" s="1576" t="e">
        <f>'Paso 1.1'!J70*Tiempos!$H$64</f>
        <v>#REF!</v>
      </c>
      <c r="LW71" s="1576" t="e">
        <f>'Paso 1.1'!K70*Tiempos!$H$64</f>
        <v>#REF!</v>
      </c>
      <c r="LX71" s="1576" t="e">
        <f>'Paso 1.1'!L70*Tiempos!$H$64</f>
        <v>#REF!</v>
      </c>
      <c r="LY71" s="1576" t="e">
        <f>'Paso 1.1'!M70*Tiempos!$H$64</f>
        <v>#REF!</v>
      </c>
      <c r="LZ71" s="1576" t="e">
        <f>'Paso 1.1'!N70*Tiempos!$H$64</f>
        <v>#REF!</v>
      </c>
      <c r="MA71" s="1576" t="e">
        <f>'Paso 1.1'!O70*Tiempos!$H$64</f>
        <v>#REF!</v>
      </c>
      <c r="MB71" s="1576" t="e">
        <f>'Paso 1.1'!P70*Tiempos!$H$64</f>
        <v>#REF!</v>
      </c>
      <c r="MC71" s="1576" t="e">
        <f>'Paso 1.1'!Q70*Tiempos!$H$64</f>
        <v>#REF!</v>
      </c>
      <c r="MD71" s="1576" t="e">
        <f>'Paso 1.1'!R70*Tiempos!$H$64</f>
        <v>#REF!</v>
      </c>
      <c r="ME71" s="1576" t="e">
        <f>'Paso 1.1'!S70*Tiempos!$H$64</f>
        <v>#REF!</v>
      </c>
      <c r="MF71" s="1576" t="e">
        <f>'Paso 1.1'!T70*Tiempos!$H$64</f>
        <v>#REF!</v>
      </c>
      <c r="MG71" s="1576" t="e">
        <f>'Paso 1.1'!U70*Tiempos!$H$64</f>
        <v>#REF!</v>
      </c>
      <c r="MH71" s="1576" t="e">
        <f>'Paso 1.1'!E70*Tiempos!$H$64</f>
        <v>#REF!</v>
      </c>
      <c r="MI71" s="1576" t="e">
        <f>'Paso 1.1'!F70*Tiempos!$H$64</f>
        <v>#REF!</v>
      </c>
      <c r="MJ71" s="1576" t="e">
        <f>'Paso 1.1'!G70*Tiempos!$H$64</f>
        <v>#REF!</v>
      </c>
      <c r="MK71" s="1576" t="e">
        <f>'Paso 1.1'!H70*Tiempos!$H$64</f>
        <v>#REF!</v>
      </c>
      <c r="ML71" s="1576" t="e">
        <f>'Paso 1.1'!I70*Tiempos!$H$64</f>
        <v>#REF!</v>
      </c>
      <c r="MM71" s="1576" t="e">
        <f>'Paso 1.1'!J70*Tiempos!$H$64</f>
        <v>#REF!</v>
      </c>
      <c r="MN71" s="1576" t="e">
        <f>'Paso 1.1'!K70*Tiempos!$H$64</f>
        <v>#REF!</v>
      </c>
      <c r="MO71" s="1576" t="e">
        <f>'Paso 1.1'!L70*Tiempos!$H$64</f>
        <v>#REF!</v>
      </c>
      <c r="MP71" s="1576" t="e">
        <f>'Paso 1.1'!M70*Tiempos!$H$64</f>
        <v>#REF!</v>
      </c>
      <c r="MQ71" s="1576" t="e">
        <f>'Paso 1.1'!N70*Tiempos!$H$64</f>
        <v>#REF!</v>
      </c>
      <c r="MR71" s="1576" t="e">
        <f>'Paso 1.1'!O70*Tiempos!$H$64</f>
        <v>#REF!</v>
      </c>
      <c r="MS71" s="1576" t="e">
        <f>'Paso 1.1'!P70*Tiempos!$H$64</f>
        <v>#REF!</v>
      </c>
      <c r="MT71" s="1576" t="e">
        <f>'Paso 1.1'!Q70*Tiempos!$H$64</f>
        <v>#REF!</v>
      </c>
      <c r="MU71" s="1576" t="e">
        <f>'Paso 1.1'!R70*Tiempos!$H$64</f>
        <v>#REF!</v>
      </c>
      <c r="MV71" s="1576" t="e">
        <f>'Paso 1.1'!S70*Tiempos!$H$64</f>
        <v>#REF!</v>
      </c>
      <c r="MW71" s="1576" t="e">
        <f>'Paso 1.1'!T70*Tiempos!$H$64</f>
        <v>#REF!</v>
      </c>
      <c r="MX71" s="1576" t="e">
        <f>'Paso 1.1'!U70*Tiempos!$H$64</f>
        <v>#REF!</v>
      </c>
      <c r="MY71" s="1576" t="e">
        <f>'Paso 1.1'!E70*Tiempos!$H$64</f>
        <v>#REF!</v>
      </c>
      <c r="MZ71" s="1576" t="e">
        <f>'Paso 1.1'!F70*Tiempos!$H$64</f>
        <v>#REF!</v>
      </c>
      <c r="NA71" s="1576" t="e">
        <f>'Paso 1.1'!G70*Tiempos!$H$64</f>
        <v>#REF!</v>
      </c>
      <c r="NB71" s="1576" t="e">
        <f>'Paso 1.1'!H70*Tiempos!$H$64</f>
        <v>#REF!</v>
      </c>
      <c r="NC71" s="1576" t="e">
        <f>'Paso 1.1'!I70*Tiempos!$H$64</f>
        <v>#REF!</v>
      </c>
      <c r="ND71" s="1576" t="e">
        <f>'Paso 1.1'!J70*Tiempos!$H$64</f>
        <v>#REF!</v>
      </c>
      <c r="NE71" s="1576" t="e">
        <f>'Paso 1.1'!K70*Tiempos!$H$64</f>
        <v>#REF!</v>
      </c>
      <c r="NF71" s="1576" t="e">
        <f>'Paso 1.1'!L70*Tiempos!$H$64</f>
        <v>#REF!</v>
      </c>
      <c r="NG71" s="1576" t="e">
        <f>'Paso 1.1'!M70*Tiempos!$H$64</f>
        <v>#REF!</v>
      </c>
      <c r="NH71" s="1576" t="e">
        <f>'Paso 1.1'!N70*Tiempos!$H$64</f>
        <v>#REF!</v>
      </c>
      <c r="NI71" s="1576" t="e">
        <f>'Paso 1.1'!O70*Tiempos!$H$64</f>
        <v>#REF!</v>
      </c>
      <c r="NJ71" s="1576" t="e">
        <f>'Paso 1.1'!P70*Tiempos!$H$64</f>
        <v>#REF!</v>
      </c>
      <c r="NK71" s="1576" t="e">
        <f>'Paso 1.1'!Q70*Tiempos!$H$64</f>
        <v>#REF!</v>
      </c>
      <c r="NL71" s="1576" t="e">
        <f>'Paso 1.1'!R70*Tiempos!$H$64</f>
        <v>#REF!</v>
      </c>
      <c r="NM71" s="1576" t="e">
        <f>'Paso 1.1'!S70*Tiempos!$H$64</f>
        <v>#REF!</v>
      </c>
      <c r="NN71" s="1576" t="e">
        <f>'Paso 1.1'!T70*Tiempos!$H$64</f>
        <v>#REF!</v>
      </c>
      <c r="NO71" s="1576" t="e">
        <f>'Paso 1.1'!U70*Tiempos!$H$64</f>
        <v>#REF!</v>
      </c>
      <c r="NP71" s="1578"/>
      <c r="NQ71" s="1578"/>
      <c r="NR71" s="1578"/>
      <c r="NS71" s="1576"/>
      <c r="NT71" s="1576"/>
      <c r="NU71" s="1576"/>
      <c r="NV71" s="1576"/>
      <c r="NW71" s="1576"/>
      <c r="NX71" s="1576"/>
      <c r="NY71" s="1576"/>
      <c r="NZ71" s="1576"/>
      <c r="OA71" s="1576"/>
      <c r="OB71" s="1576"/>
      <c r="OC71" s="1576"/>
      <c r="OD71" s="1576"/>
      <c r="OE71" s="1576"/>
      <c r="OF71" s="1576"/>
      <c r="OG71" s="1576"/>
      <c r="OH71" s="1576"/>
      <c r="OI71" s="1576"/>
      <c r="OJ71" s="1576"/>
      <c r="OK71" s="1576"/>
      <c r="OL71" s="1576"/>
      <c r="OM71" s="1576"/>
      <c r="ON71" s="1576"/>
      <c r="OO71" s="1576"/>
      <c r="OP71" s="1576"/>
      <c r="OQ71" s="1576"/>
      <c r="OR71" s="1576"/>
      <c r="OS71" s="1576"/>
      <c r="OT71" s="1576"/>
      <c r="OU71" s="1576"/>
      <c r="OV71" s="1576"/>
      <c r="OW71" s="1576"/>
      <c r="OX71" s="1576"/>
      <c r="OY71" s="1576"/>
      <c r="OZ71" s="1576"/>
      <c r="PA71" s="1576"/>
      <c r="PB71" s="1576"/>
      <c r="PC71" s="1576"/>
      <c r="PD71" s="1576"/>
      <c r="PE71" s="1576"/>
      <c r="PF71" s="1576"/>
      <c r="PG71" s="1576"/>
      <c r="PH71" s="1576"/>
      <c r="PI71" s="1576"/>
      <c r="PJ71" s="1576"/>
      <c r="PK71" s="1576"/>
      <c r="PL71" s="1576"/>
      <c r="PM71" s="1576"/>
      <c r="PN71" s="1576"/>
      <c r="PO71" s="1576"/>
      <c r="PP71" s="1576"/>
      <c r="PQ71" s="1576"/>
      <c r="PR71" s="1576"/>
      <c r="PS71" s="1576"/>
      <c r="PT71" s="1576"/>
      <c r="PU71" s="1576"/>
      <c r="PV71" s="1576"/>
      <c r="PW71" s="1576"/>
      <c r="PX71" s="1576"/>
      <c r="PY71" s="1576"/>
      <c r="PZ71" s="1576"/>
      <c r="QA71" s="1576"/>
      <c r="QB71" s="1576"/>
      <c r="QC71" s="1576"/>
      <c r="QD71" s="1576"/>
      <c r="QE71" s="1576"/>
      <c r="QF71" s="1576"/>
      <c r="QG71" s="1576"/>
      <c r="QH71" s="1576"/>
      <c r="QI71" s="1576"/>
      <c r="QJ71" s="1576"/>
      <c r="QK71" s="1576"/>
      <c r="QL71" s="1576"/>
      <c r="QM71" s="1576"/>
      <c r="QN71" s="1576"/>
      <c r="QO71" s="1576"/>
      <c r="QP71" s="1576"/>
      <c r="QQ71" s="1576"/>
      <c r="QR71" s="1576"/>
      <c r="QS71" s="1576"/>
      <c r="QT71" s="1576"/>
      <c r="QU71" s="1576"/>
      <c r="QV71" s="1576"/>
      <c r="QW71" s="1576"/>
      <c r="QX71" s="1576"/>
      <c r="QY71" s="1576"/>
      <c r="QZ71" s="1576"/>
      <c r="RA71" s="1576"/>
      <c r="RB71" s="1576"/>
      <c r="RC71" s="1576"/>
      <c r="RD71" s="1576"/>
      <c r="RE71" s="1576"/>
      <c r="RF71" s="1576"/>
      <c r="RG71" s="1576"/>
      <c r="RH71" s="1576"/>
      <c r="RI71" s="1576"/>
      <c r="RJ71" s="1576"/>
      <c r="RK71" s="1576"/>
      <c r="RL71" s="1576"/>
      <c r="RM71" s="1576"/>
      <c r="RN71" s="1576" t="e">
        <f>'Paso 1.1'!E70*Tiempos!$H$64</f>
        <v>#REF!</v>
      </c>
      <c r="RO71" s="1576" t="e">
        <f>'Paso 1.1'!F70*Tiempos!$H$64</f>
        <v>#REF!</v>
      </c>
      <c r="RP71" s="1576" t="e">
        <f>'Paso 1.1'!G70*Tiempos!$H$64</f>
        <v>#REF!</v>
      </c>
      <c r="RQ71" s="1576" t="e">
        <f>'Paso 1.1'!H70*Tiempos!$H$64</f>
        <v>#REF!</v>
      </c>
      <c r="RR71" s="1576" t="e">
        <f>'Paso 1.1'!I70*Tiempos!$H$64</f>
        <v>#REF!</v>
      </c>
      <c r="RS71" s="1576" t="e">
        <f>'Paso 1.1'!J70*Tiempos!$H$64</f>
        <v>#REF!</v>
      </c>
      <c r="RT71" s="1576" t="e">
        <f>'Paso 1.1'!K70*Tiempos!$H$64</f>
        <v>#REF!</v>
      </c>
      <c r="RU71" s="1576" t="e">
        <f>'Paso 1.1'!L70*Tiempos!$H$64</f>
        <v>#REF!</v>
      </c>
      <c r="RV71" s="1576" t="e">
        <f>'Paso 1.1'!M70*Tiempos!$H$64</f>
        <v>#REF!</v>
      </c>
      <c r="RW71" s="1576" t="e">
        <f>'Paso 1.1'!N70*Tiempos!$H$64</f>
        <v>#REF!</v>
      </c>
      <c r="RX71" s="1576" t="e">
        <f>'Paso 1.1'!O70*Tiempos!$H$64</f>
        <v>#REF!</v>
      </c>
      <c r="RY71" s="1576" t="e">
        <f>'Paso 1.1'!P70*Tiempos!$H$64</f>
        <v>#REF!</v>
      </c>
      <c r="RZ71" s="1576" t="e">
        <f>'Paso 1.1'!Q70*Tiempos!$H$64</f>
        <v>#REF!</v>
      </c>
      <c r="SA71" s="1576" t="e">
        <f>'Paso 1.1'!R70*Tiempos!$H$64</f>
        <v>#REF!</v>
      </c>
      <c r="SB71" s="1576" t="e">
        <f>'Paso 1.1'!S70*Tiempos!$H$64</f>
        <v>#REF!</v>
      </c>
      <c r="SC71" s="1576" t="e">
        <f>'Paso 1.1'!T70*Tiempos!$H$64</f>
        <v>#REF!</v>
      </c>
      <c r="SD71" s="1576" t="e">
        <f>'Paso 1.1'!U70*Tiempos!$H$64</f>
        <v>#REF!</v>
      </c>
      <c r="SE71" s="1576"/>
      <c r="SF71" s="1576"/>
      <c r="SG71" s="1576"/>
      <c r="SH71" s="1576"/>
      <c r="SI71" s="1576"/>
      <c r="SJ71" s="1576"/>
      <c r="SK71" s="1576"/>
      <c r="SL71" s="1576"/>
      <c r="SM71" s="1576"/>
      <c r="SN71" s="1576"/>
      <c r="SO71" s="1576"/>
      <c r="SP71" s="1576"/>
      <c r="SQ71" s="1576"/>
      <c r="SR71" s="1576"/>
      <c r="SS71" s="1576"/>
      <c r="ST71" s="1576"/>
      <c r="SU71" s="1576"/>
      <c r="SV71" s="1576"/>
      <c r="SW71" s="1576"/>
      <c r="SX71" s="1576"/>
      <c r="SY71" s="1576"/>
      <c r="SZ71" s="1576"/>
      <c r="TA71" s="1576"/>
      <c r="TB71" s="1576"/>
      <c r="TC71" s="1576"/>
      <c r="TD71" s="1576"/>
      <c r="TE71" s="1576"/>
      <c r="TF71" s="1576"/>
      <c r="TG71" s="1576"/>
      <c r="TH71" s="1576"/>
      <c r="TI71" s="1576"/>
      <c r="TJ71" s="1576"/>
      <c r="TK71" s="1576"/>
      <c r="TL71" s="1576"/>
      <c r="TM71" s="1576"/>
      <c r="TN71" s="1576"/>
      <c r="TO71" s="1576"/>
      <c r="TP71" s="1576"/>
      <c r="TQ71" s="1576"/>
      <c r="TR71" s="1576"/>
      <c r="TS71" s="1576"/>
      <c r="TT71" s="1576"/>
      <c r="TU71" s="1576"/>
      <c r="TV71" s="1576"/>
      <c r="TW71" s="1576"/>
      <c r="TX71" s="1576"/>
      <c r="TY71" s="1576"/>
      <c r="TZ71" s="1576"/>
      <c r="UA71" s="1576"/>
      <c r="UB71" s="1576"/>
      <c r="UC71" s="1576"/>
      <c r="UD71" s="1576"/>
      <c r="UE71" s="1576"/>
      <c r="UF71" s="1576"/>
      <c r="UG71" s="1576"/>
      <c r="UH71" s="1576"/>
      <c r="UI71" s="1576"/>
      <c r="UJ71" s="1576"/>
      <c r="UK71" s="1576"/>
      <c r="UL71" s="1576"/>
      <c r="UM71" s="1576"/>
      <c r="UN71" s="1576"/>
      <c r="UO71" s="1576"/>
      <c r="UP71" s="1576"/>
      <c r="UQ71" s="1576"/>
      <c r="UR71" s="1576"/>
      <c r="US71" s="1576"/>
      <c r="UT71" s="1576"/>
      <c r="UU71" s="1576"/>
      <c r="UV71" s="1576"/>
      <c r="UW71" s="1576"/>
      <c r="UX71" s="1576"/>
      <c r="UY71" s="1576"/>
      <c r="UZ71" s="1576"/>
      <c r="VA71" s="1576"/>
      <c r="VB71" s="1576"/>
      <c r="VC71" s="1576"/>
      <c r="VD71" s="1576"/>
      <c r="VE71" s="1576"/>
      <c r="VF71" s="1576"/>
      <c r="VG71" s="1576"/>
      <c r="VH71" s="1576"/>
      <c r="VI71" s="1576"/>
      <c r="VJ71" s="1576"/>
      <c r="VK71" s="1576"/>
    </row>
    <row r="72" spans="1:583" x14ac:dyDescent="0.25">
      <c r="B72" s="1610" t="s">
        <v>1275</v>
      </c>
      <c r="C72" s="1582" t="s">
        <v>2124</v>
      </c>
      <c r="D72" s="4711"/>
      <c r="E72" s="4711"/>
      <c r="F72" s="1579" t="e">
        <f>'Paso 1.1'!E70*Tiempos!$H$65</f>
        <v>#REF!</v>
      </c>
      <c r="G72" s="1579" t="e">
        <f>'Paso 1.1'!F70*Tiempos!$H$65</f>
        <v>#REF!</v>
      </c>
      <c r="H72" s="1579" t="e">
        <f>'Paso 1.1'!G70*Tiempos!$H$65</f>
        <v>#REF!</v>
      </c>
      <c r="I72" s="1579" t="e">
        <f>'Paso 1.1'!H70*Tiempos!$H$65</f>
        <v>#REF!</v>
      </c>
      <c r="J72" s="1579" t="e">
        <f>'Paso 1.1'!I70*Tiempos!$H$65</f>
        <v>#REF!</v>
      </c>
      <c r="K72" s="1579" t="e">
        <f>'Paso 1.1'!J70*Tiempos!$H$65</f>
        <v>#REF!</v>
      </c>
      <c r="L72" s="1579" t="e">
        <f>'Paso 1.1'!K70*Tiempos!$H$65</f>
        <v>#REF!</v>
      </c>
      <c r="M72" s="1579" t="e">
        <f>'Paso 1.1'!L70*Tiempos!$H$65</f>
        <v>#REF!</v>
      </c>
      <c r="N72" s="1579" t="e">
        <f>'Paso 1.1'!M70*Tiempos!$H$65</f>
        <v>#REF!</v>
      </c>
      <c r="O72" s="1579" t="e">
        <f>'Paso 1.1'!N70*Tiempos!$H$65</f>
        <v>#REF!</v>
      </c>
      <c r="P72" s="1579" t="e">
        <f>'Paso 1.1'!O70*Tiempos!$H$65</f>
        <v>#REF!</v>
      </c>
      <c r="Q72" s="1579" t="e">
        <f>'Paso 1.1'!P70*Tiempos!$H$65</f>
        <v>#REF!</v>
      </c>
      <c r="R72" s="1579" t="e">
        <f>'Paso 1.1'!Q70*Tiempos!$H$65</f>
        <v>#REF!</v>
      </c>
      <c r="S72" s="1579" t="e">
        <f>'Paso 1.1'!R70*Tiempos!$H$65</f>
        <v>#REF!</v>
      </c>
      <c r="T72" s="1579" t="e">
        <f>'Paso 1.1'!S70*Tiempos!$H$65</f>
        <v>#REF!</v>
      </c>
      <c r="U72" s="1579" t="e">
        <f>'Paso 1.1'!T70*Tiempos!$H$65</f>
        <v>#REF!</v>
      </c>
      <c r="V72" s="1579" t="e">
        <f>'Paso 1.1'!U70*Tiempos!$H$65</f>
        <v>#REF!</v>
      </c>
      <c r="W72" s="2059"/>
      <c r="X72" s="2059"/>
      <c r="Y72" s="2059"/>
      <c r="Z72" s="2059"/>
      <c r="AA72" s="2059"/>
      <c r="AB72" s="2059"/>
      <c r="AC72" s="2059"/>
      <c r="AD72" s="2059"/>
      <c r="AE72" s="2059"/>
      <c r="AF72" s="2059"/>
      <c r="AG72" s="2059"/>
      <c r="AH72" s="2059"/>
      <c r="AI72" s="2059"/>
      <c r="AJ72" s="2059"/>
      <c r="AK72" s="2059"/>
      <c r="AL72" s="2059"/>
      <c r="AM72" s="2059"/>
      <c r="AN72" s="2059"/>
      <c r="AO72" s="2059"/>
      <c r="AP72" s="2059"/>
      <c r="AQ72" s="2059"/>
      <c r="AR72" s="2059"/>
      <c r="AS72" s="2059"/>
      <c r="AT72" s="2059"/>
      <c r="AU72" s="2059"/>
      <c r="AV72" s="2059"/>
      <c r="AW72" s="2059"/>
      <c r="AX72" s="2059"/>
      <c r="AY72" s="2059"/>
      <c r="AZ72" s="2059"/>
      <c r="BA72" s="2059"/>
      <c r="BB72" s="2059"/>
      <c r="BC72" s="2059"/>
      <c r="BD72" s="2059"/>
      <c r="BE72" s="2059"/>
      <c r="BF72" s="2059"/>
      <c r="BG72" s="2059"/>
      <c r="BH72" s="2059"/>
      <c r="BI72" s="2059"/>
      <c r="BJ72" s="2059"/>
      <c r="BK72" s="2059"/>
      <c r="BL72" s="2059"/>
      <c r="BM72" s="2059"/>
      <c r="BN72" s="2059"/>
      <c r="BO72" s="2059"/>
      <c r="BP72" s="2059"/>
      <c r="BQ72" s="2059"/>
      <c r="BR72" s="2059"/>
      <c r="BS72" s="2059"/>
      <c r="BT72" s="2059"/>
      <c r="BU72" s="2059"/>
      <c r="BV72" s="2059"/>
      <c r="BW72" s="2059"/>
      <c r="BX72" s="2059"/>
      <c r="BY72" s="2059"/>
      <c r="BZ72" s="2059"/>
      <c r="CA72" s="2059"/>
      <c r="CB72" s="2059"/>
      <c r="CC72" s="2059"/>
      <c r="CD72" s="2059"/>
      <c r="CE72" s="2059"/>
      <c r="CF72" s="2059"/>
      <c r="CG72" s="2059"/>
      <c r="CH72" s="2059"/>
      <c r="CI72" s="2059"/>
      <c r="CJ72" s="2059"/>
      <c r="CK72" s="2059"/>
      <c r="CL72" s="2059"/>
      <c r="CM72" s="2059"/>
      <c r="CN72" s="2059"/>
      <c r="CO72" s="2059"/>
      <c r="CP72" s="1576"/>
      <c r="CQ72" s="1576"/>
      <c r="CR72" s="1576"/>
      <c r="CS72" s="1576"/>
      <c r="CT72" s="1576"/>
      <c r="CU72" s="1576"/>
      <c r="CV72" s="1576"/>
      <c r="CW72" s="1576"/>
      <c r="CX72" s="1576"/>
      <c r="CY72" s="1576"/>
      <c r="CZ72" s="1576"/>
      <c r="DA72" s="1576"/>
      <c r="DB72" s="1576"/>
      <c r="DC72" s="1576"/>
      <c r="DD72" s="1576"/>
      <c r="DE72" s="1576"/>
      <c r="DF72" s="1576"/>
      <c r="DG72" s="1576"/>
      <c r="DH72" s="1576"/>
      <c r="DI72" s="1576"/>
      <c r="DJ72" s="1576"/>
      <c r="DK72" s="1576"/>
      <c r="DL72" s="1576"/>
      <c r="DM72" s="1576"/>
      <c r="DN72" s="1576"/>
      <c r="DO72" s="1576"/>
      <c r="DP72" s="1576"/>
      <c r="DQ72" s="1576"/>
      <c r="DR72" s="1576"/>
      <c r="DS72" s="1576"/>
      <c r="DT72" s="1576"/>
      <c r="DU72" s="1576"/>
      <c r="DV72" s="1576"/>
      <c r="DW72" s="1576"/>
      <c r="DX72" s="1576"/>
      <c r="DY72" s="1576"/>
      <c r="DZ72" s="1576"/>
      <c r="EA72" s="1576"/>
      <c r="EB72" s="1576"/>
      <c r="EC72" s="1576"/>
      <c r="ED72" s="1576"/>
      <c r="EE72" s="1576"/>
      <c r="EF72" s="1576"/>
      <c r="EG72" s="1576"/>
      <c r="EH72" s="1576"/>
      <c r="EI72" s="1576"/>
      <c r="EJ72" s="1576"/>
      <c r="EK72" s="1576"/>
      <c r="EL72" s="1576"/>
      <c r="EM72" s="1576"/>
      <c r="EN72" s="1576"/>
      <c r="EO72" s="1576"/>
      <c r="EP72" s="1576"/>
      <c r="EQ72" s="1576"/>
      <c r="ER72" s="1576"/>
      <c r="ES72" s="1576"/>
      <c r="ET72" s="1576"/>
      <c r="EU72" s="1576"/>
      <c r="EV72" s="1576"/>
      <c r="EW72" s="1576"/>
      <c r="EX72" s="1576"/>
      <c r="EY72" s="1576"/>
      <c r="EZ72" s="1576"/>
      <c r="FA72" s="1576"/>
      <c r="FB72" s="1576"/>
      <c r="FC72" s="1576"/>
      <c r="FD72" s="1576"/>
      <c r="FE72" s="1576"/>
      <c r="FF72" s="1576"/>
      <c r="FG72" s="1576"/>
      <c r="FH72" s="1576"/>
      <c r="FI72" s="1576"/>
      <c r="FJ72" s="1576"/>
      <c r="FK72" s="1576"/>
      <c r="FL72" s="1576"/>
      <c r="FM72" s="1576"/>
      <c r="FN72" s="1576"/>
      <c r="FO72" s="1576"/>
      <c r="FP72" s="1576"/>
      <c r="FQ72" s="1576"/>
      <c r="FR72" s="1576"/>
      <c r="FS72" s="1576"/>
      <c r="FT72" s="1576"/>
      <c r="FU72" s="1576"/>
      <c r="FV72" s="1576"/>
      <c r="FW72" s="1576"/>
      <c r="FX72" s="1576"/>
      <c r="FY72" s="1576"/>
      <c r="FZ72" s="1576"/>
      <c r="GA72" s="1576"/>
      <c r="GB72" s="1576"/>
      <c r="GC72" s="1576"/>
      <c r="GD72" s="1576"/>
      <c r="GE72" s="1576"/>
      <c r="GF72" s="1576"/>
      <c r="GG72" s="1576"/>
      <c r="GH72" s="1576"/>
      <c r="GI72" s="1576"/>
      <c r="GJ72" s="1576"/>
      <c r="GK72" s="1576"/>
      <c r="GL72" s="1576"/>
      <c r="GM72" s="1576"/>
      <c r="GN72" s="1576"/>
      <c r="GO72" s="1576"/>
      <c r="GP72" s="1576"/>
      <c r="GQ72" s="1576"/>
      <c r="GR72" s="1576"/>
      <c r="GS72" s="1576"/>
      <c r="GT72" s="1576"/>
      <c r="GU72" s="1576"/>
      <c r="GV72" s="1576"/>
      <c r="GW72" s="1576"/>
      <c r="GX72" s="1576"/>
      <c r="GY72" s="1576"/>
      <c r="GZ72" s="1576"/>
      <c r="HA72" s="1576"/>
      <c r="HB72" s="1576"/>
      <c r="HC72" s="1576"/>
      <c r="HD72" s="1576"/>
      <c r="HE72" s="1576"/>
      <c r="HF72" s="1576"/>
      <c r="HG72" s="1576"/>
      <c r="HH72" s="1576"/>
      <c r="HI72" s="1576"/>
      <c r="HJ72" s="1576"/>
      <c r="HK72" s="1576"/>
      <c r="HL72" s="1576"/>
      <c r="HM72" s="1576"/>
      <c r="HN72" s="1576"/>
      <c r="HO72" s="1576"/>
      <c r="HP72" s="1576"/>
      <c r="HQ72" s="1576"/>
      <c r="HR72" s="1576"/>
      <c r="HS72" s="1576"/>
      <c r="HT72" s="1576"/>
      <c r="HU72" s="1576"/>
      <c r="HV72" s="1576"/>
      <c r="HW72" s="1576"/>
      <c r="HX72" s="1576"/>
      <c r="HY72" s="1576"/>
      <c r="HZ72" s="1576"/>
      <c r="IA72" s="1576"/>
      <c r="IB72" s="1576"/>
      <c r="IC72" s="1576"/>
      <c r="ID72" s="1576"/>
      <c r="IE72" s="1576"/>
      <c r="IF72" s="1576"/>
      <c r="IG72" s="1576"/>
      <c r="IH72" s="1576"/>
      <c r="II72" s="1576"/>
      <c r="IJ72" s="1576"/>
      <c r="IK72" s="1576"/>
      <c r="IL72" s="1576"/>
      <c r="IM72" s="1576"/>
      <c r="IN72" s="1576"/>
      <c r="IO72" s="1576"/>
      <c r="IP72" s="1576"/>
      <c r="IQ72" s="1576"/>
      <c r="IR72" s="1576"/>
      <c r="IS72" s="1576"/>
      <c r="IT72" s="1576"/>
      <c r="IU72" s="1576"/>
      <c r="IV72" s="1576"/>
      <c r="IW72" s="1576"/>
      <c r="IX72" s="1576"/>
      <c r="IY72" s="1576"/>
      <c r="IZ72" s="1576"/>
      <c r="JA72" s="2054"/>
      <c r="JB72" s="2054"/>
      <c r="JC72" s="2054"/>
      <c r="JD72" s="2054"/>
      <c r="JE72" s="2054"/>
      <c r="JF72" s="2054"/>
      <c r="JG72" s="2054"/>
      <c r="JH72" s="2054"/>
      <c r="JI72" s="2054"/>
      <c r="JJ72" s="2054"/>
      <c r="JK72" s="2054"/>
      <c r="JL72" s="2054"/>
      <c r="JM72" s="2054"/>
      <c r="JN72" s="2054"/>
      <c r="JO72" s="2054"/>
      <c r="JP72" s="2054"/>
      <c r="JQ72" s="2054"/>
      <c r="JR72" s="1576"/>
      <c r="JS72" s="1576"/>
      <c r="JT72" s="1576"/>
      <c r="JU72" s="1576"/>
      <c r="JV72" s="1576"/>
      <c r="JW72" s="1576"/>
      <c r="JX72" s="1576"/>
      <c r="JY72" s="1576"/>
      <c r="JZ72" s="1576"/>
      <c r="KA72" s="1576"/>
      <c r="KB72" s="1576"/>
      <c r="KC72" s="1576"/>
      <c r="KD72" s="1576"/>
      <c r="KE72" s="1576"/>
      <c r="KF72" s="1576"/>
      <c r="KG72" s="1576"/>
      <c r="KH72" s="1576"/>
      <c r="KI72" s="1576"/>
      <c r="KJ72" s="1576"/>
      <c r="KK72" s="1576"/>
      <c r="KL72" s="1576"/>
      <c r="KM72" s="1576"/>
      <c r="KN72" s="1576"/>
      <c r="KO72" s="1576"/>
      <c r="KP72" s="1576"/>
      <c r="KQ72" s="1576"/>
      <c r="KR72" s="1576"/>
      <c r="KS72" s="1576"/>
      <c r="KT72" s="1576"/>
      <c r="KU72" s="1576"/>
      <c r="KV72" s="1576"/>
      <c r="KW72" s="1576"/>
      <c r="KX72" s="1576"/>
      <c r="KY72" s="1576"/>
      <c r="KZ72" s="1576"/>
      <c r="LA72" s="1576"/>
      <c r="LB72" s="1576"/>
      <c r="LC72" s="1576"/>
      <c r="LD72" s="1576"/>
      <c r="LE72" s="1576"/>
      <c r="LF72" s="1576"/>
      <c r="LG72" s="1576"/>
      <c r="LH72" s="1576"/>
      <c r="LI72" s="1576"/>
      <c r="LJ72" s="1576"/>
      <c r="LK72" s="1576"/>
      <c r="LL72" s="1576"/>
      <c r="LM72" s="1576"/>
      <c r="LN72" s="1576"/>
      <c r="LO72" s="1576"/>
      <c r="LP72" s="1576"/>
      <c r="LQ72" s="1576"/>
      <c r="LR72" s="1576"/>
      <c r="LS72" s="1576"/>
      <c r="LT72" s="1576"/>
      <c r="LU72" s="1576"/>
      <c r="LV72" s="1576"/>
      <c r="LW72" s="1576"/>
      <c r="LX72" s="1576"/>
      <c r="LY72" s="1576"/>
      <c r="LZ72" s="1576"/>
      <c r="MA72" s="1576"/>
      <c r="MB72" s="1576"/>
      <c r="MC72" s="1576"/>
      <c r="MD72" s="1576"/>
      <c r="ME72" s="1576"/>
      <c r="MF72" s="1576"/>
      <c r="MG72" s="1576"/>
      <c r="MH72" s="1576"/>
      <c r="MI72" s="1576"/>
      <c r="MJ72" s="1576"/>
      <c r="MK72" s="1576"/>
      <c r="ML72" s="1576"/>
      <c r="MM72" s="1576"/>
      <c r="MN72" s="1576"/>
      <c r="MO72" s="1576"/>
      <c r="MP72" s="1576"/>
      <c r="MQ72" s="1576"/>
      <c r="MR72" s="1576"/>
      <c r="MS72" s="1576"/>
      <c r="MT72" s="1576"/>
      <c r="MU72" s="1576"/>
      <c r="MV72" s="1576"/>
      <c r="MW72" s="1576"/>
      <c r="MX72" s="1576"/>
      <c r="MY72" s="1576"/>
      <c r="MZ72" s="1576"/>
      <c r="NA72" s="1576"/>
      <c r="NB72" s="1576"/>
      <c r="NC72" s="1576"/>
      <c r="ND72" s="1576"/>
      <c r="NE72" s="1576"/>
      <c r="NF72" s="1576"/>
      <c r="NG72" s="1576"/>
      <c r="NH72" s="1576"/>
      <c r="NI72" s="1576"/>
      <c r="NJ72" s="1576"/>
      <c r="NK72" s="1576"/>
      <c r="NL72" s="1576"/>
      <c r="NM72" s="1576"/>
      <c r="NN72" s="1576"/>
      <c r="NO72" s="1576"/>
      <c r="NP72" s="1578"/>
      <c r="NQ72" s="1578"/>
      <c r="NR72" s="1578"/>
      <c r="NS72" s="1576"/>
      <c r="NT72" s="1576"/>
      <c r="NU72" s="1576"/>
      <c r="NV72" s="1576"/>
      <c r="NW72" s="1576"/>
      <c r="NX72" s="1576"/>
      <c r="NY72" s="1576"/>
      <c r="NZ72" s="1576"/>
      <c r="OA72" s="1576"/>
      <c r="OB72" s="1576"/>
      <c r="OC72" s="1576"/>
      <c r="OD72" s="1576"/>
      <c r="OE72" s="1576"/>
      <c r="OF72" s="1576"/>
      <c r="OG72" s="1576"/>
      <c r="OH72" s="1576"/>
      <c r="OI72" s="1576"/>
      <c r="OJ72" s="1576"/>
      <c r="OK72" s="1576"/>
      <c r="OL72" s="1576"/>
      <c r="OM72" s="1576"/>
      <c r="ON72" s="1576"/>
      <c r="OO72" s="1576"/>
      <c r="OP72" s="1576"/>
      <c r="OQ72" s="1576"/>
      <c r="OR72" s="1576"/>
      <c r="OS72" s="1576"/>
      <c r="OT72" s="1576"/>
      <c r="OU72" s="1576"/>
      <c r="OV72" s="1576"/>
      <c r="OW72" s="1576"/>
      <c r="OX72" s="1576"/>
      <c r="OY72" s="1576"/>
      <c r="OZ72" s="1576"/>
      <c r="PA72" s="1576"/>
      <c r="PB72" s="1576"/>
      <c r="PC72" s="1576"/>
      <c r="PD72" s="1576"/>
      <c r="PE72" s="1576"/>
      <c r="PF72" s="1576"/>
      <c r="PG72" s="1576"/>
      <c r="PH72" s="1576"/>
      <c r="PI72" s="1576"/>
      <c r="PJ72" s="1576"/>
      <c r="PK72" s="1576"/>
      <c r="PL72" s="1576"/>
      <c r="PM72" s="1576"/>
      <c r="PN72" s="1576"/>
      <c r="PO72" s="1576"/>
      <c r="PP72" s="1576"/>
      <c r="PQ72" s="1576"/>
      <c r="PR72" s="1576"/>
      <c r="PS72" s="1576"/>
      <c r="PT72" s="1576"/>
      <c r="PU72" s="1576"/>
      <c r="PV72" s="1576"/>
      <c r="PW72" s="1576"/>
      <c r="PX72" s="1576"/>
      <c r="PY72" s="1576"/>
      <c r="PZ72" s="1576"/>
      <c r="QA72" s="1576"/>
      <c r="QB72" s="1576"/>
      <c r="QC72" s="1576"/>
      <c r="QD72" s="1576"/>
      <c r="QE72" s="1576"/>
      <c r="QF72" s="1576"/>
      <c r="QG72" s="1576"/>
      <c r="QH72" s="1576"/>
      <c r="QI72" s="1576"/>
      <c r="QJ72" s="1576"/>
      <c r="QK72" s="1576"/>
      <c r="QL72" s="1576"/>
      <c r="QM72" s="1576"/>
      <c r="QN72" s="1576"/>
      <c r="QO72" s="1576"/>
      <c r="QP72" s="1576"/>
      <c r="QQ72" s="1576"/>
      <c r="QR72" s="1576"/>
      <c r="QS72" s="1576"/>
      <c r="QT72" s="1576"/>
      <c r="QU72" s="1576"/>
      <c r="QV72" s="1576"/>
      <c r="QW72" s="1576"/>
      <c r="QX72" s="1576"/>
      <c r="QY72" s="1576"/>
      <c r="QZ72" s="1576"/>
      <c r="RA72" s="1576"/>
      <c r="RB72" s="1576"/>
      <c r="RC72" s="1576"/>
      <c r="RD72" s="1576"/>
      <c r="RE72" s="1576"/>
      <c r="RF72" s="1576"/>
      <c r="RG72" s="1576"/>
      <c r="RH72" s="1576"/>
      <c r="RI72" s="1576"/>
      <c r="RJ72" s="1576"/>
      <c r="RK72" s="1576"/>
      <c r="RL72" s="1576"/>
      <c r="RM72" s="1576"/>
      <c r="RN72" s="1576"/>
      <c r="RO72" s="1576"/>
      <c r="RP72" s="1576"/>
      <c r="RQ72" s="1576"/>
      <c r="RR72" s="1576"/>
      <c r="RS72" s="1576"/>
      <c r="RT72" s="1576"/>
      <c r="RU72" s="1576"/>
      <c r="RV72" s="1576"/>
      <c r="RW72" s="1576"/>
      <c r="RX72" s="1576"/>
      <c r="RY72" s="1576"/>
      <c r="RZ72" s="1576"/>
      <c r="SA72" s="1576"/>
      <c r="SB72" s="1576"/>
      <c r="SC72" s="1576"/>
      <c r="SD72" s="1576"/>
      <c r="SE72" s="1576"/>
      <c r="SF72" s="1576"/>
      <c r="SG72" s="1576"/>
      <c r="SH72" s="1576"/>
      <c r="SI72" s="1576"/>
      <c r="SJ72" s="1576"/>
      <c r="SK72" s="1576"/>
      <c r="SL72" s="1576"/>
      <c r="SM72" s="1576"/>
      <c r="SN72" s="1576"/>
      <c r="SO72" s="1576"/>
      <c r="SP72" s="1576"/>
      <c r="SQ72" s="1576"/>
      <c r="SR72" s="1576"/>
      <c r="SS72" s="1576"/>
      <c r="ST72" s="1576"/>
      <c r="SU72" s="1576"/>
      <c r="SV72" s="1576"/>
      <c r="SW72" s="1576"/>
      <c r="SX72" s="1576"/>
      <c r="SY72" s="1576"/>
      <c r="SZ72" s="1576"/>
      <c r="TA72" s="1576"/>
      <c r="TB72" s="1576"/>
      <c r="TC72" s="1576"/>
      <c r="TD72" s="1576"/>
      <c r="TE72" s="1576"/>
      <c r="TF72" s="1576"/>
      <c r="TG72" s="1576"/>
      <c r="TH72" s="1576"/>
      <c r="TI72" s="1576"/>
      <c r="TJ72" s="1576"/>
      <c r="TK72" s="1576"/>
      <c r="TL72" s="1576"/>
      <c r="TM72" s="1576"/>
      <c r="TN72" s="1576"/>
      <c r="TO72" s="1576"/>
      <c r="TP72" s="1576"/>
      <c r="TQ72" s="1576"/>
      <c r="TR72" s="1576"/>
      <c r="TS72" s="1576"/>
      <c r="TT72" s="1576"/>
      <c r="TU72" s="1576"/>
      <c r="TV72" s="1576"/>
      <c r="TW72" s="1576"/>
      <c r="TX72" s="1576"/>
      <c r="TY72" s="1576"/>
      <c r="TZ72" s="1576"/>
      <c r="UA72" s="1576"/>
      <c r="UB72" s="1576"/>
      <c r="UC72" s="1576"/>
      <c r="UD72" s="1576"/>
      <c r="UE72" s="1576"/>
      <c r="UF72" s="1576"/>
      <c r="UG72" s="1576"/>
      <c r="UH72" s="1576"/>
      <c r="UI72" s="1576"/>
      <c r="UJ72" s="1576"/>
      <c r="UK72" s="1576"/>
      <c r="UL72" s="1576"/>
      <c r="UM72" s="1576"/>
      <c r="UN72" s="1576"/>
      <c r="UO72" s="1576"/>
      <c r="UP72" s="1576"/>
      <c r="UQ72" s="1576"/>
      <c r="UR72" s="1576"/>
      <c r="US72" s="1576"/>
      <c r="UT72" s="1576"/>
      <c r="UU72" s="1576"/>
      <c r="UV72" s="1576"/>
      <c r="UW72" s="1576"/>
      <c r="UX72" s="1576"/>
      <c r="UY72" s="1576"/>
      <c r="UZ72" s="1576"/>
      <c r="VA72" s="1576"/>
      <c r="VB72" s="1576"/>
      <c r="VC72" s="1576"/>
      <c r="VD72" s="1576"/>
      <c r="VE72" s="1576"/>
      <c r="VF72" s="1576"/>
      <c r="VG72" s="1576"/>
      <c r="VH72" s="1576"/>
      <c r="VI72" s="1576"/>
      <c r="VJ72" s="1576"/>
      <c r="VK72" s="1576"/>
    </row>
    <row r="73" spans="1:583" ht="28.15" customHeight="1" x14ac:dyDescent="0.25">
      <c r="B73" s="1610" t="s">
        <v>1275</v>
      </c>
      <c r="C73" s="1582" t="s">
        <v>2768</v>
      </c>
      <c r="D73" s="4711"/>
      <c r="E73" s="4711"/>
      <c r="F73" s="2057"/>
      <c r="G73" s="2057"/>
      <c r="H73" s="2057"/>
      <c r="I73" s="2059"/>
      <c r="J73" s="2059"/>
      <c r="K73" s="2059"/>
      <c r="L73" s="2059"/>
      <c r="M73" s="2059"/>
      <c r="N73" s="2059"/>
      <c r="O73" s="2059"/>
      <c r="P73" s="2059"/>
      <c r="Q73" s="2059"/>
      <c r="R73" s="2059"/>
      <c r="S73" s="2059"/>
      <c r="T73" s="2059"/>
      <c r="U73" s="2059"/>
      <c r="V73" s="2059"/>
      <c r="W73" s="2059"/>
      <c r="X73" s="2059"/>
      <c r="Y73" s="2059"/>
      <c r="Z73" s="2059"/>
      <c r="AA73" s="2059"/>
      <c r="AB73" s="2059"/>
      <c r="AC73" s="2059"/>
      <c r="AD73" s="2059"/>
      <c r="AE73" s="2059"/>
      <c r="AF73" s="2059"/>
      <c r="AG73" s="2059"/>
      <c r="AH73" s="2059"/>
      <c r="AI73" s="2059"/>
      <c r="AJ73" s="2059"/>
      <c r="AK73" s="2059"/>
      <c r="AL73" s="2059"/>
      <c r="AM73" s="2059"/>
      <c r="AN73" s="2059"/>
      <c r="AO73" s="2059"/>
      <c r="AP73" s="2059"/>
      <c r="AQ73" s="2059"/>
      <c r="AR73" s="2059"/>
      <c r="AS73" s="2059"/>
      <c r="AT73" s="2059"/>
      <c r="AU73" s="2059"/>
      <c r="AV73" s="2059"/>
      <c r="AW73" s="2059"/>
      <c r="AX73" s="2059"/>
      <c r="AY73" s="2059"/>
      <c r="AZ73" s="2059"/>
      <c r="BA73" s="2059"/>
      <c r="BB73" s="2059"/>
      <c r="BC73" s="2059"/>
      <c r="BD73" s="2059"/>
      <c r="BE73" s="2059"/>
      <c r="BF73" s="2059"/>
      <c r="BG73" s="2059"/>
      <c r="BH73" s="2059"/>
      <c r="BI73" s="2059"/>
      <c r="BJ73" s="2059"/>
      <c r="BK73" s="2059"/>
      <c r="BL73" s="2059"/>
      <c r="BM73" s="2059"/>
      <c r="BN73" s="2059"/>
      <c r="BO73" s="2059"/>
      <c r="BP73" s="2059"/>
      <c r="BQ73" s="2059"/>
      <c r="BR73" s="2059"/>
      <c r="BS73" s="2059"/>
      <c r="BT73" s="2059"/>
      <c r="BU73" s="2059"/>
      <c r="BV73" s="2059"/>
      <c r="BW73" s="2059"/>
      <c r="BX73" s="2059"/>
      <c r="BY73" s="2059"/>
      <c r="BZ73" s="2059"/>
      <c r="CA73" s="2059"/>
      <c r="CB73" s="2059"/>
      <c r="CC73" s="2059"/>
      <c r="CD73" s="2059"/>
      <c r="CE73" s="2059"/>
      <c r="CF73" s="2059"/>
      <c r="CG73" s="2059"/>
      <c r="CH73" s="2059"/>
      <c r="CI73" s="2059"/>
      <c r="CJ73" s="2059"/>
      <c r="CK73" s="2059"/>
      <c r="CL73" s="2059"/>
      <c r="CM73" s="1576" t="e">
        <f>'Paso 1.1'!E70*Tiempos!$H$66</f>
        <v>#REF!</v>
      </c>
      <c r="CN73" s="1576" t="e">
        <f>'Paso 1.1'!F70*Tiempos!$H$66</f>
        <v>#REF!</v>
      </c>
      <c r="CO73" s="1576" t="e">
        <f>'Paso 1.1'!G70*Tiempos!$H$66</f>
        <v>#REF!</v>
      </c>
      <c r="CP73" s="1576" t="e">
        <f>'Paso 1.1'!H70*Tiempos!$H$66</f>
        <v>#REF!</v>
      </c>
      <c r="CQ73" s="1576" t="e">
        <f>'Paso 1.1'!I70*Tiempos!$H$66</f>
        <v>#REF!</v>
      </c>
      <c r="CR73" s="1576" t="e">
        <f>'Paso 1.1'!J70*Tiempos!$H$66</f>
        <v>#REF!</v>
      </c>
      <c r="CS73" s="1576" t="e">
        <f>'Paso 1.1'!K70*Tiempos!$H$66</f>
        <v>#REF!</v>
      </c>
      <c r="CT73" s="1576" t="e">
        <f>'Paso 1.1'!L70*Tiempos!$H$66</f>
        <v>#REF!</v>
      </c>
      <c r="CU73" s="1576" t="e">
        <f>'Paso 1.1'!M70*Tiempos!$H$66</f>
        <v>#REF!</v>
      </c>
      <c r="CV73" s="1576" t="e">
        <f>'Paso 1.1'!N70*Tiempos!$H$66</f>
        <v>#REF!</v>
      </c>
      <c r="CW73" s="1576" t="e">
        <f>'Paso 1.1'!O70*Tiempos!$H$66</f>
        <v>#REF!</v>
      </c>
      <c r="CX73" s="1576" t="e">
        <f>'Paso 1.1'!P70*Tiempos!$H$66</f>
        <v>#REF!</v>
      </c>
      <c r="CY73" s="1576" t="e">
        <f>'Paso 1.1'!Q70*Tiempos!$H$66</f>
        <v>#REF!</v>
      </c>
      <c r="CZ73" s="1576" t="e">
        <f>'Paso 1.1'!R70*Tiempos!$H$66</f>
        <v>#REF!</v>
      </c>
      <c r="DA73" s="1576" t="e">
        <f>'Paso 1.1'!S70*Tiempos!$H$66</f>
        <v>#REF!</v>
      </c>
      <c r="DB73" s="1576" t="e">
        <f>'Paso 1.1'!T70*Tiempos!$H$66</f>
        <v>#REF!</v>
      </c>
      <c r="DC73" s="1576" t="e">
        <f>'Paso 1.1'!U70*Tiempos!$H$66</f>
        <v>#REF!</v>
      </c>
      <c r="DD73" s="1576"/>
      <c r="DE73" s="1576"/>
      <c r="DF73" s="1576"/>
      <c r="DG73" s="1576"/>
      <c r="DH73" s="1576"/>
      <c r="DI73" s="1576"/>
      <c r="DJ73" s="1576"/>
      <c r="DK73" s="1576"/>
      <c r="DL73" s="1576"/>
      <c r="DM73" s="1576"/>
      <c r="DN73" s="1576"/>
      <c r="DO73" s="1576"/>
      <c r="DP73" s="1576"/>
      <c r="DQ73" s="1576"/>
      <c r="DR73" s="1576"/>
      <c r="DS73" s="1576"/>
      <c r="DT73" s="1576"/>
      <c r="DU73" s="1576"/>
      <c r="DV73" s="1576"/>
      <c r="DW73" s="1576"/>
      <c r="DX73" s="1576"/>
      <c r="DY73" s="1576"/>
      <c r="DZ73" s="1576"/>
      <c r="EA73" s="1576"/>
      <c r="EB73" s="1576"/>
      <c r="EC73" s="1576"/>
      <c r="ED73" s="1576"/>
      <c r="EE73" s="1576"/>
      <c r="EF73" s="1576"/>
      <c r="EG73" s="1576"/>
      <c r="EH73" s="1576"/>
      <c r="EI73" s="1576"/>
      <c r="EJ73" s="1576"/>
      <c r="EK73" s="1576"/>
      <c r="EL73" s="1576"/>
      <c r="EM73" s="1576"/>
      <c r="EN73" s="1576"/>
      <c r="EO73" s="1576"/>
      <c r="EP73" s="1576"/>
      <c r="EQ73" s="1576"/>
      <c r="ER73" s="1576"/>
      <c r="ES73" s="1576"/>
      <c r="ET73" s="1576"/>
      <c r="EU73" s="1576"/>
      <c r="EV73" s="1576"/>
      <c r="EW73" s="1576"/>
      <c r="EX73" s="1576"/>
      <c r="EY73" s="1576"/>
      <c r="EZ73" s="1576"/>
      <c r="FA73" s="1576"/>
      <c r="FB73" s="1576"/>
      <c r="FC73" s="1576"/>
      <c r="FD73" s="1576"/>
      <c r="FE73" s="1576"/>
      <c r="FF73" s="1576"/>
      <c r="FG73" s="1576"/>
      <c r="FH73" s="1576"/>
      <c r="FI73" s="1576"/>
      <c r="FJ73" s="1576"/>
      <c r="FK73" s="1576"/>
      <c r="FL73" s="1576"/>
      <c r="FM73" s="1576"/>
      <c r="FN73" s="1576"/>
      <c r="FO73" s="1576"/>
      <c r="FP73" s="1576"/>
      <c r="FQ73" s="1576"/>
      <c r="FR73" s="1576"/>
      <c r="FS73" s="1576"/>
      <c r="FT73" s="1576"/>
      <c r="FU73" s="1576"/>
      <c r="FV73" s="1576"/>
      <c r="FW73" s="1576"/>
      <c r="FX73" s="1576"/>
      <c r="FY73" s="1576"/>
      <c r="FZ73" s="1576"/>
      <c r="GA73" s="1576"/>
      <c r="GB73" s="1576"/>
      <c r="GC73" s="1576"/>
      <c r="GD73" s="1576"/>
      <c r="GE73" s="1576"/>
      <c r="GF73" s="1576"/>
      <c r="GG73" s="1576"/>
      <c r="GH73" s="1576"/>
      <c r="GI73" s="1576"/>
      <c r="GJ73" s="1576"/>
      <c r="GK73" s="1576"/>
      <c r="GL73" s="1576"/>
      <c r="GM73" s="1576"/>
      <c r="GN73" s="1576"/>
      <c r="GO73" s="1576"/>
      <c r="GP73" s="1576"/>
      <c r="GQ73" s="1576"/>
      <c r="GR73" s="1576"/>
      <c r="GS73" s="1576"/>
      <c r="GT73" s="1576"/>
      <c r="GU73" s="1576"/>
      <c r="GV73" s="1576"/>
      <c r="GW73" s="1576"/>
      <c r="GX73" s="1576"/>
      <c r="GY73" s="1576"/>
      <c r="GZ73" s="1576"/>
      <c r="HA73" s="1576"/>
      <c r="HB73" s="1576"/>
      <c r="HC73" s="1576"/>
      <c r="HD73" s="1576"/>
      <c r="HE73" s="1576"/>
      <c r="HF73" s="1576"/>
      <c r="HG73" s="1576"/>
      <c r="HH73" s="1576"/>
      <c r="HI73" s="1576"/>
      <c r="HJ73" s="1576"/>
      <c r="HK73" s="1576"/>
      <c r="HL73" s="1576"/>
      <c r="HM73" s="1576"/>
      <c r="HN73" s="1576"/>
      <c r="HO73" s="1576"/>
      <c r="HP73" s="1576"/>
      <c r="HQ73" s="1576"/>
      <c r="HR73" s="1576"/>
      <c r="HS73" s="1576"/>
      <c r="HT73" s="1576"/>
      <c r="HU73" s="1576"/>
      <c r="HV73" s="1576"/>
      <c r="HW73" s="1576"/>
      <c r="HX73" s="1576"/>
      <c r="HY73" s="1576"/>
      <c r="HZ73" s="1576"/>
      <c r="IA73" s="1576"/>
      <c r="IB73" s="1576"/>
      <c r="IC73" s="1576"/>
      <c r="ID73" s="1576"/>
      <c r="IE73" s="1576"/>
      <c r="IF73" s="1576"/>
      <c r="IG73" s="1576"/>
      <c r="IH73" s="1576"/>
      <c r="II73" s="1576"/>
      <c r="IJ73" s="1576"/>
      <c r="IK73" s="1576"/>
      <c r="IL73" s="1576"/>
      <c r="IM73" s="1576"/>
      <c r="IN73" s="1576"/>
      <c r="IO73" s="1576"/>
      <c r="IP73" s="1576"/>
      <c r="IQ73" s="1576"/>
      <c r="IR73" s="1576"/>
      <c r="IS73" s="1576"/>
      <c r="IT73" s="1576"/>
      <c r="IU73" s="1576"/>
      <c r="IV73" s="1576"/>
      <c r="IW73" s="1576"/>
      <c r="IX73" s="1576"/>
      <c r="IY73" s="1576"/>
      <c r="IZ73" s="1576"/>
      <c r="JA73" s="2054"/>
      <c r="JB73" s="2054"/>
      <c r="JC73" s="2054"/>
      <c r="JD73" s="2054"/>
      <c r="JE73" s="2054"/>
      <c r="JF73" s="2054"/>
      <c r="JG73" s="2054"/>
      <c r="JH73" s="2054"/>
      <c r="JI73" s="2054"/>
      <c r="JJ73" s="2054"/>
      <c r="JK73" s="2054"/>
      <c r="JL73" s="2054"/>
      <c r="JM73" s="2054"/>
      <c r="JN73" s="2054"/>
      <c r="JO73" s="2054"/>
      <c r="JP73" s="2054"/>
      <c r="JQ73" s="2054"/>
      <c r="JR73" s="1576"/>
      <c r="JS73" s="1576"/>
      <c r="JT73" s="1576"/>
      <c r="JU73" s="1576"/>
      <c r="JV73" s="1576"/>
      <c r="JW73" s="1576"/>
      <c r="JX73" s="1576"/>
      <c r="JY73" s="1576"/>
      <c r="JZ73" s="1576"/>
      <c r="KA73" s="1576"/>
      <c r="KB73" s="1576"/>
      <c r="KC73" s="1576"/>
      <c r="KD73" s="1576"/>
      <c r="KE73" s="1576"/>
      <c r="KF73" s="1576"/>
      <c r="KG73" s="1576"/>
      <c r="KH73" s="1576"/>
      <c r="KI73" s="1576"/>
      <c r="KJ73" s="1576"/>
      <c r="KK73" s="1576"/>
      <c r="KL73" s="1576"/>
      <c r="KM73" s="1576"/>
      <c r="KN73" s="1576"/>
      <c r="KO73" s="1576"/>
      <c r="KP73" s="1576"/>
      <c r="KQ73" s="1576"/>
      <c r="KR73" s="1576"/>
      <c r="KS73" s="1576"/>
      <c r="KT73" s="1576"/>
      <c r="KU73" s="1576"/>
      <c r="KV73" s="1576"/>
      <c r="KW73" s="1576"/>
      <c r="KX73" s="1576"/>
      <c r="KY73" s="1576"/>
      <c r="KZ73" s="1576"/>
      <c r="LA73" s="1576"/>
      <c r="LB73" s="1576"/>
      <c r="LC73" s="1576"/>
      <c r="LD73" s="1576"/>
      <c r="LE73" s="1576"/>
      <c r="LF73" s="1576"/>
      <c r="LG73" s="1576"/>
      <c r="LH73" s="1576"/>
      <c r="LI73" s="1576"/>
      <c r="LJ73" s="1576"/>
      <c r="LK73" s="1576"/>
      <c r="LL73" s="1576"/>
      <c r="LM73" s="1576"/>
      <c r="LN73" s="1576"/>
      <c r="LO73" s="1576"/>
      <c r="LP73" s="1576"/>
      <c r="LQ73" s="1576"/>
      <c r="LR73" s="1576"/>
      <c r="LS73" s="1576"/>
      <c r="LT73" s="1576"/>
      <c r="LU73" s="1576"/>
      <c r="LV73" s="1576"/>
      <c r="LW73" s="1576"/>
      <c r="LX73" s="1576"/>
      <c r="LY73" s="1576"/>
      <c r="LZ73" s="1576"/>
      <c r="MA73" s="1576"/>
      <c r="MB73" s="1576"/>
      <c r="MC73" s="1576"/>
      <c r="MD73" s="1576"/>
      <c r="ME73" s="1576"/>
      <c r="MF73" s="1576"/>
      <c r="MG73" s="1576"/>
      <c r="MH73" s="1576"/>
      <c r="MI73" s="1576"/>
      <c r="MJ73" s="1576"/>
      <c r="MK73" s="1576"/>
      <c r="ML73" s="1576"/>
      <c r="MM73" s="1576"/>
      <c r="MN73" s="1576"/>
      <c r="MO73" s="1576"/>
      <c r="MP73" s="1576"/>
      <c r="MQ73" s="1576"/>
      <c r="MR73" s="1576"/>
      <c r="MS73" s="1576"/>
      <c r="MT73" s="1576"/>
      <c r="MU73" s="1576"/>
      <c r="MV73" s="1576"/>
      <c r="MW73" s="1576"/>
      <c r="MX73" s="1576"/>
      <c r="MY73" s="1576"/>
      <c r="MZ73" s="1576"/>
      <c r="NA73" s="1576"/>
      <c r="NB73" s="1576"/>
      <c r="NC73" s="1576"/>
      <c r="ND73" s="1576"/>
      <c r="NE73" s="1576"/>
      <c r="NF73" s="1576"/>
      <c r="NG73" s="1576"/>
      <c r="NH73" s="1576"/>
      <c r="NI73" s="1576"/>
      <c r="NJ73" s="1576"/>
      <c r="NK73" s="1576"/>
      <c r="NL73" s="1576"/>
      <c r="NM73" s="1576"/>
      <c r="NN73" s="1576"/>
      <c r="NO73" s="1576"/>
      <c r="NP73" s="1578"/>
      <c r="NQ73" s="1578"/>
      <c r="NR73" s="1578"/>
      <c r="NS73" s="1576"/>
      <c r="NT73" s="1576"/>
      <c r="NU73" s="1576"/>
      <c r="NV73" s="1576"/>
      <c r="NW73" s="1576"/>
      <c r="NX73" s="1576"/>
      <c r="NY73" s="1576"/>
      <c r="NZ73" s="1576"/>
      <c r="OA73" s="1576"/>
      <c r="OB73" s="1576"/>
      <c r="OC73" s="1576"/>
      <c r="OD73" s="1576"/>
      <c r="OE73" s="1576"/>
      <c r="OF73" s="1576"/>
      <c r="OG73" s="1576"/>
      <c r="OH73" s="1576"/>
      <c r="OI73" s="1576"/>
      <c r="OJ73" s="1576"/>
      <c r="OK73" s="1576"/>
      <c r="OL73" s="1576"/>
      <c r="OM73" s="1576"/>
      <c r="ON73" s="1576"/>
      <c r="OO73" s="1576"/>
      <c r="OP73" s="1576"/>
      <c r="OQ73" s="1576"/>
      <c r="OR73" s="1576"/>
      <c r="OS73" s="1576"/>
      <c r="OT73" s="1576"/>
      <c r="OU73" s="1576"/>
      <c r="OV73" s="1576"/>
      <c r="OW73" s="1576"/>
      <c r="OX73" s="1576"/>
      <c r="OY73" s="1576"/>
      <c r="OZ73" s="1576"/>
      <c r="PA73" s="1576"/>
      <c r="PB73" s="1576"/>
      <c r="PC73" s="1576"/>
      <c r="PD73" s="1576"/>
      <c r="PE73" s="1576"/>
      <c r="PF73" s="1576"/>
      <c r="PG73" s="1576"/>
      <c r="PH73" s="1576"/>
      <c r="PI73" s="1576"/>
      <c r="PJ73" s="1576"/>
      <c r="PK73" s="1576"/>
      <c r="PL73" s="1576"/>
      <c r="PM73" s="1576"/>
      <c r="PN73" s="1576"/>
      <c r="PO73" s="1576"/>
      <c r="PP73" s="1576"/>
      <c r="PQ73" s="1576"/>
      <c r="PR73" s="1576"/>
      <c r="PS73" s="1576"/>
      <c r="PT73" s="1576"/>
      <c r="PU73" s="1576"/>
      <c r="PV73" s="1576"/>
      <c r="PW73" s="1576"/>
      <c r="PX73" s="1576"/>
      <c r="PY73" s="1576"/>
      <c r="PZ73" s="1576"/>
      <c r="QA73" s="1576"/>
      <c r="QB73" s="1576"/>
      <c r="QC73" s="1576"/>
      <c r="QD73" s="1576"/>
      <c r="QE73" s="1576"/>
      <c r="QF73" s="1576"/>
      <c r="QG73" s="1576"/>
      <c r="QH73" s="1576"/>
      <c r="QI73" s="1576"/>
      <c r="QJ73" s="1576"/>
      <c r="QK73" s="1576"/>
      <c r="QL73" s="1576"/>
      <c r="QM73" s="1576"/>
      <c r="QN73" s="1576"/>
      <c r="QO73" s="1576"/>
      <c r="QP73" s="1576"/>
      <c r="QQ73" s="1576"/>
      <c r="QR73" s="1576"/>
      <c r="QS73" s="1576"/>
      <c r="QT73" s="1576"/>
      <c r="QU73" s="1576"/>
      <c r="QV73" s="1576"/>
      <c r="QW73" s="1576"/>
      <c r="QX73" s="1576"/>
      <c r="QY73" s="1576"/>
      <c r="QZ73" s="1576"/>
      <c r="RA73" s="1576"/>
      <c r="RB73" s="1576"/>
      <c r="RC73" s="1576"/>
      <c r="RD73" s="1576"/>
      <c r="RE73" s="1576"/>
      <c r="RF73" s="1576"/>
      <c r="RG73" s="1576"/>
      <c r="RH73" s="1576"/>
      <c r="RI73" s="1576"/>
      <c r="RJ73" s="1576"/>
      <c r="RK73" s="1576"/>
      <c r="RL73" s="1576"/>
      <c r="RM73" s="1576"/>
      <c r="RN73" s="1576"/>
      <c r="RO73" s="1576"/>
      <c r="RP73" s="1576"/>
      <c r="RQ73" s="1576"/>
      <c r="RR73" s="1576"/>
      <c r="RS73" s="1576"/>
      <c r="RT73" s="1576"/>
      <c r="RU73" s="1576"/>
      <c r="RV73" s="1576"/>
      <c r="RW73" s="1576"/>
      <c r="RX73" s="1576"/>
      <c r="RY73" s="1576"/>
      <c r="RZ73" s="1576"/>
      <c r="SA73" s="1576"/>
      <c r="SB73" s="1576"/>
      <c r="SC73" s="1576"/>
      <c r="SD73" s="1576"/>
      <c r="SE73" s="1576"/>
      <c r="SF73" s="1576"/>
      <c r="SG73" s="1576"/>
      <c r="SH73" s="1576"/>
      <c r="SI73" s="1576"/>
      <c r="SJ73" s="1576"/>
      <c r="SK73" s="1576"/>
      <c r="SL73" s="1576"/>
      <c r="SM73" s="1576"/>
      <c r="SN73" s="1576"/>
      <c r="SO73" s="1576"/>
      <c r="SP73" s="1576"/>
      <c r="SQ73" s="1576"/>
      <c r="SR73" s="1576"/>
      <c r="SS73" s="1576"/>
      <c r="ST73" s="1576"/>
      <c r="SU73" s="1576"/>
      <c r="SV73" s="1576"/>
      <c r="SW73" s="1576"/>
      <c r="SX73" s="1576"/>
      <c r="SY73" s="1576"/>
      <c r="SZ73" s="1576"/>
      <c r="TA73" s="1576"/>
      <c r="TB73" s="1576"/>
      <c r="TC73" s="1576"/>
      <c r="TD73" s="1576"/>
      <c r="TE73" s="1576"/>
      <c r="TF73" s="1576"/>
      <c r="TG73" s="1576"/>
      <c r="TH73" s="1576"/>
      <c r="TI73" s="1576"/>
      <c r="TJ73" s="1576"/>
      <c r="TK73" s="1576"/>
      <c r="TL73" s="1576"/>
      <c r="TM73" s="1576"/>
      <c r="TN73" s="1576"/>
      <c r="TO73" s="1576"/>
      <c r="TP73" s="1576"/>
      <c r="TQ73" s="1576"/>
      <c r="TR73" s="1576"/>
      <c r="TS73" s="1576"/>
      <c r="TT73" s="1576"/>
      <c r="TU73" s="1576"/>
      <c r="TV73" s="1576"/>
      <c r="TW73" s="1576"/>
      <c r="TX73" s="1576"/>
      <c r="TY73" s="1576"/>
      <c r="TZ73" s="1576"/>
      <c r="UA73" s="1576"/>
      <c r="UB73" s="1576"/>
      <c r="UC73" s="1576"/>
      <c r="UD73" s="1576"/>
      <c r="UE73" s="1576"/>
      <c r="UF73" s="1576"/>
      <c r="UG73" s="1576"/>
      <c r="UH73" s="1576"/>
      <c r="UI73" s="1576"/>
      <c r="UJ73" s="1576"/>
      <c r="UK73" s="1576"/>
      <c r="UL73" s="1576"/>
      <c r="UM73" s="1576"/>
      <c r="UN73" s="1576"/>
      <c r="UO73" s="1576"/>
      <c r="UP73" s="1576"/>
      <c r="UQ73" s="1576"/>
      <c r="UR73" s="1576"/>
      <c r="US73" s="1576"/>
      <c r="UT73" s="1576"/>
      <c r="UU73" s="1576"/>
      <c r="UV73" s="1576"/>
      <c r="UW73" s="1576"/>
      <c r="UX73" s="1576"/>
      <c r="UY73" s="1576"/>
      <c r="UZ73" s="1576"/>
      <c r="VA73" s="1576"/>
      <c r="VB73" s="1576"/>
      <c r="VC73" s="1576"/>
      <c r="VD73" s="1576"/>
      <c r="VE73" s="1576"/>
      <c r="VF73" s="1576"/>
      <c r="VG73" s="1576"/>
      <c r="VH73" s="1576"/>
      <c r="VI73" s="1576"/>
      <c r="VJ73" s="1576"/>
      <c r="VK73" s="1576"/>
    </row>
    <row r="74" spans="1:583" ht="30.75" customHeight="1" x14ac:dyDescent="0.25">
      <c r="B74" s="1610" t="s">
        <v>1275</v>
      </c>
      <c r="C74" s="1582" t="s">
        <v>1333</v>
      </c>
      <c r="D74" s="4711"/>
      <c r="E74" s="4711"/>
      <c r="F74" s="1579" t="e">
        <f>'Paso 1.1'!E70*Tiempos!$H$67</f>
        <v>#REF!</v>
      </c>
      <c r="G74" s="1579" t="e">
        <f>'Paso 1.1'!F70*Tiempos!$H$67</f>
        <v>#REF!</v>
      </c>
      <c r="H74" s="1579" t="e">
        <f>'Paso 1.1'!G70*Tiempos!$H$67</f>
        <v>#REF!</v>
      </c>
      <c r="I74" s="1579" t="e">
        <f>'Paso 1.1'!H70*Tiempos!$H$67</f>
        <v>#REF!</v>
      </c>
      <c r="J74" s="1579" t="e">
        <f>'Paso 1.1'!I70*Tiempos!$H$67</f>
        <v>#REF!</v>
      </c>
      <c r="K74" s="1579" t="e">
        <f>'Paso 1.1'!J70*Tiempos!$H$67</f>
        <v>#REF!</v>
      </c>
      <c r="L74" s="1579" t="e">
        <f>'Paso 1.1'!K70*Tiempos!$H$67</f>
        <v>#REF!</v>
      </c>
      <c r="M74" s="1579" t="e">
        <f>'Paso 1.1'!L70*Tiempos!$H$67</f>
        <v>#REF!</v>
      </c>
      <c r="N74" s="1579" t="e">
        <f>'Paso 1.1'!M70*Tiempos!$H$67</f>
        <v>#REF!</v>
      </c>
      <c r="O74" s="1579" t="e">
        <f>'Paso 1.1'!N70*Tiempos!$H$67</f>
        <v>#REF!</v>
      </c>
      <c r="P74" s="1579" t="e">
        <f>'Paso 1.1'!O70*Tiempos!$H$67</f>
        <v>#REF!</v>
      </c>
      <c r="Q74" s="1579" t="e">
        <f>'Paso 1.1'!P70*Tiempos!$H$67</f>
        <v>#REF!</v>
      </c>
      <c r="R74" s="1579" t="e">
        <f>'Paso 1.1'!Q70*Tiempos!$H$67</f>
        <v>#REF!</v>
      </c>
      <c r="S74" s="1579" t="e">
        <f>'Paso 1.1'!R70*Tiempos!$H$67</f>
        <v>#REF!</v>
      </c>
      <c r="T74" s="1579" t="e">
        <f>'Paso 1.1'!S70*Tiempos!$H$67</f>
        <v>#REF!</v>
      </c>
      <c r="U74" s="1579" t="e">
        <f>'Paso 1.1'!T70*Tiempos!$H$67</f>
        <v>#REF!</v>
      </c>
      <c r="V74" s="1579" t="e">
        <f>'Paso 1.1'!U70*Tiempos!$H$67</f>
        <v>#REF!</v>
      </c>
      <c r="W74" s="1579"/>
      <c r="X74" s="1579"/>
      <c r="Y74" s="1579"/>
      <c r="Z74" s="1579"/>
      <c r="AA74" s="1579"/>
      <c r="AB74" s="1579"/>
      <c r="AC74" s="1579"/>
      <c r="AD74" s="1579"/>
      <c r="AE74" s="1579"/>
      <c r="AF74" s="1579"/>
      <c r="AG74" s="1579"/>
      <c r="AH74" s="1579"/>
      <c r="AI74" s="1579"/>
      <c r="AJ74" s="1579"/>
      <c r="AK74" s="1579"/>
      <c r="AL74" s="1579"/>
      <c r="AM74" s="1579"/>
      <c r="AN74" s="1912" t="e">
        <f>'Paso 1.1'!E70*Tiempos!$H$67</f>
        <v>#REF!</v>
      </c>
      <c r="AO74" s="1912" t="e">
        <f>'Paso 1.1'!F70*Tiempos!$H$67</f>
        <v>#REF!</v>
      </c>
      <c r="AP74" s="1912" t="e">
        <f>'Paso 1.1'!G70*Tiempos!$H$67</f>
        <v>#REF!</v>
      </c>
      <c r="AQ74" s="1912" t="e">
        <f>'Paso 1.1'!H70*Tiempos!$H$67</f>
        <v>#REF!</v>
      </c>
      <c r="AR74" s="1912" t="e">
        <f>'Paso 1.1'!I70*Tiempos!$H$67</f>
        <v>#REF!</v>
      </c>
      <c r="AS74" s="1912" t="e">
        <f>'Paso 1.1'!J70*Tiempos!$H$67</f>
        <v>#REF!</v>
      </c>
      <c r="AT74" s="1912" t="e">
        <f>'Paso 1.1'!K70*Tiempos!$H$67</f>
        <v>#REF!</v>
      </c>
      <c r="AU74" s="1912" t="e">
        <f>'Paso 1.1'!L70*Tiempos!$H$67</f>
        <v>#REF!</v>
      </c>
      <c r="AV74" s="1912" t="e">
        <f>'Paso 1.1'!M70*Tiempos!$H$67</f>
        <v>#REF!</v>
      </c>
      <c r="AW74" s="1912" t="e">
        <f>'Paso 1.1'!N70*Tiempos!$H$67</f>
        <v>#REF!</v>
      </c>
      <c r="AX74" s="1912" t="e">
        <f>'Paso 1.1'!O70*Tiempos!$H$67</f>
        <v>#REF!</v>
      </c>
      <c r="AY74" s="1912" t="e">
        <f>'Paso 1.1'!P70*Tiempos!$H$67</f>
        <v>#REF!</v>
      </c>
      <c r="AZ74" s="1912" t="e">
        <f>'Paso 1.1'!Q70*Tiempos!$H$67</f>
        <v>#REF!</v>
      </c>
      <c r="BA74" s="1912" t="e">
        <f>'Paso 1.1'!R70*Tiempos!$H$67</f>
        <v>#REF!</v>
      </c>
      <c r="BB74" s="1912" t="e">
        <f>'Paso 1.1'!S70*Tiempos!$H$67</f>
        <v>#REF!</v>
      </c>
      <c r="BC74" s="1912" t="e">
        <f>'Paso 1.1'!T70*Tiempos!$H$67</f>
        <v>#REF!</v>
      </c>
      <c r="BD74" s="1912" t="e">
        <f>'Paso 1.1'!U70*Tiempos!$H$67</f>
        <v>#REF!</v>
      </c>
      <c r="BE74" s="1579"/>
      <c r="BF74" s="1579"/>
      <c r="BG74" s="1579"/>
      <c r="BH74" s="1579"/>
      <c r="BI74" s="1579"/>
      <c r="BJ74" s="1579"/>
      <c r="BK74" s="1579"/>
      <c r="BL74" s="1579"/>
      <c r="BM74" s="1579"/>
      <c r="BN74" s="1579"/>
      <c r="BO74" s="1579"/>
      <c r="BP74" s="1579"/>
      <c r="BQ74" s="1579"/>
      <c r="BR74" s="1579"/>
      <c r="BS74" s="1579"/>
      <c r="BT74" s="1579"/>
      <c r="BU74" s="1579"/>
      <c r="BV74" s="1912" t="e">
        <f>'Paso 1.1'!E70*Tiempos!$H$67</f>
        <v>#REF!</v>
      </c>
      <c r="BW74" s="1912" t="e">
        <f>'Paso 1.1'!F70*Tiempos!$H$67</f>
        <v>#REF!</v>
      </c>
      <c r="BX74" s="1912" t="e">
        <f>'Paso 1.1'!G70*Tiempos!$H$67</f>
        <v>#REF!</v>
      </c>
      <c r="BY74" s="1912" t="e">
        <f>'Paso 1.1'!H70*Tiempos!$H$67</f>
        <v>#REF!</v>
      </c>
      <c r="BZ74" s="1912" t="e">
        <f>'Paso 1.1'!I70*Tiempos!$H$67</f>
        <v>#REF!</v>
      </c>
      <c r="CA74" s="1912" t="e">
        <f>'Paso 1.1'!J70*Tiempos!$H$67</f>
        <v>#REF!</v>
      </c>
      <c r="CB74" s="1912" t="e">
        <f>'Paso 1.1'!K70*Tiempos!$H$67</f>
        <v>#REF!</v>
      </c>
      <c r="CC74" s="1912" t="e">
        <f>'Paso 1.1'!L70*Tiempos!$H$67</f>
        <v>#REF!</v>
      </c>
      <c r="CD74" s="1912" t="e">
        <f>'Paso 1.1'!M70*Tiempos!$H$67</f>
        <v>#REF!</v>
      </c>
      <c r="CE74" s="1912" t="e">
        <f>'Paso 1.1'!N70*Tiempos!$H$67</f>
        <v>#REF!</v>
      </c>
      <c r="CF74" s="1912" t="e">
        <f>'Paso 1.1'!O70*Tiempos!$H$67</f>
        <v>#REF!</v>
      </c>
      <c r="CG74" s="1912" t="e">
        <f>'Paso 1.1'!P70*Tiempos!$H$67</f>
        <v>#REF!</v>
      </c>
      <c r="CH74" s="1912" t="e">
        <f>'Paso 1.1'!Q70*Tiempos!$H$67</f>
        <v>#REF!</v>
      </c>
      <c r="CI74" s="1912" t="e">
        <f>'Paso 1.1'!R70*Tiempos!$H$67</f>
        <v>#REF!</v>
      </c>
      <c r="CJ74" s="1912" t="e">
        <f>'Paso 1.1'!S70*Tiempos!$H$67</f>
        <v>#REF!</v>
      </c>
      <c r="CK74" s="1912" t="e">
        <f>'Paso 1.1'!T70*Tiempos!$H$67</f>
        <v>#REF!</v>
      </c>
      <c r="CL74" s="1912" t="e">
        <f>'Paso 1.1'!U70*Tiempos!$H$67</f>
        <v>#REF!</v>
      </c>
      <c r="CM74" s="1912" t="e">
        <f>'Paso 1.1'!E70*Tiempos!$H$67</f>
        <v>#REF!</v>
      </c>
      <c r="CN74" s="1912" t="e">
        <f>'Paso 1.1'!F70*Tiempos!$H$67</f>
        <v>#REF!</v>
      </c>
      <c r="CO74" s="1912" t="e">
        <f>'Paso 1.1'!G70*Tiempos!$H$67</f>
        <v>#REF!</v>
      </c>
      <c r="CP74" s="1912" t="e">
        <f>'Paso 1.1'!H70*Tiempos!$H$67</f>
        <v>#REF!</v>
      </c>
      <c r="CQ74" s="1912" t="e">
        <f>'Paso 1.1'!I70*Tiempos!$H$67</f>
        <v>#REF!</v>
      </c>
      <c r="CR74" s="1912" t="e">
        <f>'Paso 1.1'!J70*Tiempos!$H$67</f>
        <v>#REF!</v>
      </c>
      <c r="CS74" s="1912" t="e">
        <f>'Paso 1.1'!K70*Tiempos!$H$67</f>
        <v>#REF!</v>
      </c>
      <c r="CT74" s="1912" t="e">
        <f>'Paso 1.1'!L70*Tiempos!$H$67</f>
        <v>#REF!</v>
      </c>
      <c r="CU74" s="1912" t="e">
        <f>'Paso 1.1'!M70*Tiempos!$H$67</f>
        <v>#REF!</v>
      </c>
      <c r="CV74" s="1912" t="e">
        <f>'Paso 1.1'!N70*Tiempos!$H$67</f>
        <v>#REF!</v>
      </c>
      <c r="CW74" s="1912" t="e">
        <f>'Paso 1.1'!O70*Tiempos!$H$67</f>
        <v>#REF!</v>
      </c>
      <c r="CX74" s="1912" t="e">
        <f>'Paso 1.1'!P70*Tiempos!$H$67</f>
        <v>#REF!</v>
      </c>
      <c r="CY74" s="1912" t="e">
        <f>'Paso 1.1'!Q70*Tiempos!$H$67</f>
        <v>#REF!</v>
      </c>
      <c r="CZ74" s="1912" t="e">
        <f>'Paso 1.1'!R70*Tiempos!$H$67</f>
        <v>#REF!</v>
      </c>
      <c r="DA74" s="1912" t="e">
        <f>'Paso 1.1'!S70*Tiempos!$H$67</f>
        <v>#REF!</v>
      </c>
      <c r="DB74" s="1912" t="e">
        <f>'Paso 1.1'!T70*Tiempos!$H$67</f>
        <v>#REF!</v>
      </c>
      <c r="DC74" s="1912" t="e">
        <f>'Paso 1.1'!U70*Tiempos!$H$67</f>
        <v>#REF!</v>
      </c>
      <c r="DD74" s="1912">
        <f>'Paso 1.1'!AM70*Tiempos!$H$67</f>
        <v>0</v>
      </c>
      <c r="DE74" s="1912">
        <f>'Paso 1.1'!AN70*Tiempos!$H$67</f>
        <v>0</v>
      </c>
      <c r="DF74" s="1912">
        <f>'Paso 1.1'!AO70*Tiempos!$H$67</f>
        <v>0</v>
      </c>
      <c r="DG74" s="1912">
        <f>'Paso 1.1'!AP70*Tiempos!$H$67</f>
        <v>0</v>
      </c>
      <c r="DH74" s="1912">
        <f>'Paso 1.1'!AQ70*Tiempos!$H$67</f>
        <v>0</v>
      </c>
      <c r="DI74" s="1912">
        <f>'Paso 1.1'!AR70*Tiempos!$H$67</f>
        <v>0</v>
      </c>
      <c r="DJ74" s="1912">
        <f>'Paso 1.1'!AS70*Tiempos!$H$67</f>
        <v>0</v>
      </c>
      <c r="DK74" s="1912">
        <f>'Paso 1.1'!AT70*Tiempos!$H$67</f>
        <v>0</v>
      </c>
      <c r="DL74" s="1912">
        <f>'Paso 1.1'!AU70*Tiempos!$H$67</f>
        <v>0</v>
      </c>
      <c r="DM74" s="1912">
        <f>'Paso 1.1'!AV70*Tiempos!$H$67</f>
        <v>0</v>
      </c>
      <c r="DN74" s="1912">
        <f>'Paso 1.1'!AW70*Tiempos!$H$67</f>
        <v>0</v>
      </c>
      <c r="DO74" s="1912">
        <f>'Paso 1.1'!AX70*Tiempos!$H$67</f>
        <v>0</v>
      </c>
      <c r="DP74" s="1912">
        <f>'Paso 1.1'!AY70*Tiempos!$H$67</f>
        <v>0</v>
      </c>
      <c r="DQ74" s="1912">
        <f>'Paso 1.1'!AZ70*Tiempos!$H$67</f>
        <v>0</v>
      </c>
      <c r="DR74" s="1912">
        <f>'Paso 1.1'!BA70*Tiempos!$H$67</f>
        <v>0</v>
      </c>
      <c r="DS74" s="1912">
        <f>'Paso 1.1'!BB70*Tiempos!$H$67</f>
        <v>0</v>
      </c>
      <c r="DT74" s="1912">
        <f>'Paso 1.1'!BC70*Tiempos!$H$67</f>
        <v>0</v>
      </c>
      <c r="DU74" s="1912">
        <f>'Paso 1.1'!BD70*Tiempos!$H$67</f>
        <v>0</v>
      </c>
      <c r="DV74" s="1912">
        <f>'Paso 1.1'!BE70*Tiempos!$H$67</f>
        <v>0</v>
      </c>
      <c r="DW74" s="1912">
        <f>'Paso 1.1'!BF70*Tiempos!$H$67</f>
        <v>0</v>
      </c>
      <c r="DX74" s="1912">
        <f>'Paso 1.1'!BG70*Tiempos!$H$67</f>
        <v>0</v>
      </c>
      <c r="DY74" s="1912">
        <f>'Paso 1.1'!BH70*Tiempos!$H$67</f>
        <v>0</v>
      </c>
      <c r="DZ74" s="1912">
        <f>'Paso 1.1'!BI70*Tiempos!$H$67</f>
        <v>0</v>
      </c>
      <c r="EA74" s="1912">
        <f>'Paso 1.1'!BJ70*Tiempos!$H$67</f>
        <v>0</v>
      </c>
      <c r="EB74" s="1912">
        <f>'Paso 1.1'!BK70*Tiempos!$H$67</f>
        <v>0</v>
      </c>
      <c r="EC74" s="1912">
        <f>'Paso 1.1'!BL70*Tiempos!$H$67</f>
        <v>0</v>
      </c>
      <c r="ED74" s="1912">
        <f>'Paso 1.1'!BM70*Tiempos!$H$67</f>
        <v>0</v>
      </c>
      <c r="EE74" s="1912">
        <f>'Paso 1.1'!BN70*Tiempos!$H$67</f>
        <v>0</v>
      </c>
      <c r="EF74" s="1912">
        <f>'Paso 1.1'!BO70*Tiempos!$H$67</f>
        <v>0</v>
      </c>
      <c r="EG74" s="1912">
        <f>'Paso 1.1'!BP70*Tiempos!$H$67</f>
        <v>0</v>
      </c>
      <c r="EH74" s="1912">
        <f>'Paso 1.1'!BQ70*Tiempos!$H$67</f>
        <v>0</v>
      </c>
      <c r="EI74" s="1912">
        <f>'Paso 1.1'!BR70*Tiempos!$H$67</f>
        <v>0</v>
      </c>
      <c r="EJ74" s="1912">
        <f>'Paso 1.1'!BS70*Tiempos!$H$67</f>
        <v>0</v>
      </c>
      <c r="EK74" s="1912">
        <f>'Paso 1.1'!BT70*Tiempos!$H$67</f>
        <v>0</v>
      </c>
      <c r="EL74" s="1912">
        <f>'Paso 1.1'!BU70*Tiempos!$H$67</f>
        <v>0</v>
      </c>
      <c r="EM74" s="1912">
        <f>'Paso 1.1'!BV70*Tiempos!$H$67</f>
        <v>0</v>
      </c>
      <c r="EN74" s="1912">
        <f>'Paso 1.1'!BW70*Tiempos!$H$67</f>
        <v>0</v>
      </c>
      <c r="EO74" s="1912">
        <f>'Paso 1.1'!BX70*Tiempos!$H$67</f>
        <v>0</v>
      </c>
      <c r="EP74" s="1912">
        <f>'Paso 1.1'!BY70*Tiempos!$H$67</f>
        <v>0</v>
      </c>
      <c r="EQ74" s="1912">
        <f>'Paso 1.1'!BZ70*Tiempos!$H$67</f>
        <v>0</v>
      </c>
      <c r="ER74" s="1912">
        <f>'Paso 1.1'!CA70*Tiempos!$H$67</f>
        <v>0</v>
      </c>
      <c r="ES74" s="1912">
        <f>'Paso 1.1'!CB70*Tiempos!$H$67</f>
        <v>0</v>
      </c>
      <c r="ET74" s="1912">
        <f>'Paso 1.1'!CC70*Tiempos!$H$67</f>
        <v>0</v>
      </c>
      <c r="EU74" s="1912">
        <f>'Paso 1.1'!CD70*Tiempos!$H$67</f>
        <v>0</v>
      </c>
      <c r="EV74" s="1912">
        <f>'Paso 1.1'!CE70*Tiempos!$H$67</f>
        <v>0</v>
      </c>
      <c r="EW74" s="1912">
        <f>'Paso 1.1'!CF70*Tiempos!$H$67</f>
        <v>0</v>
      </c>
      <c r="EX74" s="1912">
        <f>'Paso 1.1'!CG70*Tiempos!$H$67</f>
        <v>0</v>
      </c>
      <c r="EY74" s="1912">
        <f>'Paso 1.1'!CH70*Tiempos!$H$67</f>
        <v>0</v>
      </c>
      <c r="EZ74" s="1912">
        <f>'Paso 1.1'!CI70*Tiempos!$H$67</f>
        <v>0</v>
      </c>
      <c r="FA74" s="1912">
        <f>'Paso 1.1'!CJ70*Tiempos!$H$67</f>
        <v>0</v>
      </c>
      <c r="FB74" s="1912">
        <f>'Paso 1.1'!CK70*Tiempos!$H$67</f>
        <v>0</v>
      </c>
      <c r="FC74" s="1912">
        <f>'Paso 1.1'!CL70*Tiempos!$H$67</f>
        <v>0</v>
      </c>
      <c r="FD74" s="1912">
        <f>'Paso 1.1'!CM70*Tiempos!$H$67</f>
        <v>0</v>
      </c>
      <c r="FE74" s="1912">
        <f>'Paso 1.1'!CN70*Tiempos!$H$67</f>
        <v>0</v>
      </c>
      <c r="FF74" s="1912">
        <f>'Paso 1.1'!CO70*Tiempos!$H$67</f>
        <v>0</v>
      </c>
      <c r="FG74" s="1912">
        <f>'Paso 1.1'!CP70*Tiempos!$H$67</f>
        <v>0</v>
      </c>
      <c r="FH74" s="1912">
        <f>'Paso 1.1'!CQ70*Tiempos!$H$67</f>
        <v>0</v>
      </c>
      <c r="FI74" s="1912">
        <f>'Paso 1.1'!CR70*Tiempos!$H$67</f>
        <v>0</v>
      </c>
      <c r="FJ74" s="1912">
        <f>'Paso 1.1'!CS70*Tiempos!$H$67</f>
        <v>0</v>
      </c>
      <c r="FK74" s="1912">
        <f>'Paso 1.1'!CT70*Tiempos!$H$67</f>
        <v>0</v>
      </c>
      <c r="FL74" s="1912">
        <f>'Paso 1.1'!CU70*Tiempos!$H$67</f>
        <v>0</v>
      </c>
      <c r="FM74" s="1912">
        <f>'Paso 1.1'!CV70*Tiempos!$H$67</f>
        <v>0</v>
      </c>
      <c r="FN74" s="1912">
        <f>'Paso 1.1'!CW70*Tiempos!$H$67</f>
        <v>0</v>
      </c>
      <c r="FO74" s="1912">
        <f>'Paso 1.1'!CX70*Tiempos!$H$67</f>
        <v>0</v>
      </c>
      <c r="FP74" s="1912">
        <f>'Paso 1.1'!CY70*Tiempos!$H$67</f>
        <v>0</v>
      </c>
      <c r="FQ74" s="1912">
        <f>'Paso 1.1'!CZ70*Tiempos!$H$67</f>
        <v>0</v>
      </c>
      <c r="FR74" s="1912">
        <f>'Paso 1.1'!DA70*Tiempos!$H$67</f>
        <v>0</v>
      </c>
      <c r="FS74" s="1912">
        <f>'Paso 1.1'!DB70*Tiempos!$H$67</f>
        <v>0</v>
      </c>
      <c r="FT74" s="1912">
        <f>'Paso 1.1'!DC70*Tiempos!$H$67</f>
        <v>0</v>
      </c>
      <c r="FU74" s="1912">
        <f>'Paso 1.1'!DD70*Tiempos!$H$67</f>
        <v>0</v>
      </c>
      <c r="FV74" s="1912">
        <f>'Paso 1.1'!DE70*Tiempos!$H$67</f>
        <v>0</v>
      </c>
      <c r="FW74" s="1912">
        <f>'Paso 1.1'!DF70*Tiempos!$H$67</f>
        <v>0</v>
      </c>
      <c r="FX74" s="1912">
        <f>'Paso 1.1'!DG70*Tiempos!$H$67</f>
        <v>0</v>
      </c>
      <c r="FY74" s="1912">
        <f>'Paso 1.1'!DH70*Tiempos!$H$67</f>
        <v>0</v>
      </c>
      <c r="FZ74" s="1912">
        <f>'Paso 1.1'!DI70*Tiempos!$H$67</f>
        <v>0</v>
      </c>
      <c r="GA74" s="1912">
        <f>'Paso 1.1'!DJ70*Tiempos!$H$67</f>
        <v>0</v>
      </c>
      <c r="GB74" s="1912">
        <f>'Paso 1.1'!DK70*Tiempos!$H$67</f>
        <v>0</v>
      </c>
      <c r="GC74" s="1912">
        <f>'Paso 1.1'!DL70*Tiempos!$H$67</f>
        <v>0</v>
      </c>
      <c r="GD74" s="1912">
        <f>'Paso 1.1'!DM70*Tiempos!$H$67</f>
        <v>0</v>
      </c>
      <c r="GE74" s="1912">
        <f>'Paso 1.1'!DN70*Tiempos!$H$67</f>
        <v>0</v>
      </c>
      <c r="GF74" s="1912">
        <f>'Paso 1.1'!DO70*Tiempos!$H$67</f>
        <v>0</v>
      </c>
      <c r="GG74" s="1912">
        <f>'Paso 1.1'!DP70*Tiempos!$H$67</f>
        <v>0</v>
      </c>
      <c r="GH74" s="1912">
        <f>'Paso 1.1'!DQ70*Tiempos!$H$67</f>
        <v>0</v>
      </c>
      <c r="GI74" s="1912">
        <f>'Paso 1.1'!DR70*Tiempos!$H$67</f>
        <v>0</v>
      </c>
      <c r="GJ74" s="1912">
        <f>'Paso 1.1'!DS70*Tiempos!$H$67</f>
        <v>0</v>
      </c>
      <c r="GK74" s="1912">
        <f>'Paso 1.1'!DT70*Tiempos!$H$67</f>
        <v>0</v>
      </c>
      <c r="GL74" s="1912">
        <f>'Paso 1.1'!DU70*Tiempos!$H$67</f>
        <v>0</v>
      </c>
      <c r="GM74" s="1912">
        <f>'Paso 1.1'!DV70*Tiempos!$H$67</f>
        <v>0</v>
      </c>
      <c r="GN74" s="1912">
        <f>'Paso 1.1'!DW70*Tiempos!$H$67</f>
        <v>0</v>
      </c>
      <c r="GO74" s="1912">
        <f>'Paso 1.1'!DX70*Tiempos!$H$67</f>
        <v>0</v>
      </c>
      <c r="GP74" s="1912">
        <f>'Paso 1.1'!DY70*Tiempos!$H$67</f>
        <v>0</v>
      </c>
      <c r="GQ74" s="1912">
        <f>'Paso 1.1'!DZ70*Tiempos!$H$67</f>
        <v>0</v>
      </c>
      <c r="GR74" s="1912">
        <f>'Paso 1.1'!EA70*Tiempos!$H$67</f>
        <v>0</v>
      </c>
      <c r="GS74" s="1912">
        <f>'Paso 1.1'!EB70*Tiempos!$H$67</f>
        <v>0</v>
      </c>
      <c r="GT74" s="1912">
        <f>'Paso 1.1'!EC70*Tiempos!$H$67</f>
        <v>0</v>
      </c>
      <c r="GU74" s="1912">
        <f>'Paso 1.1'!ED70*Tiempos!$H$67</f>
        <v>0</v>
      </c>
      <c r="GV74" s="1912">
        <f>'Paso 1.1'!EE70*Tiempos!$H$67</f>
        <v>0</v>
      </c>
      <c r="GW74" s="1912">
        <f>'Paso 1.1'!EF70*Tiempos!$H$67</f>
        <v>0</v>
      </c>
      <c r="GX74" s="1912">
        <f>'Paso 1.1'!EG70*Tiempos!$H$67</f>
        <v>0</v>
      </c>
      <c r="GY74" s="1912">
        <f>'Paso 1.1'!EH70*Tiempos!$H$67</f>
        <v>0</v>
      </c>
      <c r="GZ74" s="1912">
        <f>'Paso 1.1'!EI70*Tiempos!$H$67</f>
        <v>0</v>
      </c>
      <c r="HA74" s="1912">
        <f>'Paso 1.1'!EJ70*Tiempos!$H$67</f>
        <v>0</v>
      </c>
      <c r="HB74" s="1912">
        <f>'Paso 1.1'!EK70*Tiempos!$H$67</f>
        <v>0</v>
      </c>
      <c r="HC74" s="1912">
        <f>'Paso 1.1'!EL70*Tiempos!$H$67</f>
        <v>0</v>
      </c>
      <c r="HD74" s="1912">
        <f>'Paso 1.1'!EM70*Tiempos!$H$67</f>
        <v>0</v>
      </c>
      <c r="HE74" s="1912">
        <f>'Paso 1.1'!EN70*Tiempos!$H$67</f>
        <v>0</v>
      </c>
      <c r="HF74" s="1912">
        <f>'Paso 1.1'!EO70*Tiempos!$H$67</f>
        <v>0</v>
      </c>
      <c r="HG74" s="1912">
        <f>'Paso 1.1'!EP70*Tiempos!$H$67</f>
        <v>0</v>
      </c>
      <c r="HH74" s="1912">
        <f>'Paso 1.1'!EQ70*Tiempos!$H$67</f>
        <v>0</v>
      </c>
      <c r="HI74" s="1912">
        <f>'Paso 1.1'!ER70*Tiempos!$H$67</f>
        <v>0</v>
      </c>
      <c r="HJ74" s="1912">
        <f>'Paso 1.1'!ES70*Tiempos!$H$67</f>
        <v>0</v>
      </c>
      <c r="HK74" s="1912">
        <f>'Paso 1.1'!ET70*Tiempos!$H$67</f>
        <v>0</v>
      </c>
      <c r="HL74" s="1912">
        <f>'Paso 1.1'!EU70*Tiempos!$H$67</f>
        <v>0</v>
      </c>
      <c r="HM74" s="1912">
        <f>'Paso 1.1'!EV70*Tiempos!$H$67</f>
        <v>0</v>
      </c>
      <c r="HN74" s="1912">
        <f>'Paso 1.1'!EW70*Tiempos!$H$67</f>
        <v>0</v>
      </c>
      <c r="HO74" s="1912">
        <f>'Paso 1.1'!EX70*Tiempos!$H$67</f>
        <v>0</v>
      </c>
      <c r="HP74" s="1912">
        <f>'Paso 1.1'!EY70*Tiempos!$H$67</f>
        <v>0</v>
      </c>
      <c r="HQ74" s="1912">
        <f>'Paso 1.1'!EZ70*Tiempos!$H$67</f>
        <v>0</v>
      </c>
      <c r="HR74" s="1912">
        <f>'Paso 1.1'!FA70*Tiempos!$H$67</f>
        <v>0</v>
      </c>
      <c r="HS74" s="1912">
        <f>'Paso 1.1'!FB70*Tiempos!$H$67</f>
        <v>0</v>
      </c>
      <c r="HT74" s="1912">
        <f>'Paso 1.1'!FC70*Tiempos!$H$67</f>
        <v>0</v>
      </c>
      <c r="HU74" s="1912">
        <f>'Paso 1.1'!FD70*Tiempos!$H$67</f>
        <v>0</v>
      </c>
      <c r="HV74" s="1912">
        <f>'Paso 1.1'!FE70*Tiempos!$H$67</f>
        <v>0</v>
      </c>
      <c r="HW74" s="1912">
        <f>'Paso 1.1'!FF70*Tiempos!$H$67</f>
        <v>0</v>
      </c>
      <c r="HX74" s="1912">
        <f>'Paso 1.1'!FG70*Tiempos!$H$67</f>
        <v>0</v>
      </c>
      <c r="HY74" s="1912">
        <f>'Paso 1.1'!FH70*Tiempos!$H$67</f>
        <v>0</v>
      </c>
      <c r="HZ74" s="1912">
        <f>'Paso 1.1'!FI70*Tiempos!$H$67</f>
        <v>0</v>
      </c>
      <c r="IA74" s="1912">
        <f>'Paso 1.1'!FJ70*Tiempos!$H$67</f>
        <v>0</v>
      </c>
      <c r="IB74" s="1912">
        <f>'Paso 1.1'!FK70*Tiempos!$H$67</f>
        <v>0</v>
      </c>
      <c r="IC74" s="1912">
        <f>'Paso 1.1'!FL70*Tiempos!$H$67</f>
        <v>0</v>
      </c>
      <c r="ID74" s="1912">
        <f>'Paso 1.1'!FM70*Tiempos!$H$67</f>
        <v>0</v>
      </c>
      <c r="IE74" s="1912">
        <f>'Paso 1.1'!FN70*Tiempos!$H$67</f>
        <v>0</v>
      </c>
      <c r="IF74" s="1912">
        <f>'Paso 1.1'!FO70*Tiempos!$H$67</f>
        <v>0</v>
      </c>
      <c r="IG74" s="1912">
        <f>'Paso 1.1'!FP70*Tiempos!$H$67</f>
        <v>0</v>
      </c>
      <c r="IH74" s="1912">
        <f>'Paso 1.1'!FQ70*Tiempos!$H$67</f>
        <v>0</v>
      </c>
      <c r="II74" s="1912">
        <f>'Paso 1.1'!FR70*Tiempos!$H$67</f>
        <v>0</v>
      </c>
      <c r="IJ74" s="1912">
        <f>'Paso 1.1'!FS70*Tiempos!$H$67</f>
        <v>0</v>
      </c>
      <c r="IK74" s="1912">
        <f>'Paso 1.1'!FT70*Tiempos!$H$67</f>
        <v>0</v>
      </c>
      <c r="IL74" s="1912">
        <f>'Paso 1.1'!FU70*Tiempos!$H$67</f>
        <v>0</v>
      </c>
      <c r="IM74" s="1912">
        <f>'Paso 1.1'!FV70*Tiempos!$H$67</f>
        <v>0</v>
      </c>
      <c r="IN74" s="1912">
        <f>'Paso 1.1'!FW70*Tiempos!$H$67</f>
        <v>0</v>
      </c>
      <c r="IO74" s="1912">
        <f>'Paso 1.1'!FX70*Tiempos!$H$67</f>
        <v>0</v>
      </c>
      <c r="IP74" s="1912">
        <f>'Paso 1.1'!FY70*Tiempos!$H$67</f>
        <v>0</v>
      </c>
      <c r="IQ74" s="1912">
        <f>'Paso 1.1'!FZ70*Tiempos!$H$67</f>
        <v>0</v>
      </c>
      <c r="IR74" s="1912">
        <f>'Paso 1.1'!GA70*Tiempos!$H$67</f>
        <v>0</v>
      </c>
      <c r="IS74" s="1912">
        <f>'Paso 1.1'!GB70*Tiempos!$H$67</f>
        <v>0</v>
      </c>
      <c r="IT74" s="1912">
        <f>'Paso 1.1'!GC70*Tiempos!$H$67</f>
        <v>0</v>
      </c>
      <c r="IU74" s="1912">
        <f>'Paso 1.1'!GD70*Tiempos!$H$67</f>
        <v>0</v>
      </c>
      <c r="IV74" s="1912">
        <f>'Paso 1.1'!GE70*Tiempos!$H$67</f>
        <v>0</v>
      </c>
      <c r="IW74" s="1912">
        <f>'Paso 1.1'!GF70*Tiempos!$H$67</f>
        <v>0</v>
      </c>
      <c r="IX74" s="1912">
        <f>'Paso 1.1'!GG70*Tiempos!$H$67</f>
        <v>0</v>
      </c>
      <c r="IY74" s="1912">
        <f>'Paso 1.1'!GH70*Tiempos!$H$67</f>
        <v>0</v>
      </c>
      <c r="IZ74" s="1912">
        <f>'Paso 1.1'!GI70*Tiempos!$H$67</f>
        <v>0</v>
      </c>
      <c r="JA74" s="2054"/>
      <c r="JB74" s="2054"/>
      <c r="JC74" s="2054"/>
      <c r="JD74" s="2054"/>
      <c r="JE74" s="2054"/>
      <c r="JF74" s="2054"/>
      <c r="JG74" s="2054"/>
      <c r="JH74" s="2054"/>
      <c r="JI74" s="2054"/>
      <c r="JJ74" s="2054"/>
      <c r="JK74" s="2054"/>
      <c r="JL74" s="2054"/>
      <c r="JM74" s="2054"/>
      <c r="JN74" s="2054"/>
      <c r="JO74" s="2054"/>
      <c r="JP74" s="2054"/>
      <c r="JQ74" s="2054"/>
      <c r="JR74" s="1912" t="e">
        <f>'Paso 1.1'!E70*Tiempos!$H$67</f>
        <v>#REF!</v>
      </c>
      <c r="JS74" s="1912" t="e">
        <f>'Paso 1.1'!F70*Tiempos!$H$67</f>
        <v>#REF!</v>
      </c>
      <c r="JT74" s="1912" t="e">
        <f>'Paso 1.1'!G70*Tiempos!$H$67</f>
        <v>#REF!</v>
      </c>
      <c r="JU74" s="1912" t="e">
        <f>'Paso 1.1'!H70*Tiempos!$H$67</f>
        <v>#REF!</v>
      </c>
      <c r="JV74" s="1912" t="e">
        <f>'Paso 1.1'!I70*Tiempos!$H$67</f>
        <v>#REF!</v>
      </c>
      <c r="JW74" s="1912" t="e">
        <f>'Paso 1.1'!J70*Tiempos!$H$67</f>
        <v>#REF!</v>
      </c>
      <c r="JX74" s="1912" t="e">
        <f>'Paso 1.1'!K70*Tiempos!$H$67</f>
        <v>#REF!</v>
      </c>
      <c r="JY74" s="1912" t="e">
        <f>'Paso 1.1'!L70*Tiempos!$H$67</f>
        <v>#REF!</v>
      </c>
      <c r="JZ74" s="1912" t="e">
        <f>'Paso 1.1'!M70*Tiempos!$H$67</f>
        <v>#REF!</v>
      </c>
      <c r="KA74" s="1912" t="e">
        <f>'Paso 1.1'!N70*Tiempos!$H$67</f>
        <v>#REF!</v>
      </c>
      <c r="KB74" s="1912" t="e">
        <f>'Paso 1.1'!O70*Tiempos!$H$67</f>
        <v>#REF!</v>
      </c>
      <c r="KC74" s="1912" t="e">
        <f>'Paso 1.1'!P70*Tiempos!$H$67</f>
        <v>#REF!</v>
      </c>
      <c r="KD74" s="1912" t="e">
        <f>'Paso 1.1'!Q70*Tiempos!$H$67</f>
        <v>#REF!</v>
      </c>
      <c r="KE74" s="1912" t="e">
        <f>'Paso 1.1'!R70*Tiempos!$H$67</f>
        <v>#REF!</v>
      </c>
      <c r="KF74" s="1912" t="e">
        <f>'Paso 1.1'!S70*Tiempos!$H$67</f>
        <v>#REF!</v>
      </c>
      <c r="KG74" s="1912" t="e">
        <f>'Paso 1.1'!T70*Tiempos!$H$67</f>
        <v>#REF!</v>
      </c>
      <c r="KH74" s="1912" t="e">
        <f>'Paso 1.1'!U70*Tiempos!$H$67</f>
        <v>#REF!</v>
      </c>
      <c r="KI74" s="1579" t="e">
        <f>'Paso 1.1'!E70*Tiempos!$H$67</f>
        <v>#REF!</v>
      </c>
      <c r="KJ74" s="1579" t="e">
        <f>'Paso 1.1'!F70*Tiempos!$H$67</f>
        <v>#REF!</v>
      </c>
      <c r="KK74" s="1579" t="e">
        <f>'Paso 1.1'!G70*Tiempos!$H$67</f>
        <v>#REF!</v>
      </c>
      <c r="KL74" s="1579" t="e">
        <f>'Paso 1.1'!H70*Tiempos!$H$67</f>
        <v>#REF!</v>
      </c>
      <c r="KM74" s="1579" t="e">
        <f>'Paso 1.1'!I70*Tiempos!$H$67</f>
        <v>#REF!</v>
      </c>
      <c r="KN74" s="1579" t="e">
        <f>'Paso 1.1'!J70*Tiempos!$H$67</f>
        <v>#REF!</v>
      </c>
      <c r="KO74" s="1579" t="e">
        <f>'Paso 1.1'!K70*Tiempos!$H$67</f>
        <v>#REF!</v>
      </c>
      <c r="KP74" s="1579" t="e">
        <f>'Paso 1.1'!L70*Tiempos!$H$67</f>
        <v>#REF!</v>
      </c>
      <c r="KQ74" s="1579" t="e">
        <f>'Paso 1.1'!M70*Tiempos!$H$67</f>
        <v>#REF!</v>
      </c>
      <c r="KR74" s="1579" t="e">
        <f>'Paso 1.1'!N70*Tiempos!$H$67</f>
        <v>#REF!</v>
      </c>
      <c r="KS74" s="1579" t="e">
        <f>'Paso 1.1'!O70*Tiempos!$H$67</f>
        <v>#REF!</v>
      </c>
      <c r="KT74" s="1579" t="e">
        <f>'Paso 1.1'!P70*Tiempos!$H$67</f>
        <v>#REF!</v>
      </c>
      <c r="KU74" s="1579" t="e">
        <f>'Paso 1.1'!Q70*Tiempos!$H$67</f>
        <v>#REF!</v>
      </c>
      <c r="KV74" s="1579" t="e">
        <f>'Paso 1.1'!R70*Tiempos!$H$67</f>
        <v>#REF!</v>
      </c>
      <c r="KW74" s="1579" t="e">
        <f>'Paso 1.1'!S70*Tiempos!$H$67</f>
        <v>#REF!</v>
      </c>
      <c r="KX74" s="1579" t="e">
        <f>'Paso 1.1'!T70*Tiempos!$H$67</f>
        <v>#REF!</v>
      </c>
      <c r="KY74" s="1579" t="e">
        <f>'Paso 1.1'!U70*Tiempos!$H$67</f>
        <v>#REF!</v>
      </c>
      <c r="KZ74" s="1579" t="e">
        <f>'Paso 1.1'!E70*Tiempos!$H$67</f>
        <v>#REF!</v>
      </c>
      <c r="LA74" s="1579" t="e">
        <f>'Paso 1.1'!F70*Tiempos!$H$67</f>
        <v>#REF!</v>
      </c>
      <c r="LB74" s="1579" t="e">
        <f>'Paso 1.1'!G70*Tiempos!$H$67</f>
        <v>#REF!</v>
      </c>
      <c r="LC74" s="1579" t="e">
        <f>'Paso 1.1'!H70*Tiempos!$H$67</f>
        <v>#REF!</v>
      </c>
      <c r="LD74" s="1579" t="e">
        <f>'Paso 1.1'!I70*Tiempos!$H$67</f>
        <v>#REF!</v>
      </c>
      <c r="LE74" s="1579" t="e">
        <f>'Paso 1.1'!J70*Tiempos!$H$67</f>
        <v>#REF!</v>
      </c>
      <c r="LF74" s="1579" t="e">
        <f>'Paso 1.1'!K70*Tiempos!$H$67</f>
        <v>#REF!</v>
      </c>
      <c r="LG74" s="1579" t="e">
        <f>'Paso 1.1'!L70*Tiempos!$H$67</f>
        <v>#REF!</v>
      </c>
      <c r="LH74" s="1579" t="e">
        <f>'Paso 1.1'!M70*Tiempos!$H$67</f>
        <v>#REF!</v>
      </c>
      <c r="LI74" s="1579" t="e">
        <f>'Paso 1.1'!N70*Tiempos!$H$67</f>
        <v>#REF!</v>
      </c>
      <c r="LJ74" s="1579" t="e">
        <f>'Paso 1.1'!O70*Tiempos!$H$67</f>
        <v>#REF!</v>
      </c>
      <c r="LK74" s="1579" t="e">
        <f>'Paso 1.1'!P70*Tiempos!$H$67</f>
        <v>#REF!</v>
      </c>
      <c r="LL74" s="1579" t="e">
        <f>'Paso 1.1'!Q70*Tiempos!$H$67</f>
        <v>#REF!</v>
      </c>
      <c r="LM74" s="1579" t="e">
        <f>'Paso 1.1'!R70*Tiempos!$H$67</f>
        <v>#REF!</v>
      </c>
      <c r="LN74" s="1579" t="e">
        <f>'Paso 1.1'!S70*Tiempos!$H$67</f>
        <v>#REF!</v>
      </c>
      <c r="LO74" s="1579" t="e">
        <f>'Paso 1.1'!T70*Tiempos!$H$67</f>
        <v>#REF!</v>
      </c>
      <c r="LP74" s="1579" t="e">
        <f>'Paso 1.1'!U70*Tiempos!$H$67</f>
        <v>#REF!</v>
      </c>
      <c r="LQ74" s="1579" t="e">
        <f>'Paso 1.1'!E70*Tiempos!$H$67</f>
        <v>#REF!</v>
      </c>
      <c r="LR74" s="1579" t="e">
        <f>'Paso 1.1'!F70*Tiempos!$H$67</f>
        <v>#REF!</v>
      </c>
      <c r="LS74" s="1579" t="e">
        <f>'Paso 1.1'!G70*Tiempos!$H$67</f>
        <v>#REF!</v>
      </c>
      <c r="LT74" s="1579" t="e">
        <f>'Paso 1.1'!H70*Tiempos!$H$67</f>
        <v>#REF!</v>
      </c>
      <c r="LU74" s="1579" t="e">
        <f>'Paso 1.1'!I70*Tiempos!$H$67</f>
        <v>#REF!</v>
      </c>
      <c r="LV74" s="1579" t="e">
        <f>'Paso 1.1'!J70*Tiempos!$H$67</f>
        <v>#REF!</v>
      </c>
      <c r="LW74" s="1579" t="e">
        <f>'Paso 1.1'!K70*Tiempos!$H$67</f>
        <v>#REF!</v>
      </c>
      <c r="LX74" s="1579" t="e">
        <f>'Paso 1.1'!L70*Tiempos!$H$67</f>
        <v>#REF!</v>
      </c>
      <c r="LY74" s="1579" t="e">
        <f>'Paso 1.1'!M70*Tiempos!$H$67</f>
        <v>#REF!</v>
      </c>
      <c r="LZ74" s="1579" t="e">
        <f>'Paso 1.1'!N70*Tiempos!$H$67</f>
        <v>#REF!</v>
      </c>
      <c r="MA74" s="1579" t="e">
        <f>'Paso 1.1'!O70*Tiempos!$H$67</f>
        <v>#REF!</v>
      </c>
      <c r="MB74" s="1579" t="e">
        <f>'Paso 1.1'!P70*Tiempos!$H$67</f>
        <v>#REF!</v>
      </c>
      <c r="MC74" s="1579" t="e">
        <f>'Paso 1.1'!Q70*Tiempos!$H$67</f>
        <v>#REF!</v>
      </c>
      <c r="MD74" s="1579" t="e">
        <f>'Paso 1.1'!R70*Tiempos!$H$67</f>
        <v>#REF!</v>
      </c>
      <c r="ME74" s="1579" t="e">
        <f>'Paso 1.1'!S70*Tiempos!$H$67</f>
        <v>#REF!</v>
      </c>
      <c r="MF74" s="1579" t="e">
        <f>'Paso 1.1'!T70*Tiempos!$H$67</f>
        <v>#REF!</v>
      </c>
      <c r="MG74" s="1579" t="e">
        <f>'Paso 1.1'!U70*Tiempos!$H$67</f>
        <v>#REF!</v>
      </c>
      <c r="MH74" s="1579" t="e">
        <f>'Paso 1.1'!E70*Tiempos!$H$64</f>
        <v>#REF!</v>
      </c>
      <c r="MI74" s="1579" t="e">
        <f>'Paso 1.1'!F70*Tiempos!$H$64</f>
        <v>#REF!</v>
      </c>
      <c r="MJ74" s="1579" t="e">
        <f>'Paso 1.1'!G70*Tiempos!$H$64</f>
        <v>#REF!</v>
      </c>
      <c r="MK74" s="1579" t="e">
        <f>'Paso 1.1'!H70*Tiempos!$H$64</f>
        <v>#REF!</v>
      </c>
      <c r="ML74" s="1579" t="e">
        <f>'Paso 1.1'!I70*Tiempos!$H$64</f>
        <v>#REF!</v>
      </c>
      <c r="MM74" s="1579" t="e">
        <f>'Paso 1.1'!J70*Tiempos!$H$64</f>
        <v>#REF!</v>
      </c>
      <c r="MN74" s="1579" t="e">
        <f>'Paso 1.1'!K70*Tiempos!$H$64</f>
        <v>#REF!</v>
      </c>
      <c r="MO74" s="1579" t="e">
        <f>'Paso 1.1'!L70*Tiempos!$H$64</f>
        <v>#REF!</v>
      </c>
      <c r="MP74" s="1579" t="e">
        <f>'Paso 1.1'!M70*Tiempos!$H$64</f>
        <v>#REF!</v>
      </c>
      <c r="MQ74" s="1579" t="e">
        <f>'Paso 1.1'!N70*Tiempos!$H$64</f>
        <v>#REF!</v>
      </c>
      <c r="MR74" s="1579" t="e">
        <f>'Paso 1.1'!O70*Tiempos!$H$64</f>
        <v>#REF!</v>
      </c>
      <c r="MS74" s="1579" t="e">
        <f>'Paso 1.1'!P70*Tiempos!$H$64</f>
        <v>#REF!</v>
      </c>
      <c r="MT74" s="1579" t="e">
        <f>'Paso 1.1'!Q70*Tiempos!$H$64</f>
        <v>#REF!</v>
      </c>
      <c r="MU74" s="1579" t="e">
        <f>'Paso 1.1'!R70*Tiempos!$H$64</f>
        <v>#REF!</v>
      </c>
      <c r="MV74" s="1579" t="e">
        <f>'Paso 1.1'!S70*Tiempos!$H$64</f>
        <v>#REF!</v>
      </c>
      <c r="MW74" s="1579" t="e">
        <f>'Paso 1.1'!T70*Tiempos!$H$64</f>
        <v>#REF!</v>
      </c>
      <c r="MX74" s="1579" t="e">
        <f>'Paso 1.1'!U70*Tiempos!$H$64</f>
        <v>#REF!</v>
      </c>
      <c r="MY74" s="1579" t="e">
        <f>'Paso 1.1'!E70*Tiempos!$H$67</f>
        <v>#REF!</v>
      </c>
      <c r="MZ74" s="1579" t="e">
        <f>'Paso 1.1'!F70*Tiempos!$H$67</f>
        <v>#REF!</v>
      </c>
      <c r="NA74" s="1579" t="e">
        <f>'Paso 1.1'!G70*Tiempos!$H$67</f>
        <v>#REF!</v>
      </c>
      <c r="NB74" s="1579" t="e">
        <f>'Paso 1.1'!H70*Tiempos!$H$67</f>
        <v>#REF!</v>
      </c>
      <c r="NC74" s="1579" t="e">
        <f>'Paso 1.1'!I70*Tiempos!$H$67</f>
        <v>#REF!</v>
      </c>
      <c r="ND74" s="1579" t="e">
        <f>'Paso 1.1'!J70*Tiempos!$H$67</f>
        <v>#REF!</v>
      </c>
      <c r="NE74" s="1579" t="e">
        <f>'Paso 1.1'!K70*Tiempos!$H$67</f>
        <v>#REF!</v>
      </c>
      <c r="NF74" s="1579" t="e">
        <f>'Paso 1.1'!L70*Tiempos!$H$67</f>
        <v>#REF!</v>
      </c>
      <c r="NG74" s="1579" t="e">
        <f>'Paso 1.1'!M70*Tiempos!$H$67</f>
        <v>#REF!</v>
      </c>
      <c r="NH74" s="1579" t="e">
        <f>'Paso 1.1'!N70*Tiempos!$H$67</f>
        <v>#REF!</v>
      </c>
      <c r="NI74" s="1579" t="e">
        <f>'Paso 1.1'!O70*Tiempos!$H$67</f>
        <v>#REF!</v>
      </c>
      <c r="NJ74" s="1579" t="e">
        <f>'Paso 1.1'!P70*Tiempos!$H$67</f>
        <v>#REF!</v>
      </c>
      <c r="NK74" s="1579" t="e">
        <f>'Paso 1.1'!Q70*Tiempos!$H$67</f>
        <v>#REF!</v>
      </c>
      <c r="NL74" s="1579" t="e">
        <f>'Paso 1.1'!R70*Tiempos!$H$67</f>
        <v>#REF!</v>
      </c>
      <c r="NM74" s="1579" t="e">
        <f>'Paso 1.1'!S70*Tiempos!$H$67</f>
        <v>#REF!</v>
      </c>
      <c r="NN74" s="1579" t="e">
        <f>'Paso 1.1'!T70*Tiempos!$H$67</f>
        <v>#REF!</v>
      </c>
      <c r="NO74" s="1579" t="e">
        <f>'Paso 1.1'!U70*Tiempos!$H$67</f>
        <v>#REF!</v>
      </c>
      <c r="NP74" s="1579"/>
      <c r="NQ74" s="1579"/>
      <c r="NR74" s="1579"/>
      <c r="NS74" s="1579"/>
      <c r="NT74" s="1579"/>
      <c r="NU74" s="1579"/>
      <c r="NV74" s="1579"/>
      <c r="NW74" s="1579"/>
      <c r="NX74" s="1579"/>
      <c r="NY74" s="1579"/>
      <c r="NZ74" s="1579"/>
      <c r="OA74" s="1579"/>
      <c r="OB74" s="1579"/>
      <c r="OC74" s="1579"/>
      <c r="OD74" s="1579"/>
      <c r="OE74" s="1579"/>
      <c r="OF74" s="1579"/>
      <c r="OG74" s="1579"/>
      <c r="OH74" s="1579"/>
      <c r="OI74" s="1579"/>
      <c r="OJ74" s="1579"/>
      <c r="OK74" s="1579"/>
      <c r="OL74" s="1579"/>
      <c r="OM74" s="1579"/>
      <c r="ON74" s="1579"/>
      <c r="OO74" s="1579"/>
      <c r="OP74" s="1579"/>
      <c r="OQ74" s="1579"/>
      <c r="OR74" s="1579"/>
      <c r="OS74" s="1579"/>
      <c r="OT74" s="1579"/>
      <c r="OU74" s="1579"/>
      <c r="OV74" s="1579"/>
      <c r="OW74" s="1579"/>
      <c r="OX74" s="1579"/>
      <c r="OY74" s="1579"/>
      <c r="OZ74" s="1579"/>
      <c r="PA74" s="1579"/>
      <c r="PB74" s="1579"/>
      <c r="PC74" s="1579"/>
      <c r="PD74" s="1579"/>
      <c r="PE74" s="1579"/>
      <c r="PF74" s="1579"/>
      <c r="PG74" s="1579"/>
      <c r="PH74" s="1579"/>
      <c r="PI74" s="1579"/>
      <c r="PJ74" s="1579"/>
      <c r="PK74" s="1579"/>
      <c r="PL74" s="1579"/>
      <c r="PM74" s="1579"/>
      <c r="PN74" s="1579"/>
      <c r="PO74" s="1579"/>
      <c r="PP74" s="1579"/>
      <c r="PQ74" s="1579"/>
      <c r="PR74" s="1579"/>
      <c r="PS74" s="1579"/>
      <c r="PT74" s="1579"/>
      <c r="PU74" s="1579"/>
      <c r="PV74" s="1579"/>
      <c r="PW74" s="1579"/>
      <c r="PX74" s="1579"/>
      <c r="PY74" s="1579"/>
      <c r="PZ74" s="1579"/>
      <c r="QA74" s="1579"/>
      <c r="QB74" s="1579"/>
      <c r="QC74" s="1579"/>
      <c r="QD74" s="1579"/>
      <c r="QE74" s="1579"/>
      <c r="QF74" s="1579"/>
      <c r="QG74" s="1579"/>
      <c r="QH74" s="1579"/>
      <c r="QI74" s="1579"/>
      <c r="QJ74" s="1579"/>
      <c r="QK74" s="1579"/>
      <c r="QL74" s="1579"/>
      <c r="QM74" s="1579"/>
      <c r="QN74" s="1579"/>
      <c r="QO74" s="1579"/>
      <c r="QP74" s="1579"/>
      <c r="QQ74" s="1579"/>
      <c r="QR74" s="1579"/>
      <c r="QS74" s="1579"/>
      <c r="QT74" s="1579"/>
      <c r="QU74" s="1579"/>
      <c r="QV74" s="1579"/>
      <c r="QW74" s="1579"/>
      <c r="QX74" s="1579"/>
      <c r="QY74" s="1579"/>
      <c r="QZ74" s="1579"/>
      <c r="RA74" s="1579"/>
      <c r="RB74" s="1579"/>
      <c r="RC74" s="1579"/>
      <c r="RD74" s="1579"/>
      <c r="RE74" s="1579"/>
      <c r="RF74" s="1579"/>
      <c r="RG74" s="1579"/>
      <c r="RH74" s="1579"/>
      <c r="RI74" s="1579"/>
      <c r="RJ74" s="1579"/>
      <c r="RK74" s="1579"/>
      <c r="RL74" s="1579"/>
      <c r="RM74" s="1579"/>
      <c r="RN74" s="1579" t="e">
        <f>'Paso 1.1'!E70*Tiempos!$H$67</f>
        <v>#REF!</v>
      </c>
      <c r="RO74" s="1579" t="e">
        <f>'Paso 1.1'!F70*Tiempos!$H$67</f>
        <v>#REF!</v>
      </c>
      <c r="RP74" s="1579" t="e">
        <f>'Paso 1.1'!G70*Tiempos!$H$67</f>
        <v>#REF!</v>
      </c>
      <c r="RQ74" s="1579" t="e">
        <f>'Paso 1.1'!H70*Tiempos!$H$67</f>
        <v>#REF!</v>
      </c>
      <c r="RR74" s="1579" t="e">
        <f>'Paso 1.1'!I70*Tiempos!$H$67</f>
        <v>#REF!</v>
      </c>
      <c r="RS74" s="1579" t="e">
        <f>'Paso 1.1'!J70*Tiempos!$H$67</f>
        <v>#REF!</v>
      </c>
      <c r="RT74" s="1579" t="e">
        <f>'Paso 1.1'!K70*Tiempos!$H$67</f>
        <v>#REF!</v>
      </c>
      <c r="RU74" s="1579" t="e">
        <f>'Paso 1.1'!L70*Tiempos!$H$67</f>
        <v>#REF!</v>
      </c>
      <c r="RV74" s="1579" t="e">
        <f>'Paso 1.1'!M70*Tiempos!$H$67</f>
        <v>#REF!</v>
      </c>
      <c r="RW74" s="1579" t="e">
        <f>'Paso 1.1'!N70*Tiempos!$H$67</f>
        <v>#REF!</v>
      </c>
      <c r="RX74" s="1579" t="e">
        <f>'Paso 1.1'!O70*Tiempos!$H$67</f>
        <v>#REF!</v>
      </c>
      <c r="RY74" s="1579" t="e">
        <f>'Paso 1.1'!P70*Tiempos!$H$67</f>
        <v>#REF!</v>
      </c>
      <c r="RZ74" s="1579" t="e">
        <f>'Paso 1.1'!Q70*Tiempos!$H$67</f>
        <v>#REF!</v>
      </c>
      <c r="SA74" s="1579" t="e">
        <f>'Paso 1.1'!R70*Tiempos!$H$67</f>
        <v>#REF!</v>
      </c>
      <c r="SB74" s="1579" t="e">
        <f>'Paso 1.1'!S70*Tiempos!$H$67</f>
        <v>#REF!</v>
      </c>
      <c r="SC74" s="1579" t="e">
        <f>'Paso 1.1'!T70*Tiempos!$H$67</f>
        <v>#REF!</v>
      </c>
      <c r="SD74" s="1579" t="e">
        <f>'Paso 1.1'!U70*Tiempos!$H$67</f>
        <v>#REF!</v>
      </c>
      <c r="SE74" s="1579"/>
      <c r="SF74" s="1579"/>
      <c r="SG74" s="1579"/>
      <c r="SH74" s="1579"/>
      <c r="SI74" s="1579"/>
      <c r="SJ74" s="1579"/>
      <c r="SK74" s="1579"/>
      <c r="SL74" s="1579"/>
      <c r="SM74" s="1579"/>
      <c r="SN74" s="1579"/>
      <c r="SO74" s="1579"/>
      <c r="SP74" s="1579"/>
      <c r="SQ74" s="1579"/>
      <c r="SR74" s="1579"/>
      <c r="SS74" s="1579"/>
      <c r="ST74" s="1579"/>
      <c r="SU74" s="1579"/>
      <c r="SV74" s="1579"/>
      <c r="SW74" s="1579"/>
      <c r="SX74" s="1579"/>
      <c r="SY74" s="1579"/>
      <c r="SZ74" s="1579"/>
      <c r="TA74" s="1579"/>
      <c r="TB74" s="1579"/>
      <c r="TC74" s="1579"/>
      <c r="TD74" s="1579"/>
      <c r="TE74" s="1579"/>
      <c r="TF74" s="1579"/>
      <c r="TG74" s="1579"/>
      <c r="TH74" s="1579"/>
      <c r="TI74" s="1579"/>
      <c r="TJ74" s="1579"/>
      <c r="TK74" s="1579"/>
      <c r="TL74" s="1579"/>
      <c r="TM74" s="1579"/>
      <c r="TN74" s="1579"/>
      <c r="TO74" s="1579"/>
      <c r="TP74" s="1579"/>
      <c r="TQ74" s="1579"/>
      <c r="TR74" s="1579"/>
      <c r="TS74" s="1579"/>
      <c r="TT74" s="1579"/>
      <c r="TU74" s="1579"/>
      <c r="TV74" s="1579"/>
      <c r="TW74" s="1579"/>
      <c r="TX74" s="1579"/>
      <c r="TY74" s="1579"/>
      <c r="TZ74" s="1579"/>
      <c r="UA74" s="1579"/>
      <c r="UB74" s="1579"/>
      <c r="UC74" s="1579"/>
      <c r="UD74" s="1579"/>
      <c r="UE74" s="1579"/>
      <c r="UF74" s="1579"/>
      <c r="UG74" s="1579"/>
      <c r="UH74" s="1579"/>
      <c r="UI74" s="1579"/>
      <c r="UJ74" s="1579"/>
      <c r="UK74" s="1579"/>
      <c r="UL74" s="1579"/>
      <c r="UM74" s="1579"/>
      <c r="UN74" s="1579"/>
      <c r="UO74" s="1579"/>
      <c r="UP74" s="1579"/>
      <c r="UQ74" s="1579"/>
      <c r="UR74" s="1579"/>
      <c r="US74" s="1579"/>
      <c r="UT74" s="1579"/>
      <c r="UU74" s="1579"/>
      <c r="UV74" s="1579"/>
      <c r="UW74" s="1579"/>
      <c r="UX74" s="1579"/>
      <c r="UY74" s="1579"/>
      <c r="UZ74" s="1579"/>
      <c r="VA74" s="1579"/>
      <c r="VB74" s="1579"/>
      <c r="VC74" s="1579"/>
      <c r="VD74" s="1579"/>
      <c r="VE74" s="1579"/>
      <c r="VF74" s="1579"/>
      <c r="VG74" s="1579"/>
      <c r="VH74" s="1579"/>
      <c r="VI74" s="1579"/>
      <c r="VJ74" s="1579"/>
      <c r="VK74" s="1579"/>
    </row>
    <row r="75" spans="1:583" ht="40.5" customHeight="1" x14ac:dyDescent="0.25">
      <c r="B75" s="1610" t="s">
        <v>1275</v>
      </c>
      <c r="C75" s="1582" t="s">
        <v>2925</v>
      </c>
      <c r="D75" s="4711"/>
      <c r="E75" s="4711"/>
      <c r="F75" s="1579" t="e">
        <f>'Paso 1.1'!E70*Tiempos!$H$67</f>
        <v>#REF!</v>
      </c>
      <c r="G75" s="1579" t="e">
        <f>'Paso 1.1'!F70*Tiempos!$H$67</f>
        <v>#REF!</v>
      </c>
      <c r="H75" s="1579" t="e">
        <f>'Paso 1.1'!G70*Tiempos!$H$67</f>
        <v>#REF!</v>
      </c>
      <c r="I75" s="1579" t="e">
        <f>'Paso 1.1'!H70*Tiempos!$H$67</f>
        <v>#REF!</v>
      </c>
      <c r="J75" s="1579" t="e">
        <f>'Paso 1.1'!I70*Tiempos!$H$67</f>
        <v>#REF!</v>
      </c>
      <c r="K75" s="1579" t="e">
        <f>'Paso 1.1'!J70*Tiempos!$H$67</f>
        <v>#REF!</v>
      </c>
      <c r="L75" s="1579" t="e">
        <f>'Paso 1.1'!K70*Tiempos!$H$67</f>
        <v>#REF!</v>
      </c>
      <c r="M75" s="1579" t="e">
        <f>'Paso 1.1'!L70*Tiempos!$H$67</f>
        <v>#REF!</v>
      </c>
      <c r="N75" s="1579" t="e">
        <f>'Paso 1.1'!M70*Tiempos!$H$67</f>
        <v>#REF!</v>
      </c>
      <c r="O75" s="1579" t="e">
        <f>'Paso 1.1'!N70*Tiempos!$H$67</f>
        <v>#REF!</v>
      </c>
      <c r="P75" s="1579" t="e">
        <f>'Paso 1.1'!O70*Tiempos!$H$67</f>
        <v>#REF!</v>
      </c>
      <c r="Q75" s="1579" t="e">
        <f>'Paso 1.1'!P70*Tiempos!$H$67</f>
        <v>#REF!</v>
      </c>
      <c r="R75" s="1579" t="e">
        <f>'Paso 1.1'!Q70*Tiempos!$H$67</f>
        <v>#REF!</v>
      </c>
      <c r="S75" s="1579" t="e">
        <f>'Paso 1.1'!R70*Tiempos!$H$67</f>
        <v>#REF!</v>
      </c>
      <c r="T75" s="1579" t="e">
        <f>'Paso 1.1'!S70*Tiempos!$H$67</f>
        <v>#REF!</v>
      </c>
      <c r="U75" s="1579" t="e">
        <f>'Paso 1.1'!T70*Tiempos!$H$67</f>
        <v>#REF!</v>
      </c>
      <c r="V75" s="1579" t="e">
        <f>'Paso 1.1'!U70*Tiempos!$H$67</f>
        <v>#REF!</v>
      </c>
      <c r="W75" s="2059"/>
      <c r="X75" s="2059"/>
      <c r="Y75" s="2059"/>
      <c r="Z75" s="2059"/>
      <c r="AA75" s="2059"/>
      <c r="AB75" s="2059"/>
      <c r="AC75" s="2059"/>
      <c r="AD75" s="2059"/>
      <c r="AE75" s="2059"/>
      <c r="AF75" s="2059"/>
      <c r="AG75" s="2059"/>
      <c r="AH75" s="2059"/>
      <c r="AI75" s="2059"/>
      <c r="AJ75" s="2059"/>
      <c r="AK75" s="2059"/>
      <c r="AL75" s="2059"/>
      <c r="AM75" s="2059"/>
      <c r="AN75" s="2058" t="e">
        <f>'Paso 1.1'!E70*Tiempos!$H$67</f>
        <v>#REF!</v>
      </c>
      <c r="AO75" s="2058" t="e">
        <f>'Paso 1.1'!F70*Tiempos!$H$67</f>
        <v>#REF!</v>
      </c>
      <c r="AP75" s="2058" t="e">
        <f>'Paso 1.1'!G70*Tiempos!$H$67</f>
        <v>#REF!</v>
      </c>
      <c r="AQ75" s="2058" t="e">
        <f>'Paso 1.1'!H70*Tiempos!$H$67</f>
        <v>#REF!</v>
      </c>
      <c r="AR75" s="2058" t="e">
        <f>'Paso 1.1'!I70*Tiempos!$H$67</f>
        <v>#REF!</v>
      </c>
      <c r="AS75" s="2058" t="e">
        <f>'Paso 1.1'!J70*Tiempos!$H$67</f>
        <v>#REF!</v>
      </c>
      <c r="AT75" s="2058" t="e">
        <f>'Paso 1.1'!K70*Tiempos!$H$67</f>
        <v>#REF!</v>
      </c>
      <c r="AU75" s="2058" t="e">
        <f>'Paso 1.1'!L70*Tiempos!$H$67</f>
        <v>#REF!</v>
      </c>
      <c r="AV75" s="2058" t="e">
        <f>'Paso 1.1'!M70*Tiempos!$H$67</f>
        <v>#REF!</v>
      </c>
      <c r="AW75" s="2058" t="e">
        <f>'Paso 1.1'!N70*Tiempos!$H$67</f>
        <v>#REF!</v>
      </c>
      <c r="AX75" s="2058" t="e">
        <f>'Paso 1.1'!O70*Tiempos!$H$67</f>
        <v>#REF!</v>
      </c>
      <c r="AY75" s="2058" t="e">
        <f>'Paso 1.1'!P70*Tiempos!$H$67</f>
        <v>#REF!</v>
      </c>
      <c r="AZ75" s="2058" t="e">
        <f>'Paso 1.1'!Q70*Tiempos!$H$67</f>
        <v>#REF!</v>
      </c>
      <c r="BA75" s="2058" t="e">
        <f>'Paso 1.1'!R70*Tiempos!$H$67</f>
        <v>#REF!</v>
      </c>
      <c r="BB75" s="2058" t="e">
        <f>'Paso 1.1'!S70*Tiempos!$H$67</f>
        <v>#REF!</v>
      </c>
      <c r="BC75" s="2058" t="e">
        <f>'Paso 1.1'!T70*Tiempos!$H$67</f>
        <v>#REF!</v>
      </c>
      <c r="BD75" s="2058" t="e">
        <f>'Paso 1.1'!U70*Tiempos!$H$67</f>
        <v>#REF!</v>
      </c>
      <c r="BE75" s="2059"/>
      <c r="BF75" s="2059"/>
      <c r="BG75" s="2059"/>
      <c r="BH75" s="2059"/>
      <c r="BI75" s="2059"/>
      <c r="BJ75" s="2059"/>
      <c r="BK75" s="2059"/>
      <c r="BL75" s="2059"/>
      <c r="BM75" s="2059"/>
      <c r="BN75" s="2059"/>
      <c r="BO75" s="2059"/>
      <c r="BP75" s="2059"/>
      <c r="BQ75" s="2059"/>
      <c r="BR75" s="2059"/>
      <c r="BS75" s="2059"/>
      <c r="BT75" s="2059"/>
      <c r="BU75" s="2059"/>
      <c r="BV75" s="2058" t="e">
        <f>'Paso 1.1'!E70*Tiempos!$H$67</f>
        <v>#REF!</v>
      </c>
      <c r="BW75" s="2058" t="e">
        <f>'Paso 1.1'!F70*Tiempos!$H$67</f>
        <v>#REF!</v>
      </c>
      <c r="BX75" s="2058" t="e">
        <f>'Paso 1.1'!G70*Tiempos!$H$67</f>
        <v>#REF!</v>
      </c>
      <c r="BY75" s="2058" t="e">
        <f>'Paso 1.1'!H70*Tiempos!$H$67</f>
        <v>#REF!</v>
      </c>
      <c r="BZ75" s="2058" t="e">
        <f>'Paso 1.1'!I70*Tiempos!$H$67</f>
        <v>#REF!</v>
      </c>
      <c r="CA75" s="2058" t="e">
        <f>'Paso 1.1'!J70*Tiempos!$H$67</f>
        <v>#REF!</v>
      </c>
      <c r="CB75" s="2058" t="e">
        <f>'Paso 1.1'!K70*Tiempos!$H$67</f>
        <v>#REF!</v>
      </c>
      <c r="CC75" s="2058" t="e">
        <f>'Paso 1.1'!L70*Tiempos!$H$67</f>
        <v>#REF!</v>
      </c>
      <c r="CD75" s="2058" t="e">
        <f>'Paso 1.1'!M70*Tiempos!$H$67</f>
        <v>#REF!</v>
      </c>
      <c r="CE75" s="2058" t="e">
        <f>'Paso 1.1'!N70*Tiempos!$H$67</f>
        <v>#REF!</v>
      </c>
      <c r="CF75" s="2058" t="e">
        <f>'Paso 1.1'!O70*Tiempos!$H$67</f>
        <v>#REF!</v>
      </c>
      <c r="CG75" s="2058" t="e">
        <f>'Paso 1.1'!P70*Tiempos!$H$67</f>
        <v>#REF!</v>
      </c>
      <c r="CH75" s="2058" t="e">
        <f>'Paso 1.1'!Q70*Tiempos!$H$67</f>
        <v>#REF!</v>
      </c>
      <c r="CI75" s="2058" t="e">
        <f>'Paso 1.1'!R70*Tiempos!$H$67</f>
        <v>#REF!</v>
      </c>
      <c r="CJ75" s="2058" t="e">
        <f>'Paso 1.1'!S70*Tiempos!$H$67</f>
        <v>#REF!</v>
      </c>
      <c r="CK75" s="2058" t="e">
        <f>'Paso 1.1'!T70*Tiempos!$H$67</f>
        <v>#REF!</v>
      </c>
      <c r="CL75" s="2058" t="e">
        <f>'Paso 1.1'!U70*Tiempos!$H$67</f>
        <v>#REF!</v>
      </c>
      <c r="CM75" s="2058" t="e">
        <f>'Paso 1.1'!E70*Tiempos!$H$67</f>
        <v>#REF!</v>
      </c>
      <c r="CN75" s="2058" t="e">
        <f>'Paso 1.1'!F70*Tiempos!$H$67</f>
        <v>#REF!</v>
      </c>
      <c r="CO75" s="2058" t="e">
        <f>'Paso 1.1'!G70*Tiempos!$H$67</f>
        <v>#REF!</v>
      </c>
      <c r="CP75" s="2058" t="e">
        <f>'Paso 1.1'!H70*Tiempos!$H$67</f>
        <v>#REF!</v>
      </c>
      <c r="CQ75" s="2058" t="e">
        <f>'Paso 1.1'!I70*Tiempos!$H$67</f>
        <v>#REF!</v>
      </c>
      <c r="CR75" s="2058" t="e">
        <f>'Paso 1.1'!J70*Tiempos!$H$67</f>
        <v>#REF!</v>
      </c>
      <c r="CS75" s="2058" t="e">
        <f>'Paso 1.1'!K70*Tiempos!$H$67</f>
        <v>#REF!</v>
      </c>
      <c r="CT75" s="2058" t="e">
        <f>'Paso 1.1'!L70*Tiempos!$H$67</f>
        <v>#REF!</v>
      </c>
      <c r="CU75" s="2058" t="e">
        <f>'Paso 1.1'!M70*Tiempos!$H$67</f>
        <v>#REF!</v>
      </c>
      <c r="CV75" s="2058" t="e">
        <f>'Paso 1.1'!N70*Tiempos!$H$67</f>
        <v>#REF!</v>
      </c>
      <c r="CW75" s="2058" t="e">
        <f>'Paso 1.1'!O70*Tiempos!$H$67</f>
        <v>#REF!</v>
      </c>
      <c r="CX75" s="2058" t="e">
        <f>'Paso 1.1'!P70*Tiempos!$H$67</f>
        <v>#REF!</v>
      </c>
      <c r="CY75" s="2058" t="e">
        <f>'Paso 1.1'!Q70*Tiempos!$H$67</f>
        <v>#REF!</v>
      </c>
      <c r="CZ75" s="2058" t="e">
        <f>'Paso 1.1'!R70*Tiempos!$H$67</f>
        <v>#REF!</v>
      </c>
      <c r="DA75" s="2058" t="e">
        <f>'Paso 1.1'!S70*Tiempos!$H$67</f>
        <v>#REF!</v>
      </c>
      <c r="DB75" s="2058" t="e">
        <f>'Paso 1.1'!T70*Tiempos!$H$67</f>
        <v>#REF!</v>
      </c>
      <c r="DC75" s="2058" t="e">
        <f>'Paso 1.1'!U70*Tiempos!$H$67</f>
        <v>#REF!</v>
      </c>
      <c r="DD75" s="1576"/>
      <c r="DE75" s="1576"/>
      <c r="DF75" s="1576"/>
      <c r="DG75" s="1576"/>
      <c r="DH75" s="1576"/>
      <c r="DI75" s="1576"/>
      <c r="DJ75" s="1576"/>
      <c r="DK75" s="1576"/>
      <c r="DL75" s="1576"/>
      <c r="DM75" s="1576"/>
      <c r="DN75" s="1576"/>
      <c r="DO75" s="1576"/>
      <c r="DP75" s="1576"/>
      <c r="DQ75" s="1576"/>
      <c r="DR75" s="1576"/>
      <c r="DS75" s="1576"/>
      <c r="DT75" s="1576"/>
      <c r="DU75" s="1576"/>
      <c r="DV75" s="1576"/>
      <c r="DW75" s="1576"/>
      <c r="DX75" s="1576"/>
      <c r="DY75" s="1576"/>
      <c r="DZ75" s="1576"/>
      <c r="EA75" s="1576"/>
      <c r="EB75" s="1576"/>
      <c r="EC75" s="1576"/>
      <c r="ED75" s="1576"/>
      <c r="EE75" s="1576"/>
      <c r="EF75" s="1576"/>
      <c r="EG75" s="1576"/>
      <c r="EH75" s="1576"/>
      <c r="EI75" s="1576"/>
      <c r="EJ75" s="1576"/>
      <c r="EK75" s="1576"/>
      <c r="EL75" s="1576"/>
      <c r="EM75" s="1576"/>
      <c r="EN75" s="1576"/>
      <c r="EO75" s="1576"/>
      <c r="EP75" s="1576"/>
      <c r="EQ75" s="1576"/>
      <c r="ER75" s="1576"/>
      <c r="ES75" s="1576"/>
      <c r="ET75" s="1576"/>
      <c r="EU75" s="1576"/>
      <c r="EV75" s="1576"/>
      <c r="EW75" s="1576"/>
      <c r="EX75" s="1576"/>
      <c r="EY75" s="1576"/>
      <c r="EZ75" s="1576"/>
      <c r="FA75" s="1576"/>
      <c r="FB75" s="1576"/>
      <c r="FC75" s="1576"/>
      <c r="FD75" s="1576"/>
      <c r="FE75" s="1576"/>
      <c r="FF75" s="1576"/>
      <c r="FG75" s="1576"/>
      <c r="FH75" s="1576"/>
      <c r="FI75" s="1576"/>
      <c r="FJ75" s="1576"/>
      <c r="FK75" s="1576"/>
      <c r="FL75" s="1576"/>
      <c r="FM75" s="1576"/>
      <c r="FN75" s="1576"/>
      <c r="FO75" s="1576"/>
      <c r="FP75" s="1576"/>
      <c r="FQ75" s="1576"/>
      <c r="FR75" s="1576"/>
      <c r="FS75" s="1576"/>
      <c r="FT75" s="1576"/>
      <c r="FU75" s="1576"/>
      <c r="FV75" s="1576"/>
      <c r="FW75" s="1576"/>
      <c r="FX75" s="1576"/>
      <c r="FY75" s="1576"/>
      <c r="FZ75" s="1576"/>
      <c r="GA75" s="1576"/>
      <c r="GB75" s="1576"/>
      <c r="GC75" s="1576"/>
      <c r="GD75" s="1576"/>
      <c r="GE75" s="1576"/>
      <c r="GF75" s="1576"/>
      <c r="GG75" s="1576"/>
      <c r="GH75" s="1576"/>
      <c r="GI75" s="1576"/>
      <c r="GJ75" s="1576"/>
      <c r="GK75" s="1576"/>
      <c r="GL75" s="1576"/>
      <c r="GM75" s="1576"/>
      <c r="GN75" s="1576"/>
      <c r="GO75" s="1576"/>
      <c r="GP75" s="1576"/>
      <c r="GQ75" s="1576"/>
      <c r="GR75" s="1576"/>
      <c r="GS75" s="1576"/>
      <c r="GT75" s="1576"/>
      <c r="GU75" s="1576"/>
      <c r="GV75" s="1576"/>
      <c r="GW75" s="1576"/>
      <c r="GX75" s="1576"/>
      <c r="GY75" s="1576"/>
      <c r="GZ75" s="1576"/>
      <c r="HA75" s="1576"/>
      <c r="HB75" s="1576"/>
      <c r="HC75" s="1576"/>
      <c r="HD75" s="1576"/>
      <c r="HE75" s="1576"/>
      <c r="HF75" s="1576"/>
      <c r="HG75" s="1576"/>
      <c r="HH75" s="1576"/>
      <c r="HI75" s="1576"/>
      <c r="HJ75" s="1576"/>
      <c r="HK75" s="1576"/>
      <c r="HL75" s="1576"/>
      <c r="HM75" s="1576"/>
      <c r="HN75" s="1576"/>
      <c r="HO75" s="1576"/>
      <c r="HP75" s="1576"/>
      <c r="HQ75" s="1576"/>
      <c r="HR75" s="1576"/>
      <c r="HS75" s="1576"/>
      <c r="HT75" s="1576"/>
      <c r="HU75" s="1576"/>
      <c r="HV75" s="1576"/>
      <c r="HW75" s="1576"/>
      <c r="HX75" s="1576"/>
      <c r="HY75" s="1576"/>
      <c r="HZ75" s="1576"/>
      <c r="IA75" s="1576"/>
      <c r="IB75" s="1576"/>
      <c r="IC75" s="1576"/>
      <c r="ID75" s="1576"/>
      <c r="IE75" s="1576"/>
      <c r="IF75" s="1576"/>
      <c r="IG75" s="1576"/>
      <c r="IH75" s="1576"/>
      <c r="II75" s="1576"/>
      <c r="IJ75" s="1576"/>
      <c r="IK75" s="1576"/>
      <c r="IL75" s="1576"/>
      <c r="IM75" s="1576"/>
      <c r="IN75" s="1576"/>
      <c r="IO75" s="1576"/>
      <c r="IP75" s="1576"/>
      <c r="IQ75" s="1576"/>
      <c r="IR75" s="1576"/>
      <c r="IS75" s="1576"/>
      <c r="IT75" s="1576"/>
      <c r="IU75" s="1576"/>
      <c r="IV75" s="1576"/>
      <c r="IW75" s="1576"/>
      <c r="IX75" s="1576"/>
      <c r="IY75" s="1576"/>
      <c r="IZ75" s="1576"/>
      <c r="JA75" s="2054"/>
      <c r="JB75" s="2054"/>
      <c r="JC75" s="2054"/>
      <c r="JD75" s="2054"/>
      <c r="JE75" s="2054"/>
      <c r="JF75" s="2054"/>
      <c r="JG75" s="2054"/>
      <c r="JH75" s="2054"/>
      <c r="JI75" s="2054"/>
      <c r="JJ75" s="2054"/>
      <c r="JK75" s="2054"/>
      <c r="JL75" s="2054"/>
      <c r="JM75" s="2054"/>
      <c r="JN75" s="2054"/>
      <c r="JO75" s="2054"/>
      <c r="JP75" s="2054"/>
      <c r="JQ75" s="2054"/>
      <c r="JR75" s="1576" t="e">
        <f>'Paso 1.1'!E70*Tiempos!$H$67</f>
        <v>#REF!</v>
      </c>
      <c r="JS75" s="1576" t="e">
        <f>'Paso 1.1'!F70*Tiempos!$H$67</f>
        <v>#REF!</v>
      </c>
      <c r="JT75" s="1576" t="e">
        <f>'Paso 1.1'!G70*Tiempos!$H$67</f>
        <v>#REF!</v>
      </c>
      <c r="JU75" s="1576" t="e">
        <f>'Paso 1.1'!H70*Tiempos!$H$67</f>
        <v>#REF!</v>
      </c>
      <c r="JV75" s="1576" t="e">
        <f>'Paso 1.1'!I70*Tiempos!$H$67</f>
        <v>#REF!</v>
      </c>
      <c r="JW75" s="1576" t="e">
        <f>'Paso 1.1'!J70*Tiempos!$H$67</f>
        <v>#REF!</v>
      </c>
      <c r="JX75" s="1576" t="e">
        <f>'Paso 1.1'!K70*Tiempos!$H$67</f>
        <v>#REF!</v>
      </c>
      <c r="JY75" s="1576" t="e">
        <f>'Paso 1.1'!L70*Tiempos!$H$67</f>
        <v>#REF!</v>
      </c>
      <c r="JZ75" s="1576" t="e">
        <f>'Paso 1.1'!M70*Tiempos!$H$67</f>
        <v>#REF!</v>
      </c>
      <c r="KA75" s="1576" t="e">
        <f>'Paso 1.1'!N70*Tiempos!$H$67</f>
        <v>#REF!</v>
      </c>
      <c r="KB75" s="1576" t="e">
        <f>'Paso 1.1'!O70*Tiempos!$H$67</f>
        <v>#REF!</v>
      </c>
      <c r="KC75" s="1576" t="e">
        <f>'Paso 1.1'!P70*Tiempos!$H$67</f>
        <v>#REF!</v>
      </c>
      <c r="KD75" s="1576" t="e">
        <f>'Paso 1.1'!Q70*Tiempos!$H$67</f>
        <v>#REF!</v>
      </c>
      <c r="KE75" s="1576" t="e">
        <f>'Paso 1.1'!R70*Tiempos!$H$67</f>
        <v>#REF!</v>
      </c>
      <c r="KF75" s="1576" t="e">
        <f>'Paso 1.1'!S70*Tiempos!$H$67</f>
        <v>#REF!</v>
      </c>
      <c r="KG75" s="1576" t="e">
        <f>'Paso 1.1'!T70*Tiempos!$H$67</f>
        <v>#REF!</v>
      </c>
      <c r="KH75" s="1576" t="e">
        <f>'Paso 1.1'!U70*Tiempos!$H$67</f>
        <v>#REF!</v>
      </c>
      <c r="KI75" s="1576" t="e">
        <f>'Paso 1.1'!E70*Tiempos!$H$67</f>
        <v>#REF!</v>
      </c>
      <c r="KJ75" s="1576" t="e">
        <f>'Paso 1.1'!F70*Tiempos!$H$67</f>
        <v>#REF!</v>
      </c>
      <c r="KK75" s="1576" t="e">
        <f>'Paso 1.1'!G70*Tiempos!$H$67</f>
        <v>#REF!</v>
      </c>
      <c r="KL75" s="1576" t="e">
        <f>'Paso 1.1'!H70*Tiempos!$H$67</f>
        <v>#REF!</v>
      </c>
      <c r="KM75" s="1576" t="e">
        <f>'Paso 1.1'!I70*Tiempos!$H$67</f>
        <v>#REF!</v>
      </c>
      <c r="KN75" s="1576" t="e">
        <f>'Paso 1.1'!J70*Tiempos!$H$67</f>
        <v>#REF!</v>
      </c>
      <c r="KO75" s="1576" t="e">
        <f>'Paso 1.1'!K70*Tiempos!$H$67</f>
        <v>#REF!</v>
      </c>
      <c r="KP75" s="1576" t="e">
        <f>'Paso 1.1'!L70*Tiempos!$H$67</f>
        <v>#REF!</v>
      </c>
      <c r="KQ75" s="1576" t="e">
        <f>'Paso 1.1'!M70*Tiempos!$H$67</f>
        <v>#REF!</v>
      </c>
      <c r="KR75" s="1576" t="e">
        <f>'Paso 1.1'!N70*Tiempos!$H$67</f>
        <v>#REF!</v>
      </c>
      <c r="KS75" s="1576" t="e">
        <f>'Paso 1.1'!O70*Tiempos!$H$67</f>
        <v>#REF!</v>
      </c>
      <c r="KT75" s="1576" t="e">
        <f>'Paso 1.1'!P70*Tiempos!$H$67</f>
        <v>#REF!</v>
      </c>
      <c r="KU75" s="1576" t="e">
        <f>'Paso 1.1'!Q70*Tiempos!$H$67</f>
        <v>#REF!</v>
      </c>
      <c r="KV75" s="1576" t="e">
        <f>'Paso 1.1'!R70*Tiempos!$H$67</f>
        <v>#REF!</v>
      </c>
      <c r="KW75" s="1576" t="e">
        <f>'Paso 1.1'!S70*Tiempos!$H$67</f>
        <v>#REF!</v>
      </c>
      <c r="KX75" s="1576" t="e">
        <f>'Paso 1.1'!T70*Tiempos!$H$67</f>
        <v>#REF!</v>
      </c>
      <c r="KY75" s="1576" t="e">
        <f>'Paso 1.1'!U70*Tiempos!$H$67</f>
        <v>#REF!</v>
      </c>
      <c r="KZ75" s="1576" t="e">
        <f>'Paso 1.1'!E70*Tiempos!$H$67</f>
        <v>#REF!</v>
      </c>
      <c r="LA75" s="1576" t="e">
        <f>'Paso 1.1'!F70*Tiempos!$H$67</f>
        <v>#REF!</v>
      </c>
      <c r="LB75" s="1576" t="e">
        <f>'Paso 1.1'!G70*Tiempos!$H$67</f>
        <v>#REF!</v>
      </c>
      <c r="LC75" s="1576" t="e">
        <f>'Paso 1.1'!H70*Tiempos!$H$67</f>
        <v>#REF!</v>
      </c>
      <c r="LD75" s="1576" t="e">
        <f>'Paso 1.1'!I70*Tiempos!$H$67</f>
        <v>#REF!</v>
      </c>
      <c r="LE75" s="1576" t="e">
        <f>'Paso 1.1'!J70*Tiempos!$H$67</f>
        <v>#REF!</v>
      </c>
      <c r="LF75" s="1576" t="e">
        <f>'Paso 1.1'!K70*Tiempos!$H$67</f>
        <v>#REF!</v>
      </c>
      <c r="LG75" s="1576" t="e">
        <f>'Paso 1.1'!L70*Tiempos!$H$67</f>
        <v>#REF!</v>
      </c>
      <c r="LH75" s="1576" t="e">
        <f>'Paso 1.1'!M70*Tiempos!$H$67</f>
        <v>#REF!</v>
      </c>
      <c r="LI75" s="1576" t="e">
        <f>'Paso 1.1'!N70*Tiempos!$H$67</f>
        <v>#REF!</v>
      </c>
      <c r="LJ75" s="1576" t="e">
        <f>'Paso 1.1'!O70*Tiempos!$H$67</f>
        <v>#REF!</v>
      </c>
      <c r="LK75" s="1576" t="e">
        <f>'Paso 1.1'!P70*Tiempos!$H$67</f>
        <v>#REF!</v>
      </c>
      <c r="LL75" s="1576" t="e">
        <f>'Paso 1.1'!Q70*Tiempos!$H$67</f>
        <v>#REF!</v>
      </c>
      <c r="LM75" s="1576" t="e">
        <f>'Paso 1.1'!R70*Tiempos!$H$67</f>
        <v>#REF!</v>
      </c>
      <c r="LN75" s="1576" t="e">
        <f>'Paso 1.1'!S70*Tiempos!$H$67</f>
        <v>#REF!</v>
      </c>
      <c r="LO75" s="1576" t="e">
        <f>'Paso 1.1'!T70*Tiempos!$H$67</f>
        <v>#REF!</v>
      </c>
      <c r="LP75" s="1576" t="e">
        <f>'Paso 1.1'!U70*Tiempos!$H$67</f>
        <v>#REF!</v>
      </c>
      <c r="LQ75" s="1576" t="e">
        <f>'Paso 1.1'!E70*Tiempos!$H$67</f>
        <v>#REF!</v>
      </c>
      <c r="LR75" s="1576" t="e">
        <f>'Paso 1.1'!F70*Tiempos!$H$67</f>
        <v>#REF!</v>
      </c>
      <c r="LS75" s="1576" t="e">
        <f>'Paso 1.1'!G70*Tiempos!$H$67</f>
        <v>#REF!</v>
      </c>
      <c r="LT75" s="1576" t="e">
        <f>'Paso 1.1'!H70*Tiempos!$H$67</f>
        <v>#REF!</v>
      </c>
      <c r="LU75" s="1576" t="e">
        <f>'Paso 1.1'!I70*Tiempos!$H$67</f>
        <v>#REF!</v>
      </c>
      <c r="LV75" s="1576" t="e">
        <f>'Paso 1.1'!J70*Tiempos!$H$67</f>
        <v>#REF!</v>
      </c>
      <c r="LW75" s="1576" t="e">
        <f>'Paso 1.1'!K70*Tiempos!$H$67</f>
        <v>#REF!</v>
      </c>
      <c r="LX75" s="1576" t="e">
        <f>'Paso 1.1'!L70*Tiempos!$H$67</f>
        <v>#REF!</v>
      </c>
      <c r="LY75" s="1576" t="e">
        <f>'Paso 1.1'!M70*Tiempos!$H$67</f>
        <v>#REF!</v>
      </c>
      <c r="LZ75" s="1576" t="e">
        <f>'Paso 1.1'!N70*Tiempos!$H$67</f>
        <v>#REF!</v>
      </c>
      <c r="MA75" s="1576" t="e">
        <f>'Paso 1.1'!O70*Tiempos!$H$67</f>
        <v>#REF!</v>
      </c>
      <c r="MB75" s="1576" t="e">
        <f>'Paso 1.1'!P70*Tiempos!$H$67</f>
        <v>#REF!</v>
      </c>
      <c r="MC75" s="1576" t="e">
        <f>'Paso 1.1'!Q70*Tiempos!$H$67</f>
        <v>#REF!</v>
      </c>
      <c r="MD75" s="1576" t="e">
        <f>'Paso 1.1'!R70*Tiempos!$H$67</f>
        <v>#REF!</v>
      </c>
      <c r="ME75" s="1576" t="e">
        <f>'Paso 1.1'!S70*Tiempos!$H$67</f>
        <v>#REF!</v>
      </c>
      <c r="MF75" s="1576" t="e">
        <f>'Paso 1.1'!T70*Tiempos!$H$67</f>
        <v>#REF!</v>
      </c>
      <c r="MG75" s="1576" t="e">
        <f>'Paso 1.1'!U70*Tiempos!$H$67</f>
        <v>#REF!</v>
      </c>
      <c r="MH75" s="1576" t="e">
        <f>'Paso 1.1'!E70*Tiempos!$H$67</f>
        <v>#REF!</v>
      </c>
      <c r="MI75" s="1576" t="e">
        <f>'Paso 1.1'!F70*Tiempos!$H$67</f>
        <v>#REF!</v>
      </c>
      <c r="MJ75" s="1576" t="e">
        <f>'Paso 1.1'!G70*Tiempos!$H$67</f>
        <v>#REF!</v>
      </c>
      <c r="MK75" s="1576" t="e">
        <f>'Paso 1.1'!H70*Tiempos!$H$67</f>
        <v>#REF!</v>
      </c>
      <c r="ML75" s="1576" t="e">
        <f>'Paso 1.1'!I70*Tiempos!$H$67</f>
        <v>#REF!</v>
      </c>
      <c r="MM75" s="1576" t="e">
        <f>'Paso 1.1'!J70*Tiempos!$H$67</f>
        <v>#REF!</v>
      </c>
      <c r="MN75" s="1576" t="e">
        <f>'Paso 1.1'!K70*Tiempos!$H$67</f>
        <v>#REF!</v>
      </c>
      <c r="MO75" s="1576" t="e">
        <f>'Paso 1.1'!L70*Tiempos!$H$67</f>
        <v>#REF!</v>
      </c>
      <c r="MP75" s="1576" t="e">
        <f>'Paso 1.1'!M70*Tiempos!$H$67</f>
        <v>#REF!</v>
      </c>
      <c r="MQ75" s="1576" t="e">
        <f>'Paso 1.1'!N70*Tiempos!$H$67</f>
        <v>#REF!</v>
      </c>
      <c r="MR75" s="1576" t="e">
        <f>'Paso 1.1'!O70*Tiempos!$H$67</f>
        <v>#REF!</v>
      </c>
      <c r="MS75" s="1576" t="e">
        <f>'Paso 1.1'!P70*Tiempos!$H$67</f>
        <v>#REF!</v>
      </c>
      <c r="MT75" s="1576" t="e">
        <f>'Paso 1.1'!Q70*Tiempos!$H$67</f>
        <v>#REF!</v>
      </c>
      <c r="MU75" s="1576" t="e">
        <f>'Paso 1.1'!R70*Tiempos!$H$67</f>
        <v>#REF!</v>
      </c>
      <c r="MV75" s="1576" t="e">
        <f>'Paso 1.1'!S70*Tiempos!$H$67</f>
        <v>#REF!</v>
      </c>
      <c r="MW75" s="1576" t="e">
        <f>'Paso 1.1'!T70*Tiempos!$H$67</f>
        <v>#REF!</v>
      </c>
      <c r="MX75" s="1576" t="e">
        <f>'Paso 1.1'!U70*Tiempos!$H$67</f>
        <v>#REF!</v>
      </c>
      <c r="MY75" s="1576" t="e">
        <f>'Paso 1.1'!E70*Tiempos!$H$67</f>
        <v>#REF!</v>
      </c>
      <c r="MZ75" s="1576" t="e">
        <f>'Paso 1.1'!F70*Tiempos!$H$67</f>
        <v>#REF!</v>
      </c>
      <c r="NA75" s="1576" t="e">
        <f>'Paso 1.1'!G70*Tiempos!$H$67</f>
        <v>#REF!</v>
      </c>
      <c r="NB75" s="1576" t="e">
        <f>'Paso 1.1'!H70*Tiempos!$H$67</f>
        <v>#REF!</v>
      </c>
      <c r="NC75" s="1576" t="e">
        <f>'Paso 1.1'!I70*Tiempos!$H$67</f>
        <v>#REF!</v>
      </c>
      <c r="ND75" s="1576" t="e">
        <f>'Paso 1.1'!J70*Tiempos!$H$67</f>
        <v>#REF!</v>
      </c>
      <c r="NE75" s="1576" t="e">
        <f>'Paso 1.1'!K70*Tiempos!$H$67</f>
        <v>#REF!</v>
      </c>
      <c r="NF75" s="1576" t="e">
        <f>'Paso 1.1'!L70*Tiempos!$H$67</f>
        <v>#REF!</v>
      </c>
      <c r="NG75" s="1576" t="e">
        <f>'Paso 1.1'!M70*Tiempos!$H$67</f>
        <v>#REF!</v>
      </c>
      <c r="NH75" s="1576" t="e">
        <f>'Paso 1.1'!N70*Tiempos!$H$67</f>
        <v>#REF!</v>
      </c>
      <c r="NI75" s="1576" t="e">
        <f>'Paso 1.1'!O70*Tiempos!$H$67</f>
        <v>#REF!</v>
      </c>
      <c r="NJ75" s="1576" t="e">
        <f>'Paso 1.1'!P70*Tiempos!$H$67</f>
        <v>#REF!</v>
      </c>
      <c r="NK75" s="1576" t="e">
        <f>'Paso 1.1'!Q70*Tiempos!$H$67</f>
        <v>#REF!</v>
      </c>
      <c r="NL75" s="1576" t="e">
        <f>'Paso 1.1'!R70*Tiempos!$H$67</f>
        <v>#REF!</v>
      </c>
      <c r="NM75" s="1576" t="e">
        <f>'Paso 1.1'!S70*Tiempos!$H$67</f>
        <v>#REF!</v>
      </c>
      <c r="NN75" s="1576" t="e">
        <f>'Paso 1.1'!T70*Tiempos!$H$67</f>
        <v>#REF!</v>
      </c>
      <c r="NO75" s="1576" t="e">
        <f>'Paso 1.1'!U70*Tiempos!$H$67</f>
        <v>#REF!</v>
      </c>
      <c r="NP75" s="1578"/>
      <c r="NQ75" s="1578"/>
      <c r="NR75" s="1578"/>
      <c r="NS75" s="1576"/>
      <c r="NT75" s="1576"/>
      <c r="NU75" s="1576"/>
      <c r="NV75" s="1576"/>
      <c r="NW75" s="1576"/>
      <c r="NX75" s="1576"/>
      <c r="NY75" s="1576"/>
      <c r="NZ75" s="1576"/>
      <c r="OA75" s="1576"/>
      <c r="OB75" s="1576"/>
      <c r="OC75" s="1576"/>
      <c r="OD75" s="1576"/>
      <c r="OE75" s="1576"/>
      <c r="OF75" s="1576"/>
      <c r="OG75" s="1576"/>
      <c r="OH75" s="1576"/>
      <c r="OI75" s="1576"/>
      <c r="OJ75" s="1576"/>
      <c r="OK75" s="1576"/>
      <c r="OL75" s="1576"/>
      <c r="OM75" s="1576"/>
      <c r="ON75" s="1576"/>
      <c r="OO75" s="1576"/>
      <c r="OP75" s="1576"/>
      <c r="OQ75" s="1576"/>
      <c r="OR75" s="1576"/>
      <c r="OS75" s="1576"/>
      <c r="OT75" s="1576"/>
      <c r="OU75" s="1576"/>
      <c r="OV75" s="1576"/>
      <c r="OW75" s="1576"/>
      <c r="OX75" s="1576"/>
      <c r="OY75" s="1576"/>
      <c r="OZ75" s="1576"/>
      <c r="PA75" s="1576"/>
      <c r="PB75" s="1576"/>
      <c r="PC75" s="1576"/>
      <c r="PD75" s="1576"/>
      <c r="PE75" s="1576"/>
      <c r="PF75" s="1576"/>
      <c r="PG75" s="1576"/>
      <c r="PH75" s="1576"/>
      <c r="PI75" s="1576"/>
      <c r="PJ75" s="1576"/>
      <c r="PK75" s="1576"/>
      <c r="PL75" s="1576"/>
      <c r="PM75" s="1576"/>
      <c r="PN75" s="1576"/>
      <c r="PO75" s="1576"/>
      <c r="PP75" s="1576"/>
      <c r="PQ75" s="1576"/>
      <c r="PR75" s="1576"/>
      <c r="PS75" s="1576"/>
      <c r="PT75" s="1576"/>
      <c r="PU75" s="1576"/>
      <c r="PV75" s="1576"/>
      <c r="PW75" s="1576"/>
      <c r="PX75" s="1576"/>
      <c r="PY75" s="1576"/>
      <c r="PZ75" s="1576"/>
      <c r="QA75" s="1576"/>
      <c r="QB75" s="1576"/>
      <c r="QC75" s="1576"/>
      <c r="QD75" s="1576"/>
      <c r="QE75" s="1576"/>
      <c r="QF75" s="1576"/>
      <c r="QG75" s="1576"/>
      <c r="QH75" s="1576"/>
      <c r="QI75" s="1576"/>
      <c r="QJ75" s="1576"/>
      <c r="QK75" s="1576"/>
      <c r="QL75" s="1576"/>
      <c r="QM75" s="1576"/>
      <c r="QN75" s="1576"/>
      <c r="QO75" s="1576"/>
      <c r="QP75" s="1576"/>
      <c r="QQ75" s="1576"/>
      <c r="QR75" s="1576"/>
      <c r="QS75" s="1576"/>
      <c r="QT75" s="1576"/>
      <c r="QU75" s="1576"/>
      <c r="QV75" s="1576"/>
      <c r="QW75" s="1576"/>
      <c r="QX75" s="1576"/>
      <c r="QY75" s="1576"/>
      <c r="QZ75" s="1576"/>
      <c r="RA75" s="1576"/>
      <c r="RB75" s="1576"/>
      <c r="RC75" s="1576"/>
      <c r="RD75" s="1576"/>
      <c r="RE75" s="1576"/>
      <c r="RF75" s="1576"/>
      <c r="RG75" s="1576"/>
      <c r="RH75" s="1576"/>
      <c r="RI75" s="1576"/>
      <c r="RJ75" s="1576"/>
      <c r="RK75" s="1576"/>
      <c r="RL75" s="1576"/>
      <c r="RM75" s="1576"/>
      <c r="RN75" s="1576" t="e">
        <f>'Paso 1.1'!E70*Tiempos!$H$67</f>
        <v>#REF!</v>
      </c>
      <c r="RO75" s="1576" t="e">
        <f>'Paso 1.1'!F70*Tiempos!$H$67</f>
        <v>#REF!</v>
      </c>
      <c r="RP75" s="1576" t="e">
        <f>'Paso 1.1'!G70*Tiempos!$H$67</f>
        <v>#REF!</v>
      </c>
      <c r="RQ75" s="1576" t="e">
        <f>'Paso 1.1'!H70*Tiempos!$H$67</f>
        <v>#REF!</v>
      </c>
      <c r="RR75" s="1576" t="e">
        <f>'Paso 1.1'!I70*Tiempos!$H$67</f>
        <v>#REF!</v>
      </c>
      <c r="RS75" s="1576" t="e">
        <f>'Paso 1.1'!J70*Tiempos!$H$67</f>
        <v>#REF!</v>
      </c>
      <c r="RT75" s="1576" t="e">
        <f>'Paso 1.1'!K70*Tiempos!$H$67</f>
        <v>#REF!</v>
      </c>
      <c r="RU75" s="1576" t="e">
        <f>'Paso 1.1'!L70*Tiempos!$H$67</f>
        <v>#REF!</v>
      </c>
      <c r="RV75" s="1576" t="e">
        <f>'Paso 1.1'!M70*Tiempos!$H$67</f>
        <v>#REF!</v>
      </c>
      <c r="RW75" s="1576" t="e">
        <f>'Paso 1.1'!N70*Tiempos!$H$67</f>
        <v>#REF!</v>
      </c>
      <c r="RX75" s="1576" t="e">
        <f>'Paso 1.1'!O70*Tiempos!$H$67</f>
        <v>#REF!</v>
      </c>
      <c r="RY75" s="1576" t="e">
        <f>'Paso 1.1'!P70*Tiempos!$H$67</f>
        <v>#REF!</v>
      </c>
      <c r="RZ75" s="1576" t="e">
        <f>'Paso 1.1'!Q70*Tiempos!$H$67</f>
        <v>#REF!</v>
      </c>
      <c r="SA75" s="1576" t="e">
        <f>'Paso 1.1'!R70*Tiempos!$H$67</f>
        <v>#REF!</v>
      </c>
      <c r="SB75" s="1576" t="e">
        <f>'Paso 1.1'!S70*Tiempos!$H$67</f>
        <v>#REF!</v>
      </c>
      <c r="SC75" s="1576" t="e">
        <f>'Paso 1.1'!T70*Tiempos!$H$67</f>
        <v>#REF!</v>
      </c>
      <c r="SD75" s="1576" t="e">
        <f>'Paso 1.1'!U70*Tiempos!$H$67</f>
        <v>#REF!</v>
      </c>
      <c r="SE75" s="1576"/>
      <c r="SF75" s="1576"/>
      <c r="SG75" s="1576"/>
      <c r="SH75" s="1576"/>
      <c r="SI75" s="1576"/>
      <c r="SJ75" s="1576"/>
      <c r="SK75" s="1576"/>
      <c r="SL75" s="1576"/>
      <c r="SM75" s="1576"/>
      <c r="SN75" s="1576"/>
      <c r="SO75" s="1576"/>
      <c r="SP75" s="1576"/>
      <c r="SQ75" s="1576"/>
      <c r="SR75" s="1576"/>
      <c r="SS75" s="1576"/>
      <c r="ST75" s="1576"/>
      <c r="SU75" s="1576"/>
      <c r="SV75" s="1576"/>
      <c r="SW75" s="1576"/>
      <c r="SX75" s="1576"/>
      <c r="SY75" s="1576"/>
      <c r="SZ75" s="1576"/>
      <c r="TA75" s="1576"/>
      <c r="TB75" s="1576"/>
      <c r="TC75" s="1576"/>
      <c r="TD75" s="1576"/>
      <c r="TE75" s="1576"/>
      <c r="TF75" s="1576"/>
      <c r="TG75" s="1576"/>
      <c r="TH75" s="1576"/>
      <c r="TI75" s="1576"/>
      <c r="TJ75" s="1576"/>
      <c r="TK75" s="1576"/>
      <c r="TL75" s="1576"/>
      <c r="TM75" s="1576"/>
      <c r="TN75" s="1576"/>
      <c r="TO75" s="1576"/>
      <c r="TP75" s="1576"/>
      <c r="TQ75" s="1576"/>
      <c r="TR75" s="1576"/>
      <c r="TS75" s="1576"/>
      <c r="TT75" s="1576"/>
      <c r="TU75" s="1576"/>
      <c r="TV75" s="1576"/>
      <c r="TW75" s="1576"/>
      <c r="TX75" s="1576"/>
      <c r="TY75" s="1576"/>
      <c r="TZ75" s="1576"/>
      <c r="UA75" s="1576"/>
      <c r="UB75" s="1576"/>
      <c r="UC75" s="1576"/>
      <c r="UD75" s="1576"/>
      <c r="UE75" s="1576"/>
      <c r="UF75" s="1576"/>
      <c r="UG75" s="1576"/>
      <c r="UH75" s="1576"/>
      <c r="UI75" s="1576"/>
      <c r="UJ75" s="1576"/>
      <c r="UK75" s="1576"/>
      <c r="UL75" s="1576"/>
      <c r="UM75" s="1576"/>
      <c r="UN75" s="1576"/>
      <c r="UO75" s="1576"/>
      <c r="UP75" s="1576"/>
      <c r="UQ75" s="1576"/>
      <c r="UR75" s="1576"/>
      <c r="US75" s="1576"/>
      <c r="UT75" s="1576"/>
      <c r="UU75" s="1576"/>
      <c r="UV75" s="1576"/>
      <c r="UW75" s="1576"/>
      <c r="UX75" s="1576"/>
      <c r="UY75" s="1576"/>
      <c r="UZ75" s="1576"/>
      <c r="VA75" s="1576"/>
      <c r="VB75" s="1576"/>
      <c r="VC75" s="1576"/>
      <c r="VD75" s="1576"/>
      <c r="VE75" s="1576"/>
      <c r="VF75" s="1576"/>
      <c r="VG75" s="1576"/>
      <c r="VH75" s="1576"/>
      <c r="VI75" s="1576"/>
      <c r="VJ75" s="1576"/>
      <c r="VK75" s="1576"/>
    </row>
    <row r="76" spans="1:583" s="1296" customFormat="1" ht="27" x14ac:dyDescent="0.25">
      <c r="B76" s="2055" t="s">
        <v>1275</v>
      </c>
      <c r="C76" s="2060" t="s">
        <v>2926</v>
      </c>
      <c r="D76" s="2056" t="s">
        <v>1275</v>
      </c>
      <c r="E76" s="2060" t="s">
        <v>2926</v>
      </c>
      <c r="F76" s="2061" t="e">
        <f>SUM(F71:F75)</f>
        <v>#REF!</v>
      </c>
      <c r="G76" s="2061" t="e">
        <f t="shared" ref="G76:BR76" si="43">SUM(G71:G75)</f>
        <v>#REF!</v>
      </c>
      <c r="H76" s="2061" t="e">
        <f t="shared" si="43"/>
        <v>#REF!</v>
      </c>
      <c r="I76" s="2061" t="e">
        <f t="shared" si="43"/>
        <v>#REF!</v>
      </c>
      <c r="J76" s="2061" t="e">
        <f t="shared" si="43"/>
        <v>#REF!</v>
      </c>
      <c r="K76" s="2061" t="e">
        <f t="shared" si="43"/>
        <v>#REF!</v>
      </c>
      <c r="L76" s="2061" t="e">
        <f t="shared" si="43"/>
        <v>#REF!</v>
      </c>
      <c r="M76" s="2061" t="e">
        <f t="shared" si="43"/>
        <v>#REF!</v>
      </c>
      <c r="N76" s="2061" t="e">
        <f t="shared" si="43"/>
        <v>#REF!</v>
      </c>
      <c r="O76" s="2061" t="e">
        <f t="shared" si="43"/>
        <v>#REF!</v>
      </c>
      <c r="P76" s="2061" t="e">
        <f t="shared" si="43"/>
        <v>#REF!</v>
      </c>
      <c r="Q76" s="2061" t="e">
        <f t="shared" si="43"/>
        <v>#REF!</v>
      </c>
      <c r="R76" s="2061" t="e">
        <f t="shared" si="43"/>
        <v>#REF!</v>
      </c>
      <c r="S76" s="2061" t="e">
        <f t="shared" si="43"/>
        <v>#REF!</v>
      </c>
      <c r="T76" s="2061" t="e">
        <f t="shared" si="43"/>
        <v>#REF!</v>
      </c>
      <c r="U76" s="2061" t="e">
        <f t="shared" si="43"/>
        <v>#REF!</v>
      </c>
      <c r="V76" s="2061" t="e">
        <f t="shared" si="43"/>
        <v>#REF!</v>
      </c>
      <c r="W76" s="2061">
        <f t="shared" si="43"/>
        <v>0</v>
      </c>
      <c r="X76" s="2061">
        <f t="shared" si="43"/>
        <v>0</v>
      </c>
      <c r="Y76" s="2061">
        <f t="shared" si="43"/>
        <v>0</v>
      </c>
      <c r="Z76" s="2061">
        <f t="shared" si="43"/>
        <v>0</v>
      </c>
      <c r="AA76" s="2061">
        <f t="shared" si="43"/>
        <v>0</v>
      </c>
      <c r="AB76" s="2061">
        <f t="shared" si="43"/>
        <v>0</v>
      </c>
      <c r="AC76" s="2061">
        <f t="shared" si="43"/>
        <v>0</v>
      </c>
      <c r="AD76" s="2061">
        <f t="shared" si="43"/>
        <v>0</v>
      </c>
      <c r="AE76" s="2061">
        <f t="shared" si="43"/>
        <v>0</v>
      </c>
      <c r="AF76" s="2061">
        <f t="shared" si="43"/>
        <v>0</v>
      </c>
      <c r="AG76" s="2061">
        <f t="shared" si="43"/>
        <v>0</v>
      </c>
      <c r="AH76" s="2061">
        <f t="shared" si="43"/>
        <v>0</v>
      </c>
      <c r="AI76" s="2061">
        <f t="shared" si="43"/>
        <v>0</v>
      </c>
      <c r="AJ76" s="2061">
        <f t="shared" si="43"/>
        <v>0</v>
      </c>
      <c r="AK76" s="2061">
        <f t="shared" si="43"/>
        <v>0</v>
      </c>
      <c r="AL76" s="2061">
        <f t="shared" si="43"/>
        <v>0</v>
      </c>
      <c r="AM76" s="2061">
        <f t="shared" si="43"/>
        <v>0</v>
      </c>
      <c r="AN76" s="2061" t="e">
        <f t="shared" si="43"/>
        <v>#REF!</v>
      </c>
      <c r="AO76" s="2061" t="e">
        <f t="shared" si="43"/>
        <v>#REF!</v>
      </c>
      <c r="AP76" s="2061" t="e">
        <f t="shared" si="43"/>
        <v>#REF!</v>
      </c>
      <c r="AQ76" s="2061" t="e">
        <f t="shared" si="43"/>
        <v>#REF!</v>
      </c>
      <c r="AR76" s="2061" t="e">
        <f t="shared" si="43"/>
        <v>#REF!</v>
      </c>
      <c r="AS76" s="2061" t="e">
        <f t="shared" si="43"/>
        <v>#REF!</v>
      </c>
      <c r="AT76" s="2061" t="e">
        <f t="shared" si="43"/>
        <v>#REF!</v>
      </c>
      <c r="AU76" s="2061" t="e">
        <f t="shared" si="43"/>
        <v>#REF!</v>
      </c>
      <c r="AV76" s="2061" t="e">
        <f t="shared" si="43"/>
        <v>#REF!</v>
      </c>
      <c r="AW76" s="2061" t="e">
        <f t="shared" si="43"/>
        <v>#REF!</v>
      </c>
      <c r="AX76" s="2061" t="e">
        <f t="shared" si="43"/>
        <v>#REF!</v>
      </c>
      <c r="AY76" s="2061" t="e">
        <f t="shared" si="43"/>
        <v>#REF!</v>
      </c>
      <c r="AZ76" s="2061" t="e">
        <f t="shared" si="43"/>
        <v>#REF!</v>
      </c>
      <c r="BA76" s="2061" t="e">
        <f t="shared" si="43"/>
        <v>#REF!</v>
      </c>
      <c r="BB76" s="2061" t="e">
        <f t="shared" si="43"/>
        <v>#REF!</v>
      </c>
      <c r="BC76" s="2061" t="e">
        <f t="shared" si="43"/>
        <v>#REF!</v>
      </c>
      <c r="BD76" s="2061" t="e">
        <f t="shared" si="43"/>
        <v>#REF!</v>
      </c>
      <c r="BE76" s="2061">
        <f t="shared" si="43"/>
        <v>0</v>
      </c>
      <c r="BF76" s="2061">
        <f t="shared" si="43"/>
        <v>0</v>
      </c>
      <c r="BG76" s="2061">
        <f t="shared" si="43"/>
        <v>0</v>
      </c>
      <c r="BH76" s="2061">
        <f t="shared" si="43"/>
        <v>0</v>
      </c>
      <c r="BI76" s="2061">
        <f t="shared" si="43"/>
        <v>0</v>
      </c>
      <c r="BJ76" s="2061">
        <f t="shared" si="43"/>
        <v>0</v>
      </c>
      <c r="BK76" s="2061">
        <f t="shared" si="43"/>
        <v>0</v>
      </c>
      <c r="BL76" s="2061">
        <f t="shared" si="43"/>
        <v>0</v>
      </c>
      <c r="BM76" s="2061">
        <f t="shared" si="43"/>
        <v>0</v>
      </c>
      <c r="BN76" s="2061">
        <f t="shared" si="43"/>
        <v>0</v>
      </c>
      <c r="BO76" s="2061">
        <f t="shared" si="43"/>
        <v>0</v>
      </c>
      <c r="BP76" s="2061">
        <f t="shared" si="43"/>
        <v>0</v>
      </c>
      <c r="BQ76" s="2061">
        <f t="shared" si="43"/>
        <v>0</v>
      </c>
      <c r="BR76" s="2061">
        <f t="shared" si="43"/>
        <v>0</v>
      </c>
      <c r="BS76" s="2061">
        <f t="shared" ref="BS76:ED76" si="44">SUM(BS71:BS75)</f>
        <v>0</v>
      </c>
      <c r="BT76" s="2061">
        <f t="shared" si="44"/>
        <v>0</v>
      </c>
      <c r="BU76" s="2061">
        <f t="shared" si="44"/>
        <v>0</v>
      </c>
      <c r="BV76" s="2061" t="e">
        <f t="shared" si="44"/>
        <v>#REF!</v>
      </c>
      <c r="BW76" s="2061" t="e">
        <f t="shared" si="44"/>
        <v>#REF!</v>
      </c>
      <c r="BX76" s="2061" t="e">
        <f t="shared" si="44"/>
        <v>#REF!</v>
      </c>
      <c r="BY76" s="2061" t="e">
        <f t="shared" si="44"/>
        <v>#REF!</v>
      </c>
      <c r="BZ76" s="2061" t="e">
        <f t="shared" si="44"/>
        <v>#REF!</v>
      </c>
      <c r="CA76" s="2061" t="e">
        <f t="shared" si="44"/>
        <v>#REF!</v>
      </c>
      <c r="CB76" s="2061" t="e">
        <f t="shared" si="44"/>
        <v>#REF!</v>
      </c>
      <c r="CC76" s="2061" t="e">
        <f t="shared" si="44"/>
        <v>#REF!</v>
      </c>
      <c r="CD76" s="2061" t="e">
        <f t="shared" si="44"/>
        <v>#REF!</v>
      </c>
      <c r="CE76" s="2061" t="e">
        <f t="shared" si="44"/>
        <v>#REF!</v>
      </c>
      <c r="CF76" s="2061" t="e">
        <f t="shared" si="44"/>
        <v>#REF!</v>
      </c>
      <c r="CG76" s="2061" t="e">
        <f t="shared" si="44"/>
        <v>#REF!</v>
      </c>
      <c r="CH76" s="2061" t="e">
        <f t="shared" si="44"/>
        <v>#REF!</v>
      </c>
      <c r="CI76" s="2061" t="e">
        <f t="shared" si="44"/>
        <v>#REF!</v>
      </c>
      <c r="CJ76" s="2061" t="e">
        <f t="shared" si="44"/>
        <v>#REF!</v>
      </c>
      <c r="CK76" s="2061" t="e">
        <f t="shared" si="44"/>
        <v>#REF!</v>
      </c>
      <c r="CL76" s="2061" t="e">
        <f t="shared" si="44"/>
        <v>#REF!</v>
      </c>
      <c r="CM76" s="2061" t="e">
        <f t="shared" si="44"/>
        <v>#REF!</v>
      </c>
      <c r="CN76" s="2061" t="e">
        <f t="shared" si="44"/>
        <v>#REF!</v>
      </c>
      <c r="CO76" s="2061" t="e">
        <f t="shared" si="44"/>
        <v>#REF!</v>
      </c>
      <c r="CP76" s="2061" t="e">
        <f t="shared" si="44"/>
        <v>#REF!</v>
      </c>
      <c r="CQ76" s="2061" t="e">
        <f t="shared" si="44"/>
        <v>#REF!</v>
      </c>
      <c r="CR76" s="2061" t="e">
        <f t="shared" si="44"/>
        <v>#REF!</v>
      </c>
      <c r="CS76" s="2061" t="e">
        <f t="shared" si="44"/>
        <v>#REF!</v>
      </c>
      <c r="CT76" s="2061" t="e">
        <f t="shared" si="44"/>
        <v>#REF!</v>
      </c>
      <c r="CU76" s="2061" t="e">
        <f t="shared" si="44"/>
        <v>#REF!</v>
      </c>
      <c r="CV76" s="2061" t="e">
        <f t="shared" si="44"/>
        <v>#REF!</v>
      </c>
      <c r="CW76" s="2061" t="e">
        <f t="shared" si="44"/>
        <v>#REF!</v>
      </c>
      <c r="CX76" s="2061" t="e">
        <f t="shared" si="44"/>
        <v>#REF!</v>
      </c>
      <c r="CY76" s="2061" t="e">
        <f t="shared" si="44"/>
        <v>#REF!</v>
      </c>
      <c r="CZ76" s="2061" t="e">
        <f t="shared" si="44"/>
        <v>#REF!</v>
      </c>
      <c r="DA76" s="2061" t="e">
        <f t="shared" si="44"/>
        <v>#REF!</v>
      </c>
      <c r="DB76" s="2061" t="e">
        <f t="shared" si="44"/>
        <v>#REF!</v>
      </c>
      <c r="DC76" s="2061" t="e">
        <f t="shared" si="44"/>
        <v>#REF!</v>
      </c>
      <c r="DD76" s="2061">
        <f t="shared" si="44"/>
        <v>0</v>
      </c>
      <c r="DE76" s="2061">
        <f t="shared" si="44"/>
        <v>0</v>
      </c>
      <c r="DF76" s="2061">
        <f t="shared" si="44"/>
        <v>0</v>
      </c>
      <c r="DG76" s="2061">
        <f t="shared" si="44"/>
        <v>0</v>
      </c>
      <c r="DH76" s="2061">
        <f t="shared" si="44"/>
        <v>0</v>
      </c>
      <c r="DI76" s="2061">
        <f t="shared" si="44"/>
        <v>0</v>
      </c>
      <c r="DJ76" s="2061">
        <f t="shared" si="44"/>
        <v>0</v>
      </c>
      <c r="DK76" s="2061">
        <f t="shared" si="44"/>
        <v>0</v>
      </c>
      <c r="DL76" s="2061">
        <f t="shared" si="44"/>
        <v>0</v>
      </c>
      <c r="DM76" s="2061">
        <f t="shared" si="44"/>
        <v>0</v>
      </c>
      <c r="DN76" s="2061">
        <f t="shared" si="44"/>
        <v>0</v>
      </c>
      <c r="DO76" s="2061">
        <f t="shared" si="44"/>
        <v>0</v>
      </c>
      <c r="DP76" s="2061">
        <f t="shared" si="44"/>
        <v>0</v>
      </c>
      <c r="DQ76" s="2061">
        <f t="shared" si="44"/>
        <v>0</v>
      </c>
      <c r="DR76" s="2061">
        <f t="shared" si="44"/>
        <v>0</v>
      </c>
      <c r="DS76" s="2061">
        <f t="shared" si="44"/>
        <v>0</v>
      </c>
      <c r="DT76" s="2061">
        <f t="shared" si="44"/>
        <v>0</v>
      </c>
      <c r="DU76" s="2061">
        <f t="shared" si="44"/>
        <v>0</v>
      </c>
      <c r="DV76" s="2061">
        <f t="shared" si="44"/>
        <v>0</v>
      </c>
      <c r="DW76" s="2061">
        <f t="shared" si="44"/>
        <v>0</v>
      </c>
      <c r="DX76" s="2061">
        <f t="shared" si="44"/>
        <v>0</v>
      </c>
      <c r="DY76" s="2061">
        <f t="shared" si="44"/>
        <v>0</v>
      </c>
      <c r="DZ76" s="2061">
        <f t="shared" si="44"/>
        <v>0</v>
      </c>
      <c r="EA76" s="2061">
        <f t="shared" si="44"/>
        <v>0</v>
      </c>
      <c r="EB76" s="2061">
        <f t="shared" si="44"/>
        <v>0</v>
      </c>
      <c r="EC76" s="2061">
        <f t="shared" si="44"/>
        <v>0</v>
      </c>
      <c r="ED76" s="2061">
        <f t="shared" si="44"/>
        <v>0</v>
      </c>
      <c r="EE76" s="2061">
        <f t="shared" ref="EE76:GP76" si="45">SUM(EE71:EE75)</f>
        <v>0</v>
      </c>
      <c r="EF76" s="2061">
        <f t="shared" si="45"/>
        <v>0</v>
      </c>
      <c r="EG76" s="2061">
        <f t="shared" si="45"/>
        <v>0</v>
      </c>
      <c r="EH76" s="2061">
        <f t="shared" si="45"/>
        <v>0</v>
      </c>
      <c r="EI76" s="2061">
        <f t="shared" si="45"/>
        <v>0</v>
      </c>
      <c r="EJ76" s="2061">
        <f t="shared" si="45"/>
        <v>0</v>
      </c>
      <c r="EK76" s="2061">
        <f t="shared" si="45"/>
        <v>0</v>
      </c>
      <c r="EL76" s="2061">
        <f t="shared" si="45"/>
        <v>0</v>
      </c>
      <c r="EM76" s="2061">
        <f t="shared" si="45"/>
        <v>0</v>
      </c>
      <c r="EN76" s="2061">
        <f t="shared" si="45"/>
        <v>0</v>
      </c>
      <c r="EO76" s="2061">
        <f t="shared" si="45"/>
        <v>0</v>
      </c>
      <c r="EP76" s="2061">
        <f t="shared" si="45"/>
        <v>0</v>
      </c>
      <c r="EQ76" s="2061">
        <f t="shared" si="45"/>
        <v>0</v>
      </c>
      <c r="ER76" s="2061">
        <f t="shared" si="45"/>
        <v>0</v>
      </c>
      <c r="ES76" s="2061">
        <f t="shared" si="45"/>
        <v>0</v>
      </c>
      <c r="ET76" s="2061">
        <f t="shared" si="45"/>
        <v>0</v>
      </c>
      <c r="EU76" s="2061">
        <f t="shared" si="45"/>
        <v>0</v>
      </c>
      <c r="EV76" s="2061">
        <f t="shared" si="45"/>
        <v>0</v>
      </c>
      <c r="EW76" s="2061">
        <f t="shared" si="45"/>
        <v>0</v>
      </c>
      <c r="EX76" s="2061">
        <f t="shared" si="45"/>
        <v>0</v>
      </c>
      <c r="EY76" s="2061">
        <f t="shared" si="45"/>
        <v>0</v>
      </c>
      <c r="EZ76" s="2061">
        <f t="shared" si="45"/>
        <v>0</v>
      </c>
      <c r="FA76" s="2061">
        <f t="shared" si="45"/>
        <v>0</v>
      </c>
      <c r="FB76" s="2061">
        <f t="shared" si="45"/>
        <v>0</v>
      </c>
      <c r="FC76" s="2061">
        <f t="shared" si="45"/>
        <v>0</v>
      </c>
      <c r="FD76" s="2061">
        <f t="shared" si="45"/>
        <v>0</v>
      </c>
      <c r="FE76" s="2061">
        <f t="shared" si="45"/>
        <v>0</v>
      </c>
      <c r="FF76" s="2061">
        <f t="shared" si="45"/>
        <v>0</v>
      </c>
      <c r="FG76" s="2061">
        <f t="shared" si="45"/>
        <v>0</v>
      </c>
      <c r="FH76" s="2061">
        <f t="shared" si="45"/>
        <v>0</v>
      </c>
      <c r="FI76" s="2061">
        <f t="shared" si="45"/>
        <v>0</v>
      </c>
      <c r="FJ76" s="2061">
        <f t="shared" si="45"/>
        <v>0</v>
      </c>
      <c r="FK76" s="2061">
        <f t="shared" si="45"/>
        <v>0</v>
      </c>
      <c r="FL76" s="2061">
        <f t="shared" si="45"/>
        <v>0</v>
      </c>
      <c r="FM76" s="2061">
        <f t="shared" si="45"/>
        <v>0</v>
      </c>
      <c r="FN76" s="2061">
        <f t="shared" si="45"/>
        <v>0</v>
      </c>
      <c r="FO76" s="2061">
        <f t="shared" si="45"/>
        <v>0</v>
      </c>
      <c r="FP76" s="2061">
        <f t="shared" si="45"/>
        <v>0</v>
      </c>
      <c r="FQ76" s="2061">
        <f t="shared" si="45"/>
        <v>0</v>
      </c>
      <c r="FR76" s="2061">
        <f t="shared" si="45"/>
        <v>0</v>
      </c>
      <c r="FS76" s="2061">
        <f t="shared" si="45"/>
        <v>0</v>
      </c>
      <c r="FT76" s="2061">
        <f t="shared" si="45"/>
        <v>0</v>
      </c>
      <c r="FU76" s="2061">
        <f t="shared" si="45"/>
        <v>0</v>
      </c>
      <c r="FV76" s="2061">
        <f t="shared" si="45"/>
        <v>0</v>
      </c>
      <c r="FW76" s="2061">
        <f t="shared" si="45"/>
        <v>0</v>
      </c>
      <c r="FX76" s="2061">
        <f t="shared" si="45"/>
        <v>0</v>
      </c>
      <c r="FY76" s="2061">
        <f t="shared" si="45"/>
        <v>0</v>
      </c>
      <c r="FZ76" s="2061">
        <f t="shared" si="45"/>
        <v>0</v>
      </c>
      <c r="GA76" s="2061">
        <f t="shared" si="45"/>
        <v>0</v>
      </c>
      <c r="GB76" s="2061">
        <f t="shared" si="45"/>
        <v>0</v>
      </c>
      <c r="GC76" s="2061">
        <f t="shared" si="45"/>
        <v>0</v>
      </c>
      <c r="GD76" s="2061">
        <f t="shared" si="45"/>
        <v>0</v>
      </c>
      <c r="GE76" s="2061">
        <f t="shared" si="45"/>
        <v>0</v>
      </c>
      <c r="GF76" s="2061">
        <f t="shared" si="45"/>
        <v>0</v>
      </c>
      <c r="GG76" s="2061">
        <f t="shared" si="45"/>
        <v>0</v>
      </c>
      <c r="GH76" s="2061">
        <f t="shared" si="45"/>
        <v>0</v>
      </c>
      <c r="GI76" s="2061">
        <f t="shared" si="45"/>
        <v>0</v>
      </c>
      <c r="GJ76" s="2061">
        <f t="shared" si="45"/>
        <v>0</v>
      </c>
      <c r="GK76" s="2061">
        <f t="shared" si="45"/>
        <v>0</v>
      </c>
      <c r="GL76" s="2061">
        <f t="shared" si="45"/>
        <v>0</v>
      </c>
      <c r="GM76" s="2061">
        <f t="shared" si="45"/>
        <v>0</v>
      </c>
      <c r="GN76" s="2061">
        <f t="shared" si="45"/>
        <v>0</v>
      </c>
      <c r="GO76" s="2061">
        <f t="shared" si="45"/>
        <v>0</v>
      </c>
      <c r="GP76" s="2061">
        <f t="shared" si="45"/>
        <v>0</v>
      </c>
      <c r="GQ76" s="2061">
        <f t="shared" ref="GQ76:JB76" si="46">SUM(GQ71:GQ75)</f>
        <v>0</v>
      </c>
      <c r="GR76" s="2061">
        <f t="shared" si="46"/>
        <v>0</v>
      </c>
      <c r="GS76" s="2061">
        <f t="shared" si="46"/>
        <v>0</v>
      </c>
      <c r="GT76" s="2061">
        <f t="shared" si="46"/>
        <v>0</v>
      </c>
      <c r="GU76" s="2061">
        <f t="shared" si="46"/>
        <v>0</v>
      </c>
      <c r="GV76" s="2061">
        <f t="shared" si="46"/>
        <v>0</v>
      </c>
      <c r="GW76" s="2061">
        <f t="shared" si="46"/>
        <v>0</v>
      </c>
      <c r="GX76" s="2061">
        <f t="shared" si="46"/>
        <v>0</v>
      </c>
      <c r="GY76" s="2061">
        <f t="shared" si="46"/>
        <v>0</v>
      </c>
      <c r="GZ76" s="2061">
        <f t="shared" si="46"/>
        <v>0</v>
      </c>
      <c r="HA76" s="2061">
        <f t="shared" si="46"/>
        <v>0</v>
      </c>
      <c r="HB76" s="2061">
        <f t="shared" si="46"/>
        <v>0</v>
      </c>
      <c r="HC76" s="2061">
        <f t="shared" si="46"/>
        <v>0</v>
      </c>
      <c r="HD76" s="2061">
        <f t="shared" si="46"/>
        <v>0</v>
      </c>
      <c r="HE76" s="2061">
        <f t="shared" si="46"/>
        <v>0</v>
      </c>
      <c r="HF76" s="2061">
        <f t="shared" si="46"/>
        <v>0</v>
      </c>
      <c r="HG76" s="2061">
        <f t="shared" si="46"/>
        <v>0</v>
      </c>
      <c r="HH76" s="2061">
        <f t="shared" si="46"/>
        <v>0</v>
      </c>
      <c r="HI76" s="2061">
        <f t="shared" si="46"/>
        <v>0</v>
      </c>
      <c r="HJ76" s="2061">
        <f t="shared" si="46"/>
        <v>0</v>
      </c>
      <c r="HK76" s="2061">
        <f t="shared" si="46"/>
        <v>0</v>
      </c>
      <c r="HL76" s="2061">
        <f t="shared" si="46"/>
        <v>0</v>
      </c>
      <c r="HM76" s="2061">
        <f t="shared" si="46"/>
        <v>0</v>
      </c>
      <c r="HN76" s="2061">
        <f t="shared" si="46"/>
        <v>0</v>
      </c>
      <c r="HO76" s="2061">
        <f t="shared" si="46"/>
        <v>0</v>
      </c>
      <c r="HP76" s="2061">
        <f t="shared" si="46"/>
        <v>0</v>
      </c>
      <c r="HQ76" s="2061">
        <f t="shared" si="46"/>
        <v>0</v>
      </c>
      <c r="HR76" s="2061">
        <f t="shared" si="46"/>
        <v>0</v>
      </c>
      <c r="HS76" s="2061">
        <f t="shared" si="46"/>
        <v>0</v>
      </c>
      <c r="HT76" s="2061">
        <f t="shared" si="46"/>
        <v>0</v>
      </c>
      <c r="HU76" s="2061">
        <f t="shared" si="46"/>
        <v>0</v>
      </c>
      <c r="HV76" s="2061">
        <f t="shared" si="46"/>
        <v>0</v>
      </c>
      <c r="HW76" s="2061">
        <f t="shared" si="46"/>
        <v>0</v>
      </c>
      <c r="HX76" s="2061">
        <f t="shared" si="46"/>
        <v>0</v>
      </c>
      <c r="HY76" s="2061">
        <f t="shared" si="46"/>
        <v>0</v>
      </c>
      <c r="HZ76" s="2061">
        <f t="shared" si="46"/>
        <v>0</v>
      </c>
      <c r="IA76" s="2061">
        <f t="shared" si="46"/>
        <v>0</v>
      </c>
      <c r="IB76" s="2061">
        <f t="shared" si="46"/>
        <v>0</v>
      </c>
      <c r="IC76" s="2061">
        <f t="shared" si="46"/>
        <v>0</v>
      </c>
      <c r="ID76" s="2061">
        <f t="shared" si="46"/>
        <v>0</v>
      </c>
      <c r="IE76" s="2061">
        <f t="shared" si="46"/>
        <v>0</v>
      </c>
      <c r="IF76" s="2061">
        <f t="shared" si="46"/>
        <v>0</v>
      </c>
      <c r="IG76" s="2061">
        <f t="shared" si="46"/>
        <v>0</v>
      </c>
      <c r="IH76" s="2061">
        <f t="shared" si="46"/>
        <v>0</v>
      </c>
      <c r="II76" s="2061">
        <f t="shared" si="46"/>
        <v>0</v>
      </c>
      <c r="IJ76" s="2061">
        <f t="shared" si="46"/>
        <v>0</v>
      </c>
      <c r="IK76" s="2061">
        <f t="shared" si="46"/>
        <v>0</v>
      </c>
      <c r="IL76" s="2061">
        <f t="shared" si="46"/>
        <v>0</v>
      </c>
      <c r="IM76" s="2061">
        <f t="shared" si="46"/>
        <v>0</v>
      </c>
      <c r="IN76" s="2061">
        <f t="shared" si="46"/>
        <v>0</v>
      </c>
      <c r="IO76" s="2061">
        <f t="shared" si="46"/>
        <v>0</v>
      </c>
      <c r="IP76" s="2061">
        <f t="shared" si="46"/>
        <v>0</v>
      </c>
      <c r="IQ76" s="2061">
        <f t="shared" si="46"/>
        <v>0</v>
      </c>
      <c r="IR76" s="2061">
        <f t="shared" si="46"/>
        <v>0</v>
      </c>
      <c r="IS76" s="2061">
        <f t="shared" si="46"/>
        <v>0</v>
      </c>
      <c r="IT76" s="2061">
        <f t="shared" si="46"/>
        <v>0</v>
      </c>
      <c r="IU76" s="2061">
        <f t="shared" si="46"/>
        <v>0</v>
      </c>
      <c r="IV76" s="2061">
        <f t="shared" si="46"/>
        <v>0</v>
      </c>
      <c r="IW76" s="2061">
        <f t="shared" si="46"/>
        <v>0</v>
      </c>
      <c r="IX76" s="2061">
        <f t="shared" si="46"/>
        <v>0</v>
      </c>
      <c r="IY76" s="2061">
        <f t="shared" si="46"/>
        <v>0</v>
      </c>
      <c r="IZ76" s="2061">
        <f t="shared" si="46"/>
        <v>0</v>
      </c>
      <c r="JA76" s="2061">
        <f t="shared" si="46"/>
        <v>0</v>
      </c>
      <c r="JB76" s="2061">
        <f t="shared" si="46"/>
        <v>0</v>
      </c>
      <c r="JC76" s="2061">
        <f t="shared" ref="JC76:LN76" si="47">SUM(JC71:JC75)</f>
        <v>0</v>
      </c>
      <c r="JD76" s="2061">
        <f t="shared" si="47"/>
        <v>0</v>
      </c>
      <c r="JE76" s="2061">
        <f t="shared" si="47"/>
        <v>0</v>
      </c>
      <c r="JF76" s="2061">
        <f t="shared" si="47"/>
        <v>0</v>
      </c>
      <c r="JG76" s="2061">
        <f t="shared" si="47"/>
        <v>0</v>
      </c>
      <c r="JH76" s="2061">
        <f t="shared" si="47"/>
        <v>0</v>
      </c>
      <c r="JI76" s="2061">
        <f t="shared" si="47"/>
        <v>0</v>
      </c>
      <c r="JJ76" s="2061">
        <f t="shared" si="47"/>
        <v>0</v>
      </c>
      <c r="JK76" s="2061">
        <f t="shared" si="47"/>
        <v>0</v>
      </c>
      <c r="JL76" s="2061">
        <f t="shared" si="47"/>
        <v>0</v>
      </c>
      <c r="JM76" s="2061">
        <f t="shared" si="47"/>
        <v>0</v>
      </c>
      <c r="JN76" s="2061">
        <f t="shared" si="47"/>
        <v>0</v>
      </c>
      <c r="JO76" s="2061">
        <f t="shared" si="47"/>
        <v>0</v>
      </c>
      <c r="JP76" s="2061">
        <f t="shared" si="47"/>
        <v>0</v>
      </c>
      <c r="JQ76" s="2061">
        <f t="shared" si="47"/>
        <v>0</v>
      </c>
      <c r="JR76" s="2061" t="e">
        <f t="shared" si="47"/>
        <v>#REF!</v>
      </c>
      <c r="JS76" s="2061" t="e">
        <f t="shared" si="47"/>
        <v>#REF!</v>
      </c>
      <c r="JT76" s="2061" t="e">
        <f t="shared" si="47"/>
        <v>#REF!</v>
      </c>
      <c r="JU76" s="2061" t="e">
        <f t="shared" si="47"/>
        <v>#REF!</v>
      </c>
      <c r="JV76" s="2061" t="e">
        <f t="shared" si="47"/>
        <v>#REF!</v>
      </c>
      <c r="JW76" s="2061" t="e">
        <f t="shared" si="47"/>
        <v>#REF!</v>
      </c>
      <c r="JX76" s="2061" t="e">
        <f t="shared" si="47"/>
        <v>#REF!</v>
      </c>
      <c r="JY76" s="2061" t="e">
        <f t="shared" si="47"/>
        <v>#REF!</v>
      </c>
      <c r="JZ76" s="2061" t="e">
        <f t="shared" si="47"/>
        <v>#REF!</v>
      </c>
      <c r="KA76" s="2061" t="e">
        <f t="shared" si="47"/>
        <v>#REF!</v>
      </c>
      <c r="KB76" s="2061" t="e">
        <f t="shared" si="47"/>
        <v>#REF!</v>
      </c>
      <c r="KC76" s="2061" t="e">
        <f t="shared" si="47"/>
        <v>#REF!</v>
      </c>
      <c r="KD76" s="2061" t="e">
        <f t="shared" si="47"/>
        <v>#REF!</v>
      </c>
      <c r="KE76" s="2061" t="e">
        <f t="shared" si="47"/>
        <v>#REF!</v>
      </c>
      <c r="KF76" s="2061" t="e">
        <f t="shared" si="47"/>
        <v>#REF!</v>
      </c>
      <c r="KG76" s="2061" t="e">
        <f t="shared" si="47"/>
        <v>#REF!</v>
      </c>
      <c r="KH76" s="2061" t="e">
        <f t="shared" si="47"/>
        <v>#REF!</v>
      </c>
      <c r="KI76" s="2061" t="e">
        <f t="shared" si="47"/>
        <v>#REF!</v>
      </c>
      <c r="KJ76" s="2061" t="e">
        <f t="shared" si="47"/>
        <v>#REF!</v>
      </c>
      <c r="KK76" s="2061" t="e">
        <f t="shared" si="47"/>
        <v>#REF!</v>
      </c>
      <c r="KL76" s="2061" t="e">
        <f t="shared" si="47"/>
        <v>#REF!</v>
      </c>
      <c r="KM76" s="2061" t="e">
        <f t="shared" si="47"/>
        <v>#REF!</v>
      </c>
      <c r="KN76" s="2061" t="e">
        <f t="shared" si="47"/>
        <v>#REF!</v>
      </c>
      <c r="KO76" s="2061" t="e">
        <f t="shared" si="47"/>
        <v>#REF!</v>
      </c>
      <c r="KP76" s="2061" t="e">
        <f t="shared" si="47"/>
        <v>#REF!</v>
      </c>
      <c r="KQ76" s="2061" t="e">
        <f t="shared" si="47"/>
        <v>#REF!</v>
      </c>
      <c r="KR76" s="2061" t="e">
        <f t="shared" si="47"/>
        <v>#REF!</v>
      </c>
      <c r="KS76" s="2061" t="e">
        <f t="shared" si="47"/>
        <v>#REF!</v>
      </c>
      <c r="KT76" s="2061" t="e">
        <f t="shared" si="47"/>
        <v>#REF!</v>
      </c>
      <c r="KU76" s="2061" t="e">
        <f t="shared" si="47"/>
        <v>#REF!</v>
      </c>
      <c r="KV76" s="2061" t="e">
        <f t="shared" si="47"/>
        <v>#REF!</v>
      </c>
      <c r="KW76" s="2061" t="e">
        <f t="shared" si="47"/>
        <v>#REF!</v>
      </c>
      <c r="KX76" s="2061" t="e">
        <f t="shared" si="47"/>
        <v>#REF!</v>
      </c>
      <c r="KY76" s="2061" t="e">
        <f t="shared" si="47"/>
        <v>#REF!</v>
      </c>
      <c r="KZ76" s="2061" t="e">
        <f t="shared" si="47"/>
        <v>#REF!</v>
      </c>
      <c r="LA76" s="2061" t="e">
        <f t="shared" si="47"/>
        <v>#REF!</v>
      </c>
      <c r="LB76" s="2061" t="e">
        <f t="shared" si="47"/>
        <v>#REF!</v>
      </c>
      <c r="LC76" s="2061" t="e">
        <f t="shared" si="47"/>
        <v>#REF!</v>
      </c>
      <c r="LD76" s="2061" t="e">
        <f t="shared" si="47"/>
        <v>#REF!</v>
      </c>
      <c r="LE76" s="2061" t="e">
        <f t="shared" si="47"/>
        <v>#REF!</v>
      </c>
      <c r="LF76" s="2061" t="e">
        <f t="shared" si="47"/>
        <v>#REF!</v>
      </c>
      <c r="LG76" s="2061" t="e">
        <f t="shared" si="47"/>
        <v>#REF!</v>
      </c>
      <c r="LH76" s="2061" t="e">
        <f t="shared" si="47"/>
        <v>#REF!</v>
      </c>
      <c r="LI76" s="2061" t="e">
        <f t="shared" si="47"/>
        <v>#REF!</v>
      </c>
      <c r="LJ76" s="2061" t="e">
        <f t="shared" si="47"/>
        <v>#REF!</v>
      </c>
      <c r="LK76" s="2061" t="e">
        <f t="shared" si="47"/>
        <v>#REF!</v>
      </c>
      <c r="LL76" s="2061" t="e">
        <f t="shared" si="47"/>
        <v>#REF!</v>
      </c>
      <c r="LM76" s="2061" t="e">
        <f t="shared" si="47"/>
        <v>#REF!</v>
      </c>
      <c r="LN76" s="2061" t="e">
        <f t="shared" si="47"/>
        <v>#REF!</v>
      </c>
      <c r="LO76" s="2061" t="e">
        <f t="shared" ref="LO76:NZ76" si="48">SUM(LO71:LO75)</f>
        <v>#REF!</v>
      </c>
      <c r="LP76" s="2061" t="e">
        <f t="shared" si="48"/>
        <v>#REF!</v>
      </c>
      <c r="LQ76" s="2061" t="e">
        <f t="shared" si="48"/>
        <v>#REF!</v>
      </c>
      <c r="LR76" s="2061" t="e">
        <f t="shared" si="48"/>
        <v>#REF!</v>
      </c>
      <c r="LS76" s="2061" t="e">
        <f t="shared" si="48"/>
        <v>#REF!</v>
      </c>
      <c r="LT76" s="2061" t="e">
        <f t="shared" si="48"/>
        <v>#REF!</v>
      </c>
      <c r="LU76" s="2061" t="e">
        <f t="shared" si="48"/>
        <v>#REF!</v>
      </c>
      <c r="LV76" s="2061" t="e">
        <f t="shared" si="48"/>
        <v>#REF!</v>
      </c>
      <c r="LW76" s="2061" t="e">
        <f t="shared" si="48"/>
        <v>#REF!</v>
      </c>
      <c r="LX76" s="2061" t="e">
        <f t="shared" si="48"/>
        <v>#REF!</v>
      </c>
      <c r="LY76" s="2061" t="e">
        <f t="shared" si="48"/>
        <v>#REF!</v>
      </c>
      <c r="LZ76" s="2061" t="e">
        <f t="shared" si="48"/>
        <v>#REF!</v>
      </c>
      <c r="MA76" s="2061" t="e">
        <f t="shared" si="48"/>
        <v>#REF!</v>
      </c>
      <c r="MB76" s="2061" t="e">
        <f t="shared" si="48"/>
        <v>#REF!</v>
      </c>
      <c r="MC76" s="2061" t="e">
        <f t="shared" si="48"/>
        <v>#REF!</v>
      </c>
      <c r="MD76" s="2061" t="e">
        <f t="shared" si="48"/>
        <v>#REF!</v>
      </c>
      <c r="ME76" s="2061" t="e">
        <f t="shared" si="48"/>
        <v>#REF!</v>
      </c>
      <c r="MF76" s="2061" t="e">
        <f t="shared" si="48"/>
        <v>#REF!</v>
      </c>
      <c r="MG76" s="2061" t="e">
        <f t="shared" si="48"/>
        <v>#REF!</v>
      </c>
      <c r="MH76" s="2061" t="e">
        <f t="shared" si="48"/>
        <v>#REF!</v>
      </c>
      <c r="MI76" s="2061" t="e">
        <f t="shared" si="48"/>
        <v>#REF!</v>
      </c>
      <c r="MJ76" s="2061" t="e">
        <f t="shared" si="48"/>
        <v>#REF!</v>
      </c>
      <c r="MK76" s="2061" t="e">
        <f t="shared" si="48"/>
        <v>#REF!</v>
      </c>
      <c r="ML76" s="2061" t="e">
        <f t="shared" si="48"/>
        <v>#REF!</v>
      </c>
      <c r="MM76" s="2061" t="e">
        <f t="shared" si="48"/>
        <v>#REF!</v>
      </c>
      <c r="MN76" s="2061" t="e">
        <f t="shared" si="48"/>
        <v>#REF!</v>
      </c>
      <c r="MO76" s="2061" t="e">
        <f t="shared" si="48"/>
        <v>#REF!</v>
      </c>
      <c r="MP76" s="2061" t="e">
        <f t="shared" si="48"/>
        <v>#REF!</v>
      </c>
      <c r="MQ76" s="2061" t="e">
        <f t="shared" si="48"/>
        <v>#REF!</v>
      </c>
      <c r="MR76" s="2061" t="e">
        <f t="shared" si="48"/>
        <v>#REF!</v>
      </c>
      <c r="MS76" s="2061" t="e">
        <f t="shared" si="48"/>
        <v>#REF!</v>
      </c>
      <c r="MT76" s="2061" t="e">
        <f t="shared" si="48"/>
        <v>#REF!</v>
      </c>
      <c r="MU76" s="2061" t="e">
        <f t="shared" si="48"/>
        <v>#REF!</v>
      </c>
      <c r="MV76" s="2061" t="e">
        <f t="shared" si="48"/>
        <v>#REF!</v>
      </c>
      <c r="MW76" s="2061" t="e">
        <f t="shared" si="48"/>
        <v>#REF!</v>
      </c>
      <c r="MX76" s="2061" t="e">
        <f t="shared" si="48"/>
        <v>#REF!</v>
      </c>
      <c r="MY76" s="2061" t="e">
        <f t="shared" si="48"/>
        <v>#REF!</v>
      </c>
      <c r="MZ76" s="2061" t="e">
        <f t="shared" si="48"/>
        <v>#REF!</v>
      </c>
      <c r="NA76" s="2061" t="e">
        <f t="shared" si="48"/>
        <v>#REF!</v>
      </c>
      <c r="NB76" s="2061" t="e">
        <f t="shared" si="48"/>
        <v>#REF!</v>
      </c>
      <c r="NC76" s="2061" t="e">
        <f t="shared" si="48"/>
        <v>#REF!</v>
      </c>
      <c r="ND76" s="2061" t="e">
        <f t="shared" si="48"/>
        <v>#REF!</v>
      </c>
      <c r="NE76" s="2061" t="e">
        <f t="shared" si="48"/>
        <v>#REF!</v>
      </c>
      <c r="NF76" s="2061" t="e">
        <f t="shared" si="48"/>
        <v>#REF!</v>
      </c>
      <c r="NG76" s="2061" t="e">
        <f t="shared" si="48"/>
        <v>#REF!</v>
      </c>
      <c r="NH76" s="2061" t="e">
        <f t="shared" si="48"/>
        <v>#REF!</v>
      </c>
      <c r="NI76" s="2061" t="e">
        <f t="shared" si="48"/>
        <v>#REF!</v>
      </c>
      <c r="NJ76" s="2061" t="e">
        <f t="shared" si="48"/>
        <v>#REF!</v>
      </c>
      <c r="NK76" s="2061" t="e">
        <f t="shared" si="48"/>
        <v>#REF!</v>
      </c>
      <c r="NL76" s="2061" t="e">
        <f t="shared" si="48"/>
        <v>#REF!</v>
      </c>
      <c r="NM76" s="2061" t="e">
        <f t="shared" si="48"/>
        <v>#REF!</v>
      </c>
      <c r="NN76" s="2061" t="e">
        <f t="shared" si="48"/>
        <v>#REF!</v>
      </c>
      <c r="NO76" s="2061" t="e">
        <f t="shared" si="48"/>
        <v>#REF!</v>
      </c>
      <c r="NP76" s="2061">
        <f t="shared" si="48"/>
        <v>0</v>
      </c>
      <c r="NQ76" s="2061">
        <f t="shared" si="48"/>
        <v>0</v>
      </c>
      <c r="NR76" s="2061">
        <f t="shared" si="48"/>
        <v>0</v>
      </c>
      <c r="NS76" s="2061">
        <f t="shared" si="48"/>
        <v>0</v>
      </c>
      <c r="NT76" s="2061">
        <f t="shared" si="48"/>
        <v>0</v>
      </c>
      <c r="NU76" s="2061">
        <f t="shared" si="48"/>
        <v>0</v>
      </c>
      <c r="NV76" s="2061">
        <f t="shared" si="48"/>
        <v>0</v>
      </c>
      <c r="NW76" s="2061">
        <f t="shared" si="48"/>
        <v>0</v>
      </c>
      <c r="NX76" s="2061">
        <f t="shared" si="48"/>
        <v>0</v>
      </c>
      <c r="NY76" s="2061">
        <f t="shared" si="48"/>
        <v>0</v>
      </c>
      <c r="NZ76" s="2061">
        <f t="shared" si="48"/>
        <v>0</v>
      </c>
      <c r="OA76" s="2061">
        <f t="shared" ref="OA76:QL76" si="49">SUM(OA71:OA75)</f>
        <v>0</v>
      </c>
      <c r="OB76" s="2061">
        <f t="shared" si="49"/>
        <v>0</v>
      </c>
      <c r="OC76" s="2061">
        <f t="shared" si="49"/>
        <v>0</v>
      </c>
      <c r="OD76" s="2061">
        <f t="shared" si="49"/>
        <v>0</v>
      </c>
      <c r="OE76" s="2061">
        <f t="shared" si="49"/>
        <v>0</v>
      </c>
      <c r="OF76" s="2061">
        <f t="shared" si="49"/>
        <v>0</v>
      </c>
      <c r="OG76" s="2061">
        <f t="shared" si="49"/>
        <v>0</v>
      </c>
      <c r="OH76" s="2061">
        <f t="shared" si="49"/>
        <v>0</v>
      </c>
      <c r="OI76" s="2061">
        <f t="shared" si="49"/>
        <v>0</v>
      </c>
      <c r="OJ76" s="2061">
        <f t="shared" si="49"/>
        <v>0</v>
      </c>
      <c r="OK76" s="2061">
        <f t="shared" si="49"/>
        <v>0</v>
      </c>
      <c r="OL76" s="2061">
        <f t="shared" si="49"/>
        <v>0</v>
      </c>
      <c r="OM76" s="2061">
        <f t="shared" si="49"/>
        <v>0</v>
      </c>
      <c r="ON76" s="2061">
        <f t="shared" si="49"/>
        <v>0</v>
      </c>
      <c r="OO76" s="2061">
        <f t="shared" si="49"/>
        <v>0</v>
      </c>
      <c r="OP76" s="2061">
        <f t="shared" si="49"/>
        <v>0</v>
      </c>
      <c r="OQ76" s="2061">
        <f t="shared" si="49"/>
        <v>0</v>
      </c>
      <c r="OR76" s="2061">
        <f t="shared" si="49"/>
        <v>0</v>
      </c>
      <c r="OS76" s="2061">
        <f t="shared" si="49"/>
        <v>0</v>
      </c>
      <c r="OT76" s="2061">
        <f t="shared" si="49"/>
        <v>0</v>
      </c>
      <c r="OU76" s="2061">
        <f t="shared" si="49"/>
        <v>0</v>
      </c>
      <c r="OV76" s="2061">
        <f t="shared" si="49"/>
        <v>0</v>
      </c>
      <c r="OW76" s="2061">
        <f t="shared" si="49"/>
        <v>0</v>
      </c>
      <c r="OX76" s="2061">
        <f t="shared" si="49"/>
        <v>0</v>
      </c>
      <c r="OY76" s="2061">
        <f t="shared" si="49"/>
        <v>0</v>
      </c>
      <c r="OZ76" s="2061">
        <f t="shared" si="49"/>
        <v>0</v>
      </c>
      <c r="PA76" s="2061">
        <f t="shared" si="49"/>
        <v>0</v>
      </c>
      <c r="PB76" s="2061">
        <f t="shared" si="49"/>
        <v>0</v>
      </c>
      <c r="PC76" s="2061">
        <f t="shared" si="49"/>
        <v>0</v>
      </c>
      <c r="PD76" s="2061">
        <f t="shared" si="49"/>
        <v>0</v>
      </c>
      <c r="PE76" s="2061">
        <f t="shared" si="49"/>
        <v>0</v>
      </c>
      <c r="PF76" s="2061">
        <f t="shared" si="49"/>
        <v>0</v>
      </c>
      <c r="PG76" s="2061">
        <f t="shared" si="49"/>
        <v>0</v>
      </c>
      <c r="PH76" s="2061">
        <f t="shared" si="49"/>
        <v>0</v>
      </c>
      <c r="PI76" s="2061">
        <f t="shared" si="49"/>
        <v>0</v>
      </c>
      <c r="PJ76" s="2061">
        <f t="shared" si="49"/>
        <v>0</v>
      </c>
      <c r="PK76" s="2061">
        <f t="shared" si="49"/>
        <v>0</v>
      </c>
      <c r="PL76" s="2061">
        <f t="shared" si="49"/>
        <v>0</v>
      </c>
      <c r="PM76" s="2061">
        <f t="shared" si="49"/>
        <v>0</v>
      </c>
      <c r="PN76" s="2061">
        <f t="shared" si="49"/>
        <v>0</v>
      </c>
      <c r="PO76" s="2061">
        <f t="shared" si="49"/>
        <v>0</v>
      </c>
      <c r="PP76" s="2061">
        <f t="shared" si="49"/>
        <v>0</v>
      </c>
      <c r="PQ76" s="2061">
        <f t="shared" si="49"/>
        <v>0</v>
      </c>
      <c r="PR76" s="2061">
        <f t="shared" si="49"/>
        <v>0</v>
      </c>
      <c r="PS76" s="2061">
        <f t="shared" si="49"/>
        <v>0</v>
      </c>
      <c r="PT76" s="2061">
        <f t="shared" si="49"/>
        <v>0</v>
      </c>
      <c r="PU76" s="2061">
        <f t="shared" si="49"/>
        <v>0</v>
      </c>
      <c r="PV76" s="2061">
        <f t="shared" si="49"/>
        <v>0</v>
      </c>
      <c r="PW76" s="2061">
        <f t="shared" si="49"/>
        <v>0</v>
      </c>
      <c r="PX76" s="2061">
        <f t="shared" si="49"/>
        <v>0</v>
      </c>
      <c r="PY76" s="2061">
        <f t="shared" si="49"/>
        <v>0</v>
      </c>
      <c r="PZ76" s="2061">
        <f t="shared" si="49"/>
        <v>0</v>
      </c>
      <c r="QA76" s="2061">
        <f t="shared" si="49"/>
        <v>0</v>
      </c>
      <c r="QB76" s="2061">
        <f t="shared" si="49"/>
        <v>0</v>
      </c>
      <c r="QC76" s="2061">
        <f t="shared" si="49"/>
        <v>0</v>
      </c>
      <c r="QD76" s="2061">
        <f t="shared" si="49"/>
        <v>0</v>
      </c>
      <c r="QE76" s="2061">
        <f t="shared" si="49"/>
        <v>0</v>
      </c>
      <c r="QF76" s="2061">
        <f t="shared" si="49"/>
        <v>0</v>
      </c>
      <c r="QG76" s="2061">
        <f t="shared" si="49"/>
        <v>0</v>
      </c>
      <c r="QH76" s="2061">
        <f t="shared" si="49"/>
        <v>0</v>
      </c>
      <c r="QI76" s="2061">
        <f t="shared" si="49"/>
        <v>0</v>
      </c>
      <c r="QJ76" s="2061">
        <f t="shared" si="49"/>
        <v>0</v>
      </c>
      <c r="QK76" s="2061">
        <f t="shared" si="49"/>
        <v>0</v>
      </c>
      <c r="QL76" s="2061">
        <f t="shared" si="49"/>
        <v>0</v>
      </c>
      <c r="QM76" s="2061">
        <f t="shared" ref="QM76:SX76" si="50">SUM(QM71:QM75)</f>
        <v>0</v>
      </c>
      <c r="QN76" s="2061">
        <f t="shared" si="50"/>
        <v>0</v>
      </c>
      <c r="QO76" s="2061">
        <f t="shared" si="50"/>
        <v>0</v>
      </c>
      <c r="QP76" s="2061">
        <f t="shared" si="50"/>
        <v>0</v>
      </c>
      <c r="QQ76" s="2061">
        <f t="shared" si="50"/>
        <v>0</v>
      </c>
      <c r="QR76" s="2061">
        <f t="shared" si="50"/>
        <v>0</v>
      </c>
      <c r="QS76" s="2061">
        <f t="shared" si="50"/>
        <v>0</v>
      </c>
      <c r="QT76" s="2061">
        <f t="shared" si="50"/>
        <v>0</v>
      </c>
      <c r="QU76" s="2061">
        <f t="shared" si="50"/>
        <v>0</v>
      </c>
      <c r="QV76" s="2061">
        <f t="shared" si="50"/>
        <v>0</v>
      </c>
      <c r="QW76" s="2061">
        <f t="shared" si="50"/>
        <v>0</v>
      </c>
      <c r="QX76" s="2061">
        <f t="shared" si="50"/>
        <v>0</v>
      </c>
      <c r="QY76" s="2061">
        <f t="shared" si="50"/>
        <v>0</v>
      </c>
      <c r="QZ76" s="2061">
        <f t="shared" si="50"/>
        <v>0</v>
      </c>
      <c r="RA76" s="2061">
        <f t="shared" si="50"/>
        <v>0</v>
      </c>
      <c r="RB76" s="2061">
        <f t="shared" si="50"/>
        <v>0</v>
      </c>
      <c r="RC76" s="2061">
        <f t="shared" si="50"/>
        <v>0</v>
      </c>
      <c r="RD76" s="2061">
        <f t="shared" si="50"/>
        <v>0</v>
      </c>
      <c r="RE76" s="2061">
        <f t="shared" si="50"/>
        <v>0</v>
      </c>
      <c r="RF76" s="2061">
        <f t="shared" si="50"/>
        <v>0</v>
      </c>
      <c r="RG76" s="2061">
        <f t="shared" si="50"/>
        <v>0</v>
      </c>
      <c r="RH76" s="2061">
        <f t="shared" si="50"/>
        <v>0</v>
      </c>
      <c r="RI76" s="2061">
        <f t="shared" si="50"/>
        <v>0</v>
      </c>
      <c r="RJ76" s="2061">
        <f t="shared" si="50"/>
        <v>0</v>
      </c>
      <c r="RK76" s="2061">
        <f t="shared" si="50"/>
        <v>0</v>
      </c>
      <c r="RL76" s="2061">
        <f t="shared" si="50"/>
        <v>0</v>
      </c>
      <c r="RM76" s="2061">
        <f t="shared" si="50"/>
        <v>0</v>
      </c>
      <c r="RN76" s="2061" t="e">
        <f t="shared" si="50"/>
        <v>#REF!</v>
      </c>
      <c r="RO76" s="2061" t="e">
        <f t="shared" si="50"/>
        <v>#REF!</v>
      </c>
      <c r="RP76" s="2061" t="e">
        <f t="shared" si="50"/>
        <v>#REF!</v>
      </c>
      <c r="RQ76" s="2061" t="e">
        <f t="shared" si="50"/>
        <v>#REF!</v>
      </c>
      <c r="RR76" s="2061" t="e">
        <f t="shared" si="50"/>
        <v>#REF!</v>
      </c>
      <c r="RS76" s="2061" t="e">
        <f t="shared" si="50"/>
        <v>#REF!</v>
      </c>
      <c r="RT76" s="2061" t="e">
        <f t="shared" si="50"/>
        <v>#REF!</v>
      </c>
      <c r="RU76" s="2061" t="e">
        <f t="shared" si="50"/>
        <v>#REF!</v>
      </c>
      <c r="RV76" s="2061" t="e">
        <f t="shared" si="50"/>
        <v>#REF!</v>
      </c>
      <c r="RW76" s="2061" t="e">
        <f t="shared" si="50"/>
        <v>#REF!</v>
      </c>
      <c r="RX76" s="2061" t="e">
        <f t="shared" si="50"/>
        <v>#REF!</v>
      </c>
      <c r="RY76" s="2061" t="e">
        <f t="shared" si="50"/>
        <v>#REF!</v>
      </c>
      <c r="RZ76" s="2061" t="e">
        <f t="shared" si="50"/>
        <v>#REF!</v>
      </c>
      <c r="SA76" s="2061" t="e">
        <f t="shared" si="50"/>
        <v>#REF!</v>
      </c>
      <c r="SB76" s="2061" t="e">
        <f t="shared" si="50"/>
        <v>#REF!</v>
      </c>
      <c r="SC76" s="2061" t="e">
        <f t="shared" si="50"/>
        <v>#REF!</v>
      </c>
      <c r="SD76" s="2061" t="e">
        <f t="shared" si="50"/>
        <v>#REF!</v>
      </c>
      <c r="SE76" s="2061">
        <f t="shared" si="50"/>
        <v>0</v>
      </c>
      <c r="SF76" s="2061">
        <f t="shared" si="50"/>
        <v>0</v>
      </c>
      <c r="SG76" s="2061">
        <f t="shared" si="50"/>
        <v>0</v>
      </c>
      <c r="SH76" s="2061">
        <f t="shared" si="50"/>
        <v>0</v>
      </c>
      <c r="SI76" s="2061">
        <f t="shared" si="50"/>
        <v>0</v>
      </c>
      <c r="SJ76" s="2061">
        <f t="shared" si="50"/>
        <v>0</v>
      </c>
      <c r="SK76" s="2061">
        <f t="shared" si="50"/>
        <v>0</v>
      </c>
      <c r="SL76" s="2061">
        <f t="shared" si="50"/>
        <v>0</v>
      </c>
      <c r="SM76" s="2061">
        <f t="shared" si="50"/>
        <v>0</v>
      </c>
      <c r="SN76" s="2061">
        <f t="shared" si="50"/>
        <v>0</v>
      </c>
      <c r="SO76" s="2061">
        <f t="shared" si="50"/>
        <v>0</v>
      </c>
      <c r="SP76" s="2061">
        <f t="shared" si="50"/>
        <v>0</v>
      </c>
      <c r="SQ76" s="2061">
        <f t="shared" si="50"/>
        <v>0</v>
      </c>
      <c r="SR76" s="2061">
        <f t="shared" si="50"/>
        <v>0</v>
      </c>
      <c r="SS76" s="2061">
        <f t="shared" si="50"/>
        <v>0</v>
      </c>
      <c r="ST76" s="2061">
        <f t="shared" si="50"/>
        <v>0</v>
      </c>
      <c r="SU76" s="2061">
        <f t="shared" si="50"/>
        <v>0</v>
      </c>
      <c r="SV76" s="2061">
        <f t="shared" si="50"/>
        <v>0</v>
      </c>
      <c r="SW76" s="2061">
        <f t="shared" si="50"/>
        <v>0</v>
      </c>
      <c r="SX76" s="2061">
        <f t="shared" si="50"/>
        <v>0</v>
      </c>
      <c r="SY76" s="2061">
        <f t="shared" ref="SY76:VJ76" si="51">SUM(SY71:SY75)</f>
        <v>0</v>
      </c>
      <c r="SZ76" s="2061">
        <f t="shared" si="51"/>
        <v>0</v>
      </c>
      <c r="TA76" s="2061">
        <f t="shared" si="51"/>
        <v>0</v>
      </c>
      <c r="TB76" s="2061">
        <f t="shared" si="51"/>
        <v>0</v>
      </c>
      <c r="TC76" s="2061">
        <f t="shared" si="51"/>
        <v>0</v>
      </c>
      <c r="TD76" s="2061">
        <f t="shared" si="51"/>
        <v>0</v>
      </c>
      <c r="TE76" s="2061">
        <f t="shared" si="51"/>
        <v>0</v>
      </c>
      <c r="TF76" s="2061">
        <f t="shared" si="51"/>
        <v>0</v>
      </c>
      <c r="TG76" s="2061">
        <f t="shared" si="51"/>
        <v>0</v>
      </c>
      <c r="TH76" s="2061">
        <f t="shared" si="51"/>
        <v>0</v>
      </c>
      <c r="TI76" s="2061">
        <f t="shared" si="51"/>
        <v>0</v>
      </c>
      <c r="TJ76" s="2061">
        <f t="shared" si="51"/>
        <v>0</v>
      </c>
      <c r="TK76" s="2061">
        <f t="shared" si="51"/>
        <v>0</v>
      </c>
      <c r="TL76" s="2061">
        <f t="shared" si="51"/>
        <v>0</v>
      </c>
      <c r="TM76" s="2061">
        <f t="shared" si="51"/>
        <v>0</v>
      </c>
      <c r="TN76" s="2061">
        <f t="shared" si="51"/>
        <v>0</v>
      </c>
      <c r="TO76" s="2061">
        <f t="shared" si="51"/>
        <v>0</v>
      </c>
      <c r="TP76" s="2061">
        <f t="shared" si="51"/>
        <v>0</v>
      </c>
      <c r="TQ76" s="2061">
        <f t="shared" si="51"/>
        <v>0</v>
      </c>
      <c r="TR76" s="2061">
        <f t="shared" si="51"/>
        <v>0</v>
      </c>
      <c r="TS76" s="2061">
        <f t="shared" si="51"/>
        <v>0</v>
      </c>
      <c r="TT76" s="2061">
        <f t="shared" si="51"/>
        <v>0</v>
      </c>
      <c r="TU76" s="2061">
        <f t="shared" si="51"/>
        <v>0</v>
      </c>
      <c r="TV76" s="2061">
        <f t="shared" si="51"/>
        <v>0</v>
      </c>
      <c r="TW76" s="2061">
        <f t="shared" si="51"/>
        <v>0</v>
      </c>
      <c r="TX76" s="2061">
        <f t="shared" si="51"/>
        <v>0</v>
      </c>
      <c r="TY76" s="2061">
        <f t="shared" si="51"/>
        <v>0</v>
      </c>
      <c r="TZ76" s="2061">
        <f t="shared" si="51"/>
        <v>0</v>
      </c>
      <c r="UA76" s="2061">
        <f t="shared" si="51"/>
        <v>0</v>
      </c>
      <c r="UB76" s="2061">
        <f t="shared" si="51"/>
        <v>0</v>
      </c>
      <c r="UC76" s="2061">
        <f t="shared" si="51"/>
        <v>0</v>
      </c>
      <c r="UD76" s="2061">
        <f t="shared" si="51"/>
        <v>0</v>
      </c>
      <c r="UE76" s="2061">
        <f t="shared" si="51"/>
        <v>0</v>
      </c>
      <c r="UF76" s="2061">
        <f t="shared" si="51"/>
        <v>0</v>
      </c>
      <c r="UG76" s="2061">
        <f t="shared" si="51"/>
        <v>0</v>
      </c>
      <c r="UH76" s="2061">
        <f t="shared" si="51"/>
        <v>0</v>
      </c>
      <c r="UI76" s="2061">
        <f t="shared" si="51"/>
        <v>0</v>
      </c>
      <c r="UJ76" s="2061">
        <f t="shared" si="51"/>
        <v>0</v>
      </c>
      <c r="UK76" s="2061">
        <f t="shared" si="51"/>
        <v>0</v>
      </c>
      <c r="UL76" s="2061">
        <f t="shared" si="51"/>
        <v>0</v>
      </c>
      <c r="UM76" s="2061">
        <f t="shared" si="51"/>
        <v>0</v>
      </c>
      <c r="UN76" s="2061">
        <f t="shared" si="51"/>
        <v>0</v>
      </c>
      <c r="UO76" s="2061">
        <f t="shared" si="51"/>
        <v>0</v>
      </c>
      <c r="UP76" s="2061">
        <f t="shared" si="51"/>
        <v>0</v>
      </c>
      <c r="UQ76" s="2061">
        <f t="shared" si="51"/>
        <v>0</v>
      </c>
      <c r="UR76" s="2061">
        <f t="shared" si="51"/>
        <v>0</v>
      </c>
      <c r="US76" s="2061">
        <f t="shared" si="51"/>
        <v>0</v>
      </c>
      <c r="UT76" s="2061">
        <f t="shared" si="51"/>
        <v>0</v>
      </c>
      <c r="UU76" s="2061">
        <f t="shared" si="51"/>
        <v>0</v>
      </c>
      <c r="UV76" s="2061">
        <f t="shared" si="51"/>
        <v>0</v>
      </c>
      <c r="UW76" s="2061">
        <f t="shared" si="51"/>
        <v>0</v>
      </c>
      <c r="UX76" s="2061">
        <f t="shared" si="51"/>
        <v>0</v>
      </c>
      <c r="UY76" s="2061">
        <f t="shared" si="51"/>
        <v>0</v>
      </c>
      <c r="UZ76" s="2061">
        <f t="shared" si="51"/>
        <v>0</v>
      </c>
      <c r="VA76" s="2061">
        <f t="shared" si="51"/>
        <v>0</v>
      </c>
      <c r="VB76" s="2061">
        <f t="shared" si="51"/>
        <v>0</v>
      </c>
      <c r="VC76" s="2061">
        <f t="shared" si="51"/>
        <v>0</v>
      </c>
      <c r="VD76" s="2061">
        <f t="shared" si="51"/>
        <v>0</v>
      </c>
      <c r="VE76" s="2061">
        <f t="shared" si="51"/>
        <v>0</v>
      </c>
      <c r="VF76" s="2061">
        <f t="shared" si="51"/>
        <v>0</v>
      </c>
      <c r="VG76" s="2061">
        <f t="shared" si="51"/>
        <v>0</v>
      </c>
      <c r="VH76" s="2061">
        <f t="shared" si="51"/>
        <v>0</v>
      </c>
      <c r="VI76" s="2061">
        <f t="shared" si="51"/>
        <v>0</v>
      </c>
      <c r="VJ76" s="2061">
        <f t="shared" si="51"/>
        <v>0</v>
      </c>
      <c r="VK76" s="2061">
        <f>SUM(VK71:VK75)</f>
        <v>0</v>
      </c>
    </row>
    <row r="77" spans="1:583" s="1584" customFormat="1" x14ac:dyDescent="0.25">
      <c r="A77" s="2075" t="s">
        <v>3831</v>
      </c>
      <c r="B77" s="4709" t="s">
        <v>2927</v>
      </c>
      <c r="C77" s="4709"/>
      <c r="D77" s="4709" t="s">
        <v>2927</v>
      </c>
      <c r="E77" s="4709"/>
      <c r="F77" s="1577"/>
      <c r="G77" s="1577"/>
      <c r="H77" s="1577"/>
      <c r="I77" s="1577"/>
      <c r="J77" s="1577"/>
      <c r="K77" s="1577"/>
      <c r="L77" s="1577"/>
      <c r="M77" s="1577"/>
      <c r="N77" s="1577"/>
      <c r="O77" s="1577"/>
      <c r="P77" s="1577"/>
      <c r="Q77" s="1577"/>
      <c r="R77" s="1577"/>
      <c r="S77" s="1577"/>
      <c r="T77" s="1577"/>
      <c r="U77" s="1577"/>
      <c r="V77" s="1577"/>
      <c r="W77" s="1577"/>
      <c r="X77" s="1577"/>
      <c r="Y77" s="1577"/>
      <c r="Z77" s="1577"/>
      <c r="AA77" s="1577"/>
      <c r="AB77" s="1577"/>
      <c r="AC77" s="1577"/>
      <c r="AD77" s="1577"/>
      <c r="AE77" s="1577"/>
      <c r="AF77" s="1577"/>
      <c r="AG77" s="1577"/>
      <c r="AH77" s="1577"/>
      <c r="AI77" s="1577"/>
      <c r="AJ77" s="1577"/>
      <c r="AK77" s="1577"/>
      <c r="AL77" s="1577"/>
      <c r="AM77" s="1577"/>
      <c r="AN77" s="1577"/>
      <c r="AO77" s="1577"/>
      <c r="AP77" s="1577"/>
      <c r="AQ77" s="1577"/>
      <c r="AR77" s="1577"/>
      <c r="AS77" s="1577"/>
      <c r="AT77" s="1577"/>
      <c r="AU77" s="1577"/>
      <c r="AV77" s="1577"/>
      <c r="AW77" s="1577"/>
      <c r="AX77" s="1577"/>
      <c r="AY77" s="1577"/>
      <c r="AZ77" s="1577"/>
      <c r="BA77" s="1577"/>
      <c r="BB77" s="1577"/>
      <c r="BC77" s="1577"/>
      <c r="BD77" s="1577"/>
      <c r="BE77" s="1577"/>
      <c r="BF77" s="1577"/>
      <c r="BG77" s="1577"/>
      <c r="BH77" s="1577"/>
      <c r="BI77" s="1577"/>
      <c r="BJ77" s="1577"/>
      <c r="BK77" s="1577"/>
      <c r="BL77" s="1577"/>
      <c r="BM77" s="1577"/>
      <c r="BN77" s="1577"/>
      <c r="BO77" s="1577"/>
      <c r="BP77" s="1577"/>
      <c r="BQ77" s="1577"/>
      <c r="BR77" s="1577"/>
      <c r="BS77" s="1577"/>
      <c r="BT77" s="1577"/>
      <c r="BU77" s="1577"/>
      <c r="BV77" s="1577"/>
      <c r="BW77" s="1577"/>
      <c r="BX77" s="1577"/>
      <c r="BY77" s="1577"/>
      <c r="BZ77" s="1577"/>
      <c r="CA77" s="1577"/>
      <c r="CB77" s="1577"/>
      <c r="CC77" s="1577"/>
      <c r="CD77" s="1577"/>
      <c r="CE77" s="1577"/>
      <c r="CF77" s="1577"/>
      <c r="CG77" s="1577"/>
      <c r="CH77" s="1577"/>
      <c r="CI77" s="1577"/>
      <c r="CJ77" s="1577"/>
      <c r="CK77" s="1577"/>
      <c r="CL77" s="1577"/>
      <c r="CM77" s="1577"/>
      <c r="CN77" s="1577"/>
      <c r="CO77" s="1577"/>
      <c r="CP77" s="1577"/>
      <c r="CQ77" s="1577"/>
      <c r="CR77" s="1577"/>
      <c r="CS77" s="1577"/>
      <c r="CT77" s="1577"/>
      <c r="CU77" s="1577"/>
      <c r="CV77" s="1577"/>
      <c r="CW77" s="1577"/>
      <c r="CX77" s="1577"/>
      <c r="CY77" s="1577"/>
      <c r="CZ77" s="1577"/>
      <c r="DA77" s="1577"/>
      <c r="DB77" s="1577"/>
      <c r="DC77" s="1577"/>
      <c r="DD77" s="1577"/>
      <c r="DE77" s="1577"/>
      <c r="DF77" s="1577"/>
      <c r="DG77" s="1577"/>
      <c r="DH77" s="1577"/>
      <c r="DI77" s="1577"/>
      <c r="DJ77" s="1577"/>
      <c r="DK77" s="1577"/>
      <c r="DL77" s="1577"/>
      <c r="DM77" s="1577"/>
      <c r="DN77" s="1577"/>
      <c r="DO77" s="1577"/>
      <c r="DP77" s="1577"/>
      <c r="DQ77" s="1577"/>
      <c r="DR77" s="1577"/>
      <c r="DS77" s="1577"/>
      <c r="DT77" s="1577"/>
      <c r="DU77" s="1577"/>
      <c r="DV77" s="1577"/>
      <c r="DW77" s="1577"/>
      <c r="DX77" s="1577"/>
      <c r="DY77" s="1577"/>
      <c r="DZ77" s="1577"/>
      <c r="EA77" s="1577"/>
      <c r="EB77" s="1577"/>
      <c r="EC77" s="1577"/>
      <c r="ED77" s="1577"/>
      <c r="EE77" s="1577"/>
      <c r="EF77" s="1577"/>
      <c r="EG77" s="1577"/>
      <c r="EH77" s="1577"/>
      <c r="EI77" s="1577"/>
      <c r="EJ77" s="1577"/>
      <c r="EK77" s="1577"/>
      <c r="EL77" s="1577"/>
      <c r="EM77" s="1577"/>
      <c r="EN77" s="1577"/>
      <c r="EO77" s="1577"/>
      <c r="EP77" s="1577"/>
      <c r="EQ77" s="1577"/>
      <c r="ER77" s="1577"/>
      <c r="ES77" s="1577"/>
      <c r="ET77" s="1577"/>
      <c r="EU77" s="1577"/>
      <c r="EV77" s="1577"/>
      <c r="EW77" s="1577"/>
      <c r="EX77" s="1577"/>
      <c r="EY77" s="1577"/>
      <c r="EZ77" s="1577"/>
      <c r="FA77" s="1577"/>
      <c r="FB77" s="1577"/>
      <c r="FC77" s="1577"/>
      <c r="FD77" s="1577"/>
      <c r="FE77" s="1577"/>
      <c r="FF77" s="1577"/>
      <c r="FG77" s="1577"/>
      <c r="FH77" s="1577"/>
      <c r="FI77" s="1577"/>
      <c r="FJ77" s="1577"/>
      <c r="FK77" s="1577"/>
      <c r="FL77" s="1577"/>
      <c r="FM77" s="1577"/>
      <c r="FN77" s="1577"/>
      <c r="FO77" s="1577"/>
      <c r="FP77" s="1577"/>
      <c r="FQ77" s="1577"/>
      <c r="FR77" s="1577"/>
      <c r="FS77" s="1577"/>
      <c r="FT77" s="1577"/>
      <c r="FU77" s="1577"/>
      <c r="FV77" s="1577"/>
      <c r="FW77" s="1577"/>
      <c r="FX77" s="1577"/>
      <c r="FY77" s="1577"/>
      <c r="FZ77" s="1577"/>
      <c r="GA77" s="1577"/>
      <c r="GB77" s="1577"/>
      <c r="GC77" s="1577"/>
      <c r="GD77" s="1577"/>
      <c r="GE77" s="1577"/>
      <c r="GF77" s="1577"/>
      <c r="GG77" s="1577"/>
      <c r="GH77" s="1577"/>
      <c r="GI77" s="1577"/>
      <c r="GJ77" s="1577"/>
      <c r="GK77" s="1577"/>
      <c r="GL77" s="1577"/>
      <c r="GM77" s="1577"/>
      <c r="GN77" s="1577"/>
      <c r="GO77" s="1577"/>
      <c r="GP77" s="1577"/>
      <c r="GQ77" s="1577"/>
      <c r="GR77" s="1577"/>
      <c r="GS77" s="1577"/>
      <c r="GT77" s="1577"/>
      <c r="GU77" s="1577"/>
      <c r="GV77" s="1577"/>
      <c r="GW77" s="1577"/>
      <c r="GX77" s="1577"/>
      <c r="GY77" s="1577"/>
      <c r="GZ77" s="1577"/>
      <c r="HA77" s="1577"/>
      <c r="HB77" s="1577"/>
      <c r="HC77" s="1577"/>
      <c r="HD77" s="1577"/>
      <c r="HE77" s="1577"/>
      <c r="HF77" s="1577"/>
      <c r="HG77" s="1577"/>
      <c r="HH77" s="1577"/>
      <c r="HI77" s="1577"/>
      <c r="HJ77" s="1577"/>
      <c r="HK77" s="1577"/>
      <c r="HL77" s="1577"/>
      <c r="HM77" s="1577"/>
      <c r="HN77" s="1577"/>
      <c r="HO77" s="1577"/>
      <c r="HP77" s="1577"/>
      <c r="HQ77" s="1577"/>
      <c r="HR77" s="1577"/>
      <c r="HS77" s="1577"/>
      <c r="HT77" s="1577"/>
      <c r="HU77" s="1577"/>
      <c r="HV77" s="1577"/>
      <c r="HW77" s="1577"/>
      <c r="HX77" s="1577"/>
      <c r="HY77" s="1577"/>
      <c r="HZ77" s="1577"/>
      <c r="IA77" s="1577"/>
      <c r="IB77" s="1577"/>
      <c r="IC77" s="1577"/>
      <c r="ID77" s="1577"/>
      <c r="IE77" s="1577"/>
      <c r="IF77" s="1577"/>
      <c r="IG77" s="1577"/>
      <c r="IH77" s="1577"/>
      <c r="II77" s="1577"/>
      <c r="IJ77" s="1577"/>
      <c r="IK77" s="1577"/>
      <c r="IL77" s="1577"/>
      <c r="IM77" s="1577"/>
      <c r="IN77" s="1577"/>
      <c r="IO77" s="1577"/>
      <c r="IP77" s="1577"/>
      <c r="IQ77" s="1577"/>
      <c r="IR77" s="1577"/>
      <c r="IS77" s="1577"/>
      <c r="IT77" s="1577"/>
      <c r="IU77" s="1577"/>
      <c r="IV77" s="1577"/>
      <c r="IW77" s="1577"/>
      <c r="IX77" s="1577"/>
      <c r="IY77" s="1577"/>
      <c r="IZ77" s="1577"/>
      <c r="JA77" s="1574"/>
      <c r="JB77" s="1574"/>
      <c r="JC77" s="1574"/>
      <c r="JD77" s="1574"/>
      <c r="JE77" s="1574"/>
      <c r="JF77" s="1574"/>
      <c r="JG77" s="1574"/>
      <c r="JH77" s="1574"/>
      <c r="JI77" s="1574"/>
      <c r="JJ77" s="1574"/>
      <c r="JK77" s="1574"/>
      <c r="JL77" s="1574"/>
      <c r="JM77" s="1574"/>
      <c r="JN77" s="1574"/>
      <c r="JO77" s="1574"/>
      <c r="JP77" s="1574"/>
      <c r="JQ77" s="1574"/>
      <c r="JR77" s="1577"/>
      <c r="JS77" s="1577"/>
      <c r="JT77" s="1577"/>
      <c r="JU77" s="1577"/>
      <c r="JV77" s="1577"/>
      <c r="JW77" s="1577"/>
      <c r="JX77" s="1577"/>
      <c r="JY77" s="1577"/>
      <c r="JZ77" s="1577"/>
      <c r="KA77" s="1577"/>
      <c r="KB77" s="1577"/>
      <c r="KC77" s="1577"/>
      <c r="KD77" s="1577"/>
      <c r="KE77" s="1577"/>
      <c r="KF77" s="1577"/>
      <c r="KG77" s="1577"/>
      <c r="KH77" s="1577"/>
      <c r="KI77" s="1577"/>
      <c r="KJ77" s="1577"/>
      <c r="KK77" s="1577"/>
      <c r="KL77" s="1577"/>
      <c r="KM77" s="1577"/>
      <c r="KN77" s="1577"/>
      <c r="KO77" s="1577"/>
      <c r="KP77" s="1577"/>
      <c r="KQ77" s="1577"/>
      <c r="KR77" s="1577"/>
      <c r="KS77" s="1577"/>
      <c r="KT77" s="1577"/>
      <c r="KU77" s="1577"/>
      <c r="KV77" s="1577"/>
      <c r="KW77" s="1577"/>
      <c r="KX77" s="1577"/>
      <c r="KY77" s="1577"/>
      <c r="KZ77" s="1577"/>
      <c r="LA77" s="1577"/>
      <c r="LB77" s="1577"/>
      <c r="LC77" s="1577"/>
      <c r="LD77" s="1577"/>
      <c r="LE77" s="1577"/>
      <c r="LF77" s="1577"/>
      <c r="LG77" s="1577"/>
      <c r="LH77" s="1577"/>
      <c r="LI77" s="1577"/>
      <c r="LJ77" s="1577"/>
      <c r="LK77" s="1577"/>
      <c r="LL77" s="1577"/>
      <c r="LM77" s="1577"/>
      <c r="LN77" s="1577"/>
      <c r="LO77" s="1577"/>
      <c r="LP77" s="1577"/>
      <c r="LQ77" s="1577"/>
      <c r="LR77" s="1577"/>
      <c r="LS77" s="1577"/>
      <c r="LT77" s="1577"/>
      <c r="LU77" s="1577"/>
      <c r="LV77" s="1577"/>
      <c r="LW77" s="1577"/>
      <c r="LX77" s="1577"/>
      <c r="LY77" s="1577"/>
      <c r="LZ77" s="1577"/>
      <c r="MA77" s="1577"/>
      <c r="MB77" s="1577"/>
      <c r="MC77" s="1577"/>
      <c r="MD77" s="1577"/>
      <c r="ME77" s="1577"/>
      <c r="MF77" s="1577"/>
      <c r="MG77" s="1577"/>
      <c r="MH77" s="1577"/>
      <c r="MI77" s="1577"/>
      <c r="MJ77" s="1577"/>
      <c r="MK77" s="1577"/>
      <c r="ML77" s="1577"/>
      <c r="MM77" s="1577"/>
      <c r="MN77" s="1577"/>
      <c r="MO77" s="1577"/>
      <c r="MP77" s="1577"/>
      <c r="MQ77" s="1577"/>
      <c r="MR77" s="1577"/>
      <c r="MS77" s="1577"/>
      <c r="MT77" s="1577"/>
      <c r="MU77" s="1577"/>
      <c r="MV77" s="1577"/>
      <c r="MW77" s="1577"/>
      <c r="MX77" s="1577"/>
      <c r="MY77" s="1577" t="e">
        <f>+MY94</f>
        <v>#DIV/0!</v>
      </c>
      <c r="MZ77" s="1577" t="e">
        <f t="shared" ref="MZ77:PK77" si="52">+MZ94</f>
        <v>#DIV/0!</v>
      </c>
      <c r="NA77" s="1577" t="e">
        <f t="shared" si="52"/>
        <v>#DIV/0!</v>
      </c>
      <c r="NB77" s="1577" t="e">
        <f t="shared" si="52"/>
        <v>#DIV/0!</v>
      </c>
      <c r="NC77" s="1577" t="e">
        <f t="shared" si="52"/>
        <v>#DIV/0!</v>
      </c>
      <c r="ND77" s="1577" t="e">
        <f t="shared" si="52"/>
        <v>#DIV/0!</v>
      </c>
      <c r="NE77" s="1577" t="e">
        <f t="shared" si="52"/>
        <v>#DIV/0!</v>
      </c>
      <c r="NF77" s="1577" t="e">
        <f t="shared" si="52"/>
        <v>#DIV/0!</v>
      </c>
      <c r="NG77" s="1577" t="e">
        <f t="shared" si="52"/>
        <v>#DIV/0!</v>
      </c>
      <c r="NH77" s="1577" t="e">
        <f t="shared" si="52"/>
        <v>#DIV/0!</v>
      </c>
      <c r="NI77" s="1577" t="e">
        <f t="shared" si="52"/>
        <v>#DIV/0!</v>
      </c>
      <c r="NJ77" s="1577" t="e">
        <f t="shared" si="52"/>
        <v>#DIV/0!</v>
      </c>
      <c r="NK77" s="1577" t="e">
        <f t="shared" si="52"/>
        <v>#DIV/0!</v>
      </c>
      <c r="NL77" s="1577" t="e">
        <f t="shared" si="52"/>
        <v>#DIV/0!</v>
      </c>
      <c r="NM77" s="1577" t="e">
        <f t="shared" si="52"/>
        <v>#DIV/0!</v>
      </c>
      <c r="NN77" s="1577" t="e">
        <f t="shared" si="52"/>
        <v>#DIV/0!</v>
      </c>
      <c r="NO77" s="1577" t="e">
        <f t="shared" si="52"/>
        <v>#DIV/0!</v>
      </c>
      <c r="NP77" s="1577">
        <f t="shared" si="52"/>
        <v>8760</v>
      </c>
      <c r="NQ77" s="1577">
        <f t="shared" si="52"/>
        <v>8760</v>
      </c>
      <c r="NR77" s="1577">
        <f t="shared" si="52"/>
        <v>8760</v>
      </c>
      <c r="NS77" s="1577">
        <f t="shared" si="52"/>
        <v>8760</v>
      </c>
      <c r="NT77" s="1577">
        <f t="shared" si="52"/>
        <v>8760</v>
      </c>
      <c r="NU77" s="1577">
        <f t="shared" si="52"/>
        <v>8760</v>
      </c>
      <c r="NV77" s="1577">
        <f t="shared" si="52"/>
        <v>8760</v>
      </c>
      <c r="NW77" s="1577">
        <f t="shared" si="52"/>
        <v>8760</v>
      </c>
      <c r="NX77" s="1577">
        <f t="shared" si="52"/>
        <v>8760</v>
      </c>
      <c r="NY77" s="1577">
        <f t="shared" si="52"/>
        <v>8760</v>
      </c>
      <c r="NZ77" s="1577">
        <f t="shared" si="52"/>
        <v>8760</v>
      </c>
      <c r="OA77" s="1577">
        <f t="shared" si="52"/>
        <v>8760</v>
      </c>
      <c r="OB77" s="1577">
        <f t="shared" si="52"/>
        <v>8760</v>
      </c>
      <c r="OC77" s="1577">
        <f t="shared" si="52"/>
        <v>8760</v>
      </c>
      <c r="OD77" s="1577">
        <f t="shared" si="52"/>
        <v>8760</v>
      </c>
      <c r="OE77" s="1577">
        <f t="shared" si="52"/>
        <v>8760</v>
      </c>
      <c r="OF77" s="1577">
        <f t="shared" si="52"/>
        <v>8760</v>
      </c>
      <c r="OG77" s="1577">
        <f t="shared" si="52"/>
        <v>8760</v>
      </c>
      <c r="OH77" s="1577">
        <f t="shared" si="52"/>
        <v>8760</v>
      </c>
      <c r="OI77" s="1577">
        <f t="shared" si="52"/>
        <v>8760</v>
      </c>
      <c r="OJ77" s="1577">
        <f t="shared" si="52"/>
        <v>8760</v>
      </c>
      <c r="OK77" s="1577">
        <f t="shared" si="52"/>
        <v>8760</v>
      </c>
      <c r="OL77" s="1577">
        <f t="shared" si="52"/>
        <v>8760</v>
      </c>
      <c r="OM77" s="1577">
        <f t="shared" si="52"/>
        <v>8760</v>
      </c>
      <c r="ON77" s="1577">
        <f t="shared" si="52"/>
        <v>8760</v>
      </c>
      <c r="OO77" s="1577">
        <f t="shared" si="52"/>
        <v>8760</v>
      </c>
      <c r="OP77" s="1577">
        <f t="shared" si="52"/>
        <v>8760</v>
      </c>
      <c r="OQ77" s="1577">
        <f t="shared" si="52"/>
        <v>8760</v>
      </c>
      <c r="OR77" s="1577">
        <f t="shared" si="52"/>
        <v>8760</v>
      </c>
      <c r="OS77" s="1577">
        <f t="shared" si="52"/>
        <v>8760</v>
      </c>
      <c r="OT77" s="1577">
        <f t="shared" si="52"/>
        <v>8760</v>
      </c>
      <c r="OU77" s="1577">
        <f t="shared" si="52"/>
        <v>8760</v>
      </c>
      <c r="OV77" s="1577">
        <f t="shared" si="52"/>
        <v>8760</v>
      </c>
      <c r="OW77" s="1577">
        <f t="shared" si="52"/>
        <v>8760</v>
      </c>
      <c r="OX77" s="1577">
        <f t="shared" si="52"/>
        <v>8760</v>
      </c>
      <c r="OY77" s="1577">
        <f t="shared" si="52"/>
        <v>8760</v>
      </c>
      <c r="OZ77" s="1577">
        <f t="shared" si="52"/>
        <v>8760</v>
      </c>
      <c r="PA77" s="1577">
        <f t="shared" si="52"/>
        <v>8760</v>
      </c>
      <c r="PB77" s="1577">
        <f t="shared" si="52"/>
        <v>8760</v>
      </c>
      <c r="PC77" s="1577">
        <f t="shared" si="52"/>
        <v>8760</v>
      </c>
      <c r="PD77" s="1577">
        <f t="shared" si="52"/>
        <v>8760</v>
      </c>
      <c r="PE77" s="1577">
        <f t="shared" si="52"/>
        <v>8760</v>
      </c>
      <c r="PF77" s="1577">
        <f t="shared" si="52"/>
        <v>8760</v>
      </c>
      <c r="PG77" s="1577">
        <f t="shared" si="52"/>
        <v>8760</v>
      </c>
      <c r="PH77" s="1577">
        <f t="shared" si="52"/>
        <v>8760</v>
      </c>
      <c r="PI77" s="1577">
        <f t="shared" si="52"/>
        <v>8760</v>
      </c>
      <c r="PJ77" s="1577">
        <f t="shared" si="52"/>
        <v>8760</v>
      </c>
      <c r="PK77" s="1577">
        <f t="shared" si="52"/>
        <v>8760</v>
      </c>
      <c r="PL77" s="1577">
        <f t="shared" ref="PL77:RW77" si="53">+PL94</f>
        <v>8760</v>
      </c>
      <c r="PM77" s="1577">
        <f t="shared" si="53"/>
        <v>8760</v>
      </c>
      <c r="PN77" s="1577">
        <f t="shared" si="53"/>
        <v>8760</v>
      </c>
      <c r="PO77" s="1577">
        <f t="shared" si="53"/>
        <v>8760</v>
      </c>
      <c r="PP77" s="1577">
        <f t="shared" si="53"/>
        <v>8760</v>
      </c>
      <c r="PQ77" s="1577">
        <f t="shared" si="53"/>
        <v>8760</v>
      </c>
      <c r="PR77" s="1577">
        <f t="shared" si="53"/>
        <v>8760</v>
      </c>
      <c r="PS77" s="1577">
        <f t="shared" si="53"/>
        <v>8760</v>
      </c>
      <c r="PT77" s="1577">
        <f t="shared" si="53"/>
        <v>8760</v>
      </c>
      <c r="PU77" s="1577">
        <f t="shared" si="53"/>
        <v>8760</v>
      </c>
      <c r="PV77" s="1577">
        <f t="shared" si="53"/>
        <v>8760</v>
      </c>
      <c r="PW77" s="1577">
        <f t="shared" si="53"/>
        <v>8760</v>
      </c>
      <c r="PX77" s="1577">
        <f t="shared" si="53"/>
        <v>8760</v>
      </c>
      <c r="PY77" s="1577">
        <f t="shared" si="53"/>
        <v>8760</v>
      </c>
      <c r="PZ77" s="1577">
        <f t="shared" si="53"/>
        <v>8760</v>
      </c>
      <c r="QA77" s="1577">
        <f t="shared" si="53"/>
        <v>8760</v>
      </c>
      <c r="QB77" s="1577">
        <f t="shared" si="53"/>
        <v>8760</v>
      </c>
      <c r="QC77" s="1577">
        <f t="shared" si="53"/>
        <v>8760</v>
      </c>
      <c r="QD77" s="1577">
        <f t="shared" si="53"/>
        <v>8760</v>
      </c>
      <c r="QE77" s="1577">
        <f t="shared" si="53"/>
        <v>8760</v>
      </c>
      <c r="QF77" s="1577">
        <f t="shared" si="53"/>
        <v>8760</v>
      </c>
      <c r="QG77" s="1577">
        <f t="shared" si="53"/>
        <v>8760</v>
      </c>
      <c r="QH77" s="1577">
        <f t="shared" si="53"/>
        <v>8760</v>
      </c>
      <c r="QI77" s="1577">
        <f t="shared" si="53"/>
        <v>8760</v>
      </c>
      <c r="QJ77" s="1577">
        <f t="shared" si="53"/>
        <v>8760</v>
      </c>
      <c r="QK77" s="1577">
        <f t="shared" si="53"/>
        <v>8760</v>
      </c>
      <c r="QL77" s="1577">
        <f t="shared" si="53"/>
        <v>8760</v>
      </c>
      <c r="QM77" s="1577">
        <f t="shared" si="53"/>
        <v>8760</v>
      </c>
      <c r="QN77" s="1577">
        <f t="shared" si="53"/>
        <v>8760</v>
      </c>
      <c r="QO77" s="1577">
        <f t="shared" si="53"/>
        <v>8760</v>
      </c>
      <c r="QP77" s="1577">
        <f t="shared" si="53"/>
        <v>8760</v>
      </c>
      <c r="QQ77" s="1577">
        <f t="shared" si="53"/>
        <v>8760</v>
      </c>
      <c r="QR77" s="1577">
        <f t="shared" si="53"/>
        <v>8760</v>
      </c>
      <c r="QS77" s="1577">
        <f t="shared" si="53"/>
        <v>8760</v>
      </c>
      <c r="QT77" s="1577">
        <f t="shared" si="53"/>
        <v>8760</v>
      </c>
      <c r="QU77" s="1577">
        <f t="shared" si="53"/>
        <v>8760</v>
      </c>
      <c r="QV77" s="1577">
        <f t="shared" si="53"/>
        <v>8760</v>
      </c>
      <c r="QW77" s="1577">
        <f t="shared" si="53"/>
        <v>8760</v>
      </c>
      <c r="QX77" s="1577">
        <f t="shared" si="53"/>
        <v>8760</v>
      </c>
      <c r="QY77" s="1577">
        <f t="shared" si="53"/>
        <v>8760</v>
      </c>
      <c r="QZ77" s="1577">
        <f t="shared" si="53"/>
        <v>8760</v>
      </c>
      <c r="RA77" s="1577">
        <f t="shared" si="53"/>
        <v>8760</v>
      </c>
      <c r="RB77" s="1577">
        <f t="shared" si="53"/>
        <v>8760</v>
      </c>
      <c r="RC77" s="1577">
        <f t="shared" si="53"/>
        <v>8760</v>
      </c>
      <c r="RD77" s="1577">
        <f t="shared" si="53"/>
        <v>8760</v>
      </c>
      <c r="RE77" s="1577">
        <f t="shared" si="53"/>
        <v>8760</v>
      </c>
      <c r="RF77" s="1577">
        <f t="shared" si="53"/>
        <v>8760</v>
      </c>
      <c r="RG77" s="1577">
        <f t="shared" si="53"/>
        <v>8760</v>
      </c>
      <c r="RH77" s="1577">
        <f t="shared" si="53"/>
        <v>8760</v>
      </c>
      <c r="RI77" s="1577">
        <f t="shared" si="53"/>
        <v>8760</v>
      </c>
      <c r="RJ77" s="1577">
        <f t="shared" si="53"/>
        <v>8760</v>
      </c>
      <c r="RK77" s="1577">
        <f t="shared" si="53"/>
        <v>8760</v>
      </c>
      <c r="RL77" s="1577">
        <f t="shared" si="53"/>
        <v>8760</v>
      </c>
      <c r="RM77" s="1577">
        <f t="shared" si="53"/>
        <v>8760</v>
      </c>
      <c r="RN77" s="1577">
        <f t="shared" si="53"/>
        <v>8760</v>
      </c>
      <c r="RO77" s="1577">
        <f t="shared" si="53"/>
        <v>8760</v>
      </c>
      <c r="RP77" s="1577">
        <f t="shared" si="53"/>
        <v>8760</v>
      </c>
      <c r="RQ77" s="1577">
        <f t="shared" si="53"/>
        <v>8760</v>
      </c>
      <c r="RR77" s="1577">
        <f t="shared" si="53"/>
        <v>8760</v>
      </c>
      <c r="RS77" s="1577">
        <f t="shared" si="53"/>
        <v>8760</v>
      </c>
      <c r="RT77" s="1577">
        <f t="shared" si="53"/>
        <v>8760</v>
      </c>
      <c r="RU77" s="1577">
        <f t="shared" si="53"/>
        <v>8760</v>
      </c>
      <c r="RV77" s="1577">
        <f t="shared" si="53"/>
        <v>8760</v>
      </c>
      <c r="RW77" s="1577">
        <f t="shared" si="53"/>
        <v>8760</v>
      </c>
      <c r="RX77" s="1577">
        <f t="shared" ref="RX77:UI77" si="54">+RX94</f>
        <v>8760</v>
      </c>
      <c r="RY77" s="1577">
        <f t="shared" si="54"/>
        <v>8760</v>
      </c>
      <c r="RZ77" s="1577">
        <f t="shared" si="54"/>
        <v>8760</v>
      </c>
      <c r="SA77" s="1577">
        <f t="shared" si="54"/>
        <v>8760</v>
      </c>
      <c r="SB77" s="1577">
        <f t="shared" si="54"/>
        <v>8760</v>
      </c>
      <c r="SC77" s="1577">
        <f t="shared" si="54"/>
        <v>8760</v>
      </c>
      <c r="SD77" s="1577">
        <f t="shared" si="54"/>
        <v>8760</v>
      </c>
      <c r="SE77" s="1577">
        <f t="shared" si="54"/>
        <v>8760</v>
      </c>
      <c r="SF77" s="1577">
        <f t="shared" si="54"/>
        <v>8760</v>
      </c>
      <c r="SG77" s="1577">
        <f t="shared" si="54"/>
        <v>8760</v>
      </c>
      <c r="SH77" s="1577">
        <f t="shared" si="54"/>
        <v>8760</v>
      </c>
      <c r="SI77" s="1577">
        <f t="shared" si="54"/>
        <v>8760</v>
      </c>
      <c r="SJ77" s="1577">
        <f t="shared" si="54"/>
        <v>8760</v>
      </c>
      <c r="SK77" s="1577">
        <f t="shared" si="54"/>
        <v>8760</v>
      </c>
      <c r="SL77" s="1577">
        <f t="shared" si="54"/>
        <v>8760</v>
      </c>
      <c r="SM77" s="1577">
        <f t="shared" si="54"/>
        <v>8760</v>
      </c>
      <c r="SN77" s="1577">
        <f t="shared" si="54"/>
        <v>8760</v>
      </c>
      <c r="SO77" s="1577">
        <f t="shared" si="54"/>
        <v>8760</v>
      </c>
      <c r="SP77" s="1577">
        <f t="shared" si="54"/>
        <v>8760</v>
      </c>
      <c r="SQ77" s="1577">
        <f t="shared" si="54"/>
        <v>8760</v>
      </c>
      <c r="SR77" s="1577">
        <f t="shared" si="54"/>
        <v>8760</v>
      </c>
      <c r="SS77" s="1577">
        <f t="shared" si="54"/>
        <v>8760</v>
      </c>
      <c r="ST77" s="1577">
        <f t="shared" si="54"/>
        <v>8760</v>
      </c>
      <c r="SU77" s="1577">
        <f t="shared" si="54"/>
        <v>8760</v>
      </c>
      <c r="SV77" s="1577">
        <f t="shared" si="54"/>
        <v>8760</v>
      </c>
      <c r="SW77" s="1577">
        <f t="shared" si="54"/>
        <v>8760</v>
      </c>
      <c r="SX77" s="1577">
        <f t="shared" si="54"/>
        <v>8760</v>
      </c>
      <c r="SY77" s="1577">
        <f t="shared" si="54"/>
        <v>8760</v>
      </c>
      <c r="SZ77" s="1577">
        <f t="shared" si="54"/>
        <v>8760</v>
      </c>
      <c r="TA77" s="1577">
        <f t="shared" si="54"/>
        <v>8760</v>
      </c>
      <c r="TB77" s="1577">
        <f t="shared" si="54"/>
        <v>8760</v>
      </c>
      <c r="TC77" s="1577">
        <f t="shared" si="54"/>
        <v>8760</v>
      </c>
      <c r="TD77" s="1577">
        <f t="shared" si="54"/>
        <v>8760</v>
      </c>
      <c r="TE77" s="1577">
        <f t="shared" si="54"/>
        <v>8760</v>
      </c>
      <c r="TF77" s="1577">
        <f t="shared" si="54"/>
        <v>8760</v>
      </c>
      <c r="TG77" s="1577">
        <f t="shared" si="54"/>
        <v>8760</v>
      </c>
      <c r="TH77" s="1577">
        <f t="shared" si="54"/>
        <v>8760</v>
      </c>
      <c r="TI77" s="1577">
        <f t="shared" si="54"/>
        <v>8760</v>
      </c>
      <c r="TJ77" s="1577">
        <f t="shared" si="54"/>
        <v>8760</v>
      </c>
      <c r="TK77" s="1577">
        <f t="shared" si="54"/>
        <v>8760</v>
      </c>
      <c r="TL77" s="1577">
        <f t="shared" si="54"/>
        <v>8760</v>
      </c>
      <c r="TM77" s="1577">
        <f t="shared" si="54"/>
        <v>8760</v>
      </c>
      <c r="TN77" s="1577">
        <f t="shared" si="54"/>
        <v>8760</v>
      </c>
      <c r="TO77" s="1577">
        <f t="shared" si="54"/>
        <v>8760</v>
      </c>
      <c r="TP77" s="1577">
        <f t="shared" si="54"/>
        <v>8760</v>
      </c>
      <c r="TQ77" s="1577">
        <f t="shared" si="54"/>
        <v>8760</v>
      </c>
      <c r="TR77" s="1577">
        <f t="shared" si="54"/>
        <v>8760</v>
      </c>
      <c r="TS77" s="1577">
        <f t="shared" si="54"/>
        <v>8760</v>
      </c>
      <c r="TT77" s="1577">
        <f t="shared" si="54"/>
        <v>8760</v>
      </c>
      <c r="TU77" s="1577">
        <f t="shared" si="54"/>
        <v>8760</v>
      </c>
      <c r="TV77" s="1577">
        <f t="shared" si="54"/>
        <v>8760</v>
      </c>
      <c r="TW77" s="1577">
        <f t="shared" si="54"/>
        <v>8760</v>
      </c>
      <c r="TX77" s="1577">
        <f t="shared" si="54"/>
        <v>8760</v>
      </c>
      <c r="TY77" s="1577">
        <f t="shared" si="54"/>
        <v>8760</v>
      </c>
      <c r="TZ77" s="1577">
        <f t="shared" si="54"/>
        <v>8760</v>
      </c>
      <c r="UA77" s="1577">
        <f t="shared" si="54"/>
        <v>8760</v>
      </c>
      <c r="UB77" s="1577">
        <f t="shared" si="54"/>
        <v>8760</v>
      </c>
      <c r="UC77" s="1577">
        <f t="shared" si="54"/>
        <v>8760</v>
      </c>
      <c r="UD77" s="1577">
        <f t="shared" si="54"/>
        <v>8760</v>
      </c>
      <c r="UE77" s="1577">
        <f t="shared" si="54"/>
        <v>8760</v>
      </c>
      <c r="UF77" s="1577">
        <f t="shared" si="54"/>
        <v>8760</v>
      </c>
      <c r="UG77" s="1577">
        <f t="shared" si="54"/>
        <v>8760</v>
      </c>
      <c r="UH77" s="1577">
        <f t="shared" si="54"/>
        <v>8760</v>
      </c>
      <c r="UI77" s="1577">
        <f t="shared" si="54"/>
        <v>8760</v>
      </c>
      <c r="UJ77" s="1577">
        <f t="shared" ref="UJ77:VK77" si="55">+UJ94</f>
        <v>8760</v>
      </c>
      <c r="UK77" s="1577">
        <f t="shared" si="55"/>
        <v>8760</v>
      </c>
      <c r="UL77" s="1577">
        <f t="shared" si="55"/>
        <v>8760</v>
      </c>
      <c r="UM77" s="1577">
        <f t="shared" si="55"/>
        <v>8760</v>
      </c>
      <c r="UN77" s="1577">
        <f t="shared" si="55"/>
        <v>8760</v>
      </c>
      <c r="UO77" s="1577">
        <f t="shared" si="55"/>
        <v>8760</v>
      </c>
      <c r="UP77" s="1577">
        <f t="shared" si="55"/>
        <v>8760</v>
      </c>
      <c r="UQ77" s="1577">
        <f t="shared" si="55"/>
        <v>8760</v>
      </c>
      <c r="UR77" s="1577">
        <f t="shared" si="55"/>
        <v>8760</v>
      </c>
      <c r="US77" s="1577">
        <f t="shared" si="55"/>
        <v>8760</v>
      </c>
      <c r="UT77" s="1577">
        <f t="shared" si="55"/>
        <v>8760</v>
      </c>
      <c r="UU77" s="1577">
        <f t="shared" si="55"/>
        <v>8760</v>
      </c>
      <c r="UV77" s="1577">
        <f t="shared" si="55"/>
        <v>8760</v>
      </c>
      <c r="UW77" s="1577">
        <f t="shared" si="55"/>
        <v>8760</v>
      </c>
      <c r="UX77" s="1577">
        <f t="shared" si="55"/>
        <v>8760</v>
      </c>
      <c r="UY77" s="1577">
        <f t="shared" si="55"/>
        <v>8760</v>
      </c>
      <c r="UZ77" s="1577">
        <f t="shared" si="55"/>
        <v>8760</v>
      </c>
      <c r="VA77" s="1577">
        <f t="shared" si="55"/>
        <v>8760</v>
      </c>
      <c r="VB77" s="1577">
        <f t="shared" si="55"/>
        <v>8760</v>
      </c>
      <c r="VC77" s="1577">
        <f t="shared" si="55"/>
        <v>8760</v>
      </c>
      <c r="VD77" s="1577">
        <f t="shared" si="55"/>
        <v>8760</v>
      </c>
      <c r="VE77" s="1577">
        <f t="shared" si="55"/>
        <v>8760</v>
      </c>
      <c r="VF77" s="1577">
        <f t="shared" si="55"/>
        <v>8760</v>
      </c>
      <c r="VG77" s="1577">
        <f t="shared" si="55"/>
        <v>8760</v>
      </c>
      <c r="VH77" s="1577">
        <f t="shared" si="55"/>
        <v>8760</v>
      </c>
      <c r="VI77" s="1577">
        <f t="shared" si="55"/>
        <v>8760</v>
      </c>
      <c r="VJ77" s="1577">
        <f t="shared" si="55"/>
        <v>8760</v>
      </c>
      <c r="VK77" s="1577">
        <f t="shared" si="55"/>
        <v>8760</v>
      </c>
    </row>
    <row r="78" spans="1:583" ht="40.5" x14ac:dyDescent="0.25">
      <c r="B78" s="1610" t="s">
        <v>2769</v>
      </c>
      <c r="C78" s="1582" t="s">
        <v>1358</v>
      </c>
      <c r="D78" s="4710" t="s">
        <v>2770</v>
      </c>
      <c r="E78" s="4710">
        <v>0</v>
      </c>
      <c r="F78" s="2057"/>
      <c r="G78" s="2057"/>
      <c r="H78" s="2057"/>
      <c r="I78" s="2059"/>
      <c r="J78" s="2059"/>
      <c r="K78" s="2059"/>
      <c r="L78" s="2059"/>
      <c r="M78" s="2059"/>
      <c r="N78" s="2059"/>
      <c r="O78" s="2059"/>
      <c r="P78" s="2059"/>
      <c r="Q78" s="2059"/>
      <c r="R78" s="2059"/>
      <c r="S78" s="2059"/>
      <c r="T78" s="2059"/>
      <c r="U78" s="2059"/>
      <c r="V78" s="2059"/>
      <c r="W78" s="2059"/>
      <c r="X78" s="2059"/>
      <c r="Y78" s="2059"/>
      <c r="Z78" s="2059"/>
      <c r="AA78" s="2059"/>
      <c r="AB78" s="2059"/>
      <c r="AC78" s="2059"/>
      <c r="AD78" s="2059"/>
      <c r="AE78" s="2059"/>
      <c r="AF78" s="2059"/>
      <c r="AG78" s="2059"/>
      <c r="AH78" s="2059"/>
      <c r="AI78" s="2059"/>
      <c r="AJ78" s="2059"/>
      <c r="AK78" s="2059"/>
      <c r="AL78" s="2059"/>
      <c r="AM78" s="2059"/>
      <c r="AN78" s="2059"/>
      <c r="AO78" s="2059"/>
      <c r="AP78" s="2059"/>
      <c r="AQ78" s="2059"/>
      <c r="AR78" s="2059"/>
      <c r="AS78" s="2059"/>
      <c r="AT78" s="2059"/>
      <c r="AU78" s="2059"/>
      <c r="AV78" s="2059"/>
      <c r="AW78" s="2059"/>
      <c r="AX78" s="2059"/>
      <c r="AY78" s="2059"/>
      <c r="AZ78" s="2059"/>
      <c r="BA78" s="2059"/>
      <c r="BB78" s="2059"/>
      <c r="BC78" s="2059"/>
      <c r="BD78" s="2059"/>
      <c r="BE78" s="2059"/>
      <c r="BF78" s="2059"/>
      <c r="BG78" s="2059"/>
      <c r="BH78" s="2059"/>
      <c r="BI78" s="2059"/>
      <c r="BJ78" s="2059"/>
      <c r="BK78" s="2059"/>
      <c r="BL78" s="2059"/>
      <c r="BM78" s="2059"/>
      <c r="BN78" s="2059"/>
      <c r="BO78" s="2059"/>
      <c r="BP78" s="2059"/>
      <c r="BQ78" s="2059"/>
      <c r="BR78" s="2059"/>
      <c r="BS78" s="2059"/>
      <c r="BT78" s="2059"/>
      <c r="BU78" s="2059"/>
      <c r="BV78" s="2059"/>
      <c r="BW78" s="2059"/>
      <c r="BX78" s="2059"/>
      <c r="BY78" s="2059"/>
      <c r="BZ78" s="2059"/>
      <c r="CA78" s="2059"/>
      <c r="CB78" s="2059"/>
      <c r="CC78" s="2059"/>
      <c r="CD78" s="2059"/>
      <c r="CE78" s="2059"/>
      <c r="CF78" s="2059"/>
      <c r="CG78" s="2059"/>
      <c r="CH78" s="2059"/>
      <c r="CI78" s="2059"/>
      <c r="CJ78" s="2059"/>
      <c r="CK78" s="2059"/>
      <c r="CL78" s="2059"/>
      <c r="CM78" s="2059"/>
      <c r="CN78" s="2059"/>
      <c r="CO78" s="2059"/>
      <c r="CP78" s="1576"/>
      <c r="CQ78" s="1576"/>
      <c r="CR78" s="1576"/>
      <c r="CS78" s="1576"/>
      <c r="CT78" s="1576"/>
      <c r="CU78" s="1576"/>
      <c r="CV78" s="1576"/>
      <c r="CW78" s="1576"/>
      <c r="CX78" s="1576"/>
      <c r="CY78" s="1576"/>
      <c r="CZ78" s="1576"/>
      <c r="DA78" s="1576"/>
      <c r="DB78" s="1576"/>
      <c r="DC78" s="1576"/>
      <c r="DD78" s="1576"/>
      <c r="DE78" s="1576"/>
      <c r="DF78" s="1576"/>
      <c r="DG78" s="1576"/>
      <c r="DH78" s="1576"/>
      <c r="DI78" s="1576"/>
      <c r="DJ78" s="1576"/>
      <c r="DK78" s="1576"/>
      <c r="DL78" s="1576"/>
      <c r="DM78" s="1576"/>
      <c r="DN78" s="1576"/>
      <c r="DO78" s="1576"/>
      <c r="DP78" s="1576"/>
      <c r="DQ78" s="1576"/>
      <c r="DR78" s="1576"/>
      <c r="DS78" s="1576"/>
      <c r="DT78" s="1576"/>
      <c r="DU78" s="1576"/>
      <c r="DV78" s="1576"/>
      <c r="DW78" s="1576"/>
      <c r="DX78" s="1576"/>
      <c r="DY78" s="1576"/>
      <c r="DZ78" s="1576"/>
      <c r="EA78" s="1576"/>
      <c r="EB78" s="1576"/>
      <c r="EC78" s="1576"/>
      <c r="ED78" s="1576"/>
      <c r="EE78" s="1576"/>
      <c r="EF78" s="1576"/>
      <c r="EG78" s="1576"/>
      <c r="EH78" s="1576"/>
      <c r="EI78" s="1576"/>
      <c r="EJ78" s="1576"/>
      <c r="EK78" s="1576"/>
      <c r="EL78" s="1576"/>
      <c r="EM78" s="1576"/>
      <c r="EN78" s="1576"/>
      <c r="EO78" s="1576"/>
      <c r="EP78" s="1576"/>
      <c r="EQ78" s="1576"/>
      <c r="ER78" s="1576"/>
      <c r="ES78" s="1576"/>
      <c r="ET78" s="1576"/>
      <c r="EU78" s="1576"/>
      <c r="EV78" s="1576"/>
      <c r="EW78" s="1576"/>
      <c r="EX78" s="1576"/>
      <c r="EY78" s="1576"/>
      <c r="EZ78" s="1576"/>
      <c r="FA78" s="1576"/>
      <c r="FB78" s="1576"/>
      <c r="FC78" s="1576"/>
      <c r="FD78" s="1576"/>
      <c r="FE78" s="1576"/>
      <c r="FF78" s="1576"/>
      <c r="FG78" s="1576"/>
      <c r="FH78" s="1576"/>
      <c r="FI78" s="1576"/>
      <c r="FJ78" s="1576"/>
      <c r="FK78" s="1576"/>
      <c r="FL78" s="1576"/>
      <c r="FM78" s="1576"/>
      <c r="FN78" s="1576"/>
      <c r="FO78" s="1576"/>
      <c r="FP78" s="1576"/>
      <c r="FQ78" s="1576"/>
      <c r="FR78" s="1576"/>
      <c r="FS78" s="1576"/>
      <c r="FT78" s="1576"/>
      <c r="FU78" s="1576"/>
      <c r="FV78" s="1576"/>
      <c r="FW78" s="1576"/>
      <c r="FX78" s="1576"/>
      <c r="FY78" s="1576"/>
      <c r="FZ78" s="1576"/>
      <c r="GA78" s="1576"/>
      <c r="GB78" s="1576"/>
      <c r="GC78" s="1576"/>
      <c r="GD78" s="1576"/>
      <c r="GE78" s="1576"/>
      <c r="GF78" s="1576"/>
      <c r="GG78" s="1576"/>
      <c r="GH78" s="1576"/>
      <c r="GI78" s="1576"/>
      <c r="GJ78" s="1576"/>
      <c r="GK78" s="1576"/>
      <c r="GL78" s="1576"/>
      <c r="GM78" s="1576"/>
      <c r="GN78" s="1576"/>
      <c r="GO78" s="1576"/>
      <c r="GP78" s="1576"/>
      <c r="GQ78" s="1576"/>
      <c r="GR78" s="1576"/>
      <c r="GS78" s="1576"/>
      <c r="GT78" s="1576"/>
      <c r="GU78" s="1576"/>
      <c r="GV78" s="1576"/>
      <c r="GW78" s="1576"/>
      <c r="GX78" s="1576"/>
      <c r="GY78" s="1576"/>
      <c r="GZ78" s="1576"/>
      <c r="HA78" s="1576"/>
      <c r="HB78" s="1576"/>
      <c r="HC78" s="1576"/>
      <c r="HD78" s="1576"/>
      <c r="HE78" s="1576"/>
      <c r="HF78" s="1576"/>
      <c r="HG78" s="1576"/>
      <c r="HH78" s="1576"/>
      <c r="HI78" s="1576"/>
      <c r="HJ78" s="1576"/>
      <c r="HK78" s="1576"/>
      <c r="HL78" s="1576"/>
      <c r="HM78" s="1576"/>
      <c r="HN78" s="1576"/>
      <c r="HO78" s="1576"/>
      <c r="HP78" s="1576"/>
      <c r="HQ78" s="1576"/>
      <c r="HR78" s="1576"/>
      <c r="HS78" s="1576"/>
      <c r="HT78" s="1576"/>
      <c r="HU78" s="1576"/>
      <c r="HV78" s="1576"/>
      <c r="HW78" s="1576"/>
      <c r="HX78" s="1576"/>
      <c r="HY78" s="1576"/>
      <c r="HZ78" s="1576"/>
      <c r="IA78" s="1576"/>
      <c r="IB78" s="1576"/>
      <c r="IC78" s="1576"/>
      <c r="ID78" s="1576"/>
      <c r="IE78" s="1576"/>
      <c r="IF78" s="1576"/>
      <c r="IG78" s="1576"/>
      <c r="IH78" s="1576"/>
      <c r="II78" s="1576"/>
      <c r="IJ78" s="1576"/>
      <c r="IK78" s="1576"/>
      <c r="IL78" s="1576"/>
      <c r="IM78" s="1576"/>
      <c r="IN78" s="1576"/>
      <c r="IO78" s="1576"/>
      <c r="IP78" s="1576"/>
      <c r="IQ78" s="1576"/>
      <c r="IR78" s="1576"/>
      <c r="IS78" s="1576"/>
      <c r="IT78" s="1576"/>
      <c r="IU78" s="1576"/>
      <c r="IV78" s="1576"/>
      <c r="IW78" s="1576"/>
      <c r="IX78" s="1576"/>
      <c r="IY78" s="1576"/>
      <c r="IZ78" s="1576"/>
      <c r="JA78" s="2054"/>
      <c r="JB78" s="2054"/>
      <c r="JC78" s="2054"/>
      <c r="JD78" s="2054"/>
      <c r="JE78" s="2054"/>
      <c r="JF78" s="2054"/>
      <c r="JG78" s="2054"/>
      <c r="JH78" s="2054"/>
      <c r="JI78" s="2054"/>
      <c r="JJ78" s="2054"/>
      <c r="JK78" s="2054"/>
      <c r="JL78" s="2054"/>
      <c r="JM78" s="2054"/>
      <c r="JN78" s="2054"/>
      <c r="JO78" s="2054"/>
      <c r="JP78" s="2054"/>
      <c r="JQ78" s="2054"/>
      <c r="JR78" s="1576"/>
      <c r="JS78" s="1576"/>
      <c r="JT78" s="1576"/>
      <c r="JU78" s="1576"/>
      <c r="JV78" s="1576"/>
      <c r="JW78" s="1576"/>
      <c r="JX78" s="1576"/>
      <c r="JY78" s="1576"/>
      <c r="JZ78" s="1576"/>
      <c r="KA78" s="1576"/>
      <c r="KB78" s="1576"/>
      <c r="KC78" s="1576"/>
      <c r="KD78" s="1576"/>
      <c r="KE78" s="1576"/>
      <c r="KF78" s="1576"/>
      <c r="KG78" s="1576"/>
      <c r="KH78" s="1576"/>
      <c r="KI78" s="1576"/>
      <c r="KJ78" s="1576"/>
      <c r="KK78" s="1576"/>
      <c r="KL78" s="1576"/>
      <c r="KM78" s="1576"/>
      <c r="KN78" s="1576"/>
      <c r="KO78" s="1576"/>
      <c r="KP78" s="1576"/>
      <c r="KQ78" s="1576"/>
      <c r="KR78" s="1576"/>
      <c r="KS78" s="1576"/>
      <c r="KT78" s="1576"/>
      <c r="KU78" s="1576"/>
      <c r="KV78" s="1576"/>
      <c r="KW78" s="1576"/>
      <c r="KX78" s="1576"/>
      <c r="KY78" s="1576"/>
      <c r="KZ78" s="1576"/>
      <c r="LA78" s="1576"/>
      <c r="LB78" s="1576"/>
      <c r="LC78" s="1576"/>
      <c r="LD78" s="1576"/>
      <c r="LE78" s="1576"/>
      <c r="LF78" s="1576"/>
      <c r="LG78" s="1576"/>
      <c r="LH78" s="1576"/>
      <c r="LI78" s="1576"/>
      <c r="LJ78" s="1576"/>
      <c r="LK78" s="1576"/>
      <c r="LL78" s="1576"/>
      <c r="LM78" s="1576"/>
      <c r="LN78" s="1576"/>
      <c r="LO78" s="1576"/>
      <c r="LP78" s="1576"/>
      <c r="LQ78" s="1576"/>
      <c r="LR78" s="1576"/>
      <c r="LS78" s="1576"/>
      <c r="LT78" s="1576"/>
      <c r="LU78" s="1576"/>
      <c r="LV78" s="1576"/>
      <c r="LW78" s="1576"/>
      <c r="LX78" s="1576"/>
      <c r="LY78" s="1576"/>
      <c r="LZ78" s="1576"/>
      <c r="MA78" s="1576"/>
      <c r="MB78" s="1576"/>
      <c r="MC78" s="1576"/>
      <c r="MD78" s="1576"/>
      <c r="ME78" s="1576"/>
      <c r="MF78" s="1576"/>
      <c r="MG78" s="1576"/>
      <c r="MH78" s="1576"/>
      <c r="MI78" s="1576"/>
      <c r="MJ78" s="1576"/>
      <c r="MK78" s="1576"/>
      <c r="ML78" s="1576"/>
      <c r="MM78" s="1576"/>
      <c r="MN78" s="1576"/>
      <c r="MO78" s="1576"/>
      <c r="MP78" s="1576"/>
      <c r="MQ78" s="1576"/>
      <c r="MR78" s="1576"/>
      <c r="MS78" s="1576"/>
      <c r="MT78" s="1576"/>
      <c r="MU78" s="1576"/>
      <c r="MV78" s="1576"/>
      <c r="MW78" s="1576"/>
      <c r="MX78" s="1576"/>
      <c r="MY78" s="1576"/>
      <c r="MZ78" s="1576"/>
      <c r="NA78" s="1576"/>
      <c r="NB78" s="1576"/>
      <c r="NC78" s="1576"/>
      <c r="ND78" s="1576"/>
      <c r="NE78" s="1576"/>
      <c r="NF78" s="1576"/>
      <c r="NG78" s="1576"/>
      <c r="NH78" s="1576"/>
      <c r="NI78" s="1576"/>
      <c r="NJ78" s="1576"/>
      <c r="NK78" s="1576"/>
      <c r="NL78" s="1576"/>
      <c r="NM78" s="1576"/>
      <c r="NN78" s="1576"/>
      <c r="NO78" s="1576"/>
      <c r="NP78" s="1576"/>
      <c r="NQ78" s="1576"/>
      <c r="NR78" s="1576"/>
      <c r="NS78" s="1576"/>
      <c r="NT78" s="1576"/>
      <c r="NU78" s="1576"/>
      <c r="NV78" s="1576"/>
      <c r="NW78" s="1576"/>
      <c r="NX78" s="1576"/>
      <c r="NY78" s="1576"/>
      <c r="NZ78" s="1576"/>
      <c r="OA78" s="1576"/>
      <c r="OB78" s="1576"/>
      <c r="OC78" s="1576"/>
      <c r="OD78" s="1576"/>
      <c r="OE78" s="1576"/>
      <c r="OF78" s="1576"/>
      <c r="OG78" s="1576"/>
      <c r="OH78" s="1576"/>
      <c r="OI78" s="1576"/>
      <c r="OJ78" s="1576"/>
      <c r="OK78" s="1576"/>
      <c r="OL78" s="1576"/>
      <c r="OM78" s="1576"/>
      <c r="ON78" s="1576"/>
      <c r="OO78" s="1576"/>
      <c r="OP78" s="1576"/>
      <c r="OQ78" s="1576"/>
      <c r="OR78" s="1576"/>
      <c r="OS78" s="1576"/>
      <c r="OT78" s="1576"/>
      <c r="OU78" s="1576"/>
      <c r="OV78" s="1576"/>
      <c r="OW78" s="1576"/>
      <c r="OX78" s="1576"/>
      <c r="OY78" s="1576"/>
      <c r="OZ78" s="1576"/>
      <c r="PA78" s="1576"/>
      <c r="PB78" s="1576"/>
      <c r="PC78" s="1576"/>
      <c r="PD78" s="1576"/>
      <c r="PE78" s="1576"/>
      <c r="PF78" s="1576"/>
      <c r="PG78" s="1576"/>
      <c r="PH78" s="1576"/>
      <c r="PI78" s="1576"/>
      <c r="PJ78" s="1576"/>
      <c r="PK78" s="1576"/>
      <c r="PL78" s="1576"/>
      <c r="PM78" s="1576"/>
      <c r="PN78" s="1576"/>
      <c r="PO78" s="1576"/>
      <c r="PP78" s="1576"/>
      <c r="PQ78" s="1576"/>
      <c r="PR78" s="1576"/>
      <c r="PS78" s="1576"/>
      <c r="PT78" s="1576"/>
      <c r="PU78" s="1576"/>
      <c r="PV78" s="1576"/>
      <c r="PW78" s="1576"/>
      <c r="PX78" s="1576"/>
      <c r="PY78" s="1576"/>
      <c r="PZ78" s="1576"/>
      <c r="QA78" s="1576"/>
      <c r="QB78" s="1576"/>
      <c r="QC78" s="1576"/>
      <c r="QD78" s="1576"/>
      <c r="QE78" s="1576"/>
      <c r="QF78" s="1576"/>
      <c r="QG78" s="1576"/>
      <c r="QH78" s="1576"/>
      <c r="QI78" s="1576"/>
      <c r="QJ78" s="1576"/>
      <c r="QK78" s="1576"/>
      <c r="QL78" s="1576"/>
      <c r="QM78" s="1576"/>
      <c r="QN78" s="1576"/>
      <c r="QO78" s="1576"/>
      <c r="QP78" s="1576"/>
      <c r="QQ78" s="1576"/>
      <c r="QR78" s="1576"/>
      <c r="QS78" s="1576"/>
      <c r="QT78" s="1576"/>
      <c r="QU78" s="1576"/>
      <c r="QV78" s="1576"/>
      <c r="QW78" s="1576"/>
      <c r="QX78" s="1576"/>
      <c r="QY78" s="1576"/>
      <c r="QZ78" s="1576"/>
      <c r="RA78" s="1576"/>
      <c r="RB78" s="1576"/>
      <c r="RC78" s="1576"/>
      <c r="RD78" s="1576"/>
      <c r="RE78" s="1576"/>
      <c r="RF78" s="1576"/>
      <c r="RG78" s="1576"/>
      <c r="RH78" s="1576"/>
      <c r="RI78" s="1576"/>
      <c r="RJ78" s="1576"/>
      <c r="RK78" s="1576"/>
      <c r="RL78" s="1576"/>
      <c r="RM78" s="1576"/>
      <c r="RN78" s="1576"/>
      <c r="RO78" s="1576"/>
      <c r="RP78" s="1576"/>
      <c r="RQ78" s="1576"/>
      <c r="RR78" s="1576"/>
      <c r="RS78" s="1576"/>
      <c r="RT78" s="1576"/>
      <c r="RU78" s="1576"/>
      <c r="RV78" s="1576"/>
      <c r="RW78" s="1576"/>
      <c r="RX78" s="1576"/>
      <c r="RY78" s="1576"/>
      <c r="RZ78" s="1576"/>
      <c r="SA78" s="1576"/>
      <c r="SB78" s="1576"/>
      <c r="SC78" s="1576"/>
      <c r="SD78" s="1576"/>
      <c r="SE78" s="1576"/>
      <c r="SF78" s="1576"/>
      <c r="SG78" s="1576"/>
      <c r="SH78" s="1576"/>
      <c r="SI78" s="1576"/>
      <c r="SJ78" s="1576"/>
      <c r="SK78" s="1576"/>
      <c r="SL78" s="1576"/>
      <c r="SM78" s="1576"/>
      <c r="SN78" s="1576"/>
      <c r="SO78" s="1576"/>
      <c r="SP78" s="1576"/>
      <c r="SQ78" s="1576"/>
      <c r="SR78" s="1576"/>
      <c r="SS78" s="1576"/>
      <c r="ST78" s="1576"/>
      <c r="SU78" s="1576"/>
      <c r="SV78" s="1576"/>
      <c r="SW78" s="1576"/>
      <c r="SX78" s="1576"/>
      <c r="SY78" s="1576"/>
      <c r="SZ78" s="1576"/>
      <c r="TA78" s="1576"/>
      <c r="TB78" s="1576"/>
      <c r="TC78" s="1576"/>
      <c r="TD78" s="1576"/>
      <c r="TE78" s="1576"/>
      <c r="TF78" s="1576"/>
      <c r="TG78" s="1576"/>
      <c r="TH78" s="1576"/>
      <c r="TI78" s="1576"/>
      <c r="TJ78" s="1576"/>
      <c r="TK78" s="1576"/>
      <c r="TL78" s="1576"/>
      <c r="TM78" s="1576"/>
      <c r="TN78" s="1576"/>
      <c r="TO78" s="1576"/>
      <c r="TP78" s="1576"/>
      <c r="TQ78" s="1576"/>
      <c r="TR78" s="1576"/>
      <c r="TS78" s="1576"/>
      <c r="TT78" s="1576"/>
      <c r="TU78" s="1576"/>
      <c r="TV78" s="1576"/>
      <c r="TW78" s="1576"/>
      <c r="TX78" s="1576"/>
      <c r="TY78" s="1576"/>
      <c r="TZ78" s="1576"/>
      <c r="UA78" s="1576"/>
      <c r="UB78" s="1576"/>
      <c r="UC78" s="1576"/>
      <c r="UD78" s="1576"/>
      <c r="UE78" s="1576"/>
      <c r="UF78" s="1576"/>
      <c r="UG78" s="1576"/>
      <c r="UH78" s="1576"/>
      <c r="UI78" s="1576"/>
      <c r="UJ78" s="1576"/>
      <c r="UK78" s="1576"/>
      <c r="UL78" s="1576"/>
      <c r="UM78" s="1576"/>
      <c r="UN78" s="1576"/>
      <c r="UO78" s="1576"/>
      <c r="UP78" s="1576"/>
      <c r="UQ78" s="1576"/>
      <c r="UR78" s="1576"/>
      <c r="US78" s="1576"/>
      <c r="UT78" s="1576"/>
      <c r="UU78" s="1576"/>
      <c r="UV78" s="1576"/>
      <c r="UW78" s="1576"/>
      <c r="UX78" s="1576"/>
      <c r="UY78" s="1576"/>
      <c r="UZ78" s="1576"/>
      <c r="VA78" s="1576"/>
      <c r="VB78" s="1576"/>
      <c r="VC78" s="1576"/>
      <c r="VD78" s="1576"/>
      <c r="VE78" s="1576"/>
      <c r="VF78" s="1576"/>
      <c r="VG78" s="1576"/>
      <c r="VH78" s="1576"/>
      <c r="VI78" s="1576"/>
      <c r="VJ78" s="1576"/>
      <c r="VK78" s="1576"/>
    </row>
    <row r="79" spans="1:583" ht="33" customHeight="1" x14ac:dyDescent="0.25">
      <c r="B79" s="1610" t="s">
        <v>61</v>
      </c>
      <c r="C79" s="1582" t="s">
        <v>2771</v>
      </c>
      <c r="D79" s="4710" t="s">
        <v>2772</v>
      </c>
      <c r="E79" s="4710">
        <v>0</v>
      </c>
      <c r="F79" s="1579" t="e">
        <f>'Paso 1.1'!E73*Tiempos!$H$69</f>
        <v>#DIV/0!</v>
      </c>
      <c r="G79" s="1579" t="e">
        <f>'Paso 1.1'!F73*Tiempos!$H$69</f>
        <v>#DIV/0!</v>
      </c>
      <c r="H79" s="1579" t="e">
        <f>'Paso 1.1'!G73*Tiempos!$H$69</f>
        <v>#DIV/0!</v>
      </c>
      <c r="I79" s="1579" t="e">
        <f>'Paso 1.1'!H73*Tiempos!$H$69</f>
        <v>#DIV/0!</v>
      </c>
      <c r="J79" s="1579" t="e">
        <f>'Paso 1.1'!I73*Tiempos!$H$69</f>
        <v>#DIV/0!</v>
      </c>
      <c r="K79" s="1579" t="e">
        <f>'Paso 1.1'!J73*Tiempos!$H$69</f>
        <v>#DIV/0!</v>
      </c>
      <c r="L79" s="1579" t="e">
        <f>'Paso 1.1'!K73*Tiempos!$H$69</f>
        <v>#DIV/0!</v>
      </c>
      <c r="M79" s="1579" t="e">
        <f>'Paso 1.1'!L73*Tiempos!$H$69</f>
        <v>#DIV/0!</v>
      </c>
      <c r="N79" s="1579" t="e">
        <f>'Paso 1.1'!M73*Tiempos!$H$69</f>
        <v>#DIV/0!</v>
      </c>
      <c r="O79" s="1579" t="e">
        <f>'Paso 1.1'!N73*Tiempos!$H$69</f>
        <v>#DIV/0!</v>
      </c>
      <c r="P79" s="1579" t="e">
        <f>'Paso 1.1'!O73*Tiempos!$H$69</f>
        <v>#DIV/0!</v>
      </c>
      <c r="Q79" s="1579" t="e">
        <f>'Paso 1.1'!P73*Tiempos!$H$69</f>
        <v>#DIV/0!</v>
      </c>
      <c r="R79" s="1579" t="e">
        <f>'Paso 1.1'!Q73*Tiempos!$H$69</f>
        <v>#DIV/0!</v>
      </c>
      <c r="S79" s="1579" t="e">
        <f>'Paso 1.1'!R73*Tiempos!$H$69</f>
        <v>#DIV/0!</v>
      </c>
      <c r="T79" s="1579" t="e">
        <f>'Paso 1.1'!S73*Tiempos!$H$69</f>
        <v>#DIV/0!</v>
      </c>
      <c r="U79" s="1579" t="e">
        <f>'Paso 1.1'!T73*Tiempos!$H$69</f>
        <v>#DIV/0!</v>
      </c>
      <c r="V79" s="1579" t="e">
        <f>'Paso 1.1'!U73*Tiempos!$H$69</f>
        <v>#DIV/0!</v>
      </c>
      <c r="W79" s="2059"/>
      <c r="X79" s="2059"/>
      <c r="Y79" s="2059"/>
      <c r="Z79" s="2059"/>
      <c r="AA79" s="2059"/>
      <c r="AB79" s="2059"/>
      <c r="AC79" s="2059"/>
      <c r="AD79" s="2059"/>
      <c r="AE79" s="2059"/>
      <c r="AF79" s="2059"/>
      <c r="AG79" s="2059"/>
      <c r="AH79" s="2059"/>
      <c r="AI79" s="2059"/>
      <c r="AJ79" s="2059"/>
      <c r="AK79" s="2059"/>
      <c r="AL79" s="2059"/>
      <c r="AM79" s="2059"/>
      <c r="AN79" s="2058" t="e">
        <f>'Paso 1.1'!E73*Tiempos!$H$69</f>
        <v>#DIV/0!</v>
      </c>
      <c r="AO79" s="2058" t="e">
        <f>'Paso 1.1'!F73*Tiempos!$H$69</f>
        <v>#DIV/0!</v>
      </c>
      <c r="AP79" s="2058" t="e">
        <f>'Paso 1.1'!G73*Tiempos!$H$69</f>
        <v>#DIV/0!</v>
      </c>
      <c r="AQ79" s="2058" t="e">
        <f>'Paso 1.1'!H73*Tiempos!$H$69</f>
        <v>#DIV/0!</v>
      </c>
      <c r="AR79" s="2058" t="e">
        <f>'Paso 1.1'!I73*Tiempos!$H$69</f>
        <v>#DIV/0!</v>
      </c>
      <c r="AS79" s="2058" t="e">
        <f>'Paso 1.1'!J73*Tiempos!$H$69</f>
        <v>#DIV/0!</v>
      </c>
      <c r="AT79" s="2058" t="e">
        <f>'Paso 1.1'!K73*Tiempos!$H$69</f>
        <v>#DIV/0!</v>
      </c>
      <c r="AU79" s="2058" t="e">
        <f>'Paso 1.1'!L73*Tiempos!$H$69</f>
        <v>#DIV/0!</v>
      </c>
      <c r="AV79" s="2058" t="e">
        <f>'Paso 1.1'!M73*Tiempos!$H$69</f>
        <v>#DIV/0!</v>
      </c>
      <c r="AW79" s="2058" t="e">
        <f>'Paso 1.1'!N73*Tiempos!$H$69</f>
        <v>#DIV/0!</v>
      </c>
      <c r="AX79" s="2058" t="e">
        <f>'Paso 1.1'!O73*Tiempos!$H$69</f>
        <v>#DIV/0!</v>
      </c>
      <c r="AY79" s="2058" t="e">
        <f>'Paso 1.1'!P73*Tiempos!$H$69</f>
        <v>#DIV/0!</v>
      </c>
      <c r="AZ79" s="2058" t="e">
        <f>'Paso 1.1'!Q73*Tiempos!$H$69</f>
        <v>#DIV/0!</v>
      </c>
      <c r="BA79" s="2058" t="e">
        <f>'Paso 1.1'!R73*Tiempos!$H$69</f>
        <v>#DIV/0!</v>
      </c>
      <c r="BB79" s="2058" t="e">
        <f>'Paso 1.1'!S73*Tiempos!$H$69</f>
        <v>#DIV/0!</v>
      </c>
      <c r="BC79" s="2058" t="e">
        <f>'Paso 1.1'!T73*Tiempos!$H$69</f>
        <v>#DIV/0!</v>
      </c>
      <c r="BD79" s="2058" t="e">
        <f>'Paso 1.1'!U73*Tiempos!$H$69</f>
        <v>#DIV/0!</v>
      </c>
      <c r="BE79" s="2059"/>
      <c r="BF79" s="2059"/>
      <c r="BG79" s="2059"/>
      <c r="BH79" s="2059"/>
      <c r="BI79" s="2059"/>
      <c r="BJ79" s="2059"/>
      <c r="BK79" s="2059"/>
      <c r="BL79" s="2059"/>
      <c r="BM79" s="2059"/>
      <c r="BN79" s="2059"/>
      <c r="BO79" s="2059"/>
      <c r="BP79" s="2059"/>
      <c r="BQ79" s="2059"/>
      <c r="BR79" s="2059"/>
      <c r="BS79" s="2059"/>
      <c r="BT79" s="2059"/>
      <c r="BU79" s="2059"/>
      <c r="BV79" s="2059"/>
      <c r="BW79" s="2059"/>
      <c r="BX79" s="2059"/>
      <c r="BY79" s="2059"/>
      <c r="BZ79" s="2059"/>
      <c r="CA79" s="2059"/>
      <c r="CB79" s="2059"/>
      <c r="CC79" s="2059"/>
      <c r="CD79" s="2059"/>
      <c r="CE79" s="2059"/>
      <c r="CF79" s="2059"/>
      <c r="CG79" s="2059"/>
      <c r="CH79" s="2059"/>
      <c r="CI79" s="2059"/>
      <c r="CJ79" s="2059"/>
      <c r="CK79" s="2059"/>
      <c r="CL79" s="2059"/>
      <c r="CM79" s="2059"/>
      <c r="CN79" s="2059"/>
      <c r="CO79" s="2059"/>
      <c r="CP79" s="1576"/>
      <c r="CQ79" s="1576"/>
      <c r="CR79" s="1576"/>
      <c r="CS79" s="1576"/>
      <c r="CT79" s="1576"/>
      <c r="CU79" s="1576"/>
      <c r="CV79" s="1576"/>
      <c r="CW79" s="1576"/>
      <c r="CX79" s="1576"/>
      <c r="CY79" s="1576"/>
      <c r="CZ79" s="1576"/>
      <c r="DA79" s="1576"/>
      <c r="DB79" s="1576"/>
      <c r="DC79" s="1576"/>
      <c r="DD79" s="1576"/>
      <c r="DE79" s="1576"/>
      <c r="DF79" s="1576"/>
      <c r="DG79" s="1576"/>
      <c r="DH79" s="1576"/>
      <c r="DI79" s="1576"/>
      <c r="DJ79" s="1576"/>
      <c r="DK79" s="1576"/>
      <c r="DL79" s="1576"/>
      <c r="DM79" s="1576"/>
      <c r="DN79" s="1576"/>
      <c r="DO79" s="1576"/>
      <c r="DP79" s="1576"/>
      <c r="DQ79" s="1576"/>
      <c r="DR79" s="1576"/>
      <c r="DS79" s="1576"/>
      <c r="DT79" s="1576"/>
      <c r="DU79" s="1576"/>
      <c r="DV79" s="1576"/>
      <c r="DW79" s="1576"/>
      <c r="DX79" s="1576"/>
      <c r="DY79" s="1576"/>
      <c r="DZ79" s="1576"/>
      <c r="EA79" s="1576"/>
      <c r="EB79" s="1576"/>
      <c r="EC79" s="1576"/>
      <c r="ED79" s="1576"/>
      <c r="EE79" s="1576"/>
      <c r="EF79" s="1576"/>
      <c r="EG79" s="1576"/>
      <c r="EH79" s="1576"/>
      <c r="EI79" s="1576"/>
      <c r="EJ79" s="1576"/>
      <c r="EK79" s="1576"/>
      <c r="EL79" s="1576"/>
      <c r="EM79" s="1576"/>
      <c r="EN79" s="1576"/>
      <c r="EO79" s="1576"/>
      <c r="EP79" s="1576"/>
      <c r="EQ79" s="1576"/>
      <c r="ER79" s="1576"/>
      <c r="ES79" s="1576"/>
      <c r="ET79" s="1576"/>
      <c r="EU79" s="1576"/>
      <c r="EV79" s="1576"/>
      <c r="EW79" s="1576"/>
      <c r="EX79" s="1576"/>
      <c r="EY79" s="1576"/>
      <c r="EZ79" s="1576"/>
      <c r="FA79" s="1576"/>
      <c r="FB79" s="1576"/>
      <c r="FC79" s="1576"/>
      <c r="FD79" s="1576"/>
      <c r="FE79" s="1576"/>
      <c r="FF79" s="1576"/>
      <c r="FG79" s="1576"/>
      <c r="FH79" s="1576"/>
      <c r="FI79" s="1576"/>
      <c r="FJ79" s="1576"/>
      <c r="FK79" s="1576"/>
      <c r="FL79" s="1576"/>
      <c r="FM79" s="1576"/>
      <c r="FN79" s="1576"/>
      <c r="FO79" s="1576"/>
      <c r="FP79" s="1576"/>
      <c r="FQ79" s="1576"/>
      <c r="FR79" s="1576"/>
      <c r="FS79" s="1576"/>
      <c r="FT79" s="1576"/>
      <c r="FU79" s="1576"/>
      <c r="FV79" s="1576"/>
      <c r="FW79" s="1576"/>
      <c r="FX79" s="1576"/>
      <c r="FY79" s="1576"/>
      <c r="FZ79" s="1576"/>
      <c r="GA79" s="1576"/>
      <c r="GB79" s="1576"/>
      <c r="GC79" s="1576"/>
      <c r="GD79" s="1576"/>
      <c r="GE79" s="1576"/>
      <c r="GF79" s="1576"/>
      <c r="GG79" s="1576"/>
      <c r="GH79" s="1576"/>
      <c r="GI79" s="1576"/>
      <c r="GJ79" s="1576"/>
      <c r="GK79" s="1576"/>
      <c r="GL79" s="1576"/>
      <c r="GM79" s="1576"/>
      <c r="GN79" s="1576"/>
      <c r="GO79" s="1576"/>
      <c r="GP79" s="1576"/>
      <c r="GQ79" s="1576"/>
      <c r="GR79" s="1576"/>
      <c r="GS79" s="1576"/>
      <c r="GT79" s="1576"/>
      <c r="GU79" s="1576"/>
      <c r="GV79" s="1576"/>
      <c r="GW79" s="1576"/>
      <c r="GX79" s="1576"/>
      <c r="GY79" s="1576"/>
      <c r="GZ79" s="1576"/>
      <c r="HA79" s="1576"/>
      <c r="HB79" s="1576"/>
      <c r="HC79" s="1576"/>
      <c r="HD79" s="1576"/>
      <c r="HE79" s="1576"/>
      <c r="HF79" s="1576"/>
      <c r="HG79" s="1576"/>
      <c r="HH79" s="1576"/>
      <c r="HI79" s="1576"/>
      <c r="HJ79" s="1576"/>
      <c r="HK79" s="1576"/>
      <c r="HL79" s="1576"/>
      <c r="HM79" s="1576"/>
      <c r="HN79" s="1576"/>
      <c r="HO79" s="1576"/>
      <c r="HP79" s="1576"/>
      <c r="HQ79" s="1576"/>
      <c r="HR79" s="1576"/>
      <c r="HS79" s="1576"/>
      <c r="HT79" s="1576"/>
      <c r="HU79" s="1576"/>
      <c r="HV79" s="1576"/>
      <c r="HW79" s="1576"/>
      <c r="HX79" s="1576"/>
      <c r="HY79" s="1576"/>
      <c r="HZ79" s="1576"/>
      <c r="IA79" s="1576"/>
      <c r="IB79" s="1576"/>
      <c r="IC79" s="1576"/>
      <c r="ID79" s="1576"/>
      <c r="IE79" s="1576"/>
      <c r="IF79" s="1576"/>
      <c r="IG79" s="1576"/>
      <c r="IH79" s="1576"/>
      <c r="II79" s="1576"/>
      <c r="IJ79" s="1576"/>
      <c r="IK79" s="1576"/>
      <c r="IL79" s="1576"/>
      <c r="IM79" s="1576"/>
      <c r="IN79" s="1576"/>
      <c r="IO79" s="1576"/>
      <c r="IP79" s="1576"/>
      <c r="IQ79" s="1576"/>
      <c r="IR79" s="1576"/>
      <c r="IS79" s="1576"/>
      <c r="IT79" s="1576"/>
      <c r="IU79" s="1576"/>
      <c r="IV79" s="1576"/>
      <c r="IW79" s="1576"/>
      <c r="IX79" s="1576"/>
      <c r="IY79" s="1576"/>
      <c r="IZ79" s="1576"/>
      <c r="JA79" s="2054"/>
      <c r="JB79" s="2054"/>
      <c r="JC79" s="2054"/>
      <c r="JD79" s="2054"/>
      <c r="JE79" s="2054"/>
      <c r="JF79" s="2054"/>
      <c r="JG79" s="2054"/>
      <c r="JH79" s="2054"/>
      <c r="JI79" s="2054"/>
      <c r="JJ79" s="2054"/>
      <c r="JK79" s="2054"/>
      <c r="JL79" s="2054"/>
      <c r="JM79" s="2054"/>
      <c r="JN79" s="2054"/>
      <c r="JO79" s="2054"/>
      <c r="JP79" s="2054"/>
      <c r="JQ79" s="2054"/>
      <c r="JR79" s="1576" t="e">
        <f>'Paso 1.1'!E73*Tiempos!$H$69</f>
        <v>#DIV/0!</v>
      </c>
      <c r="JS79" s="1576" t="e">
        <f>'Paso 1.1'!F73*Tiempos!$H$69</f>
        <v>#DIV/0!</v>
      </c>
      <c r="JT79" s="1576" t="e">
        <f>'Paso 1.1'!G73*Tiempos!$H$69</f>
        <v>#DIV/0!</v>
      </c>
      <c r="JU79" s="1576" t="e">
        <f>'Paso 1.1'!H73*Tiempos!$H$69</f>
        <v>#DIV/0!</v>
      </c>
      <c r="JV79" s="1576" t="e">
        <f>'Paso 1.1'!I73*Tiempos!$H$69</f>
        <v>#DIV/0!</v>
      </c>
      <c r="JW79" s="1576" t="e">
        <f>'Paso 1.1'!J73*Tiempos!$H$69</f>
        <v>#DIV/0!</v>
      </c>
      <c r="JX79" s="1576" t="e">
        <f>'Paso 1.1'!K73*Tiempos!$H$69</f>
        <v>#DIV/0!</v>
      </c>
      <c r="JY79" s="1576" t="e">
        <f>'Paso 1.1'!L73*Tiempos!$H$69</f>
        <v>#DIV/0!</v>
      </c>
      <c r="JZ79" s="1576" t="e">
        <f>'Paso 1.1'!M73*Tiempos!$H$69</f>
        <v>#DIV/0!</v>
      </c>
      <c r="KA79" s="1576" t="e">
        <f>'Paso 1.1'!N73*Tiempos!$H$69</f>
        <v>#DIV/0!</v>
      </c>
      <c r="KB79" s="1576" t="e">
        <f>'Paso 1.1'!O73*Tiempos!$H$69</f>
        <v>#DIV/0!</v>
      </c>
      <c r="KC79" s="1576" t="e">
        <f>'Paso 1.1'!P73*Tiempos!$H$69</f>
        <v>#DIV/0!</v>
      </c>
      <c r="KD79" s="1576" t="e">
        <f>'Paso 1.1'!Q73*Tiempos!$H$69</f>
        <v>#DIV/0!</v>
      </c>
      <c r="KE79" s="1576" t="e">
        <f>'Paso 1.1'!R73*Tiempos!$H$69</f>
        <v>#DIV/0!</v>
      </c>
      <c r="KF79" s="1576" t="e">
        <f>'Paso 1.1'!S73*Tiempos!$H$69</f>
        <v>#DIV/0!</v>
      </c>
      <c r="KG79" s="1576" t="e">
        <f>'Paso 1.1'!T73*Tiempos!$H$69</f>
        <v>#DIV/0!</v>
      </c>
      <c r="KH79" s="1576" t="e">
        <f>'Paso 1.1'!U73*Tiempos!$H$69</f>
        <v>#DIV/0!</v>
      </c>
      <c r="KI79" s="1576"/>
      <c r="KJ79" s="1576"/>
      <c r="KK79" s="1576"/>
      <c r="KL79" s="1576"/>
      <c r="KM79" s="1576"/>
      <c r="KN79" s="1576"/>
      <c r="KO79" s="1576"/>
      <c r="KP79" s="1576"/>
      <c r="KQ79" s="1576"/>
      <c r="KR79" s="1576"/>
      <c r="KS79" s="1576"/>
      <c r="KT79" s="1576"/>
      <c r="KU79" s="1576"/>
      <c r="KV79" s="1576"/>
      <c r="KW79" s="1576"/>
      <c r="KX79" s="1576"/>
      <c r="KY79" s="1576"/>
      <c r="KZ79" s="1576"/>
      <c r="LA79" s="1576"/>
      <c r="LB79" s="1576"/>
      <c r="LC79" s="1576"/>
      <c r="LD79" s="1576"/>
      <c r="LE79" s="1576"/>
      <c r="LF79" s="1576"/>
      <c r="LG79" s="1576"/>
      <c r="LH79" s="1576"/>
      <c r="LI79" s="1576"/>
      <c r="LJ79" s="1576"/>
      <c r="LK79" s="1576"/>
      <c r="LL79" s="1576"/>
      <c r="LM79" s="1576"/>
      <c r="LN79" s="1576"/>
      <c r="LO79" s="1576"/>
      <c r="LP79" s="1576"/>
      <c r="LQ79" s="1576"/>
      <c r="LR79" s="1576"/>
      <c r="LS79" s="1576"/>
      <c r="LT79" s="1576"/>
      <c r="LU79" s="1576"/>
      <c r="LV79" s="1576"/>
      <c r="LW79" s="1576"/>
      <c r="LX79" s="1576"/>
      <c r="LY79" s="1576"/>
      <c r="LZ79" s="1576"/>
      <c r="MA79" s="1576"/>
      <c r="MB79" s="1576"/>
      <c r="MC79" s="1576"/>
      <c r="MD79" s="1576"/>
      <c r="ME79" s="1576"/>
      <c r="MF79" s="1576"/>
      <c r="MG79" s="1576"/>
      <c r="MH79" s="1576"/>
      <c r="MI79" s="1576"/>
      <c r="MJ79" s="1576"/>
      <c r="MK79" s="1576"/>
      <c r="ML79" s="1576"/>
      <c r="MM79" s="1576"/>
      <c r="MN79" s="1576"/>
      <c r="MO79" s="1576"/>
      <c r="MP79" s="1576"/>
      <c r="MQ79" s="1576"/>
      <c r="MR79" s="1576"/>
      <c r="MS79" s="1576"/>
      <c r="MT79" s="1576"/>
      <c r="MU79" s="1576"/>
      <c r="MV79" s="1576"/>
      <c r="MW79" s="1576"/>
      <c r="MX79" s="1576"/>
      <c r="MY79" s="1576" t="e">
        <f>'Paso 1.1'!E73*Tiempos!$L$69</f>
        <v>#DIV/0!</v>
      </c>
      <c r="MZ79" s="1576" t="e">
        <f>'Paso 1.1'!F73*Tiempos!$L$69</f>
        <v>#DIV/0!</v>
      </c>
      <c r="NA79" s="1576" t="e">
        <f>'Paso 1.1'!G73*Tiempos!$L$69</f>
        <v>#DIV/0!</v>
      </c>
      <c r="NB79" s="1576" t="e">
        <f>'Paso 1.1'!H73*Tiempos!$L$69</f>
        <v>#DIV/0!</v>
      </c>
      <c r="NC79" s="1576" t="e">
        <f>'Paso 1.1'!I73*Tiempos!$L$69</f>
        <v>#DIV/0!</v>
      </c>
      <c r="ND79" s="1576" t="e">
        <f>'Paso 1.1'!J73*Tiempos!$L$69</f>
        <v>#DIV/0!</v>
      </c>
      <c r="NE79" s="1576" t="e">
        <f>'Paso 1.1'!K73*Tiempos!$L$69</f>
        <v>#DIV/0!</v>
      </c>
      <c r="NF79" s="1576" t="e">
        <f>'Paso 1.1'!L73*Tiempos!$L$69</f>
        <v>#DIV/0!</v>
      </c>
      <c r="NG79" s="1576" t="e">
        <f>'Paso 1.1'!M73*Tiempos!$L$69</f>
        <v>#DIV/0!</v>
      </c>
      <c r="NH79" s="1576" t="e">
        <f>'Paso 1.1'!N73*Tiempos!$L$69</f>
        <v>#DIV/0!</v>
      </c>
      <c r="NI79" s="1576" t="e">
        <f>'Paso 1.1'!O73*Tiempos!$L$69</f>
        <v>#DIV/0!</v>
      </c>
      <c r="NJ79" s="1576" t="e">
        <f>'Paso 1.1'!P73*Tiempos!$L$69</f>
        <v>#DIV/0!</v>
      </c>
      <c r="NK79" s="1576" t="e">
        <f>'Paso 1.1'!Q73*Tiempos!$L$69</f>
        <v>#DIV/0!</v>
      </c>
      <c r="NL79" s="1576" t="e">
        <f>'Paso 1.1'!R73*Tiempos!$L$69</f>
        <v>#DIV/0!</v>
      </c>
      <c r="NM79" s="1576" t="e">
        <f>'Paso 1.1'!S73*Tiempos!$L$69</f>
        <v>#DIV/0!</v>
      </c>
      <c r="NN79" s="1576" t="e">
        <f>'Paso 1.1'!T73*Tiempos!$L$69</f>
        <v>#DIV/0!</v>
      </c>
      <c r="NO79" s="1576" t="e">
        <f>'Paso 1.1'!U73*Tiempos!$L$69</f>
        <v>#DIV/0!</v>
      </c>
      <c r="NP79" s="1576"/>
      <c r="NQ79" s="1576"/>
      <c r="NR79" s="1576"/>
      <c r="NS79" s="1576"/>
      <c r="NT79" s="1576"/>
      <c r="NU79" s="1576"/>
      <c r="NV79" s="1576"/>
      <c r="NW79" s="1576"/>
      <c r="NX79" s="1576"/>
      <c r="NY79" s="1576"/>
      <c r="NZ79" s="1576"/>
      <c r="OA79" s="1576"/>
      <c r="OB79" s="1576"/>
      <c r="OC79" s="1576"/>
      <c r="OD79" s="1576"/>
      <c r="OE79" s="1576"/>
      <c r="OF79" s="1576"/>
      <c r="OG79" s="1576"/>
      <c r="OH79" s="1576"/>
      <c r="OI79" s="1576"/>
      <c r="OJ79" s="1576"/>
      <c r="OK79" s="1576"/>
      <c r="OL79" s="1576"/>
      <c r="OM79" s="1576"/>
      <c r="ON79" s="1576"/>
      <c r="OO79" s="1576"/>
      <c r="OP79" s="1576"/>
      <c r="OQ79" s="1576"/>
      <c r="OR79" s="1576"/>
      <c r="OS79" s="1576"/>
      <c r="OT79" s="1576"/>
      <c r="OU79" s="1576"/>
      <c r="OV79" s="1576"/>
      <c r="OW79" s="1576"/>
      <c r="OX79" s="1576"/>
      <c r="OY79" s="1576"/>
      <c r="OZ79" s="1576"/>
      <c r="PA79" s="1576"/>
      <c r="PB79" s="1576"/>
      <c r="PC79" s="1576"/>
      <c r="PD79" s="1576"/>
      <c r="PE79" s="1576"/>
      <c r="PF79" s="1576"/>
      <c r="PG79" s="1576"/>
      <c r="PH79" s="1576"/>
      <c r="PI79" s="1576"/>
      <c r="PJ79" s="1576"/>
      <c r="PK79" s="1576"/>
      <c r="PL79" s="1576"/>
      <c r="PM79" s="1576"/>
      <c r="PN79" s="1576"/>
      <c r="PO79" s="1576"/>
      <c r="PP79" s="1576"/>
      <c r="PQ79" s="1576"/>
      <c r="PR79" s="1576"/>
      <c r="PS79" s="1576"/>
      <c r="PT79" s="1576"/>
      <c r="PU79" s="1576"/>
      <c r="PV79" s="1576"/>
      <c r="PW79" s="1576"/>
      <c r="PX79" s="1576"/>
      <c r="PY79" s="1576"/>
      <c r="PZ79" s="1576"/>
      <c r="QA79" s="1576"/>
      <c r="QB79" s="1576"/>
      <c r="QC79" s="1576"/>
      <c r="QD79" s="1576"/>
      <c r="QE79" s="1576"/>
      <c r="QF79" s="1576"/>
      <c r="QG79" s="1576"/>
      <c r="QH79" s="1576"/>
      <c r="QI79" s="1576"/>
      <c r="QJ79" s="1576"/>
      <c r="QK79" s="1576"/>
      <c r="QL79" s="1576"/>
      <c r="QM79" s="1576"/>
      <c r="QN79" s="1576"/>
      <c r="QO79" s="1576"/>
      <c r="QP79" s="1576"/>
      <c r="QQ79" s="1576"/>
      <c r="QR79" s="1576"/>
      <c r="QS79" s="1576"/>
      <c r="QT79" s="1576"/>
      <c r="QU79" s="1576"/>
      <c r="QV79" s="1576"/>
      <c r="QW79" s="1576"/>
      <c r="QX79" s="1576"/>
      <c r="QY79" s="1576"/>
      <c r="QZ79" s="1576"/>
      <c r="RA79" s="1576"/>
      <c r="RB79" s="1576"/>
      <c r="RC79" s="1576"/>
      <c r="RD79" s="1576"/>
      <c r="RE79" s="1576"/>
      <c r="RF79" s="1576"/>
      <c r="RG79" s="1576"/>
      <c r="RH79" s="1576"/>
      <c r="RI79" s="1576"/>
      <c r="RJ79" s="1576"/>
      <c r="RK79" s="1576"/>
      <c r="RL79" s="1576"/>
      <c r="RM79" s="1576"/>
      <c r="RN79" s="1576"/>
      <c r="RO79" s="1576"/>
      <c r="RP79" s="1576"/>
      <c r="RQ79" s="1576"/>
      <c r="RR79" s="1576"/>
      <c r="RS79" s="1576"/>
      <c r="RT79" s="1576"/>
      <c r="RU79" s="1576"/>
      <c r="RV79" s="1576"/>
      <c r="RW79" s="1576"/>
      <c r="RX79" s="1576"/>
      <c r="RY79" s="1576"/>
      <c r="RZ79" s="1576"/>
      <c r="SA79" s="1576"/>
      <c r="SB79" s="1576"/>
      <c r="SC79" s="1576"/>
      <c r="SD79" s="1576"/>
      <c r="SE79" s="1576"/>
      <c r="SF79" s="1576"/>
      <c r="SG79" s="1576"/>
      <c r="SH79" s="1576"/>
      <c r="SI79" s="1576"/>
      <c r="SJ79" s="1576"/>
      <c r="SK79" s="1576"/>
      <c r="SL79" s="1576"/>
      <c r="SM79" s="1576"/>
      <c r="SN79" s="1576"/>
      <c r="SO79" s="1576"/>
      <c r="SP79" s="1576"/>
      <c r="SQ79" s="1576"/>
      <c r="SR79" s="1576"/>
      <c r="SS79" s="1576"/>
      <c r="ST79" s="1576"/>
      <c r="SU79" s="1576"/>
      <c r="SV79" s="1576"/>
      <c r="SW79" s="1576"/>
      <c r="SX79" s="1576"/>
      <c r="SY79" s="1576"/>
      <c r="SZ79" s="1576"/>
      <c r="TA79" s="1576"/>
      <c r="TB79" s="1576"/>
      <c r="TC79" s="1576"/>
      <c r="TD79" s="1576"/>
      <c r="TE79" s="1576"/>
      <c r="TF79" s="1576"/>
      <c r="TG79" s="1576"/>
      <c r="TH79" s="1576"/>
      <c r="TI79" s="1576"/>
      <c r="TJ79" s="1576"/>
      <c r="TK79" s="1576"/>
      <c r="TL79" s="1576"/>
      <c r="TM79" s="1576"/>
      <c r="TN79" s="1576"/>
      <c r="TO79" s="1576"/>
      <c r="TP79" s="1576"/>
      <c r="TQ79" s="1576"/>
      <c r="TR79" s="1576"/>
      <c r="TS79" s="1576"/>
      <c r="TT79" s="1576"/>
      <c r="TU79" s="1576"/>
      <c r="TV79" s="1576"/>
      <c r="TW79" s="1576"/>
      <c r="TX79" s="1576"/>
      <c r="TY79" s="1576"/>
      <c r="TZ79" s="1576"/>
      <c r="UA79" s="1576"/>
      <c r="UB79" s="1576"/>
      <c r="UC79" s="1576"/>
      <c r="UD79" s="1576"/>
      <c r="UE79" s="1576"/>
      <c r="UF79" s="1576"/>
      <c r="UG79" s="1576"/>
      <c r="UH79" s="1576"/>
      <c r="UI79" s="1576"/>
      <c r="UJ79" s="1576"/>
      <c r="UK79" s="1576"/>
      <c r="UL79" s="1576"/>
      <c r="UM79" s="1576"/>
      <c r="UN79" s="1576"/>
      <c r="UO79" s="1576"/>
      <c r="UP79" s="1576"/>
      <c r="UQ79" s="1576"/>
      <c r="UR79" s="1576"/>
      <c r="US79" s="1576"/>
      <c r="UT79" s="1576"/>
      <c r="UU79" s="1576"/>
      <c r="UV79" s="1576"/>
      <c r="UW79" s="1576"/>
      <c r="UX79" s="1576"/>
      <c r="UY79" s="1576"/>
      <c r="UZ79" s="1576"/>
      <c r="VA79" s="1576"/>
      <c r="VB79" s="1576"/>
      <c r="VC79" s="1576"/>
      <c r="VD79" s="1576"/>
      <c r="VE79" s="1576"/>
      <c r="VF79" s="1576"/>
      <c r="VG79" s="1576"/>
      <c r="VH79" s="1576"/>
      <c r="VI79" s="1576"/>
      <c r="VJ79" s="1576"/>
      <c r="VK79" s="1576"/>
    </row>
    <row r="80" spans="1:583" ht="27" x14ac:dyDescent="0.25">
      <c r="B80" s="1610" t="s">
        <v>2769</v>
      </c>
      <c r="C80" s="1610" t="s">
        <v>2153</v>
      </c>
      <c r="D80" s="4710" t="s">
        <v>2155</v>
      </c>
      <c r="E80" s="4710"/>
      <c r="F80" s="1579" t="e">
        <f>'Paso 1.1'!E74*Tiempos!$H$70</f>
        <v>#DIV/0!</v>
      </c>
      <c r="G80" s="1579" t="e">
        <f>'Paso 1.1'!F74*Tiempos!$H$70</f>
        <v>#DIV/0!</v>
      </c>
      <c r="H80" s="1579" t="e">
        <f>'Paso 1.1'!G74*Tiempos!$H$70</f>
        <v>#DIV/0!</v>
      </c>
      <c r="I80" s="1579" t="e">
        <f>'Paso 1.1'!H74*Tiempos!$H$70</f>
        <v>#DIV/0!</v>
      </c>
      <c r="J80" s="1579" t="e">
        <f>'Paso 1.1'!I74*Tiempos!$H$70</f>
        <v>#DIV/0!</v>
      </c>
      <c r="K80" s="1579" t="e">
        <f>'Paso 1.1'!J74*Tiempos!$H$70</f>
        <v>#DIV/0!</v>
      </c>
      <c r="L80" s="1579" t="e">
        <f>'Paso 1.1'!K74*Tiempos!$H$70</f>
        <v>#DIV/0!</v>
      </c>
      <c r="M80" s="1579" t="e">
        <f>'Paso 1.1'!L74*Tiempos!$H$70</f>
        <v>#DIV/0!</v>
      </c>
      <c r="N80" s="1579" t="e">
        <f>'Paso 1.1'!M74*Tiempos!$H$70</f>
        <v>#DIV/0!</v>
      </c>
      <c r="O80" s="1579" t="e">
        <f>'Paso 1.1'!N74*Tiempos!$H$70</f>
        <v>#DIV/0!</v>
      </c>
      <c r="P80" s="1579" t="e">
        <f>'Paso 1.1'!O74*Tiempos!$H$70</f>
        <v>#DIV/0!</v>
      </c>
      <c r="Q80" s="1579" t="e">
        <f>'Paso 1.1'!P74*Tiempos!$H$70</f>
        <v>#DIV/0!</v>
      </c>
      <c r="R80" s="1579" t="e">
        <f>'Paso 1.1'!Q74*Tiempos!$H$70</f>
        <v>#DIV/0!</v>
      </c>
      <c r="S80" s="1579" t="e">
        <f>'Paso 1.1'!R74*Tiempos!$H$70</f>
        <v>#DIV/0!</v>
      </c>
      <c r="T80" s="1579" t="e">
        <f>'Paso 1.1'!S74*Tiempos!$H$70</f>
        <v>#DIV/0!</v>
      </c>
      <c r="U80" s="1579" t="e">
        <f>'Paso 1.1'!T74*Tiempos!$H$70</f>
        <v>#DIV/0!</v>
      </c>
      <c r="V80" s="1579" t="e">
        <f>'Paso 1.1'!U74*Tiempos!$H$70</f>
        <v>#DIV/0!</v>
      </c>
      <c r="W80" s="2058"/>
      <c r="X80" s="2058"/>
      <c r="Y80" s="2058"/>
      <c r="Z80" s="2059"/>
      <c r="AA80" s="2059"/>
      <c r="AB80" s="2059"/>
      <c r="AC80" s="2059"/>
      <c r="AD80" s="2059"/>
      <c r="AE80" s="2059"/>
      <c r="AF80" s="2059"/>
      <c r="AG80" s="2059"/>
      <c r="AH80" s="2059"/>
      <c r="AI80" s="2059"/>
      <c r="AJ80" s="2059"/>
      <c r="AK80" s="2059"/>
      <c r="AL80" s="2059"/>
      <c r="AM80" s="2059"/>
      <c r="AN80" s="2058" t="e">
        <f>'Paso 1.1'!E74*Tiempos!$H$70</f>
        <v>#DIV/0!</v>
      </c>
      <c r="AO80" s="2058" t="e">
        <f>'Paso 1.1'!F74*Tiempos!$H$70</f>
        <v>#DIV/0!</v>
      </c>
      <c r="AP80" s="2058" t="e">
        <f>'Paso 1.1'!G74*Tiempos!$H$70</f>
        <v>#DIV/0!</v>
      </c>
      <c r="AQ80" s="2058" t="e">
        <f>'Paso 1.1'!H74*Tiempos!$H$70</f>
        <v>#DIV/0!</v>
      </c>
      <c r="AR80" s="2058" t="e">
        <f>'Paso 1.1'!I74*Tiempos!$H$70</f>
        <v>#DIV/0!</v>
      </c>
      <c r="AS80" s="2058" t="e">
        <f>'Paso 1.1'!J74*Tiempos!$H$70</f>
        <v>#DIV/0!</v>
      </c>
      <c r="AT80" s="2058" t="e">
        <f>'Paso 1.1'!K74*Tiempos!$H$70</f>
        <v>#DIV/0!</v>
      </c>
      <c r="AU80" s="2058" t="e">
        <f>'Paso 1.1'!L74*Tiempos!$H$70</f>
        <v>#DIV/0!</v>
      </c>
      <c r="AV80" s="2058" t="e">
        <f>'Paso 1.1'!M74*Tiempos!$H$70</f>
        <v>#DIV/0!</v>
      </c>
      <c r="AW80" s="2058" t="e">
        <f>'Paso 1.1'!N74*Tiempos!$H$70</f>
        <v>#DIV/0!</v>
      </c>
      <c r="AX80" s="2058" t="e">
        <f>'Paso 1.1'!O74*Tiempos!$H$70</f>
        <v>#DIV/0!</v>
      </c>
      <c r="AY80" s="2058" t="e">
        <f>'Paso 1.1'!P74*Tiempos!$H$70</f>
        <v>#DIV/0!</v>
      </c>
      <c r="AZ80" s="2058" t="e">
        <f>'Paso 1.1'!Q74*Tiempos!$H$70</f>
        <v>#DIV/0!</v>
      </c>
      <c r="BA80" s="2058" t="e">
        <f>'Paso 1.1'!R74*Tiempos!$H$70</f>
        <v>#DIV/0!</v>
      </c>
      <c r="BB80" s="2058" t="e">
        <f>'Paso 1.1'!S74*Tiempos!$H$70</f>
        <v>#DIV/0!</v>
      </c>
      <c r="BC80" s="2058" t="e">
        <f>'Paso 1.1'!T74*Tiempos!$H$70</f>
        <v>#DIV/0!</v>
      </c>
      <c r="BD80" s="2058" t="e">
        <f>'Paso 1.1'!U74*Tiempos!$H$70</f>
        <v>#DIV/0!</v>
      </c>
      <c r="BE80" s="2059"/>
      <c r="BF80" s="2059"/>
      <c r="BG80" s="2059"/>
      <c r="BH80" s="2059"/>
      <c r="BI80" s="2059"/>
      <c r="BJ80" s="2059"/>
      <c r="BK80" s="2059"/>
      <c r="BL80" s="2059"/>
      <c r="BM80" s="2059"/>
      <c r="BN80" s="2059"/>
      <c r="BO80" s="2059"/>
      <c r="BP80" s="2059"/>
      <c r="BQ80" s="2059"/>
      <c r="BR80" s="2059"/>
      <c r="BS80" s="2059"/>
      <c r="BT80" s="2059"/>
      <c r="BU80" s="2059"/>
      <c r="BV80" s="2058" t="e">
        <f>'Paso 1.1'!E74*Tiempos!$H$70</f>
        <v>#DIV/0!</v>
      </c>
      <c r="BW80" s="2058" t="e">
        <f>'Paso 1.1'!F74*Tiempos!$H$70</f>
        <v>#DIV/0!</v>
      </c>
      <c r="BX80" s="2058" t="e">
        <f>'Paso 1.1'!G74*Tiempos!$H$70</f>
        <v>#DIV/0!</v>
      </c>
      <c r="BY80" s="2058" t="e">
        <f>'Paso 1.1'!H74*Tiempos!$H$70</f>
        <v>#DIV/0!</v>
      </c>
      <c r="BZ80" s="2058" t="e">
        <f>'Paso 1.1'!I74*Tiempos!$H$70</f>
        <v>#DIV/0!</v>
      </c>
      <c r="CA80" s="2058" t="e">
        <f>'Paso 1.1'!J74*Tiempos!$H$70</f>
        <v>#DIV/0!</v>
      </c>
      <c r="CB80" s="2058" t="e">
        <f>'Paso 1.1'!K74*Tiempos!$H$70</f>
        <v>#DIV/0!</v>
      </c>
      <c r="CC80" s="2058" t="e">
        <f>'Paso 1.1'!L74*Tiempos!$H$70</f>
        <v>#DIV/0!</v>
      </c>
      <c r="CD80" s="2058" t="e">
        <f>'Paso 1.1'!M74*Tiempos!$H$70</f>
        <v>#DIV/0!</v>
      </c>
      <c r="CE80" s="2058" t="e">
        <f>'Paso 1.1'!N74*Tiempos!$H$70</f>
        <v>#DIV/0!</v>
      </c>
      <c r="CF80" s="2058" t="e">
        <f>'Paso 1.1'!O74*Tiempos!$H$70</f>
        <v>#DIV/0!</v>
      </c>
      <c r="CG80" s="2058" t="e">
        <f>'Paso 1.1'!P74*Tiempos!$H$70</f>
        <v>#DIV/0!</v>
      </c>
      <c r="CH80" s="2058" t="e">
        <f>'Paso 1.1'!Q74*Tiempos!$H$70</f>
        <v>#DIV/0!</v>
      </c>
      <c r="CI80" s="2058" t="e">
        <f>'Paso 1.1'!R74*Tiempos!$H$70</f>
        <v>#DIV/0!</v>
      </c>
      <c r="CJ80" s="2058" t="e">
        <f>'Paso 1.1'!S74*Tiempos!$H$70</f>
        <v>#DIV/0!</v>
      </c>
      <c r="CK80" s="2058" t="e">
        <f>'Paso 1.1'!T74*Tiempos!$H$70</f>
        <v>#DIV/0!</v>
      </c>
      <c r="CL80" s="2058" t="e">
        <f>'Paso 1.1'!U74*Tiempos!$H$70</f>
        <v>#DIV/0!</v>
      </c>
      <c r="CM80" s="2059"/>
      <c r="CN80" s="2059"/>
      <c r="CO80" s="2059"/>
      <c r="CP80" s="1576"/>
      <c r="CQ80" s="1576"/>
      <c r="CR80" s="1576"/>
      <c r="CS80" s="1576"/>
      <c r="CT80" s="1576"/>
      <c r="CU80" s="1576"/>
      <c r="CV80" s="1576"/>
      <c r="CW80" s="1576"/>
      <c r="CX80" s="1576"/>
      <c r="CY80" s="1576"/>
      <c r="CZ80" s="1576"/>
      <c r="DA80" s="1576"/>
      <c r="DB80" s="1576"/>
      <c r="DC80" s="1576"/>
      <c r="DD80" s="1576"/>
      <c r="DE80" s="1576"/>
      <c r="DF80" s="1576"/>
      <c r="DG80" s="1576"/>
      <c r="DH80" s="1576"/>
      <c r="DI80" s="1576"/>
      <c r="DJ80" s="1576"/>
      <c r="DK80" s="1576"/>
      <c r="DL80" s="1576"/>
      <c r="DM80" s="1576"/>
      <c r="DN80" s="1576"/>
      <c r="DO80" s="1576"/>
      <c r="DP80" s="1576"/>
      <c r="DQ80" s="1576"/>
      <c r="DR80" s="1576"/>
      <c r="DS80" s="1576"/>
      <c r="DT80" s="1576"/>
      <c r="DU80" s="1576"/>
      <c r="DV80" s="1576"/>
      <c r="DW80" s="1576"/>
      <c r="DX80" s="1576"/>
      <c r="DY80" s="1576"/>
      <c r="DZ80" s="1576"/>
      <c r="EA80" s="1576"/>
      <c r="EB80" s="1576"/>
      <c r="EC80" s="1576"/>
      <c r="ED80" s="1576"/>
      <c r="EE80" s="1576"/>
      <c r="EF80" s="1576"/>
      <c r="EG80" s="1576"/>
      <c r="EH80" s="1576"/>
      <c r="EI80" s="1576"/>
      <c r="EJ80" s="1576"/>
      <c r="EK80" s="1576"/>
      <c r="EL80" s="1576"/>
      <c r="EM80" s="1576"/>
      <c r="EN80" s="1576"/>
      <c r="EO80" s="1576"/>
      <c r="EP80" s="1576"/>
      <c r="EQ80" s="1576"/>
      <c r="ER80" s="1576"/>
      <c r="ES80" s="1576"/>
      <c r="ET80" s="1576"/>
      <c r="EU80" s="1576"/>
      <c r="EV80" s="1576"/>
      <c r="EW80" s="1576"/>
      <c r="EX80" s="1576"/>
      <c r="EY80" s="1576"/>
      <c r="EZ80" s="1576"/>
      <c r="FA80" s="1576"/>
      <c r="FB80" s="1576"/>
      <c r="FC80" s="1576"/>
      <c r="FD80" s="1576"/>
      <c r="FE80" s="1576"/>
      <c r="FF80" s="1576"/>
      <c r="FG80" s="1576"/>
      <c r="FH80" s="1576"/>
      <c r="FI80" s="1576"/>
      <c r="FJ80" s="1576"/>
      <c r="FK80" s="1576"/>
      <c r="FL80" s="1576"/>
      <c r="FM80" s="1576"/>
      <c r="FN80" s="1576"/>
      <c r="FO80" s="1576"/>
      <c r="FP80" s="1576"/>
      <c r="FQ80" s="1576"/>
      <c r="FR80" s="1576"/>
      <c r="FS80" s="1576"/>
      <c r="FT80" s="1576"/>
      <c r="FU80" s="1576"/>
      <c r="FV80" s="1576"/>
      <c r="FW80" s="1576"/>
      <c r="FX80" s="1576"/>
      <c r="FY80" s="1576"/>
      <c r="FZ80" s="1576"/>
      <c r="GA80" s="1576"/>
      <c r="GB80" s="1576"/>
      <c r="GC80" s="1576"/>
      <c r="GD80" s="1576"/>
      <c r="GE80" s="1576"/>
      <c r="GF80" s="1576"/>
      <c r="GG80" s="1576"/>
      <c r="GH80" s="1576"/>
      <c r="GI80" s="1576"/>
      <c r="GJ80" s="1576"/>
      <c r="GK80" s="1576"/>
      <c r="GL80" s="1576"/>
      <c r="GM80" s="1576"/>
      <c r="GN80" s="1576"/>
      <c r="GO80" s="1576"/>
      <c r="GP80" s="1576"/>
      <c r="GQ80" s="1576"/>
      <c r="GR80" s="1576"/>
      <c r="GS80" s="1576"/>
      <c r="GT80" s="1576"/>
      <c r="GU80" s="1576"/>
      <c r="GV80" s="1576"/>
      <c r="GW80" s="1576"/>
      <c r="GX80" s="1576"/>
      <c r="GY80" s="1576"/>
      <c r="GZ80" s="1576"/>
      <c r="HA80" s="1576"/>
      <c r="HB80" s="1576"/>
      <c r="HC80" s="1576"/>
      <c r="HD80" s="1576"/>
      <c r="HE80" s="1576"/>
      <c r="HF80" s="1576"/>
      <c r="HG80" s="1576"/>
      <c r="HH80" s="1576"/>
      <c r="HI80" s="1576"/>
      <c r="HJ80" s="1576"/>
      <c r="HK80" s="1576"/>
      <c r="HL80" s="1576"/>
      <c r="HM80" s="1576"/>
      <c r="HN80" s="1576"/>
      <c r="HO80" s="1576"/>
      <c r="HP80" s="1576"/>
      <c r="HQ80" s="1576"/>
      <c r="HR80" s="1576"/>
      <c r="HS80" s="1576"/>
      <c r="HT80" s="1576"/>
      <c r="HU80" s="1576"/>
      <c r="HV80" s="1576"/>
      <c r="HW80" s="1576"/>
      <c r="HX80" s="1576"/>
      <c r="HY80" s="1576"/>
      <c r="HZ80" s="1576"/>
      <c r="IA80" s="1576"/>
      <c r="IB80" s="1576"/>
      <c r="IC80" s="1576"/>
      <c r="ID80" s="1576"/>
      <c r="IE80" s="1576"/>
      <c r="IF80" s="1576"/>
      <c r="IG80" s="1576"/>
      <c r="IH80" s="1576"/>
      <c r="II80" s="1576"/>
      <c r="IJ80" s="1576"/>
      <c r="IK80" s="1576"/>
      <c r="IL80" s="1576"/>
      <c r="IM80" s="1576"/>
      <c r="IN80" s="1576"/>
      <c r="IO80" s="1576"/>
      <c r="IP80" s="1576"/>
      <c r="IQ80" s="1576"/>
      <c r="IR80" s="1576"/>
      <c r="IS80" s="1576"/>
      <c r="IT80" s="1576"/>
      <c r="IU80" s="1576"/>
      <c r="IV80" s="1576"/>
      <c r="IW80" s="1576"/>
      <c r="IX80" s="1576"/>
      <c r="IY80" s="1576"/>
      <c r="IZ80" s="1576"/>
      <c r="JA80" s="2054"/>
      <c r="JB80" s="2054"/>
      <c r="JC80" s="2054"/>
      <c r="JD80" s="2054"/>
      <c r="JE80" s="2054"/>
      <c r="JF80" s="2054"/>
      <c r="JG80" s="2054"/>
      <c r="JH80" s="2054"/>
      <c r="JI80" s="2054"/>
      <c r="JJ80" s="2054"/>
      <c r="JK80" s="2054"/>
      <c r="JL80" s="2054"/>
      <c r="JM80" s="2054"/>
      <c r="JN80" s="2054"/>
      <c r="JO80" s="2054"/>
      <c r="JP80" s="2054"/>
      <c r="JQ80" s="2054"/>
      <c r="JR80" s="1576" t="e">
        <f>'Paso 1.1'!E74*Tiempos!$P$70</f>
        <v>#DIV/0!</v>
      </c>
      <c r="JS80" s="1576" t="e">
        <f>'Paso 1.1'!F74*Tiempos!$P$70</f>
        <v>#DIV/0!</v>
      </c>
      <c r="JT80" s="1576" t="e">
        <f>'Paso 1.1'!G74*Tiempos!$P$70</f>
        <v>#DIV/0!</v>
      </c>
      <c r="JU80" s="1576" t="e">
        <f>'Paso 1.1'!H74*Tiempos!$P$70</f>
        <v>#DIV/0!</v>
      </c>
      <c r="JV80" s="1576" t="e">
        <f>'Paso 1.1'!I74*Tiempos!$P$70</f>
        <v>#DIV/0!</v>
      </c>
      <c r="JW80" s="1576" t="e">
        <f>'Paso 1.1'!J74*Tiempos!$P$70</f>
        <v>#DIV/0!</v>
      </c>
      <c r="JX80" s="1576" t="e">
        <f>'Paso 1.1'!K74*Tiempos!$P$70</f>
        <v>#DIV/0!</v>
      </c>
      <c r="JY80" s="1576" t="e">
        <f>'Paso 1.1'!L74*Tiempos!$P$70</f>
        <v>#DIV/0!</v>
      </c>
      <c r="JZ80" s="1576" t="e">
        <f>'Paso 1.1'!M74*Tiempos!$P$70</f>
        <v>#DIV/0!</v>
      </c>
      <c r="KA80" s="1576" t="e">
        <f>'Paso 1.1'!N74*Tiempos!$P$70</f>
        <v>#DIV/0!</v>
      </c>
      <c r="KB80" s="1576" t="e">
        <f>'Paso 1.1'!O74*Tiempos!$P$70</f>
        <v>#DIV/0!</v>
      </c>
      <c r="KC80" s="1576" t="e">
        <f>'Paso 1.1'!P74*Tiempos!$P$70</f>
        <v>#DIV/0!</v>
      </c>
      <c r="KD80" s="1576" t="e">
        <f>'Paso 1.1'!Q74*Tiempos!$P$70</f>
        <v>#DIV/0!</v>
      </c>
      <c r="KE80" s="1576" t="e">
        <f>'Paso 1.1'!R74*Tiempos!$P$70</f>
        <v>#DIV/0!</v>
      </c>
      <c r="KF80" s="1576" t="e">
        <f>'Paso 1.1'!S74*Tiempos!$P$70</f>
        <v>#DIV/0!</v>
      </c>
      <c r="KG80" s="1576" t="e">
        <f>'Paso 1.1'!T74*Tiempos!$P$70</f>
        <v>#DIV/0!</v>
      </c>
      <c r="KH80" s="1576" t="e">
        <f>'Paso 1.1'!U74*Tiempos!$P$70</f>
        <v>#DIV/0!</v>
      </c>
      <c r="KI80" s="1576" t="e">
        <f>'Paso 1.1'!E74*Tiempos!$P$70</f>
        <v>#DIV/0!</v>
      </c>
      <c r="KJ80" s="1576" t="e">
        <f>'Paso 1.1'!F74*Tiempos!$P$70</f>
        <v>#DIV/0!</v>
      </c>
      <c r="KK80" s="1576" t="e">
        <f>'Paso 1.1'!G74*Tiempos!$P$70</f>
        <v>#DIV/0!</v>
      </c>
      <c r="KL80" s="1576" t="e">
        <f>'Paso 1.1'!H74*Tiempos!$P$70</f>
        <v>#DIV/0!</v>
      </c>
      <c r="KM80" s="1576" t="e">
        <f>'Paso 1.1'!I74*Tiempos!$P$70</f>
        <v>#DIV/0!</v>
      </c>
      <c r="KN80" s="1576" t="e">
        <f>'Paso 1.1'!J74*Tiempos!$P$70</f>
        <v>#DIV/0!</v>
      </c>
      <c r="KO80" s="1576" t="e">
        <f>'Paso 1.1'!K74*Tiempos!$P$70</f>
        <v>#DIV/0!</v>
      </c>
      <c r="KP80" s="1576" t="e">
        <f>'Paso 1.1'!L74*Tiempos!$P$70</f>
        <v>#DIV/0!</v>
      </c>
      <c r="KQ80" s="1576" t="e">
        <f>'Paso 1.1'!M74*Tiempos!$P$70</f>
        <v>#DIV/0!</v>
      </c>
      <c r="KR80" s="1576" t="e">
        <f>'Paso 1.1'!N74*Tiempos!$P$70</f>
        <v>#DIV/0!</v>
      </c>
      <c r="KS80" s="1576" t="e">
        <f>'Paso 1.1'!O74*Tiempos!$P$70</f>
        <v>#DIV/0!</v>
      </c>
      <c r="KT80" s="1576" t="e">
        <f>'Paso 1.1'!P74*Tiempos!$P$70</f>
        <v>#DIV/0!</v>
      </c>
      <c r="KU80" s="1576" t="e">
        <f>'Paso 1.1'!Q74*Tiempos!$P$70</f>
        <v>#DIV/0!</v>
      </c>
      <c r="KV80" s="1576" t="e">
        <f>'Paso 1.1'!R74*Tiempos!$P$70</f>
        <v>#DIV/0!</v>
      </c>
      <c r="KW80" s="1576" t="e">
        <f>'Paso 1.1'!S74*Tiempos!$P$70</f>
        <v>#DIV/0!</v>
      </c>
      <c r="KX80" s="1576" t="e">
        <f>'Paso 1.1'!T74*Tiempos!$P$70</f>
        <v>#DIV/0!</v>
      </c>
      <c r="KY80" s="1576" t="e">
        <f>'Paso 1.1'!U74*Tiempos!$P$70</f>
        <v>#DIV/0!</v>
      </c>
      <c r="KZ80" s="1576"/>
      <c r="LA80" s="1576"/>
      <c r="LB80" s="1576"/>
      <c r="LC80" s="1576"/>
      <c r="LD80" s="1576"/>
      <c r="LE80" s="1576"/>
      <c r="LF80" s="1576"/>
      <c r="LG80" s="1576"/>
      <c r="LH80" s="1576"/>
      <c r="LI80" s="1576"/>
      <c r="LJ80" s="1576"/>
      <c r="LK80" s="1576"/>
      <c r="LL80" s="1576"/>
      <c r="LM80" s="1576"/>
      <c r="LN80" s="1576"/>
      <c r="LO80" s="1576"/>
      <c r="LP80" s="1576"/>
      <c r="LQ80" s="1576"/>
      <c r="LR80" s="1576"/>
      <c r="LS80" s="1576"/>
      <c r="LT80" s="1576"/>
      <c r="LU80" s="1576"/>
      <c r="LV80" s="1576"/>
      <c r="LW80" s="1576"/>
      <c r="LX80" s="1576"/>
      <c r="LY80" s="1576"/>
      <c r="LZ80" s="1576"/>
      <c r="MA80" s="1576"/>
      <c r="MB80" s="1576"/>
      <c r="MC80" s="1576"/>
      <c r="MD80" s="1576"/>
      <c r="ME80" s="1576"/>
      <c r="MF80" s="1576"/>
      <c r="MG80" s="1576"/>
      <c r="MH80" s="1576"/>
      <c r="MI80" s="1576"/>
      <c r="MJ80" s="1576"/>
      <c r="MK80" s="1576"/>
      <c r="ML80" s="1576"/>
      <c r="MM80" s="1576"/>
      <c r="MN80" s="1576"/>
      <c r="MO80" s="1576"/>
      <c r="MP80" s="1576"/>
      <c r="MQ80" s="1576"/>
      <c r="MR80" s="1576"/>
      <c r="MS80" s="1576"/>
      <c r="MT80" s="1576"/>
      <c r="MU80" s="1576"/>
      <c r="MV80" s="1576"/>
      <c r="MW80" s="1576"/>
      <c r="MX80" s="1576"/>
      <c r="MY80" s="1576" t="e">
        <f>'Paso 1.1'!E74*Tiempos!$L$70</f>
        <v>#DIV/0!</v>
      </c>
      <c r="MZ80" s="1576" t="e">
        <f>'Paso 1.1'!F74*Tiempos!$L$70</f>
        <v>#DIV/0!</v>
      </c>
      <c r="NA80" s="1576" t="e">
        <f>'Paso 1.1'!G74*Tiempos!$L$70</f>
        <v>#DIV/0!</v>
      </c>
      <c r="NB80" s="1576" t="e">
        <f>'Paso 1.1'!H74*Tiempos!$L$70</f>
        <v>#DIV/0!</v>
      </c>
      <c r="NC80" s="1576" t="e">
        <f>'Paso 1.1'!I74*Tiempos!$L$70</f>
        <v>#DIV/0!</v>
      </c>
      <c r="ND80" s="1576" t="e">
        <f>'Paso 1.1'!J74*Tiempos!$L$70</f>
        <v>#DIV/0!</v>
      </c>
      <c r="NE80" s="1576" t="e">
        <f>'Paso 1.1'!K74*Tiempos!$L$70</f>
        <v>#DIV/0!</v>
      </c>
      <c r="NF80" s="1576" t="e">
        <f>'Paso 1.1'!L74*Tiempos!$L$70</f>
        <v>#DIV/0!</v>
      </c>
      <c r="NG80" s="1576" t="e">
        <f>'Paso 1.1'!M74*Tiempos!$L$70</f>
        <v>#DIV/0!</v>
      </c>
      <c r="NH80" s="1576" t="e">
        <f>'Paso 1.1'!N74*Tiempos!$L$70</f>
        <v>#DIV/0!</v>
      </c>
      <c r="NI80" s="1576" t="e">
        <f>'Paso 1.1'!O74*Tiempos!$L$70</f>
        <v>#DIV/0!</v>
      </c>
      <c r="NJ80" s="1576" t="e">
        <f>'Paso 1.1'!P74*Tiempos!$L$70</f>
        <v>#DIV/0!</v>
      </c>
      <c r="NK80" s="1576" t="e">
        <f>'Paso 1.1'!Q74*Tiempos!$L$70</f>
        <v>#DIV/0!</v>
      </c>
      <c r="NL80" s="1576" t="e">
        <f>'Paso 1.1'!R74*Tiempos!$L$70</f>
        <v>#DIV/0!</v>
      </c>
      <c r="NM80" s="1576" t="e">
        <f>'Paso 1.1'!S74*Tiempos!$L$70</f>
        <v>#DIV/0!</v>
      </c>
      <c r="NN80" s="1576" t="e">
        <f>'Paso 1.1'!T74*Tiempos!$L$70</f>
        <v>#DIV/0!</v>
      </c>
      <c r="NO80" s="1576" t="e">
        <f>'Paso 1.1'!U74*Tiempos!$L$70</f>
        <v>#DIV/0!</v>
      </c>
      <c r="NP80" s="1578"/>
      <c r="NQ80" s="1578"/>
      <c r="NR80" s="1578"/>
      <c r="NS80" s="1576"/>
      <c r="NT80" s="1576"/>
      <c r="NU80" s="1576"/>
      <c r="NV80" s="1576"/>
      <c r="NW80" s="1576"/>
      <c r="NX80" s="1576"/>
      <c r="NY80" s="1576"/>
      <c r="NZ80" s="1576"/>
      <c r="OA80" s="1576"/>
      <c r="OB80" s="1576"/>
      <c r="OC80" s="1576"/>
      <c r="OD80" s="1576"/>
      <c r="OE80" s="1576"/>
      <c r="OF80" s="1576"/>
      <c r="OG80" s="1576"/>
      <c r="OH80" s="1576"/>
      <c r="OI80" s="1576"/>
      <c r="OJ80" s="1576"/>
      <c r="OK80" s="1576"/>
      <c r="OL80" s="1576"/>
      <c r="OM80" s="1576"/>
      <c r="ON80" s="1576"/>
      <c r="OO80" s="1576"/>
      <c r="OP80" s="1576"/>
      <c r="OQ80" s="1576"/>
      <c r="OR80" s="1576"/>
      <c r="OS80" s="1576"/>
      <c r="OT80" s="1576"/>
      <c r="OU80" s="1576"/>
      <c r="OV80" s="1576"/>
      <c r="OW80" s="1576"/>
      <c r="OX80" s="1576"/>
      <c r="OY80" s="1576"/>
      <c r="OZ80" s="1576"/>
      <c r="PA80" s="1576"/>
      <c r="PB80" s="1576"/>
      <c r="PC80" s="1576"/>
      <c r="PD80" s="1576"/>
      <c r="PE80" s="1576"/>
      <c r="PF80" s="1576"/>
      <c r="PG80" s="1576"/>
      <c r="PH80" s="1576"/>
      <c r="PI80" s="1576"/>
      <c r="PJ80" s="1576"/>
      <c r="PK80" s="1576"/>
      <c r="PL80" s="1576"/>
      <c r="PM80" s="1576"/>
      <c r="PN80" s="1576"/>
      <c r="PO80" s="1576"/>
      <c r="PP80" s="1576"/>
      <c r="PQ80" s="1576"/>
      <c r="PR80" s="1576"/>
      <c r="PS80" s="1576"/>
      <c r="PT80" s="1576"/>
      <c r="PU80" s="1576"/>
      <c r="PV80" s="1576"/>
      <c r="PW80" s="1576"/>
      <c r="PX80" s="1576"/>
      <c r="PY80" s="1576"/>
      <c r="PZ80" s="1576"/>
      <c r="QA80" s="1576"/>
      <c r="QB80" s="1576"/>
      <c r="QC80" s="1576"/>
      <c r="QD80" s="1576"/>
      <c r="QE80" s="1576"/>
      <c r="QF80" s="1576"/>
      <c r="QG80" s="1576"/>
      <c r="QH80" s="1576"/>
      <c r="QI80" s="1576"/>
      <c r="QJ80" s="1576"/>
      <c r="QK80" s="1576"/>
      <c r="QL80" s="1576"/>
      <c r="QM80" s="1576"/>
      <c r="QN80" s="1576"/>
      <c r="QO80" s="1576"/>
      <c r="QP80" s="1576"/>
      <c r="QQ80" s="1576"/>
      <c r="QR80" s="1576"/>
      <c r="QS80" s="1576"/>
      <c r="QT80" s="1576"/>
      <c r="QU80" s="1576"/>
      <c r="QV80" s="1576"/>
      <c r="QW80" s="1576"/>
      <c r="QX80" s="1576"/>
      <c r="QY80" s="1576"/>
      <c r="QZ80" s="1576"/>
      <c r="RA80" s="1576"/>
      <c r="RB80" s="1576"/>
      <c r="RC80" s="1576"/>
      <c r="RD80" s="1576"/>
      <c r="RE80" s="1576"/>
      <c r="RF80" s="1576"/>
      <c r="RG80" s="1576"/>
      <c r="RH80" s="1576"/>
      <c r="RI80" s="1576"/>
      <c r="RJ80" s="1576"/>
      <c r="RK80" s="1576"/>
      <c r="RL80" s="1576"/>
      <c r="RM80" s="1576"/>
      <c r="RN80" s="1576"/>
      <c r="RO80" s="1576"/>
      <c r="RP80" s="1576"/>
      <c r="RQ80" s="1576"/>
      <c r="RR80" s="1576"/>
      <c r="RS80" s="1576"/>
      <c r="RT80" s="1576"/>
      <c r="RU80" s="1576"/>
      <c r="RV80" s="1576"/>
      <c r="RW80" s="1576"/>
      <c r="RX80" s="1576"/>
      <c r="RY80" s="1576"/>
      <c r="RZ80" s="1576"/>
      <c r="SA80" s="1576"/>
      <c r="SB80" s="1576"/>
      <c r="SC80" s="1576"/>
      <c r="SD80" s="1576"/>
      <c r="SE80" s="1576"/>
      <c r="SF80" s="1576"/>
      <c r="SG80" s="1576"/>
      <c r="SH80" s="1576"/>
      <c r="SI80" s="1576"/>
      <c r="SJ80" s="1576"/>
      <c r="SK80" s="1576"/>
      <c r="SL80" s="1576"/>
      <c r="SM80" s="1576"/>
      <c r="SN80" s="1576"/>
      <c r="SO80" s="1576"/>
      <c r="SP80" s="1576"/>
      <c r="SQ80" s="1576"/>
      <c r="SR80" s="1576"/>
      <c r="SS80" s="1576"/>
      <c r="ST80" s="1576"/>
      <c r="SU80" s="1576"/>
      <c r="SV80" s="1576"/>
      <c r="SW80" s="1576"/>
      <c r="SX80" s="1576"/>
      <c r="SY80" s="1576"/>
      <c r="SZ80" s="1576"/>
      <c r="TA80" s="1576"/>
      <c r="TB80" s="1576"/>
      <c r="TC80" s="1576"/>
      <c r="TD80" s="1576"/>
      <c r="TE80" s="1576"/>
      <c r="TF80" s="1576"/>
      <c r="TG80" s="1576"/>
      <c r="TH80" s="1576"/>
      <c r="TI80" s="1576"/>
      <c r="TJ80" s="1576"/>
      <c r="TK80" s="1576"/>
      <c r="TL80" s="1576"/>
      <c r="TM80" s="1576"/>
      <c r="TN80" s="1576"/>
      <c r="TO80" s="1576"/>
      <c r="TP80" s="1576"/>
      <c r="TQ80" s="1576"/>
      <c r="TR80" s="1576"/>
      <c r="TS80" s="1576"/>
      <c r="TT80" s="1576"/>
      <c r="TU80" s="1576"/>
      <c r="TV80" s="1576"/>
      <c r="TW80" s="1576"/>
      <c r="TX80" s="1576"/>
      <c r="TY80" s="1576"/>
      <c r="TZ80" s="1576"/>
      <c r="UA80" s="1576"/>
      <c r="UB80" s="1576"/>
      <c r="UC80" s="1576"/>
      <c r="UD80" s="1576"/>
      <c r="UE80" s="1576"/>
      <c r="UF80" s="1576"/>
      <c r="UG80" s="1576"/>
      <c r="UH80" s="1576"/>
      <c r="UI80" s="1576"/>
      <c r="UJ80" s="1576"/>
      <c r="UK80" s="1576"/>
      <c r="UL80" s="1576"/>
      <c r="UM80" s="1576"/>
      <c r="UN80" s="1576"/>
      <c r="UO80" s="1576"/>
      <c r="UP80" s="1576"/>
      <c r="UQ80" s="1576"/>
      <c r="UR80" s="1576"/>
      <c r="US80" s="1576"/>
      <c r="UT80" s="1576"/>
      <c r="UU80" s="1576"/>
      <c r="UV80" s="1576"/>
      <c r="UW80" s="1576"/>
      <c r="UX80" s="1576"/>
      <c r="UY80" s="1576"/>
      <c r="UZ80" s="1576"/>
      <c r="VA80" s="1576"/>
      <c r="VB80" s="1576"/>
      <c r="VC80" s="1576"/>
      <c r="VD80" s="1576"/>
      <c r="VE80" s="1576"/>
      <c r="VF80" s="1576"/>
      <c r="VG80" s="1576"/>
      <c r="VH80" s="1576"/>
      <c r="VI80" s="1576"/>
      <c r="VJ80" s="1576"/>
      <c r="VK80" s="1576"/>
    </row>
    <row r="81" spans="2:583" ht="37.5" customHeight="1" x14ac:dyDescent="0.25">
      <c r="B81" s="1610" t="s">
        <v>2769</v>
      </c>
      <c r="C81" s="1610" t="s">
        <v>1340</v>
      </c>
      <c r="D81" s="4710" t="s">
        <v>2928</v>
      </c>
      <c r="E81" s="4710"/>
      <c r="F81" s="1579" t="e">
        <f>'Paso 1.1'!E76*Tiempos!$H$71</f>
        <v>#DIV/0!</v>
      </c>
      <c r="G81" s="1579" t="e">
        <f>'Paso 1.1'!F76*Tiempos!$H$71</f>
        <v>#DIV/0!</v>
      </c>
      <c r="H81" s="1579" t="e">
        <f>'Paso 1.1'!G76*Tiempos!$H$71</f>
        <v>#DIV/0!</v>
      </c>
      <c r="I81" s="1579" t="e">
        <f>'Paso 1.1'!H76*Tiempos!$H$71</f>
        <v>#DIV/0!</v>
      </c>
      <c r="J81" s="1579" t="e">
        <f>'Paso 1.1'!I76*Tiempos!$H$71</f>
        <v>#DIV/0!</v>
      </c>
      <c r="K81" s="1579" t="e">
        <f>'Paso 1.1'!J76*Tiempos!$H$71</f>
        <v>#DIV/0!</v>
      </c>
      <c r="L81" s="1579" t="e">
        <f>'Paso 1.1'!K76*Tiempos!$H$71</f>
        <v>#DIV/0!</v>
      </c>
      <c r="M81" s="1579" t="e">
        <f>'Paso 1.1'!L76*Tiempos!$H$71</f>
        <v>#DIV/0!</v>
      </c>
      <c r="N81" s="1579" t="e">
        <f>'Paso 1.1'!M76*Tiempos!$H$71</f>
        <v>#DIV/0!</v>
      </c>
      <c r="O81" s="1579" t="e">
        <f>'Paso 1.1'!N76*Tiempos!$H$71</f>
        <v>#DIV/0!</v>
      </c>
      <c r="P81" s="1579" t="e">
        <f>'Paso 1.1'!O76*Tiempos!$H$71</f>
        <v>#DIV/0!</v>
      </c>
      <c r="Q81" s="1579" t="e">
        <f>'Paso 1.1'!P76*Tiempos!$H$71</f>
        <v>#DIV/0!</v>
      </c>
      <c r="R81" s="1579" t="e">
        <f>'Paso 1.1'!Q76*Tiempos!$H$71</f>
        <v>#DIV/0!</v>
      </c>
      <c r="S81" s="1579" t="e">
        <f>'Paso 1.1'!R76*Tiempos!$H$71</f>
        <v>#DIV/0!</v>
      </c>
      <c r="T81" s="1579" t="e">
        <f>'Paso 1.1'!S76*Tiempos!$H$71</f>
        <v>#DIV/0!</v>
      </c>
      <c r="U81" s="1579" t="e">
        <f>'Paso 1.1'!T76*Tiempos!$H$71</f>
        <v>#DIV/0!</v>
      </c>
      <c r="V81" s="1579" t="e">
        <f>'Paso 1.1'!U76*Tiempos!$H$71</f>
        <v>#DIV/0!</v>
      </c>
      <c r="W81" s="2059"/>
      <c r="X81" s="2059"/>
      <c r="Y81" s="2059"/>
      <c r="Z81" s="2059"/>
      <c r="AA81" s="2059"/>
      <c r="AB81" s="2059"/>
      <c r="AC81" s="2059"/>
      <c r="AD81" s="2059"/>
      <c r="AE81" s="2059"/>
      <c r="AF81" s="2059"/>
      <c r="AG81" s="2059"/>
      <c r="AH81" s="2059"/>
      <c r="AI81" s="2059"/>
      <c r="AJ81" s="2059"/>
      <c r="AK81" s="2059"/>
      <c r="AL81" s="2059"/>
      <c r="AM81" s="2059"/>
      <c r="AN81" s="2058" t="e">
        <f>'Paso 1.1'!E76*Tiempos!$H$71</f>
        <v>#DIV/0!</v>
      </c>
      <c r="AO81" s="2058" t="e">
        <f>'Paso 1.1'!F76*Tiempos!$H$71</f>
        <v>#DIV/0!</v>
      </c>
      <c r="AP81" s="2058" t="e">
        <f>'Paso 1.1'!G76*Tiempos!$H$71</f>
        <v>#DIV/0!</v>
      </c>
      <c r="AQ81" s="2058" t="e">
        <f>'Paso 1.1'!H76*Tiempos!$H$71</f>
        <v>#DIV/0!</v>
      </c>
      <c r="AR81" s="2058" t="e">
        <f>'Paso 1.1'!I76*Tiempos!$H$71</f>
        <v>#DIV/0!</v>
      </c>
      <c r="AS81" s="2058" t="e">
        <f>'Paso 1.1'!J76*Tiempos!$H$71</f>
        <v>#DIV/0!</v>
      </c>
      <c r="AT81" s="2058" t="e">
        <f>'Paso 1.1'!K76*Tiempos!$H$71</f>
        <v>#DIV/0!</v>
      </c>
      <c r="AU81" s="2058" t="e">
        <f>'Paso 1.1'!L76*Tiempos!$H$71</f>
        <v>#DIV/0!</v>
      </c>
      <c r="AV81" s="2058" t="e">
        <f>'Paso 1.1'!M76*Tiempos!$H$71</f>
        <v>#DIV/0!</v>
      </c>
      <c r="AW81" s="2058" t="e">
        <f>'Paso 1.1'!N76*Tiempos!$H$71</f>
        <v>#DIV/0!</v>
      </c>
      <c r="AX81" s="2058" t="e">
        <f>'Paso 1.1'!O76*Tiempos!$H$71</f>
        <v>#DIV/0!</v>
      </c>
      <c r="AY81" s="2058" t="e">
        <f>'Paso 1.1'!P76*Tiempos!$H$71</f>
        <v>#DIV/0!</v>
      </c>
      <c r="AZ81" s="2058" t="e">
        <f>'Paso 1.1'!Q76*Tiempos!$H$71</f>
        <v>#DIV/0!</v>
      </c>
      <c r="BA81" s="2058" t="e">
        <f>'Paso 1.1'!R76*Tiempos!$H$71</f>
        <v>#DIV/0!</v>
      </c>
      <c r="BB81" s="2058" t="e">
        <f>'Paso 1.1'!S76*Tiempos!$H$71</f>
        <v>#DIV/0!</v>
      </c>
      <c r="BC81" s="2058" t="e">
        <f>'Paso 1.1'!T76*Tiempos!$H$71</f>
        <v>#DIV/0!</v>
      </c>
      <c r="BD81" s="2058" t="e">
        <f>'Paso 1.1'!U76*Tiempos!$H$71</f>
        <v>#DIV/0!</v>
      </c>
      <c r="BE81" s="2059"/>
      <c r="BF81" s="2059"/>
      <c r="BG81" s="2059"/>
      <c r="BH81" s="2059"/>
      <c r="BI81" s="2059"/>
      <c r="BJ81" s="2059"/>
      <c r="BK81" s="2059"/>
      <c r="BL81" s="2059"/>
      <c r="BM81" s="2059"/>
      <c r="BN81" s="2059"/>
      <c r="BO81" s="2059"/>
      <c r="BP81" s="2059"/>
      <c r="BQ81" s="2059"/>
      <c r="BR81" s="2059"/>
      <c r="BS81" s="2059"/>
      <c r="BT81" s="2059"/>
      <c r="BU81" s="2059"/>
      <c r="BV81" s="2058" t="e">
        <f>'Paso 1.1'!E74*Tiempos!$H$71</f>
        <v>#DIV/0!</v>
      </c>
      <c r="BW81" s="2058" t="e">
        <f>'Paso 1.1'!F74*Tiempos!$H$71</f>
        <v>#DIV/0!</v>
      </c>
      <c r="BX81" s="2058" t="e">
        <f>'Paso 1.1'!G74*Tiempos!$H$71</f>
        <v>#DIV/0!</v>
      </c>
      <c r="BY81" s="2058" t="e">
        <f>'Paso 1.1'!H74*Tiempos!$H$71</f>
        <v>#DIV/0!</v>
      </c>
      <c r="BZ81" s="2058" t="e">
        <f>'Paso 1.1'!I74*Tiempos!$H$71</f>
        <v>#DIV/0!</v>
      </c>
      <c r="CA81" s="2058" t="e">
        <f>'Paso 1.1'!J74*Tiempos!$H$71</f>
        <v>#DIV/0!</v>
      </c>
      <c r="CB81" s="2058" t="e">
        <f>'Paso 1.1'!K74*Tiempos!$H$71</f>
        <v>#DIV/0!</v>
      </c>
      <c r="CC81" s="2058" t="e">
        <f>'Paso 1.1'!L74*Tiempos!$H$71</f>
        <v>#DIV/0!</v>
      </c>
      <c r="CD81" s="2058" t="e">
        <f>'Paso 1.1'!M74*Tiempos!$H$71</f>
        <v>#DIV/0!</v>
      </c>
      <c r="CE81" s="2058" t="e">
        <f>'Paso 1.1'!N74*Tiempos!$H$71</f>
        <v>#DIV/0!</v>
      </c>
      <c r="CF81" s="2058" t="e">
        <f>'Paso 1.1'!O74*Tiempos!$H$71</f>
        <v>#DIV/0!</v>
      </c>
      <c r="CG81" s="2058" t="e">
        <f>'Paso 1.1'!P74*Tiempos!$H$71</f>
        <v>#DIV/0!</v>
      </c>
      <c r="CH81" s="2058" t="e">
        <f>'Paso 1.1'!Q74*Tiempos!$H$71</f>
        <v>#DIV/0!</v>
      </c>
      <c r="CI81" s="2058" t="e">
        <f>'Paso 1.1'!R74*Tiempos!$H$71</f>
        <v>#DIV/0!</v>
      </c>
      <c r="CJ81" s="2058" t="e">
        <f>'Paso 1.1'!S74*Tiempos!$H$71</f>
        <v>#DIV/0!</v>
      </c>
      <c r="CK81" s="2058" t="e">
        <f>'Paso 1.1'!T74*Tiempos!$H$71</f>
        <v>#DIV/0!</v>
      </c>
      <c r="CL81" s="2058" t="e">
        <f>'Paso 1.1'!U74*Tiempos!$H$71</f>
        <v>#DIV/0!</v>
      </c>
      <c r="CM81" s="2059"/>
      <c r="CN81" s="2059"/>
      <c r="CO81" s="2059"/>
      <c r="CP81" s="1576"/>
      <c r="CQ81" s="1576"/>
      <c r="CR81" s="1576"/>
      <c r="CS81" s="1576"/>
      <c r="CT81" s="1576"/>
      <c r="CU81" s="1576"/>
      <c r="CV81" s="1576"/>
      <c r="CW81" s="1576"/>
      <c r="CX81" s="1576"/>
      <c r="CY81" s="1576"/>
      <c r="CZ81" s="1576"/>
      <c r="DA81" s="1576"/>
      <c r="DB81" s="1576"/>
      <c r="DC81" s="1576"/>
      <c r="DD81" s="1576"/>
      <c r="DE81" s="1576"/>
      <c r="DF81" s="1576"/>
      <c r="DG81" s="1576"/>
      <c r="DH81" s="1576"/>
      <c r="DI81" s="1576"/>
      <c r="DJ81" s="1576"/>
      <c r="DK81" s="1576"/>
      <c r="DL81" s="1576"/>
      <c r="DM81" s="1576"/>
      <c r="DN81" s="1576"/>
      <c r="DO81" s="1576"/>
      <c r="DP81" s="1576"/>
      <c r="DQ81" s="1576"/>
      <c r="DR81" s="1576"/>
      <c r="DS81" s="1576"/>
      <c r="DT81" s="1576"/>
      <c r="DU81" s="1576"/>
      <c r="DV81" s="1576"/>
      <c r="DW81" s="1576"/>
      <c r="DX81" s="1576"/>
      <c r="DY81" s="1576"/>
      <c r="DZ81" s="1576"/>
      <c r="EA81" s="1576"/>
      <c r="EB81" s="1576"/>
      <c r="EC81" s="1576"/>
      <c r="ED81" s="1576"/>
      <c r="EE81" s="1576"/>
      <c r="EF81" s="1576"/>
      <c r="EG81" s="1576"/>
      <c r="EH81" s="1576"/>
      <c r="EI81" s="1576"/>
      <c r="EJ81" s="1576"/>
      <c r="EK81" s="1576"/>
      <c r="EL81" s="1576"/>
      <c r="EM81" s="1576"/>
      <c r="EN81" s="1576"/>
      <c r="EO81" s="1576"/>
      <c r="EP81" s="1576"/>
      <c r="EQ81" s="1576"/>
      <c r="ER81" s="1576"/>
      <c r="ES81" s="1576"/>
      <c r="ET81" s="1576"/>
      <c r="EU81" s="1576"/>
      <c r="EV81" s="1576"/>
      <c r="EW81" s="1576"/>
      <c r="EX81" s="1576"/>
      <c r="EY81" s="1576"/>
      <c r="EZ81" s="1576"/>
      <c r="FA81" s="1576"/>
      <c r="FB81" s="1576"/>
      <c r="FC81" s="1576"/>
      <c r="FD81" s="1576"/>
      <c r="FE81" s="1576"/>
      <c r="FF81" s="1576"/>
      <c r="FG81" s="1576"/>
      <c r="FH81" s="1576"/>
      <c r="FI81" s="1576"/>
      <c r="FJ81" s="1576"/>
      <c r="FK81" s="1576"/>
      <c r="FL81" s="1576"/>
      <c r="FM81" s="1576"/>
      <c r="FN81" s="1576"/>
      <c r="FO81" s="1576"/>
      <c r="FP81" s="1576"/>
      <c r="FQ81" s="1576"/>
      <c r="FR81" s="1576"/>
      <c r="FS81" s="1576"/>
      <c r="FT81" s="1576"/>
      <c r="FU81" s="1576"/>
      <c r="FV81" s="1576"/>
      <c r="FW81" s="1576"/>
      <c r="FX81" s="1576"/>
      <c r="FY81" s="1576"/>
      <c r="FZ81" s="1576"/>
      <c r="GA81" s="1576"/>
      <c r="GB81" s="1576"/>
      <c r="GC81" s="1576"/>
      <c r="GD81" s="1576"/>
      <c r="GE81" s="1576"/>
      <c r="GF81" s="1576"/>
      <c r="GG81" s="1576"/>
      <c r="GH81" s="1576"/>
      <c r="GI81" s="1576"/>
      <c r="GJ81" s="1576"/>
      <c r="GK81" s="1576"/>
      <c r="GL81" s="1576"/>
      <c r="GM81" s="1576"/>
      <c r="GN81" s="1576"/>
      <c r="GO81" s="1576"/>
      <c r="GP81" s="1576"/>
      <c r="GQ81" s="1576"/>
      <c r="GR81" s="1576"/>
      <c r="GS81" s="1576"/>
      <c r="GT81" s="1576"/>
      <c r="GU81" s="1576"/>
      <c r="GV81" s="1576"/>
      <c r="GW81" s="1576"/>
      <c r="GX81" s="1576"/>
      <c r="GY81" s="1576"/>
      <c r="GZ81" s="1576"/>
      <c r="HA81" s="1576"/>
      <c r="HB81" s="1576"/>
      <c r="HC81" s="1576"/>
      <c r="HD81" s="1576"/>
      <c r="HE81" s="1576"/>
      <c r="HF81" s="1576"/>
      <c r="HG81" s="1576"/>
      <c r="HH81" s="1576"/>
      <c r="HI81" s="1576"/>
      <c r="HJ81" s="1576"/>
      <c r="HK81" s="1576"/>
      <c r="HL81" s="1576"/>
      <c r="HM81" s="1576"/>
      <c r="HN81" s="1576"/>
      <c r="HO81" s="1576"/>
      <c r="HP81" s="1576"/>
      <c r="HQ81" s="1576"/>
      <c r="HR81" s="1576"/>
      <c r="HS81" s="1576"/>
      <c r="HT81" s="1576"/>
      <c r="HU81" s="1576"/>
      <c r="HV81" s="1576"/>
      <c r="HW81" s="1576"/>
      <c r="HX81" s="1576"/>
      <c r="HY81" s="1576"/>
      <c r="HZ81" s="1576"/>
      <c r="IA81" s="1576"/>
      <c r="IB81" s="1576"/>
      <c r="IC81" s="1576"/>
      <c r="ID81" s="1576"/>
      <c r="IE81" s="1576"/>
      <c r="IF81" s="1576"/>
      <c r="IG81" s="1576"/>
      <c r="IH81" s="1576"/>
      <c r="II81" s="1576"/>
      <c r="IJ81" s="1576"/>
      <c r="IK81" s="1576"/>
      <c r="IL81" s="1576"/>
      <c r="IM81" s="1576"/>
      <c r="IN81" s="1576"/>
      <c r="IO81" s="1576"/>
      <c r="IP81" s="1576"/>
      <c r="IQ81" s="1576"/>
      <c r="IR81" s="1576"/>
      <c r="IS81" s="1576"/>
      <c r="IT81" s="1576"/>
      <c r="IU81" s="1576"/>
      <c r="IV81" s="1576"/>
      <c r="IW81" s="1576"/>
      <c r="IX81" s="1576"/>
      <c r="IY81" s="1576"/>
      <c r="IZ81" s="1576"/>
      <c r="JA81" s="2054"/>
      <c r="JB81" s="2054"/>
      <c r="JC81" s="2054"/>
      <c r="JD81" s="2054"/>
      <c r="JE81" s="2054"/>
      <c r="JF81" s="2054"/>
      <c r="JG81" s="2054"/>
      <c r="JH81" s="2054"/>
      <c r="JI81" s="2054"/>
      <c r="JJ81" s="2054"/>
      <c r="JK81" s="2054"/>
      <c r="JL81" s="2054"/>
      <c r="JM81" s="2054"/>
      <c r="JN81" s="2054"/>
      <c r="JO81" s="2054"/>
      <c r="JP81" s="2054"/>
      <c r="JQ81" s="2054"/>
      <c r="JR81" s="1576" t="e">
        <f>'Paso 1.1'!E76*Tiempos!$H$71</f>
        <v>#DIV/0!</v>
      </c>
      <c r="JS81" s="1576" t="e">
        <f>'Paso 1.1'!F76*Tiempos!$H$71</f>
        <v>#DIV/0!</v>
      </c>
      <c r="JT81" s="1576" t="e">
        <f>'Paso 1.1'!G76*Tiempos!$H$71</f>
        <v>#DIV/0!</v>
      </c>
      <c r="JU81" s="1576" t="e">
        <f>'Paso 1.1'!H76*Tiempos!$H$71</f>
        <v>#DIV/0!</v>
      </c>
      <c r="JV81" s="1576" t="e">
        <f>'Paso 1.1'!I76*Tiempos!$H$71</f>
        <v>#DIV/0!</v>
      </c>
      <c r="JW81" s="1576" t="e">
        <f>'Paso 1.1'!J76*Tiempos!$H$71</f>
        <v>#DIV/0!</v>
      </c>
      <c r="JX81" s="1576" t="e">
        <f>'Paso 1.1'!K76*Tiempos!$H$71</f>
        <v>#DIV/0!</v>
      </c>
      <c r="JY81" s="1576" t="e">
        <f>'Paso 1.1'!L76*Tiempos!$H$71</f>
        <v>#DIV/0!</v>
      </c>
      <c r="JZ81" s="1576" t="e">
        <f>'Paso 1.1'!M76*Tiempos!$H$71</f>
        <v>#DIV/0!</v>
      </c>
      <c r="KA81" s="1576" t="e">
        <f>'Paso 1.1'!N76*Tiempos!$H$71</f>
        <v>#DIV/0!</v>
      </c>
      <c r="KB81" s="1576" t="e">
        <f>'Paso 1.1'!O76*Tiempos!$H$71</f>
        <v>#DIV/0!</v>
      </c>
      <c r="KC81" s="1576" t="e">
        <f>'Paso 1.1'!P76*Tiempos!$H$71</f>
        <v>#DIV/0!</v>
      </c>
      <c r="KD81" s="1576" t="e">
        <f>'Paso 1.1'!Q76*Tiempos!$H$71</f>
        <v>#DIV/0!</v>
      </c>
      <c r="KE81" s="1576" t="e">
        <f>'Paso 1.1'!R76*Tiempos!$H$71</f>
        <v>#DIV/0!</v>
      </c>
      <c r="KF81" s="1576" t="e">
        <f>'Paso 1.1'!S76*Tiempos!$H$71</f>
        <v>#DIV/0!</v>
      </c>
      <c r="KG81" s="1576" t="e">
        <f>'Paso 1.1'!T76*Tiempos!$H$71</f>
        <v>#DIV/0!</v>
      </c>
      <c r="KH81" s="1576" t="e">
        <f>'Paso 1.1'!U76*Tiempos!$H$71</f>
        <v>#DIV/0!</v>
      </c>
      <c r="KI81" s="1576" t="e">
        <f>'Paso 1.1'!E76*Tiempos!$H$71</f>
        <v>#DIV/0!</v>
      </c>
      <c r="KJ81" s="1576" t="e">
        <f>'Paso 1.1'!F76*Tiempos!$H$71</f>
        <v>#DIV/0!</v>
      </c>
      <c r="KK81" s="1576" t="e">
        <f>'Paso 1.1'!G76*Tiempos!$H$71</f>
        <v>#DIV/0!</v>
      </c>
      <c r="KL81" s="1576" t="e">
        <f>'Paso 1.1'!H76*Tiempos!$H$71</f>
        <v>#DIV/0!</v>
      </c>
      <c r="KM81" s="1576" t="e">
        <f>'Paso 1.1'!I76*Tiempos!$H$71</f>
        <v>#DIV/0!</v>
      </c>
      <c r="KN81" s="1576" t="e">
        <f>'Paso 1.1'!J76*Tiempos!$H$71</f>
        <v>#DIV/0!</v>
      </c>
      <c r="KO81" s="1576" t="e">
        <f>'Paso 1.1'!K76*Tiempos!$H$71</f>
        <v>#DIV/0!</v>
      </c>
      <c r="KP81" s="1576" t="e">
        <f>'Paso 1.1'!L76*Tiempos!$H$71</f>
        <v>#DIV/0!</v>
      </c>
      <c r="KQ81" s="1576" t="e">
        <f>'Paso 1.1'!M76*Tiempos!$H$71</f>
        <v>#DIV/0!</v>
      </c>
      <c r="KR81" s="1576" t="e">
        <f>'Paso 1.1'!N76*Tiempos!$H$71</f>
        <v>#DIV/0!</v>
      </c>
      <c r="KS81" s="1576" t="e">
        <f>'Paso 1.1'!O76*Tiempos!$H$71</f>
        <v>#DIV/0!</v>
      </c>
      <c r="KT81" s="1576" t="e">
        <f>'Paso 1.1'!P76*Tiempos!$H$71</f>
        <v>#DIV/0!</v>
      </c>
      <c r="KU81" s="1576" t="e">
        <f>'Paso 1.1'!Q76*Tiempos!$H$71</f>
        <v>#DIV/0!</v>
      </c>
      <c r="KV81" s="1576" t="e">
        <f>'Paso 1.1'!R76*Tiempos!$H$71</f>
        <v>#DIV/0!</v>
      </c>
      <c r="KW81" s="1576" t="e">
        <f>'Paso 1.1'!S76*Tiempos!$H$71</f>
        <v>#DIV/0!</v>
      </c>
      <c r="KX81" s="1576" t="e">
        <f>'Paso 1.1'!T76*Tiempos!$H$71</f>
        <v>#DIV/0!</v>
      </c>
      <c r="KY81" s="1576" t="e">
        <f>'Paso 1.1'!U76*Tiempos!$H$71</f>
        <v>#DIV/0!</v>
      </c>
      <c r="KZ81" s="1576"/>
      <c r="LA81" s="1576"/>
      <c r="LB81" s="1576"/>
      <c r="LC81" s="1576"/>
      <c r="LD81" s="1576"/>
      <c r="LE81" s="1576"/>
      <c r="LF81" s="1576"/>
      <c r="LG81" s="1576"/>
      <c r="LH81" s="1576"/>
      <c r="LI81" s="1576"/>
      <c r="LJ81" s="1576"/>
      <c r="LK81" s="1576"/>
      <c r="LL81" s="1576"/>
      <c r="LM81" s="1576"/>
      <c r="LN81" s="1576"/>
      <c r="LO81" s="1576"/>
      <c r="LP81" s="1576"/>
      <c r="LQ81" s="1576"/>
      <c r="LR81" s="1576"/>
      <c r="LS81" s="1576"/>
      <c r="LT81" s="1576"/>
      <c r="LU81" s="1576"/>
      <c r="LV81" s="1576"/>
      <c r="LW81" s="1576"/>
      <c r="LX81" s="1576"/>
      <c r="LY81" s="1576"/>
      <c r="LZ81" s="1576"/>
      <c r="MA81" s="1576"/>
      <c r="MB81" s="1576"/>
      <c r="MC81" s="1576"/>
      <c r="MD81" s="1576"/>
      <c r="ME81" s="1576"/>
      <c r="MF81" s="1576"/>
      <c r="MG81" s="1576"/>
      <c r="MH81" s="1576"/>
      <c r="MI81" s="1576"/>
      <c r="MJ81" s="1576"/>
      <c r="MK81" s="1576"/>
      <c r="ML81" s="1576"/>
      <c r="MM81" s="1576"/>
      <c r="MN81" s="1576"/>
      <c r="MO81" s="1576"/>
      <c r="MP81" s="1576"/>
      <c r="MQ81" s="1576"/>
      <c r="MR81" s="1576"/>
      <c r="MS81" s="1576"/>
      <c r="MT81" s="1576"/>
      <c r="MU81" s="1576"/>
      <c r="MV81" s="1576"/>
      <c r="MW81" s="1576"/>
      <c r="MX81" s="1576"/>
      <c r="MY81" s="1576" t="e">
        <f>'Paso 1.1'!E76*Tiempos!$H$71</f>
        <v>#DIV/0!</v>
      </c>
      <c r="MZ81" s="1576" t="e">
        <f>'Paso 1.1'!F76*Tiempos!$H$71</f>
        <v>#DIV/0!</v>
      </c>
      <c r="NA81" s="1576" t="e">
        <f>'Paso 1.1'!G76*Tiempos!$H$71</f>
        <v>#DIV/0!</v>
      </c>
      <c r="NB81" s="1576" t="e">
        <f>'Paso 1.1'!H76*Tiempos!$H$71</f>
        <v>#DIV/0!</v>
      </c>
      <c r="NC81" s="1576" t="e">
        <f>'Paso 1.1'!I76*Tiempos!$H$71</f>
        <v>#DIV/0!</v>
      </c>
      <c r="ND81" s="1576" t="e">
        <f>'Paso 1.1'!J76*Tiempos!$H$71</f>
        <v>#DIV/0!</v>
      </c>
      <c r="NE81" s="1576" t="e">
        <f>'Paso 1.1'!K76*Tiempos!$H$71</f>
        <v>#DIV/0!</v>
      </c>
      <c r="NF81" s="1576" t="e">
        <f>'Paso 1.1'!L76*Tiempos!$H$71</f>
        <v>#DIV/0!</v>
      </c>
      <c r="NG81" s="1576" t="e">
        <f>'Paso 1.1'!M76*Tiempos!$H$71</f>
        <v>#DIV/0!</v>
      </c>
      <c r="NH81" s="1576" t="e">
        <f>'Paso 1.1'!N76*Tiempos!$H$71</f>
        <v>#DIV/0!</v>
      </c>
      <c r="NI81" s="1576" t="e">
        <f>'Paso 1.1'!O76*Tiempos!$H$71</f>
        <v>#DIV/0!</v>
      </c>
      <c r="NJ81" s="1576" t="e">
        <f>'Paso 1.1'!P76*Tiempos!$H$71</f>
        <v>#DIV/0!</v>
      </c>
      <c r="NK81" s="1576" t="e">
        <f>'Paso 1.1'!Q76*Tiempos!$H$71</f>
        <v>#DIV/0!</v>
      </c>
      <c r="NL81" s="1576" t="e">
        <f>'Paso 1.1'!R76*Tiempos!$H$71</f>
        <v>#DIV/0!</v>
      </c>
      <c r="NM81" s="1576" t="e">
        <f>'Paso 1.1'!S76*Tiempos!$H$71</f>
        <v>#DIV/0!</v>
      </c>
      <c r="NN81" s="1576" t="e">
        <f>'Paso 1.1'!T76*Tiempos!$H$71</f>
        <v>#DIV/0!</v>
      </c>
      <c r="NO81" s="1576" t="e">
        <f>'Paso 1.1'!U76*Tiempos!$H$71</f>
        <v>#DIV/0!</v>
      </c>
      <c r="NP81" s="1578"/>
      <c r="NQ81" s="1578"/>
      <c r="NR81" s="1578"/>
      <c r="NS81" s="1576"/>
      <c r="NT81" s="1576"/>
      <c r="NU81" s="1576"/>
      <c r="NV81" s="1576"/>
      <c r="NW81" s="1576"/>
      <c r="NX81" s="1576"/>
      <c r="NY81" s="1576"/>
      <c r="NZ81" s="1576"/>
      <c r="OA81" s="1576"/>
      <c r="OB81" s="1576"/>
      <c r="OC81" s="1576"/>
      <c r="OD81" s="1576"/>
      <c r="OE81" s="1576"/>
      <c r="OF81" s="1576"/>
      <c r="OG81" s="1576"/>
      <c r="OH81" s="1576"/>
      <c r="OI81" s="1576"/>
      <c r="OJ81" s="1576"/>
      <c r="OK81" s="1576"/>
      <c r="OL81" s="1576"/>
      <c r="OM81" s="1576"/>
      <c r="ON81" s="1576"/>
      <c r="OO81" s="1576"/>
      <c r="OP81" s="1576"/>
      <c r="OQ81" s="1576"/>
      <c r="OR81" s="1576"/>
      <c r="OS81" s="1576"/>
      <c r="OT81" s="1576"/>
      <c r="OU81" s="1576"/>
      <c r="OV81" s="1576"/>
      <c r="OW81" s="1576"/>
      <c r="OX81" s="1576"/>
      <c r="OY81" s="1576"/>
      <c r="OZ81" s="1576"/>
      <c r="PA81" s="1576"/>
      <c r="PB81" s="1576"/>
      <c r="PC81" s="1576"/>
      <c r="PD81" s="1576"/>
      <c r="PE81" s="1576"/>
      <c r="PF81" s="1576"/>
      <c r="PG81" s="1576"/>
      <c r="PH81" s="1576"/>
      <c r="PI81" s="1576"/>
      <c r="PJ81" s="1576"/>
      <c r="PK81" s="1576"/>
      <c r="PL81" s="1576"/>
      <c r="PM81" s="1576"/>
      <c r="PN81" s="1576"/>
      <c r="PO81" s="1576"/>
      <c r="PP81" s="1576"/>
      <c r="PQ81" s="1576"/>
      <c r="PR81" s="1576"/>
      <c r="PS81" s="1576"/>
      <c r="PT81" s="1576"/>
      <c r="PU81" s="1576"/>
      <c r="PV81" s="1576"/>
      <c r="PW81" s="1576"/>
      <c r="PX81" s="1576"/>
      <c r="PY81" s="1576"/>
      <c r="PZ81" s="1576"/>
      <c r="QA81" s="1576"/>
      <c r="QB81" s="1576"/>
      <c r="QC81" s="1576"/>
      <c r="QD81" s="1576"/>
      <c r="QE81" s="1576"/>
      <c r="QF81" s="1576"/>
      <c r="QG81" s="1576"/>
      <c r="QH81" s="1576"/>
      <c r="QI81" s="1576"/>
      <c r="QJ81" s="1576"/>
      <c r="QK81" s="1576"/>
      <c r="QL81" s="1576"/>
      <c r="QM81" s="1576"/>
      <c r="QN81" s="1576"/>
      <c r="QO81" s="1576"/>
      <c r="QP81" s="1576"/>
      <c r="QQ81" s="1576"/>
      <c r="QR81" s="1576"/>
      <c r="QS81" s="1576"/>
      <c r="QT81" s="1576"/>
      <c r="QU81" s="1576"/>
      <c r="QV81" s="1576"/>
      <c r="QW81" s="1576"/>
      <c r="QX81" s="1576"/>
      <c r="QY81" s="1576"/>
      <c r="QZ81" s="1576"/>
      <c r="RA81" s="1576"/>
      <c r="RB81" s="1576"/>
      <c r="RC81" s="1576"/>
      <c r="RD81" s="1576"/>
      <c r="RE81" s="1576"/>
      <c r="RF81" s="1576"/>
      <c r="RG81" s="1576"/>
      <c r="RH81" s="1576"/>
      <c r="RI81" s="1576"/>
      <c r="RJ81" s="1576"/>
      <c r="RK81" s="1576"/>
      <c r="RL81" s="1576"/>
      <c r="RM81" s="1576"/>
      <c r="RN81" s="1576"/>
      <c r="RO81" s="1576"/>
      <c r="RP81" s="1576"/>
      <c r="RQ81" s="1576"/>
      <c r="RR81" s="1576"/>
      <c r="RS81" s="1576"/>
      <c r="RT81" s="1576"/>
      <c r="RU81" s="1576"/>
      <c r="RV81" s="1576"/>
      <c r="RW81" s="1576"/>
      <c r="RX81" s="1576"/>
      <c r="RY81" s="1576"/>
      <c r="RZ81" s="1576"/>
      <c r="SA81" s="1576"/>
      <c r="SB81" s="1576"/>
      <c r="SC81" s="1576"/>
      <c r="SD81" s="1576"/>
      <c r="SE81" s="1576"/>
      <c r="SF81" s="1576"/>
      <c r="SG81" s="1576"/>
      <c r="SH81" s="1576"/>
      <c r="SI81" s="1576"/>
      <c r="SJ81" s="1576"/>
      <c r="SK81" s="1576"/>
      <c r="SL81" s="1576"/>
      <c r="SM81" s="1576"/>
      <c r="SN81" s="1576"/>
      <c r="SO81" s="1576"/>
      <c r="SP81" s="1576"/>
      <c r="SQ81" s="1576"/>
      <c r="SR81" s="1576"/>
      <c r="SS81" s="1576"/>
      <c r="ST81" s="1576"/>
      <c r="SU81" s="1576"/>
      <c r="SV81" s="1576"/>
      <c r="SW81" s="1576"/>
      <c r="SX81" s="1576"/>
      <c r="SY81" s="1576"/>
      <c r="SZ81" s="1576"/>
      <c r="TA81" s="1576"/>
      <c r="TB81" s="1576"/>
      <c r="TC81" s="1576"/>
      <c r="TD81" s="1576"/>
      <c r="TE81" s="1576"/>
      <c r="TF81" s="1576"/>
      <c r="TG81" s="1576"/>
      <c r="TH81" s="1576"/>
      <c r="TI81" s="1576"/>
      <c r="TJ81" s="1576"/>
      <c r="TK81" s="1576"/>
      <c r="TL81" s="1576"/>
      <c r="TM81" s="1576"/>
      <c r="TN81" s="1576"/>
      <c r="TO81" s="1576"/>
      <c r="TP81" s="1576"/>
      <c r="TQ81" s="1576"/>
      <c r="TR81" s="1576"/>
      <c r="TS81" s="1576"/>
      <c r="TT81" s="1576"/>
      <c r="TU81" s="1576"/>
      <c r="TV81" s="1576"/>
      <c r="TW81" s="1576"/>
      <c r="TX81" s="1576"/>
      <c r="TY81" s="1576"/>
      <c r="TZ81" s="1576"/>
      <c r="UA81" s="1576"/>
      <c r="UB81" s="1576"/>
      <c r="UC81" s="1576"/>
      <c r="UD81" s="1576"/>
      <c r="UE81" s="1576"/>
      <c r="UF81" s="1576"/>
      <c r="UG81" s="1576"/>
      <c r="UH81" s="1576"/>
      <c r="UI81" s="1576"/>
      <c r="UJ81" s="1576"/>
      <c r="UK81" s="1576"/>
      <c r="UL81" s="1576"/>
      <c r="UM81" s="1576"/>
      <c r="UN81" s="1576"/>
      <c r="UO81" s="1576"/>
      <c r="UP81" s="1576"/>
      <c r="UQ81" s="1576"/>
      <c r="UR81" s="1576"/>
      <c r="US81" s="1576"/>
      <c r="UT81" s="1576"/>
      <c r="UU81" s="1576"/>
      <c r="UV81" s="1576"/>
      <c r="UW81" s="1576"/>
      <c r="UX81" s="1576"/>
      <c r="UY81" s="1576"/>
      <c r="UZ81" s="1576"/>
      <c r="VA81" s="1576"/>
      <c r="VB81" s="1576"/>
      <c r="VC81" s="1576"/>
      <c r="VD81" s="1576"/>
      <c r="VE81" s="1576"/>
      <c r="VF81" s="1576"/>
      <c r="VG81" s="1576"/>
      <c r="VH81" s="1576"/>
      <c r="VI81" s="1576"/>
      <c r="VJ81" s="1576"/>
      <c r="VK81" s="1576"/>
    </row>
    <row r="82" spans="2:583" ht="39.75" customHeight="1" x14ac:dyDescent="0.25">
      <c r="B82" s="4710" t="s">
        <v>61</v>
      </c>
      <c r="C82" s="1610" t="s">
        <v>2773</v>
      </c>
      <c r="D82" s="4710" t="s">
        <v>2774</v>
      </c>
      <c r="E82" s="4710" t="s">
        <v>2775</v>
      </c>
      <c r="F82" s="2057"/>
      <c r="G82" s="2057"/>
      <c r="H82" s="2057"/>
      <c r="I82" s="2058"/>
      <c r="J82" s="2058"/>
      <c r="K82" s="2058"/>
      <c r="L82" s="2058"/>
      <c r="M82" s="2058"/>
      <c r="N82" s="2058"/>
      <c r="O82" s="2058"/>
      <c r="P82" s="2058"/>
      <c r="Q82" s="2058"/>
      <c r="R82" s="2058"/>
      <c r="S82" s="2058"/>
      <c r="T82" s="2058"/>
      <c r="U82" s="2058"/>
      <c r="V82" s="2058"/>
      <c r="W82" s="2058"/>
      <c r="X82" s="2058"/>
      <c r="Y82" s="2058"/>
      <c r="Z82" s="2059"/>
      <c r="AA82" s="2059"/>
      <c r="AB82" s="2059"/>
      <c r="AC82" s="2059"/>
      <c r="AD82" s="2059"/>
      <c r="AE82" s="2059"/>
      <c r="AF82" s="2059"/>
      <c r="AG82" s="2059"/>
      <c r="AH82" s="2059"/>
      <c r="AI82" s="2059"/>
      <c r="AJ82" s="2059"/>
      <c r="AK82" s="2059"/>
      <c r="AL82" s="2059"/>
      <c r="AM82" s="2059"/>
      <c r="AN82" s="2059"/>
      <c r="AO82" s="2059"/>
      <c r="AP82" s="2059"/>
      <c r="AQ82" s="2059"/>
      <c r="AR82" s="2059"/>
      <c r="AS82" s="2059"/>
      <c r="AT82" s="2059"/>
      <c r="AU82" s="2059"/>
      <c r="AV82" s="2059"/>
      <c r="AW82" s="2059"/>
      <c r="AX82" s="2059"/>
      <c r="AY82" s="2059"/>
      <c r="AZ82" s="2059"/>
      <c r="BA82" s="2059"/>
      <c r="BB82" s="2059"/>
      <c r="BC82" s="2059"/>
      <c r="BD82" s="2059"/>
      <c r="BE82" s="2059"/>
      <c r="BF82" s="2059"/>
      <c r="BG82" s="2059"/>
      <c r="BH82" s="2059"/>
      <c r="BI82" s="2059"/>
      <c r="BJ82" s="2059"/>
      <c r="BK82" s="2059"/>
      <c r="BL82" s="2059"/>
      <c r="BM82" s="2059"/>
      <c r="BN82" s="2059"/>
      <c r="BO82" s="2059"/>
      <c r="BP82" s="2059"/>
      <c r="BQ82" s="2059"/>
      <c r="BR82" s="2059"/>
      <c r="BS82" s="2059"/>
      <c r="BT82" s="2059"/>
      <c r="BU82" s="2059"/>
      <c r="BV82" s="2059"/>
      <c r="BW82" s="2059"/>
      <c r="BX82" s="2059"/>
      <c r="BY82" s="2059"/>
      <c r="BZ82" s="2059"/>
      <c r="CA82" s="2059"/>
      <c r="CB82" s="2059"/>
      <c r="CC82" s="2059"/>
      <c r="CD82" s="2059"/>
      <c r="CE82" s="2059"/>
      <c r="CF82" s="2059"/>
      <c r="CG82" s="2059"/>
      <c r="CH82" s="2059"/>
      <c r="CI82" s="2059"/>
      <c r="CJ82" s="2059"/>
      <c r="CK82" s="2059"/>
      <c r="CL82" s="2059"/>
      <c r="CM82" s="2059"/>
      <c r="CN82" s="2059"/>
      <c r="CO82" s="2059"/>
      <c r="CP82" s="1576"/>
      <c r="CQ82" s="1576"/>
      <c r="CR82" s="1576"/>
      <c r="CS82" s="1576"/>
      <c r="CT82" s="1576"/>
      <c r="CU82" s="1576"/>
      <c r="CV82" s="1576"/>
      <c r="CW82" s="1576"/>
      <c r="CX82" s="1576"/>
      <c r="CY82" s="1576"/>
      <c r="CZ82" s="1576"/>
      <c r="DA82" s="1576"/>
      <c r="DB82" s="1576"/>
      <c r="DC82" s="1576"/>
      <c r="DD82" s="1576"/>
      <c r="DE82" s="1576"/>
      <c r="DF82" s="1576"/>
      <c r="DG82" s="1576"/>
      <c r="DH82" s="1576"/>
      <c r="DI82" s="1576"/>
      <c r="DJ82" s="1576"/>
      <c r="DK82" s="1576"/>
      <c r="DL82" s="1576"/>
      <c r="DM82" s="1576"/>
      <c r="DN82" s="1576"/>
      <c r="DO82" s="1576"/>
      <c r="DP82" s="1576"/>
      <c r="DQ82" s="1576"/>
      <c r="DR82" s="1576"/>
      <c r="DS82" s="1576"/>
      <c r="DT82" s="1576"/>
      <c r="DU82" s="1576"/>
      <c r="DV82" s="1576"/>
      <c r="DW82" s="1576"/>
      <c r="DX82" s="1576"/>
      <c r="DY82" s="1576"/>
      <c r="DZ82" s="1576"/>
      <c r="EA82" s="1576"/>
      <c r="EB82" s="1576"/>
      <c r="EC82" s="1576"/>
      <c r="ED82" s="1576"/>
      <c r="EE82" s="1576"/>
      <c r="EF82" s="1576"/>
      <c r="EG82" s="1576"/>
      <c r="EH82" s="1576"/>
      <c r="EI82" s="1576"/>
      <c r="EJ82" s="1576"/>
      <c r="EK82" s="1576"/>
      <c r="EL82" s="1576"/>
      <c r="EM82" s="1576"/>
      <c r="EN82" s="1576"/>
      <c r="EO82" s="1576"/>
      <c r="EP82" s="1576"/>
      <c r="EQ82" s="1576"/>
      <c r="ER82" s="1576"/>
      <c r="ES82" s="1576"/>
      <c r="ET82" s="1576"/>
      <c r="EU82" s="1576"/>
      <c r="EV82" s="1576"/>
      <c r="EW82" s="1576"/>
      <c r="EX82" s="1576"/>
      <c r="EY82" s="1576"/>
      <c r="EZ82" s="1576"/>
      <c r="FA82" s="1576"/>
      <c r="FB82" s="1576"/>
      <c r="FC82" s="1576"/>
      <c r="FD82" s="1576"/>
      <c r="FE82" s="1576"/>
      <c r="FF82" s="1576"/>
      <c r="FG82" s="1576"/>
      <c r="FH82" s="1576"/>
      <c r="FI82" s="1576"/>
      <c r="FJ82" s="1576"/>
      <c r="FK82" s="1576"/>
      <c r="FL82" s="1576"/>
      <c r="FM82" s="1576"/>
      <c r="FN82" s="1576"/>
      <c r="FO82" s="1576"/>
      <c r="FP82" s="1576"/>
      <c r="FQ82" s="1576"/>
      <c r="FR82" s="1576"/>
      <c r="FS82" s="1576"/>
      <c r="FT82" s="1576"/>
      <c r="FU82" s="1576"/>
      <c r="FV82" s="1576"/>
      <c r="FW82" s="1576"/>
      <c r="FX82" s="1576"/>
      <c r="FY82" s="1576"/>
      <c r="FZ82" s="1576"/>
      <c r="GA82" s="1576"/>
      <c r="GB82" s="1576"/>
      <c r="GC82" s="1576"/>
      <c r="GD82" s="1576"/>
      <c r="GE82" s="1576"/>
      <c r="GF82" s="1576"/>
      <c r="GG82" s="1576"/>
      <c r="GH82" s="1576"/>
      <c r="GI82" s="1576"/>
      <c r="GJ82" s="1576"/>
      <c r="GK82" s="1576"/>
      <c r="GL82" s="1576"/>
      <c r="GM82" s="1576"/>
      <c r="GN82" s="1576"/>
      <c r="GO82" s="1576"/>
      <c r="GP82" s="1576"/>
      <c r="GQ82" s="1576"/>
      <c r="GR82" s="1576"/>
      <c r="GS82" s="1576"/>
      <c r="GT82" s="1576"/>
      <c r="GU82" s="1576"/>
      <c r="GV82" s="1576"/>
      <c r="GW82" s="1576"/>
      <c r="GX82" s="1576"/>
      <c r="GY82" s="1576"/>
      <c r="GZ82" s="1576"/>
      <c r="HA82" s="1576"/>
      <c r="HB82" s="1576"/>
      <c r="HC82" s="1576"/>
      <c r="HD82" s="1576"/>
      <c r="HE82" s="1576"/>
      <c r="HF82" s="1576"/>
      <c r="HG82" s="1576"/>
      <c r="HH82" s="1576"/>
      <c r="HI82" s="1576"/>
      <c r="HJ82" s="1576"/>
      <c r="HK82" s="1576"/>
      <c r="HL82" s="1576"/>
      <c r="HM82" s="1576"/>
      <c r="HN82" s="1576"/>
      <c r="HO82" s="1576"/>
      <c r="HP82" s="1576"/>
      <c r="HQ82" s="1576"/>
      <c r="HR82" s="1576"/>
      <c r="HS82" s="1576"/>
      <c r="HT82" s="1576"/>
      <c r="HU82" s="1576"/>
      <c r="HV82" s="1576"/>
      <c r="HW82" s="1576"/>
      <c r="HX82" s="1576"/>
      <c r="HY82" s="1576"/>
      <c r="HZ82" s="1576"/>
      <c r="IA82" s="1576"/>
      <c r="IB82" s="1576"/>
      <c r="IC82" s="1576"/>
      <c r="ID82" s="1576"/>
      <c r="IE82" s="1576"/>
      <c r="IF82" s="1576"/>
      <c r="IG82" s="1576"/>
      <c r="IH82" s="1576"/>
      <c r="II82" s="1576"/>
      <c r="IJ82" s="1576"/>
      <c r="IK82" s="1576"/>
      <c r="IL82" s="1576"/>
      <c r="IM82" s="1576"/>
      <c r="IN82" s="1576"/>
      <c r="IO82" s="1576"/>
      <c r="IP82" s="1576"/>
      <c r="IQ82" s="1576"/>
      <c r="IR82" s="1576"/>
      <c r="IS82" s="1576"/>
      <c r="IT82" s="1576"/>
      <c r="IU82" s="1576"/>
      <c r="IV82" s="1576"/>
      <c r="IW82" s="1576"/>
      <c r="IX82" s="1576"/>
      <c r="IY82" s="1576"/>
      <c r="IZ82" s="1576"/>
      <c r="JA82" s="2054"/>
      <c r="JB82" s="2054"/>
      <c r="JC82" s="2054"/>
      <c r="JD82" s="2054"/>
      <c r="JE82" s="2054"/>
      <c r="JF82" s="2054"/>
      <c r="JG82" s="2054"/>
      <c r="JH82" s="2054"/>
      <c r="JI82" s="2054"/>
      <c r="JJ82" s="2054"/>
      <c r="JK82" s="2054"/>
      <c r="JL82" s="2054"/>
      <c r="JM82" s="2054"/>
      <c r="JN82" s="2054"/>
      <c r="JO82" s="2054"/>
      <c r="JP82" s="2054"/>
      <c r="JQ82" s="2054"/>
      <c r="JR82" s="1576"/>
      <c r="JS82" s="1576"/>
      <c r="JT82" s="1576"/>
      <c r="JU82" s="1576"/>
      <c r="JV82" s="1576"/>
      <c r="JW82" s="1576"/>
      <c r="JX82" s="1576"/>
      <c r="JY82" s="1576"/>
      <c r="JZ82" s="1576"/>
      <c r="KA82" s="1576"/>
      <c r="KB82" s="1576"/>
      <c r="KC82" s="1576"/>
      <c r="KD82" s="1576"/>
      <c r="KE82" s="1576"/>
      <c r="KF82" s="1576"/>
      <c r="KG82" s="1576"/>
      <c r="KH82" s="1576"/>
      <c r="KI82" s="1576"/>
      <c r="KJ82" s="1576"/>
      <c r="KK82" s="1576"/>
      <c r="KL82" s="1576"/>
      <c r="KM82" s="1576"/>
      <c r="KN82" s="1576"/>
      <c r="KO82" s="1576"/>
      <c r="KP82" s="1576"/>
      <c r="KQ82" s="1576"/>
      <c r="KR82" s="1576"/>
      <c r="KS82" s="1576"/>
      <c r="KT82" s="1576"/>
      <c r="KU82" s="1576"/>
      <c r="KV82" s="1576"/>
      <c r="KW82" s="1576"/>
      <c r="KX82" s="1576"/>
      <c r="KY82" s="1576"/>
      <c r="KZ82" s="1576"/>
      <c r="LA82" s="1576"/>
      <c r="LB82" s="1576"/>
      <c r="LC82" s="1576"/>
      <c r="LD82" s="1576"/>
      <c r="LE82" s="1576"/>
      <c r="LF82" s="1576"/>
      <c r="LG82" s="1576"/>
      <c r="LH82" s="1576"/>
      <c r="LI82" s="1576"/>
      <c r="LJ82" s="1576"/>
      <c r="LK82" s="1576"/>
      <c r="LL82" s="1576"/>
      <c r="LM82" s="1576"/>
      <c r="LN82" s="1576"/>
      <c r="LO82" s="1576"/>
      <c r="LP82" s="1576"/>
      <c r="LQ82" s="1576"/>
      <c r="LR82" s="1576"/>
      <c r="LS82" s="1576"/>
      <c r="LT82" s="1576"/>
      <c r="LU82" s="1576"/>
      <c r="LV82" s="1576"/>
      <c r="LW82" s="1576"/>
      <c r="LX82" s="1576"/>
      <c r="LY82" s="1576"/>
      <c r="LZ82" s="1576"/>
      <c r="MA82" s="1576"/>
      <c r="MB82" s="1576"/>
      <c r="MC82" s="1576"/>
      <c r="MD82" s="1576"/>
      <c r="ME82" s="1576"/>
      <c r="MF82" s="1576"/>
      <c r="MG82" s="1576"/>
      <c r="MH82" s="1576"/>
      <c r="MI82" s="1576"/>
      <c r="MJ82" s="1576"/>
      <c r="MK82" s="1576"/>
      <c r="ML82" s="1576"/>
      <c r="MM82" s="1576"/>
      <c r="MN82" s="1576"/>
      <c r="MO82" s="1576"/>
      <c r="MP82" s="1576"/>
      <c r="MQ82" s="1576"/>
      <c r="MR82" s="1576"/>
      <c r="MS82" s="1576"/>
      <c r="MT82" s="1576"/>
      <c r="MU82" s="1576"/>
      <c r="MV82" s="1576"/>
      <c r="MW82" s="1576"/>
      <c r="MX82" s="1576"/>
      <c r="MY82" s="1576"/>
      <c r="MZ82" s="1576"/>
      <c r="NA82" s="1576"/>
      <c r="NB82" s="1576"/>
      <c r="NC82" s="1576"/>
      <c r="ND82" s="1576"/>
      <c r="NE82" s="1576"/>
      <c r="NF82" s="1576"/>
      <c r="NG82" s="1576"/>
      <c r="NH82" s="1576"/>
      <c r="NI82" s="1576"/>
      <c r="NJ82" s="1576"/>
      <c r="NK82" s="1576"/>
      <c r="NL82" s="1576"/>
      <c r="NM82" s="1576"/>
      <c r="NN82" s="1576"/>
      <c r="NO82" s="1576"/>
      <c r="NP82" s="1576"/>
      <c r="NQ82" s="1576"/>
      <c r="NR82" s="1576"/>
      <c r="NS82" s="1576"/>
      <c r="NT82" s="1576"/>
      <c r="NU82" s="1576"/>
      <c r="NV82" s="1576"/>
      <c r="NW82" s="1576"/>
      <c r="NX82" s="1576"/>
      <c r="NY82" s="1576"/>
      <c r="NZ82" s="1576"/>
      <c r="OA82" s="1576"/>
      <c r="OB82" s="1576"/>
      <c r="OC82" s="1576"/>
      <c r="OD82" s="1576"/>
      <c r="OE82" s="1576"/>
      <c r="OF82" s="1576"/>
      <c r="OG82" s="1576"/>
      <c r="OH82" s="1576"/>
      <c r="OI82" s="1576"/>
      <c r="OJ82" s="1576"/>
      <c r="OK82" s="1576"/>
      <c r="OL82" s="1576"/>
      <c r="OM82" s="1576"/>
      <c r="ON82" s="1576"/>
      <c r="OO82" s="1576"/>
      <c r="OP82" s="1576"/>
      <c r="OQ82" s="1576"/>
      <c r="OR82" s="1576"/>
      <c r="OS82" s="1576"/>
      <c r="OT82" s="1576"/>
      <c r="OU82" s="1576"/>
      <c r="OV82" s="1576"/>
      <c r="OW82" s="1576"/>
      <c r="OX82" s="1576"/>
      <c r="OY82" s="1576"/>
      <c r="OZ82" s="1576"/>
      <c r="PA82" s="1576"/>
      <c r="PB82" s="1576"/>
      <c r="PC82" s="1576"/>
      <c r="PD82" s="1576"/>
      <c r="PE82" s="1576"/>
      <c r="PF82" s="1576"/>
      <c r="PG82" s="1576"/>
      <c r="PH82" s="1576"/>
      <c r="PI82" s="1576"/>
      <c r="PJ82" s="1576"/>
      <c r="PK82" s="1576"/>
      <c r="PL82" s="1576"/>
      <c r="PM82" s="1576"/>
      <c r="PN82" s="1576"/>
      <c r="PO82" s="1576"/>
      <c r="PP82" s="1576"/>
      <c r="PQ82" s="1576"/>
      <c r="PR82" s="1576"/>
      <c r="PS82" s="1576"/>
      <c r="PT82" s="1576"/>
      <c r="PU82" s="1576"/>
      <c r="PV82" s="1576"/>
      <c r="PW82" s="1576"/>
      <c r="PX82" s="1576"/>
      <c r="PY82" s="1576"/>
      <c r="PZ82" s="1576"/>
      <c r="QA82" s="1576"/>
      <c r="QB82" s="1576"/>
      <c r="QC82" s="1576"/>
      <c r="QD82" s="1576"/>
      <c r="QE82" s="1576"/>
      <c r="QF82" s="1576"/>
      <c r="QG82" s="1576"/>
      <c r="QH82" s="1576"/>
      <c r="QI82" s="1576"/>
      <c r="QJ82" s="1576"/>
      <c r="QK82" s="1576"/>
      <c r="QL82" s="1576"/>
      <c r="QM82" s="1576"/>
      <c r="QN82" s="1576"/>
      <c r="QO82" s="1576"/>
      <c r="QP82" s="1576"/>
      <c r="QQ82" s="1576"/>
      <c r="QR82" s="1576"/>
      <c r="QS82" s="1576"/>
      <c r="QT82" s="1576"/>
      <c r="QU82" s="1576"/>
      <c r="QV82" s="1576"/>
      <c r="QW82" s="1576"/>
      <c r="QX82" s="1576"/>
      <c r="QY82" s="1576"/>
      <c r="QZ82" s="1576"/>
      <c r="RA82" s="1576"/>
      <c r="RB82" s="1576"/>
      <c r="RC82" s="1576"/>
      <c r="RD82" s="1576"/>
      <c r="RE82" s="1576"/>
      <c r="RF82" s="1576"/>
      <c r="RG82" s="1576"/>
      <c r="RH82" s="1576"/>
      <c r="RI82" s="1576"/>
      <c r="RJ82" s="1576"/>
      <c r="RK82" s="1576"/>
      <c r="RL82" s="1576"/>
      <c r="RM82" s="1576"/>
      <c r="RN82" s="1576"/>
      <c r="RO82" s="1576"/>
      <c r="RP82" s="1576"/>
      <c r="RQ82" s="1576"/>
      <c r="RR82" s="1576"/>
      <c r="RS82" s="1576"/>
      <c r="RT82" s="1576"/>
      <c r="RU82" s="1576"/>
      <c r="RV82" s="1576"/>
      <c r="RW82" s="1576"/>
      <c r="RX82" s="1576"/>
      <c r="RY82" s="1576"/>
      <c r="RZ82" s="1576"/>
      <c r="SA82" s="1576"/>
      <c r="SB82" s="1576"/>
      <c r="SC82" s="1576"/>
      <c r="SD82" s="1576"/>
      <c r="SE82" s="1576"/>
      <c r="SF82" s="1576"/>
      <c r="SG82" s="1576"/>
      <c r="SH82" s="1576"/>
      <c r="SI82" s="1576"/>
      <c r="SJ82" s="1576"/>
      <c r="SK82" s="1576"/>
      <c r="SL82" s="1576"/>
      <c r="SM82" s="1576"/>
      <c r="SN82" s="1576"/>
      <c r="SO82" s="1576"/>
      <c r="SP82" s="1576"/>
      <c r="SQ82" s="1576"/>
      <c r="SR82" s="1576"/>
      <c r="SS82" s="1576"/>
      <c r="ST82" s="1576"/>
      <c r="SU82" s="1576"/>
      <c r="SV82" s="1576"/>
      <c r="SW82" s="1576"/>
      <c r="SX82" s="1576"/>
      <c r="SY82" s="1576"/>
      <c r="SZ82" s="1576"/>
      <c r="TA82" s="1576"/>
      <c r="TB82" s="1576"/>
      <c r="TC82" s="1576"/>
      <c r="TD82" s="1576"/>
      <c r="TE82" s="1576"/>
      <c r="TF82" s="1576"/>
      <c r="TG82" s="1576"/>
      <c r="TH82" s="1576"/>
      <c r="TI82" s="1576"/>
      <c r="TJ82" s="1576"/>
      <c r="TK82" s="1576"/>
      <c r="TL82" s="1576"/>
      <c r="TM82" s="1576"/>
      <c r="TN82" s="1576"/>
      <c r="TO82" s="1576"/>
      <c r="TP82" s="1576"/>
      <c r="TQ82" s="1576"/>
      <c r="TR82" s="1576"/>
      <c r="TS82" s="1576"/>
      <c r="TT82" s="1576"/>
      <c r="TU82" s="1576"/>
      <c r="TV82" s="1576"/>
      <c r="TW82" s="1576"/>
      <c r="TX82" s="1576"/>
      <c r="TY82" s="1576"/>
      <c r="TZ82" s="1576"/>
      <c r="UA82" s="1576"/>
      <c r="UB82" s="1576"/>
      <c r="UC82" s="1576"/>
      <c r="UD82" s="1576"/>
      <c r="UE82" s="1576"/>
      <c r="UF82" s="1576"/>
      <c r="UG82" s="1576"/>
      <c r="UH82" s="1576"/>
      <c r="UI82" s="1576"/>
      <c r="UJ82" s="1576"/>
      <c r="UK82" s="1576"/>
      <c r="UL82" s="1576"/>
      <c r="UM82" s="1576"/>
      <c r="UN82" s="1576"/>
      <c r="UO82" s="1576"/>
      <c r="UP82" s="1576"/>
      <c r="UQ82" s="1576"/>
      <c r="UR82" s="1576"/>
      <c r="US82" s="1576"/>
      <c r="UT82" s="1576"/>
      <c r="UU82" s="1576"/>
      <c r="UV82" s="1576"/>
      <c r="UW82" s="1576"/>
      <c r="UX82" s="1576"/>
      <c r="UY82" s="1576"/>
      <c r="UZ82" s="1576"/>
      <c r="VA82" s="1576"/>
      <c r="VB82" s="1576"/>
      <c r="VC82" s="1576"/>
      <c r="VD82" s="1576"/>
      <c r="VE82" s="1576"/>
      <c r="VF82" s="1576"/>
      <c r="VG82" s="1576"/>
      <c r="VH82" s="1576"/>
      <c r="VI82" s="1576"/>
      <c r="VJ82" s="1576"/>
      <c r="VK82" s="1576"/>
    </row>
    <row r="83" spans="2:583" ht="27" customHeight="1" x14ac:dyDescent="0.25">
      <c r="B83" s="4710"/>
      <c r="C83" s="1610" t="s">
        <v>2776</v>
      </c>
      <c r="D83" s="4710" t="s">
        <v>2929</v>
      </c>
      <c r="E83" s="4710" t="s">
        <v>2778</v>
      </c>
      <c r="F83" s="2057"/>
      <c r="G83" s="2057"/>
      <c r="H83" s="2057"/>
      <c r="I83" s="2059"/>
      <c r="J83" s="2059"/>
      <c r="K83" s="2059"/>
      <c r="L83" s="2059"/>
      <c r="M83" s="2059"/>
      <c r="N83" s="2059"/>
      <c r="O83" s="2059"/>
      <c r="P83" s="2059"/>
      <c r="Q83" s="2059"/>
      <c r="R83" s="2059"/>
      <c r="S83" s="2059"/>
      <c r="T83" s="2059"/>
      <c r="U83" s="2059"/>
      <c r="V83" s="2059"/>
      <c r="W83" s="2059"/>
      <c r="X83" s="2059"/>
      <c r="Y83" s="2059"/>
      <c r="Z83" s="2058"/>
      <c r="AA83" s="2058"/>
      <c r="AB83" s="2058"/>
      <c r="AC83" s="2058"/>
      <c r="AD83" s="2058"/>
      <c r="AE83" s="2058"/>
      <c r="AF83" s="2058"/>
      <c r="AG83" s="2058"/>
      <c r="AH83" s="2058"/>
      <c r="AI83" s="2058"/>
      <c r="AJ83" s="2058"/>
      <c r="AK83" s="2058"/>
      <c r="AL83" s="2058"/>
      <c r="AM83" s="2058"/>
      <c r="AN83" s="2058"/>
      <c r="AO83" s="2058"/>
      <c r="AP83" s="2058"/>
      <c r="AQ83" s="2059"/>
      <c r="AR83" s="2059"/>
      <c r="AS83" s="2059"/>
      <c r="AT83" s="2059"/>
      <c r="AU83" s="2059"/>
      <c r="AV83" s="2059"/>
      <c r="AW83" s="2059"/>
      <c r="AX83" s="2059"/>
      <c r="AY83" s="2059"/>
      <c r="AZ83" s="2059"/>
      <c r="BA83" s="2059"/>
      <c r="BB83" s="2059"/>
      <c r="BC83" s="2059"/>
      <c r="BD83" s="2059"/>
      <c r="BE83" s="2059"/>
      <c r="BF83" s="2059"/>
      <c r="BG83" s="2059"/>
      <c r="BH83" s="2059"/>
      <c r="BI83" s="2059"/>
      <c r="BJ83" s="2059"/>
      <c r="BK83" s="2059"/>
      <c r="BL83" s="2059"/>
      <c r="BM83" s="2059"/>
      <c r="BN83" s="2059"/>
      <c r="BO83" s="2059"/>
      <c r="BP83" s="2059"/>
      <c r="BQ83" s="2059"/>
      <c r="BR83" s="2059"/>
      <c r="BS83" s="2059"/>
      <c r="BT83" s="2059"/>
      <c r="BU83" s="2059"/>
      <c r="BV83" s="2059"/>
      <c r="BW83" s="2059"/>
      <c r="BX83" s="2059"/>
      <c r="BY83" s="2059"/>
      <c r="BZ83" s="2059"/>
      <c r="CA83" s="2059"/>
      <c r="CB83" s="2059"/>
      <c r="CC83" s="2059"/>
      <c r="CD83" s="2059"/>
      <c r="CE83" s="2059"/>
      <c r="CF83" s="2059"/>
      <c r="CG83" s="2059"/>
      <c r="CH83" s="2059"/>
      <c r="CI83" s="2059"/>
      <c r="CJ83" s="2059"/>
      <c r="CK83" s="2059"/>
      <c r="CL83" s="2059"/>
      <c r="CM83" s="2059"/>
      <c r="CN83" s="2059"/>
      <c r="CO83" s="2059"/>
      <c r="CP83" s="1576"/>
      <c r="CQ83" s="1576"/>
      <c r="CR83" s="1576"/>
      <c r="CS83" s="1576"/>
      <c r="CT83" s="1576"/>
      <c r="CU83" s="1576"/>
      <c r="CV83" s="1576"/>
      <c r="CW83" s="1576"/>
      <c r="CX83" s="1576"/>
      <c r="CY83" s="1576"/>
      <c r="CZ83" s="1576"/>
      <c r="DA83" s="1576"/>
      <c r="DB83" s="1576"/>
      <c r="DC83" s="1576"/>
      <c r="DD83" s="1576"/>
      <c r="DE83" s="1576"/>
      <c r="DF83" s="1576"/>
      <c r="DG83" s="1576"/>
      <c r="DH83" s="1576"/>
      <c r="DI83" s="1576"/>
      <c r="DJ83" s="1576"/>
      <c r="DK83" s="1576"/>
      <c r="DL83" s="1576"/>
      <c r="DM83" s="1576"/>
      <c r="DN83" s="1576"/>
      <c r="DO83" s="1576"/>
      <c r="DP83" s="1576"/>
      <c r="DQ83" s="1576"/>
      <c r="DR83" s="1576"/>
      <c r="DS83" s="1576"/>
      <c r="DT83" s="1576"/>
      <c r="DU83" s="1576"/>
      <c r="DV83" s="1576"/>
      <c r="DW83" s="1576"/>
      <c r="DX83" s="1576"/>
      <c r="DY83" s="1576"/>
      <c r="DZ83" s="1576"/>
      <c r="EA83" s="1576"/>
      <c r="EB83" s="1576"/>
      <c r="EC83" s="1576"/>
      <c r="ED83" s="1576"/>
      <c r="EE83" s="1576"/>
      <c r="EF83" s="1576"/>
      <c r="EG83" s="1576"/>
      <c r="EH83" s="1576"/>
      <c r="EI83" s="1576"/>
      <c r="EJ83" s="1576"/>
      <c r="EK83" s="1576"/>
      <c r="EL83" s="1576"/>
      <c r="EM83" s="1576"/>
      <c r="EN83" s="1576"/>
      <c r="EO83" s="1576"/>
      <c r="EP83" s="1576"/>
      <c r="EQ83" s="1576"/>
      <c r="ER83" s="1576"/>
      <c r="ES83" s="1576"/>
      <c r="ET83" s="1576"/>
      <c r="EU83" s="1576"/>
      <c r="EV83" s="1576"/>
      <c r="EW83" s="1576"/>
      <c r="EX83" s="1576"/>
      <c r="EY83" s="1576"/>
      <c r="EZ83" s="1576"/>
      <c r="FA83" s="1576"/>
      <c r="FB83" s="1576"/>
      <c r="FC83" s="1576"/>
      <c r="FD83" s="1576"/>
      <c r="FE83" s="1576"/>
      <c r="FF83" s="1576"/>
      <c r="FG83" s="1576"/>
      <c r="FH83" s="1576"/>
      <c r="FI83" s="1576"/>
      <c r="FJ83" s="1576"/>
      <c r="FK83" s="1576"/>
      <c r="FL83" s="1576"/>
      <c r="FM83" s="1576"/>
      <c r="FN83" s="1576"/>
      <c r="FO83" s="1576"/>
      <c r="FP83" s="1576"/>
      <c r="FQ83" s="1576"/>
      <c r="FR83" s="1576"/>
      <c r="FS83" s="1576"/>
      <c r="FT83" s="1576"/>
      <c r="FU83" s="1576"/>
      <c r="FV83" s="1576"/>
      <c r="FW83" s="1576"/>
      <c r="FX83" s="1576"/>
      <c r="FY83" s="1576"/>
      <c r="FZ83" s="1576"/>
      <c r="GA83" s="1576"/>
      <c r="GB83" s="1576"/>
      <c r="GC83" s="1576"/>
      <c r="GD83" s="1576"/>
      <c r="GE83" s="1576"/>
      <c r="GF83" s="1576"/>
      <c r="GG83" s="1576"/>
      <c r="GH83" s="1576"/>
      <c r="GI83" s="1576"/>
      <c r="GJ83" s="1576"/>
      <c r="GK83" s="1576"/>
      <c r="GL83" s="1576"/>
      <c r="GM83" s="1576"/>
      <c r="GN83" s="1576"/>
      <c r="GO83" s="1576"/>
      <c r="GP83" s="1576"/>
      <c r="GQ83" s="1576"/>
      <c r="GR83" s="1576"/>
      <c r="GS83" s="1576"/>
      <c r="GT83" s="1576"/>
      <c r="GU83" s="1576"/>
      <c r="GV83" s="1576"/>
      <c r="GW83" s="1576"/>
      <c r="GX83" s="1576"/>
      <c r="GY83" s="1576"/>
      <c r="GZ83" s="1576"/>
      <c r="HA83" s="1576"/>
      <c r="HB83" s="1576"/>
      <c r="HC83" s="1576"/>
      <c r="HD83" s="1576"/>
      <c r="HE83" s="1576"/>
      <c r="HF83" s="1576"/>
      <c r="HG83" s="1576"/>
      <c r="HH83" s="1576"/>
      <c r="HI83" s="1576"/>
      <c r="HJ83" s="1576"/>
      <c r="HK83" s="1576"/>
      <c r="HL83" s="1576"/>
      <c r="HM83" s="1576"/>
      <c r="HN83" s="1576"/>
      <c r="HO83" s="1576"/>
      <c r="HP83" s="1576"/>
      <c r="HQ83" s="1576"/>
      <c r="HR83" s="1576"/>
      <c r="HS83" s="1576"/>
      <c r="HT83" s="1576"/>
      <c r="HU83" s="1576"/>
      <c r="HV83" s="1576"/>
      <c r="HW83" s="1576"/>
      <c r="HX83" s="1576"/>
      <c r="HY83" s="1576"/>
      <c r="HZ83" s="1576"/>
      <c r="IA83" s="1576"/>
      <c r="IB83" s="1576"/>
      <c r="IC83" s="1576"/>
      <c r="ID83" s="1576"/>
      <c r="IE83" s="1576"/>
      <c r="IF83" s="1576"/>
      <c r="IG83" s="1576"/>
      <c r="IH83" s="1576"/>
      <c r="II83" s="1576"/>
      <c r="IJ83" s="1576"/>
      <c r="IK83" s="1576"/>
      <c r="IL83" s="1576"/>
      <c r="IM83" s="1576"/>
      <c r="IN83" s="1576"/>
      <c r="IO83" s="1576"/>
      <c r="IP83" s="1576"/>
      <c r="IQ83" s="1576"/>
      <c r="IR83" s="1576"/>
      <c r="IS83" s="1576"/>
      <c r="IT83" s="1576"/>
      <c r="IU83" s="1576"/>
      <c r="IV83" s="1576"/>
      <c r="IW83" s="1576"/>
      <c r="IX83" s="1576"/>
      <c r="IY83" s="1576"/>
      <c r="IZ83" s="1576"/>
      <c r="JA83" s="2054"/>
      <c r="JB83" s="2054"/>
      <c r="JC83" s="2054"/>
      <c r="JD83" s="2054"/>
      <c r="JE83" s="2054"/>
      <c r="JF83" s="2054"/>
      <c r="JG83" s="2054"/>
      <c r="JH83" s="2054"/>
      <c r="JI83" s="2054"/>
      <c r="JJ83" s="2054"/>
      <c r="JK83" s="2054"/>
      <c r="JL83" s="2054"/>
      <c r="JM83" s="2054"/>
      <c r="JN83" s="2054"/>
      <c r="JO83" s="2054"/>
      <c r="JP83" s="2054"/>
      <c r="JQ83" s="2054"/>
      <c r="JR83" s="1576"/>
      <c r="JS83" s="1576"/>
      <c r="JT83" s="1576"/>
      <c r="JU83" s="1576"/>
      <c r="JV83" s="1576"/>
      <c r="JW83" s="1576"/>
      <c r="JX83" s="1576"/>
      <c r="JY83" s="1576"/>
      <c r="JZ83" s="1576"/>
      <c r="KA83" s="1576"/>
      <c r="KB83" s="1576"/>
      <c r="KC83" s="1576"/>
      <c r="KD83" s="1576"/>
      <c r="KE83" s="1576"/>
      <c r="KF83" s="1576"/>
      <c r="KG83" s="1576"/>
      <c r="KH83" s="1576"/>
      <c r="KI83" s="1576"/>
      <c r="KJ83" s="1576"/>
      <c r="KK83" s="1576"/>
      <c r="KL83" s="1576"/>
      <c r="KM83" s="1576"/>
      <c r="KN83" s="1576"/>
      <c r="KO83" s="1576"/>
      <c r="KP83" s="1576"/>
      <c r="KQ83" s="1576"/>
      <c r="KR83" s="1576"/>
      <c r="KS83" s="1576"/>
      <c r="KT83" s="1576"/>
      <c r="KU83" s="1576"/>
      <c r="KV83" s="1576"/>
      <c r="KW83" s="1576"/>
      <c r="KX83" s="1576"/>
      <c r="KY83" s="1576"/>
      <c r="KZ83" s="1576"/>
      <c r="LA83" s="1576"/>
      <c r="LB83" s="1576"/>
      <c r="LC83" s="1576"/>
      <c r="LD83" s="1576"/>
      <c r="LE83" s="1576"/>
      <c r="LF83" s="1576"/>
      <c r="LG83" s="1576"/>
      <c r="LH83" s="1576"/>
      <c r="LI83" s="1576"/>
      <c r="LJ83" s="1576"/>
      <c r="LK83" s="1576"/>
      <c r="LL83" s="1576"/>
      <c r="LM83" s="1576"/>
      <c r="LN83" s="1576"/>
      <c r="LO83" s="1576"/>
      <c r="LP83" s="1576"/>
      <c r="LQ83" s="1576"/>
      <c r="LR83" s="1576"/>
      <c r="LS83" s="1576"/>
      <c r="LT83" s="1576"/>
      <c r="LU83" s="1576"/>
      <c r="LV83" s="1576"/>
      <c r="LW83" s="1576"/>
      <c r="LX83" s="1576"/>
      <c r="LY83" s="1576"/>
      <c r="LZ83" s="1576"/>
      <c r="MA83" s="1576"/>
      <c r="MB83" s="1576"/>
      <c r="MC83" s="1576"/>
      <c r="MD83" s="1576"/>
      <c r="ME83" s="1576"/>
      <c r="MF83" s="1576"/>
      <c r="MG83" s="1576"/>
      <c r="MH83" s="1576"/>
      <c r="MI83" s="1576"/>
      <c r="MJ83" s="1576"/>
      <c r="MK83" s="1576"/>
      <c r="ML83" s="1576"/>
      <c r="MM83" s="1576"/>
      <c r="MN83" s="1576"/>
      <c r="MO83" s="1576"/>
      <c r="MP83" s="1576"/>
      <c r="MQ83" s="1576"/>
      <c r="MR83" s="1576"/>
      <c r="MS83" s="1576"/>
      <c r="MT83" s="1576"/>
      <c r="MU83" s="1576"/>
      <c r="MV83" s="1576"/>
      <c r="MW83" s="1576"/>
      <c r="MX83" s="1576"/>
      <c r="MY83" s="1576"/>
      <c r="MZ83" s="1576"/>
      <c r="NA83" s="1576"/>
      <c r="NB83" s="1576"/>
      <c r="NC83" s="1576"/>
      <c r="ND83" s="1576"/>
      <c r="NE83" s="1576"/>
      <c r="NF83" s="1576"/>
      <c r="NG83" s="1576"/>
      <c r="NH83" s="1576"/>
      <c r="NI83" s="1576"/>
      <c r="NJ83" s="1576"/>
      <c r="NK83" s="1576"/>
      <c r="NL83" s="1576"/>
      <c r="NM83" s="1576"/>
      <c r="NN83" s="1576"/>
      <c r="NO83" s="1576"/>
      <c r="NP83" s="1576"/>
      <c r="NQ83" s="1576"/>
      <c r="NR83" s="1576"/>
      <c r="NS83" s="1576"/>
      <c r="NT83" s="1576"/>
      <c r="NU83" s="1576"/>
      <c r="NV83" s="1576"/>
      <c r="NW83" s="1576"/>
      <c r="NX83" s="1576"/>
      <c r="NY83" s="1576"/>
      <c r="NZ83" s="1576"/>
      <c r="OA83" s="1576"/>
      <c r="OB83" s="1576"/>
      <c r="OC83" s="1576"/>
      <c r="OD83" s="1576"/>
      <c r="OE83" s="1576"/>
      <c r="OF83" s="1576"/>
      <c r="OG83" s="1576"/>
      <c r="OH83" s="1576"/>
      <c r="OI83" s="1576"/>
      <c r="OJ83" s="1576"/>
      <c r="OK83" s="1576"/>
      <c r="OL83" s="1576"/>
      <c r="OM83" s="1576"/>
      <c r="ON83" s="1576"/>
      <c r="OO83" s="1576"/>
      <c r="OP83" s="1576"/>
      <c r="OQ83" s="1576"/>
      <c r="OR83" s="1576"/>
      <c r="OS83" s="1576"/>
      <c r="OT83" s="1576"/>
      <c r="OU83" s="1576"/>
      <c r="OV83" s="1576"/>
      <c r="OW83" s="1576"/>
      <c r="OX83" s="1576"/>
      <c r="OY83" s="1576"/>
      <c r="OZ83" s="1576"/>
      <c r="PA83" s="1576"/>
      <c r="PB83" s="1576"/>
      <c r="PC83" s="1576"/>
      <c r="PD83" s="1576"/>
      <c r="PE83" s="1576"/>
      <c r="PF83" s="1576"/>
      <c r="PG83" s="1576"/>
      <c r="PH83" s="1576"/>
      <c r="PI83" s="1576"/>
      <c r="PJ83" s="1576"/>
      <c r="PK83" s="1576"/>
      <c r="PL83" s="1576"/>
      <c r="PM83" s="1576"/>
      <c r="PN83" s="1576"/>
      <c r="PO83" s="1576"/>
      <c r="PP83" s="1576"/>
      <c r="PQ83" s="1576"/>
      <c r="PR83" s="1576"/>
      <c r="PS83" s="1576"/>
      <c r="PT83" s="1576"/>
      <c r="PU83" s="1576"/>
      <c r="PV83" s="1576"/>
      <c r="PW83" s="1576"/>
      <c r="PX83" s="1576"/>
      <c r="PY83" s="1576"/>
      <c r="PZ83" s="1576"/>
      <c r="QA83" s="1576"/>
      <c r="QB83" s="1576"/>
      <c r="QC83" s="1576"/>
      <c r="QD83" s="1576"/>
      <c r="QE83" s="1576"/>
      <c r="QF83" s="1576"/>
      <c r="QG83" s="1576"/>
      <c r="QH83" s="1576"/>
      <c r="QI83" s="1576"/>
      <c r="QJ83" s="1576"/>
      <c r="QK83" s="1576"/>
      <c r="QL83" s="1576"/>
      <c r="QM83" s="1576"/>
      <c r="QN83" s="1576"/>
      <c r="QO83" s="1576"/>
      <c r="QP83" s="1576"/>
      <c r="QQ83" s="1576"/>
      <c r="QR83" s="1576"/>
      <c r="QS83" s="1576"/>
      <c r="QT83" s="1576"/>
      <c r="QU83" s="1576"/>
      <c r="QV83" s="1576"/>
      <c r="QW83" s="1576"/>
      <c r="QX83" s="1576"/>
      <c r="QY83" s="1576"/>
      <c r="QZ83" s="1576"/>
      <c r="RA83" s="1576"/>
      <c r="RB83" s="1576"/>
      <c r="RC83" s="1576"/>
      <c r="RD83" s="1576"/>
      <c r="RE83" s="1576"/>
      <c r="RF83" s="1576"/>
      <c r="RG83" s="1576"/>
      <c r="RH83" s="1576"/>
      <c r="RI83" s="1576"/>
      <c r="RJ83" s="1576"/>
      <c r="RK83" s="1576"/>
      <c r="RL83" s="1576"/>
      <c r="RM83" s="1576"/>
      <c r="RN83" s="1576"/>
      <c r="RO83" s="1576"/>
      <c r="RP83" s="1576"/>
      <c r="RQ83" s="1576"/>
      <c r="RR83" s="1576"/>
      <c r="RS83" s="1576"/>
      <c r="RT83" s="1576"/>
      <c r="RU83" s="1576"/>
      <c r="RV83" s="1576"/>
      <c r="RW83" s="1576"/>
      <c r="RX83" s="1576"/>
      <c r="RY83" s="1576"/>
      <c r="RZ83" s="1576"/>
      <c r="SA83" s="1576"/>
      <c r="SB83" s="1576"/>
      <c r="SC83" s="1576"/>
      <c r="SD83" s="1576"/>
      <c r="SE83" s="1576"/>
      <c r="SF83" s="1576"/>
      <c r="SG83" s="1576"/>
      <c r="SH83" s="1576"/>
      <c r="SI83" s="1576"/>
      <c r="SJ83" s="1576"/>
      <c r="SK83" s="1576"/>
      <c r="SL83" s="1576"/>
      <c r="SM83" s="1576"/>
      <c r="SN83" s="1576"/>
      <c r="SO83" s="1576"/>
      <c r="SP83" s="1576"/>
      <c r="SQ83" s="1576"/>
      <c r="SR83" s="1576"/>
      <c r="SS83" s="1576"/>
      <c r="ST83" s="1576"/>
      <c r="SU83" s="1576"/>
      <c r="SV83" s="1576"/>
      <c r="SW83" s="1576"/>
      <c r="SX83" s="1576"/>
      <c r="SY83" s="1576"/>
      <c r="SZ83" s="1576"/>
      <c r="TA83" s="1576"/>
      <c r="TB83" s="1576"/>
      <c r="TC83" s="1576"/>
      <c r="TD83" s="1576"/>
      <c r="TE83" s="1576"/>
      <c r="TF83" s="1576"/>
      <c r="TG83" s="1576"/>
      <c r="TH83" s="1576"/>
      <c r="TI83" s="1576"/>
      <c r="TJ83" s="1576"/>
      <c r="TK83" s="1576"/>
      <c r="TL83" s="1576"/>
      <c r="TM83" s="1576"/>
      <c r="TN83" s="1576"/>
      <c r="TO83" s="1576"/>
      <c r="TP83" s="1576"/>
      <c r="TQ83" s="1576"/>
      <c r="TR83" s="1576"/>
      <c r="TS83" s="1576"/>
      <c r="TT83" s="1576"/>
      <c r="TU83" s="1576"/>
      <c r="TV83" s="1576"/>
      <c r="TW83" s="1576"/>
      <c r="TX83" s="1576"/>
      <c r="TY83" s="1576"/>
      <c r="TZ83" s="1576"/>
      <c r="UA83" s="1576"/>
      <c r="UB83" s="1576"/>
      <c r="UC83" s="1576"/>
      <c r="UD83" s="1576"/>
      <c r="UE83" s="1576"/>
      <c r="UF83" s="1576"/>
      <c r="UG83" s="1576"/>
      <c r="UH83" s="1576"/>
      <c r="UI83" s="1576"/>
      <c r="UJ83" s="1576"/>
      <c r="UK83" s="1576"/>
      <c r="UL83" s="1576"/>
      <c r="UM83" s="1576"/>
      <c r="UN83" s="1576"/>
      <c r="UO83" s="1576"/>
      <c r="UP83" s="1576"/>
      <c r="UQ83" s="1576"/>
      <c r="UR83" s="1576"/>
      <c r="US83" s="1576"/>
      <c r="UT83" s="1576"/>
      <c r="UU83" s="1576"/>
      <c r="UV83" s="1576"/>
      <c r="UW83" s="1576"/>
      <c r="UX83" s="1576"/>
      <c r="UY83" s="1576"/>
      <c r="UZ83" s="1576"/>
      <c r="VA83" s="1576"/>
      <c r="VB83" s="1576"/>
      <c r="VC83" s="1576"/>
      <c r="VD83" s="1576"/>
      <c r="VE83" s="1576"/>
      <c r="VF83" s="1576"/>
      <c r="VG83" s="1576"/>
      <c r="VH83" s="1576"/>
      <c r="VI83" s="1576"/>
      <c r="VJ83" s="1576"/>
      <c r="VK83" s="1576"/>
    </row>
    <row r="84" spans="2:583" ht="27" x14ac:dyDescent="0.25">
      <c r="B84" s="4710" t="s">
        <v>61</v>
      </c>
      <c r="C84" s="1610" t="s">
        <v>2779</v>
      </c>
      <c r="D84" s="4710" t="s">
        <v>2780</v>
      </c>
      <c r="E84" s="4710" t="s">
        <v>2775</v>
      </c>
      <c r="F84" s="2057"/>
      <c r="G84" s="2057"/>
      <c r="H84" s="2057"/>
      <c r="I84" s="2059"/>
      <c r="J84" s="2059"/>
      <c r="K84" s="2059"/>
      <c r="L84" s="2059"/>
      <c r="M84" s="2059"/>
      <c r="N84" s="2059"/>
      <c r="O84" s="2059"/>
      <c r="P84" s="2059"/>
      <c r="Q84" s="2059"/>
      <c r="R84" s="2059"/>
      <c r="S84" s="2059"/>
      <c r="T84" s="2059"/>
      <c r="U84" s="2059"/>
      <c r="V84" s="2059"/>
      <c r="W84" s="2059"/>
      <c r="X84" s="2059"/>
      <c r="Y84" s="2059"/>
      <c r="Z84" s="2059"/>
      <c r="AA84" s="2059"/>
      <c r="AB84" s="2059"/>
      <c r="AC84" s="2059"/>
      <c r="AD84" s="2059"/>
      <c r="AE84" s="2059"/>
      <c r="AF84" s="2059"/>
      <c r="AG84" s="2059"/>
      <c r="AH84" s="2059"/>
      <c r="AI84" s="2059"/>
      <c r="AJ84" s="2059"/>
      <c r="AK84" s="2059"/>
      <c r="AL84" s="2059"/>
      <c r="AM84" s="2059"/>
      <c r="AN84" s="2059"/>
      <c r="AO84" s="2059"/>
      <c r="AP84" s="2059"/>
      <c r="AQ84" s="2059"/>
      <c r="AR84" s="2059"/>
      <c r="AS84" s="2059"/>
      <c r="AT84" s="2059"/>
      <c r="AU84" s="2059"/>
      <c r="AV84" s="2059"/>
      <c r="AW84" s="2059"/>
      <c r="AX84" s="2059"/>
      <c r="AY84" s="2059"/>
      <c r="AZ84" s="2059"/>
      <c r="BA84" s="2059"/>
      <c r="BB84" s="2059"/>
      <c r="BC84" s="2059"/>
      <c r="BD84" s="2059"/>
      <c r="BE84" s="2059"/>
      <c r="BF84" s="2059"/>
      <c r="BG84" s="2059"/>
      <c r="BH84" s="2059"/>
      <c r="BI84" s="2059"/>
      <c r="BJ84" s="2059"/>
      <c r="BK84" s="2059"/>
      <c r="BL84" s="2059"/>
      <c r="BM84" s="2059"/>
      <c r="BN84" s="2059"/>
      <c r="BO84" s="2059"/>
      <c r="BP84" s="2059"/>
      <c r="BQ84" s="2059"/>
      <c r="BR84" s="2059"/>
      <c r="BS84" s="2059"/>
      <c r="BT84" s="2059"/>
      <c r="BU84" s="2059"/>
      <c r="BV84" s="2059"/>
      <c r="BW84" s="2059"/>
      <c r="BX84" s="2059"/>
      <c r="BY84" s="2059"/>
      <c r="BZ84" s="2059"/>
      <c r="CA84" s="2059"/>
      <c r="CB84" s="2059"/>
      <c r="CC84" s="2059"/>
      <c r="CD84" s="2059"/>
      <c r="CE84" s="2059"/>
      <c r="CF84" s="2059"/>
      <c r="CG84" s="2059"/>
      <c r="CH84" s="2059"/>
      <c r="CI84" s="2059"/>
      <c r="CJ84" s="2059"/>
      <c r="CK84" s="2059"/>
      <c r="CL84" s="2059"/>
      <c r="CM84" s="2059"/>
      <c r="CN84" s="2059"/>
      <c r="CO84" s="2059"/>
      <c r="CP84" s="1576"/>
      <c r="CQ84" s="1576"/>
      <c r="CR84" s="1576"/>
      <c r="CS84" s="1576"/>
      <c r="CT84" s="1576"/>
      <c r="CU84" s="1576"/>
      <c r="CV84" s="1576"/>
      <c r="CW84" s="1576"/>
      <c r="CX84" s="1576"/>
      <c r="CY84" s="1576"/>
      <c r="CZ84" s="1576"/>
      <c r="DA84" s="1576"/>
      <c r="DB84" s="1576"/>
      <c r="DC84" s="1576"/>
      <c r="DD84" s="1576"/>
      <c r="DE84" s="1576"/>
      <c r="DF84" s="1576"/>
      <c r="DG84" s="1576"/>
      <c r="DH84" s="1576"/>
      <c r="DI84" s="1576"/>
      <c r="DJ84" s="1576"/>
      <c r="DK84" s="1576"/>
      <c r="DL84" s="1576"/>
      <c r="DM84" s="1576"/>
      <c r="DN84" s="1576"/>
      <c r="DO84" s="1576"/>
      <c r="DP84" s="1576"/>
      <c r="DQ84" s="1576"/>
      <c r="DR84" s="1576"/>
      <c r="DS84" s="1576"/>
      <c r="DT84" s="1576"/>
      <c r="DU84" s="1576"/>
      <c r="DV84" s="1576"/>
      <c r="DW84" s="1576"/>
      <c r="DX84" s="1576"/>
      <c r="DY84" s="1576"/>
      <c r="DZ84" s="1576"/>
      <c r="EA84" s="1576"/>
      <c r="EB84" s="1576"/>
      <c r="EC84" s="1576"/>
      <c r="ED84" s="1576"/>
      <c r="EE84" s="1576"/>
      <c r="EF84" s="1576"/>
      <c r="EG84" s="1576"/>
      <c r="EH84" s="1576"/>
      <c r="EI84" s="1576"/>
      <c r="EJ84" s="1576"/>
      <c r="EK84" s="1576"/>
      <c r="EL84" s="1576"/>
      <c r="EM84" s="1576"/>
      <c r="EN84" s="1576"/>
      <c r="EO84" s="1576"/>
      <c r="EP84" s="1576"/>
      <c r="EQ84" s="1576"/>
      <c r="ER84" s="1576"/>
      <c r="ES84" s="1576"/>
      <c r="ET84" s="1576"/>
      <c r="EU84" s="1576"/>
      <c r="EV84" s="1576"/>
      <c r="EW84" s="1576"/>
      <c r="EX84" s="1576"/>
      <c r="EY84" s="1576"/>
      <c r="EZ84" s="1576"/>
      <c r="FA84" s="1576"/>
      <c r="FB84" s="1576"/>
      <c r="FC84" s="1576"/>
      <c r="FD84" s="1576"/>
      <c r="FE84" s="1576"/>
      <c r="FF84" s="1576"/>
      <c r="FG84" s="1576"/>
      <c r="FH84" s="1576"/>
      <c r="FI84" s="1576"/>
      <c r="FJ84" s="1576"/>
      <c r="FK84" s="1576"/>
      <c r="FL84" s="1576"/>
      <c r="FM84" s="1576"/>
      <c r="FN84" s="1576"/>
      <c r="FO84" s="1576"/>
      <c r="FP84" s="1576"/>
      <c r="FQ84" s="1576"/>
      <c r="FR84" s="1576"/>
      <c r="FS84" s="1576"/>
      <c r="FT84" s="1576"/>
      <c r="FU84" s="1576"/>
      <c r="FV84" s="1576"/>
      <c r="FW84" s="1576"/>
      <c r="FX84" s="1576"/>
      <c r="FY84" s="1576"/>
      <c r="FZ84" s="1576"/>
      <c r="GA84" s="1576"/>
      <c r="GB84" s="1576"/>
      <c r="GC84" s="1576"/>
      <c r="GD84" s="1576"/>
      <c r="GE84" s="1576"/>
      <c r="GF84" s="1576"/>
      <c r="GG84" s="1576"/>
      <c r="GH84" s="1576"/>
      <c r="GI84" s="1576"/>
      <c r="GJ84" s="1576"/>
      <c r="GK84" s="1576"/>
      <c r="GL84" s="1576"/>
      <c r="GM84" s="1576"/>
      <c r="GN84" s="1576"/>
      <c r="GO84" s="1576"/>
      <c r="GP84" s="1576"/>
      <c r="GQ84" s="1576"/>
      <c r="GR84" s="1576"/>
      <c r="GS84" s="1576"/>
      <c r="GT84" s="1576"/>
      <c r="GU84" s="1576"/>
      <c r="GV84" s="1576"/>
      <c r="GW84" s="1576"/>
      <c r="GX84" s="1576"/>
      <c r="GY84" s="1576"/>
      <c r="GZ84" s="1576"/>
      <c r="HA84" s="1576"/>
      <c r="HB84" s="1576"/>
      <c r="HC84" s="1576"/>
      <c r="HD84" s="1576"/>
      <c r="HE84" s="1576"/>
      <c r="HF84" s="1576"/>
      <c r="HG84" s="1576"/>
      <c r="HH84" s="1576"/>
      <c r="HI84" s="1576"/>
      <c r="HJ84" s="1576"/>
      <c r="HK84" s="1576"/>
      <c r="HL84" s="1576"/>
      <c r="HM84" s="1576"/>
      <c r="HN84" s="1576"/>
      <c r="HO84" s="1576"/>
      <c r="HP84" s="1576"/>
      <c r="HQ84" s="1576"/>
      <c r="HR84" s="1576"/>
      <c r="HS84" s="1576"/>
      <c r="HT84" s="1576"/>
      <c r="HU84" s="1576"/>
      <c r="HV84" s="1576"/>
      <c r="HW84" s="1576"/>
      <c r="HX84" s="1576"/>
      <c r="HY84" s="1576"/>
      <c r="HZ84" s="1576"/>
      <c r="IA84" s="1576"/>
      <c r="IB84" s="1576"/>
      <c r="IC84" s="1576"/>
      <c r="ID84" s="1576"/>
      <c r="IE84" s="1576"/>
      <c r="IF84" s="1576"/>
      <c r="IG84" s="1576"/>
      <c r="IH84" s="1576"/>
      <c r="II84" s="1576"/>
      <c r="IJ84" s="1576"/>
      <c r="IK84" s="1576"/>
      <c r="IL84" s="1576"/>
      <c r="IM84" s="1576"/>
      <c r="IN84" s="1576"/>
      <c r="IO84" s="1576"/>
      <c r="IP84" s="1576"/>
      <c r="IQ84" s="1576"/>
      <c r="IR84" s="1576"/>
      <c r="IS84" s="1576"/>
      <c r="IT84" s="1576"/>
      <c r="IU84" s="1576"/>
      <c r="IV84" s="1576"/>
      <c r="IW84" s="1576"/>
      <c r="IX84" s="1576"/>
      <c r="IY84" s="1576"/>
      <c r="IZ84" s="1576"/>
      <c r="JA84" s="2054"/>
      <c r="JB84" s="2054"/>
      <c r="JC84" s="2054"/>
      <c r="JD84" s="2054"/>
      <c r="JE84" s="2054"/>
      <c r="JF84" s="2054"/>
      <c r="JG84" s="2054"/>
      <c r="JH84" s="2054"/>
      <c r="JI84" s="2054"/>
      <c r="JJ84" s="2054"/>
      <c r="JK84" s="2054"/>
      <c r="JL84" s="2054"/>
      <c r="JM84" s="2054"/>
      <c r="JN84" s="2054"/>
      <c r="JO84" s="2054"/>
      <c r="JP84" s="2054"/>
      <c r="JQ84" s="2054"/>
      <c r="JR84" s="1576"/>
      <c r="JS84" s="1576"/>
      <c r="JT84" s="1576"/>
      <c r="JU84" s="1576"/>
      <c r="JV84" s="1576"/>
      <c r="JW84" s="1576"/>
      <c r="JX84" s="1576"/>
      <c r="JY84" s="1576"/>
      <c r="JZ84" s="1576"/>
      <c r="KA84" s="1576"/>
      <c r="KB84" s="1576"/>
      <c r="KC84" s="1576"/>
      <c r="KD84" s="1576"/>
      <c r="KE84" s="1576"/>
      <c r="KF84" s="1576"/>
      <c r="KG84" s="1576"/>
      <c r="KH84" s="1576"/>
      <c r="KI84" s="1576"/>
      <c r="KJ84" s="1576"/>
      <c r="KK84" s="1576"/>
      <c r="KL84" s="1576"/>
      <c r="KM84" s="1576"/>
      <c r="KN84" s="1576"/>
      <c r="KO84" s="1576"/>
      <c r="KP84" s="1576"/>
      <c r="KQ84" s="1576"/>
      <c r="KR84" s="1576"/>
      <c r="KS84" s="1576"/>
      <c r="KT84" s="1576"/>
      <c r="KU84" s="1576"/>
      <c r="KV84" s="1576"/>
      <c r="KW84" s="1576"/>
      <c r="KX84" s="1576"/>
      <c r="KY84" s="1576"/>
      <c r="KZ84" s="1576"/>
      <c r="LA84" s="1576"/>
      <c r="LB84" s="1576"/>
      <c r="LC84" s="1576"/>
      <c r="LD84" s="1576"/>
      <c r="LE84" s="1576"/>
      <c r="LF84" s="1576"/>
      <c r="LG84" s="1576"/>
      <c r="LH84" s="1576"/>
      <c r="LI84" s="1576"/>
      <c r="LJ84" s="1576"/>
      <c r="LK84" s="1576"/>
      <c r="LL84" s="1576"/>
      <c r="LM84" s="1576"/>
      <c r="LN84" s="1576"/>
      <c r="LO84" s="1576"/>
      <c r="LP84" s="1576"/>
      <c r="LQ84" s="1576"/>
      <c r="LR84" s="1576"/>
      <c r="LS84" s="1576"/>
      <c r="LT84" s="1576"/>
      <c r="LU84" s="1576"/>
      <c r="LV84" s="1576"/>
      <c r="LW84" s="1576"/>
      <c r="LX84" s="1576"/>
      <c r="LY84" s="1576"/>
      <c r="LZ84" s="1576"/>
      <c r="MA84" s="1576"/>
      <c r="MB84" s="1576"/>
      <c r="MC84" s="1576"/>
      <c r="MD84" s="1576"/>
      <c r="ME84" s="1576"/>
      <c r="MF84" s="1576"/>
      <c r="MG84" s="1576"/>
      <c r="MH84" s="1576"/>
      <c r="MI84" s="1576"/>
      <c r="MJ84" s="1576"/>
      <c r="MK84" s="1576"/>
      <c r="ML84" s="1576"/>
      <c r="MM84" s="1576"/>
      <c r="MN84" s="1576"/>
      <c r="MO84" s="1576"/>
      <c r="MP84" s="1576"/>
      <c r="MQ84" s="1576"/>
      <c r="MR84" s="1576"/>
      <c r="MS84" s="1576"/>
      <c r="MT84" s="1576"/>
      <c r="MU84" s="1576"/>
      <c r="MV84" s="1576"/>
      <c r="MW84" s="1576"/>
      <c r="MX84" s="1576"/>
      <c r="MY84" s="1576"/>
      <c r="MZ84" s="1576"/>
      <c r="NA84" s="1576"/>
      <c r="NB84" s="1576"/>
      <c r="NC84" s="1576"/>
      <c r="ND84" s="1576"/>
      <c r="NE84" s="1576"/>
      <c r="NF84" s="1576"/>
      <c r="NG84" s="1576"/>
      <c r="NH84" s="1576"/>
      <c r="NI84" s="1576"/>
      <c r="NJ84" s="1576"/>
      <c r="NK84" s="1576"/>
      <c r="NL84" s="1576"/>
      <c r="NM84" s="1576"/>
      <c r="NN84" s="1576"/>
      <c r="NO84" s="1576"/>
      <c r="NP84" s="1576"/>
      <c r="NQ84" s="1576"/>
      <c r="NR84" s="1576"/>
      <c r="NS84" s="1576"/>
      <c r="NT84" s="1576"/>
      <c r="NU84" s="1576"/>
      <c r="NV84" s="1576"/>
      <c r="NW84" s="1576"/>
      <c r="NX84" s="1576"/>
      <c r="NY84" s="1576"/>
      <c r="NZ84" s="1576"/>
      <c r="OA84" s="1576"/>
      <c r="OB84" s="1576"/>
      <c r="OC84" s="1576"/>
      <c r="OD84" s="1576"/>
      <c r="OE84" s="1576"/>
      <c r="OF84" s="1576"/>
      <c r="OG84" s="1576"/>
      <c r="OH84" s="1576"/>
      <c r="OI84" s="1576"/>
      <c r="OJ84" s="1576"/>
      <c r="OK84" s="1576"/>
      <c r="OL84" s="1576"/>
      <c r="OM84" s="1576"/>
      <c r="ON84" s="1576"/>
      <c r="OO84" s="1576"/>
      <c r="OP84" s="1576"/>
      <c r="OQ84" s="1576"/>
      <c r="OR84" s="1576"/>
      <c r="OS84" s="1576"/>
      <c r="OT84" s="1576"/>
      <c r="OU84" s="1576"/>
      <c r="OV84" s="1576"/>
      <c r="OW84" s="1576"/>
      <c r="OX84" s="1576"/>
      <c r="OY84" s="1576"/>
      <c r="OZ84" s="1576"/>
      <c r="PA84" s="1576"/>
      <c r="PB84" s="1576"/>
      <c r="PC84" s="1576"/>
      <c r="PD84" s="1576"/>
      <c r="PE84" s="1576"/>
      <c r="PF84" s="1576"/>
      <c r="PG84" s="1576"/>
      <c r="PH84" s="1576"/>
      <c r="PI84" s="1576"/>
      <c r="PJ84" s="1576"/>
      <c r="PK84" s="1576"/>
      <c r="PL84" s="1576"/>
      <c r="PM84" s="1576"/>
      <c r="PN84" s="1576"/>
      <c r="PO84" s="1576"/>
      <c r="PP84" s="1576"/>
      <c r="PQ84" s="1576"/>
      <c r="PR84" s="1576"/>
      <c r="PS84" s="1576"/>
      <c r="PT84" s="1576"/>
      <c r="PU84" s="1576"/>
      <c r="PV84" s="1576"/>
      <c r="PW84" s="1576"/>
      <c r="PX84" s="1576"/>
      <c r="PY84" s="1576"/>
      <c r="PZ84" s="1576"/>
      <c r="QA84" s="1576"/>
      <c r="QB84" s="1576"/>
      <c r="QC84" s="1576"/>
      <c r="QD84" s="1576"/>
      <c r="QE84" s="1576"/>
      <c r="QF84" s="1576"/>
      <c r="QG84" s="1576"/>
      <c r="QH84" s="1576"/>
      <c r="QI84" s="1576"/>
      <c r="QJ84" s="1576"/>
      <c r="QK84" s="1576"/>
      <c r="QL84" s="1576"/>
      <c r="QM84" s="1576"/>
      <c r="QN84" s="1576"/>
      <c r="QO84" s="1576"/>
      <c r="QP84" s="1576"/>
      <c r="QQ84" s="1576"/>
      <c r="QR84" s="1576"/>
      <c r="QS84" s="1576"/>
      <c r="QT84" s="1576"/>
      <c r="QU84" s="1576"/>
      <c r="QV84" s="1576"/>
      <c r="QW84" s="1576"/>
      <c r="QX84" s="1576"/>
      <c r="QY84" s="1576"/>
      <c r="QZ84" s="1576"/>
      <c r="RA84" s="1576"/>
      <c r="RB84" s="1576"/>
      <c r="RC84" s="1576"/>
      <c r="RD84" s="1576"/>
      <c r="RE84" s="1576"/>
      <c r="RF84" s="1576"/>
      <c r="RG84" s="1576"/>
      <c r="RH84" s="1576"/>
      <c r="RI84" s="1576"/>
      <c r="RJ84" s="1576"/>
      <c r="RK84" s="1576"/>
      <c r="RL84" s="1576"/>
      <c r="RM84" s="1576"/>
      <c r="RN84" s="1576"/>
      <c r="RO84" s="1576"/>
      <c r="RP84" s="1576"/>
      <c r="RQ84" s="1576"/>
      <c r="RR84" s="1576"/>
      <c r="RS84" s="1576"/>
      <c r="RT84" s="1576"/>
      <c r="RU84" s="1576"/>
      <c r="RV84" s="1576"/>
      <c r="RW84" s="1576"/>
      <c r="RX84" s="1576"/>
      <c r="RY84" s="1576"/>
      <c r="RZ84" s="1576"/>
      <c r="SA84" s="1576"/>
      <c r="SB84" s="1576"/>
      <c r="SC84" s="1576"/>
      <c r="SD84" s="1576"/>
      <c r="SE84" s="1576"/>
      <c r="SF84" s="1576"/>
      <c r="SG84" s="1576"/>
      <c r="SH84" s="1576"/>
      <c r="SI84" s="1576"/>
      <c r="SJ84" s="1576"/>
      <c r="SK84" s="1576"/>
      <c r="SL84" s="1576"/>
      <c r="SM84" s="1576"/>
      <c r="SN84" s="1576"/>
      <c r="SO84" s="1576"/>
      <c r="SP84" s="1576"/>
      <c r="SQ84" s="1576"/>
      <c r="SR84" s="1576"/>
      <c r="SS84" s="1576"/>
      <c r="ST84" s="1576"/>
      <c r="SU84" s="1576"/>
      <c r="SV84" s="1576"/>
      <c r="SW84" s="1576"/>
      <c r="SX84" s="1576"/>
      <c r="SY84" s="1576"/>
      <c r="SZ84" s="1576"/>
      <c r="TA84" s="1576"/>
      <c r="TB84" s="1576"/>
      <c r="TC84" s="1576"/>
      <c r="TD84" s="1576"/>
      <c r="TE84" s="1576"/>
      <c r="TF84" s="1576"/>
      <c r="TG84" s="1576"/>
      <c r="TH84" s="1576"/>
      <c r="TI84" s="1576"/>
      <c r="TJ84" s="1576"/>
      <c r="TK84" s="1576"/>
      <c r="TL84" s="1576"/>
      <c r="TM84" s="1576"/>
      <c r="TN84" s="1576"/>
      <c r="TO84" s="1576"/>
      <c r="TP84" s="1576"/>
      <c r="TQ84" s="1576"/>
      <c r="TR84" s="1576"/>
      <c r="TS84" s="1576"/>
      <c r="TT84" s="1576"/>
      <c r="TU84" s="1576"/>
      <c r="TV84" s="1576"/>
      <c r="TW84" s="1576"/>
      <c r="TX84" s="1576"/>
      <c r="TY84" s="1576"/>
      <c r="TZ84" s="1576"/>
      <c r="UA84" s="1576"/>
      <c r="UB84" s="1576"/>
      <c r="UC84" s="1576"/>
      <c r="UD84" s="1576"/>
      <c r="UE84" s="1576"/>
      <c r="UF84" s="1576"/>
      <c r="UG84" s="1576"/>
      <c r="UH84" s="1576"/>
      <c r="UI84" s="1576"/>
      <c r="UJ84" s="1576"/>
      <c r="UK84" s="1576"/>
      <c r="UL84" s="1576"/>
      <c r="UM84" s="1576"/>
      <c r="UN84" s="1576"/>
      <c r="UO84" s="1576"/>
      <c r="UP84" s="1576"/>
      <c r="UQ84" s="1576"/>
      <c r="UR84" s="1576"/>
      <c r="US84" s="1576"/>
      <c r="UT84" s="1576"/>
      <c r="UU84" s="1576"/>
      <c r="UV84" s="1576"/>
      <c r="UW84" s="1576"/>
      <c r="UX84" s="1576"/>
      <c r="UY84" s="1576"/>
      <c r="UZ84" s="1576"/>
      <c r="VA84" s="1576"/>
      <c r="VB84" s="1576"/>
      <c r="VC84" s="1576"/>
      <c r="VD84" s="1576"/>
      <c r="VE84" s="1576"/>
      <c r="VF84" s="1576"/>
      <c r="VG84" s="1576"/>
      <c r="VH84" s="1576"/>
      <c r="VI84" s="1576"/>
      <c r="VJ84" s="1576"/>
      <c r="VK84" s="1576"/>
    </row>
    <row r="85" spans="2:583" ht="27" customHeight="1" x14ac:dyDescent="0.25">
      <c r="B85" s="4710"/>
      <c r="C85" s="1610" t="s">
        <v>2776</v>
      </c>
      <c r="D85" s="4710" t="s">
        <v>2781</v>
      </c>
      <c r="E85" s="4710" t="s">
        <v>2778</v>
      </c>
      <c r="F85" s="2057"/>
      <c r="G85" s="2057"/>
      <c r="H85" s="2057"/>
      <c r="I85" s="2059"/>
      <c r="J85" s="2059"/>
      <c r="K85" s="2059"/>
      <c r="L85" s="2059"/>
      <c r="M85" s="2059"/>
      <c r="N85" s="2059"/>
      <c r="O85" s="2059"/>
      <c r="P85" s="2059"/>
      <c r="Q85" s="2059"/>
      <c r="R85" s="2059"/>
      <c r="S85" s="2059"/>
      <c r="T85" s="2059"/>
      <c r="U85" s="2059"/>
      <c r="V85" s="2059"/>
      <c r="W85" s="2059"/>
      <c r="X85" s="2059"/>
      <c r="Y85" s="2059"/>
      <c r="Z85" s="2059"/>
      <c r="AA85" s="2059"/>
      <c r="AB85" s="2059"/>
      <c r="AC85" s="2059"/>
      <c r="AD85" s="2059"/>
      <c r="AE85" s="2059"/>
      <c r="AF85" s="2059"/>
      <c r="AG85" s="2059"/>
      <c r="AH85" s="2059"/>
      <c r="AI85" s="2059"/>
      <c r="AJ85" s="2059"/>
      <c r="AK85" s="2059"/>
      <c r="AL85" s="2059"/>
      <c r="AM85" s="2059"/>
      <c r="AN85" s="2059"/>
      <c r="AO85" s="2059"/>
      <c r="AP85" s="2059"/>
      <c r="AQ85" s="2059"/>
      <c r="AR85" s="2059"/>
      <c r="AS85" s="2059"/>
      <c r="AT85" s="2059"/>
      <c r="AU85" s="2059"/>
      <c r="AV85" s="2059"/>
      <c r="AW85" s="2059"/>
      <c r="AX85" s="2059"/>
      <c r="AY85" s="2059"/>
      <c r="AZ85" s="2059"/>
      <c r="BA85" s="2059"/>
      <c r="BB85" s="2059"/>
      <c r="BC85" s="2059"/>
      <c r="BD85" s="2059"/>
      <c r="BE85" s="2059"/>
      <c r="BF85" s="2059"/>
      <c r="BG85" s="2059"/>
      <c r="BH85" s="2059"/>
      <c r="BI85" s="2059"/>
      <c r="BJ85" s="2059"/>
      <c r="BK85" s="2059"/>
      <c r="BL85" s="2059"/>
      <c r="BM85" s="2059"/>
      <c r="BN85" s="2059"/>
      <c r="BO85" s="2059"/>
      <c r="BP85" s="2059"/>
      <c r="BQ85" s="2059"/>
      <c r="BR85" s="2059"/>
      <c r="BS85" s="2059"/>
      <c r="BT85" s="2059"/>
      <c r="BU85" s="2059"/>
      <c r="BV85" s="2059"/>
      <c r="BW85" s="2059"/>
      <c r="BX85" s="2059"/>
      <c r="BY85" s="2059"/>
      <c r="BZ85" s="2059"/>
      <c r="CA85" s="2059"/>
      <c r="CB85" s="2059"/>
      <c r="CC85" s="2059"/>
      <c r="CD85" s="2059"/>
      <c r="CE85" s="2059"/>
      <c r="CF85" s="2059"/>
      <c r="CG85" s="2059"/>
      <c r="CH85" s="2059"/>
      <c r="CI85" s="2059"/>
      <c r="CJ85" s="2059"/>
      <c r="CK85" s="2059"/>
      <c r="CL85" s="2059"/>
      <c r="CM85" s="2059"/>
      <c r="CN85" s="2059"/>
      <c r="CO85" s="2059"/>
      <c r="CP85" s="1576"/>
      <c r="CQ85" s="1576"/>
      <c r="CR85" s="1576"/>
      <c r="CS85" s="1576"/>
      <c r="CT85" s="1576"/>
      <c r="CU85" s="1576"/>
      <c r="CV85" s="1576"/>
      <c r="CW85" s="1576"/>
      <c r="CX85" s="1576"/>
      <c r="CY85" s="1576"/>
      <c r="CZ85" s="1576"/>
      <c r="DA85" s="1576"/>
      <c r="DB85" s="1576"/>
      <c r="DC85" s="1576"/>
      <c r="DD85" s="1576"/>
      <c r="DE85" s="1576"/>
      <c r="DF85" s="1576"/>
      <c r="DG85" s="1576"/>
      <c r="DH85" s="1576"/>
      <c r="DI85" s="1576"/>
      <c r="DJ85" s="1576"/>
      <c r="DK85" s="1576"/>
      <c r="DL85" s="1576"/>
      <c r="DM85" s="1576"/>
      <c r="DN85" s="1576"/>
      <c r="DO85" s="1576"/>
      <c r="DP85" s="1576"/>
      <c r="DQ85" s="1576"/>
      <c r="DR85" s="1576"/>
      <c r="DS85" s="1576"/>
      <c r="DT85" s="1576"/>
      <c r="DU85" s="1576"/>
      <c r="DV85" s="1576"/>
      <c r="DW85" s="1576"/>
      <c r="DX85" s="1576"/>
      <c r="DY85" s="1576"/>
      <c r="DZ85" s="1576"/>
      <c r="EA85" s="1576"/>
      <c r="EB85" s="1576"/>
      <c r="EC85" s="1576"/>
      <c r="ED85" s="1576"/>
      <c r="EE85" s="1576"/>
      <c r="EF85" s="1576"/>
      <c r="EG85" s="1576"/>
      <c r="EH85" s="1576"/>
      <c r="EI85" s="1576"/>
      <c r="EJ85" s="1576"/>
      <c r="EK85" s="1576"/>
      <c r="EL85" s="1576"/>
      <c r="EM85" s="1576"/>
      <c r="EN85" s="1576"/>
      <c r="EO85" s="1576"/>
      <c r="EP85" s="1576"/>
      <c r="EQ85" s="1576"/>
      <c r="ER85" s="1576"/>
      <c r="ES85" s="1576"/>
      <c r="ET85" s="1576"/>
      <c r="EU85" s="1576"/>
      <c r="EV85" s="1576"/>
      <c r="EW85" s="1576"/>
      <c r="EX85" s="1576"/>
      <c r="EY85" s="1576"/>
      <c r="EZ85" s="1576"/>
      <c r="FA85" s="1576"/>
      <c r="FB85" s="1576"/>
      <c r="FC85" s="1576"/>
      <c r="FD85" s="1576"/>
      <c r="FE85" s="1576"/>
      <c r="FF85" s="1576"/>
      <c r="FG85" s="1576"/>
      <c r="FH85" s="1576"/>
      <c r="FI85" s="1576"/>
      <c r="FJ85" s="1576"/>
      <c r="FK85" s="1576"/>
      <c r="FL85" s="1576"/>
      <c r="FM85" s="1576"/>
      <c r="FN85" s="1576"/>
      <c r="FO85" s="1576"/>
      <c r="FP85" s="1576"/>
      <c r="FQ85" s="1576"/>
      <c r="FR85" s="1576"/>
      <c r="FS85" s="1576"/>
      <c r="FT85" s="1576"/>
      <c r="FU85" s="1576"/>
      <c r="FV85" s="1576"/>
      <c r="FW85" s="1576"/>
      <c r="FX85" s="1576"/>
      <c r="FY85" s="1576"/>
      <c r="FZ85" s="1576"/>
      <c r="GA85" s="1576"/>
      <c r="GB85" s="1576"/>
      <c r="GC85" s="1576"/>
      <c r="GD85" s="1576"/>
      <c r="GE85" s="1576"/>
      <c r="GF85" s="1576"/>
      <c r="GG85" s="1576"/>
      <c r="GH85" s="1576"/>
      <c r="GI85" s="1576"/>
      <c r="GJ85" s="1576"/>
      <c r="GK85" s="1576"/>
      <c r="GL85" s="1576"/>
      <c r="GM85" s="1576"/>
      <c r="GN85" s="1576"/>
      <c r="GO85" s="1576"/>
      <c r="GP85" s="1576"/>
      <c r="GQ85" s="1576"/>
      <c r="GR85" s="1576"/>
      <c r="GS85" s="1576"/>
      <c r="GT85" s="1576"/>
      <c r="GU85" s="1576"/>
      <c r="GV85" s="1576"/>
      <c r="GW85" s="1576"/>
      <c r="GX85" s="1576"/>
      <c r="GY85" s="1576"/>
      <c r="GZ85" s="1576"/>
      <c r="HA85" s="1576"/>
      <c r="HB85" s="1576"/>
      <c r="HC85" s="1576"/>
      <c r="HD85" s="1576"/>
      <c r="HE85" s="1576"/>
      <c r="HF85" s="1576"/>
      <c r="HG85" s="1576"/>
      <c r="HH85" s="1576"/>
      <c r="HI85" s="1576"/>
      <c r="HJ85" s="1576"/>
      <c r="HK85" s="1576"/>
      <c r="HL85" s="1576"/>
      <c r="HM85" s="1576"/>
      <c r="HN85" s="1576"/>
      <c r="HO85" s="1576"/>
      <c r="HP85" s="1576"/>
      <c r="HQ85" s="1576"/>
      <c r="HR85" s="1576"/>
      <c r="HS85" s="1576"/>
      <c r="HT85" s="1576"/>
      <c r="HU85" s="1576"/>
      <c r="HV85" s="1576"/>
      <c r="HW85" s="1576"/>
      <c r="HX85" s="1576"/>
      <c r="HY85" s="1576"/>
      <c r="HZ85" s="1576"/>
      <c r="IA85" s="1576"/>
      <c r="IB85" s="1576"/>
      <c r="IC85" s="1576"/>
      <c r="ID85" s="1576"/>
      <c r="IE85" s="1576"/>
      <c r="IF85" s="1576"/>
      <c r="IG85" s="1576"/>
      <c r="IH85" s="1576"/>
      <c r="II85" s="1576"/>
      <c r="IJ85" s="1576"/>
      <c r="IK85" s="1576"/>
      <c r="IL85" s="1576"/>
      <c r="IM85" s="1576"/>
      <c r="IN85" s="1576"/>
      <c r="IO85" s="1576"/>
      <c r="IP85" s="1576"/>
      <c r="IQ85" s="1576"/>
      <c r="IR85" s="1576"/>
      <c r="IS85" s="1576"/>
      <c r="IT85" s="1576"/>
      <c r="IU85" s="1576"/>
      <c r="IV85" s="1576"/>
      <c r="IW85" s="1576"/>
      <c r="IX85" s="1576"/>
      <c r="IY85" s="1576"/>
      <c r="IZ85" s="1576"/>
      <c r="JA85" s="2054"/>
      <c r="JB85" s="2054"/>
      <c r="JC85" s="2054"/>
      <c r="JD85" s="2054"/>
      <c r="JE85" s="2054"/>
      <c r="JF85" s="2054"/>
      <c r="JG85" s="2054"/>
      <c r="JH85" s="2054"/>
      <c r="JI85" s="2054"/>
      <c r="JJ85" s="2054"/>
      <c r="JK85" s="2054"/>
      <c r="JL85" s="2054"/>
      <c r="JM85" s="2054"/>
      <c r="JN85" s="2054"/>
      <c r="JO85" s="2054"/>
      <c r="JP85" s="2054"/>
      <c r="JQ85" s="2054"/>
      <c r="JR85" s="1576"/>
      <c r="JS85" s="1576"/>
      <c r="JT85" s="1576"/>
      <c r="JU85" s="1576"/>
      <c r="JV85" s="1576"/>
      <c r="JW85" s="1576"/>
      <c r="JX85" s="1576"/>
      <c r="JY85" s="1576"/>
      <c r="JZ85" s="1576"/>
      <c r="KA85" s="1576"/>
      <c r="KB85" s="1576"/>
      <c r="KC85" s="1576"/>
      <c r="KD85" s="1576"/>
      <c r="KE85" s="1576"/>
      <c r="KF85" s="1576"/>
      <c r="KG85" s="1576"/>
      <c r="KH85" s="1576"/>
      <c r="KI85" s="1576"/>
      <c r="KJ85" s="1576"/>
      <c r="KK85" s="1576"/>
      <c r="KL85" s="1576"/>
      <c r="KM85" s="1576"/>
      <c r="KN85" s="1576"/>
      <c r="KO85" s="1576"/>
      <c r="KP85" s="1576"/>
      <c r="KQ85" s="1576"/>
      <c r="KR85" s="1576"/>
      <c r="KS85" s="1576"/>
      <c r="KT85" s="1576"/>
      <c r="KU85" s="1576"/>
      <c r="KV85" s="1576"/>
      <c r="KW85" s="1576"/>
      <c r="KX85" s="1576"/>
      <c r="KY85" s="1576"/>
      <c r="KZ85" s="1576"/>
      <c r="LA85" s="1576"/>
      <c r="LB85" s="1576"/>
      <c r="LC85" s="1576"/>
      <c r="LD85" s="1576"/>
      <c r="LE85" s="1576"/>
      <c r="LF85" s="1576"/>
      <c r="LG85" s="1576"/>
      <c r="LH85" s="1576"/>
      <c r="LI85" s="1576"/>
      <c r="LJ85" s="1576"/>
      <c r="LK85" s="1576"/>
      <c r="LL85" s="1576"/>
      <c r="LM85" s="1576"/>
      <c r="LN85" s="1576"/>
      <c r="LO85" s="1576"/>
      <c r="LP85" s="1576"/>
      <c r="LQ85" s="1576"/>
      <c r="LR85" s="1576"/>
      <c r="LS85" s="1576"/>
      <c r="LT85" s="1576"/>
      <c r="LU85" s="1576"/>
      <c r="LV85" s="1576"/>
      <c r="LW85" s="1576"/>
      <c r="LX85" s="1576"/>
      <c r="LY85" s="1576"/>
      <c r="LZ85" s="1576"/>
      <c r="MA85" s="1576"/>
      <c r="MB85" s="1576"/>
      <c r="MC85" s="1576"/>
      <c r="MD85" s="1576"/>
      <c r="ME85" s="1576"/>
      <c r="MF85" s="1576"/>
      <c r="MG85" s="1576"/>
      <c r="MH85" s="1576"/>
      <c r="MI85" s="1576"/>
      <c r="MJ85" s="1576"/>
      <c r="MK85" s="1576"/>
      <c r="ML85" s="1576"/>
      <c r="MM85" s="1576"/>
      <c r="MN85" s="1576"/>
      <c r="MO85" s="1576"/>
      <c r="MP85" s="1576"/>
      <c r="MQ85" s="1576"/>
      <c r="MR85" s="1576"/>
      <c r="MS85" s="1576"/>
      <c r="MT85" s="1576"/>
      <c r="MU85" s="1576"/>
      <c r="MV85" s="1576"/>
      <c r="MW85" s="1576"/>
      <c r="MX85" s="1576"/>
      <c r="MY85" s="1576"/>
      <c r="MZ85" s="1576"/>
      <c r="NA85" s="1576"/>
      <c r="NB85" s="1576"/>
      <c r="NC85" s="1576"/>
      <c r="ND85" s="1576"/>
      <c r="NE85" s="1576"/>
      <c r="NF85" s="1576"/>
      <c r="NG85" s="1576"/>
      <c r="NH85" s="1576"/>
      <c r="NI85" s="1576"/>
      <c r="NJ85" s="1576"/>
      <c r="NK85" s="1576"/>
      <c r="NL85" s="1576"/>
      <c r="NM85" s="1576"/>
      <c r="NN85" s="1576"/>
      <c r="NO85" s="1576"/>
      <c r="NP85" s="1576"/>
      <c r="NQ85" s="1576"/>
      <c r="NR85" s="1576"/>
      <c r="NS85" s="1576"/>
      <c r="NT85" s="1576"/>
      <c r="NU85" s="1576"/>
      <c r="NV85" s="1576"/>
      <c r="NW85" s="1576"/>
      <c r="NX85" s="1576"/>
      <c r="NY85" s="1576"/>
      <c r="NZ85" s="1576"/>
      <c r="OA85" s="1576"/>
      <c r="OB85" s="1576"/>
      <c r="OC85" s="1576"/>
      <c r="OD85" s="1576"/>
      <c r="OE85" s="1576"/>
      <c r="OF85" s="1576"/>
      <c r="OG85" s="1576"/>
      <c r="OH85" s="1576"/>
      <c r="OI85" s="1576"/>
      <c r="OJ85" s="1576"/>
      <c r="OK85" s="1576"/>
      <c r="OL85" s="1576"/>
      <c r="OM85" s="1576"/>
      <c r="ON85" s="1576"/>
      <c r="OO85" s="1576"/>
      <c r="OP85" s="1576"/>
      <c r="OQ85" s="1576"/>
      <c r="OR85" s="1576"/>
      <c r="OS85" s="1576"/>
      <c r="OT85" s="1576"/>
      <c r="OU85" s="1576"/>
      <c r="OV85" s="1576"/>
      <c r="OW85" s="1576"/>
      <c r="OX85" s="1576"/>
      <c r="OY85" s="1576"/>
      <c r="OZ85" s="1576"/>
      <c r="PA85" s="1576"/>
      <c r="PB85" s="1576"/>
      <c r="PC85" s="1576"/>
      <c r="PD85" s="1576"/>
      <c r="PE85" s="1576"/>
      <c r="PF85" s="1576"/>
      <c r="PG85" s="1576"/>
      <c r="PH85" s="1576"/>
      <c r="PI85" s="1576"/>
      <c r="PJ85" s="1576"/>
      <c r="PK85" s="1576"/>
      <c r="PL85" s="1576"/>
      <c r="PM85" s="1576"/>
      <c r="PN85" s="1576"/>
      <c r="PO85" s="1576"/>
      <c r="PP85" s="1576"/>
      <c r="PQ85" s="1576"/>
      <c r="PR85" s="1576"/>
      <c r="PS85" s="1576"/>
      <c r="PT85" s="1576"/>
      <c r="PU85" s="1576"/>
      <c r="PV85" s="1576"/>
      <c r="PW85" s="1576"/>
      <c r="PX85" s="1576"/>
      <c r="PY85" s="1576"/>
      <c r="PZ85" s="1576"/>
      <c r="QA85" s="1576"/>
      <c r="QB85" s="1576"/>
      <c r="QC85" s="1576"/>
      <c r="QD85" s="1576"/>
      <c r="QE85" s="1576"/>
      <c r="QF85" s="1576"/>
      <c r="QG85" s="1576"/>
      <c r="QH85" s="1576"/>
      <c r="QI85" s="1576"/>
      <c r="QJ85" s="1576"/>
      <c r="QK85" s="1576"/>
      <c r="QL85" s="1576"/>
      <c r="QM85" s="1576"/>
      <c r="QN85" s="1576"/>
      <c r="QO85" s="1576"/>
      <c r="QP85" s="1576"/>
      <c r="QQ85" s="1576"/>
      <c r="QR85" s="1576"/>
      <c r="QS85" s="1576"/>
      <c r="QT85" s="1576"/>
      <c r="QU85" s="1576"/>
      <c r="QV85" s="1576"/>
      <c r="QW85" s="1576"/>
      <c r="QX85" s="1576"/>
      <c r="QY85" s="1576"/>
      <c r="QZ85" s="1576"/>
      <c r="RA85" s="1576"/>
      <c r="RB85" s="1576"/>
      <c r="RC85" s="1576"/>
      <c r="RD85" s="1576"/>
      <c r="RE85" s="1576"/>
      <c r="RF85" s="1576"/>
      <c r="RG85" s="1576"/>
      <c r="RH85" s="1576"/>
      <c r="RI85" s="1576"/>
      <c r="RJ85" s="1576"/>
      <c r="RK85" s="1576"/>
      <c r="RL85" s="1576"/>
      <c r="RM85" s="1576"/>
      <c r="RN85" s="1576"/>
      <c r="RO85" s="1576"/>
      <c r="RP85" s="1576"/>
      <c r="RQ85" s="1576"/>
      <c r="RR85" s="1576"/>
      <c r="RS85" s="1576"/>
      <c r="RT85" s="1576"/>
      <c r="RU85" s="1576"/>
      <c r="RV85" s="1576"/>
      <c r="RW85" s="1576"/>
      <c r="RX85" s="1576"/>
      <c r="RY85" s="1576"/>
      <c r="RZ85" s="1576"/>
      <c r="SA85" s="1576"/>
      <c r="SB85" s="1576"/>
      <c r="SC85" s="1576"/>
      <c r="SD85" s="1576"/>
      <c r="SE85" s="1576"/>
      <c r="SF85" s="1576"/>
      <c r="SG85" s="1576"/>
      <c r="SH85" s="1576"/>
      <c r="SI85" s="1576"/>
      <c r="SJ85" s="1576"/>
      <c r="SK85" s="1576"/>
      <c r="SL85" s="1576"/>
      <c r="SM85" s="1576"/>
      <c r="SN85" s="1576"/>
      <c r="SO85" s="1576"/>
      <c r="SP85" s="1576"/>
      <c r="SQ85" s="1576"/>
      <c r="SR85" s="1576"/>
      <c r="SS85" s="1576"/>
      <c r="ST85" s="1576"/>
      <c r="SU85" s="1576"/>
      <c r="SV85" s="1576"/>
      <c r="SW85" s="1576"/>
      <c r="SX85" s="1576"/>
      <c r="SY85" s="1576"/>
      <c r="SZ85" s="1576"/>
      <c r="TA85" s="1576"/>
      <c r="TB85" s="1576"/>
      <c r="TC85" s="1576"/>
      <c r="TD85" s="1576"/>
      <c r="TE85" s="1576"/>
      <c r="TF85" s="1576"/>
      <c r="TG85" s="1576"/>
      <c r="TH85" s="1576"/>
      <c r="TI85" s="1576"/>
      <c r="TJ85" s="1576"/>
      <c r="TK85" s="1576"/>
      <c r="TL85" s="1576"/>
      <c r="TM85" s="1576"/>
      <c r="TN85" s="1576"/>
      <c r="TO85" s="1576"/>
      <c r="TP85" s="1576"/>
      <c r="TQ85" s="1576"/>
      <c r="TR85" s="1576"/>
      <c r="TS85" s="1576"/>
      <c r="TT85" s="1576"/>
      <c r="TU85" s="1576"/>
      <c r="TV85" s="1576"/>
      <c r="TW85" s="1576"/>
      <c r="TX85" s="1576"/>
      <c r="TY85" s="1576"/>
      <c r="TZ85" s="1576"/>
      <c r="UA85" s="1576"/>
      <c r="UB85" s="1576"/>
      <c r="UC85" s="1576"/>
      <c r="UD85" s="1576"/>
      <c r="UE85" s="1576"/>
      <c r="UF85" s="1576"/>
      <c r="UG85" s="1576"/>
      <c r="UH85" s="1576"/>
      <c r="UI85" s="1576"/>
      <c r="UJ85" s="1576"/>
      <c r="UK85" s="1576"/>
      <c r="UL85" s="1576"/>
      <c r="UM85" s="1576"/>
      <c r="UN85" s="1576"/>
      <c r="UO85" s="1576"/>
      <c r="UP85" s="1576"/>
      <c r="UQ85" s="1576"/>
      <c r="UR85" s="1576"/>
      <c r="US85" s="1576"/>
      <c r="UT85" s="1576"/>
      <c r="UU85" s="1576"/>
      <c r="UV85" s="1576"/>
      <c r="UW85" s="1576"/>
      <c r="UX85" s="1576"/>
      <c r="UY85" s="1576"/>
      <c r="UZ85" s="1576"/>
      <c r="VA85" s="1576"/>
      <c r="VB85" s="1576"/>
      <c r="VC85" s="1576"/>
      <c r="VD85" s="1576"/>
      <c r="VE85" s="1576"/>
      <c r="VF85" s="1576"/>
      <c r="VG85" s="1576"/>
      <c r="VH85" s="1576"/>
      <c r="VI85" s="1576"/>
      <c r="VJ85" s="1576"/>
      <c r="VK85" s="1576"/>
    </row>
    <row r="86" spans="2:583" ht="54.75" customHeight="1" x14ac:dyDescent="0.25">
      <c r="B86" s="4710" t="s">
        <v>61</v>
      </c>
      <c r="C86" s="1610" t="s">
        <v>2782</v>
      </c>
      <c r="D86" s="4710" t="s">
        <v>2783</v>
      </c>
      <c r="E86" s="4710" t="s">
        <v>2775</v>
      </c>
      <c r="F86" s="2057"/>
      <c r="G86" s="2057"/>
      <c r="H86" s="2057"/>
      <c r="I86" s="2059"/>
      <c r="J86" s="2059"/>
      <c r="K86" s="2059"/>
      <c r="L86" s="2059"/>
      <c r="M86" s="2059"/>
      <c r="N86" s="2059"/>
      <c r="O86" s="2059"/>
      <c r="P86" s="2059"/>
      <c r="Q86" s="2059"/>
      <c r="R86" s="2059"/>
      <c r="S86" s="2059"/>
      <c r="T86" s="2059"/>
      <c r="U86" s="2059"/>
      <c r="V86" s="2059"/>
      <c r="W86" s="2059"/>
      <c r="X86" s="2059"/>
      <c r="Y86" s="2059"/>
      <c r="Z86" s="2059"/>
      <c r="AA86" s="2059"/>
      <c r="AB86" s="2059"/>
      <c r="AC86" s="2059"/>
      <c r="AD86" s="2059"/>
      <c r="AE86" s="2059"/>
      <c r="AF86" s="2059"/>
      <c r="AG86" s="2059"/>
      <c r="AH86" s="2059"/>
      <c r="AI86" s="2059"/>
      <c r="AJ86" s="2059"/>
      <c r="AK86" s="2059"/>
      <c r="AL86" s="2059"/>
      <c r="AM86" s="2059"/>
      <c r="AN86" s="2059"/>
      <c r="AO86" s="2059"/>
      <c r="AP86" s="2059"/>
      <c r="AQ86" s="2059"/>
      <c r="AR86" s="2059"/>
      <c r="AS86" s="2059"/>
      <c r="AT86" s="2059"/>
      <c r="AU86" s="2059"/>
      <c r="AV86" s="2059"/>
      <c r="AW86" s="2059"/>
      <c r="AX86" s="2059"/>
      <c r="AY86" s="2059"/>
      <c r="AZ86" s="2059"/>
      <c r="BA86" s="2059"/>
      <c r="BB86" s="2059"/>
      <c r="BC86" s="2059"/>
      <c r="BD86" s="2059"/>
      <c r="BE86" s="2059"/>
      <c r="BF86" s="2059"/>
      <c r="BG86" s="2059"/>
      <c r="BH86" s="2059"/>
      <c r="BI86" s="2059"/>
      <c r="BJ86" s="2059"/>
      <c r="BK86" s="2059"/>
      <c r="BL86" s="2059"/>
      <c r="BM86" s="2059"/>
      <c r="BN86" s="2059"/>
      <c r="BO86" s="2059"/>
      <c r="BP86" s="2059"/>
      <c r="BQ86" s="2059"/>
      <c r="BR86" s="2059"/>
      <c r="BS86" s="2059"/>
      <c r="BT86" s="2059"/>
      <c r="BU86" s="2059"/>
      <c r="BV86" s="2059"/>
      <c r="BW86" s="2059"/>
      <c r="BX86" s="2059"/>
      <c r="BY86" s="2058"/>
      <c r="BZ86" s="2058"/>
      <c r="CA86" s="2058"/>
      <c r="CB86" s="2058"/>
      <c r="CC86" s="2058"/>
      <c r="CD86" s="2058"/>
      <c r="CE86" s="2058"/>
      <c r="CF86" s="2058"/>
      <c r="CG86" s="2058"/>
      <c r="CH86" s="2058"/>
      <c r="CI86" s="2058"/>
      <c r="CJ86" s="2058"/>
      <c r="CK86" s="2058"/>
      <c r="CL86" s="2058"/>
      <c r="CM86" s="2058"/>
      <c r="CN86" s="2058"/>
      <c r="CO86" s="2058"/>
      <c r="CP86" s="1576"/>
      <c r="CQ86" s="1576"/>
      <c r="CR86" s="1576"/>
      <c r="CS86" s="1576"/>
      <c r="CT86" s="1576"/>
      <c r="CU86" s="1576"/>
      <c r="CV86" s="1576"/>
      <c r="CW86" s="1576"/>
      <c r="CX86" s="1576"/>
      <c r="CY86" s="1576"/>
      <c r="CZ86" s="1576"/>
      <c r="DA86" s="1576"/>
      <c r="DB86" s="1576"/>
      <c r="DC86" s="1576"/>
      <c r="DD86" s="1576"/>
      <c r="DE86" s="1576"/>
      <c r="DF86" s="1576"/>
      <c r="DG86" s="1576"/>
      <c r="DH86" s="1576"/>
      <c r="DI86" s="1576"/>
      <c r="DJ86" s="1576"/>
      <c r="DK86" s="1576"/>
      <c r="DL86" s="1576"/>
      <c r="DM86" s="1576"/>
      <c r="DN86" s="1576"/>
      <c r="DO86" s="1576"/>
      <c r="DP86" s="1576"/>
      <c r="DQ86" s="1576"/>
      <c r="DR86" s="1576"/>
      <c r="DS86" s="1576"/>
      <c r="DT86" s="1576"/>
      <c r="DU86" s="1576"/>
      <c r="DV86" s="1576"/>
      <c r="DW86" s="1576"/>
      <c r="DX86" s="1576"/>
      <c r="DY86" s="1576"/>
      <c r="DZ86" s="1576"/>
      <c r="EA86" s="1576"/>
      <c r="EB86" s="1576"/>
      <c r="EC86" s="1576"/>
      <c r="ED86" s="1576"/>
      <c r="EE86" s="1576"/>
      <c r="EF86" s="1576"/>
      <c r="EG86" s="1576"/>
      <c r="EH86" s="1576"/>
      <c r="EI86" s="1576"/>
      <c r="EJ86" s="1576"/>
      <c r="EK86" s="1576"/>
      <c r="EL86" s="1576"/>
      <c r="EM86" s="1576"/>
      <c r="EN86" s="1576"/>
      <c r="EO86" s="1576"/>
      <c r="EP86" s="1576"/>
      <c r="EQ86" s="1576"/>
      <c r="ER86" s="1576"/>
      <c r="ES86" s="1576"/>
      <c r="ET86" s="1576"/>
      <c r="EU86" s="1576"/>
      <c r="EV86" s="1576"/>
      <c r="EW86" s="1576"/>
      <c r="EX86" s="1576"/>
      <c r="EY86" s="1576"/>
      <c r="EZ86" s="1576"/>
      <c r="FA86" s="1576"/>
      <c r="FB86" s="1576"/>
      <c r="FC86" s="1576"/>
      <c r="FD86" s="1576"/>
      <c r="FE86" s="1576"/>
      <c r="FF86" s="1576"/>
      <c r="FG86" s="1576"/>
      <c r="FH86" s="1576"/>
      <c r="FI86" s="1576"/>
      <c r="FJ86" s="1576"/>
      <c r="FK86" s="1576"/>
      <c r="FL86" s="1576"/>
      <c r="FM86" s="1576"/>
      <c r="FN86" s="1576"/>
      <c r="FO86" s="1576"/>
      <c r="FP86" s="1576"/>
      <c r="FQ86" s="1576"/>
      <c r="FR86" s="1576"/>
      <c r="FS86" s="1576"/>
      <c r="FT86" s="1576"/>
      <c r="FU86" s="1576"/>
      <c r="FV86" s="1576"/>
      <c r="FW86" s="1576"/>
      <c r="FX86" s="1576"/>
      <c r="FY86" s="1576"/>
      <c r="FZ86" s="1576"/>
      <c r="GA86" s="1576"/>
      <c r="GB86" s="1576"/>
      <c r="GC86" s="1576"/>
      <c r="GD86" s="1576"/>
      <c r="GE86" s="1576"/>
      <c r="GF86" s="1576"/>
      <c r="GG86" s="1576"/>
      <c r="GH86" s="1576"/>
      <c r="GI86" s="1576"/>
      <c r="GJ86" s="1576"/>
      <c r="GK86" s="1576"/>
      <c r="GL86" s="1576"/>
      <c r="GM86" s="1576"/>
      <c r="GN86" s="1576"/>
      <c r="GO86" s="1576"/>
      <c r="GP86" s="1576"/>
      <c r="GQ86" s="1576"/>
      <c r="GR86" s="1576"/>
      <c r="GS86" s="1576"/>
      <c r="GT86" s="1576"/>
      <c r="GU86" s="1576"/>
      <c r="GV86" s="1576"/>
      <c r="GW86" s="1576"/>
      <c r="GX86" s="1576"/>
      <c r="GY86" s="1576"/>
      <c r="GZ86" s="1576"/>
      <c r="HA86" s="1576"/>
      <c r="HB86" s="1576"/>
      <c r="HC86" s="1576"/>
      <c r="HD86" s="1576"/>
      <c r="HE86" s="1576"/>
      <c r="HF86" s="1576"/>
      <c r="HG86" s="1576"/>
      <c r="HH86" s="1576"/>
      <c r="HI86" s="1576"/>
      <c r="HJ86" s="1576"/>
      <c r="HK86" s="1576"/>
      <c r="HL86" s="1576"/>
      <c r="HM86" s="1576"/>
      <c r="HN86" s="1576"/>
      <c r="HO86" s="1576"/>
      <c r="HP86" s="1576"/>
      <c r="HQ86" s="1576"/>
      <c r="HR86" s="1576"/>
      <c r="HS86" s="1576"/>
      <c r="HT86" s="1576"/>
      <c r="HU86" s="1576"/>
      <c r="HV86" s="1576"/>
      <c r="HW86" s="1576"/>
      <c r="HX86" s="1576"/>
      <c r="HY86" s="1576"/>
      <c r="HZ86" s="1576"/>
      <c r="IA86" s="1576"/>
      <c r="IB86" s="1576"/>
      <c r="IC86" s="1576"/>
      <c r="ID86" s="1576"/>
      <c r="IE86" s="1576"/>
      <c r="IF86" s="1576"/>
      <c r="IG86" s="1576"/>
      <c r="IH86" s="1576"/>
      <c r="II86" s="1576"/>
      <c r="IJ86" s="1576"/>
      <c r="IK86" s="1576"/>
      <c r="IL86" s="1576"/>
      <c r="IM86" s="1576"/>
      <c r="IN86" s="1576"/>
      <c r="IO86" s="1576"/>
      <c r="IP86" s="1576"/>
      <c r="IQ86" s="1576"/>
      <c r="IR86" s="1576"/>
      <c r="IS86" s="1576"/>
      <c r="IT86" s="1576"/>
      <c r="IU86" s="1576"/>
      <c r="IV86" s="1576"/>
      <c r="IW86" s="1576"/>
      <c r="IX86" s="1576"/>
      <c r="IY86" s="1576"/>
      <c r="IZ86" s="1576"/>
      <c r="JA86" s="2054"/>
      <c r="JB86" s="2054"/>
      <c r="JC86" s="2054"/>
      <c r="JD86" s="2054"/>
      <c r="JE86" s="2054"/>
      <c r="JF86" s="2054"/>
      <c r="JG86" s="2054"/>
      <c r="JH86" s="2054"/>
      <c r="JI86" s="2054"/>
      <c r="JJ86" s="2054"/>
      <c r="JK86" s="2054"/>
      <c r="JL86" s="2054"/>
      <c r="JM86" s="2054"/>
      <c r="JN86" s="2054"/>
      <c r="JO86" s="2054"/>
      <c r="JP86" s="2054"/>
      <c r="JQ86" s="2054"/>
      <c r="JR86" s="1576"/>
      <c r="JS86" s="1576"/>
      <c r="JT86" s="1576"/>
      <c r="JU86" s="1576"/>
      <c r="JV86" s="1576"/>
      <c r="JW86" s="1576"/>
      <c r="JX86" s="1576"/>
      <c r="JY86" s="1576"/>
      <c r="JZ86" s="1576"/>
      <c r="KA86" s="1576"/>
      <c r="KB86" s="1576"/>
      <c r="KC86" s="1576"/>
      <c r="KD86" s="1576"/>
      <c r="KE86" s="1576"/>
      <c r="KF86" s="1576"/>
      <c r="KG86" s="1576"/>
      <c r="KH86" s="1576"/>
      <c r="KI86" s="1576"/>
      <c r="KJ86" s="1576"/>
      <c r="KK86" s="1576"/>
      <c r="KL86" s="1576"/>
      <c r="KM86" s="1576"/>
      <c r="KN86" s="1576"/>
      <c r="KO86" s="1576"/>
      <c r="KP86" s="1576"/>
      <c r="KQ86" s="1576"/>
      <c r="KR86" s="1576"/>
      <c r="KS86" s="1576"/>
      <c r="KT86" s="1576"/>
      <c r="KU86" s="1576"/>
      <c r="KV86" s="1576"/>
      <c r="KW86" s="1576"/>
      <c r="KX86" s="1576"/>
      <c r="KY86" s="1576"/>
      <c r="KZ86" s="1576"/>
      <c r="LA86" s="1576"/>
      <c r="LB86" s="1576"/>
      <c r="LC86" s="1576"/>
      <c r="LD86" s="1576"/>
      <c r="LE86" s="1576"/>
      <c r="LF86" s="1576"/>
      <c r="LG86" s="1576"/>
      <c r="LH86" s="1576"/>
      <c r="LI86" s="1576"/>
      <c r="LJ86" s="1576"/>
      <c r="LK86" s="1576"/>
      <c r="LL86" s="1576"/>
      <c r="LM86" s="1576"/>
      <c r="LN86" s="1576"/>
      <c r="LO86" s="1576"/>
      <c r="LP86" s="1576"/>
      <c r="LQ86" s="1576"/>
      <c r="LR86" s="1576"/>
      <c r="LS86" s="1576"/>
      <c r="LT86" s="1576"/>
      <c r="LU86" s="1576"/>
      <c r="LV86" s="1576"/>
      <c r="LW86" s="1576"/>
      <c r="LX86" s="1576"/>
      <c r="LY86" s="1576"/>
      <c r="LZ86" s="1576"/>
      <c r="MA86" s="1576"/>
      <c r="MB86" s="1576"/>
      <c r="MC86" s="1576"/>
      <c r="MD86" s="1576"/>
      <c r="ME86" s="1576"/>
      <c r="MF86" s="1576"/>
      <c r="MG86" s="1576"/>
      <c r="MH86" s="1576"/>
      <c r="MI86" s="1576"/>
      <c r="MJ86" s="1576"/>
      <c r="MK86" s="1576"/>
      <c r="ML86" s="1576"/>
      <c r="MM86" s="1576"/>
      <c r="MN86" s="1576"/>
      <c r="MO86" s="1576"/>
      <c r="MP86" s="1576"/>
      <c r="MQ86" s="1576"/>
      <c r="MR86" s="1576"/>
      <c r="MS86" s="1576"/>
      <c r="MT86" s="1576"/>
      <c r="MU86" s="1576"/>
      <c r="MV86" s="1576"/>
      <c r="MW86" s="1576"/>
      <c r="MX86" s="1576"/>
      <c r="MY86" s="1576"/>
      <c r="MZ86" s="1576"/>
      <c r="NA86" s="1576"/>
      <c r="NB86" s="1576"/>
      <c r="NC86" s="1576"/>
      <c r="ND86" s="1576"/>
      <c r="NE86" s="1576"/>
      <c r="NF86" s="1576"/>
      <c r="NG86" s="1576"/>
      <c r="NH86" s="1576"/>
      <c r="NI86" s="1576"/>
      <c r="NJ86" s="1576"/>
      <c r="NK86" s="1576"/>
      <c r="NL86" s="1576"/>
      <c r="NM86" s="1576"/>
      <c r="NN86" s="1576"/>
      <c r="NO86" s="1576"/>
      <c r="NP86" s="1576"/>
      <c r="NQ86" s="1576"/>
      <c r="NR86" s="1576"/>
      <c r="NS86" s="1576"/>
      <c r="NT86" s="1576"/>
      <c r="NU86" s="1576"/>
      <c r="NV86" s="1576"/>
      <c r="NW86" s="1576"/>
      <c r="NX86" s="1576"/>
      <c r="NY86" s="1576"/>
      <c r="NZ86" s="1576"/>
      <c r="OA86" s="1576"/>
      <c r="OB86" s="1576"/>
      <c r="OC86" s="1576"/>
      <c r="OD86" s="1576"/>
      <c r="OE86" s="1576"/>
      <c r="OF86" s="1576"/>
      <c r="OG86" s="1576"/>
      <c r="OH86" s="1576"/>
      <c r="OI86" s="1576"/>
      <c r="OJ86" s="1576"/>
      <c r="OK86" s="1576"/>
      <c r="OL86" s="1576"/>
      <c r="OM86" s="1576"/>
      <c r="ON86" s="1576"/>
      <c r="OO86" s="1576"/>
      <c r="OP86" s="1576"/>
      <c r="OQ86" s="1576"/>
      <c r="OR86" s="1576"/>
      <c r="OS86" s="1576"/>
      <c r="OT86" s="1576"/>
      <c r="OU86" s="1576"/>
      <c r="OV86" s="1576"/>
      <c r="OW86" s="1576"/>
      <c r="OX86" s="1576"/>
      <c r="OY86" s="1576"/>
      <c r="OZ86" s="1576"/>
      <c r="PA86" s="1576"/>
      <c r="PB86" s="1576"/>
      <c r="PC86" s="1576"/>
      <c r="PD86" s="1576"/>
      <c r="PE86" s="1576"/>
      <c r="PF86" s="1576"/>
      <c r="PG86" s="1576"/>
      <c r="PH86" s="1576"/>
      <c r="PI86" s="1576"/>
      <c r="PJ86" s="1576"/>
      <c r="PK86" s="1576"/>
      <c r="PL86" s="1576"/>
      <c r="PM86" s="1576"/>
      <c r="PN86" s="1576"/>
      <c r="PO86" s="1576"/>
      <c r="PP86" s="1576"/>
      <c r="PQ86" s="1576"/>
      <c r="PR86" s="1576"/>
      <c r="PS86" s="1576"/>
      <c r="PT86" s="1576"/>
      <c r="PU86" s="1576"/>
      <c r="PV86" s="1576"/>
      <c r="PW86" s="1576"/>
      <c r="PX86" s="1576"/>
      <c r="PY86" s="1576"/>
      <c r="PZ86" s="1576"/>
      <c r="QA86" s="1576"/>
      <c r="QB86" s="1576"/>
      <c r="QC86" s="1576"/>
      <c r="QD86" s="1576"/>
      <c r="QE86" s="1576"/>
      <c r="QF86" s="1576"/>
      <c r="QG86" s="1576"/>
      <c r="QH86" s="1576"/>
      <c r="QI86" s="1576"/>
      <c r="QJ86" s="1576"/>
      <c r="QK86" s="1576"/>
      <c r="QL86" s="1576"/>
      <c r="QM86" s="1576"/>
      <c r="QN86" s="1576"/>
      <c r="QO86" s="1576"/>
      <c r="QP86" s="1576"/>
      <c r="QQ86" s="1576"/>
      <c r="QR86" s="1576"/>
      <c r="QS86" s="1576"/>
      <c r="QT86" s="1576"/>
      <c r="QU86" s="1576"/>
      <c r="QV86" s="1576"/>
      <c r="QW86" s="1576"/>
      <c r="QX86" s="1576"/>
      <c r="QY86" s="1576"/>
      <c r="QZ86" s="1576"/>
      <c r="RA86" s="1576"/>
      <c r="RB86" s="1576"/>
      <c r="RC86" s="1576"/>
      <c r="RD86" s="1576"/>
      <c r="RE86" s="1576"/>
      <c r="RF86" s="1576"/>
      <c r="RG86" s="1576"/>
      <c r="RH86" s="1576"/>
      <c r="RI86" s="1576"/>
      <c r="RJ86" s="1576"/>
      <c r="RK86" s="1576"/>
      <c r="RL86" s="1576"/>
      <c r="RM86" s="1576"/>
      <c r="RN86" s="1576"/>
      <c r="RO86" s="1576"/>
      <c r="RP86" s="1576"/>
      <c r="RQ86" s="1576"/>
      <c r="RR86" s="1576"/>
      <c r="RS86" s="1576"/>
      <c r="RT86" s="1576"/>
      <c r="RU86" s="1576"/>
      <c r="RV86" s="1576"/>
      <c r="RW86" s="1576"/>
      <c r="RX86" s="1576"/>
      <c r="RY86" s="1576"/>
      <c r="RZ86" s="1576"/>
      <c r="SA86" s="1576"/>
      <c r="SB86" s="1576"/>
      <c r="SC86" s="1576"/>
      <c r="SD86" s="1576"/>
      <c r="SE86" s="1576"/>
      <c r="SF86" s="1576"/>
      <c r="SG86" s="1576"/>
      <c r="SH86" s="1576"/>
      <c r="SI86" s="1576"/>
      <c r="SJ86" s="1576"/>
      <c r="SK86" s="1576"/>
      <c r="SL86" s="1576"/>
      <c r="SM86" s="1576"/>
      <c r="SN86" s="1576"/>
      <c r="SO86" s="1576"/>
      <c r="SP86" s="1576"/>
      <c r="SQ86" s="1576"/>
      <c r="SR86" s="1576"/>
      <c r="SS86" s="1576"/>
      <c r="ST86" s="1576"/>
      <c r="SU86" s="1576"/>
      <c r="SV86" s="1576"/>
      <c r="SW86" s="1576"/>
      <c r="SX86" s="1576"/>
      <c r="SY86" s="1576"/>
      <c r="SZ86" s="1576"/>
      <c r="TA86" s="1576"/>
      <c r="TB86" s="1576"/>
      <c r="TC86" s="1576"/>
      <c r="TD86" s="1576"/>
      <c r="TE86" s="1576"/>
      <c r="TF86" s="1576"/>
      <c r="TG86" s="1576"/>
      <c r="TH86" s="1576"/>
      <c r="TI86" s="1576"/>
      <c r="TJ86" s="1576"/>
      <c r="TK86" s="1576"/>
      <c r="TL86" s="1576"/>
      <c r="TM86" s="1576"/>
      <c r="TN86" s="1576"/>
      <c r="TO86" s="1576"/>
      <c r="TP86" s="1576"/>
      <c r="TQ86" s="1576"/>
      <c r="TR86" s="1576"/>
      <c r="TS86" s="1576"/>
      <c r="TT86" s="1576"/>
      <c r="TU86" s="1576"/>
      <c r="TV86" s="1576"/>
      <c r="TW86" s="1576"/>
      <c r="TX86" s="1576"/>
      <c r="TY86" s="1576"/>
      <c r="TZ86" s="1576"/>
      <c r="UA86" s="1576"/>
      <c r="UB86" s="1576"/>
      <c r="UC86" s="1576"/>
      <c r="UD86" s="1576"/>
      <c r="UE86" s="1576"/>
      <c r="UF86" s="1576"/>
      <c r="UG86" s="1576"/>
      <c r="UH86" s="1576"/>
      <c r="UI86" s="1576"/>
      <c r="UJ86" s="1576"/>
      <c r="UK86" s="1576"/>
      <c r="UL86" s="1576"/>
      <c r="UM86" s="1576"/>
      <c r="UN86" s="1576"/>
      <c r="UO86" s="1576"/>
      <c r="UP86" s="1576"/>
      <c r="UQ86" s="1576"/>
      <c r="UR86" s="1576"/>
      <c r="US86" s="1576"/>
      <c r="UT86" s="1576"/>
      <c r="UU86" s="1576"/>
      <c r="UV86" s="1576"/>
      <c r="UW86" s="1576"/>
      <c r="UX86" s="1576"/>
      <c r="UY86" s="1576"/>
      <c r="UZ86" s="1576"/>
      <c r="VA86" s="1576"/>
      <c r="VB86" s="1576"/>
      <c r="VC86" s="1576"/>
      <c r="VD86" s="1576"/>
      <c r="VE86" s="1576"/>
      <c r="VF86" s="1576"/>
      <c r="VG86" s="1576"/>
      <c r="VH86" s="1576"/>
      <c r="VI86" s="1576"/>
      <c r="VJ86" s="1576"/>
      <c r="VK86" s="1576"/>
    </row>
    <row r="87" spans="2:583" ht="24" customHeight="1" x14ac:dyDescent="0.25">
      <c r="B87" s="4710"/>
      <c r="C87" s="1610" t="s">
        <v>2776</v>
      </c>
      <c r="D87" s="4710" t="s">
        <v>2784</v>
      </c>
      <c r="E87" s="4710" t="s">
        <v>2778</v>
      </c>
      <c r="F87" s="2057"/>
      <c r="G87" s="2057"/>
      <c r="H87" s="2057"/>
      <c r="I87" s="2059"/>
      <c r="J87" s="2059"/>
      <c r="K87" s="2059"/>
      <c r="L87" s="2059"/>
      <c r="M87" s="2059"/>
      <c r="N87" s="2059"/>
      <c r="O87" s="2059"/>
      <c r="P87" s="2059"/>
      <c r="Q87" s="2059"/>
      <c r="R87" s="2059"/>
      <c r="S87" s="2059"/>
      <c r="T87" s="2059"/>
      <c r="U87" s="2059"/>
      <c r="V87" s="2059"/>
      <c r="W87" s="2059"/>
      <c r="X87" s="2059"/>
      <c r="Y87" s="2059"/>
      <c r="Z87" s="2059"/>
      <c r="AA87" s="2059"/>
      <c r="AB87" s="2059"/>
      <c r="AC87" s="2059"/>
      <c r="AD87" s="2059"/>
      <c r="AE87" s="2059"/>
      <c r="AF87" s="2059"/>
      <c r="AG87" s="2059"/>
      <c r="AH87" s="2059"/>
      <c r="AI87" s="2059"/>
      <c r="AJ87" s="2059"/>
      <c r="AK87" s="2059"/>
      <c r="AL87" s="2059"/>
      <c r="AM87" s="2059"/>
      <c r="AN87" s="2059"/>
      <c r="AO87" s="2059"/>
      <c r="AP87" s="2059"/>
      <c r="AQ87" s="2059"/>
      <c r="AR87" s="2059"/>
      <c r="AS87" s="2059"/>
      <c r="AT87" s="2059"/>
      <c r="AU87" s="2059"/>
      <c r="AV87" s="2059"/>
      <c r="AW87" s="2059"/>
      <c r="AX87" s="2059"/>
      <c r="AY87" s="2059"/>
      <c r="AZ87" s="2059"/>
      <c r="BA87" s="2059"/>
      <c r="BB87" s="2059"/>
      <c r="BC87" s="2059"/>
      <c r="BD87" s="2059"/>
      <c r="BE87" s="2059"/>
      <c r="BF87" s="2059"/>
      <c r="BG87" s="2059"/>
      <c r="BH87" s="2059"/>
      <c r="BI87" s="2059"/>
      <c r="BJ87" s="2059"/>
      <c r="BK87" s="2059"/>
      <c r="BL87" s="2059"/>
      <c r="BM87" s="2059"/>
      <c r="BN87" s="2059"/>
      <c r="BO87" s="2059"/>
      <c r="BP87" s="2059"/>
      <c r="BQ87" s="2059"/>
      <c r="BR87" s="2059"/>
      <c r="BS87" s="2059"/>
      <c r="BT87" s="2059"/>
      <c r="BU87" s="2059"/>
      <c r="BV87" s="2059"/>
      <c r="BW87" s="2059"/>
      <c r="BX87" s="2059"/>
      <c r="BY87" s="2058"/>
      <c r="BZ87" s="2058"/>
      <c r="CA87" s="2058"/>
      <c r="CB87" s="2058"/>
      <c r="CC87" s="2058"/>
      <c r="CD87" s="2058"/>
      <c r="CE87" s="2058"/>
      <c r="CF87" s="2058"/>
      <c r="CG87" s="2058"/>
      <c r="CH87" s="2058"/>
      <c r="CI87" s="2058"/>
      <c r="CJ87" s="2058"/>
      <c r="CK87" s="2058"/>
      <c r="CL87" s="2058"/>
      <c r="CM87" s="2058"/>
      <c r="CN87" s="2058"/>
      <c r="CO87" s="2058"/>
      <c r="CP87" s="1576"/>
      <c r="CQ87" s="1576"/>
      <c r="CR87" s="1576"/>
      <c r="CS87" s="1576"/>
      <c r="CT87" s="1576"/>
      <c r="CU87" s="1576"/>
      <c r="CV87" s="1576"/>
      <c r="CW87" s="1576"/>
      <c r="CX87" s="1576"/>
      <c r="CY87" s="1576"/>
      <c r="CZ87" s="1576"/>
      <c r="DA87" s="1576"/>
      <c r="DB87" s="1576"/>
      <c r="DC87" s="1576"/>
      <c r="DD87" s="1576"/>
      <c r="DE87" s="1576"/>
      <c r="DF87" s="1576"/>
      <c r="DG87" s="1576"/>
      <c r="DH87" s="1576"/>
      <c r="DI87" s="1576"/>
      <c r="DJ87" s="1576"/>
      <c r="DK87" s="1576"/>
      <c r="DL87" s="1576"/>
      <c r="DM87" s="1576"/>
      <c r="DN87" s="1576"/>
      <c r="DO87" s="1576"/>
      <c r="DP87" s="1576"/>
      <c r="DQ87" s="1576"/>
      <c r="DR87" s="1576"/>
      <c r="DS87" s="1576"/>
      <c r="DT87" s="1576"/>
      <c r="DU87" s="1576"/>
      <c r="DV87" s="1576"/>
      <c r="DW87" s="1576"/>
      <c r="DX87" s="1576"/>
      <c r="DY87" s="1576"/>
      <c r="DZ87" s="1576"/>
      <c r="EA87" s="1576"/>
      <c r="EB87" s="1576"/>
      <c r="EC87" s="1576"/>
      <c r="ED87" s="1576"/>
      <c r="EE87" s="1576"/>
      <c r="EF87" s="1576"/>
      <c r="EG87" s="1576"/>
      <c r="EH87" s="1576"/>
      <c r="EI87" s="1576"/>
      <c r="EJ87" s="1576"/>
      <c r="EK87" s="1576"/>
      <c r="EL87" s="1576"/>
      <c r="EM87" s="1576"/>
      <c r="EN87" s="1576"/>
      <c r="EO87" s="1576"/>
      <c r="EP87" s="1576"/>
      <c r="EQ87" s="1576"/>
      <c r="ER87" s="1576"/>
      <c r="ES87" s="1576"/>
      <c r="ET87" s="1576"/>
      <c r="EU87" s="1576"/>
      <c r="EV87" s="1576"/>
      <c r="EW87" s="1576"/>
      <c r="EX87" s="1576"/>
      <c r="EY87" s="1576"/>
      <c r="EZ87" s="1576"/>
      <c r="FA87" s="1576"/>
      <c r="FB87" s="1576"/>
      <c r="FC87" s="1576"/>
      <c r="FD87" s="1576"/>
      <c r="FE87" s="1576"/>
      <c r="FF87" s="1576"/>
      <c r="FG87" s="1576"/>
      <c r="FH87" s="1576"/>
      <c r="FI87" s="1576"/>
      <c r="FJ87" s="1576"/>
      <c r="FK87" s="1576"/>
      <c r="FL87" s="1576"/>
      <c r="FM87" s="1576"/>
      <c r="FN87" s="1576"/>
      <c r="FO87" s="1576"/>
      <c r="FP87" s="1576"/>
      <c r="FQ87" s="1576"/>
      <c r="FR87" s="1576"/>
      <c r="FS87" s="1576"/>
      <c r="FT87" s="1576"/>
      <c r="FU87" s="1576"/>
      <c r="FV87" s="1576"/>
      <c r="FW87" s="1576"/>
      <c r="FX87" s="1576"/>
      <c r="FY87" s="1576"/>
      <c r="FZ87" s="1576"/>
      <c r="GA87" s="1576"/>
      <c r="GB87" s="1576"/>
      <c r="GC87" s="1576"/>
      <c r="GD87" s="1576"/>
      <c r="GE87" s="1576"/>
      <c r="GF87" s="1576"/>
      <c r="GG87" s="1576"/>
      <c r="GH87" s="1576"/>
      <c r="GI87" s="1576"/>
      <c r="GJ87" s="1576"/>
      <c r="GK87" s="1576"/>
      <c r="GL87" s="1576"/>
      <c r="GM87" s="1576"/>
      <c r="GN87" s="1576"/>
      <c r="GO87" s="1576"/>
      <c r="GP87" s="1576"/>
      <c r="GQ87" s="1576"/>
      <c r="GR87" s="1576"/>
      <c r="GS87" s="1576"/>
      <c r="GT87" s="1576"/>
      <c r="GU87" s="1576"/>
      <c r="GV87" s="1576"/>
      <c r="GW87" s="1576"/>
      <c r="GX87" s="1576"/>
      <c r="GY87" s="1576"/>
      <c r="GZ87" s="1576"/>
      <c r="HA87" s="1576"/>
      <c r="HB87" s="1576"/>
      <c r="HC87" s="1576"/>
      <c r="HD87" s="1576"/>
      <c r="HE87" s="1576"/>
      <c r="HF87" s="1576"/>
      <c r="HG87" s="1576"/>
      <c r="HH87" s="1576"/>
      <c r="HI87" s="1576"/>
      <c r="HJ87" s="1576"/>
      <c r="HK87" s="1576"/>
      <c r="HL87" s="1576"/>
      <c r="HM87" s="1576"/>
      <c r="HN87" s="1576"/>
      <c r="HO87" s="1576"/>
      <c r="HP87" s="1576"/>
      <c r="HQ87" s="1576"/>
      <c r="HR87" s="1576"/>
      <c r="HS87" s="1576"/>
      <c r="HT87" s="1576"/>
      <c r="HU87" s="1576"/>
      <c r="HV87" s="1576"/>
      <c r="HW87" s="1576"/>
      <c r="HX87" s="1576"/>
      <c r="HY87" s="1576"/>
      <c r="HZ87" s="1576"/>
      <c r="IA87" s="1576"/>
      <c r="IB87" s="1576"/>
      <c r="IC87" s="1576"/>
      <c r="ID87" s="1576"/>
      <c r="IE87" s="1576"/>
      <c r="IF87" s="1576"/>
      <c r="IG87" s="1576"/>
      <c r="IH87" s="1576"/>
      <c r="II87" s="1576"/>
      <c r="IJ87" s="1576"/>
      <c r="IK87" s="1576"/>
      <c r="IL87" s="1576"/>
      <c r="IM87" s="1576"/>
      <c r="IN87" s="1576"/>
      <c r="IO87" s="1576"/>
      <c r="IP87" s="1576"/>
      <c r="IQ87" s="1576"/>
      <c r="IR87" s="1576"/>
      <c r="IS87" s="1576"/>
      <c r="IT87" s="1576"/>
      <c r="IU87" s="1576"/>
      <c r="IV87" s="1576"/>
      <c r="IW87" s="1576"/>
      <c r="IX87" s="1576"/>
      <c r="IY87" s="1576"/>
      <c r="IZ87" s="1576"/>
      <c r="JA87" s="2054"/>
      <c r="JB87" s="2054"/>
      <c r="JC87" s="2054"/>
      <c r="JD87" s="2054"/>
      <c r="JE87" s="2054"/>
      <c r="JF87" s="2054"/>
      <c r="JG87" s="2054"/>
      <c r="JH87" s="2054"/>
      <c r="JI87" s="2054"/>
      <c r="JJ87" s="2054"/>
      <c r="JK87" s="2054"/>
      <c r="JL87" s="2054"/>
      <c r="JM87" s="2054"/>
      <c r="JN87" s="2054"/>
      <c r="JO87" s="2054"/>
      <c r="JP87" s="2054"/>
      <c r="JQ87" s="2054"/>
      <c r="JR87" s="1576"/>
      <c r="JS87" s="1576"/>
      <c r="JT87" s="1576"/>
      <c r="JU87" s="1576"/>
      <c r="JV87" s="1576"/>
      <c r="JW87" s="1576"/>
      <c r="JX87" s="1576"/>
      <c r="JY87" s="1576"/>
      <c r="JZ87" s="1576"/>
      <c r="KA87" s="1576"/>
      <c r="KB87" s="1576"/>
      <c r="KC87" s="1576"/>
      <c r="KD87" s="1576"/>
      <c r="KE87" s="1576"/>
      <c r="KF87" s="1576"/>
      <c r="KG87" s="1576"/>
      <c r="KH87" s="1576"/>
      <c r="KI87" s="1576"/>
      <c r="KJ87" s="1576"/>
      <c r="KK87" s="1576"/>
      <c r="KL87" s="1576"/>
      <c r="KM87" s="1576"/>
      <c r="KN87" s="1576"/>
      <c r="KO87" s="1576"/>
      <c r="KP87" s="1576"/>
      <c r="KQ87" s="1576"/>
      <c r="KR87" s="1576"/>
      <c r="KS87" s="1576"/>
      <c r="KT87" s="1576"/>
      <c r="KU87" s="1576"/>
      <c r="KV87" s="1576"/>
      <c r="KW87" s="1576"/>
      <c r="KX87" s="1576"/>
      <c r="KY87" s="1576"/>
      <c r="KZ87" s="1576"/>
      <c r="LA87" s="1576"/>
      <c r="LB87" s="1576"/>
      <c r="LC87" s="1576"/>
      <c r="LD87" s="1576"/>
      <c r="LE87" s="1576"/>
      <c r="LF87" s="1576"/>
      <c r="LG87" s="1576"/>
      <c r="LH87" s="1576"/>
      <c r="LI87" s="1576"/>
      <c r="LJ87" s="1576"/>
      <c r="LK87" s="1576"/>
      <c r="LL87" s="1576"/>
      <c r="LM87" s="1576"/>
      <c r="LN87" s="1576"/>
      <c r="LO87" s="1576"/>
      <c r="LP87" s="1576"/>
      <c r="LQ87" s="1576"/>
      <c r="LR87" s="1576"/>
      <c r="LS87" s="1576"/>
      <c r="LT87" s="1576"/>
      <c r="LU87" s="1576"/>
      <c r="LV87" s="1576"/>
      <c r="LW87" s="1576"/>
      <c r="LX87" s="1576"/>
      <c r="LY87" s="1576"/>
      <c r="LZ87" s="1576"/>
      <c r="MA87" s="1576"/>
      <c r="MB87" s="1576"/>
      <c r="MC87" s="1576"/>
      <c r="MD87" s="1576"/>
      <c r="ME87" s="1576"/>
      <c r="MF87" s="1576"/>
      <c r="MG87" s="1576"/>
      <c r="MH87" s="1576"/>
      <c r="MI87" s="1576"/>
      <c r="MJ87" s="1576"/>
      <c r="MK87" s="1576"/>
      <c r="ML87" s="1576"/>
      <c r="MM87" s="1576"/>
      <c r="MN87" s="1576"/>
      <c r="MO87" s="1576"/>
      <c r="MP87" s="1576"/>
      <c r="MQ87" s="1576"/>
      <c r="MR87" s="1576"/>
      <c r="MS87" s="1576"/>
      <c r="MT87" s="1576"/>
      <c r="MU87" s="1576"/>
      <c r="MV87" s="1576"/>
      <c r="MW87" s="1576"/>
      <c r="MX87" s="1576"/>
      <c r="MY87" s="1576"/>
      <c r="MZ87" s="1576"/>
      <c r="NA87" s="1576"/>
      <c r="NB87" s="1576"/>
      <c r="NC87" s="1576"/>
      <c r="ND87" s="1576"/>
      <c r="NE87" s="1576"/>
      <c r="NF87" s="1576"/>
      <c r="NG87" s="1576"/>
      <c r="NH87" s="1576"/>
      <c r="NI87" s="1576"/>
      <c r="NJ87" s="1576"/>
      <c r="NK87" s="1576"/>
      <c r="NL87" s="1576"/>
      <c r="NM87" s="1576"/>
      <c r="NN87" s="1576"/>
      <c r="NO87" s="1576"/>
      <c r="NP87" s="1578"/>
      <c r="NQ87" s="1578"/>
      <c r="NR87" s="1578"/>
      <c r="NS87" s="1576"/>
      <c r="NT87" s="1576"/>
      <c r="NU87" s="1576"/>
      <c r="NV87" s="1576"/>
      <c r="NW87" s="1576"/>
      <c r="NX87" s="1576"/>
      <c r="NY87" s="1576"/>
      <c r="NZ87" s="1576"/>
      <c r="OA87" s="1576"/>
      <c r="OB87" s="1576"/>
      <c r="OC87" s="1576"/>
      <c r="OD87" s="1576"/>
      <c r="OE87" s="1576"/>
      <c r="OF87" s="1576"/>
      <c r="OG87" s="1576"/>
      <c r="OH87" s="1576"/>
      <c r="OI87" s="1576"/>
      <c r="OJ87" s="1576"/>
      <c r="OK87" s="1576"/>
      <c r="OL87" s="1576"/>
      <c r="OM87" s="1576"/>
      <c r="ON87" s="1576"/>
      <c r="OO87" s="1576"/>
      <c r="OP87" s="1576"/>
      <c r="OQ87" s="1576"/>
      <c r="OR87" s="1576"/>
      <c r="OS87" s="1576"/>
      <c r="OT87" s="1576"/>
      <c r="OU87" s="1576"/>
      <c r="OV87" s="1576"/>
      <c r="OW87" s="1576"/>
      <c r="OX87" s="1576"/>
      <c r="OY87" s="1576"/>
      <c r="OZ87" s="1576"/>
      <c r="PA87" s="1576"/>
      <c r="PB87" s="1576"/>
      <c r="PC87" s="1576"/>
      <c r="PD87" s="1576"/>
      <c r="PE87" s="1576"/>
      <c r="PF87" s="1576"/>
      <c r="PG87" s="1576"/>
      <c r="PH87" s="1576"/>
      <c r="PI87" s="1576"/>
      <c r="PJ87" s="1576"/>
      <c r="PK87" s="1576"/>
      <c r="PL87" s="1576"/>
      <c r="PM87" s="1576"/>
      <c r="PN87" s="1576"/>
      <c r="PO87" s="1576"/>
      <c r="PP87" s="1576"/>
      <c r="PQ87" s="1576"/>
      <c r="PR87" s="1576"/>
      <c r="PS87" s="1576"/>
      <c r="PT87" s="1576"/>
      <c r="PU87" s="1576"/>
      <c r="PV87" s="1576"/>
      <c r="PW87" s="1576"/>
      <c r="PX87" s="1576"/>
      <c r="PY87" s="1576"/>
      <c r="PZ87" s="1576"/>
      <c r="QA87" s="1576"/>
      <c r="QB87" s="1576"/>
      <c r="QC87" s="1576"/>
      <c r="QD87" s="1576"/>
      <c r="QE87" s="1576"/>
      <c r="QF87" s="1576"/>
      <c r="QG87" s="1576"/>
      <c r="QH87" s="1576"/>
      <c r="QI87" s="1576"/>
      <c r="QJ87" s="1576"/>
      <c r="QK87" s="1576"/>
      <c r="QL87" s="1576"/>
      <c r="QM87" s="1576"/>
      <c r="QN87" s="1576"/>
      <c r="QO87" s="1576"/>
      <c r="QP87" s="1576"/>
      <c r="QQ87" s="1576"/>
      <c r="QR87" s="1576"/>
      <c r="QS87" s="1576"/>
      <c r="QT87" s="1576"/>
      <c r="QU87" s="1576"/>
      <c r="QV87" s="1576"/>
      <c r="QW87" s="1576"/>
      <c r="QX87" s="1576"/>
      <c r="QY87" s="1576"/>
      <c r="QZ87" s="1576"/>
      <c r="RA87" s="1576"/>
      <c r="RB87" s="1576"/>
      <c r="RC87" s="1576"/>
      <c r="RD87" s="1576"/>
      <c r="RE87" s="1576"/>
      <c r="RF87" s="1576"/>
      <c r="RG87" s="1576"/>
      <c r="RH87" s="1576"/>
      <c r="RI87" s="1576"/>
      <c r="RJ87" s="1576"/>
      <c r="RK87" s="1576"/>
      <c r="RL87" s="1576"/>
      <c r="RM87" s="1576"/>
      <c r="RN87" s="1576"/>
      <c r="RO87" s="1576"/>
      <c r="RP87" s="1576"/>
      <c r="RQ87" s="1576"/>
      <c r="RR87" s="1576"/>
      <c r="RS87" s="1576"/>
      <c r="RT87" s="1576"/>
      <c r="RU87" s="1576"/>
      <c r="RV87" s="1576"/>
      <c r="RW87" s="1576"/>
      <c r="RX87" s="1576"/>
      <c r="RY87" s="1576"/>
      <c r="RZ87" s="1576"/>
      <c r="SA87" s="1576"/>
      <c r="SB87" s="1576"/>
      <c r="SC87" s="1576"/>
      <c r="SD87" s="1576"/>
      <c r="SE87" s="1576"/>
      <c r="SF87" s="1576"/>
      <c r="SG87" s="1576"/>
      <c r="SH87" s="1576"/>
      <c r="SI87" s="1576"/>
      <c r="SJ87" s="1576"/>
      <c r="SK87" s="1576"/>
      <c r="SL87" s="1576"/>
      <c r="SM87" s="1576"/>
      <c r="SN87" s="1576"/>
      <c r="SO87" s="1576"/>
      <c r="SP87" s="1576"/>
      <c r="SQ87" s="1576"/>
      <c r="SR87" s="1576"/>
      <c r="SS87" s="1576"/>
      <c r="ST87" s="1576"/>
      <c r="SU87" s="1576"/>
      <c r="SV87" s="1576"/>
      <c r="SW87" s="1576"/>
      <c r="SX87" s="1576"/>
      <c r="SY87" s="1576"/>
      <c r="SZ87" s="1576"/>
      <c r="TA87" s="1576"/>
      <c r="TB87" s="1576"/>
      <c r="TC87" s="1576"/>
      <c r="TD87" s="1576"/>
      <c r="TE87" s="1576"/>
      <c r="TF87" s="1576"/>
      <c r="TG87" s="1576"/>
      <c r="TH87" s="1576"/>
      <c r="TI87" s="1576"/>
      <c r="TJ87" s="1576"/>
      <c r="TK87" s="1576"/>
      <c r="TL87" s="1576"/>
      <c r="TM87" s="1576"/>
      <c r="TN87" s="1576"/>
      <c r="TO87" s="1576"/>
      <c r="TP87" s="1576"/>
      <c r="TQ87" s="1576"/>
      <c r="TR87" s="1576"/>
      <c r="TS87" s="1576"/>
      <c r="TT87" s="1576"/>
      <c r="TU87" s="1576"/>
      <c r="TV87" s="1576"/>
      <c r="TW87" s="1576"/>
      <c r="TX87" s="1576"/>
      <c r="TY87" s="1576"/>
      <c r="TZ87" s="1576"/>
      <c r="UA87" s="1576"/>
      <c r="UB87" s="1576"/>
      <c r="UC87" s="1576"/>
      <c r="UD87" s="1576"/>
      <c r="UE87" s="1576"/>
      <c r="UF87" s="1576"/>
      <c r="UG87" s="1576"/>
      <c r="UH87" s="1576"/>
      <c r="UI87" s="1576"/>
      <c r="UJ87" s="1576"/>
      <c r="UK87" s="1576"/>
      <c r="UL87" s="1576"/>
      <c r="UM87" s="1576"/>
      <c r="UN87" s="1576"/>
      <c r="UO87" s="1576"/>
      <c r="UP87" s="1576"/>
      <c r="UQ87" s="1576"/>
      <c r="UR87" s="1576"/>
      <c r="US87" s="1576"/>
      <c r="UT87" s="1576"/>
      <c r="UU87" s="1576"/>
      <c r="UV87" s="1576"/>
      <c r="UW87" s="1576"/>
      <c r="UX87" s="1576"/>
      <c r="UY87" s="1576"/>
      <c r="UZ87" s="1576"/>
      <c r="VA87" s="1576"/>
      <c r="VB87" s="1576"/>
      <c r="VC87" s="1576"/>
      <c r="VD87" s="1576"/>
      <c r="VE87" s="1576"/>
      <c r="VF87" s="1576"/>
      <c r="VG87" s="1576"/>
      <c r="VH87" s="1576"/>
      <c r="VI87" s="1576"/>
      <c r="VJ87" s="1576"/>
      <c r="VK87" s="1576"/>
    </row>
    <row r="88" spans="2:583" ht="27" x14ac:dyDescent="0.25">
      <c r="B88" s="4710" t="s">
        <v>61</v>
      </c>
      <c r="C88" s="1610" t="s">
        <v>2785</v>
      </c>
      <c r="D88" s="4710" t="s">
        <v>2786</v>
      </c>
      <c r="E88" s="4710" t="s">
        <v>2787</v>
      </c>
      <c r="F88" s="2057"/>
      <c r="G88" s="2057"/>
      <c r="H88" s="2057"/>
      <c r="I88" s="2059"/>
      <c r="J88" s="2059"/>
      <c r="K88" s="2059"/>
      <c r="L88" s="2059"/>
      <c r="M88" s="2059"/>
      <c r="N88" s="2059"/>
      <c r="O88" s="2059"/>
      <c r="P88" s="2059"/>
      <c r="Q88" s="2059"/>
      <c r="R88" s="2059"/>
      <c r="S88" s="2059"/>
      <c r="T88" s="2059"/>
      <c r="U88" s="2059"/>
      <c r="V88" s="2059"/>
      <c r="W88" s="2059"/>
      <c r="X88" s="2059"/>
      <c r="Y88" s="2059"/>
      <c r="Z88" s="2059"/>
      <c r="AA88" s="2059"/>
      <c r="AB88" s="2059"/>
      <c r="AC88" s="2059"/>
      <c r="AD88" s="2059"/>
      <c r="AE88" s="2059"/>
      <c r="AF88" s="2059"/>
      <c r="AG88" s="2059"/>
      <c r="AH88" s="2059"/>
      <c r="AI88" s="2059"/>
      <c r="AJ88" s="2059"/>
      <c r="AK88" s="2059"/>
      <c r="AL88" s="2059"/>
      <c r="AM88" s="2059"/>
      <c r="AN88" s="2059"/>
      <c r="AO88" s="2059"/>
      <c r="AP88" s="2059"/>
      <c r="AQ88" s="2059"/>
      <c r="AR88" s="2059"/>
      <c r="AS88" s="2059"/>
      <c r="AT88" s="2059"/>
      <c r="AU88" s="2059"/>
      <c r="AV88" s="2059"/>
      <c r="AW88" s="2059"/>
      <c r="AX88" s="2059"/>
      <c r="AY88" s="2059"/>
      <c r="AZ88" s="2059"/>
      <c r="BA88" s="2059"/>
      <c r="BB88" s="2059"/>
      <c r="BC88" s="2059"/>
      <c r="BD88" s="2059"/>
      <c r="BE88" s="2059"/>
      <c r="BF88" s="2059"/>
      <c r="BG88" s="2059"/>
      <c r="BH88" s="2058"/>
      <c r="BI88" s="2058"/>
      <c r="BJ88" s="2058"/>
      <c r="BK88" s="2058"/>
      <c r="BL88" s="2058"/>
      <c r="BM88" s="2058"/>
      <c r="BN88" s="2058"/>
      <c r="BO88" s="2058"/>
      <c r="BP88" s="2058"/>
      <c r="BQ88" s="2058"/>
      <c r="BR88" s="2058"/>
      <c r="BS88" s="2058"/>
      <c r="BT88" s="2058"/>
      <c r="BU88" s="2058"/>
      <c r="BV88" s="2058"/>
      <c r="BW88" s="2058"/>
      <c r="BX88" s="2058"/>
      <c r="BY88" s="2059"/>
      <c r="BZ88" s="2059"/>
      <c r="CA88" s="2059"/>
      <c r="CB88" s="2059"/>
      <c r="CC88" s="2059"/>
      <c r="CD88" s="2059"/>
      <c r="CE88" s="2059"/>
      <c r="CF88" s="2059"/>
      <c r="CG88" s="2059"/>
      <c r="CH88" s="2059"/>
      <c r="CI88" s="2059"/>
      <c r="CJ88" s="2059"/>
      <c r="CK88" s="2059"/>
      <c r="CL88" s="2059"/>
      <c r="CM88" s="2059"/>
      <c r="CN88" s="2059"/>
      <c r="CO88" s="2059"/>
      <c r="CP88" s="1576"/>
      <c r="CQ88" s="1576"/>
      <c r="CR88" s="1576"/>
      <c r="CS88" s="1576"/>
      <c r="CT88" s="1576"/>
      <c r="CU88" s="1576"/>
      <c r="CV88" s="1576"/>
      <c r="CW88" s="1576"/>
      <c r="CX88" s="1576"/>
      <c r="CY88" s="1576"/>
      <c r="CZ88" s="1576"/>
      <c r="DA88" s="1576"/>
      <c r="DB88" s="1576"/>
      <c r="DC88" s="1576"/>
      <c r="DD88" s="1576"/>
      <c r="DE88" s="1576"/>
      <c r="DF88" s="1576"/>
      <c r="DG88" s="1576"/>
      <c r="DH88" s="1576"/>
      <c r="DI88" s="1576"/>
      <c r="DJ88" s="1576"/>
      <c r="DK88" s="1576"/>
      <c r="DL88" s="1576"/>
      <c r="DM88" s="1576"/>
      <c r="DN88" s="1576"/>
      <c r="DO88" s="1576"/>
      <c r="DP88" s="1576"/>
      <c r="DQ88" s="1576"/>
      <c r="DR88" s="1576"/>
      <c r="DS88" s="1576"/>
      <c r="DT88" s="1576"/>
      <c r="DU88" s="1576"/>
      <c r="DV88" s="1576"/>
      <c r="DW88" s="1576"/>
      <c r="DX88" s="1576"/>
      <c r="DY88" s="1576"/>
      <c r="DZ88" s="1576"/>
      <c r="EA88" s="1576"/>
      <c r="EB88" s="1576"/>
      <c r="EC88" s="1576"/>
      <c r="ED88" s="1576"/>
      <c r="EE88" s="1576"/>
      <c r="EF88" s="1576"/>
      <c r="EG88" s="1576"/>
      <c r="EH88" s="1576"/>
      <c r="EI88" s="1576"/>
      <c r="EJ88" s="1576"/>
      <c r="EK88" s="1576"/>
      <c r="EL88" s="1576"/>
      <c r="EM88" s="1576"/>
      <c r="EN88" s="1576"/>
      <c r="EO88" s="1576"/>
      <c r="EP88" s="1576"/>
      <c r="EQ88" s="1576"/>
      <c r="ER88" s="1576"/>
      <c r="ES88" s="1576"/>
      <c r="ET88" s="1576"/>
      <c r="EU88" s="1576"/>
      <c r="EV88" s="1576"/>
      <c r="EW88" s="1576"/>
      <c r="EX88" s="1576"/>
      <c r="EY88" s="1576"/>
      <c r="EZ88" s="1576"/>
      <c r="FA88" s="1576"/>
      <c r="FB88" s="1576"/>
      <c r="FC88" s="1576"/>
      <c r="FD88" s="1576"/>
      <c r="FE88" s="1576"/>
      <c r="FF88" s="1576"/>
      <c r="FG88" s="1576"/>
      <c r="FH88" s="1576"/>
      <c r="FI88" s="1576"/>
      <c r="FJ88" s="1576"/>
      <c r="FK88" s="1576"/>
      <c r="FL88" s="1576"/>
      <c r="FM88" s="1576"/>
      <c r="FN88" s="1576"/>
      <c r="FO88" s="1576"/>
      <c r="FP88" s="1576"/>
      <c r="FQ88" s="1576"/>
      <c r="FR88" s="1576"/>
      <c r="FS88" s="1576"/>
      <c r="FT88" s="1576"/>
      <c r="FU88" s="1576"/>
      <c r="FV88" s="1576"/>
      <c r="FW88" s="1576"/>
      <c r="FX88" s="1576"/>
      <c r="FY88" s="1576"/>
      <c r="FZ88" s="1576"/>
      <c r="GA88" s="1576"/>
      <c r="GB88" s="1576"/>
      <c r="GC88" s="1576"/>
      <c r="GD88" s="1576"/>
      <c r="GE88" s="1576"/>
      <c r="GF88" s="1576"/>
      <c r="GG88" s="1576"/>
      <c r="GH88" s="1576"/>
      <c r="GI88" s="1576"/>
      <c r="GJ88" s="1576"/>
      <c r="GK88" s="1576"/>
      <c r="GL88" s="1576"/>
      <c r="GM88" s="1576"/>
      <c r="GN88" s="1576"/>
      <c r="GO88" s="1576"/>
      <c r="GP88" s="1576"/>
      <c r="GQ88" s="1576"/>
      <c r="GR88" s="1576"/>
      <c r="GS88" s="1576"/>
      <c r="GT88" s="1576"/>
      <c r="GU88" s="1576"/>
      <c r="GV88" s="1576"/>
      <c r="GW88" s="1576"/>
      <c r="GX88" s="1576"/>
      <c r="GY88" s="1576"/>
      <c r="GZ88" s="1576"/>
      <c r="HA88" s="1576"/>
      <c r="HB88" s="1576"/>
      <c r="HC88" s="1576"/>
      <c r="HD88" s="1576"/>
      <c r="HE88" s="1576"/>
      <c r="HF88" s="1576"/>
      <c r="HG88" s="1576"/>
      <c r="HH88" s="1576"/>
      <c r="HI88" s="1576"/>
      <c r="HJ88" s="1576"/>
      <c r="HK88" s="1576"/>
      <c r="HL88" s="1576"/>
      <c r="HM88" s="1576"/>
      <c r="HN88" s="1576"/>
      <c r="HO88" s="1576"/>
      <c r="HP88" s="1576"/>
      <c r="HQ88" s="1576"/>
      <c r="HR88" s="1576"/>
      <c r="HS88" s="1576"/>
      <c r="HT88" s="1576"/>
      <c r="HU88" s="1576"/>
      <c r="HV88" s="1576"/>
      <c r="HW88" s="1576"/>
      <c r="HX88" s="1576"/>
      <c r="HY88" s="1576"/>
      <c r="HZ88" s="1576"/>
      <c r="IA88" s="1576"/>
      <c r="IB88" s="1576"/>
      <c r="IC88" s="1576"/>
      <c r="ID88" s="1576"/>
      <c r="IE88" s="1576"/>
      <c r="IF88" s="1576"/>
      <c r="IG88" s="1576"/>
      <c r="IH88" s="1576"/>
      <c r="II88" s="1576"/>
      <c r="IJ88" s="1576"/>
      <c r="IK88" s="1576"/>
      <c r="IL88" s="1576"/>
      <c r="IM88" s="1576"/>
      <c r="IN88" s="1576"/>
      <c r="IO88" s="1576"/>
      <c r="IP88" s="1576"/>
      <c r="IQ88" s="1576"/>
      <c r="IR88" s="1576"/>
      <c r="IS88" s="1576"/>
      <c r="IT88" s="1576"/>
      <c r="IU88" s="1576"/>
      <c r="IV88" s="1576"/>
      <c r="IW88" s="1576"/>
      <c r="IX88" s="1576"/>
      <c r="IY88" s="1576"/>
      <c r="IZ88" s="1576"/>
      <c r="JA88" s="2054"/>
      <c r="JB88" s="2054"/>
      <c r="JC88" s="2054"/>
      <c r="JD88" s="2054"/>
      <c r="JE88" s="2054"/>
      <c r="JF88" s="2054"/>
      <c r="JG88" s="2054"/>
      <c r="JH88" s="2054"/>
      <c r="JI88" s="2054"/>
      <c r="JJ88" s="2054"/>
      <c r="JK88" s="2054"/>
      <c r="JL88" s="2054"/>
      <c r="JM88" s="2054"/>
      <c r="JN88" s="2054"/>
      <c r="JO88" s="2054"/>
      <c r="JP88" s="2054"/>
      <c r="JQ88" s="2054"/>
      <c r="JR88" s="1576"/>
      <c r="JS88" s="1576"/>
      <c r="JT88" s="1576"/>
      <c r="JU88" s="1576"/>
      <c r="JV88" s="1576"/>
      <c r="JW88" s="1576"/>
      <c r="JX88" s="1576"/>
      <c r="JY88" s="1576"/>
      <c r="JZ88" s="1576"/>
      <c r="KA88" s="1576"/>
      <c r="KB88" s="1576"/>
      <c r="KC88" s="1576"/>
      <c r="KD88" s="1576"/>
      <c r="KE88" s="1576"/>
      <c r="KF88" s="1576"/>
      <c r="KG88" s="1576"/>
      <c r="KH88" s="1576"/>
      <c r="KI88" s="1576"/>
      <c r="KJ88" s="1576"/>
      <c r="KK88" s="1576"/>
      <c r="KL88" s="1576"/>
      <c r="KM88" s="1576"/>
      <c r="KN88" s="1576"/>
      <c r="KO88" s="1576"/>
      <c r="KP88" s="1576"/>
      <c r="KQ88" s="1576"/>
      <c r="KR88" s="1576"/>
      <c r="KS88" s="1576"/>
      <c r="KT88" s="1576"/>
      <c r="KU88" s="1576"/>
      <c r="KV88" s="1576"/>
      <c r="KW88" s="1576"/>
      <c r="KX88" s="1576"/>
      <c r="KY88" s="1576"/>
      <c r="KZ88" s="1576"/>
      <c r="LA88" s="1576"/>
      <c r="LB88" s="1576"/>
      <c r="LC88" s="1576"/>
      <c r="LD88" s="1576"/>
      <c r="LE88" s="1576"/>
      <c r="LF88" s="1576"/>
      <c r="LG88" s="1576"/>
      <c r="LH88" s="1576"/>
      <c r="LI88" s="1576"/>
      <c r="LJ88" s="1576"/>
      <c r="LK88" s="1576"/>
      <c r="LL88" s="1576"/>
      <c r="LM88" s="1576"/>
      <c r="LN88" s="1576"/>
      <c r="LO88" s="1576"/>
      <c r="LP88" s="1576"/>
      <c r="LQ88" s="1576"/>
      <c r="LR88" s="1576"/>
      <c r="LS88" s="1576"/>
      <c r="LT88" s="1576"/>
      <c r="LU88" s="1576"/>
      <c r="LV88" s="1576"/>
      <c r="LW88" s="1576"/>
      <c r="LX88" s="1576"/>
      <c r="LY88" s="1576"/>
      <c r="LZ88" s="1576"/>
      <c r="MA88" s="1576"/>
      <c r="MB88" s="1576"/>
      <c r="MC88" s="1576"/>
      <c r="MD88" s="1576"/>
      <c r="ME88" s="1576"/>
      <c r="MF88" s="1576"/>
      <c r="MG88" s="1576"/>
      <c r="MH88" s="1576"/>
      <c r="MI88" s="1576"/>
      <c r="MJ88" s="1576"/>
      <c r="MK88" s="1576"/>
      <c r="ML88" s="1576"/>
      <c r="MM88" s="1576"/>
      <c r="MN88" s="1576"/>
      <c r="MO88" s="1576"/>
      <c r="MP88" s="1576"/>
      <c r="MQ88" s="1576"/>
      <c r="MR88" s="1576"/>
      <c r="MS88" s="1576"/>
      <c r="MT88" s="1576"/>
      <c r="MU88" s="1576"/>
      <c r="MV88" s="1576"/>
      <c r="MW88" s="1576"/>
      <c r="MX88" s="1576"/>
      <c r="MY88" s="1576"/>
      <c r="MZ88" s="1576"/>
      <c r="NA88" s="1576"/>
      <c r="NB88" s="1576"/>
      <c r="NC88" s="1576"/>
      <c r="ND88" s="1576"/>
      <c r="NE88" s="1576"/>
      <c r="NF88" s="1576"/>
      <c r="NG88" s="1576"/>
      <c r="NH88" s="1576"/>
      <c r="NI88" s="1576"/>
      <c r="NJ88" s="1576"/>
      <c r="NK88" s="1576"/>
      <c r="NL88" s="1576"/>
      <c r="NM88" s="1576"/>
      <c r="NN88" s="1576"/>
      <c r="NO88" s="1576"/>
      <c r="NP88" s="1576"/>
      <c r="NQ88" s="1576"/>
      <c r="NR88" s="1576"/>
      <c r="NS88" s="1576"/>
      <c r="NT88" s="1576"/>
      <c r="NU88" s="1576"/>
      <c r="NV88" s="1576"/>
      <c r="NW88" s="1576"/>
      <c r="NX88" s="1576"/>
      <c r="NY88" s="1576"/>
      <c r="NZ88" s="1576"/>
      <c r="OA88" s="1576"/>
      <c r="OB88" s="1576"/>
      <c r="OC88" s="1576"/>
      <c r="OD88" s="1576"/>
      <c r="OE88" s="1576"/>
      <c r="OF88" s="1576"/>
      <c r="OG88" s="1576"/>
      <c r="OH88" s="1576"/>
      <c r="OI88" s="1576"/>
      <c r="OJ88" s="1576"/>
      <c r="OK88" s="1576"/>
      <c r="OL88" s="1576"/>
      <c r="OM88" s="1576"/>
      <c r="ON88" s="1576"/>
      <c r="OO88" s="1576"/>
      <c r="OP88" s="1576"/>
      <c r="OQ88" s="1576"/>
      <c r="OR88" s="1576"/>
      <c r="OS88" s="1576"/>
      <c r="OT88" s="1576"/>
      <c r="OU88" s="1576"/>
      <c r="OV88" s="1576"/>
      <c r="OW88" s="1576"/>
      <c r="OX88" s="1576"/>
      <c r="OY88" s="1576"/>
      <c r="OZ88" s="1576"/>
      <c r="PA88" s="1576"/>
      <c r="PB88" s="1576"/>
      <c r="PC88" s="1576"/>
      <c r="PD88" s="1576"/>
      <c r="PE88" s="1576"/>
      <c r="PF88" s="1576"/>
      <c r="PG88" s="1576"/>
      <c r="PH88" s="1576"/>
      <c r="PI88" s="1576"/>
      <c r="PJ88" s="1576"/>
      <c r="PK88" s="1576"/>
      <c r="PL88" s="1576"/>
      <c r="PM88" s="1576"/>
      <c r="PN88" s="1576"/>
      <c r="PO88" s="1576"/>
      <c r="PP88" s="1576"/>
      <c r="PQ88" s="1576"/>
      <c r="PR88" s="1576"/>
      <c r="PS88" s="1576"/>
      <c r="PT88" s="1576"/>
      <c r="PU88" s="1576"/>
      <c r="PV88" s="1576"/>
      <c r="PW88" s="1576"/>
      <c r="PX88" s="1576"/>
      <c r="PY88" s="1576"/>
      <c r="PZ88" s="1576"/>
      <c r="QA88" s="1576"/>
      <c r="QB88" s="1576"/>
      <c r="QC88" s="1576"/>
      <c r="QD88" s="1576"/>
      <c r="QE88" s="1576"/>
      <c r="QF88" s="1576"/>
      <c r="QG88" s="1576"/>
      <c r="QH88" s="1576"/>
      <c r="QI88" s="1576"/>
      <c r="QJ88" s="1576"/>
      <c r="QK88" s="1576"/>
      <c r="QL88" s="1576"/>
      <c r="QM88" s="1576"/>
      <c r="QN88" s="1576"/>
      <c r="QO88" s="1576"/>
      <c r="QP88" s="1576"/>
      <c r="QQ88" s="1576"/>
      <c r="QR88" s="1576"/>
      <c r="QS88" s="1576"/>
      <c r="QT88" s="1576"/>
      <c r="QU88" s="1576"/>
      <c r="QV88" s="1576"/>
      <c r="QW88" s="1576"/>
      <c r="QX88" s="1576"/>
      <c r="QY88" s="1576"/>
      <c r="QZ88" s="1576"/>
      <c r="RA88" s="1576"/>
      <c r="RB88" s="1576"/>
      <c r="RC88" s="1576"/>
      <c r="RD88" s="1576"/>
      <c r="RE88" s="1576"/>
      <c r="RF88" s="1576"/>
      <c r="RG88" s="1576"/>
      <c r="RH88" s="1576"/>
      <c r="RI88" s="1576"/>
      <c r="RJ88" s="1576"/>
      <c r="RK88" s="1576"/>
      <c r="RL88" s="1576"/>
      <c r="RM88" s="1576"/>
      <c r="RN88" s="1576"/>
      <c r="RO88" s="1576"/>
      <c r="RP88" s="1576"/>
      <c r="RQ88" s="1576"/>
      <c r="RR88" s="1576"/>
      <c r="RS88" s="1576"/>
      <c r="RT88" s="1576"/>
      <c r="RU88" s="1576"/>
      <c r="RV88" s="1576"/>
      <c r="RW88" s="1576"/>
      <c r="RX88" s="1576"/>
      <c r="RY88" s="1576"/>
      <c r="RZ88" s="1576"/>
      <c r="SA88" s="1576"/>
      <c r="SB88" s="1576"/>
      <c r="SC88" s="1576"/>
      <c r="SD88" s="1576"/>
      <c r="SE88" s="1576"/>
      <c r="SF88" s="1576"/>
      <c r="SG88" s="1576"/>
      <c r="SH88" s="1576"/>
      <c r="SI88" s="1576"/>
      <c r="SJ88" s="1576"/>
      <c r="SK88" s="1576"/>
      <c r="SL88" s="1576"/>
      <c r="SM88" s="1576"/>
      <c r="SN88" s="1576"/>
      <c r="SO88" s="1576"/>
      <c r="SP88" s="1576"/>
      <c r="SQ88" s="1576"/>
      <c r="SR88" s="1576"/>
      <c r="SS88" s="1576"/>
      <c r="ST88" s="1576"/>
      <c r="SU88" s="1576"/>
      <c r="SV88" s="1576"/>
      <c r="SW88" s="1576"/>
      <c r="SX88" s="1576"/>
      <c r="SY88" s="1576"/>
      <c r="SZ88" s="1576"/>
      <c r="TA88" s="1576"/>
      <c r="TB88" s="1576"/>
      <c r="TC88" s="1576"/>
      <c r="TD88" s="1576"/>
      <c r="TE88" s="1576"/>
      <c r="TF88" s="1576"/>
      <c r="TG88" s="1576"/>
      <c r="TH88" s="1576"/>
      <c r="TI88" s="1576"/>
      <c r="TJ88" s="1576"/>
      <c r="TK88" s="1576"/>
      <c r="TL88" s="1576"/>
      <c r="TM88" s="1576"/>
      <c r="TN88" s="1576"/>
      <c r="TO88" s="1576"/>
      <c r="TP88" s="1576"/>
      <c r="TQ88" s="1576"/>
      <c r="TR88" s="1576"/>
      <c r="TS88" s="1576"/>
      <c r="TT88" s="1576"/>
      <c r="TU88" s="1576"/>
      <c r="TV88" s="1576"/>
      <c r="TW88" s="1576"/>
      <c r="TX88" s="1576"/>
      <c r="TY88" s="1576"/>
      <c r="TZ88" s="1576"/>
      <c r="UA88" s="1576"/>
      <c r="UB88" s="1576"/>
      <c r="UC88" s="1576"/>
      <c r="UD88" s="1576"/>
      <c r="UE88" s="1576"/>
      <c r="UF88" s="1576"/>
      <c r="UG88" s="1576"/>
      <c r="UH88" s="1576"/>
      <c r="UI88" s="1576"/>
      <c r="UJ88" s="1576"/>
      <c r="UK88" s="1576"/>
      <c r="UL88" s="1576"/>
      <c r="UM88" s="1576"/>
      <c r="UN88" s="1576"/>
      <c r="UO88" s="1576"/>
      <c r="UP88" s="1576"/>
      <c r="UQ88" s="1576"/>
      <c r="UR88" s="1576"/>
      <c r="US88" s="1576"/>
      <c r="UT88" s="1576"/>
      <c r="UU88" s="1576"/>
      <c r="UV88" s="1576"/>
      <c r="UW88" s="1576"/>
      <c r="UX88" s="1576"/>
      <c r="UY88" s="1576"/>
      <c r="UZ88" s="1576"/>
      <c r="VA88" s="1576"/>
      <c r="VB88" s="1576"/>
      <c r="VC88" s="1576"/>
      <c r="VD88" s="1576"/>
      <c r="VE88" s="1576"/>
      <c r="VF88" s="1576"/>
      <c r="VG88" s="1576"/>
      <c r="VH88" s="1576"/>
      <c r="VI88" s="1576"/>
      <c r="VJ88" s="1576"/>
      <c r="VK88" s="1576"/>
    </row>
    <row r="89" spans="2:583" ht="23.25" customHeight="1" x14ac:dyDescent="0.25">
      <c r="B89" s="4710"/>
      <c r="C89" s="1610" t="s">
        <v>2776</v>
      </c>
      <c r="D89" s="4710" t="s">
        <v>2788</v>
      </c>
      <c r="E89" s="4710" t="s">
        <v>2778</v>
      </c>
      <c r="F89" s="2057"/>
      <c r="G89" s="2057"/>
      <c r="H89" s="2057"/>
      <c r="I89" s="2059"/>
      <c r="J89" s="2059"/>
      <c r="K89" s="2059"/>
      <c r="L89" s="2059"/>
      <c r="M89" s="2059"/>
      <c r="N89" s="2059"/>
      <c r="O89" s="2059"/>
      <c r="P89" s="2059"/>
      <c r="Q89" s="2059"/>
      <c r="R89" s="2059"/>
      <c r="S89" s="2059"/>
      <c r="T89" s="2059"/>
      <c r="U89" s="2059"/>
      <c r="V89" s="2059"/>
      <c r="W89" s="2059"/>
      <c r="X89" s="2059"/>
      <c r="Y89" s="2059"/>
      <c r="Z89" s="2059"/>
      <c r="AA89" s="2059"/>
      <c r="AB89" s="2059"/>
      <c r="AC89" s="2059"/>
      <c r="AD89" s="2059"/>
      <c r="AE89" s="2059"/>
      <c r="AF89" s="2059"/>
      <c r="AG89" s="2059"/>
      <c r="AH89" s="2059"/>
      <c r="AI89" s="2059"/>
      <c r="AJ89" s="2059"/>
      <c r="AK89" s="2059"/>
      <c r="AL89" s="2059"/>
      <c r="AM89" s="2059"/>
      <c r="AN89" s="2059"/>
      <c r="AO89" s="2059"/>
      <c r="AP89" s="2059"/>
      <c r="AQ89" s="2059"/>
      <c r="AR89" s="2059"/>
      <c r="AS89" s="2059"/>
      <c r="AT89" s="2059"/>
      <c r="AU89" s="2059"/>
      <c r="AV89" s="2059"/>
      <c r="AW89" s="2059"/>
      <c r="AX89" s="2059"/>
      <c r="AY89" s="2059"/>
      <c r="AZ89" s="2059"/>
      <c r="BA89" s="2059"/>
      <c r="BB89" s="2059"/>
      <c r="BC89" s="2059"/>
      <c r="BD89" s="2059"/>
      <c r="BE89" s="2059"/>
      <c r="BF89" s="2059"/>
      <c r="BG89" s="2059"/>
      <c r="BH89" s="2059"/>
      <c r="BI89" s="2059"/>
      <c r="BJ89" s="2059"/>
      <c r="BK89" s="2059"/>
      <c r="BL89" s="2059"/>
      <c r="BM89" s="2059"/>
      <c r="BN89" s="2059"/>
      <c r="BO89" s="2059"/>
      <c r="BP89" s="2059"/>
      <c r="BQ89" s="2059"/>
      <c r="BR89" s="2059"/>
      <c r="BS89" s="2059"/>
      <c r="BT89" s="2059"/>
      <c r="BU89" s="2059"/>
      <c r="BV89" s="2059"/>
      <c r="BW89" s="2059"/>
      <c r="BX89" s="2059"/>
      <c r="BY89" s="2059"/>
      <c r="BZ89" s="2059"/>
      <c r="CA89" s="2059"/>
      <c r="CB89" s="2059"/>
      <c r="CC89" s="2059"/>
      <c r="CD89" s="2059"/>
      <c r="CE89" s="2059"/>
      <c r="CF89" s="2059"/>
      <c r="CG89" s="2059"/>
      <c r="CH89" s="2059"/>
      <c r="CI89" s="2059"/>
      <c r="CJ89" s="2059"/>
      <c r="CK89" s="2059"/>
      <c r="CL89" s="2059"/>
      <c r="CM89" s="2059"/>
      <c r="CN89" s="2059"/>
      <c r="CO89" s="2059"/>
      <c r="CP89" s="1576"/>
      <c r="CQ89" s="1576"/>
      <c r="CR89" s="1576"/>
      <c r="CS89" s="1576"/>
      <c r="CT89" s="1576"/>
      <c r="CU89" s="1576"/>
      <c r="CV89" s="1576"/>
      <c r="CW89" s="1576"/>
      <c r="CX89" s="1576"/>
      <c r="CY89" s="1576"/>
      <c r="CZ89" s="1576"/>
      <c r="DA89" s="1576"/>
      <c r="DB89" s="1576"/>
      <c r="DC89" s="1576"/>
      <c r="DD89" s="1576"/>
      <c r="DE89" s="1576"/>
      <c r="DF89" s="1576"/>
      <c r="DG89" s="1576"/>
      <c r="DH89" s="1576"/>
      <c r="DI89" s="1576"/>
      <c r="DJ89" s="1576"/>
      <c r="DK89" s="1576"/>
      <c r="DL89" s="1576"/>
      <c r="DM89" s="1576"/>
      <c r="DN89" s="1576"/>
      <c r="DO89" s="1576"/>
      <c r="DP89" s="1576"/>
      <c r="DQ89" s="1576"/>
      <c r="DR89" s="1576"/>
      <c r="DS89" s="1576"/>
      <c r="DT89" s="1576"/>
      <c r="DU89" s="1576"/>
      <c r="DV89" s="1576"/>
      <c r="DW89" s="1576"/>
      <c r="DX89" s="1576"/>
      <c r="DY89" s="1576"/>
      <c r="DZ89" s="1576"/>
      <c r="EA89" s="1576"/>
      <c r="EB89" s="1576"/>
      <c r="EC89" s="1576"/>
      <c r="ED89" s="1576"/>
      <c r="EE89" s="1576"/>
      <c r="EF89" s="1576"/>
      <c r="EG89" s="1576"/>
      <c r="EH89" s="1576"/>
      <c r="EI89" s="1576"/>
      <c r="EJ89" s="1576"/>
      <c r="EK89" s="1576"/>
      <c r="EL89" s="1576"/>
      <c r="EM89" s="1576"/>
      <c r="EN89" s="1576"/>
      <c r="EO89" s="1576"/>
      <c r="EP89" s="1576"/>
      <c r="EQ89" s="1576"/>
      <c r="ER89" s="1576"/>
      <c r="ES89" s="1576"/>
      <c r="ET89" s="1576"/>
      <c r="EU89" s="1576"/>
      <c r="EV89" s="1576"/>
      <c r="EW89" s="1576"/>
      <c r="EX89" s="1576"/>
      <c r="EY89" s="1576"/>
      <c r="EZ89" s="1576"/>
      <c r="FA89" s="1576"/>
      <c r="FB89" s="1576"/>
      <c r="FC89" s="1576"/>
      <c r="FD89" s="1576"/>
      <c r="FE89" s="1576"/>
      <c r="FF89" s="1576"/>
      <c r="FG89" s="1576"/>
      <c r="FH89" s="1576"/>
      <c r="FI89" s="1576"/>
      <c r="FJ89" s="1576"/>
      <c r="FK89" s="1576"/>
      <c r="FL89" s="1576"/>
      <c r="FM89" s="1576"/>
      <c r="FN89" s="1576"/>
      <c r="FO89" s="1576"/>
      <c r="FP89" s="1576"/>
      <c r="FQ89" s="1576"/>
      <c r="FR89" s="1576"/>
      <c r="FS89" s="1576"/>
      <c r="FT89" s="1576"/>
      <c r="FU89" s="1576"/>
      <c r="FV89" s="1576"/>
      <c r="FW89" s="1576"/>
      <c r="FX89" s="1576"/>
      <c r="FY89" s="1576"/>
      <c r="FZ89" s="1576"/>
      <c r="GA89" s="1576"/>
      <c r="GB89" s="1576"/>
      <c r="GC89" s="1576"/>
      <c r="GD89" s="1576"/>
      <c r="GE89" s="1576"/>
      <c r="GF89" s="1576"/>
      <c r="GG89" s="1576"/>
      <c r="GH89" s="1576"/>
      <c r="GI89" s="1576"/>
      <c r="GJ89" s="1576"/>
      <c r="GK89" s="1576"/>
      <c r="GL89" s="1576"/>
      <c r="GM89" s="1576"/>
      <c r="GN89" s="1576"/>
      <c r="GO89" s="1576"/>
      <c r="GP89" s="1576"/>
      <c r="GQ89" s="1576"/>
      <c r="GR89" s="1576"/>
      <c r="GS89" s="1576"/>
      <c r="GT89" s="1576"/>
      <c r="GU89" s="1576"/>
      <c r="GV89" s="1576"/>
      <c r="GW89" s="1576"/>
      <c r="GX89" s="1576"/>
      <c r="GY89" s="1576"/>
      <c r="GZ89" s="1576"/>
      <c r="HA89" s="1576"/>
      <c r="HB89" s="1576"/>
      <c r="HC89" s="1576"/>
      <c r="HD89" s="1576"/>
      <c r="HE89" s="1576"/>
      <c r="HF89" s="1576"/>
      <c r="HG89" s="1576"/>
      <c r="HH89" s="1576"/>
      <c r="HI89" s="1576"/>
      <c r="HJ89" s="1576"/>
      <c r="HK89" s="1576"/>
      <c r="HL89" s="1576"/>
      <c r="HM89" s="1576"/>
      <c r="HN89" s="1576"/>
      <c r="HO89" s="1576"/>
      <c r="HP89" s="1576"/>
      <c r="HQ89" s="1576"/>
      <c r="HR89" s="1576"/>
      <c r="HS89" s="1576"/>
      <c r="HT89" s="1576"/>
      <c r="HU89" s="1576"/>
      <c r="HV89" s="1576"/>
      <c r="HW89" s="1576"/>
      <c r="HX89" s="1576"/>
      <c r="HY89" s="1576"/>
      <c r="HZ89" s="1576"/>
      <c r="IA89" s="1576"/>
      <c r="IB89" s="1576"/>
      <c r="IC89" s="1576"/>
      <c r="ID89" s="1576"/>
      <c r="IE89" s="1576"/>
      <c r="IF89" s="1576"/>
      <c r="IG89" s="1576"/>
      <c r="IH89" s="1576"/>
      <c r="II89" s="1576"/>
      <c r="IJ89" s="1576"/>
      <c r="IK89" s="1576"/>
      <c r="IL89" s="1576"/>
      <c r="IM89" s="1576"/>
      <c r="IN89" s="1576"/>
      <c r="IO89" s="1576"/>
      <c r="IP89" s="1576"/>
      <c r="IQ89" s="1576"/>
      <c r="IR89" s="1576"/>
      <c r="IS89" s="1576"/>
      <c r="IT89" s="1576"/>
      <c r="IU89" s="1576"/>
      <c r="IV89" s="1576"/>
      <c r="IW89" s="1576"/>
      <c r="IX89" s="1576"/>
      <c r="IY89" s="1576"/>
      <c r="IZ89" s="1576"/>
      <c r="JA89" s="2054"/>
      <c r="JB89" s="2054"/>
      <c r="JC89" s="2054"/>
      <c r="JD89" s="2054"/>
      <c r="JE89" s="2054"/>
      <c r="JF89" s="2054"/>
      <c r="JG89" s="2054"/>
      <c r="JH89" s="2054"/>
      <c r="JI89" s="2054"/>
      <c r="JJ89" s="2054"/>
      <c r="JK89" s="2054"/>
      <c r="JL89" s="2054"/>
      <c r="JM89" s="2054"/>
      <c r="JN89" s="2054"/>
      <c r="JO89" s="2054"/>
      <c r="JP89" s="2054"/>
      <c r="JQ89" s="2054"/>
      <c r="JR89" s="1576"/>
      <c r="JS89" s="1576"/>
      <c r="JT89" s="1576"/>
      <c r="JU89" s="1576"/>
      <c r="JV89" s="1576"/>
      <c r="JW89" s="1576"/>
      <c r="JX89" s="1576"/>
      <c r="JY89" s="1576"/>
      <c r="JZ89" s="1576"/>
      <c r="KA89" s="1576"/>
      <c r="KB89" s="1576"/>
      <c r="KC89" s="1576"/>
      <c r="KD89" s="1576"/>
      <c r="KE89" s="1576"/>
      <c r="KF89" s="1576"/>
      <c r="KG89" s="1576"/>
      <c r="KH89" s="1576"/>
      <c r="KI89" s="1576"/>
      <c r="KJ89" s="1576"/>
      <c r="KK89" s="1576"/>
      <c r="KL89" s="1576"/>
      <c r="KM89" s="1576"/>
      <c r="KN89" s="1576"/>
      <c r="KO89" s="1576"/>
      <c r="KP89" s="1576"/>
      <c r="KQ89" s="1576"/>
      <c r="KR89" s="1576"/>
      <c r="KS89" s="1576"/>
      <c r="KT89" s="1576"/>
      <c r="KU89" s="1576"/>
      <c r="KV89" s="1576"/>
      <c r="KW89" s="1576"/>
      <c r="KX89" s="1576"/>
      <c r="KY89" s="1576"/>
      <c r="KZ89" s="1576"/>
      <c r="LA89" s="1576"/>
      <c r="LB89" s="1576"/>
      <c r="LC89" s="1576"/>
      <c r="LD89" s="1576"/>
      <c r="LE89" s="1576"/>
      <c r="LF89" s="1576"/>
      <c r="LG89" s="1576"/>
      <c r="LH89" s="1576"/>
      <c r="LI89" s="1576"/>
      <c r="LJ89" s="1576"/>
      <c r="LK89" s="1576"/>
      <c r="LL89" s="1576"/>
      <c r="LM89" s="1576"/>
      <c r="LN89" s="1576"/>
      <c r="LO89" s="1576"/>
      <c r="LP89" s="1576"/>
      <c r="LQ89" s="1576"/>
      <c r="LR89" s="1576"/>
      <c r="LS89" s="1576"/>
      <c r="LT89" s="1576"/>
      <c r="LU89" s="1576"/>
      <c r="LV89" s="1576"/>
      <c r="LW89" s="1576"/>
      <c r="LX89" s="1576"/>
      <c r="LY89" s="1576"/>
      <c r="LZ89" s="1576"/>
      <c r="MA89" s="1576"/>
      <c r="MB89" s="1576"/>
      <c r="MC89" s="1576"/>
      <c r="MD89" s="1576"/>
      <c r="ME89" s="1576"/>
      <c r="MF89" s="1576"/>
      <c r="MG89" s="1576"/>
      <c r="MH89" s="1576"/>
      <c r="MI89" s="1576"/>
      <c r="MJ89" s="1576"/>
      <c r="MK89" s="1576"/>
      <c r="ML89" s="1576"/>
      <c r="MM89" s="1576"/>
      <c r="MN89" s="1576"/>
      <c r="MO89" s="1576"/>
      <c r="MP89" s="1576"/>
      <c r="MQ89" s="1576"/>
      <c r="MR89" s="1576"/>
      <c r="MS89" s="1576"/>
      <c r="MT89" s="1576"/>
      <c r="MU89" s="1576"/>
      <c r="MV89" s="1576"/>
      <c r="MW89" s="1576"/>
      <c r="MX89" s="1576"/>
      <c r="MY89" s="1576"/>
      <c r="MZ89" s="1576"/>
      <c r="NA89" s="1576"/>
      <c r="NB89" s="1576"/>
      <c r="NC89" s="1576"/>
      <c r="ND89" s="1576"/>
      <c r="NE89" s="1576"/>
      <c r="NF89" s="1576"/>
      <c r="NG89" s="1576"/>
      <c r="NH89" s="1576"/>
      <c r="NI89" s="1576"/>
      <c r="NJ89" s="1576"/>
      <c r="NK89" s="1576"/>
      <c r="NL89" s="1576"/>
      <c r="NM89" s="1576"/>
      <c r="NN89" s="1576"/>
      <c r="NO89" s="1576"/>
      <c r="NP89" s="1576"/>
      <c r="NQ89" s="1576"/>
      <c r="NR89" s="1576"/>
      <c r="NS89" s="1576"/>
      <c r="NT89" s="1576"/>
      <c r="NU89" s="1576"/>
      <c r="NV89" s="1576"/>
      <c r="NW89" s="1576"/>
      <c r="NX89" s="1576"/>
      <c r="NY89" s="1576"/>
      <c r="NZ89" s="1576"/>
      <c r="OA89" s="1576"/>
      <c r="OB89" s="1576"/>
      <c r="OC89" s="1576"/>
      <c r="OD89" s="1576"/>
      <c r="OE89" s="1576"/>
      <c r="OF89" s="1576"/>
      <c r="OG89" s="1576"/>
      <c r="OH89" s="1576"/>
      <c r="OI89" s="1576"/>
      <c r="OJ89" s="1576"/>
      <c r="OK89" s="1576"/>
      <c r="OL89" s="1576"/>
      <c r="OM89" s="1576"/>
      <c r="ON89" s="1576"/>
      <c r="OO89" s="1576"/>
      <c r="OP89" s="1576"/>
      <c r="OQ89" s="1576"/>
      <c r="OR89" s="1576"/>
      <c r="OS89" s="1576"/>
      <c r="OT89" s="1576"/>
      <c r="OU89" s="1576"/>
      <c r="OV89" s="1576"/>
      <c r="OW89" s="1576"/>
      <c r="OX89" s="1576"/>
      <c r="OY89" s="1576"/>
      <c r="OZ89" s="1576"/>
      <c r="PA89" s="1576"/>
      <c r="PB89" s="1576"/>
      <c r="PC89" s="1576"/>
      <c r="PD89" s="1576"/>
      <c r="PE89" s="1576"/>
      <c r="PF89" s="1576"/>
      <c r="PG89" s="1576"/>
      <c r="PH89" s="1576"/>
      <c r="PI89" s="1576"/>
      <c r="PJ89" s="1576"/>
      <c r="PK89" s="1576"/>
      <c r="PL89" s="1576"/>
      <c r="PM89" s="1576"/>
      <c r="PN89" s="1576"/>
      <c r="PO89" s="1576"/>
      <c r="PP89" s="1576"/>
      <c r="PQ89" s="1576"/>
      <c r="PR89" s="1576"/>
      <c r="PS89" s="1576"/>
      <c r="PT89" s="1576"/>
      <c r="PU89" s="1576"/>
      <c r="PV89" s="1576"/>
      <c r="PW89" s="1576"/>
      <c r="PX89" s="1576"/>
      <c r="PY89" s="1576"/>
      <c r="PZ89" s="1576"/>
      <c r="QA89" s="1576"/>
      <c r="QB89" s="1576"/>
      <c r="QC89" s="1576"/>
      <c r="QD89" s="1576"/>
      <c r="QE89" s="1576"/>
      <c r="QF89" s="1576"/>
      <c r="QG89" s="1576"/>
      <c r="QH89" s="1576"/>
      <c r="QI89" s="1576"/>
      <c r="QJ89" s="1576"/>
      <c r="QK89" s="1576"/>
      <c r="QL89" s="1576"/>
      <c r="QM89" s="1576"/>
      <c r="QN89" s="1576"/>
      <c r="QO89" s="1576"/>
      <c r="QP89" s="1576"/>
      <c r="QQ89" s="1576"/>
      <c r="QR89" s="1576"/>
      <c r="QS89" s="1576"/>
      <c r="QT89" s="1576"/>
      <c r="QU89" s="1576"/>
      <c r="QV89" s="1576"/>
      <c r="QW89" s="1576"/>
      <c r="QX89" s="1576"/>
      <c r="QY89" s="1576"/>
      <c r="QZ89" s="1576"/>
      <c r="RA89" s="1576"/>
      <c r="RB89" s="1576"/>
      <c r="RC89" s="1576"/>
      <c r="RD89" s="1576"/>
      <c r="RE89" s="1576"/>
      <c r="RF89" s="1576"/>
      <c r="RG89" s="1576"/>
      <c r="RH89" s="1576"/>
      <c r="RI89" s="1576"/>
      <c r="RJ89" s="1576"/>
      <c r="RK89" s="1576"/>
      <c r="RL89" s="1576"/>
      <c r="RM89" s="1576"/>
      <c r="RN89" s="1576"/>
      <c r="RO89" s="1576"/>
      <c r="RP89" s="1576"/>
      <c r="RQ89" s="1576"/>
      <c r="RR89" s="1576"/>
      <c r="RS89" s="1576"/>
      <c r="RT89" s="1576"/>
      <c r="RU89" s="1576"/>
      <c r="RV89" s="1576"/>
      <c r="RW89" s="1576"/>
      <c r="RX89" s="1576"/>
      <c r="RY89" s="1576"/>
      <c r="RZ89" s="1576"/>
      <c r="SA89" s="1576"/>
      <c r="SB89" s="1576"/>
      <c r="SC89" s="1576"/>
      <c r="SD89" s="1576"/>
      <c r="SE89" s="1576"/>
      <c r="SF89" s="1576"/>
      <c r="SG89" s="1576"/>
      <c r="SH89" s="1576"/>
      <c r="SI89" s="1576"/>
      <c r="SJ89" s="1576"/>
      <c r="SK89" s="1576"/>
      <c r="SL89" s="1576"/>
      <c r="SM89" s="1576"/>
      <c r="SN89" s="1576"/>
      <c r="SO89" s="1576"/>
      <c r="SP89" s="1576"/>
      <c r="SQ89" s="1576"/>
      <c r="SR89" s="1576"/>
      <c r="SS89" s="1576"/>
      <c r="ST89" s="1576"/>
      <c r="SU89" s="1576"/>
      <c r="SV89" s="1576"/>
      <c r="SW89" s="1576"/>
      <c r="SX89" s="1576"/>
      <c r="SY89" s="1576"/>
      <c r="SZ89" s="1576"/>
      <c r="TA89" s="1576"/>
      <c r="TB89" s="1576"/>
      <c r="TC89" s="1576"/>
      <c r="TD89" s="1576"/>
      <c r="TE89" s="1576"/>
      <c r="TF89" s="1576"/>
      <c r="TG89" s="1576"/>
      <c r="TH89" s="1576"/>
      <c r="TI89" s="1576"/>
      <c r="TJ89" s="1576"/>
      <c r="TK89" s="1576"/>
      <c r="TL89" s="1576"/>
      <c r="TM89" s="1576"/>
      <c r="TN89" s="1576"/>
      <c r="TO89" s="1576"/>
      <c r="TP89" s="1576"/>
      <c r="TQ89" s="1576"/>
      <c r="TR89" s="1576"/>
      <c r="TS89" s="1576"/>
      <c r="TT89" s="1576"/>
      <c r="TU89" s="1576"/>
      <c r="TV89" s="1576"/>
      <c r="TW89" s="1576"/>
      <c r="TX89" s="1576"/>
      <c r="TY89" s="1576"/>
      <c r="TZ89" s="1576"/>
      <c r="UA89" s="1576"/>
      <c r="UB89" s="1576"/>
      <c r="UC89" s="1576"/>
      <c r="UD89" s="1576"/>
      <c r="UE89" s="1576"/>
      <c r="UF89" s="1576"/>
      <c r="UG89" s="1576"/>
      <c r="UH89" s="1576"/>
      <c r="UI89" s="1576"/>
      <c r="UJ89" s="1576"/>
      <c r="UK89" s="1576"/>
      <c r="UL89" s="1576"/>
      <c r="UM89" s="1576"/>
      <c r="UN89" s="1576"/>
      <c r="UO89" s="1576"/>
      <c r="UP89" s="1576"/>
      <c r="UQ89" s="1576"/>
      <c r="UR89" s="1576"/>
      <c r="US89" s="1576"/>
      <c r="UT89" s="1576"/>
      <c r="UU89" s="1576"/>
      <c r="UV89" s="1576"/>
      <c r="UW89" s="1576"/>
      <c r="UX89" s="1576"/>
      <c r="UY89" s="1576"/>
      <c r="UZ89" s="1576"/>
      <c r="VA89" s="1576"/>
      <c r="VB89" s="1576"/>
      <c r="VC89" s="1576"/>
      <c r="VD89" s="1576"/>
      <c r="VE89" s="1576"/>
      <c r="VF89" s="1576"/>
      <c r="VG89" s="1576"/>
      <c r="VH89" s="1576"/>
      <c r="VI89" s="1576"/>
      <c r="VJ89" s="1576"/>
      <c r="VK89" s="1576"/>
    </row>
    <row r="90" spans="2:583" ht="40.5" x14ac:dyDescent="0.25">
      <c r="B90" s="4710" t="s">
        <v>61</v>
      </c>
      <c r="C90" s="1610" t="s">
        <v>2789</v>
      </c>
      <c r="D90" s="4710" t="s">
        <v>2790</v>
      </c>
      <c r="E90" s="4710" t="s">
        <v>2787</v>
      </c>
      <c r="F90" s="2057"/>
      <c r="G90" s="2057"/>
      <c r="H90" s="2057"/>
      <c r="I90" s="2059"/>
      <c r="J90" s="2059"/>
      <c r="K90" s="2059"/>
      <c r="L90" s="2059"/>
      <c r="M90" s="2059"/>
      <c r="N90" s="2059"/>
      <c r="O90" s="2059"/>
      <c r="P90" s="2059"/>
      <c r="Q90" s="2059"/>
      <c r="R90" s="2059"/>
      <c r="S90" s="2059"/>
      <c r="T90" s="2059"/>
      <c r="U90" s="2059"/>
      <c r="V90" s="2059"/>
      <c r="W90" s="2059"/>
      <c r="X90" s="2059"/>
      <c r="Y90" s="2059"/>
      <c r="Z90" s="2059"/>
      <c r="AA90" s="2059"/>
      <c r="AB90" s="2059"/>
      <c r="AC90" s="2059"/>
      <c r="AD90" s="2059"/>
      <c r="AE90" s="2059"/>
      <c r="AF90" s="2059"/>
      <c r="AG90" s="2059"/>
      <c r="AH90" s="2059"/>
      <c r="AI90" s="2059"/>
      <c r="AJ90" s="2059"/>
      <c r="AK90" s="2059"/>
      <c r="AL90" s="2059"/>
      <c r="AM90" s="2059"/>
      <c r="AN90" s="2059"/>
      <c r="AO90" s="2059"/>
      <c r="AP90" s="2059"/>
      <c r="AQ90" s="2059"/>
      <c r="AR90" s="2059"/>
      <c r="AS90" s="2059"/>
      <c r="AT90" s="2059"/>
      <c r="AU90" s="2059"/>
      <c r="AV90" s="2059"/>
      <c r="AW90" s="2059"/>
      <c r="AX90" s="2059"/>
      <c r="AY90" s="2059"/>
      <c r="AZ90" s="2059"/>
      <c r="BA90" s="2059"/>
      <c r="BB90" s="2059"/>
      <c r="BC90" s="2059"/>
      <c r="BD90" s="2059"/>
      <c r="BE90" s="2059"/>
      <c r="BF90" s="2059"/>
      <c r="BG90" s="2059"/>
      <c r="BH90" s="2059"/>
      <c r="BI90" s="2059"/>
      <c r="BJ90" s="2059"/>
      <c r="BK90" s="2059"/>
      <c r="BL90" s="2059"/>
      <c r="BM90" s="2059"/>
      <c r="BN90" s="2059"/>
      <c r="BO90" s="2059"/>
      <c r="BP90" s="2059"/>
      <c r="BQ90" s="2059"/>
      <c r="BR90" s="2059"/>
      <c r="BS90" s="2059"/>
      <c r="BT90" s="2059"/>
      <c r="BU90" s="2059"/>
      <c r="BV90" s="2059"/>
      <c r="BW90" s="2059"/>
      <c r="BX90" s="2059"/>
      <c r="BY90" s="2059"/>
      <c r="BZ90" s="2059"/>
      <c r="CA90" s="2059"/>
      <c r="CB90" s="2059"/>
      <c r="CC90" s="2059"/>
      <c r="CD90" s="2059"/>
      <c r="CE90" s="2059"/>
      <c r="CF90" s="2059"/>
      <c r="CG90" s="2059"/>
      <c r="CH90" s="2059"/>
      <c r="CI90" s="2059"/>
      <c r="CJ90" s="2059"/>
      <c r="CK90" s="2059"/>
      <c r="CL90" s="2059"/>
      <c r="CM90" s="2059"/>
      <c r="CN90" s="2059"/>
      <c r="CO90" s="2059"/>
      <c r="CP90" s="1576"/>
      <c r="CQ90" s="1576"/>
      <c r="CR90" s="1576"/>
      <c r="CS90" s="1576"/>
      <c r="CT90" s="1576"/>
      <c r="CU90" s="1576"/>
      <c r="CV90" s="1576"/>
      <c r="CW90" s="1576"/>
      <c r="CX90" s="1576"/>
      <c r="CY90" s="1576"/>
      <c r="CZ90" s="1576"/>
      <c r="DA90" s="1576"/>
      <c r="DB90" s="1576"/>
      <c r="DC90" s="1576"/>
      <c r="DD90" s="1576"/>
      <c r="DE90" s="1576"/>
      <c r="DF90" s="1576"/>
      <c r="DG90" s="1576"/>
      <c r="DH90" s="1576"/>
      <c r="DI90" s="1576"/>
      <c r="DJ90" s="1576"/>
      <c r="DK90" s="1576"/>
      <c r="DL90" s="1576"/>
      <c r="DM90" s="1576"/>
      <c r="DN90" s="1576"/>
      <c r="DO90" s="1576"/>
      <c r="DP90" s="1576"/>
      <c r="DQ90" s="1576"/>
      <c r="DR90" s="1576"/>
      <c r="DS90" s="1576"/>
      <c r="DT90" s="1576"/>
      <c r="DU90" s="1576"/>
      <c r="DV90" s="1576"/>
      <c r="DW90" s="1576"/>
      <c r="DX90" s="1576"/>
      <c r="DY90" s="1576"/>
      <c r="DZ90" s="1576"/>
      <c r="EA90" s="1576"/>
      <c r="EB90" s="1576"/>
      <c r="EC90" s="1576"/>
      <c r="ED90" s="1576"/>
      <c r="EE90" s="1576"/>
      <c r="EF90" s="1576"/>
      <c r="EG90" s="1576"/>
      <c r="EH90" s="1576"/>
      <c r="EI90" s="1576"/>
      <c r="EJ90" s="1576"/>
      <c r="EK90" s="1576"/>
      <c r="EL90" s="1576"/>
      <c r="EM90" s="1576"/>
      <c r="EN90" s="1576"/>
      <c r="EO90" s="1576"/>
      <c r="EP90" s="1576"/>
      <c r="EQ90" s="1576"/>
      <c r="ER90" s="1576"/>
      <c r="ES90" s="1576"/>
      <c r="ET90" s="1576"/>
      <c r="EU90" s="1576"/>
      <c r="EV90" s="1576"/>
      <c r="EW90" s="1576"/>
      <c r="EX90" s="1576"/>
      <c r="EY90" s="1576"/>
      <c r="EZ90" s="1576"/>
      <c r="FA90" s="1576"/>
      <c r="FB90" s="1576"/>
      <c r="FC90" s="1576"/>
      <c r="FD90" s="1576"/>
      <c r="FE90" s="1576"/>
      <c r="FF90" s="1576"/>
      <c r="FG90" s="1576"/>
      <c r="FH90" s="1576"/>
      <c r="FI90" s="1576"/>
      <c r="FJ90" s="1576"/>
      <c r="FK90" s="1576"/>
      <c r="FL90" s="1576"/>
      <c r="FM90" s="1576"/>
      <c r="FN90" s="1576"/>
      <c r="FO90" s="1576"/>
      <c r="FP90" s="1576"/>
      <c r="FQ90" s="1576"/>
      <c r="FR90" s="1576"/>
      <c r="FS90" s="1576"/>
      <c r="FT90" s="1576"/>
      <c r="FU90" s="1576"/>
      <c r="FV90" s="1576"/>
      <c r="FW90" s="1576"/>
      <c r="FX90" s="1576"/>
      <c r="FY90" s="1576"/>
      <c r="FZ90" s="1576"/>
      <c r="GA90" s="1576"/>
      <c r="GB90" s="1576"/>
      <c r="GC90" s="1576"/>
      <c r="GD90" s="1576"/>
      <c r="GE90" s="1576"/>
      <c r="GF90" s="1576"/>
      <c r="GG90" s="1576"/>
      <c r="GH90" s="1576"/>
      <c r="GI90" s="1576"/>
      <c r="GJ90" s="1576"/>
      <c r="GK90" s="1576"/>
      <c r="GL90" s="1576"/>
      <c r="GM90" s="1576"/>
      <c r="GN90" s="1576"/>
      <c r="GO90" s="1576"/>
      <c r="GP90" s="1576"/>
      <c r="GQ90" s="1576"/>
      <c r="GR90" s="1576"/>
      <c r="GS90" s="1576"/>
      <c r="GT90" s="1576"/>
      <c r="GU90" s="1576"/>
      <c r="GV90" s="1576"/>
      <c r="GW90" s="1576"/>
      <c r="GX90" s="1576"/>
      <c r="GY90" s="1576"/>
      <c r="GZ90" s="1576"/>
      <c r="HA90" s="1576"/>
      <c r="HB90" s="1576"/>
      <c r="HC90" s="1576"/>
      <c r="HD90" s="1576"/>
      <c r="HE90" s="1576"/>
      <c r="HF90" s="1576"/>
      <c r="HG90" s="1576"/>
      <c r="HH90" s="1576"/>
      <c r="HI90" s="1576"/>
      <c r="HJ90" s="1576"/>
      <c r="HK90" s="1576"/>
      <c r="HL90" s="1576"/>
      <c r="HM90" s="1576"/>
      <c r="HN90" s="1576"/>
      <c r="HO90" s="1576"/>
      <c r="HP90" s="1576"/>
      <c r="HQ90" s="1576"/>
      <c r="HR90" s="1576"/>
      <c r="HS90" s="1576"/>
      <c r="HT90" s="1576"/>
      <c r="HU90" s="1576"/>
      <c r="HV90" s="1576"/>
      <c r="HW90" s="1576"/>
      <c r="HX90" s="1576"/>
      <c r="HY90" s="1576"/>
      <c r="HZ90" s="1576"/>
      <c r="IA90" s="1576"/>
      <c r="IB90" s="1576"/>
      <c r="IC90" s="1576"/>
      <c r="ID90" s="1576"/>
      <c r="IE90" s="1576"/>
      <c r="IF90" s="1576"/>
      <c r="IG90" s="1576"/>
      <c r="IH90" s="1576"/>
      <c r="II90" s="1576"/>
      <c r="IJ90" s="1576"/>
      <c r="IK90" s="1576"/>
      <c r="IL90" s="1576"/>
      <c r="IM90" s="1576"/>
      <c r="IN90" s="1576"/>
      <c r="IO90" s="1576"/>
      <c r="IP90" s="1576"/>
      <c r="IQ90" s="1576"/>
      <c r="IR90" s="1576"/>
      <c r="IS90" s="1576"/>
      <c r="IT90" s="1576"/>
      <c r="IU90" s="1576"/>
      <c r="IV90" s="1576"/>
      <c r="IW90" s="1576"/>
      <c r="IX90" s="1576"/>
      <c r="IY90" s="1576"/>
      <c r="IZ90" s="1576"/>
      <c r="JA90" s="2054"/>
      <c r="JB90" s="2054"/>
      <c r="JC90" s="2054"/>
      <c r="JD90" s="2054"/>
      <c r="JE90" s="2054"/>
      <c r="JF90" s="2054"/>
      <c r="JG90" s="2054"/>
      <c r="JH90" s="2054"/>
      <c r="JI90" s="2054"/>
      <c r="JJ90" s="2054"/>
      <c r="JK90" s="2054"/>
      <c r="JL90" s="2054"/>
      <c r="JM90" s="2054"/>
      <c r="JN90" s="2054"/>
      <c r="JO90" s="2054"/>
      <c r="JP90" s="2054"/>
      <c r="JQ90" s="2054"/>
      <c r="JR90" s="1576"/>
      <c r="JS90" s="1576"/>
      <c r="JT90" s="1576"/>
      <c r="JU90" s="1576"/>
      <c r="JV90" s="1576"/>
      <c r="JW90" s="1576"/>
      <c r="JX90" s="1576"/>
      <c r="JY90" s="1576"/>
      <c r="JZ90" s="1576"/>
      <c r="KA90" s="1576"/>
      <c r="KB90" s="1576"/>
      <c r="KC90" s="1576"/>
      <c r="KD90" s="1576"/>
      <c r="KE90" s="1576"/>
      <c r="KF90" s="1576"/>
      <c r="KG90" s="1576"/>
      <c r="KH90" s="1576"/>
      <c r="KI90" s="1576"/>
      <c r="KJ90" s="1576"/>
      <c r="KK90" s="1576"/>
      <c r="KL90" s="1576"/>
      <c r="KM90" s="1576"/>
      <c r="KN90" s="1576"/>
      <c r="KO90" s="1576"/>
      <c r="KP90" s="1576"/>
      <c r="KQ90" s="1576"/>
      <c r="KR90" s="1576"/>
      <c r="KS90" s="1576"/>
      <c r="KT90" s="1576"/>
      <c r="KU90" s="1576"/>
      <c r="KV90" s="1576"/>
      <c r="KW90" s="1576"/>
      <c r="KX90" s="1576"/>
      <c r="KY90" s="1576"/>
      <c r="KZ90" s="1576"/>
      <c r="LA90" s="1576"/>
      <c r="LB90" s="1576"/>
      <c r="LC90" s="1576"/>
      <c r="LD90" s="1576"/>
      <c r="LE90" s="1576"/>
      <c r="LF90" s="1576"/>
      <c r="LG90" s="1576"/>
      <c r="LH90" s="1576"/>
      <c r="LI90" s="1576"/>
      <c r="LJ90" s="1576"/>
      <c r="LK90" s="1576"/>
      <c r="LL90" s="1576"/>
      <c r="LM90" s="1576"/>
      <c r="LN90" s="1576"/>
      <c r="LO90" s="1576"/>
      <c r="LP90" s="1576"/>
      <c r="LQ90" s="1576"/>
      <c r="LR90" s="1576"/>
      <c r="LS90" s="1576"/>
      <c r="LT90" s="1576"/>
      <c r="LU90" s="1576"/>
      <c r="LV90" s="1576"/>
      <c r="LW90" s="1576"/>
      <c r="LX90" s="1576"/>
      <c r="LY90" s="1576"/>
      <c r="LZ90" s="1576"/>
      <c r="MA90" s="1576"/>
      <c r="MB90" s="1576"/>
      <c r="MC90" s="1576"/>
      <c r="MD90" s="1576"/>
      <c r="ME90" s="1576"/>
      <c r="MF90" s="1576"/>
      <c r="MG90" s="1576"/>
      <c r="MH90" s="1576"/>
      <c r="MI90" s="1576"/>
      <c r="MJ90" s="1576"/>
      <c r="MK90" s="1576"/>
      <c r="ML90" s="1576"/>
      <c r="MM90" s="1576"/>
      <c r="MN90" s="1576"/>
      <c r="MO90" s="1576"/>
      <c r="MP90" s="1576"/>
      <c r="MQ90" s="1576"/>
      <c r="MR90" s="1576"/>
      <c r="MS90" s="1576"/>
      <c r="MT90" s="1576"/>
      <c r="MU90" s="1576"/>
      <c r="MV90" s="1576"/>
      <c r="MW90" s="1576"/>
      <c r="MX90" s="1576"/>
      <c r="MY90" s="1576"/>
      <c r="MZ90" s="1576"/>
      <c r="NA90" s="1576"/>
      <c r="NB90" s="1576"/>
      <c r="NC90" s="1576"/>
      <c r="ND90" s="1576"/>
      <c r="NE90" s="1576"/>
      <c r="NF90" s="1576"/>
      <c r="NG90" s="1576"/>
      <c r="NH90" s="1576"/>
      <c r="NI90" s="1576"/>
      <c r="NJ90" s="1576"/>
      <c r="NK90" s="1576"/>
      <c r="NL90" s="1576"/>
      <c r="NM90" s="1576"/>
      <c r="NN90" s="1576"/>
      <c r="NO90" s="1576"/>
      <c r="NP90" s="1576"/>
      <c r="NQ90" s="1576"/>
      <c r="NR90" s="1576"/>
      <c r="NS90" s="1576"/>
      <c r="NT90" s="1576"/>
      <c r="NU90" s="1576"/>
      <c r="NV90" s="1576"/>
      <c r="NW90" s="1576"/>
      <c r="NX90" s="1576"/>
      <c r="NY90" s="1576"/>
      <c r="NZ90" s="1576"/>
      <c r="OA90" s="1576"/>
      <c r="OB90" s="1576"/>
      <c r="OC90" s="1576"/>
      <c r="OD90" s="1576"/>
      <c r="OE90" s="1576"/>
      <c r="OF90" s="1576"/>
      <c r="OG90" s="1576"/>
      <c r="OH90" s="1576"/>
      <c r="OI90" s="1576"/>
      <c r="OJ90" s="1576"/>
      <c r="OK90" s="1576"/>
      <c r="OL90" s="1576"/>
      <c r="OM90" s="1576"/>
      <c r="ON90" s="1576"/>
      <c r="OO90" s="1576"/>
      <c r="OP90" s="1576"/>
      <c r="OQ90" s="1576"/>
      <c r="OR90" s="1576"/>
      <c r="OS90" s="1576"/>
      <c r="OT90" s="1576"/>
      <c r="OU90" s="1576"/>
      <c r="OV90" s="1576"/>
      <c r="OW90" s="1576"/>
      <c r="OX90" s="1576"/>
      <c r="OY90" s="1576"/>
      <c r="OZ90" s="1576"/>
      <c r="PA90" s="1576"/>
      <c r="PB90" s="1576"/>
      <c r="PC90" s="1576"/>
      <c r="PD90" s="1576"/>
      <c r="PE90" s="1576"/>
      <c r="PF90" s="1576"/>
      <c r="PG90" s="1576"/>
      <c r="PH90" s="1576"/>
      <c r="PI90" s="1576"/>
      <c r="PJ90" s="1576"/>
      <c r="PK90" s="1576"/>
      <c r="PL90" s="1576"/>
      <c r="PM90" s="1576"/>
      <c r="PN90" s="1576"/>
      <c r="PO90" s="1576"/>
      <c r="PP90" s="1576"/>
      <c r="PQ90" s="1576"/>
      <c r="PR90" s="1576"/>
      <c r="PS90" s="1576"/>
      <c r="PT90" s="1576"/>
      <c r="PU90" s="1576"/>
      <c r="PV90" s="1576"/>
      <c r="PW90" s="1576"/>
      <c r="PX90" s="1576"/>
      <c r="PY90" s="1576"/>
      <c r="PZ90" s="1576"/>
      <c r="QA90" s="1576"/>
      <c r="QB90" s="1576"/>
      <c r="QC90" s="1576"/>
      <c r="QD90" s="1576"/>
      <c r="QE90" s="1576"/>
      <c r="QF90" s="1576"/>
      <c r="QG90" s="1576"/>
      <c r="QH90" s="1576"/>
      <c r="QI90" s="1576"/>
      <c r="QJ90" s="1576"/>
      <c r="QK90" s="1576"/>
      <c r="QL90" s="1576"/>
      <c r="QM90" s="1576"/>
      <c r="QN90" s="1576"/>
      <c r="QO90" s="1576"/>
      <c r="QP90" s="1576"/>
      <c r="QQ90" s="1576"/>
      <c r="QR90" s="1576"/>
      <c r="QS90" s="1576"/>
      <c r="QT90" s="1576"/>
      <c r="QU90" s="1576"/>
      <c r="QV90" s="1576"/>
      <c r="QW90" s="1576"/>
      <c r="QX90" s="1576"/>
      <c r="QY90" s="1576"/>
      <c r="QZ90" s="1576"/>
      <c r="RA90" s="1576"/>
      <c r="RB90" s="1576"/>
      <c r="RC90" s="1576"/>
      <c r="RD90" s="1576"/>
      <c r="RE90" s="1576"/>
      <c r="RF90" s="1576"/>
      <c r="RG90" s="1576"/>
      <c r="RH90" s="1576"/>
      <c r="RI90" s="1576"/>
      <c r="RJ90" s="1576"/>
      <c r="RK90" s="1576"/>
      <c r="RL90" s="1576"/>
      <c r="RM90" s="1576"/>
      <c r="RN90" s="1576"/>
      <c r="RO90" s="1576"/>
      <c r="RP90" s="1576"/>
      <c r="RQ90" s="1576"/>
      <c r="RR90" s="1576"/>
      <c r="RS90" s="1576"/>
      <c r="RT90" s="1576"/>
      <c r="RU90" s="1576"/>
      <c r="RV90" s="1576"/>
      <c r="RW90" s="1576"/>
      <c r="RX90" s="1576"/>
      <c r="RY90" s="1576"/>
      <c r="RZ90" s="1576"/>
      <c r="SA90" s="1576"/>
      <c r="SB90" s="1576"/>
      <c r="SC90" s="1576"/>
      <c r="SD90" s="1576"/>
      <c r="SE90" s="1576"/>
      <c r="SF90" s="1576"/>
      <c r="SG90" s="1576"/>
      <c r="SH90" s="1576"/>
      <c r="SI90" s="1576"/>
      <c r="SJ90" s="1576"/>
      <c r="SK90" s="1576"/>
      <c r="SL90" s="1576"/>
      <c r="SM90" s="1576"/>
      <c r="SN90" s="1576"/>
      <c r="SO90" s="1576"/>
      <c r="SP90" s="1576"/>
      <c r="SQ90" s="1576"/>
      <c r="SR90" s="1576"/>
      <c r="SS90" s="1576"/>
      <c r="ST90" s="1576"/>
      <c r="SU90" s="1576"/>
      <c r="SV90" s="1576"/>
      <c r="SW90" s="1576"/>
      <c r="SX90" s="1576"/>
      <c r="SY90" s="1576"/>
      <c r="SZ90" s="1576"/>
      <c r="TA90" s="1576"/>
      <c r="TB90" s="1576"/>
      <c r="TC90" s="1576"/>
      <c r="TD90" s="1576"/>
      <c r="TE90" s="1576"/>
      <c r="TF90" s="1576"/>
      <c r="TG90" s="1576"/>
      <c r="TH90" s="1576"/>
      <c r="TI90" s="1576"/>
      <c r="TJ90" s="1576"/>
      <c r="TK90" s="1576"/>
      <c r="TL90" s="1576"/>
      <c r="TM90" s="1576"/>
      <c r="TN90" s="1576"/>
      <c r="TO90" s="1576"/>
      <c r="TP90" s="1576"/>
      <c r="TQ90" s="1576"/>
      <c r="TR90" s="1576"/>
      <c r="TS90" s="1576"/>
      <c r="TT90" s="1576"/>
      <c r="TU90" s="1576"/>
      <c r="TV90" s="1576"/>
      <c r="TW90" s="1576"/>
      <c r="TX90" s="1576"/>
      <c r="TY90" s="1576"/>
      <c r="TZ90" s="1576"/>
      <c r="UA90" s="1576"/>
      <c r="UB90" s="1576"/>
      <c r="UC90" s="1576"/>
      <c r="UD90" s="1576"/>
      <c r="UE90" s="1576"/>
      <c r="UF90" s="1576"/>
      <c r="UG90" s="1576"/>
      <c r="UH90" s="1576"/>
      <c r="UI90" s="1576"/>
      <c r="UJ90" s="1576"/>
      <c r="UK90" s="1576"/>
      <c r="UL90" s="1576"/>
      <c r="UM90" s="1576"/>
      <c r="UN90" s="1576"/>
      <c r="UO90" s="1576"/>
      <c r="UP90" s="1576"/>
      <c r="UQ90" s="1576"/>
      <c r="UR90" s="1576"/>
      <c r="US90" s="1576"/>
      <c r="UT90" s="1576"/>
      <c r="UU90" s="1576"/>
      <c r="UV90" s="1576"/>
      <c r="UW90" s="1576"/>
      <c r="UX90" s="1576"/>
      <c r="UY90" s="1576"/>
      <c r="UZ90" s="1576"/>
      <c r="VA90" s="1576"/>
      <c r="VB90" s="1576"/>
      <c r="VC90" s="1576"/>
      <c r="VD90" s="1576"/>
      <c r="VE90" s="1576"/>
      <c r="VF90" s="1576"/>
      <c r="VG90" s="1576"/>
      <c r="VH90" s="1576"/>
      <c r="VI90" s="1576"/>
      <c r="VJ90" s="1576"/>
      <c r="VK90" s="1576"/>
    </row>
    <row r="91" spans="2:583" ht="33.75" customHeight="1" x14ac:dyDescent="0.25">
      <c r="B91" s="4710"/>
      <c r="C91" s="1610" t="s">
        <v>2776</v>
      </c>
      <c r="D91" s="4710" t="s">
        <v>2791</v>
      </c>
      <c r="E91" s="4710" t="s">
        <v>2778</v>
      </c>
      <c r="F91" s="2057"/>
      <c r="G91" s="2057"/>
      <c r="H91" s="2057"/>
      <c r="I91" s="2059"/>
      <c r="J91" s="2059"/>
      <c r="K91" s="2059"/>
      <c r="L91" s="2059"/>
      <c r="M91" s="2059"/>
      <c r="N91" s="2059"/>
      <c r="O91" s="2059"/>
      <c r="P91" s="2059"/>
      <c r="Q91" s="2059"/>
      <c r="R91" s="2059"/>
      <c r="S91" s="2059"/>
      <c r="T91" s="2059"/>
      <c r="U91" s="2059"/>
      <c r="V91" s="2059"/>
      <c r="W91" s="2059"/>
      <c r="X91" s="2059"/>
      <c r="Y91" s="2059"/>
      <c r="Z91" s="2059"/>
      <c r="AA91" s="2059"/>
      <c r="AB91" s="2059"/>
      <c r="AC91" s="2059"/>
      <c r="AD91" s="2059"/>
      <c r="AE91" s="2059"/>
      <c r="AF91" s="2059"/>
      <c r="AG91" s="2059"/>
      <c r="AH91" s="2059"/>
      <c r="AI91" s="2059"/>
      <c r="AJ91" s="2059"/>
      <c r="AK91" s="2059"/>
      <c r="AL91" s="2059"/>
      <c r="AM91" s="2059"/>
      <c r="AN91" s="2059"/>
      <c r="AO91" s="2059"/>
      <c r="AP91" s="2059"/>
      <c r="AQ91" s="2059"/>
      <c r="AR91" s="2059"/>
      <c r="AS91" s="2059"/>
      <c r="AT91" s="2059"/>
      <c r="AU91" s="2059"/>
      <c r="AV91" s="2059"/>
      <c r="AW91" s="2059"/>
      <c r="AX91" s="2059"/>
      <c r="AY91" s="2059"/>
      <c r="AZ91" s="2059"/>
      <c r="BA91" s="2059"/>
      <c r="BB91" s="2059"/>
      <c r="BC91" s="2059"/>
      <c r="BD91" s="2059"/>
      <c r="BE91" s="2059"/>
      <c r="BF91" s="2059"/>
      <c r="BG91" s="2059"/>
      <c r="BH91" s="2059"/>
      <c r="BI91" s="2059"/>
      <c r="BJ91" s="2059"/>
      <c r="BK91" s="2059"/>
      <c r="BL91" s="2059"/>
      <c r="BM91" s="2059"/>
      <c r="BN91" s="2059"/>
      <c r="BO91" s="2059"/>
      <c r="BP91" s="2059"/>
      <c r="BQ91" s="2059"/>
      <c r="BR91" s="2059"/>
      <c r="BS91" s="2059"/>
      <c r="BT91" s="2059"/>
      <c r="BU91" s="2059"/>
      <c r="BV91" s="2059"/>
      <c r="BW91" s="2059"/>
      <c r="BX91" s="2059"/>
      <c r="BY91" s="2059"/>
      <c r="BZ91" s="2059"/>
      <c r="CA91" s="2059"/>
      <c r="CB91" s="2059"/>
      <c r="CC91" s="2059"/>
      <c r="CD91" s="2059"/>
      <c r="CE91" s="2059"/>
      <c r="CF91" s="2059"/>
      <c r="CG91" s="2059"/>
      <c r="CH91" s="2059"/>
      <c r="CI91" s="2059"/>
      <c r="CJ91" s="2059"/>
      <c r="CK91" s="2059"/>
      <c r="CL91" s="2059"/>
      <c r="CM91" s="2059"/>
      <c r="CN91" s="2059"/>
      <c r="CO91" s="2059"/>
      <c r="CP91" s="1576"/>
      <c r="CQ91" s="1576"/>
      <c r="CR91" s="1576"/>
      <c r="CS91" s="1576"/>
      <c r="CT91" s="1576"/>
      <c r="CU91" s="1576"/>
      <c r="CV91" s="1576"/>
      <c r="CW91" s="1576"/>
      <c r="CX91" s="1576"/>
      <c r="CY91" s="1576"/>
      <c r="CZ91" s="1576"/>
      <c r="DA91" s="1576"/>
      <c r="DB91" s="1576"/>
      <c r="DC91" s="1576"/>
      <c r="DD91" s="1576"/>
      <c r="DE91" s="1576"/>
      <c r="DF91" s="1576"/>
      <c r="DG91" s="1576"/>
      <c r="DH91" s="1576"/>
      <c r="DI91" s="1576"/>
      <c r="DJ91" s="1576"/>
      <c r="DK91" s="1576"/>
      <c r="DL91" s="1576"/>
      <c r="DM91" s="1576"/>
      <c r="DN91" s="1576"/>
      <c r="DO91" s="1576"/>
      <c r="DP91" s="1576"/>
      <c r="DQ91" s="1576"/>
      <c r="DR91" s="1576"/>
      <c r="DS91" s="1576"/>
      <c r="DT91" s="1576"/>
      <c r="DU91" s="1576"/>
      <c r="DV91" s="1576"/>
      <c r="DW91" s="1576"/>
      <c r="DX91" s="1576"/>
      <c r="DY91" s="1576"/>
      <c r="DZ91" s="1576"/>
      <c r="EA91" s="1576"/>
      <c r="EB91" s="1576"/>
      <c r="EC91" s="1576"/>
      <c r="ED91" s="1576"/>
      <c r="EE91" s="1576"/>
      <c r="EF91" s="1576"/>
      <c r="EG91" s="1576"/>
      <c r="EH91" s="1576"/>
      <c r="EI91" s="1576"/>
      <c r="EJ91" s="1576"/>
      <c r="EK91" s="1576"/>
      <c r="EL91" s="1576"/>
      <c r="EM91" s="1576"/>
      <c r="EN91" s="1576"/>
      <c r="EO91" s="1576"/>
      <c r="EP91" s="1576"/>
      <c r="EQ91" s="1576"/>
      <c r="ER91" s="1576"/>
      <c r="ES91" s="1576"/>
      <c r="ET91" s="1576"/>
      <c r="EU91" s="1576"/>
      <c r="EV91" s="1576"/>
      <c r="EW91" s="1576"/>
      <c r="EX91" s="1576"/>
      <c r="EY91" s="1576"/>
      <c r="EZ91" s="1576"/>
      <c r="FA91" s="1576"/>
      <c r="FB91" s="1576"/>
      <c r="FC91" s="1576"/>
      <c r="FD91" s="1576"/>
      <c r="FE91" s="1576"/>
      <c r="FF91" s="1576"/>
      <c r="FG91" s="1576"/>
      <c r="FH91" s="1576"/>
      <c r="FI91" s="1576"/>
      <c r="FJ91" s="1576"/>
      <c r="FK91" s="1576"/>
      <c r="FL91" s="1576"/>
      <c r="FM91" s="1576"/>
      <c r="FN91" s="1576"/>
      <c r="FO91" s="1576"/>
      <c r="FP91" s="1576"/>
      <c r="FQ91" s="1576"/>
      <c r="FR91" s="1576"/>
      <c r="FS91" s="1576"/>
      <c r="FT91" s="1576"/>
      <c r="FU91" s="1576"/>
      <c r="FV91" s="1576"/>
      <c r="FW91" s="1576"/>
      <c r="FX91" s="1576"/>
      <c r="FY91" s="1576"/>
      <c r="FZ91" s="1576"/>
      <c r="GA91" s="1576"/>
      <c r="GB91" s="1576"/>
      <c r="GC91" s="1576"/>
      <c r="GD91" s="1576"/>
      <c r="GE91" s="1576"/>
      <c r="GF91" s="1576"/>
      <c r="GG91" s="1576"/>
      <c r="GH91" s="1576"/>
      <c r="GI91" s="1576"/>
      <c r="GJ91" s="1576"/>
      <c r="GK91" s="1576"/>
      <c r="GL91" s="1576"/>
      <c r="GM91" s="1576"/>
      <c r="GN91" s="1576"/>
      <c r="GO91" s="1576"/>
      <c r="GP91" s="1576"/>
      <c r="GQ91" s="1576"/>
      <c r="GR91" s="1576"/>
      <c r="GS91" s="1576"/>
      <c r="GT91" s="1576"/>
      <c r="GU91" s="1576"/>
      <c r="GV91" s="1576"/>
      <c r="GW91" s="1576"/>
      <c r="GX91" s="1576"/>
      <c r="GY91" s="1576"/>
      <c r="GZ91" s="1576"/>
      <c r="HA91" s="1576"/>
      <c r="HB91" s="1576"/>
      <c r="HC91" s="1576"/>
      <c r="HD91" s="1576"/>
      <c r="HE91" s="1576"/>
      <c r="HF91" s="1576"/>
      <c r="HG91" s="1576"/>
      <c r="HH91" s="1576"/>
      <c r="HI91" s="1576"/>
      <c r="HJ91" s="1576"/>
      <c r="HK91" s="1576"/>
      <c r="HL91" s="1576"/>
      <c r="HM91" s="1576"/>
      <c r="HN91" s="1576"/>
      <c r="HO91" s="1576"/>
      <c r="HP91" s="1576"/>
      <c r="HQ91" s="1576"/>
      <c r="HR91" s="1576"/>
      <c r="HS91" s="1576"/>
      <c r="HT91" s="1576"/>
      <c r="HU91" s="1576"/>
      <c r="HV91" s="1576"/>
      <c r="HW91" s="1576"/>
      <c r="HX91" s="1576"/>
      <c r="HY91" s="1576"/>
      <c r="HZ91" s="1576"/>
      <c r="IA91" s="1576"/>
      <c r="IB91" s="1576"/>
      <c r="IC91" s="1576"/>
      <c r="ID91" s="1576"/>
      <c r="IE91" s="1576"/>
      <c r="IF91" s="1576"/>
      <c r="IG91" s="1576"/>
      <c r="IH91" s="1576"/>
      <c r="II91" s="1576"/>
      <c r="IJ91" s="1576"/>
      <c r="IK91" s="1576"/>
      <c r="IL91" s="1576"/>
      <c r="IM91" s="1576"/>
      <c r="IN91" s="1576"/>
      <c r="IO91" s="1576"/>
      <c r="IP91" s="1576"/>
      <c r="IQ91" s="1576"/>
      <c r="IR91" s="1576"/>
      <c r="IS91" s="1576"/>
      <c r="IT91" s="1576"/>
      <c r="IU91" s="1576"/>
      <c r="IV91" s="1576"/>
      <c r="IW91" s="1576"/>
      <c r="IX91" s="1576"/>
      <c r="IY91" s="1576"/>
      <c r="IZ91" s="1576"/>
      <c r="JA91" s="2054"/>
      <c r="JB91" s="2054"/>
      <c r="JC91" s="2054"/>
      <c r="JD91" s="2054"/>
      <c r="JE91" s="2054"/>
      <c r="JF91" s="2054"/>
      <c r="JG91" s="2054"/>
      <c r="JH91" s="2054"/>
      <c r="JI91" s="2054"/>
      <c r="JJ91" s="2054"/>
      <c r="JK91" s="2054"/>
      <c r="JL91" s="2054"/>
      <c r="JM91" s="2054"/>
      <c r="JN91" s="2054"/>
      <c r="JO91" s="2054"/>
      <c r="JP91" s="2054"/>
      <c r="JQ91" s="2054"/>
      <c r="JR91" s="1576"/>
      <c r="JS91" s="1576"/>
      <c r="JT91" s="1576"/>
      <c r="JU91" s="1576"/>
      <c r="JV91" s="1576"/>
      <c r="JW91" s="1576"/>
      <c r="JX91" s="1576"/>
      <c r="JY91" s="1576"/>
      <c r="JZ91" s="1576"/>
      <c r="KA91" s="1576"/>
      <c r="KB91" s="1576"/>
      <c r="KC91" s="1576"/>
      <c r="KD91" s="1576"/>
      <c r="KE91" s="1576"/>
      <c r="KF91" s="1576"/>
      <c r="KG91" s="1576"/>
      <c r="KH91" s="1576"/>
      <c r="KI91" s="1576"/>
      <c r="KJ91" s="1576"/>
      <c r="KK91" s="1576"/>
      <c r="KL91" s="1576"/>
      <c r="KM91" s="1576"/>
      <c r="KN91" s="1576"/>
      <c r="KO91" s="1576"/>
      <c r="KP91" s="1576"/>
      <c r="KQ91" s="1576"/>
      <c r="KR91" s="1576"/>
      <c r="KS91" s="1576"/>
      <c r="KT91" s="1576"/>
      <c r="KU91" s="1576"/>
      <c r="KV91" s="1576"/>
      <c r="KW91" s="1576"/>
      <c r="KX91" s="1576"/>
      <c r="KY91" s="1576"/>
      <c r="KZ91" s="1576"/>
      <c r="LA91" s="1576"/>
      <c r="LB91" s="1576"/>
      <c r="LC91" s="1576"/>
      <c r="LD91" s="1576"/>
      <c r="LE91" s="1576"/>
      <c r="LF91" s="1576"/>
      <c r="LG91" s="1576"/>
      <c r="LH91" s="1576"/>
      <c r="LI91" s="1576"/>
      <c r="LJ91" s="1576"/>
      <c r="LK91" s="1576"/>
      <c r="LL91" s="1576"/>
      <c r="LM91" s="1576"/>
      <c r="LN91" s="1576"/>
      <c r="LO91" s="1576"/>
      <c r="LP91" s="1576"/>
      <c r="LQ91" s="1576"/>
      <c r="LR91" s="1576"/>
      <c r="LS91" s="1576"/>
      <c r="LT91" s="1576"/>
      <c r="LU91" s="1576"/>
      <c r="LV91" s="1576"/>
      <c r="LW91" s="1576"/>
      <c r="LX91" s="1576"/>
      <c r="LY91" s="1576"/>
      <c r="LZ91" s="1576"/>
      <c r="MA91" s="1576"/>
      <c r="MB91" s="1576"/>
      <c r="MC91" s="1576"/>
      <c r="MD91" s="1576"/>
      <c r="ME91" s="1576"/>
      <c r="MF91" s="1576"/>
      <c r="MG91" s="1576"/>
      <c r="MH91" s="1576"/>
      <c r="MI91" s="1576"/>
      <c r="MJ91" s="1576"/>
      <c r="MK91" s="1576"/>
      <c r="ML91" s="1576"/>
      <c r="MM91" s="1576"/>
      <c r="MN91" s="1576"/>
      <c r="MO91" s="1576"/>
      <c r="MP91" s="1576"/>
      <c r="MQ91" s="1576"/>
      <c r="MR91" s="1576"/>
      <c r="MS91" s="1576"/>
      <c r="MT91" s="1576"/>
      <c r="MU91" s="1576"/>
      <c r="MV91" s="1576"/>
      <c r="MW91" s="1576"/>
      <c r="MX91" s="1576"/>
      <c r="MY91" s="1576"/>
      <c r="MZ91" s="1576"/>
      <c r="NA91" s="1576"/>
      <c r="NB91" s="1576"/>
      <c r="NC91" s="1576"/>
      <c r="ND91" s="1576"/>
      <c r="NE91" s="1576"/>
      <c r="NF91" s="1576"/>
      <c r="NG91" s="1576"/>
      <c r="NH91" s="1576"/>
      <c r="NI91" s="1576"/>
      <c r="NJ91" s="1576"/>
      <c r="NK91" s="1576"/>
      <c r="NL91" s="1576"/>
      <c r="NM91" s="1576"/>
      <c r="NN91" s="1576"/>
      <c r="NO91" s="1576"/>
      <c r="NP91" s="1576"/>
      <c r="NQ91" s="1576"/>
      <c r="NR91" s="1576"/>
      <c r="NS91" s="1576"/>
      <c r="NT91" s="1576"/>
      <c r="NU91" s="1576"/>
      <c r="NV91" s="1576"/>
      <c r="NW91" s="1576"/>
      <c r="NX91" s="1576"/>
      <c r="NY91" s="1576"/>
      <c r="NZ91" s="1576"/>
      <c r="OA91" s="1576"/>
      <c r="OB91" s="1576"/>
      <c r="OC91" s="1576"/>
      <c r="OD91" s="1576"/>
      <c r="OE91" s="1576"/>
      <c r="OF91" s="1576"/>
      <c r="OG91" s="1576"/>
      <c r="OH91" s="1576"/>
      <c r="OI91" s="1576"/>
      <c r="OJ91" s="1576"/>
      <c r="OK91" s="1576"/>
      <c r="OL91" s="1576"/>
      <c r="OM91" s="1576"/>
      <c r="ON91" s="1576"/>
      <c r="OO91" s="1576"/>
      <c r="OP91" s="1576"/>
      <c r="OQ91" s="1576"/>
      <c r="OR91" s="1576"/>
      <c r="OS91" s="1576"/>
      <c r="OT91" s="1576"/>
      <c r="OU91" s="1576"/>
      <c r="OV91" s="1576"/>
      <c r="OW91" s="1576"/>
      <c r="OX91" s="1576"/>
      <c r="OY91" s="1576"/>
      <c r="OZ91" s="1576"/>
      <c r="PA91" s="1576"/>
      <c r="PB91" s="1576"/>
      <c r="PC91" s="1576"/>
      <c r="PD91" s="1576"/>
      <c r="PE91" s="1576"/>
      <c r="PF91" s="1576"/>
      <c r="PG91" s="1576"/>
      <c r="PH91" s="1576"/>
      <c r="PI91" s="1576"/>
      <c r="PJ91" s="1576"/>
      <c r="PK91" s="1576"/>
      <c r="PL91" s="1576"/>
      <c r="PM91" s="1576"/>
      <c r="PN91" s="1576"/>
      <c r="PO91" s="1576"/>
      <c r="PP91" s="1576"/>
      <c r="PQ91" s="1576"/>
      <c r="PR91" s="1576"/>
      <c r="PS91" s="1576"/>
      <c r="PT91" s="1576"/>
      <c r="PU91" s="1576"/>
      <c r="PV91" s="1576"/>
      <c r="PW91" s="1576"/>
      <c r="PX91" s="1576"/>
      <c r="PY91" s="1576"/>
      <c r="PZ91" s="1576"/>
      <c r="QA91" s="1576"/>
      <c r="QB91" s="1576"/>
      <c r="QC91" s="1576"/>
      <c r="QD91" s="1576"/>
      <c r="QE91" s="1576"/>
      <c r="QF91" s="1576"/>
      <c r="QG91" s="1576"/>
      <c r="QH91" s="1576"/>
      <c r="QI91" s="1576"/>
      <c r="QJ91" s="1576"/>
      <c r="QK91" s="1576"/>
      <c r="QL91" s="1576"/>
      <c r="QM91" s="1576"/>
      <c r="QN91" s="1576"/>
      <c r="QO91" s="1576"/>
      <c r="QP91" s="1576"/>
      <c r="QQ91" s="1576"/>
      <c r="QR91" s="1576"/>
      <c r="QS91" s="1576"/>
      <c r="QT91" s="1576"/>
      <c r="QU91" s="1576"/>
      <c r="QV91" s="1576"/>
      <c r="QW91" s="1576"/>
      <c r="QX91" s="1576"/>
      <c r="QY91" s="1576"/>
      <c r="QZ91" s="1576"/>
      <c r="RA91" s="1576"/>
      <c r="RB91" s="1576"/>
      <c r="RC91" s="1576"/>
      <c r="RD91" s="1576"/>
      <c r="RE91" s="1576"/>
      <c r="RF91" s="1576"/>
      <c r="RG91" s="1576"/>
      <c r="RH91" s="1576"/>
      <c r="RI91" s="1576"/>
      <c r="RJ91" s="1576"/>
      <c r="RK91" s="1576"/>
      <c r="RL91" s="1576"/>
      <c r="RM91" s="1576"/>
      <c r="RN91" s="1576"/>
      <c r="RO91" s="1576"/>
      <c r="RP91" s="1576"/>
      <c r="RQ91" s="1576"/>
      <c r="RR91" s="1576"/>
      <c r="RS91" s="1576"/>
      <c r="RT91" s="1576"/>
      <c r="RU91" s="1576"/>
      <c r="RV91" s="1576"/>
      <c r="RW91" s="1576"/>
      <c r="RX91" s="1576"/>
      <c r="RY91" s="1576"/>
      <c r="RZ91" s="1576"/>
      <c r="SA91" s="1576"/>
      <c r="SB91" s="1576"/>
      <c r="SC91" s="1576"/>
      <c r="SD91" s="1576"/>
      <c r="SE91" s="1576"/>
      <c r="SF91" s="1576"/>
      <c r="SG91" s="1576"/>
      <c r="SH91" s="1576"/>
      <c r="SI91" s="1576"/>
      <c r="SJ91" s="1576"/>
      <c r="SK91" s="1576"/>
      <c r="SL91" s="1576"/>
      <c r="SM91" s="1576"/>
      <c r="SN91" s="1576"/>
      <c r="SO91" s="1576"/>
      <c r="SP91" s="1576"/>
      <c r="SQ91" s="1576"/>
      <c r="SR91" s="1576"/>
      <c r="SS91" s="1576"/>
      <c r="ST91" s="1576"/>
      <c r="SU91" s="1576"/>
      <c r="SV91" s="1576"/>
      <c r="SW91" s="1576"/>
      <c r="SX91" s="1576"/>
      <c r="SY91" s="1576"/>
      <c r="SZ91" s="1576"/>
      <c r="TA91" s="1576"/>
      <c r="TB91" s="1576"/>
      <c r="TC91" s="1576"/>
      <c r="TD91" s="1576"/>
      <c r="TE91" s="1576"/>
      <c r="TF91" s="1576"/>
      <c r="TG91" s="1576"/>
      <c r="TH91" s="1576"/>
      <c r="TI91" s="1576"/>
      <c r="TJ91" s="1576"/>
      <c r="TK91" s="1576"/>
      <c r="TL91" s="1576"/>
      <c r="TM91" s="1576"/>
      <c r="TN91" s="1576"/>
      <c r="TO91" s="1576"/>
      <c r="TP91" s="1576"/>
      <c r="TQ91" s="1576"/>
      <c r="TR91" s="1576"/>
      <c r="TS91" s="1576"/>
      <c r="TT91" s="1576"/>
      <c r="TU91" s="1576"/>
      <c r="TV91" s="1576"/>
      <c r="TW91" s="1576"/>
      <c r="TX91" s="1576"/>
      <c r="TY91" s="1576"/>
      <c r="TZ91" s="1576"/>
      <c r="UA91" s="1576"/>
      <c r="UB91" s="1576"/>
      <c r="UC91" s="1576"/>
      <c r="UD91" s="1576"/>
      <c r="UE91" s="1576"/>
      <c r="UF91" s="1576"/>
      <c r="UG91" s="1576"/>
      <c r="UH91" s="1576"/>
      <c r="UI91" s="1576"/>
      <c r="UJ91" s="1576"/>
      <c r="UK91" s="1576"/>
      <c r="UL91" s="1576"/>
      <c r="UM91" s="1576"/>
      <c r="UN91" s="1576"/>
      <c r="UO91" s="1576"/>
      <c r="UP91" s="1576"/>
      <c r="UQ91" s="1576"/>
      <c r="UR91" s="1576"/>
      <c r="US91" s="1576"/>
      <c r="UT91" s="1576"/>
      <c r="UU91" s="1576"/>
      <c r="UV91" s="1576"/>
      <c r="UW91" s="1576"/>
      <c r="UX91" s="1576"/>
      <c r="UY91" s="1576"/>
      <c r="UZ91" s="1576"/>
      <c r="VA91" s="1576"/>
      <c r="VB91" s="1576"/>
      <c r="VC91" s="1576"/>
      <c r="VD91" s="1576"/>
      <c r="VE91" s="1576"/>
      <c r="VF91" s="1576"/>
      <c r="VG91" s="1576"/>
      <c r="VH91" s="1576"/>
      <c r="VI91" s="1576"/>
      <c r="VJ91" s="1576"/>
      <c r="VK91" s="1576"/>
    </row>
    <row r="92" spans="2:583" s="1296" customFormat="1" x14ac:dyDescent="0.25">
      <c r="B92" s="2055" t="s">
        <v>61</v>
      </c>
      <c r="C92" s="2060" t="s">
        <v>2930</v>
      </c>
      <c r="D92" s="2056" t="s">
        <v>61</v>
      </c>
      <c r="E92" s="2060" t="s">
        <v>2930</v>
      </c>
      <c r="F92" s="2061" t="e">
        <f>SUM(F78:F91)</f>
        <v>#DIV/0!</v>
      </c>
      <c r="G92" s="2061" t="e">
        <f t="shared" ref="G92:BR92" si="56">SUM(G78:G91)</f>
        <v>#DIV/0!</v>
      </c>
      <c r="H92" s="2061" t="e">
        <f t="shared" si="56"/>
        <v>#DIV/0!</v>
      </c>
      <c r="I92" s="2061" t="e">
        <f t="shared" si="56"/>
        <v>#DIV/0!</v>
      </c>
      <c r="J92" s="2061" t="e">
        <f t="shared" si="56"/>
        <v>#DIV/0!</v>
      </c>
      <c r="K92" s="2061" t="e">
        <f t="shared" si="56"/>
        <v>#DIV/0!</v>
      </c>
      <c r="L92" s="2061" t="e">
        <f t="shared" si="56"/>
        <v>#DIV/0!</v>
      </c>
      <c r="M92" s="2061" t="e">
        <f t="shared" si="56"/>
        <v>#DIV/0!</v>
      </c>
      <c r="N92" s="2061" t="e">
        <f t="shared" si="56"/>
        <v>#DIV/0!</v>
      </c>
      <c r="O92" s="2061" t="e">
        <f t="shared" si="56"/>
        <v>#DIV/0!</v>
      </c>
      <c r="P92" s="2061" t="e">
        <f t="shared" si="56"/>
        <v>#DIV/0!</v>
      </c>
      <c r="Q92" s="2061" t="e">
        <f t="shared" si="56"/>
        <v>#DIV/0!</v>
      </c>
      <c r="R92" s="2061" t="e">
        <f t="shared" si="56"/>
        <v>#DIV/0!</v>
      </c>
      <c r="S92" s="2061" t="e">
        <f t="shared" si="56"/>
        <v>#DIV/0!</v>
      </c>
      <c r="T92" s="2061" t="e">
        <f t="shared" si="56"/>
        <v>#DIV/0!</v>
      </c>
      <c r="U92" s="2061" t="e">
        <f t="shared" si="56"/>
        <v>#DIV/0!</v>
      </c>
      <c r="V92" s="2061" t="e">
        <f t="shared" si="56"/>
        <v>#DIV/0!</v>
      </c>
      <c r="W92" s="2061">
        <f t="shared" si="56"/>
        <v>0</v>
      </c>
      <c r="X92" s="2061">
        <f t="shared" si="56"/>
        <v>0</v>
      </c>
      <c r="Y92" s="2061">
        <f t="shared" si="56"/>
        <v>0</v>
      </c>
      <c r="Z92" s="2061">
        <f t="shared" si="56"/>
        <v>0</v>
      </c>
      <c r="AA92" s="2061">
        <f t="shared" si="56"/>
        <v>0</v>
      </c>
      <c r="AB92" s="2061">
        <f t="shared" si="56"/>
        <v>0</v>
      </c>
      <c r="AC92" s="2061">
        <f t="shared" si="56"/>
        <v>0</v>
      </c>
      <c r="AD92" s="2061">
        <f t="shared" si="56"/>
        <v>0</v>
      </c>
      <c r="AE92" s="2061">
        <f t="shared" si="56"/>
        <v>0</v>
      </c>
      <c r="AF92" s="2061">
        <f t="shared" si="56"/>
        <v>0</v>
      </c>
      <c r="AG92" s="2061">
        <f t="shared" si="56"/>
        <v>0</v>
      </c>
      <c r="AH92" s="2061">
        <f t="shared" si="56"/>
        <v>0</v>
      </c>
      <c r="AI92" s="2061">
        <f t="shared" si="56"/>
        <v>0</v>
      </c>
      <c r="AJ92" s="2061">
        <f t="shared" si="56"/>
        <v>0</v>
      </c>
      <c r="AK92" s="2061">
        <f t="shared" si="56"/>
        <v>0</v>
      </c>
      <c r="AL92" s="2061">
        <f t="shared" si="56"/>
        <v>0</v>
      </c>
      <c r="AM92" s="2061">
        <f t="shared" si="56"/>
        <v>0</v>
      </c>
      <c r="AN92" s="2061" t="e">
        <f t="shared" si="56"/>
        <v>#DIV/0!</v>
      </c>
      <c r="AO92" s="2061" t="e">
        <f t="shared" si="56"/>
        <v>#DIV/0!</v>
      </c>
      <c r="AP92" s="2061" t="e">
        <f t="shared" si="56"/>
        <v>#DIV/0!</v>
      </c>
      <c r="AQ92" s="2061" t="e">
        <f t="shared" si="56"/>
        <v>#DIV/0!</v>
      </c>
      <c r="AR92" s="2061" t="e">
        <f t="shared" si="56"/>
        <v>#DIV/0!</v>
      </c>
      <c r="AS92" s="2061" t="e">
        <f t="shared" si="56"/>
        <v>#DIV/0!</v>
      </c>
      <c r="AT92" s="2061" t="e">
        <f t="shared" si="56"/>
        <v>#DIV/0!</v>
      </c>
      <c r="AU92" s="2061" t="e">
        <f t="shared" si="56"/>
        <v>#DIV/0!</v>
      </c>
      <c r="AV92" s="2061" t="e">
        <f t="shared" si="56"/>
        <v>#DIV/0!</v>
      </c>
      <c r="AW92" s="2061" t="e">
        <f t="shared" si="56"/>
        <v>#DIV/0!</v>
      </c>
      <c r="AX92" s="2061" t="e">
        <f t="shared" si="56"/>
        <v>#DIV/0!</v>
      </c>
      <c r="AY92" s="2061" t="e">
        <f t="shared" si="56"/>
        <v>#DIV/0!</v>
      </c>
      <c r="AZ92" s="2061" t="e">
        <f t="shared" si="56"/>
        <v>#DIV/0!</v>
      </c>
      <c r="BA92" s="2061" t="e">
        <f t="shared" si="56"/>
        <v>#DIV/0!</v>
      </c>
      <c r="BB92" s="2061" t="e">
        <f t="shared" si="56"/>
        <v>#DIV/0!</v>
      </c>
      <c r="BC92" s="2061" t="e">
        <f t="shared" si="56"/>
        <v>#DIV/0!</v>
      </c>
      <c r="BD92" s="2061" t="e">
        <f t="shared" si="56"/>
        <v>#DIV/0!</v>
      </c>
      <c r="BE92" s="2061">
        <f t="shared" si="56"/>
        <v>0</v>
      </c>
      <c r="BF92" s="2061">
        <f t="shared" si="56"/>
        <v>0</v>
      </c>
      <c r="BG92" s="2061">
        <f t="shared" si="56"/>
        <v>0</v>
      </c>
      <c r="BH92" s="2061">
        <f t="shared" si="56"/>
        <v>0</v>
      </c>
      <c r="BI92" s="2061">
        <f t="shared" si="56"/>
        <v>0</v>
      </c>
      <c r="BJ92" s="2061">
        <f t="shared" si="56"/>
        <v>0</v>
      </c>
      <c r="BK92" s="2061">
        <f t="shared" si="56"/>
        <v>0</v>
      </c>
      <c r="BL92" s="2061">
        <f t="shared" si="56"/>
        <v>0</v>
      </c>
      <c r="BM92" s="2061">
        <f t="shared" si="56"/>
        <v>0</v>
      </c>
      <c r="BN92" s="2061">
        <f t="shared" si="56"/>
        <v>0</v>
      </c>
      <c r="BO92" s="2061">
        <f t="shared" si="56"/>
        <v>0</v>
      </c>
      <c r="BP92" s="2061">
        <f t="shared" si="56"/>
        <v>0</v>
      </c>
      <c r="BQ92" s="2061">
        <f t="shared" si="56"/>
        <v>0</v>
      </c>
      <c r="BR92" s="2061">
        <f t="shared" si="56"/>
        <v>0</v>
      </c>
      <c r="BS92" s="2061">
        <f t="shared" ref="BS92:ED92" si="57">SUM(BS78:BS91)</f>
        <v>0</v>
      </c>
      <c r="BT92" s="2061">
        <f t="shared" si="57"/>
        <v>0</v>
      </c>
      <c r="BU92" s="2061">
        <f t="shared" si="57"/>
        <v>0</v>
      </c>
      <c r="BV92" s="2061" t="e">
        <f t="shared" si="57"/>
        <v>#DIV/0!</v>
      </c>
      <c r="BW92" s="2061" t="e">
        <f t="shared" si="57"/>
        <v>#DIV/0!</v>
      </c>
      <c r="BX92" s="2061" t="e">
        <f t="shared" si="57"/>
        <v>#DIV/0!</v>
      </c>
      <c r="BY92" s="2061" t="e">
        <f t="shared" si="57"/>
        <v>#DIV/0!</v>
      </c>
      <c r="BZ92" s="2061" t="e">
        <f t="shared" si="57"/>
        <v>#DIV/0!</v>
      </c>
      <c r="CA92" s="2061" t="e">
        <f t="shared" si="57"/>
        <v>#DIV/0!</v>
      </c>
      <c r="CB92" s="2061" t="e">
        <f t="shared" si="57"/>
        <v>#DIV/0!</v>
      </c>
      <c r="CC92" s="2061" t="e">
        <f t="shared" si="57"/>
        <v>#DIV/0!</v>
      </c>
      <c r="CD92" s="2061" t="e">
        <f t="shared" si="57"/>
        <v>#DIV/0!</v>
      </c>
      <c r="CE92" s="2061" t="e">
        <f t="shared" si="57"/>
        <v>#DIV/0!</v>
      </c>
      <c r="CF92" s="2061" t="e">
        <f t="shared" si="57"/>
        <v>#DIV/0!</v>
      </c>
      <c r="CG92" s="2061" t="e">
        <f t="shared" si="57"/>
        <v>#DIV/0!</v>
      </c>
      <c r="CH92" s="2061" t="e">
        <f t="shared" si="57"/>
        <v>#DIV/0!</v>
      </c>
      <c r="CI92" s="2061" t="e">
        <f t="shared" si="57"/>
        <v>#DIV/0!</v>
      </c>
      <c r="CJ92" s="2061" t="e">
        <f t="shared" si="57"/>
        <v>#DIV/0!</v>
      </c>
      <c r="CK92" s="2061" t="e">
        <f t="shared" si="57"/>
        <v>#DIV/0!</v>
      </c>
      <c r="CL92" s="2061" t="e">
        <f t="shared" si="57"/>
        <v>#DIV/0!</v>
      </c>
      <c r="CM92" s="2061">
        <f t="shared" si="57"/>
        <v>0</v>
      </c>
      <c r="CN92" s="2061">
        <f t="shared" si="57"/>
        <v>0</v>
      </c>
      <c r="CO92" s="2061">
        <f t="shared" si="57"/>
        <v>0</v>
      </c>
      <c r="CP92" s="2061">
        <f t="shared" si="57"/>
        <v>0</v>
      </c>
      <c r="CQ92" s="2061">
        <f t="shared" si="57"/>
        <v>0</v>
      </c>
      <c r="CR92" s="2061">
        <f t="shared" si="57"/>
        <v>0</v>
      </c>
      <c r="CS92" s="2061">
        <f t="shared" si="57"/>
        <v>0</v>
      </c>
      <c r="CT92" s="2061">
        <f t="shared" si="57"/>
        <v>0</v>
      </c>
      <c r="CU92" s="2061">
        <f t="shared" si="57"/>
        <v>0</v>
      </c>
      <c r="CV92" s="2061">
        <f t="shared" si="57"/>
        <v>0</v>
      </c>
      <c r="CW92" s="2061">
        <f t="shared" si="57"/>
        <v>0</v>
      </c>
      <c r="CX92" s="2061">
        <f t="shared" si="57"/>
        <v>0</v>
      </c>
      <c r="CY92" s="2061">
        <f t="shared" si="57"/>
        <v>0</v>
      </c>
      <c r="CZ92" s="2061">
        <f t="shared" si="57"/>
        <v>0</v>
      </c>
      <c r="DA92" s="2061">
        <f t="shared" si="57"/>
        <v>0</v>
      </c>
      <c r="DB92" s="2061">
        <f t="shared" si="57"/>
        <v>0</v>
      </c>
      <c r="DC92" s="2061">
        <f t="shared" si="57"/>
        <v>0</v>
      </c>
      <c r="DD92" s="2061">
        <f t="shared" si="57"/>
        <v>0</v>
      </c>
      <c r="DE92" s="2061">
        <f t="shared" si="57"/>
        <v>0</v>
      </c>
      <c r="DF92" s="2061">
        <f t="shared" si="57"/>
        <v>0</v>
      </c>
      <c r="DG92" s="2061">
        <f t="shared" si="57"/>
        <v>0</v>
      </c>
      <c r="DH92" s="2061">
        <f t="shared" si="57"/>
        <v>0</v>
      </c>
      <c r="DI92" s="2061">
        <f t="shared" si="57"/>
        <v>0</v>
      </c>
      <c r="DJ92" s="2061">
        <f t="shared" si="57"/>
        <v>0</v>
      </c>
      <c r="DK92" s="2061">
        <f t="shared" si="57"/>
        <v>0</v>
      </c>
      <c r="DL92" s="2061">
        <f t="shared" si="57"/>
        <v>0</v>
      </c>
      <c r="DM92" s="2061">
        <f t="shared" si="57"/>
        <v>0</v>
      </c>
      <c r="DN92" s="2061">
        <f t="shared" si="57"/>
        <v>0</v>
      </c>
      <c r="DO92" s="2061">
        <f t="shared" si="57"/>
        <v>0</v>
      </c>
      <c r="DP92" s="2061">
        <f t="shared" si="57"/>
        <v>0</v>
      </c>
      <c r="DQ92" s="2061">
        <f t="shared" si="57"/>
        <v>0</v>
      </c>
      <c r="DR92" s="2061">
        <f t="shared" si="57"/>
        <v>0</v>
      </c>
      <c r="DS92" s="2061">
        <f t="shared" si="57"/>
        <v>0</v>
      </c>
      <c r="DT92" s="2061">
        <f t="shared" si="57"/>
        <v>0</v>
      </c>
      <c r="DU92" s="2061">
        <f t="shared" si="57"/>
        <v>0</v>
      </c>
      <c r="DV92" s="2061">
        <f t="shared" si="57"/>
        <v>0</v>
      </c>
      <c r="DW92" s="2061">
        <f t="shared" si="57"/>
        <v>0</v>
      </c>
      <c r="DX92" s="2061">
        <f t="shared" si="57"/>
        <v>0</v>
      </c>
      <c r="DY92" s="2061">
        <f t="shared" si="57"/>
        <v>0</v>
      </c>
      <c r="DZ92" s="2061">
        <f t="shared" si="57"/>
        <v>0</v>
      </c>
      <c r="EA92" s="2061">
        <f t="shared" si="57"/>
        <v>0</v>
      </c>
      <c r="EB92" s="2061">
        <f t="shared" si="57"/>
        <v>0</v>
      </c>
      <c r="EC92" s="2061">
        <f t="shared" si="57"/>
        <v>0</v>
      </c>
      <c r="ED92" s="2061">
        <f t="shared" si="57"/>
        <v>0</v>
      </c>
      <c r="EE92" s="2061">
        <f t="shared" ref="EE92:GP92" si="58">SUM(EE78:EE91)</f>
        <v>0</v>
      </c>
      <c r="EF92" s="2061">
        <f t="shared" si="58"/>
        <v>0</v>
      </c>
      <c r="EG92" s="2061">
        <f t="shared" si="58"/>
        <v>0</v>
      </c>
      <c r="EH92" s="2061">
        <f t="shared" si="58"/>
        <v>0</v>
      </c>
      <c r="EI92" s="2061">
        <f t="shared" si="58"/>
        <v>0</v>
      </c>
      <c r="EJ92" s="2061">
        <f t="shared" si="58"/>
        <v>0</v>
      </c>
      <c r="EK92" s="2061">
        <f t="shared" si="58"/>
        <v>0</v>
      </c>
      <c r="EL92" s="2061">
        <f t="shared" si="58"/>
        <v>0</v>
      </c>
      <c r="EM92" s="2061">
        <f t="shared" si="58"/>
        <v>0</v>
      </c>
      <c r="EN92" s="2061">
        <f t="shared" si="58"/>
        <v>0</v>
      </c>
      <c r="EO92" s="2061">
        <f t="shared" si="58"/>
        <v>0</v>
      </c>
      <c r="EP92" s="2061">
        <f t="shared" si="58"/>
        <v>0</v>
      </c>
      <c r="EQ92" s="2061">
        <f t="shared" si="58"/>
        <v>0</v>
      </c>
      <c r="ER92" s="2061">
        <f t="shared" si="58"/>
        <v>0</v>
      </c>
      <c r="ES92" s="2061">
        <f t="shared" si="58"/>
        <v>0</v>
      </c>
      <c r="ET92" s="2061">
        <f t="shared" si="58"/>
        <v>0</v>
      </c>
      <c r="EU92" s="2061">
        <f t="shared" si="58"/>
        <v>0</v>
      </c>
      <c r="EV92" s="2061">
        <f t="shared" si="58"/>
        <v>0</v>
      </c>
      <c r="EW92" s="2061">
        <f t="shared" si="58"/>
        <v>0</v>
      </c>
      <c r="EX92" s="2061">
        <f t="shared" si="58"/>
        <v>0</v>
      </c>
      <c r="EY92" s="2061">
        <f t="shared" si="58"/>
        <v>0</v>
      </c>
      <c r="EZ92" s="2061">
        <f t="shared" si="58"/>
        <v>0</v>
      </c>
      <c r="FA92" s="2061">
        <f t="shared" si="58"/>
        <v>0</v>
      </c>
      <c r="FB92" s="2061">
        <f t="shared" si="58"/>
        <v>0</v>
      </c>
      <c r="FC92" s="2061">
        <f t="shared" si="58"/>
        <v>0</v>
      </c>
      <c r="FD92" s="2061">
        <f t="shared" si="58"/>
        <v>0</v>
      </c>
      <c r="FE92" s="2061">
        <f t="shared" si="58"/>
        <v>0</v>
      </c>
      <c r="FF92" s="2061">
        <f t="shared" si="58"/>
        <v>0</v>
      </c>
      <c r="FG92" s="2061">
        <f t="shared" si="58"/>
        <v>0</v>
      </c>
      <c r="FH92" s="2061">
        <f t="shared" si="58"/>
        <v>0</v>
      </c>
      <c r="FI92" s="2061">
        <f t="shared" si="58"/>
        <v>0</v>
      </c>
      <c r="FJ92" s="2061">
        <f t="shared" si="58"/>
        <v>0</v>
      </c>
      <c r="FK92" s="2061">
        <f t="shared" si="58"/>
        <v>0</v>
      </c>
      <c r="FL92" s="2061">
        <f t="shared" si="58"/>
        <v>0</v>
      </c>
      <c r="FM92" s="2061">
        <f t="shared" si="58"/>
        <v>0</v>
      </c>
      <c r="FN92" s="2061">
        <f t="shared" si="58"/>
        <v>0</v>
      </c>
      <c r="FO92" s="2061">
        <f t="shared" si="58"/>
        <v>0</v>
      </c>
      <c r="FP92" s="2061">
        <f t="shared" si="58"/>
        <v>0</v>
      </c>
      <c r="FQ92" s="2061">
        <f t="shared" si="58"/>
        <v>0</v>
      </c>
      <c r="FR92" s="2061">
        <f t="shared" si="58"/>
        <v>0</v>
      </c>
      <c r="FS92" s="2061">
        <f t="shared" si="58"/>
        <v>0</v>
      </c>
      <c r="FT92" s="2061">
        <f t="shared" si="58"/>
        <v>0</v>
      </c>
      <c r="FU92" s="2061">
        <f t="shared" si="58"/>
        <v>0</v>
      </c>
      <c r="FV92" s="2061">
        <f t="shared" si="58"/>
        <v>0</v>
      </c>
      <c r="FW92" s="2061">
        <f t="shared" si="58"/>
        <v>0</v>
      </c>
      <c r="FX92" s="2061">
        <f t="shared" si="58"/>
        <v>0</v>
      </c>
      <c r="FY92" s="2061">
        <f t="shared" si="58"/>
        <v>0</v>
      </c>
      <c r="FZ92" s="2061">
        <f t="shared" si="58"/>
        <v>0</v>
      </c>
      <c r="GA92" s="2061">
        <f t="shared" si="58"/>
        <v>0</v>
      </c>
      <c r="GB92" s="2061">
        <f t="shared" si="58"/>
        <v>0</v>
      </c>
      <c r="GC92" s="2061">
        <f t="shared" si="58"/>
        <v>0</v>
      </c>
      <c r="GD92" s="2061">
        <f t="shared" si="58"/>
        <v>0</v>
      </c>
      <c r="GE92" s="2061">
        <f t="shared" si="58"/>
        <v>0</v>
      </c>
      <c r="GF92" s="2061">
        <f t="shared" si="58"/>
        <v>0</v>
      </c>
      <c r="GG92" s="2061">
        <f t="shared" si="58"/>
        <v>0</v>
      </c>
      <c r="GH92" s="2061">
        <f t="shared" si="58"/>
        <v>0</v>
      </c>
      <c r="GI92" s="2061">
        <f t="shared" si="58"/>
        <v>0</v>
      </c>
      <c r="GJ92" s="2061">
        <f t="shared" si="58"/>
        <v>0</v>
      </c>
      <c r="GK92" s="2061">
        <f t="shared" si="58"/>
        <v>0</v>
      </c>
      <c r="GL92" s="2061">
        <f t="shared" si="58"/>
        <v>0</v>
      </c>
      <c r="GM92" s="2061">
        <f t="shared" si="58"/>
        <v>0</v>
      </c>
      <c r="GN92" s="2061">
        <f t="shared" si="58"/>
        <v>0</v>
      </c>
      <c r="GO92" s="2061">
        <f t="shared" si="58"/>
        <v>0</v>
      </c>
      <c r="GP92" s="2061">
        <f t="shared" si="58"/>
        <v>0</v>
      </c>
      <c r="GQ92" s="2061">
        <f t="shared" ref="GQ92:JB92" si="59">SUM(GQ78:GQ91)</f>
        <v>0</v>
      </c>
      <c r="GR92" s="2061">
        <f t="shared" si="59"/>
        <v>0</v>
      </c>
      <c r="GS92" s="2061">
        <f t="shared" si="59"/>
        <v>0</v>
      </c>
      <c r="GT92" s="2061">
        <f t="shared" si="59"/>
        <v>0</v>
      </c>
      <c r="GU92" s="2061">
        <f t="shared" si="59"/>
        <v>0</v>
      </c>
      <c r="GV92" s="2061">
        <f t="shared" si="59"/>
        <v>0</v>
      </c>
      <c r="GW92" s="2061">
        <f t="shared" si="59"/>
        <v>0</v>
      </c>
      <c r="GX92" s="2061">
        <f t="shared" si="59"/>
        <v>0</v>
      </c>
      <c r="GY92" s="2061">
        <f t="shared" si="59"/>
        <v>0</v>
      </c>
      <c r="GZ92" s="2061">
        <f t="shared" si="59"/>
        <v>0</v>
      </c>
      <c r="HA92" s="2061">
        <f t="shared" si="59"/>
        <v>0</v>
      </c>
      <c r="HB92" s="2061">
        <f t="shared" si="59"/>
        <v>0</v>
      </c>
      <c r="HC92" s="2061">
        <f t="shared" si="59"/>
        <v>0</v>
      </c>
      <c r="HD92" s="2061">
        <f t="shared" si="59"/>
        <v>0</v>
      </c>
      <c r="HE92" s="2061">
        <f t="shared" si="59"/>
        <v>0</v>
      </c>
      <c r="HF92" s="2061">
        <f t="shared" si="59"/>
        <v>0</v>
      </c>
      <c r="HG92" s="2061">
        <f t="shared" si="59"/>
        <v>0</v>
      </c>
      <c r="HH92" s="2061">
        <f t="shared" si="59"/>
        <v>0</v>
      </c>
      <c r="HI92" s="2061">
        <f t="shared" si="59"/>
        <v>0</v>
      </c>
      <c r="HJ92" s="2061">
        <f t="shared" si="59"/>
        <v>0</v>
      </c>
      <c r="HK92" s="2061">
        <f t="shared" si="59"/>
        <v>0</v>
      </c>
      <c r="HL92" s="2061">
        <f t="shared" si="59"/>
        <v>0</v>
      </c>
      <c r="HM92" s="2061">
        <f t="shared" si="59"/>
        <v>0</v>
      </c>
      <c r="HN92" s="2061">
        <f t="shared" si="59"/>
        <v>0</v>
      </c>
      <c r="HO92" s="2061">
        <f t="shared" si="59"/>
        <v>0</v>
      </c>
      <c r="HP92" s="2061">
        <f t="shared" si="59"/>
        <v>0</v>
      </c>
      <c r="HQ92" s="2061">
        <f t="shared" si="59"/>
        <v>0</v>
      </c>
      <c r="HR92" s="2061">
        <f t="shared" si="59"/>
        <v>0</v>
      </c>
      <c r="HS92" s="2061">
        <f t="shared" si="59"/>
        <v>0</v>
      </c>
      <c r="HT92" s="2061">
        <f t="shared" si="59"/>
        <v>0</v>
      </c>
      <c r="HU92" s="2061">
        <f t="shared" si="59"/>
        <v>0</v>
      </c>
      <c r="HV92" s="2061">
        <f t="shared" si="59"/>
        <v>0</v>
      </c>
      <c r="HW92" s="2061">
        <f t="shared" si="59"/>
        <v>0</v>
      </c>
      <c r="HX92" s="2061">
        <f t="shared" si="59"/>
        <v>0</v>
      </c>
      <c r="HY92" s="2061">
        <f t="shared" si="59"/>
        <v>0</v>
      </c>
      <c r="HZ92" s="2061">
        <f t="shared" si="59"/>
        <v>0</v>
      </c>
      <c r="IA92" s="2061">
        <f t="shared" si="59"/>
        <v>0</v>
      </c>
      <c r="IB92" s="2061">
        <f t="shared" si="59"/>
        <v>0</v>
      </c>
      <c r="IC92" s="2061">
        <f t="shared" si="59"/>
        <v>0</v>
      </c>
      <c r="ID92" s="2061">
        <f t="shared" si="59"/>
        <v>0</v>
      </c>
      <c r="IE92" s="2061">
        <f t="shared" si="59"/>
        <v>0</v>
      </c>
      <c r="IF92" s="2061">
        <f t="shared" si="59"/>
        <v>0</v>
      </c>
      <c r="IG92" s="2061">
        <f t="shared" si="59"/>
        <v>0</v>
      </c>
      <c r="IH92" s="2061">
        <f t="shared" si="59"/>
        <v>0</v>
      </c>
      <c r="II92" s="2061">
        <f t="shared" si="59"/>
        <v>0</v>
      </c>
      <c r="IJ92" s="2061">
        <f t="shared" si="59"/>
        <v>0</v>
      </c>
      <c r="IK92" s="2061">
        <f t="shared" si="59"/>
        <v>0</v>
      </c>
      <c r="IL92" s="2061">
        <f t="shared" si="59"/>
        <v>0</v>
      </c>
      <c r="IM92" s="2061">
        <f t="shared" si="59"/>
        <v>0</v>
      </c>
      <c r="IN92" s="2061">
        <f t="shared" si="59"/>
        <v>0</v>
      </c>
      <c r="IO92" s="2061">
        <f t="shared" si="59"/>
        <v>0</v>
      </c>
      <c r="IP92" s="2061">
        <f t="shared" si="59"/>
        <v>0</v>
      </c>
      <c r="IQ92" s="2061">
        <f t="shared" si="59"/>
        <v>0</v>
      </c>
      <c r="IR92" s="2061">
        <f t="shared" si="59"/>
        <v>0</v>
      </c>
      <c r="IS92" s="2061">
        <f t="shared" si="59"/>
        <v>0</v>
      </c>
      <c r="IT92" s="2061">
        <f t="shared" si="59"/>
        <v>0</v>
      </c>
      <c r="IU92" s="2061">
        <f t="shared" si="59"/>
        <v>0</v>
      </c>
      <c r="IV92" s="2061">
        <f t="shared" si="59"/>
        <v>0</v>
      </c>
      <c r="IW92" s="2061">
        <f t="shared" si="59"/>
        <v>0</v>
      </c>
      <c r="IX92" s="2061">
        <f t="shared" si="59"/>
        <v>0</v>
      </c>
      <c r="IY92" s="2061">
        <f t="shared" si="59"/>
        <v>0</v>
      </c>
      <c r="IZ92" s="2061">
        <f t="shared" si="59"/>
        <v>0</v>
      </c>
      <c r="JA92" s="2061">
        <f t="shared" si="59"/>
        <v>0</v>
      </c>
      <c r="JB92" s="2061">
        <f t="shared" si="59"/>
        <v>0</v>
      </c>
      <c r="JC92" s="2061">
        <f t="shared" ref="JC92:LN92" si="60">SUM(JC78:JC91)</f>
        <v>0</v>
      </c>
      <c r="JD92" s="2061">
        <f t="shared" si="60"/>
        <v>0</v>
      </c>
      <c r="JE92" s="2061">
        <f t="shared" si="60"/>
        <v>0</v>
      </c>
      <c r="JF92" s="2061">
        <f t="shared" si="60"/>
        <v>0</v>
      </c>
      <c r="JG92" s="2061">
        <f t="shared" si="60"/>
        <v>0</v>
      </c>
      <c r="JH92" s="2061">
        <f t="shared" si="60"/>
        <v>0</v>
      </c>
      <c r="JI92" s="2061">
        <f t="shared" si="60"/>
        <v>0</v>
      </c>
      <c r="JJ92" s="2061">
        <f t="shared" si="60"/>
        <v>0</v>
      </c>
      <c r="JK92" s="2061">
        <f t="shared" si="60"/>
        <v>0</v>
      </c>
      <c r="JL92" s="2061">
        <f t="shared" si="60"/>
        <v>0</v>
      </c>
      <c r="JM92" s="2061">
        <f t="shared" si="60"/>
        <v>0</v>
      </c>
      <c r="JN92" s="2061">
        <f t="shared" si="60"/>
        <v>0</v>
      </c>
      <c r="JO92" s="2061">
        <f t="shared" si="60"/>
        <v>0</v>
      </c>
      <c r="JP92" s="2061">
        <f t="shared" si="60"/>
        <v>0</v>
      </c>
      <c r="JQ92" s="2061">
        <f t="shared" si="60"/>
        <v>0</v>
      </c>
      <c r="JR92" s="2061" t="e">
        <f>SUM(JR78:JR91)</f>
        <v>#DIV/0!</v>
      </c>
      <c r="JS92" s="2061" t="e">
        <f t="shared" si="60"/>
        <v>#DIV/0!</v>
      </c>
      <c r="JT92" s="2061" t="e">
        <f t="shared" si="60"/>
        <v>#DIV/0!</v>
      </c>
      <c r="JU92" s="2061" t="e">
        <f t="shared" si="60"/>
        <v>#DIV/0!</v>
      </c>
      <c r="JV92" s="2061" t="e">
        <f t="shared" si="60"/>
        <v>#DIV/0!</v>
      </c>
      <c r="JW92" s="2061" t="e">
        <f t="shared" si="60"/>
        <v>#DIV/0!</v>
      </c>
      <c r="JX92" s="2061" t="e">
        <f t="shared" si="60"/>
        <v>#DIV/0!</v>
      </c>
      <c r="JY92" s="2061" t="e">
        <f t="shared" si="60"/>
        <v>#DIV/0!</v>
      </c>
      <c r="JZ92" s="2061" t="e">
        <f t="shared" si="60"/>
        <v>#DIV/0!</v>
      </c>
      <c r="KA92" s="2061" t="e">
        <f t="shared" si="60"/>
        <v>#DIV/0!</v>
      </c>
      <c r="KB92" s="2061" t="e">
        <f t="shared" si="60"/>
        <v>#DIV/0!</v>
      </c>
      <c r="KC92" s="2061" t="e">
        <f t="shared" si="60"/>
        <v>#DIV/0!</v>
      </c>
      <c r="KD92" s="2061" t="e">
        <f t="shared" si="60"/>
        <v>#DIV/0!</v>
      </c>
      <c r="KE92" s="2061" t="e">
        <f t="shared" si="60"/>
        <v>#DIV/0!</v>
      </c>
      <c r="KF92" s="2061" t="e">
        <f t="shared" si="60"/>
        <v>#DIV/0!</v>
      </c>
      <c r="KG92" s="2061" t="e">
        <f t="shared" si="60"/>
        <v>#DIV/0!</v>
      </c>
      <c r="KH92" s="2061" t="e">
        <f t="shared" si="60"/>
        <v>#DIV/0!</v>
      </c>
      <c r="KI92" s="2061" t="e">
        <f t="shared" si="60"/>
        <v>#DIV/0!</v>
      </c>
      <c r="KJ92" s="2061" t="e">
        <f t="shared" si="60"/>
        <v>#DIV/0!</v>
      </c>
      <c r="KK92" s="2061" t="e">
        <f t="shared" si="60"/>
        <v>#DIV/0!</v>
      </c>
      <c r="KL92" s="2061" t="e">
        <f t="shared" si="60"/>
        <v>#DIV/0!</v>
      </c>
      <c r="KM92" s="2061" t="e">
        <f t="shared" si="60"/>
        <v>#DIV/0!</v>
      </c>
      <c r="KN92" s="2061" t="e">
        <f t="shared" si="60"/>
        <v>#DIV/0!</v>
      </c>
      <c r="KO92" s="2061" t="e">
        <f t="shared" si="60"/>
        <v>#DIV/0!</v>
      </c>
      <c r="KP92" s="2061" t="e">
        <f t="shared" si="60"/>
        <v>#DIV/0!</v>
      </c>
      <c r="KQ92" s="2061" t="e">
        <f t="shared" si="60"/>
        <v>#DIV/0!</v>
      </c>
      <c r="KR92" s="2061" t="e">
        <f t="shared" si="60"/>
        <v>#DIV/0!</v>
      </c>
      <c r="KS92" s="2061" t="e">
        <f t="shared" si="60"/>
        <v>#DIV/0!</v>
      </c>
      <c r="KT92" s="2061" t="e">
        <f t="shared" si="60"/>
        <v>#DIV/0!</v>
      </c>
      <c r="KU92" s="2061" t="e">
        <f t="shared" si="60"/>
        <v>#DIV/0!</v>
      </c>
      <c r="KV92" s="2061" t="e">
        <f t="shared" si="60"/>
        <v>#DIV/0!</v>
      </c>
      <c r="KW92" s="2061" t="e">
        <f t="shared" si="60"/>
        <v>#DIV/0!</v>
      </c>
      <c r="KX92" s="2061" t="e">
        <f t="shared" si="60"/>
        <v>#DIV/0!</v>
      </c>
      <c r="KY92" s="2061" t="e">
        <f t="shared" si="60"/>
        <v>#DIV/0!</v>
      </c>
      <c r="KZ92" s="2061">
        <f t="shared" si="60"/>
        <v>0</v>
      </c>
      <c r="LA92" s="2061">
        <f t="shared" si="60"/>
        <v>0</v>
      </c>
      <c r="LB92" s="2061">
        <f t="shared" si="60"/>
        <v>0</v>
      </c>
      <c r="LC92" s="2061">
        <f t="shared" si="60"/>
        <v>0</v>
      </c>
      <c r="LD92" s="2061">
        <f t="shared" si="60"/>
        <v>0</v>
      </c>
      <c r="LE92" s="2061">
        <f t="shared" si="60"/>
        <v>0</v>
      </c>
      <c r="LF92" s="2061">
        <f t="shared" si="60"/>
        <v>0</v>
      </c>
      <c r="LG92" s="2061">
        <f t="shared" si="60"/>
        <v>0</v>
      </c>
      <c r="LH92" s="2061">
        <f t="shared" si="60"/>
        <v>0</v>
      </c>
      <c r="LI92" s="2061">
        <f t="shared" si="60"/>
        <v>0</v>
      </c>
      <c r="LJ92" s="2061">
        <f t="shared" si="60"/>
        <v>0</v>
      </c>
      <c r="LK92" s="2061">
        <f t="shared" si="60"/>
        <v>0</v>
      </c>
      <c r="LL92" s="2061">
        <f t="shared" si="60"/>
        <v>0</v>
      </c>
      <c r="LM92" s="2061">
        <f t="shared" si="60"/>
        <v>0</v>
      </c>
      <c r="LN92" s="2061">
        <f t="shared" si="60"/>
        <v>0</v>
      </c>
      <c r="LO92" s="2061">
        <f t="shared" ref="LO92:NZ92" si="61">SUM(LO78:LO91)</f>
        <v>0</v>
      </c>
      <c r="LP92" s="2061">
        <f t="shared" si="61"/>
        <v>0</v>
      </c>
      <c r="LQ92" s="2061">
        <f t="shared" si="61"/>
        <v>0</v>
      </c>
      <c r="LR92" s="2061">
        <f t="shared" si="61"/>
        <v>0</v>
      </c>
      <c r="LS92" s="2061">
        <f t="shared" si="61"/>
        <v>0</v>
      </c>
      <c r="LT92" s="2061">
        <f t="shared" si="61"/>
        <v>0</v>
      </c>
      <c r="LU92" s="2061">
        <f t="shared" si="61"/>
        <v>0</v>
      </c>
      <c r="LV92" s="2061">
        <f t="shared" si="61"/>
        <v>0</v>
      </c>
      <c r="LW92" s="2061">
        <f t="shared" si="61"/>
        <v>0</v>
      </c>
      <c r="LX92" s="2061">
        <f t="shared" si="61"/>
        <v>0</v>
      </c>
      <c r="LY92" s="2061">
        <f t="shared" si="61"/>
        <v>0</v>
      </c>
      <c r="LZ92" s="2061">
        <f t="shared" si="61"/>
        <v>0</v>
      </c>
      <c r="MA92" s="2061">
        <f t="shared" si="61"/>
        <v>0</v>
      </c>
      <c r="MB92" s="2061">
        <f t="shared" si="61"/>
        <v>0</v>
      </c>
      <c r="MC92" s="2061">
        <f t="shared" si="61"/>
        <v>0</v>
      </c>
      <c r="MD92" s="2061">
        <f t="shared" si="61"/>
        <v>0</v>
      </c>
      <c r="ME92" s="2061">
        <f t="shared" si="61"/>
        <v>0</v>
      </c>
      <c r="MF92" s="2061">
        <f t="shared" si="61"/>
        <v>0</v>
      </c>
      <c r="MG92" s="2061">
        <f t="shared" si="61"/>
        <v>0</v>
      </c>
      <c r="MH92" s="2061">
        <f t="shared" si="61"/>
        <v>0</v>
      </c>
      <c r="MI92" s="2061">
        <f t="shared" si="61"/>
        <v>0</v>
      </c>
      <c r="MJ92" s="2061">
        <f t="shared" si="61"/>
        <v>0</v>
      </c>
      <c r="MK92" s="2061">
        <f t="shared" si="61"/>
        <v>0</v>
      </c>
      <c r="ML92" s="2061">
        <f t="shared" si="61"/>
        <v>0</v>
      </c>
      <c r="MM92" s="2061">
        <f t="shared" si="61"/>
        <v>0</v>
      </c>
      <c r="MN92" s="2061">
        <f t="shared" si="61"/>
        <v>0</v>
      </c>
      <c r="MO92" s="2061">
        <f t="shared" si="61"/>
        <v>0</v>
      </c>
      <c r="MP92" s="2061">
        <f t="shared" si="61"/>
        <v>0</v>
      </c>
      <c r="MQ92" s="2061">
        <f t="shared" si="61"/>
        <v>0</v>
      </c>
      <c r="MR92" s="2061">
        <f t="shared" si="61"/>
        <v>0</v>
      </c>
      <c r="MS92" s="2061">
        <f t="shared" si="61"/>
        <v>0</v>
      </c>
      <c r="MT92" s="2061">
        <f t="shared" si="61"/>
        <v>0</v>
      </c>
      <c r="MU92" s="2061">
        <f t="shared" si="61"/>
        <v>0</v>
      </c>
      <c r="MV92" s="2061">
        <f t="shared" si="61"/>
        <v>0</v>
      </c>
      <c r="MW92" s="2061">
        <f t="shared" si="61"/>
        <v>0</v>
      </c>
      <c r="MX92" s="2061">
        <f t="shared" si="61"/>
        <v>0</v>
      </c>
      <c r="MY92" s="2061" t="e">
        <f t="shared" si="61"/>
        <v>#DIV/0!</v>
      </c>
      <c r="MZ92" s="2061" t="e">
        <f t="shared" si="61"/>
        <v>#DIV/0!</v>
      </c>
      <c r="NA92" s="2061" t="e">
        <f t="shared" si="61"/>
        <v>#DIV/0!</v>
      </c>
      <c r="NB92" s="2061" t="e">
        <f t="shared" si="61"/>
        <v>#DIV/0!</v>
      </c>
      <c r="NC92" s="2061" t="e">
        <f t="shared" si="61"/>
        <v>#DIV/0!</v>
      </c>
      <c r="ND92" s="2061" t="e">
        <f t="shared" si="61"/>
        <v>#DIV/0!</v>
      </c>
      <c r="NE92" s="2061" t="e">
        <f t="shared" si="61"/>
        <v>#DIV/0!</v>
      </c>
      <c r="NF92" s="2061" t="e">
        <f t="shared" si="61"/>
        <v>#DIV/0!</v>
      </c>
      <c r="NG92" s="2061" t="e">
        <f t="shared" si="61"/>
        <v>#DIV/0!</v>
      </c>
      <c r="NH92" s="2061" t="e">
        <f t="shared" si="61"/>
        <v>#DIV/0!</v>
      </c>
      <c r="NI92" s="2061" t="e">
        <f t="shared" si="61"/>
        <v>#DIV/0!</v>
      </c>
      <c r="NJ92" s="2061" t="e">
        <f t="shared" si="61"/>
        <v>#DIV/0!</v>
      </c>
      <c r="NK92" s="2061" t="e">
        <f t="shared" si="61"/>
        <v>#DIV/0!</v>
      </c>
      <c r="NL92" s="2061" t="e">
        <f t="shared" si="61"/>
        <v>#DIV/0!</v>
      </c>
      <c r="NM92" s="2061" t="e">
        <f t="shared" si="61"/>
        <v>#DIV/0!</v>
      </c>
      <c r="NN92" s="2061" t="e">
        <f t="shared" si="61"/>
        <v>#DIV/0!</v>
      </c>
      <c r="NO92" s="2061" t="e">
        <f t="shared" si="61"/>
        <v>#DIV/0!</v>
      </c>
      <c r="NP92" s="2061">
        <f t="shared" si="61"/>
        <v>0</v>
      </c>
      <c r="NQ92" s="2061">
        <f t="shared" si="61"/>
        <v>0</v>
      </c>
      <c r="NR92" s="2061">
        <f t="shared" si="61"/>
        <v>0</v>
      </c>
      <c r="NS92" s="2061">
        <f t="shared" si="61"/>
        <v>0</v>
      </c>
      <c r="NT92" s="2061">
        <f t="shared" si="61"/>
        <v>0</v>
      </c>
      <c r="NU92" s="2061">
        <f t="shared" si="61"/>
        <v>0</v>
      </c>
      <c r="NV92" s="2061">
        <f t="shared" si="61"/>
        <v>0</v>
      </c>
      <c r="NW92" s="2061">
        <f t="shared" si="61"/>
        <v>0</v>
      </c>
      <c r="NX92" s="2061">
        <f t="shared" si="61"/>
        <v>0</v>
      </c>
      <c r="NY92" s="2061">
        <f t="shared" si="61"/>
        <v>0</v>
      </c>
      <c r="NZ92" s="2061">
        <f t="shared" si="61"/>
        <v>0</v>
      </c>
      <c r="OA92" s="2061">
        <f t="shared" ref="OA92:QL92" si="62">SUM(OA78:OA91)</f>
        <v>0</v>
      </c>
      <c r="OB92" s="2061">
        <f t="shared" si="62"/>
        <v>0</v>
      </c>
      <c r="OC92" s="2061">
        <f t="shared" si="62"/>
        <v>0</v>
      </c>
      <c r="OD92" s="2061">
        <f t="shared" si="62"/>
        <v>0</v>
      </c>
      <c r="OE92" s="2061">
        <f t="shared" si="62"/>
        <v>0</v>
      </c>
      <c r="OF92" s="2061">
        <f t="shared" si="62"/>
        <v>0</v>
      </c>
      <c r="OG92" s="2061">
        <f t="shared" si="62"/>
        <v>0</v>
      </c>
      <c r="OH92" s="2061">
        <f t="shared" si="62"/>
        <v>0</v>
      </c>
      <c r="OI92" s="2061">
        <f t="shared" si="62"/>
        <v>0</v>
      </c>
      <c r="OJ92" s="2061">
        <f t="shared" si="62"/>
        <v>0</v>
      </c>
      <c r="OK92" s="2061">
        <f t="shared" si="62"/>
        <v>0</v>
      </c>
      <c r="OL92" s="2061">
        <f t="shared" si="62"/>
        <v>0</v>
      </c>
      <c r="OM92" s="2061">
        <f t="shared" si="62"/>
        <v>0</v>
      </c>
      <c r="ON92" s="2061">
        <f t="shared" si="62"/>
        <v>0</v>
      </c>
      <c r="OO92" s="2061">
        <f t="shared" si="62"/>
        <v>0</v>
      </c>
      <c r="OP92" s="2061">
        <f t="shared" si="62"/>
        <v>0</v>
      </c>
      <c r="OQ92" s="2061">
        <f t="shared" si="62"/>
        <v>0</v>
      </c>
      <c r="OR92" s="2061">
        <f t="shared" si="62"/>
        <v>0</v>
      </c>
      <c r="OS92" s="2061">
        <f t="shared" si="62"/>
        <v>0</v>
      </c>
      <c r="OT92" s="2061">
        <f t="shared" si="62"/>
        <v>0</v>
      </c>
      <c r="OU92" s="2061">
        <f t="shared" si="62"/>
        <v>0</v>
      </c>
      <c r="OV92" s="2061">
        <f t="shared" si="62"/>
        <v>0</v>
      </c>
      <c r="OW92" s="2061">
        <f t="shared" si="62"/>
        <v>0</v>
      </c>
      <c r="OX92" s="2061">
        <f t="shared" si="62"/>
        <v>0</v>
      </c>
      <c r="OY92" s="2061">
        <f t="shared" si="62"/>
        <v>0</v>
      </c>
      <c r="OZ92" s="2061">
        <f t="shared" si="62"/>
        <v>0</v>
      </c>
      <c r="PA92" s="2061">
        <f t="shared" si="62"/>
        <v>0</v>
      </c>
      <c r="PB92" s="2061">
        <f t="shared" si="62"/>
        <v>0</v>
      </c>
      <c r="PC92" s="2061">
        <f t="shared" si="62"/>
        <v>0</v>
      </c>
      <c r="PD92" s="2061">
        <f t="shared" si="62"/>
        <v>0</v>
      </c>
      <c r="PE92" s="2061">
        <f t="shared" si="62"/>
        <v>0</v>
      </c>
      <c r="PF92" s="2061">
        <f t="shared" si="62"/>
        <v>0</v>
      </c>
      <c r="PG92" s="2061">
        <f t="shared" si="62"/>
        <v>0</v>
      </c>
      <c r="PH92" s="2061">
        <f t="shared" si="62"/>
        <v>0</v>
      </c>
      <c r="PI92" s="2061">
        <f t="shared" si="62"/>
        <v>0</v>
      </c>
      <c r="PJ92" s="2061">
        <f t="shared" si="62"/>
        <v>0</v>
      </c>
      <c r="PK92" s="2061">
        <f t="shared" si="62"/>
        <v>0</v>
      </c>
      <c r="PL92" s="2061">
        <f t="shared" si="62"/>
        <v>0</v>
      </c>
      <c r="PM92" s="2061">
        <f t="shared" si="62"/>
        <v>0</v>
      </c>
      <c r="PN92" s="2061">
        <f t="shared" si="62"/>
        <v>0</v>
      </c>
      <c r="PO92" s="2061">
        <f t="shared" si="62"/>
        <v>0</v>
      </c>
      <c r="PP92" s="2061">
        <f t="shared" si="62"/>
        <v>0</v>
      </c>
      <c r="PQ92" s="2061">
        <f t="shared" si="62"/>
        <v>0</v>
      </c>
      <c r="PR92" s="2061">
        <f t="shared" si="62"/>
        <v>0</v>
      </c>
      <c r="PS92" s="2061">
        <f t="shared" si="62"/>
        <v>0</v>
      </c>
      <c r="PT92" s="2061">
        <f t="shared" si="62"/>
        <v>0</v>
      </c>
      <c r="PU92" s="2061">
        <f t="shared" si="62"/>
        <v>0</v>
      </c>
      <c r="PV92" s="2061">
        <f t="shared" si="62"/>
        <v>0</v>
      </c>
      <c r="PW92" s="2061">
        <f t="shared" si="62"/>
        <v>0</v>
      </c>
      <c r="PX92" s="2061">
        <f t="shared" si="62"/>
        <v>0</v>
      </c>
      <c r="PY92" s="2061">
        <f t="shared" si="62"/>
        <v>0</v>
      </c>
      <c r="PZ92" s="2061">
        <f t="shared" si="62"/>
        <v>0</v>
      </c>
      <c r="QA92" s="2061">
        <f t="shared" si="62"/>
        <v>0</v>
      </c>
      <c r="QB92" s="2061">
        <f t="shared" si="62"/>
        <v>0</v>
      </c>
      <c r="QC92" s="2061">
        <f t="shared" si="62"/>
        <v>0</v>
      </c>
      <c r="QD92" s="2061">
        <f t="shared" si="62"/>
        <v>0</v>
      </c>
      <c r="QE92" s="2061">
        <f t="shared" si="62"/>
        <v>0</v>
      </c>
      <c r="QF92" s="2061">
        <f t="shared" si="62"/>
        <v>0</v>
      </c>
      <c r="QG92" s="2061">
        <f t="shared" si="62"/>
        <v>0</v>
      </c>
      <c r="QH92" s="2061">
        <f t="shared" si="62"/>
        <v>0</v>
      </c>
      <c r="QI92" s="2061">
        <f t="shared" si="62"/>
        <v>0</v>
      </c>
      <c r="QJ92" s="2061">
        <f t="shared" si="62"/>
        <v>0</v>
      </c>
      <c r="QK92" s="2061">
        <f t="shared" si="62"/>
        <v>0</v>
      </c>
      <c r="QL92" s="2061">
        <f t="shared" si="62"/>
        <v>0</v>
      </c>
      <c r="QM92" s="2061">
        <f t="shared" ref="QM92:SX92" si="63">SUM(QM78:QM91)</f>
        <v>0</v>
      </c>
      <c r="QN92" s="2061">
        <f t="shared" si="63"/>
        <v>0</v>
      </c>
      <c r="QO92" s="2061">
        <f t="shared" si="63"/>
        <v>0</v>
      </c>
      <c r="QP92" s="2061">
        <f t="shared" si="63"/>
        <v>0</v>
      </c>
      <c r="QQ92" s="2061">
        <f t="shared" si="63"/>
        <v>0</v>
      </c>
      <c r="QR92" s="2061">
        <f t="shared" si="63"/>
        <v>0</v>
      </c>
      <c r="QS92" s="2061">
        <f t="shared" si="63"/>
        <v>0</v>
      </c>
      <c r="QT92" s="2061">
        <f t="shared" si="63"/>
        <v>0</v>
      </c>
      <c r="QU92" s="2061">
        <f t="shared" si="63"/>
        <v>0</v>
      </c>
      <c r="QV92" s="2061">
        <f t="shared" si="63"/>
        <v>0</v>
      </c>
      <c r="QW92" s="2061">
        <f t="shared" si="63"/>
        <v>0</v>
      </c>
      <c r="QX92" s="2061">
        <f t="shared" si="63"/>
        <v>0</v>
      </c>
      <c r="QY92" s="2061">
        <f t="shared" si="63"/>
        <v>0</v>
      </c>
      <c r="QZ92" s="2061">
        <f t="shared" si="63"/>
        <v>0</v>
      </c>
      <c r="RA92" s="2061">
        <f t="shared" si="63"/>
        <v>0</v>
      </c>
      <c r="RB92" s="2061">
        <f t="shared" si="63"/>
        <v>0</v>
      </c>
      <c r="RC92" s="2061">
        <f t="shared" si="63"/>
        <v>0</v>
      </c>
      <c r="RD92" s="2061">
        <f t="shared" si="63"/>
        <v>0</v>
      </c>
      <c r="RE92" s="2061">
        <f t="shared" si="63"/>
        <v>0</v>
      </c>
      <c r="RF92" s="2061">
        <f t="shared" si="63"/>
        <v>0</v>
      </c>
      <c r="RG92" s="2061">
        <f t="shared" si="63"/>
        <v>0</v>
      </c>
      <c r="RH92" s="2061">
        <f t="shared" si="63"/>
        <v>0</v>
      </c>
      <c r="RI92" s="2061">
        <f t="shared" si="63"/>
        <v>0</v>
      </c>
      <c r="RJ92" s="2061">
        <f t="shared" si="63"/>
        <v>0</v>
      </c>
      <c r="RK92" s="2061">
        <f t="shared" si="63"/>
        <v>0</v>
      </c>
      <c r="RL92" s="2061">
        <f t="shared" si="63"/>
        <v>0</v>
      </c>
      <c r="RM92" s="2061">
        <f t="shared" si="63"/>
        <v>0</v>
      </c>
      <c r="RN92" s="2061">
        <f t="shared" si="63"/>
        <v>0</v>
      </c>
      <c r="RO92" s="2061">
        <f t="shared" si="63"/>
        <v>0</v>
      </c>
      <c r="RP92" s="2061">
        <f t="shared" si="63"/>
        <v>0</v>
      </c>
      <c r="RQ92" s="2061">
        <f t="shared" si="63"/>
        <v>0</v>
      </c>
      <c r="RR92" s="2061">
        <f t="shared" si="63"/>
        <v>0</v>
      </c>
      <c r="RS92" s="2061">
        <f t="shared" si="63"/>
        <v>0</v>
      </c>
      <c r="RT92" s="2061">
        <f t="shared" si="63"/>
        <v>0</v>
      </c>
      <c r="RU92" s="2061">
        <f t="shared" si="63"/>
        <v>0</v>
      </c>
      <c r="RV92" s="2061">
        <f t="shared" si="63"/>
        <v>0</v>
      </c>
      <c r="RW92" s="2061">
        <f t="shared" si="63"/>
        <v>0</v>
      </c>
      <c r="RX92" s="2061">
        <f t="shared" si="63"/>
        <v>0</v>
      </c>
      <c r="RY92" s="2061">
        <f t="shared" si="63"/>
        <v>0</v>
      </c>
      <c r="RZ92" s="2061">
        <f t="shared" si="63"/>
        <v>0</v>
      </c>
      <c r="SA92" s="2061">
        <f t="shared" si="63"/>
        <v>0</v>
      </c>
      <c r="SB92" s="2061">
        <f t="shared" si="63"/>
        <v>0</v>
      </c>
      <c r="SC92" s="2061">
        <f t="shared" si="63"/>
        <v>0</v>
      </c>
      <c r="SD92" s="2061">
        <f t="shared" si="63"/>
        <v>0</v>
      </c>
      <c r="SE92" s="2061">
        <f t="shared" si="63"/>
        <v>0</v>
      </c>
      <c r="SF92" s="2061">
        <f t="shared" si="63"/>
        <v>0</v>
      </c>
      <c r="SG92" s="2061">
        <f t="shared" si="63"/>
        <v>0</v>
      </c>
      <c r="SH92" s="2061">
        <f t="shared" si="63"/>
        <v>0</v>
      </c>
      <c r="SI92" s="2061">
        <f t="shared" si="63"/>
        <v>0</v>
      </c>
      <c r="SJ92" s="2061">
        <f t="shared" si="63"/>
        <v>0</v>
      </c>
      <c r="SK92" s="2061">
        <f t="shared" si="63"/>
        <v>0</v>
      </c>
      <c r="SL92" s="2061">
        <f t="shared" si="63"/>
        <v>0</v>
      </c>
      <c r="SM92" s="2061">
        <f t="shared" si="63"/>
        <v>0</v>
      </c>
      <c r="SN92" s="2061">
        <f t="shared" si="63"/>
        <v>0</v>
      </c>
      <c r="SO92" s="2061">
        <f t="shared" si="63"/>
        <v>0</v>
      </c>
      <c r="SP92" s="2061">
        <f t="shared" si="63"/>
        <v>0</v>
      </c>
      <c r="SQ92" s="2061">
        <f t="shared" si="63"/>
        <v>0</v>
      </c>
      <c r="SR92" s="2061">
        <f t="shared" si="63"/>
        <v>0</v>
      </c>
      <c r="SS92" s="2061">
        <f t="shared" si="63"/>
        <v>0</v>
      </c>
      <c r="ST92" s="2061">
        <f t="shared" si="63"/>
        <v>0</v>
      </c>
      <c r="SU92" s="2061">
        <f t="shared" si="63"/>
        <v>0</v>
      </c>
      <c r="SV92" s="2061">
        <f t="shared" si="63"/>
        <v>0</v>
      </c>
      <c r="SW92" s="2061">
        <f t="shared" si="63"/>
        <v>0</v>
      </c>
      <c r="SX92" s="2061">
        <f t="shared" si="63"/>
        <v>0</v>
      </c>
      <c r="SY92" s="2061">
        <f t="shared" ref="SY92:VJ92" si="64">SUM(SY78:SY91)</f>
        <v>0</v>
      </c>
      <c r="SZ92" s="2061">
        <f t="shared" si="64"/>
        <v>0</v>
      </c>
      <c r="TA92" s="2061">
        <f t="shared" si="64"/>
        <v>0</v>
      </c>
      <c r="TB92" s="2061">
        <f t="shared" si="64"/>
        <v>0</v>
      </c>
      <c r="TC92" s="2061">
        <f t="shared" si="64"/>
        <v>0</v>
      </c>
      <c r="TD92" s="2061">
        <f t="shared" si="64"/>
        <v>0</v>
      </c>
      <c r="TE92" s="2061">
        <f t="shared" si="64"/>
        <v>0</v>
      </c>
      <c r="TF92" s="2061">
        <f t="shared" si="64"/>
        <v>0</v>
      </c>
      <c r="TG92" s="2061">
        <f t="shared" si="64"/>
        <v>0</v>
      </c>
      <c r="TH92" s="2061">
        <f t="shared" si="64"/>
        <v>0</v>
      </c>
      <c r="TI92" s="2061">
        <f t="shared" si="64"/>
        <v>0</v>
      </c>
      <c r="TJ92" s="2061">
        <f t="shared" si="64"/>
        <v>0</v>
      </c>
      <c r="TK92" s="2061">
        <f t="shared" si="64"/>
        <v>0</v>
      </c>
      <c r="TL92" s="2061">
        <f t="shared" si="64"/>
        <v>0</v>
      </c>
      <c r="TM92" s="2061">
        <f t="shared" si="64"/>
        <v>0</v>
      </c>
      <c r="TN92" s="2061">
        <f t="shared" si="64"/>
        <v>0</v>
      </c>
      <c r="TO92" s="2061">
        <f t="shared" si="64"/>
        <v>0</v>
      </c>
      <c r="TP92" s="2061">
        <f t="shared" si="64"/>
        <v>0</v>
      </c>
      <c r="TQ92" s="2061">
        <f t="shared" si="64"/>
        <v>0</v>
      </c>
      <c r="TR92" s="2061">
        <f t="shared" si="64"/>
        <v>0</v>
      </c>
      <c r="TS92" s="2061">
        <f t="shared" si="64"/>
        <v>0</v>
      </c>
      <c r="TT92" s="2061">
        <f t="shared" si="64"/>
        <v>0</v>
      </c>
      <c r="TU92" s="2061">
        <f t="shared" si="64"/>
        <v>0</v>
      </c>
      <c r="TV92" s="2061">
        <f t="shared" si="64"/>
        <v>0</v>
      </c>
      <c r="TW92" s="2061">
        <f t="shared" si="64"/>
        <v>0</v>
      </c>
      <c r="TX92" s="2061">
        <f t="shared" si="64"/>
        <v>0</v>
      </c>
      <c r="TY92" s="2061">
        <f t="shared" si="64"/>
        <v>0</v>
      </c>
      <c r="TZ92" s="2061">
        <f t="shared" si="64"/>
        <v>0</v>
      </c>
      <c r="UA92" s="2061">
        <f t="shared" si="64"/>
        <v>0</v>
      </c>
      <c r="UB92" s="2061">
        <f t="shared" si="64"/>
        <v>0</v>
      </c>
      <c r="UC92" s="2061">
        <f t="shared" si="64"/>
        <v>0</v>
      </c>
      <c r="UD92" s="2061">
        <f t="shared" si="64"/>
        <v>0</v>
      </c>
      <c r="UE92" s="2061">
        <f t="shared" si="64"/>
        <v>0</v>
      </c>
      <c r="UF92" s="2061">
        <f t="shared" si="64"/>
        <v>0</v>
      </c>
      <c r="UG92" s="2061">
        <f t="shared" si="64"/>
        <v>0</v>
      </c>
      <c r="UH92" s="2061">
        <f t="shared" si="64"/>
        <v>0</v>
      </c>
      <c r="UI92" s="2061">
        <f t="shared" si="64"/>
        <v>0</v>
      </c>
      <c r="UJ92" s="2061">
        <f t="shared" si="64"/>
        <v>0</v>
      </c>
      <c r="UK92" s="2061">
        <f t="shared" si="64"/>
        <v>0</v>
      </c>
      <c r="UL92" s="2061">
        <f t="shared" si="64"/>
        <v>0</v>
      </c>
      <c r="UM92" s="2061">
        <f t="shared" si="64"/>
        <v>0</v>
      </c>
      <c r="UN92" s="2061">
        <f t="shared" si="64"/>
        <v>0</v>
      </c>
      <c r="UO92" s="2061">
        <f t="shared" si="64"/>
        <v>0</v>
      </c>
      <c r="UP92" s="2061">
        <f t="shared" si="64"/>
        <v>0</v>
      </c>
      <c r="UQ92" s="2061">
        <f t="shared" si="64"/>
        <v>0</v>
      </c>
      <c r="UR92" s="2061">
        <f t="shared" si="64"/>
        <v>0</v>
      </c>
      <c r="US92" s="2061">
        <f t="shared" si="64"/>
        <v>0</v>
      </c>
      <c r="UT92" s="2061">
        <f t="shared" si="64"/>
        <v>0</v>
      </c>
      <c r="UU92" s="2061">
        <f t="shared" si="64"/>
        <v>0</v>
      </c>
      <c r="UV92" s="2061">
        <f t="shared" si="64"/>
        <v>0</v>
      </c>
      <c r="UW92" s="2061">
        <f t="shared" si="64"/>
        <v>0</v>
      </c>
      <c r="UX92" s="2061">
        <f t="shared" si="64"/>
        <v>0</v>
      </c>
      <c r="UY92" s="2061">
        <f t="shared" si="64"/>
        <v>0</v>
      </c>
      <c r="UZ92" s="2061">
        <f t="shared" si="64"/>
        <v>0</v>
      </c>
      <c r="VA92" s="2061">
        <f t="shared" si="64"/>
        <v>0</v>
      </c>
      <c r="VB92" s="2061">
        <f t="shared" si="64"/>
        <v>0</v>
      </c>
      <c r="VC92" s="2061">
        <f t="shared" si="64"/>
        <v>0</v>
      </c>
      <c r="VD92" s="2061">
        <f t="shared" si="64"/>
        <v>0</v>
      </c>
      <c r="VE92" s="2061">
        <f t="shared" si="64"/>
        <v>0</v>
      </c>
      <c r="VF92" s="2061">
        <f t="shared" si="64"/>
        <v>0</v>
      </c>
      <c r="VG92" s="2061">
        <f t="shared" si="64"/>
        <v>0</v>
      </c>
      <c r="VH92" s="2061">
        <f t="shared" si="64"/>
        <v>0</v>
      </c>
      <c r="VI92" s="2061">
        <f t="shared" si="64"/>
        <v>0</v>
      </c>
      <c r="VJ92" s="2061">
        <f t="shared" si="64"/>
        <v>0</v>
      </c>
      <c r="VK92" s="2061">
        <f>SUM(VK78:VK91)</f>
        <v>0</v>
      </c>
    </row>
    <row r="93" spans="2:583" s="1296" customFormat="1" x14ac:dyDescent="0.25">
      <c r="B93" s="2080" t="s">
        <v>61</v>
      </c>
      <c r="C93" s="2081" t="s">
        <v>2931</v>
      </c>
      <c r="D93" s="2081" t="s">
        <v>61</v>
      </c>
      <c r="E93" s="2081" t="s">
        <v>2931</v>
      </c>
      <c r="F93" s="2082">
        <f>24*365*1</f>
        <v>8760</v>
      </c>
      <c r="G93" s="2082">
        <f t="shared" ref="G93:BR93" si="65">24*365*1</f>
        <v>8760</v>
      </c>
      <c r="H93" s="2082">
        <f t="shared" si="65"/>
        <v>8760</v>
      </c>
      <c r="I93" s="2082">
        <f t="shared" si="65"/>
        <v>8760</v>
      </c>
      <c r="J93" s="2082">
        <f t="shared" si="65"/>
        <v>8760</v>
      </c>
      <c r="K93" s="2082">
        <f t="shared" si="65"/>
        <v>8760</v>
      </c>
      <c r="L93" s="2082">
        <f t="shared" si="65"/>
        <v>8760</v>
      </c>
      <c r="M93" s="2082">
        <f t="shared" si="65"/>
        <v>8760</v>
      </c>
      <c r="N93" s="2082">
        <f t="shared" si="65"/>
        <v>8760</v>
      </c>
      <c r="O93" s="2082">
        <f t="shared" si="65"/>
        <v>8760</v>
      </c>
      <c r="P93" s="2082">
        <f t="shared" si="65"/>
        <v>8760</v>
      </c>
      <c r="Q93" s="2082">
        <f t="shared" si="65"/>
        <v>8760</v>
      </c>
      <c r="R93" s="2082">
        <f t="shared" si="65"/>
        <v>8760</v>
      </c>
      <c r="S93" s="2082">
        <f t="shared" si="65"/>
        <v>8760</v>
      </c>
      <c r="T93" s="2082">
        <f t="shared" si="65"/>
        <v>8760</v>
      </c>
      <c r="U93" s="2082">
        <f t="shared" si="65"/>
        <v>8760</v>
      </c>
      <c r="V93" s="2082">
        <f t="shared" si="65"/>
        <v>8760</v>
      </c>
      <c r="W93" s="2082">
        <f t="shared" si="65"/>
        <v>8760</v>
      </c>
      <c r="X93" s="2082">
        <f t="shared" si="65"/>
        <v>8760</v>
      </c>
      <c r="Y93" s="2082">
        <f t="shared" si="65"/>
        <v>8760</v>
      </c>
      <c r="Z93" s="2082">
        <f t="shared" si="65"/>
        <v>8760</v>
      </c>
      <c r="AA93" s="2082">
        <f t="shared" si="65"/>
        <v>8760</v>
      </c>
      <c r="AB93" s="2082">
        <f t="shared" si="65"/>
        <v>8760</v>
      </c>
      <c r="AC93" s="2082">
        <f t="shared" si="65"/>
        <v>8760</v>
      </c>
      <c r="AD93" s="2082">
        <f t="shared" si="65"/>
        <v>8760</v>
      </c>
      <c r="AE93" s="2082">
        <f t="shared" si="65"/>
        <v>8760</v>
      </c>
      <c r="AF93" s="2082">
        <f t="shared" si="65"/>
        <v>8760</v>
      </c>
      <c r="AG93" s="2082">
        <f t="shared" si="65"/>
        <v>8760</v>
      </c>
      <c r="AH93" s="2082">
        <f t="shared" si="65"/>
        <v>8760</v>
      </c>
      <c r="AI93" s="2082">
        <f t="shared" si="65"/>
        <v>8760</v>
      </c>
      <c r="AJ93" s="2082">
        <f t="shared" si="65"/>
        <v>8760</v>
      </c>
      <c r="AK93" s="2082">
        <f t="shared" si="65"/>
        <v>8760</v>
      </c>
      <c r="AL93" s="2082">
        <f t="shared" si="65"/>
        <v>8760</v>
      </c>
      <c r="AM93" s="2082">
        <f t="shared" si="65"/>
        <v>8760</v>
      </c>
      <c r="AN93" s="2082">
        <f t="shared" si="65"/>
        <v>8760</v>
      </c>
      <c r="AO93" s="2082">
        <f t="shared" si="65"/>
        <v>8760</v>
      </c>
      <c r="AP93" s="2082">
        <f t="shared" si="65"/>
        <v>8760</v>
      </c>
      <c r="AQ93" s="2082">
        <f t="shared" si="65"/>
        <v>8760</v>
      </c>
      <c r="AR93" s="2082">
        <f t="shared" si="65"/>
        <v>8760</v>
      </c>
      <c r="AS93" s="2082">
        <f t="shared" si="65"/>
        <v>8760</v>
      </c>
      <c r="AT93" s="2082">
        <f t="shared" si="65"/>
        <v>8760</v>
      </c>
      <c r="AU93" s="2082">
        <f t="shared" si="65"/>
        <v>8760</v>
      </c>
      <c r="AV93" s="2082">
        <f t="shared" si="65"/>
        <v>8760</v>
      </c>
      <c r="AW93" s="2082">
        <f t="shared" si="65"/>
        <v>8760</v>
      </c>
      <c r="AX93" s="2082">
        <f t="shared" si="65"/>
        <v>8760</v>
      </c>
      <c r="AY93" s="2082">
        <f t="shared" si="65"/>
        <v>8760</v>
      </c>
      <c r="AZ93" s="2082">
        <f t="shared" si="65"/>
        <v>8760</v>
      </c>
      <c r="BA93" s="2082">
        <f t="shared" si="65"/>
        <v>8760</v>
      </c>
      <c r="BB93" s="2082">
        <f t="shared" si="65"/>
        <v>8760</v>
      </c>
      <c r="BC93" s="2082">
        <f t="shared" si="65"/>
        <v>8760</v>
      </c>
      <c r="BD93" s="2082">
        <f t="shared" si="65"/>
        <v>8760</v>
      </c>
      <c r="BE93" s="2082">
        <f t="shared" si="65"/>
        <v>8760</v>
      </c>
      <c r="BF93" s="2082">
        <f t="shared" si="65"/>
        <v>8760</v>
      </c>
      <c r="BG93" s="2082">
        <f t="shared" si="65"/>
        <v>8760</v>
      </c>
      <c r="BH93" s="2082">
        <f t="shared" si="65"/>
        <v>8760</v>
      </c>
      <c r="BI93" s="2082">
        <f t="shared" si="65"/>
        <v>8760</v>
      </c>
      <c r="BJ93" s="2082">
        <f t="shared" si="65"/>
        <v>8760</v>
      </c>
      <c r="BK93" s="2082">
        <f t="shared" si="65"/>
        <v>8760</v>
      </c>
      <c r="BL93" s="2082">
        <f t="shared" si="65"/>
        <v>8760</v>
      </c>
      <c r="BM93" s="2082">
        <f t="shared" si="65"/>
        <v>8760</v>
      </c>
      <c r="BN93" s="2082">
        <f t="shared" si="65"/>
        <v>8760</v>
      </c>
      <c r="BO93" s="2082">
        <f t="shared" si="65"/>
        <v>8760</v>
      </c>
      <c r="BP93" s="2082">
        <f t="shared" si="65"/>
        <v>8760</v>
      </c>
      <c r="BQ93" s="2082">
        <f t="shared" si="65"/>
        <v>8760</v>
      </c>
      <c r="BR93" s="2082">
        <f t="shared" si="65"/>
        <v>8760</v>
      </c>
      <c r="BS93" s="2082">
        <f t="shared" ref="BS93:ED93" si="66">24*365*1</f>
        <v>8760</v>
      </c>
      <c r="BT93" s="2082">
        <f t="shared" si="66"/>
        <v>8760</v>
      </c>
      <c r="BU93" s="2082">
        <f t="shared" si="66"/>
        <v>8760</v>
      </c>
      <c r="BV93" s="2082">
        <f t="shared" si="66"/>
        <v>8760</v>
      </c>
      <c r="BW93" s="2082">
        <f t="shared" si="66"/>
        <v>8760</v>
      </c>
      <c r="BX93" s="2082">
        <f t="shared" si="66"/>
        <v>8760</v>
      </c>
      <c r="BY93" s="2082">
        <f t="shared" si="66"/>
        <v>8760</v>
      </c>
      <c r="BZ93" s="2082">
        <f t="shared" si="66"/>
        <v>8760</v>
      </c>
      <c r="CA93" s="2082">
        <f t="shared" si="66"/>
        <v>8760</v>
      </c>
      <c r="CB93" s="2082">
        <f t="shared" si="66"/>
        <v>8760</v>
      </c>
      <c r="CC93" s="2082">
        <f t="shared" si="66"/>
        <v>8760</v>
      </c>
      <c r="CD93" s="2082">
        <f t="shared" si="66"/>
        <v>8760</v>
      </c>
      <c r="CE93" s="2082">
        <f t="shared" si="66"/>
        <v>8760</v>
      </c>
      <c r="CF93" s="2082">
        <f t="shared" si="66"/>
        <v>8760</v>
      </c>
      <c r="CG93" s="2082">
        <f t="shared" si="66"/>
        <v>8760</v>
      </c>
      <c r="CH93" s="2082">
        <f t="shared" si="66"/>
        <v>8760</v>
      </c>
      <c r="CI93" s="2082">
        <f t="shared" si="66"/>
        <v>8760</v>
      </c>
      <c r="CJ93" s="2082">
        <f t="shared" si="66"/>
        <v>8760</v>
      </c>
      <c r="CK93" s="2082">
        <f t="shared" si="66"/>
        <v>8760</v>
      </c>
      <c r="CL93" s="2082">
        <f t="shared" si="66"/>
        <v>8760</v>
      </c>
      <c r="CM93" s="2082">
        <f t="shared" si="66"/>
        <v>8760</v>
      </c>
      <c r="CN93" s="2082">
        <f t="shared" si="66"/>
        <v>8760</v>
      </c>
      <c r="CO93" s="2082">
        <f t="shared" si="66"/>
        <v>8760</v>
      </c>
      <c r="CP93" s="2082">
        <f t="shared" si="66"/>
        <v>8760</v>
      </c>
      <c r="CQ93" s="2082">
        <f t="shared" si="66"/>
        <v>8760</v>
      </c>
      <c r="CR93" s="2082">
        <f t="shared" si="66"/>
        <v>8760</v>
      </c>
      <c r="CS93" s="2082">
        <f t="shared" si="66"/>
        <v>8760</v>
      </c>
      <c r="CT93" s="2082">
        <f t="shared" si="66"/>
        <v>8760</v>
      </c>
      <c r="CU93" s="2082">
        <f t="shared" si="66"/>
        <v>8760</v>
      </c>
      <c r="CV93" s="2082">
        <f t="shared" si="66"/>
        <v>8760</v>
      </c>
      <c r="CW93" s="2082">
        <f t="shared" si="66"/>
        <v>8760</v>
      </c>
      <c r="CX93" s="2082">
        <f t="shared" si="66"/>
        <v>8760</v>
      </c>
      <c r="CY93" s="2082">
        <f t="shared" si="66"/>
        <v>8760</v>
      </c>
      <c r="CZ93" s="2082">
        <f t="shared" si="66"/>
        <v>8760</v>
      </c>
      <c r="DA93" s="2082">
        <f t="shared" si="66"/>
        <v>8760</v>
      </c>
      <c r="DB93" s="2082">
        <f t="shared" si="66"/>
        <v>8760</v>
      </c>
      <c r="DC93" s="2082">
        <f t="shared" si="66"/>
        <v>8760</v>
      </c>
      <c r="DD93" s="2082">
        <f t="shared" si="66"/>
        <v>8760</v>
      </c>
      <c r="DE93" s="2082">
        <f t="shared" si="66"/>
        <v>8760</v>
      </c>
      <c r="DF93" s="2082">
        <f t="shared" si="66"/>
        <v>8760</v>
      </c>
      <c r="DG93" s="2082">
        <f t="shared" si="66"/>
        <v>8760</v>
      </c>
      <c r="DH93" s="2082">
        <f t="shared" si="66"/>
        <v>8760</v>
      </c>
      <c r="DI93" s="2082">
        <f t="shared" si="66"/>
        <v>8760</v>
      </c>
      <c r="DJ93" s="2082">
        <f t="shared" si="66"/>
        <v>8760</v>
      </c>
      <c r="DK93" s="2082">
        <f t="shared" si="66"/>
        <v>8760</v>
      </c>
      <c r="DL93" s="2082">
        <f t="shared" si="66"/>
        <v>8760</v>
      </c>
      <c r="DM93" s="2082">
        <f t="shared" si="66"/>
        <v>8760</v>
      </c>
      <c r="DN93" s="2082">
        <f t="shared" si="66"/>
        <v>8760</v>
      </c>
      <c r="DO93" s="2082">
        <f t="shared" si="66"/>
        <v>8760</v>
      </c>
      <c r="DP93" s="2082">
        <f t="shared" si="66"/>
        <v>8760</v>
      </c>
      <c r="DQ93" s="2082">
        <f t="shared" si="66"/>
        <v>8760</v>
      </c>
      <c r="DR93" s="2082">
        <f t="shared" si="66"/>
        <v>8760</v>
      </c>
      <c r="DS93" s="2082">
        <f t="shared" si="66"/>
        <v>8760</v>
      </c>
      <c r="DT93" s="2082">
        <f t="shared" si="66"/>
        <v>8760</v>
      </c>
      <c r="DU93" s="2082">
        <f t="shared" si="66"/>
        <v>8760</v>
      </c>
      <c r="DV93" s="2082">
        <f t="shared" si="66"/>
        <v>8760</v>
      </c>
      <c r="DW93" s="2082">
        <f t="shared" si="66"/>
        <v>8760</v>
      </c>
      <c r="DX93" s="2082">
        <f t="shared" si="66"/>
        <v>8760</v>
      </c>
      <c r="DY93" s="2082">
        <f t="shared" si="66"/>
        <v>8760</v>
      </c>
      <c r="DZ93" s="2082">
        <f t="shared" si="66"/>
        <v>8760</v>
      </c>
      <c r="EA93" s="2082">
        <f t="shared" si="66"/>
        <v>8760</v>
      </c>
      <c r="EB93" s="2082">
        <f t="shared" si="66"/>
        <v>8760</v>
      </c>
      <c r="EC93" s="2082">
        <f t="shared" si="66"/>
        <v>8760</v>
      </c>
      <c r="ED93" s="2082">
        <f t="shared" si="66"/>
        <v>8760</v>
      </c>
      <c r="EE93" s="2082">
        <f t="shared" ref="EE93:GP93" si="67">24*365*1</f>
        <v>8760</v>
      </c>
      <c r="EF93" s="2082">
        <f t="shared" si="67"/>
        <v>8760</v>
      </c>
      <c r="EG93" s="2082">
        <f t="shared" si="67"/>
        <v>8760</v>
      </c>
      <c r="EH93" s="2082">
        <f t="shared" si="67"/>
        <v>8760</v>
      </c>
      <c r="EI93" s="2082">
        <f t="shared" si="67"/>
        <v>8760</v>
      </c>
      <c r="EJ93" s="2082">
        <f t="shared" si="67"/>
        <v>8760</v>
      </c>
      <c r="EK93" s="2082">
        <f t="shared" si="67"/>
        <v>8760</v>
      </c>
      <c r="EL93" s="2082">
        <f t="shared" si="67"/>
        <v>8760</v>
      </c>
      <c r="EM93" s="2082">
        <f t="shared" si="67"/>
        <v>8760</v>
      </c>
      <c r="EN93" s="2082">
        <f t="shared" si="67"/>
        <v>8760</v>
      </c>
      <c r="EO93" s="2082">
        <f t="shared" si="67"/>
        <v>8760</v>
      </c>
      <c r="EP93" s="2082">
        <f t="shared" si="67"/>
        <v>8760</v>
      </c>
      <c r="EQ93" s="2082">
        <f t="shared" si="67"/>
        <v>8760</v>
      </c>
      <c r="ER93" s="2082">
        <f t="shared" si="67"/>
        <v>8760</v>
      </c>
      <c r="ES93" s="2082">
        <f t="shared" si="67"/>
        <v>8760</v>
      </c>
      <c r="ET93" s="2082">
        <f t="shared" si="67"/>
        <v>8760</v>
      </c>
      <c r="EU93" s="2082">
        <f t="shared" si="67"/>
        <v>8760</v>
      </c>
      <c r="EV93" s="2082">
        <f t="shared" si="67"/>
        <v>8760</v>
      </c>
      <c r="EW93" s="2082">
        <f t="shared" si="67"/>
        <v>8760</v>
      </c>
      <c r="EX93" s="2082">
        <f t="shared" si="67"/>
        <v>8760</v>
      </c>
      <c r="EY93" s="2082">
        <f t="shared" si="67"/>
        <v>8760</v>
      </c>
      <c r="EZ93" s="2082">
        <f t="shared" si="67"/>
        <v>8760</v>
      </c>
      <c r="FA93" s="2082">
        <f t="shared" si="67"/>
        <v>8760</v>
      </c>
      <c r="FB93" s="2082">
        <f t="shared" si="67"/>
        <v>8760</v>
      </c>
      <c r="FC93" s="2082">
        <f t="shared" si="67"/>
        <v>8760</v>
      </c>
      <c r="FD93" s="2082">
        <f t="shared" si="67"/>
        <v>8760</v>
      </c>
      <c r="FE93" s="2082">
        <f t="shared" si="67"/>
        <v>8760</v>
      </c>
      <c r="FF93" s="2082">
        <f t="shared" si="67"/>
        <v>8760</v>
      </c>
      <c r="FG93" s="2082">
        <f t="shared" si="67"/>
        <v>8760</v>
      </c>
      <c r="FH93" s="2082">
        <f t="shared" si="67"/>
        <v>8760</v>
      </c>
      <c r="FI93" s="2082">
        <f t="shared" si="67"/>
        <v>8760</v>
      </c>
      <c r="FJ93" s="2082">
        <f t="shared" si="67"/>
        <v>8760</v>
      </c>
      <c r="FK93" s="2082">
        <f t="shared" si="67"/>
        <v>8760</v>
      </c>
      <c r="FL93" s="2082">
        <f t="shared" si="67"/>
        <v>8760</v>
      </c>
      <c r="FM93" s="2082">
        <f t="shared" si="67"/>
        <v>8760</v>
      </c>
      <c r="FN93" s="2082">
        <f t="shared" si="67"/>
        <v>8760</v>
      </c>
      <c r="FO93" s="2082">
        <f t="shared" si="67"/>
        <v>8760</v>
      </c>
      <c r="FP93" s="2082">
        <f t="shared" si="67"/>
        <v>8760</v>
      </c>
      <c r="FQ93" s="2082">
        <f t="shared" si="67"/>
        <v>8760</v>
      </c>
      <c r="FR93" s="2082">
        <f t="shared" si="67"/>
        <v>8760</v>
      </c>
      <c r="FS93" s="2082">
        <f t="shared" si="67"/>
        <v>8760</v>
      </c>
      <c r="FT93" s="2082">
        <f t="shared" si="67"/>
        <v>8760</v>
      </c>
      <c r="FU93" s="2082">
        <f t="shared" si="67"/>
        <v>8760</v>
      </c>
      <c r="FV93" s="2082">
        <f t="shared" si="67"/>
        <v>8760</v>
      </c>
      <c r="FW93" s="2082">
        <f t="shared" si="67"/>
        <v>8760</v>
      </c>
      <c r="FX93" s="2082">
        <f t="shared" si="67"/>
        <v>8760</v>
      </c>
      <c r="FY93" s="2082">
        <f t="shared" si="67"/>
        <v>8760</v>
      </c>
      <c r="FZ93" s="2082">
        <f t="shared" si="67"/>
        <v>8760</v>
      </c>
      <c r="GA93" s="2082">
        <f t="shared" si="67"/>
        <v>8760</v>
      </c>
      <c r="GB93" s="2082">
        <f t="shared" si="67"/>
        <v>8760</v>
      </c>
      <c r="GC93" s="2082">
        <f t="shared" si="67"/>
        <v>8760</v>
      </c>
      <c r="GD93" s="2082">
        <f t="shared" si="67"/>
        <v>8760</v>
      </c>
      <c r="GE93" s="2082">
        <f t="shared" si="67"/>
        <v>8760</v>
      </c>
      <c r="GF93" s="2082">
        <f t="shared" si="67"/>
        <v>8760</v>
      </c>
      <c r="GG93" s="2082">
        <f t="shared" si="67"/>
        <v>8760</v>
      </c>
      <c r="GH93" s="2082">
        <f t="shared" si="67"/>
        <v>8760</v>
      </c>
      <c r="GI93" s="2082">
        <f t="shared" si="67"/>
        <v>8760</v>
      </c>
      <c r="GJ93" s="2082">
        <f t="shared" si="67"/>
        <v>8760</v>
      </c>
      <c r="GK93" s="2082">
        <f t="shared" si="67"/>
        <v>8760</v>
      </c>
      <c r="GL93" s="2082">
        <f t="shared" si="67"/>
        <v>8760</v>
      </c>
      <c r="GM93" s="2082">
        <f t="shared" si="67"/>
        <v>8760</v>
      </c>
      <c r="GN93" s="2082">
        <f t="shared" si="67"/>
        <v>8760</v>
      </c>
      <c r="GO93" s="2082">
        <f t="shared" si="67"/>
        <v>8760</v>
      </c>
      <c r="GP93" s="2082">
        <f t="shared" si="67"/>
        <v>8760</v>
      </c>
      <c r="GQ93" s="2082">
        <f t="shared" ref="GQ93:JB93" si="68">24*365*1</f>
        <v>8760</v>
      </c>
      <c r="GR93" s="2082">
        <f t="shared" si="68"/>
        <v>8760</v>
      </c>
      <c r="GS93" s="2082">
        <f t="shared" si="68"/>
        <v>8760</v>
      </c>
      <c r="GT93" s="2082">
        <f t="shared" si="68"/>
        <v>8760</v>
      </c>
      <c r="GU93" s="2082">
        <f t="shared" si="68"/>
        <v>8760</v>
      </c>
      <c r="GV93" s="2082">
        <f t="shared" si="68"/>
        <v>8760</v>
      </c>
      <c r="GW93" s="2082">
        <f t="shared" si="68"/>
        <v>8760</v>
      </c>
      <c r="GX93" s="2082">
        <f t="shared" si="68"/>
        <v>8760</v>
      </c>
      <c r="GY93" s="2082">
        <f t="shared" si="68"/>
        <v>8760</v>
      </c>
      <c r="GZ93" s="2082">
        <f t="shared" si="68"/>
        <v>8760</v>
      </c>
      <c r="HA93" s="2082">
        <f t="shared" si="68"/>
        <v>8760</v>
      </c>
      <c r="HB93" s="2082">
        <f t="shared" si="68"/>
        <v>8760</v>
      </c>
      <c r="HC93" s="2082">
        <f t="shared" si="68"/>
        <v>8760</v>
      </c>
      <c r="HD93" s="2082">
        <f t="shared" si="68"/>
        <v>8760</v>
      </c>
      <c r="HE93" s="2082">
        <f t="shared" si="68"/>
        <v>8760</v>
      </c>
      <c r="HF93" s="2082">
        <f t="shared" si="68"/>
        <v>8760</v>
      </c>
      <c r="HG93" s="2082">
        <f t="shared" si="68"/>
        <v>8760</v>
      </c>
      <c r="HH93" s="2082">
        <f t="shared" si="68"/>
        <v>8760</v>
      </c>
      <c r="HI93" s="2082">
        <f t="shared" si="68"/>
        <v>8760</v>
      </c>
      <c r="HJ93" s="2082">
        <f t="shared" si="68"/>
        <v>8760</v>
      </c>
      <c r="HK93" s="2082">
        <f t="shared" si="68"/>
        <v>8760</v>
      </c>
      <c r="HL93" s="2082">
        <f t="shared" si="68"/>
        <v>8760</v>
      </c>
      <c r="HM93" s="2082">
        <f t="shared" si="68"/>
        <v>8760</v>
      </c>
      <c r="HN93" s="2082">
        <f t="shared" si="68"/>
        <v>8760</v>
      </c>
      <c r="HO93" s="2082">
        <f t="shared" si="68"/>
        <v>8760</v>
      </c>
      <c r="HP93" s="2082">
        <f t="shared" si="68"/>
        <v>8760</v>
      </c>
      <c r="HQ93" s="2082">
        <f t="shared" si="68"/>
        <v>8760</v>
      </c>
      <c r="HR93" s="2082">
        <f t="shared" si="68"/>
        <v>8760</v>
      </c>
      <c r="HS93" s="2082">
        <f t="shared" si="68"/>
        <v>8760</v>
      </c>
      <c r="HT93" s="2082">
        <f t="shared" si="68"/>
        <v>8760</v>
      </c>
      <c r="HU93" s="2082">
        <f t="shared" si="68"/>
        <v>8760</v>
      </c>
      <c r="HV93" s="2082">
        <f t="shared" si="68"/>
        <v>8760</v>
      </c>
      <c r="HW93" s="2082">
        <f t="shared" si="68"/>
        <v>8760</v>
      </c>
      <c r="HX93" s="2082">
        <f t="shared" si="68"/>
        <v>8760</v>
      </c>
      <c r="HY93" s="2082">
        <f t="shared" si="68"/>
        <v>8760</v>
      </c>
      <c r="HZ93" s="2082">
        <f t="shared" si="68"/>
        <v>8760</v>
      </c>
      <c r="IA93" s="2082">
        <f t="shared" si="68"/>
        <v>8760</v>
      </c>
      <c r="IB93" s="2082">
        <f t="shared" si="68"/>
        <v>8760</v>
      </c>
      <c r="IC93" s="2082">
        <f t="shared" si="68"/>
        <v>8760</v>
      </c>
      <c r="ID93" s="2082">
        <f t="shared" si="68"/>
        <v>8760</v>
      </c>
      <c r="IE93" s="2082">
        <f t="shared" si="68"/>
        <v>8760</v>
      </c>
      <c r="IF93" s="2082">
        <f t="shared" si="68"/>
        <v>8760</v>
      </c>
      <c r="IG93" s="2082">
        <f t="shared" si="68"/>
        <v>8760</v>
      </c>
      <c r="IH93" s="2082">
        <f t="shared" si="68"/>
        <v>8760</v>
      </c>
      <c r="II93" s="2082">
        <f t="shared" si="68"/>
        <v>8760</v>
      </c>
      <c r="IJ93" s="2082">
        <f t="shared" si="68"/>
        <v>8760</v>
      </c>
      <c r="IK93" s="2082">
        <f t="shared" si="68"/>
        <v>8760</v>
      </c>
      <c r="IL93" s="2082">
        <f t="shared" si="68"/>
        <v>8760</v>
      </c>
      <c r="IM93" s="2082">
        <f t="shared" si="68"/>
        <v>8760</v>
      </c>
      <c r="IN93" s="2082">
        <f t="shared" si="68"/>
        <v>8760</v>
      </c>
      <c r="IO93" s="2082">
        <f t="shared" si="68"/>
        <v>8760</v>
      </c>
      <c r="IP93" s="2082">
        <f t="shared" si="68"/>
        <v>8760</v>
      </c>
      <c r="IQ93" s="2082">
        <f t="shared" si="68"/>
        <v>8760</v>
      </c>
      <c r="IR93" s="2082">
        <f t="shared" si="68"/>
        <v>8760</v>
      </c>
      <c r="IS93" s="2082">
        <f t="shared" si="68"/>
        <v>8760</v>
      </c>
      <c r="IT93" s="2082">
        <f t="shared" si="68"/>
        <v>8760</v>
      </c>
      <c r="IU93" s="2082">
        <f t="shared" si="68"/>
        <v>8760</v>
      </c>
      <c r="IV93" s="2082">
        <f t="shared" si="68"/>
        <v>8760</v>
      </c>
      <c r="IW93" s="2082">
        <f t="shared" si="68"/>
        <v>8760</v>
      </c>
      <c r="IX93" s="2082">
        <f t="shared" si="68"/>
        <v>8760</v>
      </c>
      <c r="IY93" s="2082">
        <f t="shared" si="68"/>
        <v>8760</v>
      </c>
      <c r="IZ93" s="2082">
        <f t="shared" si="68"/>
        <v>8760</v>
      </c>
      <c r="JA93" s="2082">
        <f t="shared" si="68"/>
        <v>8760</v>
      </c>
      <c r="JB93" s="2082">
        <f t="shared" si="68"/>
        <v>8760</v>
      </c>
      <c r="JC93" s="2082">
        <f t="shared" ref="JC93:LN93" si="69">24*365*1</f>
        <v>8760</v>
      </c>
      <c r="JD93" s="2082">
        <f t="shared" si="69"/>
        <v>8760</v>
      </c>
      <c r="JE93" s="2082">
        <f t="shared" si="69"/>
        <v>8760</v>
      </c>
      <c r="JF93" s="2082">
        <f t="shared" si="69"/>
        <v>8760</v>
      </c>
      <c r="JG93" s="2082">
        <f t="shared" si="69"/>
        <v>8760</v>
      </c>
      <c r="JH93" s="2082">
        <f t="shared" si="69"/>
        <v>8760</v>
      </c>
      <c r="JI93" s="2082">
        <f t="shared" si="69"/>
        <v>8760</v>
      </c>
      <c r="JJ93" s="2082">
        <f t="shared" si="69"/>
        <v>8760</v>
      </c>
      <c r="JK93" s="2082">
        <f t="shared" si="69"/>
        <v>8760</v>
      </c>
      <c r="JL93" s="2082">
        <f t="shared" si="69"/>
        <v>8760</v>
      </c>
      <c r="JM93" s="2082">
        <f t="shared" si="69"/>
        <v>8760</v>
      </c>
      <c r="JN93" s="2082">
        <f t="shared" si="69"/>
        <v>8760</v>
      </c>
      <c r="JO93" s="2082">
        <f t="shared" si="69"/>
        <v>8760</v>
      </c>
      <c r="JP93" s="2082">
        <f t="shared" si="69"/>
        <v>8760</v>
      </c>
      <c r="JQ93" s="2082">
        <f t="shared" si="69"/>
        <v>8760</v>
      </c>
      <c r="JR93" s="2082">
        <f t="shared" si="69"/>
        <v>8760</v>
      </c>
      <c r="JS93" s="2082">
        <f t="shared" si="69"/>
        <v>8760</v>
      </c>
      <c r="JT93" s="2082">
        <f t="shared" si="69"/>
        <v>8760</v>
      </c>
      <c r="JU93" s="2082">
        <f t="shared" si="69"/>
        <v>8760</v>
      </c>
      <c r="JV93" s="2082">
        <f t="shared" si="69"/>
        <v>8760</v>
      </c>
      <c r="JW93" s="2082">
        <f t="shared" si="69"/>
        <v>8760</v>
      </c>
      <c r="JX93" s="2082">
        <f t="shared" si="69"/>
        <v>8760</v>
      </c>
      <c r="JY93" s="2082">
        <f t="shared" si="69"/>
        <v>8760</v>
      </c>
      <c r="JZ93" s="2082">
        <f t="shared" si="69"/>
        <v>8760</v>
      </c>
      <c r="KA93" s="2082">
        <f t="shared" si="69"/>
        <v>8760</v>
      </c>
      <c r="KB93" s="2082">
        <f t="shared" si="69"/>
        <v>8760</v>
      </c>
      <c r="KC93" s="2082">
        <f t="shared" si="69"/>
        <v>8760</v>
      </c>
      <c r="KD93" s="2082">
        <f t="shared" si="69"/>
        <v>8760</v>
      </c>
      <c r="KE93" s="2082">
        <f t="shared" si="69"/>
        <v>8760</v>
      </c>
      <c r="KF93" s="2082">
        <f t="shared" si="69"/>
        <v>8760</v>
      </c>
      <c r="KG93" s="2082">
        <f t="shared" si="69"/>
        <v>8760</v>
      </c>
      <c r="KH93" s="2082">
        <f t="shared" si="69"/>
        <v>8760</v>
      </c>
      <c r="KI93" s="2082">
        <f t="shared" si="69"/>
        <v>8760</v>
      </c>
      <c r="KJ93" s="2082">
        <f t="shared" si="69"/>
        <v>8760</v>
      </c>
      <c r="KK93" s="2082">
        <f t="shared" si="69"/>
        <v>8760</v>
      </c>
      <c r="KL93" s="2082">
        <f t="shared" si="69"/>
        <v>8760</v>
      </c>
      <c r="KM93" s="2082">
        <f t="shared" si="69"/>
        <v>8760</v>
      </c>
      <c r="KN93" s="2082">
        <f t="shared" si="69"/>
        <v>8760</v>
      </c>
      <c r="KO93" s="2082">
        <f t="shared" si="69"/>
        <v>8760</v>
      </c>
      <c r="KP93" s="2082">
        <f t="shared" si="69"/>
        <v>8760</v>
      </c>
      <c r="KQ93" s="2082">
        <f t="shared" si="69"/>
        <v>8760</v>
      </c>
      <c r="KR93" s="2082">
        <f t="shared" si="69"/>
        <v>8760</v>
      </c>
      <c r="KS93" s="2082">
        <f t="shared" si="69"/>
        <v>8760</v>
      </c>
      <c r="KT93" s="2082">
        <f t="shared" si="69"/>
        <v>8760</v>
      </c>
      <c r="KU93" s="2082">
        <f t="shared" si="69"/>
        <v>8760</v>
      </c>
      <c r="KV93" s="2082">
        <f t="shared" si="69"/>
        <v>8760</v>
      </c>
      <c r="KW93" s="2082">
        <f t="shared" si="69"/>
        <v>8760</v>
      </c>
      <c r="KX93" s="2082">
        <f t="shared" si="69"/>
        <v>8760</v>
      </c>
      <c r="KY93" s="2082">
        <f t="shared" si="69"/>
        <v>8760</v>
      </c>
      <c r="KZ93" s="2082">
        <f t="shared" si="69"/>
        <v>8760</v>
      </c>
      <c r="LA93" s="2082">
        <f t="shared" si="69"/>
        <v>8760</v>
      </c>
      <c r="LB93" s="2082">
        <f t="shared" si="69"/>
        <v>8760</v>
      </c>
      <c r="LC93" s="2082">
        <f t="shared" si="69"/>
        <v>8760</v>
      </c>
      <c r="LD93" s="2082">
        <f t="shared" si="69"/>
        <v>8760</v>
      </c>
      <c r="LE93" s="2082">
        <f t="shared" si="69"/>
        <v>8760</v>
      </c>
      <c r="LF93" s="2082">
        <f t="shared" si="69"/>
        <v>8760</v>
      </c>
      <c r="LG93" s="2082">
        <f t="shared" si="69"/>
        <v>8760</v>
      </c>
      <c r="LH93" s="2082">
        <f t="shared" si="69"/>
        <v>8760</v>
      </c>
      <c r="LI93" s="2082">
        <f t="shared" si="69"/>
        <v>8760</v>
      </c>
      <c r="LJ93" s="2082">
        <f t="shared" si="69"/>
        <v>8760</v>
      </c>
      <c r="LK93" s="2082">
        <f t="shared" si="69"/>
        <v>8760</v>
      </c>
      <c r="LL93" s="2082">
        <f t="shared" si="69"/>
        <v>8760</v>
      </c>
      <c r="LM93" s="2082">
        <f t="shared" si="69"/>
        <v>8760</v>
      </c>
      <c r="LN93" s="2082">
        <f t="shared" si="69"/>
        <v>8760</v>
      </c>
      <c r="LO93" s="2082">
        <f t="shared" ref="LO93:NZ93" si="70">24*365*1</f>
        <v>8760</v>
      </c>
      <c r="LP93" s="2082">
        <f t="shared" si="70"/>
        <v>8760</v>
      </c>
      <c r="LQ93" s="2082">
        <f t="shared" si="70"/>
        <v>8760</v>
      </c>
      <c r="LR93" s="2082">
        <f t="shared" si="70"/>
        <v>8760</v>
      </c>
      <c r="LS93" s="2082">
        <f t="shared" si="70"/>
        <v>8760</v>
      </c>
      <c r="LT93" s="2082">
        <f t="shared" si="70"/>
        <v>8760</v>
      </c>
      <c r="LU93" s="2082">
        <f t="shared" si="70"/>
        <v>8760</v>
      </c>
      <c r="LV93" s="2082">
        <f t="shared" si="70"/>
        <v>8760</v>
      </c>
      <c r="LW93" s="2082">
        <f t="shared" si="70"/>
        <v>8760</v>
      </c>
      <c r="LX93" s="2082">
        <f t="shared" si="70"/>
        <v>8760</v>
      </c>
      <c r="LY93" s="2082">
        <f t="shared" si="70"/>
        <v>8760</v>
      </c>
      <c r="LZ93" s="2082">
        <f t="shared" si="70"/>
        <v>8760</v>
      </c>
      <c r="MA93" s="2082">
        <f t="shared" si="70"/>
        <v>8760</v>
      </c>
      <c r="MB93" s="2082">
        <f t="shared" si="70"/>
        <v>8760</v>
      </c>
      <c r="MC93" s="2082">
        <f t="shared" si="70"/>
        <v>8760</v>
      </c>
      <c r="MD93" s="2082">
        <f t="shared" si="70"/>
        <v>8760</v>
      </c>
      <c r="ME93" s="2082">
        <f t="shared" si="70"/>
        <v>8760</v>
      </c>
      <c r="MF93" s="2082">
        <f t="shared" si="70"/>
        <v>8760</v>
      </c>
      <c r="MG93" s="2082">
        <f t="shared" si="70"/>
        <v>8760</v>
      </c>
      <c r="MH93" s="2082">
        <f t="shared" si="70"/>
        <v>8760</v>
      </c>
      <c r="MI93" s="2082">
        <f t="shared" si="70"/>
        <v>8760</v>
      </c>
      <c r="MJ93" s="2082">
        <f t="shared" si="70"/>
        <v>8760</v>
      </c>
      <c r="MK93" s="2082">
        <f t="shared" si="70"/>
        <v>8760</v>
      </c>
      <c r="ML93" s="2082">
        <f t="shared" si="70"/>
        <v>8760</v>
      </c>
      <c r="MM93" s="2082">
        <f t="shared" si="70"/>
        <v>8760</v>
      </c>
      <c r="MN93" s="2082">
        <f t="shared" si="70"/>
        <v>8760</v>
      </c>
      <c r="MO93" s="2082">
        <f t="shared" si="70"/>
        <v>8760</v>
      </c>
      <c r="MP93" s="2082">
        <f t="shared" si="70"/>
        <v>8760</v>
      </c>
      <c r="MQ93" s="2082">
        <f t="shared" si="70"/>
        <v>8760</v>
      </c>
      <c r="MR93" s="2082">
        <f t="shared" si="70"/>
        <v>8760</v>
      </c>
      <c r="MS93" s="2082">
        <f t="shared" si="70"/>
        <v>8760</v>
      </c>
      <c r="MT93" s="2082">
        <f t="shared" si="70"/>
        <v>8760</v>
      </c>
      <c r="MU93" s="2082">
        <f t="shared" si="70"/>
        <v>8760</v>
      </c>
      <c r="MV93" s="2082">
        <f t="shared" si="70"/>
        <v>8760</v>
      </c>
      <c r="MW93" s="2082">
        <f t="shared" si="70"/>
        <v>8760</v>
      </c>
      <c r="MX93" s="2082">
        <f t="shared" si="70"/>
        <v>8760</v>
      </c>
      <c r="MY93" s="2082">
        <f t="shared" si="70"/>
        <v>8760</v>
      </c>
      <c r="MZ93" s="2082">
        <f t="shared" si="70"/>
        <v>8760</v>
      </c>
      <c r="NA93" s="2082">
        <f t="shared" si="70"/>
        <v>8760</v>
      </c>
      <c r="NB93" s="2082">
        <f t="shared" si="70"/>
        <v>8760</v>
      </c>
      <c r="NC93" s="2082">
        <f t="shared" si="70"/>
        <v>8760</v>
      </c>
      <c r="ND93" s="2082">
        <f t="shared" si="70"/>
        <v>8760</v>
      </c>
      <c r="NE93" s="2082">
        <f t="shared" si="70"/>
        <v>8760</v>
      </c>
      <c r="NF93" s="2082">
        <f t="shared" si="70"/>
        <v>8760</v>
      </c>
      <c r="NG93" s="2082">
        <f t="shared" si="70"/>
        <v>8760</v>
      </c>
      <c r="NH93" s="2082">
        <f t="shared" si="70"/>
        <v>8760</v>
      </c>
      <c r="NI93" s="2082">
        <f t="shared" si="70"/>
        <v>8760</v>
      </c>
      <c r="NJ93" s="2082">
        <f t="shared" si="70"/>
        <v>8760</v>
      </c>
      <c r="NK93" s="2082">
        <f t="shared" si="70"/>
        <v>8760</v>
      </c>
      <c r="NL93" s="2082">
        <f t="shared" si="70"/>
        <v>8760</v>
      </c>
      <c r="NM93" s="2082">
        <f t="shared" si="70"/>
        <v>8760</v>
      </c>
      <c r="NN93" s="2082">
        <f t="shared" si="70"/>
        <v>8760</v>
      </c>
      <c r="NO93" s="2082">
        <f t="shared" si="70"/>
        <v>8760</v>
      </c>
      <c r="NP93" s="2082">
        <f t="shared" si="70"/>
        <v>8760</v>
      </c>
      <c r="NQ93" s="2082">
        <f t="shared" si="70"/>
        <v>8760</v>
      </c>
      <c r="NR93" s="2082">
        <f t="shared" si="70"/>
        <v>8760</v>
      </c>
      <c r="NS93" s="2082">
        <f t="shared" si="70"/>
        <v>8760</v>
      </c>
      <c r="NT93" s="2082">
        <f t="shared" si="70"/>
        <v>8760</v>
      </c>
      <c r="NU93" s="2082">
        <f t="shared" si="70"/>
        <v>8760</v>
      </c>
      <c r="NV93" s="2082">
        <f t="shared" si="70"/>
        <v>8760</v>
      </c>
      <c r="NW93" s="2082">
        <f t="shared" si="70"/>
        <v>8760</v>
      </c>
      <c r="NX93" s="2082">
        <f t="shared" si="70"/>
        <v>8760</v>
      </c>
      <c r="NY93" s="2082">
        <f t="shared" si="70"/>
        <v>8760</v>
      </c>
      <c r="NZ93" s="2082">
        <f t="shared" si="70"/>
        <v>8760</v>
      </c>
      <c r="OA93" s="2082">
        <f t="shared" ref="OA93:QL93" si="71">24*365*1</f>
        <v>8760</v>
      </c>
      <c r="OB93" s="2082">
        <f t="shared" si="71"/>
        <v>8760</v>
      </c>
      <c r="OC93" s="2082">
        <f t="shared" si="71"/>
        <v>8760</v>
      </c>
      <c r="OD93" s="2082">
        <f t="shared" si="71"/>
        <v>8760</v>
      </c>
      <c r="OE93" s="2082">
        <f t="shared" si="71"/>
        <v>8760</v>
      </c>
      <c r="OF93" s="2082">
        <f t="shared" si="71"/>
        <v>8760</v>
      </c>
      <c r="OG93" s="2082">
        <f t="shared" si="71"/>
        <v>8760</v>
      </c>
      <c r="OH93" s="2082">
        <f t="shared" si="71"/>
        <v>8760</v>
      </c>
      <c r="OI93" s="2082">
        <f t="shared" si="71"/>
        <v>8760</v>
      </c>
      <c r="OJ93" s="2082">
        <f t="shared" si="71"/>
        <v>8760</v>
      </c>
      <c r="OK93" s="2082">
        <f t="shared" si="71"/>
        <v>8760</v>
      </c>
      <c r="OL93" s="2082">
        <f t="shared" si="71"/>
        <v>8760</v>
      </c>
      <c r="OM93" s="2082">
        <f t="shared" si="71"/>
        <v>8760</v>
      </c>
      <c r="ON93" s="2082">
        <f t="shared" si="71"/>
        <v>8760</v>
      </c>
      <c r="OO93" s="2082">
        <f t="shared" si="71"/>
        <v>8760</v>
      </c>
      <c r="OP93" s="2082">
        <f t="shared" si="71"/>
        <v>8760</v>
      </c>
      <c r="OQ93" s="2082">
        <f t="shared" si="71"/>
        <v>8760</v>
      </c>
      <c r="OR93" s="2082">
        <f t="shared" si="71"/>
        <v>8760</v>
      </c>
      <c r="OS93" s="2082">
        <f t="shared" si="71"/>
        <v>8760</v>
      </c>
      <c r="OT93" s="2082">
        <f t="shared" si="71"/>
        <v>8760</v>
      </c>
      <c r="OU93" s="2082">
        <f t="shared" si="71"/>
        <v>8760</v>
      </c>
      <c r="OV93" s="2082">
        <f t="shared" si="71"/>
        <v>8760</v>
      </c>
      <c r="OW93" s="2082">
        <f t="shared" si="71"/>
        <v>8760</v>
      </c>
      <c r="OX93" s="2082">
        <f t="shared" si="71"/>
        <v>8760</v>
      </c>
      <c r="OY93" s="2082">
        <f t="shared" si="71"/>
        <v>8760</v>
      </c>
      <c r="OZ93" s="2082">
        <f t="shared" si="71"/>
        <v>8760</v>
      </c>
      <c r="PA93" s="2082">
        <f t="shared" si="71"/>
        <v>8760</v>
      </c>
      <c r="PB93" s="2082">
        <f t="shared" si="71"/>
        <v>8760</v>
      </c>
      <c r="PC93" s="2082">
        <f t="shared" si="71"/>
        <v>8760</v>
      </c>
      <c r="PD93" s="2082">
        <f t="shared" si="71"/>
        <v>8760</v>
      </c>
      <c r="PE93" s="2082">
        <f t="shared" si="71"/>
        <v>8760</v>
      </c>
      <c r="PF93" s="2082">
        <f t="shared" si="71"/>
        <v>8760</v>
      </c>
      <c r="PG93" s="2082">
        <f t="shared" si="71"/>
        <v>8760</v>
      </c>
      <c r="PH93" s="2082">
        <f t="shared" si="71"/>
        <v>8760</v>
      </c>
      <c r="PI93" s="2082">
        <f t="shared" si="71"/>
        <v>8760</v>
      </c>
      <c r="PJ93" s="2082">
        <f t="shared" si="71"/>
        <v>8760</v>
      </c>
      <c r="PK93" s="2082">
        <f t="shared" si="71"/>
        <v>8760</v>
      </c>
      <c r="PL93" s="2082">
        <f t="shared" si="71"/>
        <v>8760</v>
      </c>
      <c r="PM93" s="2082">
        <f t="shared" si="71"/>
        <v>8760</v>
      </c>
      <c r="PN93" s="2082">
        <f t="shared" si="71"/>
        <v>8760</v>
      </c>
      <c r="PO93" s="2082">
        <f t="shared" si="71"/>
        <v>8760</v>
      </c>
      <c r="PP93" s="2082">
        <f t="shared" si="71"/>
        <v>8760</v>
      </c>
      <c r="PQ93" s="2082">
        <f t="shared" si="71"/>
        <v>8760</v>
      </c>
      <c r="PR93" s="2082">
        <f t="shared" si="71"/>
        <v>8760</v>
      </c>
      <c r="PS93" s="2082">
        <f t="shared" si="71"/>
        <v>8760</v>
      </c>
      <c r="PT93" s="2082">
        <f t="shared" si="71"/>
        <v>8760</v>
      </c>
      <c r="PU93" s="2082">
        <f t="shared" si="71"/>
        <v>8760</v>
      </c>
      <c r="PV93" s="2082">
        <f t="shared" si="71"/>
        <v>8760</v>
      </c>
      <c r="PW93" s="2082">
        <f t="shared" si="71"/>
        <v>8760</v>
      </c>
      <c r="PX93" s="2082">
        <f t="shared" si="71"/>
        <v>8760</v>
      </c>
      <c r="PY93" s="2082">
        <f t="shared" si="71"/>
        <v>8760</v>
      </c>
      <c r="PZ93" s="2082">
        <f t="shared" si="71"/>
        <v>8760</v>
      </c>
      <c r="QA93" s="2082">
        <f t="shared" si="71"/>
        <v>8760</v>
      </c>
      <c r="QB93" s="2082">
        <f t="shared" si="71"/>
        <v>8760</v>
      </c>
      <c r="QC93" s="2082">
        <f t="shared" si="71"/>
        <v>8760</v>
      </c>
      <c r="QD93" s="2082">
        <f t="shared" si="71"/>
        <v>8760</v>
      </c>
      <c r="QE93" s="2082">
        <f t="shared" si="71"/>
        <v>8760</v>
      </c>
      <c r="QF93" s="2082">
        <f t="shared" si="71"/>
        <v>8760</v>
      </c>
      <c r="QG93" s="2082">
        <f t="shared" si="71"/>
        <v>8760</v>
      </c>
      <c r="QH93" s="2082">
        <f t="shared" si="71"/>
        <v>8760</v>
      </c>
      <c r="QI93" s="2082">
        <f t="shared" si="71"/>
        <v>8760</v>
      </c>
      <c r="QJ93" s="2082">
        <f t="shared" si="71"/>
        <v>8760</v>
      </c>
      <c r="QK93" s="2082">
        <f t="shared" si="71"/>
        <v>8760</v>
      </c>
      <c r="QL93" s="2082">
        <f t="shared" si="71"/>
        <v>8760</v>
      </c>
      <c r="QM93" s="2082">
        <f t="shared" ref="QM93:SX93" si="72">24*365*1</f>
        <v>8760</v>
      </c>
      <c r="QN93" s="2082">
        <f t="shared" si="72"/>
        <v>8760</v>
      </c>
      <c r="QO93" s="2082">
        <f t="shared" si="72"/>
        <v>8760</v>
      </c>
      <c r="QP93" s="2082">
        <f t="shared" si="72"/>
        <v>8760</v>
      </c>
      <c r="QQ93" s="2082">
        <f t="shared" si="72"/>
        <v>8760</v>
      </c>
      <c r="QR93" s="2082">
        <f t="shared" si="72"/>
        <v>8760</v>
      </c>
      <c r="QS93" s="2082">
        <f t="shared" si="72"/>
        <v>8760</v>
      </c>
      <c r="QT93" s="2082">
        <f t="shared" si="72"/>
        <v>8760</v>
      </c>
      <c r="QU93" s="2082">
        <f t="shared" si="72"/>
        <v>8760</v>
      </c>
      <c r="QV93" s="2082">
        <f t="shared" si="72"/>
        <v>8760</v>
      </c>
      <c r="QW93" s="2082">
        <f t="shared" si="72"/>
        <v>8760</v>
      </c>
      <c r="QX93" s="2082">
        <f t="shared" si="72"/>
        <v>8760</v>
      </c>
      <c r="QY93" s="2082">
        <f t="shared" si="72"/>
        <v>8760</v>
      </c>
      <c r="QZ93" s="2082">
        <f t="shared" si="72"/>
        <v>8760</v>
      </c>
      <c r="RA93" s="2082">
        <f t="shared" si="72"/>
        <v>8760</v>
      </c>
      <c r="RB93" s="2082">
        <f t="shared" si="72"/>
        <v>8760</v>
      </c>
      <c r="RC93" s="2082">
        <f t="shared" si="72"/>
        <v>8760</v>
      </c>
      <c r="RD93" s="2082">
        <f t="shared" si="72"/>
        <v>8760</v>
      </c>
      <c r="RE93" s="2082">
        <f t="shared" si="72"/>
        <v>8760</v>
      </c>
      <c r="RF93" s="2082">
        <f t="shared" si="72"/>
        <v>8760</v>
      </c>
      <c r="RG93" s="2082">
        <f t="shared" si="72"/>
        <v>8760</v>
      </c>
      <c r="RH93" s="2082">
        <f t="shared" si="72"/>
        <v>8760</v>
      </c>
      <c r="RI93" s="2082">
        <f t="shared" si="72"/>
        <v>8760</v>
      </c>
      <c r="RJ93" s="2082">
        <f t="shared" si="72"/>
        <v>8760</v>
      </c>
      <c r="RK93" s="2082">
        <f t="shared" si="72"/>
        <v>8760</v>
      </c>
      <c r="RL93" s="2082">
        <f t="shared" si="72"/>
        <v>8760</v>
      </c>
      <c r="RM93" s="2082">
        <f t="shared" si="72"/>
        <v>8760</v>
      </c>
      <c r="RN93" s="2082">
        <f t="shared" si="72"/>
        <v>8760</v>
      </c>
      <c r="RO93" s="2082">
        <f t="shared" si="72"/>
        <v>8760</v>
      </c>
      <c r="RP93" s="2082">
        <f t="shared" si="72"/>
        <v>8760</v>
      </c>
      <c r="RQ93" s="2082">
        <f t="shared" si="72"/>
        <v>8760</v>
      </c>
      <c r="RR93" s="2082">
        <f t="shared" si="72"/>
        <v>8760</v>
      </c>
      <c r="RS93" s="2082">
        <f t="shared" si="72"/>
        <v>8760</v>
      </c>
      <c r="RT93" s="2082">
        <f t="shared" si="72"/>
        <v>8760</v>
      </c>
      <c r="RU93" s="2082">
        <f t="shared" si="72"/>
        <v>8760</v>
      </c>
      <c r="RV93" s="2082">
        <f t="shared" si="72"/>
        <v>8760</v>
      </c>
      <c r="RW93" s="2082">
        <f t="shared" si="72"/>
        <v>8760</v>
      </c>
      <c r="RX93" s="2082">
        <f t="shared" si="72"/>
        <v>8760</v>
      </c>
      <c r="RY93" s="2082">
        <f t="shared" si="72"/>
        <v>8760</v>
      </c>
      <c r="RZ93" s="2082">
        <f t="shared" si="72"/>
        <v>8760</v>
      </c>
      <c r="SA93" s="2082">
        <f t="shared" si="72"/>
        <v>8760</v>
      </c>
      <c r="SB93" s="2082">
        <f t="shared" si="72"/>
        <v>8760</v>
      </c>
      <c r="SC93" s="2082">
        <f t="shared" si="72"/>
        <v>8760</v>
      </c>
      <c r="SD93" s="2082">
        <f t="shared" si="72"/>
        <v>8760</v>
      </c>
      <c r="SE93" s="2082">
        <f t="shared" si="72"/>
        <v>8760</v>
      </c>
      <c r="SF93" s="2082">
        <f t="shared" si="72"/>
        <v>8760</v>
      </c>
      <c r="SG93" s="2082">
        <f t="shared" si="72"/>
        <v>8760</v>
      </c>
      <c r="SH93" s="2082">
        <f t="shared" si="72"/>
        <v>8760</v>
      </c>
      <c r="SI93" s="2082">
        <f t="shared" si="72"/>
        <v>8760</v>
      </c>
      <c r="SJ93" s="2082">
        <f t="shared" si="72"/>
        <v>8760</v>
      </c>
      <c r="SK93" s="2082">
        <f t="shared" si="72"/>
        <v>8760</v>
      </c>
      <c r="SL93" s="2082">
        <f t="shared" si="72"/>
        <v>8760</v>
      </c>
      <c r="SM93" s="2082">
        <f t="shared" si="72"/>
        <v>8760</v>
      </c>
      <c r="SN93" s="2082">
        <f t="shared" si="72"/>
        <v>8760</v>
      </c>
      <c r="SO93" s="2082">
        <f t="shared" si="72"/>
        <v>8760</v>
      </c>
      <c r="SP93" s="2082">
        <f t="shared" si="72"/>
        <v>8760</v>
      </c>
      <c r="SQ93" s="2082">
        <f t="shared" si="72"/>
        <v>8760</v>
      </c>
      <c r="SR93" s="2082">
        <f t="shared" si="72"/>
        <v>8760</v>
      </c>
      <c r="SS93" s="2082">
        <f t="shared" si="72"/>
        <v>8760</v>
      </c>
      <c r="ST93" s="2082">
        <f t="shared" si="72"/>
        <v>8760</v>
      </c>
      <c r="SU93" s="2082">
        <f t="shared" si="72"/>
        <v>8760</v>
      </c>
      <c r="SV93" s="2082">
        <f t="shared" si="72"/>
        <v>8760</v>
      </c>
      <c r="SW93" s="2082">
        <f t="shared" si="72"/>
        <v>8760</v>
      </c>
      <c r="SX93" s="2082">
        <f t="shared" si="72"/>
        <v>8760</v>
      </c>
      <c r="SY93" s="2082">
        <f t="shared" ref="SY93:VJ93" si="73">24*365*1</f>
        <v>8760</v>
      </c>
      <c r="SZ93" s="2082">
        <f t="shared" si="73"/>
        <v>8760</v>
      </c>
      <c r="TA93" s="2082">
        <f t="shared" si="73"/>
        <v>8760</v>
      </c>
      <c r="TB93" s="2082">
        <f t="shared" si="73"/>
        <v>8760</v>
      </c>
      <c r="TC93" s="2082">
        <f t="shared" si="73"/>
        <v>8760</v>
      </c>
      <c r="TD93" s="2082">
        <f t="shared" si="73"/>
        <v>8760</v>
      </c>
      <c r="TE93" s="2082">
        <f t="shared" si="73"/>
        <v>8760</v>
      </c>
      <c r="TF93" s="2082">
        <f t="shared" si="73"/>
        <v>8760</v>
      </c>
      <c r="TG93" s="2082">
        <f t="shared" si="73"/>
        <v>8760</v>
      </c>
      <c r="TH93" s="2082">
        <f t="shared" si="73"/>
        <v>8760</v>
      </c>
      <c r="TI93" s="2082">
        <f t="shared" si="73"/>
        <v>8760</v>
      </c>
      <c r="TJ93" s="2082">
        <f t="shared" si="73"/>
        <v>8760</v>
      </c>
      <c r="TK93" s="2082">
        <f t="shared" si="73"/>
        <v>8760</v>
      </c>
      <c r="TL93" s="2082">
        <f t="shared" si="73"/>
        <v>8760</v>
      </c>
      <c r="TM93" s="2082">
        <f t="shared" si="73"/>
        <v>8760</v>
      </c>
      <c r="TN93" s="2082">
        <f t="shared" si="73"/>
        <v>8760</v>
      </c>
      <c r="TO93" s="2082">
        <f t="shared" si="73"/>
        <v>8760</v>
      </c>
      <c r="TP93" s="2082">
        <f t="shared" si="73"/>
        <v>8760</v>
      </c>
      <c r="TQ93" s="2082">
        <f t="shared" si="73"/>
        <v>8760</v>
      </c>
      <c r="TR93" s="2082">
        <f t="shared" si="73"/>
        <v>8760</v>
      </c>
      <c r="TS93" s="2082">
        <f t="shared" si="73"/>
        <v>8760</v>
      </c>
      <c r="TT93" s="2082">
        <f t="shared" si="73"/>
        <v>8760</v>
      </c>
      <c r="TU93" s="2082">
        <f t="shared" si="73"/>
        <v>8760</v>
      </c>
      <c r="TV93" s="2082">
        <f t="shared" si="73"/>
        <v>8760</v>
      </c>
      <c r="TW93" s="2082">
        <f t="shared" si="73"/>
        <v>8760</v>
      </c>
      <c r="TX93" s="2082">
        <f t="shared" si="73"/>
        <v>8760</v>
      </c>
      <c r="TY93" s="2082">
        <f t="shared" si="73"/>
        <v>8760</v>
      </c>
      <c r="TZ93" s="2082">
        <f t="shared" si="73"/>
        <v>8760</v>
      </c>
      <c r="UA93" s="2082">
        <f t="shared" si="73"/>
        <v>8760</v>
      </c>
      <c r="UB93" s="2082">
        <f t="shared" si="73"/>
        <v>8760</v>
      </c>
      <c r="UC93" s="2082">
        <f t="shared" si="73"/>
        <v>8760</v>
      </c>
      <c r="UD93" s="2082">
        <f t="shared" si="73"/>
        <v>8760</v>
      </c>
      <c r="UE93" s="2082">
        <f t="shared" si="73"/>
        <v>8760</v>
      </c>
      <c r="UF93" s="2082">
        <f t="shared" si="73"/>
        <v>8760</v>
      </c>
      <c r="UG93" s="2082">
        <f t="shared" si="73"/>
        <v>8760</v>
      </c>
      <c r="UH93" s="2082">
        <f t="shared" si="73"/>
        <v>8760</v>
      </c>
      <c r="UI93" s="2082">
        <f t="shared" si="73"/>
        <v>8760</v>
      </c>
      <c r="UJ93" s="2082">
        <f t="shared" si="73"/>
        <v>8760</v>
      </c>
      <c r="UK93" s="2082">
        <f t="shared" si="73"/>
        <v>8760</v>
      </c>
      <c r="UL93" s="2082">
        <f t="shared" si="73"/>
        <v>8760</v>
      </c>
      <c r="UM93" s="2082">
        <f t="shared" si="73"/>
        <v>8760</v>
      </c>
      <c r="UN93" s="2082">
        <f t="shared" si="73"/>
        <v>8760</v>
      </c>
      <c r="UO93" s="2082">
        <f t="shared" si="73"/>
        <v>8760</v>
      </c>
      <c r="UP93" s="2082">
        <f t="shared" si="73"/>
        <v>8760</v>
      </c>
      <c r="UQ93" s="2082">
        <f t="shared" si="73"/>
        <v>8760</v>
      </c>
      <c r="UR93" s="2082">
        <f t="shared" si="73"/>
        <v>8760</v>
      </c>
      <c r="US93" s="2082">
        <f t="shared" si="73"/>
        <v>8760</v>
      </c>
      <c r="UT93" s="2082">
        <f t="shared" si="73"/>
        <v>8760</v>
      </c>
      <c r="UU93" s="2082">
        <f t="shared" si="73"/>
        <v>8760</v>
      </c>
      <c r="UV93" s="2082">
        <f t="shared" si="73"/>
        <v>8760</v>
      </c>
      <c r="UW93" s="2082">
        <f t="shared" si="73"/>
        <v>8760</v>
      </c>
      <c r="UX93" s="2082">
        <f t="shared" si="73"/>
        <v>8760</v>
      </c>
      <c r="UY93" s="2082">
        <f t="shared" si="73"/>
        <v>8760</v>
      </c>
      <c r="UZ93" s="2082">
        <f t="shared" si="73"/>
        <v>8760</v>
      </c>
      <c r="VA93" s="2082">
        <f t="shared" si="73"/>
        <v>8760</v>
      </c>
      <c r="VB93" s="2082">
        <f t="shared" si="73"/>
        <v>8760</v>
      </c>
      <c r="VC93" s="2082">
        <f t="shared" si="73"/>
        <v>8760</v>
      </c>
      <c r="VD93" s="2082">
        <f t="shared" si="73"/>
        <v>8760</v>
      </c>
      <c r="VE93" s="2082">
        <f t="shared" si="73"/>
        <v>8760</v>
      </c>
      <c r="VF93" s="2082">
        <f t="shared" si="73"/>
        <v>8760</v>
      </c>
      <c r="VG93" s="2082">
        <f t="shared" si="73"/>
        <v>8760</v>
      </c>
      <c r="VH93" s="2082">
        <f t="shared" si="73"/>
        <v>8760</v>
      </c>
      <c r="VI93" s="2082">
        <f t="shared" si="73"/>
        <v>8760</v>
      </c>
      <c r="VJ93" s="2082">
        <f t="shared" si="73"/>
        <v>8760</v>
      </c>
      <c r="VK93" s="2083">
        <f>24*365*1</f>
        <v>8760</v>
      </c>
    </row>
    <row r="94" spans="2:583" s="1296" customFormat="1" x14ac:dyDescent="0.25">
      <c r="B94" s="2084" t="s">
        <v>61</v>
      </c>
      <c r="C94" s="2085" t="s">
        <v>2932</v>
      </c>
      <c r="D94" s="2085" t="s">
        <v>61</v>
      </c>
      <c r="E94" s="2085" t="s">
        <v>2932</v>
      </c>
      <c r="F94" s="2086" t="e">
        <f>IF(F92&gt;F93,F92,IF(F93&gt;F92,F93))</f>
        <v>#DIV/0!</v>
      </c>
      <c r="G94" s="2086" t="e">
        <f t="shared" ref="G94:BR94" si="74">IF(G92&gt;G93,G92,IF(G93&gt;G92,G93))</f>
        <v>#DIV/0!</v>
      </c>
      <c r="H94" s="2086" t="e">
        <f t="shared" si="74"/>
        <v>#DIV/0!</v>
      </c>
      <c r="I94" s="2086" t="e">
        <f t="shared" si="74"/>
        <v>#DIV/0!</v>
      </c>
      <c r="J94" s="2086" t="e">
        <f t="shared" si="74"/>
        <v>#DIV/0!</v>
      </c>
      <c r="K94" s="2086" t="e">
        <f t="shared" si="74"/>
        <v>#DIV/0!</v>
      </c>
      <c r="L94" s="2086" t="e">
        <f t="shared" si="74"/>
        <v>#DIV/0!</v>
      </c>
      <c r="M94" s="2086" t="e">
        <f t="shared" si="74"/>
        <v>#DIV/0!</v>
      </c>
      <c r="N94" s="2086" t="e">
        <f t="shared" si="74"/>
        <v>#DIV/0!</v>
      </c>
      <c r="O94" s="2086" t="e">
        <f t="shared" si="74"/>
        <v>#DIV/0!</v>
      </c>
      <c r="P94" s="2086" t="e">
        <f t="shared" si="74"/>
        <v>#DIV/0!</v>
      </c>
      <c r="Q94" s="2086" t="e">
        <f t="shared" si="74"/>
        <v>#DIV/0!</v>
      </c>
      <c r="R94" s="2086" t="e">
        <f t="shared" si="74"/>
        <v>#DIV/0!</v>
      </c>
      <c r="S94" s="2086" t="e">
        <f t="shared" si="74"/>
        <v>#DIV/0!</v>
      </c>
      <c r="T94" s="2086" t="e">
        <f t="shared" si="74"/>
        <v>#DIV/0!</v>
      </c>
      <c r="U94" s="2086" t="e">
        <f t="shared" si="74"/>
        <v>#DIV/0!</v>
      </c>
      <c r="V94" s="2086" t="e">
        <f t="shared" si="74"/>
        <v>#DIV/0!</v>
      </c>
      <c r="W94" s="2086">
        <f t="shared" si="74"/>
        <v>8760</v>
      </c>
      <c r="X94" s="2086">
        <f t="shared" si="74"/>
        <v>8760</v>
      </c>
      <c r="Y94" s="2086">
        <f t="shared" si="74"/>
        <v>8760</v>
      </c>
      <c r="Z94" s="2086">
        <f t="shared" si="74"/>
        <v>8760</v>
      </c>
      <c r="AA94" s="2086">
        <f t="shared" si="74"/>
        <v>8760</v>
      </c>
      <c r="AB94" s="2086">
        <f t="shared" si="74"/>
        <v>8760</v>
      </c>
      <c r="AC94" s="2086">
        <f t="shared" si="74"/>
        <v>8760</v>
      </c>
      <c r="AD94" s="2086">
        <f t="shared" si="74"/>
        <v>8760</v>
      </c>
      <c r="AE94" s="2086">
        <f t="shared" si="74"/>
        <v>8760</v>
      </c>
      <c r="AF94" s="2086">
        <f t="shared" si="74"/>
        <v>8760</v>
      </c>
      <c r="AG94" s="2086">
        <f t="shared" si="74"/>
        <v>8760</v>
      </c>
      <c r="AH94" s="2086">
        <f t="shared" si="74"/>
        <v>8760</v>
      </c>
      <c r="AI94" s="2086">
        <f t="shared" si="74"/>
        <v>8760</v>
      </c>
      <c r="AJ94" s="2086">
        <f t="shared" si="74"/>
        <v>8760</v>
      </c>
      <c r="AK94" s="2086">
        <f t="shared" si="74"/>
        <v>8760</v>
      </c>
      <c r="AL94" s="2086">
        <f t="shared" si="74"/>
        <v>8760</v>
      </c>
      <c r="AM94" s="2086">
        <f t="shared" si="74"/>
        <v>8760</v>
      </c>
      <c r="AN94" s="2086" t="e">
        <f t="shared" si="74"/>
        <v>#DIV/0!</v>
      </c>
      <c r="AO94" s="2086" t="e">
        <f t="shared" si="74"/>
        <v>#DIV/0!</v>
      </c>
      <c r="AP94" s="2086" t="e">
        <f t="shared" si="74"/>
        <v>#DIV/0!</v>
      </c>
      <c r="AQ94" s="2086" t="e">
        <f t="shared" si="74"/>
        <v>#DIV/0!</v>
      </c>
      <c r="AR94" s="2086" t="e">
        <f t="shared" si="74"/>
        <v>#DIV/0!</v>
      </c>
      <c r="AS94" s="2086" t="e">
        <f t="shared" si="74"/>
        <v>#DIV/0!</v>
      </c>
      <c r="AT94" s="2086" t="e">
        <f t="shared" si="74"/>
        <v>#DIV/0!</v>
      </c>
      <c r="AU94" s="2086" t="e">
        <f t="shared" si="74"/>
        <v>#DIV/0!</v>
      </c>
      <c r="AV94" s="2086" t="e">
        <f t="shared" si="74"/>
        <v>#DIV/0!</v>
      </c>
      <c r="AW94" s="2086" t="e">
        <f t="shared" si="74"/>
        <v>#DIV/0!</v>
      </c>
      <c r="AX94" s="2086" t="e">
        <f t="shared" si="74"/>
        <v>#DIV/0!</v>
      </c>
      <c r="AY94" s="2086" t="e">
        <f t="shared" si="74"/>
        <v>#DIV/0!</v>
      </c>
      <c r="AZ94" s="2086" t="e">
        <f t="shared" si="74"/>
        <v>#DIV/0!</v>
      </c>
      <c r="BA94" s="2086" t="e">
        <f t="shared" si="74"/>
        <v>#DIV/0!</v>
      </c>
      <c r="BB94" s="2086" t="e">
        <f t="shared" si="74"/>
        <v>#DIV/0!</v>
      </c>
      <c r="BC94" s="2086" t="e">
        <f t="shared" si="74"/>
        <v>#DIV/0!</v>
      </c>
      <c r="BD94" s="2086" t="e">
        <f t="shared" si="74"/>
        <v>#DIV/0!</v>
      </c>
      <c r="BE94" s="2086">
        <f t="shared" si="74"/>
        <v>8760</v>
      </c>
      <c r="BF94" s="2086">
        <f t="shared" si="74"/>
        <v>8760</v>
      </c>
      <c r="BG94" s="2086">
        <f t="shared" si="74"/>
        <v>8760</v>
      </c>
      <c r="BH94" s="2086">
        <f t="shared" si="74"/>
        <v>8760</v>
      </c>
      <c r="BI94" s="2086">
        <f t="shared" si="74"/>
        <v>8760</v>
      </c>
      <c r="BJ94" s="2086">
        <f t="shared" si="74"/>
        <v>8760</v>
      </c>
      <c r="BK94" s="2086">
        <f t="shared" si="74"/>
        <v>8760</v>
      </c>
      <c r="BL94" s="2086">
        <f t="shared" si="74"/>
        <v>8760</v>
      </c>
      <c r="BM94" s="2086">
        <f t="shared" si="74"/>
        <v>8760</v>
      </c>
      <c r="BN94" s="2086">
        <f t="shared" si="74"/>
        <v>8760</v>
      </c>
      <c r="BO94" s="2086">
        <f t="shared" si="74"/>
        <v>8760</v>
      </c>
      <c r="BP94" s="2086">
        <f t="shared" si="74"/>
        <v>8760</v>
      </c>
      <c r="BQ94" s="2086">
        <f t="shared" si="74"/>
        <v>8760</v>
      </c>
      <c r="BR94" s="2086">
        <f t="shared" si="74"/>
        <v>8760</v>
      </c>
      <c r="BS94" s="2086">
        <f t="shared" ref="BS94:ED94" si="75">IF(BS92&gt;BS93,BS92,IF(BS93&gt;BS92,BS93))</f>
        <v>8760</v>
      </c>
      <c r="BT94" s="2086">
        <f t="shared" si="75"/>
        <v>8760</v>
      </c>
      <c r="BU94" s="2086">
        <f t="shared" si="75"/>
        <v>8760</v>
      </c>
      <c r="BV94" s="2086" t="e">
        <f t="shared" si="75"/>
        <v>#DIV/0!</v>
      </c>
      <c r="BW94" s="2086" t="e">
        <f t="shared" si="75"/>
        <v>#DIV/0!</v>
      </c>
      <c r="BX94" s="2086" t="e">
        <f t="shared" si="75"/>
        <v>#DIV/0!</v>
      </c>
      <c r="BY94" s="2086" t="e">
        <f t="shared" si="75"/>
        <v>#DIV/0!</v>
      </c>
      <c r="BZ94" s="2086" t="e">
        <f t="shared" si="75"/>
        <v>#DIV/0!</v>
      </c>
      <c r="CA94" s="2086" t="e">
        <f t="shared" si="75"/>
        <v>#DIV/0!</v>
      </c>
      <c r="CB94" s="2086" t="e">
        <f t="shared" si="75"/>
        <v>#DIV/0!</v>
      </c>
      <c r="CC94" s="2086" t="e">
        <f t="shared" si="75"/>
        <v>#DIV/0!</v>
      </c>
      <c r="CD94" s="2086" t="e">
        <f t="shared" si="75"/>
        <v>#DIV/0!</v>
      </c>
      <c r="CE94" s="2086" t="e">
        <f t="shared" si="75"/>
        <v>#DIV/0!</v>
      </c>
      <c r="CF94" s="2086" t="e">
        <f t="shared" si="75"/>
        <v>#DIV/0!</v>
      </c>
      <c r="CG94" s="2086" t="e">
        <f t="shared" si="75"/>
        <v>#DIV/0!</v>
      </c>
      <c r="CH94" s="2086" t="e">
        <f t="shared" si="75"/>
        <v>#DIV/0!</v>
      </c>
      <c r="CI94" s="2086" t="e">
        <f t="shared" si="75"/>
        <v>#DIV/0!</v>
      </c>
      <c r="CJ94" s="2086" t="e">
        <f t="shared" si="75"/>
        <v>#DIV/0!</v>
      </c>
      <c r="CK94" s="2086" t="e">
        <f t="shared" si="75"/>
        <v>#DIV/0!</v>
      </c>
      <c r="CL94" s="2086" t="e">
        <f t="shared" si="75"/>
        <v>#DIV/0!</v>
      </c>
      <c r="CM94" s="2086">
        <f t="shared" si="75"/>
        <v>8760</v>
      </c>
      <c r="CN94" s="2086">
        <f t="shared" si="75"/>
        <v>8760</v>
      </c>
      <c r="CO94" s="2086">
        <f t="shared" si="75"/>
        <v>8760</v>
      </c>
      <c r="CP94" s="2086">
        <f t="shared" si="75"/>
        <v>8760</v>
      </c>
      <c r="CQ94" s="2086">
        <f t="shared" si="75"/>
        <v>8760</v>
      </c>
      <c r="CR94" s="2086">
        <f t="shared" si="75"/>
        <v>8760</v>
      </c>
      <c r="CS94" s="2086">
        <f t="shared" si="75"/>
        <v>8760</v>
      </c>
      <c r="CT94" s="2086">
        <f t="shared" si="75"/>
        <v>8760</v>
      </c>
      <c r="CU94" s="2086">
        <f t="shared" si="75"/>
        <v>8760</v>
      </c>
      <c r="CV94" s="2086">
        <f t="shared" si="75"/>
        <v>8760</v>
      </c>
      <c r="CW94" s="2086">
        <f t="shared" si="75"/>
        <v>8760</v>
      </c>
      <c r="CX94" s="2086">
        <f t="shared" si="75"/>
        <v>8760</v>
      </c>
      <c r="CY94" s="2086">
        <f t="shared" si="75"/>
        <v>8760</v>
      </c>
      <c r="CZ94" s="2086">
        <f t="shared" si="75"/>
        <v>8760</v>
      </c>
      <c r="DA94" s="2086">
        <f t="shared" si="75"/>
        <v>8760</v>
      </c>
      <c r="DB94" s="2086">
        <f t="shared" si="75"/>
        <v>8760</v>
      </c>
      <c r="DC94" s="2086">
        <f t="shared" si="75"/>
        <v>8760</v>
      </c>
      <c r="DD94" s="2086">
        <f t="shared" si="75"/>
        <v>8760</v>
      </c>
      <c r="DE94" s="2086">
        <f t="shared" si="75"/>
        <v>8760</v>
      </c>
      <c r="DF94" s="2086">
        <f t="shared" si="75"/>
        <v>8760</v>
      </c>
      <c r="DG94" s="2086">
        <f t="shared" si="75"/>
        <v>8760</v>
      </c>
      <c r="DH94" s="2086">
        <f t="shared" si="75"/>
        <v>8760</v>
      </c>
      <c r="DI94" s="2086">
        <f t="shared" si="75"/>
        <v>8760</v>
      </c>
      <c r="DJ94" s="2086">
        <f t="shared" si="75"/>
        <v>8760</v>
      </c>
      <c r="DK94" s="2086">
        <f t="shared" si="75"/>
        <v>8760</v>
      </c>
      <c r="DL94" s="2086">
        <f t="shared" si="75"/>
        <v>8760</v>
      </c>
      <c r="DM94" s="2086">
        <f t="shared" si="75"/>
        <v>8760</v>
      </c>
      <c r="DN94" s="2086">
        <f t="shared" si="75"/>
        <v>8760</v>
      </c>
      <c r="DO94" s="2086">
        <f t="shared" si="75"/>
        <v>8760</v>
      </c>
      <c r="DP94" s="2086">
        <f t="shared" si="75"/>
        <v>8760</v>
      </c>
      <c r="DQ94" s="2086">
        <f t="shared" si="75"/>
        <v>8760</v>
      </c>
      <c r="DR94" s="2086">
        <f t="shared" si="75"/>
        <v>8760</v>
      </c>
      <c r="DS94" s="2086">
        <f t="shared" si="75"/>
        <v>8760</v>
      </c>
      <c r="DT94" s="2086">
        <f t="shared" si="75"/>
        <v>8760</v>
      </c>
      <c r="DU94" s="2086">
        <f t="shared" si="75"/>
        <v>8760</v>
      </c>
      <c r="DV94" s="2086">
        <f t="shared" si="75"/>
        <v>8760</v>
      </c>
      <c r="DW94" s="2086">
        <f t="shared" si="75"/>
        <v>8760</v>
      </c>
      <c r="DX94" s="2086">
        <f t="shared" si="75"/>
        <v>8760</v>
      </c>
      <c r="DY94" s="2086">
        <f t="shared" si="75"/>
        <v>8760</v>
      </c>
      <c r="DZ94" s="2086">
        <f t="shared" si="75"/>
        <v>8760</v>
      </c>
      <c r="EA94" s="2086">
        <f t="shared" si="75"/>
        <v>8760</v>
      </c>
      <c r="EB94" s="2086">
        <f t="shared" si="75"/>
        <v>8760</v>
      </c>
      <c r="EC94" s="2086">
        <f t="shared" si="75"/>
        <v>8760</v>
      </c>
      <c r="ED94" s="2086">
        <f t="shared" si="75"/>
        <v>8760</v>
      </c>
      <c r="EE94" s="2086">
        <f t="shared" ref="EE94:GP94" si="76">IF(EE92&gt;EE93,EE92,IF(EE93&gt;EE92,EE93))</f>
        <v>8760</v>
      </c>
      <c r="EF94" s="2086">
        <f t="shared" si="76"/>
        <v>8760</v>
      </c>
      <c r="EG94" s="2086">
        <f t="shared" si="76"/>
        <v>8760</v>
      </c>
      <c r="EH94" s="2086">
        <f t="shared" si="76"/>
        <v>8760</v>
      </c>
      <c r="EI94" s="2086">
        <f t="shared" si="76"/>
        <v>8760</v>
      </c>
      <c r="EJ94" s="2086">
        <f t="shared" si="76"/>
        <v>8760</v>
      </c>
      <c r="EK94" s="2086">
        <f t="shared" si="76"/>
        <v>8760</v>
      </c>
      <c r="EL94" s="2086">
        <f t="shared" si="76"/>
        <v>8760</v>
      </c>
      <c r="EM94" s="2086">
        <f t="shared" si="76"/>
        <v>8760</v>
      </c>
      <c r="EN94" s="2086">
        <f t="shared" si="76"/>
        <v>8760</v>
      </c>
      <c r="EO94" s="2086">
        <f t="shared" si="76"/>
        <v>8760</v>
      </c>
      <c r="EP94" s="2086">
        <f t="shared" si="76"/>
        <v>8760</v>
      </c>
      <c r="EQ94" s="2086">
        <f t="shared" si="76"/>
        <v>8760</v>
      </c>
      <c r="ER94" s="2086">
        <f t="shared" si="76"/>
        <v>8760</v>
      </c>
      <c r="ES94" s="2086">
        <f t="shared" si="76"/>
        <v>8760</v>
      </c>
      <c r="ET94" s="2086">
        <f t="shared" si="76"/>
        <v>8760</v>
      </c>
      <c r="EU94" s="2086">
        <f t="shared" si="76"/>
        <v>8760</v>
      </c>
      <c r="EV94" s="2086">
        <f t="shared" si="76"/>
        <v>8760</v>
      </c>
      <c r="EW94" s="2086">
        <f t="shared" si="76"/>
        <v>8760</v>
      </c>
      <c r="EX94" s="2086">
        <f t="shared" si="76"/>
        <v>8760</v>
      </c>
      <c r="EY94" s="2086">
        <f t="shared" si="76"/>
        <v>8760</v>
      </c>
      <c r="EZ94" s="2086">
        <f t="shared" si="76"/>
        <v>8760</v>
      </c>
      <c r="FA94" s="2086">
        <f t="shared" si="76"/>
        <v>8760</v>
      </c>
      <c r="FB94" s="2086">
        <f t="shared" si="76"/>
        <v>8760</v>
      </c>
      <c r="FC94" s="2086">
        <f t="shared" si="76"/>
        <v>8760</v>
      </c>
      <c r="FD94" s="2086">
        <f t="shared" si="76"/>
        <v>8760</v>
      </c>
      <c r="FE94" s="2086">
        <f t="shared" si="76"/>
        <v>8760</v>
      </c>
      <c r="FF94" s="2086">
        <f t="shared" si="76"/>
        <v>8760</v>
      </c>
      <c r="FG94" s="2086">
        <f t="shared" si="76"/>
        <v>8760</v>
      </c>
      <c r="FH94" s="2086">
        <f t="shared" si="76"/>
        <v>8760</v>
      </c>
      <c r="FI94" s="2086">
        <f t="shared" si="76"/>
        <v>8760</v>
      </c>
      <c r="FJ94" s="2086">
        <f t="shared" si="76"/>
        <v>8760</v>
      </c>
      <c r="FK94" s="2086">
        <f t="shared" si="76"/>
        <v>8760</v>
      </c>
      <c r="FL94" s="2086">
        <f t="shared" si="76"/>
        <v>8760</v>
      </c>
      <c r="FM94" s="2086">
        <f t="shared" si="76"/>
        <v>8760</v>
      </c>
      <c r="FN94" s="2086">
        <f t="shared" si="76"/>
        <v>8760</v>
      </c>
      <c r="FO94" s="2086">
        <f t="shared" si="76"/>
        <v>8760</v>
      </c>
      <c r="FP94" s="2086">
        <f t="shared" si="76"/>
        <v>8760</v>
      </c>
      <c r="FQ94" s="2086">
        <f t="shared" si="76"/>
        <v>8760</v>
      </c>
      <c r="FR94" s="2086">
        <f t="shared" si="76"/>
        <v>8760</v>
      </c>
      <c r="FS94" s="2086">
        <f t="shared" si="76"/>
        <v>8760</v>
      </c>
      <c r="FT94" s="2086">
        <f t="shared" si="76"/>
        <v>8760</v>
      </c>
      <c r="FU94" s="2086">
        <f t="shared" si="76"/>
        <v>8760</v>
      </c>
      <c r="FV94" s="2086">
        <f t="shared" si="76"/>
        <v>8760</v>
      </c>
      <c r="FW94" s="2086">
        <f t="shared" si="76"/>
        <v>8760</v>
      </c>
      <c r="FX94" s="2086">
        <f t="shared" si="76"/>
        <v>8760</v>
      </c>
      <c r="FY94" s="2086">
        <f t="shared" si="76"/>
        <v>8760</v>
      </c>
      <c r="FZ94" s="2086">
        <f t="shared" si="76"/>
        <v>8760</v>
      </c>
      <c r="GA94" s="2086">
        <f t="shared" si="76"/>
        <v>8760</v>
      </c>
      <c r="GB94" s="2086">
        <f t="shared" si="76"/>
        <v>8760</v>
      </c>
      <c r="GC94" s="2086">
        <f t="shared" si="76"/>
        <v>8760</v>
      </c>
      <c r="GD94" s="2086">
        <f t="shared" si="76"/>
        <v>8760</v>
      </c>
      <c r="GE94" s="2086">
        <f t="shared" si="76"/>
        <v>8760</v>
      </c>
      <c r="GF94" s="2086">
        <f t="shared" si="76"/>
        <v>8760</v>
      </c>
      <c r="GG94" s="2086">
        <f t="shared" si="76"/>
        <v>8760</v>
      </c>
      <c r="GH94" s="2086">
        <f t="shared" si="76"/>
        <v>8760</v>
      </c>
      <c r="GI94" s="2086">
        <f t="shared" si="76"/>
        <v>8760</v>
      </c>
      <c r="GJ94" s="2086">
        <f t="shared" si="76"/>
        <v>8760</v>
      </c>
      <c r="GK94" s="2086">
        <f t="shared" si="76"/>
        <v>8760</v>
      </c>
      <c r="GL94" s="2086">
        <f t="shared" si="76"/>
        <v>8760</v>
      </c>
      <c r="GM94" s="2086">
        <f t="shared" si="76"/>
        <v>8760</v>
      </c>
      <c r="GN94" s="2086">
        <f t="shared" si="76"/>
        <v>8760</v>
      </c>
      <c r="GO94" s="2086">
        <f t="shared" si="76"/>
        <v>8760</v>
      </c>
      <c r="GP94" s="2086">
        <f t="shared" si="76"/>
        <v>8760</v>
      </c>
      <c r="GQ94" s="2086">
        <f t="shared" ref="GQ94:JB94" si="77">IF(GQ92&gt;GQ93,GQ92,IF(GQ93&gt;GQ92,GQ93))</f>
        <v>8760</v>
      </c>
      <c r="GR94" s="2086">
        <f t="shared" si="77"/>
        <v>8760</v>
      </c>
      <c r="GS94" s="2086">
        <f t="shared" si="77"/>
        <v>8760</v>
      </c>
      <c r="GT94" s="2086">
        <f t="shared" si="77"/>
        <v>8760</v>
      </c>
      <c r="GU94" s="2086">
        <f t="shared" si="77"/>
        <v>8760</v>
      </c>
      <c r="GV94" s="2086">
        <f t="shared" si="77"/>
        <v>8760</v>
      </c>
      <c r="GW94" s="2086">
        <f t="shared" si="77"/>
        <v>8760</v>
      </c>
      <c r="GX94" s="2086">
        <f t="shared" si="77"/>
        <v>8760</v>
      </c>
      <c r="GY94" s="2086">
        <f t="shared" si="77"/>
        <v>8760</v>
      </c>
      <c r="GZ94" s="2086">
        <f t="shared" si="77"/>
        <v>8760</v>
      </c>
      <c r="HA94" s="2086">
        <f t="shared" si="77"/>
        <v>8760</v>
      </c>
      <c r="HB94" s="2086">
        <f t="shared" si="77"/>
        <v>8760</v>
      </c>
      <c r="HC94" s="2086">
        <f t="shared" si="77"/>
        <v>8760</v>
      </c>
      <c r="HD94" s="2086">
        <f t="shared" si="77"/>
        <v>8760</v>
      </c>
      <c r="HE94" s="2086">
        <f t="shared" si="77"/>
        <v>8760</v>
      </c>
      <c r="HF94" s="2086">
        <f t="shared" si="77"/>
        <v>8760</v>
      </c>
      <c r="HG94" s="2086">
        <f t="shared" si="77"/>
        <v>8760</v>
      </c>
      <c r="HH94" s="2086">
        <f t="shared" si="77"/>
        <v>8760</v>
      </c>
      <c r="HI94" s="2086">
        <f t="shared" si="77"/>
        <v>8760</v>
      </c>
      <c r="HJ94" s="2086">
        <f t="shared" si="77"/>
        <v>8760</v>
      </c>
      <c r="HK94" s="2086">
        <f t="shared" si="77"/>
        <v>8760</v>
      </c>
      <c r="HL94" s="2086">
        <f t="shared" si="77"/>
        <v>8760</v>
      </c>
      <c r="HM94" s="2086">
        <f t="shared" si="77"/>
        <v>8760</v>
      </c>
      <c r="HN94" s="2086">
        <f t="shared" si="77"/>
        <v>8760</v>
      </c>
      <c r="HO94" s="2086">
        <f t="shared" si="77"/>
        <v>8760</v>
      </c>
      <c r="HP94" s="2086">
        <f t="shared" si="77"/>
        <v>8760</v>
      </c>
      <c r="HQ94" s="2086">
        <f t="shared" si="77"/>
        <v>8760</v>
      </c>
      <c r="HR94" s="2086">
        <f t="shared" si="77"/>
        <v>8760</v>
      </c>
      <c r="HS94" s="2086">
        <f t="shared" si="77"/>
        <v>8760</v>
      </c>
      <c r="HT94" s="2086">
        <f t="shared" si="77"/>
        <v>8760</v>
      </c>
      <c r="HU94" s="2086">
        <f t="shared" si="77"/>
        <v>8760</v>
      </c>
      <c r="HV94" s="2086">
        <f t="shared" si="77"/>
        <v>8760</v>
      </c>
      <c r="HW94" s="2086">
        <f t="shared" si="77"/>
        <v>8760</v>
      </c>
      <c r="HX94" s="2086">
        <f t="shared" si="77"/>
        <v>8760</v>
      </c>
      <c r="HY94" s="2086">
        <f t="shared" si="77"/>
        <v>8760</v>
      </c>
      <c r="HZ94" s="2086">
        <f t="shared" si="77"/>
        <v>8760</v>
      </c>
      <c r="IA94" s="2086">
        <f t="shared" si="77"/>
        <v>8760</v>
      </c>
      <c r="IB94" s="2086">
        <f t="shared" si="77"/>
        <v>8760</v>
      </c>
      <c r="IC94" s="2086">
        <f t="shared" si="77"/>
        <v>8760</v>
      </c>
      <c r="ID94" s="2086">
        <f t="shared" si="77"/>
        <v>8760</v>
      </c>
      <c r="IE94" s="2086">
        <f t="shared" si="77"/>
        <v>8760</v>
      </c>
      <c r="IF94" s="2086">
        <f t="shared" si="77"/>
        <v>8760</v>
      </c>
      <c r="IG94" s="2086">
        <f t="shared" si="77"/>
        <v>8760</v>
      </c>
      <c r="IH94" s="2086">
        <f t="shared" si="77"/>
        <v>8760</v>
      </c>
      <c r="II94" s="2086">
        <f t="shared" si="77"/>
        <v>8760</v>
      </c>
      <c r="IJ94" s="2086">
        <f t="shared" si="77"/>
        <v>8760</v>
      </c>
      <c r="IK94" s="2086">
        <f t="shared" si="77"/>
        <v>8760</v>
      </c>
      <c r="IL94" s="2086">
        <f t="shared" si="77"/>
        <v>8760</v>
      </c>
      <c r="IM94" s="2086">
        <f t="shared" si="77"/>
        <v>8760</v>
      </c>
      <c r="IN94" s="2086">
        <f t="shared" si="77"/>
        <v>8760</v>
      </c>
      <c r="IO94" s="2086">
        <f t="shared" si="77"/>
        <v>8760</v>
      </c>
      <c r="IP94" s="2086">
        <f t="shared" si="77"/>
        <v>8760</v>
      </c>
      <c r="IQ94" s="2086">
        <f t="shared" si="77"/>
        <v>8760</v>
      </c>
      <c r="IR94" s="2086">
        <f t="shared" si="77"/>
        <v>8760</v>
      </c>
      <c r="IS94" s="2086">
        <f t="shared" si="77"/>
        <v>8760</v>
      </c>
      <c r="IT94" s="2086">
        <f t="shared" si="77"/>
        <v>8760</v>
      </c>
      <c r="IU94" s="2086">
        <f t="shared" si="77"/>
        <v>8760</v>
      </c>
      <c r="IV94" s="2086">
        <f t="shared" si="77"/>
        <v>8760</v>
      </c>
      <c r="IW94" s="2086">
        <f t="shared" si="77"/>
        <v>8760</v>
      </c>
      <c r="IX94" s="2086">
        <f t="shared" si="77"/>
        <v>8760</v>
      </c>
      <c r="IY94" s="2086">
        <f t="shared" si="77"/>
        <v>8760</v>
      </c>
      <c r="IZ94" s="2086">
        <f t="shared" si="77"/>
        <v>8760</v>
      </c>
      <c r="JA94" s="2086">
        <f t="shared" si="77"/>
        <v>8760</v>
      </c>
      <c r="JB94" s="2086">
        <f t="shared" si="77"/>
        <v>8760</v>
      </c>
      <c r="JC94" s="2086">
        <f t="shared" ref="JC94:LN94" si="78">IF(JC92&gt;JC93,JC92,IF(JC93&gt;JC92,JC93))</f>
        <v>8760</v>
      </c>
      <c r="JD94" s="2086">
        <f t="shared" si="78"/>
        <v>8760</v>
      </c>
      <c r="JE94" s="2086">
        <f t="shared" si="78"/>
        <v>8760</v>
      </c>
      <c r="JF94" s="2086">
        <f t="shared" si="78"/>
        <v>8760</v>
      </c>
      <c r="JG94" s="2086">
        <f t="shared" si="78"/>
        <v>8760</v>
      </c>
      <c r="JH94" s="2086">
        <f t="shared" si="78"/>
        <v>8760</v>
      </c>
      <c r="JI94" s="2086">
        <f t="shared" si="78"/>
        <v>8760</v>
      </c>
      <c r="JJ94" s="2086">
        <f t="shared" si="78"/>
        <v>8760</v>
      </c>
      <c r="JK94" s="2086">
        <f t="shared" si="78"/>
        <v>8760</v>
      </c>
      <c r="JL94" s="2086">
        <f t="shared" si="78"/>
        <v>8760</v>
      </c>
      <c r="JM94" s="2086">
        <f t="shared" si="78"/>
        <v>8760</v>
      </c>
      <c r="JN94" s="2086">
        <f t="shared" si="78"/>
        <v>8760</v>
      </c>
      <c r="JO94" s="2086">
        <f t="shared" si="78"/>
        <v>8760</v>
      </c>
      <c r="JP94" s="2086">
        <f t="shared" si="78"/>
        <v>8760</v>
      </c>
      <c r="JQ94" s="2086">
        <f t="shared" si="78"/>
        <v>8760</v>
      </c>
      <c r="JR94" s="2086" t="e">
        <f t="shared" si="78"/>
        <v>#DIV/0!</v>
      </c>
      <c r="JS94" s="2086" t="e">
        <f t="shared" si="78"/>
        <v>#DIV/0!</v>
      </c>
      <c r="JT94" s="2086" t="e">
        <f t="shared" si="78"/>
        <v>#DIV/0!</v>
      </c>
      <c r="JU94" s="2086" t="e">
        <f t="shared" si="78"/>
        <v>#DIV/0!</v>
      </c>
      <c r="JV94" s="2086" t="e">
        <f t="shared" si="78"/>
        <v>#DIV/0!</v>
      </c>
      <c r="JW94" s="2086" t="e">
        <f t="shared" si="78"/>
        <v>#DIV/0!</v>
      </c>
      <c r="JX94" s="2086" t="e">
        <f t="shared" si="78"/>
        <v>#DIV/0!</v>
      </c>
      <c r="JY94" s="2086" t="e">
        <f t="shared" si="78"/>
        <v>#DIV/0!</v>
      </c>
      <c r="JZ94" s="2086" t="e">
        <f t="shared" si="78"/>
        <v>#DIV/0!</v>
      </c>
      <c r="KA94" s="2086" t="e">
        <f t="shared" si="78"/>
        <v>#DIV/0!</v>
      </c>
      <c r="KB94" s="2086" t="e">
        <f t="shared" si="78"/>
        <v>#DIV/0!</v>
      </c>
      <c r="KC94" s="2086" t="e">
        <f t="shared" si="78"/>
        <v>#DIV/0!</v>
      </c>
      <c r="KD94" s="2086" t="e">
        <f t="shared" si="78"/>
        <v>#DIV/0!</v>
      </c>
      <c r="KE94" s="2086" t="e">
        <f t="shared" si="78"/>
        <v>#DIV/0!</v>
      </c>
      <c r="KF94" s="2086" t="e">
        <f t="shared" si="78"/>
        <v>#DIV/0!</v>
      </c>
      <c r="KG94" s="2086" t="e">
        <f t="shared" si="78"/>
        <v>#DIV/0!</v>
      </c>
      <c r="KH94" s="2086" t="e">
        <f t="shared" si="78"/>
        <v>#DIV/0!</v>
      </c>
      <c r="KI94" s="2086" t="e">
        <f t="shared" si="78"/>
        <v>#DIV/0!</v>
      </c>
      <c r="KJ94" s="2086" t="e">
        <f t="shared" si="78"/>
        <v>#DIV/0!</v>
      </c>
      <c r="KK94" s="2086" t="e">
        <f t="shared" si="78"/>
        <v>#DIV/0!</v>
      </c>
      <c r="KL94" s="2086" t="e">
        <f t="shared" si="78"/>
        <v>#DIV/0!</v>
      </c>
      <c r="KM94" s="2086" t="e">
        <f t="shared" si="78"/>
        <v>#DIV/0!</v>
      </c>
      <c r="KN94" s="2086" t="e">
        <f t="shared" si="78"/>
        <v>#DIV/0!</v>
      </c>
      <c r="KO94" s="2086" t="e">
        <f t="shared" si="78"/>
        <v>#DIV/0!</v>
      </c>
      <c r="KP94" s="2086" t="e">
        <f t="shared" si="78"/>
        <v>#DIV/0!</v>
      </c>
      <c r="KQ94" s="2086" t="e">
        <f t="shared" si="78"/>
        <v>#DIV/0!</v>
      </c>
      <c r="KR94" s="2086" t="e">
        <f t="shared" si="78"/>
        <v>#DIV/0!</v>
      </c>
      <c r="KS94" s="2086" t="e">
        <f t="shared" si="78"/>
        <v>#DIV/0!</v>
      </c>
      <c r="KT94" s="2086" t="e">
        <f t="shared" si="78"/>
        <v>#DIV/0!</v>
      </c>
      <c r="KU94" s="2086" t="e">
        <f t="shared" si="78"/>
        <v>#DIV/0!</v>
      </c>
      <c r="KV94" s="2086" t="e">
        <f t="shared" si="78"/>
        <v>#DIV/0!</v>
      </c>
      <c r="KW94" s="2086" t="e">
        <f t="shared" si="78"/>
        <v>#DIV/0!</v>
      </c>
      <c r="KX94" s="2086" t="e">
        <f t="shared" si="78"/>
        <v>#DIV/0!</v>
      </c>
      <c r="KY94" s="2086" t="e">
        <f t="shared" si="78"/>
        <v>#DIV/0!</v>
      </c>
      <c r="KZ94" s="2086">
        <f t="shared" si="78"/>
        <v>8760</v>
      </c>
      <c r="LA94" s="2086">
        <f t="shared" si="78"/>
        <v>8760</v>
      </c>
      <c r="LB94" s="2086">
        <f t="shared" si="78"/>
        <v>8760</v>
      </c>
      <c r="LC94" s="2086">
        <f t="shared" si="78"/>
        <v>8760</v>
      </c>
      <c r="LD94" s="2086">
        <f t="shared" si="78"/>
        <v>8760</v>
      </c>
      <c r="LE94" s="2086">
        <f t="shared" si="78"/>
        <v>8760</v>
      </c>
      <c r="LF94" s="2086">
        <f t="shared" si="78"/>
        <v>8760</v>
      </c>
      <c r="LG94" s="2086">
        <f t="shared" si="78"/>
        <v>8760</v>
      </c>
      <c r="LH94" s="2086">
        <f t="shared" si="78"/>
        <v>8760</v>
      </c>
      <c r="LI94" s="2086">
        <f t="shared" si="78"/>
        <v>8760</v>
      </c>
      <c r="LJ94" s="2086">
        <f t="shared" si="78"/>
        <v>8760</v>
      </c>
      <c r="LK94" s="2086">
        <f t="shared" si="78"/>
        <v>8760</v>
      </c>
      <c r="LL94" s="2086">
        <f t="shared" si="78"/>
        <v>8760</v>
      </c>
      <c r="LM94" s="2086">
        <f t="shared" si="78"/>
        <v>8760</v>
      </c>
      <c r="LN94" s="2086">
        <f t="shared" si="78"/>
        <v>8760</v>
      </c>
      <c r="LO94" s="2086">
        <f t="shared" ref="LO94:NZ94" si="79">IF(LO92&gt;LO93,LO92,IF(LO93&gt;LO92,LO93))</f>
        <v>8760</v>
      </c>
      <c r="LP94" s="2086">
        <f t="shared" si="79"/>
        <v>8760</v>
      </c>
      <c r="LQ94" s="2086">
        <f t="shared" si="79"/>
        <v>8760</v>
      </c>
      <c r="LR94" s="2086">
        <f t="shared" si="79"/>
        <v>8760</v>
      </c>
      <c r="LS94" s="2086">
        <f t="shared" si="79"/>
        <v>8760</v>
      </c>
      <c r="LT94" s="2086">
        <f t="shared" si="79"/>
        <v>8760</v>
      </c>
      <c r="LU94" s="2086">
        <f t="shared" si="79"/>
        <v>8760</v>
      </c>
      <c r="LV94" s="2086">
        <f t="shared" si="79"/>
        <v>8760</v>
      </c>
      <c r="LW94" s="2086">
        <f t="shared" si="79"/>
        <v>8760</v>
      </c>
      <c r="LX94" s="2086">
        <f t="shared" si="79"/>
        <v>8760</v>
      </c>
      <c r="LY94" s="2086">
        <f t="shared" si="79"/>
        <v>8760</v>
      </c>
      <c r="LZ94" s="2086">
        <f t="shared" si="79"/>
        <v>8760</v>
      </c>
      <c r="MA94" s="2086">
        <f t="shared" si="79"/>
        <v>8760</v>
      </c>
      <c r="MB94" s="2086">
        <f t="shared" si="79"/>
        <v>8760</v>
      </c>
      <c r="MC94" s="2086">
        <f t="shared" si="79"/>
        <v>8760</v>
      </c>
      <c r="MD94" s="2086">
        <f t="shared" si="79"/>
        <v>8760</v>
      </c>
      <c r="ME94" s="2086">
        <f t="shared" si="79"/>
        <v>8760</v>
      </c>
      <c r="MF94" s="2086">
        <f t="shared" si="79"/>
        <v>8760</v>
      </c>
      <c r="MG94" s="2086">
        <f t="shared" si="79"/>
        <v>8760</v>
      </c>
      <c r="MH94" s="2086">
        <f t="shared" si="79"/>
        <v>8760</v>
      </c>
      <c r="MI94" s="2086">
        <f t="shared" si="79"/>
        <v>8760</v>
      </c>
      <c r="MJ94" s="2086">
        <f t="shared" si="79"/>
        <v>8760</v>
      </c>
      <c r="MK94" s="2086">
        <f t="shared" si="79"/>
        <v>8760</v>
      </c>
      <c r="ML94" s="2086">
        <f t="shared" si="79"/>
        <v>8760</v>
      </c>
      <c r="MM94" s="2086">
        <f t="shared" si="79"/>
        <v>8760</v>
      </c>
      <c r="MN94" s="2086">
        <f t="shared" si="79"/>
        <v>8760</v>
      </c>
      <c r="MO94" s="2086">
        <f t="shared" si="79"/>
        <v>8760</v>
      </c>
      <c r="MP94" s="2086">
        <f t="shared" si="79"/>
        <v>8760</v>
      </c>
      <c r="MQ94" s="2086">
        <f t="shared" si="79"/>
        <v>8760</v>
      </c>
      <c r="MR94" s="2086">
        <f t="shared" si="79"/>
        <v>8760</v>
      </c>
      <c r="MS94" s="2086">
        <f t="shared" si="79"/>
        <v>8760</v>
      </c>
      <c r="MT94" s="2086">
        <f t="shared" si="79"/>
        <v>8760</v>
      </c>
      <c r="MU94" s="2086">
        <f t="shared" si="79"/>
        <v>8760</v>
      </c>
      <c r="MV94" s="2086">
        <f t="shared" si="79"/>
        <v>8760</v>
      </c>
      <c r="MW94" s="2086">
        <f t="shared" si="79"/>
        <v>8760</v>
      </c>
      <c r="MX94" s="2086">
        <f t="shared" si="79"/>
        <v>8760</v>
      </c>
      <c r="MY94" s="2086" t="e">
        <f t="shared" si="79"/>
        <v>#DIV/0!</v>
      </c>
      <c r="MZ94" s="2086" t="e">
        <f t="shared" si="79"/>
        <v>#DIV/0!</v>
      </c>
      <c r="NA94" s="2086" t="e">
        <f t="shared" si="79"/>
        <v>#DIV/0!</v>
      </c>
      <c r="NB94" s="2086" t="e">
        <f t="shared" si="79"/>
        <v>#DIV/0!</v>
      </c>
      <c r="NC94" s="2086" t="e">
        <f t="shared" si="79"/>
        <v>#DIV/0!</v>
      </c>
      <c r="ND94" s="2086" t="e">
        <f t="shared" si="79"/>
        <v>#DIV/0!</v>
      </c>
      <c r="NE94" s="2086" t="e">
        <f t="shared" si="79"/>
        <v>#DIV/0!</v>
      </c>
      <c r="NF94" s="2086" t="e">
        <f t="shared" si="79"/>
        <v>#DIV/0!</v>
      </c>
      <c r="NG94" s="2086" t="e">
        <f t="shared" si="79"/>
        <v>#DIV/0!</v>
      </c>
      <c r="NH94" s="2086" t="e">
        <f t="shared" si="79"/>
        <v>#DIV/0!</v>
      </c>
      <c r="NI94" s="2086" t="e">
        <f t="shared" si="79"/>
        <v>#DIV/0!</v>
      </c>
      <c r="NJ94" s="2086" t="e">
        <f t="shared" si="79"/>
        <v>#DIV/0!</v>
      </c>
      <c r="NK94" s="2086" t="e">
        <f t="shared" si="79"/>
        <v>#DIV/0!</v>
      </c>
      <c r="NL94" s="2086" t="e">
        <f t="shared" si="79"/>
        <v>#DIV/0!</v>
      </c>
      <c r="NM94" s="2086" t="e">
        <f t="shared" si="79"/>
        <v>#DIV/0!</v>
      </c>
      <c r="NN94" s="2086" t="e">
        <f t="shared" si="79"/>
        <v>#DIV/0!</v>
      </c>
      <c r="NO94" s="2086" t="e">
        <f t="shared" si="79"/>
        <v>#DIV/0!</v>
      </c>
      <c r="NP94" s="2086">
        <f t="shared" si="79"/>
        <v>8760</v>
      </c>
      <c r="NQ94" s="2086">
        <f t="shared" si="79"/>
        <v>8760</v>
      </c>
      <c r="NR94" s="2086">
        <f t="shared" si="79"/>
        <v>8760</v>
      </c>
      <c r="NS94" s="2086">
        <f t="shared" si="79"/>
        <v>8760</v>
      </c>
      <c r="NT94" s="2086">
        <f t="shared" si="79"/>
        <v>8760</v>
      </c>
      <c r="NU94" s="2086">
        <f t="shared" si="79"/>
        <v>8760</v>
      </c>
      <c r="NV94" s="2086">
        <f t="shared" si="79"/>
        <v>8760</v>
      </c>
      <c r="NW94" s="2086">
        <f t="shared" si="79"/>
        <v>8760</v>
      </c>
      <c r="NX94" s="2086">
        <f t="shared" si="79"/>
        <v>8760</v>
      </c>
      <c r="NY94" s="2086">
        <f t="shared" si="79"/>
        <v>8760</v>
      </c>
      <c r="NZ94" s="2086">
        <f t="shared" si="79"/>
        <v>8760</v>
      </c>
      <c r="OA94" s="2086">
        <f t="shared" ref="OA94:QL94" si="80">IF(OA92&gt;OA93,OA92,IF(OA93&gt;OA92,OA93))</f>
        <v>8760</v>
      </c>
      <c r="OB94" s="2086">
        <f t="shared" si="80"/>
        <v>8760</v>
      </c>
      <c r="OC94" s="2086">
        <f t="shared" si="80"/>
        <v>8760</v>
      </c>
      <c r="OD94" s="2086">
        <f t="shared" si="80"/>
        <v>8760</v>
      </c>
      <c r="OE94" s="2086">
        <f t="shared" si="80"/>
        <v>8760</v>
      </c>
      <c r="OF94" s="2086">
        <f t="shared" si="80"/>
        <v>8760</v>
      </c>
      <c r="OG94" s="2086">
        <f t="shared" si="80"/>
        <v>8760</v>
      </c>
      <c r="OH94" s="2086">
        <f t="shared" si="80"/>
        <v>8760</v>
      </c>
      <c r="OI94" s="2086">
        <f t="shared" si="80"/>
        <v>8760</v>
      </c>
      <c r="OJ94" s="2086">
        <f t="shared" si="80"/>
        <v>8760</v>
      </c>
      <c r="OK94" s="2086">
        <f t="shared" si="80"/>
        <v>8760</v>
      </c>
      <c r="OL94" s="2086">
        <f t="shared" si="80"/>
        <v>8760</v>
      </c>
      <c r="OM94" s="2086">
        <f t="shared" si="80"/>
        <v>8760</v>
      </c>
      <c r="ON94" s="2086">
        <f t="shared" si="80"/>
        <v>8760</v>
      </c>
      <c r="OO94" s="2086">
        <f t="shared" si="80"/>
        <v>8760</v>
      </c>
      <c r="OP94" s="2086">
        <f t="shared" si="80"/>
        <v>8760</v>
      </c>
      <c r="OQ94" s="2086">
        <f t="shared" si="80"/>
        <v>8760</v>
      </c>
      <c r="OR94" s="2086">
        <f t="shared" si="80"/>
        <v>8760</v>
      </c>
      <c r="OS94" s="2086">
        <f t="shared" si="80"/>
        <v>8760</v>
      </c>
      <c r="OT94" s="2086">
        <f t="shared" si="80"/>
        <v>8760</v>
      </c>
      <c r="OU94" s="2086">
        <f t="shared" si="80"/>
        <v>8760</v>
      </c>
      <c r="OV94" s="2086">
        <f t="shared" si="80"/>
        <v>8760</v>
      </c>
      <c r="OW94" s="2086">
        <f t="shared" si="80"/>
        <v>8760</v>
      </c>
      <c r="OX94" s="2086">
        <f t="shared" si="80"/>
        <v>8760</v>
      </c>
      <c r="OY94" s="2086">
        <f t="shared" si="80"/>
        <v>8760</v>
      </c>
      <c r="OZ94" s="2086">
        <f t="shared" si="80"/>
        <v>8760</v>
      </c>
      <c r="PA94" s="2086">
        <f t="shared" si="80"/>
        <v>8760</v>
      </c>
      <c r="PB94" s="2086">
        <f t="shared" si="80"/>
        <v>8760</v>
      </c>
      <c r="PC94" s="2086">
        <f t="shared" si="80"/>
        <v>8760</v>
      </c>
      <c r="PD94" s="2086">
        <f t="shared" si="80"/>
        <v>8760</v>
      </c>
      <c r="PE94" s="2086">
        <f t="shared" si="80"/>
        <v>8760</v>
      </c>
      <c r="PF94" s="2086">
        <f t="shared" si="80"/>
        <v>8760</v>
      </c>
      <c r="PG94" s="2086">
        <f t="shared" si="80"/>
        <v>8760</v>
      </c>
      <c r="PH94" s="2086">
        <f t="shared" si="80"/>
        <v>8760</v>
      </c>
      <c r="PI94" s="2086">
        <f t="shared" si="80"/>
        <v>8760</v>
      </c>
      <c r="PJ94" s="2086">
        <f t="shared" si="80"/>
        <v>8760</v>
      </c>
      <c r="PK94" s="2086">
        <f t="shared" si="80"/>
        <v>8760</v>
      </c>
      <c r="PL94" s="2086">
        <f t="shared" si="80"/>
        <v>8760</v>
      </c>
      <c r="PM94" s="2086">
        <f t="shared" si="80"/>
        <v>8760</v>
      </c>
      <c r="PN94" s="2086">
        <f t="shared" si="80"/>
        <v>8760</v>
      </c>
      <c r="PO94" s="2086">
        <f t="shared" si="80"/>
        <v>8760</v>
      </c>
      <c r="PP94" s="2086">
        <f t="shared" si="80"/>
        <v>8760</v>
      </c>
      <c r="PQ94" s="2086">
        <f t="shared" si="80"/>
        <v>8760</v>
      </c>
      <c r="PR94" s="2086">
        <f t="shared" si="80"/>
        <v>8760</v>
      </c>
      <c r="PS94" s="2086">
        <f t="shared" si="80"/>
        <v>8760</v>
      </c>
      <c r="PT94" s="2086">
        <f t="shared" si="80"/>
        <v>8760</v>
      </c>
      <c r="PU94" s="2086">
        <f t="shared" si="80"/>
        <v>8760</v>
      </c>
      <c r="PV94" s="2086">
        <f t="shared" si="80"/>
        <v>8760</v>
      </c>
      <c r="PW94" s="2086">
        <f t="shared" si="80"/>
        <v>8760</v>
      </c>
      <c r="PX94" s="2086">
        <f t="shared" si="80"/>
        <v>8760</v>
      </c>
      <c r="PY94" s="2086">
        <f t="shared" si="80"/>
        <v>8760</v>
      </c>
      <c r="PZ94" s="2086">
        <f t="shared" si="80"/>
        <v>8760</v>
      </c>
      <c r="QA94" s="2086">
        <f t="shared" si="80"/>
        <v>8760</v>
      </c>
      <c r="QB94" s="2086">
        <f t="shared" si="80"/>
        <v>8760</v>
      </c>
      <c r="QC94" s="2086">
        <f t="shared" si="80"/>
        <v>8760</v>
      </c>
      <c r="QD94" s="2086">
        <f t="shared" si="80"/>
        <v>8760</v>
      </c>
      <c r="QE94" s="2086">
        <f t="shared" si="80"/>
        <v>8760</v>
      </c>
      <c r="QF94" s="2086">
        <f t="shared" si="80"/>
        <v>8760</v>
      </c>
      <c r="QG94" s="2086">
        <f t="shared" si="80"/>
        <v>8760</v>
      </c>
      <c r="QH94" s="2086">
        <f t="shared" si="80"/>
        <v>8760</v>
      </c>
      <c r="QI94" s="2086">
        <f t="shared" si="80"/>
        <v>8760</v>
      </c>
      <c r="QJ94" s="2086">
        <f t="shared" si="80"/>
        <v>8760</v>
      </c>
      <c r="QK94" s="2086">
        <f t="shared" si="80"/>
        <v>8760</v>
      </c>
      <c r="QL94" s="2086">
        <f t="shared" si="80"/>
        <v>8760</v>
      </c>
      <c r="QM94" s="2086">
        <f t="shared" ref="QM94:SX94" si="81">IF(QM92&gt;QM93,QM92,IF(QM93&gt;QM92,QM93))</f>
        <v>8760</v>
      </c>
      <c r="QN94" s="2086">
        <f t="shared" si="81"/>
        <v>8760</v>
      </c>
      <c r="QO94" s="2086">
        <f t="shared" si="81"/>
        <v>8760</v>
      </c>
      <c r="QP94" s="2086">
        <f t="shared" si="81"/>
        <v>8760</v>
      </c>
      <c r="QQ94" s="2086">
        <f t="shared" si="81"/>
        <v>8760</v>
      </c>
      <c r="QR94" s="2086">
        <f t="shared" si="81"/>
        <v>8760</v>
      </c>
      <c r="QS94" s="2086">
        <f t="shared" si="81"/>
        <v>8760</v>
      </c>
      <c r="QT94" s="2086">
        <f t="shared" si="81"/>
        <v>8760</v>
      </c>
      <c r="QU94" s="2086">
        <f t="shared" si="81"/>
        <v>8760</v>
      </c>
      <c r="QV94" s="2086">
        <f t="shared" si="81"/>
        <v>8760</v>
      </c>
      <c r="QW94" s="2086">
        <f t="shared" si="81"/>
        <v>8760</v>
      </c>
      <c r="QX94" s="2086">
        <f t="shared" si="81"/>
        <v>8760</v>
      </c>
      <c r="QY94" s="2086">
        <f t="shared" si="81"/>
        <v>8760</v>
      </c>
      <c r="QZ94" s="2086">
        <f t="shared" si="81"/>
        <v>8760</v>
      </c>
      <c r="RA94" s="2086">
        <f t="shared" si="81"/>
        <v>8760</v>
      </c>
      <c r="RB94" s="2086">
        <f t="shared" si="81"/>
        <v>8760</v>
      </c>
      <c r="RC94" s="2086">
        <f t="shared" si="81"/>
        <v>8760</v>
      </c>
      <c r="RD94" s="2086">
        <f t="shared" si="81"/>
        <v>8760</v>
      </c>
      <c r="RE94" s="2086">
        <f t="shared" si="81"/>
        <v>8760</v>
      </c>
      <c r="RF94" s="2086">
        <f t="shared" si="81"/>
        <v>8760</v>
      </c>
      <c r="RG94" s="2086">
        <f t="shared" si="81"/>
        <v>8760</v>
      </c>
      <c r="RH94" s="2086">
        <f t="shared" si="81"/>
        <v>8760</v>
      </c>
      <c r="RI94" s="2086">
        <f t="shared" si="81"/>
        <v>8760</v>
      </c>
      <c r="RJ94" s="2086">
        <f t="shared" si="81"/>
        <v>8760</v>
      </c>
      <c r="RK94" s="2086">
        <f t="shared" si="81"/>
        <v>8760</v>
      </c>
      <c r="RL94" s="2086">
        <f t="shared" si="81"/>
        <v>8760</v>
      </c>
      <c r="RM94" s="2086">
        <f t="shared" si="81"/>
        <v>8760</v>
      </c>
      <c r="RN94" s="2086">
        <f t="shared" si="81"/>
        <v>8760</v>
      </c>
      <c r="RO94" s="2086">
        <f t="shared" si="81"/>
        <v>8760</v>
      </c>
      <c r="RP94" s="2086">
        <f t="shared" si="81"/>
        <v>8760</v>
      </c>
      <c r="RQ94" s="2086">
        <f t="shared" si="81"/>
        <v>8760</v>
      </c>
      <c r="RR94" s="2086">
        <f t="shared" si="81"/>
        <v>8760</v>
      </c>
      <c r="RS94" s="2086">
        <f t="shared" si="81"/>
        <v>8760</v>
      </c>
      <c r="RT94" s="2086">
        <f t="shared" si="81"/>
        <v>8760</v>
      </c>
      <c r="RU94" s="2086">
        <f t="shared" si="81"/>
        <v>8760</v>
      </c>
      <c r="RV94" s="2086">
        <f t="shared" si="81"/>
        <v>8760</v>
      </c>
      <c r="RW94" s="2086">
        <f t="shared" si="81"/>
        <v>8760</v>
      </c>
      <c r="RX94" s="2086">
        <f t="shared" si="81"/>
        <v>8760</v>
      </c>
      <c r="RY94" s="2086">
        <f t="shared" si="81"/>
        <v>8760</v>
      </c>
      <c r="RZ94" s="2086">
        <f t="shared" si="81"/>
        <v>8760</v>
      </c>
      <c r="SA94" s="2086">
        <f t="shared" si="81"/>
        <v>8760</v>
      </c>
      <c r="SB94" s="2086">
        <f t="shared" si="81"/>
        <v>8760</v>
      </c>
      <c r="SC94" s="2086">
        <f t="shared" si="81"/>
        <v>8760</v>
      </c>
      <c r="SD94" s="2086">
        <f t="shared" si="81"/>
        <v>8760</v>
      </c>
      <c r="SE94" s="2086">
        <f t="shared" si="81"/>
        <v>8760</v>
      </c>
      <c r="SF94" s="2086">
        <f t="shared" si="81"/>
        <v>8760</v>
      </c>
      <c r="SG94" s="2086">
        <f t="shared" si="81"/>
        <v>8760</v>
      </c>
      <c r="SH94" s="2086">
        <f t="shared" si="81"/>
        <v>8760</v>
      </c>
      <c r="SI94" s="2086">
        <f t="shared" si="81"/>
        <v>8760</v>
      </c>
      <c r="SJ94" s="2086">
        <f t="shared" si="81"/>
        <v>8760</v>
      </c>
      <c r="SK94" s="2086">
        <f t="shared" si="81"/>
        <v>8760</v>
      </c>
      <c r="SL94" s="2086">
        <f t="shared" si="81"/>
        <v>8760</v>
      </c>
      <c r="SM94" s="2086">
        <f t="shared" si="81"/>
        <v>8760</v>
      </c>
      <c r="SN94" s="2086">
        <f t="shared" si="81"/>
        <v>8760</v>
      </c>
      <c r="SO94" s="2086">
        <f t="shared" si="81"/>
        <v>8760</v>
      </c>
      <c r="SP94" s="2086">
        <f t="shared" si="81"/>
        <v>8760</v>
      </c>
      <c r="SQ94" s="2086">
        <f t="shared" si="81"/>
        <v>8760</v>
      </c>
      <c r="SR94" s="2086">
        <f t="shared" si="81"/>
        <v>8760</v>
      </c>
      <c r="SS94" s="2086">
        <f t="shared" si="81"/>
        <v>8760</v>
      </c>
      <c r="ST94" s="2086">
        <f t="shared" si="81"/>
        <v>8760</v>
      </c>
      <c r="SU94" s="2086">
        <f t="shared" si="81"/>
        <v>8760</v>
      </c>
      <c r="SV94" s="2086">
        <f t="shared" si="81"/>
        <v>8760</v>
      </c>
      <c r="SW94" s="2086">
        <f t="shared" si="81"/>
        <v>8760</v>
      </c>
      <c r="SX94" s="2086">
        <f t="shared" si="81"/>
        <v>8760</v>
      </c>
      <c r="SY94" s="2086">
        <f t="shared" ref="SY94:VJ94" si="82">IF(SY92&gt;SY93,SY92,IF(SY93&gt;SY92,SY93))</f>
        <v>8760</v>
      </c>
      <c r="SZ94" s="2086">
        <f t="shared" si="82"/>
        <v>8760</v>
      </c>
      <c r="TA94" s="2086">
        <f t="shared" si="82"/>
        <v>8760</v>
      </c>
      <c r="TB94" s="2086">
        <f t="shared" si="82"/>
        <v>8760</v>
      </c>
      <c r="TC94" s="2086">
        <f t="shared" si="82"/>
        <v>8760</v>
      </c>
      <c r="TD94" s="2086">
        <f t="shared" si="82"/>
        <v>8760</v>
      </c>
      <c r="TE94" s="2086">
        <f t="shared" si="82"/>
        <v>8760</v>
      </c>
      <c r="TF94" s="2086">
        <f t="shared" si="82"/>
        <v>8760</v>
      </c>
      <c r="TG94" s="2086">
        <f t="shared" si="82"/>
        <v>8760</v>
      </c>
      <c r="TH94" s="2086">
        <f t="shared" si="82"/>
        <v>8760</v>
      </c>
      <c r="TI94" s="2086">
        <f t="shared" si="82"/>
        <v>8760</v>
      </c>
      <c r="TJ94" s="2086">
        <f t="shared" si="82"/>
        <v>8760</v>
      </c>
      <c r="TK94" s="2086">
        <f t="shared" si="82"/>
        <v>8760</v>
      </c>
      <c r="TL94" s="2086">
        <f t="shared" si="82"/>
        <v>8760</v>
      </c>
      <c r="TM94" s="2086">
        <f t="shared" si="82"/>
        <v>8760</v>
      </c>
      <c r="TN94" s="2086">
        <f t="shared" si="82"/>
        <v>8760</v>
      </c>
      <c r="TO94" s="2086">
        <f t="shared" si="82"/>
        <v>8760</v>
      </c>
      <c r="TP94" s="2086">
        <f t="shared" si="82"/>
        <v>8760</v>
      </c>
      <c r="TQ94" s="2086">
        <f t="shared" si="82"/>
        <v>8760</v>
      </c>
      <c r="TR94" s="2086">
        <f t="shared" si="82"/>
        <v>8760</v>
      </c>
      <c r="TS94" s="2086">
        <f t="shared" si="82"/>
        <v>8760</v>
      </c>
      <c r="TT94" s="2086">
        <f t="shared" si="82"/>
        <v>8760</v>
      </c>
      <c r="TU94" s="2086">
        <f t="shared" si="82"/>
        <v>8760</v>
      </c>
      <c r="TV94" s="2086">
        <f t="shared" si="82"/>
        <v>8760</v>
      </c>
      <c r="TW94" s="2086">
        <f t="shared" si="82"/>
        <v>8760</v>
      </c>
      <c r="TX94" s="2086">
        <f t="shared" si="82"/>
        <v>8760</v>
      </c>
      <c r="TY94" s="2086">
        <f t="shared" si="82"/>
        <v>8760</v>
      </c>
      <c r="TZ94" s="2086">
        <f t="shared" si="82"/>
        <v>8760</v>
      </c>
      <c r="UA94" s="2086">
        <f t="shared" si="82"/>
        <v>8760</v>
      </c>
      <c r="UB94" s="2086">
        <f t="shared" si="82"/>
        <v>8760</v>
      </c>
      <c r="UC94" s="2086">
        <f t="shared" si="82"/>
        <v>8760</v>
      </c>
      <c r="UD94" s="2086">
        <f t="shared" si="82"/>
        <v>8760</v>
      </c>
      <c r="UE94" s="2086">
        <f t="shared" si="82"/>
        <v>8760</v>
      </c>
      <c r="UF94" s="2086">
        <f t="shared" si="82"/>
        <v>8760</v>
      </c>
      <c r="UG94" s="2086">
        <f t="shared" si="82"/>
        <v>8760</v>
      </c>
      <c r="UH94" s="2086">
        <f t="shared" si="82"/>
        <v>8760</v>
      </c>
      <c r="UI94" s="2086">
        <f t="shared" si="82"/>
        <v>8760</v>
      </c>
      <c r="UJ94" s="2086">
        <f t="shared" si="82"/>
        <v>8760</v>
      </c>
      <c r="UK94" s="2086">
        <f t="shared" si="82"/>
        <v>8760</v>
      </c>
      <c r="UL94" s="2086">
        <f t="shared" si="82"/>
        <v>8760</v>
      </c>
      <c r="UM94" s="2086">
        <f t="shared" si="82"/>
        <v>8760</v>
      </c>
      <c r="UN94" s="2086">
        <f t="shared" si="82"/>
        <v>8760</v>
      </c>
      <c r="UO94" s="2086">
        <f t="shared" si="82"/>
        <v>8760</v>
      </c>
      <c r="UP94" s="2086">
        <f t="shared" si="82"/>
        <v>8760</v>
      </c>
      <c r="UQ94" s="2086">
        <f t="shared" si="82"/>
        <v>8760</v>
      </c>
      <c r="UR94" s="2086">
        <f t="shared" si="82"/>
        <v>8760</v>
      </c>
      <c r="US94" s="2086">
        <f t="shared" si="82"/>
        <v>8760</v>
      </c>
      <c r="UT94" s="2086">
        <f t="shared" si="82"/>
        <v>8760</v>
      </c>
      <c r="UU94" s="2086">
        <f t="shared" si="82"/>
        <v>8760</v>
      </c>
      <c r="UV94" s="2086">
        <f t="shared" si="82"/>
        <v>8760</v>
      </c>
      <c r="UW94" s="2086">
        <f t="shared" si="82"/>
        <v>8760</v>
      </c>
      <c r="UX94" s="2086">
        <f t="shared" si="82"/>
        <v>8760</v>
      </c>
      <c r="UY94" s="2086">
        <f t="shared" si="82"/>
        <v>8760</v>
      </c>
      <c r="UZ94" s="2086">
        <f t="shared" si="82"/>
        <v>8760</v>
      </c>
      <c r="VA94" s="2086">
        <f t="shared" si="82"/>
        <v>8760</v>
      </c>
      <c r="VB94" s="2086">
        <f t="shared" si="82"/>
        <v>8760</v>
      </c>
      <c r="VC94" s="2086">
        <f t="shared" si="82"/>
        <v>8760</v>
      </c>
      <c r="VD94" s="2086">
        <f t="shared" si="82"/>
        <v>8760</v>
      </c>
      <c r="VE94" s="2086">
        <f t="shared" si="82"/>
        <v>8760</v>
      </c>
      <c r="VF94" s="2086">
        <f t="shared" si="82"/>
        <v>8760</v>
      </c>
      <c r="VG94" s="2086">
        <f t="shared" si="82"/>
        <v>8760</v>
      </c>
      <c r="VH94" s="2086">
        <f t="shared" si="82"/>
        <v>8760</v>
      </c>
      <c r="VI94" s="2086">
        <f t="shared" si="82"/>
        <v>8760</v>
      </c>
      <c r="VJ94" s="2086">
        <f t="shared" si="82"/>
        <v>8760</v>
      </c>
      <c r="VK94" s="2087">
        <f>IF(VK92&gt;VK93,VK92,IF(VK93&gt;VK92,VK93))</f>
        <v>8760</v>
      </c>
    </row>
    <row r="95" spans="2:583" s="1296" customFormat="1" ht="27" x14ac:dyDescent="0.25">
      <c r="B95" s="2055" t="s">
        <v>61</v>
      </c>
      <c r="C95" s="2055" t="s">
        <v>2792</v>
      </c>
      <c r="D95" s="4714" t="s">
        <v>2793</v>
      </c>
      <c r="E95" s="4714"/>
      <c r="F95" s="1912"/>
      <c r="G95" s="1912"/>
      <c r="H95" s="1912"/>
      <c r="I95" s="1576"/>
      <c r="J95" s="1576"/>
      <c r="K95" s="1576"/>
      <c r="L95" s="1576"/>
      <c r="M95" s="1576"/>
      <c r="N95" s="1576"/>
      <c r="O95" s="1576"/>
      <c r="P95" s="1576"/>
      <c r="Q95" s="1576"/>
      <c r="R95" s="1576"/>
      <c r="S95" s="1576"/>
      <c r="T95" s="1576"/>
      <c r="U95" s="1576"/>
      <c r="V95" s="1576"/>
      <c r="W95" s="1576"/>
      <c r="X95" s="1576"/>
      <c r="Y95" s="1576"/>
      <c r="Z95" s="1576"/>
      <c r="AA95" s="1576"/>
      <c r="AB95" s="1576"/>
      <c r="AC95" s="1576"/>
      <c r="AD95" s="1576"/>
      <c r="AE95" s="1576"/>
      <c r="AF95" s="1576"/>
      <c r="AG95" s="1576"/>
      <c r="AH95" s="1576"/>
      <c r="AI95" s="1576"/>
      <c r="AJ95" s="1576"/>
      <c r="AK95" s="1576"/>
      <c r="AL95" s="1576"/>
      <c r="AM95" s="1576"/>
      <c r="AN95" s="1576"/>
      <c r="AO95" s="1576"/>
      <c r="AP95" s="1576"/>
      <c r="AQ95" s="1576"/>
      <c r="AR95" s="1576"/>
      <c r="AS95" s="1576"/>
      <c r="AT95" s="1576"/>
      <c r="AU95" s="1576"/>
      <c r="AV95" s="1576"/>
      <c r="AW95" s="1576"/>
      <c r="AX95" s="1576"/>
      <c r="AY95" s="1576"/>
      <c r="AZ95" s="1576"/>
      <c r="BA95" s="1576"/>
      <c r="BB95" s="1576"/>
      <c r="BC95" s="1576"/>
      <c r="BD95" s="1576"/>
      <c r="BE95" s="1576"/>
      <c r="BF95" s="1576"/>
      <c r="BG95" s="1576"/>
      <c r="BH95" s="1576"/>
      <c r="BI95" s="1576"/>
      <c r="BJ95" s="1576"/>
      <c r="BK95" s="1576"/>
      <c r="BL95" s="1576"/>
      <c r="BM95" s="1576"/>
      <c r="BN95" s="1576"/>
      <c r="BO95" s="1576"/>
      <c r="BP95" s="1576"/>
      <c r="BQ95" s="1576"/>
      <c r="BR95" s="1576"/>
      <c r="BS95" s="1576"/>
      <c r="BT95" s="1576"/>
      <c r="BU95" s="1576"/>
      <c r="BV95" s="1576"/>
      <c r="BW95" s="1576"/>
      <c r="BX95" s="1576"/>
      <c r="BY95" s="1576"/>
      <c r="BZ95" s="1576"/>
      <c r="CA95" s="1576"/>
      <c r="CB95" s="1576"/>
      <c r="CC95" s="1576"/>
      <c r="CD95" s="1576"/>
      <c r="CE95" s="1576"/>
      <c r="CF95" s="1576"/>
      <c r="CG95" s="1576"/>
      <c r="CH95" s="1576"/>
      <c r="CI95" s="1576"/>
      <c r="CJ95" s="1576"/>
      <c r="CK95" s="1576"/>
      <c r="CL95" s="1576"/>
      <c r="CM95" s="1576"/>
      <c r="CN95" s="1576"/>
      <c r="CO95" s="1576"/>
      <c r="CP95" s="1576"/>
      <c r="CQ95" s="1576"/>
      <c r="CR95" s="1576"/>
      <c r="CS95" s="1576"/>
      <c r="CT95" s="1576"/>
      <c r="CU95" s="1576"/>
      <c r="CV95" s="1576"/>
      <c r="CW95" s="1576"/>
      <c r="CX95" s="1576"/>
      <c r="CY95" s="1576"/>
      <c r="CZ95" s="1576"/>
      <c r="DA95" s="1576"/>
      <c r="DB95" s="1576"/>
      <c r="DC95" s="1576"/>
      <c r="DD95" s="1576"/>
      <c r="DE95" s="1576"/>
      <c r="DF95" s="1576"/>
      <c r="DG95" s="1576"/>
      <c r="DH95" s="1576"/>
      <c r="DI95" s="1576"/>
      <c r="DJ95" s="1576"/>
      <c r="DK95" s="1576"/>
      <c r="DL95" s="1576"/>
      <c r="DM95" s="1576"/>
      <c r="DN95" s="1576"/>
      <c r="DO95" s="1576"/>
      <c r="DP95" s="1576"/>
      <c r="DQ95" s="1576"/>
      <c r="DR95" s="1576"/>
      <c r="DS95" s="1576"/>
      <c r="DT95" s="1576"/>
      <c r="DU95" s="1576"/>
      <c r="DV95" s="1576"/>
      <c r="DW95" s="1576"/>
      <c r="DX95" s="1576"/>
      <c r="DY95" s="1576"/>
      <c r="DZ95" s="1576"/>
      <c r="EA95" s="1576"/>
      <c r="EB95" s="1576"/>
      <c r="EC95" s="1576"/>
      <c r="ED95" s="1576"/>
      <c r="EE95" s="1576"/>
      <c r="EF95" s="1576"/>
      <c r="EG95" s="1576"/>
      <c r="EH95" s="1576"/>
      <c r="EI95" s="1576"/>
      <c r="EJ95" s="1576"/>
      <c r="EK95" s="1576"/>
      <c r="EL95" s="1576"/>
      <c r="EM95" s="1576"/>
      <c r="EN95" s="1576"/>
      <c r="EO95" s="1576"/>
      <c r="EP95" s="1576"/>
      <c r="EQ95" s="1576"/>
      <c r="ER95" s="1576"/>
      <c r="ES95" s="1576"/>
      <c r="ET95" s="1576"/>
      <c r="EU95" s="1576"/>
      <c r="EV95" s="1576"/>
      <c r="EW95" s="1576"/>
      <c r="EX95" s="1576"/>
      <c r="EY95" s="1576"/>
      <c r="EZ95" s="1576"/>
      <c r="FA95" s="1576"/>
      <c r="FB95" s="1576"/>
      <c r="FC95" s="1576"/>
      <c r="FD95" s="1576"/>
      <c r="FE95" s="1576"/>
      <c r="FF95" s="1576"/>
      <c r="FG95" s="1576"/>
      <c r="FH95" s="1576"/>
      <c r="FI95" s="1576"/>
      <c r="FJ95" s="1576"/>
      <c r="FK95" s="1576"/>
      <c r="FL95" s="1576"/>
      <c r="FM95" s="1576"/>
      <c r="FN95" s="1576"/>
      <c r="FO95" s="1576"/>
      <c r="FP95" s="1576"/>
      <c r="FQ95" s="1576"/>
      <c r="FR95" s="1576"/>
      <c r="FS95" s="1576"/>
      <c r="FT95" s="1576"/>
      <c r="FU95" s="1576"/>
      <c r="FV95" s="1576"/>
      <c r="FW95" s="1576"/>
      <c r="FX95" s="1576"/>
      <c r="FY95" s="1576"/>
      <c r="FZ95" s="1576"/>
      <c r="GA95" s="1576"/>
      <c r="GB95" s="1576"/>
      <c r="GC95" s="1576"/>
      <c r="GD95" s="1576"/>
      <c r="GE95" s="1576"/>
      <c r="GF95" s="1576"/>
      <c r="GG95" s="1576"/>
      <c r="GH95" s="1576"/>
      <c r="GI95" s="1576"/>
      <c r="GJ95" s="1576"/>
      <c r="GK95" s="1576"/>
      <c r="GL95" s="1576"/>
      <c r="GM95" s="1576"/>
      <c r="GN95" s="1576"/>
      <c r="GO95" s="1576"/>
      <c r="GP95" s="1576"/>
      <c r="GQ95" s="1576"/>
      <c r="GR95" s="1576"/>
      <c r="GS95" s="1576"/>
      <c r="GT95" s="1576"/>
      <c r="GU95" s="1576"/>
      <c r="GV95" s="1576"/>
      <c r="GW95" s="1576"/>
      <c r="GX95" s="1576"/>
      <c r="GY95" s="1576"/>
      <c r="GZ95" s="1576"/>
      <c r="HA95" s="1576"/>
      <c r="HB95" s="1576"/>
      <c r="HC95" s="1576"/>
      <c r="HD95" s="1576"/>
      <c r="HE95" s="1576"/>
      <c r="HF95" s="1576"/>
      <c r="HG95" s="1576"/>
      <c r="HH95" s="1576"/>
      <c r="HI95" s="1576"/>
      <c r="HJ95" s="1576"/>
      <c r="HK95" s="1576"/>
      <c r="HL95" s="1576"/>
      <c r="HM95" s="1576"/>
      <c r="HN95" s="1576"/>
      <c r="HO95" s="1576"/>
      <c r="HP95" s="1576"/>
      <c r="HQ95" s="1576"/>
      <c r="HR95" s="1576"/>
      <c r="HS95" s="1576"/>
      <c r="HT95" s="1576"/>
      <c r="HU95" s="1576"/>
      <c r="HV95" s="1576"/>
      <c r="HW95" s="1576"/>
      <c r="HX95" s="1576"/>
      <c r="HY95" s="1576"/>
      <c r="HZ95" s="1576"/>
      <c r="IA95" s="1576"/>
      <c r="IB95" s="1576"/>
      <c r="IC95" s="1576"/>
      <c r="ID95" s="1576"/>
      <c r="IE95" s="1576"/>
      <c r="IF95" s="1576"/>
      <c r="IG95" s="1576"/>
      <c r="IH95" s="1576"/>
      <c r="II95" s="1576"/>
      <c r="IJ95" s="1576"/>
      <c r="IK95" s="1576"/>
      <c r="IL95" s="1576"/>
      <c r="IM95" s="1576"/>
      <c r="IN95" s="1576"/>
      <c r="IO95" s="1576"/>
      <c r="IP95" s="1576"/>
      <c r="IQ95" s="1576"/>
      <c r="IR95" s="1576"/>
      <c r="IS95" s="1576"/>
      <c r="IT95" s="1576"/>
      <c r="IU95" s="1576"/>
      <c r="IV95" s="1576"/>
      <c r="IW95" s="1576"/>
      <c r="IX95" s="1576"/>
      <c r="IY95" s="1576"/>
      <c r="IZ95" s="1576"/>
      <c r="JA95" s="2054"/>
      <c r="JB95" s="2054"/>
      <c r="JC95" s="2054"/>
      <c r="JD95" s="2054"/>
      <c r="JE95" s="2054"/>
      <c r="JF95" s="2054"/>
      <c r="JG95" s="2054"/>
      <c r="JH95" s="2054"/>
      <c r="JI95" s="2054"/>
      <c r="JJ95" s="2054"/>
      <c r="JK95" s="2054"/>
      <c r="JL95" s="2054"/>
      <c r="JM95" s="2054"/>
      <c r="JN95" s="2054"/>
      <c r="JO95" s="2054"/>
      <c r="JP95" s="2054"/>
      <c r="JQ95" s="2054"/>
      <c r="JR95" s="1576"/>
      <c r="JS95" s="1576"/>
      <c r="JT95" s="1576"/>
      <c r="JU95" s="1576"/>
      <c r="JV95" s="1576"/>
      <c r="JW95" s="1576"/>
      <c r="JX95" s="1576"/>
      <c r="JY95" s="1576"/>
      <c r="JZ95" s="1576"/>
      <c r="KA95" s="1576"/>
      <c r="KB95" s="1576"/>
      <c r="KC95" s="1576"/>
      <c r="KD95" s="1576"/>
      <c r="KE95" s="1576"/>
      <c r="KF95" s="1576"/>
      <c r="KG95" s="1576"/>
      <c r="KH95" s="1576"/>
      <c r="KI95" s="1576"/>
      <c r="KJ95" s="1576"/>
      <c r="KK95" s="1576"/>
      <c r="KL95" s="1576"/>
      <c r="KM95" s="1576"/>
      <c r="KN95" s="1576"/>
      <c r="KO95" s="1576"/>
      <c r="KP95" s="1576"/>
      <c r="KQ95" s="1576"/>
      <c r="KR95" s="1576"/>
      <c r="KS95" s="1576"/>
      <c r="KT95" s="1576"/>
      <c r="KU95" s="1576"/>
      <c r="KV95" s="1576"/>
      <c r="KW95" s="1576"/>
      <c r="KX95" s="1576"/>
      <c r="KY95" s="1576"/>
      <c r="KZ95" s="1576"/>
      <c r="LA95" s="1576"/>
      <c r="LB95" s="1576"/>
      <c r="LC95" s="1576"/>
      <c r="LD95" s="1576"/>
      <c r="LE95" s="1576"/>
      <c r="LF95" s="1576"/>
      <c r="LG95" s="1576"/>
      <c r="LH95" s="1576"/>
      <c r="LI95" s="1576"/>
      <c r="LJ95" s="1576"/>
      <c r="LK95" s="1576"/>
      <c r="LL95" s="1576"/>
      <c r="LM95" s="1576"/>
      <c r="LN95" s="1576"/>
      <c r="LO95" s="1576"/>
      <c r="LP95" s="1576"/>
      <c r="LQ95" s="1576"/>
      <c r="LR95" s="1576"/>
      <c r="LS95" s="1576"/>
      <c r="LT95" s="1576"/>
      <c r="LU95" s="1576"/>
      <c r="LV95" s="1576"/>
      <c r="LW95" s="1576"/>
      <c r="LX95" s="1576"/>
      <c r="LY95" s="1576"/>
      <c r="LZ95" s="1576"/>
      <c r="MA95" s="1576"/>
      <c r="MB95" s="1576"/>
      <c r="MC95" s="1576"/>
      <c r="MD95" s="1576"/>
      <c r="ME95" s="1576"/>
      <c r="MF95" s="1576"/>
      <c r="MG95" s="1576"/>
      <c r="MH95" s="1576"/>
      <c r="MI95" s="1576"/>
      <c r="MJ95" s="1576"/>
      <c r="MK95" s="1576"/>
      <c r="ML95" s="1576"/>
      <c r="MM95" s="1576"/>
      <c r="MN95" s="1576"/>
      <c r="MO95" s="1576"/>
      <c r="MP95" s="1576"/>
      <c r="MQ95" s="1576"/>
      <c r="MR95" s="1576"/>
      <c r="MS95" s="1576"/>
      <c r="MT95" s="1576"/>
      <c r="MU95" s="1576"/>
      <c r="MV95" s="1576"/>
      <c r="MW95" s="1576"/>
      <c r="MX95" s="1576"/>
      <c r="MY95" s="1576"/>
      <c r="MZ95" s="1576"/>
      <c r="NA95" s="1576"/>
      <c r="NB95" s="1576"/>
      <c r="NC95" s="1576"/>
      <c r="ND95" s="1576"/>
      <c r="NE95" s="1576"/>
      <c r="NF95" s="1576"/>
      <c r="NG95" s="1576"/>
      <c r="NH95" s="1576"/>
      <c r="NI95" s="1576"/>
      <c r="NJ95" s="1576"/>
      <c r="NK95" s="1576"/>
      <c r="NL95" s="1576"/>
      <c r="NM95" s="1576"/>
      <c r="NN95" s="1576"/>
      <c r="NO95" s="1576"/>
      <c r="NP95" s="1576"/>
      <c r="NQ95" s="1576"/>
      <c r="NR95" s="1576"/>
      <c r="NS95" s="1576"/>
      <c r="NT95" s="1576"/>
      <c r="NU95" s="1576"/>
      <c r="NV95" s="1576"/>
      <c r="NW95" s="1576"/>
      <c r="NX95" s="1576"/>
      <c r="NY95" s="1576"/>
      <c r="NZ95" s="1576"/>
      <c r="OA95" s="1576"/>
      <c r="OB95" s="1576"/>
      <c r="OC95" s="1576"/>
      <c r="OD95" s="1576"/>
      <c r="OE95" s="1576"/>
      <c r="OF95" s="1576"/>
      <c r="OG95" s="1576"/>
      <c r="OH95" s="1576"/>
      <c r="OI95" s="1576"/>
      <c r="OJ95" s="1576"/>
      <c r="OK95" s="1576"/>
      <c r="OL95" s="1576"/>
      <c r="OM95" s="1576"/>
      <c r="ON95" s="1576"/>
      <c r="OO95" s="1576"/>
      <c r="OP95" s="1576"/>
      <c r="OQ95" s="1576"/>
      <c r="OR95" s="1576"/>
      <c r="OS95" s="1576"/>
      <c r="OT95" s="1576"/>
      <c r="OU95" s="1576"/>
      <c r="OV95" s="1576"/>
      <c r="OW95" s="1576"/>
      <c r="OX95" s="1576"/>
      <c r="OY95" s="1576"/>
      <c r="OZ95" s="1576"/>
      <c r="PA95" s="1576"/>
      <c r="PB95" s="1576"/>
      <c r="PC95" s="1576"/>
      <c r="PD95" s="1576"/>
      <c r="PE95" s="1576"/>
      <c r="PF95" s="1576"/>
      <c r="PG95" s="1576"/>
      <c r="PH95" s="1576"/>
      <c r="PI95" s="1576"/>
      <c r="PJ95" s="1576"/>
      <c r="PK95" s="1576"/>
      <c r="PL95" s="1576"/>
      <c r="PM95" s="1576"/>
      <c r="PN95" s="1576"/>
      <c r="PO95" s="1576"/>
      <c r="PP95" s="1576"/>
      <c r="PQ95" s="1576"/>
      <c r="PR95" s="1576"/>
      <c r="PS95" s="1576"/>
      <c r="PT95" s="1576"/>
      <c r="PU95" s="1576"/>
      <c r="PV95" s="1576"/>
      <c r="PW95" s="1576"/>
      <c r="PX95" s="1576"/>
      <c r="PY95" s="1576"/>
      <c r="PZ95" s="1576"/>
      <c r="QA95" s="1576"/>
      <c r="QB95" s="1576"/>
      <c r="QC95" s="1576"/>
      <c r="QD95" s="1576"/>
      <c r="QE95" s="1576"/>
      <c r="QF95" s="1576"/>
      <c r="QG95" s="1576"/>
      <c r="QH95" s="1576"/>
      <c r="QI95" s="1576"/>
      <c r="QJ95" s="1576"/>
      <c r="QK95" s="1576"/>
      <c r="QL95" s="1576"/>
      <c r="QM95" s="1576"/>
      <c r="QN95" s="1576"/>
      <c r="QO95" s="1576"/>
      <c r="QP95" s="1576"/>
      <c r="QQ95" s="1576"/>
      <c r="QR95" s="1576"/>
      <c r="QS95" s="1576"/>
      <c r="QT95" s="1576"/>
      <c r="QU95" s="1576"/>
      <c r="QV95" s="1576"/>
      <c r="QW95" s="1576"/>
      <c r="QX95" s="1576"/>
      <c r="QY95" s="1576"/>
      <c r="QZ95" s="1576"/>
      <c r="RA95" s="1576"/>
      <c r="RB95" s="1576"/>
      <c r="RC95" s="1576"/>
      <c r="RD95" s="1576"/>
      <c r="RE95" s="1576"/>
      <c r="RF95" s="1576"/>
      <c r="RG95" s="1576"/>
      <c r="RH95" s="1576"/>
      <c r="RI95" s="1576"/>
      <c r="RJ95" s="1576"/>
      <c r="RK95" s="1576"/>
      <c r="RL95" s="1576"/>
      <c r="RM95" s="1576"/>
      <c r="RN95" s="1576"/>
      <c r="RO95" s="1576"/>
      <c r="RP95" s="1576"/>
      <c r="RQ95" s="1576"/>
      <c r="RR95" s="1576"/>
      <c r="RS95" s="1576"/>
      <c r="RT95" s="1576"/>
      <c r="RU95" s="1576"/>
      <c r="RV95" s="1576"/>
      <c r="RW95" s="1576"/>
      <c r="RX95" s="1576"/>
      <c r="RY95" s="1576"/>
      <c r="RZ95" s="1576"/>
      <c r="SA95" s="1576"/>
      <c r="SB95" s="1576"/>
      <c r="SC95" s="1576"/>
      <c r="SD95" s="1576"/>
      <c r="SE95" s="1576"/>
      <c r="SF95" s="1576"/>
      <c r="SG95" s="1576"/>
      <c r="SH95" s="1576"/>
      <c r="SI95" s="1576"/>
      <c r="SJ95" s="1576"/>
      <c r="SK95" s="1576"/>
      <c r="SL95" s="1576"/>
      <c r="SM95" s="1576"/>
      <c r="SN95" s="1576"/>
      <c r="SO95" s="1576"/>
      <c r="SP95" s="1576"/>
      <c r="SQ95" s="1576"/>
      <c r="SR95" s="1576"/>
      <c r="SS95" s="1576"/>
      <c r="ST95" s="1576"/>
      <c r="SU95" s="1576"/>
      <c r="SV95" s="1576"/>
      <c r="SW95" s="1576"/>
      <c r="SX95" s="1576"/>
      <c r="SY95" s="1576"/>
      <c r="SZ95" s="1576"/>
      <c r="TA95" s="1576"/>
      <c r="TB95" s="1576"/>
      <c r="TC95" s="1576"/>
      <c r="TD95" s="1576"/>
      <c r="TE95" s="1576"/>
      <c r="TF95" s="1576"/>
      <c r="TG95" s="1576"/>
      <c r="TH95" s="1576"/>
      <c r="TI95" s="1576"/>
      <c r="TJ95" s="1576"/>
      <c r="TK95" s="1576"/>
      <c r="TL95" s="1576"/>
      <c r="TM95" s="1576"/>
      <c r="TN95" s="1576"/>
      <c r="TO95" s="1576"/>
      <c r="TP95" s="1576"/>
      <c r="TQ95" s="1576"/>
      <c r="TR95" s="1576"/>
      <c r="TS95" s="1576"/>
      <c r="TT95" s="1576"/>
      <c r="TU95" s="1576"/>
      <c r="TV95" s="1576"/>
      <c r="TW95" s="1576"/>
      <c r="TX95" s="1576"/>
      <c r="TY95" s="1576"/>
      <c r="TZ95" s="1576"/>
      <c r="UA95" s="1576"/>
      <c r="UB95" s="1576"/>
      <c r="UC95" s="1576"/>
      <c r="UD95" s="1576"/>
      <c r="UE95" s="1576"/>
      <c r="UF95" s="1576"/>
      <c r="UG95" s="1576"/>
      <c r="UH95" s="1576"/>
      <c r="UI95" s="1576"/>
      <c r="UJ95" s="1576"/>
      <c r="UK95" s="1576"/>
      <c r="UL95" s="1576"/>
      <c r="UM95" s="1576"/>
      <c r="UN95" s="1576"/>
      <c r="UO95" s="1576"/>
      <c r="UP95" s="1576"/>
      <c r="UQ95" s="1576"/>
      <c r="UR95" s="1576"/>
      <c r="US95" s="1576"/>
      <c r="UT95" s="1576"/>
      <c r="UU95" s="1576"/>
      <c r="UV95" s="1576"/>
      <c r="UW95" s="1576"/>
      <c r="UX95" s="1576"/>
      <c r="UY95" s="1576"/>
      <c r="UZ95" s="1576"/>
      <c r="VA95" s="1576"/>
      <c r="VB95" s="1576"/>
      <c r="VC95" s="1576"/>
      <c r="VD95" s="1576"/>
      <c r="VE95" s="1576"/>
      <c r="VF95" s="1576"/>
      <c r="VG95" s="1576"/>
      <c r="VH95" s="1576"/>
      <c r="VI95" s="1576"/>
      <c r="VJ95" s="1576"/>
      <c r="VK95" s="1576"/>
    </row>
    <row r="96" spans="2:583" s="1296" customFormat="1" x14ac:dyDescent="0.25">
      <c r="B96" s="2055" t="s">
        <v>61</v>
      </c>
      <c r="C96" s="2060" t="s">
        <v>2930</v>
      </c>
      <c r="D96" s="2056" t="s">
        <v>61</v>
      </c>
      <c r="E96" s="2060" t="s">
        <v>2930</v>
      </c>
      <c r="F96" s="2061"/>
      <c r="G96" s="2061"/>
      <c r="H96" s="2061"/>
      <c r="I96" s="1912"/>
      <c r="J96" s="1912"/>
      <c r="K96" s="1912"/>
      <c r="L96" s="1912"/>
      <c r="M96" s="1912"/>
      <c r="N96" s="1912"/>
      <c r="O96" s="1912"/>
      <c r="P96" s="1912"/>
      <c r="Q96" s="1912"/>
      <c r="R96" s="1912"/>
      <c r="S96" s="1912"/>
      <c r="T96" s="1912"/>
      <c r="U96" s="1912"/>
      <c r="V96" s="1912"/>
      <c r="W96" s="1912"/>
      <c r="X96" s="1912"/>
      <c r="Y96" s="1912"/>
      <c r="Z96" s="1912"/>
      <c r="AA96" s="1912"/>
      <c r="AB96" s="1912"/>
      <c r="AC96" s="1912"/>
      <c r="AD96" s="1912"/>
      <c r="AE96" s="1912"/>
      <c r="AF96" s="1912"/>
      <c r="AG96" s="1912"/>
      <c r="AH96" s="1912"/>
      <c r="AI96" s="1912"/>
      <c r="AJ96" s="1912"/>
      <c r="AK96" s="1912"/>
      <c r="AL96" s="1912"/>
      <c r="AM96" s="1912"/>
      <c r="AN96" s="1912"/>
      <c r="AO96" s="1912"/>
      <c r="AP96" s="1912"/>
      <c r="AQ96" s="1912"/>
      <c r="AR96" s="1912"/>
      <c r="AS96" s="1912"/>
      <c r="AT96" s="1912"/>
      <c r="AU96" s="1912"/>
      <c r="AV96" s="1912"/>
      <c r="AW96" s="1912"/>
      <c r="AX96" s="1912"/>
      <c r="AY96" s="1912"/>
      <c r="AZ96" s="1912"/>
      <c r="BA96" s="1912"/>
      <c r="BB96" s="1912"/>
      <c r="BC96" s="1912"/>
      <c r="BD96" s="1912"/>
      <c r="BE96" s="1912"/>
      <c r="BF96" s="1912"/>
      <c r="BG96" s="1912"/>
      <c r="BH96" s="1912"/>
      <c r="BI96" s="1912"/>
      <c r="BJ96" s="1912"/>
      <c r="BK96" s="1912"/>
      <c r="BL96" s="1912"/>
      <c r="BM96" s="1912"/>
      <c r="BN96" s="1912"/>
      <c r="BO96" s="1912"/>
      <c r="BP96" s="1912"/>
      <c r="BQ96" s="1912"/>
      <c r="BR96" s="1912"/>
      <c r="BS96" s="1912"/>
      <c r="BT96" s="1912"/>
      <c r="BU96" s="1912"/>
      <c r="BV96" s="1912"/>
      <c r="BW96" s="1912"/>
      <c r="BX96" s="1912"/>
      <c r="BY96" s="1912"/>
      <c r="BZ96" s="1912"/>
      <c r="CA96" s="1912"/>
      <c r="CB96" s="1912"/>
      <c r="CC96" s="1912"/>
      <c r="CD96" s="1912"/>
      <c r="CE96" s="1912"/>
      <c r="CF96" s="1912"/>
      <c r="CG96" s="1912"/>
      <c r="CH96" s="1912"/>
      <c r="CI96" s="1912"/>
      <c r="CJ96" s="1912"/>
      <c r="CK96" s="1912"/>
      <c r="CL96" s="1912"/>
      <c r="CM96" s="1912"/>
      <c r="CN96" s="1912"/>
      <c r="CO96" s="1912"/>
      <c r="CP96" s="1912"/>
      <c r="CQ96" s="1912"/>
      <c r="CR96" s="1912"/>
      <c r="CS96" s="1912"/>
      <c r="CT96" s="1912"/>
      <c r="CU96" s="1912"/>
      <c r="CV96" s="1912"/>
      <c r="CW96" s="1912"/>
      <c r="CX96" s="1912"/>
      <c r="CY96" s="1912"/>
      <c r="CZ96" s="1912"/>
      <c r="DA96" s="1912"/>
      <c r="DB96" s="1912"/>
      <c r="DC96" s="1912"/>
      <c r="DD96" s="1912"/>
      <c r="DE96" s="1912"/>
      <c r="DF96" s="1912"/>
      <c r="DG96" s="1912"/>
      <c r="DH96" s="1912"/>
      <c r="DI96" s="1912"/>
      <c r="DJ96" s="1912"/>
      <c r="DK96" s="1912"/>
      <c r="DL96" s="1912"/>
      <c r="DM96" s="1912"/>
      <c r="DN96" s="1912"/>
      <c r="DO96" s="1912"/>
      <c r="DP96" s="1912"/>
      <c r="DQ96" s="1912"/>
      <c r="DR96" s="1912"/>
      <c r="DS96" s="1912"/>
      <c r="DT96" s="1912"/>
      <c r="DU96" s="1912"/>
      <c r="DV96" s="1912"/>
      <c r="DW96" s="1912"/>
      <c r="DX96" s="1912"/>
      <c r="DY96" s="1912"/>
      <c r="DZ96" s="1912"/>
      <c r="EA96" s="1912"/>
      <c r="EB96" s="1912"/>
      <c r="EC96" s="1912"/>
      <c r="ED96" s="1912"/>
      <c r="EE96" s="1912"/>
      <c r="EF96" s="1912"/>
      <c r="EG96" s="1912"/>
      <c r="EH96" s="1912"/>
      <c r="EI96" s="1912"/>
      <c r="EJ96" s="1912"/>
      <c r="EK96" s="1912"/>
      <c r="EL96" s="1912"/>
      <c r="EM96" s="1912"/>
      <c r="EN96" s="1912"/>
      <c r="EO96" s="1912"/>
      <c r="EP96" s="1912"/>
      <c r="EQ96" s="1912"/>
      <c r="ER96" s="1912"/>
      <c r="ES96" s="1912"/>
      <c r="ET96" s="1912"/>
      <c r="EU96" s="1912"/>
      <c r="EV96" s="1912"/>
      <c r="EW96" s="1912"/>
      <c r="EX96" s="1912"/>
      <c r="EY96" s="1912"/>
      <c r="EZ96" s="1912"/>
      <c r="FA96" s="1912"/>
      <c r="FB96" s="1912"/>
      <c r="FC96" s="1912"/>
      <c r="FD96" s="1912"/>
      <c r="FE96" s="1912"/>
      <c r="FF96" s="1912"/>
      <c r="FG96" s="1912"/>
      <c r="FH96" s="1912"/>
      <c r="FI96" s="1912"/>
      <c r="FJ96" s="1912"/>
      <c r="FK96" s="1912"/>
      <c r="FL96" s="1912"/>
      <c r="FM96" s="1912"/>
      <c r="FN96" s="1912"/>
      <c r="FO96" s="1912"/>
      <c r="FP96" s="1912"/>
      <c r="FQ96" s="1912"/>
      <c r="FR96" s="1912"/>
      <c r="FS96" s="1912"/>
      <c r="FT96" s="1912"/>
      <c r="FU96" s="1912"/>
      <c r="FV96" s="1912"/>
      <c r="FW96" s="1912"/>
      <c r="FX96" s="1912"/>
      <c r="FY96" s="1912"/>
      <c r="FZ96" s="1912"/>
      <c r="GA96" s="1912"/>
      <c r="GB96" s="1912"/>
      <c r="GC96" s="1912"/>
      <c r="GD96" s="1912"/>
      <c r="GE96" s="1912"/>
      <c r="GF96" s="1912"/>
      <c r="GG96" s="1912"/>
      <c r="GH96" s="1912"/>
      <c r="GI96" s="1912"/>
      <c r="GJ96" s="1912"/>
      <c r="GK96" s="1912"/>
      <c r="GL96" s="1912"/>
      <c r="GM96" s="1912"/>
      <c r="GN96" s="1912"/>
      <c r="GO96" s="1912"/>
      <c r="GP96" s="1912"/>
      <c r="GQ96" s="1912"/>
      <c r="GR96" s="1912"/>
      <c r="GS96" s="1912"/>
      <c r="GT96" s="1912"/>
      <c r="GU96" s="1912"/>
      <c r="GV96" s="1912"/>
      <c r="GW96" s="1912"/>
      <c r="GX96" s="1912"/>
      <c r="GY96" s="1912"/>
      <c r="GZ96" s="1912"/>
      <c r="HA96" s="1912"/>
      <c r="HB96" s="1912"/>
      <c r="HC96" s="1912"/>
      <c r="HD96" s="1912"/>
      <c r="HE96" s="1912"/>
      <c r="HF96" s="1912"/>
      <c r="HG96" s="1912"/>
      <c r="HH96" s="1912"/>
      <c r="HI96" s="1912"/>
      <c r="HJ96" s="1912"/>
      <c r="HK96" s="1912"/>
      <c r="HL96" s="1912"/>
      <c r="HM96" s="1912"/>
      <c r="HN96" s="1912"/>
      <c r="HO96" s="1912"/>
      <c r="HP96" s="1912"/>
      <c r="HQ96" s="1912"/>
      <c r="HR96" s="1912"/>
      <c r="HS96" s="1912"/>
      <c r="HT96" s="1912"/>
      <c r="HU96" s="1912"/>
      <c r="HV96" s="1912"/>
      <c r="HW96" s="1912"/>
      <c r="HX96" s="1912"/>
      <c r="HY96" s="1912"/>
      <c r="HZ96" s="1912"/>
      <c r="IA96" s="1912"/>
      <c r="IB96" s="1912"/>
      <c r="IC96" s="1912"/>
      <c r="ID96" s="1912"/>
      <c r="IE96" s="1912"/>
      <c r="IF96" s="1912"/>
      <c r="IG96" s="1912"/>
      <c r="IH96" s="1912"/>
      <c r="II96" s="1912"/>
      <c r="IJ96" s="1912"/>
      <c r="IK96" s="1912"/>
      <c r="IL96" s="1912"/>
      <c r="IM96" s="1912"/>
      <c r="IN96" s="1912"/>
      <c r="IO96" s="1912"/>
      <c r="IP96" s="1912"/>
      <c r="IQ96" s="1912"/>
      <c r="IR96" s="1912"/>
      <c r="IS96" s="1912"/>
      <c r="IT96" s="1912"/>
      <c r="IU96" s="1912"/>
      <c r="IV96" s="1912"/>
      <c r="IW96" s="1912"/>
      <c r="IX96" s="1912"/>
      <c r="IY96" s="1912"/>
      <c r="IZ96" s="1912"/>
      <c r="JA96" s="2054"/>
      <c r="JB96" s="2054"/>
      <c r="JC96" s="2054"/>
      <c r="JD96" s="2054"/>
      <c r="JE96" s="2054"/>
      <c r="JF96" s="2054"/>
      <c r="JG96" s="2054"/>
      <c r="JH96" s="2054"/>
      <c r="JI96" s="2054"/>
      <c r="JJ96" s="2054"/>
      <c r="JK96" s="2054"/>
      <c r="JL96" s="2054"/>
      <c r="JM96" s="2054"/>
      <c r="JN96" s="2054"/>
      <c r="JO96" s="2054"/>
      <c r="JP96" s="2054"/>
      <c r="JQ96" s="2054"/>
      <c r="JR96" s="1912"/>
      <c r="JS96" s="1912"/>
      <c r="JT96" s="1912"/>
      <c r="JU96" s="1912"/>
      <c r="JV96" s="1912"/>
      <c r="JW96" s="1912"/>
      <c r="JX96" s="1912"/>
      <c r="JY96" s="1912"/>
      <c r="JZ96" s="1912"/>
      <c r="KA96" s="1912"/>
      <c r="KB96" s="1912"/>
      <c r="KC96" s="1912"/>
      <c r="KD96" s="1912"/>
      <c r="KE96" s="1912"/>
      <c r="KF96" s="1912"/>
      <c r="KG96" s="1912"/>
      <c r="KH96" s="1912"/>
      <c r="KI96" s="1912"/>
      <c r="KJ96" s="1912"/>
      <c r="KK96" s="1912"/>
      <c r="KL96" s="1912"/>
      <c r="KM96" s="1912"/>
      <c r="KN96" s="1912"/>
      <c r="KO96" s="1912"/>
      <c r="KP96" s="1912"/>
      <c r="KQ96" s="1912"/>
      <c r="KR96" s="1912"/>
      <c r="KS96" s="1912"/>
      <c r="KT96" s="1912"/>
      <c r="KU96" s="1912"/>
      <c r="KV96" s="1912"/>
      <c r="KW96" s="1912"/>
      <c r="KX96" s="1912"/>
      <c r="KY96" s="1912"/>
      <c r="KZ96" s="1912"/>
      <c r="LA96" s="1912"/>
      <c r="LB96" s="1912"/>
      <c r="LC96" s="1912"/>
      <c r="LD96" s="1912"/>
      <c r="LE96" s="1912"/>
      <c r="LF96" s="1912"/>
      <c r="LG96" s="1912"/>
      <c r="LH96" s="1912"/>
      <c r="LI96" s="1912"/>
      <c r="LJ96" s="1912"/>
      <c r="LK96" s="1912"/>
      <c r="LL96" s="1912"/>
      <c r="LM96" s="1912"/>
      <c r="LN96" s="1912"/>
      <c r="LO96" s="1912"/>
      <c r="LP96" s="1912"/>
      <c r="LQ96" s="1912"/>
      <c r="LR96" s="1912"/>
      <c r="LS96" s="1912"/>
      <c r="LT96" s="1912"/>
      <c r="LU96" s="1912"/>
      <c r="LV96" s="1912"/>
      <c r="LW96" s="1912"/>
      <c r="LX96" s="1912"/>
      <c r="LY96" s="1912"/>
      <c r="LZ96" s="1912"/>
      <c r="MA96" s="1912"/>
      <c r="MB96" s="1912"/>
      <c r="MC96" s="1912"/>
      <c r="MD96" s="1912"/>
      <c r="ME96" s="1912"/>
      <c r="MF96" s="1912"/>
      <c r="MG96" s="1912"/>
      <c r="MH96" s="1912"/>
      <c r="MI96" s="1912"/>
      <c r="MJ96" s="1912"/>
      <c r="MK96" s="1912"/>
      <c r="ML96" s="1912"/>
      <c r="MM96" s="1912"/>
      <c r="MN96" s="1912"/>
      <c r="MO96" s="1912"/>
      <c r="MP96" s="1912"/>
      <c r="MQ96" s="1912"/>
      <c r="MR96" s="1912"/>
      <c r="MS96" s="1912"/>
      <c r="MT96" s="1912"/>
      <c r="MU96" s="1912"/>
      <c r="MV96" s="1912"/>
      <c r="MW96" s="1912"/>
      <c r="MX96" s="1912"/>
      <c r="MY96" s="1912"/>
      <c r="MZ96" s="1912"/>
      <c r="NA96" s="1912"/>
      <c r="NB96" s="1912"/>
      <c r="NC96" s="1912"/>
      <c r="ND96" s="1912"/>
      <c r="NE96" s="1912"/>
      <c r="NF96" s="1912"/>
      <c r="NG96" s="1912"/>
      <c r="NH96" s="1912"/>
      <c r="NI96" s="1912"/>
      <c r="NJ96" s="1912"/>
      <c r="NK96" s="1912"/>
      <c r="NL96" s="1912"/>
      <c r="NM96" s="1912"/>
      <c r="NN96" s="1912"/>
      <c r="NO96" s="1912"/>
      <c r="NP96" s="1912"/>
      <c r="NQ96" s="1912"/>
      <c r="NR96" s="1912"/>
      <c r="NS96" s="1912"/>
      <c r="NT96" s="1912"/>
      <c r="NU96" s="1912"/>
      <c r="NV96" s="1912"/>
      <c r="NW96" s="1912"/>
      <c r="NX96" s="1912"/>
      <c r="NY96" s="1912"/>
      <c r="NZ96" s="1912"/>
      <c r="OA96" s="1912"/>
      <c r="OB96" s="1912"/>
      <c r="OC96" s="1912"/>
      <c r="OD96" s="1912"/>
      <c r="OE96" s="1912"/>
      <c r="OF96" s="1912"/>
      <c r="OG96" s="1912"/>
      <c r="OH96" s="1912"/>
      <c r="OI96" s="1912"/>
      <c r="OJ96" s="1912"/>
      <c r="OK96" s="1912"/>
      <c r="OL96" s="1912"/>
      <c r="OM96" s="1912"/>
      <c r="ON96" s="1912"/>
      <c r="OO96" s="1912"/>
      <c r="OP96" s="1912"/>
      <c r="OQ96" s="1912"/>
      <c r="OR96" s="1912"/>
      <c r="OS96" s="1912"/>
      <c r="OT96" s="1912"/>
      <c r="OU96" s="1912"/>
      <c r="OV96" s="1912"/>
      <c r="OW96" s="1912"/>
      <c r="OX96" s="1912"/>
      <c r="OY96" s="1912"/>
      <c r="OZ96" s="1912"/>
      <c r="PA96" s="1912"/>
      <c r="PB96" s="1912"/>
      <c r="PC96" s="1912"/>
      <c r="PD96" s="1912"/>
      <c r="PE96" s="1912"/>
      <c r="PF96" s="1912"/>
      <c r="PG96" s="1912"/>
      <c r="PH96" s="1912"/>
      <c r="PI96" s="1912"/>
      <c r="PJ96" s="1912"/>
      <c r="PK96" s="1912"/>
      <c r="PL96" s="1912"/>
      <c r="PM96" s="1912"/>
      <c r="PN96" s="1912"/>
      <c r="PO96" s="1912"/>
      <c r="PP96" s="1912"/>
      <c r="PQ96" s="1912"/>
      <c r="PR96" s="1912"/>
      <c r="PS96" s="1912"/>
      <c r="PT96" s="1912"/>
      <c r="PU96" s="1912"/>
      <c r="PV96" s="1912"/>
      <c r="PW96" s="1912"/>
      <c r="PX96" s="1912"/>
      <c r="PY96" s="1912"/>
      <c r="PZ96" s="1912"/>
      <c r="QA96" s="1912"/>
      <c r="QB96" s="1912"/>
      <c r="QC96" s="1912"/>
      <c r="QD96" s="1912"/>
      <c r="QE96" s="1912"/>
      <c r="QF96" s="1912"/>
      <c r="QG96" s="1912"/>
      <c r="QH96" s="1912"/>
      <c r="QI96" s="1912"/>
      <c r="QJ96" s="1912"/>
      <c r="QK96" s="1912"/>
      <c r="QL96" s="1912"/>
      <c r="QM96" s="1912"/>
      <c r="QN96" s="1912"/>
      <c r="QO96" s="1912"/>
      <c r="QP96" s="1912"/>
      <c r="QQ96" s="1912"/>
      <c r="QR96" s="1912"/>
      <c r="QS96" s="1912"/>
      <c r="QT96" s="1912"/>
      <c r="QU96" s="1912"/>
      <c r="QV96" s="1912"/>
      <c r="QW96" s="1912"/>
      <c r="QX96" s="1912"/>
      <c r="QY96" s="1912"/>
      <c r="QZ96" s="1912"/>
      <c r="RA96" s="1912"/>
      <c r="RB96" s="1912"/>
      <c r="RC96" s="1912"/>
      <c r="RD96" s="1912"/>
      <c r="RE96" s="1912"/>
      <c r="RF96" s="1912"/>
      <c r="RG96" s="1912"/>
      <c r="RH96" s="1912"/>
      <c r="RI96" s="1912"/>
      <c r="RJ96" s="1912"/>
      <c r="RK96" s="1912"/>
      <c r="RL96" s="1912"/>
      <c r="RM96" s="1912"/>
      <c r="RN96" s="1912"/>
      <c r="RO96" s="1912"/>
      <c r="RP96" s="1912"/>
      <c r="RQ96" s="1912"/>
      <c r="RR96" s="1912"/>
      <c r="RS96" s="1912"/>
      <c r="RT96" s="1912"/>
      <c r="RU96" s="1912"/>
      <c r="RV96" s="1912"/>
      <c r="RW96" s="1912"/>
      <c r="RX96" s="1912"/>
      <c r="RY96" s="1912"/>
      <c r="RZ96" s="1912"/>
      <c r="SA96" s="1912"/>
      <c r="SB96" s="1912"/>
      <c r="SC96" s="1912"/>
      <c r="SD96" s="1912"/>
      <c r="SE96" s="1912"/>
      <c r="SF96" s="1912"/>
      <c r="SG96" s="1912"/>
      <c r="SH96" s="1912"/>
      <c r="SI96" s="1912"/>
      <c r="SJ96" s="1912"/>
      <c r="SK96" s="1912"/>
      <c r="SL96" s="1912"/>
      <c r="SM96" s="1912"/>
      <c r="SN96" s="1912"/>
      <c r="SO96" s="1912"/>
      <c r="SP96" s="1912"/>
      <c r="SQ96" s="1912"/>
      <c r="SR96" s="1912"/>
      <c r="SS96" s="1912"/>
      <c r="ST96" s="1912"/>
      <c r="SU96" s="1912"/>
      <c r="SV96" s="1912"/>
      <c r="SW96" s="1912"/>
      <c r="SX96" s="1912"/>
      <c r="SY96" s="1912"/>
      <c r="SZ96" s="1912"/>
      <c r="TA96" s="1912"/>
      <c r="TB96" s="1912"/>
      <c r="TC96" s="1912"/>
      <c r="TD96" s="1912"/>
      <c r="TE96" s="1912"/>
      <c r="TF96" s="1912"/>
      <c r="TG96" s="1912"/>
      <c r="TH96" s="1912"/>
      <c r="TI96" s="1912"/>
      <c r="TJ96" s="1912"/>
      <c r="TK96" s="1912"/>
      <c r="TL96" s="1912"/>
      <c r="TM96" s="1912"/>
      <c r="TN96" s="1912"/>
      <c r="TO96" s="1912"/>
      <c r="TP96" s="1912"/>
      <c r="TQ96" s="1912"/>
      <c r="TR96" s="1912"/>
      <c r="TS96" s="1912"/>
      <c r="TT96" s="1912"/>
      <c r="TU96" s="1912"/>
      <c r="TV96" s="1912"/>
      <c r="TW96" s="1912"/>
      <c r="TX96" s="1912"/>
      <c r="TY96" s="1912"/>
      <c r="TZ96" s="1912"/>
      <c r="UA96" s="1912"/>
      <c r="UB96" s="1912"/>
      <c r="UC96" s="1912"/>
      <c r="UD96" s="1912"/>
      <c r="UE96" s="1912"/>
      <c r="UF96" s="1912"/>
      <c r="UG96" s="1912"/>
      <c r="UH96" s="1912"/>
      <c r="UI96" s="1912"/>
      <c r="UJ96" s="1912"/>
      <c r="UK96" s="1912"/>
      <c r="UL96" s="1912"/>
      <c r="UM96" s="1912"/>
      <c r="UN96" s="1912"/>
      <c r="UO96" s="1912"/>
      <c r="UP96" s="1912"/>
      <c r="UQ96" s="1912"/>
      <c r="UR96" s="1912"/>
      <c r="US96" s="1912"/>
      <c r="UT96" s="1912"/>
      <c r="UU96" s="1912"/>
      <c r="UV96" s="1912"/>
      <c r="UW96" s="1912"/>
      <c r="UX96" s="1912"/>
      <c r="UY96" s="1912"/>
      <c r="UZ96" s="1912"/>
      <c r="VA96" s="1912"/>
      <c r="VB96" s="1912"/>
      <c r="VC96" s="1912"/>
      <c r="VD96" s="1912"/>
      <c r="VE96" s="1912"/>
      <c r="VF96" s="1912"/>
      <c r="VG96" s="1912"/>
      <c r="VH96" s="1912"/>
      <c r="VI96" s="1912"/>
      <c r="VJ96" s="1912"/>
      <c r="VK96" s="1912"/>
    </row>
    <row r="97" spans="1:583" s="1296" customFormat="1" x14ac:dyDescent="0.25">
      <c r="B97" s="2080" t="s">
        <v>61</v>
      </c>
      <c r="C97" s="2081" t="s">
        <v>2931</v>
      </c>
      <c r="D97" s="2081" t="s">
        <v>61</v>
      </c>
      <c r="E97" s="2081" t="s">
        <v>2931</v>
      </c>
      <c r="F97" s="2082">
        <f>24*365*1</f>
        <v>8760</v>
      </c>
      <c r="G97" s="2082">
        <f t="shared" ref="G97:BR97" si="83">24*365*1</f>
        <v>8760</v>
      </c>
      <c r="H97" s="2082">
        <f t="shared" si="83"/>
        <v>8760</v>
      </c>
      <c r="I97" s="2082">
        <f t="shared" si="83"/>
        <v>8760</v>
      </c>
      <c r="J97" s="2082">
        <f t="shared" si="83"/>
        <v>8760</v>
      </c>
      <c r="K97" s="2082">
        <f t="shared" si="83"/>
        <v>8760</v>
      </c>
      <c r="L97" s="2082">
        <f t="shared" si="83"/>
        <v>8760</v>
      </c>
      <c r="M97" s="2082">
        <f t="shared" si="83"/>
        <v>8760</v>
      </c>
      <c r="N97" s="2082">
        <f t="shared" si="83"/>
        <v>8760</v>
      </c>
      <c r="O97" s="2082">
        <f t="shared" si="83"/>
        <v>8760</v>
      </c>
      <c r="P97" s="2082">
        <f t="shared" si="83"/>
        <v>8760</v>
      </c>
      <c r="Q97" s="2082">
        <f t="shared" si="83"/>
        <v>8760</v>
      </c>
      <c r="R97" s="2082">
        <f t="shared" si="83"/>
        <v>8760</v>
      </c>
      <c r="S97" s="2082">
        <f t="shared" si="83"/>
        <v>8760</v>
      </c>
      <c r="T97" s="2082">
        <f t="shared" si="83"/>
        <v>8760</v>
      </c>
      <c r="U97" s="2082">
        <f t="shared" si="83"/>
        <v>8760</v>
      </c>
      <c r="V97" s="2082">
        <f t="shared" si="83"/>
        <v>8760</v>
      </c>
      <c r="W97" s="2082">
        <f t="shared" si="83"/>
        <v>8760</v>
      </c>
      <c r="X97" s="2082">
        <f t="shared" si="83"/>
        <v>8760</v>
      </c>
      <c r="Y97" s="2082">
        <f t="shared" si="83"/>
        <v>8760</v>
      </c>
      <c r="Z97" s="2082">
        <f t="shared" si="83"/>
        <v>8760</v>
      </c>
      <c r="AA97" s="2082">
        <f t="shared" si="83"/>
        <v>8760</v>
      </c>
      <c r="AB97" s="2082">
        <f t="shared" si="83"/>
        <v>8760</v>
      </c>
      <c r="AC97" s="2082">
        <f t="shared" si="83"/>
        <v>8760</v>
      </c>
      <c r="AD97" s="2082">
        <f t="shared" si="83"/>
        <v>8760</v>
      </c>
      <c r="AE97" s="2082">
        <f t="shared" si="83"/>
        <v>8760</v>
      </c>
      <c r="AF97" s="2082">
        <f t="shared" si="83"/>
        <v>8760</v>
      </c>
      <c r="AG97" s="2082">
        <f t="shared" si="83"/>
        <v>8760</v>
      </c>
      <c r="AH97" s="2082">
        <f t="shared" si="83"/>
        <v>8760</v>
      </c>
      <c r="AI97" s="2082">
        <f t="shared" si="83"/>
        <v>8760</v>
      </c>
      <c r="AJ97" s="2082">
        <f t="shared" si="83"/>
        <v>8760</v>
      </c>
      <c r="AK97" s="2082">
        <f t="shared" si="83"/>
        <v>8760</v>
      </c>
      <c r="AL97" s="2082">
        <f t="shared" si="83"/>
        <v>8760</v>
      </c>
      <c r="AM97" s="2082">
        <f t="shared" si="83"/>
        <v>8760</v>
      </c>
      <c r="AN97" s="2082">
        <f t="shared" si="83"/>
        <v>8760</v>
      </c>
      <c r="AO97" s="2082">
        <f t="shared" si="83"/>
        <v>8760</v>
      </c>
      <c r="AP97" s="2082">
        <f t="shared" si="83"/>
        <v>8760</v>
      </c>
      <c r="AQ97" s="2082">
        <f t="shared" si="83"/>
        <v>8760</v>
      </c>
      <c r="AR97" s="2082">
        <f t="shared" si="83"/>
        <v>8760</v>
      </c>
      <c r="AS97" s="2082">
        <f t="shared" si="83"/>
        <v>8760</v>
      </c>
      <c r="AT97" s="2082">
        <f t="shared" si="83"/>
        <v>8760</v>
      </c>
      <c r="AU97" s="2082">
        <f t="shared" si="83"/>
        <v>8760</v>
      </c>
      <c r="AV97" s="2082">
        <f t="shared" si="83"/>
        <v>8760</v>
      </c>
      <c r="AW97" s="2082">
        <f t="shared" si="83"/>
        <v>8760</v>
      </c>
      <c r="AX97" s="2082">
        <f t="shared" si="83"/>
        <v>8760</v>
      </c>
      <c r="AY97" s="2082">
        <f t="shared" si="83"/>
        <v>8760</v>
      </c>
      <c r="AZ97" s="2082">
        <f t="shared" si="83"/>
        <v>8760</v>
      </c>
      <c r="BA97" s="2082">
        <f t="shared" si="83"/>
        <v>8760</v>
      </c>
      <c r="BB97" s="2082">
        <f t="shared" si="83"/>
        <v>8760</v>
      </c>
      <c r="BC97" s="2082">
        <f t="shared" si="83"/>
        <v>8760</v>
      </c>
      <c r="BD97" s="2082">
        <f t="shared" si="83"/>
        <v>8760</v>
      </c>
      <c r="BE97" s="2082">
        <f t="shared" si="83"/>
        <v>8760</v>
      </c>
      <c r="BF97" s="2082">
        <f t="shared" si="83"/>
        <v>8760</v>
      </c>
      <c r="BG97" s="2082">
        <f t="shared" si="83"/>
        <v>8760</v>
      </c>
      <c r="BH97" s="2082">
        <f t="shared" si="83"/>
        <v>8760</v>
      </c>
      <c r="BI97" s="2082">
        <f t="shared" si="83"/>
        <v>8760</v>
      </c>
      <c r="BJ97" s="2082">
        <f t="shared" si="83"/>
        <v>8760</v>
      </c>
      <c r="BK97" s="2082">
        <f t="shared" si="83"/>
        <v>8760</v>
      </c>
      <c r="BL97" s="2082">
        <f t="shared" si="83"/>
        <v>8760</v>
      </c>
      <c r="BM97" s="2082">
        <f t="shared" si="83"/>
        <v>8760</v>
      </c>
      <c r="BN97" s="2082">
        <f t="shared" si="83"/>
        <v>8760</v>
      </c>
      <c r="BO97" s="2082">
        <f t="shared" si="83"/>
        <v>8760</v>
      </c>
      <c r="BP97" s="2082">
        <f t="shared" si="83"/>
        <v>8760</v>
      </c>
      <c r="BQ97" s="2082">
        <f t="shared" si="83"/>
        <v>8760</v>
      </c>
      <c r="BR97" s="2082">
        <f t="shared" si="83"/>
        <v>8760</v>
      </c>
      <c r="BS97" s="2082">
        <f t="shared" ref="BS97:ED97" si="84">24*365*1</f>
        <v>8760</v>
      </c>
      <c r="BT97" s="2082">
        <f t="shared" si="84"/>
        <v>8760</v>
      </c>
      <c r="BU97" s="2082">
        <f t="shared" si="84"/>
        <v>8760</v>
      </c>
      <c r="BV97" s="2082">
        <f t="shared" si="84"/>
        <v>8760</v>
      </c>
      <c r="BW97" s="2082">
        <f t="shared" si="84"/>
        <v>8760</v>
      </c>
      <c r="BX97" s="2082">
        <f t="shared" si="84"/>
        <v>8760</v>
      </c>
      <c r="BY97" s="2082">
        <f t="shared" si="84"/>
        <v>8760</v>
      </c>
      <c r="BZ97" s="2082">
        <f t="shared" si="84"/>
        <v>8760</v>
      </c>
      <c r="CA97" s="2082">
        <f t="shared" si="84"/>
        <v>8760</v>
      </c>
      <c r="CB97" s="2082">
        <f t="shared" si="84"/>
        <v>8760</v>
      </c>
      <c r="CC97" s="2082">
        <f t="shared" si="84"/>
        <v>8760</v>
      </c>
      <c r="CD97" s="2082">
        <f t="shared" si="84"/>
        <v>8760</v>
      </c>
      <c r="CE97" s="2082">
        <f t="shared" si="84"/>
        <v>8760</v>
      </c>
      <c r="CF97" s="2082">
        <f t="shared" si="84"/>
        <v>8760</v>
      </c>
      <c r="CG97" s="2082">
        <f t="shared" si="84"/>
        <v>8760</v>
      </c>
      <c r="CH97" s="2082">
        <f t="shared" si="84"/>
        <v>8760</v>
      </c>
      <c r="CI97" s="2082">
        <f t="shared" si="84"/>
        <v>8760</v>
      </c>
      <c r="CJ97" s="2082">
        <f t="shared" si="84"/>
        <v>8760</v>
      </c>
      <c r="CK97" s="2082">
        <f t="shared" si="84"/>
        <v>8760</v>
      </c>
      <c r="CL97" s="2082">
        <f t="shared" si="84"/>
        <v>8760</v>
      </c>
      <c r="CM97" s="2082">
        <f t="shared" si="84"/>
        <v>8760</v>
      </c>
      <c r="CN97" s="2082">
        <f t="shared" si="84"/>
        <v>8760</v>
      </c>
      <c r="CO97" s="2082">
        <f t="shared" si="84"/>
        <v>8760</v>
      </c>
      <c r="CP97" s="2082">
        <f t="shared" si="84"/>
        <v>8760</v>
      </c>
      <c r="CQ97" s="2082">
        <f t="shared" si="84"/>
        <v>8760</v>
      </c>
      <c r="CR97" s="2082">
        <f t="shared" si="84"/>
        <v>8760</v>
      </c>
      <c r="CS97" s="2082">
        <f t="shared" si="84"/>
        <v>8760</v>
      </c>
      <c r="CT97" s="2082">
        <f t="shared" si="84"/>
        <v>8760</v>
      </c>
      <c r="CU97" s="2082">
        <f t="shared" si="84"/>
        <v>8760</v>
      </c>
      <c r="CV97" s="2082">
        <f t="shared" si="84"/>
        <v>8760</v>
      </c>
      <c r="CW97" s="2082">
        <f t="shared" si="84"/>
        <v>8760</v>
      </c>
      <c r="CX97" s="2082">
        <f t="shared" si="84"/>
        <v>8760</v>
      </c>
      <c r="CY97" s="2082">
        <f t="shared" si="84"/>
        <v>8760</v>
      </c>
      <c r="CZ97" s="2082">
        <f t="shared" si="84"/>
        <v>8760</v>
      </c>
      <c r="DA97" s="2082">
        <f t="shared" si="84"/>
        <v>8760</v>
      </c>
      <c r="DB97" s="2082">
        <f t="shared" si="84"/>
        <v>8760</v>
      </c>
      <c r="DC97" s="2082">
        <f t="shared" si="84"/>
        <v>8760</v>
      </c>
      <c r="DD97" s="2082">
        <f t="shared" si="84"/>
        <v>8760</v>
      </c>
      <c r="DE97" s="2082">
        <f t="shared" si="84"/>
        <v>8760</v>
      </c>
      <c r="DF97" s="2082">
        <f t="shared" si="84"/>
        <v>8760</v>
      </c>
      <c r="DG97" s="2082">
        <f t="shared" si="84"/>
        <v>8760</v>
      </c>
      <c r="DH97" s="2082">
        <f t="shared" si="84"/>
        <v>8760</v>
      </c>
      <c r="DI97" s="2082">
        <f t="shared" si="84"/>
        <v>8760</v>
      </c>
      <c r="DJ97" s="2082">
        <f t="shared" si="84"/>
        <v>8760</v>
      </c>
      <c r="DK97" s="2082">
        <f t="shared" si="84"/>
        <v>8760</v>
      </c>
      <c r="DL97" s="2082">
        <f t="shared" si="84"/>
        <v>8760</v>
      </c>
      <c r="DM97" s="2082">
        <f t="shared" si="84"/>
        <v>8760</v>
      </c>
      <c r="DN97" s="2082">
        <f t="shared" si="84"/>
        <v>8760</v>
      </c>
      <c r="DO97" s="2082">
        <f t="shared" si="84"/>
        <v>8760</v>
      </c>
      <c r="DP97" s="2082">
        <f t="shared" si="84"/>
        <v>8760</v>
      </c>
      <c r="DQ97" s="2082">
        <f t="shared" si="84"/>
        <v>8760</v>
      </c>
      <c r="DR97" s="2082">
        <f t="shared" si="84"/>
        <v>8760</v>
      </c>
      <c r="DS97" s="2082">
        <f t="shared" si="84"/>
        <v>8760</v>
      </c>
      <c r="DT97" s="2082">
        <f t="shared" si="84"/>
        <v>8760</v>
      </c>
      <c r="DU97" s="2082">
        <f t="shared" si="84"/>
        <v>8760</v>
      </c>
      <c r="DV97" s="2082">
        <f t="shared" si="84"/>
        <v>8760</v>
      </c>
      <c r="DW97" s="2082">
        <f t="shared" si="84"/>
        <v>8760</v>
      </c>
      <c r="DX97" s="2082">
        <f t="shared" si="84"/>
        <v>8760</v>
      </c>
      <c r="DY97" s="2082">
        <f t="shared" si="84"/>
        <v>8760</v>
      </c>
      <c r="DZ97" s="2082">
        <f t="shared" si="84"/>
        <v>8760</v>
      </c>
      <c r="EA97" s="2082">
        <f t="shared" si="84"/>
        <v>8760</v>
      </c>
      <c r="EB97" s="2082">
        <f t="shared" si="84"/>
        <v>8760</v>
      </c>
      <c r="EC97" s="2082">
        <f t="shared" si="84"/>
        <v>8760</v>
      </c>
      <c r="ED97" s="2082">
        <f t="shared" si="84"/>
        <v>8760</v>
      </c>
      <c r="EE97" s="2082">
        <f t="shared" ref="EE97:GP97" si="85">24*365*1</f>
        <v>8760</v>
      </c>
      <c r="EF97" s="2082">
        <f t="shared" si="85"/>
        <v>8760</v>
      </c>
      <c r="EG97" s="2082">
        <f t="shared" si="85"/>
        <v>8760</v>
      </c>
      <c r="EH97" s="2082">
        <f t="shared" si="85"/>
        <v>8760</v>
      </c>
      <c r="EI97" s="2082">
        <f t="shared" si="85"/>
        <v>8760</v>
      </c>
      <c r="EJ97" s="2082">
        <f t="shared" si="85"/>
        <v>8760</v>
      </c>
      <c r="EK97" s="2082">
        <f t="shared" si="85"/>
        <v>8760</v>
      </c>
      <c r="EL97" s="2082">
        <f t="shared" si="85"/>
        <v>8760</v>
      </c>
      <c r="EM97" s="2082">
        <f t="shared" si="85"/>
        <v>8760</v>
      </c>
      <c r="EN97" s="2082">
        <f t="shared" si="85"/>
        <v>8760</v>
      </c>
      <c r="EO97" s="2082">
        <f t="shared" si="85"/>
        <v>8760</v>
      </c>
      <c r="EP97" s="2082">
        <f t="shared" si="85"/>
        <v>8760</v>
      </c>
      <c r="EQ97" s="2082">
        <f t="shared" si="85"/>
        <v>8760</v>
      </c>
      <c r="ER97" s="2082">
        <f t="shared" si="85"/>
        <v>8760</v>
      </c>
      <c r="ES97" s="2082">
        <f t="shared" si="85"/>
        <v>8760</v>
      </c>
      <c r="ET97" s="2082">
        <f t="shared" si="85"/>
        <v>8760</v>
      </c>
      <c r="EU97" s="2082">
        <f t="shared" si="85"/>
        <v>8760</v>
      </c>
      <c r="EV97" s="2082">
        <f t="shared" si="85"/>
        <v>8760</v>
      </c>
      <c r="EW97" s="2082">
        <f t="shared" si="85"/>
        <v>8760</v>
      </c>
      <c r="EX97" s="2082">
        <f t="shared" si="85"/>
        <v>8760</v>
      </c>
      <c r="EY97" s="2082">
        <f t="shared" si="85"/>
        <v>8760</v>
      </c>
      <c r="EZ97" s="2082">
        <f t="shared" si="85"/>
        <v>8760</v>
      </c>
      <c r="FA97" s="2082">
        <f t="shared" si="85"/>
        <v>8760</v>
      </c>
      <c r="FB97" s="2082">
        <f t="shared" si="85"/>
        <v>8760</v>
      </c>
      <c r="FC97" s="2082">
        <f t="shared" si="85"/>
        <v>8760</v>
      </c>
      <c r="FD97" s="2082">
        <f t="shared" si="85"/>
        <v>8760</v>
      </c>
      <c r="FE97" s="2082">
        <f t="shared" si="85"/>
        <v>8760</v>
      </c>
      <c r="FF97" s="2082">
        <f t="shared" si="85"/>
        <v>8760</v>
      </c>
      <c r="FG97" s="2082">
        <f t="shared" si="85"/>
        <v>8760</v>
      </c>
      <c r="FH97" s="2082">
        <f t="shared" si="85"/>
        <v>8760</v>
      </c>
      <c r="FI97" s="2082">
        <f t="shared" si="85"/>
        <v>8760</v>
      </c>
      <c r="FJ97" s="2082">
        <f t="shared" si="85"/>
        <v>8760</v>
      </c>
      <c r="FK97" s="2082">
        <f t="shared" si="85"/>
        <v>8760</v>
      </c>
      <c r="FL97" s="2082">
        <f t="shared" si="85"/>
        <v>8760</v>
      </c>
      <c r="FM97" s="2082">
        <f t="shared" si="85"/>
        <v>8760</v>
      </c>
      <c r="FN97" s="2082">
        <f t="shared" si="85"/>
        <v>8760</v>
      </c>
      <c r="FO97" s="2082">
        <f t="shared" si="85"/>
        <v>8760</v>
      </c>
      <c r="FP97" s="2082">
        <f t="shared" si="85"/>
        <v>8760</v>
      </c>
      <c r="FQ97" s="2082">
        <f t="shared" si="85"/>
        <v>8760</v>
      </c>
      <c r="FR97" s="2082">
        <f t="shared" si="85"/>
        <v>8760</v>
      </c>
      <c r="FS97" s="2082">
        <f t="shared" si="85"/>
        <v>8760</v>
      </c>
      <c r="FT97" s="2082">
        <f t="shared" si="85"/>
        <v>8760</v>
      </c>
      <c r="FU97" s="2082">
        <f t="shared" si="85"/>
        <v>8760</v>
      </c>
      <c r="FV97" s="2082">
        <f t="shared" si="85"/>
        <v>8760</v>
      </c>
      <c r="FW97" s="2082">
        <f t="shared" si="85"/>
        <v>8760</v>
      </c>
      <c r="FX97" s="2082">
        <f t="shared" si="85"/>
        <v>8760</v>
      </c>
      <c r="FY97" s="2082">
        <f t="shared" si="85"/>
        <v>8760</v>
      </c>
      <c r="FZ97" s="2082">
        <f t="shared" si="85"/>
        <v>8760</v>
      </c>
      <c r="GA97" s="2082">
        <f t="shared" si="85"/>
        <v>8760</v>
      </c>
      <c r="GB97" s="2082">
        <f t="shared" si="85"/>
        <v>8760</v>
      </c>
      <c r="GC97" s="2082">
        <f t="shared" si="85"/>
        <v>8760</v>
      </c>
      <c r="GD97" s="2082">
        <f t="shared" si="85"/>
        <v>8760</v>
      </c>
      <c r="GE97" s="2082">
        <f t="shared" si="85"/>
        <v>8760</v>
      </c>
      <c r="GF97" s="2082">
        <f t="shared" si="85"/>
        <v>8760</v>
      </c>
      <c r="GG97" s="2082">
        <f t="shared" si="85"/>
        <v>8760</v>
      </c>
      <c r="GH97" s="2082">
        <f t="shared" si="85"/>
        <v>8760</v>
      </c>
      <c r="GI97" s="2082">
        <f t="shared" si="85"/>
        <v>8760</v>
      </c>
      <c r="GJ97" s="2082">
        <f t="shared" si="85"/>
        <v>8760</v>
      </c>
      <c r="GK97" s="2082">
        <f t="shared" si="85"/>
        <v>8760</v>
      </c>
      <c r="GL97" s="2082">
        <f t="shared" si="85"/>
        <v>8760</v>
      </c>
      <c r="GM97" s="2082">
        <f t="shared" si="85"/>
        <v>8760</v>
      </c>
      <c r="GN97" s="2082">
        <f t="shared" si="85"/>
        <v>8760</v>
      </c>
      <c r="GO97" s="2082">
        <f t="shared" si="85"/>
        <v>8760</v>
      </c>
      <c r="GP97" s="2082">
        <f t="shared" si="85"/>
        <v>8760</v>
      </c>
      <c r="GQ97" s="2082">
        <f t="shared" ref="GQ97:JB97" si="86">24*365*1</f>
        <v>8760</v>
      </c>
      <c r="GR97" s="2082">
        <f t="shared" si="86"/>
        <v>8760</v>
      </c>
      <c r="GS97" s="2082">
        <f t="shared" si="86"/>
        <v>8760</v>
      </c>
      <c r="GT97" s="2082">
        <f t="shared" si="86"/>
        <v>8760</v>
      </c>
      <c r="GU97" s="2082">
        <f t="shared" si="86"/>
        <v>8760</v>
      </c>
      <c r="GV97" s="2082">
        <f t="shared" si="86"/>
        <v>8760</v>
      </c>
      <c r="GW97" s="2082">
        <f t="shared" si="86"/>
        <v>8760</v>
      </c>
      <c r="GX97" s="2082">
        <f t="shared" si="86"/>
        <v>8760</v>
      </c>
      <c r="GY97" s="2082">
        <f t="shared" si="86"/>
        <v>8760</v>
      </c>
      <c r="GZ97" s="2082">
        <f t="shared" si="86"/>
        <v>8760</v>
      </c>
      <c r="HA97" s="2082">
        <f t="shared" si="86"/>
        <v>8760</v>
      </c>
      <c r="HB97" s="2082">
        <f t="shared" si="86"/>
        <v>8760</v>
      </c>
      <c r="HC97" s="2082">
        <f t="shared" si="86"/>
        <v>8760</v>
      </c>
      <c r="HD97" s="2082">
        <f t="shared" si="86"/>
        <v>8760</v>
      </c>
      <c r="HE97" s="2082">
        <f t="shared" si="86"/>
        <v>8760</v>
      </c>
      <c r="HF97" s="2082">
        <f t="shared" si="86"/>
        <v>8760</v>
      </c>
      <c r="HG97" s="2082">
        <f t="shared" si="86"/>
        <v>8760</v>
      </c>
      <c r="HH97" s="2082">
        <f t="shared" si="86"/>
        <v>8760</v>
      </c>
      <c r="HI97" s="2082">
        <f t="shared" si="86"/>
        <v>8760</v>
      </c>
      <c r="HJ97" s="2082">
        <f t="shared" si="86"/>
        <v>8760</v>
      </c>
      <c r="HK97" s="2082">
        <f t="shared" si="86"/>
        <v>8760</v>
      </c>
      <c r="HL97" s="2082">
        <f t="shared" si="86"/>
        <v>8760</v>
      </c>
      <c r="HM97" s="2082">
        <f t="shared" si="86"/>
        <v>8760</v>
      </c>
      <c r="HN97" s="2082">
        <f t="shared" si="86"/>
        <v>8760</v>
      </c>
      <c r="HO97" s="2082">
        <f t="shared" si="86"/>
        <v>8760</v>
      </c>
      <c r="HP97" s="2082">
        <f t="shared" si="86"/>
        <v>8760</v>
      </c>
      <c r="HQ97" s="2082">
        <f t="shared" si="86"/>
        <v>8760</v>
      </c>
      <c r="HR97" s="2082">
        <f t="shared" si="86"/>
        <v>8760</v>
      </c>
      <c r="HS97" s="2082">
        <f t="shared" si="86"/>
        <v>8760</v>
      </c>
      <c r="HT97" s="2082">
        <f t="shared" si="86"/>
        <v>8760</v>
      </c>
      <c r="HU97" s="2082">
        <f t="shared" si="86"/>
        <v>8760</v>
      </c>
      <c r="HV97" s="2082">
        <f t="shared" si="86"/>
        <v>8760</v>
      </c>
      <c r="HW97" s="2082">
        <f t="shared" si="86"/>
        <v>8760</v>
      </c>
      <c r="HX97" s="2082">
        <f t="shared" si="86"/>
        <v>8760</v>
      </c>
      <c r="HY97" s="2082">
        <f t="shared" si="86"/>
        <v>8760</v>
      </c>
      <c r="HZ97" s="2082">
        <f t="shared" si="86"/>
        <v>8760</v>
      </c>
      <c r="IA97" s="2082">
        <f t="shared" si="86"/>
        <v>8760</v>
      </c>
      <c r="IB97" s="2082">
        <f t="shared" si="86"/>
        <v>8760</v>
      </c>
      <c r="IC97" s="2082">
        <f t="shared" si="86"/>
        <v>8760</v>
      </c>
      <c r="ID97" s="2082">
        <f t="shared" si="86"/>
        <v>8760</v>
      </c>
      <c r="IE97" s="2082">
        <f t="shared" si="86"/>
        <v>8760</v>
      </c>
      <c r="IF97" s="2082">
        <f t="shared" si="86"/>
        <v>8760</v>
      </c>
      <c r="IG97" s="2082">
        <f t="shared" si="86"/>
        <v>8760</v>
      </c>
      <c r="IH97" s="2082">
        <f t="shared" si="86"/>
        <v>8760</v>
      </c>
      <c r="II97" s="2082">
        <f t="shared" si="86"/>
        <v>8760</v>
      </c>
      <c r="IJ97" s="2082">
        <f t="shared" si="86"/>
        <v>8760</v>
      </c>
      <c r="IK97" s="2082">
        <f t="shared" si="86"/>
        <v>8760</v>
      </c>
      <c r="IL97" s="2082">
        <f t="shared" si="86"/>
        <v>8760</v>
      </c>
      <c r="IM97" s="2082">
        <f t="shared" si="86"/>
        <v>8760</v>
      </c>
      <c r="IN97" s="2082">
        <f t="shared" si="86"/>
        <v>8760</v>
      </c>
      <c r="IO97" s="2082">
        <f t="shared" si="86"/>
        <v>8760</v>
      </c>
      <c r="IP97" s="2082">
        <f t="shared" si="86"/>
        <v>8760</v>
      </c>
      <c r="IQ97" s="2082">
        <f t="shared" si="86"/>
        <v>8760</v>
      </c>
      <c r="IR97" s="2082">
        <f t="shared" si="86"/>
        <v>8760</v>
      </c>
      <c r="IS97" s="2082">
        <f t="shared" si="86"/>
        <v>8760</v>
      </c>
      <c r="IT97" s="2082">
        <f t="shared" si="86"/>
        <v>8760</v>
      </c>
      <c r="IU97" s="2082">
        <f t="shared" si="86"/>
        <v>8760</v>
      </c>
      <c r="IV97" s="2082">
        <f t="shared" si="86"/>
        <v>8760</v>
      </c>
      <c r="IW97" s="2082">
        <f t="shared" si="86"/>
        <v>8760</v>
      </c>
      <c r="IX97" s="2082">
        <f t="shared" si="86"/>
        <v>8760</v>
      </c>
      <c r="IY97" s="2082">
        <f t="shared" si="86"/>
        <v>8760</v>
      </c>
      <c r="IZ97" s="2082">
        <f t="shared" si="86"/>
        <v>8760</v>
      </c>
      <c r="JA97" s="2082">
        <f t="shared" si="86"/>
        <v>8760</v>
      </c>
      <c r="JB97" s="2082">
        <f t="shared" si="86"/>
        <v>8760</v>
      </c>
      <c r="JC97" s="2082">
        <f t="shared" ref="JC97:LN97" si="87">24*365*1</f>
        <v>8760</v>
      </c>
      <c r="JD97" s="2082">
        <f t="shared" si="87"/>
        <v>8760</v>
      </c>
      <c r="JE97" s="2082">
        <f t="shared" si="87"/>
        <v>8760</v>
      </c>
      <c r="JF97" s="2082">
        <f t="shared" si="87"/>
        <v>8760</v>
      </c>
      <c r="JG97" s="2082">
        <f t="shared" si="87"/>
        <v>8760</v>
      </c>
      <c r="JH97" s="2082">
        <f t="shared" si="87"/>
        <v>8760</v>
      </c>
      <c r="JI97" s="2082">
        <f t="shared" si="87"/>
        <v>8760</v>
      </c>
      <c r="JJ97" s="2082">
        <f t="shared" si="87"/>
        <v>8760</v>
      </c>
      <c r="JK97" s="2082">
        <f t="shared" si="87"/>
        <v>8760</v>
      </c>
      <c r="JL97" s="2082">
        <f t="shared" si="87"/>
        <v>8760</v>
      </c>
      <c r="JM97" s="2082">
        <f t="shared" si="87"/>
        <v>8760</v>
      </c>
      <c r="JN97" s="2082">
        <f t="shared" si="87"/>
        <v>8760</v>
      </c>
      <c r="JO97" s="2082">
        <f t="shared" si="87"/>
        <v>8760</v>
      </c>
      <c r="JP97" s="2082">
        <f t="shared" si="87"/>
        <v>8760</v>
      </c>
      <c r="JQ97" s="2082">
        <f t="shared" si="87"/>
        <v>8760</v>
      </c>
      <c r="JR97" s="2082">
        <f t="shared" si="87"/>
        <v>8760</v>
      </c>
      <c r="JS97" s="2082">
        <f t="shared" si="87"/>
        <v>8760</v>
      </c>
      <c r="JT97" s="2082">
        <f t="shared" si="87"/>
        <v>8760</v>
      </c>
      <c r="JU97" s="2082">
        <f t="shared" si="87"/>
        <v>8760</v>
      </c>
      <c r="JV97" s="2082">
        <f t="shared" si="87"/>
        <v>8760</v>
      </c>
      <c r="JW97" s="2082">
        <f t="shared" si="87"/>
        <v>8760</v>
      </c>
      <c r="JX97" s="2082">
        <f t="shared" si="87"/>
        <v>8760</v>
      </c>
      <c r="JY97" s="2082">
        <f t="shared" si="87"/>
        <v>8760</v>
      </c>
      <c r="JZ97" s="2082">
        <f t="shared" si="87"/>
        <v>8760</v>
      </c>
      <c r="KA97" s="2082">
        <f t="shared" si="87"/>
        <v>8760</v>
      </c>
      <c r="KB97" s="2082">
        <f t="shared" si="87"/>
        <v>8760</v>
      </c>
      <c r="KC97" s="2082">
        <f t="shared" si="87"/>
        <v>8760</v>
      </c>
      <c r="KD97" s="2082">
        <f t="shared" si="87"/>
        <v>8760</v>
      </c>
      <c r="KE97" s="2082">
        <f t="shared" si="87"/>
        <v>8760</v>
      </c>
      <c r="KF97" s="2082">
        <f t="shared" si="87"/>
        <v>8760</v>
      </c>
      <c r="KG97" s="2082">
        <f t="shared" si="87"/>
        <v>8760</v>
      </c>
      <c r="KH97" s="2082">
        <f t="shared" si="87"/>
        <v>8760</v>
      </c>
      <c r="KI97" s="2082">
        <f t="shared" si="87"/>
        <v>8760</v>
      </c>
      <c r="KJ97" s="2082">
        <f t="shared" si="87"/>
        <v>8760</v>
      </c>
      <c r="KK97" s="2082">
        <f t="shared" si="87"/>
        <v>8760</v>
      </c>
      <c r="KL97" s="2082">
        <f t="shared" si="87"/>
        <v>8760</v>
      </c>
      <c r="KM97" s="2082">
        <f t="shared" si="87"/>
        <v>8760</v>
      </c>
      <c r="KN97" s="2082">
        <f t="shared" si="87"/>
        <v>8760</v>
      </c>
      <c r="KO97" s="2082">
        <f t="shared" si="87"/>
        <v>8760</v>
      </c>
      <c r="KP97" s="2082">
        <f t="shared" si="87"/>
        <v>8760</v>
      </c>
      <c r="KQ97" s="2082">
        <f t="shared" si="87"/>
        <v>8760</v>
      </c>
      <c r="KR97" s="2082">
        <f t="shared" si="87"/>
        <v>8760</v>
      </c>
      <c r="KS97" s="2082">
        <f t="shared" si="87"/>
        <v>8760</v>
      </c>
      <c r="KT97" s="2082">
        <f t="shared" si="87"/>
        <v>8760</v>
      </c>
      <c r="KU97" s="2082">
        <f t="shared" si="87"/>
        <v>8760</v>
      </c>
      <c r="KV97" s="2082">
        <f t="shared" si="87"/>
        <v>8760</v>
      </c>
      <c r="KW97" s="2082">
        <f t="shared" si="87"/>
        <v>8760</v>
      </c>
      <c r="KX97" s="2082">
        <f t="shared" si="87"/>
        <v>8760</v>
      </c>
      <c r="KY97" s="2082">
        <f t="shared" si="87"/>
        <v>8760</v>
      </c>
      <c r="KZ97" s="2082">
        <f t="shared" si="87"/>
        <v>8760</v>
      </c>
      <c r="LA97" s="2082">
        <f t="shared" si="87"/>
        <v>8760</v>
      </c>
      <c r="LB97" s="2082">
        <f t="shared" si="87"/>
        <v>8760</v>
      </c>
      <c r="LC97" s="2082">
        <f t="shared" si="87"/>
        <v>8760</v>
      </c>
      <c r="LD97" s="2082">
        <f t="shared" si="87"/>
        <v>8760</v>
      </c>
      <c r="LE97" s="2082">
        <f t="shared" si="87"/>
        <v>8760</v>
      </c>
      <c r="LF97" s="2082">
        <f t="shared" si="87"/>
        <v>8760</v>
      </c>
      <c r="LG97" s="2082">
        <f t="shared" si="87"/>
        <v>8760</v>
      </c>
      <c r="LH97" s="2082">
        <f t="shared" si="87"/>
        <v>8760</v>
      </c>
      <c r="LI97" s="2082">
        <f t="shared" si="87"/>
        <v>8760</v>
      </c>
      <c r="LJ97" s="2082">
        <f t="shared" si="87"/>
        <v>8760</v>
      </c>
      <c r="LK97" s="2082">
        <f t="shared" si="87"/>
        <v>8760</v>
      </c>
      <c r="LL97" s="2082">
        <f t="shared" si="87"/>
        <v>8760</v>
      </c>
      <c r="LM97" s="2082">
        <f t="shared" si="87"/>
        <v>8760</v>
      </c>
      <c r="LN97" s="2082">
        <f t="shared" si="87"/>
        <v>8760</v>
      </c>
      <c r="LO97" s="2082">
        <f t="shared" ref="LO97:NZ97" si="88">24*365*1</f>
        <v>8760</v>
      </c>
      <c r="LP97" s="2082">
        <f t="shared" si="88"/>
        <v>8760</v>
      </c>
      <c r="LQ97" s="2082">
        <f t="shared" si="88"/>
        <v>8760</v>
      </c>
      <c r="LR97" s="2082">
        <f t="shared" si="88"/>
        <v>8760</v>
      </c>
      <c r="LS97" s="2082">
        <f t="shared" si="88"/>
        <v>8760</v>
      </c>
      <c r="LT97" s="2082">
        <f t="shared" si="88"/>
        <v>8760</v>
      </c>
      <c r="LU97" s="2082">
        <f t="shared" si="88"/>
        <v>8760</v>
      </c>
      <c r="LV97" s="2082">
        <f t="shared" si="88"/>
        <v>8760</v>
      </c>
      <c r="LW97" s="2082">
        <f t="shared" si="88"/>
        <v>8760</v>
      </c>
      <c r="LX97" s="2082">
        <f t="shared" si="88"/>
        <v>8760</v>
      </c>
      <c r="LY97" s="2082">
        <f t="shared" si="88"/>
        <v>8760</v>
      </c>
      <c r="LZ97" s="2082">
        <f t="shared" si="88"/>
        <v>8760</v>
      </c>
      <c r="MA97" s="2082">
        <f t="shared" si="88"/>
        <v>8760</v>
      </c>
      <c r="MB97" s="2082">
        <f t="shared" si="88"/>
        <v>8760</v>
      </c>
      <c r="MC97" s="2082">
        <f t="shared" si="88"/>
        <v>8760</v>
      </c>
      <c r="MD97" s="2082">
        <f t="shared" si="88"/>
        <v>8760</v>
      </c>
      <c r="ME97" s="2082">
        <f t="shared" si="88"/>
        <v>8760</v>
      </c>
      <c r="MF97" s="2082">
        <f t="shared" si="88"/>
        <v>8760</v>
      </c>
      <c r="MG97" s="2082">
        <f t="shared" si="88"/>
        <v>8760</v>
      </c>
      <c r="MH97" s="2082">
        <f t="shared" si="88"/>
        <v>8760</v>
      </c>
      <c r="MI97" s="2082">
        <f t="shared" si="88"/>
        <v>8760</v>
      </c>
      <c r="MJ97" s="2082">
        <f t="shared" si="88"/>
        <v>8760</v>
      </c>
      <c r="MK97" s="2082">
        <f t="shared" si="88"/>
        <v>8760</v>
      </c>
      <c r="ML97" s="2082">
        <f t="shared" si="88"/>
        <v>8760</v>
      </c>
      <c r="MM97" s="2082">
        <f t="shared" si="88"/>
        <v>8760</v>
      </c>
      <c r="MN97" s="2082">
        <f t="shared" si="88"/>
        <v>8760</v>
      </c>
      <c r="MO97" s="2082">
        <f t="shared" si="88"/>
        <v>8760</v>
      </c>
      <c r="MP97" s="2082">
        <f t="shared" si="88"/>
        <v>8760</v>
      </c>
      <c r="MQ97" s="2082">
        <f t="shared" si="88"/>
        <v>8760</v>
      </c>
      <c r="MR97" s="2082">
        <f t="shared" si="88"/>
        <v>8760</v>
      </c>
      <c r="MS97" s="2082">
        <f t="shared" si="88"/>
        <v>8760</v>
      </c>
      <c r="MT97" s="2082">
        <f t="shared" si="88"/>
        <v>8760</v>
      </c>
      <c r="MU97" s="2082">
        <f t="shared" si="88"/>
        <v>8760</v>
      </c>
      <c r="MV97" s="2082">
        <f t="shared" si="88"/>
        <v>8760</v>
      </c>
      <c r="MW97" s="2082">
        <f t="shared" si="88"/>
        <v>8760</v>
      </c>
      <c r="MX97" s="2082">
        <f t="shared" si="88"/>
        <v>8760</v>
      </c>
      <c r="MY97" s="2082">
        <f t="shared" si="88"/>
        <v>8760</v>
      </c>
      <c r="MZ97" s="2082">
        <f t="shared" si="88"/>
        <v>8760</v>
      </c>
      <c r="NA97" s="2082">
        <f t="shared" si="88"/>
        <v>8760</v>
      </c>
      <c r="NB97" s="2082">
        <f t="shared" si="88"/>
        <v>8760</v>
      </c>
      <c r="NC97" s="2082">
        <f t="shared" si="88"/>
        <v>8760</v>
      </c>
      <c r="ND97" s="2082">
        <f t="shared" si="88"/>
        <v>8760</v>
      </c>
      <c r="NE97" s="2082">
        <f t="shared" si="88"/>
        <v>8760</v>
      </c>
      <c r="NF97" s="2082">
        <f t="shared" si="88"/>
        <v>8760</v>
      </c>
      <c r="NG97" s="2082">
        <f t="shared" si="88"/>
        <v>8760</v>
      </c>
      <c r="NH97" s="2082">
        <f t="shared" si="88"/>
        <v>8760</v>
      </c>
      <c r="NI97" s="2082">
        <f t="shared" si="88"/>
        <v>8760</v>
      </c>
      <c r="NJ97" s="2082">
        <f t="shared" si="88"/>
        <v>8760</v>
      </c>
      <c r="NK97" s="2082">
        <f t="shared" si="88"/>
        <v>8760</v>
      </c>
      <c r="NL97" s="2082">
        <f t="shared" si="88"/>
        <v>8760</v>
      </c>
      <c r="NM97" s="2082">
        <f t="shared" si="88"/>
        <v>8760</v>
      </c>
      <c r="NN97" s="2082">
        <f t="shared" si="88"/>
        <v>8760</v>
      </c>
      <c r="NO97" s="2082">
        <f t="shared" si="88"/>
        <v>8760</v>
      </c>
      <c r="NP97" s="2082">
        <f t="shared" si="88"/>
        <v>8760</v>
      </c>
      <c r="NQ97" s="2082">
        <f t="shared" si="88"/>
        <v>8760</v>
      </c>
      <c r="NR97" s="2082">
        <f t="shared" si="88"/>
        <v>8760</v>
      </c>
      <c r="NS97" s="2082">
        <f t="shared" si="88"/>
        <v>8760</v>
      </c>
      <c r="NT97" s="2082">
        <f t="shared" si="88"/>
        <v>8760</v>
      </c>
      <c r="NU97" s="2082">
        <f t="shared" si="88"/>
        <v>8760</v>
      </c>
      <c r="NV97" s="2082">
        <f t="shared" si="88"/>
        <v>8760</v>
      </c>
      <c r="NW97" s="2082">
        <f t="shared" si="88"/>
        <v>8760</v>
      </c>
      <c r="NX97" s="2082">
        <f t="shared" si="88"/>
        <v>8760</v>
      </c>
      <c r="NY97" s="2082">
        <f t="shared" si="88"/>
        <v>8760</v>
      </c>
      <c r="NZ97" s="2082">
        <f t="shared" si="88"/>
        <v>8760</v>
      </c>
      <c r="OA97" s="2082">
        <f t="shared" ref="OA97:QL97" si="89">24*365*1</f>
        <v>8760</v>
      </c>
      <c r="OB97" s="2082">
        <f t="shared" si="89"/>
        <v>8760</v>
      </c>
      <c r="OC97" s="2082">
        <f t="shared" si="89"/>
        <v>8760</v>
      </c>
      <c r="OD97" s="2082">
        <f t="shared" si="89"/>
        <v>8760</v>
      </c>
      <c r="OE97" s="2082">
        <f t="shared" si="89"/>
        <v>8760</v>
      </c>
      <c r="OF97" s="2082">
        <f t="shared" si="89"/>
        <v>8760</v>
      </c>
      <c r="OG97" s="2082">
        <f t="shared" si="89"/>
        <v>8760</v>
      </c>
      <c r="OH97" s="2082">
        <f t="shared" si="89"/>
        <v>8760</v>
      </c>
      <c r="OI97" s="2082">
        <f t="shared" si="89"/>
        <v>8760</v>
      </c>
      <c r="OJ97" s="2082">
        <f t="shared" si="89"/>
        <v>8760</v>
      </c>
      <c r="OK97" s="2082">
        <f t="shared" si="89"/>
        <v>8760</v>
      </c>
      <c r="OL97" s="2082">
        <f t="shared" si="89"/>
        <v>8760</v>
      </c>
      <c r="OM97" s="2082">
        <f t="shared" si="89"/>
        <v>8760</v>
      </c>
      <c r="ON97" s="2082">
        <f t="shared" si="89"/>
        <v>8760</v>
      </c>
      <c r="OO97" s="2082">
        <f t="shared" si="89"/>
        <v>8760</v>
      </c>
      <c r="OP97" s="2082">
        <f t="shared" si="89"/>
        <v>8760</v>
      </c>
      <c r="OQ97" s="2082">
        <f t="shared" si="89"/>
        <v>8760</v>
      </c>
      <c r="OR97" s="2082">
        <f t="shared" si="89"/>
        <v>8760</v>
      </c>
      <c r="OS97" s="2082">
        <f t="shared" si="89"/>
        <v>8760</v>
      </c>
      <c r="OT97" s="2082">
        <f t="shared" si="89"/>
        <v>8760</v>
      </c>
      <c r="OU97" s="2082">
        <f t="shared" si="89"/>
        <v>8760</v>
      </c>
      <c r="OV97" s="2082">
        <f t="shared" si="89"/>
        <v>8760</v>
      </c>
      <c r="OW97" s="2082">
        <f t="shared" si="89"/>
        <v>8760</v>
      </c>
      <c r="OX97" s="2082">
        <f t="shared" si="89"/>
        <v>8760</v>
      </c>
      <c r="OY97" s="2082">
        <f t="shared" si="89"/>
        <v>8760</v>
      </c>
      <c r="OZ97" s="2082">
        <f t="shared" si="89"/>
        <v>8760</v>
      </c>
      <c r="PA97" s="2082">
        <f t="shared" si="89"/>
        <v>8760</v>
      </c>
      <c r="PB97" s="2082">
        <f t="shared" si="89"/>
        <v>8760</v>
      </c>
      <c r="PC97" s="2082">
        <f t="shared" si="89"/>
        <v>8760</v>
      </c>
      <c r="PD97" s="2082">
        <f t="shared" si="89"/>
        <v>8760</v>
      </c>
      <c r="PE97" s="2082">
        <f t="shared" si="89"/>
        <v>8760</v>
      </c>
      <c r="PF97" s="2082">
        <f t="shared" si="89"/>
        <v>8760</v>
      </c>
      <c r="PG97" s="2082">
        <f t="shared" si="89"/>
        <v>8760</v>
      </c>
      <c r="PH97" s="2082">
        <f t="shared" si="89"/>
        <v>8760</v>
      </c>
      <c r="PI97" s="2082">
        <f t="shared" si="89"/>
        <v>8760</v>
      </c>
      <c r="PJ97" s="2082">
        <f t="shared" si="89"/>
        <v>8760</v>
      </c>
      <c r="PK97" s="2082">
        <f t="shared" si="89"/>
        <v>8760</v>
      </c>
      <c r="PL97" s="2082">
        <f t="shared" si="89"/>
        <v>8760</v>
      </c>
      <c r="PM97" s="2082">
        <f t="shared" si="89"/>
        <v>8760</v>
      </c>
      <c r="PN97" s="2082">
        <f t="shared" si="89"/>
        <v>8760</v>
      </c>
      <c r="PO97" s="2082">
        <f t="shared" si="89"/>
        <v>8760</v>
      </c>
      <c r="PP97" s="2082">
        <f t="shared" si="89"/>
        <v>8760</v>
      </c>
      <c r="PQ97" s="2082">
        <f t="shared" si="89"/>
        <v>8760</v>
      </c>
      <c r="PR97" s="2082">
        <f t="shared" si="89"/>
        <v>8760</v>
      </c>
      <c r="PS97" s="2082">
        <f t="shared" si="89"/>
        <v>8760</v>
      </c>
      <c r="PT97" s="2082">
        <f t="shared" si="89"/>
        <v>8760</v>
      </c>
      <c r="PU97" s="2082">
        <f t="shared" si="89"/>
        <v>8760</v>
      </c>
      <c r="PV97" s="2082">
        <f t="shared" si="89"/>
        <v>8760</v>
      </c>
      <c r="PW97" s="2082">
        <f t="shared" si="89"/>
        <v>8760</v>
      </c>
      <c r="PX97" s="2082">
        <f t="shared" si="89"/>
        <v>8760</v>
      </c>
      <c r="PY97" s="2082">
        <f t="shared" si="89"/>
        <v>8760</v>
      </c>
      <c r="PZ97" s="2082">
        <f t="shared" si="89"/>
        <v>8760</v>
      </c>
      <c r="QA97" s="2082">
        <f t="shared" si="89"/>
        <v>8760</v>
      </c>
      <c r="QB97" s="2082">
        <f t="shared" si="89"/>
        <v>8760</v>
      </c>
      <c r="QC97" s="2082">
        <f t="shared" si="89"/>
        <v>8760</v>
      </c>
      <c r="QD97" s="2082">
        <f t="shared" si="89"/>
        <v>8760</v>
      </c>
      <c r="QE97" s="2082">
        <f t="shared" si="89"/>
        <v>8760</v>
      </c>
      <c r="QF97" s="2082">
        <f t="shared" si="89"/>
        <v>8760</v>
      </c>
      <c r="QG97" s="2082">
        <f t="shared" si="89"/>
        <v>8760</v>
      </c>
      <c r="QH97" s="2082">
        <f t="shared" si="89"/>
        <v>8760</v>
      </c>
      <c r="QI97" s="2082">
        <f t="shared" si="89"/>
        <v>8760</v>
      </c>
      <c r="QJ97" s="2082">
        <f t="shared" si="89"/>
        <v>8760</v>
      </c>
      <c r="QK97" s="2082">
        <f t="shared" si="89"/>
        <v>8760</v>
      </c>
      <c r="QL97" s="2082">
        <f t="shared" si="89"/>
        <v>8760</v>
      </c>
      <c r="QM97" s="2082">
        <f t="shared" ref="QM97:SX97" si="90">24*365*1</f>
        <v>8760</v>
      </c>
      <c r="QN97" s="2082">
        <f t="shared" si="90"/>
        <v>8760</v>
      </c>
      <c r="QO97" s="2082">
        <f t="shared" si="90"/>
        <v>8760</v>
      </c>
      <c r="QP97" s="2082">
        <f t="shared" si="90"/>
        <v>8760</v>
      </c>
      <c r="QQ97" s="2082">
        <f t="shared" si="90"/>
        <v>8760</v>
      </c>
      <c r="QR97" s="2082">
        <f t="shared" si="90"/>
        <v>8760</v>
      </c>
      <c r="QS97" s="2082">
        <f t="shared" si="90"/>
        <v>8760</v>
      </c>
      <c r="QT97" s="2082">
        <f t="shared" si="90"/>
        <v>8760</v>
      </c>
      <c r="QU97" s="2082">
        <f t="shared" si="90"/>
        <v>8760</v>
      </c>
      <c r="QV97" s="2082">
        <f t="shared" si="90"/>
        <v>8760</v>
      </c>
      <c r="QW97" s="2082">
        <f t="shared" si="90"/>
        <v>8760</v>
      </c>
      <c r="QX97" s="2082">
        <f t="shared" si="90"/>
        <v>8760</v>
      </c>
      <c r="QY97" s="2082">
        <f t="shared" si="90"/>
        <v>8760</v>
      </c>
      <c r="QZ97" s="2082">
        <f t="shared" si="90"/>
        <v>8760</v>
      </c>
      <c r="RA97" s="2082">
        <f t="shared" si="90"/>
        <v>8760</v>
      </c>
      <c r="RB97" s="2082">
        <f t="shared" si="90"/>
        <v>8760</v>
      </c>
      <c r="RC97" s="2082">
        <f t="shared" si="90"/>
        <v>8760</v>
      </c>
      <c r="RD97" s="2082">
        <f t="shared" si="90"/>
        <v>8760</v>
      </c>
      <c r="RE97" s="2082">
        <f t="shared" si="90"/>
        <v>8760</v>
      </c>
      <c r="RF97" s="2082">
        <f t="shared" si="90"/>
        <v>8760</v>
      </c>
      <c r="RG97" s="2082">
        <f t="shared" si="90"/>
        <v>8760</v>
      </c>
      <c r="RH97" s="2082">
        <f t="shared" si="90"/>
        <v>8760</v>
      </c>
      <c r="RI97" s="2082">
        <f t="shared" si="90"/>
        <v>8760</v>
      </c>
      <c r="RJ97" s="2082">
        <f t="shared" si="90"/>
        <v>8760</v>
      </c>
      <c r="RK97" s="2082">
        <f t="shared" si="90"/>
        <v>8760</v>
      </c>
      <c r="RL97" s="2082">
        <f t="shared" si="90"/>
        <v>8760</v>
      </c>
      <c r="RM97" s="2082">
        <f t="shared" si="90"/>
        <v>8760</v>
      </c>
      <c r="RN97" s="2082">
        <f t="shared" si="90"/>
        <v>8760</v>
      </c>
      <c r="RO97" s="2082">
        <f t="shared" si="90"/>
        <v>8760</v>
      </c>
      <c r="RP97" s="2082">
        <f t="shared" si="90"/>
        <v>8760</v>
      </c>
      <c r="RQ97" s="2082">
        <f t="shared" si="90"/>
        <v>8760</v>
      </c>
      <c r="RR97" s="2082">
        <f t="shared" si="90"/>
        <v>8760</v>
      </c>
      <c r="RS97" s="2082">
        <f t="shared" si="90"/>
        <v>8760</v>
      </c>
      <c r="RT97" s="2082">
        <f t="shared" si="90"/>
        <v>8760</v>
      </c>
      <c r="RU97" s="2082">
        <f t="shared" si="90"/>
        <v>8760</v>
      </c>
      <c r="RV97" s="2082">
        <f t="shared" si="90"/>
        <v>8760</v>
      </c>
      <c r="RW97" s="2082">
        <f t="shared" si="90"/>
        <v>8760</v>
      </c>
      <c r="RX97" s="2082">
        <f t="shared" si="90"/>
        <v>8760</v>
      </c>
      <c r="RY97" s="2082">
        <f t="shared" si="90"/>
        <v>8760</v>
      </c>
      <c r="RZ97" s="2082">
        <f t="shared" si="90"/>
        <v>8760</v>
      </c>
      <c r="SA97" s="2082">
        <f t="shared" si="90"/>
        <v>8760</v>
      </c>
      <c r="SB97" s="2082">
        <f t="shared" si="90"/>
        <v>8760</v>
      </c>
      <c r="SC97" s="2082">
        <f t="shared" si="90"/>
        <v>8760</v>
      </c>
      <c r="SD97" s="2082">
        <f t="shared" si="90"/>
        <v>8760</v>
      </c>
      <c r="SE97" s="2082">
        <f t="shared" si="90"/>
        <v>8760</v>
      </c>
      <c r="SF97" s="2082">
        <f t="shared" si="90"/>
        <v>8760</v>
      </c>
      <c r="SG97" s="2082">
        <f t="shared" si="90"/>
        <v>8760</v>
      </c>
      <c r="SH97" s="2082">
        <f t="shared" si="90"/>
        <v>8760</v>
      </c>
      <c r="SI97" s="2082">
        <f t="shared" si="90"/>
        <v>8760</v>
      </c>
      <c r="SJ97" s="2082">
        <f t="shared" si="90"/>
        <v>8760</v>
      </c>
      <c r="SK97" s="2082">
        <f t="shared" si="90"/>
        <v>8760</v>
      </c>
      <c r="SL97" s="2082">
        <f t="shared" si="90"/>
        <v>8760</v>
      </c>
      <c r="SM97" s="2082">
        <f t="shared" si="90"/>
        <v>8760</v>
      </c>
      <c r="SN97" s="2082">
        <f t="shared" si="90"/>
        <v>8760</v>
      </c>
      <c r="SO97" s="2082">
        <f t="shared" si="90"/>
        <v>8760</v>
      </c>
      <c r="SP97" s="2082">
        <f t="shared" si="90"/>
        <v>8760</v>
      </c>
      <c r="SQ97" s="2082">
        <f t="shared" si="90"/>
        <v>8760</v>
      </c>
      <c r="SR97" s="2082">
        <f t="shared" si="90"/>
        <v>8760</v>
      </c>
      <c r="SS97" s="2082">
        <f t="shared" si="90"/>
        <v>8760</v>
      </c>
      <c r="ST97" s="2082">
        <f t="shared" si="90"/>
        <v>8760</v>
      </c>
      <c r="SU97" s="2082">
        <f t="shared" si="90"/>
        <v>8760</v>
      </c>
      <c r="SV97" s="2082">
        <f t="shared" si="90"/>
        <v>8760</v>
      </c>
      <c r="SW97" s="2082">
        <f t="shared" si="90"/>
        <v>8760</v>
      </c>
      <c r="SX97" s="2082">
        <f t="shared" si="90"/>
        <v>8760</v>
      </c>
      <c r="SY97" s="2082">
        <f t="shared" ref="SY97:VJ97" si="91">24*365*1</f>
        <v>8760</v>
      </c>
      <c r="SZ97" s="2082">
        <f t="shared" si="91"/>
        <v>8760</v>
      </c>
      <c r="TA97" s="2082">
        <f t="shared" si="91"/>
        <v>8760</v>
      </c>
      <c r="TB97" s="2082">
        <f t="shared" si="91"/>
        <v>8760</v>
      </c>
      <c r="TC97" s="2082">
        <f t="shared" si="91"/>
        <v>8760</v>
      </c>
      <c r="TD97" s="2082">
        <f t="shared" si="91"/>
        <v>8760</v>
      </c>
      <c r="TE97" s="2082">
        <f t="shared" si="91"/>
        <v>8760</v>
      </c>
      <c r="TF97" s="2082">
        <f t="shared" si="91"/>
        <v>8760</v>
      </c>
      <c r="TG97" s="2082">
        <f t="shared" si="91"/>
        <v>8760</v>
      </c>
      <c r="TH97" s="2082">
        <f t="shared" si="91"/>
        <v>8760</v>
      </c>
      <c r="TI97" s="2082">
        <f t="shared" si="91"/>
        <v>8760</v>
      </c>
      <c r="TJ97" s="2082">
        <f t="shared" si="91"/>
        <v>8760</v>
      </c>
      <c r="TK97" s="2082">
        <f t="shared" si="91"/>
        <v>8760</v>
      </c>
      <c r="TL97" s="2082">
        <f t="shared" si="91"/>
        <v>8760</v>
      </c>
      <c r="TM97" s="2082">
        <f t="shared" si="91"/>
        <v>8760</v>
      </c>
      <c r="TN97" s="2082">
        <f t="shared" si="91"/>
        <v>8760</v>
      </c>
      <c r="TO97" s="2082">
        <f t="shared" si="91"/>
        <v>8760</v>
      </c>
      <c r="TP97" s="2082">
        <f t="shared" si="91"/>
        <v>8760</v>
      </c>
      <c r="TQ97" s="2082">
        <f t="shared" si="91"/>
        <v>8760</v>
      </c>
      <c r="TR97" s="2082">
        <f t="shared" si="91"/>
        <v>8760</v>
      </c>
      <c r="TS97" s="2082">
        <f t="shared" si="91"/>
        <v>8760</v>
      </c>
      <c r="TT97" s="2082">
        <f t="shared" si="91"/>
        <v>8760</v>
      </c>
      <c r="TU97" s="2082">
        <f t="shared" si="91"/>
        <v>8760</v>
      </c>
      <c r="TV97" s="2082">
        <f t="shared" si="91"/>
        <v>8760</v>
      </c>
      <c r="TW97" s="2082">
        <f t="shared" si="91"/>
        <v>8760</v>
      </c>
      <c r="TX97" s="2082">
        <f t="shared" si="91"/>
        <v>8760</v>
      </c>
      <c r="TY97" s="2082">
        <f t="shared" si="91"/>
        <v>8760</v>
      </c>
      <c r="TZ97" s="2082">
        <f t="shared" si="91"/>
        <v>8760</v>
      </c>
      <c r="UA97" s="2082">
        <f t="shared" si="91"/>
        <v>8760</v>
      </c>
      <c r="UB97" s="2082">
        <f t="shared" si="91"/>
        <v>8760</v>
      </c>
      <c r="UC97" s="2082">
        <f t="shared" si="91"/>
        <v>8760</v>
      </c>
      <c r="UD97" s="2082">
        <f t="shared" si="91"/>
        <v>8760</v>
      </c>
      <c r="UE97" s="2082">
        <f t="shared" si="91"/>
        <v>8760</v>
      </c>
      <c r="UF97" s="2082">
        <f t="shared" si="91"/>
        <v>8760</v>
      </c>
      <c r="UG97" s="2082">
        <f t="shared" si="91"/>
        <v>8760</v>
      </c>
      <c r="UH97" s="2082">
        <f t="shared" si="91"/>
        <v>8760</v>
      </c>
      <c r="UI97" s="2082">
        <f t="shared" si="91"/>
        <v>8760</v>
      </c>
      <c r="UJ97" s="2082">
        <f t="shared" si="91"/>
        <v>8760</v>
      </c>
      <c r="UK97" s="2082">
        <f t="shared" si="91"/>
        <v>8760</v>
      </c>
      <c r="UL97" s="2082">
        <f t="shared" si="91"/>
        <v>8760</v>
      </c>
      <c r="UM97" s="2082">
        <f t="shared" si="91"/>
        <v>8760</v>
      </c>
      <c r="UN97" s="2082">
        <f t="shared" si="91"/>
        <v>8760</v>
      </c>
      <c r="UO97" s="2082">
        <f t="shared" si="91"/>
        <v>8760</v>
      </c>
      <c r="UP97" s="2082">
        <f t="shared" si="91"/>
        <v>8760</v>
      </c>
      <c r="UQ97" s="2082">
        <f t="shared" si="91"/>
        <v>8760</v>
      </c>
      <c r="UR97" s="2082">
        <f t="shared" si="91"/>
        <v>8760</v>
      </c>
      <c r="US97" s="2082">
        <f t="shared" si="91"/>
        <v>8760</v>
      </c>
      <c r="UT97" s="2082">
        <f t="shared" si="91"/>
        <v>8760</v>
      </c>
      <c r="UU97" s="2082">
        <f t="shared" si="91"/>
        <v>8760</v>
      </c>
      <c r="UV97" s="2082">
        <f t="shared" si="91"/>
        <v>8760</v>
      </c>
      <c r="UW97" s="2082">
        <f t="shared" si="91"/>
        <v>8760</v>
      </c>
      <c r="UX97" s="2082">
        <f t="shared" si="91"/>
        <v>8760</v>
      </c>
      <c r="UY97" s="2082">
        <f t="shared" si="91"/>
        <v>8760</v>
      </c>
      <c r="UZ97" s="2082">
        <f t="shared" si="91"/>
        <v>8760</v>
      </c>
      <c r="VA97" s="2082">
        <f t="shared" si="91"/>
        <v>8760</v>
      </c>
      <c r="VB97" s="2082">
        <f t="shared" si="91"/>
        <v>8760</v>
      </c>
      <c r="VC97" s="2082">
        <f t="shared" si="91"/>
        <v>8760</v>
      </c>
      <c r="VD97" s="2082">
        <f t="shared" si="91"/>
        <v>8760</v>
      </c>
      <c r="VE97" s="2082">
        <f t="shared" si="91"/>
        <v>8760</v>
      </c>
      <c r="VF97" s="2082">
        <f t="shared" si="91"/>
        <v>8760</v>
      </c>
      <c r="VG97" s="2082">
        <f t="shared" si="91"/>
        <v>8760</v>
      </c>
      <c r="VH97" s="2082">
        <f t="shared" si="91"/>
        <v>8760</v>
      </c>
      <c r="VI97" s="2082">
        <f t="shared" si="91"/>
        <v>8760</v>
      </c>
      <c r="VJ97" s="2082">
        <f t="shared" si="91"/>
        <v>8760</v>
      </c>
      <c r="VK97" s="2083">
        <f>24*365*1</f>
        <v>8760</v>
      </c>
    </row>
    <row r="98" spans="1:583" s="1296" customFormat="1" x14ac:dyDescent="0.25">
      <c r="B98" s="2084" t="s">
        <v>61</v>
      </c>
      <c r="C98" s="2085" t="s">
        <v>2932</v>
      </c>
      <c r="D98" s="2085" t="s">
        <v>61</v>
      </c>
      <c r="E98" s="2085" t="s">
        <v>2932</v>
      </c>
      <c r="F98" s="2086">
        <f>IF(F96&gt;F97,F96,IF(F97&gt;F96,F97))</f>
        <v>8760</v>
      </c>
      <c r="G98" s="2086">
        <f t="shared" ref="G98:BR98" si="92">IF(G96&gt;G97,G96,IF(G97&gt;G96,G97))</f>
        <v>8760</v>
      </c>
      <c r="H98" s="2086">
        <f t="shared" si="92"/>
        <v>8760</v>
      </c>
      <c r="I98" s="2086">
        <f t="shared" si="92"/>
        <v>8760</v>
      </c>
      <c r="J98" s="2086">
        <f t="shared" si="92"/>
        <v>8760</v>
      </c>
      <c r="K98" s="2086">
        <f t="shared" si="92"/>
        <v>8760</v>
      </c>
      <c r="L98" s="2086">
        <f t="shared" si="92"/>
        <v>8760</v>
      </c>
      <c r="M98" s="2086">
        <f t="shared" si="92"/>
        <v>8760</v>
      </c>
      <c r="N98" s="2086">
        <f t="shared" si="92"/>
        <v>8760</v>
      </c>
      <c r="O98" s="2086">
        <f t="shared" si="92"/>
        <v>8760</v>
      </c>
      <c r="P98" s="2086">
        <f t="shared" si="92"/>
        <v>8760</v>
      </c>
      <c r="Q98" s="2086">
        <f t="shared" si="92"/>
        <v>8760</v>
      </c>
      <c r="R98" s="2086">
        <f t="shared" si="92"/>
        <v>8760</v>
      </c>
      <c r="S98" s="2086">
        <f t="shared" si="92"/>
        <v>8760</v>
      </c>
      <c r="T98" s="2086">
        <f t="shared" si="92"/>
        <v>8760</v>
      </c>
      <c r="U98" s="2086">
        <f t="shared" si="92"/>
        <v>8760</v>
      </c>
      <c r="V98" s="2086">
        <f t="shared" si="92"/>
        <v>8760</v>
      </c>
      <c r="W98" s="2086">
        <f t="shared" si="92"/>
        <v>8760</v>
      </c>
      <c r="X98" s="2086">
        <f t="shared" si="92"/>
        <v>8760</v>
      </c>
      <c r="Y98" s="2086">
        <f t="shared" si="92"/>
        <v>8760</v>
      </c>
      <c r="Z98" s="2086">
        <f t="shared" si="92"/>
        <v>8760</v>
      </c>
      <c r="AA98" s="2086">
        <f t="shared" si="92"/>
        <v>8760</v>
      </c>
      <c r="AB98" s="2086">
        <f t="shared" si="92"/>
        <v>8760</v>
      </c>
      <c r="AC98" s="2086">
        <f t="shared" si="92"/>
        <v>8760</v>
      </c>
      <c r="AD98" s="2086">
        <f t="shared" si="92"/>
        <v>8760</v>
      </c>
      <c r="AE98" s="2086">
        <f t="shared" si="92"/>
        <v>8760</v>
      </c>
      <c r="AF98" s="2086">
        <f t="shared" si="92"/>
        <v>8760</v>
      </c>
      <c r="AG98" s="2086">
        <f t="shared" si="92"/>
        <v>8760</v>
      </c>
      <c r="AH98" s="2086">
        <f t="shared" si="92"/>
        <v>8760</v>
      </c>
      <c r="AI98" s="2086">
        <f t="shared" si="92"/>
        <v>8760</v>
      </c>
      <c r="AJ98" s="2086">
        <f t="shared" si="92"/>
        <v>8760</v>
      </c>
      <c r="AK98" s="2086">
        <f t="shared" si="92"/>
        <v>8760</v>
      </c>
      <c r="AL98" s="2086">
        <f t="shared" si="92"/>
        <v>8760</v>
      </c>
      <c r="AM98" s="2086">
        <f t="shared" si="92"/>
        <v>8760</v>
      </c>
      <c r="AN98" s="2086">
        <f t="shared" si="92"/>
        <v>8760</v>
      </c>
      <c r="AO98" s="2086">
        <f t="shared" si="92"/>
        <v>8760</v>
      </c>
      <c r="AP98" s="2086">
        <f t="shared" si="92"/>
        <v>8760</v>
      </c>
      <c r="AQ98" s="2086">
        <f t="shared" si="92"/>
        <v>8760</v>
      </c>
      <c r="AR98" s="2086">
        <f t="shared" si="92"/>
        <v>8760</v>
      </c>
      <c r="AS98" s="2086">
        <f t="shared" si="92"/>
        <v>8760</v>
      </c>
      <c r="AT98" s="2086">
        <f t="shared" si="92"/>
        <v>8760</v>
      </c>
      <c r="AU98" s="2086">
        <f t="shared" si="92"/>
        <v>8760</v>
      </c>
      <c r="AV98" s="2086">
        <f t="shared" si="92"/>
        <v>8760</v>
      </c>
      <c r="AW98" s="2086">
        <f t="shared" si="92"/>
        <v>8760</v>
      </c>
      <c r="AX98" s="2086">
        <f t="shared" si="92"/>
        <v>8760</v>
      </c>
      <c r="AY98" s="2086">
        <f t="shared" si="92"/>
        <v>8760</v>
      </c>
      <c r="AZ98" s="2086">
        <f t="shared" si="92"/>
        <v>8760</v>
      </c>
      <c r="BA98" s="2086">
        <f t="shared" si="92"/>
        <v>8760</v>
      </c>
      <c r="BB98" s="2086">
        <f t="shared" si="92"/>
        <v>8760</v>
      </c>
      <c r="BC98" s="2086">
        <f t="shared" si="92"/>
        <v>8760</v>
      </c>
      <c r="BD98" s="2086">
        <f t="shared" si="92"/>
        <v>8760</v>
      </c>
      <c r="BE98" s="2086">
        <f t="shared" si="92"/>
        <v>8760</v>
      </c>
      <c r="BF98" s="2086">
        <f t="shared" si="92"/>
        <v>8760</v>
      </c>
      <c r="BG98" s="2086">
        <f t="shared" si="92"/>
        <v>8760</v>
      </c>
      <c r="BH98" s="2086">
        <f t="shared" si="92"/>
        <v>8760</v>
      </c>
      <c r="BI98" s="2086">
        <f t="shared" si="92"/>
        <v>8760</v>
      </c>
      <c r="BJ98" s="2086">
        <f t="shared" si="92"/>
        <v>8760</v>
      </c>
      <c r="BK98" s="2086">
        <f t="shared" si="92"/>
        <v>8760</v>
      </c>
      <c r="BL98" s="2086">
        <f t="shared" si="92"/>
        <v>8760</v>
      </c>
      <c r="BM98" s="2086">
        <f t="shared" si="92"/>
        <v>8760</v>
      </c>
      <c r="BN98" s="2086">
        <f t="shared" si="92"/>
        <v>8760</v>
      </c>
      <c r="BO98" s="2086">
        <f t="shared" si="92"/>
        <v>8760</v>
      </c>
      <c r="BP98" s="2086">
        <f t="shared" si="92"/>
        <v>8760</v>
      </c>
      <c r="BQ98" s="2086">
        <f t="shared" si="92"/>
        <v>8760</v>
      </c>
      <c r="BR98" s="2086">
        <f t="shared" si="92"/>
        <v>8760</v>
      </c>
      <c r="BS98" s="2086">
        <f t="shared" ref="BS98:ED98" si="93">IF(BS96&gt;BS97,BS96,IF(BS97&gt;BS96,BS97))</f>
        <v>8760</v>
      </c>
      <c r="BT98" s="2086">
        <f t="shared" si="93"/>
        <v>8760</v>
      </c>
      <c r="BU98" s="2086">
        <f t="shared" si="93"/>
        <v>8760</v>
      </c>
      <c r="BV98" s="2086">
        <f t="shared" si="93"/>
        <v>8760</v>
      </c>
      <c r="BW98" s="2086">
        <f t="shared" si="93"/>
        <v>8760</v>
      </c>
      <c r="BX98" s="2086">
        <f t="shared" si="93"/>
        <v>8760</v>
      </c>
      <c r="BY98" s="2086">
        <f t="shared" si="93"/>
        <v>8760</v>
      </c>
      <c r="BZ98" s="2086">
        <f t="shared" si="93"/>
        <v>8760</v>
      </c>
      <c r="CA98" s="2086">
        <f t="shared" si="93"/>
        <v>8760</v>
      </c>
      <c r="CB98" s="2086">
        <f t="shared" si="93"/>
        <v>8760</v>
      </c>
      <c r="CC98" s="2086">
        <f t="shared" si="93"/>
        <v>8760</v>
      </c>
      <c r="CD98" s="2086">
        <f t="shared" si="93"/>
        <v>8760</v>
      </c>
      <c r="CE98" s="2086">
        <f t="shared" si="93"/>
        <v>8760</v>
      </c>
      <c r="CF98" s="2086">
        <f t="shared" si="93"/>
        <v>8760</v>
      </c>
      <c r="CG98" s="2086">
        <f t="shared" si="93"/>
        <v>8760</v>
      </c>
      <c r="CH98" s="2086">
        <f t="shared" si="93"/>
        <v>8760</v>
      </c>
      <c r="CI98" s="2086">
        <f t="shared" si="93"/>
        <v>8760</v>
      </c>
      <c r="CJ98" s="2086">
        <f t="shared" si="93"/>
        <v>8760</v>
      </c>
      <c r="CK98" s="2086">
        <f t="shared" si="93"/>
        <v>8760</v>
      </c>
      <c r="CL98" s="2086">
        <f t="shared" si="93"/>
        <v>8760</v>
      </c>
      <c r="CM98" s="2086">
        <f t="shared" si="93"/>
        <v>8760</v>
      </c>
      <c r="CN98" s="2086">
        <f t="shared" si="93"/>
        <v>8760</v>
      </c>
      <c r="CO98" s="2086">
        <f t="shared" si="93"/>
        <v>8760</v>
      </c>
      <c r="CP98" s="2086">
        <f t="shared" si="93"/>
        <v>8760</v>
      </c>
      <c r="CQ98" s="2086">
        <f t="shared" si="93"/>
        <v>8760</v>
      </c>
      <c r="CR98" s="2086">
        <f t="shared" si="93"/>
        <v>8760</v>
      </c>
      <c r="CS98" s="2086">
        <f t="shared" si="93"/>
        <v>8760</v>
      </c>
      <c r="CT98" s="2086">
        <f t="shared" si="93"/>
        <v>8760</v>
      </c>
      <c r="CU98" s="2086">
        <f t="shared" si="93"/>
        <v>8760</v>
      </c>
      <c r="CV98" s="2086">
        <f t="shared" si="93"/>
        <v>8760</v>
      </c>
      <c r="CW98" s="2086">
        <f t="shared" si="93"/>
        <v>8760</v>
      </c>
      <c r="CX98" s="2086">
        <f t="shared" si="93"/>
        <v>8760</v>
      </c>
      <c r="CY98" s="2086">
        <f t="shared" si="93"/>
        <v>8760</v>
      </c>
      <c r="CZ98" s="2086">
        <f t="shared" si="93"/>
        <v>8760</v>
      </c>
      <c r="DA98" s="2086">
        <f t="shared" si="93"/>
        <v>8760</v>
      </c>
      <c r="DB98" s="2086">
        <f t="shared" si="93"/>
        <v>8760</v>
      </c>
      <c r="DC98" s="2086">
        <f t="shared" si="93"/>
        <v>8760</v>
      </c>
      <c r="DD98" s="2086">
        <f t="shared" si="93"/>
        <v>8760</v>
      </c>
      <c r="DE98" s="2086">
        <f t="shared" si="93"/>
        <v>8760</v>
      </c>
      <c r="DF98" s="2086">
        <f t="shared" si="93"/>
        <v>8760</v>
      </c>
      <c r="DG98" s="2086">
        <f t="shared" si="93"/>
        <v>8760</v>
      </c>
      <c r="DH98" s="2086">
        <f t="shared" si="93"/>
        <v>8760</v>
      </c>
      <c r="DI98" s="2086">
        <f t="shared" si="93"/>
        <v>8760</v>
      </c>
      <c r="DJ98" s="2086">
        <f t="shared" si="93"/>
        <v>8760</v>
      </c>
      <c r="DK98" s="2086">
        <f t="shared" si="93"/>
        <v>8760</v>
      </c>
      <c r="DL98" s="2086">
        <f t="shared" si="93"/>
        <v>8760</v>
      </c>
      <c r="DM98" s="2086">
        <f t="shared" si="93"/>
        <v>8760</v>
      </c>
      <c r="DN98" s="2086">
        <f t="shared" si="93"/>
        <v>8760</v>
      </c>
      <c r="DO98" s="2086">
        <f t="shared" si="93"/>
        <v>8760</v>
      </c>
      <c r="DP98" s="2086">
        <f t="shared" si="93"/>
        <v>8760</v>
      </c>
      <c r="DQ98" s="2086">
        <f t="shared" si="93"/>
        <v>8760</v>
      </c>
      <c r="DR98" s="2086">
        <f t="shared" si="93"/>
        <v>8760</v>
      </c>
      <c r="DS98" s="2086">
        <f t="shared" si="93"/>
        <v>8760</v>
      </c>
      <c r="DT98" s="2086">
        <f t="shared" si="93"/>
        <v>8760</v>
      </c>
      <c r="DU98" s="2086">
        <f t="shared" si="93"/>
        <v>8760</v>
      </c>
      <c r="DV98" s="2086">
        <f t="shared" si="93"/>
        <v>8760</v>
      </c>
      <c r="DW98" s="2086">
        <f t="shared" si="93"/>
        <v>8760</v>
      </c>
      <c r="DX98" s="2086">
        <f t="shared" si="93"/>
        <v>8760</v>
      </c>
      <c r="DY98" s="2086">
        <f t="shared" si="93"/>
        <v>8760</v>
      </c>
      <c r="DZ98" s="2086">
        <f t="shared" si="93"/>
        <v>8760</v>
      </c>
      <c r="EA98" s="2086">
        <f t="shared" si="93"/>
        <v>8760</v>
      </c>
      <c r="EB98" s="2086">
        <f t="shared" si="93"/>
        <v>8760</v>
      </c>
      <c r="EC98" s="2086">
        <f t="shared" si="93"/>
        <v>8760</v>
      </c>
      <c r="ED98" s="2086">
        <f t="shared" si="93"/>
        <v>8760</v>
      </c>
      <c r="EE98" s="2086">
        <f t="shared" ref="EE98:GP98" si="94">IF(EE96&gt;EE97,EE96,IF(EE97&gt;EE96,EE97))</f>
        <v>8760</v>
      </c>
      <c r="EF98" s="2086">
        <f t="shared" si="94"/>
        <v>8760</v>
      </c>
      <c r="EG98" s="2086">
        <f t="shared" si="94"/>
        <v>8760</v>
      </c>
      <c r="EH98" s="2086">
        <f t="shared" si="94"/>
        <v>8760</v>
      </c>
      <c r="EI98" s="2086">
        <f t="shared" si="94"/>
        <v>8760</v>
      </c>
      <c r="EJ98" s="2086">
        <f t="shared" si="94"/>
        <v>8760</v>
      </c>
      <c r="EK98" s="2086">
        <f t="shared" si="94"/>
        <v>8760</v>
      </c>
      <c r="EL98" s="2086">
        <f t="shared" si="94"/>
        <v>8760</v>
      </c>
      <c r="EM98" s="2086">
        <f t="shared" si="94"/>
        <v>8760</v>
      </c>
      <c r="EN98" s="2086">
        <f t="shared" si="94"/>
        <v>8760</v>
      </c>
      <c r="EO98" s="2086">
        <f t="shared" si="94"/>
        <v>8760</v>
      </c>
      <c r="EP98" s="2086">
        <f t="shared" si="94"/>
        <v>8760</v>
      </c>
      <c r="EQ98" s="2086">
        <f t="shared" si="94"/>
        <v>8760</v>
      </c>
      <c r="ER98" s="2086">
        <f t="shared" si="94"/>
        <v>8760</v>
      </c>
      <c r="ES98" s="2086">
        <f t="shared" si="94"/>
        <v>8760</v>
      </c>
      <c r="ET98" s="2086">
        <f t="shared" si="94"/>
        <v>8760</v>
      </c>
      <c r="EU98" s="2086">
        <f t="shared" si="94"/>
        <v>8760</v>
      </c>
      <c r="EV98" s="2086">
        <f t="shared" si="94"/>
        <v>8760</v>
      </c>
      <c r="EW98" s="2086">
        <f t="shared" si="94"/>
        <v>8760</v>
      </c>
      <c r="EX98" s="2086">
        <f t="shared" si="94"/>
        <v>8760</v>
      </c>
      <c r="EY98" s="2086">
        <f t="shared" si="94"/>
        <v>8760</v>
      </c>
      <c r="EZ98" s="2086">
        <f t="shared" si="94"/>
        <v>8760</v>
      </c>
      <c r="FA98" s="2086">
        <f t="shared" si="94"/>
        <v>8760</v>
      </c>
      <c r="FB98" s="2086">
        <f t="shared" si="94"/>
        <v>8760</v>
      </c>
      <c r="FC98" s="2086">
        <f t="shared" si="94"/>
        <v>8760</v>
      </c>
      <c r="FD98" s="2086">
        <f t="shared" si="94"/>
        <v>8760</v>
      </c>
      <c r="FE98" s="2086">
        <f t="shared" si="94"/>
        <v>8760</v>
      </c>
      <c r="FF98" s="2086">
        <f t="shared" si="94"/>
        <v>8760</v>
      </c>
      <c r="FG98" s="2086">
        <f t="shared" si="94"/>
        <v>8760</v>
      </c>
      <c r="FH98" s="2086">
        <f t="shared" si="94"/>
        <v>8760</v>
      </c>
      <c r="FI98" s="2086">
        <f t="shared" si="94"/>
        <v>8760</v>
      </c>
      <c r="FJ98" s="2086">
        <f t="shared" si="94"/>
        <v>8760</v>
      </c>
      <c r="FK98" s="2086">
        <f t="shared" si="94"/>
        <v>8760</v>
      </c>
      <c r="FL98" s="2086">
        <f t="shared" si="94"/>
        <v>8760</v>
      </c>
      <c r="FM98" s="2086">
        <f t="shared" si="94"/>
        <v>8760</v>
      </c>
      <c r="FN98" s="2086">
        <f t="shared" si="94"/>
        <v>8760</v>
      </c>
      <c r="FO98" s="2086">
        <f t="shared" si="94"/>
        <v>8760</v>
      </c>
      <c r="FP98" s="2086">
        <f t="shared" si="94"/>
        <v>8760</v>
      </c>
      <c r="FQ98" s="2086">
        <f t="shared" si="94"/>
        <v>8760</v>
      </c>
      <c r="FR98" s="2086">
        <f t="shared" si="94"/>
        <v>8760</v>
      </c>
      <c r="FS98" s="2086">
        <f t="shared" si="94"/>
        <v>8760</v>
      </c>
      <c r="FT98" s="2086">
        <f t="shared" si="94"/>
        <v>8760</v>
      </c>
      <c r="FU98" s="2086">
        <f t="shared" si="94"/>
        <v>8760</v>
      </c>
      <c r="FV98" s="2086">
        <f t="shared" si="94"/>
        <v>8760</v>
      </c>
      <c r="FW98" s="2086">
        <f t="shared" si="94"/>
        <v>8760</v>
      </c>
      <c r="FX98" s="2086">
        <f t="shared" si="94"/>
        <v>8760</v>
      </c>
      <c r="FY98" s="2086">
        <f t="shared" si="94"/>
        <v>8760</v>
      </c>
      <c r="FZ98" s="2086">
        <f t="shared" si="94"/>
        <v>8760</v>
      </c>
      <c r="GA98" s="2086">
        <f t="shared" si="94"/>
        <v>8760</v>
      </c>
      <c r="GB98" s="2086">
        <f t="shared" si="94"/>
        <v>8760</v>
      </c>
      <c r="GC98" s="2086">
        <f t="shared" si="94"/>
        <v>8760</v>
      </c>
      <c r="GD98" s="2086">
        <f t="shared" si="94"/>
        <v>8760</v>
      </c>
      <c r="GE98" s="2086">
        <f t="shared" si="94"/>
        <v>8760</v>
      </c>
      <c r="GF98" s="2086">
        <f t="shared" si="94"/>
        <v>8760</v>
      </c>
      <c r="GG98" s="2086">
        <f t="shared" si="94"/>
        <v>8760</v>
      </c>
      <c r="GH98" s="2086">
        <f t="shared" si="94"/>
        <v>8760</v>
      </c>
      <c r="GI98" s="2086">
        <f t="shared" si="94"/>
        <v>8760</v>
      </c>
      <c r="GJ98" s="2086">
        <f t="shared" si="94"/>
        <v>8760</v>
      </c>
      <c r="GK98" s="2086">
        <f t="shared" si="94"/>
        <v>8760</v>
      </c>
      <c r="GL98" s="2086">
        <f t="shared" si="94"/>
        <v>8760</v>
      </c>
      <c r="GM98" s="2086">
        <f t="shared" si="94"/>
        <v>8760</v>
      </c>
      <c r="GN98" s="2086">
        <f t="shared" si="94"/>
        <v>8760</v>
      </c>
      <c r="GO98" s="2086">
        <f t="shared" si="94"/>
        <v>8760</v>
      </c>
      <c r="GP98" s="2086">
        <f t="shared" si="94"/>
        <v>8760</v>
      </c>
      <c r="GQ98" s="2086">
        <f t="shared" ref="GQ98:JB98" si="95">IF(GQ96&gt;GQ97,GQ96,IF(GQ97&gt;GQ96,GQ97))</f>
        <v>8760</v>
      </c>
      <c r="GR98" s="2086">
        <f t="shared" si="95"/>
        <v>8760</v>
      </c>
      <c r="GS98" s="2086">
        <f t="shared" si="95"/>
        <v>8760</v>
      </c>
      <c r="GT98" s="2086">
        <f t="shared" si="95"/>
        <v>8760</v>
      </c>
      <c r="GU98" s="2086">
        <f t="shared" si="95"/>
        <v>8760</v>
      </c>
      <c r="GV98" s="2086">
        <f t="shared" si="95"/>
        <v>8760</v>
      </c>
      <c r="GW98" s="2086">
        <f t="shared" si="95"/>
        <v>8760</v>
      </c>
      <c r="GX98" s="2086">
        <f t="shared" si="95"/>
        <v>8760</v>
      </c>
      <c r="GY98" s="2086">
        <f t="shared" si="95"/>
        <v>8760</v>
      </c>
      <c r="GZ98" s="2086">
        <f t="shared" si="95"/>
        <v>8760</v>
      </c>
      <c r="HA98" s="2086">
        <f t="shared" si="95"/>
        <v>8760</v>
      </c>
      <c r="HB98" s="2086">
        <f t="shared" si="95"/>
        <v>8760</v>
      </c>
      <c r="HC98" s="2086">
        <f t="shared" si="95"/>
        <v>8760</v>
      </c>
      <c r="HD98" s="2086">
        <f t="shared" si="95"/>
        <v>8760</v>
      </c>
      <c r="HE98" s="2086">
        <f t="shared" si="95"/>
        <v>8760</v>
      </c>
      <c r="HF98" s="2086">
        <f t="shared" si="95"/>
        <v>8760</v>
      </c>
      <c r="HG98" s="2086">
        <f t="shared" si="95"/>
        <v>8760</v>
      </c>
      <c r="HH98" s="2086">
        <f t="shared" si="95"/>
        <v>8760</v>
      </c>
      <c r="HI98" s="2086">
        <f t="shared" si="95"/>
        <v>8760</v>
      </c>
      <c r="HJ98" s="2086">
        <f t="shared" si="95"/>
        <v>8760</v>
      </c>
      <c r="HK98" s="2086">
        <f t="shared" si="95"/>
        <v>8760</v>
      </c>
      <c r="HL98" s="2086">
        <f t="shared" si="95"/>
        <v>8760</v>
      </c>
      <c r="HM98" s="2086">
        <f t="shared" si="95"/>
        <v>8760</v>
      </c>
      <c r="HN98" s="2086">
        <f t="shared" si="95"/>
        <v>8760</v>
      </c>
      <c r="HO98" s="2086">
        <f t="shared" si="95"/>
        <v>8760</v>
      </c>
      <c r="HP98" s="2086">
        <f t="shared" si="95"/>
        <v>8760</v>
      </c>
      <c r="HQ98" s="2086">
        <f t="shared" si="95"/>
        <v>8760</v>
      </c>
      <c r="HR98" s="2086">
        <f t="shared" si="95"/>
        <v>8760</v>
      </c>
      <c r="HS98" s="2086">
        <f t="shared" si="95"/>
        <v>8760</v>
      </c>
      <c r="HT98" s="2086">
        <f t="shared" si="95"/>
        <v>8760</v>
      </c>
      <c r="HU98" s="2086">
        <f t="shared" si="95"/>
        <v>8760</v>
      </c>
      <c r="HV98" s="2086">
        <f t="shared" si="95"/>
        <v>8760</v>
      </c>
      <c r="HW98" s="2086">
        <f t="shared" si="95"/>
        <v>8760</v>
      </c>
      <c r="HX98" s="2086">
        <f t="shared" si="95"/>
        <v>8760</v>
      </c>
      <c r="HY98" s="2086">
        <f t="shared" si="95"/>
        <v>8760</v>
      </c>
      <c r="HZ98" s="2086">
        <f t="shared" si="95"/>
        <v>8760</v>
      </c>
      <c r="IA98" s="2086">
        <f t="shared" si="95"/>
        <v>8760</v>
      </c>
      <c r="IB98" s="2086">
        <f t="shared" si="95"/>
        <v>8760</v>
      </c>
      <c r="IC98" s="2086">
        <f t="shared" si="95"/>
        <v>8760</v>
      </c>
      <c r="ID98" s="2086">
        <f t="shared" si="95"/>
        <v>8760</v>
      </c>
      <c r="IE98" s="2086">
        <f t="shared" si="95"/>
        <v>8760</v>
      </c>
      <c r="IF98" s="2086">
        <f t="shared" si="95"/>
        <v>8760</v>
      </c>
      <c r="IG98" s="2086">
        <f t="shared" si="95"/>
        <v>8760</v>
      </c>
      <c r="IH98" s="2086">
        <f t="shared" si="95"/>
        <v>8760</v>
      </c>
      <c r="II98" s="2086">
        <f t="shared" si="95"/>
        <v>8760</v>
      </c>
      <c r="IJ98" s="2086">
        <f t="shared" si="95"/>
        <v>8760</v>
      </c>
      <c r="IK98" s="2086">
        <f t="shared" si="95"/>
        <v>8760</v>
      </c>
      <c r="IL98" s="2086">
        <f t="shared" si="95"/>
        <v>8760</v>
      </c>
      <c r="IM98" s="2086">
        <f t="shared" si="95"/>
        <v>8760</v>
      </c>
      <c r="IN98" s="2086">
        <f t="shared" si="95"/>
        <v>8760</v>
      </c>
      <c r="IO98" s="2086">
        <f t="shared" si="95"/>
        <v>8760</v>
      </c>
      <c r="IP98" s="2086">
        <f t="shared" si="95"/>
        <v>8760</v>
      </c>
      <c r="IQ98" s="2086">
        <f t="shared" si="95"/>
        <v>8760</v>
      </c>
      <c r="IR98" s="2086">
        <f t="shared" si="95"/>
        <v>8760</v>
      </c>
      <c r="IS98" s="2086">
        <f t="shared" si="95"/>
        <v>8760</v>
      </c>
      <c r="IT98" s="2086">
        <f t="shared" si="95"/>
        <v>8760</v>
      </c>
      <c r="IU98" s="2086">
        <f t="shared" si="95"/>
        <v>8760</v>
      </c>
      <c r="IV98" s="2086">
        <f t="shared" si="95"/>
        <v>8760</v>
      </c>
      <c r="IW98" s="2086">
        <f t="shared" si="95"/>
        <v>8760</v>
      </c>
      <c r="IX98" s="2086">
        <f t="shared" si="95"/>
        <v>8760</v>
      </c>
      <c r="IY98" s="2086">
        <f t="shared" si="95"/>
        <v>8760</v>
      </c>
      <c r="IZ98" s="2086">
        <f t="shared" si="95"/>
        <v>8760</v>
      </c>
      <c r="JA98" s="2086">
        <f t="shared" si="95"/>
        <v>8760</v>
      </c>
      <c r="JB98" s="2086">
        <f t="shared" si="95"/>
        <v>8760</v>
      </c>
      <c r="JC98" s="2086">
        <f t="shared" ref="JC98:LN98" si="96">IF(JC96&gt;JC97,JC96,IF(JC97&gt;JC96,JC97))</f>
        <v>8760</v>
      </c>
      <c r="JD98" s="2086">
        <f t="shared" si="96"/>
        <v>8760</v>
      </c>
      <c r="JE98" s="2086">
        <f t="shared" si="96"/>
        <v>8760</v>
      </c>
      <c r="JF98" s="2086">
        <f t="shared" si="96"/>
        <v>8760</v>
      </c>
      <c r="JG98" s="2086">
        <f t="shared" si="96"/>
        <v>8760</v>
      </c>
      <c r="JH98" s="2086">
        <f t="shared" si="96"/>
        <v>8760</v>
      </c>
      <c r="JI98" s="2086">
        <f t="shared" si="96"/>
        <v>8760</v>
      </c>
      <c r="JJ98" s="2086">
        <f t="shared" si="96"/>
        <v>8760</v>
      </c>
      <c r="JK98" s="2086">
        <f t="shared" si="96"/>
        <v>8760</v>
      </c>
      <c r="JL98" s="2086">
        <f t="shared" si="96"/>
        <v>8760</v>
      </c>
      <c r="JM98" s="2086">
        <f t="shared" si="96"/>
        <v>8760</v>
      </c>
      <c r="JN98" s="2086">
        <f t="shared" si="96"/>
        <v>8760</v>
      </c>
      <c r="JO98" s="2086">
        <f t="shared" si="96"/>
        <v>8760</v>
      </c>
      <c r="JP98" s="2086">
        <f t="shared" si="96"/>
        <v>8760</v>
      </c>
      <c r="JQ98" s="2086">
        <f t="shared" si="96"/>
        <v>8760</v>
      </c>
      <c r="JR98" s="2086">
        <f t="shared" si="96"/>
        <v>8760</v>
      </c>
      <c r="JS98" s="2086">
        <f t="shared" si="96"/>
        <v>8760</v>
      </c>
      <c r="JT98" s="2086">
        <f t="shared" si="96"/>
        <v>8760</v>
      </c>
      <c r="JU98" s="2086">
        <f t="shared" si="96"/>
        <v>8760</v>
      </c>
      <c r="JV98" s="2086">
        <f t="shared" si="96"/>
        <v>8760</v>
      </c>
      <c r="JW98" s="2086">
        <f t="shared" si="96"/>
        <v>8760</v>
      </c>
      <c r="JX98" s="2086">
        <f t="shared" si="96"/>
        <v>8760</v>
      </c>
      <c r="JY98" s="2086">
        <f t="shared" si="96"/>
        <v>8760</v>
      </c>
      <c r="JZ98" s="2086">
        <f t="shared" si="96"/>
        <v>8760</v>
      </c>
      <c r="KA98" s="2086">
        <f t="shared" si="96"/>
        <v>8760</v>
      </c>
      <c r="KB98" s="2086">
        <f t="shared" si="96"/>
        <v>8760</v>
      </c>
      <c r="KC98" s="2086">
        <f t="shared" si="96"/>
        <v>8760</v>
      </c>
      <c r="KD98" s="2086">
        <f t="shared" si="96"/>
        <v>8760</v>
      </c>
      <c r="KE98" s="2086">
        <f t="shared" si="96"/>
        <v>8760</v>
      </c>
      <c r="KF98" s="2086">
        <f t="shared" si="96"/>
        <v>8760</v>
      </c>
      <c r="KG98" s="2086">
        <f t="shared" si="96"/>
        <v>8760</v>
      </c>
      <c r="KH98" s="2086">
        <f t="shared" si="96"/>
        <v>8760</v>
      </c>
      <c r="KI98" s="2086">
        <f t="shared" si="96"/>
        <v>8760</v>
      </c>
      <c r="KJ98" s="2086">
        <f t="shared" si="96"/>
        <v>8760</v>
      </c>
      <c r="KK98" s="2086">
        <f t="shared" si="96"/>
        <v>8760</v>
      </c>
      <c r="KL98" s="2086">
        <f t="shared" si="96"/>
        <v>8760</v>
      </c>
      <c r="KM98" s="2086">
        <f t="shared" si="96"/>
        <v>8760</v>
      </c>
      <c r="KN98" s="2086">
        <f t="shared" si="96"/>
        <v>8760</v>
      </c>
      <c r="KO98" s="2086">
        <f t="shared" si="96"/>
        <v>8760</v>
      </c>
      <c r="KP98" s="2086">
        <f t="shared" si="96"/>
        <v>8760</v>
      </c>
      <c r="KQ98" s="2086">
        <f t="shared" si="96"/>
        <v>8760</v>
      </c>
      <c r="KR98" s="2086">
        <f t="shared" si="96"/>
        <v>8760</v>
      </c>
      <c r="KS98" s="2086">
        <f t="shared" si="96"/>
        <v>8760</v>
      </c>
      <c r="KT98" s="2086">
        <f t="shared" si="96"/>
        <v>8760</v>
      </c>
      <c r="KU98" s="2086">
        <f t="shared" si="96"/>
        <v>8760</v>
      </c>
      <c r="KV98" s="2086">
        <f t="shared" si="96"/>
        <v>8760</v>
      </c>
      <c r="KW98" s="2086">
        <f t="shared" si="96"/>
        <v>8760</v>
      </c>
      <c r="KX98" s="2086">
        <f t="shared" si="96"/>
        <v>8760</v>
      </c>
      <c r="KY98" s="2086">
        <f t="shared" si="96"/>
        <v>8760</v>
      </c>
      <c r="KZ98" s="2086">
        <f t="shared" si="96"/>
        <v>8760</v>
      </c>
      <c r="LA98" s="2086">
        <f t="shared" si="96"/>
        <v>8760</v>
      </c>
      <c r="LB98" s="2086">
        <f t="shared" si="96"/>
        <v>8760</v>
      </c>
      <c r="LC98" s="2086">
        <f t="shared" si="96"/>
        <v>8760</v>
      </c>
      <c r="LD98" s="2086">
        <f t="shared" si="96"/>
        <v>8760</v>
      </c>
      <c r="LE98" s="2086">
        <f t="shared" si="96"/>
        <v>8760</v>
      </c>
      <c r="LF98" s="2086">
        <f t="shared" si="96"/>
        <v>8760</v>
      </c>
      <c r="LG98" s="2086">
        <f t="shared" si="96"/>
        <v>8760</v>
      </c>
      <c r="LH98" s="2086">
        <f t="shared" si="96"/>
        <v>8760</v>
      </c>
      <c r="LI98" s="2086">
        <f t="shared" si="96"/>
        <v>8760</v>
      </c>
      <c r="LJ98" s="2086">
        <f t="shared" si="96"/>
        <v>8760</v>
      </c>
      <c r="LK98" s="2086">
        <f t="shared" si="96"/>
        <v>8760</v>
      </c>
      <c r="LL98" s="2086">
        <f t="shared" si="96"/>
        <v>8760</v>
      </c>
      <c r="LM98" s="2086">
        <f t="shared" si="96"/>
        <v>8760</v>
      </c>
      <c r="LN98" s="2086">
        <f t="shared" si="96"/>
        <v>8760</v>
      </c>
      <c r="LO98" s="2086">
        <f t="shared" ref="LO98:NZ98" si="97">IF(LO96&gt;LO97,LO96,IF(LO97&gt;LO96,LO97))</f>
        <v>8760</v>
      </c>
      <c r="LP98" s="2086">
        <f t="shared" si="97"/>
        <v>8760</v>
      </c>
      <c r="LQ98" s="2086">
        <f t="shared" si="97"/>
        <v>8760</v>
      </c>
      <c r="LR98" s="2086">
        <f t="shared" si="97"/>
        <v>8760</v>
      </c>
      <c r="LS98" s="2086">
        <f t="shared" si="97"/>
        <v>8760</v>
      </c>
      <c r="LT98" s="2086">
        <f t="shared" si="97"/>
        <v>8760</v>
      </c>
      <c r="LU98" s="2086">
        <f t="shared" si="97"/>
        <v>8760</v>
      </c>
      <c r="LV98" s="2086">
        <f t="shared" si="97"/>
        <v>8760</v>
      </c>
      <c r="LW98" s="2086">
        <f t="shared" si="97"/>
        <v>8760</v>
      </c>
      <c r="LX98" s="2086">
        <f t="shared" si="97"/>
        <v>8760</v>
      </c>
      <c r="LY98" s="2086">
        <f t="shared" si="97"/>
        <v>8760</v>
      </c>
      <c r="LZ98" s="2086">
        <f t="shared" si="97"/>
        <v>8760</v>
      </c>
      <c r="MA98" s="2086">
        <f t="shared" si="97"/>
        <v>8760</v>
      </c>
      <c r="MB98" s="2086">
        <f t="shared" si="97"/>
        <v>8760</v>
      </c>
      <c r="MC98" s="2086">
        <f t="shared" si="97"/>
        <v>8760</v>
      </c>
      <c r="MD98" s="2086">
        <f t="shared" si="97"/>
        <v>8760</v>
      </c>
      <c r="ME98" s="2086">
        <f t="shared" si="97"/>
        <v>8760</v>
      </c>
      <c r="MF98" s="2086">
        <f t="shared" si="97"/>
        <v>8760</v>
      </c>
      <c r="MG98" s="2086">
        <f t="shared" si="97"/>
        <v>8760</v>
      </c>
      <c r="MH98" s="2086">
        <f t="shared" si="97"/>
        <v>8760</v>
      </c>
      <c r="MI98" s="2086">
        <f t="shared" si="97"/>
        <v>8760</v>
      </c>
      <c r="MJ98" s="2086">
        <f t="shared" si="97"/>
        <v>8760</v>
      </c>
      <c r="MK98" s="2086">
        <f t="shared" si="97"/>
        <v>8760</v>
      </c>
      <c r="ML98" s="2086">
        <f t="shared" si="97"/>
        <v>8760</v>
      </c>
      <c r="MM98" s="2086">
        <f t="shared" si="97"/>
        <v>8760</v>
      </c>
      <c r="MN98" s="2086">
        <f t="shared" si="97"/>
        <v>8760</v>
      </c>
      <c r="MO98" s="2086">
        <f t="shared" si="97"/>
        <v>8760</v>
      </c>
      <c r="MP98" s="2086">
        <f t="shared" si="97"/>
        <v>8760</v>
      </c>
      <c r="MQ98" s="2086">
        <f t="shared" si="97"/>
        <v>8760</v>
      </c>
      <c r="MR98" s="2086">
        <f t="shared" si="97"/>
        <v>8760</v>
      </c>
      <c r="MS98" s="2086">
        <f t="shared" si="97"/>
        <v>8760</v>
      </c>
      <c r="MT98" s="2086">
        <f t="shared" si="97"/>
        <v>8760</v>
      </c>
      <c r="MU98" s="2086">
        <f t="shared" si="97"/>
        <v>8760</v>
      </c>
      <c r="MV98" s="2086">
        <f t="shared" si="97"/>
        <v>8760</v>
      </c>
      <c r="MW98" s="2086">
        <f t="shared" si="97"/>
        <v>8760</v>
      </c>
      <c r="MX98" s="2086">
        <f t="shared" si="97"/>
        <v>8760</v>
      </c>
      <c r="MY98" s="2086">
        <f t="shared" si="97"/>
        <v>8760</v>
      </c>
      <c r="MZ98" s="2086">
        <f t="shared" si="97"/>
        <v>8760</v>
      </c>
      <c r="NA98" s="2086">
        <f t="shared" si="97"/>
        <v>8760</v>
      </c>
      <c r="NB98" s="2086">
        <f t="shared" si="97"/>
        <v>8760</v>
      </c>
      <c r="NC98" s="2086">
        <f t="shared" si="97"/>
        <v>8760</v>
      </c>
      <c r="ND98" s="2086">
        <f t="shared" si="97"/>
        <v>8760</v>
      </c>
      <c r="NE98" s="2086">
        <f t="shared" si="97"/>
        <v>8760</v>
      </c>
      <c r="NF98" s="2086">
        <f t="shared" si="97"/>
        <v>8760</v>
      </c>
      <c r="NG98" s="2086">
        <f t="shared" si="97"/>
        <v>8760</v>
      </c>
      <c r="NH98" s="2086">
        <f t="shared" si="97"/>
        <v>8760</v>
      </c>
      <c r="NI98" s="2086">
        <f t="shared" si="97"/>
        <v>8760</v>
      </c>
      <c r="NJ98" s="2086">
        <f t="shared" si="97"/>
        <v>8760</v>
      </c>
      <c r="NK98" s="2086">
        <f t="shared" si="97"/>
        <v>8760</v>
      </c>
      <c r="NL98" s="2086">
        <f t="shared" si="97"/>
        <v>8760</v>
      </c>
      <c r="NM98" s="2086">
        <f t="shared" si="97"/>
        <v>8760</v>
      </c>
      <c r="NN98" s="2086">
        <f t="shared" si="97"/>
        <v>8760</v>
      </c>
      <c r="NO98" s="2086">
        <f t="shared" si="97"/>
        <v>8760</v>
      </c>
      <c r="NP98" s="2086">
        <f t="shared" si="97"/>
        <v>8760</v>
      </c>
      <c r="NQ98" s="2086">
        <f t="shared" si="97"/>
        <v>8760</v>
      </c>
      <c r="NR98" s="2086">
        <f t="shared" si="97"/>
        <v>8760</v>
      </c>
      <c r="NS98" s="2086">
        <f t="shared" si="97"/>
        <v>8760</v>
      </c>
      <c r="NT98" s="2086">
        <f t="shared" si="97"/>
        <v>8760</v>
      </c>
      <c r="NU98" s="2086">
        <f t="shared" si="97"/>
        <v>8760</v>
      </c>
      <c r="NV98" s="2086">
        <f t="shared" si="97"/>
        <v>8760</v>
      </c>
      <c r="NW98" s="2086">
        <f t="shared" si="97"/>
        <v>8760</v>
      </c>
      <c r="NX98" s="2086">
        <f t="shared" si="97"/>
        <v>8760</v>
      </c>
      <c r="NY98" s="2086">
        <f t="shared" si="97"/>
        <v>8760</v>
      </c>
      <c r="NZ98" s="2086">
        <f t="shared" si="97"/>
        <v>8760</v>
      </c>
      <c r="OA98" s="2086">
        <f t="shared" ref="OA98:QL98" si="98">IF(OA96&gt;OA97,OA96,IF(OA97&gt;OA96,OA97))</f>
        <v>8760</v>
      </c>
      <c r="OB98" s="2086">
        <f t="shared" si="98"/>
        <v>8760</v>
      </c>
      <c r="OC98" s="2086">
        <f t="shared" si="98"/>
        <v>8760</v>
      </c>
      <c r="OD98" s="2086">
        <f t="shared" si="98"/>
        <v>8760</v>
      </c>
      <c r="OE98" s="2086">
        <f t="shared" si="98"/>
        <v>8760</v>
      </c>
      <c r="OF98" s="2086">
        <f t="shared" si="98"/>
        <v>8760</v>
      </c>
      <c r="OG98" s="2086">
        <f t="shared" si="98"/>
        <v>8760</v>
      </c>
      <c r="OH98" s="2086">
        <f t="shared" si="98"/>
        <v>8760</v>
      </c>
      <c r="OI98" s="2086">
        <f t="shared" si="98"/>
        <v>8760</v>
      </c>
      <c r="OJ98" s="2086">
        <f t="shared" si="98"/>
        <v>8760</v>
      </c>
      <c r="OK98" s="2086">
        <f t="shared" si="98"/>
        <v>8760</v>
      </c>
      <c r="OL98" s="2086">
        <f t="shared" si="98"/>
        <v>8760</v>
      </c>
      <c r="OM98" s="2086">
        <f t="shared" si="98"/>
        <v>8760</v>
      </c>
      <c r="ON98" s="2086">
        <f t="shared" si="98"/>
        <v>8760</v>
      </c>
      <c r="OO98" s="2086">
        <f t="shared" si="98"/>
        <v>8760</v>
      </c>
      <c r="OP98" s="2086">
        <f t="shared" si="98"/>
        <v>8760</v>
      </c>
      <c r="OQ98" s="2086">
        <f t="shared" si="98"/>
        <v>8760</v>
      </c>
      <c r="OR98" s="2086">
        <f t="shared" si="98"/>
        <v>8760</v>
      </c>
      <c r="OS98" s="2086">
        <f t="shared" si="98"/>
        <v>8760</v>
      </c>
      <c r="OT98" s="2086">
        <f t="shared" si="98"/>
        <v>8760</v>
      </c>
      <c r="OU98" s="2086">
        <f t="shared" si="98"/>
        <v>8760</v>
      </c>
      <c r="OV98" s="2086">
        <f t="shared" si="98"/>
        <v>8760</v>
      </c>
      <c r="OW98" s="2086">
        <f t="shared" si="98"/>
        <v>8760</v>
      </c>
      <c r="OX98" s="2086">
        <f t="shared" si="98"/>
        <v>8760</v>
      </c>
      <c r="OY98" s="2086">
        <f t="shared" si="98"/>
        <v>8760</v>
      </c>
      <c r="OZ98" s="2086">
        <f t="shared" si="98"/>
        <v>8760</v>
      </c>
      <c r="PA98" s="2086">
        <f t="shared" si="98"/>
        <v>8760</v>
      </c>
      <c r="PB98" s="2086">
        <f t="shared" si="98"/>
        <v>8760</v>
      </c>
      <c r="PC98" s="2086">
        <f t="shared" si="98"/>
        <v>8760</v>
      </c>
      <c r="PD98" s="2086">
        <f t="shared" si="98"/>
        <v>8760</v>
      </c>
      <c r="PE98" s="2086">
        <f t="shared" si="98"/>
        <v>8760</v>
      </c>
      <c r="PF98" s="2086">
        <f t="shared" si="98"/>
        <v>8760</v>
      </c>
      <c r="PG98" s="2086">
        <f t="shared" si="98"/>
        <v>8760</v>
      </c>
      <c r="PH98" s="2086">
        <f t="shared" si="98"/>
        <v>8760</v>
      </c>
      <c r="PI98" s="2086">
        <f t="shared" si="98"/>
        <v>8760</v>
      </c>
      <c r="PJ98" s="2086">
        <f t="shared" si="98"/>
        <v>8760</v>
      </c>
      <c r="PK98" s="2086">
        <f t="shared" si="98"/>
        <v>8760</v>
      </c>
      <c r="PL98" s="2086">
        <f t="shared" si="98"/>
        <v>8760</v>
      </c>
      <c r="PM98" s="2086">
        <f t="shared" si="98"/>
        <v>8760</v>
      </c>
      <c r="PN98" s="2086">
        <f t="shared" si="98"/>
        <v>8760</v>
      </c>
      <c r="PO98" s="2086">
        <f t="shared" si="98"/>
        <v>8760</v>
      </c>
      <c r="PP98" s="2086">
        <f t="shared" si="98"/>
        <v>8760</v>
      </c>
      <c r="PQ98" s="2086">
        <f t="shared" si="98"/>
        <v>8760</v>
      </c>
      <c r="PR98" s="2086">
        <f t="shared" si="98"/>
        <v>8760</v>
      </c>
      <c r="PS98" s="2086">
        <f t="shared" si="98"/>
        <v>8760</v>
      </c>
      <c r="PT98" s="2086">
        <f t="shared" si="98"/>
        <v>8760</v>
      </c>
      <c r="PU98" s="2086">
        <f t="shared" si="98"/>
        <v>8760</v>
      </c>
      <c r="PV98" s="2086">
        <f t="shared" si="98"/>
        <v>8760</v>
      </c>
      <c r="PW98" s="2086">
        <f t="shared" si="98"/>
        <v>8760</v>
      </c>
      <c r="PX98" s="2086">
        <f t="shared" si="98"/>
        <v>8760</v>
      </c>
      <c r="PY98" s="2086">
        <f t="shared" si="98"/>
        <v>8760</v>
      </c>
      <c r="PZ98" s="2086">
        <f t="shared" si="98"/>
        <v>8760</v>
      </c>
      <c r="QA98" s="2086">
        <f t="shared" si="98"/>
        <v>8760</v>
      </c>
      <c r="QB98" s="2086">
        <f t="shared" si="98"/>
        <v>8760</v>
      </c>
      <c r="QC98" s="2086">
        <f t="shared" si="98"/>
        <v>8760</v>
      </c>
      <c r="QD98" s="2086">
        <f t="shared" si="98"/>
        <v>8760</v>
      </c>
      <c r="QE98" s="2086">
        <f t="shared" si="98"/>
        <v>8760</v>
      </c>
      <c r="QF98" s="2086">
        <f t="shared" si="98"/>
        <v>8760</v>
      </c>
      <c r="QG98" s="2086">
        <f t="shared" si="98"/>
        <v>8760</v>
      </c>
      <c r="QH98" s="2086">
        <f t="shared" si="98"/>
        <v>8760</v>
      </c>
      <c r="QI98" s="2086">
        <f t="shared" si="98"/>
        <v>8760</v>
      </c>
      <c r="QJ98" s="2086">
        <f t="shared" si="98"/>
        <v>8760</v>
      </c>
      <c r="QK98" s="2086">
        <f t="shared" si="98"/>
        <v>8760</v>
      </c>
      <c r="QL98" s="2086">
        <f t="shared" si="98"/>
        <v>8760</v>
      </c>
      <c r="QM98" s="2086">
        <f t="shared" ref="QM98:SX98" si="99">IF(QM96&gt;QM97,QM96,IF(QM97&gt;QM96,QM97))</f>
        <v>8760</v>
      </c>
      <c r="QN98" s="2086">
        <f t="shared" si="99"/>
        <v>8760</v>
      </c>
      <c r="QO98" s="2086">
        <f t="shared" si="99"/>
        <v>8760</v>
      </c>
      <c r="QP98" s="2086">
        <f t="shared" si="99"/>
        <v>8760</v>
      </c>
      <c r="QQ98" s="2086">
        <f t="shared" si="99"/>
        <v>8760</v>
      </c>
      <c r="QR98" s="2086">
        <f t="shared" si="99"/>
        <v>8760</v>
      </c>
      <c r="QS98" s="2086">
        <f t="shared" si="99"/>
        <v>8760</v>
      </c>
      <c r="QT98" s="2086">
        <f t="shared" si="99"/>
        <v>8760</v>
      </c>
      <c r="QU98" s="2086">
        <f t="shared" si="99"/>
        <v>8760</v>
      </c>
      <c r="QV98" s="2086">
        <f t="shared" si="99"/>
        <v>8760</v>
      </c>
      <c r="QW98" s="2086">
        <f t="shared" si="99"/>
        <v>8760</v>
      </c>
      <c r="QX98" s="2086">
        <f t="shared" si="99"/>
        <v>8760</v>
      </c>
      <c r="QY98" s="2086">
        <f t="shared" si="99"/>
        <v>8760</v>
      </c>
      <c r="QZ98" s="2086">
        <f t="shared" si="99"/>
        <v>8760</v>
      </c>
      <c r="RA98" s="2086">
        <f t="shared" si="99"/>
        <v>8760</v>
      </c>
      <c r="RB98" s="2086">
        <f t="shared" si="99"/>
        <v>8760</v>
      </c>
      <c r="RC98" s="2086">
        <f t="shared" si="99"/>
        <v>8760</v>
      </c>
      <c r="RD98" s="2086">
        <f t="shared" si="99"/>
        <v>8760</v>
      </c>
      <c r="RE98" s="2086">
        <f t="shared" si="99"/>
        <v>8760</v>
      </c>
      <c r="RF98" s="2086">
        <f t="shared" si="99"/>
        <v>8760</v>
      </c>
      <c r="RG98" s="2086">
        <f t="shared" si="99"/>
        <v>8760</v>
      </c>
      <c r="RH98" s="2086">
        <f t="shared" si="99"/>
        <v>8760</v>
      </c>
      <c r="RI98" s="2086">
        <f t="shared" si="99"/>
        <v>8760</v>
      </c>
      <c r="RJ98" s="2086">
        <f t="shared" si="99"/>
        <v>8760</v>
      </c>
      <c r="RK98" s="2086">
        <f t="shared" si="99"/>
        <v>8760</v>
      </c>
      <c r="RL98" s="2086">
        <f t="shared" si="99"/>
        <v>8760</v>
      </c>
      <c r="RM98" s="2086">
        <f t="shared" si="99"/>
        <v>8760</v>
      </c>
      <c r="RN98" s="2086">
        <f t="shared" si="99"/>
        <v>8760</v>
      </c>
      <c r="RO98" s="2086">
        <f t="shared" si="99"/>
        <v>8760</v>
      </c>
      <c r="RP98" s="2086">
        <f t="shared" si="99"/>
        <v>8760</v>
      </c>
      <c r="RQ98" s="2086">
        <f t="shared" si="99"/>
        <v>8760</v>
      </c>
      <c r="RR98" s="2086">
        <f t="shared" si="99"/>
        <v>8760</v>
      </c>
      <c r="RS98" s="2086">
        <f t="shared" si="99"/>
        <v>8760</v>
      </c>
      <c r="RT98" s="2086">
        <f t="shared" si="99"/>
        <v>8760</v>
      </c>
      <c r="RU98" s="2086">
        <f t="shared" si="99"/>
        <v>8760</v>
      </c>
      <c r="RV98" s="2086">
        <f t="shared" si="99"/>
        <v>8760</v>
      </c>
      <c r="RW98" s="2086">
        <f t="shared" si="99"/>
        <v>8760</v>
      </c>
      <c r="RX98" s="2086">
        <f t="shared" si="99"/>
        <v>8760</v>
      </c>
      <c r="RY98" s="2086">
        <f t="shared" si="99"/>
        <v>8760</v>
      </c>
      <c r="RZ98" s="2086">
        <f t="shared" si="99"/>
        <v>8760</v>
      </c>
      <c r="SA98" s="2086">
        <f t="shared" si="99"/>
        <v>8760</v>
      </c>
      <c r="SB98" s="2086">
        <f t="shared" si="99"/>
        <v>8760</v>
      </c>
      <c r="SC98" s="2086">
        <f t="shared" si="99"/>
        <v>8760</v>
      </c>
      <c r="SD98" s="2086">
        <f t="shared" si="99"/>
        <v>8760</v>
      </c>
      <c r="SE98" s="2086">
        <f t="shared" si="99"/>
        <v>8760</v>
      </c>
      <c r="SF98" s="2086">
        <f t="shared" si="99"/>
        <v>8760</v>
      </c>
      <c r="SG98" s="2086">
        <f t="shared" si="99"/>
        <v>8760</v>
      </c>
      <c r="SH98" s="2086">
        <f t="shared" si="99"/>
        <v>8760</v>
      </c>
      <c r="SI98" s="2086">
        <f t="shared" si="99"/>
        <v>8760</v>
      </c>
      <c r="SJ98" s="2086">
        <f t="shared" si="99"/>
        <v>8760</v>
      </c>
      <c r="SK98" s="2086">
        <f t="shared" si="99"/>
        <v>8760</v>
      </c>
      <c r="SL98" s="2086">
        <f t="shared" si="99"/>
        <v>8760</v>
      </c>
      <c r="SM98" s="2086">
        <f t="shared" si="99"/>
        <v>8760</v>
      </c>
      <c r="SN98" s="2086">
        <f t="shared" si="99"/>
        <v>8760</v>
      </c>
      <c r="SO98" s="2086">
        <f t="shared" si="99"/>
        <v>8760</v>
      </c>
      <c r="SP98" s="2086">
        <f t="shared" si="99"/>
        <v>8760</v>
      </c>
      <c r="SQ98" s="2086">
        <f t="shared" si="99"/>
        <v>8760</v>
      </c>
      <c r="SR98" s="2086">
        <f t="shared" si="99"/>
        <v>8760</v>
      </c>
      <c r="SS98" s="2086">
        <f t="shared" si="99"/>
        <v>8760</v>
      </c>
      <c r="ST98" s="2086">
        <f t="shared" si="99"/>
        <v>8760</v>
      </c>
      <c r="SU98" s="2086">
        <f t="shared" si="99"/>
        <v>8760</v>
      </c>
      <c r="SV98" s="2086">
        <f t="shared" si="99"/>
        <v>8760</v>
      </c>
      <c r="SW98" s="2086">
        <f t="shared" si="99"/>
        <v>8760</v>
      </c>
      <c r="SX98" s="2086">
        <f t="shared" si="99"/>
        <v>8760</v>
      </c>
      <c r="SY98" s="2086">
        <f t="shared" ref="SY98:VJ98" si="100">IF(SY96&gt;SY97,SY96,IF(SY97&gt;SY96,SY97))</f>
        <v>8760</v>
      </c>
      <c r="SZ98" s="2086">
        <f t="shared" si="100"/>
        <v>8760</v>
      </c>
      <c r="TA98" s="2086">
        <f t="shared" si="100"/>
        <v>8760</v>
      </c>
      <c r="TB98" s="2086">
        <f t="shared" si="100"/>
        <v>8760</v>
      </c>
      <c r="TC98" s="2086">
        <f t="shared" si="100"/>
        <v>8760</v>
      </c>
      <c r="TD98" s="2086">
        <f t="shared" si="100"/>
        <v>8760</v>
      </c>
      <c r="TE98" s="2086">
        <f t="shared" si="100"/>
        <v>8760</v>
      </c>
      <c r="TF98" s="2086">
        <f t="shared" si="100"/>
        <v>8760</v>
      </c>
      <c r="TG98" s="2086">
        <f t="shared" si="100"/>
        <v>8760</v>
      </c>
      <c r="TH98" s="2086">
        <f t="shared" si="100"/>
        <v>8760</v>
      </c>
      <c r="TI98" s="2086">
        <f t="shared" si="100"/>
        <v>8760</v>
      </c>
      <c r="TJ98" s="2086">
        <f t="shared" si="100"/>
        <v>8760</v>
      </c>
      <c r="TK98" s="2086">
        <f t="shared" si="100"/>
        <v>8760</v>
      </c>
      <c r="TL98" s="2086">
        <f t="shared" si="100"/>
        <v>8760</v>
      </c>
      <c r="TM98" s="2086">
        <f t="shared" si="100"/>
        <v>8760</v>
      </c>
      <c r="TN98" s="2086">
        <f t="shared" si="100"/>
        <v>8760</v>
      </c>
      <c r="TO98" s="2086">
        <f t="shared" si="100"/>
        <v>8760</v>
      </c>
      <c r="TP98" s="2086">
        <f t="shared" si="100"/>
        <v>8760</v>
      </c>
      <c r="TQ98" s="2086">
        <f t="shared" si="100"/>
        <v>8760</v>
      </c>
      <c r="TR98" s="2086">
        <f t="shared" si="100"/>
        <v>8760</v>
      </c>
      <c r="TS98" s="2086">
        <f t="shared" si="100"/>
        <v>8760</v>
      </c>
      <c r="TT98" s="2086">
        <f t="shared" si="100"/>
        <v>8760</v>
      </c>
      <c r="TU98" s="2086">
        <f t="shared" si="100"/>
        <v>8760</v>
      </c>
      <c r="TV98" s="2086">
        <f t="shared" si="100"/>
        <v>8760</v>
      </c>
      <c r="TW98" s="2086">
        <f t="shared" si="100"/>
        <v>8760</v>
      </c>
      <c r="TX98" s="2086">
        <f t="shared" si="100"/>
        <v>8760</v>
      </c>
      <c r="TY98" s="2086">
        <f t="shared" si="100"/>
        <v>8760</v>
      </c>
      <c r="TZ98" s="2086">
        <f t="shared" si="100"/>
        <v>8760</v>
      </c>
      <c r="UA98" s="2086">
        <f t="shared" si="100"/>
        <v>8760</v>
      </c>
      <c r="UB98" s="2086">
        <f t="shared" si="100"/>
        <v>8760</v>
      </c>
      <c r="UC98" s="2086">
        <f t="shared" si="100"/>
        <v>8760</v>
      </c>
      <c r="UD98" s="2086">
        <f t="shared" si="100"/>
        <v>8760</v>
      </c>
      <c r="UE98" s="2086">
        <f t="shared" si="100"/>
        <v>8760</v>
      </c>
      <c r="UF98" s="2086">
        <f t="shared" si="100"/>
        <v>8760</v>
      </c>
      <c r="UG98" s="2086">
        <f t="shared" si="100"/>
        <v>8760</v>
      </c>
      <c r="UH98" s="2086">
        <f t="shared" si="100"/>
        <v>8760</v>
      </c>
      <c r="UI98" s="2086">
        <f t="shared" si="100"/>
        <v>8760</v>
      </c>
      <c r="UJ98" s="2086">
        <f t="shared" si="100"/>
        <v>8760</v>
      </c>
      <c r="UK98" s="2086">
        <f t="shared" si="100"/>
        <v>8760</v>
      </c>
      <c r="UL98" s="2086">
        <f t="shared" si="100"/>
        <v>8760</v>
      </c>
      <c r="UM98" s="2086">
        <f t="shared" si="100"/>
        <v>8760</v>
      </c>
      <c r="UN98" s="2086">
        <f t="shared" si="100"/>
        <v>8760</v>
      </c>
      <c r="UO98" s="2086">
        <f t="shared" si="100"/>
        <v>8760</v>
      </c>
      <c r="UP98" s="2086">
        <f t="shared" si="100"/>
        <v>8760</v>
      </c>
      <c r="UQ98" s="2086">
        <f t="shared" si="100"/>
        <v>8760</v>
      </c>
      <c r="UR98" s="2086">
        <f t="shared" si="100"/>
        <v>8760</v>
      </c>
      <c r="US98" s="2086">
        <f t="shared" si="100"/>
        <v>8760</v>
      </c>
      <c r="UT98" s="2086">
        <f t="shared" si="100"/>
        <v>8760</v>
      </c>
      <c r="UU98" s="2086">
        <f t="shared" si="100"/>
        <v>8760</v>
      </c>
      <c r="UV98" s="2086">
        <f t="shared" si="100"/>
        <v>8760</v>
      </c>
      <c r="UW98" s="2086">
        <f t="shared" si="100"/>
        <v>8760</v>
      </c>
      <c r="UX98" s="2086">
        <f t="shared" si="100"/>
        <v>8760</v>
      </c>
      <c r="UY98" s="2086">
        <f t="shared" si="100"/>
        <v>8760</v>
      </c>
      <c r="UZ98" s="2086">
        <f t="shared" si="100"/>
        <v>8760</v>
      </c>
      <c r="VA98" s="2086">
        <f t="shared" si="100"/>
        <v>8760</v>
      </c>
      <c r="VB98" s="2086">
        <f t="shared" si="100"/>
        <v>8760</v>
      </c>
      <c r="VC98" s="2086">
        <f t="shared" si="100"/>
        <v>8760</v>
      </c>
      <c r="VD98" s="2086">
        <f t="shared" si="100"/>
        <v>8760</v>
      </c>
      <c r="VE98" s="2086">
        <f t="shared" si="100"/>
        <v>8760</v>
      </c>
      <c r="VF98" s="2086">
        <f t="shared" si="100"/>
        <v>8760</v>
      </c>
      <c r="VG98" s="2086">
        <f t="shared" si="100"/>
        <v>8760</v>
      </c>
      <c r="VH98" s="2086">
        <f t="shared" si="100"/>
        <v>8760</v>
      </c>
      <c r="VI98" s="2086">
        <f t="shared" si="100"/>
        <v>8760</v>
      </c>
      <c r="VJ98" s="2086">
        <f t="shared" si="100"/>
        <v>8760</v>
      </c>
      <c r="VK98" s="2087">
        <f>IF(VK96&gt;VK97,VK96,IF(VK97&gt;VK96,VK97))</f>
        <v>8760</v>
      </c>
    </row>
    <row r="99" spans="1:583" s="2075" customFormat="1" x14ac:dyDescent="0.25">
      <c r="A99" s="2075" t="s">
        <v>3831</v>
      </c>
      <c r="B99" s="4709" t="s">
        <v>1258</v>
      </c>
      <c r="C99" s="4709"/>
      <c r="D99" s="4709" t="s">
        <v>1258</v>
      </c>
      <c r="E99" s="4709"/>
      <c r="F99" s="2078"/>
      <c r="G99" s="2078"/>
      <c r="H99" s="2078"/>
      <c r="I99" s="1574"/>
      <c r="J99" s="1574"/>
      <c r="K99" s="1574"/>
      <c r="L99" s="1574"/>
      <c r="M99" s="1574"/>
      <c r="N99" s="1574"/>
      <c r="O99" s="1574"/>
      <c r="P99" s="1574"/>
      <c r="Q99" s="1574"/>
      <c r="R99" s="1574"/>
      <c r="S99" s="1574"/>
      <c r="T99" s="1574"/>
      <c r="U99" s="1574"/>
      <c r="V99" s="1574"/>
      <c r="W99" s="1574"/>
      <c r="X99" s="1574"/>
      <c r="Y99" s="1574"/>
      <c r="Z99" s="1574"/>
      <c r="AA99" s="1574"/>
      <c r="AB99" s="1574"/>
      <c r="AC99" s="1574"/>
      <c r="AD99" s="1574"/>
      <c r="AE99" s="1574"/>
      <c r="AF99" s="1574"/>
      <c r="AG99" s="1574"/>
      <c r="AH99" s="1574"/>
      <c r="AI99" s="1574"/>
      <c r="AJ99" s="1574"/>
      <c r="AK99" s="1574"/>
      <c r="AL99" s="1574"/>
      <c r="AM99" s="1574"/>
      <c r="AN99" s="1574"/>
      <c r="AO99" s="1574"/>
      <c r="AP99" s="1574"/>
      <c r="AQ99" s="1574"/>
      <c r="AR99" s="1574"/>
      <c r="AS99" s="1574"/>
      <c r="AT99" s="1574"/>
      <c r="AU99" s="1574"/>
      <c r="AV99" s="1574"/>
      <c r="AW99" s="1574"/>
      <c r="AX99" s="1574"/>
      <c r="AY99" s="1574"/>
      <c r="AZ99" s="1574"/>
      <c r="BA99" s="1574"/>
      <c r="BB99" s="1574"/>
      <c r="BC99" s="1574"/>
      <c r="BD99" s="1574"/>
      <c r="BE99" s="1574"/>
      <c r="BF99" s="1574"/>
      <c r="BG99" s="1574"/>
      <c r="BH99" s="1574"/>
      <c r="BI99" s="1574"/>
      <c r="BJ99" s="1574"/>
      <c r="BK99" s="1574"/>
      <c r="BL99" s="1574"/>
      <c r="BM99" s="1574"/>
      <c r="BN99" s="1574"/>
      <c r="BO99" s="1574"/>
      <c r="BP99" s="1574"/>
      <c r="BQ99" s="1574"/>
      <c r="BR99" s="1574"/>
      <c r="BS99" s="1574"/>
      <c r="BT99" s="1574"/>
      <c r="BU99" s="1574"/>
      <c r="BV99" s="1574"/>
      <c r="BW99" s="1574"/>
      <c r="BX99" s="1574"/>
      <c r="BY99" s="1574"/>
      <c r="BZ99" s="1574"/>
      <c r="CA99" s="1574"/>
      <c r="CB99" s="1574"/>
      <c r="CC99" s="1574"/>
      <c r="CD99" s="1574"/>
      <c r="CE99" s="1574"/>
      <c r="CF99" s="1574"/>
      <c r="CG99" s="1574"/>
      <c r="CH99" s="1574"/>
      <c r="CI99" s="1574"/>
      <c r="CJ99" s="1574"/>
      <c r="CK99" s="1574"/>
      <c r="CL99" s="1574"/>
      <c r="CM99" s="1574"/>
      <c r="CN99" s="1574"/>
      <c r="CO99" s="1574"/>
      <c r="CP99" s="1574"/>
      <c r="CQ99" s="1574"/>
      <c r="CR99" s="1574"/>
      <c r="CS99" s="1574"/>
      <c r="CT99" s="1574"/>
      <c r="CU99" s="1574"/>
      <c r="CV99" s="1574"/>
      <c r="CW99" s="1574"/>
      <c r="CX99" s="1574"/>
      <c r="CY99" s="1574"/>
      <c r="CZ99" s="1574"/>
      <c r="DA99" s="1574"/>
      <c r="DB99" s="1574"/>
      <c r="DC99" s="1574"/>
      <c r="DD99" s="1574"/>
      <c r="DE99" s="1574"/>
      <c r="DF99" s="1574"/>
      <c r="DG99" s="1574"/>
      <c r="DH99" s="1574"/>
      <c r="DI99" s="1574"/>
      <c r="DJ99" s="1574"/>
      <c r="DK99" s="1574"/>
      <c r="DL99" s="1574"/>
      <c r="DM99" s="1574"/>
      <c r="DN99" s="1574"/>
      <c r="DO99" s="1574"/>
      <c r="DP99" s="1574"/>
      <c r="DQ99" s="1574"/>
      <c r="DR99" s="1574"/>
      <c r="DS99" s="1574"/>
      <c r="DT99" s="1574"/>
      <c r="DU99" s="1574"/>
      <c r="DV99" s="1574"/>
      <c r="DW99" s="1574"/>
      <c r="DX99" s="1574"/>
      <c r="DY99" s="1574"/>
      <c r="DZ99" s="1574"/>
      <c r="EA99" s="1574"/>
      <c r="EB99" s="1574"/>
      <c r="EC99" s="1574"/>
      <c r="ED99" s="1574"/>
      <c r="EE99" s="1574"/>
      <c r="EF99" s="1574"/>
      <c r="EG99" s="1574"/>
      <c r="EH99" s="1574"/>
      <c r="EI99" s="1574"/>
      <c r="EJ99" s="1574"/>
      <c r="EK99" s="1574"/>
      <c r="EL99" s="1574"/>
      <c r="EM99" s="1574"/>
      <c r="EN99" s="1574"/>
      <c r="EO99" s="1574"/>
      <c r="EP99" s="1574"/>
      <c r="EQ99" s="1574"/>
      <c r="ER99" s="1574"/>
      <c r="ES99" s="1574"/>
      <c r="ET99" s="1574"/>
      <c r="EU99" s="1574"/>
      <c r="EV99" s="1574"/>
      <c r="EW99" s="1574"/>
      <c r="EX99" s="1574"/>
      <c r="EY99" s="1574"/>
      <c r="EZ99" s="1574"/>
      <c r="FA99" s="1574"/>
      <c r="FB99" s="1574"/>
      <c r="FC99" s="1574"/>
      <c r="FD99" s="1574"/>
      <c r="FE99" s="1574"/>
      <c r="FF99" s="1574"/>
      <c r="FG99" s="1574"/>
      <c r="FH99" s="1574"/>
      <c r="FI99" s="1574"/>
      <c r="FJ99" s="1574"/>
      <c r="FK99" s="1574"/>
      <c r="FL99" s="1574"/>
      <c r="FM99" s="1574"/>
      <c r="FN99" s="1574"/>
      <c r="FO99" s="1574"/>
      <c r="FP99" s="1574"/>
      <c r="FQ99" s="1574"/>
      <c r="FR99" s="1574"/>
      <c r="FS99" s="1574"/>
      <c r="FT99" s="1574"/>
      <c r="FU99" s="1574"/>
      <c r="FV99" s="1574"/>
      <c r="FW99" s="1574"/>
      <c r="FX99" s="1574"/>
      <c r="FY99" s="1574"/>
      <c r="FZ99" s="1574"/>
      <c r="GA99" s="1574"/>
      <c r="GB99" s="1574"/>
      <c r="GC99" s="1574"/>
      <c r="GD99" s="1574"/>
      <c r="GE99" s="1574"/>
      <c r="GF99" s="1574"/>
      <c r="GG99" s="1574"/>
      <c r="GH99" s="1574"/>
      <c r="GI99" s="1574"/>
      <c r="GJ99" s="1574"/>
      <c r="GK99" s="1574"/>
      <c r="GL99" s="1574"/>
      <c r="GM99" s="1574"/>
      <c r="GN99" s="1574"/>
      <c r="GO99" s="1574"/>
      <c r="GP99" s="1574"/>
      <c r="GQ99" s="1574"/>
      <c r="GR99" s="1574"/>
      <c r="GS99" s="1574"/>
      <c r="GT99" s="1574"/>
      <c r="GU99" s="1574"/>
      <c r="GV99" s="1574"/>
      <c r="GW99" s="1574"/>
      <c r="GX99" s="1574"/>
      <c r="GY99" s="1574"/>
      <c r="GZ99" s="1574"/>
      <c r="HA99" s="1574"/>
      <c r="HB99" s="1574"/>
      <c r="HC99" s="1574"/>
      <c r="HD99" s="1574"/>
      <c r="HE99" s="1574"/>
      <c r="HF99" s="1574"/>
      <c r="HG99" s="1574"/>
      <c r="HH99" s="1574"/>
      <c r="HI99" s="1574"/>
      <c r="HJ99" s="1574"/>
      <c r="HK99" s="1574"/>
      <c r="HL99" s="1574"/>
      <c r="HM99" s="1574"/>
      <c r="HN99" s="1574"/>
      <c r="HO99" s="1574"/>
      <c r="HP99" s="1574"/>
      <c r="HQ99" s="1574"/>
      <c r="HR99" s="1574"/>
      <c r="HS99" s="1574"/>
      <c r="HT99" s="1574"/>
      <c r="HU99" s="1574"/>
      <c r="HV99" s="1574"/>
      <c r="HW99" s="1574"/>
      <c r="HX99" s="1574"/>
      <c r="HY99" s="1574"/>
      <c r="HZ99" s="1574"/>
      <c r="IA99" s="1574"/>
      <c r="IB99" s="1574"/>
      <c r="IC99" s="1574"/>
      <c r="ID99" s="1574"/>
      <c r="IE99" s="1574"/>
      <c r="IF99" s="1574"/>
      <c r="IG99" s="1574"/>
      <c r="IH99" s="1574"/>
      <c r="II99" s="1574"/>
      <c r="IJ99" s="1574"/>
      <c r="IK99" s="1574"/>
      <c r="IL99" s="1574"/>
      <c r="IM99" s="1574"/>
      <c r="IN99" s="1574"/>
      <c r="IO99" s="1574"/>
      <c r="IP99" s="1574"/>
      <c r="IQ99" s="1574"/>
      <c r="IR99" s="1574"/>
      <c r="IS99" s="1574"/>
      <c r="IT99" s="1574"/>
      <c r="IU99" s="1574"/>
      <c r="IV99" s="1574"/>
      <c r="IW99" s="1574"/>
      <c r="IX99" s="1574"/>
      <c r="IY99" s="1574"/>
      <c r="IZ99" s="1574"/>
      <c r="JA99" s="1574"/>
      <c r="JB99" s="1574"/>
      <c r="JC99" s="1574"/>
      <c r="JD99" s="1574"/>
      <c r="JE99" s="1574"/>
      <c r="JF99" s="1574"/>
      <c r="JG99" s="1574"/>
      <c r="JH99" s="1574"/>
      <c r="JI99" s="1574"/>
      <c r="JJ99" s="1574"/>
      <c r="JK99" s="1574"/>
      <c r="JL99" s="1574"/>
      <c r="JM99" s="1574"/>
      <c r="JN99" s="1574"/>
      <c r="JO99" s="1574"/>
      <c r="JP99" s="1574"/>
      <c r="JQ99" s="1574"/>
      <c r="JR99" s="1574"/>
      <c r="JS99" s="1574"/>
      <c r="JT99" s="1574"/>
      <c r="JU99" s="1574"/>
      <c r="JV99" s="1574"/>
      <c r="JW99" s="1574"/>
      <c r="JX99" s="1574"/>
      <c r="JY99" s="1574"/>
      <c r="JZ99" s="1574"/>
      <c r="KA99" s="1574"/>
      <c r="KB99" s="1574"/>
      <c r="KC99" s="1574"/>
      <c r="KD99" s="1574"/>
      <c r="KE99" s="1574"/>
      <c r="KF99" s="1574"/>
      <c r="KG99" s="1574"/>
      <c r="KH99" s="1574"/>
      <c r="KI99" s="1574"/>
      <c r="KJ99" s="1574"/>
      <c r="KK99" s="1574"/>
      <c r="KL99" s="1574"/>
      <c r="KM99" s="1574"/>
      <c r="KN99" s="1574"/>
      <c r="KO99" s="1574"/>
      <c r="KP99" s="1574"/>
      <c r="KQ99" s="1574"/>
      <c r="KR99" s="1574"/>
      <c r="KS99" s="1574"/>
      <c r="KT99" s="1574"/>
      <c r="KU99" s="1574"/>
      <c r="KV99" s="1574"/>
      <c r="KW99" s="1574"/>
      <c r="KX99" s="1574"/>
      <c r="KY99" s="1574"/>
      <c r="KZ99" s="1574"/>
      <c r="LA99" s="1574"/>
      <c r="LB99" s="1574"/>
      <c r="LC99" s="1574"/>
      <c r="LD99" s="1574"/>
      <c r="LE99" s="1574"/>
      <c r="LF99" s="1574"/>
      <c r="LG99" s="1574"/>
      <c r="LH99" s="1574"/>
      <c r="LI99" s="1574"/>
      <c r="LJ99" s="1574"/>
      <c r="LK99" s="1574"/>
      <c r="LL99" s="1574"/>
      <c r="LM99" s="1574"/>
      <c r="LN99" s="1574"/>
      <c r="LO99" s="1574"/>
      <c r="LP99" s="1574"/>
      <c r="LQ99" s="1574"/>
      <c r="LR99" s="1574"/>
      <c r="LS99" s="1574"/>
      <c r="LT99" s="1574"/>
      <c r="LU99" s="1574"/>
      <c r="LV99" s="1574"/>
      <c r="LW99" s="1574"/>
      <c r="LX99" s="1574"/>
      <c r="LY99" s="1574"/>
      <c r="LZ99" s="1574"/>
      <c r="MA99" s="1574"/>
      <c r="MB99" s="1574"/>
      <c r="MC99" s="1574"/>
      <c r="MD99" s="1574"/>
      <c r="ME99" s="1574"/>
      <c r="MF99" s="1574"/>
      <c r="MG99" s="1574"/>
      <c r="MH99" s="1574"/>
      <c r="MI99" s="1574"/>
      <c r="MJ99" s="1574"/>
      <c r="MK99" s="1574"/>
      <c r="ML99" s="1574"/>
      <c r="MM99" s="1574"/>
      <c r="MN99" s="1574"/>
      <c r="MO99" s="1574"/>
      <c r="MP99" s="1574"/>
      <c r="MQ99" s="1574"/>
      <c r="MR99" s="1574"/>
      <c r="MS99" s="1574"/>
      <c r="MT99" s="1574"/>
      <c r="MU99" s="1574"/>
      <c r="MV99" s="1574"/>
      <c r="MW99" s="1574"/>
      <c r="MX99" s="1574"/>
      <c r="MY99" s="1574"/>
      <c r="MZ99" s="1574"/>
      <c r="NA99" s="1574"/>
      <c r="NB99" s="1574"/>
      <c r="NC99" s="1574"/>
      <c r="ND99" s="1574"/>
      <c r="NE99" s="1574"/>
      <c r="NF99" s="1574"/>
      <c r="NG99" s="1574"/>
      <c r="NH99" s="1574"/>
      <c r="NI99" s="1574"/>
      <c r="NJ99" s="1574"/>
      <c r="NK99" s="1574"/>
      <c r="NL99" s="1574"/>
      <c r="NM99" s="1574"/>
      <c r="NN99" s="1574"/>
      <c r="NO99" s="1574"/>
      <c r="NP99" s="1574"/>
      <c r="NQ99" s="1574"/>
      <c r="NR99" s="1574"/>
      <c r="NS99" s="1574"/>
      <c r="NT99" s="1574"/>
      <c r="NU99" s="1574"/>
      <c r="NV99" s="1574"/>
      <c r="NW99" s="1574"/>
      <c r="NX99" s="1574"/>
      <c r="NY99" s="1574"/>
      <c r="NZ99" s="1574"/>
      <c r="OA99" s="1574"/>
      <c r="OB99" s="1574"/>
      <c r="OC99" s="1574"/>
      <c r="OD99" s="1574"/>
      <c r="OE99" s="1574"/>
      <c r="OF99" s="1574"/>
      <c r="OG99" s="1574"/>
      <c r="OH99" s="1574"/>
      <c r="OI99" s="1574"/>
      <c r="OJ99" s="1574"/>
      <c r="OK99" s="1574"/>
      <c r="OL99" s="1574"/>
      <c r="OM99" s="1574"/>
      <c r="ON99" s="1574"/>
      <c r="OO99" s="1574"/>
      <c r="OP99" s="1574"/>
      <c r="OQ99" s="1574"/>
      <c r="OR99" s="1574"/>
      <c r="OS99" s="1574"/>
      <c r="OT99" s="1574"/>
      <c r="OU99" s="1574"/>
      <c r="OV99" s="1574"/>
      <c r="OW99" s="1574"/>
      <c r="OX99" s="1574"/>
      <c r="OY99" s="1574"/>
      <c r="OZ99" s="1574"/>
      <c r="PA99" s="1574"/>
      <c r="PB99" s="1574"/>
      <c r="PC99" s="1574"/>
      <c r="PD99" s="1574"/>
      <c r="PE99" s="1574"/>
      <c r="PF99" s="1574"/>
      <c r="PG99" s="1574"/>
      <c r="PH99" s="1574"/>
      <c r="PI99" s="1574"/>
      <c r="PJ99" s="1574"/>
      <c r="PK99" s="1574"/>
      <c r="PL99" s="1574"/>
      <c r="PM99" s="1574"/>
      <c r="PN99" s="1574"/>
      <c r="PO99" s="1574"/>
      <c r="PP99" s="1574"/>
      <c r="PQ99" s="1574"/>
      <c r="PR99" s="1574"/>
      <c r="PS99" s="1574"/>
      <c r="PT99" s="1574"/>
      <c r="PU99" s="1574"/>
      <c r="PV99" s="1574"/>
      <c r="PW99" s="1574"/>
      <c r="PX99" s="1574"/>
      <c r="PY99" s="1574"/>
      <c r="PZ99" s="1574"/>
      <c r="QA99" s="1574"/>
      <c r="QB99" s="1574"/>
      <c r="QC99" s="1574"/>
      <c r="QD99" s="1574"/>
      <c r="QE99" s="1574"/>
      <c r="QF99" s="1574"/>
      <c r="QG99" s="1574"/>
      <c r="QH99" s="1574"/>
      <c r="QI99" s="1574"/>
      <c r="QJ99" s="1574"/>
      <c r="QK99" s="1574"/>
      <c r="QL99" s="1574"/>
      <c r="QM99" s="1574"/>
      <c r="QN99" s="1574"/>
      <c r="QO99" s="1574"/>
      <c r="QP99" s="1574"/>
      <c r="QQ99" s="1574"/>
      <c r="QR99" s="1574"/>
      <c r="QS99" s="1574"/>
      <c r="QT99" s="1574"/>
      <c r="QU99" s="1574"/>
      <c r="QV99" s="1574"/>
      <c r="QW99" s="1574"/>
      <c r="QX99" s="1574"/>
      <c r="QY99" s="1574"/>
      <c r="QZ99" s="1574"/>
      <c r="RA99" s="1574"/>
      <c r="RB99" s="1574"/>
      <c r="RC99" s="1574"/>
      <c r="RD99" s="1574"/>
      <c r="RE99" s="1574"/>
      <c r="RF99" s="1574"/>
      <c r="RG99" s="1574"/>
      <c r="RH99" s="1574"/>
      <c r="RI99" s="1574"/>
      <c r="RJ99" s="1574"/>
      <c r="RK99" s="1574"/>
      <c r="RL99" s="1574"/>
      <c r="RM99" s="1574"/>
      <c r="RN99" s="1574"/>
      <c r="RO99" s="1574"/>
      <c r="RP99" s="1574"/>
      <c r="RQ99" s="1574"/>
      <c r="RR99" s="1574"/>
      <c r="RS99" s="1574"/>
      <c r="RT99" s="1574"/>
      <c r="RU99" s="1574"/>
      <c r="RV99" s="1574"/>
      <c r="RW99" s="1574"/>
      <c r="RX99" s="1574"/>
      <c r="RY99" s="1574"/>
      <c r="RZ99" s="1574"/>
      <c r="SA99" s="1574"/>
      <c r="SB99" s="1574"/>
      <c r="SC99" s="1574"/>
      <c r="SD99" s="1574"/>
      <c r="SE99" s="1574"/>
      <c r="SF99" s="1574"/>
      <c r="SG99" s="1574"/>
      <c r="SH99" s="1574"/>
      <c r="SI99" s="1574"/>
      <c r="SJ99" s="1574"/>
      <c r="SK99" s="1574"/>
      <c r="SL99" s="1574"/>
      <c r="SM99" s="1574"/>
      <c r="SN99" s="1574"/>
      <c r="SO99" s="1574"/>
      <c r="SP99" s="1574"/>
      <c r="SQ99" s="1574"/>
      <c r="SR99" s="1574"/>
      <c r="SS99" s="1574"/>
      <c r="ST99" s="1574"/>
      <c r="SU99" s="1574"/>
      <c r="SV99" s="1574"/>
      <c r="SW99" s="1574"/>
      <c r="SX99" s="1574"/>
      <c r="SY99" s="1574"/>
      <c r="SZ99" s="1574"/>
      <c r="TA99" s="1574"/>
      <c r="TB99" s="1574"/>
      <c r="TC99" s="1574"/>
      <c r="TD99" s="1574"/>
      <c r="TE99" s="1574"/>
      <c r="TF99" s="1574"/>
      <c r="TG99" s="1574"/>
      <c r="TH99" s="1574"/>
      <c r="TI99" s="1574"/>
      <c r="TJ99" s="1574"/>
      <c r="TK99" s="1574"/>
      <c r="TL99" s="1574"/>
      <c r="TM99" s="1574"/>
      <c r="TN99" s="1574"/>
      <c r="TO99" s="1574"/>
      <c r="TP99" s="1574"/>
      <c r="TQ99" s="1574"/>
      <c r="TR99" s="1574"/>
      <c r="TS99" s="1574"/>
      <c r="TT99" s="1574"/>
      <c r="TU99" s="1574"/>
      <c r="TV99" s="1574"/>
      <c r="TW99" s="1574"/>
      <c r="TX99" s="1574"/>
      <c r="TY99" s="1574"/>
      <c r="TZ99" s="1574"/>
      <c r="UA99" s="1574"/>
      <c r="UB99" s="1574"/>
      <c r="UC99" s="1574"/>
      <c r="UD99" s="1574"/>
      <c r="UE99" s="1574"/>
      <c r="UF99" s="1574"/>
      <c r="UG99" s="1574"/>
      <c r="UH99" s="1574"/>
      <c r="UI99" s="1574"/>
      <c r="UJ99" s="1574"/>
      <c r="UK99" s="1574"/>
      <c r="UL99" s="1574"/>
      <c r="UM99" s="1574"/>
      <c r="UN99" s="1574"/>
      <c r="UO99" s="1574"/>
      <c r="UP99" s="1574"/>
      <c r="UQ99" s="1574"/>
      <c r="UR99" s="1574"/>
      <c r="US99" s="1574"/>
      <c r="UT99" s="1574"/>
      <c r="UU99" s="1574"/>
      <c r="UV99" s="1574"/>
      <c r="UW99" s="1574"/>
      <c r="UX99" s="1574"/>
      <c r="UY99" s="1574"/>
      <c r="UZ99" s="1574"/>
      <c r="VA99" s="1574"/>
      <c r="VB99" s="1574"/>
      <c r="VC99" s="1574"/>
      <c r="VD99" s="1574"/>
      <c r="VE99" s="1574"/>
      <c r="VF99" s="1574"/>
      <c r="VG99" s="1574"/>
      <c r="VH99" s="1574"/>
      <c r="VI99" s="1574"/>
      <c r="VJ99" s="1574"/>
      <c r="VK99" s="1574"/>
    </row>
    <row r="100" spans="1:583" ht="27" x14ac:dyDescent="0.25">
      <c r="B100" s="1610" t="s">
        <v>2794</v>
      </c>
      <c r="C100" s="1610" t="s">
        <v>2795</v>
      </c>
      <c r="D100" s="4710" t="s">
        <v>2165</v>
      </c>
      <c r="E100" s="4710">
        <v>0</v>
      </c>
      <c r="F100" s="1912">
        <f>'Paso 1.1'!E87*Tiempos!$H$83</f>
        <v>43.927999999999997</v>
      </c>
      <c r="G100" s="1912">
        <f>'Paso 1.1'!F87*Tiempos!$H$83</f>
        <v>43.945022422759564</v>
      </c>
      <c r="H100" s="1912">
        <f>'Paso 1.1'!G87*Tiempos!$H$83</f>
        <v>43.962051441833012</v>
      </c>
      <c r="I100" s="1912">
        <f>'Paso 1.1'!H87*Tiempos!$H$83</f>
        <v>43.979087059776482</v>
      </c>
      <c r="J100" s="1912">
        <f>'Paso 1.1'!I87*Tiempos!$H$83</f>
        <v>43.99612927914707</v>
      </c>
      <c r="K100" s="1912">
        <f>'Paso 1.1'!J87*Tiempos!$H$83</f>
        <v>44.013178102502877</v>
      </c>
      <c r="L100" s="1912">
        <f>'Paso 1.1'!K87*Tiempos!$H$83</f>
        <v>44.030233532403003</v>
      </c>
      <c r="M100" s="1912">
        <f>'Paso 1.1'!L87*Tiempos!$H$83</f>
        <v>44.047295571407531</v>
      </c>
      <c r="N100" s="1912">
        <f>'Paso 1.1'!M87*Tiempos!$H$83</f>
        <v>44.064364222077536</v>
      </c>
      <c r="O100" s="1912">
        <f>'Paso 1.1'!N87*Tiempos!$H$83</f>
        <v>44.081439486975071</v>
      </c>
      <c r="P100" s="1912">
        <f>'Paso 1.1'!O87*Tiempos!$H$83</f>
        <v>44.098521368663235</v>
      </c>
      <c r="Q100" s="1912">
        <f>'Paso 1.1'!P87*Tiempos!$H$83</f>
        <v>44.115609869706063</v>
      </c>
      <c r="R100" s="1912">
        <f>'Paso 1.1'!Q87*Tiempos!$H$83</f>
        <v>44.132704992668593</v>
      </c>
      <c r="S100" s="1912">
        <f>'Paso 1.1'!R87*Tiempos!$H$83</f>
        <v>44.149806740116873</v>
      </c>
      <c r="T100" s="1912">
        <f>'Paso 1.1'!S87*Tiempos!$H$83</f>
        <v>44.16691511461795</v>
      </c>
      <c r="U100" s="1912">
        <f>'Paso 1.1'!T87*Tiempos!$H$83</f>
        <v>44.184030118739855</v>
      </c>
      <c r="V100" s="1912">
        <f>'Paso 1.1'!U87*Tiempos!$H$83</f>
        <v>44.201151755051598</v>
      </c>
      <c r="W100" s="2059"/>
      <c r="X100" s="2059"/>
      <c r="Y100" s="2059"/>
      <c r="Z100" s="2059"/>
      <c r="AA100" s="2059"/>
      <c r="AB100" s="2059"/>
      <c r="AC100" s="2059"/>
      <c r="AD100" s="2059"/>
      <c r="AE100" s="2059"/>
      <c r="AF100" s="2059"/>
      <c r="AG100" s="2059"/>
      <c r="AH100" s="2059"/>
      <c r="AI100" s="2059"/>
      <c r="AJ100" s="2059"/>
      <c r="AK100" s="2059"/>
      <c r="AL100" s="2059"/>
      <c r="AM100" s="2059"/>
      <c r="AN100" s="2059"/>
      <c r="AO100" s="2058"/>
      <c r="AP100" s="2058"/>
      <c r="AQ100" s="2058"/>
      <c r="AR100" s="2058"/>
      <c r="AS100" s="2058"/>
      <c r="AT100" s="2058"/>
      <c r="AU100" s="2058"/>
      <c r="AV100" s="2058"/>
      <c r="AW100" s="2058"/>
      <c r="AX100" s="2058"/>
      <c r="AY100" s="2058"/>
      <c r="AZ100" s="2058"/>
      <c r="BA100" s="2058"/>
      <c r="BB100" s="2058"/>
      <c r="BC100" s="2058"/>
      <c r="BD100" s="2058"/>
      <c r="BE100" s="2059"/>
      <c r="BF100" s="2059"/>
      <c r="BG100" s="2059"/>
      <c r="BH100" s="2059"/>
      <c r="BI100" s="2059"/>
      <c r="BJ100" s="2059"/>
      <c r="BK100" s="2059"/>
      <c r="BL100" s="2059"/>
      <c r="BM100" s="2059"/>
      <c r="BN100" s="2059"/>
      <c r="BO100" s="2059"/>
      <c r="BP100" s="2059"/>
      <c r="BQ100" s="2059"/>
      <c r="BR100" s="2059"/>
      <c r="BS100" s="2059"/>
      <c r="BT100" s="2059"/>
      <c r="BU100" s="2059"/>
      <c r="BV100" s="2058"/>
      <c r="BW100" s="2058"/>
      <c r="BX100" s="2058"/>
      <c r="BY100" s="2058"/>
      <c r="BZ100" s="2058"/>
      <c r="CA100" s="2058"/>
      <c r="CB100" s="2058"/>
      <c r="CC100" s="2058"/>
      <c r="CD100" s="2058"/>
      <c r="CE100" s="2058"/>
      <c r="CF100" s="2058"/>
      <c r="CG100" s="2058"/>
      <c r="CH100" s="2058"/>
      <c r="CI100" s="2058"/>
      <c r="CJ100" s="2058"/>
      <c r="CK100" s="2058"/>
      <c r="CL100" s="2058"/>
      <c r="CM100" s="2058"/>
      <c r="CN100" s="2058"/>
      <c r="CO100" s="2058"/>
      <c r="CP100" s="2058"/>
      <c r="CQ100" s="2058"/>
      <c r="CR100" s="2058"/>
      <c r="CS100" s="2058"/>
      <c r="CT100" s="2058"/>
      <c r="CU100" s="2058"/>
      <c r="CV100" s="2058"/>
      <c r="CW100" s="2058"/>
      <c r="CX100" s="2058"/>
      <c r="CY100" s="2058"/>
      <c r="CZ100" s="2058"/>
      <c r="DA100" s="2058"/>
      <c r="DB100" s="2058"/>
      <c r="DC100" s="2058"/>
      <c r="DD100" s="2058">
        <f>'Paso 1.1'!AM87*Tiempos!$H$83</f>
        <v>0</v>
      </c>
      <c r="DE100" s="2058">
        <f>'Paso 1.1'!AN87*Tiempos!$H$83</f>
        <v>0</v>
      </c>
      <c r="DF100" s="2058">
        <f>'Paso 1.1'!AO87*Tiempos!$H$83</f>
        <v>0</v>
      </c>
      <c r="DG100" s="2058">
        <f>'Paso 1.1'!AP87*Tiempos!$H$83</f>
        <v>0</v>
      </c>
      <c r="DH100" s="2058">
        <f>'Paso 1.1'!AQ87*Tiempos!$H$83</f>
        <v>0</v>
      </c>
      <c r="DI100" s="2058">
        <f>'Paso 1.1'!AR87*Tiempos!$H$83</f>
        <v>0</v>
      </c>
      <c r="DJ100" s="2058">
        <f>'Paso 1.1'!AS87*Tiempos!$H$83</f>
        <v>0</v>
      </c>
      <c r="DK100" s="2058">
        <f>'Paso 1.1'!AT87*Tiempos!$H$83</f>
        <v>0</v>
      </c>
      <c r="DL100" s="2058">
        <f>'Paso 1.1'!AU87*Tiempos!$H$83</f>
        <v>0</v>
      </c>
      <c r="DM100" s="2058">
        <f>'Paso 1.1'!AV87*Tiempos!$H$83</f>
        <v>0</v>
      </c>
      <c r="DN100" s="2058">
        <f>'Paso 1.1'!AW87*Tiempos!$H$83</f>
        <v>0</v>
      </c>
      <c r="DO100" s="2058">
        <f>'Paso 1.1'!AX87*Tiempos!$H$83</f>
        <v>0</v>
      </c>
      <c r="DP100" s="2058">
        <f>'Paso 1.1'!AY87*Tiempos!$H$83</f>
        <v>0</v>
      </c>
      <c r="DQ100" s="2058">
        <f>'Paso 1.1'!AZ87*Tiempos!$H$83</f>
        <v>0</v>
      </c>
      <c r="DR100" s="2058">
        <f>'Paso 1.1'!BA87*Tiempos!$H$83</f>
        <v>0</v>
      </c>
      <c r="DS100" s="2058">
        <f>'Paso 1.1'!BB87*Tiempos!$H$83</f>
        <v>0</v>
      </c>
      <c r="DT100" s="2058">
        <f>'Paso 1.1'!BC87*Tiempos!$H$83</f>
        <v>0</v>
      </c>
      <c r="DU100" s="2058">
        <f>'Paso 1.1'!BD87*Tiempos!$H$83</f>
        <v>0</v>
      </c>
      <c r="DV100" s="2058">
        <f>'Paso 1.1'!BE87*Tiempos!$H$83</f>
        <v>0</v>
      </c>
      <c r="DW100" s="2058">
        <f>'Paso 1.1'!BF87*Tiempos!$H$83</f>
        <v>0</v>
      </c>
      <c r="DX100" s="2058">
        <f>'Paso 1.1'!BG87*Tiempos!$H$83</f>
        <v>0</v>
      </c>
      <c r="DY100" s="2058">
        <f>'Paso 1.1'!BH87*Tiempos!$H$83</f>
        <v>0</v>
      </c>
      <c r="DZ100" s="2058">
        <f>'Paso 1.1'!BI87*Tiempos!$H$83</f>
        <v>0</v>
      </c>
      <c r="EA100" s="2058">
        <f>'Paso 1.1'!BJ87*Tiempos!$H$83</f>
        <v>0</v>
      </c>
      <c r="EB100" s="2058">
        <f>'Paso 1.1'!BK87*Tiempos!$H$83</f>
        <v>0</v>
      </c>
      <c r="EC100" s="2058">
        <f>'Paso 1.1'!BL87*Tiempos!$H$83</f>
        <v>0</v>
      </c>
      <c r="ED100" s="2058">
        <f>'Paso 1.1'!BM87*Tiempos!$H$83</f>
        <v>0</v>
      </c>
      <c r="EE100" s="2058">
        <f>'Paso 1.1'!BN87*Tiempos!$H$83</f>
        <v>0</v>
      </c>
      <c r="EF100" s="2058">
        <f>'Paso 1.1'!BO87*Tiempos!$H$83</f>
        <v>0</v>
      </c>
      <c r="EG100" s="2058">
        <f>'Paso 1.1'!BP87*Tiempos!$H$83</f>
        <v>0</v>
      </c>
      <c r="EH100" s="2058">
        <f>'Paso 1.1'!BQ87*Tiempos!$H$83</f>
        <v>0</v>
      </c>
      <c r="EI100" s="2058">
        <f>'Paso 1.1'!BR87*Tiempos!$H$83</f>
        <v>0</v>
      </c>
      <c r="EJ100" s="2058">
        <f>'Paso 1.1'!BS87*Tiempos!$H$83</f>
        <v>0</v>
      </c>
      <c r="EK100" s="2058">
        <f>'Paso 1.1'!BT87*Tiempos!$H$83</f>
        <v>0</v>
      </c>
      <c r="EL100" s="2058">
        <f>'Paso 1.1'!BU87*Tiempos!$H$83</f>
        <v>0</v>
      </c>
      <c r="EM100" s="2058">
        <f>'Paso 1.1'!BV87*Tiempos!$H$83</f>
        <v>0</v>
      </c>
      <c r="EN100" s="2058">
        <f>'Paso 1.1'!BW87*Tiempos!$H$83</f>
        <v>0</v>
      </c>
      <c r="EO100" s="2058">
        <f>'Paso 1.1'!BX87*Tiempos!$H$83</f>
        <v>0</v>
      </c>
      <c r="EP100" s="2058">
        <f>'Paso 1.1'!BY87*Tiempos!$H$83</f>
        <v>0</v>
      </c>
      <c r="EQ100" s="2058">
        <f>'Paso 1.1'!BZ87*Tiempos!$H$83</f>
        <v>0</v>
      </c>
      <c r="ER100" s="2058">
        <f>'Paso 1.1'!CA87*Tiempos!$H$83</f>
        <v>0</v>
      </c>
      <c r="ES100" s="2058">
        <f>'Paso 1.1'!CB87*Tiempos!$H$83</f>
        <v>0</v>
      </c>
      <c r="ET100" s="2058">
        <f>'Paso 1.1'!CC87*Tiempos!$H$83</f>
        <v>0</v>
      </c>
      <c r="EU100" s="2058">
        <f>'Paso 1.1'!CD87*Tiempos!$H$83</f>
        <v>0</v>
      </c>
      <c r="EV100" s="2058">
        <f>'Paso 1.1'!CE87*Tiempos!$H$83</f>
        <v>0</v>
      </c>
      <c r="EW100" s="2058">
        <f>'Paso 1.1'!CF87*Tiempos!$H$83</f>
        <v>0</v>
      </c>
      <c r="EX100" s="2058">
        <f>'Paso 1.1'!CG87*Tiempos!$H$83</f>
        <v>0</v>
      </c>
      <c r="EY100" s="2058">
        <f>'Paso 1.1'!CH87*Tiempos!$H$83</f>
        <v>0</v>
      </c>
      <c r="EZ100" s="2058">
        <f>'Paso 1.1'!CI87*Tiempos!$H$83</f>
        <v>0</v>
      </c>
      <c r="FA100" s="2058">
        <f>'Paso 1.1'!CJ87*Tiempos!$H$83</f>
        <v>0</v>
      </c>
      <c r="FB100" s="2058">
        <f>'Paso 1.1'!CK87*Tiempos!$H$83</f>
        <v>0</v>
      </c>
      <c r="FC100" s="2058">
        <f>'Paso 1.1'!CL87*Tiempos!$H$83</f>
        <v>0</v>
      </c>
      <c r="FD100" s="2058">
        <f>'Paso 1.1'!CM87*Tiempos!$H$83</f>
        <v>0</v>
      </c>
      <c r="FE100" s="2058">
        <f>'Paso 1.1'!CN87*Tiempos!$H$83</f>
        <v>0</v>
      </c>
      <c r="FF100" s="2058">
        <f>'Paso 1.1'!CO87*Tiempos!$H$83</f>
        <v>0</v>
      </c>
      <c r="FG100" s="2058">
        <f>'Paso 1.1'!CP87*Tiempos!$H$83</f>
        <v>0</v>
      </c>
      <c r="FH100" s="2058">
        <f>'Paso 1.1'!CQ87*Tiempos!$H$83</f>
        <v>0</v>
      </c>
      <c r="FI100" s="2058">
        <f>'Paso 1.1'!CR87*Tiempos!$H$83</f>
        <v>0</v>
      </c>
      <c r="FJ100" s="2058">
        <f>'Paso 1.1'!CS87*Tiempos!$H$83</f>
        <v>0</v>
      </c>
      <c r="FK100" s="2058">
        <f>'Paso 1.1'!CT87*Tiempos!$H$83</f>
        <v>0</v>
      </c>
      <c r="FL100" s="2058">
        <f>'Paso 1.1'!CU87*Tiempos!$H$83</f>
        <v>0</v>
      </c>
      <c r="FM100" s="2058">
        <f>'Paso 1.1'!CV87*Tiempos!$H$83</f>
        <v>0</v>
      </c>
      <c r="FN100" s="2058">
        <f>'Paso 1.1'!CW87*Tiempos!$H$83</f>
        <v>0</v>
      </c>
      <c r="FO100" s="2058">
        <f>'Paso 1.1'!CX87*Tiempos!$H$83</f>
        <v>0</v>
      </c>
      <c r="FP100" s="2058">
        <f>'Paso 1.1'!CY87*Tiempos!$H$83</f>
        <v>0</v>
      </c>
      <c r="FQ100" s="2058">
        <f>'Paso 1.1'!CZ87*Tiempos!$H$83</f>
        <v>0</v>
      </c>
      <c r="FR100" s="2058">
        <f>'Paso 1.1'!DA87*Tiempos!$H$83</f>
        <v>0</v>
      </c>
      <c r="FS100" s="2058">
        <f>'Paso 1.1'!DB87*Tiempos!$H$83</f>
        <v>0</v>
      </c>
      <c r="FT100" s="2058">
        <f>'Paso 1.1'!DC87*Tiempos!$H$83</f>
        <v>0</v>
      </c>
      <c r="FU100" s="2058">
        <f>'Paso 1.1'!DD87*Tiempos!$H$83</f>
        <v>0</v>
      </c>
      <c r="FV100" s="2058">
        <f>'Paso 1.1'!DE87*Tiempos!$H$83</f>
        <v>0</v>
      </c>
      <c r="FW100" s="2058">
        <f>'Paso 1.1'!DF87*Tiempos!$H$83</f>
        <v>0</v>
      </c>
      <c r="FX100" s="2058">
        <f>'Paso 1.1'!DG87*Tiempos!$H$83</f>
        <v>0</v>
      </c>
      <c r="FY100" s="2058">
        <f>'Paso 1.1'!DH87*Tiempos!$H$83</f>
        <v>0</v>
      </c>
      <c r="FZ100" s="2058">
        <f>'Paso 1.1'!DI87*Tiempos!$H$83</f>
        <v>0</v>
      </c>
      <c r="GA100" s="2058">
        <f>'Paso 1.1'!DJ87*Tiempos!$H$83</f>
        <v>0</v>
      </c>
      <c r="GB100" s="2058">
        <f>'Paso 1.1'!DK87*Tiempos!$H$83</f>
        <v>0</v>
      </c>
      <c r="GC100" s="2058">
        <f>'Paso 1.1'!DL87*Tiempos!$H$83</f>
        <v>0</v>
      </c>
      <c r="GD100" s="2058">
        <f>'Paso 1.1'!DM87*Tiempos!$H$83</f>
        <v>0</v>
      </c>
      <c r="GE100" s="2058">
        <f>'Paso 1.1'!DN87*Tiempos!$H$83</f>
        <v>0</v>
      </c>
      <c r="GF100" s="2058">
        <f>'Paso 1.1'!DO87*Tiempos!$H$83</f>
        <v>0</v>
      </c>
      <c r="GG100" s="2058">
        <f>'Paso 1.1'!DP87*Tiempos!$H$83</f>
        <v>0</v>
      </c>
      <c r="GH100" s="2058">
        <f>'Paso 1.1'!DQ87*Tiempos!$H$83</f>
        <v>0</v>
      </c>
      <c r="GI100" s="2058">
        <f>'Paso 1.1'!DR87*Tiempos!$H$83</f>
        <v>0</v>
      </c>
      <c r="GJ100" s="2058">
        <f>'Paso 1.1'!DS87*Tiempos!$H$83</f>
        <v>0</v>
      </c>
      <c r="GK100" s="2058">
        <f>'Paso 1.1'!DT87*Tiempos!$H$83</f>
        <v>0</v>
      </c>
      <c r="GL100" s="2058">
        <f>'Paso 1.1'!DU87*Tiempos!$H$83</f>
        <v>0</v>
      </c>
      <c r="GM100" s="2058">
        <f>'Paso 1.1'!DV87*Tiempos!$H$83</f>
        <v>0</v>
      </c>
      <c r="GN100" s="2058">
        <f>'Paso 1.1'!DW87*Tiempos!$H$83</f>
        <v>0</v>
      </c>
      <c r="GO100" s="2058">
        <f>'Paso 1.1'!DX87*Tiempos!$H$83</f>
        <v>0</v>
      </c>
      <c r="GP100" s="2058">
        <f>'Paso 1.1'!DY87*Tiempos!$H$83</f>
        <v>0</v>
      </c>
      <c r="GQ100" s="2058">
        <f>'Paso 1.1'!DZ87*Tiempos!$H$83</f>
        <v>0</v>
      </c>
      <c r="GR100" s="2058">
        <f>'Paso 1.1'!EA87*Tiempos!$H$83</f>
        <v>0</v>
      </c>
      <c r="GS100" s="2058">
        <f>'Paso 1.1'!EB87*Tiempos!$H$83</f>
        <v>0</v>
      </c>
      <c r="GT100" s="2058">
        <f>'Paso 1.1'!EC87*Tiempos!$H$83</f>
        <v>0</v>
      </c>
      <c r="GU100" s="2058">
        <f>'Paso 1.1'!ED87*Tiempos!$H$83</f>
        <v>0</v>
      </c>
      <c r="GV100" s="2058">
        <f>'Paso 1.1'!EE87*Tiempos!$H$83</f>
        <v>0</v>
      </c>
      <c r="GW100" s="2058">
        <f>'Paso 1.1'!EF87*Tiempos!$H$83</f>
        <v>0</v>
      </c>
      <c r="GX100" s="2058">
        <f>'Paso 1.1'!EG87*Tiempos!$H$83</f>
        <v>0</v>
      </c>
      <c r="GY100" s="2058">
        <f>'Paso 1.1'!EH87*Tiempos!$H$83</f>
        <v>0</v>
      </c>
      <c r="GZ100" s="2058">
        <f>'Paso 1.1'!EI87*Tiempos!$H$83</f>
        <v>0</v>
      </c>
      <c r="HA100" s="2058">
        <f>'Paso 1.1'!EJ87*Tiempos!$H$83</f>
        <v>0</v>
      </c>
      <c r="HB100" s="2058">
        <f>'Paso 1.1'!EK87*Tiempos!$H$83</f>
        <v>0</v>
      </c>
      <c r="HC100" s="2058">
        <f>'Paso 1.1'!EL87*Tiempos!$H$83</f>
        <v>0</v>
      </c>
      <c r="HD100" s="2058">
        <f>'Paso 1.1'!EM87*Tiempos!$H$83</f>
        <v>0</v>
      </c>
      <c r="HE100" s="2058">
        <f>'Paso 1.1'!EN87*Tiempos!$H$83</f>
        <v>0</v>
      </c>
      <c r="HF100" s="2058">
        <f>'Paso 1.1'!EO87*Tiempos!$H$83</f>
        <v>0</v>
      </c>
      <c r="HG100" s="2058">
        <f>'Paso 1.1'!EP87*Tiempos!$H$83</f>
        <v>0</v>
      </c>
      <c r="HH100" s="2058">
        <f>'Paso 1.1'!EQ87*Tiempos!$H$83</f>
        <v>0</v>
      </c>
      <c r="HI100" s="2058">
        <f>'Paso 1.1'!ER87*Tiempos!$H$83</f>
        <v>0</v>
      </c>
      <c r="HJ100" s="2058">
        <f>'Paso 1.1'!ES87*Tiempos!$H$83</f>
        <v>0</v>
      </c>
      <c r="HK100" s="2058">
        <f>'Paso 1.1'!ET87*Tiempos!$H$83</f>
        <v>0</v>
      </c>
      <c r="HL100" s="2058">
        <f>'Paso 1.1'!EU87*Tiempos!$H$83</f>
        <v>0</v>
      </c>
      <c r="HM100" s="2058">
        <f>'Paso 1.1'!EV87*Tiempos!$H$83</f>
        <v>0</v>
      </c>
      <c r="HN100" s="2058">
        <f>'Paso 1.1'!EW87*Tiempos!$H$83</f>
        <v>0</v>
      </c>
      <c r="HO100" s="2058">
        <f>'Paso 1.1'!EX87*Tiempos!$H$83</f>
        <v>0</v>
      </c>
      <c r="HP100" s="2058">
        <f>'Paso 1.1'!EY87*Tiempos!$H$83</f>
        <v>0</v>
      </c>
      <c r="HQ100" s="2058">
        <f>'Paso 1.1'!EZ87*Tiempos!$H$83</f>
        <v>0</v>
      </c>
      <c r="HR100" s="2058">
        <f>'Paso 1.1'!FA87*Tiempos!$H$83</f>
        <v>0</v>
      </c>
      <c r="HS100" s="2058">
        <f>'Paso 1.1'!FB87*Tiempos!$H$83</f>
        <v>0</v>
      </c>
      <c r="HT100" s="2058">
        <f>'Paso 1.1'!FC87*Tiempos!$H$83</f>
        <v>0</v>
      </c>
      <c r="HU100" s="2058">
        <f>'Paso 1.1'!FD87*Tiempos!$H$83</f>
        <v>0</v>
      </c>
      <c r="HV100" s="2058">
        <f>'Paso 1.1'!FE87*Tiempos!$H$83</f>
        <v>0</v>
      </c>
      <c r="HW100" s="2058">
        <f>'Paso 1.1'!FF87*Tiempos!$H$83</f>
        <v>0</v>
      </c>
      <c r="HX100" s="2058">
        <f>'Paso 1.1'!FG87*Tiempos!$H$83</f>
        <v>0</v>
      </c>
      <c r="HY100" s="2058">
        <f>'Paso 1.1'!FH87*Tiempos!$H$83</f>
        <v>0</v>
      </c>
      <c r="HZ100" s="2058">
        <f>'Paso 1.1'!FI87*Tiempos!$H$83</f>
        <v>0</v>
      </c>
      <c r="IA100" s="2058">
        <f>'Paso 1.1'!FJ87*Tiempos!$H$83</f>
        <v>0</v>
      </c>
      <c r="IB100" s="2058">
        <f>'Paso 1.1'!FK87*Tiempos!$H$83</f>
        <v>0</v>
      </c>
      <c r="IC100" s="2058">
        <f>'Paso 1.1'!FL87*Tiempos!$H$83</f>
        <v>0</v>
      </c>
      <c r="ID100" s="2058">
        <f>'Paso 1.1'!FM87*Tiempos!$H$83</f>
        <v>0</v>
      </c>
      <c r="IE100" s="2058">
        <f>'Paso 1.1'!FN87*Tiempos!$H$83</f>
        <v>0</v>
      </c>
      <c r="IF100" s="2058">
        <f>'Paso 1.1'!FO87*Tiempos!$H$83</f>
        <v>0</v>
      </c>
      <c r="IG100" s="2058">
        <f>'Paso 1.1'!FP87*Tiempos!$H$83</f>
        <v>0</v>
      </c>
      <c r="IH100" s="2058">
        <f>'Paso 1.1'!FQ87*Tiempos!$H$83</f>
        <v>0</v>
      </c>
      <c r="II100" s="2058">
        <f>'Paso 1.1'!FR87*Tiempos!$H$83</f>
        <v>0</v>
      </c>
      <c r="IJ100" s="2058">
        <f>'Paso 1.1'!FS87*Tiempos!$H$83</f>
        <v>0</v>
      </c>
      <c r="IK100" s="2058">
        <f>'Paso 1.1'!FT87*Tiempos!$H$83</f>
        <v>0</v>
      </c>
      <c r="IL100" s="2058">
        <f>'Paso 1.1'!FU87*Tiempos!$H$83</f>
        <v>0</v>
      </c>
      <c r="IM100" s="2058">
        <f>'Paso 1.1'!FV87*Tiempos!$H$83</f>
        <v>0</v>
      </c>
      <c r="IN100" s="2058">
        <f>'Paso 1.1'!FW87*Tiempos!$H$83</f>
        <v>0</v>
      </c>
      <c r="IO100" s="2058">
        <f>'Paso 1.1'!FX87*Tiempos!$H$83</f>
        <v>0</v>
      </c>
      <c r="IP100" s="2058">
        <f>'Paso 1.1'!FY87*Tiempos!$H$83</f>
        <v>0</v>
      </c>
      <c r="IQ100" s="2058">
        <f>'Paso 1.1'!FZ87*Tiempos!$H$83</f>
        <v>0</v>
      </c>
      <c r="IR100" s="2058">
        <f>'Paso 1.1'!GA87*Tiempos!$H$83</f>
        <v>0</v>
      </c>
      <c r="IS100" s="2058">
        <f>'Paso 1.1'!GB87*Tiempos!$H$83</f>
        <v>0</v>
      </c>
      <c r="IT100" s="2058">
        <f>'Paso 1.1'!GC87*Tiempos!$H$83</f>
        <v>0</v>
      </c>
      <c r="IU100" s="2058">
        <f>'Paso 1.1'!GD87*Tiempos!$H$83</f>
        <v>0</v>
      </c>
      <c r="IV100" s="2058">
        <f>'Paso 1.1'!GE87*Tiempos!$H$83</f>
        <v>0</v>
      </c>
      <c r="IW100" s="2058">
        <f>'Paso 1.1'!GF87*Tiempos!$H$83</f>
        <v>0</v>
      </c>
      <c r="IX100" s="2058">
        <f>'Paso 1.1'!GG87*Tiempos!$H$83</f>
        <v>0</v>
      </c>
      <c r="IY100" s="2058">
        <f>'Paso 1.1'!GH87*Tiempos!$H$83</f>
        <v>0</v>
      </c>
      <c r="IZ100" s="2058">
        <f>'Paso 1.1'!GI87*Tiempos!$H$83</f>
        <v>0</v>
      </c>
      <c r="JA100" s="2054"/>
      <c r="JB100" s="2054"/>
      <c r="JC100" s="2054"/>
      <c r="JD100" s="2054"/>
      <c r="JE100" s="2054"/>
      <c r="JF100" s="2054"/>
      <c r="JG100" s="2054"/>
      <c r="JH100" s="2054"/>
      <c r="JI100" s="2054"/>
      <c r="JJ100" s="2054"/>
      <c r="JK100" s="2054"/>
      <c r="JL100" s="2054"/>
      <c r="JM100" s="2054"/>
      <c r="JN100" s="2054"/>
      <c r="JO100" s="2054"/>
      <c r="JP100" s="2054"/>
      <c r="JQ100" s="2054"/>
      <c r="JR100" s="2058"/>
      <c r="JS100" s="2058"/>
      <c r="JT100" s="2058"/>
      <c r="JU100" s="2058"/>
      <c r="JV100" s="2058"/>
      <c r="JW100" s="2058"/>
      <c r="JX100" s="2058"/>
      <c r="JY100" s="2058"/>
      <c r="JZ100" s="2058"/>
      <c r="KA100" s="2058"/>
      <c r="KB100" s="2058"/>
      <c r="KC100" s="2058"/>
      <c r="KD100" s="2058"/>
      <c r="KE100" s="2058"/>
      <c r="KF100" s="2058"/>
      <c r="KG100" s="2058"/>
      <c r="KH100" s="2058"/>
      <c r="KI100" s="1576">
        <f>'Paso 1.1'!E87*Tiempos!$P$83</f>
        <v>58.570666666666661</v>
      </c>
      <c r="KJ100" s="1576">
        <f>'Paso 1.1'!F87*Tiempos!$P$83</f>
        <v>58.593363230346085</v>
      </c>
      <c r="KK100" s="1576">
        <f>'Paso 1.1'!G87*Tiempos!$P$83</f>
        <v>58.616068589110682</v>
      </c>
      <c r="KL100" s="1576">
        <f>'Paso 1.1'!H87*Tiempos!$P$83</f>
        <v>58.638782746368641</v>
      </c>
      <c r="KM100" s="1576">
        <f>'Paso 1.1'!I87*Tiempos!$P$83</f>
        <v>58.661505705529422</v>
      </c>
      <c r="KN100" s="1576">
        <f>'Paso 1.1'!J87*Tiempos!$P$83</f>
        <v>58.684237470003836</v>
      </c>
      <c r="KO100" s="1576">
        <f>'Paso 1.1'!K87*Tiempos!$P$83</f>
        <v>58.706978043204003</v>
      </c>
      <c r="KP100" s="1576">
        <f>'Paso 1.1'!L87*Tiempos!$P$83</f>
        <v>58.72972742854337</v>
      </c>
      <c r="KQ100" s="1576">
        <f>'Paso 1.1'!M87*Tiempos!$P$83</f>
        <v>58.752485629436713</v>
      </c>
      <c r="KR100" s="1576">
        <f>'Paso 1.1'!N87*Tiempos!$P$83</f>
        <v>58.775252649300093</v>
      </c>
      <c r="KS100" s="1576">
        <f>'Paso 1.1'!O87*Tiempos!$P$83</f>
        <v>58.79802849155098</v>
      </c>
      <c r="KT100" s="1576">
        <f>'Paso 1.1'!P87*Tiempos!$P$83</f>
        <v>58.820813159608079</v>
      </c>
      <c r="KU100" s="1576">
        <f>'Paso 1.1'!Q87*Tiempos!$P$83</f>
        <v>58.843606656891453</v>
      </c>
      <c r="KV100" s="1576">
        <f>'Paso 1.1'!R87*Tiempos!$P$83</f>
        <v>58.866408986822492</v>
      </c>
      <c r="KW100" s="1576">
        <f>'Paso 1.1'!S87*Tiempos!$P$83</f>
        <v>58.889220152823931</v>
      </c>
      <c r="KX100" s="1576">
        <f>'Paso 1.1'!T87*Tiempos!$P$83</f>
        <v>58.912040158319805</v>
      </c>
      <c r="KY100" s="1576">
        <f>'Paso 1.1'!U87*Tiempos!$P$83</f>
        <v>58.934869006735461</v>
      </c>
      <c r="KZ100" s="1576"/>
      <c r="LA100" s="1576"/>
      <c r="LB100" s="1576"/>
      <c r="LC100" s="1576"/>
      <c r="LD100" s="1576"/>
      <c r="LE100" s="1576"/>
      <c r="LF100" s="1576"/>
      <c r="LG100" s="1576"/>
      <c r="LH100" s="1576"/>
      <c r="LI100" s="1576"/>
      <c r="LJ100" s="1576"/>
      <c r="LK100" s="1576"/>
      <c r="LL100" s="1576"/>
      <c r="LM100" s="1576"/>
      <c r="LN100" s="1576"/>
      <c r="LO100" s="1576"/>
      <c r="LP100" s="1576"/>
      <c r="LQ100" s="1576"/>
      <c r="LR100" s="1576"/>
      <c r="LS100" s="1576"/>
      <c r="LT100" s="1576"/>
      <c r="LU100" s="1576"/>
      <c r="LV100" s="1576"/>
      <c r="LW100" s="1576"/>
      <c r="LX100" s="1576"/>
      <c r="LY100" s="1576"/>
      <c r="LZ100" s="1576"/>
      <c r="MA100" s="1576"/>
      <c r="MB100" s="1576"/>
      <c r="MC100" s="1576"/>
      <c r="MD100" s="1576"/>
      <c r="ME100" s="1576"/>
      <c r="MF100" s="1576"/>
      <c r="MG100" s="1576"/>
      <c r="MH100" s="1576"/>
      <c r="MI100" s="1576"/>
      <c r="MJ100" s="1576"/>
      <c r="MK100" s="1576"/>
      <c r="ML100" s="1576"/>
      <c r="MM100" s="1576"/>
      <c r="MN100" s="1576"/>
      <c r="MO100" s="1576"/>
      <c r="MP100" s="1576"/>
      <c r="MQ100" s="1576"/>
      <c r="MR100" s="1576"/>
      <c r="MS100" s="1576"/>
      <c r="MT100" s="1576"/>
      <c r="MU100" s="1576"/>
      <c r="MV100" s="1576"/>
      <c r="MW100" s="1576"/>
      <c r="MX100" s="1576"/>
      <c r="MY100" s="1576">
        <f>'Paso 1.1'!E87*Tiempos!$L$83</f>
        <v>32.945999999999998</v>
      </c>
      <c r="MZ100" s="1576">
        <f>'Paso 1.1'!F87*Tiempos!$L$83</f>
        <v>32.958766817069673</v>
      </c>
      <c r="NA100" s="1576">
        <f>'Paso 1.1'!G87*Tiempos!$L$83</f>
        <v>32.971538581374759</v>
      </c>
      <c r="NB100" s="1576">
        <f>'Paso 1.1'!H87*Tiempos!$L$83</f>
        <v>32.984315294832363</v>
      </c>
      <c r="NC100" s="1576">
        <f>'Paso 1.1'!I87*Tiempos!$L$83</f>
        <v>32.997096959360306</v>
      </c>
      <c r="ND100" s="1576">
        <f>'Paso 1.1'!J87*Tiempos!$L$83</f>
        <v>33.009883576877158</v>
      </c>
      <c r="NE100" s="1576">
        <f>'Paso 1.1'!K87*Tiempos!$L$83</f>
        <v>33.022675149302252</v>
      </c>
      <c r="NF100" s="1576">
        <f>'Paso 1.1'!L87*Tiempos!$L$83</f>
        <v>33.035471678555652</v>
      </c>
      <c r="NG100" s="1576">
        <f>'Paso 1.1'!M87*Tiempos!$L$83</f>
        <v>33.048273166558154</v>
      </c>
      <c r="NH100" s="1576">
        <f>'Paso 1.1'!N87*Tiempos!$L$83</f>
        <v>33.061079615231307</v>
      </c>
      <c r="NI100" s="1576">
        <f>'Paso 1.1'!O87*Tiempos!$L$83</f>
        <v>33.073891026497428</v>
      </c>
      <c r="NJ100" s="1576">
        <f>'Paso 1.1'!P87*Tiempos!$L$83</f>
        <v>33.086707402279544</v>
      </c>
      <c r="NK100" s="1576">
        <f>'Paso 1.1'!Q87*Tiempos!$L$83</f>
        <v>33.099528744501441</v>
      </c>
      <c r="NL100" s="1576">
        <f>'Paso 1.1'!R87*Tiempos!$L$83</f>
        <v>33.112355055087654</v>
      </c>
      <c r="NM100" s="1576">
        <f>'Paso 1.1'!S87*Tiempos!$L$83</f>
        <v>33.125186335963463</v>
      </c>
      <c r="NN100" s="1576">
        <f>'Paso 1.1'!T87*Tiempos!$L$83</f>
        <v>33.138022589054891</v>
      </c>
      <c r="NO100" s="1576">
        <f>'Paso 1.1'!U87*Tiempos!$L$83</f>
        <v>33.150863816288698</v>
      </c>
      <c r="NP100" s="1576"/>
      <c r="NQ100" s="1576"/>
      <c r="NR100" s="1576"/>
      <c r="NS100" s="1576"/>
      <c r="NT100" s="1576"/>
      <c r="NU100" s="1576"/>
      <c r="NV100" s="1576"/>
      <c r="NW100" s="1576"/>
      <c r="NX100" s="1576"/>
      <c r="NY100" s="1576"/>
      <c r="NZ100" s="1576"/>
      <c r="OA100" s="1576"/>
      <c r="OB100" s="1576"/>
      <c r="OC100" s="1576"/>
      <c r="OD100" s="1576"/>
      <c r="OE100" s="1576"/>
      <c r="OF100" s="1576"/>
      <c r="OG100" s="1576"/>
      <c r="OH100" s="1576"/>
      <c r="OI100" s="1576"/>
      <c r="OJ100" s="1576"/>
      <c r="OK100" s="1576"/>
      <c r="OL100" s="1576"/>
      <c r="OM100" s="1576"/>
      <c r="ON100" s="1576"/>
      <c r="OO100" s="1576"/>
      <c r="OP100" s="1576"/>
      <c r="OQ100" s="1576"/>
      <c r="OR100" s="1576"/>
      <c r="OS100" s="1576"/>
      <c r="OT100" s="1576"/>
      <c r="OU100" s="1576"/>
      <c r="OV100" s="1576"/>
      <c r="OW100" s="1576"/>
      <c r="OX100" s="1576"/>
      <c r="OY100" s="1576"/>
      <c r="OZ100" s="1576"/>
      <c r="PA100" s="1576"/>
      <c r="PB100" s="1576"/>
      <c r="PC100" s="1576"/>
      <c r="PD100" s="1576"/>
      <c r="PE100" s="1576"/>
      <c r="PF100" s="1576"/>
      <c r="PG100" s="1576"/>
      <c r="PH100" s="1576"/>
      <c r="PI100" s="1576"/>
      <c r="PJ100" s="1576"/>
      <c r="PK100" s="1576"/>
      <c r="PL100" s="1576"/>
      <c r="PM100" s="1576"/>
      <c r="PN100" s="1576"/>
      <c r="PO100" s="1576"/>
      <c r="PP100" s="1576"/>
      <c r="PQ100" s="1576"/>
      <c r="PR100" s="1576"/>
      <c r="PS100" s="1576"/>
      <c r="PT100" s="1576"/>
      <c r="PU100" s="1576"/>
      <c r="PV100" s="1576"/>
      <c r="PW100" s="1576"/>
      <c r="PX100" s="1576"/>
      <c r="PY100" s="1576"/>
      <c r="PZ100" s="1576"/>
      <c r="QA100" s="1576"/>
      <c r="QB100" s="1576"/>
      <c r="QC100" s="1576"/>
      <c r="QD100" s="1576"/>
      <c r="QE100" s="1576"/>
      <c r="QF100" s="1576"/>
      <c r="QG100" s="1576"/>
      <c r="QH100" s="1576"/>
      <c r="QI100" s="1576"/>
      <c r="QJ100" s="1576"/>
      <c r="QK100" s="1576"/>
      <c r="QL100" s="1576"/>
      <c r="QM100" s="1576"/>
      <c r="QN100" s="1576"/>
      <c r="QO100" s="1576"/>
      <c r="QP100" s="1576"/>
      <c r="QQ100" s="1576"/>
      <c r="QR100" s="1576"/>
      <c r="QS100" s="1576"/>
      <c r="QT100" s="1576"/>
      <c r="QU100" s="1576"/>
      <c r="QV100" s="1576"/>
      <c r="QW100" s="1576"/>
      <c r="QX100" s="1576"/>
      <c r="QY100" s="1576"/>
      <c r="QZ100" s="1576"/>
      <c r="RA100" s="1576"/>
      <c r="RB100" s="1576"/>
      <c r="RC100" s="1576"/>
      <c r="RD100" s="1576"/>
      <c r="RE100" s="1576"/>
      <c r="RF100" s="1576"/>
      <c r="RG100" s="1576"/>
      <c r="RH100" s="1576"/>
      <c r="RI100" s="1576"/>
      <c r="RJ100" s="1576"/>
      <c r="RK100" s="1576"/>
      <c r="RL100" s="1576"/>
      <c r="RM100" s="1576"/>
      <c r="RN100" s="1576"/>
      <c r="RO100" s="1576"/>
      <c r="RP100" s="1576"/>
      <c r="RQ100" s="1576"/>
      <c r="RR100" s="1576"/>
      <c r="RS100" s="1576"/>
      <c r="RT100" s="1576"/>
      <c r="RU100" s="1576"/>
      <c r="RV100" s="1576"/>
      <c r="RW100" s="1576"/>
      <c r="RX100" s="1576"/>
      <c r="RY100" s="1576"/>
      <c r="RZ100" s="1576"/>
      <c r="SA100" s="1576"/>
      <c r="SB100" s="1576"/>
      <c r="SC100" s="1576"/>
      <c r="SD100" s="1576"/>
      <c r="SE100" s="1576"/>
      <c r="SF100" s="1576"/>
      <c r="SG100" s="1576"/>
      <c r="SH100" s="1576"/>
      <c r="SI100" s="1576"/>
      <c r="SJ100" s="1576"/>
      <c r="SK100" s="1576"/>
      <c r="SL100" s="1576"/>
      <c r="SM100" s="1576"/>
      <c r="SN100" s="1576"/>
      <c r="SO100" s="1576"/>
      <c r="SP100" s="1576"/>
      <c r="SQ100" s="1576"/>
      <c r="SR100" s="1576"/>
      <c r="SS100" s="1576"/>
      <c r="ST100" s="1576"/>
      <c r="SU100" s="1576"/>
      <c r="SV100" s="1576"/>
      <c r="SW100" s="1576"/>
      <c r="SX100" s="1576"/>
      <c r="SY100" s="1576"/>
      <c r="SZ100" s="1576"/>
      <c r="TA100" s="1576"/>
      <c r="TB100" s="1576"/>
      <c r="TC100" s="1576"/>
      <c r="TD100" s="1576"/>
      <c r="TE100" s="1576"/>
      <c r="TF100" s="1576"/>
      <c r="TG100" s="1576"/>
      <c r="TH100" s="1576"/>
      <c r="TI100" s="1576"/>
      <c r="TJ100" s="1576"/>
      <c r="TK100" s="1576"/>
      <c r="TL100" s="1576"/>
      <c r="TM100" s="1576"/>
      <c r="TN100" s="1576"/>
      <c r="TO100" s="1576"/>
      <c r="TP100" s="1576"/>
      <c r="TQ100" s="1576"/>
      <c r="TR100" s="1576"/>
      <c r="TS100" s="1576"/>
      <c r="TT100" s="1576"/>
      <c r="TU100" s="1576"/>
      <c r="TV100" s="1576"/>
      <c r="TW100" s="1576"/>
      <c r="TX100" s="1576"/>
      <c r="TY100" s="1576"/>
      <c r="TZ100" s="1576"/>
      <c r="UA100" s="1576"/>
      <c r="UB100" s="1576"/>
      <c r="UC100" s="1576"/>
      <c r="UD100" s="1576"/>
      <c r="UE100" s="1576"/>
      <c r="UF100" s="1576"/>
      <c r="UG100" s="1576"/>
      <c r="UH100" s="1576"/>
      <c r="UI100" s="1576"/>
      <c r="UJ100" s="1576"/>
      <c r="UK100" s="1576"/>
      <c r="UL100" s="1576"/>
      <c r="UM100" s="1576"/>
      <c r="UN100" s="1576"/>
      <c r="UO100" s="1576"/>
      <c r="UP100" s="1576"/>
      <c r="UQ100" s="1576"/>
      <c r="UR100" s="1576"/>
      <c r="US100" s="1576"/>
      <c r="UT100" s="1576"/>
      <c r="UU100" s="1576"/>
      <c r="UV100" s="1576"/>
      <c r="UW100" s="1576"/>
      <c r="UX100" s="1576"/>
      <c r="UY100" s="1576"/>
      <c r="UZ100" s="1576"/>
      <c r="VA100" s="1576"/>
      <c r="VB100" s="1576"/>
      <c r="VC100" s="1576"/>
      <c r="VD100" s="1576"/>
      <c r="VE100" s="1576"/>
      <c r="VF100" s="1576"/>
      <c r="VG100" s="1576"/>
      <c r="VH100" s="1576"/>
      <c r="VI100" s="1576"/>
      <c r="VJ100" s="1576"/>
      <c r="VK100" s="1576"/>
    </row>
    <row r="101" spans="1:583" ht="40.5" x14ac:dyDescent="0.25">
      <c r="B101" s="1610" t="s">
        <v>1278</v>
      </c>
      <c r="C101" s="1582" t="s">
        <v>2796</v>
      </c>
      <c r="D101" s="4710" t="s">
        <v>2165</v>
      </c>
      <c r="E101" s="4710">
        <v>0</v>
      </c>
      <c r="F101" s="2057"/>
      <c r="G101" s="2057"/>
      <c r="H101" s="2057"/>
      <c r="I101" s="2059"/>
      <c r="J101" s="2059"/>
      <c r="K101" s="2059"/>
      <c r="L101" s="2059"/>
      <c r="M101" s="2059"/>
      <c r="N101" s="2059"/>
      <c r="O101" s="2059"/>
      <c r="P101" s="2059"/>
      <c r="Q101" s="2059"/>
      <c r="R101" s="2059"/>
      <c r="S101" s="2059"/>
      <c r="T101" s="2059"/>
      <c r="U101" s="2059"/>
      <c r="V101" s="2059"/>
      <c r="W101" s="2059"/>
      <c r="X101" s="2059"/>
      <c r="Y101" s="2059"/>
      <c r="Z101" s="2059"/>
      <c r="AA101" s="2059"/>
      <c r="AB101" s="2059"/>
      <c r="AC101" s="2059"/>
      <c r="AD101" s="2059"/>
      <c r="AE101" s="2059"/>
      <c r="AF101" s="2059"/>
      <c r="AG101" s="2059"/>
      <c r="AH101" s="2059"/>
      <c r="AI101" s="2059"/>
      <c r="AJ101" s="2059"/>
      <c r="AK101" s="2059"/>
      <c r="AL101" s="2059"/>
      <c r="AM101" s="2059"/>
      <c r="AN101" s="2059"/>
      <c r="AO101" s="2059"/>
      <c r="AP101" s="2059"/>
      <c r="AQ101" s="2058"/>
      <c r="AR101" s="2058"/>
      <c r="AS101" s="2058"/>
      <c r="AT101" s="2058"/>
      <c r="AU101" s="2058"/>
      <c r="AV101" s="2058"/>
      <c r="AW101" s="2058"/>
      <c r="AX101" s="2058"/>
      <c r="AY101" s="2058"/>
      <c r="AZ101" s="2058"/>
      <c r="BA101" s="2058"/>
      <c r="BB101" s="2058"/>
      <c r="BC101" s="2058"/>
      <c r="BD101" s="2058"/>
      <c r="BE101" s="2058"/>
      <c r="BF101" s="2058"/>
      <c r="BG101" s="2058"/>
      <c r="BH101" s="2059"/>
      <c r="BI101" s="2059"/>
      <c r="BJ101" s="2059"/>
      <c r="BK101" s="2059"/>
      <c r="BL101" s="2059"/>
      <c r="BM101" s="2059"/>
      <c r="BN101" s="2059"/>
      <c r="BO101" s="2059"/>
      <c r="BP101" s="2059"/>
      <c r="BQ101" s="2059"/>
      <c r="BR101" s="2059"/>
      <c r="BS101" s="2059"/>
      <c r="BT101" s="2059"/>
      <c r="BU101" s="2059"/>
      <c r="BV101" s="2058">
        <f>'Paso 1.1'!E87*Tiempos!$H$84</f>
        <v>43.927999999999997</v>
      </c>
      <c r="BW101" s="2058">
        <f>'Paso 1.1'!F87*Tiempos!$H$84</f>
        <v>43.945022422759564</v>
      </c>
      <c r="BX101" s="2058">
        <f>'Paso 1.1'!G87*Tiempos!$H$84</f>
        <v>43.962051441833012</v>
      </c>
      <c r="BY101" s="2058">
        <f>'Paso 1.1'!H87*Tiempos!$H$84</f>
        <v>43.979087059776482</v>
      </c>
      <c r="BZ101" s="2058">
        <f>'Paso 1.1'!I87*Tiempos!$H$84</f>
        <v>43.99612927914707</v>
      </c>
      <c r="CA101" s="2058">
        <f>'Paso 1.1'!J87*Tiempos!$H$84</f>
        <v>44.013178102502877</v>
      </c>
      <c r="CB101" s="2058">
        <f>'Paso 1.1'!K87*Tiempos!$H$84</f>
        <v>44.030233532403003</v>
      </c>
      <c r="CC101" s="2058">
        <f>'Paso 1.1'!L87*Tiempos!$H$84</f>
        <v>44.047295571407531</v>
      </c>
      <c r="CD101" s="2058">
        <f>'Paso 1.1'!M87*Tiempos!$H$84</f>
        <v>44.064364222077536</v>
      </c>
      <c r="CE101" s="2058">
        <f>'Paso 1.1'!N87*Tiempos!$H$84</f>
        <v>44.081439486975071</v>
      </c>
      <c r="CF101" s="2058">
        <f>'Paso 1.1'!O87*Tiempos!$H$84</f>
        <v>44.098521368663235</v>
      </c>
      <c r="CG101" s="2058">
        <f>'Paso 1.1'!P87*Tiempos!$H$84</f>
        <v>44.115609869706063</v>
      </c>
      <c r="CH101" s="2058">
        <f>'Paso 1.1'!Q87*Tiempos!$H$84</f>
        <v>44.132704992668593</v>
      </c>
      <c r="CI101" s="2058">
        <f>'Paso 1.1'!R87*Tiempos!$H$84</f>
        <v>44.149806740116873</v>
      </c>
      <c r="CJ101" s="2058">
        <f>'Paso 1.1'!S87*Tiempos!$H$84</f>
        <v>44.16691511461795</v>
      </c>
      <c r="CK101" s="2058">
        <f>'Paso 1.1'!T87*Tiempos!$H$84</f>
        <v>44.184030118739855</v>
      </c>
      <c r="CL101" s="2058">
        <f>'Paso 1.1'!U87*Tiempos!$H$84</f>
        <v>44.201151755051598</v>
      </c>
      <c r="CM101" s="2058"/>
      <c r="CN101" s="2058"/>
      <c r="CO101" s="2058"/>
      <c r="CP101" s="1576"/>
      <c r="CQ101" s="1576"/>
      <c r="CR101" s="1576"/>
      <c r="CS101" s="1576"/>
      <c r="CT101" s="1576"/>
      <c r="CU101" s="1576"/>
      <c r="CV101" s="1576"/>
      <c r="CW101" s="1576"/>
      <c r="CX101" s="1576"/>
      <c r="CY101" s="1576"/>
      <c r="CZ101" s="1576"/>
      <c r="DA101" s="1576"/>
      <c r="DB101" s="1576"/>
      <c r="DC101" s="1576"/>
      <c r="DD101" s="1576"/>
      <c r="DE101" s="1576"/>
      <c r="DF101" s="1576"/>
      <c r="DG101" s="1576"/>
      <c r="DH101" s="1576"/>
      <c r="DI101" s="1576"/>
      <c r="DJ101" s="1576"/>
      <c r="DK101" s="1576"/>
      <c r="DL101" s="1576"/>
      <c r="DM101" s="1576"/>
      <c r="DN101" s="1576"/>
      <c r="DO101" s="1576"/>
      <c r="DP101" s="1576"/>
      <c r="DQ101" s="1576"/>
      <c r="DR101" s="1576"/>
      <c r="DS101" s="1576"/>
      <c r="DT101" s="1576"/>
      <c r="DU101" s="1576"/>
      <c r="DV101" s="1576"/>
      <c r="DW101" s="1576"/>
      <c r="DX101" s="1576"/>
      <c r="DY101" s="1576"/>
      <c r="DZ101" s="1576"/>
      <c r="EA101" s="1576"/>
      <c r="EB101" s="1576"/>
      <c r="EC101" s="1576"/>
      <c r="ED101" s="1576"/>
      <c r="EE101" s="1576"/>
      <c r="EF101" s="1576"/>
      <c r="EG101" s="1576"/>
      <c r="EH101" s="1576"/>
      <c r="EI101" s="1576"/>
      <c r="EJ101" s="1576"/>
      <c r="EK101" s="1576"/>
      <c r="EL101" s="1576"/>
      <c r="EM101" s="1576"/>
      <c r="EN101" s="1576"/>
      <c r="EO101" s="1576"/>
      <c r="EP101" s="1576"/>
      <c r="EQ101" s="1576"/>
      <c r="ER101" s="1576"/>
      <c r="ES101" s="1576"/>
      <c r="ET101" s="1576"/>
      <c r="EU101" s="1576"/>
      <c r="EV101" s="1576"/>
      <c r="EW101" s="1576"/>
      <c r="EX101" s="1576"/>
      <c r="EY101" s="1576"/>
      <c r="EZ101" s="1576"/>
      <c r="FA101" s="1576"/>
      <c r="FB101" s="1576"/>
      <c r="FC101" s="1576"/>
      <c r="FD101" s="1576"/>
      <c r="FE101" s="1576"/>
      <c r="FF101" s="1576"/>
      <c r="FG101" s="1576"/>
      <c r="FH101" s="1576"/>
      <c r="FI101" s="1576"/>
      <c r="FJ101" s="1576"/>
      <c r="FK101" s="1576"/>
      <c r="FL101" s="1576"/>
      <c r="FM101" s="1576"/>
      <c r="FN101" s="1576"/>
      <c r="FO101" s="1576"/>
      <c r="FP101" s="1576"/>
      <c r="FQ101" s="1576"/>
      <c r="FR101" s="1576"/>
      <c r="FS101" s="1576"/>
      <c r="FT101" s="1576"/>
      <c r="FU101" s="1576"/>
      <c r="FV101" s="1576"/>
      <c r="FW101" s="1576"/>
      <c r="FX101" s="1576"/>
      <c r="FY101" s="1576"/>
      <c r="FZ101" s="1576"/>
      <c r="GA101" s="1576"/>
      <c r="GB101" s="1576"/>
      <c r="GC101" s="1576"/>
      <c r="GD101" s="1576"/>
      <c r="GE101" s="1576"/>
      <c r="GF101" s="1576"/>
      <c r="GG101" s="1576"/>
      <c r="GH101" s="1576"/>
      <c r="GI101" s="1576"/>
      <c r="GJ101" s="1576"/>
      <c r="GK101" s="1576"/>
      <c r="GL101" s="1576"/>
      <c r="GM101" s="1576"/>
      <c r="GN101" s="1576"/>
      <c r="GO101" s="1576"/>
      <c r="GP101" s="1576"/>
      <c r="GQ101" s="1576"/>
      <c r="GR101" s="1576"/>
      <c r="GS101" s="1576"/>
      <c r="GT101" s="1576"/>
      <c r="GU101" s="1576"/>
      <c r="GV101" s="1576"/>
      <c r="GW101" s="1576"/>
      <c r="GX101" s="1576"/>
      <c r="GY101" s="1576"/>
      <c r="GZ101" s="1576"/>
      <c r="HA101" s="1576"/>
      <c r="HB101" s="1576"/>
      <c r="HC101" s="1576"/>
      <c r="HD101" s="1576"/>
      <c r="HE101" s="1576"/>
      <c r="HF101" s="1576"/>
      <c r="HG101" s="1576"/>
      <c r="HH101" s="1576"/>
      <c r="HI101" s="1576"/>
      <c r="HJ101" s="1576"/>
      <c r="HK101" s="1576"/>
      <c r="HL101" s="1576"/>
      <c r="HM101" s="1576"/>
      <c r="HN101" s="1576"/>
      <c r="HO101" s="1576"/>
      <c r="HP101" s="1576"/>
      <c r="HQ101" s="1576"/>
      <c r="HR101" s="1576"/>
      <c r="HS101" s="1576"/>
      <c r="HT101" s="1576"/>
      <c r="HU101" s="1576"/>
      <c r="HV101" s="1576"/>
      <c r="HW101" s="1576"/>
      <c r="HX101" s="1576"/>
      <c r="HY101" s="1576"/>
      <c r="HZ101" s="1576"/>
      <c r="IA101" s="1576"/>
      <c r="IB101" s="1576"/>
      <c r="IC101" s="1576"/>
      <c r="ID101" s="1576"/>
      <c r="IE101" s="1576"/>
      <c r="IF101" s="1576"/>
      <c r="IG101" s="1576"/>
      <c r="IH101" s="1576"/>
      <c r="II101" s="1576"/>
      <c r="IJ101" s="1576"/>
      <c r="IK101" s="1576"/>
      <c r="IL101" s="1576"/>
      <c r="IM101" s="1576"/>
      <c r="IN101" s="1576"/>
      <c r="IO101" s="1576"/>
      <c r="IP101" s="1576"/>
      <c r="IQ101" s="1576"/>
      <c r="IR101" s="1576"/>
      <c r="IS101" s="1576"/>
      <c r="IT101" s="1576"/>
      <c r="IU101" s="1576"/>
      <c r="IV101" s="1576"/>
      <c r="IW101" s="1576"/>
      <c r="IX101" s="1576"/>
      <c r="IY101" s="1576"/>
      <c r="IZ101" s="1576"/>
      <c r="JA101" s="2054"/>
      <c r="JB101" s="2054"/>
      <c r="JC101" s="2054"/>
      <c r="JD101" s="2054"/>
      <c r="JE101" s="2054"/>
      <c r="JF101" s="2054"/>
      <c r="JG101" s="2054"/>
      <c r="JH101" s="2054"/>
      <c r="JI101" s="2054"/>
      <c r="JJ101" s="2054"/>
      <c r="JK101" s="2054"/>
      <c r="JL101" s="2054"/>
      <c r="JM101" s="2054"/>
      <c r="JN101" s="2054"/>
      <c r="JO101" s="2054"/>
      <c r="JP101" s="2054"/>
      <c r="JQ101" s="2054"/>
      <c r="JR101" s="1576"/>
      <c r="JS101" s="1576"/>
      <c r="JT101" s="1576"/>
      <c r="JU101" s="1576"/>
      <c r="JV101" s="1576"/>
      <c r="JW101" s="1576"/>
      <c r="JX101" s="1576"/>
      <c r="JY101" s="1576"/>
      <c r="JZ101" s="1576"/>
      <c r="KA101" s="1576"/>
      <c r="KB101" s="1576"/>
      <c r="KC101" s="1576"/>
      <c r="KD101" s="1576"/>
      <c r="KE101" s="1576"/>
      <c r="KF101" s="1576"/>
      <c r="KG101" s="1576"/>
      <c r="KH101" s="1576"/>
      <c r="KI101" s="1576">
        <f>'Paso 1.1'!E87*Tiempos!$P$84</f>
        <v>58.570666666666661</v>
      </c>
      <c r="KJ101" s="1576">
        <f>'Paso 1.1'!F87*Tiempos!$P$84</f>
        <v>58.593363230346085</v>
      </c>
      <c r="KK101" s="1576">
        <f>'Paso 1.1'!G87*Tiempos!$P$84</f>
        <v>58.616068589110682</v>
      </c>
      <c r="KL101" s="1576">
        <f>'Paso 1.1'!H87*Tiempos!$P$84</f>
        <v>58.638782746368641</v>
      </c>
      <c r="KM101" s="1576">
        <f>'Paso 1.1'!I87*Tiempos!$P$84</f>
        <v>58.661505705529422</v>
      </c>
      <c r="KN101" s="1576">
        <f>'Paso 1.1'!J87*Tiempos!$P$84</f>
        <v>58.684237470003836</v>
      </c>
      <c r="KO101" s="1576">
        <f>'Paso 1.1'!K87*Tiempos!$P$84</f>
        <v>58.706978043204003</v>
      </c>
      <c r="KP101" s="1576">
        <f>'Paso 1.1'!L87*Tiempos!$P$84</f>
        <v>58.72972742854337</v>
      </c>
      <c r="KQ101" s="1576">
        <f>'Paso 1.1'!M87*Tiempos!$P$84</f>
        <v>58.752485629436713</v>
      </c>
      <c r="KR101" s="1576">
        <f>'Paso 1.1'!N87*Tiempos!$P$84</f>
        <v>58.775252649300093</v>
      </c>
      <c r="KS101" s="1576">
        <f>'Paso 1.1'!O87*Tiempos!$P$84</f>
        <v>58.79802849155098</v>
      </c>
      <c r="KT101" s="1576">
        <f>'Paso 1.1'!P87*Tiempos!$P$84</f>
        <v>58.820813159608079</v>
      </c>
      <c r="KU101" s="1576">
        <f>'Paso 1.1'!Q87*Tiempos!$P$84</f>
        <v>58.843606656891453</v>
      </c>
      <c r="KV101" s="1576">
        <f>'Paso 1.1'!R87*Tiempos!$P$84</f>
        <v>58.866408986822492</v>
      </c>
      <c r="KW101" s="1576">
        <f>'Paso 1.1'!S87*Tiempos!$P$84</f>
        <v>58.889220152823931</v>
      </c>
      <c r="KX101" s="1576">
        <f>'Paso 1.1'!T87*Tiempos!$P$84</f>
        <v>58.912040158319805</v>
      </c>
      <c r="KY101" s="1576">
        <f>'Paso 1.1'!U87*Tiempos!$P$84</f>
        <v>58.934869006735461</v>
      </c>
      <c r="KZ101" s="1576"/>
      <c r="LA101" s="1576"/>
      <c r="LB101" s="1576"/>
      <c r="LC101" s="1576"/>
      <c r="LD101" s="1576"/>
      <c r="LE101" s="1576"/>
      <c r="LF101" s="1576"/>
      <c r="LG101" s="1576"/>
      <c r="LH101" s="1576"/>
      <c r="LI101" s="1576"/>
      <c r="LJ101" s="1576"/>
      <c r="LK101" s="1576"/>
      <c r="LL101" s="1576"/>
      <c r="LM101" s="1576"/>
      <c r="LN101" s="1576"/>
      <c r="LO101" s="1576"/>
      <c r="LP101" s="1576"/>
      <c r="LQ101" s="1576"/>
      <c r="LR101" s="1576"/>
      <c r="LS101" s="1576"/>
      <c r="LT101" s="1576"/>
      <c r="LU101" s="1576"/>
      <c r="LV101" s="1576"/>
      <c r="LW101" s="1576"/>
      <c r="LX101" s="1576"/>
      <c r="LY101" s="1576"/>
      <c r="LZ101" s="1576"/>
      <c r="MA101" s="1576"/>
      <c r="MB101" s="1576"/>
      <c r="MC101" s="1576"/>
      <c r="MD101" s="1576"/>
      <c r="ME101" s="1576"/>
      <c r="MF101" s="1576"/>
      <c r="MG101" s="1576"/>
      <c r="MH101" s="1576"/>
      <c r="MI101" s="1576"/>
      <c r="MJ101" s="1576"/>
      <c r="MK101" s="1576"/>
      <c r="ML101" s="1576"/>
      <c r="MM101" s="1576"/>
      <c r="MN101" s="1576"/>
      <c r="MO101" s="1576"/>
      <c r="MP101" s="1576"/>
      <c r="MQ101" s="1576"/>
      <c r="MR101" s="1576"/>
      <c r="MS101" s="1576"/>
      <c r="MT101" s="1576"/>
      <c r="MU101" s="1576"/>
      <c r="MV101" s="1576"/>
      <c r="MW101" s="1576"/>
      <c r="MX101" s="1576"/>
      <c r="MY101" s="1576">
        <f>'Paso 1.1'!E87*Tiempos!$L$84</f>
        <v>32.945999999999998</v>
      </c>
      <c r="MZ101" s="1576">
        <f>'Paso 1.1'!F87*Tiempos!$L$84</f>
        <v>32.958766817069673</v>
      </c>
      <c r="NA101" s="1576">
        <f>'Paso 1.1'!G87*Tiempos!$L$84</f>
        <v>32.971538581374759</v>
      </c>
      <c r="NB101" s="1576">
        <f>'Paso 1.1'!H87*Tiempos!$L$84</f>
        <v>32.984315294832363</v>
      </c>
      <c r="NC101" s="1576">
        <f>'Paso 1.1'!I87*Tiempos!$L$84</f>
        <v>32.997096959360306</v>
      </c>
      <c r="ND101" s="1576">
        <f>'Paso 1.1'!J87*Tiempos!$L$84</f>
        <v>33.009883576877158</v>
      </c>
      <c r="NE101" s="1576">
        <f>'Paso 1.1'!K87*Tiempos!$L$84</f>
        <v>33.022675149302252</v>
      </c>
      <c r="NF101" s="1576">
        <f>'Paso 1.1'!L87*Tiempos!$L$84</f>
        <v>33.035471678555652</v>
      </c>
      <c r="NG101" s="1576">
        <f>'Paso 1.1'!M87*Tiempos!$L$84</f>
        <v>33.048273166558154</v>
      </c>
      <c r="NH101" s="1576">
        <f>'Paso 1.1'!N87*Tiempos!$L$84</f>
        <v>33.061079615231307</v>
      </c>
      <c r="NI101" s="1576">
        <f>'Paso 1.1'!O87*Tiempos!$L$84</f>
        <v>33.073891026497428</v>
      </c>
      <c r="NJ101" s="1576">
        <f>'Paso 1.1'!P87*Tiempos!$L$84</f>
        <v>33.086707402279544</v>
      </c>
      <c r="NK101" s="1576">
        <f>'Paso 1.1'!Q87*Tiempos!$L$84</f>
        <v>33.099528744501441</v>
      </c>
      <c r="NL101" s="1576">
        <f>'Paso 1.1'!R87*Tiempos!$L$84</f>
        <v>33.112355055087654</v>
      </c>
      <c r="NM101" s="1576">
        <f>'Paso 1.1'!S87*Tiempos!$L$84</f>
        <v>33.125186335963463</v>
      </c>
      <c r="NN101" s="1576">
        <f>'Paso 1.1'!T87*Tiempos!$L$84</f>
        <v>33.138022589054891</v>
      </c>
      <c r="NO101" s="1576">
        <f>'Paso 1.1'!U87*Tiempos!$L$84</f>
        <v>33.150863816288698</v>
      </c>
      <c r="NP101" s="1576"/>
      <c r="NQ101" s="1576"/>
      <c r="NR101" s="1576"/>
      <c r="NS101" s="1576"/>
      <c r="NT101" s="1576"/>
      <c r="NU101" s="1576"/>
      <c r="NV101" s="1576"/>
      <c r="NW101" s="1576"/>
      <c r="NX101" s="1576"/>
      <c r="NY101" s="1576"/>
      <c r="NZ101" s="1576"/>
      <c r="OA101" s="1576"/>
      <c r="OB101" s="1576"/>
      <c r="OC101" s="1576"/>
      <c r="OD101" s="1576"/>
      <c r="OE101" s="1576"/>
      <c r="OF101" s="1576"/>
      <c r="OG101" s="1576"/>
      <c r="OH101" s="1576"/>
      <c r="OI101" s="1576"/>
      <c r="OJ101" s="1576"/>
      <c r="OK101" s="1576"/>
      <c r="OL101" s="1576"/>
      <c r="OM101" s="1576"/>
      <c r="ON101" s="1576"/>
      <c r="OO101" s="1576"/>
      <c r="OP101" s="1576"/>
      <c r="OQ101" s="1576"/>
      <c r="OR101" s="1576"/>
      <c r="OS101" s="1576"/>
      <c r="OT101" s="1576"/>
      <c r="OU101" s="1576"/>
      <c r="OV101" s="1576"/>
      <c r="OW101" s="1576"/>
      <c r="OX101" s="1576"/>
      <c r="OY101" s="1576"/>
      <c r="OZ101" s="1576"/>
      <c r="PA101" s="1576"/>
      <c r="PB101" s="1576"/>
      <c r="PC101" s="1576"/>
      <c r="PD101" s="1576"/>
      <c r="PE101" s="1576"/>
      <c r="PF101" s="1576"/>
      <c r="PG101" s="1576"/>
      <c r="PH101" s="1576"/>
      <c r="PI101" s="1576"/>
      <c r="PJ101" s="1576"/>
      <c r="PK101" s="1576"/>
      <c r="PL101" s="1576"/>
      <c r="PM101" s="1576"/>
      <c r="PN101" s="1576"/>
      <c r="PO101" s="1576"/>
      <c r="PP101" s="1576"/>
      <c r="PQ101" s="1576"/>
      <c r="PR101" s="1576"/>
      <c r="PS101" s="1576"/>
      <c r="PT101" s="1576"/>
      <c r="PU101" s="1576"/>
      <c r="PV101" s="1576"/>
      <c r="PW101" s="1576"/>
      <c r="PX101" s="1576"/>
      <c r="PY101" s="1576"/>
      <c r="PZ101" s="1576"/>
      <c r="QA101" s="1576"/>
      <c r="QB101" s="1576"/>
      <c r="QC101" s="1576"/>
      <c r="QD101" s="1576"/>
      <c r="QE101" s="1576"/>
      <c r="QF101" s="1576"/>
      <c r="QG101" s="1576"/>
      <c r="QH101" s="1576"/>
      <c r="QI101" s="1576"/>
      <c r="QJ101" s="1576"/>
      <c r="QK101" s="1576"/>
      <c r="QL101" s="1576"/>
      <c r="QM101" s="1576"/>
      <c r="QN101" s="1576"/>
      <c r="QO101" s="1576"/>
      <c r="QP101" s="1576"/>
      <c r="QQ101" s="1576"/>
      <c r="QR101" s="1576"/>
      <c r="QS101" s="1576"/>
      <c r="QT101" s="1576"/>
      <c r="QU101" s="1576"/>
      <c r="QV101" s="1576"/>
      <c r="QW101" s="1576"/>
      <c r="QX101" s="1576"/>
      <c r="QY101" s="1576"/>
      <c r="QZ101" s="1576"/>
      <c r="RA101" s="1576"/>
      <c r="RB101" s="1576"/>
      <c r="RC101" s="1576"/>
      <c r="RD101" s="1576"/>
      <c r="RE101" s="1576"/>
      <c r="RF101" s="1576"/>
      <c r="RG101" s="1576"/>
      <c r="RH101" s="1576"/>
      <c r="RI101" s="1576"/>
      <c r="RJ101" s="1576"/>
      <c r="RK101" s="1576"/>
      <c r="RL101" s="1576"/>
      <c r="RM101" s="1576"/>
      <c r="RN101" s="1576"/>
      <c r="RO101" s="1576"/>
      <c r="RP101" s="1576"/>
      <c r="RQ101" s="1576"/>
      <c r="RR101" s="1576"/>
      <c r="RS101" s="1576"/>
      <c r="RT101" s="1576"/>
      <c r="RU101" s="1576"/>
      <c r="RV101" s="1576"/>
      <c r="RW101" s="1576"/>
      <c r="RX101" s="1576"/>
      <c r="RY101" s="1576"/>
      <c r="RZ101" s="1576"/>
      <c r="SA101" s="1576"/>
      <c r="SB101" s="1576"/>
      <c r="SC101" s="1576"/>
      <c r="SD101" s="1576"/>
      <c r="SE101" s="1576"/>
      <c r="SF101" s="1576"/>
      <c r="SG101" s="1576"/>
      <c r="SH101" s="1576"/>
      <c r="SI101" s="1576"/>
      <c r="SJ101" s="1576"/>
      <c r="SK101" s="1576"/>
      <c r="SL101" s="1576"/>
      <c r="SM101" s="1576"/>
      <c r="SN101" s="1576"/>
      <c r="SO101" s="1576"/>
      <c r="SP101" s="1576"/>
      <c r="SQ101" s="1576"/>
      <c r="SR101" s="1576"/>
      <c r="SS101" s="1576"/>
      <c r="ST101" s="1576"/>
      <c r="SU101" s="1576"/>
      <c r="SV101" s="1576"/>
      <c r="SW101" s="1576"/>
      <c r="SX101" s="1576"/>
      <c r="SY101" s="1576"/>
      <c r="SZ101" s="1576"/>
      <c r="TA101" s="1576"/>
      <c r="TB101" s="1576"/>
      <c r="TC101" s="1576"/>
      <c r="TD101" s="1576"/>
      <c r="TE101" s="1576"/>
      <c r="TF101" s="1576"/>
      <c r="TG101" s="1576"/>
      <c r="TH101" s="1576"/>
      <c r="TI101" s="1576"/>
      <c r="TJ101" s="1576"/>
      <c r="TK101" s="1576"/>
      <c r="TL101" s="1576"/>
      <c r="TM101" s="1576"/>
      <c r="TN101" s="1576"/>
      <c r="TO101" s="1576"/>
      <c r="TP101" s="1576"/>
      <c r="TQ101" s="1576"/>
      <c r="TR101" s="1576"/>
      <c r="TS101" s="1576"/>
      <c r="TT101" s="1576"/>
      <c r="TU101" s="1576"/>
      <c r="TV101" s="1576"/>
      <c r="TW101" s="1576"/>
      <c r="TX101" s="1576"/>
      <c r="TY101" s="1576"/>
      <c r="TZ101" s="1576"/>
      <c r="UA101" s="1576"/>
      <c r="UB101" s="1576"/>
      <c r="UC101" s="1576"/>
      <c r="UD101" s="1576"/>
      <c r="UE101" s="1576"/>
      <c r="UF101" s="1576"/>
      <c r="UG101" s="1576"/>
      <c r="UH101" s="1576"/>
      <c r="UI101" s="1576"/>
      <c r="UJ101" s="1576"/>
      <c r="UK101" s="1576"/>
      <c r="UL101" s="1576"/>
      <c r="UM101" s="1576"/>
      <c r="UN101" s="1576"/>
      <c r="UO101" s="1576"/>
      <c r="UP101" s="1576"/>
      <c r="UQ101" s="1576"/>
      <c r="UR101" s="1576"/>
      <c r="US101" s="1576"/>
      <c r="UT101" s="1576"/>
      <c r="UU101" s="1576"/>
      <c r="UV101" s="1576"/>
      <c r="UW101" s="1576"/>
      <c r="UX101" s="1576"/>
      <c r="UY101" s="1576"/>
      <c r="UZ101" s="1576"/>
      <c r="VA101" s="1576"/>
      <c r="VB101" s="1576"/>
      <c r="VC101" s="1576"/>
      <c r="VD101" s="1576"/>
      <c r="VE101" s="1576"/>
      <c r="VF101" s="1576"/>
      <c r="VG101" s="1576"/>
      <c r="VH101" s="1576"/>
      <c r="VI101" s="1576"/>
      <c r="VJ101" s="1576"/>
      <c r="VK101" s="1576"/>
    </row>
    <row r="102" spans="1:583" ht="40.5" x14ac:dyDescent="0.25">
      <c r="B102" s="1610" t="s">
        <v>1278</v>
      </c>
      <c r="C102" s="1582" t="s">
        <v>2796</v>
      </c>
      <c r="D102" s="4710" t="s">
        <v>2797</v>
      </c>
      <c r="E102" s="4710"/>
      <c r="F102" s="2057"/>
      <c r="G102" s="2057"/>
      <c r="H102" s="2057"/>
      <c r="I102" s="2059"/>
      <c r="J102" s="2059"/>
      <c r="K102" s="2059"/>
      <c r="L102" s="2059"/>
      <c r="M102" s="2059"/>
      <c r="N102" s="2059"/>
      <c r="O102" s="2059"/>
      <c r="P102" s="2059"/>
      <c r="Q102" s="2059"/>
      <c r="R102" s="2059"/>
      <c r="S102" s="2059"/>
      <c r="T102" s="2059"/>
      <c r="U102" s="2059"/>
      <c r="V102" s="2059"/>
      <c r="W102" s="2059"/>
      <c r="X102" s="2059"/>
      <c r="Y102" s="2059"/>
      <c r="Z102" s="2059"/>
      <c r="AA102" s="2059"/>
      <c r="AB102" s="2059"/>
      <c r="AC102" s="2059"/>
      <c r="AD102" s="2059"/>
      <c r="AE102" s="2059"/>
      <c r="AF102" s="2059"/>
      <c r="AG102" s="2059"/>
      <c r="AH102" s="2059"/>
      <c r="AI102" s="2059"/>
      <c r="AJ102" s="2059"/>
      <c r="AK102" s="2059"/>
      <c r="AL102" s="2059"/>
      <c r="AM102" s="2059"/>
      <c r="AN102" s="2059"/>
      <c r="AO102" s="2059"/>
      <c r="AP102" s="2059"/>
      <c r="AQ102" s="2059"/>
      <c r="AR102" s="2059"/>
      <c r="AS102" s="2059"/>
      <c r="AT102" s="2059"/>
      <c r="AU102" s="2059"/>
      <c r="AV102" s="2059"/>
      <c r="AW102" s="2059"/>
      <c r="AX102" s="2059"/>
      <c r="AY102" s="2059"/>
      <c r="AZ102" s="2059"/>
      <c r="BA102" s="2059"/>
      <c r="BB102" s="2059"/>
      <c r="BC102" s="2059"/>
      <c r="BD102" s="2059"/>
      <c r="BE102" s="2059"/>
      <c r="BF102" s="2059"/>
      <c r="BG102" s="2059"/>
      <c r="BH102" s="2059"/>
      <c r="BI102" s="2059"/>
      <c r="BJ102" s="2059"/>
      <c r="BK102" s="2059"/>
      <c r="BL102" s="2059"/>
      <c r="BM102" s="2059"/>
      <c r="BN102" s="2059"/>
      <c r="BO102" s="2059"/>
      <c r="BP102" s="2059"/>
      <c r="BQ102" s="2059"/>
      <c r="BR102" s="2059"/>
      <c r="BS102" s="2059"/>
      <c r="BT102" s="2059"/>
      <c r="BU102" s="2059"/>
      <c r="BV102" s="2059"/>
      <c r="BW102" s="2059"/>
      <c r="BX102" s="2059"/>
      <c r="BY102" s="2059"/>
      <c r="BZ102" s="2059"/>
      <c r="CA102" s="2059"/>
      <c r="CB102" s="2059"/>
      <c r="CC102" s="2059"/>
      <c r="CD102" s="2059"/>
      <c r="CE102" s="2059"/>
      <c r="CF102" s="2059"/>
      <c r="CG102" s="2059"/>
      <c r="CH102" s="2059"/>
      <c r="CI102" s="2059"/>
      <c r="CJ102" s="2059"/>
      <c r="CK102" s="2059"/>
      <c r="CL102" s="2059"/>
      <c r="CM102" s="2059"/>
      <c r="CN102" s="2059"/>
      <c r="CO102" s="2059"/>
      <c r="CP102" s="1576"/>
      <c r="CQ102" s="1576"/>
      <c r="CR102" s="1576"/>
      <c r="CS102" s="1576"/>
      <c r="CT102" s="1576"/>
      <c r="CU102" s="1576"/>
      <c r="CV102" s="1576"/>
      <c r="CW102" s="1576"/>
      <c r="CX102" s="1576"/>
      <c r="CY102" s="1576"/>
      <c r="CZ102" s="1576"/>
      <c r="DA102" s="1576"/>
      <c r="DB102" s="1576"/>
      <c r="DC102" s="1576"/>
      <c r="DD102" s="1576"/>
      <c r="DE102" s="1576"/>
      <c r="DF102" s="1576"/>
      <c r="DG102" s="1576"/>
      <c r="DH102" s="1576"/>
      <c r="DI102" s="1576"/>
      <c r="DJ102" s="1576"/>
      <c r="DK102" s="1576"/>
      <c r="DL102" s="1576"/>
      <c r="DM102" s="1576"/>
      <c r="DN102" s="1576"/>
      <c r="DO102" s="1576"/>
      <c r="DP102" s="1576"/>
      <c r="DQ102" s="1576"/>
      <c r="DR102" s="1576"/>
      <c r="DS102" s="1576"/>
      <c r="DT102" s="1576"/>
      <c r="DU102" s="1576"/>
      <c r="DV102" s="1576"/>
      <c r="DW102" s="1576"/>
      <c r="DX102" s="1576"/>
      <c r="DY102" s="1576"/>
      <c r="DZ102" s="1576"/>
      <c r="EA102" s="1576"/>
      <c r="EB102" s="1576"/>
      <c r="EC102" s="1576"/>
      <c r="ED102" s="1576"/>
      <c r="EE102" s="1576"/>
      <c r="EF102" s="1576"/>
      <c r="EG102" s="1576"/>
      <c r="EH102" s="1576"/>
      <c r="EI102" s="1576"/>
      <c r="EJ102" s="1576"/>
      <c r="EK102" s="1576"/>
      <c r="EL102" s="1576"/>
      <c r="EM102" s="1576"/>
      <c r="EN102" s="1576"/>
      <c r="EO102" s="1576"/>
      <c r="EP102" s="1576"/>
      <c r="EQ102" s="1576"/>
      <c r="ER102" s="1576"/>
      <c r="ES102" s="1576"/>
      <c r="ET102" s="1576"/>
      <c r="EU102" s="1576"/>
      <c r="EV102" s="1576"/>
      <c r="EW102" s="1576"/>
      <c r="EX102" s="1576"/>
      <c r="EY102" s="1576"/>
      <c r="EZ102" s="1576"/>
      <c r="FA102" s="1576"/>
      <c r="FB102" s="1576"/>
      <c r="FC102" s="1576"/>
      <c r="FD102" s="1576"/>
      <c r="FE102" s="1576"/>
      <c r="FF102" s="1576"/>
      <c r="FG102" s="1576"/>
      <c r="FH102" s="1576"/>
      <c r="FI102" s="1576"/>
      <c r="FJ102" s="1576"/>
      <c r="FK102" s="1576"/>
      <c r="FL102" s="1576"/>
      <c r="FM102" s="1576"/>
      <c r="FN102" s="1576"/>
      <c r="FO102" s="1576"/>
      <c r="FP102" s="1576"/>
      <c r="FQ102" s="1576"/>
      <c r="FR102" s="1576"/>
      <c r="FS102" s="1576"/>
      <c r="FT102" s="1576"/>
      <c r="FU102" s="1576"/>
      <c r="FV102" s="1576"/>
      <c r="FW102" s="1576"/>
      <c r="FX102" s="1576"/>
      <c r="FY102" s="1576"/>
      <c r="FZ102" s="1576"/>
      <c r="GA102" s="1576"/>
      <c r="GB102" s="1576"/>
      <c r="GC102" s="1576"/>
      <c r="GD102" s="1576"/>
      <c r="GE102" s="1576"/>
      <c r="GF102" s="1576"/>
      <c r="GG102" s="1576"/>
      <c r="GH102" s="1576"/>
      <c r="GI102" s="1576"/>
      <c r="GJ102" s="1576"/>
      <c r="GK102" s="1576"/>
      <c r="GL102" s="1576"/>
      <c r="GM102" s="1576"/>
      <c r="GN102" s="1576"/>
      <c r="GO102" s="1576"/>
      <c r="GP102" s="1576"/>
      <c r="GQ102" s="1576"/>
      <c r="GR102" s="1576"/>
      <c r="GS102" s="1576"/>
      <c r="GT102" s="1576"/>
      <c r="GU102" s="1576"/>
      <c r="GV102" s="1576"/>
      <c r="GW102" s="1576"/>
      <c r="GX102" s="1576"/>
      <c r="GY102" s="1576"/>
      <c r="GZ102" s="1576"/>
      <c r="HA102" s="1576"/>
      <c r="HB102" s="1576"/>
      <c r="HC102" s="1576"/>
      <c r="HD102" s="1576"/>
      <c r="HE102" s="1576"/>
      <c r="HF102" s="1576"/>
      <c r="HG102" s="1576"/>
      <c r="HH102" s="1576"/>
      <c r="HI102" s="1576"/>
      <c r="HJ102" s="1576"/>
      <c r="HK102" s="1576"/>
      <c r="HL102" s="1576"/>
      <c r="HM102" s="1576"/>
      <c r="HN102" s="1576"/>
      <c r="HO102" s="1576"/>
      <c r="HP102" s="1576"/>
      <c r="HQ102" s="1576"/>
      <c r="HR102" s="1576"/>
      <c r="HS102" s="1576"/>
      <c r="HT102" s="1576"/>
      <c r="HU102" s="1576"/>
      <c r="HV102" s="1576"/>
      <c r="HW102" s="1576"/>
      <c r="HX102" s="1576"/>
      <c r="HY102" s="1576"/>
      <c r="HZ102" s="1576"/>
      <c r="IA102" s="1576"/>
      <c r="IB102" s="1576"/>
      <c r="IC102" s="1576"/>
      <c r="ID102" s="1576"/>
      <c r="IE102" s="1576"/>
      <c r="IF102" s="1576"/>
      <c r="IG102" s="1576"/>
      <c r="IH102" s="1576"/>
      <c r="II102" s="1576"/>
      <c r="IJ102" s="1576"/>
      <c r="IK102" s="1576"/>
      <c r="IL102" s="1576"/>
      <c r="IM102" s="1576"/>
      <c r="IN102" s="1576"/>
      <c r="IO102" s="1576"/>
      <c r="IP102" s="1576"/>
      <c r="IQ102" s="1576"/>
      <c r="IR102" s="1576"/>
      <c r="IS102" s="1576"/>
      <c r="IT102" s="1576"/>
      <c r="IU102" s="1576"/>
      <c r="IV102" s="1576"/>
      <c r="IW102" s="1576"/>
      <c r="IX102" s="1576"/>
      <c r="IY102" s="1576"/>
      <c r="IZ102" s="1576"/>
      <c r="JA102" s="2054"/>
      <c r="JB102" s="2054"/>
      <c r="JC102" s="2054"/>
      <c r="JD102" s="2054"/>
      <c r="JE102" s="2054"/>
      <c r="JF102" s="2054"/>
      <c r="JG102" s="2054"/>
      <c r="JH102" s="2054"/>
      <c r="JI102" s="2054"/>
      <c r="JJ102" s="2054"/>
      <c r="JK102" s="2054"/>
      <c r="JL102" s="2054"/>
      <c r="JM102" s="2054"/>
      <c r="JN102" s="2054"/>
      <c r="JO102" s="2054"/>
      <c r="JP102" s="2054"/>
      <c r="JQ102" s="2054"/>
      <c r="JR102" s="1576"/>
      <c r="JS102" s="1576"/>
      <c r="JT102" s="1576"/>
      <c r="JU102" s="1576"/>
      <c r="JV102" s="1576"/>
      <c r="JW102" s="1576"/>
      <c r="JX102" s="1576"/>
      <c r="JY102" s="1576"/>
      <c r="JZ102" s="1576"/>
      <c r="KA102" s="1576"/>
      <c r="KB102" s="1576"/>
      <c r="KC102" s="1576"/>
      <c r="KD102" s="1576"/>
      <c r="KE102" s="1576"/>
      <c r="KF102" s="1576"/>
      <c r="KG102" s="1576"/>
      <c r="KH102" s="1576"/>
      <c r="KI102" s="1576"/>
      <c r="KJ102" s="1576"/>
      <c r="KK102" s="1576"/>
      <c r="KL102" s="1576"/>
      <c r="KM102" s="1576"/>
      <c r="KN102" s="1576"/>
      <c r="KO102" s="1576"/>
      <c r="KP102" s="1576"/>
      <c r="KQ102" s="1576"/>
      <c r="KR102" s="1576"/>
      <c r="KS102" s="1576"/>
      <c r="KT102" s="1576"/>
      <c r="KU102" s="1576"/>
      <c r="KV102" s="1576"/>
      <c r="KW102" s="1576"/>
      <c r="KX102" s="1576"/>
      <c r="KY102" s="1576"/>
      <c r="KZ102" s="1576"/>
      <c r="LA102" s="1576"/>
      <c r="LB102" s="1576"/>
      <c r="LC102" s="1576"/>
      <c r="LD102" s="1576"/>
      <c r="LE102" s="1576"/>
      <c r="LF102" s="1576"/>
      <c r="LG102" s="1576"/>
      <c r="LH102" s="1576"/>
      <c r="LI102" s="1576"/>
      <c r="LJ102" s="1576"/>
      <c r="LK102" s="1576"/>
      <c r="LL102" s="1576"/>
      <c r="LM102" s="1576"/>
      <c r="LN102" s="1576"/>
      <c r="LO102" s="1576"/>
      <c r="LP102" s="1576"/>
      <c r="LQ102" s="1576"/>
      <c r="LR102" s="1576"/>
      <c r="LS102" s="1576"/>
      <c r="LT102" s="1576"/>
      <c r="LU102" s="1576"/>
      <c r="LV102" s="1576"/>
      <c r="LW102" s="1576"/>
      <c r="LX102" s="1576"/>
      <c r="LY102" s="1576"/>
      <c r="LZ102" s="1576"/>
      <c r="MA102" s="1576"/>
      <c r="MB102" s="1576"/>
      <c r="MC102" s="1576"/>
      <c r="MD102" s="1576"/>
      <c r="ME102" s="1576"/>
      <c r="MF102" s="1576"/>
      <c r="MG102" s="1576"/>
      <c r="MH102" s="1576"/>
      <c r="MI102" s="1576"/>
      <c r="MJ102" s="1576"/>
      <c r="MK102" s="1576"/>
      <c r="ML102" s="1576"/>
      <c r="MM102" s="1576"/>
      <c r="MN102" s="1576"/>
      <c r="MO102" s="1576"/>
      <c r="MP102" s="1576"/>
      <c r="MQ102" s="1576"/>
      <c r="MR102" s="1576"/>
      <c r="MS102" s="1576"/>
      <c r="MT102" s="1576"/>
      <c r="MU102" s="1576"/>
      <c r="MV102" s="1576"/>
      <c r="MW102" s="1576"/>
      <c r="MX102" s="1576"/>
      <c r="MY102" s="1576"/>
      <c r="MZ102" s="1576"/>
      <c r="NA102" s="1576"/>
      <c r="NB102" s="1576"/>
      <c r="NC102" s="1576"/>
      <c r="ND102" s="1576"/>
      <c r="NE102" s="1576"/>
      <c r="NF102" s="1576"/>
      <c r="NG102" s="1576"/>
      <c r="NH102" s="1576"/>
      <c r="NI102" s="1576"/>
      <c r="NJ102" s="1576"/>
      <c r="NK102" s="1576"/>
      <c r="NL102" s="1576"/>
      <c r="NM102" s="1576"/>
      <c r="NN102" s="1576"/>
      <c r="NO102" s="1576"/>
      <c r="NP102" s="1576"/>
      <c r="NQ102" s="1576"/>
      <c r="NR102" s="1576"/>
      <c r="NS102" s="1576"/>
      <c r="NT102" s="1576"/>
      <c r="NU102" s="1576"/>
      <c r="NV102" s="1576"/>
      <c r="NW102" s="1576"/>
      <c r="NX102" s="1576"/>
      <c r="NY102" s="1576"/>
      <c r="NZ102" s="1576"/>
      <c r="OA102" s="1576"/>
      <c r="OB102" s="1576"/>
      <c r="OC102" s="1576"/>
      <c r="OD102" s="1576"/>
      <c r="OE102" s="1576"/>
      <c r="OF102" s="1576"/>
      <c r="OG102" s="1576"/>
      <c r="OH102" s="1576"/>
      <c r="OI102" s="1576"/>
      <c r="OJ102" s="1576"/>
      <c r="OK102" s="1576"/>
      <c r="OL102" s="1576"/>
      <c r="OM102" s="1576"/>
      <c r="ON102" s="1576"/>
      <c r="OO102" s="1576"/>
      <c r="OP102" s="1576"/>
      <c r="OQ102" s="1576"/>
      <c r="OR102" s="1576"/>
      <c r="OS102" s="1576"/>
      <c r="OT102" s="1576"/>
      <c r="OU102" s="1576"/>
      <c r="OV102" s="1576"/>
      <c r="OW102" s="1576"/>
      <c r="OX102" s="1576"/>
      <c r="OY102" s="1576"/>
      <c r="OZ102" s="1576"/>
      <c r="PA102" s="1576"/>
      <c r="PB102" s="1576"/>
      <c r="PC102" s="1576"/>
      <c r="PD102" s="1576"/>
      <c r="PE102" s="1576"/>
      <c r="PF102" s="1576"/>
      <c r="PG102" s="1576"/>
      <c r="PH102" s="1576"/>
      <c r="PI102" s="1576"/>
      <c r="PJ102" s="1576"/>
      <c r="PK102" s="1576"/>
      <c r="PL102" s="1576"/>
      <c r="PM102" s="1576"/>
      <c r="PN102" s="1576"/>
      <c r="PO102" s="1576"/>
      <c r="PP102" s="1576"/>
      <c r="PQ102" s="1576"/>
      <c r="PR102" s="1576"/>
      <c r="PS102" s="1576"/>
      <c r="PT102" s="1576"/>
      <c r="PU102" s="1576"/>
      <c r="PV102" s="1576"/>
      <c r="PW102" s="1576"/>
      <c r="PX102" s="1576"/>
      <c r="PY102" s="1576"/>
      <c r="PZ102" s="1576"/>
      <c r="QA102" s="1576"/>
      <c r="QB102" s="1576"/>
      <c r="QC102" s="1576"/>
      <c r="QD102" s="1576"/>
      <c r="QE102" s="1576"/>
      <c r="QF102" s="1576"/>
      <c r="QG102" s="1576"/>
      <c r="QH102" s="1576"/>
      <c r="QI102" s="1576"/>
      <c r="QJ102" s="1576"/>
      <c r="QK102" s="1576"/>
      <c r="QL102" s="1576"/>
      <c r="QM102" s="1576"/>
      <c r="QN102" s="1576"/>
      <c r="QO102" s="1576"/>
      <c r="QP102" s="1576"/>
      <c r="QQ102" s="1576"/>
      <c r="QR102" s="1576"/>
      <c r="QS102" s="1576"/>
      <c r="QT102" s="1576"/>
      <c r="QU102" s="1576"/>
      <c r="QV102" s="1576"/>
      <c r="QW102" s="1576"/>
      <c r="QX102" s="1576"/>
      <c r="QY102" s="1576"/>
      <c r="QZ102" s="1576"/>
      <c r="RA102" s="1576"/>
      <c r="RB102" s="1576"/>
      <c r="RC102" s="1576"/>
      <c r="RD102" s="1576"/>
      <c r="RE102" s="1576"/>
      <c r="RF102" s="1576"/>
      <c r="RG102" s="1576"/>
      <c r="RH102" s="1576"/>
      <c r="RI102" s="1576"/>
      <c r="RJ102" s="1576"/>
      <c r="RK102" s="1576"/>
      <c r="RL102" s="1576"/>
      <c r="RM102" s="1576"/>
      <c r="RN102" s="1576"/>
      <c r="RO102" s="1576"/>
      <c r="RP102" s="1576"/>
      <c r="RQ102" s="1576"/>
      <c r="RR102" s="1576"/>
      <c r="RS102" s="1576"/>
      <c r="RT102" s="1576"/>
      <c r="RU102" s="1576"/>
      <c r="RV102" s="1576"/>
      <c r="RW102" s="1576"/>
      <c r="RX102" s="1576"/>
      <c r="RY102" s="1576"/>
      <c r="RZ102" s="1576"/>
      <c r="SA102" s="1576"/>
      <c r="SB102" s="1576"/>
      <c r="SC102" s="1576"/>
      <c r="SD102" s="1576"/>
      <c r="SE102" s="1576"/>
      <c r="SF102" s="1576"/>
      <c r="SG102" s="1576"/>
      <c r="SH102" s="1576"/>
      <c r="SI102" s="1576"/>
      <c r="SJ102" s="1576"/>
      <c r="SK102" s="1576"/>
      <c r="SL102" s="1576"/>
      <c r="SM102" s="1576"/>
      <c r="SN102" s="1576"/>
      <c r="SO102" s="1576"/>
      <c r="SP102" s="1576"/>
      <c r="SQ102" s="1576"/>
      <c r="SR102" s="1576"/>
      <c r="SS102" s="1576"/>
      <c r="ST102" s="1576"/>
      <c r="SU102" s="1576"/>
      <c r="SV102" s="1576"/>
      <c r="SW102" s="1576"/>
      <c r="SX102" s="1576"/>
      <c r="SY102" s="1576"/>
      <c r="SZ102" s="1576"/>
      <c r="TA102" s="1576"/>
      <c r="TB102" s="1576"/>
      <c r="TC102" s="1576"/>
      <c r="TD102" s="1576"/>
      <c r="TE102" s="1576"/>
      <c r="TF102" s="1576"/>
      <c r="TG102" s="1576"/>
      <c r="TH102" s="1576"/>
      <c r="TI102" s="1576"/>
      <c r="TJ102" s="1576"/>
      <c r="TK102" s="1576"/>
      <c r="TL102" s="1576"/>
      <c r="TM102" s="1576"/>
      <c r="TN102" s="1576"/>
      <c r="TO102" s="1576"/>
      <c r="TP102" s="1576"/>
      <c r="TQ102" s="1576"/>
      <c r="TR102" s="1576"/>
      <c r="TS102" s="1576"/>
      <c r="TT102" s="1576"/>
      <c r="TU102" s="1576"/>
      <c r="TV102" s="1576"/>
      <c r="TW102" s="1576"/>
      <c r="TX102" s="1576"/>
      <c r="TY102" s="1576"/>
      <c r="TZ102" s="1576"/>
      <c r="UA102" s="1576"/>
      <c r="UB102" s="1576"/>
      <c r="UC102" s="1576"/>
      <c r="UD102" s="1576"/>
      <c r="UE102" s="1576"/>
      <c r="UF102" s="1576"/>
      <c r="UG102" s="1576"/>
      <c r="UH102" s="1576"/>
      <c r="UI102" s="1576"/>
      <c r="UJ102" s="1576"/>
      <c r="UK102" s="1576"/>
      <c r="UL102" s="1576"/>
      <c r="UM102" s="1576"/>
      <c r="UN102" s="1576"/>
      <c r="UO102" s="1576"/>
      <c r="UP102" s="1576"/>
      <c r="UQ102" s="1576"/>
      <c r="UR102" s="1576"/>
      <c r="US102" s="1576"/>
      <c r="UT102" s="1576"/>
      <c r="UU102" s="1576"/>
      <c r="UV102" s="1576"/>
      <c r="UW102" s="1576"/>
      <c r="UX102" s="1576"/>
      <c r="UY102" s="1576"/>
      <c r="UZ102" s="1576"/>
      <c r="VA102" s="1576"/>
      <c r="VB102" s="1576"/>
      <c r="VC102" s="1576"/>
      <c r="VD102" s="1576"/>
      <c r="VE102" s="1576"/>
      <c r="VF102" s="1576"/>
      <c r="VG102" s="1576"/>
      <c r="VH102" s="1576"/>
      <c r="VI102" s="1576"/>
      <c r="VJ102" s="1576"/>
      <c r="VK102" s="1576"/>
    </row>
    <row r="103" spans="1:583" ht="40.5" x14ac:dyDescent="0.25">
      <c r="B103" s="1610" t="s">
        <v>1278</v>
      </c>
      <c r="C103" s="1582" t="s">
        <v>2796</v>
      </c>
      <c r="D103" s="4710" t="s">
        <v>2798</v>
      </c>
      <c r="E103" s="4710"/>
      <c r="F103" s="2057"/>
      <c r="G103" s="2057"/>
      <c r="H103" s="2057"/>
      <c r="I103" s="2059"/>
      <c r="J103" s="2059"/>
      <c r="K103" s="2059"/>
      <c r="L103" s="2059"/>
      <c r="M103" s="2059"/>
      <c r="N103" s="2059"/>
      <c r="O103" s="2059"/>
      <c r="P103" s="2059"/>
      <c r="Q103" s="2059"/>
      <c r="R103" s="2059"/>
      <c r="S103" s="2059"/>
      <c r="T103" s="2059"/>
      <c r="U103" s="2059"/>
      <c r="V103" s="2059"/>
      <c r="W103" s="2059"/>
      <c r="X103" s="2059"/>
      <c r="Y103" s="2059"/>
      <c r="Z103" s="2059"/>
      <c r="AA103" s="2059"/>
      <c r="AB103" s="2059"/>
      <c r="AC103" s="2059"/>
      <c r="AD103" s="2059"/>
      <c r="AE103" s="2059"/>
      <c r="AF103" s="2059"/>
      <c r="AG103" s="2059"/>
      <c r="AH103" s="2059"/>
      <c r="AI103" s="2059"/>
      <c r="AJ103" s="2059"/>
      <c r="AK103" s="2059"/>
      <c r="AL103" s="2059"/>
      <c r="AM103" s="2059"/>
      <c r="AN103" s="2059"/>
      <c r="AO103" s="2059"/>
      <c r="AP103" s="2059"/>
      <c r="AQ103" s="2059"/>
      <c r="AR103" s="2059"/>
      <c r="AS103" s="2059"/>
      <c r="AT103" s="2059"/>
      <c r="AU103" s="2059"/>
      <c r="AV103" s="2059"/>
      <c r="AW103" s="2059"/>
      <c r="AX103" s="2059"/>
      <c r="AY103" s="2059"/>
      <c r="AZ103" s="2059"/>
      <c r="BA103" s="2059"/>
      <c r="BB103" s="2059"/>
      <c r="BC103" s="2059"/>
      <c r="BD103" s="2059"/>
      <c r="BE103" s="2059"/>
      <c r="BF103" s="2059"/>
      <c r="BG103" s="2059"/>
      <c r="BH103" s="2059"/>
      <c r="BI103" s="2059"/>
      <c r="BJ103" s="2059"/>
      <c r="BK103" s="2059"/>
      <c r="BL103" s="2059"/>
      <c r="BM103" s="2059"/>
      <c r="BN103" s="2059"/>
      <c r="BO103" s="2059"/>
      <c r="BP103" s="2059"/>
      <c r="BQ103" s="2059"/>
      <c r="BR103" s="2059"/>
      <c r="BS103" s="2059"/>
      <c r="BT103" s="2059"/>
      <c r="BU103" s="2059"/>
      <c r="BV103" s="2059"/>
      <c r="BW103" s="2059"/>
      <c r="BX103" s="2059"/>
      <c r="BY103" s="2059"/>
      <c r="BZ103" s="2059"/>
      <c r="CA103" s="2059"/>
      <c r="CB103" s="2059"/>
      <c r="CC103" s="2059"/>
      <c r="CD103" s="2059"/>
      <c r="CE103" s="2059"/>
      <c r="CF103" s="2059"/>
      <c r="CG103" s="2059"/>
      <c r="CH103" s="2059"/>
      <c r="CI103" s="2059"/>
      <c r="CJ103" s="2059"/>
      <c r="CK103" s="2059"/>
      <c r="CL103" s="2059"/>
      <c r="CM103" s="2059"/>
      <c r="CN103" s="2059"/>
      <c r="CO103" s="2059"/>
      <c r="CP103" s="1576"/>
      <c r="CQ103" s="1576"/>
      <c r="CR103" s="1576"/>
      <c r="CS103" s="1576"/>
      <c r="CT103" s="1576"/>
      <c r="CU103" s="1576"/>
      <c r="CV103" s="1576"/>
      <c r="CW103" s="1576"/>
      <c r="CX103" s="1576"/>
      <c r="CY103" s="1576"/>
      <c r="CZ103" s="1576"/>
      <c r="DA103" s="1576"/>
      <c r="DB103" s="1576"/>
      <c r="DC103" s="1576"/>
      <c r="DD103" s="1576"/>
      <c r="DE103" s="1576"/>
      <c r="DF103" s="1576"/>
      <c r="DG103" s="1576"/>
      <c r="DH103" s="1576"/>
      <c r="DI103" s="1576"/>
      <c r="DJ103" s="1576"/>
      <c r="DK103" s="1576"/>
      <c r="DL103" s="1576"/>
      <c r="DM103" s="1576"/>
      <c r="DN103" s="1576"/>
      <c r="DO103" s="1576"/>
      <c r="DP103" s="1576"/>
      <c r="DQ103" s="1576"/>
      <c r="DR103" s="1576"/>
      <c r="DS103" s="1576"/>
      <c r="DT103" s="1576"/>
      <c r="DU103" s="1576"/>
      <c r="DV103" s="1576"/>
      <c r="DW103" s="1576"/>
      <c r="DX103" s="1576"/>
      <c r="DY103" s="1576"/>
      <c r="DZ103" s="1576"/>
      <c r="EA103" s="1576"/>
      <c r="EB103" s="1576"/>
      <c r="EC103" s="1576"/>
      <c r="ED103" s="1576"/>
      <c r="EE103" s="1576"/>
      <c r="EF103" s="1576"/>
      <c r="EG103" s="1576"/>
      <c r="EH103" s="1576"/>
      <c r="EI103" s="1576"/>
      <c r="EJ103" s="1576"/>
      <c r="EK103" s="1576"/>
      <c r="EL103" s="1576"/>
      <c r="EM103" s="1576"/>
      <c r="EN103" s="1576"/>
      <c r="EO103" s="1576"/>
      <c r="EP103" s="1576"/>
      <c r="EQ103" s="1576"/>
      <c r="ER103" s="1576"/>
      <c r="ES103" s="1576"/>
      <c r="ET103" s="1576"/>
      <c r="EU103" s="1576"/>
      <c r="EV103" s="1576"/>
      <c r="EW103" s="1576"/>
      <c r="EX103" s="1576"/>
      <c r="EY103" s="1576"/>
      <c r="EZ103" s="1576"/>
      <c r="FA103" s="1576"/>
      <c r="FB103" s="1576"/>
      <c r="FC103" s="1576"/>
      <c r="FD103" s="1576"/>
      <c r="FE103" s="1576"/>
      <c r="FF103" s="1576"/>
      <c r="FG103" s="1576"/>
      <c r="FH103" s="1576"/>
      <c r="FI103" s="1576"/>
      <c r="FJ103" s="1576"/>
      <c r="FK103" s="1576"/>
      <c r="FL103" s="1576"/>
      <c r="FM103" s="1576"/>
      <c r="FN103" s="1576"/>
      <c r="FO103" s="1576"/>
      <c r="FP103" s="1576"/>
      <c r="FQ103" s="1576"/>
      <c r="FR103" s="1576"/>
      <c r="FS103" s="1576"/>
      <c r="FT103" s="1576"/>
      <c r="FU103" s="1576"/>
      <c r="FV103" s="1576"/>
      <c r="FW103" s="1576"/>
      <c r="FX103" s="1576"/>
      <c r="FY103" s="1576"/>
      <c r="FZ103" s="1576"/>
      <c r="GA103" s="1576"/>
      <c r="GB103" s="1576"/>
      <c r="GC103" s="1576"/>
      <c r="GD103" s="1576"/>
      <c r="GE103" s="1576"/>
      <c r="GF103" s="1576"/>
      <c r="GG103" s="1576"/>
      <c r="GH103" s="1576"/>
      <c r="GI103" s="1576"/>
      <c r="GJ103" s="1576"/>
      <c r="GK103" s="1576"/>
      <c r="GL103" s="1576"/>
      <c r="GM103" s="1576"/>
      <c r="GN103" s="1576"/>
      <c r="GO103" s="1576"/>
      <c r="GP103" s="1576"/>
      <c r="GQ103" s="1576"/>
      <c r="GR103" s="1576"/>
      <c r="GS103" s="1576"/>
      <c r="GT103" s="1576"/>
      <c r="GU103" s="1576"/>
      <c r="GV103" s="1576"/>
      <c r="GW103" s="1576"/>
      <c r="GX103" s="1576"/>
      <c r="GY103" s="1576"/>
      <c r="GZ103" s="1576"/>
      <c r="HA103" s="1576"/>
      <c r="HB103" s="1576"/>
      <c r="HC103" s="1576"/>
      <c r="HD103" s="1576"/>
      <c r="HE103" s="1576"/>
      <c r="HF103" s="1576"/>
      <c r="HG103" s="1576"/>
      <c r="HH103" s="1576"/>
      <c r="HI103" s="1576"/>
      <c r="HJ103" s="1576"/>
      <c r="HK103" s="1576"/>
      <c r="HL103" s="1576"/>
      <c r="HM103" s="1576"/>
      <c r="HN103" s="1576"/>
      <c r="HO103" s="1576"/>
      <c r="HP103" s="1576"/>
      <c r="HQ103" s="1576"/>
      <c r="HR103" s="1576"/>
      <c r="HS103" s="1576"/>
      <c r="HT103" s="1576"/>
      <c r="HU103" s="1576"/>
      <c r="HV103" s="1576"/>
      <c r="HW103" s="1576"/>
      <c r="HX103" s="1576"/>
      <c r="HY103" s="1576"/>
      <c r="HZ103" s="1576"/>
      <c r="IA103" s="1576"/>
      <c r="IB103" s="1576"/>
      <c r="IC103" s="1576"/>
      <c r="ID103" s="1576"/>
      <c r="IE103" s="1576"/>
      <c r="IF103" s="1576"/>
      <c r="IG103" s="1576"/>
      <c r="IH103" s="1576"/>
      <c r="II103" s="1576"/>
      <c r="IJ103" s="1576"/>
      <c r="IK103" s="1576"/>
      <c r="IL103" s="1576"/>
      <c r="IM103" s="1576"/>
      <c r="IN103" s="1576"/>
      <c r="IO103" s="1576"/>
      <c r="IP103" s="1576"/>
      <c r="IQ103" s="1576"/>
      <c r="IR103" s="1576"/>
      <c r="IS103" s="1576"/>
      <c r="IT103" s="1576"/>
      <c r="IU103" s="1576"/>
      <c r="IV103" s="1576"/>
      <c r="IW103" s="1576"/>
      <c r="IX103" s="1576"/>
      <c r="IY103" s="1576"/>
      <c r="IZ103" s="1576"/>
      <c r="JA103" s="2054"/>
      <c r="JB103" s="2054"/>
      <c r="JC103" s="2054"/>
      <c r="JD103" s="2054"/>
      <c r="JE103" s="2054"/>
      <c r="JF103" s="2054"/>
      <c r="JG103" s="2054"/>
      <c r="JH103" s="2054"/>
      <c r="JI103" s="2054"/>
      <c r="JJ103" s="2054"/>
      <c r="JK103" s="2054"/>
      <c r="JL103" s="2054"/>
      <c r="JM103" s="2054"/>
      <c r="JN103" s="2054"/>
      <c r="JO103" s="2054"/>
      <c r="JP103" s="2054"/>
      <c r="JQ103" s="2054"/>
      <c r="JR103" s="1576"/>
      <c r="JS103" s="1576"/>
      <c r="JT103" s="1576"/>
      <c r="JU103" s="1576"/>
      <c r="JV103" s="1576"/>
      <c r="JW103" s="1576"/>
      <c r="JX103" s="1576"/>
      <c r="JY103" s="1576"/>
      <c r="JZ103" s="1576"/>
      <c r="KA103" s="1576"/>
      <c r="KB103" s="1576"/>
      <c r="KC103" s="1576"/>
      <c r="KD103" s="1576"/>
      <c r="KE103" s="1576"/>
      <c r="KF103" s="1576"/>
      <c r="KG103" s="1576"/>
      <c r="KH103" s="1576"/>
      <c r="KI103" s="1576"/>
      <c r="KJ103" s="1576"/>
      <c r="KK103" s="1576"/>
      <c r="KL103" s="1576"/>
      <c r="KM103" s="1576"/>
      <c r="KN103" s="1576"/>
      <c r="KO103" s="1576"/>
      <c r="KP103" s="1576"/>
      <c r="KQ103" s="1576"/>
      <c r="KR103" s="1576"/>
      <c r="KS103" s="1576"/>
      <c r="KT103" s="1576"/>
      <c r="KU103" s="1576"/>
      <c r="KV103" s="1576"/>
      <c r="KW103" s="1576"/>
      <c r="KX103" s="1576"/>
      <c r="KY103" s="1576"/>
      <c r="KZ103" s="1576"/>
      <c r="LA103" s="1576"/>
      <c r="LB103" s="1576"/>
      <c r="LC103" s="1576"/>
      <c r="LD103" s="1576"/>
      <c r="LE103" s="1576"/>
      <c r="LF103" s="1576"/>
      <c r="LG103" s="1576"/>
      <c r="LH103" s="1576"/>
      <c r="LI103" s="1576"/>
      <c r="LJ103" s="1576"/>
      <c r="LK103" s="1576"/>
      <c r="LL103" s="1576"/>
      <c r="LM103" s="1576"/>
      <c r="LN103" s="1576"/>
      <c r="LO103" s="1576"/>
      <c r="LP103" s="1576"/>
      <c r="LQ103" s="1576"/>
      <c r="LR103" s="1576"/>
      <c r="LS103" s="1576"/>
      <c r="LT103" s="1576"/>
      <c r="LU103" s="1576"/>
      <c r="LV103" s="1576"/>
      <c r="LW103" s="1576"/>
      <c r="LX103" s="1576"/>
      <c r="LY103" s="1576"/>
      <c r="LZ103" s="1576"/>
      <c r="MA103" s="1576"/>
      <c r="MB103" s="1576"/>
      <c r="MC103" s="1576"/>
      <c r="MD103" s="1576"/>
      <c r="ME103" s="1576"/>
      <c r="MF103" s="1576"/>
      <c r="MG103" s="1576"/>
      <c r="MH103" s="1576"/>
      <c r="MI103" s="1576"/>
      <c r="MJ103" s="1576"/>
      <c r="MK103" s="1576"/>
      <c r="ML103" s="1576"/>
      <c r="MM103" s="1576"/>
      <c r="MN103" s="1576"/>
      <c r="MO103" s="1576"/>
      <c r="MP103" s="1576"/>
      <c r="MQ103" s="1576"/>
      <c r="MR103" s="1576"/>
      <c r="MS103" s="1576"/>
      <c r="MT103" s="1576"/>
      <c r="MU103" s="1576"/>
      <c r="MV103" s="1576"/>
      <c r="MW103" s="1576"/>
      <c r="MX103" s="1576"/>
      <c r="MY103" s="1576"/>
      <c r="MZ103" s="1576"/>
      <c r="NA103" s="1576"/>
      <c r="NB103" s="1576"/>
      <c r="NC103" s="1576"/>
      <c r="ND103" s="1576"/>
      <c r="NE103" s="1576"/>
      <c r="NF103" s="1576"/>
      <c r="NG103" s="1576"/>
      <c r="NH103" s="1576"/>
      <c r="NI103" s="1576"/>
      <c r="NJ103" s="1576"/>
      <c r="NK103" s="1576"/>
      <c r="NL103" s="1576"/>
      <c r="NM103" s="1576"/>
      <c r="NN103" s="1576"/>
      <c r="NO103" s="1576"/>
      <c r="NP103" s="1576"/>
      <c r="NQ103" s="1576"/>
      <c r="NR103" s="1576"/>
      <c r="NS103" s="1576"/>
      <c r="NT103" s="1576"/>
      <c r="NU103" s="1576"/>
      <c r="NV103" s="1576"/>
      <c r="NW103" s="1576"/>
      <c r="NX103" s="1576"/>
      <c r="NY103" s="1576"/>
      <c r="NZ103" s="1576"/>
      <c r="OA103" s="1576"/>
      <c r="OB103" s="1576"/>
      <c r="OC103" s="1576"/>
      <c r="OD103" s="1576"/>
      <c r="OE103" s="1576"/>
      <c r="OF103" s="1576"/>
      <c r="OG103" s="1576"/>
      <c r="OH103" s="1576"/>
      <c r="OI103" s="1576"/>
      <c r="OJ103" s="1576"/>
      <c r="OK103" s="1576"/>
      <c r="OL103" s="1576"/>
      <c r="OM103" s="1576"/>
      <c r="ON103" s="1576"/>
      <c r="OO103" s="1576"/>
      <c r="OP103" s="1576"/>
      <c r="OQ103" s="1576"/>
      <c r="OR103" s="1576"/>
      <c r="OS103" s="1576"/>
      <c r="OT103" s="1576"/>
      <c r="OU103" s="1576"/>
      <c r="OV103" s="1576"/>
      <c r="OW103" s="1576"/>
      <c r="OX103" s="1576"/>
      <c r="OY103" s="1576"/>
      <c r="OZ103" s="1576"/>
      <c r="PA103" s="1576"/>
      <c r="PB103" s="1576"/>
      <c r="PC103" s="1576"/>
      <c r="PD103" s="1576"/>
      <c r="PE103" s="1576"/>
      <c r="PF103" s="1576"/>
      <c r="PG103" s="1576"/>
      <c r="PH103" s="1576"/>
      <c r="PI103" s="1576"/>
      <c r="PJ103" s="1576"/>
      <c r="PK103" s="1576"/>
      <c r="PL103" s="1576"/>
      <c r="PM103" s="1576"/>
      <c r="PN103" s="1576"/>
      <c r="PO103" s="1576"/>
      <c r="PP103" s="1576"/>
      <c r="PQ103" s="1576"/>
      <c r="PR103" s="1576"/>
      <c r="PS103" s="1576"/>
      <c r="PT103" s="1576"/>
      <c r="PU103" s="1576"/>
      <c r="PV103" s="1576"/>
      <c r="PW103" s="1576"/>
      <c r="PX103" s="1576"/>
      <c r="PY103" s="1576"/>
      <c r="PZ103" s="1576"/>
      <c r="QA103" s="1576"/>
      <c r="QB103" s="1576"/>
      <c r="QC103" s="1576"/>
      <c r="QD103" s="1576"/>
      <c r="QE103" s="1576"/>
      <c r="QF103" s="1576"/>
      <c r="QG103" s="1576"/>
      <c r="QH103" s="1576"/>
      <c r="QI103" s="1576"/>
      <c r="QJ103" s="1576"/>
      <c r="QK103" s="1576"/>
      <c r="QL103" s="1576"/>
      <c r="QM103" s="1576"/>
      <c r="QN103" s="1576"/>
      <c r="QO103" s="1576"/>
      <c r="QP103" s="1576"/>
      <c r="QQ103" s="1576"/>
      <c r="QR103" s="1576"/>
      <c r="QS103" s="1576"/>
      <c r="QT103" s="1576"/>
      <c r="QU103" s="1576"/>
      <c r="QV103" s="1576"/>
      <c r="QW103" s="1576"/>
      <c r="QX103" s="1576"/>
      <c r="QY103" s="1576"/>
      <c r="QZ103" s="1576"/>
      <c r="RA103" s="1576"/>
      <c r="RB103" s="1576"/>
      <c r="RC103" s="1576"/>
      <c r="RD103" s="1576"/>
      <c r="RE103" s="1576"/>
      <c r="RF103" s="1576"/>
      <c r="RG103" s="1576"/>
      <c r="RH103" s="1576"/>
      <c r="RI103" s="1576"/>
      <c r="RJ103" s="1576"/>
      <c r="RK103" s="1576"/>
      <c r="RL103" s="1576"/>
      <c r="RM103" s="1576"/>
      <c r="RN103" s="1576"/>
      <c r="RO103" s="1576"/>
      <c r="RP103" s="1576"/>
      <c r="RQ103" s="1576"/>
      <c r="RR103" s="1576"/>
      <c r="RS103" s="1576"/>
      <c r="RT103" s="1576"/>
      <c r="RU103" s="1576"/>
      <c r="RV103" s="1576"/>
      <c r="RW103" s="1576"/>
      <c r="RX103" s="1576"/>
      <c r="RY103" s="1576"/>
      <c r="RZ103" s="1576"/>
      <c r="SA103" s="1576"/>
      <c r="SB103" s="1576"/>
      <c r="SC103" s="1576"/>
      <c r="SD103" s="1576"/>
      <c r="SE103" s="1576"/>
      <c r="SF103" s="1576"/>
      <c r="SG103" s="1576"/>
      <c r="SH103" s="1576"/>
      <c r="SI103" s="1576"/>
      <c r="SJ103" s="1576"/>
      <c r="SK103" s="1576"/>
      <c r="SL103" s="1576"/>
      <c r="SM103" s="1576"/>
      <c r="SN103" s="1576"/>
      <c r="SO103" s="1576"/>
      <c r="SP103" s="1576"/>
      <c r="SQ103" s="1576"/>
      <c r="SR103" s="1576"/>
      <c r="SS103" s="1576"/>
      <c r="ST103" s="1576"/>
      <c r="SU103" s="1576"/>
      <c r="SV103" s="1576"/>
      <c r="SW103" s="1576"/>
      <c r="SX103" s="1576"/>
      <c r="SY103" s="1576"/>
      <c r="SZ103" s="1576"/>
      <c r="TA103" s="1576"/>
      <c r="TB103" s="1576"/>
      <c r="TC103" s="1576"/>
      <c r="TD103" s="1576"/>
      <c r="TE103" s="1576"/>
      <c r="TF103" s="1576"/>
      <c r="TG103" s="1576"/>
      <c r="TH103" s="1576"/>
      <c r="TI103" s="1576"/>
      <c r="TJ103" s="1576"/>
      <c r="TK103" s="1576"/>
      <c r="TL103" s="1576"/>
      <c r="TM103" s="1576"/>
      <c r="TN103" s="1576"/>
      <c r="TO103" s="1576"/>
      <c r="TP103" s="1576"/>
      <c r="TQ103" s="1576"/>
      <c r="TR103" s="1576"/>
      <c r="TS103" s="1576"/>
      <c r="TT103" s="1576"/>
      <c r="TU103" s="1576"/>
      <c r="TV103" s="1576"/>
      <c r="TW103" s="1576"/>
      <c r="TX103" s="1576"/>
      <c r="TY103" s="1576"/>
      <c r="TZ103" s="1576"/>
      <c r="UA103" s="1576"/>
      <c r="UB103" s="1576"/>
      <c r="UC103" s="1576"/>
      <c r="UD103" s="1576"/>
      <c r="UE103" s="1576"/>
      <c r="UF103" s="1576"/>
      <c r="UG103" s="1576"/>
      <c r="UH103" s="1576"/>
      <c r="UI103" s="1576"/>
      <c r="UJ103" s="1576"/>
      <c r="UK103" s="1576"/>
      <c r="UL103" s="1576"/>
      <c r="UM103" s="1576"/>
      <c r="UN103" s="1576"/>
      <c r="UO103" s="1576"/>
      <c r="UP103" s="1576"/>
      <c r="UQ103" s="1576"/>
      <c r="UR103" s="1576"/>
      <c r="US103" s="1576"/>
      <c r="UT103" s="1576"/>
      <c r="UU103" s="1576"/>
      <c r="UV103" s="1576"/>
      <c r="UW103" s="1576"/>
      <c r="UX103" s="1576"/>
      <c r="UY103" s="1576"/>
      <c r="UZ103" s="1576"/>
      <c r="VA103" s="1576"/>
      <c r="VB103" s="1576"/>
      <c r="VC103" s="1576"/>
      <c r="VD103" s="1576"/>
      <c r="VE103" s="1576"/>
      <c r="VF103" s="1576"/>
      <c r="VG103" s="1576"/>
      <c r="VH103" s="1576"/>
      <c r="VI103" s="1576"/>
      <c r="VJ103" s="1576"/>
      <c r="VK103" s="1576"/>
    </row>
    <row r="104" spans="1:583" ht="27" x14ac:dyDescent="0.25">
      <c r="B104" s="1610" t="s">
        <v>1278</v>
      </c>
      <c r="C104" s="2062" t="s">
        <v>2933</v>
      </c>
      <c r="D104" s="1582" t="s">
        <v>1278</v>
      </c>
      <c r="E104" s="2062" t="s">
        <v>2933</v>
      </c>
      <c r="F104" s="2061">
        <f>SUM(F100:F103)</f>
        <v>43.927999999999997</v>
      </c>
      <c r="G104" s="2061">
        <f t="shared" ref="G104:BR104" si="101">SUM(G100:G103)</f>
        <v>43.945022422759564</v>
      </c>
      <c r="H104" s="2061">
        <f t="shared" si="101"/>
        <v>43.962051441833012</v>
      </c>
      <c r="I104" s="2061">
        <f t="shared" si="101"/>
        <v>43.979087059776482</v>
      </c>
      <c r="J104" s="2061">
        <f t="shared" si="101"/>
        <v>43.99612927914707</v>
      </c>
      <c r="K104" s="2061">
        <f t="shared" si="101"/>
        <v>44.013178102502877</v>
      </c>
      <c r="L104" s="2061">
        <f t="shared" si="101"/>
        <v>44.030233532403003</v>
      </c>
      <c r="M104" s="2061">
        <f t="shared" si="101"/>
        <v>44.047295571407531</v>
      </c>
      <c r="N104" s="2061">
        <f t="shared" si="101"/>
        <v>44.064364222077536</v>
      </c>
      <c r="O104" s="2061">
        <f t="shared" si="101"/>
        <v>44.081439486975071</v>
      </c>
      <c r="P104" s="2061">
        <f t="shared" si="101"/>
        <v>44.098521368663235</v>
      </c>
      <c r="Q104" s="2061">
        <f t="shared" si="101"/>
        <v>44.115609869706063</v>
      </c>
      <c r="R104" s="2061">
        <f t="shared" si="101"/>
        <v>44.132704992668593</v>
      </c>
      <c r="S104" s="2061">
        <f t="shared" si="101"/>
        <v>44.149806740116873</v>
      </c>
      <c r="T104" s="2061">
        <f t="shared" si="101"/>
        <v>44.16691511461795</v>
      </c>
      <c r="U104" s="2061">
        <f t="shared" si="101"/>
        <v>44.184030118739855</v>
      </c>
      <c r="V104" s="2061">
        <f t="shared" si="101"/>
        <v>44.201151755051598</v>
      </c>
      <c r="W104" s="2061">
        <f t="shared" si="101"/>
        <v>0</v>
      </c>
      <c r="X104" s="2061">
        <f t="shared" si="101"/>
        <v>0</v>
      </c>
      <c r="Y104" s="2061">
        <f t="shared" si="101"/>
        <v>0</v>
      </c>
      <c r="Z104" s="2061">
        <f t="shared" si="101"/>
        <v>0</v>
      </c>
      <c r="AA104" s="2061">
        <f t="shared" si="101"/>
        <v>0</v>
      </c>
      <c r="AB104" s="2061">
        <f t="shared" si="101"/>
        <v>0</v>
      </c>
      <c r="AC104" s="2061">
        <f t="shared" si="101"/>
        <v>0</v>
      </c>
      <c r="AD104" s="2061">
        <f t="shared" si="101"/>
        <v>0</v>
      </c>
      <c r="AE104" s="2061">
        <f t="shared" si="101"/>
        <v>0</v>
      </c>
      <c r="AF104" s="2061">
        <f t="shared" si="101"/>
        <v>0</v>
      </c>
      <c r="AG104" s="2061">
        <f t="shared" si="101"/>
        <v>0</v>
      </c>
      <c r="AH104" s="2061">
        <f t="shared" si="101"/>
        <v>0</v>
      </c>
      <c r="AI104" s="2061">
        <f t="shared" si="101"/>
        <v>0</v>
      </c>
      <c r="AJ104" s="2061">
        <f t="shared" si="101"/>
        <v>0</v>
      </c>
      <c r="AK104" s="2061">
        <f t="shared" si="101"/>
        <v>0</v>
      </c>
      <c r="AL104" s="2061">
        <f t="shared" si="101"/>
        <v>0</v>
      </c>
      <c r="AM104" s="2061">
        <f t="shared" si="101"/>
        <v>0</v>
      </c>
      <c r="AN104" s="2061">
        <f t="shared" si="101"/>
        <v>0</v>
      </c>
      <c r="AO104" s="2061">
        <f t="shared" si="101"/>
        <v>0</v>
      </c>
      <c r="AP104" s="2061">
        <f t="shared" si="101"/>
        <v>0</v>
      </c>
      <c r="AQ104" s="2061">
        <f t="shared" si="101"/>
        <v>0</v>
      </c>
      <c r="AR104" s="2061">
        <f t="shared" si="101"/>
        <v>0</v>
      </c>
      <c r="AS104" s="2061">
        <f t="shared" si="101"/>
        <v>0</v>
      </c>
      <c r="AT104" s="2061">
        <f t="shared" si="101"/>
        <v>0</v>
      </c>
      <c r="AU104" s="2061">
        <f t="shared" si="101"/>
        <v>0</v>
      </c>
      <c r="AV104" s="2061">
        <f t="shared" si="101"/>
        <v>0</v>
      </c>
      <c r="AW104" s="2061">
        <f t="shared" si="101"/>
        <v>0</v>
      </c>
      <c r="AX104" s="2061">
        <f t="shared" si="101"/>
        <v>0</v>
      </c>
      <c r="AY104" s="2061">
        <f t="shared" si="101"/>
        <v>0</v>
      </c>
      <c r="AZ104" s="2061">
        <f t="shared" si="101"/>
        <v>0</v>
      </c>
      <c r="BA104" s="2061">
        <f t="shared" si="101"/>
        <v>0</v>
      </c>
      <c r="BB104" s="2061">
        <f t="shared" si="101"/>
        <v>0</v>
      </c>
      <c r="BC104" s="2061">
        <f t="shared" si="101"/>
        <v>0</v>
      </c>
      <c r="BD104" s="2061">
        <f t="shared" si="101"/>
        <v>0</v>
      </c>
      <c r="BE104" s="2061">
        <f t="shared" si="101"/>
        <v>0</v>
      </c>
      <c r="BF104" s="2061">
        <f t="shared" si="101"/>
        <v>0</v>
      </c>
      <c r="BG104" s="2061">
        <f t="shared" si="101"/>
        <v>0</v>
      </c>
      <c r="BH104" s="2061">
        <f t="shared" si="101"/>
        <v>0</v>
      </c>
      <c r="BI104" s="2061">
        <f t="shared" si="101"/>
        <v>0</v>
      </c>
      <c r="BJ104" s="2061">
        <f t="shared" si="101"/>
        <v>0</v>
      </c>
      <c r="BK104" s="2061">
        <f t="shared" si="101"/>
        <v>0</v>
      </c>
      <c r="BL104" s="2061">
        <f t="shared" si="101"/>
        <v>0</v>
      </c>
      <c r="BM104" s="2061">
        <f t="shared" si="101"/>
        <v>0</v>
      </c>
      <c r="BN104" s="2061">
        <f t="shared" si="101"/>
        <v>0</v>
      </c>
      <c r="BO104" s="2061">
        <f t="shared" si="101"/>
        <v>0</v>
      </c>
      <c r="BP104" s="2061">
        <f t="shared" si="101"/>
        <v>0</v>
      </c>
      <c r="BQ104" s="2061">
        <f t="shared" si="101"/>
        <v>0</v>
      </c>
      <c r="BR104" s="2061">
        <f t="shared" si="101"/>
        <v>0</v>
      </c>
      <c r="BS104" s="2061">
        <f t="shared" ref="BS104:ED104" si="102">SUM(BS100:BS103)</f>
        <v>0</v>
      </c>
      <c r="BT104" s="2061">
        <f t="shared" si="102"/>
        <v>0</v>
      </c>
      <c r="BU104" s="2061">
        <f t="shared" si="102"/>
        <v>0</v>
      </c>
      <c r="BV104" s="2061">
        <f t="shared" si="102"/>
        <v>43.927999999999997</v>
      </c>
      <c r="BW104" s="2061">
        <f t="shared" si="102"/>
        <v>43.945022422759564</v>
      </c>
      <c r="BX104" s="2061">
        <f t="shared" si="102"/>
        <v>43.962051441833012</v>
      </c>
      <c r="BY104" s="2061">
        <f t="shared" si="102"/>
        <v>43.979087059776482</v>
      </c>
      <c r="BZ104" s="2061">
        <f t="shared" si="102"/>
        <v>43.99612927914707</v>
      </c>
      <c r="CA104" s="2061">
        <f t="shared" si="102"/>
        <v>44.013178102502877</v>
      </c>
      <c r="CB104" s="2061">
        <f t="shared" si="102"/>
        <v>44.030233532403003</v>
      </c>
      <c r="CC104" s="2061">
        <f t="shared" si="102"/>
        <v>44.047295571407531</v>
      </c>
      <c r="CD104" s="2061">
        <f t="shared" si="102"/>
        <v>44.064364222077536</v>
      </c>
      <c r="CE104" s="2061">
        <f t="shared" si="102"/>
        <v>44.081439486975071</v>
      </c>
      <c r="CF104" s="2061">
        <f t="shared" si="102"/>
        <v>44.098521368663235</v>
      </c>
      <c r="CG104" s="2061">
        <f t="shared" si="102"/>
        <v>44.115609869706063</v>
      </c>
      <c r="CH104" s="2061">
        <f t="shared" si="102"/>
        <v>44.132704992668593</v>
      </c>
      <c r="CI104" s="2061">
        <f t="shared" si="102"/>
        <v>44.149806740116873</v>
      </c>
      <c r="CJ104" s="2061">
        <f t="shared" si="102"/>
        <v>44.16691511461795</v>
      </c>
      <c r="CK104" s="2061">
        <f t="shared" si="102"/>
        <v>44.184030118739855</v>
      </c>
      <c r="CL104" s="2061">
        <f t="shared" si="102"/>
        <v>44.201151755051598</v>
      </c>
      <c r="CM104" s="2061">
        <f t="shared" si="102"/>
        <v>0</v>
      </c>
      <c r="CN104" s="2061">
        <f t="shared" si="102"/>
        <v>0</v>
      </c>
      <c r="CO104" s="2061">
        <f t="shared" si="102"/>
        <v>0</v>
      </c>
      <c r="CP104" s="2061">
        <f t="shared" si="102"/>
        <v>0</v>
      </c>
      <c r="CQ104" s="2061">
        <f t="shared" si="102"/>
        <v>0</v>
      </c>
      <c r="CR104" s="2061">
        <f t="shared" si="102"/>
        <v>0</v>
      </c>
      <c r="CS104" s="2061">
        <f t="shared" si="102"/>
        <v>0</v>
      </c>
      <c r="CT104" s="2061">
        <f t="shared" si="102"/>
        <v>0</v>
      </c>
      <c r="CU104" s="2061">
        <f t="shared" si="102"/>
        <v>0</v>
      </c>
      <c r="CV104" s="2061">
        <f t="shared" si="102"/>
        <v>0</v>
      </c>
      <c r="CW104" s="2061">
        <f t="shared" si="102"/>
        <v>0</v>
      </c>
      <c r="CX104" s="2061">
        <f t="shared" si="102"/>
        <v>0</v>
      </c>
      <c r="CY104" s="2061">
        <f t="shared" si="102"/>
        <v>0</v>
      </c>
      <c r="CZ104" s="2061">
        <f t="shared" si="102"/>
        <v>0</v>
      </c>
      <c r="DA104" s="2061">
        <f t="shared" si="102"/>
        <v>0</v>
      </c>
      <c r="DB104" s="2061">
        <f t="shared" si="102"/>
        <v>0</v>
      </c>
      <c r="DC104" s="2061">
        <f t="shared" si="102"/>
        <v>0</v>
      </c>
      <c r="DD104" s="2061">
        <f t="shared" si="102"/>
        <v>0</v>
      </c>
      <c r="DE104" s="2061">
        <f t="shared" si="102"/>
        <v>0</v>
      </c>
      <c r="DF104" s="2061">
        <f t="shared" si="102"/>
        <v>0</v>
      </c>
      <c r="DG104" s="2061">
        <f t="shared" si="102"/>
        <v>0</v>
      </c>
      <c r="DH104" s="2061">
        <f t="shared" si="102"/>
        <v>0</v>
      </c>
      <c r="DI104" s="2061">
        <f t="shared" si="102"/>
        <v>0</v>
      </c>
      <c r="DJ104" s="2061">
        <f t="shared" si="102"/>
        <v>0</v>
      </c>
      <c r="DK104" s="2061">
        <f t="shared" si="102"/>
        <v>0</v>
      </c>
      <c r="DL104" s="2061">
        <f t="shared" si="102"/>
        <v>0</v>
      </c>
      <c r="DM104" s="2061">
        <f t="shared" si="102"/>
        <v>0</v>
      </c>
      <c r="DN104" s="2061">
        <f t="shared" si="102"/>
        <v>0</v>
      </c>
      <c r="DO104" s="2061">
        <f t="shared" si="102"/>
        <v>0</v>
      </c>
      <c r="DP104" s="2061">
        <f t="shared" si="102"/>
        <v>0</v>
      </c>
      <c r="DQ104" s="2061">
        <f t="shared" si="102"/>
        <v>0</v>
      </c>
      <c r="DR104" s="2061">
        <f t="shared" si="102"/>
        <v>0</v>
      </c>
      <c r="DS104" s="2061">
        <f t="shared" si="102"/>
        <v>0</v>
      </c>
      <c r="DT104" s="2061">
        <f t="shared" si="102"/>
        <v>0</v>
      </c>
      <c r="DU104" s="2061">
        <f t="shared" si="102"/>
        <v>0</v>
      </c>
      <c r="DV104" s="2061">
        <f t="shared" si="102"/>
        <v>0</v>
      </c>
      <c r="DW104" s="2061">
        <f t="shared" si="102"/>
        <v>0</v>
      </c>
      <c r="DX104" s="2061">
        <f t="shared" si="102"/>
        <v>0</v>
      </c>
      <c r="DY104" s="2061">
        <f t="shared" si="102"/>
        <v>0</v>
      </c>
      <c r="DZ104" s="2061">
        <f t="shared" si="102"/>
        <v>0</v>
      </c>
      <c r="EA104" s="2061">
        <f t="shared" si="102"/>
        <v>0</v>
      </c>
      <c r="EB104" s="2061">
        <f t="shared" si="102"/>
        <v>0</v>
      </c>
      <c r="EC104" s="2061">
        <f t="shared" si="102"/>
        <v>0</v>
      </c>
      <c r="ED104" s="2061">
        <f t="shared" si="102"/>
        <v>0</v>
      </c>
      <c r="EE104" s="2061">
        <f t="shared" ref="EE104:GP104" si="103">SUM(EE100:EE103)</f>
        <v>0</v>
      </c>
      <c r="EF104" s="2061">
        <f t="shared" si="103"/>
        <v>0</v>
      </c>
      <c r="EG104" s="2061">
        <f t="shared" si="103"/>
        <v>0</v>
      </c>
      <c r="EH104" s="2061">
        <f t="shared" si="103"/>
        <v>0</v>
      </c>
      <c r="EI104" s="2061">
        <f t="shared" si="103"/>
        <v>0</v>
      </c>
      <c r="EJ104" s="2061">
        <f t="shared" si="103"/>
        <v>0</v>
      </c>
      <c r="EK104" s="2061">
        <f t="shared" si="103"/>
        <v>0</v>
      </c>
      <c r="EL104" s="2061">
        <f t="shared" si="103"/>
        <v>0</v>
      </c>
      <c r="EM104" s="2061">
        <f t="shared" si="103"/>
        <v>0</v>
      </c>
      <c r="EN104" s="2061">
        <f t="shared" si="103"/>
        <v>0</v>
      </c>
      <c r="EO104" s="2061">
        <f t="shared" si="103"/>
        <v>0</v>
      </c>
      <c r="EP104" s="2061">
        <f t="shared" si="103"/>
        <v>0</v>
      </c>
      <c r="EQ104" s="2061">
        <f t="shared" si="103"/>
        <v>0</v>
      </c>
      <c r="ER104" s="2061">
        <f t="shared" si="103"/>
        <v>0</v>
      </c>
      <c r="ES104" s="2061">
        <f t="shared" si="103"/>
        <v>0</v>
      </c>
      <c r="ET104" s="2061">
        <f t="shared" si="103"/>
        <v>0</v>
      </c>
      <c r="EU104" s="2061">
        <f t="shared" si="103"/>
        <v>0</v>
      </c>
      <c r="EV104" s="2061">
        <f t="shared" si="103"/>
        <v>0</v>
      </c>
      <c r="EW104" s="2061">
        <f t="shared" si="103"/>
        <v>0</v>
      </c>
      <c r="EX104" s="2061">
        <f t="shared" si="103"/>
        <v>0</v>
      </c>
      <c r="EY104" s="2061">
        <f t="shared" si="103"/>
        <v>0</v>
      </c>
      <c r="EZ104" s="2061">
        <f t="shared" si="103"/>
        <v>0</v>
      </c>
      <c r="FA104" s="2061">
        <f t="shared" si="103"/>
        <v>0</v>
      </c>
      <c r="FB104" s="2061">
        <f t="shared" si="103"/>
        <v>0</v>
      </c>
      <c r="FC104" s="2061">
        <f t="shared" si="103"/>
        <v>0</v>
      </c>
      <c r="FD104" s="2061">
        <f t="shared" si="103"/>
        <v>0</v>
      </c>
      <c r="FE104" s="2061">
        <f t="shared" si="103"/>
        <v>0</v>
      </c>
      <c r="FF104" s="2061">
        <f t="shared" si="103"/>
        <v>0</v>
      </c>
      <c r="FG104" s="2061">
        <f t="shared" si="103"/>
        <v>0</v>
      </c>
      <c r="FH104" s="2061">
        <f t="shared" si="103"/>
        <v>0</v>
      </c>
      <c r="FI104" s="2061">
        <f t="shared" si="103"/>
        <v>0</v>
      </c>
      <c r="FJ104" s="2061">
        <f t="shared" si="103"/>
        <v>0</v>
      </c>
      <c r="FK104" s="2061">
        <f t="shared" si="103"/>
        <v>0</v>
      </c>
      <c r="FL104" s="2061">
        <f t="shared" si="103"/>
        <v>0</v>
      </c>
      <c r="FM104" s="2061">
        <f t="shared" si="103"/>
        <v>0</v>
      </c>
      <c r="FN104" s="2061">
        <f t="shared" si="103"/>
        <v>0</v>
      </c>
      <c r="FO104" s="2061">
        <f t="shared" si="103"/>
        <v>0</v>
      </c>
      <c r="FP104" s="2061">
        <f t="shared" si="103"/>
        <v>0</v>
      </c>
      <c r="FQ104" s="2061">
        <f t="shared" si="103"/>
        <v>0</v>
      </c>
      <c r="FR104" s="2061">
        <f t="shared" si="103"/>
        <v>0</v>
      </c>
      <c r="FS104" s="2061">
        <f t="shared" si="103"/>
        <v>0</v>
      </c>
      <c r="FT104" s="2061">
        <f t="shared" si="103"/>
        <v>0</v>
      </c>
      <c r="FU104" s="2061">
        <f t="shared" si="103"/>
        <v>0</v>
      </c>
      <c r="FV104" s="2061">
        <f t="shared" si="103"/>
        <v>0</v>
      </c>
      <c r="FW104" s="2061">
        <f t="shared" si="103"/>
        <v>0</v>
      </c>
      <c r="FX104" s="2061">
        <f t="shared" si="103"/>
        <v>0</v>
      </c>
      <c r="FY104" s="2061">
        <f t="shared" si="103"/>
        <v>0</v>
      </c>
      <c r="FZ104" s="2061">
        <f t="shared" si="103"/>
        <v>0</v>
      </c>
      <c r="GA104" s="2061">
        <f t="shared" si="103"/>
        <v>0</v>
      </c>
      <c r="GB104" s="2061">
        <f t="shared" si="103"/>
        <v>0</v>
      </c>
      <c r="GC104" s="2061">
        <f t="shared" si="103"/>
        <v>0</v>
      </c>
      <c r="GD104" s="2061">
        <f t="shared" si="103"/>
        <v>0</v>
      </c>
      <c r="GE104" s="2061">
        <f t="shared" si="103"/>
        <v>0</v>
      </c>
      <c r="GF104" s="2061">
        <f t="shared" si="103"/>
        <v>0</v>
      </c>
      <c r="GG104" s="2061">
        <f t="shared" si="103"/>
        <v>0</v>
      </c>
      <c r="GH104" s="2061">
        <f t="shared" si="103"/>
        <v>0</v>
      </c>
      <c r="GI104" s="2061">
        <f t="shared" si="103"/>
        <v>0</v>
      </c>
      <c r="GJ104" s="2061">
        <f t="shared" si="103"/>
        <v>0</v>
      </c>
      <c r="GK104" s="2061">
        <f t="shared" si="103"/>
        <v>0</v>
      </c>
      <c r="GL104" s="2061">
        <f t="shared" si="103"/>
        <v>0</v>
      </c>
      <c r="GM104" s="2061">
        <f t="shared" si="103"/>
        <v>0</v>
      </c>
      <c r="GN104" s="2061">
        <f t="shared" si="103"/>
        <v>0</v>
      </c>
      <c r="GO104" s="2061">
        <f t="shared" si="103"/>
        <v>0</v>
      </c>
      <c r="GP104" s="2061">
        <f t="shared" si="103"/>
        <v>0</v>
      </c>
      <c r="GQ104" s="2061">
        <f t="shared" ref="GQ104:JB104" si="104">SUM(GQ100:GQ103)</f>
        <v>0</v>
      </c>
      <c r="GR104" s="2061">
        <f t="shared" si="104"/>
        <v>0</v>
      </c>
      <c r="GS104" s="2061">
        <f t="shared" si="104"/>
        <v>0</v>
      </c>
      <c r="GT104" s="2061">
        <f t="shared" si="104"/>
        <v>0</v>
      </c>
      <c r="GU104" s="2061">
        <f t="shared" si="104"/>
        <v>0</v>
      </c>
      <c r="GV104" s="2061">
        <f t="shared" si="104"/>
        <v>0</v>
      </c>
      <c r="GW104" s="2061">
        <f t="shared" si="104"/>
        <v>0</v>
      </c>
      <c r="GX104" s="2061">
        <f t="shared" si="104"/>
        <v>0</v>
      </c>
      <c r="GY104" s="2061">
        <f t="shared" si="104"/>
        <v>0</v>
      </c>
      <c r="GZ104" s="2061">
        <f t="shared" si="104"/>
        <v>0</v>
      </c>
      <c r="HA104" s="2061">
        <f t="shared" si="104"/>
        <v>0</v>
      </c>
      <c r="HB104" s="2061">
        <f t="shared" si="104"/>
        <v>0</v>
      </c>
      <c r="HC104" s="2061">
        <f t="shared" si="104"/>
        <v>0</v>
      </c>
      <c r="HD104" s="2061">
        <f t="shared" si="104"/>
        <v>0</v>
      </c>
      <c r="HE104" s="2061">
        <f t="shared" si="104"/>
        <v>0</v>
      </c>
      <c r="HF104" s="2061">
        <f t="shared" si="104"/>
        <v>0</v>
      </c>
      <c r="HG104" s="2061">
        <f t="shared" si="104"/>
        <v>0</v>
      </c>
      <c r="HH104" s="2061">
        <f t="shared" si="104"/>
        <v>0</v>
      </c>
      <c r="HI104" s="2061">
        <f t="shared" si="104"/>
        <v>0</v>
      </c>
      <c r="HJ104" s="2061">
        <f t="shared" si="104"/>
        <v>0</v>
      </c>
      <c r="HK104" s="2061">
        <f t="shared" si="104"/>
        <v>0</v>
      </c>
      <c r="HL104" s="2061">
        <f t="shared" si="104"/>
        <v>0</v>
      </c>
      <c r="HM104" s="2061">
        <f t="shared" si="104"/>
        <v>0</v>
      </c>
      <c r="HN104" s="2061">
        <f t="shared" si="104"/>
        <v>0</v>
      </c>
      <c r="HO104" s="2061">
        <f t="shared" si="104"/>
        <v>0</v>
      </c>
      <c r="HP104" s="2061">
        <f t="shared" si="104"/>
        <v>0</v>
      </c>
      <c r="HQ104" s="2061">
        <f t="shared" si="104"/>
        <v>0</v>
      </c>
      <c r="HR104" s="2061">
        <f t="shared" si="104"/>
        <v>0</v>
      </c>
      <c r="HS104" s="2061">
        <f t="shared" si="104"/>
        <v>0</v>
      </c>
      <c r="HT104" s="2061">
        <f t="shared" si="104"/>
        <v>0</v>
      </c>
      <c r="HU104" s="2061">
        <f t="shared" si="104"/>
        <v>0</v>
      </c>
      <c r="HV104" s="2061">
        <f t="shared" si="104"/>
        <v>0</v>
      </c>
      <c r="HW104" s="2061">
        <f t="shared" si="104"/>
        <v>0</v>
      </c>
      <c r="HX104" s="2061">
        <f t="shared" si="104"/>
        <v>0</v>
      </c>
      <c r="HY104" s="2061">
        <f t="shared" si="104"/>
        <v>0</v>
      </c>
      <c r="HZ104" s="2061">
        <f t="shared" si="104"/>
        <v>0</v>
      </c>
      <c r="IA104" s="2061">
        <f t="shared" si="104"/>
        <v>0</v>
      </c>
      <c r="IB104" s="2061">
        <f t="shared" si="104"/>
        <v>0</v>
      </c>
      <c r="IC104" s="2061">
        <f t="shared" si="104"/>
        <v>0</v>
      </c>
      <c r="ID104" s="2061">
        <f t="shared" si="104"/>
        <v>0</v>
      </c>
      <c r="IE104" s="2061">
        <f t="shared" si="104"/>
        <v>0</v>
      </c>
      <c r="IF104" s="2061">
        <f t="shared" si="104"/>
        <v>0</v>
      </c>
      <c r="IG104" s="2061">
        <f t="shared" si="104"/>
        <v>0</v>
      </c>
      <c r="IH104" s="2061">
        <f t="shared" si="104"/>
        <v>0</v>
      </c>
      <c r="II104" s="2061">
        <f t="shared" si="104"/>
        <v>0</v>
      </c>
      <c r="IJ104" s="2061">
        <f t="shared" si="104"/>
        <v>0</v>
      </c>
      <c r="IK104" s="2061">
        <f t="shared" si="104"/>
        <v>0</v>
      </c>
      <c r="IL104" s="2061">
        <f t="shared" si="104"/>
        <v>0</v>
      </c>
      <c r="IM104" s="2061">
        <f t="shared" si="104"/>
        <v>0</v>
      </c>
      <c r="IN104" s="2061">
        <f t="shared" si="104"/>
        <v>0</v>
      </c>
      <c r="IO104" s="2061">
        <f t="shared" si="104"/>
        <v>0</v>
      </c>
      <c r="IP104" s="2061">
        <f t="shared" si="104"/>
        <v>0</v>
      </c>
      <c r="IQ104" s="2061">
        <f t="shared" si="104"/>
        <v>0</v>
      </c>
      <c r="IR104" s="2061">
        <f t="shared" si="104"/>
        <v>0</v>
      </c>
      <c r="IS104" s="2061">
        <f t="shared" si="104"/>
        <v>0</v>
      </c>
      <c r="IT104" s="2061">
        <f t="shared" si="104"/>
        <v>0</v>
      </c>
      <c r="IU104" s="2061">
        <f t="shared" si="104"/>
        <v>0</v>
      </c>
      <c r="IV104" s="2061">
        <f t="shared" si="104"/>
        <v>0</v>
      </c>
      <c r="IW104" s="2061">
        <f t="shared" si="104"/>
        <v>0</v>
      </c>
      <c r="IX104" s="2061">
        <f t="shared" si="104"/>
        <v>0</v>
      </c>
      <c r="IY104" s="2061">
        <f t="shared" si="104"/>
        <v>0</v>
      </c>
      <c r="IZ104" s="2061">
        <f t="shared" si="104"/>
        <v>0</v>
      </c>
      <c r="JA104" s="2061">
        <f t="shared" si="104"/>
        <v>0</v>
      </c>
      <c r="JB104" s="2061">
        <f t="shared" si="104"/>
        <v>0</v>
      </c>
      <c r="JC104" s="2061">
        <f t="shared" ref="JC104:LN104" si="105">SUM(JC100:JC103)</f>
        <v>0</v>
      </c>
      <c r="JD104" s="2061">
        <f t="shared" si="105"/>
        <v>0</v>
      </c>
      <c r="JE104" s="2061">
        <f t="shared" si="105"/>
        <v>0</v>
      </c>
      <c r="JF104" s="2061">
        <f t="shared" si="105"/>
        <v>0</v>
      </c>
      <c r="JG104" s="2061">
        <f t="shared" si="105"/>
        <v>0</v>
      </c>
      <c r="JH104" s="2061">
        <f t="shared" si="105"/>
        <v>0</v>
      </c>
      <c r="JI104" s="2061">
        <f t="shared" si="105"/>
        <v>0</v>
      </c>
      <c r="JJ104" s="2061">
        <f t="shared" si="105"/>
        <v>0</v>
      </c>
      <c r="JK104" s="2061">
        <f t="shared" si="105"/>
        <v>0</v>
      </c>
      <c r="JL104" s="2061">
        <f t="shared" si="105"/>
        <v>0</v>
      </c>
      <c r="JM104" s="2061">
        <f t="shared" si="105"/>
        <v>0</v>
      </c>
      <c r="JN104" s="2061">
        <f t="shared" si="105"/>
        <v>0</v>
      </c>
      <c r="JO104" s="2061">
        <f t="shared" si="105"/>
        <v>0</v>
      </c>
      <c r="JP104" s="2061">
        <f t="shared" si="105"/>
        <v>0</v>
      </c>
      <c r="JQ104" s="2061">
        <f t="shared" si="105"/>
        <v>0</v>
      </c>
      <c r="JR104" s="2061">
        <f t="shared" si="105"/>
        <v>0</v>
      </c>
      <c r="JS104" s="2061">
        <f t="shared" si="105"/>
        <v>0</v>
      </c>
      <c r="JT104" s="2061">
        <f t="shared" si="105"/>
        <v>0</v>
      </c>
      <c r="JU104" s="2061">
        <f t="shared" si="105"/>
        <v>0</v>
      </c>
      <c r="JV104" s="2061">
        <f t="shared" si="105"/>
        <v>0</v>
      </c>
      <c r="JW104" s="2061">
        <f t="shared" si="105"/>
        <v>0</v>
      </c>
      <c r="JX104" s="2061">
        <f t="shared" si="105"/>
        <v>0</v>
      </c>
      <c r="JY104" s="2061">
        <f t="shared" si="105"/>
        <v>0</v>
      </c>
      <c r="JZ104" s="2061">
        <f t="shared" si="105"/>
        <v>0</v>
      </c>
      <c r="KA104" s="2061">
        <f t="shared" si="105"/>
        <v>0</v>
      </c>
      <c r="KB104" s="2061">
        <f t="shared" si="105"/>
        <v>0</v>
      </c>
      <c r="KC104" s="2061">
        <f t="shared" si="105"/>
        <v>0</v>
      </c>
      <c r="KD104" s="2061">
        <f t="shared" si="105"/>
        <v>0</v>
      </c>
      <c r="KE104" s="2061">
        <f t="shared" si="105"/>
        <v>0</v>
      </c>
      <c r="KF104" s="2061">
        <f t="shared" si="105"/>
        <v>0</v>
      </c>
      <c r="KG104" s="2061">
        <f t="shared" si="105"/>
        <v>0</v>
      </c>
      <c r="KH104" s="2061">
        <f t="shared" si="105"/>
        <v>0</v>
      </c>
      <c r="KI104" s="2061">
        <f t="shared" si="105"/>
        <v>117.14133333333332</v>
      </c>
      <c r="KJ104" s="2061">
        <f t="shared" si="105"/>
        <v>117.18672646069217</v>
      </c>
      <c r="KK104" s="2061">
        <f t="shared" si="105"/>
        <v>117.23213717822136</v>
      </c>
      <c r="KL104" s="2061">
        <f t="shared" si="105"/>
        <v>117.27756549273728</v>
      </c>
      <c r="KM104" s="2061">
        <f t="shared" si="105"/>
        <v>117.32301141105884</v>
      </c>
      <c r="KN104" s="2061">
        <f t="shared" si="105"/>
        <v>117.36847494000767</v>
      </c>
      <c r="KO104" s="2061">
        <f t="shared" si="105"/>
        <v>117.41395608640801</v>
      </c>
      <c r="KP104" s="2061">
        <f t="shared" si="105"/>
        <v>117.45945485708674</v>
      </c>
      <c r="KQ104" s="2061">
        <f t="shared" si="105"/>
        <v>117.50497125887343</v>
      </c>
      <c r="KR104" s="2061">
        <f t="shared" si="105"/>
        <v>117.55050529860019</v>
      </c>
      <c r="KS104" s="2061">
        <f t="shared" si="105"/>
        <v>117.59605698310196</v>
      </c>
      <c r="KT104" s="2061">
        <f t="shared" si="105"/>
        <v>117.64162631921616</v>
      </c>
      <c r="KU104" s="2061">
        <f t="shared" si="105"/>
        <v>117.68721331378291</v>
      </c>
      <c r="KV104" s="2061">
        <f t="shared" si="105"/>
        <v>117.73281797364498</v>
      </c>
      <c r="KW104" s="2061">
        <f t="shared" si="105"/>
        <v>117.77844030564786</v>
      </c>
      <c r="KX104" s="2061">
        <f t="shared" si="105"/>
        <v>117.82408031663961</v>
      </c>
      <c r="KY104" s="2061">
        <f t="shared" si="105"/>
        <v>117.86973801347092</v>
      </c>
      <c r="KZ104" s="2061">
        <f t="shared" si="105"/>
        <v>0</v>
      </c>
      <c r="LA104" s="2061">
        <f t="shared" si="105"/>
        <v>0</v>
      </c>
      <c r="LB104" s="2061">
        <f t="shared" si="105"/>
        <v>0</v>
      </c>
      <c r="LC104" s="2061">
        <f t="shared" si="105"/>
        <v>0</v>
      </c>
      <c r="LD104" s="2061">
        <f t="shared" si="105"/>
        <v>0</v>
      </c>
      <c r="LE104" s="2061">
        <f t="shared" si="105"/>
        <v>0</v>
      </c>
      <c r="LF104" s="2061">
        <f t="shared" si="105"/>
        <v>0</v>
      </c>
      <c r="LG104" s="2061">
        <f t="shared" si="105"/>
        <v>0</v>
      </c>
      <c r="LH104" s="2061">
        <f t="shared" si="105"/>
        <v>0</v>
      </c>
      <c r="LI104" s="2061">
        <f t="shared" si="105"/>
        <v>0</v>
      </c>
      <c r="LJ104" s="2061">
        <f t="shared" si="105"/>
        <v>0</v>
      </c>
      <c r="LK104" s="2061">
        <f t="shared" si="105"/>
        <v>0</v>
      </c>
      <c r="LL104" s="2061">
        <f t="shared" si="105"/>
        <v>0</v>
      </c>
      <c r="LM104" s="2061">
        <f t="shared" si="105"/>
        <v>0</v>
      </c>
      <c r="LN104" s="2061">
        <f t="shared" si="105"/>
        <v>0</v>
      </c>
      <c r="LO104" s="2061">
        <f t="shared" ref="LO104:NZ104" si="106">SUM(LO100:LO103)</f>
        <v>0</v>
      </c>
      <c r="LP104" s="2061">
        <f t="shared" si="106"/>
        <v>0</v>
      </c>
      <c r="LQ104" s="2061">
        <f t="shared" si="106"/>
        <v>0</v>
      </c>
      <c r="LR104" s="2061">
        <f t="shared" si="106"/>
        <v>0</v>
      </c>
      <c r="LS104" s="2061">
        <f t="shared" si="106"/>
        <v>0</v>
      </c>
      <c r="LT104" s="2061">
        <f t="shared" si="106"/>
        <v>0</v>
      </c>
      <c r="LU104" s="2061">
        <f t="shared" si="106"/>
        <v>0</v>
      </c>
      <c r="LV104" s="2061">
        <f t="shared" si="106"/>
        <v>0</v>
      </c>
      <c r="LW104" s="2061">
        <f t="shared" si="106"/>
        <v>0</v>
      </c>
      <c r="LX104" s="2061">
        <f t="shared" si="106"/>
        <v>0</v>
      </c>
      <c r="LY104" s="2061">
        <f t="shared" si="106"/>
        <v>0</v>
      </c>
      <c r="LZ104" s="2061">
        <f t="shared" si="106"/>
        <v>0</v>
      </c>
      <c r="MA104" s="2061">
        <f t="shared" si="106"/>
        <v>0</v>
      </c>
      <c r="MB104" s="2061">
        <f t="shared" si="106"/>
        <v>0</v>
      </c>
      <c r="MC104" s="2061">
        <f t="shared" si="106"/>
        <v>0</v>
      </c>
      <c r="MD104" s="2061">
        <f t="shared" si="106"/>
        <v>0</v>
      </c>
      <c r="ME104" s="2061">
        <f t="shared" si="106"/>
        <v>0</v>
      </c>
      <c r="MF104" s="2061">
        <f t="shared" si="106"/>
        <v>0</v>
      </c>
      <c r="MG104" s="2061">
        <f t="shared" si="106"/>
        <v>0</v>
      </c>
      <c r="MH104" s="2061">
        <f t="shared" si="106"/>
        <v>0</v>
      </c>
      <c r="MI104" s="2061">
        <f t="shared" si="106"/>
        <v>0</v>
      </c>
      <c r="MJ104" s="2061">
        <f t="shared" si="106"/>
        <v>0</v>
      </c>
      <c r="MK104" s="2061">
        <f t="shared" si="106"/>
        <v>0</v>
      </c>
      <c r="ML104" s="2061">
        <f t="shared" si="106"/>
        <v>0</v>
      </c>
      <c r="MM104" s="2061">
        <f t="shared" si="106"/>
        <v>0</v>
      </c>
      <c r="MN104" s="2061">
        <f t="shared" si="106"/>
        <v>0</v>
      </c>
      <c r="MO104" s="2061">
        <f t="shared" si="106"/>
        <v>0</v>
      </c>
      <c r="MP104" s="2061">
        <f t="shared" si="106"/>
        <v>0</v>
      </c>
      <c r="MQ104" s="2061">
        <f t="shared" si="106"/>
        <v>0</v>
      </c>
      <c r="MR104" s="2061">
        <f t="shared" si="106"/>
        <v>0</v>
      </c>
      <c r="MS104" s="2061">
        <f t="shared" si="106"/>
        <v>0</v>
      </c>
      <c r="MT104" s="2061">
        <f t="shared" si="106"/>
        <v>0</v>
      </c>
      <c r="MU104" s="2061">
        <f t="shared" si="106"/>
        <v>0</v>
      </c>
      <c r="MV104" s="2061">
        <f t="shared" si="106"/>
        <v>0</v>
      </c>
      <c r="MW104" s="2061">
        <f t="shared" si="106"/>
        <v>0</v>
      </c>
      <c r="MX104" s="2061">
        <f t="shared" si="106"/>
        <v>0</v>
      </c>
      <c r="MY104" s="2061">
        <f t="shared" si="106"/>
        <v>65.891999999999996</v>
      </c>
      <c r="MZ104" s="2061">
        <f t="shared" si="106"/>
        <v>65.917533634139346</v>
      </c>
      <c r="NA104" s="2061">
        <f t="shared" si="106"/>
        <v>65.943077162749518</v>
      </c>
      <c r="NB104" s="2061">
        <f t="shared" si="106"/>
        <v>65.968630589664727</v>
      </c>
      <c r="NC104" s="2061">
        <f t="shared" si="106"/>
        <v>65.994193918720612</v>
      </c>
      <c r="ND104" s="2061">
        <f t="shared" si="106"/>
        <v>66.019767153754316</v>
      </c>
      <c r="NE104" s="2061">
        <f t="shared" si="106"/>
        <v>66.045350298604504</v>
      </c>
      <c r="NF104" s="2061">
        <f t="shared" si="106"/>
        <v>66.070943357111304</v>
      </c>
      <c r="NG104" s="2061">
        <f t="shared" si="106"/>
        <v>66.096546333116308</v>
      </c>
      <c r="NH104" s="2061">
        <f t="shared" si="106"/>
        <v>66.122159230462614</v>
      </c>
      <c r="NI104" s="2061">
        <f t="shared" si="106"/>
        <v>66.147782052994856</v>
      </c>
      <c r="NJ104" s="2061">
        <f t="shared" si="106"/>
        <v>66.173414804559087</v>
      </c>
      <c r="NK104" s="2061">
        <f t="shared" si="106"/>
        <v>66.199057489002882</v>
      </c>
      <c r="NL104" s="2061">
        <f t="shared" si="106"/>
        <v>66.224710110175309</v>
      </c>
      <c r="NM104" s="2061">
        <f t="shared" si="106"/>
        <v>66.250372671926925</v>
      </c>
      <c r="NN104" s="2061">
        <f t="shared" si="106"/>
        <v>66.276045178109783</v>
      </c>
      <c r="NO104" s="2061">
        <f t="shared" si="106"/>
        <v>66.301727632577396</v>
      </c>
      <c r="NP104" s="2061">
        <f t="shared" si="106"/>
        <v>0</v>
      </c>
      <c r="NQ104" s="2061">
        <f t="shared" si="106"/>
        <v>0</v>
      </c>
      <c r="NR104" s="2061">
        <f t="shared" si="106"/>
        <v>0</v>
      </c>
      <c r="NS104" s="2061">
        <f t="shared" si="106"/>
        <v>0</v>
      </c>
      <c r="NT104" s="2061">
        <f t="shared" si="106"/>
        <v>0</v>
      </c>
      <c r="NU104" s="2061">
        <f t="shared" si="106"/>
        <v>0</v>
      </c>
      <c r="NV104" s="2061">
        <f t="shared" si="106"/>
        <v>0</v>
      </c>
      <c r="NW104" s="2061">
        <f t="shared" si="106"/>
        <v>0</v>
      </c>
      <c r="NX104" s="2061">
        <f t="shared" si="106"/>
        <v>0</v>
      </c>
      <c r="NY104" s="2061">
        <f t="shared" si="106"/>
        <v>0</v>
      </c>
      <c r="NZ104" s="2061">
        <f t="shared" si="106"/>
        <v>0</v>
      </c>
      <c r="OA104" s="2061">
        <f t="shared" ref="OA104:QL104" si="107">SUM(OA100:OA103)</f>
        <v>0</v>
      </c>
      <c r="OB104" s="2061">
        <f t="shared" si="107"/>
        <v>0</v>
      </c>
      <c r="OC104" s="2061">
        <f t="shared" si="107"/>
        <v>0</v>
      </c>
      <c r="OD104" s="2061">
        <f t="shared" si="107"/>
        <v>0</v>
      </c>
      <c r="OE104" s="2061">
        <f t="shared" si="107"/>
        <v>0</v>
      </c>
      <c r="OF104" s="2061">
        <f t="shared" si="107"/>
        <v>0</v>
      </c>
      <c r="OG104" s="2061">
        <f t="shared" si="107"/>
        <v>0</v>
      </c>
      <c r="OH104" s="2061">
        <f t="shared" si="107"/>
        <v>0</v>
      </c>
      <c r="OI104" s="2061">
        <f t="shared" si="107"/>
        <v>0</v>
      </c>
      <c r="OJ104" s="2061">
        <f t="shared" si="107"/>
        <v>0</v>
      </c>
      <c r="OK104" s="2061">
        <f t="shared" si="107"/>
        <v>0</v>
      </c>
      <c r="OL104" s="2061">
        <f t="shared" si="107"/>
        <v>0</v>
      </c>
      <c r="OM104" s="2061">
        <f t="shared" si="107"/>
        <v>0</v>
      </c>
      <c r="ON104" s="2061">
        <f t="shared" si="107"/>
        <v>0</v>
      </c>
      <c r="OO104" s="2061">
        <f t="shared" si="107"/>
        <v>0</v>
      </c>
      <c r="OP104" s="2061">
        <f t="shared" si="107"/>
        <v>0</v>
      </c>
      <c r="OQ104" s="2061">
        <f t="shared" si="107"/>
        <v>0</v>
      </c>
      <c r="OR104" s="2061">
        <f t="shared" si="107"/>
        <v>0</v>
      </c>
      <c r="OS104" s="2061">
        <f t="shared" si="107"/>
        <v>0</v>
      </c>
      <c r="OT104" s="2061">
        <f t="shared" si="107"/>
        <v>0</v>
      </c>
      <c r="OU104" s="2061">
        <f t="shared" si="107"/>
        <v>0</v>
      </c>
      <c r="OV104" s="2061">
        <f t="shared" si="107"/>
        <v>0</v>
      </c>
      <c r="OW104" s="2061">
        <f t="shared" si="107"/>
        <v>0</v>
      </c>
      <c r="OX104" s="2061">
        <f t="shared" si="107"/>
        <v>0</v>
      </c>
      <c r="OY104" s="2061">
        <f t="shared" si="107"/>
        <v>0</v>
      </c>
      <c r="OZ104" s="2061">
        <f t="shared" si="107"/>
        <v>0</v>
      </c>
      <c r="PA104" s="2061">
        <f t="shared" si="107"/>
        <v>0</v>
      </c>
      <c r="PB104" s="2061">
        <f t="shared" si="107"/>
        <v>0</v>
      </c>
      <c r="PC104" s="2061">
        <f t="shared" si="107"/>
        <v>0</v>
      </c>
      <c r="PD104" s="2061">
        <f t="shared" si="107"/>
        <v>0</v>
      </c>
      <c r="PE104" s="2061">
        <f t="shared" si="107"/>
        <v>0</v>
      </c>
      <c r="PF104" s="2061">
        <f t="shared" si="107"/>
        <v>0</v>
      </c>
      <c r="PG104" s="2061">
        <f t="shared" si="107"/>
        <v>0</v>
      </c>
      <c r="PH104" s="2061">
        <f t="shared" si="107"/>
        <v>0</v>
      </c>
      <c r="PI104" s="2061">
        <f t="shared" si="107"/>
        <v>0</v>
      </c>
      <c r="PJ104" s="2061">
        <f t="shared" si="107"/>
        <v>0</v>
      </c>
      <c r="PK104" s="2061">
        <f t="shared" si="107"/>
        <v>0</v>
      </c>
      <c r="PL104" s="2061">
        <f t="shared" si="107"/>
        <v>0</v>
      </c>
      <c r="PM104" s="2061">
        <f t="shared" si="107"/>
        <v>0</v>
      </c>
      <c r="PN104" s="2061">
        <f t="shared" si="107"/>
        <v>0</v>
      </c>
      <c r="PO104" s="2061">
        <f t="shared" si="107"/>
        <v>0</v>
      </c>
      <c r="PP104" s="2061">
        <f t="shared" si="107"/>
        <v>0</v>
      </c>
      <c r="PQ104" s="2061">
        <f t="shared" si="107"/>
        <v>0</v>
      </c>
      <c r="PR104" s="2061">
        <f t="shared" si="107"/>
        <v>0</v>
      </c>
      <c r="PS104" s="2061">
        <f t="shared" si="107"/>
        <v>0</v>
      </c>
      <c r="PT104" s="2061">
        <f t="shared" si="107"/>
        <v>0</v>
      </c>
      <c r="PU104" s="2061">
        <f t="shared" si="107"/>
        <v>0</v>
      </c>
      <c r="PV104" s="2061">
        <f t="shared" si="107"/>
        <v>0</v>
      </c>
      <c r="PW104" s="2061">
        <f t="shared" si="107"/>
        <v>0</v>
      </c>
      <c r="PX104" s="2061">
        <f t="shared" si="107"/>
        <v>0</v>
      </c>
      <c r="PY104" s="2061">
        <f t="shared" si="107"/>
        <v>0</v>
      </c>
      <c r="PZ104" s="2061">
        <f t="shared" si="107"/>
        <v>0</v>
      </c>
      <c r="QA104" s="2061">
        <f t="shared" si="107"/>
        <v>0</v>
      </c>
      <c r="QB104" s="2061">
        <f t="shared" si="107"/>
        <v>0</v>
      </c>
      <c r="QC104" s="2061">
        <f t="shared" si="107"/>
        <v>0</v>
      </c>
      <c r="QD104" s="2061">
        <f t="shared" si="107"/>
        <v>0</v>
      </c>
      <c r="QE104" s="2061">
        <f t="shared" si="107"/>
        <v>0</v>
      </c>
      <c r="QF104" s="2061">
        <f t="shared" si="107"/>
        <v>0</v>
      </c>
      <c r="QG104" s="2061">
        <f t="shared" si="107"/>
        <v>0</v>
      </c>
      <c r="QH104" s="2061">
        <f t="shared" si="107"/>
        <v>0</v>
      </c>
      <c r="QI104" s="2061">
        <f t="shared" si="107"/>
        <v>0</v>
      </c>
      <c r="QJ104" s="2061">
        <f t="shared" si="107"/>
        <v>0</v>
      </c>
      <c r="QK104" s="2061">
        <f t="shared" si="107"/>
        <v>0</v>
      </c>
      <c r="QL104" s="2061">
        <f t="shared" si="107"/>
        <v>0</v>
      </c>
      <c r="QM104" s="2061">
        <f t="shared" ref="QM104:SX104" si="108">SUM(QM100:QM103)</f>
        <v>0</v>
      </c>
      <c r="QN104" s="2061">
        <f t="shared" si="108"/>
        <v>0</v>
      </c>
      <c r="QO104" s="2061">
        <f t="shared" si="108"/>
        <v>0</v>
      </c>
      <c r="QP104" s="2061">
        <f t="shared" si="108"/>
        <v>0</v>
      </c>
      <c r="QQ104" s="2061">
        <f t="shared" si="108"/>
        <v>0</v>
      </c>
      <c r="QR104" s="2061">
        <f t="shared" si="108"/>
        <v>0</v>
      </c>
      <c r="QS104" s="2061">
        <f t="shared" si="108"/>
        <v>0</v>
      </c>
      <c r="QT104" s="2061">
        <f t="shared" si="108"/>
        <v>0</v>
      </c>
      <c r="QU104" s="2061">
        <f t="shared" si="108"/>
        <v>0</v>
      </c>
      <c r="QV104" s="2061">
        <f t="shared" si="108"/>
        <v>0</v>
      </c>
      <c r="QW104" s="2061">
        <f t="shared" si="108"/>
        <v>0</v>
      </c>
      <c r="QX104" s="2061">
        <f t="shared" si="108"/>
        <v>0</v>
      </c>
      <c r="QY104" s="2061">
        <f t="shared" si="108"/>
        <v>0</v>
      </c>
      <c r="QZ104" s="2061">
        <f t="shared" si="108"/>
        <v>0</v>
      </c>
      <c r="RA104" s="2061">
        <f t="shared" si="108"/>
        <v>0</v>
      </c>
      <c r="RB104" s="2061">
        <f t="shared" si="108"/>
        <v>0</v>
      </c>
      <c r="RC104" s="2061">
        <f t="shared" si="108"/>
        <v>0</v>
      </c>
      <c r="RD104" s="2061">
        <f t="shared" si="108"/>
        <v>0</v>
      </c>
      <c r="RE104" s="2061">
        <f t="shared" si="108"/>
        <v>0</v>
      </c>
      <c r="RF104" s="2061">
        <f t="shared" si="108"/>
        <v>0</v>
      </c>
      <c r="RG104" s="2061">
        <f t="shared" si="108"/>
        <v>0</v>
      </c>
      <c r="RH104" s="2061">
        <f t="shared" si="108"/>
        <v>0</v>
      </c>
      <c r="RI104" s="2061">
        <f t="shared" si="108"/>
        <v>0</v>
      </c>
      <c r="RJ104" s="2061">
        <f t="shared" si="108"/>
        <v>0</v>
      </c>
      <c r="RK104" s="2061">
        <f t="shared" si="108"/>
        <v>0</v>
      </c>
      <c r="RL104" s="2061">
        <f t="shared" si="108"/>
        <v>0</v>
      </c>
      <c r="RM104" s="2061">
        <f t="shared" si="108"/>
        <v>0</v>
      </c>
      <c r="RN104" s="2061">
        <f t="shared" si="108"/>
        <v>0</v>
      </c>
      <c r="RO104" s="2061">
        <f t="shared" si="108"/>
        <v>0</v>
      </c>
      <c r="RP104" s="2061">
        <f t="shared" si="108"/>
        <v>0</v>
      </c>
      <c r="RQ104" s="2061">
        <f t="shared" si="108"/>
        <v>0</v>
      </c>
      <c r="RR104" s="2061">
        <f t="shared" si="108"/>
        <v>0</v>
      </c>
      <c r="RS104" s="2061">
        <f t="shared" si="108"/>
        <v>0</v>
      </c>
      <c r="RT104" s="2061">
        <f t="shared" si="108"/>
        <v>0</v>
      </c>
      <c r="RU104" s="2061">
        <f t="shared" si="108"/>
        <v>0</v>
      </c>
      <c r="RV104" s="2061">
        <f t="shared" si="108"/>
        <v>0</v>
      </c>
      <c r="RW104" s="2061">
        <f t="shared" si="108"/>
        <v>0</v>
      </c>
      <c r="RX104" s="2061">
        <f t="shared" si="108"/>
        <v>0</v>
      </c>
      <c r="RY104" s="2061">
        <f t="shared" si="108"/>
        <v>0</v>
      </c>
      <c r="RZ104" s="2061">
        <f t="shared" si="108"/>
        <v>0</v>
      </c>
      <c r="SA104" s="2061">
        <f t="shared" si="108"/>
        <v>0</v>
      </c>
      <c r="SB104" s="2061">
        <f t="shared" si="108"/>
        <v>0</v>
      </c>
      <c r="SC104" s="2061">
        <f t="shared" si="108"/>
        <v>0</v>
      </c>
      <c r="SD104" s="2061">
        <f t="shared" si="108"/>
        <v>0</v>
      </c>
      <c r="SE104" s="2061">
        <f t="shared" si="108"/>
        <v>0</v>
      </c>
      <c r="SF104" s="2061">
        <f t="shared" si="108"/>
        <v>0</v>
      </c>
      <c r="SG104" s="2061">
        <f t="shared" si="108"/>
        <v>0</v>
      </c>
      <c r="SH104" s="2061">
        <f t="shared" si="108"/>
        <v>0</v>
      </c>
      <c r="SI104" s="2061">
        <f t="shared" si="108"/>
        <v>0</v>
      </c>
      <c r="SJ104" s="2061">
        <f t="shared" si="108"/>
        <v>0</v>
      </c>
      <c r="SK104" s="2061">
        <f t="shared" si="108"/>
        <v>0</v>
      </c>
      <c r="SL104" s="2061">
        <f t="shared" si="108"/>
        <v>0</v>
      </c>
      <c r="SM104" s="2061">
        <f t="shared" si="108"/>
        <v>0</v>
      </c>
      <c r="SN104" s="2061">
        <f t="shared" si="108"/>
        <v>0</v>
      </c>
      <c r="SO104" s="2061">
        <f t="shared" si="108"/>
        <v>0</v>
      </c>
      <c r="SP104" s="2061">
        <f t="shared" si="108"/>
        <v>0</v>
      </c>
      <c r="SQ104" s="2061">
        <f t="shared" si="108"/>
        <v>0</v>
      </c>
      <c r="SR104" s="2061">
        <f t="shared" si="108"/>
        <v>0</v>
      </c>
      <c r="SS104" s="2061">
        <f t="shared" si="108"/>
        <v>0</v>
      </c>
      <c r="ST104" s="2061">
        <f t="shared" si="108"/>
        <v>0</v>
      </c>
      <c r="SU104" s="2061">
        <f t="shared" si="108"/>
        <v>0</v>
      </c>
      <c r="SV104" s="2061">
        <f t="shared" si="108"/>
        <v>0</v>
      </c>
      <c r="SW104" s="2061">
        <f t="shared" si="108"/>
        <v>0</v>
      </c>
      <c r="SX104" s="2061">
        <f t="shared" si="108"/>
        <v>0</v>
      </c>
      <c r="SY104" s="2061">
        <f t="shared" ref="SY104:VJ104" si="109">SUM(SY100:SY103)</f>
        <v>0</v>
      </c>
      <c r="SZ104" s="2061">
        <f t="shared" si="109"/>
        <v>0</v>
      </c>
      <c r="TA104" s="2061">
        <f t="shared" si="109"/>
        <v>0</v>
      </c>
      <c r="TB104" s="2061">
        <f t="shared" si="109"/>
        <v>0</v>
      </c>
      <c r="TC104" s="2061">
        <f t="shared" si="109"/>
        <v>0</v>
      </c>
      <c r="TD104" s="2061">
        <f t="shared" si="109"/>
        <v>0</v>
      </c>
      <c r="TE104" s="2061">
        <f t="shared" si="109"/>
        <v>0</v>
      </c>
      <c r="TF104" s="2061">
        <f t="shared" si="109"/>
        <v>0</v>
      </c>
      <c r="TG104" s="2061">
        <f t="shared" si="109"/>
        <v>0</v>
      </c>
      <c r="TH104" s="2061">
        <f t="shared" si="109"/>
        <v>0</v>
      </c>
      <c r="TI104" s="2061">
        <f t="shared" si="109"/>
        <v>0</v>
      </c>
      <c r="TJ104" s="2061">
        <f t="shared" si="109"/>
        <v>0</v>
      </c>
      <c r="TK104" s="2061">
        <f t="shared" si="109"/>
        <v>0</v>
      </c>
      <c r="TL104" s="2061">
        <f t="shared" si="109"/>
        <v>0</v>
      </c>
      <c r="TM104" s="2061">
        <f t="shared" si="109"/>
        <v>0</v>
      </c>
      <c r="TN104" s="2061">
        <f t="shared" si="109"/>
        <v>0</v>
      </c>
      <c r="TO104" s="2061">
        <f t="shared" si="109"/>
        <v>0</v>
      </c>
      <c r="TP104" s="2061">
        <f t="shared" si="109"/>
        <v>0</v>
      </c>
      <c r="TQ104" s="2061">
        <f t="shared" si="109"/>
        <v>0</v>
      </c>
      <c r="TR104" s="2061">
        <f t="shared" si="109"/>
        <v>0</v>
      </c>
      <c r="TS104" s="2061">
        <f t="shared" si="109"/>
        <v>0</v>
      </c>
      <c r="TT104" s="2061">
        <f t="shared" si="109"/>
        <v>0</v>
      </c>
      <c r="TU104" s="2061">
        <f t="shared" si="109"/>
        <v>0</v>
      </c>
      <c r="TV104" s="2061">
        <f t="shared" si="109"/>
        <v>0</v>
      </c>
      <c r="TW104" s="2061">
        <f t="shared" si="109"/>
        <v>0</v>
      </c>
      <c r="TX104" s="2061">
        <f t="shared" si="109"/>
        <v>0</v>
      </c>
      <c r="TY104" s="2061">
        <f t="shared" si="109"/>
        <v>0</v>
      </c>
      <c r="TZ104" s="2061">
        <f t="shared" si="109"/>
        <v>0</v>
      </c>
      <c r="UA104" s="2061">
        <f t="shared" si="109"/>
        <v>0</v>
      </c>
      <c r="UB104" s="2061">
        <f t="shared" si="109"/>
        <v>0</v>
      </c>
      <c r="UC104" s="2061">
        <f t="shared" si="109"/>
        <v>0</v>
      </c>
      <c r="UD104" s="2061">
        <f t="shared" si="109"/>
        <v>0</v>
      </c>
      <c r="UE104" s="2061">
        <f t="shared" si="109"/>
        <v>0</v>
      </c>
      <c r="UF104" s="2061">
        <f t="shared" si="109"/>
        <v>0</v>
      </c>
      <c r="UG104" s="2061">
        <f t="shared" si="109"/>
        <v>0</v>
      </c>
      <c r="UH104" s="2061">
        <f t="shared" si="109"/>
        <v>0</v>
      </c>
      <c r="UI104" s="2061">
        <f t="shared" si="109"/>
        <v>0</v>
      </c>
      <c r="UJ104" s="2061">
        <f t="shared" si="109"/>
        <v>0</v>
      </c>
      <c r="UK104" s="2061">
        <f t="shared" si="109"/>
        <v>0</v>
      </c>
      <c r="UL104" s="2061">
        <f t="shared" si="109"/>
        <v>0</v>
      </c>
      <c r="UM104" s="2061">
        <f t="shared" si="109"/>
        <v>0</v>
      </c>
      <c r="UN104" s="2061">
        <f t="shared" si="109"/>
        <v>0</v>
      </c>
      <c r="UO104" s="2061">
        <f t="shared" si="109"/>
        <v>0</v>
      </c>
      <c r="UP104" s="2061">
        <f t="shared" si="109"/>
        <v>0</v>
      </c>
      <c r="UQ104" s="2061">
        <f t="shared" si="109"/>
        <v>0</v>
      </c>
      <c r="UR104" s="2061">
        <f t="shared" si="109"/>
        <v>0</v>
      </c>
      <c r="US104" s="2061">
        <f t="shared" si="109"/>
        <v>0</v>
      </c>
      <c r="UT104" s="2061">
        <f t="shared" si="109"/>
        <v>0</v>
      </c>
      <c r="UU104" s="2061">
        <f t="shared" si="109"/>
        <v>0</v>
      </c>
      <c r="UV104" s="2061">
        <f t="shared" si="109"/>
        <v>0</v>
      </c>
      <c r="UW104" s="2061">
        <f t="shared" si="109"/>
        <v>0</v>
      </c>
      <c r="UX104" s="2061">
        <f t="shared" si="109"/>
        <v>0</v>
      </c>
      <c r="UY104" s="2061">
        <f t="shared" si="109"/>
        <v>0</v>
      </c>
      <c r="UZ104" s="2061">
        <f t="shared" si="109"/>
        <v>0</v>
      </c>
      <c r="VA104" s="2061">
        <f t="shared" si="109"/>
        <v>0</v>
      </c>
      <c r="VB104" s="2061">
        <f t="shared" si="109"/>
        <v>0</v>
      </c>
      <c r="VC104" s="2061">
        <f t="shared" si="109"/>
        <v>0</v>
      </c>
      <c r="VD104" s="2061">
        <f t="shared" si="109"/>
        <v>0</v>
      </c>
      <c r="VE104" s="2061">
        <f t="shared" si="109"/>
        <v>0</v>
      </c>
      <c r="VF104" s="2061">
        <f t="shared" si="109"/>
        <v>0</v>
      </c>
      <c r="VG104" s="2061">
        <f t="shared" si="109"/>
        <v>0</v>
      </c>
      <c r="VH104" s="2061">
        <f t="shared" si="109"/>
        <v>0</v>
      </c>
      <c r="VI104" s="2061">
        <f t="shared" si="109"/>
        <v>0</v>
      </c>
      <c r="VJ104" s="2061">
        <f t="shared" si="109"/>
        <v>0</v>
      </c>
      <c r="VK104" s="2061">
        <f>SUM(VK100:VK103)</f>
        <v>0</v>
      </c>
    </row>
    <row r="105" spans="1:583" s="1296" customFormat="1" x14ac:dyDescent="0.25">
      <c r="B105" s="2080" t="s">
        <v>1278</v>
      </c>
      <c r="C105" s="2081" t="s">
        <v>2934</v>
      </c>
      <c r="D105" s="2081" t="s">
        <v>1278</v>
      </c>
      <c r="E105" s="2081" t="s">
        <v>2934</v>
      </c>
      <c r="F105" s="2082">
        <f>24*365*1</f>
        <v>8760</v>
      </c>
      <c r="G105" s="2082">
        <f t="shared" ref="G105:BR105" si="110">24*365*1</f>
        <v>8760</v>
      </c>
      <c r="H105" s="2082">
        <f t="shared" si="110"/>
        <v>8760</v>
      </c>
      <c r="I105" s="2082">
        <f t="shared" si="110"/>
        <v>8760</v>
      </c>
      <c r="J105" s="2082">
        <f t="shared" si="110"/>
        <v>8760</v>
      </c>
      <c r="K105" s="2082">
        <f t="shared" si="110"/>
        <v>8760</v>
      </c>
      <c r="L105" s="2082">
        <f t="shared" si="110"/>
        <v>8760</v>
      </c>
      <c r="M105" s="2082">
        <f t="shared" si="110"/>
        <v>8760</v>
      </c>
      <c r="N105" s="2082">
        <f t="shared" si="110"/>
        <v>8760</v>
      </c>
      <c r="O105" s="2082">
        <f t="shared" si="110"/>
        <v>8760</v>
      </c>
      <c r="P105" s="2082">
        <f t="shared" si="110"/>
        <v>8760</v>
      </c>
      <c r="Q105" s="2082">
        <f t="shared" si="110"/>
        <v>8760</v>
      </c>
      <c r="R105" s="2082">
        <f t="shared" si="110"/>
        <v>8760</v>
      </c>
      <c r="S105" s="2082">
        <f t="shared" si="110"/>
        <v>8760</v>
      </c>
      <c r="T105" s="2082">
        <f t="shared" si="110"/>
        <v>8760</v>
      </c>
      <c r="U105" s="2082">
        <f t="shared" si="110"/>
        <v>8760</v>
      </c>
      <c r="V105" s="2082">
        <f t="shared" si="110"/>
        <v>8760</v>
      </c>
      <c r="W105" s="2082">
        <f t="shared" si="110"/>
        <v>8760</v>
      </c>
      <c r="X105" s="2082">
        <f t="shared" si="110"/>
        <v>8760</v>
      </c>
      <c r="Y105" s="2082">
        <f t="shared" si="110"/>
        <v>8760</v>
      </c>
      <c r="Z105" s="2082">
        <f t="shared" si="110"/>
        <v>8760</v>
      </c>
      <c r="AA105" s="2082">
        <f t="shared" si="110"/>
        <v>8760</v>
      </c>
      <c r="AB105" s="2082">
        <f t="shared" si="110"/>
        <v>8760</v>
      </c>
      <c r="AC105" s="2082">
        <f t="shared" si="110"/>
        <v>8760</v>
      </c>
      <c r="AD105" s="2082">
        <f t="shared" si="110"/>
        <v>8760</v>
      </c>
      <c r="AE105" s="2082">
        <f t="shared" si="110"/>
        <v>8760</v>
      </c>
      <c r="AF105" s="2082">
        <f t="shared" si="110"/>
        <v>8760</v>
      </c>
      <c r="AG105" s="2082">
        <f t="shared" si="110"/>
        <v>8760</v>
      </c>
      <c r="AH105" s="2082">
        <f t="shared" si="110"/>
        <v>8760</v>
      </c>
      <c r="AI105" s="2082">
        <f t="shared" si="110"/>
        <v>8760</v>
      </c>
      <c r="AJ105" s="2082">
        <f t="shared" si="110"/>
        <v>8760</v>
      </c>
      <c r="AK105" s="2082">
        <f t="shared" si="110"/>
        <v>8760</v>
      </c>
      <c r="AL105" s="2082">
        <f t="shared" si="110"/>
        <v>8760</v>
      </c>
      <c r="AM105" s="2082">
        <f t="shared" si="110"/>
        <v>8760</v>
      </c>
      <c r="AN105" s="2082">
        <f t="shared" si="110"/>
        <v>8760</v>
      </c>
      <c r="AO105" s="2082">
        <f t="shared" si="110"/>
        <v>8760</v>
      </c>
      <c r="AP105" s="2082">
        <f t="shared" si="110"/>
        <v>8760</v>
      </c>
      <c r="AQ105" s="2082">
        <f t="shared" si="110"/>
        <v>8760</v>
      </c>
      <c r="AR105" s="2082">
        <f t="shared" si="110"/>
        <v>8760</v>
      </c>
      <c r="AS105" s="2082">
        <f t="shared" si="110"/>
        <v>8760</v>
      </c>
      <c r="AT105" s="2082">
        <f t="shared" si="110"/>
        <v>8760</v>
      </c>
      <c r="AU105" s="2082">
        <f t="shared" si="110"/>
        <v>8760</v>
      </c>
      <c r="AV105" s="2082">
        <f t="shared" si="110"/>
        <v>8760</v>
      </c>
      <c r="AW105" s="2082">
        <f t="shared" si="110"/>
        <v>8760</v>
      </c>
      <c r="AX105" s="2082">
        <f t="shared" si="110"/>
        <v>8760</v>
      </c>
      <c r="AY105" s="2082">
        <f t="shared" si="110"/>
        <v>8760</v>
      </c>
      <c r="AZ105" s="2082">
        <f t="shared" si="110"/>
        <v>8760</v>
      </c>
      <c r="BA105" s="2082">
        <f t="shared" si="110"/>
        <v>8760</v>
      </c>
      <c r="BB105" s="2082">
        <f t="shared" si="110"/>
        <v>8760</v>
      </c>
      <c r="BC105" s="2082">
        <f t="shared" si="110"/>
        <v>8760</v>
      </c>
      <c r="BD105" s="2082">
        <f t="shared" si="110"/>
        <v>8760</v>
      </c>
      <c r="BE105" s="2082">
        <f t="shared" si="110"/>
        <v>8760</v>
      </c>
      <c r="BF105" s="2082">
        <f t="shared" si="110"/>
        <v>8760</v>
      </c>
      <c r="BG105" s="2082">
        <f t="shared" si="110"/>
        <v>8760</v>
      </c>
      <c r="BH105" s="2082">
        <f t="shared" si="110"/>
        <v>8760</v>
      </c>
      <c r="BI105" s="2082">
        <f t="shared" si="110"/>
        <v>8760</v>
      </c>
      <c r="BJ105" s="2082">
        <f t="shared" si="110"/>
        <v>8760</v>
      </c>
      <c r="BK105" s="2082">
        <f t="shared" si="110"/>
        <v>8760</v>
      </c>
      <c r="BL105" s="2082">
        <f t="shared" si="110"/>
        <v>8760</v>
      </c>
      <c r="BM105" s="2082">
        <f t="shared" si="110"/>
        <v>8760</v>
      </c>
      <c r="BN105" s="2082">
        <f t="shared" si="110"/>
        <v>8760</v>
      </c>
      <c r="BO105" s="2082">
        <f t="shared" si="110"/>
        <v>8760</v>
      </c>
      <c r="BP105" s="2082">
        <f t="shared" si="110"/>
        <v>8760</v>
      </c>
      <c r="BQ105" s="2082">
        <f t="shared" si="110"/>
        <v>8760</v>
      </c>
      <c r="BR105" s="2082">
        <f t="shared" si="110"/>
        <v>8760</v>
      </c>
      <c r="BS105" s="2082">
        <f t="shared" ref="BS105:ED105" si="111">24*365*1</f>
        <v>8760</v>
      </c>
      <c r="BT105" s="2082">
        <f t="shared" si="111"/>
        <v>8760</v>
      </c>
      <c r="BU105" s="2082">
        <f t="shared" si="111"/>
        <v>8760</v>
      </c>
      <c r="BV105" s="2082">
        <f t="shared" si="111"/>
        <v>8760</v>
      </c>
      <c r="BW105" s="2082">
        <f t="shared" si="111"/>
        <v>8760</v>
      </c>
      <c r="BX105" s="2082">
        <f t="shared" si="111"/>
        <v>8760</v>
      </c>
      <c r="BY105" s="2082">
        <f t="shared" si="111"/>
        <v>8760</v>
      </c>
      <c r="BZ105" s="2082">
        <f t="shared" si="111"/>
        <v>8760</v>
      </c>
      <c r="CA105" s="2082">
        <f t="shared" si="111"/>
        <v>8760</v>
      </c>
      <c r="CB105" s="2082">
        <f t="shared" si="111"/>
        <v>8760</v>
      </c>
      <c r="CC105" s="2082">
        <f t="shared" si="111"/>
        <v>8760</v>
      </c>
      <c r="CD105" s="2082">
        <f t="shared" si="111"/>
        <v>8760</v>
      </c>
      <c r="CE105" s="2082">
        <f t="shared" si="111"/>
        <v>8760</v>
      </c>
      <c r="CF105" s="2082">
        <f t="shared" si="111"/>
        <v>8760</v>
      </c>
      <c r="CG105" s="2082">
        <f t="shared" si="111"/>
        <v>8760</v>
      </c>
      <c r="CH105" s="2082">
        <f t="shared" si="111"/>
        <v>8760</v>
      </c>
      <c r="CI105" s="2082">
        <f t="shared" si="111"/>
        <v>8760</v>
      </c>
      <c r="CJ105" s="2082">
        <f t="shared" si="111"/>
        <v>8760</v>
      </c>
      <c r="CK105" s="2082">
        <f t="shared" si="111"/>
        <v>8760</v>
      </c>
      <c r="CL105" s="2082">
        <f t="shared" si="111"/>
        <v>8760</v>
      </c>
      <c r="CM105" s="2082">
        <f t="shared" si="111"/>
        <v>8760</v>
      </c>
      <c r="CN105" s="2082">
        <f t="shared" si="111"/>
        <v>8760</v>
      </c>
      <c r="CO105" s="2082">
        <f t="shared" si="111"/>
        <v>8760</v>
      </c>
      <c r="CP105" s="2082">
        <f t="shared" si="111"/>
        <v>8760</v>
      </c>
      <c r="CQ105" s="2082">
        <f t="shared" si="111"/>
        <v>8760</v>
      </c>
      <c r="CR105" s="2082">
        <f t="shared" si="111"/>
        <v>8760</v>
      </c>
      <c r="CS105" s="2082">
        <f t="shared" si="111"/>
        <v>8760</v>
      </c>
      <c r="CT105" s="2082">
        <f t="shared" si="111"/>
        <v>8760</v>
      </c>
      <c r="CU105" s="2082">
        <f t="shared" si="111"/>
        <v>8760</v>
      </c>
      <c r="CV105" s="2082">
        <f t="shared" si="111"/>
        <v>8760</v>
      </c>
      <c r="CW105" s="2082">
        <f t="shared" si="111"/>
        <v>8760</v>
      </c>
      <c r="CX105" s="2082">
        <f t="shared" si="111"/>
        <v>8760</v>
      </c>
      <c r="CY105" s="2082">
        <f t="shared" si="111"/>
        <v>8760</v>
      </c>
      <c r="CZ105" s="2082">
        <f t="shared" si="111"/>
        <v>8760</v>
      </c>
      <c r="DA105" s="2082">
        <f t="shared" si="111"/>
        <v>8760</v>
      </c>
      <c r="DB105" s="2082">
        <f t="shared" si="111"/>
        <v>8760</v>
      </c>
      <c r="DC105" s="2082">
        <f t="shared" si="111"/>
        <v>8760</v>
      </c>
      <c r="DD105" s="2082">
        <f t="shared" si="111"/>
        <v>8760</v>
      </c>
      <c r="DE105" s="2082">
        <f t="shared" si="111"/>
        <v>8760</v>
      </c>
      <c r="DF105" s="2082">
        <f t="shared" si="111"/>
        <v>8760</v>
      </c>
      <c r="DG105" s="2082">
        <f t="shared" si="111"/>
        <v>8760</v>
      </c>
      <c r="DH105" s="2082">
        <f t="shared" si="111"/>
        <v>8760</v>
      </c>
      <c r="DI105" s="2082">
        <f t="shared" si="111"/>
        <v>8760</v>
      </c>
      <c r="DJ105" s="2082">
        <f t="shared" si="111"/>
        <v>8760</v>
      </c>
      <c r="DK105" s="2082">
        <f t="shared" si="111"/>
        <v>8760</v>
      </c>
      <c r="DL105" s="2082">
        <f t="shared" si="111"/>
        <v>8760</v>
      </c>
      <c r="DM105" s="2082">
        <f t="shared" si="111"/>
        <v>8760</v>
      </c>
      <c r="DN105" s="2082">
        <f t="shared" si="111"/>
        <v>8760</v>
      </c>
      <c r="DO105" s="2082">
        <f t="shared" si="111"/>
        <v>8760</v>
      </c>
      <c r="DP105" s="2082">
        <f t="shared" si="111"/>
        <v>8760</v>
      </c>
      <c r="DQ105" s="2082">
        <f t="shared" si="111"/>
        <v>8760</v>
      </c>
      <c r="DR105" s="2082">
        <f t="shared" si="111"/>
        <v>8760</v>
      </c>
      <c r="DS105" s="2082">
        <f t="shared" si="111"/>
        <v>8760</v>
      </c>
      <c r="DT105" s="2082">
        <f t="shared" si="111"/>
        <v>8760</v>
      </c>
      <c r="DU105" s="2082">
        <f t="shared" si="111"/>
        <v>8760</v>
      </c>
      <c r="DV105" s="2082">
        <f t="shared" si="111"/>
        <v>8760</v>
      </c>
      <c r="DW105" s="2082">
        <f t="shared" si="111"/>
        <v>8760</v>
      </c>
      <c r="DX105" s="2082">
        <f t="shared" si="111"/>
        <v>8760</v>
      </c>
      <c r="DY105" s="2082">
        <f t="shared" si="111"/>
        <v>8760</v>
      </c>
      <c r="DZ105" s="2082">
        <f t="shared" si="111"/>
        <v>8760</v>
      </c>
      <c r="EA105" s="2082">
        <f t="shared" si="111"/>
        <v>8760</v>
      </c>
      <c r="EB105" s="2082">
        <f t="shared" si="111"/>
        <v>8760</v>
      </c>
      <c r="EC105" s="2082">
        <f t="shared" si="111"/>
        <v>8760</v>
      </c>
      <c r="ED105" s="2082">
        <f t="shared" si="111"/>
        <v>8760</v>
      </c>
      <c r="EE105" s="2082">
        <f t="shared" ref="EE105:GP105" si="112">24*365*1</f>
        <v>8760</v>
      </c>
      <c r="EF105" s="2082">
        <f t="shared" si="112"/>
        <v>8760</v>
      </c>
      <c r="EG105" s="2082">
        <f t="shared" si="112"/>
        <v>8760</v>
      </c>
      <c r="EH105" s="2082">
        <f t="shared" si="112"/>
        <v>8760</v>
      </c>
      <c r="EI105" s="2082">
        <f t="shared" si="112"/>
        <v>8760</v>
      </c>
      <c r="EJ105" s="2082">
        <f t="shared" si="112"/>
        <v>8760</v>
      </c>
      <c r="EK105" s="2082">
        <f t="shared" si="112"/>
        <v>8760</v>
      </c>
      <c r="EL105" s="2082">
        <f t="shared" si="112"/>
        <v>8760</v>
      </c>
      <c r="EM105" s="2082">
        <f t="shared" si="112"/>
        <v>8760</v>
      </c>
      <c r="EN105" s="2082">
        <f t="shared" si="112"/>
        <v>8760</v>
      </c>
      <c r="EO105" s="2082">
        <f t="shared" si="112"/>
        <v>8760</v>
      </c>
      <c r="EP105" s="2082">
        <f t="shared" si="112"/>
        <v>8760</v>
      </c>
      <c r="EQ105" s="2082">
        <f t="shared" si="112"/>
        <v>8760</v>
      </c>
      <c r="ER105" s="2082">
        <f t="shared" si="112"/>
        <v>8760</v>
      </c>
      <c r="ES105" s="2082">
        <f t="shared" si="112"/>
        <v>8760</v>
      </c>
      <c r="ET105" s="2082">
        <f t="shared" si="112"/>
        <v>8760</v>
      </c>
      <c r="EU105" s="2082">
        <f t="shared" si="112"/>
        <v>8760</v>
      </c>
      <c r="EV105" s="2082">
        <f t="shared" si="112"/>
        <v>8760</v>
      </c>
      <c r="EW105" s="2082">
        <f t="shared" si="112"/>
        <v>8760</v>
      </c>
      <c r="EX105" s="2082">
        <f t="shared" si="112"/>
        <v>8760</v>
      </c>
      <c r="EY105" s="2082">
        <f t="shared" si="112"/>
        <v>8760</v>
      </c>
      <c r="EZ105" s="2082">
        <f t="shared" si="112"/>
        <v>8760</v>
      </c>
      <c r="FA105" s="2082">
        <f t="shared" si="112"/>
        <v>8760</v>
      </c>
      <c r="FB105" s="2082">
        <f t="shared" si="112"/>
        <v>8760</v>
      </c>
      <c r="FC105" s="2082">
        <f t="shared" si="112"/>
        <v>8760</v>
      </c>
      <c r="FD105" s="2082">
        <f t="shared" si="112"/>
        <v>8760</v>
      </c>
      <c r="FE105" s="2082">
        <f t="shared" si="112"/>
        <v>8760</v>
      </c>
      <c r="FF105" s="2082">
        <f t="shared" si="112"/>
        <v>8760</v>
      </c>
      <c r="FG105" s="2082">
        <f t="shared" si="112"/>
        <v>8760</v>
      </c>
      <c r="FH105" s="2082">
        <f t="shared" si="112"/>
        <v>8760</v>
      </c>
      <c r="FI105" s="2082">
        <f t="shared" si="112"/>
        <v>8760</v>
      </c>
      <c r="FJ105" s="2082">
        <f t="shared" si="112"/>
        <v>8760</v>
      </c>
      <c r="FK105" s="2082">
        <f t="shared" si="112"/>
        <v>8760</v>
      </c>
      <c r="FL105" s="2082">
        <f t="shared" si="112"/>
        <v>8760</v>
      </c>
      <c r="FM105" s="2082">
        <f t="shared" si="112"/>
        <v>8760</v>
      </c>
      <c r="FN105" s="2082">
        <f t="shared" si="112"/>
        <v>8760</v>
      </c>
      <c r="FO105" s="2082">
        <f t="shared" si="112"/>
        <v>8760</v>
      </c>
      <c r="FP105" s="2082">
        <f t="shared" si="112"/>
        <v>8760</v>
      </c>
      <c r="FQ105" s="2082">
        <f t="shared" si="112"/>
        <v>8760</v>
      </c>
      <c r="FR105" s="2082">
        <f t="shared" si="112"/>
        <v>8760</v>
      </c>
      <c r="FS105" s="2082">
        <f t="shared" si="112"/>
        <v>8760</v>
      </c>
      <c r="FT105" s="2082">
        <f t="shared" si="112"/>
        <v>8760</v>
      </c>
      <c r="FU105" s="2082">
        <f t="shared" si="112"/>
        <v>8760</v>
      </c>
      <c r="FV105" s="2082">
        <f t="shared" si="112"/>
        <v>8760</v>
      </c>
      <c r="FW105" s="2082">
        <f t="shared" si="112"/>
        <v>8760</v>
      </c>
      <c r="FX105" s="2082">
        <f t="shared" si="112"/>
        <v>8760</v>
      </c>
      <c r="FY105" s="2082">
        <f t="shared" si="112"/>
        <v>8760</v>
      </c>
      <c r="FZ105" s="2082">
        <f t="shared" si="112"/>
        <v>8760</v>
      </c>
      <c r="GA105" s="2082">
        <f t="shared" si="112"/>
        <v>8760</v>
      </c>
      <c r="GB105" s="2082">
        <f t="shared" si="112"/>
        <v>8760</v>
      </c>
      <c r="GC105" s="2082">
        <f t="shared" si="112"/>
        <v>8760</v>
      </c>
      <c r="GD105" s="2082">
        <f t="shared" si="112"/>
        <v>8760</v>
      </c>
      <c r="GE105" s="2082">
        <f t="shared" si="112"/>
        <v>8760</v>
      </c>
      <c r="GF105" s="2082">
        <f t="shared" si="112"/>
        <v>8760</v>
      </c>
      <c r="GG105" s="2082">
        <f t="shared" si="112"/>
        <v>8760</v>
      </c>
      <c r="GH105" s="2082">
        <f t="shared" si="112"/>
        <v>8760</v>
      </c>
      <c r="GI105" s="2082">
        <f t="shared" si="112"/>
        <v>8760</v>
      </c>
      <c r="GJ105" s="2082">
        <f t="shared" si="112"/>
        <v>8760</v>
      </c>
      <c r="GK105" s="2082">
        <f t="shared" si="112"/>
        <v>8760</v>
      </c>
      <c r="GL105" s="2082">
        <f t="shared" si="112"/>
        <v>8760</v>
      </c>
      <c r="GM105" s="2082">
        <f t="shared" si="112"/>
        <v>8760</v>
      </c>
      <c r="GN105" s="2082">
        <f t="shared" si="112"/>
        <v>8760</v>
      </c>
      <c r="GO105" s="2082">
        <f t="shared" si="112"/>
        <v>8760</v>
      </c>
      <c r="GP105" s="2082">
        <f t="shared" si="112"/>
        <v>8760</v>
      </c>
      <c r="GQ105" s="2082">
        <f t="shared" ref="GQ105:JB105" si="113">24*365*1</f>
        <v>8760</v>
      </c>
      <c r="GR105" s="2082">
        <f t="shared" si="113"/>
        <v>8760</v>
      </c>
      <c r="GS105" s="2082">
        <f t="shared" si="113"/>
        <v>8760</v>
      </c>
      <c r="GT105" s="2082">
        <f t="shared" si="113"/>
        <v>8760</v>
      </c>
      <c r="GU105" s="2082">
        <f t="shared" si="113"/>
        <v>8760</v>
      </c>
      <c r="GV105" s="2082">
        <f t="shared" si="113"/>
        <v>8760</v>
      </c>
      <c r="GW105" s="2082">
        <f t="shared" si="113"/>
        <v>8760</v>
      </c>
      <c r="GX105" s="2082">
        <f t="shared" si="113"/>
        <v>8760</v>
      </c>
      <c r="GY105" s="2082">
        <f t="shared" si="113"/>
        <v>8760</v>
      </c>
      <c r="GZ105" s="2082">
        <f t="shared" si="113"/>
        <v>8760</v>
      </c>
      <c r="HA105" s="2082">
        <f t="shared" si="113"/>
        <v>8760</v>
      </c>
      <c r="HB105" s="2082">
        <f t="shared" si="113"/>
        <v>8760</v>
      </c>
      <c r="HC105" s="2082">
        <f t="shared" si="113"/>
        <v>8760</v>
      </c>
      <c r="HD105" s="2082">
        <f t="shared" si="113"/>
        <v>8760</v>
      </c>
      <c r="HE105" s="2082">
        <f t="shared" si="113"/>
        <v>8760</v>
      </c>
      <c r="HF105" s="2082">
        <f t="shared" si="113"/>
        <v>8760</v>
      </c>
      <c r="HG105" s="2082">
        <f t="shared" si="113"/>
        <v>8760</v>
      </c>
      <c r="HH105" s="2082">
        <f t="shared" si="113"/>
        <v>8760</v>
      </c>
      <c r="HI105" s="2082">
        <f t="shared" si="113"/>
        <v>8760</v>
      </c>
      <c r="HJ105" s="2082">
        <f t="shared" si="113"/>
        <v>8760</v>
      </c>
      <c r="HK105" s="2082">
        <f t="shared" si="113"/>
        <v>8760</v>
      </c>
      <c r="HL105" s="2082">
        <f t="shared" si="113"/>
        <v>8760</v>
      </c>
      <c r="HM105" s="2082">
        <f t="shared" si="113"/>
        <v>8760</v>
      </c>
      <c r="HN105" s="2082">
        <f t="shared" si="113"/>
        <v>8760</v>
      </c>
      <c r="HO105" s="2082">
        <f t="shared" si="113"/>
        <v>8760</v>
      </c>
      <c r="HP105" s="2082">
        <f t="shared" si="113"/>
        <v>8760</v>
      </c>
      <c r="HQ105" s="2082">
        <f t="shared" si="113"/>
        <v>8760</v>
      </c>
      <c r="HR105" s="2082">
        <f t="shared" si="113"/>
        <v>8760</v>
      </c>
      <c r="HS105" s="2082">
        <f t="shared" si="113"/>
        <v>8760</v>
      </c>
      <c r="HT105" s="2082">
        <f t="shared" si="113"/>
        <v>8760</v>
      </c>
      <c r="HU105" s="2082">
        <f t="shared" si="113"/>
        <v>8760</v>
      </c>
      <c r="HV105" s="2082">
        <f t="shared" si="113"/>
        <v>8760</v>
      </c>
      <c r="HW105" s="2082">
        <f t="shared" si="113"/>
        <v>8760</v>
      </c>
      <c r="HX105" s="2082">
        <f t="shared" si="113"/>
        <v>8760</v>
      </c>
      <c r="HY105" s="2082">
        <f t="shared" si="113"/>
        <v>8760</v>
      </c>
      <c r="HZ105" s="2082">
        <f t="shared" si="113"/>
        <v>8760</v>
      </c>
      <c r="IA105" s="2082">
        <f t="shared" si="113"/>
        <v>8760</v>
      </c>
      <c r="IB105" s="2082">
        <f t="shared" si="113"/>
        <v>8760</v>
      </c>
      <c r="IC105" s="2082">
        <f t="shared" si="113"/>
        <v>8760</v>
      </c>
      <c r="ID105" s="2082">
        <f t="shared" si="113"/>
        <v>8760</v>
      </c>
      <c r="IE105" s="2082">
        <f t="shared" si="113"/>
        <v>8760</v>
      </c>
      <c r="IF105" s="2082">
        <f t="shared" si="113"/>
        <v>8760</v>
      </c>
      <c r="IG105" s="2082">
        <f t="shared" si="113"/>
        <v>8760</v>
      </c>
      <c r="IH105" s="2082">
        <f t="shared" si="113"/>
        <v>8760</v>
      </c>
      <c r="II105" s="2082">
        <f t="shared" si="113"/>
        <v>8760</v>
      </c>
      <c r="IJ105" s="2082">
        <f t="shared" si="113"/>
        <v>8760</v>
      </c>
      <c r="IK105" s="2082">
        <f t="shared" si="113"/>
        <v>8760</v>
      </c>
      <c r="IL105" s="2082">
        <f t="shared" si="113"/>
        <v>8760</v>
      </c>
      <c r="IM105" s="2082">
        <f t="shared" si="113"/>
        <v>8760</v>
      </c>
      <c r="IN105" s="2082">
        <f t="shared" si="113"/>
        <v>8760</v>
      </c>
      <c r="IO105" s="2082">
        <f t="shared" si="113"/>
        <v>8760</v>
      </c>
      <c r="IP105" s="2082">
        <f t="shared" si="113"/>
        <v>8760</v>
      </c>
      <c r="IQ105" s="2082">
        <f t="shared" si="113"/>
        <v>8760</v>
      </c>
      <c r="IR105" s="2082">
        <f t="shared" si="113"/>
        <v>8760</v>
      </c>
      <c r="IS105" s="2082">
        <f t="shared" si="113"/>
        <v>8760</v>
      </c>
      <c r="IT105" s="2082">
        <f t="shared" si="113"/>
        <v>8760</v>
      </c>
      <c r="IU105" s="2082">
        <f t="shared" si="113"/>
        <v>8760</v>
      </c>
      <c r="IV105" s="2082">
        <f t="shared" si="113"/>
        <v>8760</v>
      </c>
      <c r="IW105" s="2082">
        <f t="shared" si="113"/>
        <v>8760</v>
      </c>
      <c r="IX105" s="2082">
        <f t="shared" si="113"/>
        <v>8760</v>
      </c>
      <c r="IY105" s="2082">
        <f t="shared" si="113"/>
        <v>8760</v>
      </c>
      <c r="IZ105" s="2082">
        <f t="shared" si="113"/>
        <v>8760</v>
      </c>
      <c r="JA105" s="2082">
        <f t="shared" si="113"/>
        <v>8760</v>
      </c>
      <c r="JB105" s="2082">
        <f t="shared" si="113"/>
        <v>8760</v>
      </c>
      <c r="JC105" s="2082">
        <f t="shared" ref="JC105:LN105" si="114">24*365*1</f>
        <v>8760</v>
      </c>
      <c r="JD105" s="2082">
        <f t="shared" si="114"/>
        <v>8760</v>
      </c>
      <c r="JE105" s="2082">
        <f t="shared" si="114"/>
        <v>8760</v>
      </c>
      <c r="JF105" s="2082">
        <f t="shared" si="114"/>
        <v>8760</v>
      </c>
      <c r="JG105" s="2082">
        <f t="shared" si="114"/>
        <v>8760</v>
      </c>
      <c r="JH105" s="2082">
        <f t="shared" si="114"/>
        <v>8760</v>
      </c>
      <c r="JI105" s="2082">
        <f t="shared" si="114"/>
        <v>8760</v>
      </c>
      <c r="JJ105" s="2082">
        <f t="shared" si="114"/>
        <v>8760</v>
      </c>
      <c r="JK105" s="2082">
        <f t="shared" si="114"/>
        <v>8760</v>
      </c>
      <c r="JL105" s="2082">
        <f t="shared" si="114"/>
        <v>8760</v>
      </c>
      <c r="JM105" s="2082">
        <f t="shared" si="114"/>
        <v>8760</v>
      </c>
      <c r="JN105" s="2082">
        <f t="shared" si="114"/>
        <v>8760</v>
      </c>
      <c r="JO105" s="2082">
        <f t="shared" si="114"/>
        <v>8760</v>
      </c>
      <c r="JP105" s="2082">
        <f t="shared" si="114"/>
        <v>8760</v>
      </c>
      <c r="JQ105" s="2082">
        <f t="shared" si="114"/>
        <v>8760</v>
      </c>
      <c r="JR105" s="2082">
        <f t="shared" si="114"/>
        <v>8760</v>
      </c>
      <c r="JS105" s="2082">
        <f t="shared" si="114"/>
        <v>8760</v>
      </c>
      <c r="JT105" s="2082">
        <f t="shared" si="114"/>
        <v>8760</v>
      </c>
      <c r="JU105" s="2082">
        <f t="shared" si="114"/>
        <v>8760</v>
      </c>
      <c r="JV105" s="2082">
        <f t="shared" si="114"/>
        <v>8760</v>
      </c>
      <c r="JW105" s="2082">
        <f t="shared" si="114"/>
        <v>8760</v>
      </c>
      <c r="JX105" s="2082">
        <f t="shared" si="114"/>
        <v>8760</v>
      </c>
      <c r="JY105" s="2082">
        <f t="shared" si="114"/>
        <v>8760</v>
      </c>
      <c r="JZ105" s="2082">
        <f t="shared" si="114"/>
        <v>8760</v>
      </c>
      <c r="KA105" s="2082">
        <f t="shared" si="114"/>
        <v>8760</v>
      </c>
      <c r="KB105" s="2082">
        <f t="shared" si="114"/>
        <v>8760</v>
      </c>
      <c r="KC105" s="2082">
        <f t="shared" si="114"/>
        <v>8760</v>
      </c>
      <c r="KD105" s="2082">
        <f t="shared" si="114"/>
        <v>8760</v>
      </c>
      <c r="KE105" s="2082">
        <f t="shared" si="114"/>
        <v>8760</v>
      </c>
      <c r="KF105" s="2082">
        <f t="shared" si="114"/>
        <v>8760</v>
      </c>
      <c r="KG105" s="2082">
        <f t="shared" si="114"/>
        <v>8760</v>
      </c>
      <c r="KH105" s="2082">
        <f t="shared" si="114"/>
        <v>8760</v>
      </c>
      <c r="KI105" s="2082">
        <f t="shared" si="114"/>
        <v>8760</v>
      </c>
      <c r="KJ105" s="2082">
        <f t="shared" si="114"/>
        <v>8760</v>
      </c>
      <c r="KK105" s="2082">
        <f t="shared" si="114"/>
        <v>8760</v>
      </c>
      <c r="KL105" s="2082">
        <f t="shared" si="114"/>
        <v>8760</v>
      </c>
      <c r="KM105" s="2082">
        <f t="shared" si="114"/>
        <v>8760</v>
      </c>
      <c r="KN105" s="2082">
        <f t="shared" si="114"/>
        <v>8760</v>
      </c>
      <c r="KO105" s="2082">
        <f t="shared" si="114"/>
        <v>8760</v>
      </c>
      <c r="KP105" s="2082">
        <f t="shared" si="114"/>
        <v>8760</v>
      </c>
      <c r="KQ105" s="2082">
        <f t="shared" si="114"/>
        <v>8760</v>
      </c>
      <c r="KR105" s="2082">
        <f t="shared" si="114"/>
        <v>8760</v>
      </c>
      <c r="KS105" s="2082">
        <f t="shared" si="114"/>
        <v>8760</v>
      </c>
      <c r="KT105" s="2082">
        <f t="shared" si="114"/>
        <v>8760</v>
      </c>
      <c r="KU105" s="2082">
        <f t="shared" si="114"/>
        <v>8760</v>
      </c>
      <c r="KV105" s="2082">
        <f t="shared" si="114"/>
        <v>8760</v>
      </c>
      <c r="KW105" s="2082">
        <f t="shared" si="114"/>
        <v>8760</v>
      </c>
      <c r="KX105" s="2082">
        <f t="shared" si="114"/>
        <v>8760</v>
      </c>
      <c r="KY105" s="2082">
        <f t="shared" si="114"/>
        <v>8760</v>
      </c>
      <c r="KZ105" s="2082">
        <f t="shared" si="114"/>
        <v>8760</v>
      </c>
      <c r="LA105" s="2082">
        <f t="shared" si="114"/>
        <v>8760</v>
      </c>
      <c r="LB105" s="2082">
        <f t="shared" si="114"/>
        <v>8760</v>
      </c>
      <c r="LC105" s="2082">
        <f t="shared" si="114"/>
        <v>8760</v>
      </c>
      <c r="LD105" s="2082">
        <f t="shared" si="114"/>
        <v>8760</v>
      </c>
      <c r="LE105" s="2082">
        <f t="shared" si="114"/>
        <v>8760</v>
      </c>
      <c r="LF105" s="2082">
        <f t="shared" si="114"/>
        <v>8760</v>
      </c>
      <c r="LG105" s="2082">
        <f t="shared" si="114"/>
        <v>8760</v>
      </c>
      <c r="LH105" s="2082">
        <f t="shared" si="114"/>
        <v>8760</v>
      </c>
      <c r="LI105" s="2082">
        <f t="shared" si="114"/>
        <v>8760</v>
      </c>
      <c r="LJ105" s="2082">
        <f t="shared" si="114"/>
        <v>8760</v>
      </c>
      <c r="LK105" s="2082">
        <f t="shared" si="114"/>
        <v>8760</v>
      </c>
      <c r="LL105" s="2082">
        <f t="shared" si="114"/>
        <v>8760</v>
      </c>
      <c r="LM105" s="2082">
        <f t="shared" si="114"/>
        <v>8760</v>
      </c>
      <c r="LN105" s="2082">
        <f t="shared" si="114"/>
        <v>8760</v>
      </c>
      <c r="LO105" s="2082">
        <f t="shared" ref="LO105:NZ105" si="115">24*365*1</f>
        <v>8760</v>
      </c>
      <c r="LP105" s="2082">
        <f t="shared" si="115"/>
        <v>8760</v>
      </c>
      <c r="LQ105" s="2082">
        <f t="shared" si="115"/>
        <v>8760</v>
      </c>
      <c r="LR105" s="2082">
        <f t="shared" si="115"/>
        <v>8760</v>
      </c>
      <c r="LS105" s="2082">
        <f t="shared" si="115"/>
        <v>8760</v>
      </c>
      <c r="LT105" s="2082">
        <f t="shared" si="115"/>
        <v>8760</v>
      </c>
      <c r="LU105" s="2082">
        <f t="shared" si="115"/>
        <v>8760</v>
      </c>
      <c r="LV105" s="2082">
        <f t="shared" si="115"/>
        <v>8760</v>
      </c>
      <c r="LW105" s="2082">
        <f t="shared" si="115"/>
        <v>8760</v>
      </c>
      <c r="LX105" s="2082">
        <f t="shared" si="115"/>
        <v>8760</v>
      </c>
      <c r="LY105" s="2082">
        <f t="shared" si="115"/>
        <v>8760</v>
      </c>
      <c r="LZ105" s="2082">
        <f t="shared" si="115"/>
        <v>8760</v>
      </c>
      <c r="MA105" s="2082">
        <f t="shared" si="115"/>
        <v>8760</v>
      </c>
      <c r="MB105" s="2082">
        <f t="shared" si="115"/>
        <v>8760</v>
      </c>
      <c r="MC105" s="2082">
        <f t="shared" si="115"/>
        <v>8760</v>
      </c>
      <c r="MD105" s="2082">
        <f t="shared" si="115"/>
        <v>8760</v>
      </c>
      <c r="ME105" s="2082">
        <f t="shared" si="115"/>
        <v>8760</v>
      </c>
      <c r="MF105" s="2082">
        <f t="shared" si="115"/>
        <v>8760</v>
      </c>
      <c r="MG105" s="2082">
        <f t="shared" si="115"/>
        <v>8760</v>
      </c>
      <c r="MH105" s="2082">
        <f t="shared" si="115"/>
        <v>8760</v>
      </c>
      <c r="MI105" s="2082">
        <f t="shared" si="115"/>
        <v>8760</v>
      </c>
      <c r="MJ105" s="2082">
        <f t="shared" si="115"/>
        <v>8760</v>
      </c>
      <c r="MK105" s="2082">
        <f t="shared" si="115"/>
        <v>8760</v>
      </c>
      <c r="ML105" s="2082">
        <f t="shared" si="115"/>
        <v>8760</v>
      </c>
      <c r="MM105" s="2082">
        <f t="shared" si="115"/>
        <v>8760</v>
      </c>
      <c r="MN105" s="2082">
        <f t="shared" si="115"/>
        <v>8760</v>
      </c>
      <c r="MO105" s="2082">
        <f t="shared" si="115"/>
        <v>8760</v>
      </c>
      <c r="MP105" s="2082">
        <f t="shared" si="115"/>
        <v>8760</v>
      </c>
      <c r="MQ105" s="2082">
        <f t="shared" si="115"/>
        <v>8760</v>
      </c>
      <c r="MR105" s="2082">
        <f t="shared" si="115"/>
        <v>8760</v>
      </c>
      <c r="MS105" s="2082">
        <f t="shared" si="115"/>
        <v>8760</v>
      </c>
      <c r="MT105" s="2082">
        <f t="shared" si="115"/>
        <v>8760</v>
      </c>
      <c r="MU105" s="2082">
        <f t="shared" si="115"/>
        <v>8760</v>
      </c>
      <c r="MV105" s="2082">
        <f t="shared" si="115"/>
        <v>8760</v>
      </c>
      <c r="MW105" s="2082">
        <f t="shared" si="115"/>
        <v>8760</v>
      </c>
      <c r="MX105" s="2082">
        <f t="shared" si="115"/>
        <v>8760</v>
      </c>
      <c r="MY105" s="2082">
        <f t="shared" si="115"/>
        <v>8760</v>
      </c>
      <c r="MZ105" s="2082">
        <f t="shared" si="115"/>
        <v>8760</v>
      </c>
      <c r="NA105" s="2082">
        <f t="shared" si="115"/>
        <v>8760</v>
      </c>
      <c r="NB105" s="2082">
        <f t="shared" si="115"/>
        <v>8760</v>
      </c>
      <c r="NC105" s="2082">
        <f t="shared" si="115"/>
        <v>8760</v>
      </c>
      <c r="ND105" s="2082">
        <f t="shared" si="115"/>
        <v>8760</v>
      </c>
      <c r="NE105" s="2082">
        <f t="shared" si="115"/>
        <v>8760</v>
      </c>
      <c r="NF105" s="2082">
        <f t="shared" si="115"/>
        <v>8760</v>
      </c>
      <c r="NG105" s="2082">
        <f t="shared" si="115"/>
        <v>8760</v>
      </c>
      <c r="NH105" s="2082">
        <f t="shared" si="115"/>
        <v>8760</v>
      </c>
      <c r="NI105" s="2082">
        <f t="shared" si="115"/>
        <v>8760</v>
      </c>
      <c r="NJ105" s="2082">
        <f t="shared" si="115"/>
        <v>8760</v>
      </c>
      <c r="NK105" s="2082">
        <f t="shared" si="115"/>
        <v>8760</v>
      </c>
      <c r="NL105" s="2082">
        <f t="shared" si="115"/>
        <v>8760</v>
      </c>
      <c r="NM105" s="2082">
        <f t="shared" si="115"/>
        <v>8760</v>
      </c>
      <c r="NN105" s="2082">
        <f t="shared" si="115"/>
        <v>8760</v>
      </c>
      <c r="NO105" s="2082">
        <f t="shared" si="115"/>
        <v>8760</v>
      </c>
      <c r="NP105" s="2082">
        <f t="shared" si="115"/>
        <v>8760</v>
      </c>
      <c r="NQ105" s="2082">
        <f t="shared" si="115"/>
        <v>8760</v>
      </c>
      <c r="NR105" s="2082">
        <f t="shared" si="115"/>
        <v>8760</v>
      </c>
      <c r="NS105" s="2082">
        <f t="shared" si="115"/>
        <v>8760</v>
      </c>
      <c r="NT105" s="2082">
        <f t="shared" si="115"/>
        <v>8760</v>
      </c>
      <c r="NU105" s="2082">
        <f t="shared" si="115"/>
        <v>8760</v>
      </c>
      <c r="NV105" s="2082">
        <f t="shared" si="115"/>
        <v>8760</v>
      </c>
      <c r="NW105" s="2082">
        <f t="shared" si="115"/>
        <v>8760</v>
      </c>
      <c r="NX105" s="2082">
        <f t="shared" si="115"/>
        <v>8760</v>
      </c>
      <c r="NY105" s="2082">
        <f t="shared" si="115"/>
        <v>8760</v>
      </c>
      <c r="NZ105" s="2082">
        <f t="shared" si="115"/>
        <v>8760</v>
      </c>
      <c r="OA105" s="2082">
        <f t="shared" ref="OA105:QL105" si="116">24*365*1</f>
        <v>8760</v>
      </c>
      <c r="OB105" s="2082">
        <f t="shared" si="116"/>
        <v>8760</v>
      </c>
      <c r="OC105" s="2082">
        <f t="shared" si="116"/>
        <v>8760</v>
      </c>
      <c r="OD105" s="2082">
        <f t="shared" si="116"/>
        <v>8760</v>
      </c>
      <c r="OE105" s="2082">
        <f t="shared" si="116"/>
        <v>8760</v>
      </c>
      <c r="OF105" s="2082">
        <f t="shared" si="116"/>
        <v>8760</v>
      </c>
      <c r="OG105" s="2082">
        <f t="shared" si="116"/>
        <v>8760</v>
      </c>
      <c r="OH105" s="2082">
        <f t="shared" si="116"/>
        <v>8760</v>
      </c>
      <c r="OI105" s="2082">
        <f t="shared" si="116"/>
        <v>8760</v>
      </c>
      <c r="OJ105" s="2082">
        <f t="shared" si="116"/>
        <v>8760</v>
      </c>
      <c r="OK105" s="2082">
        <f t="shared" si="116"/>
        <v>8760</v>
      </c>
      <c r="OL105" s="2082">
        <f t="shared" si="116"/>
        <v>8760</v>
      </c>
      <c r="OM105" s="2082">
        <f t="shared" si="116"/>
        <v>8760</v>
      </c>
      <c r="ON105" s="2082">
        <f t="shared" si="116"/>
        <v>8760</v>
      </c>
      <c r="OO105" s="2082">
        <f t="shared" si="116"/>
        <v>8760</v>
      </c>
      <c r="OP105" s="2082">
        <f t="shared" si="116"/>
        <v>8760</v>
      </c>
      <c r="OQ105" s="2082">
        <f t="shared" si="116"/>
        <v>8760</v>
      </c>
      <c r="OR105" s="2082">
        <f t="shared" si="116"/>
        <v>8760</v>
      </c>
      <c r="OS105" s="2082">
        <f t="shared" si="116"/>
        <v>8760</v>
      </c>
      <c r="OT105" s="2082">
        <f t="shared" si="116"/>
        <v>8760</v>
      </c>
      <c r="OU105" s="2082">
        <f t="shared" si="116"/>
        <v>8760</v>
      </c>
      <c r="OV105" s="2082">
        <f t="shared" si="116"/>
        <v>8760</v>
      </c>
      <c r="OW105" s="2082">
        <f t="shared" si="116"/>
        <v>8760</v>
      </c>
      <c r="OX105" s="2082">
        <f t="shared" si="116"/>
        <v>8760</v>
      </c>
      <c r="OY105" s="2082">
        <f t="shared" si="116"/>
        <v>8760</v>
      </c>
      <c r="OZ105" s="2082">
        <f t="shared" si="116"/>
        <v>8760</v>
      </c>
      <c r="PA105" s="2082">
        <f t="shared" si="116"/>
        <v>8760</v>
      </c>
      <c r="PB105" s="2082">
        <f t="shared" si="116"/>
        <v>8760</v>
      </c>
      <c r="PC105" s="2082">
        <f t="shared" si="116"/>
        <v>8760</v>
      </c>
      <c r="PD105" s="2082">
        <f t="shared" si="116"/>
        <v>8760</v>
      </c>
      <c r="PE105" s="2082">
        <f t="shared" si="116"/>
        <v>8760</v>
      </c>
      <c r="PF105" s="2082">
        <f t="shared" si="116"/>
        <v>8760</v>
      </c>
      <c r="PG105" s="2082">
        <f t="shared" si="116"/>
        <v>8760</v>
      </c>
      <c r="PH105" s="2082">
        <f t="shared" si="116"/>
        <v>8760</v>
      </c>
      <c r="PI105" s="2082">
        <f t="shared" si="116"/>
        <v>8760</v>
      </c>
      <c r="PJ105" s="2082">
        <f t="shared" si="116"/>
        <v>8760</v>
      </c>
      <c r="PK105" s="2082">
        <f t="shared" si="116"/>
        <v>8760</v>
      </c>
      <c r="PL105" s="2082">
        <f t="shared" si="116"/>
        <v>8760</v>
      </c>
      <c r="PM105" s="2082">
        <f t="shared" si="116"/>
        <v>8760</v>
      </c>
      <c r="PN105" s="2082">
        <f t="shared" si="116"/>
        <v>8760</v>
      </c>
      <c r="PO105" s="2082">
        <f t="shared" si="116"/>
        <v>8760</v>
      </c>
      <c r="PP105" s="2082">
        <f t="shared" si="116"/>
        <v>8760</v>
      </c>
      <c r="PQ105" s="2082">
        <f t="shared" si="116"/>
        <v>8760</v>
      </c>
      <c r="PR105" s="2082">
        <f t="shared" si="116"/>
        <v>8760</v>
      </c>
      <c r="PS105" s="2082">
        <f t="shared" si="116"/>
        <v>8760</v>
      </c>
      <c r="PT105" s="2082">
        <f t="shared" si="116"/>
        <v>8760</v>
      </c>
      <c r="PU105" s="2082">
        <f t="shared" si="116"/>
        <v>8760</v>
      </c>
      <c r="PV105" s="2082">
        <f t="shared" si="116"/>
        <v>8760</v>
      </c>
      <c r="PW105" s="2082">
        <f t="shared" si="116"/>
        <v>8760</v>
      </c>
      <c r="PX105" s="2082">
        <f t="shared" si="116"/>
        <v>8760</v>
      </c>
      <c r="PY105" s="2082">
        <f t="shared" si="116"/>
        <v>8760</v>
      </c>
      <c r="PZ105" s="2082">
        <f t="shared" si="116"/>
        <v>8760</v>
      </c>
      <c r="QA105" s="2082">
        <f t="shared" si="116"/>
        <v>8760</v>
      </c>
      <c r="QB105" s="2082">
        <f t="shared" si="116"/>
        <v>8760</v>
      </c>
      <c r="QC105" s="2082">
        <f t="shared" si="116"/>
        <v>8760</v>
      </c>
      <c r="QD105" s="2082">
        <f t="shared" si="116"/>
        <v>8760</v>
      </c>
      <c r="QE105" s="2082">
        <f t="shared" si="116"/>
        <v>8760</v>
      </c>
      <c r="QF105" s="2082">
        <f t="shared" si="116"/>
        <v>8760</v>
      </c>
      <c r="QG105" s="2082">
        <f t="shared" si="116"/>
        <v>8760</v>
      </c>
      <c r="QH105" s="2082">
        <f t="shared" si="116"/>
        <v>8760</v>
      </c>
      <c r="QI105" s="2082">
        <f t="shared" si="116"/>
        <v>8760</v>
      </c>
      <c r="QJ105" s="2082">
        <f t="shared" si="116"/>
        <v>8760</v>
      </c>
      <c r="QK105" s="2082">
        <f t="shared" si="116"/>
        <v>8760</v>
      </c>
      <c r="QL105" s="2082">
        <f t="shared" si="116"/>
        <v>8760</v>
      </c>
      <c r="QM105" s="2082">
        <f t="shared" ref="QM105:SX105" si="117">24*365*1</f>
        <v>8760</v>
      </c>
      <c r="QN105" s="2082">
        <f t="shared" si="117"/>
        <v>8760</v>
      </c>
      <c r="QO105" s="2082">
        <f t="shared" si="117"/>
        <v>8760</v>
      </c>
      <c r="QP105" s="2082">
        <f t="shared" si="117"/>
        <v>8760</v>
      </c>
      <c r="QQ105" s="2082">
        <f t="shared" si="117"/>
        <v>8760</v>
      </c>
      <c r="QR105" s="2082">
        <f t="shared" si="117"/>
        <v>8760</v>
      </c>
      <c r="QS105" s="2082">
        <f t="shared" si="117"/>
        <v>8760</v>
      </c>
      <c r="QT105" s="2082">
        <f t="shared" si="117"/>
        <v>8760</v>
      </c>
      <c r="QU105" s="2082">
        <f t="shared" si="117"/>
        <v>8760</v>
      </c>
      <c r="QV105" s="2082">
        <f t="shared" si="117"/>
        <v>8760</v>
      </c>
      <c r="QW105" s="2082">
        <f t="shared" si="117"/>
        <v>8760</v>
      </c>
      <c r="QX105" s="2082">
        <f t="shared" si="117"/>
        <v>8760</v>
      </c>
      <c r="QY105" s="2082">
        <f t="shared" si="117"/>
        <v>8760</v>
      </c>
      <c r="QZ105" s="2082">
        <f t="shared" si="117"/>
        <v>8760</v>
      </c>
      <c r="RA105" s="2082">
        <f t="shared" si="117"/>
        <v>8760</v>
      </c>
      <c r="RB105" s="2082">
        <f t="shared" si="117"/>
        <v>8760</v>
      </c>
      <c r="RC105" s="2082">
        <f t="shared" si="117"/>
        <v>8760</v>
      </c>
      <c r="RD105" s="2082">
        <f t="shared" si="117"/>
        <v>8760</v>
      </c>
      <c r="RE105" s="2082">
        <f t="shared" si="117"/>
        <v>8760</v>
      </c>
      <c r="RF105" s="2082">
        <f t="shared" si="117"/>
        <v>8760</v>
      </c>
      <c r="RG105" s="2082">
        <f t="shared" si="117"/>
        <v>8760</v>
      </c>
      <c r="RH105" s="2082">
        <f t="shared" si="117"/>
        <v>8760</v>
      </c>
      <c r="RI105" s="2082">
        <f t="shared" si="117"/>
        <v>8760</v>
      </c>
      <c r="RJ105" s="2082">
        <f t="shared" si="117"/>
        <v>8760</v>
      </c>
      <c r="RK105" s="2082">
        <f t="shared" si="117"/>
        <v>8760</v>
      </c>
      <c r="RL105" s="2082">
        <f t="shared" si="117"/>
        <v>8760</v>
      </c>
      <c r="RM105" s="2082">
        <f t="shared" si="117"/>
        <v>8760</v>
      </c>
      <c r="RN105" s="2082">
        <f t="shared" si="117"/>
        <v>8760</v>
      </c>
      <c r="RO105" s="2082">
        <f t="shared" si="117"/>
        <v>8760</v>
      </c>
      <c r="RP105" s="2082">
        <f t="shared" si="117"/>
        <v>8760</v>
      </c>
      <c r="RQ105" s="2082">
        <f t="shared" si="117"/>
        <v>8760</v>
      </c>
      <c r="RR105" s="2082">
        <f t="shared" si="117"/>
        <v>8760</v>
      </c>
      <c r="RS105" s="2082">
        <f t="shared" si="117"/>
        <v>8760</v>
      </c>
      <c r="RT105" s="2082">
        <f t="shared" si="117"/>
        <v>8760</v>
      </c>
      <c r="RU105" s="2082">
        <f t="shared" si="117"/>
        <v>8760</v>
      </c>
      <c r="RV105" s="2082">
        <f t="shared" si="117"/>
        <v>8760</v>
      </c>
      <c r="RW105" s="2082">
        <f t="shared" si="117"/>
        <v>8760</v>
      </c>
      <c r="RX105" s="2082">
        <f t="shared" si="117"/>
        <v>8760</v>
      </c>
      <c r="RY105" s="2082">
        <f t="shared" si="117"/>
        <v>8760</v>
      </c>
      <c r="RZ105" s="2082">
        <f t="shared" si="117"/>
        <v>8760</v>
      </c>
      <c r="SA105" s="2082">
        <f t="shared" si="117"/>
        <v>8760</v>
      </c>
      <c r="SB105" s="2082">
        <f t="shared" si="117"/>
        <v>8760</v>
      </c>
      <c r="SC105" s="2082">
        <f t="shared" si="117"/>
        <v>8760</v>
      </c>
      <c r="SD105" s="2082">
        <f t="shared" si="117"/>
        <v>8760</v>
      </c>
      <c r="SE105" s="2082">
        <f t="shared" si="117"/>
        <v>8760</v>
      </c>
      <c r="SF105" s="2082">
        <f t="shared" si="117"/>
        <v>8760</v>
      </c>
      <c r="SG105" s="2082">
        <f t="shared" si="117"/>
        <v>8760</v>
      </c>
      <c r="SH105" s="2082">
        <f t="shared" si="117"/>
        <v>8760</v>
      </c>
      <c r="SI105" s="2082">
        <f t="shared" si="117"/>
        <v>8760</v>
      </c>
      <c r="SJ105" s="2082">
        <f t="shared" si="117"/>
        <v>8760</v>
      </c>
      <c r="SK105" s="2082">
        <f t="shared" si="117"/>
        <v>8760</v>
      </c>
      <c r="SL105" s="2082">
        <f t="shared" si="117"/>
        <v>8760</v>
      </c>
      <c r="SM105" s="2082">
        <f t="shared" si="117"/>
        <v>8760</v>
      </c>
      <c r="SN105" s="2082">
        <f t="shared" si="117"/>
        <v>8760</v>
      </c>
      <c r="SO105" s="2082">
        <f t="shared" si="117"/>
        <v>8760</v>
      </c>
      <c r="SP105" s="2082">
        <f t="shared" si="117"/>
        <v>8760</v>
      </c>
      <c r="SQ105" s="2082">
        <f t="shared" si="117"/>
        <v>8760</v>
      </c>
      <c r="SR105" s="2082">
        <f t="shared" si="117"/>
        <v>8760</v>
      </c>
      <c r="SS105" s="2082">
        <f t="shared" si="117"/>
        <v>8760</v>
      </c>
      <c r="ST105" s="2082">
        <f t="shared" si="117"/>
        <v>8760</v>
      </c>
      <c r="SU105" s="2082">
        <f t="shared" si="117"/>
        <v>8760</v>
      </c>
      <c r="SV105" s="2082">
        <f t="shared" si="117"/>
        <v>8760</v>
      </c>
      <c r="SW105" s="2082">
        <f t="shared" si="117"/>
        <v>8760</v>
      </c>
      <c r="SX105" s="2082">
        <f t="shared" si="117"/>
        <v>8760</v>
      </c>
      <c r="SY105" s="2082">
        <f t="shared" ref="SY105:VJ105" si="118">24*365*1</f>
        <v>8760</v>
      </c>
      <c r="SZ105" s="2082">
        <f t="shared" si="118"/>
        <v>8760</v>
      </c>
      <c r="TA105" s="2082">
        <f t="shared" si="118"/>
        <v>8760</v>
      </c>
      <c r="TB105" s="2082">
        <f t="shared" si="118"/>
        <v>8760</v>
      </c>
      <c r="TC105" s="2082">
        <f t="shared" si="118"/>
        <v>8760</v>
      </c>
      <c r="TD105" s="2082">
        <f t="shared" si="118"/>
        <v>8760</v>
      </c>
      <c r="TE105" s="2082">
        <f t="shared" si="118"/>
        <v>8760</v>
      </c>
      <c r="TF105" s="2082">
        <f t="shared" si="118"/>
        <v>8760</v>
      </c>
      <c r="TG105" s="2082">
        <f t="shared" si="118"/>
        <v>8760</v>
      </c>
      <c r="TH105" s="2082">
        <f t="shared" si="118"/>
        <v>8760</v>
      </c>
      <c r="TI105" s="2082">
        <f t="shared" si="118"/>
        <v>8760</v>
      </c>
      <c r="TJ105" s="2082">
        <f t="shared" si="118"/>
        <v>8760</v>
      </c>
      <c r="TK105" s="2082">
        <f t="shared" si="118"/>
        <v>8760</v>
      </c>
      <c r="TL105" s="2082">
        <f t="shared" si="118"/>
        <v>8760</v>
      </c>
      <c r="TM105" s="2082">
        <f t="shared" si="118"/>
        <v>8760</v>
      </c>
      <c r="TN105" s="2082">
        <f t="shared" si="118"/>
        <v>8760</v>
      </c>
      <c r="TO105" s="2082">
        <f t="shared" si="118"/>
        <v>8760</v>
      </c>
      <c r="TP105" s="2082">
        <f t="shared" si="118"/>
        <v>8760</v>
      </c>
      <c r="TQ105" s="2082">
        <f t="shared" si="118"/>
        <v>8760</v>
      </c>
      <c r="TR105" s="2082">
        <f t="shared" si="118"/>
        <v>8760</v>
      </c>
      <c r="TS105" s="2082">
        <f t="shared" si="118"/>
        <v>8760</v>
      </c>
      <c r="TT105" s="2082">
        <f t="shared" si="118"/>
        <v>8760</v>
      </c>
      <c r="TU105" s="2082">
        <f t="shared" si="118"/>
        <v>8760</v>
      </c>
      <c r="TV105" s="2082">
        <f t="shared" si="118"/>
        <v>8760</v>
      </c>
      <c r="TW105" s="2082">
        <f t="shared" si="118"/>
        <v>8760</v>
      </c>
      <c r="TX105" s="2082">
        <f t="shared" si="118"/>
        <v>8760</v>
      </c>
      <c r="TY105" s="2082">
        <f t="shared" si="118"/>
        <v>8760</v>
      </c>
      <c r="TZ105" s="2082">
        <f t="shared" si="118"/>
        <v>8760</v>
      </c>
      <c r="UA105" s="2082">
        <f t="shared" si="118"/>
        <v>8760</v>
      </c>
      <c r="UB105" s="2082">
        <f t="shared" si="118"/>
        <v>8760</v>
      </c>
      <c r="UC105" s="2082">
        <f t="shared" si="118"/>
        <v>8760</v>
      </c>
      <c r="UD105" s="2082">
        <f t="shared" si="118"/>
        <v>8760</v>
      </c>
      <c r="UE105" s="2082">
        <f t="shared" si="118"/>
        <v>8760</v>
      </c>
      <c r="UF105" s="2082">
        <f t="shared" si="118"/>
        <v>8760</v>
      </c>
      <c r="UG105" s="2082">
        <f t="shared" si="118"/>
        <v>8760</v>
      </c>
      <c r="UH105" s="2082">
        <f t="shared" si="118"/>
        <v>8760</v>
      </c>
      <c r="UI105" s="2082">
        <f t="shared" si="118"/>
        <v>8760</v>
      </c>
      <c r="UJ105" s="2082">
        <f t="shared" si="118"/>
        <v>8760</v>
      </c>
      <c r="UK105" s="2082">
        <f t="shared" si="118"/>
        <v>8760</v>
      </c>
      <c r="UL105" s="2082">
        <f t="shared" si="118"/>
        <v>8760</v>
      </c>
      <c r="UM105" s="2082">
        <f t="shared" si="118"/>
        <v>8760</v>
      </c>
      <c r="UN105" s="2082">
        <f t="shared" si="118"/>
        <v>8760</v>
      </c>
      <c r="UO105" s="2082">
        <f t="shared" si="118"/>
        <v>8760</v>
      </c>
      <c r="UP105" s="2082">
        <f t="shared" si="118"/>
        <v>8760</v>
      </c>
      <c r="UQ105" s="2082">
        <f t="shared" si="118"/>
        <v>8760</v>
      </c>
      <c r="UR105" s="2082">
        <f t="shared" si="118"/>
        <v>8760</v>
      </c>
      <c r="US105" s="2082">
        <f t="shared" si="118"/>
        <v>8760</v>
      </c>
      <c r="UT105" s="2082">
        <f t="shared" si="118"/>
        <v>8760</v>
      </c>
      <c r="UU105" s="2082">
        <f t="shared" si="118"/>
        <v>8760</v>
      </c>
      <c r="UV105" s="2082">
        <f t="shared" si="118"/>
        <v>8760</v>
      </c>
      <c r="UW105" s="2082">
        <f t="shared" si="118"/>
        <v>8760</v>
      </c>
      <c r="UX105" s="2082">
        <f t="shared" si="118"/>
        <v>8760</v>
      </c>
      <c r="UY105" s="2082">
        <f t="shared" si="118"/>
        <v>8760</v>
      </c>
      <c r="UZ105" s="2082">
        <f t="shared" si="118"/>
        <v>8760</v>
      </c>
      <c r="VA105" s="2082">
        <f t="shared" si="118"/>
        <v>8760</v>
      </c>
      <c r="VB105" s="2082">
        <f t="shared" si="118"/>
        <v>8760</v>
      </c>
      <c r="VC105" s="2082">
        <f t="shared" si="118"/>
        <v>8760</v>
      </c>
      <c r="VD105" s="2082">
        <f t="shared" si="118"/>
        <v>8760</v>
      </c>
      <c r="VE105" s="2082">
        <f t="shared" si="118"/>
        <v>8760</v>
      </c>
      <c r="VF105" s="2082">
        <f t="shared" si="118"/>
        <v>8760</v>
      </c>
      <c r="VG105" s="2082">
        <f t="shared" si="118"/>
        <v>8760</v>
      </c>
      <c r="VH105" s="2082">
        <f t="shared" si="118"/>
        <v>8760</v>
      </c>
      <c r="VI105" s="2082">
        <f t="shared" si="118"/>
        <v>8760</v>
      </c>
      <c r="VJ105" s="2082">
        <f t="shared" si="118"/>
        <v>8760</v>
      </c>
      <c r="VK105" s="2083">
        <f>24*365*1</f>
        <v>8760</v>
      </c>
    </row>
    <row r="106" spans="1:583" s="1296" customFormat="1" x14ac:dyDescent="0.25">
      <c r="B106" s="2084" t="s">
        <v>1278</v>
      </c>
      <c r="C106" s="2085" t="s">
        <v>2935</v>
      </c>
      <c r="D106" s="2085" t="s">
        <v>1278</v>
      </c>
      <c r="E106" s="2085" t="s">
        <v>2935</v>
      </c>
      <c r="F106" s="2086">
        <f>IF(F104&gt;F105,F104,IF(F105&gt;F104,F105))</f>
        <v>8760</v>
      </c>
      <c r="G106" s="2086">
        <f t="shared" ref="G106:BR106" si="119">IF(G104&gt;G105,G104,IF(G105&gt;G104,G105))</f>
        <v>8760</v>
      </c>
      <c r="H106" s="2086">
        <f t="shared" si="119"/>
        <v>8760</v>
      </c>
      <c r="I106" s="2086">
        <f t="shared" si="119"/>
        <v>8760</v>
      </c>
      <c r="J106" s="2086">
        <f t="shared" si="119"/>
        <v>8760</v>
      </c>
      <c r="K106" s="2086">
        <f t="shared" si="119"/>
        <v>8760</v>
      </c>
      <c r="L106" s="2086">
        <f t="shared" si="119"/>
        <v>8760</v>
      </c>
      <c r="M106" s="2086">
        <f t="shared" si="119"/>
        <v>8760</v>
      </c>
      <c r="N106" s="2086">
        <f t="shared" si="119"/>
        <v>8760</v>
      </c>
      <c r="O106" s="2086">
        <f t="shared" si="119"/>
        <v>8760</v>
      </c>
      <c r="P106" s="2086">
        <f t="shared" si="119"/>
        <v>8760</v>
      </c>
      <c r="Q106" s="2086">
        <f t="shared" si="119"/>
        <v>8760</v>
      </c>
      <c r="R106" s="2086">
        <f t="shared" si="119"/>
        <v>8760</v>
      </c>
      <c r="S106" s="2086">
        <f t="shared" si="119"/>
        <v>8760</v>
      </c>
      <c r="T106" s="2086">
        <f t="shared" si="119"/>
        <v>8760</v>
      </c>
      <c r="U106" s="2086">
        <f t="shared" si="119"/>
        <v>8760</v>
      </c>
      <c r="V106" s="2086">
        <f t="shared" si="119"/>
        <v>8760</v>
      </c>
      <c r="W106" s="2086">
        <f t="shared" si="119"/>
        <v>8760</v>
      </c>
      <c r="X106" s="2086">
        <f t="shared" si="119"/>
        <v>8760</v>
      </c>
      <c r="Y106" s="2086">
        <f t="shared" si="119"/>
        <v>8760</v>
      </c>
      <c r="Z106" s="2086">
        <f t="shared" si="119"/>
        <v>8760</v>
      </c>
      <c r="AA106" s="2086">
        <f t="shared" si="119"/>
        <v>8760</v>
      </c>
      <c r="AB106" s="2086">
        <f t="shared" si="119"/>
        <v>8760</v>
      </c>
      <c r="AC106" s="2086">
        <f t="shared" si="119"/>
        <v>8760</v>
      </c>
      <c r="AD106" s="2086">
        <f t="shared" si="119"/>
        <v>8760</v>
      </c>
      <c r="AE106" s="2086">
        <f t="shared" si="119"/>
        <v>8760</v>
      </c>
      <c r="AF106" s="2086">
        <f t="shared" si="119"/>
        <v>8760</v>
      </c>
      <c r="AG106" s="2086">
        <f t="shared" si="119"/>
        <v>8760</v>
      </c>
      <c r="AH106" s="2086">
        <f t="shared" si="119"/>
        <v>8760</v>
      </c>
      <c r="AI106" s="2086">
        <f t="shared" si="119"/>
        <v>8760</v>
      </c>
      <c r="AJ106" s="2086">
        <f t="shared" si="119"/>
        <v>8760</v>
      </c>
      <c r="AK106" s="2086">
        <f t="shared" si="119"/>
        <v>8760</v>
      </c>
      <c r="AL106" s="2086">
        <f t="shared" si="119"/>
        <v>8760</v>
      </c>
      <c r="AM106" s="2086">
        <f t="shared" si="119"/>
        <v>8760</v>
      </c>
      <c r="AN106" s="2086">
        <f t="shared" si="119"/>
        <v>8760</v>
      </c>
      <c r="AO106" s="2086">
        <f t="shared" si="119"/>
        <v>8760</v>
      </c>
      <c r="AP106" s="2086">
        <f t="shared" si="119"/>
        <v>8760</v>
      </c>
      <c r="AQ106" s="2086">
        <f t="shared" si="119"/>
        <v>8760</v>
      </c>
      <c r="AR106" s="2086">
        <f t="shared" si="119"/>
        <v>8760</v>
      </c>
      <c r="AS106" s="2086">
        <f t="shared" si="119"/>
        <v>8760</v>
      </c>
      <c r="AT106" s="2086">
        <f t="shared" si="119"/>
        <v>8760</v>
      </c>
      <c r="AU106" s="2086">
        <f t="shared" si="119"/>
        <v>8760</v>
      </c>
      <c r="AV106" s="2086">
        <f t="shared" si="119"/>
        <v>8760</v>
      </c>
      <c r="AW106" s="2086">
        <f t="shared" si="119"/>
        <v>8760</v>
      </c>
      <c r="AX106" s="2086">
        <f t="shared" si="119"/>
        <v>8760</v>
      </c>
      <c r="AY106" s="2086">
        <f t="shared" si="119"/>
        <v>8760</v>
      </c>
      <c r="AZ106" s="2086">
        <f t="shared" si="119"/>
        <v>8760</v>
      </c>
      <c r="BA106" s="2086">
        <f t="shared" si="119"/>
        <v>8760</v>
      </c>
      <c r="BB106" s="2086">
        <f t="shared" si="119"/>
        <v>8760</v>
      </c>
      <c r="BC106" s="2086">
        <f t="shared" si="119"/>
        <v>8760</v>
      </c>
      <c r="BD106" s="2086">
        <f t="shared" si="119"/>
        <v>8760</v>
      </c>
      <c r="BE106" s="2086">
        <f t="shared" si="119"/>
        <v>8760</v>
      </c>
      <c r="BF106" s="2086">
        <f t="shared" si="119"/>
        <v>8760</v>
      </c>
      <c r="BG106" s="2086">
        <f t="shared" si="119"/>
        <v>8760</v>
      </c>
      <c r="BH106" s="2086">
        <f t="shared" si="119"/>
        <v>8760</v>
      </c>
      <c r="BI106" s="2086">
        <f t="shared" si="119"/>
        <v>8760</v>
      </c>
      <c r="BJ106" s="2086">
        <f t="shared" si="119"/>
        <v>8760</v>
      </c>
      <c r="BK106" s="2086">
        <f t="shared" si="119"/>
        <v>8760</v>
      </c>
      <c r="BL106" s="2086">
        <f t="shared" si="119"/>
        <v>8760</v>
      </c>
      <c r="BM106" s="2086">
        <f t="shared" si="119"/>
        <v>8760</v>
      </c>
      <c r="BN106" s="2086">
        <f t="shared" si="119"/>
        <v>8760</v>
      </c>
      <c r="BO106" s="2086">
        <f t="shared" si="119"/>
        <v>8760</v>
      </c>
      <c r="BP106" s="2086">
        <f t="shared" si="119"/>
        <v>8760</v>
      </c>
      <c r="BQ106" s="2086">
        <f t="shared" si="119"/>
        <v>8760</v>
      </c>
      <c r="BR106" s="2086">
        <f t="shared" si="119"/>
        <v>8760</v>
      </c>
      <c r="BS106" s="2086">
        <f t="shared" ref="BS106:ED106" si="120">IF(BS104&gt;BS105,BS104,IF(BS105&gt;BS104,BS105))</f>
        <v>8760</v>
      </c>
      <c r="BT106" s="2086">
        <f t="shared" si="120"/>
        <v>8760</v>
      </c>
      <c r="BU106" s="2086">
        <f t="shared" si="120"/>
        <v>8760</v>
      </c>
      <c r="BV106" s="2086">
        <f t="shared" si="120"/>
        <v>8760</v>
      </c>
      <c r="BW106" s="2086">
        <f t="shared" si="120"/>
        <v>8760</v>
      </c>
      <c r="BX106" s="2086">
        <f t="shared" si="120"/>
        <v>8760</v>
      </c>
      <c r="BY106" s="2086">
        <f t="shared" si="120"/>
        <v>8760</v>
      </c>
      <c r="BZ106" s="2086">
        <f t="shared" si="120"/>
        <v>8760</v>
      </c>
      <c r="CA106" s="2086">
        <f t="shared" si="120"/>
        <v>8760</v>
      </c>
      <c r="CB106" s="2086">
        <f t="shared" si="120"/>
        <v>8760</v>
      </c>
      <c r="CC106" s="2086">
        <f t="shared" si="120"/>
        <v>8760</v>
      </c>
      <c r="CD106" s="2086">
        <f t="shared" si="120"/>
        <v>8760</v>
      </c>
      <c r="CE106" s="2086">
        <f t="shared" si="120"/>
        <v>8760</v>
      </c>
      <c r="CF106" s="2086">
        <f t="shared" si="120"/>
        <v>8760</v>
      </c>
      <c r="CG106" s="2086">
        <f t="shared" si="120"/>
        <v>8760</v>
      </c>
      <c r="CH106" s="2086">
        <f t="shared" si="120"/>
        <v>8760</v>
      </c>
      <c r="CI106" s="2086">
        <f t="shared" si="120"/>
        <v>8760</v>
      </c>
      <c r="CJ106" s="2086">
        <f t="shared" si="120"/>
        <v>8760</v>
      </c>
      <c r="CK106" s="2086">
        <f t="shared" si="120"/>
        <v>8760</v>
      </c>
      <c r="CL106" s="2086">
        <f t="shared" si="120"/>
        <v>8760</v>
      </c>
      <c r="CM106" s="2086">
        <f t="shared" si="120"/>
        <v>8760</v>
      </c>
      <c r="CN106" s="2086">
        <f t="shared" si="120"/>
        <v>8760</v>
      </c>
      <c r="CO106" s="2086">
        <f t="shared" si="120"/>
        <v>8760</v>
      </c>
      <c r="CP106" s="2086">
        <f t="shared" si="120"/>
        <v>8760</v>
      </c>
      <c r="CQ106" s="2086">
        <f t="shared" si="120"/>
        <v>8760</v>
      </c>
      <c r="CR106" s="2086">
        <f t="shared" si="120"/>
        <v>8760</v>
      </c>
      <c r="CS106" s="2086">
        <f t="shared" si="120"/>
        <v>8760</v>
      </c>
      <c r="CT106" s="2086">
        <f t="shared" si="120"/>
        <v>8760</v>
      </c>
      <c r="CU106" s="2086">
        <f t="shared" si="120"/>
        <v>8760</v>
      </c>
      <c r="CV106" s="2086">
        <f t="shared" si="120"/>
        <v>8760</v>
      </c>
      <c r="CW106" s="2086">
        <f t="shared" si="120"/>
        <v>8760</v>
      </c>
      <c r="CX106" s="2086">
        <f t="shared" si="120"/>
        <v>8760</v>
      </c>
      <c r="CY106" s="2086">
        <f t="shared" si="120"/>
        <v>8760</v>
      </c>
      <c r="CZ106" s="2086">
        <f t="shared" si="120"/>
        <v>8760</v>
      </c>
      <c r="DA106" s="2086">
        <f t="shared" si="120"/>
        <v>8760</v>
      </c>
      <c r="DB106" s="2086">
        <f t="shared" si="120"/>
        <v>8760</v>
      </c>
      <c r="DC106" s="2086">
        <f t="shared" si="120"/>
        <v>8760</v>
      </c>
      <c r="DD106" s="2086">
        <f t="shared" si="120"/>
        <v>8760</v>
      </c>
      <c r="DE106" s="2086">
        <f t="shared" si="120"/>
        <v>8760</v>
      </c>
      <c r="DF106" s="2086">
        <f t="shared" si="120"/>
        <v>8760</v>
      </c>
      <c r="DG106" s="2086">
        <f t="shared" si="120"/>
        <v>8760</v>
      </c>
      <c r="DH106" s="2086">
        <f t="shared" si="120"/>
        <v>8760</v>
      </c>
      <c r="DI106" s="2086">
        <f t="shared" si="120"/>
        <v>8760</v>
      </c>
      <c r="DJ106" s="2086">
        <f t="shared" si="120"/>
        <v>8760</v>
      </c>
      <c r="DK106" s="2086">
        <f t="shared" si="120"/>
        <v>8760</v>
      </c>
      <c r="DL106" s="2086">
        <f t="shared" si="120"/>
        <v>8760</v>
      </c>
      <c r="DM106" s="2086">
        <f t="shared" si="120"/>
        <v>8760</v>
      </c>
      <c r="DN106" s="2086">
        <f t="shared" si="120"/>
        <v>8760</v>
      </c>
      <c r="DO106" s="2086">
        <f t="shared" si="120"/>
        <v>8760</v>
      </c>
      <c r="DP106" s="2086">
        <f t="shared" si="120"/>
        <v>8760</v>
      </c>
      <c r="DQ106" s="2086">
        <f t="shared" si="120"/>
        <v>8760</v>
      </c>
      <c r="DR106" s="2086">
        <f t="shared" si="120"/>
        <v>8760</v>
      </c>
      <c r="DS106" s="2086">
        <f t="shared" si="120"/>
        <v>8760</v>
      </c>
      <c r="DT106" s="2086">
        <f t="shared" si="120"/>
        <v>8760</v>
      </c>
      <c r="DU106" s="2086">
        <f t="shared" si="120"/>
        <v>8760</v>
      </c>
      <c r="DV106" s="2086">
        <f t="shared" si="120"/>
        <v>8760</v>
      </c>
      <c r="DW106" s="2086">
        <f t="shared" si="120"/>
        <v>8760</v>
      </c>
      <c r="DX106" s="2086">
        <f t="shared" si="120"/>
        <v>8760</v>
      </c>
      <c r="DY106" s="2086">
        <f t="shared" si="120"/>
        <v>8760</v>
      </c>
      <c r="DZ106" s="2086">
        <f t="shared" si="120"/>
        <v>8760</v>
      </c>
      <c r="EA106" s="2086">
        <f t="shared" si="120"/>
        <v>8760</v>
      </c>
      <c r="EB106" s="2086">
        <f t="shared" si="120"/>
        <v>8760</v>
      </c>
      <c r="EC106" s="2086">
        <f t="shared" si="120"/>
        <v>8760</v>
      </c>
      <c r="ED106" s="2086">
        <f t="shared" si="120"/>
        <v>8760</v>
      </c>
      <c r="EE106" s="2086">
        <f t="shared" ref="EE106:GP106" si="121">IF(EE104&gt;EE105,EE104,IF(EE105&gt;EE104,EE105))</f>
        <v>8760</v>
      </c>
      <c r="EF106" s="2086">
        <f t="shared" si="121"/>
        <v>8760</v>
      </c>
      <c r="EG106" s="2086">
        <f t="shared" si="121"/>
        <v>8760</v>
      </c>
      <c r="EH106" s="2086">
        <f t="shared" si="121"/>
        <v>8760</v>
      </c>
      <c r="EI106" s="2086">
        <f t="shared" si="121"/>
        <v>8760</v>
      </c>
      <c r="EJ106" s="2086">
        <f t="shared" si="121"/>
        <v>8760</v>
      </c>
      <c r="EK106" s="2086">
        <f t="shared" si="121"/>
        <v>8760</v>
      </c>
      <c r="EL106" s="2086">
        <f t="shared" si="121"/>
        <v>8760</v>
      </c>
      <c r="EM106" s="2086">
        <f t="shared" si="121"/>
        <v>8760</v>
      </c>
      <c r="EN106" s="2086">
        <f t="shared" si="121"/>
        <v>8760</v>
      </c>
      <c r="EO106" s="2086">
        <f t="shared" si="121"/>
        <v>8760</v>
      </c>
      <c r="EP106" s="2086">
        <f t="shared" si="121"/>
        <v>8760</v>
      </c>
      <c r="EQ106" s="2086">
        <f t="shared" si="121"/>
        <v>8760</v>
      </c>
      <c r="ER106" s="2086">
        <f t="shared" si="121"/>
        <v>8760</v>
      </c>
      <c r="ES106" s="2086">
        <f t="shared" si="121"/>
        <v>8760</v>
      </c>
      <c r="ET106" s="2086">
        <f t="shared" si="121"/>
        <v>8760</v>
      </c>
      <c r="EU106" s="2086">
        <f t="shared" si="121"/>
        <v>8760</v>
      </c>
      <c r="EV106" s="2086">
        <f t="shared" si="121"/>
        <v>8760</v>
      </c>
      <c r="EW106" s="2086">
        <f t="shared" si="121"/>
        <v>8760</v>
      </c>
      <c r="EX106" s="2086">
        <f t="shared" si="121"/>
        <v>8760</v>
      </c>
      <c r="EY106" s="2086">
        <f t="shared" si="121"/>
        <v>8760</v>
      </c>
      <c r="EZ106" s="2086">
        <f t="shared" si="121"/>
        <v>8760</v>
      </c>
      <c r="FA106" s="2086">
        <f t="shared" si="121"/>
        <v>8760</v>
      </c>
      <c r="FB106" s="2086">
        <f t="shared" si="121"/>
        <v>8760</v>
      </c>
      <c r="FC106" s="2086">
        <f t="shared" si="121"/>
        <v>8760</v>
      </c>
      <c r="FD106" s="2086">
        <f t="shared" si="121"/>
        <v>8760</v>
      </c>
      <c r="FE106" s="2086">
        <f t="shared" si="121"/>
        <v>8760</v>
      </c>
      <c r="FF106" s="2086">
        <f t="shared" si="121"/>
        <v>8760</v>
      </c>
      <c r="FG106" s="2086">
        <f t="shared" si="121"/>
        <v>8760</v>
      </c>
      <c r="FH106" s="2086">
        <f t="shared" si="121"/>
        <v>8760</v>
      </c>
      <c r="FI106" s="2086">
        <f t="shared" si="121"/>
        <v>8760</v>
      </c>
      <c r="FJ106" s="2086">
        <f t="shared" si="121"/>
        <v>8760</v>
      </c>
      <c r="FK106" s="2086">
        <f t="shared" si="121"/>
        <v>8760</v>
      </c>
      <c r="FL106" s="2086">
        <f t="shared" si="121"/>
        <v>8760</v>
      </c>
      <c r="FM106" s="2086">
        <f t="shared" si="121"/>
        <v>8760</v>
      </c>
      <c r="FN106" s="2086">
        <f t="shared" si="121"/>
        <v>8760</v>
      </c>
      <c r="FO106" s="2086">
        <f t="shared" si="121"/>
        <v>8760</v>
      </c>
      <c r="FP106" s="2086">
        <f t="shared" si="121"/>
        <v>8760</v>
      </c>
      <c r="FQ106" s="2086">
        <f t="shared" si="121"/>
        <v>8760</v>
      </c>
      <c r="FR106" s="2086">
        <f t="shared" si="121"/>
        <v>8760</v>
      </c>
      <c r="FS106" s="2086">
        <f t="shared" si="121"/>
        <v>8760</v>
      </c>
      <c r="FT106" s="2086">
        <f t="shared" si="121"/>
        <v>8760</v>
      </c>
      <c r="FU106" s="2086">
        <f t="shared" si="121"/>
        <v>8760</v>
      </c>
      <c r="FV106" s="2086">
        <f t="shared" si="121"/>
        <v>8760</v>
      </c>
      <c r="FW106" s="2086">
        <f t="shared" si="121"/>
        <v>8760</v>
      </c>
      <c r="FX106" s="2086">
        <f t="shared" si="121"/>
        <v>8760</v>
      </c>
      <c r="FY106" s="2086">
        <f t="shared" si="121"/>
        <v>8760</v>
      </c>
      <c r="FZ106" s="2086">
        <f t="shared" si="121"/>
        <v>8760</v>
      </c>
      <c r="GA106" s="2086">
        <f t="shared" si="121"/>
        <v>8760</v>
      </c>
      <c r="GB106" s="2086">
        <f t="shared" si="121"/>
        <v>8760</v>
      </c>
      <c r="GC106" s="2086">
        <f t="shared" si="121"/>
        <v>8760</v>
      </c>
      <c r="GD106" s="2086">
        <f t="shared" si="121"/>
        <v>8760</v>
      </c>
      <c r="GE106" s="2086">
        <f t="shared" si="121"/>
        <v>8760</v>
      </c>
      <c r="GF106" s="2086">
        <f t="shared" si="121"/>
        <v>8760</v>
      </c>
      <c r="GG106" s="2086">
        <f t="shared" si="121"/>
        <v>8760</v>
      </c>
      <c r="GH106" s="2086">
        <f t="shared" si="121"/>
        <v>8760</v>
      </c>
      <c r="GI106" s="2086">
        <f t="shared" si="121"/>
        <v>8760</v>
      </c>
      <c r="GJ106" s="2086">
        <f t="shared" si="121"/>
        <v>8760</v>
      </c>
      <c r="GK106" s="2086">
        <f t="shared" si="121"/>
        <v>8760</v>
      </c>
      <c r="GL106" s="2086">
        <f t="shared" si="121"/>
        <v>8760</v>
      </c>
      <c r="GM106" s="2086">
        <f t="shared" si="121"/>
        <v>8760</v>
      </c>
      <c r="GN106" s="2086">
        <f t="shared" si="121"/>
        <v>8760</v>
      </c>
      <c r="GO106" s="2086">
        <f t="shared" si="121"/>
        <v>8760</v>
      </c>
      <c r="GP106" s="2086">
        <f t="shared" si="121"/>
        <v>8760</v>
      </c>
      <c r="GQ106" s="2086">
        <f t="shared" ref="GQ106:JB106" si="122">IF(GQ104&gt;GQ105,GQ104,IF(GQ105&gt;GQ104,GQ105))</f>
        <v>8760</v>
      </c>
      <c r="GR106" s="2086">
        <f t="shared" si="122"/>
        <v>8760</v>
      </c>
      <c r="GS106" s="2086">
        <f t="shared" si="122"/>
        <v>8760</v>
      </c>
      <c r="GT106" s="2086">
        <f t="shared" si="122"/>
        <v>8760</v>
      </c>
      <c r="GU106" s="2086">
        <f t="shared" si="122"/>
        <v>8760</v>
      </c>
      <c r="GV106" s="2086">
        <f t="shared" si="122"/>
        <v>8760</v>
      </c>
      <c r="GW106" s="2086">
        <f t="shared" si="122"/>
        <v>8760</v>
      </c>
      <c r="GX106" s="2086">
        <f t="shared" si="122"/>
        <v>8760</v>
      </c>
      <c r="GY106" s="2086">
        <f t="shared" si="122"/>
        <v>8760</v>
      </c>
      <c r="GZ106" s="2086">
        <f t="shared" si="122"/>
        <v>8760</v>
      </c>
      <c r="HA106" s="2086">
        <f t="shared" si="122"/>
        <v>8760</v>
      </c>
      <c r="HB106" s="2086">
        <f t="shared" si="122"/>
        <v>8760</v>
      </c>
      <c r="HC106" s="2086">
        <f t="shared" si="122"/>
        <v>8760</v>
      </c>
      <c r="HD106" s="2086">
        <f t="shared" si="122"/>
        <v>8760</v>
      </c>
      <c r="HE106" s="2086">
        <f t="shared" si="122"/>
        <v>8760</v>
      </c>
      <c r="HF106" s="2086">
        <f t="shared" si="122"/>
        <v>8760</v>
      </c>
      <c r="HG106" s="2086">
        <f t="shared" si="122"/>
        <v>8760</v>
      </c>
      <c r="HH106" s="2086">
        <f t="shared" si="122"/>
        <v>8760</v>
      </c>
      <c r="HI106" s="2086">
        <f t="shared" si="122"/>
        <v>8760</v>
      </c>
      <c r="HJ106" s="2086">
        <f t="shared" si="122"/>
        <v>8760</v>
      </c>
      <c r="HK106" s="2086">
        <f t="shared" si="122"/>
        <v>8760</v>
      </c>
      <c r="HL106" s="2086">
        <f t="shared" si="122"/>
        <v>8760</v>
      </c>
      <c r="HM106" s="2086">
        <f t="shared" si="122"/>
        <v>8760</v>
      </c>
      <c r="HN106" s="2086">
        <f t="shared" si="122"/>
        <v>8760</v>
      </c>
      <c r="HO106" s="2086">
        <f t="shared" si="122"/>
        <v>8760</v>
      </c>
      <c r="HP106" s="2086">
        <f t="shared" si="122"/>
        <v>8760</v>
      </c>
      <c r="HQ106" s="2086">
        <f t="shared" si="122"/>
        <v>8760</v>
      </c>
      <c r="HR106" s="2086">
        <f t="shared" si="122"/>
        <v>8760</v>
      </c>
      <c r="HS106" s="2086">
        <f t="shared" si="122"/>
        <v>8760</v>
      </c>
      <c r="HT106" s="2086">
        <f t="shared" si="122"/>
        <v>8760</v>
      </c>
      <c r="HU106" s="2086">
        <f t="shared" si="122"/>
        <v>8760</v>
      </c>
      <c r="HV106" s="2086">
        <f t="shared" si="122"/>
        <v>8760</v>
      </c>
      <c r="HW106" s="2086">
        <f t="shared" si="122"/>
        <v>8760</v>
      </c>
      <c r="HX106" s="2086">
        <f t="shared" si="122"/>
        <v>8760</v>
      </c>
      <c r="HY106" s="2086">
        <f t="shared" si="122"/>
        <v>8760</v>
      </c>
      <c r="HZ106" s="2086">
        <f t="shared" si="122"/>
        <v>8760</v>
      </c>
      <c r="IA106" s="2086">
        <f t="shared" si="122"/>
        <v>8760</v>
      </c>
      <c r="IB106" s="2086">
        <f t="shared" si="122"/>
        <v>8760</v>
      </c>
      <c r="IC106" s="2086">
        <f t="shared" si="122"/>
        <v>8760</v>
      </c>
      <c r="ID106" s="2086">
        <f t="shared" si="122"/>
        <v>8760</v>
      </c>
      <c r="IE106" s="2086">
        <f t="shared" si="122"/>
        <v>8760</v>
      </c>
      <c r="IF106" s="2086">
        <f t="shared" si="122"/>
        <v>8760</v>
      </c>
      <c r="IG106" s="2086">
        <f t="shared" si="122"/>
        <v>8760</v>
      </c>
      <c r="IH106" s="2086">
        <f t="shared" si="122"/>
        <v>8760</v>
      </c>
      <c r="II106" s="2086">
        <f t="shared" si="122"/>
        <v>8760</v>
      </c>
      <c r="IJ106" s="2086">
        <f t="shared" si="122"/>
        <v>8760</v>
      </c>
      <c r="IK106" s="2086">
        <f t="shared" si="122"/>
        <v>8760</v>
      </c>
      <c r="IL106" s="2086">
        <f t="shared" si="122"/>
        <v>8760</v>
      </c>
      <c r="IM106" s="2086">
        <f t="shared" si="122"/>
        <v>8760</v>
      </c>
      <c r="IN106" s="2086">
        <f t="shared" si="122"/>
        <v>8760</v>
      </c>
      <c r="IO106" s="2086">
        <f t="shared" si="122"/>
        <v>8760</v>
      </c>
      <c r="IP106" s="2086">
        <f t="shared" si="122"/>
        <v>8760</v>
      </c>
      <c r="IQ106" s="2086">
        <f t="shared" si="122"/>
        <v>8760</v>
      </c>
      <c r="IR106" s="2086">
        <f t="shared" si="122"/>
        <v>8760</v>
      </c>
      <c r="IS106" s="2086">
        <f t="shared" si="122"/>
        <v>8760</v>
      </c>
      <c r="IT106" s="2086">
        <f t="shared" si="122"/>
        <v>8760</v>
      </c>
      <c r="IU106" s="2086">
        <f t="shared" si="122"/>
        <v>8760</v>
      </c>
      <c r="IV106" s="2086">
        <f t="shared" si="122"/>
        <v>8760</v>
      </c>
      <c r="IW106" s="2086">
        <f t="shared" si="122"/>
        <v>8760</v>
      </c>
      <c r="IX106" s="2086">
        <f t="shared" si="122"/>
        <v>8760</v>
      </c>
      <c r="IY106" s="2086">
        <f t="shared" si="122"/>
        <v>8760</v>
      </c>
      <c r="IZ106" s="2086">
        <f t="shared" si="122"/>
        <v>8760</v>
      </c>
      <c r="JA106" s="2086">
        <f t="shared" si="122"/>
        <v>8760</v>
      </c>
      <c r="JB106" s="2086">
        <f t="shared" si="122"/>
        <v>8760</v>
      </c>
      <c r="JC106" s="2086">
        <f t="shared" ref="JC106:LN106" si="123">IF(JC104&gt;JC105,JC104,IF(JC105&gt;JC104,JC105))</f>
        <v>8760</v>
      </c>
      <c r="JD106" s="2086">
        <f t="shared" si="123"/>
        <v>8760</v>
      </c>
      <c r="JE106" s="2086">
        <f t="shared" si="123"/>
        <v>8760</v>
      </c>
      <c r="JF106" s="2086">
        <f t="shared" si="123"/>
        <v>8760</v>
      </c>
      <c r="JG106" s="2086">
        <f t="shared" si="123"/>
        <v>8760</v>
      </c>
      <c r="JH106" s="2086">
        <f t="shared" si="123"/>
        <v>8760</v>
      </c>
      <c r="JI106" s="2086">
        <f t="shared" si="123"/>
        <v>8760</v>
      </c>
      <c r="JJ106" s="2086">
        <f t="shared" si="123"/>
        <v>8760</v>
      </c>
      <c r="JK106" s="2086">
        <f t="shared" si="123"/>
        <v>8760</v>
      </c>
      <c r="JL106" s="2086">
        <f t="shared" si="123"/>
        <v>8760</v>
      </c>
      <c r="JM106" s="2086">
        <f t="shared" si="123"/>
        <v>8760</v>
      </c>
      <c r="JN106" s="2086">
        <f t="shared" si="123"/>
        <v>8760</v>
      </c>
      <c r="JO106" s="2086">
        <f t="shared" si="123"/>
        <v>8760</v>
      </c>
      <c r="JP106" s="2086">
        <f t="shared" si="123"/>
        <v>8760</v>
      </c>
      <c r="JQ106" s="2086">
        <f t="shared" si="123"/>
        <v>8760</v>
      </c>
      <c r="JR106" s="2086">
        <f t="shared" si="123"/>
        <v>8760</v>
      </c>
      <c r="JS106" s="2086">
        <f t="shared" si="123"/>
        <v>8760</v>
      </c>
      <c r="JT106" s="2086">
        <f t="shared" si="123"/>
        <v>8760</v>
      </c>
      <c r="JU106" s="2086">
        <f t="shared" si="123"/>
        <v>8760</v>
      </c>
      <c r="JV106" s="2086">
        <f t="shared" si="123"/>
        <v>8760</v>
      </c>
      <c r="JW106" s="2086">
        <f t="shared" si="123"/>
        <v>8760</v>
      </c>
      <c r="JX106" s="2086">
        <f t="shared" si="123"/>
        <v>8760</v>
      </c>
      <c r="JY106" s="2086">
        <f t="shared" si="123"/>
        <v>8760</v>
      </c>
      <c r="JZ106" s="2086">
        <f t="shared" si="123"/>
        <v>8760</v>
      </c>
      <c r="KA106" s="2086">
        <f t="shared" si="123"/>
        <v>8760</v>
      </c>
      <c r="KB106" s="2086">
        <f t="shared" si="123"/>
        <v>8760</v>
      </c>
      <c r="KC106" s="2086">
        <f t="shared" si="123"/>
        <v>8760</v>
      </c>
      <c r="KD106" s="2086">
        <f t="shared" si="123"/>
        <v>8760</v>
      </c>
      <c r="KE106" s="2086">
        <f t="shared" si="123"/>
        <v>8760</v>
      </c>
      <c r="KF106" s="2086">
        <f t="shared" si="123"/>
        <v>8760</v>
      </c>
      <c r="KG106" s="2086">
        <f t="shared" si="123"/>
        <v>8760</v>
      </c>
      <c r="KH106" s="2086">
        <f t="shared" si="123"/>
        <v>8760</v>
      </c>
      <c r="KI106" s="2086">
        <f t="shared" si="123"/>
        <v>8760</v>
      </c>
      <c r="KJ106" s="2086">
        <f t="shared" si="123"/>
        <v>8760</v>
      </c>
      <c r="KK106" s="2086">
        <f t="shared" si="123"/>
        <v>8760</v>
      </c>
      <c r="KL106" s="2086">
        <f t="shared" si="123"/>
        <v>8760</v>
      </c>
      <c r="KM106" s="2086">
        <f t="shared" si="123"/>
        <v>8760</v>
      </c>
      <c r="KN106" s="2086">
        <f t="shared" si="123"/>
        <v>8760</v>
      </c>
      <c r="KO106" s="2086">
        <f t="shared" si="123"/>
        <v>8760</v>
      </c>
      <c r="KP106" s="2086">
        <f t="shared" si="123"/>
        <v>8760</v>
      </c>
      <c r="KQ106" s="2086">
        <f t="shared" si="123"/>
        <v>8760</v>
      </c>
      <c r="KR106" s="2086">
        <f t="shared" si="123"/>
        <v>8760</v>
      </c>
      <c r="KS106" s="2086">
        <f t="shared" si="123"/>
        <v>8760</v>
      </c>
      <c r="KT106" s="2086">
        <f t="shared" si="123"/>
        <v>8760</v>
      </c>
      <c r="KU106" s="2086">
        <f t="shared" si="123"/>
        <v>8760</v>
      </c>
      <c r="KV106" s="2086">
        <f t="shared" si="123"/>
        <v>8760</v>
      </c>
      <c r="KW106" s="2086">
        <f t="shared" si="123"/>
        <v>8760</v>
      </c>
      <c r="KX106" s="2086">
        <f t="shared" si="123"/>
        <v>8760</v>
      </c>
      <c r="KY106" s="2086">
        <f t="shared" si="123"/>
        <v>8760</v>
      </c>
      <c r="KZ106" s="2086">
        <f t="shared" si="123"/>
        <v>8760</v>
      </c>
      <c r="LA106" s="2086">
        <f t="shared" si="123"/>
        <v>8760</v>
      </c>
      <c r="LB106" s="2086">
        <f t="shared" si="123"/>
        <v>8760</v>
      </c>
      <c r="LC106" s="2086">
        <f t="shared" si="123"/>
        <v>8760</v>
      </c>
      <c r="LD106" s="2086">
        <f t="shared" si="123"/>
        <v>8760</v>
      </c>
      <c r="LE106" s="2086">
        <f t="shared" si="123"/>
        <v>8760</v>
      </c>
      <c r="LF106" s="2086">
        <f t="shared" si="123"/>
        <v>8760</v>
      </c>
      <c r="LG106" s="2086">
        <f t="shared" si="123"/>
        <v>8760</v>
      </c>
      <c r="LH106" s="2086">
        <f t="shared" si="123"/>
        <v>8760</v>
      </c>
      <c r="LI106" s="2086">
        <f t="shared" si="123"/>
        <v>8760</v>
      </c>
      <c r="LJ106" s="2086">
        <f t="shared" si="123"/>
        <v>8760</v>
      </c>
      <c r="LK106" s="2086">
        <f t="shared" si="123"/>
        <v>8760</v>
      </c>
      <c r="LL106" s="2086">
        <f t="shared" si="123"/>
        <v>8760</v>
      </c>
      <c r="LM106" s="2086">
        <f t="shared" si="123"/>
        <v>8760</v>
      </c>
      <c r="LN106" s="2086">
        <f t="shared" si="123"/>
        <v>8760</v>
      </c>
      <c r="LO106" s="2086">
        <f t="shared" ref="LO106:NZ106" si="124">IF(LO104&gt;LO105,LO104,IF(LO105&gt;LO104,LO105))</f>
        <v>8760</v>
      </c>
      <c r="LP106" s="2086">
        <f t="shared" si="124"/>
        <v>8760</v>
      </c>
      <c r="LQ106" s="2086">
        <f t="shared" si="124"/>
        <v>8760</v>
      </c>
      <c r="LR106" s="2086">
        <f t="shared" si="124"/>
        <v>8760</v>
      </c>
      <c r="LS106" s="2086">
        <f t="shared" si="124"/>
        <v>8760</v>
      </c>
      <c r="LT106" s="2086">
        <f t="shared" si="124"/>
        <v>8760</v>
      </c>
      <c r="LU106" s="2086">
        <f t="shared" si="124"/>
        <v>8760</v>
      </c>
      <c r="LV106" s="2086">
        <f t="shared" si="124"/>
        <v>8760</v>
      </c>
      <c r="LW106" s="2086">
        <f t="shared" si="124"/>
        <v>8760</v>
      </c>
      <c r="LX106" s="2086">
        <f t="shared" si="124"/>
        <v>8760</v>
      </c>
      <c r="LY106" s="2086">
        <f t="shared" si="124"/>
        <v>8760</v>
      </c>
      <c r="LZ106" s="2086">
        <f t="shared" si="124"/>
        <v>8760</v>
      </c>
      <c r="MA106" s="2086">
        <f t="shared" si="124"/>
        <v>8760</v>
      </c>
      <c r="MB106" s="2086">
        <f t="shared" si="124"/>
        <v>8760</v>
      </c>
      <c r="MC106" s="2086">
        <f t="shared" si="124"/>
        <v>8760</v>
      </c>
      <c r="MD106" s="2086">
        <f t="shared" si="124"/>
        <v>8760</v>
      </c>
      <c r="ME106" s="2086">
        <f t="shared" si="124"/>
        <v>8760</v>
      </c>
      <c r="MF106" s="2086">
        <f t="shared" si="124"/>
        <v>8760</v>
      </c>
      <c r="MG106" s="2086">
        <f t="shared" si="124"/>
        <v>8760</v>
      </c>
      <c r="MH106" s="2086">
        <f t="shared" si="124"/>
        <v>8760</v>
      </c>
      <c r="MI106" s="2086">
        <f t="shared" si="124"/>
        <v>8760</v>
      </c>
      <c r="MJ106" s="2086">
        <f t="shared" si="124"/>
        <v>8760</v>
      </c>
      <c r="MK106" s="2086">
        <f t="shared" si="124"/>
        <v>8760</v>
      </c>
      <c r="ML106" s="2086">
        <f t="shared" si="124"/>
        <v>8760</v>
      </c>
      <c r="MM106" s="2086">
        <f t="shared" si="124"/>
        <v>8760</v>
      </c>
      <c r="MN106" s="2086">
        <f t="shared" si="124"/>
        <v>8760</v>
      </c>
      <c r="MO106" s="2086">
        <f t="shared" si="124"/>
        <v>8760</v>
      </c>
      <c r="MP106" s="2086">
        <f t="shared" si="124"/>
        <v>8760</v>
      </c>
      <c r="MQ106" s="2086">
        <f t="shared" si="124"/>
        <v>8760</v>
      </c>
      <c r="MR106" s="2086">
        <f t="shared" si="124"/>
        <v>8760</v>
      </c>
      <c r="MS106" s="2086">
        <f t="shared" si="124"/>
        <v>8760</v>
      </c>
      <c r="MT106" s="2086">
        <f t="shared" si="124"/>
        <v>8760</v>
      </c>
      <c r="MU106" s="2086">
        <f t="shared" si="124"/>
        <v>8760</v>
      </c>
      <c r="MV106" s="2086">
        <f t="shared" si="124"/>
        <v>8760</v>
      </c>
      <c r="MW106" s="2086">
        <f t="shared" si="124"/>
        <v>8760</v>
      </c>
      <c r="MX106" s="2086">
        <f t="shared" si="124"/>
        <v>8760</v>
      </c>
      <c r="MY106" s="2086">
        <f t="shared" si="124"/>
        <v>8760</v>
      </c>
      <c r="MZ106" s="2086">
        <f t="shared" si="124"/>
        <v>8760</v>
      </c>
      <c r="NA106" s="2086">
        <f t="shared" si="124"/>
        <v>8760</v>
      </c>
      <c r="NB106" s="2086">
        <f t="shared" si="124"/>
        <v>8760</v>
      </c>
      <c r="NC106" s="2086">
        <f t="shared" si="124"/>
        <v>8760</v>
      </c>
      <c r="ND106" s="2086">
        <f t="shared" si="124"/>
        <v>8760</v>
      </c>
      <c r="NE106" s="2086">
        <f t="shared" si="124"/>
        <v>8760</v>
      </c>
      <c r="NF106" s="2086">
        <f t="shared" si="124"/>
        <v>8760</v>
      </c>
      <c r="NG106" s="2086">
        <f t="shared" si="124"/>
        <v>8760</v>
      </c>
      <c r="NH106" s="2086">
        <f t="shared" si="124"/>
        <v>8760</v>
      </c>
      <c r="NI106" s="2086">
        <f t="shared" si="124"/>
        <v>8760</v>
      </c>
      <c r="NJ106" s="2086">
        <f t="shared" si="124"/>
        <v>8760</v>
      </c>
      <c r="NK106" s="2086">
        <f t="shared" si="124"/>
        <v>8760</v>
      </c>
      <c r="NL106" s="2086">
        <f t="shared" si="124"/>
        <v>8760</v>
      </c>
      <c r="NM106" s="2086">
        <f t="shared" si="124"/>
        <v>8760</v>
      </c>
      <c r="NN106" s="2086">
        <f t="shared" si="124"/>
        <v>8760</v>
      </c>
      <c r="NO106" s="2086">
        <f t="shared" si="124"/>
        <v>8760</v>
      </c>
      <c r="NP106" s="2086">
        <f t="shared" si="124"/>
        <v>8760</v>
      </c>
      <c r="NQ106" s="2086">
        <f t="shared" si="124"/>
        <v>8760</v>
      </c>
      <c r="NR106" s="2086">
        <f t="shared" si="124"/>
        <v>8760</v>
      </c>
      <c r="NS106" s="2086">
        <f t="shared" si="124"/>
        <v>8760</v>
      </c>
      <c r="NT106" s="2086">
        <f t="shared" si="124"/>
        <v>8760</v>
      </c>
      <c r="NU106" s="2086">
        <f t="shared" si="124"/>
        <v>8760</v>
      </c>
      <c r="NV106" s="2086">
        <f t="shared" si="124"/>
        <v>8760</v>
      </c>
      <c r="NW106" s="2086">
        <f t="shared" si="124"/>
        <v>8760</v>
      </c>
      <c r="NX106" s="2086">
        <f t="shared" si="124"/>
        <v>8760</v>
      </c>
      <c r="NY106" s="2086">
        <f t="shared" si="124"/>
        <v>8760</v>
      </c>
      <c r="NZ106" s="2086">
        <f t="shared" si="124"/>
        <v>8760</v>
      </c>
      <c r="OA106" s="2086">
        <f t="shared" ref="OA106:QL106" si="125">IF(OA104&gt;OA105,OA104,IF(OA105&gt;OA104,OA105))</f>
        <v>8760</v>
      </c>
      <c r="OB106" s="2086">
        <f t="shared" si="125"/>
        <v>8760</v>
      </c>
      <c r="OC106" s="2086">
        <f t="shared" si="125"/>
        <v>8760</v>
      </c>
      <c r="OD106" s="2086">
        <f t="shared" si="125"/>
        <v>8760</v>
      </c>
      <c r="OE106" s="2086">
        <f t="shared" si="125"/>
        <v>8760</v>
      </c>
      <c r="OF106" s="2086">
        <f t="shared" si="125"/>
        <v>8760</v>
      </c>
      <c r="OG106" s="2086">
        <f t="shared" si="125"/>
        <v>8760</v>
      </c>
      <c r="OH106" s="2086">
        <f t="shared" si="125"/>
        <v>8760</v>
      </c>
      <c r="OI106" s="2086">
        <f t="shared" si="125"/>
        <v>8760</v>
      </c>
      <c r="OJ106" s="2086">
        <f t="shared" si="125"/>
        <v>8760</v>
      </c>
      <c r="OK106" s="2086">
        <f t="shared" si="125"/>
        <v>8760</v>
      </c>
      <c r="OL106" s="2086">
        <f t="shared" si="125"/>
        <v>8760</v>
      </c>
      <c r="OM106" s="2086">
        <f t="shared" si="125"/>
        <v>8760</v>
      </c>
      <c r="ON106" s="2086">
        <f t="shared" si="125"/>
        <v>8760</v>
      </c>
      <c r="OO106" s="2086">
        <f t="shared" si="125"/>
        <v>8760</v>
      </c>
      <c r="OP106" s="2086">
        <f t="shared" si="125"/>
        <v>8760</v>
      </c>
      <c r="OQ106" s="2086">
        <f t="shared" si="125"/>
        <v>8760</v>
      </c>
      <c r="OR106" s="2086">
        <f t="shared" si="125"/>
        <v>8760</v>
      </c>
      <c r="OS106" s="2086">
        <f t="shared" si="125"/>
        <v>8760</v>
      </c>
      <c r="OT106" s="2086">
        <f t="shared" si="125"/>
        <v>8760</v>
      </c>
      <c r="OU106" s="2086">
        <f t="shared" si="125"/>
        <v>8760</v>
      </c>
      <c r="OV106" s="2086">
        <f t="shared" si="125"/>
        <v>8760</v>
      </c>
      <c r="OW106" s="2086">
        <f t="shared" si="125"/>
        <v>8760</v>
      </c>
      <c r="OX106" s="2086">
        <f t="shared" si="125"/>
        <v>8760</v>
      </c>
      <c r="OY106" s="2086">
        <f t="shared" si="125"/>
        <v>8760</v>
      </c>
      <c r="OZ106" s="2086">
        <f t="shared" si="125"/>
        <v>8760</v>
      </c>
      <c r="PA106" s="2086">
        <f t="shared" si="125"/>
        <v>8760</v>
      </c>
      <c r="PB106" s="2086">
        <f t="shared" si="125"/>
        <v>8760</v>
      </c>
      <c r="PC106" s="2086">
        <f t="shared" si="125"/>
        <v>8760</v>
      </c>
      <c r="PD106" s="2086">
        <f t="shared" si="125"/>
        <v>8760</v>
      </c>
      <c r="PE106" s="2086">
        <f t="shared" si="125"/>
        <v>8760</v>
      </c>
      <c r="PF106" s="2086">
        <f t="shared" si="125"/>
        <v>8760</v>
      </c>
      <c r="PG106" s="2086">
        <f t="shared" si="125"/>
        <v>8760</v>
      </c>
      <c r="PH106" s="2086">
        <f t="shared" si="125"/>
        <v>8760</v>
      </c>
      <c r="PI106" s="2086">
        <f t="shared" si="125"/>
        <v>8760</v>
      </c>
      <c r="PJ106" s="2086">
        <f t="shared" si="125"/>
        <v>8760</v>
      </c>
      <c r="PK106" s="2086">
        <f t="shared" si="125"/>
        <v>8760</v>
      </c>
      <c r="PL106" s="2086">
        <f t="shared" si="125"/>
        <v>8760</v>
      </c>
      <c r="PM106" s="2086">
        <f t="shared" si="125"/>
        <v>8760</v>
      </c>
      <c r="PN106" s="2086">
        <f t="shared" si="125"/>
        <v>8760</v>
      </c>
      <c r="PO106" s="2086">
        <f t="shared" si="125"/>
        <v>8760</v>
      </c>
      <c r="PP106" s="2086">
        <f t="shared" si="125"/>
        <v>8760</v>
      </c>
      <c r="PQ106" s="2086">
        <f t="shared" si="125"/>
        <v>8760</v>
      </c>
      <c r="PR106" s="2086">
        <f t="shared" si="125"/>
        <v>8760</v>
      </c>
      <c r="PS106" s="2086">
        <f t="shared" si="125"/>
        <v>8760</v>
      </c>
      <c r="PT106" s="2086">
        <f t="shared" si="125"/>
        <v>8760</v>
      </c>
      <c r="PU106" s="2086">
        <f t="shared" si="125"/>
        <v>8760</v>
      </c>
      <c r="PV106" s="2086">
        <f t="shared" si="125"/>
        <v>8760</v>
      </c>
      <c r="PW106" s="2086">
        <f t="shared" si="125"/>
        <v>8760</v>
      </c>
      <c r="PX106" s="2086">
        <f t="shared" si="125"/>
        <v>8760</v>
      </c>
      <c r="PY106" s="2086">
        <f t="shared" si="125"/>
        <v>8760</v>
      </c>
      <c r="PZ106" s="2086">
        <f t="shared" si="125"/>
        <v>8760</v>
      </c>
      <c r="QA106" s="2086">
        <f t="shared" si="125"/>
        <v>8760</v>
      </c>
      <c r="QB106" s="2086">
        <f t="shared" si="125"/>
        <v>8760</v>
      </c>
      <c r="QC106" s="2086">
        <f t="shared" si="125"/>
        <v>8760</v>
      </c>
      <c r="QD106" s="2086">
        <f t="shared" si="125"/>
        <v>8760</v>
      </c>
      <c r="QE106" s="2086">
        <f t="shared" si="125"/>
        <v>8760</v>
      </c>
      <c r="QF106" s="2086">
        <f t="shared" si="125"/>
        <v>8760</v>
      </c>
      <c r="QG106" s="2086">
        <f t="shared" si="125"/>
        <v>8760</v>
      </c>
      <c r="QH106" s="2086">
        <f t="shared" si="125"/>
        <v>8760</v>
      </c>
      <c r="QI106" s="2086">
        <f t="shared" si="125"/>
        <v>8760</v>
      </c>
      <c r="QJ106" s="2086">
        <f t="shared" si="125"/>
        <v>8760</v>
      </c>
      <c r="QK106" s="2086">
        <f t="shared" si="125"/>
        <v>8760</v>
      </c>
      <c r="QL106" s="2086">
        <f t="shared" si="125"/>
        <v>8760</v>
      </c>
      <c r="QM106" s="2086">
        <f t="shared" ref="QM106:SX106" si="126">IF(QM104&gt;QM105,QM104,IF(QM105&gt;QM104,QM105))</f>
        <v>8760</v>
      </c>
      <c r="QN106" s="2086">
        <f t="shared" si="126"/>
        <v>8760</v>
      </c>
      <c r="QO106" s="2086">
        <f t="shared" si="126"/>
        <v>8760</v>
      </c>
      <c r="QP106" s="2086">
        <f t="shared" si="126"/>
        <v>8760</v>
      </c>
      <c r="QQ106" s="2086">
        <f t="shared" si="126"/>
        <v>8760</v>
      </c>
      <c r="QR106" s="2086">
        <f t="shared" si="126"/>
        <v>8760</v>
      </c>
      <c r="QS106" s="2086">
        <f t="shared" si="126"/>
        <v>8760</v>
      </c>
      <c r="QT106" s="2086">
        <f t="shared" si="126"/>
        <v>8760</v>
      </c>
      <c r="QU106" s="2086">
        <f t="shared" si="126"/>
        <v>8760</v>
      </c>
      <c r="QV106" s="2086">
        <f t="shared" si="126"/>
        <v>8760</v>
      </c>
      <c r="QW106" s="2086">
        <f t="shared" si="126"/>
        <v>8760</v>
      </c>
      <c r="QX106" s="2086">
        <f t="shared" si="126"/>
        <v>8760</v>
      </c>
      <c r="QY106" s="2086">
        <f t="shared" si="126"/>
        <v>8760</v>
      </c>
      <c r="QZ106" s="2086">
        <f t="shared" si="126"/>
        <v>8760</v>
      </c>
      <c r="RA106" s="2086">
        <f t="shared" si="126"/>
        <v>8760</v>
      </c>
      <c r="RB106" s="2086">
        <f t="shared" si="126"/>
        <v>8760</v>
      </c>
      <c r="RC106" s="2086">
        <f t="shared" si="126"/>
        <v>8760</v>
      </c>
      <c r="RD106" s="2086">
        <f t="shared" si="126"/>
        <v>8760</v>
      </c>
      <c r="RE106" s="2086">
        <f t="shared" si="126"/>
        <v>8760</v>
      </c>
      <c r="RF106" s="2086">
        <f t="shared" si="126"/>
        <v>8760</v>
      </c>
      <c r="RG106" s="2086">
        <f t="shared" si="126"/>
        <v>8760</v>
      </c>
      <c r="RH106" s="2086">
        <f t="shared" si="126"/>
        <v>8760</v>
      </c>
      <c r="RI106" s="2086">
        <f t="shared" si="126"/>
        <v>8760</v>
      </c>
      <c r="RJ106" s="2086">
        <f t="shared" si="126"/>
        <v>8760</v>
      </c>
      <c r="RK106" s="2086">
        <f t="shared" si="126"/>
        <v>8760</v>
      </c>
      <c r="RL106" s="2086">
        <f t="shared" si="126"/>
        <v>8760</v>
      </c>
      <c r="RM106" s="2086">
        <f t="shared" si="126"/>
        <v>8760</v>
      </c>
      <c r="RN106" s="2086">
        <f t="shared" si="126"/>
        <v>8760</v>
      </c>
      <c r="RO106" s="2086">
        <f t="shared" si="126"/>
        <v>8760</v>
      </c>
      <c r="RP106" s="2086">
        <f t="shared" si="126"/>
        <v>8760</v>
      </c>
      <c r="RQ106" s="2086">
        <f t="shared" si="126"/>
        <v>8760</v>
      </c>
      <c r="RR106" s="2086">
        <f t="shared" si="126"/>
        <v>8760</v>
      </c>
      <c r="RS106" s="2086">
        <f t="shared" si="126"/>
        <v>8760</v>
      </c>
      <c r="RT106" s="2086">
        <f t="shared" si="126"/>
        <v>8760</v>
      </c>
      <c r="RU106" s="2086">
        <f t="shared" si="126"/>
        <v>8760</v>
      </c>
      <c r="RV106" s="2086">
        <f t="shared" si="126"/>
        <v>8760</v>
      </c>
      <c r="RW106" s="2086">
        <f t="shared" si="126"/>
        <v>8760</v>
      </c>
      <c r="RX106" s="2086">
        <f t="shared" si="126"/>
        <v>8760</v>
      </c>
      <c r="RY106" s="2086">
        <f t="shared" si="126"/>
        <v>8760</v>
      </c>
      <c r="RZ106" s="2086">
        <f t="shared" si="126"/>
        <v>8760</v>
      </c>
      <c r="SA106" s="2086">
        <f t="shared" si="126"/>
        <v>8760</v>
      </c>
      <c r="SB106" s="2086">
        <f t="shared" si="126"/>
        <v>8760</v>
      </c>
      <c r="SC106" s="2086">
        <f t="shared" si="126"/>
        <v>8760</v>
      </c>
      <c r="SD106" s="2086">
        <f t="shared" si="126"/>
        <v>8760</v>
      </c>
      <c r="SE106" s="2086">
        <f t="shared" si="126"/>
        <v>8760</v>
      </c>
      <c r="SF106" s="2086">
        <f t="shared" si="126"/>
        <v>8760</v>
      </c>
      <c r="SG106" s="2086">
        <f t="shared" si="126"/>
        <v>8760</v>
      </c>
      <c r="SH106" s="2086">
        <f t="shared" si="126"/>
        <v>8760</v>
      </c>
      <c r="SI106" s="2086">
        <f t="shared" si="126"/>
        <v>8760</v>
      </c>
      <c r="SJ106" s="2086">
        <f t="shared" si="126"/>
        <v>8760</v>
      </c>
      <c r="SK106" s="2086">
        <f t="shared" si="126"/>
        <v>8760</v>
      </c>
      <c r="SL106" s="2086">
        <f t="shared" si="126"/>
        <v>8760</v>
      </c>
      <c r="SM106" s="2086">
        <f t="shared" si="126"/>
        <v>8760</v>
      </c>
      <c r="SN106" s="2086">
        <f t="shared" si="126"/>
        <v>8760</v>
      </c>
      <c r="SO106" s="2086">
        <f t="shared" si="126"/>
        <v>8760</v>
      </c>
      <c r="SP106" s="2086">
        <f t="shared" si="126"/>
        <v>8760</v>
      </c>
      <c r="SQ106" s="2086">
        <f t="shared" si="126"/>
        <v>8760</v>
      </c>
      <c r="SR106" s="2086">
        <f t="shared" si="126"/>
        <v>8760</v>
      </c>
      <c r="SS106" s="2086">
        <f t="shared" si="126"/>
        <v>8760</v>
      </c>
      <c r="ST106" s="2086">
        <f t="shared" si="126"/>
        <v>8760</v>
      </c>
      <c r="SU106" s="2086">
        <f t="shared" si="126"/>
        <v>8760</v>
      </c>
      <c r="SV106" s="2086">
        <f t="shared" si="126"/>
        <v>8760</v>
      </c>
      <c r="SW106" s="2086">
        <f t="shared" si="126"/>
        <v>8760</v>
      </c>
      <c r="SX106" s="2086">
        <f t="shared" si="126"/>
        <v>8760</v>
      </c>
      <c r="SY106" s="2086">
        <f t="shared" ref="SY106:VJ106" si="127">IF(SY104&gt;SY105,SY104,IF(SY105&gt;SY104,SY105))</f>
        <v>8760</v>
      </c>
      <c r="SZ106" s="2086">
        <f t="shared" si="127"/>
        <v>8760</v>
      </c>
      <c r="TA106" s="2086">
        <f t="shared" si="127"/>
        <v>8760</v>
      </c>
      <c r="TB106" s="2086">
        <f t="shared" si="127"/>
        <v>8760</v>
      </c>
      <c r="TC106" s="2086">
        <f t="shared" si="127"/>
        <v>8760</v>
      </c>
      <c r="TD106" s="2086">
        <f t="shared" si="127"/>
        <v>8760</v>
      </c>
      <c r="TE106" s="2086">
        <f t="shared" si="127"/>
        <v>8760</v>
      </c>
      <c r="TF106" s="2086">
        <f t="shared" si="127"/>
        <v>8760</v>
      </c>
      <c r="TG106" s="2086">
        <f t="shared" si="127"/>
        <v>8760</v>
      </c>
      <c r="TH106" s="2086">
        <f t="shared" si="127"/>
        <v>8760</v>
      </c>
      <c r="TI106" s="2086">
        <f t="shared" si="127"/>
        <v>8760</v>
      </c>
      <c r="TJ106" s="2086">
        <f t="shared" si="127"/>
        <v>8760</v>
      </c>
      <c r="TK106" s="2086">
        <f t="shared" si="127"/>
        <v>8760</v>
      </c>
      <c r="TL106" s="2086">
        <f t="shared" si="127"/>
        <v>8760</v>
      </c>
      <c r="TM106" s="2086">
        <f t="shared" si="127"/>
        <v>8760</v>
      </c>
      <c r="TN106" s="2086">
        <f t="shared" si="127"/>
        <v>8760</v>
      </c>
      <c r="TO106" s="2086">
        <f t="shared" si="127"/>
        <v>8760</v>
      </c>
      <c r="TP106" s="2086">
        <f t="shared" si="127"/>
        <v>8760</v>
      </c>
      <c r="TQ106" s="2086">
        <f t="shared" si="127"/>
        <v>8760</v>
      </c>
      <c r="TR106" s="2086">
        <f t="shared" si="127"/>
        <v>8760</v>
      </c>
      <c r="TS106" s="2086">
        <f t="shared" si="127"/>
        <v>8760</v>
      </c>
      <c r="TT106" s="2086">
        <f t="shared" si="127"/>
        <v>8760</v>
      </c>
      <c r="TU106" s="2086">
        <f t="shared" si="127"/>
        <v>8760</v>
      </c>
      <c r="TV106" s="2086">
        <f t="shared" si="127"/>
        <v>8760</v>
      </c>
      <c r="TW106" s="2086">
        <f t="shared" si="127"/>
        <v>8760</v>
      </c>
      <c r="TX106" s="2086">
        <f t="shared" si="127"/>
        <v>8760</v>
      </c>
      <c r="TY106" s="2086">
        <f t="shared" si="127"/>
        <v>8760</v>
      </c>
      <c r="TZ106" s="2086">
        <f t="shared" si="127"/>
        <v>8760</v>
      </c>
      <c r="UA106" s="2086">
        <f t="shared" si="127"/>
        <v>8760</v>
      </c>
      <c r="UB106" s="2086">
        <f t="shared" si="127"/>
        <v>8760</v>
      </c>
      <c r="UC106" s="2086">
        <f t="shared" si="127"/>
        <v>8760</v>
      </c>
      <c r="UD106" s="2086">
        <f t="shared" si="127"/>
        <v>8760</v>
      </c>
      <c r="UE106" s="2086">
        <f t="shared" si="127"/>
        <v>8760</v>
      </c>
      <c r="UF106" s="2086">
        <f t="shared" si="127"/>
        <v>8760</v>
      </c>
      <c r="UG106" s="2086">
        <f t="shared" si="127"/>
        <v>8760</v>
      </c>
      <c r="UH106" s="2086">
        <f t="shared" si="127"/>
        <v>8760</v>
      </c>
      <c r="UI106" s="2086">
        <f t="shared" si="127"/>
        <v>8760</v>
      </c>
      <c r="UJ106" s="2086">
        <f t="shared" si="127"/>
        <v>8760</v>
      </c>
      <c r="UK106" s="2086">
        <f t="shared" si="127"/>
        <v>8760</v>
      </c>
      <c r="UL106" s="2086">
        <f t="shared" si="127"/>
        <v>8760</v>
      </c>
      <c r="UM106" s="2086">
        <f t="shared" si="127"/>
        <v>8760</v>
      </c>
      <c r="UN106" s="2086">
        <f t="shared" si="127"/>
        <v>8760</v>
      </c>
      <c r="UO106" s="2086">
        <f t="shared" si="127"/>
        <v>8760</v>
      </c>
      <c r="UP106" s="2086">
        <f t="shared" si="127"/>
        <v>8760</v>
      </c>
      <c r="UQ106" s="2086">
        <f t="shared" si="127"/>
        <v>8760</v>
      </c>
      <c r="UR106" s="2086">
        <f t="shared" si="127"/>
        <v>8760</v>
      </c>
      <c r="US106" s="2086">
        <f t="shared" si="127"/>
        <v>8760</v>
      </c>
      <c r="UT106" s="2086">
        <f t="shared" si="127"/>
        <v>8760</v>
      </c>
      <c r="UU106" s="2086">
        <f t="shared" si="127"/>
        <v>8760</v>
      </c>
      <c r="UV106" s="2086">
        <f t="shared" si="127"/>
        <v>8760</v>
      </c>
      <c r="UW106" s="2086">
        <f t="shared" si="127"/>
        <v>8760</v>
      </c>
      <c r="UX106" s="2086">
        <f t="shared" si="127"/>
        <v>8760</v>
      </c>
      <c r="UY106" s="2086">
        <f t="shared" si="127"/>
        <v>8760</v>
      </c>
      <c r="UZ106" s="2086">
        <f t="shared" si="127"/>
        <v>8760</v>
      </c>
      <c r="VA106" s="2086">
        <f t="shared" si="127"/>
        <v>8760</v>
      </c>
      <c r="VB106" s="2086">
        <f t="shared" si="127"/>
        <v>8760</v>
      </c>
      <c r="VC106" s="2086">
        <f t="shared" si="127"/>
        <v>8760</v>
      </c>
      <c r="VD106" s="2086">
        <f t="shared" si="127"/>
        <v>8760</v>
      </c>
      <c r="VE106" s="2086">
        <f t="shared" si="127"/>
        <v>8760</v>
      </c>
      <c r="VF106" s="2086">
        <f t="shared" si="127"/>
        <v>8760</v>
      </c>
      <c r="VG106" s="2086">
        <f t="shared" si="127"/>
        <v>8760</v>
      </c>
      <c r="VH106" s="2086">
        <f t="shared" si="127"/>
        <v>8760</v>
      </c>
      <c r="VI106" s="2086">
        <f t="shared" si="127"/>
        <v>8760</v>
      </c>
      <c r="VJ106" s="2086">
        <f t="shared" si="127"/>
        <v>8760</v>
      </c>
      <c r="VK106" s="2087">
        <f>IF(VK104&gt;VK105,VK104,IF(VK105&gt;VK104,VK105))</f>
        <v>8760</v>
      </c>
    </row>
    <row r="107" spans="1:583" s="1584" customFormat="1" x14ac:dyDescent="0.25">
      <c r="A107" s="2075" t="s">
        <v>3831</v>
      </c>
      <c r="B107" s="4709" t="s">
        <v>2936</v>
      </c>
      <c r="C107" s="4709"/>
      <c r="D107" s="4709" t="s">
        <v>2936</v>
      </c>
      <c r="E107" s="4709"/>
      <c r="F107" s="2078"/>
      <c r="G107" s="2078"/>
      <c r="H107" s="2078"/>
      <c r="I107" s="1574"/>
      <c r="J107" s="1574"/>
      <c r="K107" s="1574"/>
      <c r="L107" s="1574"/>
      <c r="M107" s="1574"/>
      <c r="N107" s="1574"/>
      <c r="O107" s="1574"/>
      <c r="P107" s="1574"/>
      <c r="Q107" s="1574"/>
      <c r="R107" s="1574"/>
      <c r="S107" s="1574"/>
      <c r="T107" s="1574"/>
      <c r="U107" s="1574"/>
      <c r="V107" s="1574"/>
      <c r="W107" s="1574"/>
      <c r="X107" s="1574"/>
      <c r="Y107" s="1574"/>
      <c r="Z107" s="1574"/>
      <c r="AA107" s="1574"/>
      <c r="AB107" s="1574"/>
      <c r="AC107" s="1574"/>
      <c r="AD107" s="1574"/>
      <c r="AE107" s="1574"/>
      <c r="AF107" s="1574"/>
      <c r="AG107" s="1574"/>
      <c r="AH107" s="1574"/>
      <c r="AI107" s="1574"/>
      <c r="AJ107" s="1574"/>
      <c r="AK107" s="1574"/>
      <c r="AL107" s="1574"/>
      <c r="AM107" s="1574"/>
      <c r="AN107" s="1574"/>
      <c r="AO107" s="1574"/>
      <c r="AP107" s="1574"/>
      <c r="AQ107" s="1574"/>
      <c r="AR107" s="1574"/>
      <c r="AS107" s="1574"/>
      <c r="AT107" s="1574"/>
      <c r="AU107" s="1574"/>
      <c r="AV107" s="1574"/>
      <c r="AW107" s="1574"/>
      <c r="AX107" s="1574"/>
      <c r="AY107" s="1574"/>
      <c r="AZ107" s="1574"/>
      <c r="BA107" s="1574"/>
      <c r="BB107" s="1574"/>
      <c r="BC107" s="1574"/>
      <c r="BD107" s="1574"/>
      <c r="BE107" s="1574"/>
      <c r="BF107" s="1574"/>
      <c r="BG107" s="1574"/>
      <c r="BH107" s="1574"/>
      <c r="BI107" s="1574"/>
      <c r="BJ107" s="1574"/>
      <c r="BK107" s="1574"/>
      <c r="BL107" s="1574"/>
      <c r="BM107" s="1574"/>
      <c r="BN107" s="1574"/>
      <c r="BO107" s="1574"/>
      <c r="BP107" s="1574"/>
      <c r="BQ107" s="1574"/>
      <c r="BR107" s="1574"/>
      <c r="BS107" s="1574"/>
      <c r="BT107" s="1574"/>
      <c r="BU107" s="1574"/>
      <c r="BV107" s="1574"/>
      <c r="BW107" s="1574"/>
      <c r="BX107" s="1574"/>
      <c r="BY107" s="1574"/>
      <c r="BZ107" s="1574"/>
      <c r="CA107" s="1574"/>
      <c r="CB107" s="1574"/>
      <c r="CC107" s="1574"/>
      <c r="CD107" s="1574"/>
      <c r="CE107" s="1574"/>
      <c r="CF107" s="1574"/>
      <c r="CG107" s="1574"/>
      <c r="CH107" s="1574"/>
      <c r="CI107" s="1574"/>
      <c r="CJ107" s="1574"/>
      <c r="CK107" s="1574"/>
      <c r="CL107" s="1574"/>
      <c r="CM107" s="1574"/>
      <c r="CN107" s="1574"/>
      <c r="CO107" s="1574"/>
      <c r="CP107" s="1574"/>
      <c r="CQ107" s="1574"/>
      <c r="CR107" s="1574"/>
      <c r="CS107" s="1574"/>
      <c r="CT107" s="1574"/>
      <c r="CU107" s="1574"/>
      <c r="CV107" s="1574"/>
      <c r="CW107" s="1574"/>
      <c r="CX107" s="1574"/>
      <c r="CY107" s="1574"/>
      <c r="CZ107" s="1574"/>
      <c r="DA107" s="1574"/>
      <c r="DB107" s="1574"/>
      <c r="DC107" s="1574"/>
      <c r="DD107" s="1574"/>
      <c r="DE107" s="1574"/>
      <c r="DF107" s="1574"/>
      <c r="DG107" s="1574"/>
      <c r="DH107" s="1574"/>
      <c r="DI107" s="1574"/>
      <c r="DJ107" s="1574"/>
      <c r="DK107" s="1574"/>
      <c r="DL107" s="1574"/>
      <c r="DM107" s="1574"/>
      <c r="DN107" s="1574"/>
      <c r="DO107" s="1574"/>
      <c r="DP107" s="1574"/>
      <c r="DQ107" s="1574"/>
      <c r="DR107" s="1574"/>
      <c r="DS107" s="1574"/>
      <c r="DT107" s="1574"/>
      <c r="DU107" s="1574"/>
      <c r="DV107" s="1574"/>
      <c r="DW107" s="1574"/>
      <c r="DX107" s="1574"/>
      <c r="DY107" s="1574"/>
      <c r="DZ107" s="1574"/>
      <c r="EA107" s="1574"/>
      <c r="EB107" s="1574"/>
      <c r="EC107" s="1574"/>
      <c r="ED107" s="1574"/>
      <c r="EE107" s="1574"/>
      <c r="EF107" s="1574"/>
      <c r="EG107" s="1574"/>
      <c r="EH107" s="1574"/>
      <c r="EI107" s="1574"/>
      <c r="EJ107" s="1574"/>
      <c r="EK107" s="1574"/>
      <c r="EL107" s="1574"/>
      <c r="EM107" s="1574"/>
      <c r="EN107" s="1574"/>
      <c r="EO107" s="1574"/>
      <c r="EP107" s="1574"/>
      <c r="EQ107" s="1574"/>
      <c r="ER107" s="1574"/>
      <c r="ES107" s="1574"/>
      <c r="ET107" s="1574"/>
      <c r="EU107" s="1574"/>
      <c r="EV107" s="1574"/>
      <c r="EW107" s="1574"/>
      <c r="EX107" s="1574"/>
      <c r="EY107" s="1574"/>
      <c r="EZ107" s="1574"/>
      <c r="FA107" s="1574"/>
      <c r="FB107" s="1574"/>
      <c r="FC107" s="1574"/>
      <c r="FD107" s="1574"/>
      <c r="FE107" s="1574"/>
      <c r="FF107" s="1574"/>
      <c r="FG107" s="1574"/>
      <c r="FH107" s="1574"/>
      <c r="FI107" s="1574"/>
      <c r="FJ107" s="1574"/>
      <c r="FK107" s="1574"/>
      <c r="FL107" s="1574"/>
      <c r="FM107" s="1574"/>
      <c r="FN107" s="1574"/>
      <c r="FO107" s="1574"/>
      <c r="FP107" s="1574"/>
      <c r="FQ107" s="1574"/>
      <c r="FR107" s="1574"/>
      <c r="FS107" s="1574"/>
      <c r="FT107" s="1574"/>
      <c r="FU107" s="1574"/>
      <c r="FV107" s="1574"/>
      <c r="FW107" s="1574"/>
      <c r="FX107" s="1574"/>
      <c r="FY107" s="1574"/>
      <c r="FZ107" s="1574"/>
      <c r="GA107" s="1574"/>
      <c r="GB107" s="1574"/>
      <c r="GC107" s="1574"/>
      <c r="GD107" s="1574"/>
      <c r="GE107" s="1574"/>
      <c r="GF107" s="1574"/>
      <c r="GG107" s="1574"/>
      <c r="GH107" s="1574"/>
      <c r="GI107" s="1574"/>
      <c r="GJ107" s="1574"/>
      <c r="GK107" s="1574"/>
      <c r="GL107" s="1574"/>
      <c r="GM107" s="1574"/>
      <c r="GN107" s="1574"/>
      <c r="GO107" s="1574"/>
      <c r="GP107" s="1574"/>
      <c r="GQ107" s="1574"/>
      <c r="GR107" s="1574"/>
      <c r="GS107" s="1574"/>
      <c r="GT107" s="1574"/>
      <c r="GU107" s="1574"/>
      <c r="GV107" s="1574"/>
      <c r="GW107" s="1574"/>
      <c r="GX107" s="1574"/>
      <c r="GY107" s="1574"/>
      <c r="GZ107" s="1574"/>
      <c r="HA107" s="1574"/>
      <c r="HB107" s="1574"/>
      <c r="HC107" s="1574"/>
      <c r="HD107" s="1574"/>
      <c r="HE107" s="1574"/>
      <c r="HF107" s="1574"/>
      <c r="HG107" s="1574"/>
      <c r="HH107" s="1574"/>
      <c r="HI107" s="1574"/>
      <c r="HJ107" s="1574"/>
      <c r="HK107" s="1574"/>
      <c r="HL107" s="1574"/>
      <c r="HM107" s="1574"/>
      <c r="HN107" s="1574"/>
      <c r="HO107" s="1574"/>
      <c r="HP107" s="1574"/>
      <c r="HQ107" s="1574"/>
      <c r="HR107" s="1574"/>
      <c r="HS107" s="1574"/>
      <c r="HT107" s="1574"/>
      <c r="HU107" s="1574"/>
      <c r="HV107" s="1574"/>
      <c r="HW107" s="1574"/>
      <c r="HX107" s="1574"/>
      <c r="HY107" s="1574"/>
      <c r="HZ107" s="1574"/>
      <c r="IA107" s="1574"/>
      <c r="IB107" s="1574"/>
      <c r="IC107" s="1574"/>
      <c r="ID107" s="1574"/>
      <c r="IE107" s="1574"/>
      <c r="IF107" s="1574"/>
      <c r="IG107" s="1574"/>
      <c r="IH107" s="1574"/>
      <c r="II107" s="1574"/>
      <c r="IJ107" s="1574"/>
      <c r="IK107" s="1574"/>
      <c r="IL107" s="1574"/>
      <c r="IM107" s="1574"/>
      <c r="IN107" s="1574"/>
      <c r="IO107" s="1574"/>
      <c r="IP107" s="1574"/>
      <c r="IQ107" s="1574"/>
      <c r="IR107" s="1574"/>
      <c r="IS107" s="1574"/>
      <c r="IT107" s="1574"/>
      <c r="IU107" s="1574"/>
      <c r="IV107" s="1574"/>
      <c r="IW107" s="1574"/>
      <c r="IX107" s="1574"/>
      <c r="IY107" s="1574"/>
      <c r="IZ107" s="1574"/>
      <c r="JA107" s="1574"/>
      <c r="JB107" s="1574"/>
      <c r="JC107" s="1574"/>
      <c r="JD107" s="1574"/>
      <c r="JE107" s="1574"/>
      <c r="JF107" s="1574"/>
      <c r="JG107" s="1574"/>
      <c r="JH107" s="1574"/>
      <c r="JI107" s="1574"/>
      <c r="JJ107" s="1574"/>
      <c r="JK107" s="1574"/>
      <c r="JL107" s="1574"/>
      <c r="JM107" s="1574"/>
      <c r="JN107" s="1574"/>
      <c r="JO107" s="1574"/>
      <c r="JP107" s="1574"/>
      <c r="JQ107" s="1574"/>
      <c r="JR107" s="1574"/>
      <c r="JS107" s="1574"/>
      <c r="JT107" s="1574"/>
      <c r="JU107" s="1574"/>
      <c r="JV107" s="1574"/>
      <c r="JW107" s="1574"/>
      <c r="JX107" s="1574"/>
      <c r="JY107" s="1574"/>
      <c r="JZ107" s="1574"/>
      <c r="KA107" s="1574"/>
      <c r="KB107" s="1574"/>
      <c r="KC107" s="1574"/>
      <c r="KD107" s="1574"/>
      <c r="KE107" s="1574"/>
      <c r="KF107" s="1574"/>
      <c r="KG107" s="1574"/>
      <c r="KH107" s="1574"/>
      <c r="KI107" s="1574"/>
      <c r="KJ107" s="1574"/>
      <c r="KK107" s="1574"/>
      <c r="KL107" s="1574"/>
      <c r="KM107" s="1574"/>
      <c r="KN107" s="1574"/>
      <c r="KO107" s="1574"/>
      <c r="KP107" s="1574"/>
      <c r="KQ107" s="1574"/>
      <c r="KR107" s="1574"/>
      <c r="KS107" s="1574"/>
      <c r="KT107" s="1574"/>
      <c r="KU107" s="1574"/>
      <c r="KV107" s="1574"/>
      <c r="KW107" s="1574"/>
      <c r="KX107" s="1574"/>
      <c r="KY107" s="1574"/>
      <c r="KZ107" s="1574"/>
      <c r="LA107" s="1574"/>
      <c r="LB107" s="1574"/>
      <c r="LC107" s="1574"/>
      <c r="LD107" s="1574"/>
      <c r="LE107" s="1574"/>
      <c r="LF107" s="1574"/>
      <c r="LG107" s="1574"/>
      <c r="LH107" s="1574"/>
      <c r="LI107" s="1574"/>
      <c r="LJ107" s="1574"/>
      <c r="LK107" s="1574"/>
      <c r="LL107" s="1574"/>
      <c r="LM107" s="1574"/>
      <c r="LN107" s="1574"/>
      <c r="LO107" s="1574"/>
      <c r="LP107" s="1574"/>
      <c r="LQ107" s="1574"/>
      <c r="LR107" s="1574"/>
      <c r="LS107" s="1574"/>
      <c r="LT107" s="1574"/>
      <c r="LU107" s="1574"/>
      <c r="LV107" s="1574"/>
      <c r="LW107" s="1574"/>
      <c r="LX107" s="1574"/>
      <c r="LY107" s="1574"/>
      <c r="LZ107" s="1574"/>
      <c r="MA107" s="1574"/>
      <c r="MB107" s="1574"/>
      <c r="MC107" s="1574"/>
      <c r="MD107" s="1574"/>
      <c r="ME107" s="1574"/>
      <c r="MF107" s="1574"/>
      <c r="MG107" s="1574"/>
      <c r="MH107" s="1574"/>
      <c r="MI107" s="1574"/>
      <c r="MJ107" s="1574"/>
      <c r="MK107" s="1574"/>
      <c r="ML107" s="1574"/>
      <c r="MM107" s="1574"/>
      <c r="MN107" s="1574"/>
      <c r="MO107" s="1574"/>
      <c r="MP107" s="1574"/>
      <c r="MQ107" s="1574"/>
      <c r="MR107" s="1574"/>
      <c r="MS107" s="1574"/>
      <c r="MT107" s="1574"/>
      <c r="MU107" s="1574"/>
      <c r="MV107" s="1574"/>
      <c r="MW107" s="1574"/>
      <c r="MX107" s="1574"/>
      <c r="MY107" s="1574"/>
      <c r="MZ107" s="1574"/>
      <c r="NA107" s="1574"/>
      <c r="NB107" s="1574"/>
      <c r="NC107" s="1574"/>
      <c r="ND107" s="1574"/>
      <c r="NE107" s="1574"/>
      <c r="NF107" s="1574"/>
      <c r="NG107" s="1574"/>
      <c r="NH107" s="1574"/>
      <c r="NI107" s="1574"/>
      <c r="NJ107" s="1574"/>
      <c r="NK107" s="1574"/>
      <c r="NL107" s="1574"/>
      <c r="NM107" s="1574"/>
      <c r="NN107" s="1574"/>
      <c r="NO107" s="1574"/>
      <c r="NP107" s="1574"/>
      <c r="NQ107" s="1574"/>
      <c r="NR107" s="1574"/>
      <c r="NS107" s="1574"/>
      <c r="NT107" s="1574"/>
      <c r="NU107" s="1574"/>
      <c r="NV107" s="1574"/>
      <c r="NW107" s="1574"/>
      <c r="NX107" s="1574"/>
      <c r="NY107" s="1574"/>
      <c r="NZ107" s="1574"/>
      <c r="OA107" s="1574"/>
      <c r="OB107" s="1574"/>
      <c r="OC107" s="1574"/>
      <c r="OD107" s="1574"/>
      <c r="OE107" s="1574"/>
      <c r="OF107" s="1574"/>
      <c r="OG107" s="1574"/>
      <c r="OH107" s="1574"/>
      <c r="OI107" s="1574"/>
      <c r="OJ107" s="1574"/>
      <c r="OK107" s="1574"/>
      <c r="OL107" s="1574"/>
      <c r="OM107" s="1574"/>
      <c r="ON107" s="1574"/>
      <c r="OO107" s="1574"/>
      <c r="OP107" s="1574"/>
      <c r="OQ107" s="1574"/>
      <c r="OR107" s="1574"/>
      <c r="OS107" s="1574"/>
      <c r="OT107" s="1574"/>
      <c r="OU107" s="1574"/>
      <c r="OV107" s="1574"/>
      <c r="OW107" s="1574"/>
      <c r="OX107" s="1574"/>
      <c r="OY107" s="1574"/>
      <c r="OZ107" s="1574"/>
      <c r="PA107" s="1574"/>
      <c r="PB107" s="1574"/>
      <c r="PC107" s="1574"/>
      <c r="PD107" s="1574"/>
      <c r="PE107" s="1574"/>
      <c r="PF107" s="1574"/>
      <c r="PG107" s="1574"/>
      <c r="PH107" s="1574"/>
      <c r="PI107" s="1574"/>
      <c r="PJ107" s="1574"/>
      <c r="PK107" s="1574"/>
      <c r="PL107" s="1574"/>
      <c r="PM107" s="1574"/>
      <c r="PN107" s="1574"/>
      <c r="PO107" s="1574"/>
      <c r="PP107" s="1574"/>
      <c r="PQ107" s="1574"/>
      <c r="PR107" s="1574"/>
      <c r="PS107" s="1574"/>
      <c r="PT107" s="1574"/>
      <c r="PU107" s="1574"/>
      <c r="PV107" s="1574"/>
      <c r="PW107" s="1574"/>
      <c r="PX107" s="1574"/>
      <c r="PY107" s="1574"/>
      <c r="PZ107" s="1574"/>
      <c r="QA107" s="1574"/>
      <c r="QB107" s="1574"/>
      <c r="QC107" s="1574"/>
      <c r="QD107" s="1574"/>
      <c r="QE107" s="1574"/>
      <c r="QF107" s="1574"/>
      <c r="QG107" s="1574"/>
      <c r="QH107" s="1574"/>
      <c r="QI107" s="1574"/>
      <c r="QJ107" s="1574"/>
      <c r="QK107" s="1574"/>
      <c r="QL107" s="1574"/>
      <c r="QM107" s="1574"/>
      <c r="QN107" s="1574"/>
      <c r="QO107" s="1574"/>
      <c r="QP107" s="1574"/>
      <c r="QQ107" s="1574"/>
      <c r="QR107" s="1574"/>
      <c r="QS107" s="1574"/>
      <c r="QT107" s="1574"/>
      <c r="QU107" s="1574"/>
      <c r="QV107" s="1574"/>
      <c r="QW107" s="1574"/>
      <c r="QX107" s="1574"/>
      <c r="QY107" s="1574"/>
      <c r="QZ107" s="1574"/>
      <c r="RA107" s="1574"/>
      <c r="RB107" s="1574"/>
      <c r="RC107" s="1574"/>
      <c r="RD107" s="1574"/>
      <c r="RE107" s="1574"/>
      <c r="RF107" s="1574"/>
      <c r="RG107" s="1574"/>
      <c r="RH107" s="1574"/>
      <c r="RI107" s="1574"/>
      <c r="RJ107" s="1574"/>
      <c r="RK107" s="1574"/>
      <c r="RL107" s="1574"/>
      <c r="RM107" s="1574"/>
      <c r="RN107" s="1574"/>
      <c r="RO107" s="1574"/>
      <c r="RP107" s="1574"/>
      <c r="RQ107" s="1574"/>
      <c r="RR107" s="1574"/>
      <c r="RS107" s="1574"/>
      <c r="RT107" s="1574"/>
      <c r="RU107" s="1574"/>
      <c r="RV107" s="1574"/>
      <c r="RW107" s="1574"/>
      <c r="RX107" s="1574"/>
      <c r="RY107" s="1574"/>
      <c r="RZ107" s="1574"/>
      <c r="SA107" s="1574"/>
      <c r="SB107" s="1574"/>
      <c r="SC107" s="1574"/>
      <c r="SD107" s="1574"/>
      <c r="SE107" s="1574"/>
      <c r="SF107" s="1574"/>
      <c r="SG107" s="1574"/>
      <c r="SH107" s="1574"/>
      <c r="SI107" s="1574"/>
      <c r="SJ107" s="1574"/>
      <c r="SK107" s="1574"/>
      <c r="SL107" s="1574"/>
      <c r="SM107" s="1574"/>
      <c r="SN107" s="1574"/>
      <c r="SO107" s="1574"/>
      <c r="SP107" s="1574"/>
      <c r="SQ107" s="1574"/>
      <c r="SR107" s="1574"/>
      <c r="SS107" s="1574"/>
      <c r="ST107" s="1574"/>
      <c r="SU107" s="1574"/>
      <c r="SV107" s="1574"/>
      <c r="SW107" s="1574"/>
      <c r="SX107" s="1574"/>
      <c r="SY107" s="1574"/>
      <c r="SZ107" s="1574"/>
      <c r="TA107" s="1574"/>
      <c r="TB107" s="1574"/>
      <c r="TC107" s="1574"/>
      <c r="TD107" s="1574"/>
      <c r="TE107" s="1574"/>
      <c r="TF107" s="1574"/>
      <c r="TG107" s="1574"/>
      <c r="TH107" s="1574"/>
      <c r="TI107" s="1574"/>
      <c r="TJ107" s="1574"/>
      <c r="TK107" s="1574"/>
      <c r="TL107" s="1574"/>
      <c r="TM107" s="1574"/>
      <c r="TN107" s="1574"/>
      <c r="TO107" s="1574"/>
      <c r="TP107" s="1574"/>
      <c r="TQ107" s="1574"/>
      <c r="TR107" s="1574"/>
      <c r="TS107" s="1574"/>
      <c r="TT107" s="1574"/>
      <c r="TU107" s="1574"/>
      <c r="TV107" s="1574"/>
      <c r="TW107" s="1574"/>
      <c r="TX107" s="1574"/>
      <c r="TY107" s="1574"/>
      <c r="TZ107" s="1574"/>
      <c r="UA107" s="1574"/>
      <c r="UB107" s="1574"/>
      <c r="UC107" s="1574"/>
      <c r="UD107" s="1574"/>
      <c r="UE107" s="1574"/>
      <c r="UF107" s="1574"/>
      <c r="UG107" s="1574"/>
      <c r="UH107" s="1574"/>
      <c r="UI107" s="1574"/>
      <c r="UJ107" s="1574"/>
      <c r="UK107" s="1574"/>
      <c r="UL107" s="1574"/>
      <c r="UM107" s="1574"/>
      <c r="UN107" s="1574"/>
      <c r="UO107" s="1574"/>
      <c r="UP107" s="1574"/>
      <c r="UQ107" s="1574"/>
      <c r="UR107" s="1574"/>
      <c r="US107" s="1574"/>
      <c r="UT107" s="1574"/>
      <c r="UU107" s="1574"/>
      <c r="UV107" s="1574"/>
      <c r="UW107" s="1574"/>
      <c r="UX107" s="1574"/>
      <c r="UY107" s="1574"/>
      <c r="UZ107" s="1574"/>
      <c r="VA107" s="1574"/>
      <c r="VB107" s="1574"/>
      <c r="VC107" s="1574"/>
      <c r="VD107" s="1574"/>
      <c r="VE107" s="1574"/>
      <c r="VF107" s="1574"/>
      <c r="VG107" s="1574"/>
      <c r="VH107" s="1574"/>
      <c r="VI107" s="1574"/>
      <c r="VJ107" s="1574"/>
      <c r="VK107" s="1574"/>
    </row>
    <row r="108" spans="1:583" ht="27" x14ac:dyDescent="0.25">
      <c r="B108" s="1610" t="s">
        <v>2799</v>
      </c>
      <c r="C108" s="1582" t="s">
        <v>2800</v>
      </c>
      <c r="D108" s="4710" t="s">
        <v>2801</v>
      </c>
      <c r="E108" s="4710"/>
      <c r="F108" s="2057"/>
      <c r="G108" s="2057"/>
      <c r="H108" s="2057"/>
      <c r="I108" s="2059"/>
      <c r="J108" s="2059"/>
      <c r="K108" s="2059"/>
      <c r="L108" s="2059"/>
      <c r="M108" s="2059"/>
      <c r="N108" s="2059"/>
      <c r="O108" s="2059"/>
      <c r="P108" s="2059"/>
      <c r="Q108" s="2059"/>
      <c r="R108" s="2059"/>
      <c r="S108" s="2059"/>
      <c r="T108" s="2059"/>
      <c r="U108" s="2059"/>
      <c r="V108" s="2059"/>
      <c r="W108" s="2059"/>
      <c r="X108" s="2059"/>
      <c r="Y108" s="2059"/>
      <c r="Z108" s="2059"/>
      <c r="AA108" s="2059"/>
      <c r="AB108" s="2059"/>
      <c r="AC108" s="2059"/>
      <c r="AD108" s="2059"/>
      <c r="AE108" s="2059"/>
      <c r="AF108" s="2059"/>
      <c r="AG108" s="2059"/>
      <c r="AH108" s="2059"/>
      <c r="AI108" s="2059"/>
      <c r="AJ108" s="2059"/>
      <c r="AK108" s="2059"/>
      <c r="AL108" s="2059"/>
      <c r="AM108" s="2059"/>
      <c r="AN108" s="2059"/>
      <c r="AO108" s="2059"/>
      <c r="AP108" s="2059"/>
      <c r="AQ108" s="2059"/>
      <c r="AR108" s="2059"/>
      <c r="AS108" s="2059"/>
      <c r="AT108" s="2059"/>
      <c r="AU108" s="2059"/>
      <c r="AV108" s="2059"/>
      <c r="AW108" s="2059"/>
      <c r="AX108" s="2059"/>
      <c r="AY108" s="2059"/>
      <c r="AZ108" s="2059"/>
      <c r="BA108" s="2059"/>
      <c r="BB108" s="2059"/>
      <c r="BC108" s="2059"/>
      <c r="BD108" s="2059"/>
      <c r="BE108" s="2059"/>
      <c r="BF108" s="2059"/>
      <c r="BG108" s="2059"/>
      <c r="BH108" s="2059"/>
      <c r="BI108" s="2059"/>
      <c r="BJ108" s="2059"/>
      <c r="BK108" s="2059"/>
      <c r="BL108" s="2059"/>
      <c r="BM108" s="2059"/>
      <c r="BN108" s="2059"/>
      <c r="BO108" s="2059"/>
      <c r="BP108" s="2059"/>
      <c r="BQ108" s="2059"/>
      <c r="BR108" s="2059"/>
      <c r="BS108" s="2059"/>
      <c r="BT108" s="2059"/>
      <c r="BU108" s="2059"/>
      <c r="BV108" s="2059"/>
      <c r="BW108" s="2059"/>
      <c r="BX108" s="2059"/>
      <c r="BY108" s="2059"/>
      <c r="BZ108" s="2059"/>
      <c r="CA108" s="2059"/>
      <c r="CB108" s="2059"/>
      <c r="CC108" s="2059"/>
      <c r="CD108" s="2059"/>
      <c r="CE108" s="2059"/>
      <c r="CF108" s="2059"/>
      <c r="CG108" s="2059"/>
      <c r="CH108" s="2059"/>
      <c r="CI108" s="2059"/>
      <c r="CJ108" s="2059"/>
      <c r="CK108" s="2059"/>
      <c r="CL108" s="2059"/>
      <c r="CM108" s="2059"/>
      <c r="CN108" s="2059"/>
      <c r="CO108" s="2059"/>
      <c r="CP108" s="1576"/>
      <c r="CQ108" s="1576"/>
      <c r="CR108" s="1576"/>
      <c r="CS108" s="1576"/>
      <c r="CT108" s="1576"/>
      <c r="CU108" s="1576"/>
      <c r="CV108" s="1576"/>
      <c r="CW108" s="1576"/>
      <c r="CX108" s="1576"/>
      <c r="CY108" s="1576"/>
      <c r="CZ108" s="1576"/>
      <c r="DA108" s="1576"/>
      <c r="DB108" s="1576"/>
      <c r="DC108" s="1576"/>
      <c r="DD108" s="1576"/>
      <c r="DE108" s="1576"/>
      <c r="DF108" s="1576"/>
      <c r="DG108" s="1576"/>
      <c r="DH108" s="1576"/>
      <c r="DI108" s="1576"/>
      <c r="DJ108" s="1576"/>
      <c r="DK108" s="1576"/>
      <c r="DL108" s="1576"/>
      <c r="DM108" s="1576"/>
      <c r="DN108" s="1576"/>
      <c r="DO108" s="1576"/>
      <c r="DP108" s="1576"/>
      <c r="DQ108" s="1576"/>
      <c r="DR108" s="1576"/>
      <c r="DS108" s="1576"/>
      <c r="DT108" s="1576"/>
      <c r="DU108" s="1576"/>
      <c r="DV108" s="1576"/>
      <c r="DW108" s="1576"/>
      <c r="DX108" s="1576"/>
      <c r="DY108" s="1576"/>
      <c r="DZ108" s="1576"/>
      <c r="EA108" s="1576"/>
      <c r="EB108" s="1576"/>
      <c r="EC108" s="1576"/>
      <c r="ED108" s="1576"/>
      <c r="EE108" s="1576"/>
      <c r="EF108" s="1576"/>
      <c r="EG108" s="1576"/>
      <c r="EH108" s="1576"/>
      <c r="EI108" s="1576"/>
      <c r="EJ108" s="1576"/>
      <c r="EK108" s="1576"/>
      <c r="EL108" s="1576"/>
      <c r="EM108" s="1576"/>
      <c r="EN108" s="1576"/>
      <c r="EO108" s="1576"/>
      <c r="EP108" s="1576"/>
      <c r="EQ108" s="1576"/>
      <c r="ER108" s="1576"/>
      <c r="ES108" s="1576"/>
      <c r="ET108" s="1576"/>
      <c r="EU108" s="1576"/>
      <c r="EV108" s="1576"/>
      <c r="EW108" s="1576"/>
      <c r="EX108" s="1576"/>
      <c r="EY108" s="1576"/>
      <c r="EZ108" s="1576"/>
      <c r="FA108" s="1576"/>
      <c r="FB108" s="1576"/>
      <c r="FC108" s="1576"/>
      <c r="FD108" s="1576"/>
      <c r="FE108" s="1576"/>
      <c r="FF108" s="1576"/>
      <c r="FG108" s="1576"/>
      <c r="FH108" s="1576"/>
      <c r="FI108" s="1576"/>
      <c r="FJ108" s="1576"/>
      <c r="FK108" s="1576"/>
      <c r="FL108" s="1576"/>
      <c r="FM108" s="1576"/>
      <c r="FN108" s="1576"/>
      <c r="FO108" s="1576"/>
      <c r="FP108" s="1576"/>
      <c r="FQ108" s="1576"/>
      <c r="FR108" s="1576"/>
      <c r="FS108" s="1576"/>
      <c r="FT108" s="1576"/>
      <c r="FU108" s="1576"/>
      <c r="FV108" s="1576"/>
      <c r="FW108" s="1576"/>
      <c r="FX108" s="1576"/>
      <c r="FY108" s="1576"/>
      <c r="FZ108" s="1576"/>
      <c r="GA108" s="1576"/>
      <c r="GB108" s="1576"/>
      <c r="GC108" s="1576"/>
      <c r="GD108" s="1576"/>
      <c r="GE108" s="1576"/>
      <c r="GF108" s="1576"/>
      <c r="GG108" s="1576"/>
      <c r="GH108" s="1576"/>
      <c r="GI108" s="1576"/>
      <c r="GJ108" s="1576"/>
      <c r="GK108" s="1576"/>
      <c r="GL108" s="1576"/>
      <c r="GM108" s="1576"/>
      <c r="GN108" s="1576"/>
      <c r="GO108" s="1576"/>
      <c r="GP108" s="1576"/>
      <c r="GQ108" s="1576"/>
      <c r="GR108" s="1576"/>
      <c r="GS108" s="1576"/>
      <c r="GT108" s="1576"/>
      <c r="GU108" s="1576"/>
      <c r="GV108" s="1576"/>
      <c r="GW108" s="1576"/>
      <c r="GX108" s="1576"/>
      <c r="GY108" s="1576"/>
      <c r="GZ108" s="1576"/>
      <c r="HA108" s="1576"/>
      <c r="HB108" s="1576"/>
      <c r="HC108" s="1576"/>
      <c r="HD108" s="1576"/>
      <c r="HE108" s="1576"/>
      <c r="HF108" s="1576"/>
      <c r="HG108" s="1576"/>
      <c r="HH108" s="1576"/>
      <c r="HI108" s="1576"/>
      <c r="HJ108" s="1576"/>
      <c r="HK108" s="1576"/>
      <c r="HL108" s="1576"/>
      <c r="HM108" s="1576"/>
      <c r="HN108" s="1576"/>
      <c r="HO108" s="1576"/>
      <c r="HP108" s="1576"/>
      <c r="HQ108" s="1576"/>
      <c r="HR108" s="1576"/>
      <c r="HS108" s="1576"/>
      <c r="HT108" s="1576"/>
      <c r="HU108" s="1576"/>
      <c r="HV108" s="1576"/>
      <c r="HW108" s="1576"/>
      <c r="HX108" s="1576"/>
      <c r="HY108" s="1576"/>
      <c r="HZ108" s="1576"/>
      <c r="IA108" s="1576"/>
      <c r="IB108" s="1576"/>
      <c r="IC108" s="1576"/>
      <c r="ID108" s="1576"/>
      <c r="IE108" s="1576"/>
      <c r="IF108" s="1576"/>
      <c r="IG108" s="1576"/>
      <c r="IH108" s="1576"/>
      <c r="II108" s="1576"/>
      <c r="IJ108" s="1576"/>
      <c r="IK108" s="1576"/>
      <c r="IL108" s="1576"/>
      <c r="IM108" s="1576"/>
      <c r="IN108" s="1576"/>
      <c r="IO108" s="1576"/>
      <c r="IP108" s="1576"/>
      <c r="IQ108" s="1576"/>
      <c r="IR108" s="1576"/>
      <c r="IS108" s="1576"/>
      <c r="IT108" s="1576"/>
      <c r="IU108" s="1576"/>
      <c r="IV108" s="1576"/>
      <c r="IW108" s="1576"/>
      <c r="IX108" s="1576"/>
      <c r="IY108" s="1576"/>
      <c r="IZ108" s="1576"/>
      <c r="JA108" s="2054"/>
      <c r="JB108" s="2054"/>
      <c r="JC108" s="2054"/>
      <c r="JD108" s="2054"/>
      <c r="JE108" s="2054"/>
      <c r="JF108" s="2054"/>
      <c r="JG108" s="2054"/>
      <c r="JH108" s="2054"/>
      <c r="JI108" s="2054"/>
      <c r="JJ108" s="2054"/>
      <c r="JK108" s="2054"/>
      <c r="JL108" s="2054"/>
      <c r="JM108" s="2054"/>
      <c r="JN108" s="2054"/>
      <c r="JO108" s="2054"/>
      <c r="JP108" s="2054"/>
      <c r="JQ108" s="2054"/>
      <c r="JR108" s="1576"/>
      <c r="JS108" s="1576"/>
      <c r="JT108" s="1576"/>
      <c r="JU108" s="1576"/>
      <c r="JV108" s="1576"/>
      <c r="JW108" s="1576"/>
      <c r="JX108" s="1576"/>
      <c r="JY108" s="1576"/>
      <c r="JZ108" s="1576"/>
      <c r="KA108" s="1576"/>
      <c r="KB108" s="1576"/>
      <c r="KC108" s="1576"/>
      <c r="KD108" s="1576"/>
      <c r="KE108" s="1576"/>
      <c r="KF108" s="1576"/>
      <c r="KG108" s="1576"/>
      <c r="KH108" s="1576"/>
      <c r="KI108" s="1576"/>
      <c r="KJ108" s="1576"/>
      <c r="KK108" s="1576"/>
      <c r="KL108" s="1576"/>
      <c r="KM108" s="1576"/>
      <c r="KN108" s="1576"/>
      <c r="KO108" s="1576"/>
      <c r="KP108" s="1576"/>
      <c r="KQ108" s="1576"/>
      <c r="KR108" s="1576"/>
      <c r="KS108" s="1576"/>
      <c r="KT108" s="1576"/>
      <c r="KU108" s="1576"/>
      <c r="KV108" s="1576"/>
      <c r="KW108" s="1576"/>
      <c r="KX108" s="1576"/>
      <c r="KY108" s="1576"/>
      <c r="KZ108" s="1576"/>
      <c r="LA108" s="1576"/>
      <c r="LB108" s="1576"/>
      <c r="LC108" s="1576"/>
      <c r="LD108" s="1576"/>
      <c r="LE108" s="1576"/>
      <c r="LF108" s="1576"/>
      <c r="LG108" s="1576"/>
      <c r="LH108" s="1576"/>
      <c r="LI108" s="1576"/>
      <c r="LJ108" s="1576"/>
      <c r="LK108" s="1576"/>
      <c r="LL108" s="1576"/>
      <c r="LM108" s="1576"/>
      <c r="LN108" s="1576"/>
      <c r="LO108" s="1576"/>
      <c r="LP108" s="1576"/>
      <c r="LQ108" s="1576"/>
      <c r="LR108" s="1576"/>
      <c r="LS108" s="1576"/>
      <c r="LT108" s="1576"/>
      <c r="LU108" s="1576"/>
      <c r="LV108" s="1576"/>
      <c r="LW108" s="1576"/>
      <c r="LX108" s="1576"/>
      <c r="LY108" s="1576"/>
      <c r="LZ108" s="1576"/>
      <c r="MA108" s="1576"/>
      <c r="MB108" s="1576"/>
      <c r="MC108" s="1576"/>
      <c r="MD108" s="1576"/>
      <c r="ME108" s="1576"/>
      <c r="MF108" s="1576"/>
      <c r="MG108" s="1576"/>
      <c r="MH108" s="1576"/>
      <c r="MI108" s="1576"/>
      <c r="MJ108" s="1576"/>
      <c r="MK108" s="1576"/>
      <c r="ML108" s="1576"/>
      <c r="MM108" s="1576"/>
      <c r="MN108" s="1576"/>
      <c r="MO108" s="1576"/>
      <c r="MP108" s="1576"/>
      <c r="MQ108" s="1576"/>
      <c r="MR108" s="1576"/>
      <c r="MS108" s="1576"/>
      <c r="MT108" s="1576"/>
      <c r="MU108" s="1576"/>
      <c r="MV108" s="1576"/>
      <c r="MW108" s="1576"/>
      <c r="MX108" s="1576"/>
      <c r="MY108" s="1576"/>
      <c r="MZ108" s="1576"/>
      <c r="NA108" s="1576"/>
      <c r="NB108" s="1576"/>
      <c r="NC108" s="1576"/>
      <c r="ND108" s="1576"/>
      <c r="NE108" s="1576"/>
      <c r="NF108" s="1576"/>
      <c r="NG108" s="1576"/>
      <c r="NH108" s="1576"/>
      <c r="NI108" s="1576"/>
      <c r="NJ108" s="1576"/>
      <c r="NK108" s="1576"/>
      <c r="NL108" s="1576"/>
      <c r="NM108" s="1576"/>
      <c r="NN108" s="1576"/>
      <c r="NO108" s="1576"/>
      <c r="NP108" s="1576"/>
      <c r="NQ108" s="1576"/>
      <c r="NR108" s="1576"/>
      <c r="NS108" s="1576"/>
      <c r="NT108" s="1576"/>
      <c r="NU108" s="1576"/>
      <c r="NV108" s="1576"/>
      <c r="NW108" s="1576"/>
      <c r="NX108" s="1576"/>
      <c r="NY108" s="1576"/>
      <c r="NZ108" s="1576"/>
      <c r="OA108" s="1576"/>
      <c r="OB108" s="1576"/>
      <c r="OC108" s="1576"/>
      <c r="OD108" s="1576"/>
      <c r="OE108" s="1576"/>
      <c r="OF108" s="1576"/>
      <c r="OG108" s="1576"/>
      <c r="OH108" s="1576"/>
      <c r="OI108" s="1576"/>
      <c r="OJ108" s="1576"/>
      <c r="OK108" s="1576"/>
      <c r="OL108" s="1576"/>
      <c r="OM108" s="1576"/>
      <c r="ON108" s="1576"/>
      <c r="OO108" s="1576"/>
      <c r="OP108" s="1576"/>
      <c r="OQ108" s="1576"/>
      <c r="OR108" s="1576"/>
      <c r="OS108" s="1576"/>
      <c r="OT108" s="1576"/>
      <c r="OU108" s="1576"/>
      <c r="OV108" s="1576"/>
      <c r="OW108" s="1576"/>
      <c r="OX108" s="1576"/>
      <c r="OY108" s="1576"/>
      <c r="OZ108" s="1576"/>
      <c r="PA108" s="1576"/>
      <c r="PB108" s="1576"/>
      <c r="PC108" s="1576"/>
      <c r="PD108" s="1576"/>
      <c r="PE108" s="1576"/>
      <c r="PF108" s="1576"/>
      <c r="PG108" s="1576"/>
      <c r="PH108" s="1576"/>
      <c r="PI108" s="1576"/>
      <c r="PJ108" s="1576"/>
      <c r="PK108" s="1576"/>
      <c r="PL108" s="1576"/>
      <c r="PM108" s="1576"/>
      <c r="PN108" s="1576"/>
      <c r="PO108" s="1576"/>
      <c r="PP108" s="1576"/>
      <c r="PQ108" s="1576"/>
      <c r="PR108" s="1576"/>
      <c r="PS108" s="1576"/>
      <c r="PT108" s="1576"/>
      <c r="PU108" s="1576"/>
      <c r="PV108" s="1576"/>
      <c r="PW108" s="1576"/>
      <c r="PX108" s="1576"/>
      <c r="PY108" s="1576"/>
      <c r="PZ108" s="1576"/>
      <c r="QA108" s="1576"/>
      <c r="QB108" s="1576"/>
      <c r="QC108" s="1576"/>
      <c r="QD108" s="1576"/>
      <c r="QE108" s="1576"/>
      <c r="QF108" s="1576"/>
      <c r="QG108" s="1576"/>
      <c r="QH108" s="1576"/>
      <c r="QI108" s="1576"/>
      <c r="QJ108" s="1576"/>
      <c r="QK108" s="1576"/>
      <c r="QL108" s="1576"/>
      <c r="QM108" s="1576"/>
      <c r="QN108" s="1576"/>
      <c r="QO108" s="1576"/>
      <c r="QP108" s="1576"/>
      <c r="QQ108" s="1576"/>
      <c r="QR108" s="1576"/>
      <c r="QS108" s="1576"/>
      <c r="QT108" s="1576"/>
      <c r="QU108" s="1576"/>
      <c r="QV108" s="1576"/>
      <c r="QW108" s="1576"/>
      <c r="QX108" s="1576"/>
      <c r="QY108" s="1576"/>
      <c r="QZ108" s="1576"/>
      <c r="RA108" s="1576"/>
      <c r="RB108" s="1576"/>
      <c r="RC108" s="1576"/>
      <c r="RD108" s="1576"/>
      <c r="RE108" s="1576"/>
      <c r="RF108" s="1576"/>
      <c r="RG108" s="1576"/>
      <c r="RH108" s="1576"/>
      <c r="RI108" s="1576"/>
      <c r="RJ108" s="1576"/>
      <c r="RK108" s="1576"/>
      <c r="RL108" s="1576"/>
      <c r="RM108" s="1576"/>
      <c r="RN108" s="1576"/>
      <c r="RO108" s="1576"/>
      <c r="RP108" s="1576"/>
      <c r="RQ108" s="1576"/>
      <c r="RR108" s="1576"/>
      <c r="RS108" s="1576"/>
      <c r="RT108" s="1576"/>
      <c r="RU108" s="1576"/>
      <c r="RV108" s="1576"/>
      <c r="RW108" s="1576"/>
      <c r="RX108" s="1576"/>
      <c r="RY108" s="1576"/>
      <c r="RZ108" s="1576"/>
      <c r="SA108" s="1576"/>
      <c r="SB108" s="1576"/>
      <c r="SC108" s="1576"/>
      <c r="SD108" s="1576"/>
      <c r="SE108" s="1576"/>
      <c r="SF108" s="1576"/>
      <c r="SG108" s="1576"/>
      <c r="SH108" s="1576"/>
      <c r="SI108" s="1576"/>
      <c r="SJ108" s="1576"/>
      <c r="SK108" s="1576"/>
      <c r="SL108" s="1576"/>
      <c r="SM108" s="1576"/>
      <c r="SN108" s="1576"/>
      <c r="SO108" s="1576"/>
      <c r="SP108" s="1576"/>
      <c r="SQ108" s="1576"/>
      <c r="SR108" s="1576"/>
      <c r="SS108" s="1576"/>
      <c r="ST108" s="1576"/>
      <c r="SU108" s="1576"/>
      <c r="SV108" s="1576"/>
      <c r="SW108" s="1576"/>
      <c r="SX108" s="1576"/>
      <c r="SY108" s="1576"/>
      <c r="SZ108" s="1576"/>
      <c r="TA108" s="1576"/>
      <c r="TB108" s="1576"/>
      <c r="TC108" s="1576"/>
      <c r="TD108" s="1576"/>
      <c r="TE108" s="1576"/>
      <c r="TF108" s="1576"/>
      <c r="TG108" s="1576"/>
      <c r="TH108" s="1576"/>
      <c r="TI108" s="1576"/>
      <c r="TJ108" s="1576"/>
      <c r="TK108" s="1576"/>
      <c r="TL108" s="1576"/>
      <c r="TM108" s="1576"/>
      <c r="TN108" s="1576"/>
      <c r="TO108" s="1576"/>
      <c r="TP108" s="1576"/>
      <c r="TQ108" s="1576"/>
      <c r="TR108" s="1576"/>
      <c r="TS108" s="1576"/>
      <c r="TT108" s="1576"/>
      <c r="TU108" s="1576"/>
      <c r="TV108" s="1576"/>
      <c r="TW108" s="1576"/>
      <c r="TX108" s="1576"/>
      <c r="TY108" s="1576"/>
      <c r="TZ108" s="1576"/>
      <c r="UA108" s="1576"/>
      <c r="UB108" s="1576"/>
      <c r="UC108" s="1576"/>
      <c r="UD108" s="1576"/>
      <c r="UE108" s="1576"/>
      <c r="UF108" s="1576"/>
      <c r="UG108" s="1576"/>
      <c r="UH108" s="1576"/>
      <c r="UI108" s="1576"/>
      <c r="UJ108" s="1576"/>
      <c r="UK108" s="1576"/>
      <c r="UL108" s="1576"/>
      <c r="UM108" s="1576"/>
      <c r="UN108" s="1576"/>
      <c r="UO108" s="1576"/>
      <c r="UP108" s="1576"/>
      <c r="UQ108" s="1576"/>
      <c r="UR108" s="1576"/>
      <c r="US108" s="1576"/>
      <c r="UT108" s="1576"/>
      <c r="UU108" s="1576"/>
      <c r="UV108" s="1576"/>
      <c r="UW108" s="1576"/>
      <c r="UX108" s="1576"/>
      <c r="UY108" s="1576"/>
      <c r="UZ108" s="1576"/>
      <c r="VA108" s="1576"/>
      <c r="VB108" s="1576"/>
      <c r="VC108" s="1576"/>
      <c r="VD108" s="1576"/>
      <c r="VE108" s="1576"/>
      <c r="VF108" s="1576"/>
      <c r="VG108" s="1576"/>
      <c r="VH108" s="1576"/>
      <c r="VI108" s="1576"/>
      <c r="VJ108" s="1576"/>
      <c r="VK108" s="1576"/>
    </row>
    <row r="109" spans="1:583" ht="27" x14ac:dyDescent="0.25">
      <c r="B109" s="1610" t="s">
        <v>2799</v>
      </c>
      <c r="C109" s="1582" t="s">
        <v>2802</v>
      </c>
      <c r="D109" s="4710" t="s">
        <v>2803</v>
      </c>
      <c r="E109" s="4710">
        <v>0</v>
      </c>
      <c r="F109" s="2057"/>
      <c r="G109" s="2057"/>
      <c r="H109" s="2057"/>
      <c r="I109" s="2059"/>
      <c r="J109" s="2059"/>
      <c r="K109" s="2059"/>
      <c r="L109" s="2059"/>
      <c r="M109" s="2059"/>
      <c r="N109" s="2059"/>
      <c r="O109" s="2059"/>
      <c r="P109" s="2059"/>
      <c r="Q109" s="2059"/>
      <c r="R109" s="2059"/>
      <c r="S109" s="2059"/>
      <c r="T109" s="2059"/>
      <c r="U109" s="2059"/>
      <c r="V109" s="2059"/>
      <c r="W109" s="2059"/>
      <c r="X109" s="2059"/>
      <c r="Y109" s="2059"/>
      <c r="Z109" s="2059"/>
      <c r="AA109" s="2059"/>
      <c r="AB109" s="2059"/>
      <c r="AC109" s="2059"/>
      <c r="AD109" s="2059"/>
      <c r="AE109" s="2059"/>
      <c r="AF109" s="2059"/>
      <c r="AG109" s="2059"/>
      <c r="AH109" s="2059"/>
      <c r="AI109" s="2059"/>
      <c r="AJ109" s="2059"/>
      <c r="AK109" s="2059"/>
      <c r="AL109" s="2059"/>
      <c r="AM109" s="2059"/>
      <c r="AN109" s="2059"/>
      <c r="AO109" s="2059"/>
      <c r="AP109" s="2059"/>
      <c r="AQ109" s="2059"/>
      <c r="AR109" s="2059"/>
      <c r="AS109" s="2059"/>
      <c r="AT109" s="2059"/>
      <c r="AU109" s="2059"/>
      <c r="AV109" s="2059"/>
      <c r="AW109" s="2059"/>
      <c r="AX109" s="2059"/>
      <c r="AY109" s="2059"/>
      <c r="AZ109" s="2059"/>
      <c r="BA109" s="2059"/>
      <c r="BB109" s="2059"/>
      <c r="BC109" s="2059"/>
      <c r="BD109" s="2059"/>
      <c r="BE109" s="2059"/>
      <c r="BF109" s="2059"/>
      <c r="BG109" s="2059"/>
      <c r="BH109" s="2059"/>
      <c r="BI109" s="2059"/>
      <c r="BJ109" s="2059"/>
      <c r="BK109" s="2059"/>
      <c r="BL109" s="2059"/>
      <c r="BM109" s="2059"/>
      <c r="BN109" s="2059"/>
      <c r="BO109" s="2059"/>
      <c r="BP109" s="2059"/>
      <c r="BQ109" s="2059"/>
      <c r="BR109" s="2059"/>
      <c r="BS109" s="2059"/>
      <c r="BT109" s="2059"/>
      <c r="BU109" s="2059"/>
      <c r="BV109" s="2059"/>
      <c r="BW109" s="2059"/>
      <c r="BX109" s="2059"/>
      <c r="BY109" s="2059"/>
      <c r="BZ109" s="2059"/>
      <c r="CA109" s="2059"/>
      <c r="CB109" s="2059"/>
      <c r="CC109" s="2059"/>
      <c r="CD109" s="2059"/>
      <c r="CE109" s="2059"/>
      <c r="CF109" s="2059"/>
      <c r="CG109" s="2059"/>
      <c r="CH109" s="2059"/>
      <c r="CI109" s="2059"/>
      <c r="CJ109" s="2059"/>
      <c r="CK109" s="2059"/>
      <c r="CL109" s="2059"/>
      <c r="CM109" s="2059"/>
      <c r="CN109" s="2059"/>
      <c r="CO109" s="2059"/>
      <c r="CP109" s="1576"/>
      <c r="CQ109" s="1576"/>
      <c r="CR109" s="1576"/>
      <c r="CS109" s="1576"/>
      <c r="CT109" s="1576"/>
      <c r="CU109" s="1576"/>
      <c r="CV109" s="1576"/>
      <c r="CW109" s="1576"/>
      <c r="CX109" s="1576"/>
      <c r="CY109" s="1576"/>
      <c r="CZ109" s="1576"/>
      <c r="DA109" s="1576"/>
      <c r="DB109" s="1576"/>
      <c r="DC109" s="1576"/>
      <c r="DD109" s="1576"/>
      <c r="DE109" s="1576"/>
      <c r="DF109" s="1576"/>
      <c r="DG109" s="1576"/>
      <c r="DH109" s="1576"/>
      <c r="DI109" s="1576"/>
      <c r="DJ109" s="1576"/>
      <c r="DK109" s="1576"/>
      <c r="DL109" s="1576"/>
      <c r="DM109" s="1576"/>
      <c r="DN109" s="1576"/>
      <c r="DO109" s="1576"/>
      <c r="DP109" s="1576"/>
      <c r="DQ109" s="1576"/>
      <c r="DR109" s="1576"/>
      <c r="DS109" s="1576"/>
      <c r="DT109" s="1576"/>
      <c r="DU109" s="1576"/>
      <c r="DV109" s="1576"/>
      <c r="DW109" s="1576"/>
      <c r="DX109" s="1576"/>
      <c r="DY109" s="1576"/>
      <c r="DZ109" s="1576"/>
      <c r="EA109" s="1576"/>
      <c r="EB109" s="1576"/>
      <c r="EC109" s="1576"/>
      <c r="ED109" s="1576"/>
      <c r="EE109" s="1576"/>
      <c r="EF109" s="1576"/>
      <c r="EG109" s="1576"/>
      <c r="EH109" s="1576"/>
      <c r="EI109" s="1576"/>
      <c r="EJ109" s="1576"/>
      <c r="EK109" s="1576"/>
      <c r="EL109" s="1576"/>
      <c r="EM109" s="1576"/>
      <c r="EN109" s="1576"/>
      <c r="EO109" s="1576"/>
      <c r="EP109" s="1576"/>
      <c r="EQ109" s="1576"/>
      <c r="ER109" s="1576"/>
      <c r="ES109" s="1576"/>
      <c r="ET109" s="1576"/>
      <c r="EU109" s="1576"/>
      <c r="EV109" s="1576"/>
      <c r="EW109" s="1576"/>
      <c r="EX109" s="1576"/>
      <c r="EY109" s="1576"/>
      <c r="EZ109" s="1576"/>
      <c r="FA109" s="1576"/>
      <c r="FB109" s="1576"/>
      <c r="FC109" s="1576"/>
      <c r="FD109" s="1576"/>
      <c r="FE109" s="1576"/>
      <c r="FF109" s="1576"/>
      <c r="FG109" s="1576"/>
      <c r="FH109" s="1576"/>
      <c r="FI109" s="1576"/>
      <c r="FJ109" s="1576"/>
      <c r="FK109" s="1576"/>
      <c r="FL109" s="1576"/>
      <c r="FM109" s="1576"/>
      <c r="FN109" s="1576"/>
      <c r="FO109" s="1576"/>
      <c r="FP109" s="1576"/>
      <c r="FQ109" s="1576"/>
      <c r="FR109" s="1576"/>
      <c r="FS109" s="1576"/>
      <c r="FT109" s="1576"/>
      <c r="FU109" s="1576"/>
      <c r="FV109" s="1576"/>
      <c r="FW109" s="1576"/>
      <c r="FX109" s="1576"/>
      <c r="FY109" s="1576"/>
      <c r="FZ109" s="1576"/>
      <c r="GA109" s="1576"/>
      <c r="GB109" s="1576"/>
      <c r="GC109" s="1576"/>
      <c r="GD109" s="1576"/>
      <c r="GE109" s="1576"/>
      <c r="GF109" s="1576"/>
      <c r="GG109" s="1576"/>
      <c r="GH109" s="1576"/>
      <c r="GI109" s="1576"/>
      <c r="GJ109" s="1576"/>
      <c r="GK109" s="1576"/>
      <c r="GL109" s="1576"/>
      <c r="GM109" s="1576"/>
      <c r="GN109" s="1576"/>
      <c r="GO109" s="1576"/>
      <c r="GP109" s="1576"/>
      <c r="GQ109" s="1576"/>
      <c r="GR109" s="1576"/>
      <c r="GS109" s="1576"/>
      <c r="GT109" s="1576"/>
      <c r="GU109" s="1576"/>
      <c r="GV109" s="1576"/>
      <c r="GW109" s="1576"/>
      <c r="GX109" s="1576"/>
      <c r="GY109" s="1576"/>
      <c r="GZ109" s="1576"/>
      <c r="HA109" s="1576"/>
      <c r="HB109" s="1576"/>
      <c r="HC109" s="1576"/>
      <c r="HD109" s="1576"/>
      <c r="HE109" s="1576"/>
      <c r="HF109" s="1576"/>
      <c r="HG109" s="1576"/>
      <c r="HH109" s="1576"/>
      <c r="HI109" s="1576"/>
      <c r="HJ109" s="1576"/>
      <c r="HK109" s="1576"/>
      <c r="HL109" s="1576"/>
      <c r="HM109" s="1576"/>
      <c r="HN109" s="1576"/>
      <c r="HO109" s="1576"/>
      <c r="HP109" s="1576"/>
      <c r="HQ109" s="1576"/>
      <c r="HR109" s="1576"/>
      <c r="HS109" s="1576"/>
      <c r="HT109" s="1576"/>
      <c r="HU109" s="1576"/>
      <c r="HV109" s="1576"/>
      <c r="HW109" s="1576"/>
      <c r="HX109" s="1576"/>
      <c r="HY109" s="1576"/>
      <c r="HZ109" s="1576"/>
      <c r="IA109" s="1576"/>
      <c r="IB109" s="1576"/>
      <c r="IC109" s="1576"/>
      <c r="ID109" s="1576"/>
      <c r="IE109" s="1576"/>
      <c r="IF109" s="1576"/>
      <c r="IG109" s="1576"/>
      <c r="IH109" s="1576"/>
      <c r="II109" s="1576"/>
      <c r="IJ109" s="1576"/>
      <c r="IK109" s="1576"/>
      <c r="IL109" s="1576"/>
      <c r="IM109" s="1576"/>
      <c r="IN109" s="1576"/>
      <c r="IO109" s="1576"/>
      <c r="IP109" s="1576"/>
      <c r="IQ109" s="1576"/>
      <c r="IR109" s="1576"/>
      <c r="IS109" s="1576"/>
      <c r="IT109" s="1576"/>
      <c r="IU109" s="1576"/>
      <c r="IV109" s="1576"/>
      <c r="IW109" s="1576"/>
      <c r="IX109" s="1576"/>
      <c r="IY109" s="1576"/>
      <c r="IZ109" s="1576"/>
      <c r="JA109" s="2054"/>
      <c r="JB109" s="2054"/>
      <c r="JC109" s="2054"/>
      <c r="JD109" s="2054"/>
      <c r="JE109" s="2054"/>
      <c r="JF109" s="2054"/>
      <c r="JG109" s="2054"/>
      <c r="JH109" s="2054"/>
      <c r="JI109" s="2054"/>
      <c r="JJ109" s="2054"/>
      <c r="JK109" s="2054"/>
      <c r="JL109" s="2054"/>
      <c r="JM109" s="2054"/>
      <c r="JN109" s="2054"/>
      <c r="JO109" s="2054"/>
      <c r="JP109" s="2054"/>
      <c r="JQ109" s="2054"/>
      <c r="JR109" s="1576"/>
      <c r="JS109" s="1576"/>
      <c r="JT109" s="1576"/>
      <c r="JU109" s="1576"/>
      <c r="JV109" s="1576"/>
      <c r="JW109" s="1576"/>
      <c r="JX109" s="1576"/>
      <c r="JY109" s="1576"/>
      <c r="JZ109" s="1576"/>
      <c r="KA109" s="1576"/>
      <c r="KB109" s="1576"/>
      <c r="KC109" s="1576"/>
      <c r="KD109" s="1576"/>
      <c r="KE109" s="1576"/>
      <c r="KF109" s="1576"/>
      <c r="KG109" s="1576"/>
      <c r="KH109" s="1576"/>
      <c r="KI109" s="1576"/>
      <c r="KJ109" s="1576"/>
      <c r="KK109" s="1576"/>
      <c r="KL109" s="1576"/>
      <c r="KM109" s="1576"/>
      <c r="KN109" s="1576"/>
      <c r="KO109" s="1576"/>
      <c r="KP109" s="1576"/>
      <c r="KQ109" s="1576"/>
      <c r="KR109" s="1576"/>
      <c r="KS109" s="1576"/>
      <c r="KT109" s="1576"/>
      <c r="KU109" s="1576"/>
      <c r="KV109" s="1576"/>
      <c r="KW109" s="1576"/>
      <c r="KX109" s="1576"/>
      <c r="KY109" s="1576"/>
      <c r="KZ109" s="1576"/>
      <c r="LA109" s="1576"/>
      <c r="LB109" s="1576"/>
      <c r="LC109" s="1576"/>
      <c r="LD109" s="1576"/>
      <c r="LE109" s="1576"/>
      <c r="LF109" s="1576"/>
      <c r="LG109" s="1576"/>
      <c r="LH109" s="1576"/>
      <c r="LI109" s="1576"/>
      <c r="LJ109" s="1576"/>
      <c r="LK109" s="1576"/>
      <c r="LL109" s="1576"/>
      <c r="LM109" s="1576"/>
      <c r="LN109" s="1576"/>
      <c r="LO109" s="1576"/>
      <c r="LP109" s="1576"/>
      <c r="LQ109" s="1576"/>
      <c r="LR109" s="1576"/>
      <c r="LS109" s="1576"/>
      <c r="LT109" s="1576"/>
      <c r="LU109" s="1576"/>
      <c r="LV109" s="1576"/>
      <c r="LW109" s="1576"/>
      <c r="LX109" s="1576"/>
      <c r="LY109" s="1576"/>
      <c r="LZ109" s="1576"/>
      <c r="MA109" s="1576"/>
      <c r="MB109" s="1576"/>
      <c r="MC109" s="1576"/>
      <c r="MD109" s="1576"/>
      <c r="ME109" s="1576"/>
      <c r="MF109" s="1576"/>
      <c r="MG109" s="1576"/>
      <c r="MH109" s="1576"/>
      <c r="MI109" s="1576"/>
      <c r="MJ109" s="1576"/>
      <c r="MK109" s="1576"/>
      <c r="ML109" s="1576"/>
      <c r="MM109" s="1576"/>
      <c r="MN109" s="1576"/>
      <c r="MO109" s="1576"/>
      <c r="MP109" s="1576"/>
      <c r="MQ109" s="1576"/>
      <c r="MR109" s="1576"/>
      <c r="MS109" s="1576"/>
      <c r="MT109" s="1576"/>
      <c r="MU109" s="1576"/>
      <c r="MV109" s="1576"/>
      <c r="MW109" s="1576"/>
      <c r="MX109" s="1576"/>
      <c r="MY109" s="1576"/>
      <c r="MZ109" s="1576"/>
      <c r="NA109" s="1576"/>
      <c r="NB109" s="1576"/>
      <c r="NC109" s="1576"/>
      <c r="ND109" s="1576"/>
      <c r="NE109" s="1576"/>
      <c r="NF109" s="1576"/>
      <c r="NG109" s="1576"/>
      <c r="NH109" s="1576"/>
      <c r="NI109" s="1576"/>
      <c r="NJ109" s="1576"/>
      <c r="NK109" s="1576"/>
      <c r="NL109" s="1576"/>
      <c r="NM109" s="1576"/>
      <c r="NN109" s="1576"/>
      <c r="NO109" s="1576"/>
      <c r="NP109" s="1576"/>
      <c r="NQ109" s="1576"/>
      <c r="NR109" s="1576"/>
      <c r="NS109" s="1576"/>
      <c r="NT109" s="1576"/>
      <c r="NU109" s="1576"/>
      <c r="NV109" s="1576"/>
      <c r="NW109" s="1576"/>
      <c r="NX109" s="1576"/>
      <c r="NY109" s="1576"/>
      <c r="NZ109" s="1576"/>
      <c r="OA109" s="1576"/>
      <c r="OB109" s="1576"/>
      <c r="OC109" s="1576"/>
      <c r="OD109" s="1576"/>
      <c r="OE109" s="1576"/>
      <c r="OF109" s="1576"/>
      <c r="OG109" s="1576"/>
      <c r="OH109" s="1576"/>
      <c r="OI109" s="1576"/>
      <c r="OJ109" s="1576"/>
      <c r="OK109" s="1576"/>
      <c r="OL109" s="1576"/>
      <c r="OM109" s="1576"/>
      <c r="ON109" s="1576"/>
      <c r="OO109" s="1576"/>
      <c r="OP109" s="1576"/>
      <c r="OQ109" s="1576"/>
      <c r="OR109" s="1576"/>
      <c r="OS109" s="1576"/>
      <c r="OT109" s="1576"/>
      <c r="OU109" s="1576"/>
      <c r="OV109" s="1576"/>
      <c r="OW109" s="1576"/>
      <c r="OX109" s="1576"/>
      <c r="OY109" s="1576"/>
      <c r="OZ109" s="1576"/>
      <c r="PA109" s="1576"/>
      <c r="PB109" s="1576"/>
      <c r="PC109" s="1576"/>
      <c r="PD109" s="1576"/>
      <c r="PE109" s="1576"/>
      <c r="PF109" s="1576"/>
      <c r="PG109" s="1576"/>
      <c r="PH109" s="1576"/>
      <c r="PI109" s="1576"/>
      <c r="PJ109" s="1576"/>
      <c r="PK109" s="1576"/>
      <c r="PL109" s="1576"/>
      <c r="PM109" s="1576"/>
      <c r="PN109" s="1576"/>
      <c r="PO109" s="1576"/>
      <c r="PP109" s="1576"/>
      <c r="PQ109" s="1576"/>
      <c r="PR109" s="1576"/>
      <c r="PS109" s="1576"/>
      <c r="PT109" s="1576"/>
      <c r="PU109" s="1576"/>
      <c r="PV109" s="1576"/>
      <c r="PW109" s="1576"/>
      <c r="PX109" s="1576"/>
      <c r="PY109" s="1576"/>
      <c r="PZ109" s="1576"/>
      <c r="QA109" s="1576"/>
      <c r="QB109" s="1576"/>
      <c r="QC109" s="1576"/>
      <c r="QD109" s="1576"/>
      <c r="QE109" s="1576"/>
      <c r="QF109" s="1576"/>
      <c r="QG109" s="1576"/>
      <c r="QH109" s="1576"/>
      <c r="QI109" s="1576"/>
      <c r="QJ109" s="1576"/>
      <c r="QK109" s="1576"/>
      <c r="QL109" s="1576"/>
      <c r="QM109" s="1576"/>
      <c r="QN109" s="1576"/>
      <c r="QO109" s="1576"/>
      <c r="QP109" s="1576"/>
      <c r="QQ109" s="1576"/>
      <c r="QR109" s="1576"/>
      <c r="QS109" s="1576"/>
      <c r="QT109" s="1576"/>
      <c r="QU109" s="1576"/>
      <c r="QV109" s="1576"/>
      <c r="QW109" s="1576"/>
      <c r="QX109" s="1576"/>
      <c r="QY109" s="1576"/>
      <c r="QZ109" s="1576"/>
      <c r="RA109" s="1576"/>
      <c r="RB109" s="1576"/>
      <c r="RC109" s="1576"/>
      <c r="RD109" s="1576"/>
      <c r="RE109" s="1576"/>
      <c r="RF109" s="1576"/>
      <c r="RG109" s="1576"/>
      <c r="RH109" s="1576"/>
      <c r="RI109" s="1576"/>
      <c r="RJ109" s="1576"/>
      <c r="RK109" s="1576"/>
      <c r="RL109" s="1576"/>
      <c r="RM109" s="1576"/>
      <c r="RN109" s="1576"/>
      <c r="RO109" s="1576"/>
      <c r="RP109" s="1576"/>
      <c r="RQ109" s="1576"/>
      <c r="RR109" s="1576"/>
      <c r="RS109" s="1576"/>
      <c r="RT109" s="1576"/>
      <c r="RU109" s="1576"/>
      <c r="RV109" s="1576"/>
      <c r="RW109" s="1576"/>
      <c r="RX109" s="1576"/>
      <c r="RY109" s="1576"/>
      <c r="RZ109" s="1576"/>
      <c r="SA109" s="1576"/>
      <c r="SB109" s="1576"/>
      <c r="SC109" s="1576"/>
      <c r="SD109" s="1576"/>
      <c r="SE109" s="1576"/>
      <c r="SF109" s="1576"/>
      <c r="SG109" s="1576"/>
      <c r="SH109" s="1576"/>
      <c r="SI109" s="1576"/>
      <c r="SJ109" s="1576"/>
      <c r="SK109" s="1576"/>
      <c r="SL109" s="1576"/>
      <c r="SM109" s="1576"/>
      <c r="SN109" s="1576"/>
      <c r="SO109" s="1576"/>
      <c r="SP109" s="1576"/>
      <c r="SQ109" s="1576"/>
      <c r="SR109" s="1576"/>
      <c r="SS109" s="1576"/>
      <c r="ST109" s="1576"/>
      <c r="SU109" s="1576"/>
      <c r="SV109" s="1576"/>
      <c r="SW109" s="1576"/>
      <c r="SX109" s="1576"/>
      <c r="SY109" s="1576"/>
      <c r="SZ109" s="1576"/>
      <c r="TA109" s="1576"/>
      <c r="TB109" s="1576"/>
      <c r="TC109" s="1576"/>
      <c r="TD109" s="1576"/>
      <c r="TE109" s="1576"/>
      <c r="TF109" s="1576"/>
      <c r="TG109" s="1576"/>
      <c r="TH109" s="1576"/>
      <c r="TI109" s="1576"/>
      <c r="TJ109" s="1576"/>
      <c r="TK109" s="1576"/>
      <c r="TL109" s="1576"/>
      <c r="TM109" s="1576"/>
      <c r="TN109" s="1576"/>
      <c r="TO109" s="1576"/>
      <c r="TP109" s="1576"/>
      <c r="TQ109" s="1576"/>
      <c r="TR109" s="1576"/>
      <c r="TS109" s="1576"/>
      <c r="TT109" s="1576"/>
      <c r="TU109" s="1576"/>
      <c r="TV109" s="1576"/>
      <c r="TW109" s="1576"/>
      <c r="TX109" s="1576"/>
      <c r="TY109" s="1576"/>
      <c r="TZ109" s="1576"/>
      <c r="UA109" s="1576"/>
      <c r="UB109" s="1576"/>
      <c r="UC109" s="1576"/>
      <c r="UD109" s="1576"/>
      <c r="UE109" s="1576"/>
      <c r="UF109" s="1576"/>
      <c r="UG109" s="1576"/>
      <c r="UH109" s="1576"/>
      <c r="UI109" s="1576"/>
      <c r="UJ109" s="1576"/>
      <c r="UK109" s="1576"/>
      <c r="UL109" s="1576"/>
      <c r="UM109" s="1576"/>
      <c r="UN109" s="1576"/>
      <c r="UO109" s="1576"/>
      <c r="UP109" s="1576"/>
      <c r="UQ109" s="1576"/>
      <c r="UR109" s="1576"/>
      <c r="US109" s="1576"/>
      <c r="UT109" s="1576"/>
      <c r="UU109" s="1576"/>
      <c r="UV109" s="1576"/>
      <c r="UW109" s="1576"/>
      <c r="UX109" s="1576"/>
      <c r="UY109" s="1576"/>
      <c r="UZ109" s="1576"/>
      <c r="VA109" s="1576"/>
      <c r="VB109" s="1576"/>
      <c r="VC109" s="1576"/>
      <c r="VD109" s="1576"/>
      <c r="VE109" s="1576"/>
      <c r="VF109" s="1576"/>
      <c r="VG109" s="1576"/>
      <c r="VH109" s="1576"/>
      <c r="VI109" s="1576"/>
      <c r="VJ109" s="1576"/>
      <c r="VK109" s="1576"/>
    </row>
    <row r="110" spans="1:583" ht="19.5" customHeight="1" x14ac:dyDescent="0.25">
      <c r="B110" s="4710" t="s">
        <v>2799</v>
      </c>
      <c r="C110" s="4710" t="s">
        <v>2804</v>
      </c>
      <c r="D110" s="4710" t="s">
        <v>2805</v>
      </c>
      <c r="E110" s="1582" t="s">
        <v>2806</v>
      </c>
      <c r="F110" s="2057"/>
      <c r="G110" s="2057"/>
      <c r="H110" s="2057"/>
      <c r="I110" s="2059"/>
      <c r="J110" s="2059"/>
      <c r="K110" s="2059"/>
      <c r="L110" s="2059"/>
      <c r="M110" s="2059"/>
      <c r="N110" s="2059"/>
      <c r="O110" s="2059"/>
      <c r="P110" s="2059"/>
      <c r="Q110" s="2059"/>
      <c r="R110" s="2059"/>
      <c r="S110" s="2059"/>
      <c r="T110" s="2059"/>
      <c r="U110" s="2059"/>
      <c r="V110" s="2059"/>
      <c r="W110" s="2059"/>
      <c r="X110" s="2059"/>
      <c r="Y110" s="2059"/>
      <c r="Z110" s="2059"/>
      <c r="AA110" s="2059"/>
      <c r="AB110" s="2059"/>
      <c r="AC110" s="2059"/>
      <c r="AD110" s="2059"/>
      <c r="AE110" s="2059"/>
      <c r="AF110" s="2059"/>
      <c r="AG110" s="2059"/>
      <c r="AH110" s="2059"/>
      <c r="AI110" s="2059"/>
      <c r="AJ110" s="2059"/>
      <c r="AK110" s="2059"/>
      <c r="AL110" s="2059"/>
      <c r="AM110" s="2059"/>
      <c r="AN110" s="2059"/>
      <c r="AO110" s="2059"/>
      <c r="AP110" s="2059"/>
      <c r="AQ110" s="2059"/>
      <c r="AR110" s="2059"/>
      <c r="AS110" s="2059"/>
      <c r="AT110" s="2059"/>
      <c r="AU110" s="2059"/>
      <c r="AV110" s="2059"/>
      <c r="AW110" s="2059"/>
      <c r="AX110" s="2059"/>
      <c r="AY110" s="2059"/>
      <c r="AZ110" s="2059"/>
      <c r="BA110" s="2059"/>
      <c r="BB110" s="2059"/>
      <c r="BC110" s="2059"/>
      <c r="BD110" s="2059"/>
      <c r="BE110" s="2059"/>
      <c r="BF110" s="2059"/>
      <c r="BG110" s="2059"/>
      <c r="BH110" s="2059"/>
      <c r="BI110" s="2059"/>
      <c r="BJ110" s="2059"/>
      <c r="BK110" s="2059"/>
      <c r="BL110" s="2059"/>
      <c r="BM110" s="2059"/>
      <c r="BN110" s="2059"/>
      <c r="BO110" s="2059"/>
      <c r="BP110" s="2059"/>
      <c r="BQ110" s="2059"/>
      <c r="BR110" s="2059"/>
      <c r="BS110" s="2059"/>
      <c r="BT110" s="2059"/>
      <c r="BU110" s="2059"/>
      <c r="BV110" s="2059"/>
      <c r="BW110" s="2059"/>
      <c r="BX110" s="2059"/>
      <c r="BY110" s="2058"/>
      <c r="BZ110" s="2058"/>
      <c r="CA110" s="2058"/>
      <c r="CB110" s="2058"/>
      <c r="CC110" s="2058"/>
      <c r="CD110" s="2058"/>
      <c r="CE110" s="2058"/>
      <c r="CF110" s="2058"/>
      <c r="CG110" s="2058"/>
      <c r="CH110" s="2058"/>
      <c r="CI110" s="2058"/>
      <c r="CJ110" s="2058"/>
      <c r="CK110" s="2058"/>
      <c r="CL110" s="2058"/>
      <c r="CM110" s="2058"/>
      <c r="CN110" s="2058"/>
      <c r="CO110" s="2058"/>
      <c r="CP110" s="1576"/>
      <c r="CQ110" s="1576"/>
      <c r="CR110" s="1576"/>
      <c r="CS110" s="1576"/>
      <c r="CT110" s="1576"/>
      <c r="CU110" s="1576"/>
      <c r="CV110" s="1576"/>
      <c r="CW110" s="1576"/>
      <c r="CX110" s="1576"/>
      <c r="CY110" s="1576"/>
      <c r="CZ110" s="1576"/>
      <c r="DA110" s="1576"/>
      <c r="DB110" s="1576"/>
      <c r="DC110" s="1576"/>
      <c r="DD110" s="1576"/>
      <c r="DE110" s="1576"/>
      <c r="DF110" s="1576"/>
      <c r="DG110" s="1576"/>
      <c r="DH110" s="1576"/>
      <c r="DI110" s="1576"/>
      <c r="DJ110" s="1576"/>
      <c r="DK110" s="1576"/>
      <c r="DL110" s="1576"/>
      <c r="DM110" s="1576"/>
      <c r="DN110" s="1576"/>
      <c r="DO110" s="1576"/>
      <c r="DP110" s="1576"/>
      <c r="DQ110" s="1576"/>
      <c r="DR110" s="1576"/>
      <c r="DS110" s="1576"/>
      <c r="DT110" s="1576"/>
      <c r="DU110" s="1576"/>
      <c r="DV110" s="1576"/>
      <c r="DW110" s="1576"/>
      <c r="DX110" s="1576"/>
      <c r="DY110" s="1576"/>
      <c r="DZ110" s="1576"/>
      <c r="EA110" s="1576"/>
      <c r="EB110" s="1576"/>
      <c r="EC110" s="1576"/>
      <c r="ED110" s="1576"/>
      <c r="EE110" s="1576"/>
      <c r="EF110" s="1576"/>
      <c r="EG110" s="1576"/>
      <c r="EH110" s="1576"/>
      <c r="EI110" s="1576"/>
      <c r="EJ110" s="1576"/>
      <c r="EK110" s="1576"/>
      <c r="EL110" s="1576"/>
      <c r="EM110" s="1576"/>
      <c r="EN110" s="1576"/>
      <c r="EO110" s="1576"/>
      <c r="EP110" s="1576"/>
      <c r="EQ110" s="1576"/>
      <c r="ER110" s="1576"/>
      <c r="ES110" s="1576"/>
      <c r="ET110" s="1576"/>
      <c r="EU110" s="1576"/>
      <c r="EV110" s="1576"/>
      <c r="EW110" s="1576"/>
      <c r="EX110" s="1576"/>
      <c r="EY110" s="1576"/>
      <c r="EZ110" s="1576"/>
      <c r="FA110" s="1576"/>
      <c r="FB110" s="1576"/>
      <c r="FC110" s="1576"/>
      <c r="FD110" s="1576"/>
      <c r="FE110" s="1576"/>
      <c r="FF110" s="1576"/>
      <c r="FG110" s="1576"/>
      <c r="FH110" s="1576"/>
      <c r="FI110" s="1576"/>
      <c r="FJ110" s="1576"/>
      <c r="FK110" s="1576"/>
      <c r="FL110" s="1576"/>
      <c r="FM110" s="1576"/>
      <c r="FN110" s="1576"/>
      <c r="FO110" s="1576"/>
      <c r="FP110" s="1576"/>
      <c r="FQ110" s="1576"/>
      <c r="FR110" s="1576"/>
      <c r="FS110" s="1576"/>
      <c r="FT110" s="1576"/>
      <c r="FU110" s="1576"/>
      <c r="FV110" s="1576"/>
      <c r="FW110" s="1576"/>
      <c r="FX110" s="1576"/>
      <c r="FY110" s="1576"/>
      <c r="FZ110" s="1576"/>
      <c r="GA110" s="1576"/>
      <c r="GB110" s="1576"/>
      <c r="GC110" s="1576"/>
      <c r="GD110" s="1576"/>
      <c r="GE110" s="1576"/>
      <c r="GF110" s="1576"/>
      <c r="GG110" s="1576"/>
      <c r="GH110" s="1576"/>
      <c r="GI110" s="1576"/>
      <c r="GJ110" s="1576"/>
      <c r="GK110" s="1576"/>
      <c r="GL110" s="1576"/>
      <c r="GM110" s="1576"/>
      <c r="GN110" s="1576"/>
      <c r="GO110" s="1576"/>
      <c r="GP110" s="1576"/>
      <c r="GQ110" s="1576"/>
      <c r="GR110" s="1576"/>
      <c r="GS110" s="1576"/>
      <c r="GT110" s="1576"/>
      <c r="GU110" s="1576"/>
      <c r="GV110" s="1576"/>
      <c r="GW110" s="1576"/>
      <c r="GX110" s="1576"/>
      <c r="GY110" s="1576"/>
      <c r="GZ110" s="1576"/>
      <c r="HA110" s="1576"/>
      <c r="HB110" s="1576"/>
      <c r="HC110" s="1576"/>
      <c r="HD110" s="1576"/>
      <c r="HE110" s="1576"/>
      <c r="HF110" s="1576"/>
      <c r="HG110" s="1576"/>
      <c r="HH110" s="1576"/>
      <c r="HI110" s="1576"/>
      <c r="HJ110" s="1576"/>
      <c r="HK110" s="1576"/>
      <c r="HL110" s="1576"/>
      <c r="HM110" s="1576"/>
      <c r="HN110" s="1576"/>
      <c r="HO110" s="1576"/>
      <c r="HP110" s="1576"/>
      <c r="HQ110" s="1576"/>
      <c r="HR110" s="1576"/>
      <c r="HS110" s="1576"/>
      <c r="HT110" s="1576"/>
      <c r="HU110" s="1576"/>
      <c r="HV110" s="1576"/>
      <c r="HW110" s="1576"/>
      <c r="HX110" s="1576"/>
      <c r="HY110" s="1576"/>
      <c r="HZ110" s="1576"/>
      <c r="IA110" s="1576"/>
      <c r="IB110" s="1576"/>
      <c r="IC110" s="1576"/>
      <c r="ID110" s="1576"/>
      <c r="IE110" s="1576"/>
      <c r="IF110" s="1576"/>
      <c r="IG110" s="1576"/>
      <c r="IH110" s="1576"/>
      <c r="II110" s="1576"/>
      <c r="IJ110" s="1576"/>
      <c r="IK110" s="1576"/>
      <c r="IL110" s="1576"/>
      <c r="IM110" s="1576"/>
      <c r="IN110" s="1576"/>
      <c r="IO110" s="1576"/>
      <c r="IP110" s="1576"/>
      <c r="IQ110" s="1576"/>
      <c r="IR110" s="1576"/>
      <c r="IS110" s="1576"/>
      <c r="IT110" s="1576"/>
      <c r="IU110" s="1576"/>
      <c r="IV110" s="1576"/>
      <c r="IW110" s="1576"/>
      <c r="IX110" s="1576"/>
      <c r="IY110" s="1576"/>
      <c r="IZ110" s="1576"/>
      <c r="JA110" s="2054"/>
      <c r="JB110" s="2054"/>
      <c r="JC110" s="2054"/>
      <c r="JD110" s="2054"/>
      <c r="JE110" s="2054"/>
      <c r="JF110" s="2054"/>
      <c r="JG110" s="2054"/>
      <c r="JH110" s="2054"/>
      <c r="JI110" s="2054"/>
      <c r="JJ110" s="2054"/>
      <c r="JK110" s="2054"/>
      <c r="JL110" s="2054"/>
      <c r="JM110" s="2054"/>
      <c r="JN110" s="2054"/>
      <c r="JO110" s="2054"/>
      <c r="JP110" s="2054"/>
      <c r="JQ110" s="2054"/>
      <c r="JR110" s="1576"/>
      <c r="JS110" s="1576"/>
      <c r="JT110" s="1576"/>
      <c r="JU110" s="1576"/>
      <c r="JV110" s="1576"/>
      <c r="JW110" s="1576"/>
      <c r="JX110" s="1576"/>
      <c r="JY110" s="1576"/>
      <c r="JZ110" s="1576"/>
      <c r="KA110" s="1576"/>
      <c r="KB110" s="1576"/>
      <c r="KC110" s="1576"/>
      <c r="KD110" s="1576"/>
      <c r="KE110" s="1576"/>
      <c r="KF110" s="1576"/>
      <c r="KG110" s="1576"/>
      <c r="KH110" s="1576"/>
      <c r="KI110" s="1576"/>
      <c r="KJ110" s="1576"/>
      <c r="KK110" s="1576"/>
      <c r="KL110" s="1576"/>
      <c r="KM110" s="1576"/>
      <c r="KN110" s="1576"/>
      <c r="KO110" s="1576"/>
      <c r="KP110" s="1576"/>
      <c r="KQ110" s="1576"/>
      <c r="KR110" s="1576"/>
      <c r="KS110" s="1576"/>
      <c r="KT110" s="1576"/>
      <c r="KU110" s="1576"/>
      <c r="KV110" s="1576"/>
      <c r="KW110" s="1576"/>
      <c r="KX110" s="1576"/>
      <c r="KY110" s="1576"/>
      <c r="KZ110" s="1576"/>
      <c r="LA110" s="1576"/>
      <c r="LB110" s="1576"/>
      <c r="LC110" s="1576"/>
      <c r="LD110" s="1576"/>
      <c r="LE110" s="1576"/>
      <c r="LF110" s="1576"/>
      <c r="LG110" s="1576"/>
      <c r="LH110" s="1576"/>
      <c r="LI110" s="1576"/>
      <c r="LJ110" s="1576"/>
      <c r="LK110" s="1576"/>
      <c r="LL110" s="1576"/>
      <c r="LM110" s="1576"/>
      <c r="LN110" s="1576"/>
      <c r="LO110" s="1576"/>
      <c r="LP110" s="1576"/>
      <c r="LQ110" s="1576"/>
      <c r="LR110" s="1576"/>
      <c r="LS110" s="1576"/>
      <c r="LT110" s="1576"/>
      <c r="LU110" s="1576"/>
      <c r="LV110" s="1576"/>
      <c r="LW110" s="1576"/>
      <c r="LX110" s="1576"/>
      <c r="LY110" s="1576"/>
      <c r="LZ110" s="1576"/>
      <c r="MA110" s="1576"/>
      <c r="MB110" s="1576"/>
      <c r="MC110" s="1576"/>
      <c r="MD110" s="1576"/>
      <c r="ME110" s="1576"/>
      <c r="MF110" s="1576"/>
      <c r="MG110" s="1576"/>
      <c r="MH110" s="1576"/>
      <c r="MI110" s="1576"/>
      <c r="MJ110" s="1576"/>
      <c r="MK110" s="1576"/>
      <c r="ML110" s="1576"/>
      <c r="MM110" s="1576"/>
      <c r="MN110" s="1576"/>
      <c r="MO110" s="1576"/>
      <c r="MP110" s="1576"/>
      <c r="MQ110" s="1576"/>
      <c r="MR110" s="1576"/>
      <c r="MS110" s="1576"/>
      <c r="MT110" s="1576"/>
      <c r="MU110" s="1576"/>
      <c r="MV110" s="1576"/>
      <c r="MW110" s="1576"/>
      <c r="MX110" s="1576"/>
      <c r="MY110" s="1576"/>
      <c r="MZ110" s="1576"/>
      <c r="NA110" s="1576"/>
      <c r="NB110" s="1576"/>
      <c r="NC110" s="1576"/>
      <c r="ND110" s="1576"/>
      <c r="NE110" s="1576"/>
      <c r="NF110" s="1576"/>
      <c r="NG110" s="1576"/>
      <c r="NH110" s="1576"/>
      <c r="NI110" s="1576"/>
      <c r="NJ110" s="1576"/>
      <c r="NK110" s="1576"/>
      <c r="NL110" s="1576"/>
      <c r="NM110" s="1576"/>
      <c r="NN110" s="1576"/>
      <c r="NO110" s="1576"/>
      <c r="NP110" s="1576"/>
      <c r="NQ110" s="1576"/>
      <c r="NR110" s="1576"/>
      <c r="NS110" s="1576"/>
      <c r="NT110" s="1576"/>
      <c r="NU110" s="1576"/>
      <c r="NV110" s="1576"/>
      <c r="NW110" s="1576"/>
      <c r="NX110" s="1576"/>
      <c r="NY110" s="1576"/>
      <c r="NZ110" s="1576"/>
      <c r="OA110" s="1576"/>
      <c r="OB110" s="1576"/>
      <c r="OC110" s="1576"/>
      <c r="OD110" s="1576"/>
      <c r="OE110" s="1576"/>
      <c r="OF110" s="1576"/>
      <c r="OG110" s="1576"/>
      <c r="OH110" s="1576"/>
      <c r="OI110" s="1576"/>
      <c r="OJ110" s="1576"/>
      <c r="OK110" s="1576"/>
      <c r="OL110" s="1576"/>
      <c r="OM110" s="1576"/>
      <c r="ON110" s="1576"/>
      <c r="OO110" s="1576"/>
      <c r="OP110" s="1576"/>
      <c r="OQ110" s="1576"/>
      <c r="OR110" s="1576"/>
      <c r="OS110" s="1576"/>
      <c r="OT110" s="1576"/>
      <c r="OU110" s="1576"/>
      <c r="OV110" s="1576"/>
      <c r="OW110" s="1576"/>
      <c r="OX110" s="1576"/>
      <c r="OY110" s="1576"/>
      <c r="OZ110" s="1576"/>
      <c r="PA110" s="1576"/>
      <c r="PB110" s="1576"/>
      <c r="PC110" s="1576"/>
      <c r="PD110" s="1576"/>
      <c r="PE110" s="1576"/>
      <c r="PF110" s="1576"/>
      <c r="PG110" s="1576"/>
      <c r="PH110" s="1576"/>
      <c r="PI110" s="1576"/>
      <c r="PJ110" s="1576"/>
      <c r="PK110" s="1576"/>
      <c r="PL110" s="1576"/>
      <c r="PM110" s="1576"/>
      <c r="PN110" s="1576"/>
      <c r="PO110" s="1576"/>
      <c r="PP110" s="1576"/>
      <c r="PQ110" s="1576"/>
      <c r="PR110" s="1576"/>
      <c r="PS110" s="1576"/>
      <c r="PT110" s="1576"/>
      <c r="PU110" s="1576"/>
      <c r="PV110" s="1576"/>
      <c r="PW110" s="1576"/>
      <c r="PX110" s="1576"/>
      <c r="PY110" s="1576"/>
      <c r="PZ110" s="1576"/>
      <c r="QA110" s="1576"/>
      <c r="QB110" s="1576"/>
      <c r="QC110" s="1576"/>
      <c r="QD110" s="1576"/>
      <c r="QE110" s="1576"/>
      <c r="QF110" s="1576"/>
      <c r="QG110" s="1576"/>
      <c r="QH110" s="1576"/>
      <c r="QI110" s="1576"/>
      <c r="QJ110" s="1576"/>
      <c r="QK110" s="1576"/>
      <c r="QL110" s="1576"/>
      <c r="QM110" s="1576"/>
      <c r="QN110" s="1576"/>
      <c r="QO110" s="1576"/>
      <c r="QP110" s="1576"/>
      <c r="QQ110" s="1576"/>
      <c r="QR110" s="1576"/>
      <c r="QS110" s="1576"/>
      <c r="QT110" s="1576"/>
      <c r="QU110" s="1576"/>
      <c r="QV110" s="1576"/>
      <c r="QW110" s="1576"/>
      <c r="QX110" s="1576"/>
      <c r="QY110" s="1576"/>
      <c r="QZ110" s="1576"/>
      <c r="RA110" s="1576"/>
      <c r="RB110" s="1576"/>
      <c r="RC110" s="1576"/>
      <c r="RD110" s="1576"/>
      <c r="RE110" s="1576"/>
      <c r="RF110" s="1576"/>
      <c r="RG110" s="1576"/>
      <c r="RH110" s="1576"/>
      <c r="RI110" s="1576"/>
      <c r="RJ110" s="1576"/>
      <c r="RK110" s="1576"/>
      <c r="RL110" s="1576"/>
      <c r="RM110" s="1576"/>
      <c r="RN110" s="1576"/>
      <c r="RO110" s="1576"/>
      <c r="RP110" s="1576"/>
      <c r="RQ110" s="1576"/>
      <c r="RR110" s="1576"/>
      <c r="RS110" s="1576"/>
      <c r="RT110" s="1576"/>
      <c r="RU110" s="1576"/>
      <c r="RV110" s="1576"/>
      <c r="RW110" s="1576"/>
      <c r="RX110" s="1576"/>
      <c r="RY110" s="1576"/>
      <c r="RZ110" s="1576"/>
      <c r="SA110" s="1576"/>
      <c r="SB110" s="1576"/>
      <c r="SC110" s="1576"/>
      <c r="SD110" s="1576"/>
      <c r="SE110" s="1576"/>
      <c r="SF110" s="1576"/>
      <c r="SG110" s="1576"/>
      <c r="SH110" s="1576"/>
      <c r="SI110" s="1576"/>
      <c r="SJ110" s="1576"/>
      <c r="SK110" s="1576"/>
      <c r="SL110" s="1576"/>
      <c r="SM110" s="1576"/>
      <c r="SN110" s="1576"/>
      <c r="SO110" s="1576"/>
      <c r="SP110" s="1576"/>
      <c r="SQ110" s="1576"/>
      <c r="SR110" s="1576"/>
      <c r="SS110" s="1576"/>
      <c r="ST110" s="1576"/>
      <c r="SU110" s="1576"/>
      <c r="SV110" s="1576"/>
      <c r="SW110" s="1576"/>
      <c r="SX110" s="1576"/>
      <c r="SY110" s="1576"/>
      <c r="SZ110" s="1576"/>
      <c r="TA110" s="1576"/>
      <c r="TB110" s="1576"/>
      <c r="TC110" s="1576"/>
      <c r="TD110" s="1576"/>
      <c r="TE110" s="1576"/>
      <c r="TF110" s="1576"/>
      <c r="TG110" s="1576"/>
      <c r="TH110" s="1576"/>
      <c r="TI110" s="1576"/>
      <c r="TJ110" s="1576"/>
      <c r="TK110" s="1576"/>
      <c r="TL110" s="1576"/>
      <c r="TM110" s="1576"/>
      <c r="TN110" s="1576"/>
      <c r="TO110" s="1576"/>
      <c r="TP110" s="1576"/>
      <c r="TQ110" s="1576"/>
      <c r="TR110" s="1576"/>
      <c r="TS110" s="1576"/>
      <c r="TT110" s="1576"/>
      <c r="TU110" s="1576"/>
      <c r="TV110" s="1576"/>
      <c r="TW110" s="1576"/>
      <c r="TX110" s="1576"/>
      <c r="TY110" s="1576"/>
      <c r="TZ110" s="1576"/>
      <c r="UA110" s="1576"/>
      <c r="UB110" s="1576"/>
      <c r="UC110" s="1576"/>
      <c r="UD110" s="1576"/>
      <c r="UE110" s="1576"/>
      <c r="UF110" s="1576"/>
      <c r="UG110" s="1576"/>
      <c r="UH110" s="1576"/>
      <c r="UI110" s="1576"/>
      <c r="UJ110" s="1576"/>
      <c r="UK110" s="1576"/>
      <c r="UL110" s="1576"/>
      <c r="UM110" s="1576"/>
      <c r="UN110" s="1576"/>
      <c r="UO110" s="1576"/>
      <c r="UP110" s="1576"/>
      <c r="UQ110" s="1576"/>
      <c r="UR110" s="1576"/>
      <c r="US110" s="1576"/>
      <c r="UT110" s="1576"/>
      <c r="UU110" s="1576"/>
      <c r="UV110" s="1576"/>
      <c r="UW110" s="1576"/>
      <c r="UX110" s="1576"/>
      <c r="UY110" s="1576"/>
      <c r="UZ110" s="1576"/>
      <c r="VA110" s="1576"/>
      <c r="VB110" s="1576"/>
      <c r="VC110" s="1576"/>
      <c r="VD110" s="1576"/>
      <c r="VE110" s="1576"/>
      <c r="VF110" s="1576"/>
      <c r="VG110" s="1576"/>
      <c r="VH110" s="1576"/>
      <c r="VI110" s="1576"/>
      <c r="VJ110" s="1576"/>
      <c r="VK110" s="1576"/>
    </row>
    <row r="111" spans="1:583" ht="19.5" customHeight="1" x14ac:dyDescent="0.25">
      <c r="B111" s="4710"/>
      <c r="C111" s="4710"/>
      <c r="D111" s="4710"/>
      <c r="E111" s="1582" t="s">
        <v>2807</v>
      </c>
      <c r="F111" s="2057"/>
      <c r="G111" s="2057"/>
      <c r="H111" s="2057"/>
      <c r="I111" s="2059"/>
      <c r="J111" s="2059"/>
      <c r="K111" s="2059"/>
      <c r="L111" s="2059"/>
      <c r="M111" s="2059"/>
      <c r="N111" s="2059"/>
      <c r="O111" s="2059"/>
      <c r="P111" s="2059"/>
      <c r="Q111" s="2059"/>
      <c r="R111" s="2059"/>
      <c r="S111" s="2059"/>
      <c r="T111" s="2059"/>
      <c r="U111" s="2059"/>
      <c r="V111" s="2059"/>
      <c r="W111" s="2059"/>
      <c r="X111" s="2059"/>
      <c r="Y111" s="2059"/>
      <c r="Z111" s="2059"/>
      <c r="AA111" s="2059"/>
      <c r="AB111" s="2059"/>
      <c r="AC111" s="2059"/>
      <c r="AD111" s="2059"/>
      <c r="AE111" s="2059"/>
      <c r="AF111" s="2059"/>
      <c r="AG111" s="2059"/>
      <c r="AH111" s="2059"/>
      <c r="AI111" s="2059"/>
      <c r="AJ111" s="2059"/>
      <c r="AK111" s="2059"/>
      <c r="AL111" s="2059"/>
      <c r="AM111" s="2059"/>
      <c r="AN111" s="2059"/>
      <c r="AO111" s="2059"/>
      <c r="AP111" s="2059"/>
      <c r="AQ111" s="2059"/>
      <c r="AR111" s="2059"/>
      <c r="AS111" s="2059"/>
      <c r="AT111" s="2059"/>
      <c r="AU111" s="2059"/>
      <c r="AV111" s="2059"/>
      <c r="AW111" s="2059"/>
      <c r="AX111" s="2059"/>
      <c r="AY111" s="2059"/>
      <c r="AZ111" s="2059"/>
      <c r="BA111" s="2059"/>
      <c r="BB111" s="2059"/>
      <c r="BC111" s="2059"/>
      <c r="BD111" s="2059"/>
      <c r="BE111" s="2059"/>
      <c r="BF111" s="2059"/>
      <c r="BG111" s="2059"/>
      <c r="BH111" s="2059"/>
      <c r="BI111" s="2059"/>
      <c r="BJ111" s="2059"/>
      <c r="BK111" s="2059"/>
      <c r="BL111" s="2059"/>
      <c r="BM111" s="2059"/>
      <c r="BN111" s="2059"/>
      <c r="BO111" s="2059"/>
      <c r="BP111" s="2059"/>
      <c r="BQ111" s="2059"/>
      <c r="BR111" s="2059"/>
      <c r="BS111" s="2059"/>
      <c r="BT111" s="2059"/>
      <c r="BU111" s="2059"/>
      <c r="BV111" s="2059"/>
      <c r="BW111" s="2059"/>
      <c r="BX111" s="2059"/>
      <c r="BY111" s="2059"/>
      <c r="BZ111" s="2059"/>
      <c r="CA111" s="2059"/>
      <c r="CB111" s="2059"/>
      <c r="CC111" s="2059"/>
      <c r="CD111" s="2059"/>
      <c r="CE111" s="2059"/>
      <c r="CF111" s="2059"/>
      <c r="CG111" s="2059"/>
      <c r="CH111" s="2059"/>
      <c r="CI111" s="2059"/>
      <c r="CJ111" s="2059"/>
      <c r="CK111" s="2059"/>
      <c r="CL111" s="2059"/>
      <c r="CM111" s="2059"/>
      <c r="CN111" s="2059"/>
      <c r="CO111" s="2059"/>
      <c r="CP111" s="1576"/>
      <c r="CQ111" s="1576"/>
      <c r="CR111" s="1576"/>
      <c r="CS111" s="1576"/>
      <c r="CT111" s="1576"/>
      <c r="CU111" s="1576"/>
      <c r="CV111" s="1576"/>
      <c r="CW111" s="1576"/>
      <c r="CX111" s="1576"/>
      <c r="CY111" s="1576"/>
      <c r="CZ111" s="1576"/>
      <c r="DA111" s="1576"/>
      <c r="DB111" s="1576"/>
      <c r="DC111" s="1576"/>
      <c r="DD111" s="1576"/>
      <c r="DE111" s="1576"/>
      <c r="DF111" s="1576"/>
      <c r="DG111" s="1576"/>
      <c r="DH111" s="1576"/>
      <c r="DI111" s="1576"/>
      <c r="DJ111" s="1576"/>
      <c r="DK111" s="1576"/>
      <c r="DL111" s="1576"/>
      <c r="DM111" s="1576"/>
      <c r="DN111" s="1576"/>
      <c r="DO111" s="1576"/>
      <c r="DP111" s="1576"/>
      <c r="DQ111" s="1576"/>
      <c r="DR111" s="1576"/>
      <c r="DS111" s="1576"/>
      <c r="DT111" s="1576"/>
      <c r="DU111" s="1576"/>
      <c r="DV111" s="1576"/>
      <c r="DW111" s="1576"/>
      <c r="DX111" s="1576"/>
      <c r="DY111" s="1576"/>
      <c r="DZ111" s="1576"/>
      <c r="EA111" s="1576"/>
      <c r="EB111" s="1576"/>
      <c r="EC111" s="1576"/>
      <c r="ED111" s="1576"/>
      <c r="EE111" s="1576"/>
      <c r="EF111" s="1576"/>
      <c r="EG111" s="1576"/>
      <c r="EH111" s="1576"/>
      <c r="EI111" s="1576"/>
      <c r="EJ111" s="1576"/>
      <c r="EK111" s="1576"/>
      <c r="EL111" s="1576"/>
      <c r="EM111" s="1576"/>
      <c r="EN111" s="1576"/>
      <c r="EO111" s="1576"/>
      <c r="EP111" s="1576"/>
      <c r="EQ111" s="1576"/>
      <c r="ER111" s="1576"/>
      <c r="ES111" s="1576"/>
      <c r="ET111" s="1576"/>
      <c r="EU111" s="1576"/>
      <c r="EV111" s="1576"/>
      <c r="EW111" s="1576"/>
      <c r="EX111" s="1576"/>
      <c r="EY111" s="1576"/>
      <c r="EZ111" s="1576"/>
      <c r="FA111" s="1576"/>
      <c r="FB111" s="1576"/>
      <c r="FC111" s="1576"/>
      <c r="FD111" s="1576"/>
      <c r="FE111" s="1576"/>
      <c r="FF111" s="1576"/>
      <c r="FG111" s="1576"/>
      <c r="FH111" s="1576"/>
      <c r="FI111" s="1576"/>
      <c r="FJ111" s="1576"/>
      <c r="FK111" s="1576"/>
      <c r="FL111" s="1576"/>
      <c r="FM111" s="1576"/>
      <c r="FN111" s="1576"/>
      <c r="FO111" s="1576"/>
      <c r="FP111" s="1576"/>
      <c r="FQ111" s="1576"/>
      <c r="FR111" s="1576"/>
      <c r="FS111" s="1576"/>
      <c r="FT111" s="1576"/>
      <c r="FU111" s="1576"/>
      <c r="FV111" s="1576"/>
      <c r="FW111" s="1576"/>
      <c r="FX111" s="1576"/>
      <c r="FY111" s="1576"/>
      <c r="FZ111" s="1576"/>
      <c r="GA111" s="1576"/>
      <c r="GB111" s="1576"/>
      <c r="GC111" s="1576"/>
      <c r="GD111" s="1576"/>
      <c r="GE111" s="1576"/>
      <c r="GF111" s="1576"/>
      <c r="GG111" s="1576"/>
      <c r="GH111" s="1576"/>
      <c r="GI111" s="1576"/>
      <c r="GJ111" s="1576"/>
      <c r="GK111" s="1576"/>
      <c r="GL111" s="1576"/>
      <c r="GM111" s="1576"/>
      <c r="GN111" s="1576"/>
      <c r="GO111" s="1576"/>
      <c r="GP111" s="1576"/>
      <c r="GQ111" s="1576"/>
      <c r="GR111" s="1576"/>
      <c r="GS111" s="1576"/>
      <c r="GT111" s="1576"/>
      <c r="GU111" s="1576"/>
      <c r="GV111" s="1576"/>
      <c r="GW111" s="1576"/>
      <c r="GX111" s="1576"/>
      <c r="GY111" s="1576"/>
      <c r="GZ111" s="1576"/>
      <c r="HA111" s="1576"/>
      <c r="HB111" s="1576"/>
      <c r="HC111" s="1576"/>
      <c r="HD111" s="1576"/>
      <c r="HE111" s="1576"/>
      <c r="HF111" s="1576"/>
      <c r="HG111" s="1576"/>
      <c r="HH111" s="1576"/>
      <c r="HI111" s="1576"/>
      <c r="HJ111" s="1576"/>
      <c r="HK111" s="1576"/>
      <c r="HL111" s="1576"/>
      <c r="HM111" s="1576"/>
      <c r="HN111" s="1576"/>
      <c r="HO111" s="1576"/>
      <c r="HP111" s="1576"/>
      <c r="HQ111" s="1576"/>
      <c r="HR111" s="1576"/>
      <c r="HS111" s="1576"/>
      <c r="HT111" s="1576"/>
      <c r="HU111" s="1576"/>
      <c r="HV111" s="1576"/>
      <c r="HW111" s="1576"/>
      <c r="HX111" s="1576"/>
      <c r="HY111" s="1576"/>
      <c r="HZ111" s="1576"/>
      <c r="IA111" s="1576"/>
      <c r="IB111" s="1576"/>
      <c r="IC111" s="1576"/>
      <c r="ID111" s="1576"/>
      <c r="IE111" s="1576"/>
      <c r="IF111" s="1576"/>
      <c r="IG111" s="1576"/>
      <c r="IH111" s="1576"/>
      <c r="II111" s="1576"/>
      <c r="IJ111" s="1576"/>
      <c r="IK111" s="1576"/>
      <c r="IL111" s="1576"/>
      <c r="IM111" s="1576"/>
      <c r="IN111" s="1576"/>
      <c r="IO111" s="1576"/>
      <c r="IP111" s="1576"/>
      <c r="IQ111" s="1576"/>
      <c r="IR111" s="1576"/>
      <c r="IS111" s="1576"/>
      <c r="IT111" s="1576"/>
      <c r="IU111" s="1576"/>
      <c r="IV111" s="1576"/>
      <c r="IW111" s="1576"/>
      <c r="IX111" s="1576"/>
      <c r="IY111" s="1576"/>
      <c r="IZ111" s="1576"/>
      <c r="JA111" s="2054"/>
      <c r="JB111" s="2054"/>
      <c r="JC111" s="2054"/>
      <c r="JD111" s="2054"/>
      <c r="JE111" s="2054"/>
      <c r="JF111" s="2054"/>
      <c r="JG111" s="2054"/>
      <c r="JH111" s="2054"/>
      <c r="JI111" s="2054"/>
      <c r="JJ111" s="2054"/>
      <c r="JK111" s="2054"/>
      <c r="JL111" s="2054"/>
      <c r="JM111" s="2054"/>
      <c r="JN111" s="2054"/>
      <c r="JO111" s="2054"/>
      <c r="JP111" s="2054"/>
      <c r="JQ111" s="2054"/>
      <c r="JR111" s="1576"/>
      <c r="JS111" s="1576"/>
      <c r="JT111" s="1576"/>
      <c r="JU111" s="1576"/>
      <c r="JV111" s="1576"/>
      <c r="JW111" s="1576"/>
      <c r="JX111" s="1576"/>
      <c r="JY111" s="1576"/>
      <c r="JZ111" s="1576"/>
      <c r="KA111" s="1576"/>
      <c r="KB111" s="1576"/>
      <c r="KC111" s="1576"/>
      <c r="KD111" s="1576"/>
      <c r="KE111" s="1576"/>
      <c r="KF111" s="1576"/>
      <c r="KG111" s="1576"/>
      <c r="KH111" s="1576"/>
      <c r="KI111" s="1576"/>
      <c r="KJ111" s="1576"/>
      <c r="KK111" s="1576"/>
      <c r="KL111" s="1576"/>
      <c r="KM111" s="1576"/>
      <c r="KN111" s="1576"/>
      <c r="KO111" s="1576"/>
      <c r="KP111" s="1576"/>
      <c r="KQ111" s="1576"/>
      <c r="KR111" s="1576"/>
      <c r="KS111" s="1576"/>
      <c r="KT111" s="1576"/>
      <c r="KU111" s="1576"/>
      <c r="KV111" s="1576"/>
      <c r="KW111" s="1576"/>
      <c r="KX111" s="1576"/>
      <c r="KY111" s="1576"/>
      <c r="KZ111" s="1576"/>
      <c r="LA111" s="1576"/>
      <c r="LB111" s="1576"/>
      <c r="LC111" s="1576"/>
      <c r="LD111" s="1576"/>
      <c r="LE111" s="1576"/>
      <c r="LF111" s="1576"/>
      <c r="LG111" s="1576"/>
      <c r="LH111" s="1576"/>
      <c r="LI111" s="1576"/>
      <c r="LJ111" s="1576"/>
      <c r="LK111" s="1576"/>
      <c r="LL111" s="1576"/>
      <c r="LM111" s="1576"/>
      <c r="LN111" s="1576"/>
      <c r="LO111" s="1576"/>
      <c r="LP111" s="1576"/>
      <c r="LQ111" s="1576"/>
      <c r="LR111" s="1576"/>
      <c r="LS111" s="1576"/>
      <c r="LT111" s="1576"/>
      <c r="LU111" s="1576"/>
      <c r="LV111" s="1576"/>
      <c r="LW111" s="1576"/>
      <c r="LX111" s="1576"/>
      <c r="LY111" s="1576"/>
      <c r="LZ111" s="1576"/>
      <c r="MA111" s="1576"/>
      <c r="MB111" s="1576"/>
      <c r="MC111" s="1576"/>
      <c r="MD111" s="1576"/>
      <c r="ME111" s="1576"/>
      <c r="MF111" s="1576"/>
      <c r="MG111" s="1576"/>
      <c r="MH111" s="1576"/>
      <c r="MI111" s="1576"/>
      <c r="MJ111" s="1576"/>
      <c r="MK111" s="1576"/>
      <c r="ML111" s="1576"/>
      <c r="MM111" s="1576"/>
      <c r="MN111" s="1576"/>
      <c r="MO111" s="1576"/>
      <c r="MP111" s="1576"/>
      <c r="MQ111" s="1576"/>
      <c r="MR111" s="1576"/>
      <c r="MS111" s="1576"/>
      <c r="MT111" s="1576"/>
      <c r="MU111" s="1576"/>
      <c r="MV111" s="1576"/>
      <c r="MW111" s="1576"/>
      <c r="MX111" s="1576"/>
      <c r="MY111" s="1576"/>
      <c r="MZ111" s="1576"/>
      <c r="NA111" s="1576"/>
      <c r="NB111" s="1576"/>
      <c r="NC111" s="1576"/>
      <c r="ND111" s="1576"/>
      <c r="NE111" s="1576"/>
      <c r="NF111" s="1576"/>
      <c r="NG111" s="1576"/>
      <c r="NH111" s="1576"/>
      <c r="NI111" s="1576"/>
      <c r="NJ111" s="1576"/>
      <c r="NK111" s="1576"/>
      <c r="NL111" s="1576"/>
      <c r="NM111" s="1576"/>
      <c r="NN111" s="1576"/>
      <c r="NO111" s="1576"/>
      <c r="NP111" s="1576"/>
      <c r="NQ111" s="1576"/>
      <c r="NR111" s="1576"/>
      <c r="NS111" s="1576"/>
      <c r="NT111" s="1576"/>
      <c r="NU111" s="1576"/>
      <c r="NV111" s="1576"/>
      <c r="NW111" s="1576"/>
      <c r="NX111" s="1576"/>
      <c r="NY111" s="1576"/>
      <c r="NZ111" s="1576"/>
      <c r="OA111" s="1576"/>
      <c r="OB111" s="1576"/>
      <c r="OC111" s="1576"/>
      <c r="OD111" s="1576"/>
      <c r="OE111" s="1576"/>
      <c r="OF111" s="1576"/>
      <c r="OG111" s="1576"/>
      <c r="OH111" s="1576"/>
      <c r="OI111" s="1576"/>
      <c r="OJ111" s="1576"/>
      <c r="OK111" s="1576"/>
      <c r="OL111" s="1576"/>
      <c r="OM111" s="1576"/>
      <c r="ON111" s="1576"/>
      <c r="OO111" s="1576"/>
      <c r="OP111" s="1576"/>
      <c r="OQ111" s="1576"/>
      <c r="OR111" s="1576"/>
      <c r="OS111" s="1576"/>
      <c r="OT111" s="1576"/>
      <c r="OU111" s="1576"/>
      <c r="OV111" s="1576"/>
      <c r="OW111" s="1576"/>
      <c r="OX111" s="1576"/>
      <c r="OY111" s="1576"/>
      <c r="OZ111" s="1576"/>
      <c r="PA111" s="1576"/>
      <c r="PB111" s="1576"/>
      <c r="PC111" s="1576"/>
      <c r="PD111" s="1576"/>
      <c r="PE111" s="1576"/>
      <c r="PF111" s="1576"/>
      <c r="PG111" s="1576"/>
      <c r="PH111" s="1576"/>
      <c r="PI111" s="1576"/>
      <c r="PJ111" s="1576"/>
      <c r="PK111" s="1576"/>
      <c r="PL111" s="1576"/>
      <c r="PM111" s="1576"/>
      <c r="PN111" s="1576"/>
      <c r="PO111" s="1576"/>
      <c r="PP111" s="1576"/>
      <c r="PQ111" s="1576"/>
      <c r="PR111" s="1576"/>
      <c r="PS111" s="1576"/>
      <c r="PT111" s="1576"/>
      <c r="PU111" s="1576"/>
      <c r="PV111" s="1576"/>
      <c r="PW111" s="1576"/>
      <c r="PX111" s="1576"/>
      <c r="PY111" s="1576"/>
      <c r="PZ111" s="1576"/>
      <c r="QA111" s="1576"/>
      <c r="QB111" s="1576"/>
      <c r="QC111" s="1576"/>
      <c r="QD111" s="1576"/>
      <c r="QE111" s="1576"/>
      <c r="QF111" s="1576"/>
      <c r="QG111" s="1576"/>
      <c r="QH111" s="1576"/>
      <c r="QI111" s="1576"/>
      <c r="QJ111" s="1576"/>
      <c r="QK111" s="1576"/>
      <c r="QL111" s="1576"/>
      <c r="QM111" s="1576"/>
      <c r="QN111" s="1576"/>
      <c r="QO111" s="1576"/>
      <c r="QP111" s="1576"/>
      <c r="QQ111" s="1576"/>
      <c r="QR111" s="1576"/>
      <c r="QS111" s="1576"/>
      <c r="QT111" s="1576"/>
      <c r="QU111" s="1576"/>
      <c r="QV111" s="1576"/>
      <c r="QW111" s="1576"/>
      <c r="QX111" s="1576"/>
      <c r="QY111" s="1576"/>
      <c r="QZ111" s="1576"/>
      <c r="RA111" s="1576"/>
      <c r="RB111" s="1576"/>
      <c r="RC111" s="1576"/>
      <c r="RD111" s="1576"/>
      <c r="RE111" s="1576"/>
      <c r="RF111" s="1576"/>
      <c r="RG111" s="1576"/>
      <c r="RH111" s="1576"/>
      <c r="RI111" s="1576"/>
      <c r="RJ111" s="1576"/>
      <c r="RK111" s="1576"/>
      <c r="RL111" s="1576"/>
      <c r="RM111" s="1576"/>
      <c r="RN111" s="1576"/>
      <c r="RO111" s="1576"/>
      <c r="RP111" s="1576"/>
      <c r="RQ111" s="1576"/>
      <c r="RR111" s="1576"/>
      <c r="RS111" s="1576"/>
      <c r="RT111" s="1576"/>
      <c r="RU111" s="1576"/>
      <c r="RV111" s="1576"/>
      <c r="RW111" s="1576"/>
      <c r="RX111" s="1576"/>
      <c r="RY111" s="1576"/>
      <c r="RZ111" s="1576"/>
      <c r="SA111" s="1576"/>
      <c r="SB111" s="1576"/>
      <c r="SC111" s="1576"/>
      <c r="SD111" s="1576"/>
      <c r="SE111" s="1576"/>
      <c r="SF111" s="1576"/>
      <c r="SG111" s="1576"/>
      <c r="SH111" s="1576"/>
      <c r="SI111" s="1576"/>
      <c r="SJ111" s="1576"/>
      <c r="SK111" s="1576"/>
      <c r="SL111" s="1576"/>
      <c r="SM111" s="1576"/>
      <c r="SN111" s="1576"/>
      <c r="SO111" s="1576"/>
      <c r="SP111" s="1576"/>
      <c r="SQ111" s="1576"/>
      <c r="SR111" s="1576"/>
      <c r="SS111" s="1576"/>
      <c r="ST111" s="1576"/>
      <c r="SU111" s="1576"/>
      <c r="SV111" s="1576"/>
      <c r="SW111" s="1576"/>
      <c r="SX111" s="1576"/>
      <c r="SY111" s="1576"/>
      <c r="SZ111" s="1576"/>
      <c r="TA111" s="1576"/>
      <c r="TB111" s="1576"/>
      <c r="TC111" s="1576"/>
      <c r="TD111" s="1576"/>
      <c r="TE111" s="1576"/>
      <c r="TF111" s="1576"/>
      <c r="TG111" s="1576"/>
      <c r="TH111" s="1576"/>
      <c r="TI111" s="1576"/>
      <c r="TJ111" s="1576"/>
      <c r="TK111" s="1576"/>
      <c r="TL111" s="1576"/>
      <c r="TM111" s="1576"/>
      <c r="TN111" s="1576"/>
      <c r="TO111" s="1576"/>
      <c r="TP111" s="1576"/>
      <c r="TQ111" s="1576"/>
      <c r="TR111" s="1576"/>
      <c r="TS111" s="1576"/>
      <c r="TT111" s="1576"/>
      <c r="TU111" s="1576"/>
      <c r="TV111" s="1576"/>
      <c r="TW111" s="1576"/>
      <c r="TX111" s="1576"/>
      <c r="TY111" s="1576"/>
      <c r="TZ111" s="1576"/>
      <c r="UA111" s="1576"/>
      <c r="UB111" s="1576"/>
      <c r="UC111" s="1576"/>
      <c r="UD111" s="1576"/>
      <c r="UE111" s="1576"/>
      <c r="UF111" s="1576"/>
      <c r="UG111" s="1576"/>
      <c r="UH111" s="1576"/>
      <c r="UI111" s="1576"/>
      <c r="UJ111" s="1576"/>
      <c r="UK111" s="1576"/>
      <c r="UL111" s="1576"/>
      <c r="UM111" s="1576"/>
      <c r="UN111" s="1576"/>
      <c r="UO111" s="1576"/>
      <c r="UP111" s="1576"/>
      <c r="UQ111" s="1576"/>
      <c r="UR111" s="1576"/>
      <c r="US111" s="1576"/>
      <c r="UT111" s="1576"/>
      <c r="UU111" s="1576"/>
      <c r="UV111" s="1576"/>
      <c r="UW111" s="1576"/>
      <c r="UX111" s="1576"/>
      <c r="UY111" s="1576"/>
      <c r="UZ111" s="1576"/>
      <c r="VA111" s="1576"/>
      <c r="VB111" s="1576"/>
      <c r="VC111" s="1576"/>
      <c r="VD111" s="1576"/>
      <c r="VE111" s="1576"/>
      <c r="VF111" s="1576"/>
      <c r="VG111" s="1576"/>
      <c r="VH111" s="1576"/>
      <c r="VI111" s="1576"/>
      <c r="VJ111" s="1576"/>
      <c r="VK111" s="1576"/>
    </row>
    <row r="112" spans="1:583" ht="27" x14ac:dyDescent="0.25">
      <c r="B112" s="1610" t="s">
        <v>2799</v>
      </c>
      <c r="C112" s="1582" t="s">
        <v>2809</v>
      </c>
      <c r="D112" s="4710" t="s">
        <v>2810</v>
      </c>
      <c r="E112" s="4710"/>
      <c r="F112" s="2057"/>
      <c r="G112" s="2057"/>
      <c r="H112" s="2057"/>
      <c r="I112" s="2059"/>
      <c r="J112" s="2059"/>
      <c r="K112" s="2059"/>
      <c r="L112" s="2059"/>
      <c r="M112" s="2059"/>
      <c r="N112" s="2059"/>
      <c r="O112" s="2059"/>
      <c r="P112" s="2059"/>
      <c r="Q112" s="2059"/>
      <c r="R112" s="2059"/>
      <c r="S112" s="2059"/>
      <c r="T112" s="2059"/>
      <c r="U112" s="2059"/>
      <c r="V112" s="2059"/>
      <c r="W112" s="2059"/>
      <c r="X112" s="2059"/>
      <c r="Y112" s="2059"/>
      <c r="Z112" s="2059"/>
      <c r="AA112" s="2059"/>
      <c r="AB112" s="2059"/>
      <c r="AC112" s="2059"/>
      <c r="AD112" s="2059"/>
      <c r="AE112" s="2059"/>
      <c r="AF112" s="2059"/>
      <c r="AG112" s="2059"/>
      <c r="AH112" s="2059"/>
      <c r="AI112" s="2059"/>
      <c r="AJ112" s="2059"/>
      <c r="AK112" s="2059"/>
      <c r="AL112" s="2059"/>
      <c r="AM112" s="2059"/>
      <c r="AN112" s="2059"/>
      <c r="AO112" s="2059"/>
      <c r="AP112" s="2059"/>
      <c r="AQ112" s="2059"/>
      <c r="AR112" s="2059"/>
      <c r="AS112" s="2059"/>
      <c r="AT112" s="2059"/>
      <c r="AU112" s="2059"/>
      <c r="AV112" s="2059"/>
      <c r="AW112" s="2059"/>
      <c r="AX112" s="2059"/>
      <c r="AY112" s="2059"/>
      <c r="AZ112" s="2059"/>
      <c r="BA112" s="2059"/>
      <c r="BB112" s="2059"/>
      <c r="BC112" s="2059"/>
      <c r="BD112" s="2059"/>
      <c r="BE112" s="2059"/>
      <c r="BF112" s="2059"/>
      <c r="BG112" s="2059"/>
      <c r="BH112" s="2059"/>
      <c r="BI112" s="2059"/>
      <c r="BJ112" s="2059"/>
      <c r="BK112" s="2059"/>
      <c r="BL112" s="2059"/>
      <c r="BM112" s="2059"/>
      <c r="BN112" s="2059"/>
      <c r="BO112" s="2059"/>
      <c r="BP112" s="2059"/>
      <c r="BQ112" s="2059"/>
      <c r="BR112" s="2059"/>
      <c r="BS112" s="2059"/>
      <c r="BT112" s="2059"/>
      <c r="BU112" s="2059"/>
      <c r="BV112" s="2059"/>
      <c r="BW112" s="2059"/>
      <c r="BX112" s="2059"/>
      <c r="BY112" s="2059"/>
      <c r="BZ112" s="2059"/>
      <c r="CA112" s="2059"/>
      <c r="CB112" s="2059"/>
      <c r="CC112" s="2059"/>
      <c r="CD112" s="2059"/>
      <c r="CE112" s="2059"/>
      <c r="CF112" s="2059"/>
      <c r="CG112" s="2059"/>
      <c r="CH112" s="2059"/>
      <c r="CI112" s="2059"/>
      <c r="CJ112" s="2059"/>
      <c r="CK112" s="2059"/>
      <c r="CL112" s="2059"/>
      <c r="CM112" s="2059"/>
      <c r="CN112" s="2059"/>
      <c r="CO112" s="2059"/>
      <c r="CP112" s="1576"/>
      <c r="CQ112" s="1576"/>
      <c r="CR112" s="1576"/>
      <c r="CS112" s="1576"/>
      <c r="CT112" s="1576"/>
      <c r="CU112" s="1576"/>
      <c r="CV112" s="1576"/>
      <c r="CW112" s="1576"/>
      <c r="CX112" s="1576"/>
      <c r="CY112" s="1576"/>
      <c r="CZ112" s="1576"/>
      <c r="DA112" s="1576"/>
      <c r="DB112" s="1576"/>
      <c r="DC112" s="1576"/>
      <c r="DD112" s="1576"/>
      <c r="DE112" s="1576"/>
      <c r="DF112" s="1576"/>
      <c r="DG112" s="1576"/>
      <c r="DH112" s="1576"/>
      <c r="DI112" s="1576"/>
      <c r="DJ112" s="1576"/>
      <c r="DK112" s="1576"/>
      <c r="DL112" s="1576"/>
      <c r="DM112" s="1576"/>
      <c r="DN112" s="1576"/>
      <c r="DO112" s="1576"/>
      <c r="DP112" s="1576"/>
      <c r="DQ112" s="1576"/>
      <c r="DR112" s="1576"/>
      <c r="DS112" s="1576"/>
      <c r="DT112" s="1576"/>
      <c r="DU112" s="1576"/>
      <c r="DV112" s="1576"/>
      <c r="DW112" s="1576"/>
      <c r="DX112" s="1576"/>
      <c r="DY112" s="1576"/>
      <c r="DZ112" s="1576"/>
      <c r="EA112" s="1576"/>
      <c r="EB112" s="1576"/>
      <c r="EC112" s="1576"/>
      <c r="ED112" s="1576"/>
      <c r="EE112" s="1576"/>
      <c r="EF112" s="1576"/>
      <c r="EG112" s="1576"/>
      <c r="EH112" s="1576"/>
      <c r="EI112" s="1576"/>
      <c r="EJ112" s="1576"/>
      <c r="EK112" s="1576"/>
      <c r="EL112" s="1576"/>
      <c r="EM112" s="1576"/>
      <c r="EN112" s="1576"/>
      <c r="EO112" s="1576"/>
      <c r="EP112" s="1576"/>
      <c r="EQ112" s="1576"/>
      <c r="ER112" s="1576"/>
      <c r="ES112" s="1576"/>
      <c r="ET112" s="1576"/>
      <c r="EU112" s="1576"/>
      <c r="EV112" s="1576"/>
      <c r="EW112" s="1576"/>
      <c r="EX112" s="1576"/>
      <c r="EY112" s="1576"/>
      <c r="EZ112" s="1576"/>
      <c r="FA112" s="1576"/>
      <c r="FB112" s="1576"/>
      <c r="FC112" s="1576"/>
      <c r="FD112" s="1576"/>
      <c r="FE112" s="1576"/>
      <c r="FF112" s="1576"/>
      <c r="FG112" s="1576"/>
      <c r="FH112" s="1576"/>
      <c r="FI112" s="1576"/>
      <c r="FJ112" s="1576"/>
      <c r="FK112" s="1576"/>
      <c r="FL112" s="1576"/>
      <c r="FM112" s="1576"/>
      <c r="FN112" s="1576"/>
      <c r="FO112" s="1576"/>
      <c r="FP112" s="1576"/>
      <c r="FQ112" s="1576"/>
      <c r="FR112" s="1576"/>
      <c r="FS112" s="1576"/>
      <c r="FT112" s="1576"/>
      <c r="FU112" s="1576"/>
      <c r="FV112" s="1576"/>
      <c r="FW112" s="1576"/>
      <c r="FX112" s="1576"/>
      <c r="FY112" s="1576"/>
      <c r="FZ112" s="1576"/>
      <c r="GA112" s="1576"/>
      <c r="GB112" s="1576"/>
      <c r="GC112" s="1576"/>
      <c r="GD112" s="1576"/>
      <c r="GE112" s="1576"/>
      <c r="GF112" s="1576"/>
      <c r="GG112" s="1576"/>
      <c r="GH112" s="1576"/>
      <c r="GI112" s="1576"/>
      <c r="GJ112" s="1576"/>
      <c r="GK112" s="1576"/>
      <c r="GL112" s="1576"/>
      <c r="GM112" s="1576"/>
      <c r="GN112" s="1576"/>
      <c r="GO112" s="1576"/>
      <c r="GP112" s="1576"/>
      <c r="GQ112" s="1576"/>
      <c r="GR112" s="1576"/>
      <c r="GS112" s="1576"/>
      <c r="GT112" s="1576"/>
      <c r="GU112" s="1576"/>
      <c r="GV112" s="1576"/>
      <c r="GW112" s="1576"/>
      <c r="GX112" s="1576"/>
      <c r="GY112" s="1576"/>
      <c r="GZ112" s="1576"/>
      <c r="HA112" s="1576"/>
      <c r="HB112" s="1576"/>
      <c r="HC112" s="1576"/>
      <c r="HD112" s="1576"/>
      <c r="HE112" s="1576"/>
      <c r="HF112" s="1576"/>
      <c r="HG112" s="1576"/>
      <c r="HH112" s="1576"/>
      <c r="HI112" s="1576"/>
      <c r="HJ112" s="1576"/>
      <c r="HK112" s="1576"/>
      <c r="HL112" s="1576"/>
      <c r="HM112" s="1576"/>
      <c r="HN112" s="1576"/>
      <c r="HO112" s="1576"/>
      <c r="HP112" s="1576"/>
      <c r="HQ112" s="1576"/>
      <c r="HR112" s="1576"/>
      <c r="HS112" s="1576"/>
      <c r="HT112" s="1576"/>
      <c r="HU112" s="1576"/>
      <c r="HV112" s="1576"/>
      <c r="HW112" s="1576"/>
      <c r="HX112" s="1576"/>
      <c r="HY112" s="1576"/>
      <c r="HZ112" s="1576"/>
      <c r="IA112" s="1576"/>
      <c r="IB112" s="1576"/>
      <c r="IC112" s="1576"/>
      <c r="ID112" s="1576"/>
      <c r="IE112" s="1576"/>
      <c r="IF112" s="1576"/>
      <c r="IG112" s="1576"/>
      <c r="IH112" s="1576"/>
      <c r="II112" s="1576"/>
      <c r="IJ112" s="1576"/>
      <c r="IK112" s="1576"/>
      <c r="IL112" s="1576"/>
      <c r="IM112" s="1576"/>
      <c r="IN112" s="1576"/>
      <c r="IO112" s="1576"/>
      <c r="IP112" s="1576"/>
      <c r="IQ112" s="1576"/>
      <c r="IR112" s="1576"/>
      <c r="IS112" s="1576"/>
      <c r="IT112" s="1576"/>
      <c r="IU112" s="1576"/>
      <c r="IV112" s="1576"/>
      <c r="IW112" s="1576"/>
      <c r="IX112" s="1576"/>
      <c r="IY112" s="1576"/>
      <c r="IZ112" s="1576"/>
      <c r="JA112" s="2054"/>
      <c r="JB112" s="2054"/>
      <c r="JC112" s="2054"/>
      <c r="JD112" s="2054"/>
      <c r="JE112" s="2054"/>
      <c r="JF112" s="2054"/>
      <c r="JG112" s="2054"/>
      <c r="JH112" s="2054"/>
      <c r="JI112" s="2054"/>
      <c r="JJ112" s="2054"/>
      <c r="JK112" s="2054"/>
      <c r="JL112" s="2054"/>
      <c r="JM112" s="2054"/>
      <c r="JN112" s="2054"/>
      <c r="JO112" s="2054"/>
      <c r="JP112" s="2054"/>
      <c r="JQ112" s="2054"/>
      <c r="JR112" s="1576"/>
      <c r="JS112" s="1576"/>
      <c r="JT112" s="1576"/>
      <c r="JU112" s="1576"/>
      <c r="JV112" s="1576"/>
      <c r="JW112" s="1576"/>
      <c r="JX112" s="1576"/>
      <c r="JY112" s="1576"/>
      <c r="JZ112" s="1576"/>
      <c r="KA112" s="1576"/>
      <c r="KB112" s="1576"/>
      <c r="KC112" s="1576"/>
      <c r="KD112" s="1576"/>
      <c r="KE112" s="1576"/>
      <c r="KF112" s="1576"/>
      <c r="KG112" s="1576"/>
      <c r="KH112" s="1576"/>
      <c r="KI112" s="1576"/>
      <c r="KJ112" s="1576"/>
      <c r="KK112" s="1576"/>
      <c r="KL112" s="1576"/>
      <c r="KM112" s="1576"/>
      <c r="KN112" s="1576"/>
      <c r="KO112" s="1576"/>
      <c r="KP112" s="1576"/>
      <c r="KQ112" s="1576"/>
      <c r="KR112" s="1576"/>
      <c r="KS112" s="1576"/>
      <c r="KT112" s="1576"/>
      <c r="KU112" s="1576"/>
      <c r="KV112" s="1576"/>
      <c r="KW112" s="1576"/>
      <c r="KX112" s="1576"/>
      <c r="KY112" s="1576"/>
      <c r="KZ112" s="1576"/>
      <c r="LA112" s="1576"/>
      <c r="LB112" s="1576"/>
      <c r="LC112" s="1576"/>
      <c r="LD112" s="1576"/>
      <c r="LE112" s="1576"/>
      <c r="LF112" s="1576"/>
      <c r="LG112" s="1576"/>
      <c r="LH112" s="1576"/>
      <c r="LI112" s="1576"/>
      <c r="LJ112" s="1576"/>
      <c r="LK112" s="1576"/>
      <c r="LL112" s="1576"/>
      <c r="LM112" s="1576"/>
      <c r="LN112" s="1576"/>
      <c r="LO112" s="1576"/>
      <c r="LP112" s="1576"/>
      <c r="LQ112" s="1576"/>
      <c r="LR112" s="1576"/>
      <c r="LS112" s="1576"/>
      <c r="LT112" s="1576"/>
      <c r="LU112" s="1576"/>
      <c r="LV112" s="1576"/>
      <c r="LW112" s="1576"/>
      <c r="LX112" s="1576"/>
      <c r="LY112" s="1576"/>
      <c r="LZ112" s="1576"/>
      <c r="MA112" s="1576"/>
      <c r="MB112" s="1576"/>
      <c r="MC112" s="1576"/>
      <c r="MD112" s="1576"/>
      <c r="ME112" s="1576"/>
      <c r="MF112" s="1576"/>
      <c r="MG112" s="1576"/>
      <c r="MH112" s="1576"/>
      <c r="MI112" s="1576"/>
      <c r="MJ112" s="1576"/>
      <c r="MK112" s="1576"/>
      <c r="ML112" s="1576"/>
      <c r="MM112" s="1576"/>
      <c r="MN112" s="1576"/>
      <c r="MO112" s="1576"/>
      <c r="MP112" s="1576"/>
      <c r="MQ112" s="1576"/>
      <c r="MR112" s="1576"/>
      <c r="MS112" s="1576"/>
      <c r="MT112" s="1576"/>
      <c r="MU112" s="1576"/>
      <c r="MV112" s="1576"/>
      <c r="MW112" s="1576"/>
      <c r="MX112" s="1576"/>
      <c r="MY112" s="1576"/>
      <c r="MZ112" s="1576"/>
      <c r="NA112" s="1576"/>
      <c r="NB112" s="1576"/>
      <c r="NC112" s="1576"/>
      <c r="ND112" s="1576"/>
      <c r="NE112" s="1576"/>
      <c r="NF112" s="1576"/>
      <c r="NG112" s="1576"/>
      <c r="NH112" s="1576"/>
      <c r="NI112" s="1576"/>
      <c r="NJ112" s="1576"/>
      <c r="NK112" s="1576"/>
      <c r="NL112" s="1576"/>
      <c r="NM112" s="1576"/>
      <c r="NN112" s="1576"/>
      <c r="NO112" s="1576"/>
      <c r="NP112" s="1576"/>
      <c r="NQ112" s="1576"/>
      <c r="NR112" s="1576"/>
      <c r="NS112" s="1576"/>
      <c r="NT112" s="1576"/>
      <c r="NU112" s="1576"/>
      <c r="NV112" s="1576"/>
      <c r="NW112" s="1576"/>
      <c r="NX112" s="1576"/>
      <c r="NY112" s="1576"/>
      <c r="NZ112" s="1576"/>
      <c r="OA112" s="1576"/>
      <c r="OB112" s="1576"/>
      <c r="OC112" s="1576"/>
      <c r="OD112" s="1576"/>
      <c r="OE112" s="1576"/>
      <c r="OF112" s="1576"/>
      <c r="OG112" s="1576"/>
      <c r="OH112" s="1576"/>
      <c r="OI112" s="1576"/>
      <c r="OJ112" s="1576"/>
      <c r="OK112" s="1576"/>
      <c r="OL112" s="1576"/>
      <c r="OM112" s="1576"/>
      <c r="ON112" s="1576"/>
      <c r="OO112" s="1576"/>
      <c r="OP112" s="1576"/>
      <c r="OQ112" s="1576"/>
      <c r="OR112" s="1576"/>
      <c r="OS112" s="1576"/>
      <c r="OT112" s="1576"/>
      <c r="OU112" s="1576"/>
      <c r="OV112" s="1576"/>
      <c r="OW112" s="1576"/>
      <c r="OX112" s="1576"/>
      <c r="OY112" s="1576"/>
      <c r="OZ112" s="1576"/>
      <c r="PA112" s="1576"/>
      <c r="PB112" s="1576"/>
      <c r="PC112" s="1576"/>
      <c r="PD112" s="1576"/>
      <c r="PE112" s="1576"/>
      <c r="PF112" s="1576"/>
      <c r="PG112" s="1576"/>
      <c r="PH112" s="1576"/>
      <c r="PI112" s="1576"/>
      <c r="PJ112" s="1576"/>
      <c r="PK112" s="1576"/>
      <c r="PL112" s="1576"/>
      <c r="PM112" s="1576"/>
      <c r="PN112" s="1576"/>
      <c r="PO112" s="1576"/>
      <c r="PP112" s="1576"/>
      <c r="PQ112" s="1576"/>
      <c r="PR112" s="1576"/>
      <c r="PS112" s="1576"/>
      <c r="PT112" s="1576"/>
      <c r="PU112" s="1576"/>
      <c r="PV112" s="1576"/>
      <c r="PW112" s="1576"/>
      <c r="PX112" s="1576"/>
      <c r="PY112" s="1576"/>
      <c r="PZ112" s="1576"/>
      <c r="QA112" s="1576"/>
      <c r="QB112" s="1576"/>
      <c r="QC112" s="1576"/>
      <c r="QD112" s="1576"/>
      <c r="QE112" s="1576"/>
      <c r="QF112" s="1576"/>
      <c r="QG112" s="1576"/>
      <c r="QH112" s="1576"/>
      <c r="QI112" s="1576"/>
      <c r="QJ112" s="1576"/>
      <c r="QK112" s="1576"/>
      <c r="QL112" s="1576"/>
      <c r="QM112" s="1576"/>
      <c r="QN112" s="1576"/>
      <c r="QO112" s="1576"/>
      <c r="QP112" s="1576"/>
      <c r="QQ112" s="1576"/>
      <c r="QR112" s="1576"/>
      <c r="QS112" s="1576"/>
      <c r="QT112" s="1576"/>
      <c r="QU112" s="1576"/>
      <c r="QV112" s="1576"/>
      <c r="QW112" s="1576"/>
      <c r="QX112" s="1576"/>
      <c r="QY112" s="1576"/>
      <c r="QZ112" s="1576"/>
      <c r="RA112" s="1576"/>
      <c r="RB112" s="1576"/>
      <c r="RC112" s="1576"/>
      <c r="RD112" s="1576"/>
      <c r="RE112" s="1576"/>
      <c r="RF112" s="1576"/>
      <c r="RG112" s="1576"/>
      <c r="RH112" s="1576"/>
      <c r="RI112" s="1576"/>
      <c r="RJ112" s="1576"/>
      <c r="RK112" s="1576"/>
      <c r="RL112" s="1576"/>
      <c r="RM112" s="1576"/>
      <c r="RN112" s="1576"/>
      <c r="RO112" s="1576"/>
      <c r="RP112" s="1576"/>
      <c r="RQ112" s="1576"/>
      <c r="RR112" s="1576"/>
      <c r="RS112" s="1576"/>
      <c r="RT112" s="1576"/>
      <c r="RU112" s="1576"/>
      <c r="RV112" s="1576"/>
      <c r="RW112" s="1576"/>
      <c r="RX112" s="1576"/>
      <c r="RY112" s="1576"/>
      <c r="RZ112" s="1576"/>
      <c r="SA112" s="1576"/>
      <c r="SB112" s="1576"/>
      <c r="SC112" s="1576"/>
      <c r="SD112" s="1576"/>
      <c r="SE112" s="1576"/>
      <c r="SF112" s="1576"/>
      <c r="SG112" s="1576"/>
      <c r="SH112" s="1576"/>
      <c r="SI112" s="1576"/>
      <c r="SJ112" s="1576"/>
      <c r="SK112" s="1576"/>
      <c r="SL112" s="1576"/>
      <c r="SM112" s="1576"/>
      <c r="SN112" s="1576"/>
      <c r="SO112" s="1576"/>
      <c r="SP112" s="1576"/>
      <c r="SQ112" s="1576"/>
      <c r="SR112" s="1576"/>
      <c r="SS112" s="1576"/>
      <c r="ST112" s="1576"/>
      <c r="SU112" s="1576"/>
      <c r="SV112" s="1576"/>
      <c r="SW112" s="1576"/>
      <c r="SX112" s="1576"/>
      <c r="SY112" s="1576"/>
      <c r="SZ112" s="1576"/>
      <c r="TA112" s="1576"/>
      <c r="TB112" s="1576"/>
      <c r="TC112" s="1576"/>
      <c r="TD112" s="1576"/>
      <c r="TE112" s="1576"/>
      <c r="TF112" s="1576"/>
      <c r="TG112" s="1576"/>
      <c r="TH112" s="1576"/>
      <c r="TI112" s="1576"/>
      <c r="TJ112" s="1576"/>
      <c r="TK112" s="1576"/>
      <c r="TL112" s="1576"/>
      <c r="TM112" s="1576"/>
      <c r="TN112" s="1576"/>
      <c r="TO112" s="1576"/>
      <c r="TP112" s="1576"/>
      <c r="TQ112" s="1576"/>
      <c r="TR112" s="1576"/>
      <c r="TS112" s="1576"/>
      <c r="TT112" s="1576"/>
      <c r="TU112" s="1576"/>
      <c r="TV112" s="1576"/>
      <c r="TW112" s="1576"/>
      <c r="TX112" s="1576"/>
      <c r="TY112" s="1576"/>
      <c r="TZ112" s="1576"/>
      <c r="UA112" s="1576"/>
      <c r="UB112" s="1576"/>
      <c r="UC112" s="1576"/>
      <c r="UD112" s="1576"/>
      <c r="UE112" s="1576"/>
      <c r="UF112" s="1576"/>
      <c r="UG112" s="1576"/>
      <c r="UH112" s="1576"/>
      <c r="UI112" s="1576"/>
      <c r="UJ112" s="1576"/>
      <c r="UK112" s="1576"/>
      <c r="UL112" s="1576"/>
      <c r="UM112" s="1576"/>
      <c r="UN112" s="1576"/>
      <c r="UO112" s="1576"/>
      <c r="UP112" s="1576"/>
      <c r="UQ112" s="1576"/>
      <c r="UR112" s="1576"/>
      <c r="US112" s="1576"/>
      <c r="UT112" s="1576"/>
      <c r="UU112" s="1576"/>
      <c r="UV112" s="1576"/>
      <c r="UW112" s="1576"/>
      <c r="UX112" s="1576"/>
      <c r="UY112" s="1576"/>
      <c r="UZ112" s="1576"/>
      <c r="VA112" s="1576"/>
      <c r="VB112" s="1576"/>
      <c r="VC112" s="1576"/>
      <c r="VD112" s="1576"/>
      <c r="VE112" s="1576"/>
      <c r="VF112" s="1576"/>
      <c r="VG112" s="1576"/>
      <c r="VH112" s="1576"/>
      <c r="VI112" s="1576"/>
      <c r="VJ112" s="1576"/>
      <c r="VK112" s="1576"/>
    </row>
    <row r="113" spans="1:583" ht="27" x14ac:dyDescent="0.25">
      <c r="B113" s="1610" t="s">
        <v>2799</v>
      </c>
      <c r="C113" s="1582" t="s">
        <v>2811</v>
      </c>
      <c r="D113" s="4710" t="s">
        <v>2812</v>
      </c>
      <c r="E113" s="4710">
        <v>0</v>
      </c>
      <c r="F113" s="2057"/>
      <c r="G113" s="2057"/>
      <c r="H113" s="2057"/>
      <c r="I113" s="2059"/>
      <c r="J113" s="2059"/>
      <c r="K113" s="2059"/>
      <c r="L113" s="2059"/>
      <c r="M113" s="2059"/>
      <c r="N113" s="2059"/>
      <c r="O113" s="2059"/>
      <c r="P113" s="2059"/>
      <c r="Q113" s="2059"/>
      <c r="R113" s="2059"/>
      <c r="S113" s="2059"/>
      <c r="T113" s="2059"/>
      <c r="U113" s="2059"/>
      <c r="V113" s="2059"/>
      <c r="W113" s="2059"/>
      <c r="X113" s="2059"/>
      <c r="Y113" s="2059"/>
      <c r="Z113" s="2059"/>
      <c r="AA113" s="2059"/>
      <c r="AB113" s="2059"/>
      <c r="AC113" s="2059"/>
      <c r="AD113" s="2059"/>
      <c r="AE113" s="2059"/>
      <c r="AF113" s="2059"/>
      <c r="AG113" s="2059"/>
      <c r="AH113" s="2059"/>
      <c r="AI113" s="2059"/>
      <c r="AJ113" s="2059"/>
      <c r="AK113" s="2059"/>
      <c r="AL113" s="2059"/>
      <c r="AM113" s="2059"/>
      <c r="AN113" s="2059"/>
      <c r="AO113" s="2059"/>
      <c r="AP113" s="2059"/>
      <c r="AQ113" s="2059"/>
      <c r="AR113" s="2059"/>
      <c r="AS113" s="2059"/>
      <c r="AT113" s="2059"/>
      <c r="AU113" s="2059"/>
      <c r="AV113" s="2059"/>
      <c r="AW113" s="2059"/>
      <c r="AX113" s="2059"/>
      <c r="AY113" s="2059"/>
      <c r="AZ113" s="2059"/>
      <c r="BA113" s="2059"/>
      <c r="BB113" s="2059"/>
      <c r="BC113" s="2059"/>
      <c r="BD113" s="2059"/>
      <c r="BE113" s="2059"/>
      <c r="BF113" s="2059"/>
      <c r="BG113" s="2059"/>
      <c r="BH113" s="2059"/>
      <c r="BI113" s="2059"/>
      <c r="BJ113" s="2059"/>
      <c r="BK113" s="2059"/>
      <c r="BL113" s="2059"/>
      <c r="BM113" s="2059"/>
      <c r="BN113" s="2059"/>
      <c r="BO113" s="2059"/>
      <c r="BP113" s="2059"/>
      <c r="BQ113" s="2059"/>
      <c r="BR113" s="2059"/>
      <c r="BS113" s="2059"/>
      <c r="BT113" s="2059"/>
      <c r="BU113" s="2059"/>
      <c r="BV113" s="2059"/>
      <c r="BW113" s="2059"/>
      <c r="BX113" s="2059"/>
      <c r="BY113" s="2059"/>
      <c r="BZ113" s="2059"/>
      <c r="CA113" s="2059"/>
      <c r="CB113" s="2059"/>
      <c r="CC113" s="2059"/>
      <c r="CD113" s="2059"/>
      <c r="CE113" s="2059"/>
      <c r="CF113" s="2059"/>
      <c r="CG113" s="2059"/>
      <c r="CH113" s="2059"/>
      <c r="CI113" s="2059"/>
      <c r="CJ113" s="2059"/>
      <c r="CK113" s="2059"/>
      <c r="CL113" s="2059"/>
      <c r="CM113" s="2059"/>
      <c r="CN113" s="2059"/>
      <c r="CO113" s="2059"/>
      <c r="CP113" s="1576"/>
      <c r="CQ113" s="1576"/>
      <c r="CR113" s="1576"/>
      <c r="CS113" s="1576"/>
      <c r="CT113" s="1576"/>
      <c r="CU113" s="1576"/>
      <c r="CV113" s="1576"/>
      <c r="CW113" s="1576"/>
      <c r="CX113" s="1576"/>
      <c r="CY113" s="1576"/>
      <c r="CZ113" s="1576"/>
      <c r="DA113" s="1576"/>
      <c r="DB113" s="1576"/>
      <c r="DC113" s="1576"/>
      <c r="DD113" s="1576"/>
      <c r="DE113" s="1576"/>
      <c r="DF113" s="1576"/>
      <c r="DG113" s="1576"/>
      <c r="DH113" s="1576"/>
      <c r="DI113" s="1576"/>
      <c r="DJ113" s="1576"/>
      <c r="DK113" s="1576"/>
      <c r="DL113" s="1576"/>
      <c r="DM113" s="1576"/>
      <c r="DN113" s="1576"/>
      <c r="DO113" s="1576"/>
      <c r="DP113" s="1576"/>
      <c r="DQ113" s="1576"/>
      <c r="DR113" s="1576"/>
      <c r="DS113" s="1576"/>
      <c r="DT113" s="1576"/>
      <c r="DU113" s="1576"/>
      <c r="DV113" s="1576"/>
      <c r="DW113" s="1576"/>
      <c r="DX113" s="1576"/>
      <c r="DY113" s="1576"/>
      <c r="DZ113" s="1576"/>
      <c r="EA113" s="1576"/>
      <c r="EB113" s="1576"/>
      <c r="EC113" s="1576"/>
      <c r="ED113" s="1576"/>
      <c r="EE113" s="1576"/>
      <c r="EF113" s="1576"/>
      <c r="EG113" s="1576"/>
      <c r="EH113" s="1576"/>
      <c r="EI113" s="1576"/>
      <c r="EJ113" s="1576"/>
      <c r="EK113" s="1576"/>
      <c r="EL113" s="1576"/>
      <c r="EM113" s="1576"/>
      <c r="EN113" s="1576"/>
      <c r="EO113" s="1576"/>
      <c r="EP113" s="1576"/>
      <c r="EQ113" s="1576"/>
      <c r="ER113" s="1576"/>
      <c r="ES113" s="1576"/>
      <c r="ET113" s="1576"/>
      <c r="EU113" s="1576"/>
      <c r="EV113" s="1576"/>
      <c r="EW113" s="1576"/>
      <c r="EX113" s="1576"/>
      <c r="EY113" s="1576"/>
      <c r="EZ113" s="1576"/>
      <c r="FA113" s="1576"/>
      <c r="FB113" s="1576"/>
      <c r="FC113" s="1576"/>
      <c r="FD113" s="1576"/>
      <c r="FE113" s="1576"/>
      <c r="FF113" s="1576"/>
      <c r="FG113" s="1576"/>
      <c r="FH113" s="1576"/>
      <c r="FI113" s="1576"/>
      <c r="FJ113" s="1576"/>
      <c r="FK113" s="1576"/>
      <c r="FL113" s="1576"/>
      <c r="FM113" s="1576"/>
      <c r="FN113" s="1576"/>
      <c r="FO113" s="1576"/>
      <c r="FP113" s="1576"/>
      <c r="FQ113" s="1576"/>
      <c r="FR113" s="1576"/>
      <c r="FS113" s="1576"/>
      <c r="FT113" s="1576"/>
      <c r="FU113" s="1576"/>
      <c r="FV113" s="1576"/>
      <c r="FW113" s="1576"/>
      <c r="FX113" s="1576"/>
      <c r="FY113" s="1576"/>
      <c r="FZ113" s="1576"/>
      <c r="GA113" s="1576"/>
      <c r="GB113" s="1576"/>
      <c r="GC113" s="1576"/>
      <c r="GD113" s="1576"/>
      <c r="GE113" s="1576"/>
      <c r="GF113" s="1576"/>
      <c r="GG113" s="1576"/>
      <c r="GH113" s="1576"/>
      <c r="GI113" s="1576"/>
      <c r="GJ113" s="1576"/>
      <c r="GK113" s="1576"/>
      <c r="GL113" s="1576"/>
      <c r="GM113" s="1576"/>
      <c r="GN113" s="1576"/>
      <c r="GO113" s="1576"/>
      <c r="GP113" s="1576"/>
      <c r="GQ113" s="1576"/>
      <c r="GR113" s="1576"/>
      <c r="GS113" s="1576"/>
      <c r="GT113" s="1576"/>
      <c r="GU113" s="1576"/>
      <c r="GV113" s="1576"/>
      <c r="GW113" s="1576"/>
      <c r="GX113" s="1576"/>
      <c r="GY113" s="1576"/>
      <c r="GZ113" s="1576"/>
      <c r="HA113" s="1576"/>
      <c r="HB113" s="1576"/>
      <c r="HC113" s="1576"/>
      <c r="HD113" s="1576"/>
      <c r="HE113" s="1576"/>
      <c r="HF113" s="1576"/>
      <c r="HG113" s="1576"/>
      <c r="HH113" s="1576"/>
      <c r="HI113" s="1576"/>
      <c r="HJ113" s="1576"/>
      <c r="HK113" s="1576"/>
      <c r="HL113" s="1576"/>
      <c r="HM113" s="1576"/>
      <c r="HN113" s="1576"/>
      <c r="HO113" s="1576"/>
      <c r="HP113" s="1576"/>
      <c r="HQ113" s="1576"/>
      <c r="HR113" s="1576"/>
      <c r="HS113" s="1576"/>
      <c r="HT113" s="1576"/>
      <c r="HU113" s="1576"/>
      <c r="HV113" s="1576"/>
      <c r="HW113" s="1576"/>
      <c r="HX113" s="1576"/>
      <c r="HY113" s="1576"/>
      <c r="HZ113" s="1576"/>
      <c r="IA113" s="1576"/>
      <c r="IB113" s="1576"/>
      <c r="IC113" s="1576"/>
      <c r="ID113" s="1576"/>
      <c r="IE113" s="1576"/>
      <c r="IF113" s="1576"/>
      <c r="IG113" s="1576"/>
      <c r="IH113" s="1576"/>
      <c r="II113" s="1576"/>
      <c r="IJ113" s="1576"/>
      <c r="IK113" s="1576"/>
      <c r="IL113" s="1576"/>
      <c r="IM113" s="1576"/>
      <c r="IN113" s="1576"/>
      <c r="IO113" s="1576"/>
      <c r="IP113" s="1576"/>
      <c r="IQ113" s="1576"/>
      <c r="IR113" s="1576"/>
      <c r="IS113" s="1576"/>
      <c r="IT113" s="1576"/>
      <c r="IU113" s="1576"/>
      <c r="IV113" s="1576"/>
      <c r="IW113" s="1576"/>
      <c r="IX113" s="1576"/>
      <c r="IY113" s="1576"/>
      <c r="IZ113" s="1576"/>
      <c r="JA113" s="2054"/>
      <c r="JB113" s="2054"/>
      <c r="JC113" s="2054"/>
      <c r="JD113" s="2054"/>
      <c r="JE113" s="2054"/>
      <c r="JF113" s="2054"/>
      <c r="JG113" s="2054"/>
      <c r="JH113" s="2054"/>
      <c r="JI113" s="2054"/>
      <c r="JJ113" s="2054"/>
      <c r="JK113" s="2054"/>
      <c r="JL113" s="2054"/>
      <c r="JM113" s="2054"/>
      <c r="JN113" s="2054"/>
      <c r="JO113" s="2054"/>
      <c r="JP113" s="2054"/>
      <c r="JQ113" s="2054"/>
      <c r="JR113" s="1576"/>
      <c r="JS113" s="1576"/>
      <c r="JT113" s="1576"/>
      <c r="JU113" s="1576"/>
      <c r="JV113" s="1576"/>
      <c r="JW113" s="1576"/>
      <c r="JX113" s="1576"/>
      <c r="JY113" s="1576"/>
      <c r="JZ113" s="1576"/>
      <c r="KA113" s="1576"/>
      <c r="KB113" s="1576"/>
      <c r="KC113" s="1576"/>
      <c r="KD113" s="1576"/>
      <c r="KE113" s="1576"/>
      <c r="KF113" s="1576"/>
      <c r="KG113" s="1576"/>
      <c r="KH113" s="1576"/>
      <c r="KI113" s="1576"/>
      <c r="KJ113" s="1576"/>
      <c r="KK113" s="1576"/>
      <c r="KL113" s="1576"/>
      <c r="KM113" s="1576"/>
      <c r="KN113" s="1576"/>
      <c r="KO113" s="1576"/>
      <c r="KP113" s="1576"/>
      <c r="KQ113" s="1576"/>
      <c r="KR113" s="1576"/>
      <c r="KS113" s="1576"/>
      <c r="KT113" s="1576"/>
      <c r="KU113" s="1576"/>
      <c r="KV113" s="1576"/>
      <c r="KW113" s="1576"/>
      <c r="KX113" s="1576"/>
      <c r="KY113" s="1576"/>
      <c r="KZ113" s="1576"/>
      <c r="LA113" s="1576"/>
      <c r="LB113" s="1576"/>
      <c r="LC113" s="1576"/>
      <c r="LD113" s="1576"/>
      <c r="LE113" s="1576"/>
      <c r="LF113" s="1576"/>
      <c r="LG113" s="1576"/>
      <c r="LH113" s="1576"/>
      <c r="LI113" s="1576"/>
      <c r="LJ113" s="1576"/>
      <c r="LK113" s="1576"/>
      <c r="LL113" s="1576"/>
      <c r="LM113" s="1576"/>
      <c r="LN113" s="1576"/>
      <c r="LO113" s="1576"/>
      <c r="LP113" s="1576"/>
      <c r="LQ113" s="1576"/>
      <c r="LR113" s="1576"/>
      <c r="LS113" s="1576"/>
      <c r="LT113" s="1576"/>
      <c r="LU113" s="1576"/>
      <c r="LV113" s="1576"/>
      <c r="LW113" s="1576"/>
      <c r="LX113" s="1576"/>
      <c r="LY113" s="1576"/>
      <c r="LZ113" s="1576"/>
      <c r="MA113" s="1576"/>
      <c r="MB113" s="1576"/>
      <c r="MC113" s="1576"/>
      <c r="MD113" s="1576"/>
      <c r="ME113" s="1576"/>
      <c r="MF113" s="1576"/>
      <c r="MG113" s="1576"/>
      <c r="MH113" s="1576"/>
      <c r="MI113" s="1576"/>
      <c r="MJ113" s="1576"/>
      <c r="MK113" s="1576"/>
      <c r="ML113" s="1576"/>
      <c r="MM113" s="1576"/>
      <c r="MN113" s="1576"/>
      <c r="MO113" s="1576"/>
      <c r="MP113" s="1576"/>
      <c r="MQ113" s="1576"/>
      <c r="MR113" s="1576"/>
      <c r="MS113" s="1576"/>
      <c r="MT113" s="1576"/>
      <c r="MU113" s="1576"/>
      <c r="MV113" s="1576"/>
      <c r="MW113" s="1576"/>
      <c r="MX113" s="1576"/>
      <c r="MY113" s="1576"/>
      <c r="MZ113" s="1576"/>
      <c r="NA113" s="1576"/>
      <c r="NB113" s="1576"/>
      <c r="NC113" s="1576"/>
      <c r="ND113" s="1576"/>
      <c r="NE113" s="1576"/>
      <c r="NF113" s="1576"/>
      <c r="NG113" s="1576"/>
      <c r="NH113" s="1576"/>
      <c r="NI113" s="1576"/>
      <c r="NJ113" s="1576"/>
      <c r="NK113" s="1576"/>
      <c r="NL113" s="1576"/>
      <c r="NM113" s="1576"/>
      <c r="NN113" s="1576"/>
      <c r="NO113" s="1576"/>
      <c r="NP113" s="1576"/>
      <c r="NQ113" s="1576"/>
      <c r="NR113" s="1576"/>
      <c r="NS113" s="1576"/>
      <c r="NT113" s="1576"/>
      <c r="NU113" s="1576"/>
      <c r="NV113" s="1576"/>
      <c r="NW113" s="1576"/>
      <c r="NX113" s="1576"/>
      <c r="NY113" s="1576"/>
      <c r="NZ113" s="1576"/>
      <c r="OA113" s="1576"/>
      <c r="OB113" s="1576"/>
      <c r="OC113" s="1576"/>
      <c r="OD113" s="1576"/>
      <c r="OE113" s="1576"/>
      <c r="OF113" s="1576"/>
      <c r="OG113" s="1576"/>
      <c r="OH113" s="1576"/>
      <c r="OI113" s="1576"/>
      <c r="OJ113" s="1576"/>
      <c r="OK113" s="1576"/>
      <c r="OL113" s="1576"/>
      <c r="OM113" s="1576"/>
      <c r="ON113" s="1576"/>
      <c r="OO113" s="1576"/>
      <c r="OP113" s="1576"/>
      <c r="OQ113" s="1576"/>
      <c r="OR113" s="1576"/>
      <c r="OS113" s="1576"/>
      <c r="OT113" s="1576"/>
      <c r="OU113" s="1576"/>
      <c r="OV113" s="1576"/>
      <c r="OW113" s="1576"/>
      <c r="OX113" s="1576"/>
      <c r="OY113" s="1576"/>
      <c r="OZ113" s="1576"/>
      <c r="PA113" s="1576"/>
      <c r="PB113" s="1576"/>
      <c r="PC113" s="1576"/>
      <c r="PD113" s="1576"/>
      <c r="PE113" s="1576"/>
      <c r="PF113" s="1576"/>
      <c r="PG113" s="1576"/>
      <c r="PH113" s="1576"/>
      <c r="PI113" s="1576"/>
      <c r="PJ113" s="1576"/>
      <c r="PK113" s="1576"/>
      <c r="PL113" s="1576"/>
      <c r="PM113" s="1576"/>
      <c r="PN113" s="1576"/>
      <c r="PO113" s="1576"/>
      <c r="PP113" s="1576"/>
      <c r="PQ113" s="1576"/>
      <c r="PR113" s="1576"/>
      <c r="PS113" s="1576"/>
      <c r="PT113" s="1576"/>
      <c r="PU113" s="1576"/>
      <c r="PV113" s="1576"/>
      <c r="PW113" s="1576"/>
      <c r="PX113" s="1576"/>
      <c r="PY113" s="1576"/>
      <c r="PZ113" s="1576"/>
      <c r="QA113" s="1576"/>
      <c r="QB113" s="1576"/>
      <c r="QC113" s="1576"/>
      <c r="QD113" s="1576"/>
      <c r="QE113" s="1576"/>
      <c r="QF113" s="1576"/>
      <c r="QG113" s="1576"/>
      <c r="QH113" s="1576"/>
      <c r="QI113" s="1576"/>
      <c r="QJ113" s="1576"/>
      <c r="QK113" s="1576"/>
      <c r="QL113" s="1576"/>
      <c r="QM113" s="1576"/>
      <c r="QN113" s="1576"/>
      <c r="QO113" s="1576"/>
      <c r="QP113" s="1576"/>
      <c r="QQ113" s="1576"/>
      <c r="QR113" s="1576"/>
      <c r="QS113" s="1576"/>
      <c r="QT113" s="1576"/>
      <c r="QU113" s="1576"/>
      <c r="QV113" s="1576"/>
      <c r="QW113" s="1576"/>
      <c r="QX113" s="1576"/>
      <c r="QY113" s="1576"/>
      <c r="QZ113" s="1576"/>
      <c r="RA113" s="1576"/>
      <c r="RB113" s="1576"/>
      <c r="RC113" s="1576"/>
      <c r="RD113" s="1576"/>
      <c r="RE113" s="1576"/>
      <c r="RF113" s="1576"/>
      <c r="RG113" s="1576"/>
      <c r="RH113" s="1576"/>
      <c r="RI113" s="1576"/>
      <c r="RJ113" s="1576"/>
      <c r="RK113" s="1576"/>
      <c r="RL113" s="1576"/>
      <c r="RM113" s="1576"/>
      <c r="RN113" s="1576"/>
      <c r="RO113" s="1576"/>
      <c r="RP113" s="1576"/>
      <c r="RQ113" s="1576"/>
      <c r="RR113" s="1576"/>
      <c r="RS113" s="1576"/>
      <c r="RT113" s="1576"/>
      <c r="RU113" s="1576"/>
      <c r="RV113" s="1576"/>
      <c r="RW113" s="1576"/>
      <c r="RX113" s="1576"/>
      <c r="RY113" s="1576"/>
      <c r="RZ113" s="1576"/>
      <c r="SA113" s="1576"/>
      <c r="SB113" s="1576"/>
      <c r="SC113" s="1576"/>
      <c r="SD113" s="1576"/>
      <c r="SE113" s="1576"/>
      <c r="SF113" s="1576"/>
      <c r="SG113" s="1576"/>
      <c r="SH113" s="1576"/>
      <c r="SI113" s="1576"/>
      <c r="SJ113" s="1576"/>
      <c r="SK113" s="1576"/>
      <c r="SL113" s="1576"/>
      <c r="SM113" s="1576"/>
      <c r="SN113" s="1576"/>
      <c r="SO113" s="1576"/>
      <c r="SP113" s="1576"/>
      <c r="SQ113" s="1576"/>
      <c r="SR113" s="1576"/>
      <c r="SS113" s="1576"/>
      <c r="ST113" s="1576"/>
      <c r="SU113" s="1576"/>
      <c r="SV113" s="1576"/>
      <c r="SW113" s="1576"/>
      <c r="SX113" s="1576"/>
      <c r="SY113" s="1576"/>
      <c r="SZ113" s="1576"/>
      <c r="TA113" s="1576"/>
      <c r="TB113" s="1576"/>
      <c r="TC113" s="1576"/>
      <c r="TD113" s="1576"/>
      <c r="TE113" s="1576"/>
      <c r="TF113" s="1576"/>
      <c r="TG113" s="1576"/>
      <c r="TH113" s="1576"/>
      <c r="TI113" s="1576"/>
      <c r="TJ113" s="1576"/>
      <c r="TK113" s="1576"/>
      <c r="TL113" s="1576"/>
      <c r="TM113" s="1576"/>
      <c r="TN113" s="1576"/>
      <c r="TO113" s="1576"/>
      <c r="TP113" s="1576"/>
      <c r="TQ113" s="1576"/>
      <c r="TR113" s="1576"/>
      <c r="TS113" s="1576"/>
      <c r="TT113" s="1576"/>
      <c r="TU113" s="1576"/>
      <c r="TV113" s="1576"/>
      <c r="TW113" s="1576"/>
      <c r="TX113" s="1576"/>
      <c r="TY113" s="1576"/>
      <c r="TZ113" s="1576"/>
      <c r="UA113" s="1576"/>
      <c r="UB113" s="1576"/>
      <c r="UC113" s="1576"/>
      <c r="UD113" s="1576"/>
      <c r="UE113" s="1576"/>
      <c r="UF113" s="1576"/>
      <c r="UG113" s="1576"/>
      <c r="UH113" s="1576"/>
      <c r="UI113" s="1576"/>
      <c r="UJ113" s="1576"/>
      <c r="UK113" s="1576"/>
      <c r="UL113" s="1576"/>
      <c r="UM113" s="1576"/>
      <c r="UN113" s="1576"/>
      <c r="UO113" s="1576"/>
      <c r="UP113" s="1576"/>
      <c r="UQ113" s="1576"/>
      <c r="UR113" s="1576"/>
      <c r="US113" s="1576"/>
      <c r="UT113" s="1576"/>
      <c r="UU113" s="1576"/>
      <c r="UV113" s="1576"/>
      <c r="UW113" s="1576"/>
      <c r="UX113" s="1576"/>
      <c r="UY113" s="1576"/>
      <c r="UZ113" s="1576"/>
      <c r="VA113" s="1576"/>
      <c r="VB113" s="1576"/>
      <c r="VC113" s="1576"/>
      <c r="VD113" s="1576"/>
      <c r="VE113" s="1576"/>
      <c r="VF113" s="1576"/>
      <c r="VG113" s="1576"/>
      <c r="VH113" s="1576"/>
      <c r="VI113" s="1576"/>
      <c r="VJ113" s="1576"/>
      <c r="VK113" s="1576"/>
    </row>
    <row r="114" spans="1:583" ht="27" x14ac:dyDescent="0.25">
      <c r="B114" s="1610" t="s">
        <v>2799</v>
      </c>
      <c r="C114" s="1582" t="s">
        <v>2813</v>
      </c>
      <c r="D114" s="4710" t="s">
        <v>2814</v>
      </c>
      <c r="E114" s="4710">
        <v>0</v>
      </c>
      <c r="F114" s="2057"/>
      <c r="G114" s="2057"/>
      <c r="H114" s="2057"/>
      <c r="I114" s="2059"/>
      <c r="J114" s="2059"/>
      <c r="K114" s="2059"/>
      <c r="L114" s="2059"/>
      <c r="M114" s="2059"/>
      <c r="N114" s="2059"/>
      <c r="O114" s="2059"/>
      <c r="P114" s="2059"/>
      <c r="Q114" s="2059"/>
      <c r="R114" s="2059"/>
      <c r="S114" s="2059"/>
      <c r="T114" s="2059"/>
      <c r="U114" s="2059"/>
      <c r="V114" s="2059"/>
      <c r="W114" s="2059"/>
      <c r="X114" s="2059"/>
      <c r="Y114" s="2059"/>
      <c r="Z114" s="2059"/>
      <c r="AA114" s="2059"/>
      <c r="AB114" s="2059"/>
      <c r="AC114" s="2059"/>
      <c r="AD114" s="2059"/>
      <c r="AE114" s="2059"/>
      <c r="AF114" s="2059"/>
      <c r="AG114" s="2059"/>
      <c r="AH114" s="2059"/>
      <c r="AI114" s="2059"/>
      <c r="AJ114" s="2059"/>
      <c r="AK114" s="2059"/>
      <c r="AL114" s="2059"/>
      <c r="AM114" s="2059"/>
      <c r="AN114" s="2059"/>
      <c r="AO114" s="2059"/>
      <c r="AP114" s="2059"/>
      <c r="AQ114" s="2059"/>
      <c r="AR114" s="2059"/>
      <c r="AS114" s="2059"/>
      <c r="AT114" s="2059"/>
      <c r="AU114" s="2059"/>
      <c r="AV114" s="2059"/>
      <c r="AW114" s="2059"/>
      <c r="AX114" s="2059"/>
      <c r="AY114" s="2059"/>
      <c r="AZ114" s="2059"/>
      <c r="BA114" s="2059"/>
      <c r="BB114" s="2059"/>
      <c r="BC114" s="2059"/>
      <c r="BD114" s="2059"/>
      <c r="BE114" s="2059"/>
      <c r="BF114" s="2059"/>
      <c r="BG114" s="2059"/>
      <c r="BH114" s="2059"/>
      <c r="BI114" s="2059"/>
      <c r="BJ114" s="2059"/>
      <c r="BK114" s="2059"/>
      <c r="BL114" s="2059"/>
      <c r="BM114" s="2059"/>
      <c r="BN114" s="2059"/>
      <c r="BO114" s="2059"/>
      <c r="BP114" s="2059"/>
      <c r="BQ114" s="2059"/>
      <c r="BR114" s="2059"/>
      <c r="BS114" s="2059"/>
      <c r="BT114" s="2059"/>
      <c r="BU114" s="2059"/>
      <c r="BV114" s="2059"/>
      <c r="BW114" s="2059"/>
      <c r="BX114" s="2059"/>
      <c r="BY114" s="2059"/>
      <c r="BZ114" s="2059"/>
      <c r="CA114" s="2059"/>
      <c r="CB114" s="2059"/>
      <c r="CC114" s="2059"/>
      <c r="CD114" s="2059"/>
      <c r="CE114" s="2059"/>
      <c r="CF114" s="2059"/>
      <c r="CG114" s="2059"/>
      <c r="CH114" s="2059"/>
      <c r="CI114" s="2059"/>
      <c r="CJ114" s="2059"/>
      <c r="CK114" s="2059"/>
      <c r="CL114" s="2059"/>
      <c r="CM114" s="2059"/>
      <c r="CN114" s="2059"/>
      <c r="CO114" s="2059"/>
      <c r="CP114" s="1576"/>
      <c r="CQ114" s="1576"/>
      <c r="CR114" s="1576"/>
      <c r="CS114" s="1576"/>
      <c r="CT114" s="1576"/>
      <c r="CU114" s="1576"/>
      <c r="CV114" s="1576"/>
      <c r="CW114" s="1576"/>
      <c r="CX114" s="1576"/>
      <c r="CY114" s="1576"/>
      <c r="CZ114" s="1576"/>
      <c r="DA114" s="1576"/>
      <c r="DB114" s="1576"/>
      <c r="DC114" s="1576"/>
      <c r="DD114" s="1576"/>
      <c r="DE114" s="1576"/>
      <c r="DF114" s="1576"/>
      <c r="DG114" s="1576"/>
      <c r="DH114" s="1576"/>
      <c r="DI114" s="1576"/>
      <c r="DJ114" s="1576"/>
      <c r="DK114" s="1576"/>
      <c r="DL114" s="1576"/>
      <c r="DM114" s="1576"/>
      <c r="DN114" s="1576"/>
      <c r="DO114" s="1576"/>
      <c r="DP114" s="1576"/>
      <c r="DQ114" s="1576"/>
      <c r="DR114" s="1576"/>
      <c r="DS114" s="1576"/>
      <c r="DT114" s="1576"/>
      <c r="DU114" s="1576"/>
      <c r="DV114" s="1576"/>
      <c r="DW114" s="1576"/>
      <c r="DX114" s="1576"/>
      <c r="DY114" s="1576"/>
      <c r="DZ114" s="1576"/>
      <c r="EA114" s="1576"/>
      <c r="EB114" s="1576"/>
      <c r="EC114" s="1576"/>
      <c r="ED114" s="1576"/>
      <c r="EE114" s="1576"/>
      <c r="EF114" s="1576"/>
      <c r="EG114" s="1576"/>
      <c r="EH114" s="1576"/>
      <c r="EI114" s="1576"/>
      <c r="EJ114" s="1576"/>
      <c r="EK114" s="1576"/>
      <c r="EL114" s="1576"/>
      <c r="EM114" s="1576"/>
      <c r="EN114" s="1576"/>
      <c r="EO114" s="1576"/>
      <c r="EP114" s="1576"/>
      <c r="EQ114" s="1576"/>
      <c r="ER114" s="1576"/>
      <c r="ES114" s="1576"/>
      <c r="ET114" s="1576"/>
      <c r="EU114" s="1576"/>
      <c r="EV114" s="1576"/>
      <c r="EW114" s="1576"/>
      <c r="EX114" s="1576"/>
      <c r="EY114" s="1576"/>
      <c r="EZ114" s="1576"/>
      <c r="FA114" s="1576"/>
      <c r="FB114" s="1576"/>
      <c r="FC114" s="1576"/>
      <c r="FD114" s="1576"/>
      <c r="FE114" s="1576"/>
      <c r="FF114" s="1576"/>
      <c r="FG114" s="1576"/>
      <c r="FH114" s="1576"/>
      <c r="FI114" s="1576"/>
      <c r="FJ114" s="1576"/>
      <c r="FK114" s="1576"/>
      <c r="FL114" s="1576"/>
      <c r="FM114" s="1576"/>
      <c r="FN114" s="1576"/>
      <c r="FO114" s="1576"/>
      <c r="FP114" s="1576"/>
      <c r="FQ114" s="1576"/>
      <c r="FR114" s="1576"/>
      <c r="FS114" s="1576"/>
      <c r="FT114" s="1576"/>
      <c r="FU114" s="1576"/>
      <c r="FV114" s="1576"/>
      <c r="FW114" s="1576"/>
      <c r="FX114" s="1576"/>
      <c r="FY114" s="1576"/>
      <c r="FZ114" s="1576"/>
      <c r="GA114" s="1576"/>
      <c r="GB114" s="1576"/>
      <c r="GC114" s="1576"/>
      <c r="GD114" s="1576"/>
      <c r="GE114" s="1576"/>
      <c r="GF114" s="1576"/>
      <c r="GG114" s="1576"/>
      <c r="GH114" s="1576"/>
      <c r="GI114" s="1576"/>
      <c r="GJ114" s="1576"/>
      <c r="GK114" s="1576"/>
      <c r="GL114" s="1576"/>
      <c r="GM114" s="1576"/>
      <c r="GN114" s="1576"/>
      <c r="GO114" s="1576"/>
      <c r="GP114" s="1576"/>
      <c r="GQ114" s="1576"/>
      <c r="GR114" s="1576"/>
      <c r="GS114" s="1576"/>
      <c r="GT114" s="1576"/>
      <c r="GU114" s="1576"/>
      <c r="GV114" s="1576"/>
      <c r="GW114" s="1576"/>
      <c r="GX114" s="1576"/>
      <c r="GY114" s="1576"/>
      <c r="GZ114" s="1576"/>
      <c r="HA114" s="1576"/>
      <c r="HB114" s="1576"/>
      <c r="HC114" s="1576"/>
      <c r="HD114" s="1576"/>
      <c r="HE114" s="1576"/>
      <c r="HF114" s="1576"/>
      <c r="HG114" s="1576"/>
      <c r="HH114" s="1576"/>
      <c r="HI114" s="1576"/>
      <c r="HJ114" s="1576"/>
      <c r="HK114" s="1576"/>
      <c r="HL114" s="1576"/>
      <c r="HM114" s="1576"/>
      <c r="HN114" s="1576"/>
      <c r="HO114" s="1576"/>
      <c r="HP114" s="1576"/>
      <c r="HQ114" s="1576"/>
      <c r="HR114" s="1576"/>
      <c r="HS114" s="1576"/>
      <c r="HT114" s="1576"/>
      <c r="HU114" s="1576"/>
      <c r="HV114" s="1576"/>
      <c r="HW114" s="1576"/>
      <c r="HX114" s="1576"/>
      <c r="HY114" s="1576"/>
      <c r="HZ114" s="1576"/>
      <c r="IA114" s="1576"/>
      <c r="IB114" s="1576"/>
      <c r="IC114" s="1576"/>
      <c r="ID114" s="1576"/>
      <c r="IE114" s="1576"/>
      <c r="IF114" s="1576"/>
      <c r="IG114" s="1576"/>
      <c r="IH114" s="1576"/>
      <c r="II114" s="1576"/>
      <c r="IJ114" s="1576"/>
      <c r="IK114" s="1576"/>
      <c r="IL114" s="1576"/>
      <c r="IM114" s="1576"/>
      <c r="IN114" s="1576"/>
      <c r="IO114" s="1576"/>
      <c r="IP114" s="1576"/>
      <c r="IQ114" s="1576"/>
      <c r="IR114" s="1576"/>
      <c r="IS114" s="1576"/>
      <c r="IT114" s="1576"/>
      <c r="IU114" s="1576"/>
      <c r="IV114" s="1576"/>
      <c r="IW114" s="1576"/>
      <c r="IX114" s="1576"/>
      <c r="IY114" s="1576"/>
      <c r="IZ114" s="1576"/>
      <c r="JA114" s="2054"/>
      <c r="JB114" s="2054"/>
      <c r="JC114" s="2054"/>
      <c r="JD114" s="2054"/>
      <c r="JE114" s="2054"/>
      <c r="JF114" s="2054"/>
      <c r="JG114" s="2054"/>
      <c r="JH114" s="2054"/>
      <c r="JI114" s="2054"/>
      <c r="JJ114" s="2054"/>
      <c r="JK114" s="2054"/>
      <c r="JL114" s="2054"/>
      <c r="JM114" s="2054"/>
      <c r="JN114" s="2054"/>
      <c r="JO114" s="2054"/>
      <c r="JP114" s="2054"/>
      <c r="JQ114" s="2054"/>
      <c r="JR114" s="1576"/>
      <c r="JS114" s="1576"/>
      <c r="JT114" s="1576"/>
      <c r="JU114" s="1576"/>
      <c r="JV114" s="1576"/>
      <c r="JW114" s="1576"/>
      <c r="JX114" s="1576"/>
      <c r="JY114" s="1576"/>
      <c r="JZ114" s="1576"/>
      <c r="KA114" s="1576"/>
      <c r="KB114" s="1576"/>
      <c r="KC114" s="1576"/>
      <c r="KD114" s="1576"/>
      <c r="KE114" s="1576"/>
      <c r="KF114" s="1576"/>
      <c r="KG114" s="1576"/>
      <c r="KH114" s="1576"/>
      <c r="KI114" s="1576"/>
      <c r="KJ114" s="1576"/>
      <c r="KK114" s="1576"/>
      <c r="KL114" s="1576"/>
      <c r="KM114" s="1576"/>
      <c r="KN114" s="1576"/>
      <c r="KO114" s="1576"/>
      <c r="KP114" s="1576"/>
      <c r="KQ114" s="1576"/>
      <c r="KR114" s="1576"/>
      <c r="KS114" s="1576"/>
      <c r="KT114" s="1576"/>
      <c r="KU114" s="1576"/>
      <c r="KV114" s="1576"/>
      <c r="KW114" s="1576"/>
      <c r="KX114" s="1576"/>
      <c r="KY114" s="1576"/>
      <c r="KZ114" s="1576"/>
      <c r="LA114" s="1576"/>
      <c r="LB114" s="1576"/>
      <c r="LC114" s="1576"/>
      <c r="LD114" s="1576"/>
      <c r="LE114" s="1576"/>
      <c r="LF114" s="1576"/>
      <c r="LG114" s="1576"/>
      <c r="LH114" s="1576"/>
      <c r="LI114" s="1576"/>
      <c r="LJ114" s="1576"/>
      <c r="LK114" s="1576"/>
      <c r="LL114" s="1576"/>
      <c r="LM114" s="1576"/>
      <c r="LN114" s="1576"/>
      <c r="LO114" s="1576"/>
      <c r="LP114" s="1576"/>
      <c r="LQ114" s="1576"/>
      <c r="LR114" s="1576"/>
      <c r="LS114" s="1576"/>
      <c r="LT114" s="1576"/>
      <c r="LU114" s="1576"/>
      <c r="LV114" s="1576"/>
      <c r="LW114" s="1576"/>
      <c r="LX114" s="1576"/>
      <c r="LY114" s="1576"/>
      <c r="LZ114" s="1576"/>
      <c r="MA114" s="1576"/>
      <c r="MB114" s="1576"/>
      <c r="MC114" s="1576"/>
      <c r="MD114" s="1576"/>
      <c r="ME114" s="1576"/>
      <c r="MF114" s="1576"/>
      <c r="MG114" s="1576"/>
      <c r="MH114" s="1576"/>
      <c r="MI114" s="1576"/>
      <c r="MJ114" s="1576"/>
      <c r="MK114" s="1576"/>
      <c r="ML114" s="1576"/>
      <c r="MM114" s="1576"/>
      <c r="MN114" s="1576"/>
      <c r="MO114" s="1576"/>
      <c r="MP114" s="1576"/>
      <c r="MQ114" s="1576"/>
      <c r="MR114" s="1576"/>
      <c r="MS114" s="1576"/>
      <c r="MT114" s="1576"/>
      <c r="MU114" s="1576"/>
      <c r="MV114" s="1576"/>
      <c r="MW114" s="1576"/>
      <c r="MX114" s="1576"/>
      <c r="MY114" s="1576"/>
      <c r="MZ114" s="1576"/>
      <c r="NA114" s="1576"/>
      <c r="NB114" s="1576"/>
      <c r="NC114" s="1576"/>
      <c r="ND114" s="1576"/>
      <c r="NE114" s="1576"/>
      <c r="NF114" s="1576"/>
      <c r="NG114" s="1576"/>
      <c r="NH114" s="1576"/>
      <c r="NI114" s="1576"/>
      <c r="NJ114" s="1576"/>
      <c r="NK114" s="1576"/>
      <c r="NL114" s="1576"/>
      <c r="NM114" s="1576"/>
      <c r="NN114" s="1576"/>
      <c r="NO114" s="1576"/>
      <c r="NP114" s="1576"/>
      <c r="NQ114" s="1576"/>
      <c r="NR114" s="1576"/>
      <c r="NS114" s="1576"/>
      <c r="NT114" s="1576"/>
      <c r="NU114" s="1576"/>
      <c r="NV114" s="1576"/>
      <c r="NW114" s="1576"/>
      <c r="NX114" s="1576"/>
      <c r="NY114" s="1576"/>
      <c r="NZ114" s="1576"/>
      <c r="OA114" s="1576"/>
      <c r="OB114" s="1576"/>
      <c r="OC114" s="1576"/>
      <c r="OD114" s="1576"/>
      <c r="OE114" s="1576"/>
      <c r="OF114" s="1576"/>
      <c r="OG114" s="1576"/>
      <c r="OH114" s="1576"/>
      <c r="OI114" s="1576"/>
      <c r="OJ114" s="1576"/>
      <c r="OK114" s="1576"/>
      <c r="OL114" s="1576"/>
      <c r="OM114" s="1576"/>
      <c r="ON114" s="1576"/>
      <c r="OO114" s="1576"/>
      <c r="OP114" s="1576"/>
      <c r="OQ114" s="1576"/>
      <c r="OR114" s="1576"/>
      <c r="OS114" s="1576"/>
      <c r="OT114" s="1576"/>
      <c r="OU114" s="1576"/>
      <c r="OV114" s="1576"/>
      <c r="OW114" s="1576"/>
      <c r="OX114" s="1576"/>
      <c r="OY114" s="1576"/>
      <c r="OZ114" s="1576"/>
      <c r="PA114" s="1576"/>
      <c r="PB114" s="1576"/>
      <c r="PC114" s="1576"/>
      <c r="PD114" s="1576"/>
      <c r="PE114" s="1576"/>
      <c r="PF114" s="1576"/>
      <c r="PG114" s="1576"/>
      <c r="PH114" s="1576"/>
      <c r="PI114" s="1576"/>
      <c r="PJ114" s="1576"/>
      <c r="PK114" s="1576"/>
      <c r="PL114" s="1576"/>
      <c r="PM114" s="1576"/>
      <c r="PN114" s="1576"/>
      <c r="PO114" s="1576"/>
      <c r="PP114" s="1576"/>
      <c r="PQ114" s="1576"/>
      <c r="PR114" s="1576"/>
      <c r="PS114" s="1576"/>
      <c r="PT114" s="1576"/>
      <c r="PU114" s="1576"/>
      <c r="PV114" s="1576"/>
      <c r="PW114" s="1576"/>
      <c r="PX114" s="1576"/>
      <c r="PY114" s="1576"/>
      <c r="PZ114" s="1576"/>
      <c r="QA114" s="1576"/>
      <c r="QB114" s="1576"/>
      <c r="QC114" s="1576"/>
      <c r="QD114" s="1576"/>
      <c r="QE114" s="1576"/>
      <c r="QF114" s="1576"/>
      <c r="QG114" s="1576"/>
      <c r="QH114" s="1576"/>
      <c r="QI114" s="1576"/>
      <c r="QJ114" s="1576"/>
      <c r="QK114" s="1576"/>
      <c r="QL114" s="1576"/>
      <c r="QM114" s="1576"/>
      <c r="QN114" s="1576"/>
      <c r="QO114" s="1576"/>
      <c r="QP114" s="1576"/>
      <c r="QQ114" s="1576"/>
      <c r="QR114" s="1576"/>
      <c r="QS114" s="1576"/>
      <c r="QT114" s="1576"/>
      <c r="QU114" s="1576"/>
      <c r="QV114" s="1576"/>
      <c r="QW114" s="1576"/>
      <c r="QX114" s="1576"/>
      <c r="QY114" s="1576"/>
      <c r="QZ114" s="1576"/>
      <c r="RA114" s="1576"/>
      <c r="RB114" s="1576"/>
      <c r="RC114" s="1576"/>
      <c r="RD114" s="1576"/>
      <c r="RE114" s="1576"/>
      <c r="RF114" s="1576"/>
      <c r="RG114" s="1576"/>
      <c r="RH114" s="1576"/>
      <c r="RI114" s="1576"/>
      <c r="RJ114" s="1576"/>
      <c r="RK114" s="1576"/>
      <c r="RL114" s="1576"/>
      <c r="RM114" s="1576"/>
      <c r="RN114" s="1576"/>
      <c r="RO114" s="1576"/>
      <c r="RP114" s="1576"/>
      <c r="RQ114" s="1576"/>
      <c r="RR114" s="1576"/>
      <c r="RS114" s="1576"/>
      <c r="RT114" s="1576"/>
      <c r="RU114" s="1576"/>
      <c r="RV114" s="1576"/>
      <c r="RW114" s="1576"/>
      <c r="RX114" s="1576"/>
      <c r="RY114" s="1576"/>
      <c r="RZ114" s="1576"/>
      <c r="SA114" s="1576"/>
      <c r="SB114" s="1576"/>
      <c r="SC114" s="1576"/>
      <c r="SD114" s="1576"/>
      <c r="SE114" s="1576"/>
      <c r="SF114" s="1576"/>
      <c r="SG114" s="1576"/>
      <c r="SH114" s="1576"/>
      <c r="SI114" s="1576"/>
      <c r="SJ114" s="1576"/>
      <c r="SK114" s="1576"/>
      <c r="SL114" s="1576"/>
      <c r="SM114" s="1576"/>
      <c r="SN114" s="1576"/>
      <c r="SO114" s="1576"/>
      <c r="SP114" s="1576"/>
      <c r="SQ114" s="1576"/>
      <c r="SR114" s="1576"/>
      <c r="SS114" s="1576"/>
      <c r="ST114" s="1576"/>
      <c r="SU114" s="1576"/>
      <c r="SV114" s="1576"/>
      <c r="SW114" s="1576"/>
      <c r="SX114" s="1576"/>
      <c r="SY114" s="1576"/>
      <c r="SZ114" s="1576"/>
      <c r="TA114" s="1576"/>
      <c r="TB114" s="1576"/>
      <c r="TC114" s="1576"/>
      <c r="TD114" s="1576"/>
      <c r="TE114" s="1576"/>
      <c r="TF114" s="1576"/>
      <c r="TG114" s="1576"/>
      <c r="TH114" s="1576"/>
      <c r="TI114" s="1576"/>
      <c r="TJ114" s="1576"/>
      <c r="TK114" s="1576"/>
      <c r="TL114" s="1576"/>
      <c r="TM114" s="1576"/>
      <c r="TN114" s="1576"/>
      <c r="TO114" s="1576"/>
      <c r="TP114" s="1576"/>
      <c r="TQ114" s="1576"/>
      <c r="TR114" s="1576"/>
      <c r="TS114" s="1576"/>
      <c r="TT114" s="1576"/>
      <c r="TU114" s="1576"/>
      <c r="TV114" s="1576"/>
      <c r="TW114" s="1576"/>
      <c r="TX114" s="1576"/>
      <c r="TY114" s="1576"/>
      <c r="TZ114" s="1576"/>
      <c r="UA114" s="1576"/>
      <c r="UB114" s="1576"/>
      <c r="UC114" s="1576"/>
      <c r="UD114" s="1576"/>
      <c r="UE114" s="1576"/>
      <c r="UF114" s="1576"/>
      <c r="UG114" s="1576"/>
      <c r="UH114" s="1576"/>
      <c r="UI114" s="1576"/>
      <c r="UJ114" s="1576"/>
      <c r="UK114" s="1576"/>
      <c r="UL114" s="1576"/>
      <c r="UM114" s="1576"/>
      <c r="UN114" s="1576"/>
      <c r="UO114" s="1576"/>
      <c r="UP114" s="1576"/>
      <c r="UQ114" s="1576"/>
      <c r="UR114" s="1576"/>
      <c r="US114" s="1576"/>
      <c r="UT114" s="1576"/>
      <c r="UU114" s="1576"/>
      <c r="UV114" s="1576"/>
      <c r="UW114" s="1576"/>
      <c r="UX114" s="1576"/>
      <c r="UY114" s="1576"/>
      <c r="UZ114" s="1576"/>
      <c r="VA114" s="1576"/>
      <c r="VB114" s="1576"/>
      <c r="VC114" s="1576"/>
      <c r="VD114" s="1576"/>
      <c r="VE114" s="1576"/>
      <c r="VF114" s="1576"/>
      <c r="VG114" s="1576"/>
      <c r="VH114" s="1576"/>
      <c r="VI114" s="1576"/>
      <c r="VJ114" s="1576"/>
      <c r="VK114" s="1576"/>
    </row>
    <row r="115" spans="1:583" ht="27" x14ac:dyDescent="0.25">
      <c r="B115" s="1610" t="s">
        <v>2799</v>
      </c>
      <c r="C115" s="1582" t="s">
        <v>2815</v>
      </c>
      <c r="D115" s="4710" t="s">
        <v>2816</v>
      </c>
      <c r="E115" s="4710">
        <v>0</v>
      </c>
      <c r="F115" s="2057"/>
      <c r="G115" s="2057"/>
      <c r="H115" s="2057"/>
      <c r="I115" s="2059"/>
      <c r="J115" s="2059"/>
      <c r="K115" s="2059"/>
      <c r="L115" s="2059"/>
      <c r="M115" s="2059"/>
      <c r="N115" s="2059"/>
      <c r="O115" s="2059"/>
      <c r="P115" s="2059"/>
      <c r="Q115" s="2059"/>
      <c r="R115" s="2059"/>
      <c r="S115" s="2059"/>
      <c r="T115" s="2059"/>
      <c r="U115" s="2059"/>
      <c r="V115" s="2059"/>
      <c r="W115" s="2059"/>
      <c r="X115" s="2059"/>
      <c r="Y115" s="2059"/>
      <c r="Z115" s="2059"/>
      <c r="AA115" s="2059"/>
      <c r="AB115" s="2059"/>
      <c r="AC115" s="2059"/>
      <c r="AD115" s="2059"/>
      <c r="AE115" s="2059"/>
      <c r="AF115" s="2059"/>
      <c r="AG115" s="2059"/>
      <c r="AH115" s="2059"/>
      <c r="AI115" s="2059"/>
      <c r="AJ115" s="2059"/>
      <c r="AK115" s="2059"/>
      <c r="AL115" s="2059"/>
      <c r="AM115" s="2059"/>
      <c r="AN115" s="2059"/>
      <c r="AO115" s="2059"/>
      <c r="AP115" s="2059"/>
      <c r="AQ115" s="2059"/>
      <c r="AR115" s="2059"/>
      <c r="AS115" s="2059"/>
      <c r="AT115" s="2059"/>
      <c r="AU115" s="2059"/>
      <c r="AV115" s="2059"/>
      <c r="AW115" s="2059"/>
      <c r="AX115" s="2059"/>
      <c r="AY115" s="2059"/>
      <c r="AZ115" s="2059"/>
      <c r="BA115" s="2059"/>
      <c r="BB115" s="2059"/>
      <c r="BC115" s="2059"/>
      <c r="BD115" s="2059"/>
      <c r="BE115" s="2059"/>
      <c r="BF115" s="2059"/>
      <c r="BG115" s="2059"/>
      <c r="BH115" s="2059"/>
      <c r="BI115" s="2059"/>
      <c r="BJ115" s="2059"/>
      <c r="BK115" s="2059"/>
      <c r="BL115" s="2059"/>
      <c r="BM115" s="2059"/>
      <c r="BN115" s="2059"/>
      <c r="BO115" s="2059"/>
      <c r="BP115" s="2059"/>
      <c r="BQ115" s="2059"/>
      <c r="BR115" s="2059"/>
      <c r="BS115" s="2059"/>
      <c r="BT115" s="2059"/>
      <c r="BU115" s="2059"/>
      <c r="BV115" s="2059"/>
      <c r="BW115" s="2059"/>
      <c r="BX115" s="2059"/>
      <c r="BY115" s="2059"/>
      <c r="BZ115" s="2059"/>
      <c r="CA115" s="2059"/>
      <c r="CB115" s="2059"/>
      <c r="CC115" s="2059"/>
      <c r="CD115" s="2059"/>
      <c r="CE115" s="2059"/>
      <c r="CF115" s="2059"/>
      <c r="CG115" s="2059"/>
      <c r="CH115" s="2059"/>
      <c r="CI115" s="2059"/>
      <c r="CJ115" s="2059"/>
      <c r="CK115" s="2059"/>
      <c r="CL115" s="2059"/>
      <c r="CM115" s="2059"/>
      <c r="CN115" s="2059"/>
      <c r="CO115" s="2059"/>
      <c r="CP115" s="1576"/>
      <c r="CQ115" s="1576"/>
      <c r="CR115" s="1576"/>
      <c r="CS115" s="1576"/>
      <c r="CT115" s="1576"/>
      <c r="CU115" s="1576"/>
      <c r="CV115" s="1576"/>
      <c r="CW115" s="1576"/>
      <c r="CX115" s="1576"/>
      <c r="CY115" s="1576"/>
      <c r="CZ115" s="1576"/>
      <c r="DA115" s="1576"/>
      <c r="DB115" s="1576"/>
      <c r="DC115" s="1576"/>
      <c r="DD115" s="1576"/>
      <c r="DE115" s="1576"/>
      <c r="DF115" s="1576"/>
      <c r="DG115" s="1576"/>
      <c r="DH115" s="1576"/>
      <c r="DI115" s="1576"/>
      <c r="DJ115" s="1576"/>
      <c r="DK115" s="1576"/>
      <c r="DL115" s="1576"/>
      <c r="DM115" s="1576"/>
      <c r="DN115" s="1576"/>
      <c r="DO115" s="1576"/>
      <c r="DP115" s="1576"/>
      <c r="DQ115" s="1576"/>
      <c r="DR115" s="1576"/>
      <c r="DS115" s="1576"/>
      <c r="DT115" s="1576"/>
      <c r="DU115" s="1576"/>
      <c r="DV115" s="1576"/>
      <c r="DW115" s="1576"/>
      <c r="DX115" s="1576"/>
      <c r="DY115" s="1576"/>
      <c r="DZ115" s="1576"/>
      <c r="EA115" s="1576"/>
      <c r="EB115" s="1576"/>
      <c r="EC115" s="1576"/>
      <c r="ED115" s="1576"/>
      <c r="EE115" s="1576"/>
      <c r="EF115" s="1576"/>
      <c r="EG115" s="1576"/>
      <c r="EH115" s="1576"/>
      <c r="EI115" s="1576"/>
      <c r="EJ115" s="1576"/>
      <c r="EK115" s="1576"/>
      <c r="EL115" s="1576"/>
      <c r="EM115" s="1576"/>
      <c r="EN115" s="1576"/>
      <c r="EO115" s="1576"/>
      <c r="EP115" s="1576"/>
      <c r="EQ115" s="1576"/>
      <c r="ER115" s="1576"/>
      <c r="ES115" s="1576"/>
      <c r="ET115" s="1576"/>
      <c r="EU115" s="1576"/>
      <c r="EV115" s="1576"/>
      <c r="EW115" s="1576"/>
      <c r="EX115" s="1576"/>
      <c r="EY115" s="1576"/>
      <c r="EZ115" s="1576"/>
      <c r="FA115" s="1576"/>
      <c r="FB115" s="1576"/>
      <c r="FC115" s="1576"/>
      <c r="FD115" s="1576"/>
      <c r="FE115" s="1576"/>
      <c r="FF115" s="1576"/>
      <c r="FG115" s="1576"/>
      <c r="FH115" s="1576"/>
      <c r="FI115" s="1576"/>
      <c r="FJ115" s="1576"/>
      <c r="FK115" s="1576"/>
      <c r="FL115" s="1576"/>
      <c r="FM115" s="1576"/>
      <c r="FN115" s="1576"/>
      <c r="FO115" s="1576"/>
      <c r="FP115" s="1576"/>
      <c r="FQ115" s="1576"/>
      <c r="FR115" s="1576"/>
      <c r="FS115" s="1576"/>
      <c r="FT115" s="1576"/>
      <c r="FU115" s="1576"/>
      <c r="FV115" s="1576"/>
      <c r="FW115" s="1576"/>
      <c r="FX115" s="1576"/>
      <c r="FY115" s="1576"/>
      <c r="FZ115" s="1576"/>
      <c r="GA115" s="1576"/>
      <c r="GB115" s="1576"/>
      <c r="GC115" s="1576"/>
      <c r="GD115" s="1576"/>
      <c r="GE115" s="1576"/>
      <c r="GF115" s="1576"/>
      <c r="GG115" s="1576"/>
      <c r="GH115" s="1576"/>
      <c r="GI115" s="1576"/>
      <c r="GJ115" s="1576"/>
      <c r="GK115" s="1576"/>
      <c r="GL115" s="1576"/>
      <c r="GM115" s="1576"/>
      <c r="GN115" s="1576"/>
      <c r="GO115" s="1576"/>
      <c r="GP115" s="1576"/>
      <c r="GQ115" s="1576"/>
      <c r="GR115" s="1576"/>
      <c r="GS115" s="1576"/>
      <c r="GT115" s="1576"/>
      <c r="GU115" s="1576"/>
      <c r="GV115" s="1576"/>
      <c r="GW115" s="1576"/>
      <c r="GX115" s="1576"/>
      <c r="GY115" s="1576"/>
      <c r="GZ115" s="1576"/>
      <c r="HA115" s="1576"/>
      <c r="HB115" s="1576"/>
      <c r="HC115" s="1576"/>
      <c r="HD115" s="1576"/>
      <c r="HE115" s="1576"/>
      <c r="HF115" s="1576"/>
      <c r="HG115" s="1576"/>
      <c r="HH115" s="1576"/>
      <c r="HI115" s="1576"/>
      <c r="HJ115" s="1576"/>
      <c r="HK115" s="1576"/>
      <c r="HL115" s="1576"/>
      <c r="HM115" s="1576"/>
      <c r="HN115" s="1576"/>
      <c r="HO115" s="1576"/>
      <c r="HP115" s="1576"/>
      <c r="HQ115" s="1576"/>
      <c r="HR115" s="1576"/>
      <c r="HS115" s="1576"/>
      <c r="HT115" s="1576"/>
      <c r="HU115" s="1576"/>
      <c r="HV115" s="1576"/>
      <c r="HW115" s="1576"/>
      <c r="HX115" s="1576"/>
      <c r="HY115" s="1576"/>
      <c r="HZ115" s="1576"/>
      <c r="IA115" s="1576"/>
      <c r="IB115" s="1576"/>
      <c r="IC115" s="1576"/>
      <c r="ID115" s="1576"/>
      <c r="IE115" s="1576"/>
      <c r="IF115" s="1576"/>
      <c r="IG115" s="1576"/>
      <c r="IH115" s="1576"/>
      <c r="II115" s="1576"/>
      <c r="IJ115" s="1576"/>
      <c r="IK115" s="1576"/>
      <c r="IL115" s="1576"/>
      <c r="IM115" s="1576"/>
      <c r="IN115" s="1576"/>
      <c r="IO115" s="1576"/>
      <c r="IP115" s="1576"/>
      <c r="IQ115" s="1576"/>
      <c r="IR115" s="1576"/>
      <c r="IS115" s="1576"/>
      <c r="IT115" s="1576"/>
      <c r="IU115" s="1576"/>
      <c r="IV115" s="1576"/>
      <c r="IW115" s="1576"/>
      <c r="IX115" s="1576"/>
      <c r="IY115" s="1576"/>
      <c r="IZ115" s="1576"/>
      <c r="JA115" s="2054"/>
      <c r="JB115" s="2054"/>
      <c r="JC115" s="2054"/>
      <c r="JD115" s="2054"/>
      <c r="JE115" s="2054"/>
      <c r="JF115" s="2054"/>
      <c r="JG115" s="2054"/>
      <c r="JH115" s="2054"/>
      <c r="JI115" s="2054"/>
      <c r="JJ115" s="2054"/>
      <c r="JK115" s="2054"/>
      <c r="JL115" s="2054"/>
      <c r="JM115" s="2054"/>
      <c r="JN115" s="2054"/>
      <c r="JO115" s="2054"/>
      <c r="JP115" s="2054"/>
      <c r="JQ115" s="2054"/>
      <c r="JR115" s="1576"/>
      <c r="JS115" s="1576"/>
      <c r="JT115" s="1576"/>
      <c r="JU115" s="1576"/>
      <c r="JV115" s="1576"/>
      <c r="JW115" s="1576"/>
      <c r="JX115" s="1576"/>
      <c r="JY115" s="1576"/>
      <c r="JZ115" s="1576"/>
      <c r="KA115" s="1576"/>
      <c r="KB115" s="1576"/>
      <c r="KC115" s="1576"/>
      <c r="KD115" s="1576"/>
      <c r="KE115" s="1576"/>
      <c r="KF115" s="1576"/>
      <c r="KG115" s="1576"/>
      <c r="KH115" s="1576"/>
      <c r="KI115" s="1576"/>
      <c r="KJ115" s="1576"/>
      <c r="KK115" s="1576"/>
      <c r="KL115" s="1576"/>
      <c r="KM115" s="1576"/>
      <c r="KN115" s="1576"/>
      <c r="KO115" s="1576"/>
      <c r="KP115" s="1576"/>
      <c r="KQ115" s="1576"/>
      <c r="KR115" s="1576"/>
      <c r="KS115" s="1576"/>
      <c r="KT115" s="1576"/>
      <c r="KU115" s="1576"/>
      <c r="KV115" s="1576"/>
      <c r="KW115" s="1576"/>
      <c r="KX115" s="1576"/>
      <c r="KY115" s="1576"/>
      <c r="KZ115" s="1576"/>
      <c r="LA115" s="1576"/>
      <c r="LB115" s="1576"/>
      <c r="LC115" s="1576"/>
      <c r="LD115" s="1576"/>
      <c r="LE115" s="1576"/>
      <c r="LF115" s="1576"/>
      <c r="LG115" s="1576"/>
      <c r="LH115" s="1576"/>
      <c r="LI115" s="1576"/>
      <c r="LJ115" s="1576"/>
      <c r="LK115" s="1576"/>
      <c r="LL115" s="1576"/>
      <c r="LM115" s="1576"/>
      <c r="LN115" s="1576"/>
      <c r="LO115" s="1576"/>
      <c r="LP115" s="1576"/>
      <c r="LQ115" s="1576"/>
      <c r="LR115" s="1576"/>
      <c r="LS115" s="1576"/>
      <c r="LT115" s="1576"/>
      <c r="LU115" s="1576"/>
      <c r="LV115" s="1576"/>
      <c r="LW115" s="1576"/>
      <c r="LX115" s="1576"/>
      <c r="LY115" s="1576"/>
      <c r="LZ115" s="1576"/>
      <c r="MA115" s="1576"/>
      <c r="MB115" s="1576"/>
      <c r="MC115" s="1576"/>
      <c r="MD115" s="1576"/>
      <c r="ME115" s="1576"/>
      <c r="MF115" s="1576"/>
      <c r="MG115" s="1576"/>
      <c r="MH115" s="1576"/>
      <c r="MI115" s="1576"/>
      <c r="MJ115" s="1576"/>
      <c r="MK115" s="1576"/>
      <c r="ML115" s="1576"/>
      <c r="MM115" s="1576"/>
      <c r="MN115" s="1576"/>
      <c r="MO115" s="1576"/>
      <c r="MP115" s="1576"/>
      <c r="MQ115" s="1576"/>
      <c r="MR115" s="1576"/>
      <c r="MS115" s="1576"/>
      <c r="MT115" s="1576"/>
      <c r="MU115" s="1576"/>
      <c r="MV115" s="1576"/>
      <c r="MW115" s="1576"/>
      <c r="MX115" s="1576"/>
      <c r="MY115" s="1576"/>
      <c r="MZ115" s="1576"/>
      <c r="NA115" s="1576"/>
      <c r="NB115" s="1576"/>
      <c r="NC115" s="1576"/>
      <c r="ND115" s="1576"/>
      <c r="NE115" s="1576"/>
      <c r="NF115" s="1576"/>
      <c r="NG115" s="1576"/>
      <c r="NH115" s="1576"/>
      <c r="NI115" s="1576"/>
      <c r="NJ115" s="1576"/>
      <c r="NK115" s="1576"/>
      <c r="NL115" s="1576"/>
      <c r="NM115" s="1576"/>
      <c r="NN115" s="1576"/>
      <c r="NO115" s="1576"/>
      <c r="NP115" s="1576"/>
      <c r="NQ115" s="1576"/>
      <c r="NR115" s="1576"/>
      <c r="NS115" s="1576"/>
      <c r="NT115" s="1576"/>
      <c r="NU115" s="1576"/>
      <c r="NV115" s="1576"/>
      <c r="NW115" s="1576"/>
      <c r="NX115" s="1576"/>
      <c r="NY115" s="1576"/>
      <c r="NZ115" s="1576"/>
      <c r="OA115" s="1576"/>
      <c r="OB115" s="1576"/>
      <c r="OC115" s="1576"/>
      <c r="OD115" s="1576"/>
      <c r="OE115" s="1576"/>
      <c r="OF115" s="1576"/>
      <c r="OG115" s="1576"/>
      <c r="OH115" s="1576"/>
      <c r="OI115" s="1576"/>
      <c r="OJ115" s="1576"/>
      <c r="OK115" s="1576"/>
      <c r="OL115" s="1576"/>
      <c r="OM115" s="1576"/>
      <c r="ON115" s="1576"/>
      <c r="OO115" s="1576"/>
      <c r="OP115" s="1576"/>
      <c r="OQ115" s="1576"/>
      <c r="OR115" s="1576"/>
      <c r="OS115" s="1576"/>
      <c r="OT115" s="1576"/>
      <c r="OU115" s="1576"/>
      <c r="OV115" s="1576"/>
      <c r="OW115" s="1576"/>
      <c r="OX115" s="1576"/>
      <c r="OY115" s="1576"/>
      <c r="OZ115" s="1576"/>
      <c r="PA115" s="1576"/>
      <c r="PB115" s="1576"/>
      <c r="PC115" s="1576"/>
      <c r="PD115" s="1576"/>
      <c r="PE115" s="1576"/>
      <c r="PF115" s="1576"/>
      <c r="PG115" s="1576"/>
      <c r="PH115" s="1576"/>
      <c r="PI115" s="1576"/>
      <c r="PJ115" s="1576"/>
      <c r="PK115" s="1576"/>
      <c r="PL115" s="1576"/>
      <c r="PM115" s="1576"/>
      <c r="PN115" s="1576"/>
      <c r="PO115" s="1576"/>
      <c r="PP115" s="1576"/>
      <c r="PQ115" s="1576"/>
      <c r="PR115" s="1576"/>
      <c r="PS115" s="1576"/>
      <c r="PT115" s="1576"/>
      <c r="PU115" s="1576"/>
      <c r="PV115" s="1576"/>
      <c r="PW115" s="1576"/>
      <c r="PX115" s="1576"/>
      <c r="PY115" s="1576"/>
      <c r="PZ115" s="1576"/>
      <c r="QA115" s="1576"/>
      <c r="QB115" s="1576"/>
      <c r="QC115" s="1576"/>
      <c r="QD115" s="1576"/>
      <c r="QE115" s="1576"/>
      <c r="QF115" s="1576"/>
      <c r="QG115" s="1576"/>
      <c r="QH115" s="1576"/>
      <c r="QI115" s="1576"/>
      <c r="QJ115" s="1576"/>
      <c r="QK115" s="1576"/>
      <c r="QL115" s="1576"/>
      <c r="QM115" s="1576"/>
      <c r="QN115" s="1576"/>
      <c r="QO115" s="1576"/>
      <c r="QP115" s="1576"/>
      <c r="QQ115" s="1576"/>
      <c r="QR115" s="1576"/>
      <c r="QS115" s="1576"/>
      <c r="QT115" s="1576"/>
      <c r="QU115" s="1576"/>
      <c r="QV115" s="1576"/>
      <c r="QW115" s="1576"/>
      <c r="QX115" s="1576"/>
      <c r="QY115" s="1576"/>
      <c r="QZ115" s="1576"/>
      <c r="RA115" s="1576"/>
      <c r="RB115" s="1576"/>
      <c r="RC115" s="1576"/>
      <c r="RD115" s="1576"/>
      <c r="RE115" s="1576"/>
      <c r="RF115" s="1576"/>
      <c r="RG115" s="1576"/>
      <c r="RH115" s="1576"/>
      <c r="RI115" s="1576"/>
      <c r="RJ115" s="1576"/>
      <c r="RK115" s="1576"/>
      <c r="RL115" s="1576"/>
      <c r="RM115" s="1576"/>
      <c r="RN115" s="1576"/>
      <c r="RO115" s="1576"/>
      <c r="RP115" s="1576"/>
      <c r="RQ115" s="1576"/>
      <c r="RR115" s="1576"/>
      <c r="RS115" s="1576"/>
      <c r="RT115" s="1576"/>
      <c r="RU115" s="1576"/>
      <c r="RV115" s="1576"/>
      <c r="RW115" s="1576"/>
      <c r="RX115" s="1576"/>
      <c r="RY115" s="1576"/>
      <c r="RZ115" s="1576"/>
      <c r="SA115" s="1576"/>
      <c r="SB115" s="1576"/>
      <c r="SC115" s="1576"/>
      <c r="SD115" s="1576"/>
      <c r="SE115" s="1576"/>
      <c r="SF115" s="1576"/>
      <c r="SG115" s="1576"/>
      <c r="SH115" s="1576"/>
      <c r="SI115" s="1576"/>
      <c r="SJ115" s="1576"/>
      <c r="SK115" s="1576"/>
      <c r="SL115" s="1576"/>
      <c r="SM115" s="1576"/>
      <c r="SN115" s="1576"/>
      <c r="SO115" s="1576"/>
      <c r="SP115" s="1576"/>
      <c r="SQ115" s="1576"/>
      <c r="SR115" s="1576"/>
      <c r="SS115" s="1576"/>
      <c r="ST115" s="1576"/>
      <c r="SU115" s="1576"/>
      <c r="SV115" s="1576"/>
      <c r="SW115" s="1576"/>
      <c r="SX115" s="1576"/>
      <c r="SY115" s="1576"/>
      <c r="SZ115" s="1576"/>
      <c r="TA115" s="1576"/>
      <c r="TB115" s="1576"/>
      <c r="TC115" s="1576"/>
      <c r="TD115" s="1576"/>
      <c r="TE115" s="1576"/>
      <c r="TF115" s="1576"/>
      <c r="TG115" s="1576"/>
      <c r="TH115" s="1576"/>
      <c r="TI115" s="1576"/>
      <c r="TJ115" s="1576"/>
      <c r="TK115" s="1576"/>
      <c r="TL115" s="1576"/>
      <c r="TM115" s="1576"/>
      <c r="TN115" s="1576"/>
      <c r="TO115" s="1576"/>
      <c r="TP115" s="1576"/>
      <c r="TQ115" s="1576"/>
      <c r="TR115" s="1576"/>
      <c r="TS115" s="1576"/>
      <c r="TT115" s="1576"/>
      <c r="TU115" s="1576"/>
      <c r="TV115" s="1576"/>
      <c r="TW115" s="1576"/>
      <c r="TX115" s="1576"/>
      <c r="TY115" s="1576"/>
      <c r="TZ115" s="1576"/>
      <c r="UA115" s="1576"/>
      <c r="UB115" s="1576"/>
      <c r="UC115" s="1576"/>
      <c r="UD115" s="1576"/>
      <c r="UE115" s="1576"/>
      <c r="UF115" s="1576"/>
      <c r="UG115" s="1576"/>
      <c r="UH115" s="1576"/>
      <c r="UI115" s="1576"/>
      <c r="UJ115" s="1576"/>
      <c r="UK115" s="1576"/>
      <c r="UL115" s="1576"/>
      <c r="UM115" s="1576"/>
      <c r="UN115" s="1576"/>
      <c r="UO115" s="1576"/>
      <c r="UP115" s="1576"/>
      <c r="UQ115" s="1576"/>
      <c r="UR115" s="1576"/>
      <c r="US115" s="1576"/>
      <c r="UT115" s="1576"/>
      <c r="UU115" s="1576"/>
      <c r="UV115" s="1576"/>
      <c r="UW115" s="1576"/>
      <c r="UX115" s="1576"/>
      <c r="UY115" s="1576"/>
      <c r="UZ115" s="1576"/>
      <c r="VA115" s="1576"/>
      <c r="VB115" s="1576"/>
      <c r="VC115" s="1576"/>
      <c r="VD115" s="1576"/>
      <c r="VE115" s="1576"/>
      <c r="VF115" s="1576"/>
      <c r="VG115" s="1576"/>
      <c r="VH115" s="1576"/>
      <c r="VI115" s="1576"/>
      <c r="VJ115" s="1576"/>
      <c r="VK115" s="1576"/>
    </row>
    <row r="116" spans="1:583" ht="27" x14ac:dyDescent="0.25">
      <c r="A116" s="691" t="s">
        <v>3833</v>
      </c>
      <c r="B116" s="1610" t="s">
        <v>2799</v>
      </c>
      <c r="C116" s="2062" t="s">
        <v>2937</v>
      </c>
      <c r="D116" s="1582" t="s">
        <v>2799</v>
      </c>
      <c r="E116" s="2062" t="s">
        <v>2937</v>
      </c>
      <c r="F116" s="2063"/>
      <c r="G116" s="2063"/>
      <c r="H116" s="2063"/>
      <c r="I116" s="2057"/>
      <c r="J116" s="2057"/>
      <c r="K116" s="2057"/>
      <c r="L116" s="2057"/>
      <c r="M116" s="2057"/>
      <c r="N116" s="2057"/>
      <c r="O116" s="2057"/>
      <c r="P116" s="2057"/>
      <c r="Q116" s="2057"/>
      <c r="R116" s="2057"/>
      <c r="S116" s="2057"/>
      <c r="T116" s="2057"/>
      <c r="U116" s="2057"/>
      <c r="V116" s="2057"/>
      <c r="W116" s="2057"/>
      <c r="X116" s="2057"/>
      <c r="Y116" s="2057"/>
      <c r="Z116" s="2057"/>
      <c r="AA116" s="2057"/>
      <c r="AB116" s="2057"/>
      <c r="AC116" s="2057"/>
      <c r="AD116" s="2057"/>
      <c r="AE116" s="2057"/>
      <c r="AF116" s="2057"/>
      <c r="AG116" s="2057"/>
      <c r="AH116" s="2057"/>
      <c r="AI116" s="2057"/>
      <c r="AJ116" s="2057"/>
      <c r="AK116" s="2057"/>
      <c r="AL116" s="2057"/>
      <c r="AM116" s="2057"/>
      <c r="AN116" s="2057"/>
      <c r="AO116" s="2057"/>
      <c r="AP116" s="2057"/>
      <c r="AQ116" s="2057"/>
      <c r="AR116" s="2057"/>
      <c r="AS116" s="2057"/>
      <c r="AT116" s="2057"/>
      <c r="AU116" s="2057"/>
      <c r="AV116" s="2057"/>
      <c r="AW116" s="2057"/>
      <c r="AX116" s="2057"/>
      <c r="AY116" s="2057"/>
      <c r="AZ116" s="2057"/>
      <c r="BA116" s="2057"/>
      <c r="BB116" s="2057"/>
      <c r="BC116" s="2057"/>
      <c r="BD116" s="2057"/>
      <c r="BE116" s="2057"/>
      <c r="BF116" s="2057"/>
      <c r="BG116" s="2057"/>
      <c r="BH116" s="2057"/>
      <c r="BI116" s="2057"/>
      <c r="BJ116" s="2057"/>
      <c r="BK116" s="2057"/>
      <c r="BL116" s="2057"/>
      <c r="BM116" s="2057"/>
      <c r="BN116" s="2057"/>
      <c r="BO116" s="2057"/>
      <c r="BP116" s="2057"/>
      <c r="BQ116" s="2057"/>
      <c r="BR116" s="2057"/>
      <c r="BS116" s="2057"/>
      <c r="BT116" s="2057"/>
      <c r="BU116" s="2057"/>
      <c r="BV116" s="2057"/>
      <c r="BW116" s="2057"/>
      <c r="BX116" s="2057"/>
      <c r="BY116" s="2057"/>
      <c r="BZ116" s="2057"/>
      <c r="CA116" s="2057"/>
      <c r="CB116" s="2057"/>
      <c r="CC116" s="2057"/>
      <c r="CD116" s="2057"/>
      <c r="CE116" s="2057"/>
      <c r="CF116" s="2057"/>
      <c r="CG116" s="2057"/>
      <c r="CH116" s="2057"/>
      <c r="CI116" s="2057"/>
      <c r="CJ116" s="2057"/>
      <c r="CK116" s="2057"/>
      <c r="CL116" s="2057"/>
      <c r="CM116" s="2057"/>
      <c r="CN116" s="2057"/>
      <c r="CO116" s="2057"/>
      <c r="CP116" s="1912"/>
      <c r="CQ116" s="1912"/>
      <c r="CR116" s="1912"/>
      <c r="CS116" s="1912"/>
      <c r="CT116" s="1912"/>
      <c r="CU116" s="1912"/>
      <c r="CV116" s="1912"/>
      <c r="CW116" s="1912"/>
      <c r="CX116" s="1912"/>
      <c r="CY116" s="1912"/>
      <c r="CZ116" s="1912"/>
      <c r="DA116" s="1912"/>
      <c r="DB116" s="1912"/>
      <c r="DC116" s="1912"/>
      <c r="DD116" s="1912"/>
      <c r="DE116" s="1912"/>
      <c r="DF116" s="1912"/>
      <c r="DG116" s="1912"/>
      <c r="DH116" s="1912"/>
      <c r="DI116" s="1912"/>
      <c r="DJ116" s="1912"/>
      <c r="DK116" s="1912"/>
      <c r="DL116" s="1912"/>
      <c r="DM116" s="1912"/>
      <c r="DN116" s="1912"/>
      <c r="DO116" s="1912"/>
      <c r="DP116" s="1912"/>
      <c r="DQ116" s="1912"/>
      <c r="DR116" s="1912"/>
      <c r="DS116" s="1912"/>
      <c r="DT116" s="1912"/>
      <c r="DU116" s="1912"/>
      <c r="DV116" s="1912"/>
      <c r="DW116" s="1912"/>
      <c r="DX116" s="1912"/>
      <c r="DY116" s="1912"/>
      <c r="DZ116" s="1912"/>
      <c r="EA116" s="1912"/>
      <c r="EB116" s="1912"/>
      <c r="EC116" s="1912"/>
      <c r="ED116" s="1912"/>
      <c r="EE116" s="1912"/>
      <c r="EF116" s="1912"/>
      <c r="EG116" s="1912"/>
      <c r="EH116" s="1912"/>
      <c r="EI116" s="1912"/>
      <c r="EJ116" s="1912"/>
      <c r="EK116" s="1912"/>
      <c r="EL116" s="1912"/>
      <c r="EM116" s="1912"/>
      <c r="EN116" s="1912"/>
      <c r="EO116" s="1912"/>
      <c r="EP116" s="1912"/>
      <c r="EQ116" s="1912"/>
      <c r="ER116" s="1912"/>
      <c r="ES116" s="1912"/>
      <c r="ET116" s="1912"/>
      <c r="EU116" s="1912"/>
      <c r="EV116" s="1912"/>
      <c r="EW116" s="1912"/>
      <c r="EX116" s="1912"/>
      <c r="EY116" s="1912"/>
      <c r="EZ116" s="1912"/>
      <c r="FA116" s="1912"/>
      <c r="FB116" s="1912"/>
      <c r="FC116" s="1912"/>
      <c r="FD116" s="1912"/>
      <c r="FE116" s="1912"/>
      <c r="FF116" s="1912"/>
      <c r="FG116" s="1912"/>
      <c r="FH116" s="1912"/>
      <c r="FI116" s="1912"/>
      <c r="FJ116" s="1912"/>
      <c r="FK116" s="1912"/>
      <c r="FL116" s="1912"/>
      <c r="FM116" s="1912"/>
      <c r="FN116" s="1912"/>
      <c r="FO116" s="1912"/>
      <c r="FP116" s="1912"/>
      <c r="FQ116" s="1912"/>
      <c r="FR116" s="1912"/>
      <c r="FS116" s="1912"/>
      <c r="FT116" s="1912"/>
      <c r="FU116" s="1912"/>
      <c r="FV116" s="1912"/>
      <c r="FW116" s="1912"/>
      <c r="FX116" s="1912"/>
      <c r="FY116" s="1912"/>
      <c r="FZ116" s="1912"/>
      <c r="GA116" s="1912"/>
      <c r="GB116" s="1912"/>
      <c r="GC116" s="1912"/>
      <c r="GD116" s="1912"/>
      <c r="GE116" s="1912"/>
      <c r="GF116" s="1912"/>
      <c r="GG116" s="1912"/>
      <c r="GH116" s="1912"/>
      <c r="GI116" s="1912"/>
      <c r="GJ116" s="1912"/>
      <c r="GK116" s="1912"/>
      <c r="GL116" s="1912"/>
      <c r="GM116" s="1912"/>
      <c r="GN116" s="1912"/>
      <c r="GO116" s="1912"/>
      <c r="GP116" s="1912"/>
      <c r="GQ116" s="1912"/>
      <c r="GR116" s="1912"/>
      <c r="GS116" s="1912"/>
      <c r="GT116" s="1912"/>
      <c r="GU116" s="1912"/>
      <c r="GV116" s="1912"/>
      <c r="GW116" s="1912"/>
      <c r="GX116" s="1912"/>
      <c r="GY116" s="1912"/>
      <c r="GZ116" s="1912"/>
      <c r="HA116" s="1912"/>
      <c r="HB116" s="1912"/>
      <c r="HC116" s="1912"/>
      <c r="HD116" s="1912"/>
      <c r="HE116" s="1912"/>
      <c r="HF116" s="1912"/>
      <c r="HG116" s="1912"/>
      <c r="HH116" s="1912"/>
      <c r="HI116" s="1912"/>
      <c r="HJ116" s="1912"/>
      <c r="HK116" s="1912"/>
      <c r="HL116" s="1912"/>
      <c r="HM116" s="1912"/>
      <c r="HN116" s="1912"/>
      <c r="HO116" s="1912"/>
      <c r="HP116" s="1912"/>
      <c r="HQ116" s="1912"/>
      <c r="HR116" s="1912"/>
      <c r="HS116" s="1912"/>
      <c r="HT116" s="1912"/>
      <c r="HU116" s="1912"/>
      <c r="HV116" s="1912"/>
      <c r="HW116" s="1912"/>
      <c r="HX116" s="1912"/>
      <c r="HY116" s="1912"/>
      <c r="HZ116" s="1912"/>
      <c r="IA116" s="1912"/>
      <c r="IB116" s="1912"/>
      <c r="IC116" s="1912"/>
      <c r="ID116" s="1912"/>
      <c r="IE116" s="1912"/>
      <c r="IF116" s="1912"/>
      <c r="IG116" s="1912"/>
      <c r="IH116" s="1912"/>
      <c r="II116" s="1912"/>
      <c r="IJ116" s="1912"/>
      <c r="IK116" s="1912"/>
      <c r="IL116" s="1912"/>
      <c r="IM116" s="1912"/>
      <c r="IN116" s="1912"/>
      <c r="IO116" s="1912"/>
      <c r="IP116" s="1912"/>
      <c r="IQ116" s="1912"/>
      <c r="IR116" s="1912"/>
      <c r="IS116" s="1912"/>
      <c r="IT116" s="1912"/>
      <c r="IU116" s="1912"/>
      <c r="IV116" s="1912"/>
      <c r="IW116" s="1912"/>
      <c r="IX116" s="1912"/>
      <c r="IY116" s="1912"/>
      <c r="IZ116" s="1912"/>
      <c r="JA116" s="1912"/>
      <c r="JB116" s="1912"/>
      <c r="JC116" s="1912"/>
      <c r="JD116" s="1912"/>
      <c r="JE116" s="1912"/>
      <c r="JF116" s="1912"/>
      <c r="JG116" s="1912"/>
      <c r="JH116" s="1912"/>
      <c r="JI116" s="1912"/>
      <c r="JJ116" s="1912"/>
      <c r="JK116" s="1912"/>
      <c r="JL116" s="1912"/>
      <c r="JM116" s="1912"/>
      <c r="JN116" s="1912"/>
      <c r="JO116" s="1912"/>
      <c r="JP116" s="1912"/>
      <c r="JQ116" s="1912"/>
      <c r="JR116" s="1912"/>
      <c r="JS116" s="1912"/>
      <c r="JT116" s="1912"/>
      <c r="JU116" s="1912"/>
      <c r="JV116" s="1912"/>
      <c r="JW116" s="1912"/>
      <c r="JX116" s="1912"/>
      <c r="JY116" s="1912"/>
      <c r="JZ116" s="1912"/>
      <c r="KA116" s="1912"/>
      <c r="KB116" s="1912"/>
      <c r="KC116" s="1912"/>
      <c r="KD116" s="1912"/>
      <c r="KE116" s="1912"/>
      <c r="KF116" s="1912"/>
      <c r="KG116" s="1912"/>
      <c r="KH116" s="1912"/>
      <c r="KI116" s="1912"/>
      <c r="KJ116" s="1912"/>
      <c r="KK116" s="1912"/>
      <c r="KL116" s="1912"/>
      <c r="KM116" s="1912"/>
      <c r="KN116" s="1912"/>
      <c r="KO116" s="1912"/>
      <c r="KP116" s="1912"/>
      <c r="KQ116" s="1912"/>
      <c r="KR116" s="1912"/>
      <c r="KS116" s="1912"/>
      <c r="KT116" s="1912"/>
      <c r="KU116" s="1912"/>
      <c r="KV116" s="1912"/>
      <c r="KW116" s="1912"/>
      <c r="KX116" s="1912"/>
      <c r="KY116" s="1912"/>
      <c r="KZ116" s="1912"/>
      <c r="LA116" s="1912"/>
      <c r="LB116" s="1912"/>
      <c r="LC116" s="1912"/>
      <c r="LD116" s="1912"/>
      <c r="LE116" s="1912"/>
      <c r="LF116" s="1912"/>
      <c r="LG116" s="1912"/>
      <c r="LH116" s="1912"/>
      <c r="LI116" s="1912"/>
      <c r="LJ116" s="1912"/>
      <c r="LK116" s="1912"/>
      <c r="LL116" s="1912"/>
      <c r="LM116" s="1912"/>
      <c r="LN116" s="1912"/>
      <c r="LO116" s="1912"/>
      <c r="LP116" s="1912"/>
      <c r="LQ116" s="1912"/>
      <c r="LR116" s="1912"/>
      <c r="LS116" s="1912"/>
      <c r="LT116" s="1912"/>
      <c r="LU116" s="1912"/>
      <c r="LV116" s="1912"/>
      <c r="LW116" s="1912"/>
      <c r="LX116" s="1912"/>
      <c r="LY116" s="1912"/>
      <c r="LZ116" s="1912"/>
      <c r="MA116" s="1912"/>
      <c r="MB116" s="1912"/>
      <c r="MC116" s="1912"/>
      <c r="MD116" s="1912"/>
      <c r="ME116" s="1912"/>
      <c r="MF116" s="1912"/>
      <c r="MG116" s="1912"/>
      <c r="MH116" s="1912"/>
      <c r="MI116" s="1912"/>
      <c r="MJ116" s="1912"/>
      <c r="MK116" s="1912"/>
      <c r="ML116" s="1912"/>
      <c r="MM116" s="1912"/>
      <c r="MN116" s="1912"/>
      <c r="MO116" s="1912"/>
      <c r="MP116" s="1912"/>
      <c r="MQ116" s="1912"/>
      <c r="MR116" s="1912"/>
      <c r="MS116" s="1912"/>
      <c r="MT116" s="1912"/>
      <c r="MU116" s="1912"/>
      <c r="MV116" s="1912"/>
      <c r="MW116" s="1912"/>
      <c r="MX116" s="1912"/>
      <c r="MY116" s="1912"/>
      <c r="MZ116" s="1912"/>
      <c r="NA116" s="1912"/>
      <c r="NB116" s="1912"/>
      <c r="NC116" s="1912"/>
      <c r="ND116" s="1912"/>
      <c r="NE116" s="1912"/>
      <c r="NF116" s="1912"/>
      <c r="NG116" s="1912"/>
      <c r="NH116" s="1912"/>
      <c r="NI116" s="1912"/>
      <c r="NJ116" s="1912"/>
      <c r="NK116" s="1912"/>
      <c r="NL116" s="1912"/>
      <c r="NM116" s="1912"/>
      <c r="NN116" s="1912"/>
      <c r="NO116" s="1912"/>
      <c r="NP116" s="1912"/>
      <c r="NQ116" s="1912"/>
      <c r="NR116" s="1912"/>
      <c r="NS116" s="1912"/>
      <c r="NT116" s="1912"/>
      <c r="NU116" s="1912"/>
      <c r="NV116" s="1912"/>
      <c r="NW116" s="1912"/>
      <c r="NX116" s="1912"/>
      <c r="NY116" s="1912"/>
      <c r="NZ116" s="1912"/>
      <c r="OA116" s="1912"/>
      <c r="OB116" s="1912"/>
      <c r="OC116" s="1912"/>
      <c r="OD116" s="1912"/>
      <c r="OE116" s="1912"/>
      <c r="OF116" s="1912"/>
      <c r="OG116" s="1912"/>
      <c r="OH116" s="1912"/>
      <c r="OI116" s="1912"/>
      <c r="OJ116" s="1912"/>
      <c r="OK116" s="1912"/>
      <c r="OL116" s="1912"/>
      <c r="OM116" s="1912"/>
      <c r="ON116" s="1912"/>
      <c r="OO116" s="1912"/>
      <c r="OP116" s="1912"/>
      <c r="OQ116" s="1912"/>
      <c r="OR116" s="1912"/>
      <c r="OS116" s="1912"/>
      <c r="OT116" s="1912"/>
      <c r="OU116" s="1912"/>
      <c r="OV116" s="1912"/>
      <c r="OW116" s="1912"/>
      <c r="OX116" s="1912"/>
      <c r="OY116" s="1912"/>
      <c r="OZ116" s="1912"/>
      <c r="PA116" s="1912"/>
      <c r="PB116" s="1912"/>
      <c r="PC116" s="1912"/>
      <c r="PD116" s="1912"/>
      <c r="PE116" s="1912"/>
      <c r="PF116" s="1912"/>
      <c r="PG116" s="1912"/>
      <c r="PH116" s="1912"/>
      <c r="PI116" s="1912"/>
      <c r="PJ116" s="1912"/>
      <c r="PK116" s="1912"/>
      <c r="PL116" s="1912"/>
      <c r="PM116" s="1912"/>
      <c r="PN116" s="1912"/>
      <c r="PO116" s="1912"/>
      <c r="PP116" s="1912"/>
      <c r="PQ116" s="1912"/>
      <c r="PR116" s="1912"/>
      <c r="PS116" s="1912"/>
      <c r="PT116" s="1912"/>
      <c r="PU116" s="1912"/>
      <c r="PV116" s="1912"/>
      <c r="PW116" s="1912"/>
      <c r="PX116" s="1912"/>
      <c r="PY116" s="1912"/>
      <c r="PZ116" s="1912"/>
      <c r="QA116" s="1912"/>
      <c r="QB116" s="1912"/>
      <c r="QC116" s="1912"/>
      <c r="QD116" s="1912"/>
      <c r="QE116" s="1912"/>
      <c r="QF116" s="1912"/>
      <c r="QG116" s="1912"/>
      <c r="QH116" s="1912"/>
      <c r="QI116" s="1912"/>
      <c r="QJ116" s="1912"/>
      <c r="QK116" s="1912"/>
      <c r="QL116" s="1912"/>
      <c r="QM116" s="1912"/>
      <c r="QN116" s="1912"/>
      <c r="QO116" s="1912"/>
      <c r="QP116" s="1912"/>
      <c r="QQ116" s="1912"/>
      <c r="QR116" s="1912"/>
      <c r="QS116" s="1912"/>
      <c r="QT116" s="1912"/>
      <c r="QU116" s="1912"/>
      <c r="QV116" s="1912"/>
      <c r="QW116" s="1912"/>
      <c r="QX116" s="1912"/>
      <c r="QY116" s="1912"/>
      <c r="QZ116" s="1912"/>
      <c r="RA116" s="1912"/>
      <c r="RB116" s="1912"/>
      <c r="RC116" s="1912"/>
      <c r="RD116" s="1912"/>
      <c r="RE116" s="1912"/>
      <c r="RF116" s="1912"/>
      <c r="RG116" s="1912"/>
      <c r="RH116" s="1912"/>
      <c r="RI116" s="1912"/>
      <c r="RJ116" s="1912"/>
      <c r="RK116" s="1912"/>
      <c r="RL116" s="1912"/>
      <c r="RM116" s="1912"/>
      <c r="RN116" s="1912"/>
      <c r="RO116" s="1912"/>
      <c r="RP116" s="1912"/>
      <c r="RQ116" s="1912"/>
      <c r="RR116" s="1912"/>
      <c r="RS116" s="1912"/>
      <c r="RT116" s="1912"/>
      <c r="RU116" s="1912"/>
      <c r="RV116" s="1912"/>
      <c r="RW116" s="1912"/>
      <c r="RX116" s="1912"/>
      <c r="RY116" s="1912"/>
      <c r="RZ116" s="1912"/>
      <c r="SA116" s="1912"/>
      <c r="SB116" s="1912"/>
      <c r="SC116" s="1912"/>
      <c r="SD116" s="1912"/>
      <c r="SE116" s="1912"/>
      <c r="SF116" s="1912"/>
      <c r="SG116" s="1912"/>
      <c r="SH116" s="1912"/>
      <c r="SI116" s="1912"/>
      <c r="SJ116" s="1912"/>
      <c r="SK116" s="1912"/>
      <c r="SL116" s="1912"/>
      <c r="SM116" s="1912"/>
      <c r="SN116" s="1912"/>
      <c r="SO116" s="1912"/>
      <c r="SP116" s="1912"/>
      <c r="SQ116" s="1912"/>
      <c r="SR116" s="1912"/>
      <c r="SS116" s="1912"/>
      <c r="ST116" s="1912"/>
      <c r="SU116" s="1912"/>
      <c r="SV116" s="1912"/>
      <c r="SW116" s="1912"/>
      <c r="SX116" s="1912"/>
      <c r="SY116" s="1912"/>
      <c r="SZ116" s="1912"/>
      <c r="TA116" s="1912"/>
      <c r="TB116" s="1912"/>
      <c r="TC116" s="1912"/>
      <c r="TD116" s="1912"/>
      <c r="TE116" s="1912"/>
      <c r="TF116" s="1912"/>
      <c r="TG116" s="1912"/>
      <c r="TH116" s="1912"/>
      <c r="TI116" s="1912"/>
      <c r="TJ116" s="1912"/>
      <c r="TK116" s="1912"/>
      <c r="TL116" s="1912"/>
      <c r="TM116" s="1912"/>
      <c r="TN116" s="1912"/>
      <c r="TO116" s="1912"/>
      <c r="TP116" s="1912"/>
      <c r="TQ116" s="1912"/>
      <c r="TR116" s="1912"/>
      <c r="TS116" s="1912"/>
      <c r="TT116" s="1912"/>
      <c r="TU116" s="1912"/>
      <c r="TV116" s="1912"/>
      <c r="TW116" s="1912"/>
      <c r="TX116" s="1912"/>
      <c r="TY116" s="1912"/>
      <c r="TZ116" s="1912"/>
      <c r="UA116" s="1912"/>
      <c r="UB116" s="1912"/>
      <c r="UC116" s="1912"/>
      <c r="UD116" s="1912"/>
      <c r="UE116" s="1912"/>
      <c r="UF116" s="1912"/>
      <c r="UG116" s="1912"/>
      <c r="UH116" s="1912"/>
      <c r="UI116" s="1912"/>
      <c r="UJ116" s="1912"/>
      <c r="UK116" s="1912"/>
      <c r="UL116" s="1912"/>
      <c r="UM116" s="1912"/>
      <c r="UN116" s="1912"/>
      <c r="UO116" s="1912"/>
      <c r="UP116" s="1912"/>
      <c r="UQ116" s="1912"/>
      <c r="UR116" s="1912"/>
      <c r="US116" s="1912"/>
      <c r="UT116" s="1912"/>
      <c r="UU116" s="1912"/>
      <c r="UV116" s="1912"/>
      <c r="UW116" s="1912"/>
      <c r="UX116" s="1912"/>
      <c r="UY116" s="1912"/>
      <c r="UZ116" s="1912"/>
      <c r="VA116" s="1912"/>
      <c r="VB116" s="1912"/>
      <c r="VC116" s="1912"/>
      <c r="VD116" s="1912"/>
      <c r="VE116" s="1912"/>
      <c r="VF116" s="1912"/>
      <c r="VG116" s="1912"/>
      <c r="VH116" s="1912"/>
      <c r="VI116" s="1912"/>
      <c r="VJ116" s="1912"/>
      <c r="VK116" s="1912"/>
    </row>
    <row r="117" spans="1:583" s="1296" customFormat="1" x14ac:dyDescent="0.25">
      <c r="B117" s="2080" t="s">
        <v>2799</v>
      </c>
      <c r="C117" s="2081" t="s">
        <v>2938</v>
      </c>
      <c r="D117" s="2081" t="s">
        <v>2799</v>
      </c>
      <c r="E117" s="2081" t="s">
        <v>2938</v>
      </c>
      <c r="F117" s="2082">
        <f t="shared" ref="F117:BS117" si="128">24*365*1</f>
        <v>8760</v>
      </c>
      <c r="G117" s="2082">
        <f t="shared" si="128"/>
        <v>8760</v>
      </c>
      <c r="H117" s="2082">
        <f t="shared" si="128"/>
        <v>8760</v>
      </c>
      <c r="I117" s="2082">
        <f t="shared" si="128"/>
        <v>8760</v>
      </c>
      <c r="J117" s="2082">
        <f t="shared" si="128"/>
        <v>8760</v>
      </c>
      <c r="K117" s="2082">
        <f t="shared" si="128"/>
        <v>8760</v>
      </c>
      <c r="L117" s="2082">
        <f t="shared" si="128"/>
        <v>8760</v>
      </c>
      <c r="M117" s="2082">
        <f t="shared" si="128"/>
        <v>8760</v>
      </c>
      <c r="N117" s="2082">
        <f t="shared" si="128"/>
        <v>8760</v>
      </c>
      <c r="O117" s="2082">
        <f t="shared" si="128"/>
        <v>8760</v>
      </c>
      <c r="P117" s="2082">
        <f t="shared" si="128"/>
        <v>8760</v>
      </c>
      <c r="Q117" s="2082">
        <f t="shared" si="128"/>
        <v>8760</v>
      </c>
      <c r="R117" s="2082">
        <f t="shared" si="128"/>
        <v>8760</v>
      </c>
      <c r="S117" s="2082">
        <f t="shared" si="128"/>
        <v>8760</v>
      </c>
      <c r="T117" s="2082">
        <f t="shared" si="128"/>
        <v>8760</v>
      </c>
      <c r="U117" s="2082">
        <f t="shared" si="128"/>
        <v>8760</v>
      </c>
      <c r="V117" s="2082">
        <f t="shared" si="128"/>
        <v>8760</v>
      </c>
      <c r="W117" s="2082">
        <f t="shared" si="128"/>
        <v>8760</v>
      </c>
      <c r="X117" s="2082">
        <f t="shared" si="128"/>
        <v>8760</v>
      </c>
      <c r="Y117" s="2082">
        <f t="shared" si="128"/>
        <v>8760</v>
      </c>
      <c r="Z117" s="2082">
        <f t="shared" si="128"/>
        <v>8760</v>
      </c>
      <c r="AA117" s="2082">
        <f t="shared" si="128"/>
        <v>8760</v>
      </c>
      <c r="AB117" s="2082">
        <f t="shared" si="128"/>
        <v>8760</v>
      </c>
      <c r="AC117" s="2082">
        <f t="shared" si="128"/>
        <v>8760</v>
      </c>
      <c r="AD117" s="2082">
        <f t="shared" si="128"/>
        <v>8760</v>
      </c>
      <c r="AE117" s="2082">
        <f t="shared" si="128"/>
        <v>8760</v>
      </c>
      <c r="AF117" s="2082">
        <f t="shared" si="128"/>
        <v>8760</v>
      </c>
      <c r="AG117" s="2082">
        <f t="shared" si="128"/>
        <v>8760</v>
      </c>
      <c r="AH117" s="2082">
        <f t="shared" si="128"/>
        <v>8760</v>
      </c>
      <c r="AI117" s="2082">
        <f t="shared" si="128"/>
        <v>8760</v>
      </c>
      <c r="AJ117" s="2082">
        <f t="shared" si="128"/>
        <v>8760</v>
      </c>
      <c r="AK117" s="2082">
        <f t="shared" si="128"/>
        <v>8760</v>
      </c>
      <c r="AL117" s="2082">
        <f t="shared" si="128"/>
        <v>8760</v>
      </c>
      <c r="AM117" s="2082">
        <f t="shared" si="128"/>
        <v>8760</v>
      </c>
      <c r="AN117" s="2082">
        <f t="shared" si="128"/>
        <v>8760</v>
      </c>
      <c r="AO117" s="2082">
        <f t="shared" si="128"/>
        <v>8760</v>
      </c>
      <c r="AP117" s="2082">
        <f t="shared" si="128"/>
        <v>8760</v>
      </c>
      <c r="AQ117" s="2082">
        <f t="shared" si="128"/>
        <v>8760</v>
      </c>
      <c r="AR117" s="2082">
        <f t="shared" si="128"/>
        <v>8760</v>
      </c>
      <c r="AS117" s="2082">
        <f t="shared" si="128"/>
        <v>8760</v>
      </c>
      <c r="AT117" s="2082">
        <f t="shared" si="128"/>
        <v>8760</v>
      </c>
      <c r="AU117" s="2082">
        <f t="shared" si="128"/>
        <v>8760</v>
      </c>
      <c r="AV117" s="2082">
        <f t="shared" si="128"/>
        <v>8760</v>
      </c>
      <c r="AW117" s="2082">
        <f t="shared" si="128"/>
        <v>8760</v>
      </c>
      <c r="AX117" s="2082">
        <f t="shared" si="128"/>
        <v>8760</v>
      </c>
      <c r="AY117" s="2082">
        <f t="shared" si="128"/>
        <v>8760</v>
      </c>
      <c r="AZ117" s="2082">
        <f t="shared" si="128"/>
        <v>8760</v>
      </c>
      <c r="BA117" s="2082">
        <f t="shared" si="128"/>
        <v>8760</v>
      </c>
      <c r="BB117" s="2082">
        <f t="shared" si="128"/>
        <v>8760</v>
      </c>
      <c r="BC117" s="2082">
        <f t="shared" si="128"/>
        <v>8760</v>
      </c>
      <c r="BD117" s="2082">
        <f t="shared" si="128"/>
        <v>8760</v>
      </c>
      <c r="BE117" s="2082">
        <f t="shared" si="128"/>
        <v>8760</v>
      </c>
      <c r="BF117" s="2082">
        <f t="shared" si="128"/>
        <v>8760</v>
      </c>
      <c r="BG117" s="2082">
        <f t="shared" si="128"/>
        <v>8760</v>
      </c>
      <c r="BH117" s="2082">
        <f t="shared" si="128"/>
        <v>8760</v>
      </c>
      <c r="BI117" s="2082">
        <f t="shared" si="128"/>
        <v>8760</v>
      </c>
      <c r="BJ117" s="2082">
        <f t="shared" si="128"/>
        <v>8760</v>
      </c>
      <c r="BK117" s="2082">
        <f t="shared" si="128"/>
        <v>8760</v>
      </c>
      <c r="BL117" s="2082">
        <f t="shared" si="128"/>
        <v>8760</v>
      </c>
      <c r="BM117" s="2082">
        <f t="shared" si="128"/>
        <v>8760</v>
      </c>
      <c r="BN117" s="2082">
        <f t="shared" si="128"/>
        <v>8760</v>
      </c>
      <c r="BO117" s="2082">
        <f t="shared" si="128"/>
        <v>8760</v>
      </c>
      <c r="BP117" s="2082">
        <f t="shared" si="128"/>
        <v>8760</v>
      </c>
      <c r="BQ117" s="2082">
        <f t="shared" si="128"/>
        <v>8760</v>
      </c>
      <c r="BR117" s="2082">
        <f t="shared" si="128"/>
        <v>8760</v>
      </c>
      <c r="BS117" s="2082">
        <f t="shared" si="128"/>
        <v>8760</v>
      </c>
      <c r="BT117" s="2082">
        <f t="shared" ref="BT117:EE117" si="129">24*365*1</f>
        <v>8760</v>
      </c>
      <c r="BU117" s="2082">
        <f t="shared" si="129"/>
        <v>8760</v>
      </c>
      <c r="BV117" s="2082">
        <f t="shared" si="129"/>
        <v>8760</v>
      </c>
      <c r="BW117" s="2082">
        <f t="shared" si="129"/>
        <v>8760</v>
      </c>
      <c r="BX117" s="2082">
        <f t="shared" si="129"/>
        <v>8760</v>
      </c>
      <c r="BY117" s="2082">
        <f t="shared" si="129"/>
        <v>8760</v>
      </c>
      <c r="BZ117" s="2082">
        <f t="shared" si="129"/>
        <v>8760</v>
      </c>
      <c r="CA117" s="2082">
        <f t="shared" si="129"/>
        <v>8760</v>
      </c>
      <c r="CB117" s="2082">
        <f t="shared" si="129"/>
        <v>8760</v>
      </c>
      <c r="CC117" s="2082">
        <f t="shared" si="129"/>
        <v>8760</v>
      </c>
      <c r="CD117" s="2082">
        <f t="shared" si="129"/>
        <v>8760</v>
      </c>
      <c r="CE117" s="2082">
        <f t="shared" si="129"/>
        <v>8760</v>
      </c>
      <c r="CF117" s="2082">
        <f t="shared" si="129"/>
        <v>8760</v>
      </c>
      <c r="CG117" s="2082">
        <f t="shared" si="129"/>
        <v>8760</v>
      </c>
      <c r="CH117" s="2082">
        <f t="shared" si="129"/>
        <v>8760</v>
      </c>
      <c r="CI117" s="2082">
        <f t="shared" si="129"/>
        <v>8760</v>
      </c>
      <c r="CJ117" s="2082">
        <f t="shared" si="129"/>
        <v>8760</v>
      </c>
      <c r="CK117" s="2082">
        <f t="shared" si="129"/>
        <v>8760</v>
      </c>
      <c r="CL117" s="2082">
        <f t="shared" si="129"/>
        <v>8760</v>
      </c>
      <c r="CM117" s="2082">
        <f t="shared" si="129"/>
        <v>8760</v>
      </c>
      <c r="CN117" s="2082">
        <f t="shared" si="129"/>
        <v>8760</v>
      </c>
      <c r="CO117" s="2082">
        <f t="shared" si="129"/>
        <v>8760</v>
      </c>
      <c r="CP117" s="2082">
        <f t="shared" si="129"/>
        <v>8760</v>
      </c>
      <c r="CQ117" s="2082">
        <f t="shared" si="129"/>
        <v>8760</v>
      </c>
      <c r="CR117" s="2082">
        <f t="shared" si="129"/>
        <v>8760</v>
      </c>
      <c r="CS117" s="2082">
        <f t="shared" si="129"/>
        <v>8760</v>
      </c>
      <c r="CT117" s="2082">
        <f t="shared" si="129"/>
        <v>8760</v>
      </c>
      <c r="CU117" s="2082">
        <f t="shared" si="129"/>
        <v>8760</v>
      </c>
      <c r="CV117" s="2082">
        <f t="shared" si="129"/>
        <v>8760</v>
      </c>
      <c r="CW117" s="2082">
        <f t="shared" si="129"/>
        <v>8760</v>
      </c>
      <c r="CX117" s="2082">
        <f t="shared" si="129"/>
        <v>8760</v>
      </c>
      <c r="CY117" s="2082">
        <f t="shared" si="129"/>
        <v>8760</v>
      </c>
      <c r="CZ117" s="2082">
        <f t="shared" si="129"/>
        <v>8760</v>
      </c>
      <c r="DA117" s="2082">
        <f t="shared" si="129"/>
        <v>8760</v>
      </c>
      <c r="DB117" s="2082">
        <f t="shared" si="129"/>
        <v>8760</v>
      </c>
      <c r="DC117" s="2082">
        <f t="shared" si="129"/>
        <v>8760</v>
      </c>
      <c r="DD117" s="2082">
        <f t="shared" si="129"/>
        <v>8760</v>
      </c>
      <c r="DE117" s="2082">
        <f t="shared" si="129"/>
        <v>8760</v>
      </c>
      <c r="DF117" s="2082">
        <f t="shared" si="129"/>
        <v>8760</v>
      </c>
      <c r="DG117" s="2082">
        <f t="shared" si="129"/>
        <v>8760</v>
      </c>
      <c r="DH117" s="2082">
        <f t="shared" si="129"/>
        <v>8760</v>
      </c>
      <c r="DI117" s="2082">
        <f t="shared" si="129"/>
        <v>8760</v>
      </c>
      <c r="DJ117" s="2082">
        <f t="shared" si="129"/>
        <v>8760</v>
      </c>
      <c r="DK117" s="2082">
        <f t="shared" si="129"/>
        <v>8760</v>
      </c>
      <c r="DL117" s="2082">
        <f t="shared" si="129"/>
        <v>8760</v>
      </c>
      <c r="DM117" s="2082">
        <f t="shared" si="129"/>
        <v>8760</v>
      </c>
      <c r="DN117" s="2082">
        <f t="shared" si="129"/>
        <v>8760</v>
      </c>
      <c r="DO117" s="2082">
        <f t="shared" si="129"/>
        <v>8760</v>
      </c>
      <c r="DP117" s="2082">
        <f t="shared" si="129"/>
        <v>8760</v>
      </c>
      <c r="DQ117" s="2082">
        <f t="shared" si="129"/>
        <v>8760</v>
      </c>
      <c r="DR117" s="2082">
        <f t="shared" si="129"/>
        <v>8760</v>
      </c>
      <c r="DS117" s="2082">
        <f t="shared" si="129"/>
        <v>8760</v>
      </c>
      <c r="DT117" s="2082">
        <f t="shared" si="129"/>
        <v>8760</v>
      </c>
      <c r="DU117" s="2082">
        <f t="shared" si="129"/>
        <v>8760</v>
      </c>
      <c r="DV117" s="2082">
        <f t="shared" si="129"/>
        <v>8760</v>
      </c>
      <c r="DW117" s="2082">
        <f t="shared" si="129"/>
        <v>8760</v>
      </c>
      <c r="DX117" s="2082">
        <f t="shared" si="129"/>
        <v>8760</v>
      </c>
      <c r="DY117" s="2082">
        <f t="shared" si="129"/>
        <v>8760</v>
      </c>
      <c r="DZ117" s="2082">
        <f t="shared" si="129"/>
        <v>8760</v>
      </c>
      <c r="EA117" s="2082">
        <f t="shared" si="129"/>
        <v>8760</v>
      </c>
      <c r="EB117" s="2082">
        <f t="shared" si="129"/>
        <v>8760</v>
      </c>
      <c r="EC117" s="2082">
        <f t="shared" si="129"/>
        <v>8760</v>
      </c>
      <c r="ED117" s="2082">
        <f t="shared" si="129"/>
        <v>8760</v>
      </c>
      <c r="EE117" s="2082">
        <f t="shared" si="129"/>
        <v>8760</v>
      </c>
      <c r="EF117" s="2082">
        <f t="shared" ref="EF117:GQ117" si="130">24*365*1</f>
        <v>8760</v>
      </c>
      <c r="EG117" s="2082">
        <f t="shared" si="130"/>
        <v>8760</v>
      </c>
      <c r="EH117" s="2082">
        <f t="shared" si="130"/>
        <v>8760</v>
      </c>
      <c r="EI117" s="2082">
        <f t="shared" si="130"/>
        <v>8760</v>
      </c>
      <c r="EJ117" s="2082">
        <f t="shared" si="130"/>
        <v>8760</v>
      </c>
      <c r="EK117" s="2082">
        <f t="shared" si="130"/>
        <v>8760</v>
      </c>
      <c r="EL117" s="2082">
        <f t="shared" si="130"/>
        <v>8760</v>
      </c>
      <c r="EM117" s="2082">
        <f t="shared" si="130"/>
        <v>8760</v>
      </c>
      <c r="EN117" s="2082">
        <f t="shared" si="130"/>
        <v>8760</v>
      </c>
      <c r="EO117" s="2082">
        <f t="shared" si="130"/>
        <v>8760</v>
      </c>
      <c r="EP117" s="2082">
        <f t="shared" si="130"/>
        <v>8760</v>
      </c>
      <c r="EQ117" s="2082">
        <f t="shared" si="130"/>
        <v>8760</v>
      </c>
      <c r="ER117" s="2082">
        <f t="shared" si="130"/>
        <v>8760</v>
      </c>
      <c r="ES117" s="2082">
        <f t="shared" si="130"/>
        <v>8760</v>
      </c>
      <c r="ET117" s="2082">
        <f t="shared" si="130"/>
        <v>8760</v>
      </c>
      <c r="EU117" s="2082">
        <f t="shared" si="130"/>
        <v>8760</v>
      </c>
      <c r="EV117" s="2082">
        <f t="shared" si="130"/>
        <v>8760</v>
      </c>
      <c r="EW117" s="2082">
        <f t="shared" si="130"/>
        <v>8760</v>
      </c>
      <c r="EX117" s="2082">
        <f t="shared" si="130"/>
        <v>8760</v>
      </c>
      <c r="EY117" s="2082">
        <f t="shared" si="130"/>
        <v>8760</v>
      </c>
      <c r="EZ117" s="2082">
        <f t="shared" si="130"/>
        <v>8760</v>
      </c>
      <c r="FA117" s="2082">
        <f t="shared" si="130"/>
        <v>8760</v>
      </c>
      <c r="FB117" s="2082">
        <f t="shared" si="130"/>
        <v>8760</v>
      </c>
      <c r="FC117" s="2082">
        <f t="shared" si="130"/>
        <v>8760</v>
      </c>
      <c r="FD117" s="2082">
        <f t="shared" si="130"/>
        <v>8760</v>
      </c>
      <c r="FE117" s="2082">
        <f t="shared" si="130"/>
        <v>8760</v>
      </c>
      <c r="FF117" s="2082">
        <f t="shared" si="130"/>
        <v>8760</v>
      </c>
      <c r="FG117" s="2082">
        <f t="shared" si="130"/>
        <v>8760</v>
      </c>
      <c r="FH117" s="2082">
        <f t="shared" si="130"/>
        <v>8760</v>
      </c>
      <c r="FI117" s="2082">
        <f t="shared" si="130"/>
        <v>8760</v>
      </c>
      <c r="FJ117" s="2082">
        <f t="shared" si="130"/>
        <v>8760</v>
      </c>
      <c r="FK117" s="2082">
        <f t="shared" si="130"/>
        <v>8760</v>
      </c>
      <c r="FL117" s="2082">
        <f t="shared" si="130"/>
        <v>8760</v>
      </c>
      <c r="FM117" s="2082">
        <f t="shared" si="130"/>
        <v>8760</v>
      </c>
      <c r="FN117" s="2082">
        <f t="shared" si="130"/>
        <v>8760</v>
      </c>
      <c r="FO117" s="2082">
        <f t="shared" si="130"/>
        <v>8760</v>
      </c>
      <c r="FP117" s="2082">
        <f t="shared" si="130"/>
        <v>8760</v>
      </c>
      <c r="FQ117" s="2082">
        <f t="shared" si="130"/>
        <v>8760</v>
      </c>
      <c r="FR117" s="2082">
        <f t="shared" si="130"/>
        <v>8760</v>
      </c>
      <c r="FS117" s="2082">
        <f t="shared" si="130"/>
        <v>8760</v>
      </c>
      <c r="FT117" s="2082">
        <f t="shared" si="130"/>
        <v>8760</v>
      </c>
      <c r="FU117" s="2082">
        <f t="shared" si="130"/>
        <v>8760</v>
      </c>
      <c r="FV117" s="2082">
        <f t="shared" si="130"/>
        <v>8760</v>
      </c>
      <c r="FW117" s="2082">
        <f t="shared" si="130"/>
        <v>8760</v>
      </c>
      <c r="FX117" s="2082">
        <f t="shared" si="130"/>
        <v>8760</v>
      </c>
      <c r="FY117" s="2082">
        <f t="shared" si="130"/>
        <v>8760</v>
      </c>
      <c r="FZ117" s="2082">
        <f t="shared" si="130"/>
        <v>8760</v>
      </c>
      <c r="GA117" s="2082">
        <f t="shared" si="130"/>
        <v>8760</v>
      </c>
      <c r="GB117" s="2082">
        <f t="shared" si="130"/>
        <v>8760</v>
      </c>
      <c r="GC117" s="2082">
        <f t="shared" si="130"/>
        <v>8760</v>
      </c>
      <c r="GD117" s="2082">
        <f t="shared" si="130"/>
        <v>8760</v>
      </c>
      <c r="GE117" s="2082">
        <f t="shared" si="130"/>
        <v>8760</v>
      </c>
      <c r="GF117" s="2082">
        <f t="shared" si="130"/>
        <v>8760</v>
      </c>
      <c r="GG117" s="2082">
        <f t="shared" si="130"/>
        <v>8760</v>
      </c>
      <c r="GH117" s="2082">
        <f t="shared" si="130"/>
        <v>8760</v>
      </c>
      <c r="GI117" s="2082">
        <f t="shared" si="130"/>
        <v>8760</v>
      </c>
      <c r="GJ117" s="2082">
        <f t="shared" si="130"/>
        <v>8760</v>
      </c>
      <c r="GK117" s="2082">
        <f t="shared" si="130"/>
        <v>8760</v>
      </c>
      <c r="GL117" s="2082">
        <f t="shared" si="130"/>
        <v>8760</v>
      </c>
      <c r="GM117" s="2082">
        <f t="shared" si="130"/>
        <v>8760</v>
      </c>
      <c r="GN117" s="2082">
        <f t="shared" si="130"/>
        <v>8760</v>
      </c>
      <c r="GO117" s="2082">
        <f t="shared" si="130"/>
        <v>8760</v>
      </c>
      <c r="GP117" s="2082">
        <f t="shared" si="130"/>
        <v>8760</v>
      </c>
      <c r="GQ117" s="2082">
        <f t="shared" si="130"/>
        <v>8760</v>
      </c>
      <c r="GR117" s="2082">
        <f t="shared" ref="GR117:JC117" si="131">24*365*1</f>
        <v>8760</v>
      </c>
      <c r="GS117" s="2082">
        <f t="shared" si="131"/>
        <v>8760</v>
      </c>
      <c r="GT117" s="2082">
        <f t="shared" si="131"/>
        <v>8760</v>
      </c>
      <c r="GU117" s="2082">
        <f t="shared" si="131"/>
        <v>8760</v>
      </c>
      <c r="GV117" s="2082">
        <f t="shared" si="131"/>
        <v>8760</v>
      </c>
      <c r="GW117" s="2082">
        <f t="shared" si="131"/>
        <v>8760</v>
      </c>
      <c r="GX117" s="2082">
        <f t="shared" si="131"/>
        <v>8760</v>
      </c>
      <c r="GY117" s="2082">
        <f t="shared" si="131"/>
        <v>8760</v>
      </c>
      <c r="GZ117" s="2082">
        <f t="shared" si="131"/>
        <v>8760</v>
      </c>
      <c r="HA117" s="2082">
        <f t="shared" si="131"/>
        <v>8760</v>
      </c>
      <c r="HB117" s="2082">
        <f t="shared" si="131"/>
        <v>8760</v>
      </c>
      <c r="HC117" s="2082">
        <f t="shared" si="131"/>
        <v>8760</v>
      </c>
      <c r="HD117" s="2082">
        <f t="shared" si="131"/>
        <v>8760</v>
      </c>
      <c r="HE117" s="2082">
        <f t="shared" si="131"/>
        <v>8760</v>
      </c>
      <c r="HF117" s="2082">
        <f t="shared" si="131"/>
        <v>8760</v>
      </c>
      <c r="HG117" s="2082">
        <f t="shared" si="131"/>
        <v>8760</v>
      </c>
      <c r="HH117" s="2082">
        <f t="shared" si="131"/>
        <v>8760</v>
      </c>
      <c r="HI117" s="2082">
        <f t="shared" si="131"/>
        <v>8760</v>
      </c>
      <c r="HJ117" s="2082">
        <f t="shared" si="131"/>
        <v>8760</v>
      </c>
      <c r="HK117" s="2082">
        <f t="shared" si="131"/>
        <v>8760</v>
      </c>
      <c r="HL117" s="2082">
        <f t="shared" si="131"/>
        <v>8760</v>
      </c>
      <c r="HM117" s="2082">
        <f t="shared" si="131"/>
        <v>8760</v>
      </c>
      <c r="HN117" s="2082">
        <f t="shared" si="131"/>
        <v>8760</v>
      </c>
      <c r="HO117" s="2082">
        <f t="shared" si="131"/>
        <v>8760</v>
      </c>
      <c r="HP117" s="2082">
        <f t="shared" si="131"/>
        <v>8760</v>
      </c>
      <c r="HQ117" s="2082">
        <f t="shared" si="131"/>
        <v>8760</v>
      </c>
      <c r="HR117" s="2082">
        <f t="shared" si="131"/>
        <v>8760</v>
      </c>
      <c r="HS117" s="2082">
        <f t="shared" si="131"/>
        <v>8760</v>
      </c>
      <c r="HT117" s="2082">
        <f t="shared" si="131"/>
        <v>8760</v>
      </c>
      <c r="HU117" s="2082">
        <f t="shared" si="131"/>
        <v>8760</v>
      </c>
      <c r="HV117" s="2082">
        <f t="shared" si="131"/>
        <v>8760</v>
      </c>
      <c r="HW117" s="2082">
        <f t="shared" si="131"/>
        <v>8760</v>
      </c>
      <c r="HX117" s="2082">
        <f t="shared" si="131"/>
        <v>8760</v>
      </c>
      <c r="HY117" s="2082">
        <f t="shared" si="131"/>
        <v>8760</v>
      </c>
      <c r="HZ117" s="2082">
        <f t="shared" si="131"/>
        <v>8760</v>
      </c>
      <c r="IA117" s="2082">
        <f t="shared" si="131"/>
        <v>8760</v>
      </c>
      <c r="IB117" s="2082">
        <f t="shared" si="131"/>
        <v>8760</v>
      </c>
      <c r="IC117" s="2082">
        <f t="shared" si="131"/>
        <v>8760</v>
      </c>
      <c r="ID117" s="2082">
        <f t="shared" si="131"/>
        <v>8760</v>
      </c>
      <c r="IE117" s="2082">
        <f t="shared" si="131"/>
        <v>8760</v>
      </c>
      <c r="IF117" s="2082">
        <f t="shared" si="131"/>
        <v>8760</v>
      </c>
      <c r="IG117" s="2082">
        <f t="shared" si="131"/>
        <v>8760</v>
      </c>
      <c r="IH117" s="2082">
        <f t="shared" si="131"/>
        <v>8760</v>
      </c>
      <c r="II117" s="2082">
        <f t="shared" si="131"/>
        <v>8760</v>
      </c>
      <c r="IJ117" s="2082">
        <f t="shared" si="131"/>
        <v>8760</v>
      </c>
      <c r="IK117" s="2082">
        <f t="shared" si="131"/>
        <v>8760</v>
      </c>
      <c r="IL117" s="2082">
        <f t="shared" si="131"/>
        <v>8760</v>
      </c>
      <c r="IM117" s="2082">
        <f t="shared" si="131"/>
        <v>8760</v>
      </c>
      <c r="IN117" s="2082">
        <f t="shared" si="131"/>
        <v>8760</v>
      </c>
      <c r="IO117" s="2082">
        <f t="shared" si="131"/>
        <v>8760</v>
      </c>
      <c r="IP117" s="2082">
        <f t="shared" si="131"/>
        <v>8760</v>
      </c>
      <c r="IQ117" s="2082">
        <f t="shared" si="131"/>
        <v>8760</v>
      </c>
      <c r="IR117" s="2082">
        <f t="shared" si="131"/>
        <v>8760</v>
      </c>
      <c r="IS117" s="2082">
        <f t="shared" si="131"/>
        <v>8760</v>
      </c>
      <c r="IT117" s="2082">
        <f t="shared" si="131"/>
        <v>8760</v>
      </c>
      <c r="IU117" s="2082">
        <f t="shared" si="131"/>
        <v>8760</v>
      </c>
      <c r="IV117" s="2082">
        <f t="shared" si="131"/>
        <v>8760</v>
      </c>
      <c r="IW117" s="2082">
        <f t="shared" si="131"/>
        <v>8760</v>
      </c>
      <c r="IX117" s="2082">
        <f t="shared" si="131"/>
        <v>8760</v>
      </c>
      <c r="IY117" s="2082">
        <f t="shared" si="131"/>
        <v>8760</v>
      </c>
      <c r="IZ117" s="2082">
        <f t="shared" si="131"/>
        <v>8760</v>
      </c>
      <c r="JA117" s="2082">
        <f t="shared" si="131"/>
        <v>8760</v>
      </c>
      <c r="JB117" s="2082">
        <f t="shared" si="131"/>
        <v>8760</v>
      </c>
      <c r="JC117" s="2082">
        <f t="shared" si="131"/>
        <v>8760</v>
      </c>
      <c r="JD117" s="2082">
        <f t="shared" ref="JD117:LO117" si="132">24*365*1</f>
        <v>8760</v>
      </c>
      <c r="JE117" s="2082">
        <f t="shared" si="132"/>
        <v>8760</v>
      </c>
      <c r="JF117" s="2082">
        <f t="shared" si="132"/>
        <v>8760</v>
      </c>
      <c r="JG117" s="2082">
        <f t="shared" si="132"/>
        <v>8760</v>
      </c>
      <c r="JH117" s="2082">
        <f t="shared" si="132"/>
        <v>8760</v>
      </c>
      <c r="JI117" s="2082">
        <f t="shared" si="132"/>
        <v>8760</v>
      </c>
      <c r="JJ117" s="2082">
        <f t="shared" si="132"/>
        <v>8760</v>
      </c>
      <c r="JK117" s="2082">
        <f t="shared" si="132"/>
        <v>8760</v>
      </c>
      <c r="JL117" s="2082">
        <f t="shared" si="132"/>
        <v>8760</v>
      </c>
      <c r="JM117" s="2082">
        <f t="shared" si="132"/>
        <v>8760</v>
      </c>
      <c r="JN117" s="2082">
        <f t="shared" si="132"/>
        <v>8760</v>
      </c>
      <c r="JO117" s="2082">
        <f t="shared" si="132"/>
        <v>8760</v>
      </c>
      <c r="JP117" s="2082">
        <f t="shared" si="132"/>
        <v>8760</v>
      </c>
      <c r="JQ117" s="2082">
        <f t="shared" si="132"/>
        <v>8760</v>
      </c>
      <c r="JR117" s="2082">
        <f t="shared" si="132"/>
        <v>8760</v>
      </c>
      <c r="JS117" s="2082">
        <f t="shared" si="132"/>
        <v>8760</v>
      </c>
      <c r="JT117" s="2082">
        <f t="shared" si="132"/>
        <v>8760</v>
      </c>
      <c r="JU117" s="2082">
        <f t="shared" si="132"/>
        <v>8760</v>
      </c>
      <c r="JV117" s="2082">
        <f t="shared" si="132"/>
        <v>8760</v>
      </c>
      <c r="JW117" s="2082">
        <f t="shared" si="132"/>
        <v>8760</v>
      </c>
      <c r="JX117" s="2082">
        <f t="shared" si="132"/>
        <v>8760</v>
      </c>
      <c r="JY117" s="2082">
        <f t="shared" si="132"/>
        <v>8760</v>
      </c>
      <c r="JZ117" s="2082">
        <f t="shared" si="132"/>
        <v>8760</v>
      </c>
      <c r="KA117" s="2082">
        <f t="shared" si="132"/>
        <v>8760</v>
      </c>
      <c r="KB117" s="2082">
        <f t="shared" si="132"/>
        <v>8760</v>
      </c>
      <c r="KC117" s="2082">
        <f t="shared" si="132"/>
        <v>8760</v>
      </c>
      <c r="KD117" s="2082">
        <f t="shared" si="132"/>
        <v>8760</v>
      </c>
      <c r="KE117" s="2082">
        <f t="shared" si="132"/>
        <v>8760</v>
      </c>
      <c r="KF117" s="2082">
        <f t="shared" si="132"/>
        <v>8760</v>
      </c>
      <c r="KG117" s="2082">
        <f t="shared" si="132"/>
        <v>8760</v>
      </c>
      <c r="KH117" s="2082">
        <f t="shared" si="132"/>
        <v>8760</v>
      </c>
      <c r="KI117" s="2082">
        <f t="shared" si="132"/>
        <v>8760</v>
      </c>
      <c r="KJ117" s="2082">
        <f t="shared" si="132"/>
        <v>8760</v>
      </c>
      <c r="KK117" s="2082">
        <f t="shared" si="132"/>
        <v>8760</v>
      </c>
      <c r="KL117" s="2082">
        <f t="shared" si="132"/>
        <v>8760</v>
      </c>
      <c r="KM117" s="2082">
        <f t="shared" si="132"/>
        <v>8760</v>
      </c>
      <c r="KN117" s="2082">
        <f t="shared" si="132"/>
        <v>8760</v>
      </c>
      <c r="KO117" s="2082">
        <f t="shared" si="132"/>
        <v>8760</v>
      </c>
      <c r="KP117" s="2082">
        <f t="shared" si="132"/>
        <v>8760</v>
      </c>
      <c r="KQ117" s="2082">
        <f t="shared" si="132"/>
        <v>8760</v>
      </c>
      <c r="KR117" s="2082">
        <f t="shared" si="132"/>
        <v>8760</v>
      </c>
      <c r="KS117" s="2082">
        <f t="shared" si="132"/>
        <v>8760</v>
      </c>
      <c r="KT117" s="2082">
        <f t="shared" si="132"/>
        <v>8760</v>
      </c>
      <c r="KU117" s="2082">
        <f t="shared" si="132"/>
        <v>8760</v>
      </c>
      <c r="KV117" s="2082">
        <f t="shared" si="132"/>
        <v>8760</v>
      </c>
      <c r="KW117" s="2082">
        <f t="shared" si="132"/>
        <v>8760</v>
      </c>
      <c r="KX117" s="2082">
        <f t="shared" si="132"/>
        <v>8760</v>
      </c>
      <c r="KY117" s="2082">
        <f t="shared" si="132"/>
        <v>8760</v>
      </c>
      <c r="KZ117" s="2082">
        <f t="shared" si="132"/>
        <v>8760</v>
      </c>
      <c r="LA117" s="2082">
        <f t="shared" si="132"/>
        <v>8760</v>
      </c>
      <c r="LB117" s="2082">
        <f t="shared" si="132"/>
        <v>8760</v>
      </c>
      <c r="LC117" s="2082">
        <f t="shared" si="132"/>
        <v>8760</v>
      </c>
      <c r="LD117" s="2082">
        <f t="shared" si="132"/>
        <v>8760</v>
      </c>
      <c r="LE117" s="2082">
        <f t="shared" si="132"/>
        <v>8760</v>
      </c>
      <c r="LF117" s="2082">
        <f t="shared" si="132"/>
        <v>8760</v>
      </c>
      <c r="LG117" s="2082">
        <f t="shared" si="132"/>
        <v>8760</v>
      </c>
      <c r="LH117" s="2082">
        <f t="shared" si="132"/>
        <v>8760</v>
      </c>
      <c r="LI117" s="2082">
        <f t="shared" si="132"/>
        <v>8760</v>
      </c>
      <c r="LJ117" s="2082">
        <f t="shared" si="132"/>
        <v>8760</v>
      </c>
      <c r="LK117" s="2082">
        <f t="shared" si="132"/>
        <v>8760</v>
      </c>
      <c r="LL117" s="2082">
        <f t="shared" si="132"/>
        <v>8760</v>
      </c>
      <c r="LM117" s="2082">
        <f t="shared" si="132"/>
        <v>8760</v>
      </c>
      <c r="LN117" s="2082">
        <f t="shared" si="132"/>
        <v>8760</v>
      </c>
      <c r="LO117" s="2082">
        <f t="shared" si="132"/>
        <v>8760</v>
      </c>
      <c r="LP117" s="2082">
        <f t="shared" ref="LP117:OA117" si="133">24*365*1</f>
        <v>8760</v>
      </c>
      <c r="LQ117" s="2082">
        <f t="shared" si="133"/>
        <v>8760</v>
      </c>
      <c r="LR117" s="2082">
        <f t="shared" si="133"/>
        <v>8760</v>
      </c>
      <c r="LS117" s="2082">
        <f t="shared" si="133"/>
        <v>8760</v>
      </c>
      <c r="LT117" s="2082">
        <f t="shared" si="133"/>
        <v>8760</v>
      </c>
      <c r="LU117" s="2082">
        <f t="shared" si="133"/>
        <v>8760</v>
      </c>
      <c r="LV117" s="2082">
        <f t="shared" si="133"/>
        <v>8760</v>
      </c>
      <c r="LW117" s="2082">
        <f t="shared" si="133"/>
        <v>8760</v>
      </c>
      <c r="LX117" s="2082">
        <f t="shared" si="133"/>
        <v>8760</v>
      </c>
      <c r="LY117" s="2082">
        <f t="shared" si="133"/>
        <v>8760</v>
      </c>
      <c r="LZ117" s="2082">
        <f t="shared" si="133"/>
        <v>8760</v>
      </c>
      <c r="MA117" s="2082">
        <f t="shared" si="133"/>
        <v>8760</v>
      </c>
      <c r="MB117" s="2082">
        <f t="shared" si="133"/>
        <v>8760</v>
      </c>
      <c r="MC117" s="2082">
        <f t="shared" si="133"/>
        <v>8760</v>
      </c>
      <c r="MD117" s="2082">
        <f t="shared" si="133"/>
        <v>8760</v>
      </c>
      <c r="ME117" s="2082">
        <f t="shared" si="133"/>
        <v>8760</v>
      </c>
      <c r="MF117" s="2082">
        <f t="shared" si="133"/>
        <v>8760</v>
      </c>
      <c r="MG117" s="2082">
        <f t="shared" si="133"/>
        <v>8760</v>
      </c>
      <c r="MH117" s="2082">
        <f t="shared" si="133"/>
        <v>8760</v>
      </c>
      <c r="MI117" s="2082">
        <f t="shared" si="133"/>
        <v>8760</v>
      </c>
      <c r="MJ117" s="2082">
        <f t="shared" si="133"/>
        <v>8760</v>
      </c>
      <c r="MK117" s="2082">
        <f t="shared" si="133"/>
        <v>8760</v>
      </c>
      <c r="ML117" s="2082">
        <f t="shared" si="133"/>
        <v>8760</v>
      </c>
      <c r="MM117" s="2082">
        <f t="shared" si="133"/>
        <v>8760</v>
      </c>
      <c r="MN117" s="2082">
        <f t="shared" si="133"/>
        <v>8760</v>
      </c>
      <c r="MO117" s="2082">
        <f t="shared" si="133"/>
        <v>8760</v>
      </c>
      <c r="MP117" s="2082">
        <f t="shared" si="133"/>
        <v>8760</v>
      </c>
      <c r="MQ117" s="2082">
        <f t="shared" si="133"/>
        <v>8760</v>
      </c>
      <c r="MR117" s="2082">
        <f t="shared" si="133"/>
        <v>8760</v>
      </c>
      <c r="MS117" s="2082">
        <f t="shared" si="133"/>
        <v>8760</v>
      </c>
      <c r="MT117" s="2082">
        <f t="shared" si="133"/>
        <v>8760</v>
      </c>
      <c r="MU117" s="2082">
        <f t="shared" si="133"/>
        <v>8760</v>
      </c>
      <c r="MV117" s="2082">
        <f t="shared" si="133"/>
        <v>8760</v>
      </c>
      <c r="MW117" s="2082">
        <f t="shared" si="133"/>
        <v>8760</v>
      </c>
      <c r="MX117" s="2082">
        <f t="shared" si="133"/>
        <v>8760</v>
      </c>
      <c r="MY117" s="2082">
        <f t="shared" si="133"/>
        <v>8760</v>
      </c>
      <c r="MZ117" s="2082">
        <f t="shared" si="133"/>
        <v>8760</v>
      </c>
      <c r="NA117" s="2082">
        <f t="shared" si="133"/>
        <v>8760</v>
      </c>
      <c r="NB117" s="2082">
        <f t="shared" si="133"/>
        <v>8760</v>
      </c>
      <c r="NC117" s="2082">
        <f t="shared" si="133"/>
        <v>8760</v>
      </c>
      <c r="ND117" s="2082">
        <f t="shared" si="133"/>
        <v>8760</v>
      </c>
      <c r="NE117" s="2082">
        <f t="shared" si="133"/>
        <v>8760</v>
      </c>
      <c r="NF117" s="2082">
        <f t="shared" si="133"/>
        <v>8760</v>
      </c>
      <c r="NG117" s="2082">
        <f t="shared" si="133"/>
        <v>8760</v>
      </c>
      <c r="NH117" s="2082">
        <f t="shared" si="133"/>
        <v>8760</v>
      </c>
      <c r="NI117" s="2082">
        <f t="shared" si="133"/>
        <v>8760</v>
      </c>
      <c r="NJ117" s="2082">
        <f t="shared" si="133"/>
        <v>8760</v>
      </c>
      <c r="NK117" s="2082">
        <f t="shared" si="133"/>
        <v>8760</v>
      </c>
      <c r="NL117" s="2082">
        <f t="shared" si="133"/>
        <v>8760</v>
      </c>
      <c r="NM117" s="2082">
        <f t="shared" si="133"/>
        <v>8760</v>
      </c>
      <c r="NN117" s="2082">
        <f t="shared" si="133"/>
        <v>8760</v>
      </c>
      <c r="NO117" s="2082">
        <f t="shared" si="133"/>
        <v>8760</v>
      </c>
      <c r="NP117" s="2082">
        <f t="shared" si="133"/>
        <v>8760</v>
      </c>
      <c r="NQ117" s="2082">
        <f t="shared" si="133"/>
        <v>8760</v>
      </c>
      <c r="NR117" s="2082">
        <f t="shared" si="133"/>
        <v>8760</v>
      </c>
      <c r="NS117" s="2082">
        <f t="shared" si="133"/>
        <v>8760</v>
      </c>
      <c r="NT117" s="2082">
        <f t="shared" si="133"/>
        <v>8760</v>
      </c>
      <c r="NU117" s="2082">
        <f t="shared" si="133"/>
        <v>8760</v>
      </c>
      <c r="NV117" s="2082">
        <f t="shared" si="133"/>
        <v>8760</v>
      </c>
      <c r="NW117" s="2082">
        <f t="shared" si="133"/>
        <v>8760</v>
      </c>
      <c r="NX117" s="2082">
        <f t="shared" si="133"/>
        <v>8760</v>
      </c>
      <c r="NY117" s="2082">
        <f t="shared" si="133"/>
        <v>8760</v>
      </c>
      <c r="NZ117" s="2082">
        <f t="shared" si="133"/>
        <v>8760</v>
      </c>
      <c r="OA117" s="2082">
        <f t="shared" si="133"/>
        <v>8760</v>
      </c>
      <c r="OB117" s="2082">
        <f t="shared" ref="OB117:QM117" si="134">24*365*1</f>
        <v>8760</v>
      </c>
      <c r="OC117" s="2082">
        <f t="shared" si="134"/>
        <v>8760</v>
      </c>
      <c r="OD117" s="2082">
        <f t="shared" si="134"/>
        <v>8760</v>
      </c>
      <c r="OE117" s="2082">
        <f t="shared" si="134"/>
        <v>8760</v>
      </c>
      <c r="OF117" s="2082">
        <f t="shared" si="134"/>
        <v>8760</v>
      </c>
      <c r="OG117" s="2082">
        <f t="shared" si="134"/>
        <v>8760</v>
      </c>
      <c r="OH117" s="2082">
        <f t="shared" si="134"/>
        <v>8760</v>
      </c>
      <c r="OI117" s="2082">
        <f t="shared" si="134"/>
        <v>8760</v>
      </c>
      <c r="OJ117" s="2082">
        <f t="shared" si="134"/>
        <v>8760</v>
      </c>
      <c r="OK117" s="2082">
        <f t="shared" si="134"/>
        <v>8760</v>
      </c>
      <c r="OL117" s="2082">
        <f t="shared" si="134"/>
        <v>8760</v>
      </c>
      <c r="OM117" s="2082">
        <f t="shared" si="134"/>
        <v>8760</v>
      </c>
      <c r="ON117" s="2082">
        <f t="shared" si="134"/>
        <v>8760</v>
      </c>
      <c r="OO117" s="2082">
        <f t="shared" si="134"/>
        <v>8760</v>
      </c>
      <c r="OP117" s="2082">
        <f t="shared" si="134"/>
        <v>8760</v>
      </c>
      <c r="OQ117" s="2082">
        <f t="shared" si="134"/>
        <v>8760</v>
      </c>
      <c r="OR117" s="2082">
        <f t="shared" si="134"/>
        <v>8760</v>
      </c>
      <c r="OS117" s="2082">
        <f t="shared" si="134"/>
        <v>8760</v>
      </c>
      <c r="OT117" s="2082">
        <f t="shared" si="134"/>
        <v>8760</v>
      </c>
      <c r="OU117" s="2082">
        <f t="shared" si="134"/>
        <v>8760</v>
      </c>
      <c r="OV117" s="2082">
        <f t="shared" si="134"/>
        <v>8760</v>
      </c>
      <c r="OW117" s="2082">
        <f t="shared" si="134"/>
        <v>8760</v>
      </c>
      <c r="OX117" s="2082">
        <f t="shared" si="134"/>
        <v>8760</v>
      </c>
      <c r="OY117" s="2082">
        <f t="shared" si="134"/>
        <v>8760</v>
      </c>
      <c r="OZ117" s="2082">
        <f t="shared" si="134"/>
        <v>8760</v>
      </c>
      <c r="PA117" s="2082">
        <f t="shared" si="134"/>
        <v>8760</v>
      </c>
      <c r="PB117" s="2082">
        <f t="shared" si="134"/>
        <v>8760</v>
      </c>
      <c r="PC117" s="2082">
        <f t="shared" si="134"/>
        <v>8760</v>
      </c>
      <c r="PD117" s="2082">
        <f t="shared" si="134"/>
        <v>8760</v>
      </c>
      <c r="PE117" s="2082">
        <f t="shared" si="134"/>
        <v>8760</v>
      </c>
      <c r="PF117" s="2082">
        <f t="shared" si="134"/>
        <v>8760</v>
      </c>
      <c r="PG117" s="2082">
        <f t="shared" si="134"/>
        <v>8760</v>
      </c>
      <c r="PH117" s="2082">
        <f t="shared" si="134"/>
        <v>8760</v>
      </c>
      <c r="PI117" s="2082">
        <f t="shared" si="134"/>
        <v>8760</v>
      </c>
      <c r="PJ117" s="2082">
        <f t="shared" si="134"/>
        <v>8760</v>
      </c>
      <c r="PK117" s="2082">
        <f t="shared" si="134"/>
        <v>8760</v>
      </c>
      <c r="PL117" s="2082">
        <f t="shared" si="134"/>
        <v>8760</v>
      </c>
      <c r="PM117" s="2082">
        <f t="shared" si="134"/>
        <v>8760</v>
      </c>
      <c r="PN117" s="2082">
        <f t="shared" si="134"/>
        <v>8760</v>
      </c>
      <c r="PO117" s="2082">
        <f t="shared" si="134"/>
        <v>8760</v>
      </c>
      <c r="PP117" s="2082">
        <f t="shared" si="134"/>
        <v>8760</v>
      </c>
      <c r="PQ117" s="2082">
        <f t="shared" si="134"/>
        <v>8760</v>
      </c>
      <c r="PR117" s="2082">
        <f t="shared" si="134"/>
        <v>8760</v>
      </c>
      <c r="PS117" s="2082">
        <f t="shared" si="134"/>
        <v>8760</v>
      </c>
      <c r="PT117" s="2082">
        <f t="shared" si="134"/>
        <v>8760</v>
      </c>
      <c r="PU117" s="2082">
        <f t="shared" si="134"/>
        <v>8760</v>
      </c>
      <c r="PV117" s="2082">
        <f t="shared" si="134"/>
        <v>8760</v>
      </c>
      <c r="PW117" s="2082">
        <f t="shared" si="134"/>
        <v>8760</v>
      </c>
      <c r="PX117" s="2082">
        <f t="shared" si="134"/>
        <v>8760</v>
      </c>
      <c r="PY117" s="2082">
        <f t="shared" si="134"/>
        <v>8760</v>
      </c>
      <c r="PZ117" s="2082">
        <f t="shared" si="134"/>
        <v>8760</v>
      </c>
      <c r="QA117" s="2082">
        <f t="shared" si="134"/>
        <v>8760</v>
      </c>
      <c r="QB117" s="2082">
        <f t="shared" si="134"/>
        <v>8760</v>
      </c>
      <c r="QC117" s="2082">
        <f t="shared" si="134"/>
        <v>8760</v>
      </c>
      <c r="QD117" s="2082">
        <f t="shared" si="134"/>
        <v>8760</v>
      </c>
      <c r="QE117" s="2082">
        <f t="shared" si="134"/>
        <v>8760</v>
      </c>
      <c r="QF117" s="2082">
        <f t="shared" si="134"/>
        <v>8760</v>
      </c>
      <c r="QG117" s="2082">
        <f t="shared" si="134"/>
        <v>8760</v>
      </c>
      <c r="QH117" s="2082">
        <f t="shared" si="134"/>
        <v>8760</v>
      </c>
      <c r="QI117" s="2082">
        <f t="shared" si="134"/>
        <v>8760</v>
      </c>
      <c r="QJ117" s="2082">
        <f t="shared" si="134"/>
        <v>8760</v>
      </c>
      <c r="QK117" s="2082">
        <f t="shared" si="134"/>
        <v>8760</v>
      </c>
      <c r="QL117" s="2082">
        <f t="shared" si="134"/>
        <v>8760</v>
      </c>
      <c r="QM117" s="2082">
        <f t="shared" si="134"/>
        <v>8760</v>
      </c>
      <c r="QN117" s="2082">
        <f t="shared" ref="QN117:SY117" si="135">24*365*1</f>
        <v>8760</v>
      </c>
      <c r="QO117" s="2082">
        <f t="shared" si="135"/>
        <v>8760</v>
      </c>
      <c r="QP117" s="2082">
        <f t="shared" si="135"/>
        <v>8760</v>
      </c>
      <c r="QQ117" s="2082">
        <f t="shared" si="135"/>
        <v>8760</v>
      </c>
      <c r="QR117" s="2082">
        <f t="shared" si="135"/>
        <v>8760</v>
      </c>
      <c r="QS117" s="2082">
        <f t="shared" si="135"/>
        <v>8760</v>
      </c>
      <c r="QT117" s="2082">
        <f t="shared" si="135"/>
        <v>8760</v>
      </c>
      <c r="QU117" s="2082">
        <f t="shared" si="135"/>
        <v>8760</v>
      </c>
      <c r="QV117" s="2082">
        <f t="shared" si="135"/>
        <v>8760</v>
      </c>
      <c r="QW117" s="2082">
        <f t="shared" si="135"/>
        <v>8760</v>
      </c>
      <c r="QX117" s="2082">
        <f t="shared" si="135"/>
        <v>8760</v>
      </c>
      <c r="QY117" s="2082">
        <f t="shared" si="135"/>
        <v>8760</v>
      </c>
      <c r="QZ117" s="2082">
        <f t="shared" si="135"/>
        <v>8760</v>
      </c>
      <c r="RA117" s="2082">
        <f t="shared" si="135"/>
        <v>8760</v>
      </c>
      <c r="RB117" s="2082">
        <f t="shared" si="135"/>
        <v>8760</v>
      </c>
      <c r="RC117" s="2082">
        <f t="shared" si="135"/>
        <v>8760</v>
      </c>
      <c r="RD117" s="2082">
        <f t="shared" si="135"/>
        <v>8760</v>
      </c>
      <c r="RE117" s="2082">
        <f t="shared" si="135"/>
        <v>8760</v>
      </c>
      <c r="RF117" s="2082">
        <f t="shared" si="135"/>
        <v>8760</v>
      </c>
      <c r="RG117" s="2082">
        <f t="shared" si="135"/>
        <v>8760</v>
      </c>
      <c r="RH117" s="2082">
        <f t="shared" si="135"/>
        <v>8760</v>
      </c>
      <c r="RI117" s="2082">
        <f t="shared" si="135"/>
        <v>8760</v>
      </c>
      <c r="RJ117" s="2082">
        <f t="shared" si="135"/>
        <v>8760</v>
      </c>
      <c r="RK117" s="2082">
        <f t="shared" si="135"/>
        <v>8760</v>
      </c>
      <c r="RL117" s="2082">
        <f t="shared" si="135"/>
        <v>8760</v>
      </c>
      <c r="RM117" s="2082">
        <f t="shared" si="135"/>
        <v>8760</v>
      </c>
      <c r="RN117" s="2082">
        <f t="shared" si="135"/>
        <v>8760</v>
      </c>
      <c r="RO117" s="2082">
        <f t="shared" si="135"/>
        <v>8760</v>
      </c>
      <c r="RP117" s="2082">
        <f t="shared" si="135"/>
        <v>8760</v>
      </c>
      <c r="RQ117" s="2082">
        <f t="shared" si="135"/>
        <v>8760</v>
      </c>
      <c r="RR117" s="2082">
        <f t="shared" si="135"/>
        <v>8760</v>
      </c>
      <c r="RS117" s="2082">
        <f t="shared" si="135"/>
        <v>8760</v>
      </c>
      <c r="RT117" s="2082">
        <f t="shared" si="135"/>
        <v>8760</v>
      </c>
      <c r="RU117" s="2082">
        <f t="shared" si="135"/>
        <v>8760</v>
      </c>
      <c r="RV117" s="2082">
        <f t="shared" si="135"/>
        <v>8760</v>
      </c>
      <c r="RW117" s="2082">
        <f t="shared" si="135"/>
        <v>8760</v>
      </c>
      <c r="RX117" s="2082">
        <f t="shared" si="135"/>
        <v>8760</v>
      </c>
      <c r="RY117" s="2082">
        <f t="shared" si="135"/>
        <v>8760</v>
      </c>
      <c r="RZ117" s="2082">
        <f t="shared" si="135"/>
        <v>8760</v>
      </c>
      <c r="SA117" s="2082">
        <f t="shared" si="135"/>
        <v>8760</v>
      </c>
      <c r="SB117" s="2082">
        <f t="shared" si="135"/>
        <v>8760</v>
      </c>
      <c r="SC117" s="2082">
        <f t="shared" si="135"/>
        <v>8760</v>
      </c>
      <c r="SD117" s="2082">
        <f t="shared" si="135"/>
        <v>8760</v>
      </c>
      <c r="SE117" s="2082">
        <f t="shared" si="135"/>
        <v>8760</v>
      </c>
      <c r="SF117" s="2082">
        <f t="shared" si="135"/>
        <v>8760</v>
      </c>
      <c r="SG117" s="2082">
        <f t="shared" si="135"/>
        <v>8760</v>
      </c>
      <c r="SH117" s="2082">
        <f t="shared" si="135"/>
        <v>8760</v>
      </c>
      <c r="SI117" s="2082">
        <f t="shared" si="135"/>
        <v>8760</v>
      </c>
      <c r="SJ117" s="2082">
        <f t="shared" si="135"/>
        <v>8760</v>
      </c>
      <c r="SK117" s="2082">
        <f t="shared" si="135"/>
        <v>8760</v>
      </c>
      <c r="SL117" s="2082">
        <f t="shared" si="135"/>
        <v>8760</v>
      </c>
      <c r="SM117" s="2082">
        <f t="shared" si="135"/>
        <v>8760</v>
      </c>
      <c r="SN117" s="2082">
        <f t="shared" si="135"/>
        <v>8760</v>
      </c>
      <c r="SO117" s="2082">
        <f t="shared" si="135"/>
        <v>8760</v>
      </c>
      <c r="SP117" s="2082">
        <f t="shared" si="135"/>
        <v>8760</v>
      </c>
      <c r="SQ117" s="2082">
        <f t="shared" si="135"/>
        <v>8760</v>
      </c>
      <c r="SR117" s="2082">
        <f t="shared" si="135"/>
        <v>8760</v>
      </c>
      <c r="SS117" s="2082">
        <f t="shared" si="135"/>
        <v>8760</v>
      </c>
      <c r="ST117" s="2082">
        <f t="shared" si="135"/>
        <v>8760</v>
      </c>
      <c r="SU117" s="2082">
        <f t="shared" si="135"/>
        <v>8760</v>
      </c>
      <c r="SV117" s="2082">
        <f t="shared" si="135"/>
        <v>8760</v>
      </c>
      <c r="SW117" s="2082">
        <f t="shared" si="135"/>
        <v>8760</v>
      </c>
      <c r="SX117" s="2082">
        <f t="shared" si="135"/>
        <v>8760</v>
      </c>
      <c r="SY117" s="2082">
        <f t="shared" si="135"/>
        <v>8760</v>
      </c>
      <c r="SZ117" s="2082">
        <f t="shared" ref="SZ117:VK117" si="136">24*365*1</f>
        <v>8760</v>
      </c>
      <c r="TA117" s="2082">
        <f t="shared" si="136"/>
        <v>8760</v>
      </c>
      <c r="TB117" s="2082">
        <f t="shared" si="136"/>
        <v>8760</v>
      </c>
      <c r="TC117" s="2082">
        <f t="shared" si="136"/>
        <v>8760</v>
      </c>
      <c r="TD117" s="2082">
        <f t="shared" si="136"/>
        <v>8760</v>
      </c>
      <c r="TE117" s="2082">
        <f t="shared" si="136"/>
        <v>8760</v>
      </c>
      <c r="TF117" s="2082">
        <f t="shared" si="136"/>
        <v>8760</v>
      </c>
      <c r="TG117" s="2082">
        <f t="shared" si="136"/>
        <v>8760</v>
      </c>
      <c r="TH117" s="2082">
        <f t="shared" si="136"/>
        <v>8760</v>
      </c>
      <c r="TI117" s="2082">
        <f t="shared" si="136"/>
        <v>8760</v>
      </c>
      <c r="TJ117" s="2082">
        <f t="shared" si="136"/>
        <v>8760</v>
      </c>
      <c r="TK117" s="2082">
        <f t="shared" si="136"/>
        <v>8760</v>
      </c>
      <c r="TL117" s="2082">
        <f t="shared" si="136"/>
        <v>8760</v>
      </c>
      <c r="TM117" s="2082">
        <f t="shared" si="136"/>
        <v>8760</v>
      </c>
      <c r="TN117" s="2082">
        <f t="shared" si="136"/>
        <v>8760</v>
      </c>
      <c r="TO117" s="2082">
        <f t="shared" si="136"/>
        <v>8760</v>
      </c>
      <c r="TP117" s="2082">
        <f t="shared" si="136"/>
        <v>8760</v>
      </c>
      <c r="TQ117" s="2082">
        <f t="shared" si="136"/>
        <v>8760</v>
      </c>
      <c r="TR117" s="2082">
        <f t="shared" si="136"/>
        <v>8760</v>
      </c>
      <c r="TS117" s="2082">
        <f t="shared" si="136"/>
        <v>8760</v>
      </c>
      <c r="TT117" s="2082">
        <f t="shared" si="136"/>
        <v>8760</v>
      </c>
      <c r="TU117" s="2082">
        <f t="shared" si="136"/>
        <v>8760</v>
      </c>
      <c r="TV117" s="2082">
        <f t="shared" si="136"/>
        <v>8760</v>
      </c>
      <c r="TW117" s="2082">
        <f t="shared" si="136"/>
        <v>8760</v>
      </c>
      <c r="TX117" s="2082">
        <f t="shared" si="136"/>
        <v>8760</v>
      </c>
      <c r="TY117" s="2082">
        <f t="shared" si="136"/>
        <v>8760</v>
      </c>
      <c r="TZ117" s="2082">
        <f t="shared" si="136"/>
        <v>8760</v>
      </c>
      <c r="UA117" s="2082">
        <f t="shared" si="136"/>
        <v>8760</v>
      </c>
      <c r="UB117" s="2082">
        <f t="shared" si="136"/>
        <v>8760</v>
      </c>
      <c r="UC117" s="2082">
        <f t="shared" si="136"/>
        <v>8760</v>
      </c>
      <c r="UD117" s="2082">
        <f t="shared" si="136"/>
        <v>8760</v>
      </c>
      <c r="UE117" s="2082">
        <f t="shared" si="136"/>
        <v>8760</v>
      </c>
      <c r="UF117" s="2082">
        <f t="shared" si="136"/>
        <v>8760</v>
      </c>
      <c r="UG117" s="2082">
        <f t="shared" si="136"/>
        <v>8760</v>
      </c>
      <c r="UH117" s="2082">
        <f t="shared" si="136"/>
        <v>8760</v>
      </c>
      <c r="UI117" s="2082">
        <f t="shared" si="136"/>
        <v>8760</v>
      </c>
      <c r="UJ117" s="2082">
        <f t="shared" si="136"/>
        <v>8760</v>
      </c>
      <c r="UK117" s="2082">
        <f t="shared" si="136"/>
        <v>8760</v>
      </c>
      <c r="UL117" s="2082">
        <f t="shared" si="136"/>
        <v>8760</v>
      </c>
      <c r="UM117" s="2082">
        <f t="shared" si="136"/>
        <v>8760</v>
      </c>
      <c r="UN117" s="2082">
        <f t="shared" si="136"/>
        <v>8760</v>
      </c>
      <c r="UO117" s="2082">
        <f t="shared" si="136"/>
        <v>8760</v>
      </c>
      <c r="UP117" s="2082">
        <f t="shared" si="136"/>
        <v>8760</v>
      </c>
      <c r="UQ117" s="2082">
        <f t="shared" si="136"/>
        <v>8760</v>
      </c>
      <c r="UR117" s="2082">
        <f t="shared" si="136"/>
        <v>8760</v>
      </c>
      <c r="US117" s="2082">
        <f t="shared" si="136"/>
        <v>8760</v>
      </c>
      <c r="UT117" s="2082">
        <f t="shared" si="136"/>
        <v>8760</v>
      </c>
      <c r="UU117" s="2082">
        <f t="shared" si="136"/>
        <v>8760</v>
      </c>
      <c r="UV117" s="2082">
        <f t="shared" si="136"/>
        <v>8760</v>
      </c>
      <c r="UW117" s="2082">
        <f t="shared" si="136"/>
        <v>8760</v>
      </c>
      <c r="UX117" s="2082">
        <f t="shared" si="136"/>
        <v>8760</v>
      </c>
      <c r="UY117" s="2082">
        <f t="shared" si="136"/>
        <v>8760</v>
      </c>
      <c r="UZ117" s="2082">
        <f t="shared" si="136"/>
        <v>8760</v>
      </c>
      <c r="VA117" s="2082">
        <f t="shared" si="136"/>
        <v>8760</v>
      </c>
      <c r="VB117" s="2082">
        <f t="shared" si="136"/>
        <v>8760</v>
      </c>
      <c r="VC117" s="2082">
        <f t="shared" si="136"/>
        <v>8760</v>
      </c>
      <c r="VD117" s="2082">
        <f t="shared" si="136"/>
        <v>8760</v>
      </c>
      <c r="VE117" s="2082">
        <f t="shared" si="136"/>
        <v>8760</v>
      </c>
      <c r="VF117" s="2082">
        <f t="shared" si="136"/>
        <v>8760</v>
      </c>
      <c r="VG117" s="2082">
        <f t="shared" si="136"/>
        <v>8760</v>
      </c>
      <c r="VH117" s="2082">
        <f t="shared" si="136"/>
        <v>8760</v>
      </c>
      <c r="VI117" s="2082">
        <f t="shared" si="136"/>
        <v>8760</v>
      </c>
      <c r="VJ117" s="2082">
        <f t="shared" si="136"/>
        <v>8760</v>
      </c>
      <c r="VK117" s="2083">
        <f t="shared" si="136"/>
        <v>8760</v>
      </c>
    </row>
    <row r="118" spans="1:583" s="1296" customFormat="1" x14ac:dyDescent="0.25">
      <c r="B118" s="2084" t="s">
        <v>2799</v>
      </c>
      <c r="C118" s="2085" t="s">
        <v>2939</v>
      </c>
      <c r="D118" s="2085" t="s">
        <v>2799</v>
      </c>
      <c r="E118" s="2085" t="s">
        <v>2939</v>
      </c>
      <c r="F118" s="2086">
        <f>IF(F116&gt;F117,F116,IF(F117&gt;F116,F117))</f>
        <v>8760</v>
      </c>
      <c r="G118" s="2086">
        <f t="shared" ref="G118:BR118" si="137">IF(G116&gt;G117,G116,IF(G117&gt;G116,G117))</f>
        <v>8760</v>
      </c>
      <c r="H118" s="2086">
        <f t="shared" si="137"/>
        <v>8760</v>
      </c>
      <c r="I118" s="2086">
        <f t="shared" si="137"/>
        <v>8760</v>
      </c>
      <c r="J118" s="2086">
        <f t="shared" si="137"/>
        <v>8760</v>
      </c>
      <c r="K118" s="2086">
        <f t="shared" si="137"/>
        <v>8760</v>
      </c>
      <c r="L118" s="2086">
        <f t="shared" si="137"/>
        <v>8760</v>
      </c>
      <c r="M118" s="2086">
        <f t="shared" si="137"/>
        <v>8760</v>
      </c>
      <c r="N118" s="2086">
        <f t="shared" si="137"/>
        <v>8760</v>
      </c>
      <c r="O118" s="2086">
        <f t="shared" si="137"/>
        <v>8760</v>
      </c>
      <c r="P118" s="2086">
        <f t="shared" si="137"/>
        <v>8760</v>
      </c>
      <c r="Q118" s="2086">
        <f t="shared" si="137"/>
        <v>8760</v>
      </c>
      <c r="R118" s="2086">
        <f t="shared" si="137"/>
        <v>8760</v>
      </c>
      <c r="S118" s="2086">
        <f t="shared" si="137"/>
        <v>8760</v>
      </c>
      <c r="T118" s="2086">
        <f t="shared" si="137"/>
        <v>8760</v>
      </c>
      <c r="U118" s="2086">
        <f t="shared" si="137"/>
        <v>8760</v>
      </c>
      <c r="V118" s="2086">
        <f t="shared" si="137"/>
        <v>8760</v>
      </c>
      <c r="W118" s="2086">
        <f t="shared" si="137"/>
        <v>8760</v>
      </c>
      <c r="X118" s="2086">
        <f t="shared" si="137"/>
        <v>8760</v>
      </c>
      <c r="Y118" s="2086">
        <f t="shared" si="137"/>
        <v>8760</v>
      </c>
      <c r="Z118" s="2086">
        <f t="shared" si="137"/>
        <v>8760</v>
      </c>
      <c r="AA118" s="2086">
        <f t="shared" si="137"/>
        <v>8760</v>
      </c>
      <c r="AB118" s="2086">
        <f t="shared" si="137"/>
        <v>8760</v>
      </c>
      <c r="AC118" s="2086">
        <f t="shared" si="137"/>
        <v>8760</v>
      </c>
      <c r="AD118" s="2086">
        <f t="shared" si="137"/>
        <v>8760</v>
      </c>
      <c r="AE118" s="2086">
        <f t="shared" si="137"/>
        <v>8760</v>
      </c>
      <c r="AF118" s="2086">
        <f t="shared" si="137"/>
        <v>8760</v>
      </c>
      <c r="AG118" s="2086">
        <f t="shared" si="137"/>
        <v>8760</v>
      </c>
      <c r="AH118" s="2086">
        <f t="shared" si="137"/>
        <v>8760</v>
      </c>
      <c r="AI118" s="2086">
        <f t="shared" si="137"/>
        <v>8760</v>
      </c>
      <c r="AJ118" s="2086">
        <f t="shared" si="137"/>
        <v>8760</v>
      </c>
      <c r="AK118" s="2086">
        <f t="shared" si="137"/>
        <v>8760</v>
      </c>
      <c r="AL118" s="2086">
        <f t="shared" si="137"/>
        <v>8760</v>
      </c>
      <c r="AM118" s="2086">
        <f t="shared" si="137"/>
        <v>8760</v>
      </c>
      <c r="AN118" s="2086">
        <f t="shared" si="137"/>
        <v>8760</v>
      </c>
      <c r="AO118" s="2086">
        <f t="shared" si="137"/>
        <v>8760</v>
      </c>
      <c r="AP118" s="2086">
        <f t="shared" si="137"/>
        <v>8760</v>
      </c>
      <c r="AQ118" s="2086">
        <f t="shared" si="137"/>
        <v>8760</v>
      </c>
      <c r="AR118" s="2086">
        <f t="shared" si="137"/>
        <v>8760</v>
      </c>
      <c r="AS118" s="2086">
        <f t="shared" si="137"/>
        <v>8760</v>
      </c>
      <c r="AT118" s="2086">
        <f t="shared" si="137"/>
        <v>8760</v>
      </c>
      <c r="AU118" s="2086">
        <f t="shared" si="137"/>
        <v>8760</v>
      </c>
      <c r="AV118" s="2086">
        <f t="shared" si="137"/>
        <v>8760</v>
      </c>
      <c r="AW118" s="2086">
        <f t="shared" si="137"/>
        <v>8760</v>
      </c>
      <c r="AX118" s="2086">
        <f t="shared" si="137"/>
        <v>8760</v>
      </c>
      <c r="AY118" s="2086">
        <f t="shared" si="137"/>
        <v>8760</v>
      </c>
      <c r="AZ118" s="2086">
        <f t="shared" si="137"/>
        <v>8760</v>
      </c>
      <c r="BA118" s="2086">
        <f t="shared" si="137"/>
        <v>8760</v>
      </c>
      <c r="BB118" s="2086">
        <f t="shared" si="137"/>
        <v>8760</v>
      </c>
      <c r="BC118" s="2086">
        <f t="shared" si="137"/>
        <v>8760</v>
      </c>
      <c r="BD118" s="2086">
        <f t="shared" si="137"/>
        <v>8760</v>
      </c>
      <c r="BE118" s="2086">
        <f t="shared" si="137"/>
        <v>8760</v>
      </c>
      <c r="BF118" s="2086">
        <f t="shared" si="137"/>
        <v>8760</v>
      </c>
      <c r="BG118" s="2086">
        <f t="shared" si="137"/>
        <v>8760</v>
      </c>
      <c r="BH118" s="2086">
        <f t="shared" si="137"/>
        <v>8760</v>
      </c>
      <c r="BI118" s="2086">
        <f t="shared" si="137"/>
        <v>8760</v>
      </c>
      <c r="BJ118" s="2086">
        <f t="shared" si="137"/>
        <v>8760</v>
      </c>
      <c r="BK118" s="2086">
        <f t="shared" si="137"/>
        <v>8760</v>
      </c>
      <c r="BL118" s="2086">
        <f t="shared" si="137"/>
        <v>8760</v>
      </c>
      <c r="BM118" s="2086">
        <f t="shared" si="137"/>
        <v>8760</v>
      </c>
      <c r="BN118" s="2086">
        <f t="shared" si="137"/>
        <v>8760</v>
      </c>
      <c r="BO118" s="2086">
        <f t="shared" si="137"/>
        <v>8760</v>
      </c>
      <c r="BP118" s="2086">
        <f t="shared" si="137"/>
        <v>8760</v>
      </c>
      <c r="BQ118" s="2086">
        <f t="shared" si="137"/>
        <v>8760</v>
      </c>
      <c r="BR118" s="2086">
        <f t="shared" si="137"/>
        <v>8760</v>
      </c>
      <c r="BS118" s="2086">
        <f t="shared" ref="BS118:ED118" si="138">IF(BS116&gt;BS117,BS116,IF(BS117&gt;BS116,BS117))</f>
        <v>8760</v>
      </c>
      <c r="BT118" s="2086">
        <f t="shared" si="138"/>
        <v>8760</v>
      </c>
      <c r="BU118" s="2086">
        <f t="shared" si="138"/>
        <v>8760</v>
      </c>
      <c r="BV118" s="2086">
        <f t="shared" si="138"/>
        <v>8760</v>
      </c>
      <c r="BW118" s="2086">
        <f t="shared" si="138"/>
        <v>8760</v>
      </c>
      <c r="BX118" s="2086">
        <f t="shared" si="138"/>
        <v>8760</v>
      </c>
      <c r="BY118" s="2086">
        <f t="shared" si="138"/>
        <v>8760</v>
      </c>
      <c r="BZ118" s="2086">
        <f t="shared" si="138"/>
        <v>8760</v>
      </c>
      <c r="CA118" s="2086">
        <f t="shared" si="138"/>
        <v>8760</v>
      </c>
      <c r="CB118" s="2086">
        <f t="shared" si="138"/>
        <v>8760</v>
      </c>
      <c r="CC118" s="2086">
        <f t="shared" si="138"/>
        <v>8760</v>
      </c>
      <c r="CD118" s="2086">
        <f t="shared" si="138"/>
        <v>8760</v>
      </c>
      <c r="CE118" s="2086">
        <f t="shared" si="138"/>
        <v>8760</v>
      </c>
      <c r="CF118" s="2086">
        <f t="shared" si="138"/>
        <v>8760</v>
      </c>
      <c r="CG118" s="2086">
        <f t="shared" si="138"/>
        <v>8760</v>
      </c>
      <c r="CH118" s="2086">
        <f t="shared" si="138"/>
        <v>8760</v>
      </c>
      <c r="CI118" s="2086">
        <f t="shared" si="138"/>
        <v>8760</v>
      </c>
      <c r="CJ118" s="2086">
        <f t="shared" si="138"/>
        <v>8760</v>
      </c>
      <c r="CK118" s="2086">
        <f t="shared" si="138"/>
        <v>8760</v>
      </c>
      <c r="CL118" s="2086">
        <f t="shared" si="138"/>
        <v>8760</v>
      </c>
      <c r="CM118" s="2086">
        <f t="shared" si="138"/>
        <v>8760</v>
      </c>
      <c r="CN118" s="2086">
        <f t="shared" si="138"/>
        <v>8760</v>
      </c>
      <c r="CO118" s="2086">
        <f t="shared" si="138"/>
        <v>8760</v>
      </c>
      <c r="CP118" s="2086">
        <f t="shared" si="138"/>
        <v>8760</v>
      </c>
      <c r="CQ118" s="2086">
        <f t="shared" si="138"/>
        <v>8760</v>
      </c>
      <c r="CR118" s="2086">
        <f t="shared" si="138"/>
        <v>8760</v>
      </c>
      <c r="CS118" s="2086">
        <f t="shared" si="138"/>
        <v>8760</v>
      </c>
      <c r="CT118" s="2086">
        <f t="shared" si="138"/>
        <v>8760</v>
      </c>
      <c r="CU118" s="2086">
        <f t="shared" si="138"/>
        <v>8760</v>
      </c>
      <c r="CV118" s="2086">
        <f t="shared" si="138"/>
        <v>8760</v>
      </c>
      <c r="CW118" s="2086">
        <f t="shared" si="138"/>
        <v>8760</v>
      </c>
      <c r="CX118" s="2086">
        <f t="shared" si="138"/>
        <v>8760</v>
      </c>
      <c r="CY118" s="2086">
        <f t="shared" si="138"/>
        <v>8760</v>
      </c>
      <c r="CZ118" s="2086">
        <f t="shared" si="138"/>
        <v>8760</v>
      </c>
      <c r="DA118" s="2086">
        <f t="shared" si="138"/>
        <v>8760</v>
      </c>
      <c r="DB118" s="2086">
        <f t="shared" si="138"/>
        <v>8760</v>
      </c>
      <c r="DC118" s="2086">
        <f t="shared" si="138"/>
        <v>8760</v>
      </c>
      <c r="DD118" s="2086">
        <f t="shared" si="138"/>
        <v>8760</v>
      </c>
      <c r="DE118" s="2086">
        <f t="shared" si="138"/>
        <v>8760</v>
      </c>
      <c r="DF118" s="2086">
        <f t="shared" si="138"/>
        <v>8760</v>
      </c>
      <c r="DG118" s="2086">
        <f t="shared" si="138"/>
        <v>8760</v>
      </c>
      <c r="DH118" s="2086">
        <f t="shared" si="138"/>
        <v>8760</v>
      </c>
      <c r="DI118" s="2086">
        <f t="shared" si="138"/>
        <v>8760</v>
      </c>
      <c r="DJ118" s="2086">
        <f t="shared" si="138"/>
        <v>8760</v>
      </c>
      <c r="DK118" s="2086">
        <f t="shared" si="138"/>
        <v>8760</v>
      </c>
      <c r="DL118" s="2086">
        <f t="shared" si="138"/>
        <v>8760</v>
      </c>
      <c r="DM118" s="2086">
        <f t="shared" si="138"/>
        <v>8760</v>
      </c>
      <c r="DN118" s="2086">
        <f t="shared" si="138"/>
        <v>8760</v>
      </c>
      <c r="DO118" s="2086">
        <f t="shared" si="138"/>
        <v>8760</v>
      </c>
      <c r="DP118" s="2086">
        <f t="shared" si="138"/>
        <v>8760</v>
      </c>
      <c r="DQ118" s="2086">
        <f t="shared" si="138"/>
        <v>8760</v>
      </c>
      <c r="DR118" s="2086">
        <f t="shared" si="138"/>
        <v>8760</v>
      </c>
      <c r="DS118" s="2086">
        <f t="shared" si="138"/>
        <v>8760</v>
      </c>
      <c r="DT118" s="2086">
        <f t="shared" si="138"/>
        <v>8760</v>
      </c>
      <c r="DU118" s="2086">
        <f t="shared" si="138"/>
        <v>8760</v>
      </c>
      <c r="DV118" s="2086">
        <f t="shared" si="138"/>
        <v>8760</v>
      </c>
      <c r="DW118" s="2086">
        <f t="shared" si="138"/>
        <v>8760</v>
      </c>
      <c r="DX118" s="2086">
        <f t="shared" si="138"/>
        <v>8760</v>
      </c>
      <c r="DY118" s="2086">
        <f t="shared" si="138"/>
        <v>8760</v>
      </c>
      <c r="DZ118" s="2086">
        <f t="shared" si="138"/>
        <v>8760</v>
      </c>
      <c r="EA118" s="2086">
        <f t="shared" si="138"/>
        <v>8760</v>
      </c>
      <c r="EB118" s="2086">
        <f t="shared" si="138"/>
        <v>8760</v>
      </c>
      <c r="EC118" s="2086">
        <f t="shared" si="138"/>
        <v>8760</v>
      </c>
      <c r="ED118" s="2086">
        <f t="shared" si="138"/>
        <v>8760</v>
      </c>
      <c r="EE118" s="2086">
        <f t="shared" ref="EE118:GP118" si="139">IF(EE116&gt;EE117,EE116,IF(EE117&gt;EE116,EE117))</f>
        <v>8760</v>
      </c>
      <c r="EF118" s="2086">
        <f t="shared" si="139"/>
        <v>8760</v>
      </c>
      <c r="EG118" s="2086">
        <f t="shared" si="139"/>
        <v>8760</v>
      </c>
      <c r="EH118" s="2086">
        <f t="shared" si="139"/>
        <v>8760</v>
      </c>
      <c r="EI118" s="2086">
        <f t="shared" si="139"/>
        <v>8760</v>
      </c>
      <c r="EJ118" s="2086">
        <f t="shared" si="139"/>
        <v>8760</v>
      </c>
      <c r="EK118" s="2086">
        <f t="shared" si="139"/>
        <v>8760</v>
      </c>
      <c r="EL118" s="2086">
        <f t="shared" si="139"/>
        <v>8760</v>
      </c>
      <c r="EM118" s="2086">
        <f t="shared" si="139"/>
        <v>8760</v>
      </c>
      <c r="EN118" s="2086">
        <f t="shared" si="139"/>
        <v>8760</v>
      </c>
      <c r="EO118" s="2086">
        <f t="shared" si="139"/>
        <v>8760</v>
      </c>
      <c r="EP118" s="2086">
        <f t="shared" si="139"/>
        <v>8760</v>
      </c>
      <c r="EQ118" s="2086">
        <f t="shared" si="139"/>
        <v>8760</v>
      </c>
      <c r="ER118" s="2086">
        <f t="shared" si="139"/>
        <v>8760</v>
      </c>
      <c r="ES118" s="2086">
        <f t="shared" si="139"/>
        <v>8760</v>
      </c>
      <c r="ET118" s="2086">
        <f t="shared" si="139"/>
        <v>8760</v>
      </c>
      <c r="EU118" s="2086">
        <f t="shared" si="139"/>
        <v>8760</v>
      </c>
      <c r="EV118" s="2086">
        <f t="shared" si="139"/>
        <v>8760</v>
      </c>
      <c r="EW118" s="2086">
        <f t="shared" si="139"/>
        <v>8760</v>
      </c>
      <c r="EX118" s="2086">
        <f t="shared" si="139"/>
        <v>8760</v>
      </c>
      <c r="EY118" s="2086">
        <f t="shared" si="139"/>
        <v>8760</v>
      </c>
      <c r="EZ118" s="2086">
        <f t="shared" si="139"/>
        <v>8760</v>
      </c>
      <c r="FA118" s="2086">
        <f t="shared" si="139"/>
        <v>8760</v>
      </c>
      <c r="FB118" s="2086">
        <f t="shared" si="139"/>
        <v>8760</v>
      </c>
      <c r="FC118" s="2086">
        <f t="shared" si="139"/>
        <v>8760</v>
      </c>
      <c r="FD118" s="2086">
        <f t="shared" si="139"/>
        <v>8760</v>
      </c>
      <c r="FE118" s="2086">
        <f t="shared" si="139"/>
        <v>8760</v>
      </c>
      <c r="FF118" s="2086">
        <f t="shared" si="139"/>
        <v>8760</v>
      </c>
      <c r="FG118" s="2086">
        <f t="shared" si="139"/>
        <v>8760</v>
      </c>
      <c r="FH118" s="2086">
        <f t="shared" si="139"/>
        <v>8760</v>
      </c>
      <c r="FI118" s="2086">
        <f t="shared" si="139"/>
        <v>8760</v>
      </c>
      <c r="FJ118" s="2086">
        <f t="shared" si="139"/>
        <v>8760</v>
      </c>
      <c r="FK118" s="2086">
        <f t="shared" si="139"/>
        <v>8760</v>
      </c>
      <c r="FL118" s="2086">
        <f t="shared" si="139"/>
        <v>8760</v>
      </c>
      <c r="FM118" s="2086">
        <f t="shared" si="139"/>
        <v>8760</v>
      </c>
      <c r="FN118" s="2086">
        <f t="shared" si="139"/>
        <v>8760</v>
      </c>
      <c r="FO118" s="2086">
        <f t="shared" si="139"/>
        <v>8760</v>
      </c>
      <c r="FP118" s="2086">
        <f t="shared" si="139"/>
        <v>8760</v>
      </c>
      <c r="FQ118" s="2086">
        <f t="shared" si="139"/>
        <v>8760</v>
      </c>
      <c r="FR118" s="2086">
        <f t="shared" si="139"/>
        <v>8760</v>
      </c>
      <c r="FS118" s="2086">
        <f t="shared" si="139"/>
        <v>8760</v>
      </c>
      <c r="FT118" s="2086">
        <f t="shared" si="139"/>
        <v>8760</v>
      </c>
      <c r="FU118" s="2086">
        <f t="shared" si="139"/>
        <v>8760</v>
      </c>
      <c r="FV118" s="2086">
        <f t="shared" si="139"/>
        <v>8760</v>
      </c>
      <c r="FW118" s="2086">
        <f t="shared" si="139"/>
        <v>8760</v>
      </c>
      <c r="FX118" s="2086">
        <f t="shared" si="139"/>
        <v>8760</v>
      </c>
      <c r="FY118" s="2086">
        <f t="shared" si="139"/>
        <v>8760</v>
      </c>
      <c r="FZ118" s="2086">
        <f t="shared" si="139"/>
        <v>8760</v>
      </c>
      <c r="GA118" s="2086">
        <f t="shared" si="139"/>
        <v>8760</v>
      </c>
      <c r="GB118" s="2086">
        <f t="shared" si="139"/>
        <v>8760</v>
      </c>
      <c r="GC118" s="2086">
        <f t="shared" si="139"/>
        <v>8760</v>
      </c>
      <c r="GD118" s="2086">
        <f t="shared" si="139"/>
        <v>8760</v>
      </c>
      <c r="GE118" s="2086">
        <f t="shared" si="139"/>
        <v>8760</v>
      </c>
      <c r="GF118" s="2086">
        <f t="shared" si="139"/>
        <v>8760</v>
      </c>
      <c r="GG118" s="2086">
        <f t="shared" si="139"/>
        <v>8760</v>
      </c>
      <c r="GH118" s="2086">
        <f t="shared" si="139"/>
        <v>8760</v>
      </c>
      <c r="GI118" s="2086">
        <f t="shared" si="139"/>
        <v>8760</v>
      </c>
      <c r="GJ118" s="2086">
        <f t="shared" si="139"/>
        <v>8760</v>
      </c>
      <c r="GK118" s="2086">
        <f t="shared" si="139"/>
        <v>8760</v>
      </c>
      <c r="GL118" s="2086">
        <f t="shared" si="139"/>
        <v>8760</v>
      </c>
      <c r="GM118" s="2086">
        <f t="shared" si="139"/>
        <v>8760</v>
      </c>
      <c r="GN118" s="2086">
        <f t="shared" si="139"/>
        <v>8760</v>
      </c>
      <c r="GO118" s="2086">
        <f t="shared" si="139"/>
        <v>8760</v>
      </c>
      <c r="GP118" s="2086">
        <f t="shared" si="139"/>
        <v>8760</v>
      </c>
      <c r="GQ118" s="2086">
        <f t="shared" ref="GQ118:JB118" si="140">IF(GQ116&gt;GQ117,GQ116,IF(GQ117&gt;GQ116,GQ117))</f>
        <v>8760</v>
      </c>
      <c r="GR118" s="2086">
        <f t="shared" si="140"/>
        <v>8760</v>
      </c>
      <c r="GS118" s="2086">
        <f t="shared" si="140"/>
        <v>8760</v>
      </c>
      <c r="GT118" s="2086">
        <f t="shared" si="140"/>
        <v>8760</v>
      </c>
      <c r="GU118" s="2086">
        <f t="shared" si="140"/>
        <v>8760</v>
      </c>
      <c r="GV118" s="2086">
        <f t="shared" si="140"/>
        <v>8760</v>
      </c>
      <c r="GW118" s="2086">
        <f t="shared" si="140"/>
        <v>8760</v>
      </c>
      <c r="GX118" s="2086">
        <f t="shared" si="140"/>
        <v>8760</v>
      </c>
      <c r="GY118" s="2086">
        <f t="shared" si="140"/>
        <v>8760</v>
      </c>
      <c r="GZ118" s="2086">
        <f t="shared" si="140"/>
        <v>8760</v>
      </c>
      <c r="HA118" s="2086">
        <f t="shared" si="140"/>
        <v>8760</v>
      </c>
      <c r="HB118" s="2086">
        <f t="shared" si="140"/>
        <v>8760</v>
      </c>
      <c r="HC118" s="2086">
        <f t="shared" si="140"/>
        <v>8760</v>
      </c>
      <c r="HD118" s="2086">
        <f t="shared" si="140"/>
        <v>8760</v>
      </c>
      <c r="HE118" s="2086">
        <f t="shared" si="140"/>
        <v>8760</v>
      </c>
      <c r="HF118" s="2086">
        <f t="shared" si="140"/>
        <v>8760</v>
      </c>
      <c r="HG118" s="2086">
        <f t="shared" si="140"/>
        <v>8760</v>
      </c>
      <c r="HH118" s="2086">
        <f t="shared" si="140"/>
        <v>8760</v>
      </c>
      <c r="HI118" s="2086">
        <f t="shared" si="140"/>
        <v>8760</v>
      </c>
      <c r="HJ118" s="2086">
        <f t="shared" si="140"/>
        <v>8760</v>
      </c>
      <c r="HK118" s="2086">
        <f t="shared" si="140"/>
        <v>8760</v>
      </c>
      <c r="HL118" s="2086">
        <f t="shared" si="140"/>
        <v>8760</v>
      </c>
      <c r="HM118" s="2086">
        <f t="shared" si="140"/>
        <v>8760</v>
      </c>
      <c r="HN118" s="2086">
        <f t="shared" si="140"/>
        <v>8760</v>
      </c>
      <c r="HO118" s="2086">
        <f t="shared" si="140"/>
        <v>8760</v>
      </c>
      <c r="HP118" s="2086">
        <f t="shared" si="140"/>
        <v>8760</v>
      </c>
      <c r="HQ118" s="2086">
        <f t="shared" si="140"/>
        <v>8760</v>
      </c>
      <c r="HR118" s="2086">
        <f t="shared" si="140"/>
        <v>8760</v>
      </c>
      <c r="HS118" s="2086">
        <f t="shared" si="140"/>
        <v>8760</v>
      </c>
      <c r="HT118" s="2086">
        <f t="shared" si="140"/>
        <v>8760</v>
      </c>
      <c r="HU118" s="2086">
        <f t="shared" si="140"/>
        <v>8760</v>
      </c>
      <c r="HV118" s="2086">
        <f t="shared" si="140"/>
        <v>8760</v>
      </c>
      <c r="HW118" s="2086">
        <f t="shared" si="140"/>
        <v>8760</v>
      </c>
      <c r="HX118" s="2086">
        <f t="shared" si="140"/>
        <v>8760</v>
      </c>
      <c r="HY118" s="2086">
        <f t="shared" si="140"/>
        <v>8760</v>
      </c>
      <c r="HZ118" s="2086">
        <f t="shared" si="140"/>
        <v>8760</v>
      </c>
      <c r="IA118" s="2086">
        <f t="shared" si="140"/>
        <v>8760</v>
      </c>
      <c r="IB118" s="2086">
        <f t="shared" si="140"/>
        <v>8760</v>
      </c>
      <c r="IC118" s="2086">
        <f t="shared" si="140"/>
        <v>8760</v>
      </c>
      <c r="ID118" s="2086">
        <f t="shared" si="140"/>
        <v>8760</v>
      </c>
      <c r="IE118" s="2086">
        <f t="shared" si="140"/>
        <v>8760</v>
      </c>
      <c r="IF118" s="2086">
        <f t="shared" si="140"/>
        <v>8760</v>
      </c>
      <c r="IG118" s="2086">
        <f t="shared" si="140"/>
        <v>8760</v>
      </c>
      <c r="IH118" s="2086">
        <f t="shared" si="140"/>
        <v>8760</v>
      </c>
      <c r="II118" s="2086">
        <f t="shared" si="140"/>
        <v>8760</v>
      </c>
      <c r="IJ118" s="2086">
        <f t="shared" si="140"/>
        <v>8760</v>
      </c>
      <c r="IK118" s="2086">
        <f t="shared" si="140"/>
        <v>8760</v>
      </c>
      <c r="IL118" s="2086">
        <f t="shared" si="140"/>
        <v>8760</v>
      </c>
      <c r="IM118" s="2086">
        <f t="shared" si="140"/>
        <v>8760</v>
      </c>
      <c r="IN118" s="2086">
        <f t="shared" si="140"/>
        <v>8760</v>
      </c>
      <c r="IO118" s="2086">
        <f t="shared" si="140"/>
        <v>8760</v>
      </c>
      <c r="IP118" s="2086">
        <f t="shared" si="140"/>
        <v>8760</v>
      </c>
      <c r="IQ118" s="2086">
        <f t="shared" si="140"/>
        <v>8760</v>
      </c>
      <c r="IR118" s="2086">
        <f t="shared" si="140"/>
        <v>8760</v>
      </c>
      <c r="IS118" s="2086">
        <f t="shared" si="140"/>
        <v>8760</v>
      </c>
      <c r="IT118" s="2086">
        <f t="shared" si="140"/>
        <v>8760</v>
      </c>
      <c r="IU118" s="2086">
        <f t="shared" si="140"/>
        <v>8760</v>
      </c>
      <c r="IV118" s="2086">
        <f t="shared" si="140"/>
        <v>8760</v>
      </c>
      <c r="IW118" s="2086">
        <f t="shared" si="140"/>
        <v>8760</v>
      </c>
      <c r="IX118" s="2086">
        <f t="shared" si="140"/>
        <v>8760</v>
      </c>
      <c r="IY118" s="2086">
        <f t="shared" si="140"/>
        <v>8760</v>
      </c>
      <c r="IZ118" s="2086">
        <f t="shared" si="140"/>
        <v>8760</v>
      </c>
      <c r="JA118" s="2086">
        <f t="shared" si="140"/>
        <v>8760</v>
      </c>
      <c r="JB118" s="2086">
        <f t="shared" si="140"/>
        <v>8760</v>
      </c>
      <c r="JC118" s="2086">
        <f t="shared" ref="JC118:LN118" si="141">IF(JC116&gt;JC117,JC116,IF(JC117&gt;JC116,JC117))</f>
        <v>8760</v>
      </c>
      <c r="JD118" s="2086">
        <f t="shared" si="141"/>
        <v>8760</v>
      </c>
      <c r="JE118" s="2086">
        <f t="shared" si="141"/>
        <v>8760</v>
      </c>
      <c r="JF118" s="2086">
        <f t="shared" si="141"/>
        <v>8760</v>
      </c>
      <c r="JG118" s="2086">
        <f t="shared" si="141"/>
        <v>8760</v>
      </c>
      <c r="JH118" s="2086">
        <f t="shared" si="141"/>
        <v>8760</v>
      </c>
      <c r="JI118" s="2086">
        <f t="shared" si="141"/>
        <v>8760</v>
      </c>
      <c r="JJ118" s="2086">
        <f t="shared" si="141"/>
        <v>8760</v>
      </c>
      <c r="JK118" s="2086">
        <f t="shared" si="141"/>
        <v>8760</v>
      </c>
      <c r="JL118" s="2086">
        <f t="shared" si="141"/>
        <v>8760</v>
      </c>
      <c r="JM118" s="2086">
        <f t="shared" si="141"/>
        <v>8760</v>
      </c>
      <c r="JN118" s="2086">
        <f t="shared" si="141"/>
        <v>8760</v>
      </c>
      <c r="JO118" s="2086">
        <f t="shared" si="141"/>
        <v>8760</v>
      </c>
      <c r="JP118" s="2086">
        <f t="shared" si="141"/>
        <v>8760</v>
      </c>
      <c r="JQ118" s="2086">
        <f t="shared" si="141"/>
        <v>8760</v>
      </c>
      <c r="JR118" s="2086">
        <f t="shared" si="141"/>
        <v>8760</v>
      </c>
      <c r="JS118" s="2086">
        <f t="shared" si="141"/>
        <v>8760</v>
      </c>
      <c r="JT118" s="2086">
        <f t="shared" si="141"/>
        <v>8760</v>
      </c>
      <c r="JU118" s="2086">
        <f t="shared" si="141"/>
        <v>8760</v>
      </c>
      <c r="JV118" s="2086">
        <f t="shared" si="141"/>
        <v>8760</v>
      </c>
      <c r="JW118" s="2086">
        <f t="shared" si="141"/>
        <v>8760</v>
      </c>
      <c r="JX118" s="2086">
        <f t="shared" si="141"/>
        <v>8760</v>
      </c>
      <c r="JY118" s="2086">
        <f t="shared" si="141"/>
        <v>8760</v>
      </c>
      <c r="JZ118" s="2086">
        <f t="shared" si="141"/>
        <v>8760</v>
      </c>
      <c r="KA118" s="2086">
        <f t="shared" si="141"/>
        <v>8760</v>
      </c>
      <c r="KB118" s="2086">
        <f t="shared" si="141"/>
        <v>8760</v>
      </c>
      <c r="KC118" s="2086">
        <f t="shared" si="141"/>
        <v>8760</v>
      </c>
      <c r="KD118" s="2086">
        <f t="shared" si="141"/>
        <v>8760</v>
      </c>
      <c r="KE118" s="2086">
        <f t="shared" si="141"/>
        <v>8760</v>
      </c>
      <c r="KF118" s="2086">
        <f t="shared" si="141"/>
        <v>8760</v>
      </c>
      <c r="KG118" s="2086">
        <f t="shared" si="141"/>
        <v>8760</v>
      </c>
      <c r="KH118" s="2086">
        <f t="shared" si="141"/>
        <v>8760</v>
      </c>
      <c r="KI118" s="2086">
        <f t="shared" si="141"/>
        <v>8760</v>
      </c>
      <c r="KJ118" s="2086">
        <f t="shared" si="141"/>
        <v>8760</v>
      </c>
      <c r="KK118" s="2086">
        <f t="shared" si="141"/>
        <v>8760</v>
      </c>
      <c r="KL118" s="2086">
        <f t="shared" si="141"/>
        <v>8760</v>
      </c>
      <c r="KM118" s="2086">
        <f t="shared" si="141"/>
        <v>8760</v>
      </c>
      <c r="KN118" s="2086">
        <f t="shared" si="141"/>
        <v>8760</v>
      </c>
      <c r="KO118" s="2086">
        <f t="shared" si="141"/>
        <v>8760</v>
      </c>
      <c r="KP118" s="2086">
        <f t="shared" si="141"/>
        <v>8760</v>
      </c>
      <c r="KQ118" s="2086">
        <f t="shared" si="141"/>
        <v>8760</v>
      </c>
      <c r="KR118" s="2086">
        <f t="shared" si="141"/>
        <v>8760</v>
      </c>
      <c r="KS118" s="2086">
        <f t="shared" si="141"/>
        <v>8760</v>
      </c>
      <c r="KT118" s="2086">
        <f t="shared" si="141"/>
        <v>8760</v>
      </c>
      <c r="KU118" s="2086">
        <f t="shared" si="141"/>
        <v>8760</v>
      </c>
      <c r="KV118" s="2086">
        <f t="shared" si="141"/>
        <v>8760</v>
      </c>
      <c r="KW118" s="2086">
        <f t="shared" si="141"/>
        <v>8760</v>
      </c>
      <c r="KX118" s="2086">
        <f t="shared" si="141"/>
        <v>8760</v>
      </c>
      <c r="KY118" s="2086">
        <f t="shared" si="141"/>
        <v>8760</v>
      </c>
      <c r="KZ118" s="2086">
        <f t="shared" si="141"/>
        <v>8760</v>
      </c>
      <c r="LA118" s="2086">
        <f t="shared" si="141"/>
        <v>8760</v>
      </c>
      <c r="LB118" s="2086">
        <f t="shared" si="141"/>
        <v>8760</v>
      </c>
      <c r="LC118" s="2086">
        <f t="shared" si="141"/>
        <v>8760</v>
      </c>
      <c r="LD118" s="2086">
        <f t="shared" si="141"/>
        <v>8760</v>
      </c>
      <c r="LE118" s="2086">
        <f t="shared" si="141"/>
        <v>8760</v>
      </c>
      <c r="LF118" s="2086">
        <f t="shared" si="141"/>
        <v>8760</v>
      </c>
      <c r="LG118" s="2086">
        <f t="shared" si="141"/>
        <v>8760</v>
      </c>
      <c r="LH118" s="2086">
        <f t="shared" si="141"/>
        <v>8760</v>
      </c>
      <c r="LI118" s="2086">
        <f t="shared" si="141"/>
        <v>8760</v>
      </c>
      <c r="LJ118" s="2086">
        <f t="shared" si="141"/>
        <v>8760</v>
      </c>
      <c r="LK118" s="2086">
        <f t="shared" si="141"/>
        <v>8760</v>
      </c>
      <c r="LL118" s="2086">
        <f t="shared" si="141"/>
        <v>8760</v>
      </c>
      <c r="LM118" s="2086">
        <f t="shared" si="141"/>
        <v>8760</v>
      </c>
      <c r="LN118" s="2086">
        <f t="shared" si="141"/>
        <v>8760</v>
      </c>
      <c r="LO118" s="2086">
        <f t="shared" ref="LO118:NZ118" si="142">IF(LO116&gt;LO117,LO116,IF(LO117&gt;LO116,LO117))</f>
        <v>8760</v>
      </c>
      <c r="LP118" s="2086">
        <f t="shared" si="142"/>
        <v>8760</v>
      </c>
      <c r="LQ118" s="2086">
        <f t="shared" si="142"/>
        <v>8760</v>
      </c>
      <c r="LR118" s="2086">
        <f t="shared" si="142"/>
        <v>8760</v>
      </c>
      <c r="LS118" s="2086">
        <f t="shared" si="142"/>
        <v>8760</v>
      </c>
      <c r="LT118" s="2086">
        <f t="shared" si="142"/>
        <v>8760</v>
      </c>
      <c r="LU118" s="2086">
        <f t="shared" si="142"/>
        <v>8760</v>
      </c>
      <c r="LV118" s="2086">
        <f t="shared" si="142"/>
        <v>8760</v>
      </c>
      <c r="LW118" s="2086">
        <f t="shared" si="142"/>
        <v>8760</v>
      </c>
      <c r="LX118" s="2086">
        <f t="shared" si="142"/>
        <v>8760</v>
      </c>
      <c r="LY118" s="2086">
        <f t="shared" si="142"/>
        <v>8760</v>
      </c>
      <c r="LZ118" s="2086">
        <f t="shared" si="142"/>
        <v>8760</v>
      </c>
      <c r="MA118" s="2086">
        <f t="shared" si="142"/>
        <v>8760</v>
      </c>
      <c r="MB118" s="2086">
        <f t="shared" si="142"/>
        <v>8760</v>
      </c>
      <c r="MC118" s="2086">
        <f t="shared" si="142"/>
        <v>8760</v>
      </c>
      <c r="MD118" s="2086">
        <f t="shared" si="142"/>
        <v>8760</v>
      </c>
      <c r="ME118" s="2086">
        <f t="shared" si="142"/>
        <v>8760</v>
      </c>
      <c r="MF118" s="2086">
        <f t="shared" si="142"/>
        <v>8760</v>
      </c>
      <c r="MG118" s="2086">
        <f t="shared" si="142"/>
        <v>8760</v>
      </c>
      <c r="MH118" s="2086">
        <f t="shared" si="142"/>
        <v>8760</v>
      </c>
      <c r="MI118" s="2086">
        <f t="shared" si="142"/>
        <v>8760</v>
      </c>
      <c r="MJ118" s="2086">
        <f t="shared" si="142"/>
        <v>8760</v>
      </c>
      <c r="MK118" s="2086">
        <f t="shared" si="142"/>
        <v>8760</v>
      </c>
      <c r="ML118" s="2086">
        <f t="shared" si="142"/>
        <v>8760</v>
      </c>
      <c r="MM118" s="2086">
        <f t="shared" si="142"/>
        <v>8760</v>
      </c>
      <c r="MN118" s="2086">
        <f t="shared" si="142"/>
        <v>8760</v>
      </c>
      <c r="MO118" s="2086">
        <f t="shared" si="142"/>
        <v>8760</v>
      </c>
      <c r="MP118" s="2086">
        <f t="shared" si="142"/>
        <v>8760</v>
      </c>
      <c r="MQ118" s="2086">
        <f t="shared" si="142"/>
        <v>8760</v>
      </c>
      <c r="MR118" s="2086">
        <f t="shared" si="142"/>
        <v>8760</v>
      </c>
      <c r="MS118" s="2086">
        <f t="shared" si="142"/>
        <v>8760</v>
      </c>
      <c r="MT118" s="2086">
        <f t="shared" si="142"/>
        <v>8760</v>
      </c>
      <c r="MU118" s="2086">
        <f t="shared" si="142"/>
        <v>8760</v>
      </c>
      <c r="MV118" s="2086">
        <f t="shared" si="142"/>
        <v>8760</v>
      </c>
      <c r="MW118" s="2086">
        <f t="shared" si="142"/>
        <v>8760</v>
      </c>
      <c r="MX118" s="2086">
        <f t="shared" si="142"/>
        <v>8760</v>
      </c>
      <c r="MY118" s="2086">
        <f t="shared" si="142"/>
        <v>8760</v>
      </c>
      <c r="MZ118" s="2086">
        <f t="shared" si="142"/>
        <v>8760</v>
      </c>
      <c r="NA118" s="2086">
        <f t="shared" si="142"/>
        <v>8760</v>
      </c>
      <c r="NB118" s="2086">
        <f t="shared" si="142"/>
        <v>8760</v>
      </c>
      <c r="NC118" s="2086">
        <f t="shared" si="142"/>
        <v>8760</v>
      </c>
      <c r="ND118" s="2086">
        <f t="shared" si="142"/>
        <v>8760</v>
      </c>
      <c r="NE118" s="2086">
        <f t="shared" si="142"/>
        <v>8760</v>
      </c>
      <c r="NF118" s="2086">
        <f t="shared" si="142"/>
        <v>8760</v>
      </c>
      <c r="NG118" s="2086">
        <f t="shared" si="142"/>
        <v>8760</v>
      </c>
      <c r="NH118" s="2086">
        <f t="shared" si="142"/>
        <v>8760</v>
      </c>
      <c r="NI118" s="2086">
        <f t="shared" si="142"/>
        <v>8760</v>
      </c>
      <c r="NJ118" s="2086">
        <f t="shared" si="142"/>
        <v>8760</v>
      </c>
      <c r="NK118" s="2086">
        <f t="shared" si="142"/>
        <v>8760</v>
      </c>
      <c r="NL118" s="2086">
        <f t="shared" si="142"/>
        <v>8760</v>
      </c>
      <c r="NM118" s="2086">
        <f t="shared" si="142"/>
        <v>8760</v>
      </c>
      <c r="NN118" s="2086">
        <f t="shared" si="142"/>
        <v>8760</v>
      </c>
      <c r="NO118" s="2086">
        <f t="shared" si="142"/>
        <v>8760</v>
      </c>
      <c r="NP118" s="2086">
        <f t="shared" si="142"/>
        <v>8760</v>
      </c>
      <c r="NQ118" s="2086">
        <f t="shared" si="142"/>
        <v>8760</v>
      </c>
      <c r="NR118" s="2086">
        <f t="shared" si="142"/>
        <v>8760</v>
      </c>
      <c r="NS118" s="2086">
        <f t="shared" si="142"/>
        <v>8760</v>
      </c>
      <c r="NT118" s="2086">
        <f t="shared" si="142"/>
        <v>8760</v>
      </c>
      <c r="NU118" s="2086">
        <f t="shared" si="142"/>
        <v>8760</v>
      </c>
      <c r="NV118" s="2086">
        <f t="shared" si="142"/>
        <v>8760</v>
      </c>
      <c r="NW118" s="2086">
        <f t="shared" si="142"/>
        <v>8760</v>
      </c>
      <c r="NX118" s="2086">
        <f t="shared" si="142"/>
        <v>8760</v>
      </c>
      <c r="NY118" s="2086">
        <f t="shared" si="142"/>
        <v>8760</v>
      </c>
      <c r="NZ118" s="2086">
        <f t="shared" si="142"/>
        <v>8760</v>
      </c>
      <c r="OA118" s="2086">
        <f t="shared" ref="OA118:QL118" si="143">IF(OA116&gt;OA117,OA116,IF(OA117&gt;OA116,OA117))</f>
        <v>8760</v>
      </c>
      <c r="OB118" s="2086">
        <f t="shared" si="143"/>
        <v>8760</v>
      </c>
      <c r="OC118" s="2086">
        <f t="shared" si="143"/>
        <v>8760</v>
      </c>
      <c r="OD118" s="2086">
        <f t="shared" si="143"/>
        <v>8760</v>
      </c>
      <c r="OE118" s="2086">
        <f t="shared" si="143"/>
        <v>8760</v>
      </c>
      <c r="OF118" s="2086">
        <f t="shared" si="143"/>
        <v>8760</v>
      </c>
      <c r="OG118" s="2086">
        <f t="shared" si="143"/>
        <v>8760</v>
      </c>
      <c r="OH118" s="2086">
        <f t="shared" si="143"/>
        <v>8760</v>
      </c>
      <c r="OI118" s="2086">
        <f t="shared" si="143"/>
        <v>8760</v>
      </c>
      <c r="OJ118" s="2086">
        <f t="shared" si="143"/>
        <v>8760</v>
      </c>
      <c r="OK118" s="2086">
        <f t="shared" si="143"/>
        <v>8760</v>
      </c>
      <c r="OL118" s="2086">
        <f t="shared" si="143"/>
        <v>8760</v>
      </c>
      <c r="OM118" s="2086">
        <f t="shared" si="143"/>
        <v>8760</v>
      </c>
      <c r="ON118" s="2086">
        <f t="shared" si="143"/>
        <v>8760</v>
      </c>
      <c r="OO118" s="2086">
        <f t="shared" si="143"/>
        <v>8760</v>
      </c>
      <c r="OP118" s="2086">
        <f t="shared" si="143"/>
        <v>8760</v>
      </c>
      <c r="OQ118" s="2086">
        <f t="shared" si="143"/>
        <v>8760</v>
      </c>
      <c r="OR118" s="2086">
        <f t="shared" si="143"/>
        <v>8760</v>
      </c>
      <c r="OS118" s="2086">
        <f t="shared" si="143"/>
        <v>8760</v>
      </c>
      <c r="OT118" s="2086">
        <f t="shared" si="143"/>
        <v>8760</v>
      </c>
      <c r="OU118" s="2086">
        <f t="shared" si="143"/>
        <v>8760</v>
      </c>
      <c r="OV118" s="2086">
        <f t="shared" si="143"/>
        <v>8760</v>
      </c>
      <c r="OW118" s="2086">
        <f t="shared" si="143"/>
        <v>8760</v>
      </c>
      <c r="OX118" s="2086">
        <f t="shared" si="143"/>
        <v>8760</v>
      </c>
      <c r="OY118" s="2086">
        <f t="shared" si="143"/>
        <v>8760</v>
      </c>
      <c r="OZ118" s="2086">
        <f t="shared" si="143"/>
        <v>8760</v>
      </c>
      <c r="PA118" s="2086">
        <f t="shared" si="143"/>
        <v>8760</v>
      </c>
      <c r="PB118" s="2086">
        <f t="shared" si="143"/>
        <v>8760</v>
      </c>
      <c r="PC118" s="2086">
        <f t="shared" si="143"/>
        <v>8760</v>
      </c>
      <c r="PD118" s="2086">
        <f t="shared" si="143"/>
        <v>8760</v>
      </c>
      <c r="PE118" s="2086">
        <f t="shared" si="143"/>
        <v>8760</v>
      </c>
      <c r="PF118" s="2086">
        <f t="shared" si="143"/>
        <v>8760</v>
      </c>
      <c r="PG118" s="2086">
        <f t="shared" si="143"/>
        <v>8760</v>
      </c>
      <c r="PH118" s="2086">
        <f t="shared" si="143"/>
        <v>8760</v>
      </c>
      <c r="PI118" s="2086">
        <f t="shared" si="143"/>
        <v>8760</v>
      </c>
      <c r="PJ118" s="2086">
        <f t="shared" si="143"/>
        <v>8760</v>
      </c>
      <c r="PK118" s="2086">
        <f t="shared" si="143"/>
        <v>8760</v>
      </c>
      <c r="PL118" s="2086">
        <f t="shared" si="143"/>
        <v>8760</v>
      </c>
      <c r="PM118" s="2086">
        <f t="shared" si="143"/>
        <v>8760</v>
      </c>
      <c r="PN118" s="2086">
        <f t="shared" si="143"/>
        <v>8760</v>
      </c>
      <c r="PO118" s="2086">
        <f t="shared" si="143"/>
        <v>8760</v>
      </c>
      <c r="PP118" s="2086">
        <f t="shared" si="143"/>
        <v>8760</v>
      </c>
      <c r="PQ118" s="2086">
        <f t="shared" si="143"/>
        <v>8760</v>
      </c>
      <c r="PR118" s="2086">
        <f t="shared" si="143"/>
        <v>8760</v>
      </c>
      <c r="PS118" s="2086">
        <f t="shared" si="143"/>
        <v>8760</v>
      </c>
      <c r="PT118" s="2086">
        <f t="shared" si="143"/>
        <v>8760</v>
      </c>
      <c r="PU118" s="2086">
        <f t="shared" si="143"/>
        <v>8760</v>
      </c>
      <c r="PV118" s="2086">
        <f t="shared" si="143"/>
        <v>8760</v>
      </c>
      <c r="PW118" s="2086">
        <f t="shared" si="143"/>
        <v>8760</v>
      </c>
      <c r="PX118" s="2086">
        <f t="shared" si="143"/>
        <v>8760</v>
      </c>
      <c r="PY118" s="2086">
        <f t="shared" si="143"/>
        <v>8760</v>
      </c>
      <c r="PZ118" s="2086">
        <f t="shared" si="143"/>
        <v>8760</v>
      </c>
      <c r="QA118" s="2086">
        <f t="shared" si="143"/>
        <v>8760</v>
      </c>
      <c r="QB118" s="2086">
        <f t="shared" si="143"/>
        <v>8760</v>
      </c>
      <c r="QC118" s="2086">
        <f t="shared" si="143"/>
        <v>8760</v>
      </c>
      <c r="QD118" s="2086">
        <f t="shared" si="143"/>
        <v>8760</v>
      </c>
      <c r="QE118" s="2086">
        <f t="shared" si="143"/>
        <v>8760</v>
      </c>
      <c r="QF118" s="2086">
        <f t="shared" si="143"/>
        <v>8760</v>
      </c>
      <c r="QG118" s="2086">
        <f t="shared" si="143"/>
        <v>8760</v>
      </c>
      <c r="QH118" s="2086">
        <f t="shared" si="143"/>
        <v>8760</v>
      </c>
      <c r="QI118" s="2086">
        <f t="shared" si="143"/>
        <v>8760</v>
      </c>
      <c r="QJ118" s="2086">
        <f t="shared" si="143"/>
        <v>8760</v>
      </c>
      <c r="QK118" s="2086">
        <f t="shared" si="143"/>
        <v>8760</v>
      </c>
      <c r="QL118" s="2086">
        <f t="shared" si="143"/>
        <v>8760</v>
      </c>
      <c r="QM118" s="2086">
        <f t="shared" ref="QM118:SX118" si="144">IF(QM116&gt;QM117,QM116,IF(QM117&gt;QM116,QM117))</f>
        <v>8760</v>
      </c>
      <c r="QN118" s="2086">
        <f t="shared" si="144"/>
        <v>8760</v>
      </c>
      <c r="QO118" s="2086">
        <f t="shared" si="144"/>
        <v>8760</v>
      </c>
      <c r="QP118" s="2086">
        <f t="shared" si="144"/>
        <v>8760</v>
      </c>
      <c r="QQ118" s="2086">
        <f t="shared" si="144"/>
        <v>8760</v>
      </c>
      <c r="QR118" s="2086">
        <f t="shared" si="144"/>
        <v>8760</v>
      </c>
      <c r="QS118" s="2086">
        <f t="shared" si="144"/>
        <v>8760</v>
      </c>
      <c r="QT118" s="2086">
        <f t="shared" si="144"/>
        <v>8760</v>
      </c>
      <c r="QU118" s="2086">
        <f t="shared" si="144"/>
        <v>8760</v>
      </c>
      <c r="QV118" s="2086">
        <f t="shared" si="144"/>
        <v>8760</v>
      </c>
      <c r="QW118" s="2086">
        <f t="shared" si="144"/>
        <v>8760</v>
      </c>
      <c r="QX118" s="2086">
        <f t="shared" si="144"/>
        <v>8760</v>
      </c>
      <c r="QY118" s="2086">
        <f t="shared" si="144"/>
        <v>8760</v>
      </c>
      <c r="QZ118" s="2086">
        <f t="shared" si="144"/>
        <v>8760</v>
      </c>
      <c r="RA118" s="2086">
        <f t="shared" si="144"/>
        <v>8760</v>
      </c>
      <c r="RB118" s="2086">
        <f t="shared" si="144"/>
        <v>8760</v>
      </c>
      <c r="RC118" s="2086">
        <f t="shared" si="144"/>
        <v>8760</v>
      </c>
      <c r="RD118" s="2086">
        <f t="shared" si="144"/>
        <v>8760</v>
      </c>
      <c r="RE118" s="2086">
        <f t="shared" si="144"/>
        <v>8760</v>
      </c>
      <c r="RF118" s="2086">
        <f t="shared" si="144"/>
        <v>8760</v>
      </c>
      <c r="RG118" s="2086">
        <f t="shared" si="144"/>
        <v>8760</v>
      </c>
      <c r="RH118" s="2086">
        <f t="shared" si="144"/>
        <v>8760</v>
      </c>
      <c r="RI118" s="2086">
        <f t="shared" si="144"/>
        <v>8760</v>
      </c>
      <c r="RJ118" s="2086">
        <f t="shared" si="144"/>
        <v>8760</v>
      </c>
      <c r="RK118" s="2086">
        <f t="shared" si="144"/>
        <v>8760</v>
      </c>
      <c r="RL118" s="2086">
        <f t="shared" si="144"/>
        <v>8760</v>
      </c>
      <c r="RM118" s="2086">
        <f t="shared" si="144"/>
        <v>8760</v>
      </c>
      <c r="RN118" s="2086">
        <f t="shared" si="144"/>
        <v>8760</v>
      </c>
      <c r="RO118" s="2086">
        <f t="shared" si="144"/>
        <v>8760</v>
      </c>
      <c r="RP118" s="2086">
        <f t="shared" si="144"/>
        <v>8760</v>
      </c>
      <c r="RQ118" s="2086">
        <f t="shared" si="144"/>
        <v>8760</v>
      </c>
      <c r="RR118" s="2086">
        <f t="shared" si="144"/>
        <v>8760</v>
      </c>
      <c r="RS118" s="2086">
        <f t="shared" si="144"/>
        <v>8760</v>
      </c>
      <c r="RT118" s="2086">
        <f t="shared" si="144"/>
        <v>8760</v>
      </c>
      <c r="RU118" s="2086">
        <f t="shared" si="144"/>
        <v>8760</v>
      </c>
      <c r="RV118" s="2086">
        <f t="shared" si="144"/>
        <v>8760</v>
      </c>
      <c r="RW118" s="2086">
        <f t="shared" si="144"/>
        <v>8760</v>
      </c>
      <c r="RX118" s="2086">
        <f t="shared" si="144"/>
        <v>8760</v>
      </c>
      <c r="RY118" s="2086">
        <f t="shared" si="144"/>
        <v>8760</v>
      </c>
      <c r="RZ118" s="2086">
        <f t="shared" si="144"/>
        <v>8760</v>
      </c>
      <c r="SA118" s="2086">
        <f t="shared" si="144"/>
        <v>8760</v>
      </c>
      <c r="SB118" s="2086">
        <f t="shared" si="144"/>
        <v>8760</v>
      </c>
      <c r="SC118" s="2086">
        <f t="shared" si="144"/>
        <v>8760</v>
      </c>
      <c r="SD118" s="2086">
        <f t="shared" si="144"/>
        <v>8760</v>
      </c>
      <c r="SE118" s="2086">
        <f t="shared" si="144"/>
        <v>8760</v>
      </c>
      <c r="SF118" s="2086">
        <f t="shared" si="144"/>
        <v>8760</v>
      </c>
      <c r="SG118" s="2086">
        <f t="shared" si="144"/>
        <v>8760</v>
      </c>
      <c r="SH118" s="2086">
        <f t="shared" si="144"/>
        <v>8760</v>
      </c>
      <c r="SI118" s="2086">
        <f t="shared" si="144"/>
        <v>8760</v>
      </c>
      <c r="SJ118" s="2086">
        <f t="shared" si="144"/>
        <v>8760</v>
      </c>
      <c r="SK118" s="2086">
        <f t="shared" si="144"/>
        <v>8760</v>
      </c>
      <c r="SL118" s="2086">
        <f t="shared" si="144"/>
        <v>8760</v>
      </c>
      <c r="SM118" s="2086">
        <f t="shared" si="144"/>
        <v>8760</v>
      </c>
      <c r="SN118" s="2086">
        <f t="shared" si="144"/>
        <v>8760</v>
      </c>
      <c r="SO118" s="2086">
        <f t="shared" si="144"/>
        <v>8760</v>
      </c>
      <c r="SP118" s="2086">
        <f t="shared" si="144"/>
        <v>8760</v>
      </c>
      <c r="SQ118" s="2086">
        <f t="shared" si="144"/>
        <v>8760</v>
      </c>
      <c r="SR118" s="2086">
        <f t="shared" si="144"/>
        <v>8760</v>
      </c>
      <c r="SS118" s="2086">
        <f t="shared" si="144"/>
        <v>8760</v>
      </c>
      <c r="ST118" s="2086">
        <f t="shared" si="144"/>
        <v>8760</v>
      </c>
      <c r="SU118" s="2086">
        <f t="shared" si="144"/>
        <v>8760</v>
      </c>
      <c r="SV118" s="2086">
        <f t="shared" si="144"/>
        <v>8760</v>
      </c>
      <c r="SW118" s="2086">
        <f t="shared" si="144"/>
        <v>8760</v>
      </c>
      <c r="SX118" s="2086">
        <f t="shared" si="144"/>
        <v>8760</v>
      </c>
      <c r="SY118" s="2086">
        <f t="shared" ref="SY118:VJ118" si="145">IF(SY116&gt;SY117,SY116,IF(SY117&gt;SY116,SY117))</f>
        <v>8760</v>
      </c>
      <c r="SZ118" s="2086">
        <f t="shared" si="145"/>
        <v>8760</v>
      </c>
      <c r="TA118" s="2086">
        <f t="shared" si="145"/>
        <v>8760</v>
      </c>
      <c r="TB118" s="2086">
        <f t="shared" si="145"/>
        <v>8760</v>
      </c>
      <c r="TC118" s="2086">
        <f t="shared" si="145"/>
        <v>8760</v>
      </c>
      <c r="TD118" s="2086">
        <f t="shared" si="145"/>
        <v>8760</v>
      </c>
      <c r="TE118" s="2086">
        <f t="shared" si="145"/>
        <v>8760</v>
      </c>
      <c r="TF118" s="2086">
        <f t="shared" si="145"/>
        <v>8760</v>
      </c>
      <c r="TG118" s="2086">
        <f t="shared" si="145"/>
        <v>8760</v>
      </c>
      <c r="TH118" s="2086">
        <f t="shared" si="145"/>
        <v>8760</v>
      </c>
      <c r="TI118" s="2086">
        <f t="shared" si="145"/>
        <v>8760</v>
      </c>
      <c r="TJ118" s="2086">
        <f t="shared" si="145"/>
        <v>8760</v>
      </c>
      <c r="TK118" s="2086">
        <f t="shared" si="145"/>
        <v>8760</v>
      </c>
      <c r="TL118" s="2086">
        <f t="shared" si="145"/>
        <v>8760</v>
      </c>
      <c r="TM118" s="2086">
        <f t="shared" si="145"/>
        <v>8760</v>
      </c>
      <c r="TN118" s="2086">
        <f t="shared" si="145"/>
        <v>8760</v>
      </c>
      <c r="TO118" s="2086">
        <f t="shared" si="145"/>
        <v>8760</v>
      </c>
      <c r="TP118" s="2086">
        <f t="shared" si="145"/>
        <v>8760</v>
      </c>
      <c r="TQ118" s="2086">
        <f t="shared" si="145"/>
        <v>8760</v>
      </c>
      <c r="TR118" s="2086">
        <f t="shared" si="145"/>
        <v>8760</v>
      </c>
      <c r="TS118" s="2086">
        <f t="shared" si="145"/>
        <v>8760</v>
      </c>
      <c r="TT118" s="2086">
        <f t="shared" si="145"/>
        <v>8760</v>
      </c>
      <c r="TU118" s="2086">
        <f t="shared" si="145"/>
        <v>8760</v>
      </c>
      <c r="TV118" s="2086">
        <f t="shared" si="145"/>
        <v>8760</v>
      </c>
      <c r="TW118" s="2086">
        <f t="shared" si="145"/>
        <v>8760</v>
      </c>
      <c r="TX118" s="2086">
        <f t="shared" si="145"/>
        <v>8760</v>
      </c>
      <c r="TY118" s="2086">
        <f t="shared" si="145"/>
        <v>8760</v>
      </c>
      <c r="TZ118" s="2086">
        <f t="shared" si="145"/>
        <v>8760</v>
      </c>
      <c r="UA118" s="2086">
        <f t="shared" si="145"/>
        <v>8760</v>
      </c>
      <c r="UB118" s="2086">
        <f t="shared" si="145"/>
        <v>8760</v>
      </c>
      <c r="UC118" s="2086">
        <f t="shared" si="145"/>
        <v>8760</v>
      </c>
      <c r="UD118" s="2086">
        <f t="shared" si="145"/>
        <v>8760</v>
      </c>
      <c r="UE118" s="2086">
        <f t="shared" si="145"/>
        <v>8760</v>
      </c>
      <c r="UF118" s="2086">
        <f t="shared" si="145"/>
        <v>8760</v>
      </c>
      <c r="UG118" s="2086">
        <f t="shared" si="145"/>
        <v>8760</v>
      </c>
      <c r="UH118" s="2086">
        <f t="shared" si="145"/>
        <v>8760</v>
      </c>
      <c r="UI118" s="2086">
        <f t="shared" si="145"/>
        <v>8760</v>
      </c>
      <c r="UJ118" s="2086">
        <f t="shared" si="145"/>
        <v>8760</v>
      </c>
      <c r="UK118" s="2086">
        <f t="shared" si="145"/>
        <v>8760</v>
      </c>
      <c r="UL118" s="2086">
        <f t="shared" si="145"/>
        <v>8760</v>
      </c>
      <c r="UM118" s="2086">
        <f t="shared" si="145"/>
        <v>8760</v>
      </c>
      <c r="UN118" s="2086">
        <f t="shared" si="145"/>
        <v>8760</v>
      </c>
      <c r="UO118" s="2086">
        <f t="shared" si="145"/>
        <v>8760</v>
      </c>
      <c r="UP118" s="2086">
        <f t="shared" si="145"/>
        <v>8760</v>
      </c>
      <c r="UQ118" s="2086">
        <f t="shared" si="145"/>
        <v>8760</v>
      </c>
      <c r="UR118" s="2086">
        <f t="shared" si="145"/>
        <v>8760</v>
      </c>
      <c r="US118" s="2086">
        <f t="shared" si="145"/>
        <v>8760</v>
      </c>
      <c r="UT118" s="2086">
        <f t="shared" si="145"/>
        <v>8760</v>
      </c>
      <c r="UU118" s="2086">
        <f t="shared" si="145"/>
        <v>8760</v>
      </c>
      <c r="UV118" s="2086">
        <f t="shared" si="145"/>
        <v>8760</v>
      </c>
      <c r="UW118" s="2086">
        <f t="shared" si="145"/>
        <v>8760</v>
      </c>
      <c r="UX118" s="2086">
        <f t="shared" si="145"/>
        <v>8760</v>
      </c>
      <c r="UY118" s="2086">
        <f t="shared" si="145"/>
        <v>8760</v>
      </c>
      <c r="UZ118" s="2086">
        <f t="shared" si="145"/>
        <v>8760</v>
      </c>
      <c r="VA118" s="2086">
        <f t="shared" si="145"/>
        <v>8760</v>
      </c>
      <c r="VB118" s="2086">
        <f t="shared" si="145"/>
        <v>8760</v>
      </c>
      <c r="VC118" s="2086">
        <f t="shared" si="145"/>
        <v>8760</v>
      </c>
      <c r="VD118" s="2086">
        <f t="shared" si="145"/>
        <v>8760</v>
      </c>
      <c r="VE118" s="2086">
        <f t="shared" si="145"/>
        <v>8760</v>
      </c>
      <c r="VF118" s="2086">
        <f t="shared" si="145"/>
        <v>8760</v>
      </c>
      <c r="VG118" s="2086">
        <f t="shared" si="145"/>
        <v>8760</v>
      </c>
      <c r="VH118" s="2086">
        <f t="shared" si="145"/>
        <v>8760</v>
      </c>
      <c r="VI118" s="2086">
        <f t="shared" si="145"/>
        <v>8760</v>
      </c>
      <c r="VJ118" s="2086">
        <f t="shared" si="145"/>
        <v>8760</v>
      </c>
      <c r="VK118" s="2087">
        <f>IF(VK116&gt;VK117,VK116,IF(VK117&gt;VK116,VK117))</f>
        <v>8760</v>
      </c>
    </row>
    <row r="119" spans="1:583" s="2075" customFormat="1" x14ac:dyDescent="0.25">
      <c r="A119" s="2075" t="s">
        <v>3831</v>
      </c>
      <c r="B119" s="4709" t="s">
        <v>2940</v>
      </c>
      <c r="C119" s="4709"/>
      <c r="D119" s="4709" t="s">
        <v>2940</v>
      </c>
      <c r="E119" s="4709"/>
      <c r="F119" s="2078"/>
      <c r="G119" s="2078"/>
      <c r="H119" s="2078"/>
      <c r="I119" s="1574"/>
      <c r="J119" s="1574"/>
      <c r="K119" s="1574"/>
      <c r="L119" s="1574"/>
      <c r="M119" s="1574"/>
      <c r="N119" s="1574"/>
      <c r="O119" s="1574"/>
      <c r="P119" s="1574"/>
      <c r="Q119" s="1574"/>
      <c r="R119" s="1574"/>
      <c r="S119" s="1574"/>
      <c r="T119" s="1574"/>
      <c r="U119" s="1574"/>
      <c r="V119" s="1574"/>
      <c r="W119" s="1574"/>
      <c r="X119" s="1574"/>
      <c r="Y119" s="1574"/>
      <c r="Z119" s="1574"/>
      <c r="AA119" s="1574"/>
      <c r="AB119" s="1574"/>
      <c r="AC119" s="1574"/>
      <c r="AD119" s="1574"/>
      <c r="AE119" s="1574"/>
      <c r="AF119" s="1574"/>
      <c r="AG119" s="1574"/>
      <c r="AH119" s="1574"/>
      <c r="AI119" s="1574"/>
      <c r="AJ119" s="1574"/>
      <c r="AK119" s="1574"/>
      <c r="AL119" s="1574"/>
      <c r="AM119" s="1574"/>
      <c r="AN119" s="1574"/>
      <c r="AO119" s="1574"/>
      <c r="AP119" s="1574"/>
      <c r="AQ119" s="1574"/>
      <c r="AR119" s="1574"/>
      <c r="AS119" s="1574"/>
      <c r="AT119" s="1574"/>
      <c r="AU119" s="1574"/>
      <c r="AV119" s="1574"/>
      <c r="AW119" s="1574"/>
      <c r="AX119" s="1574"/>
      <c r="AY119" s="1574"/>
      <c r="AZ119" s="1574"/>
      <c r="BA119" s="1574"/>
      <c r="BB119" s="1574"/>
      <c r="BC119" s="1574"/>
      <c r="BD119" s="1574"/>
      <c r="BE119" s="1574"/>
      <c r="BF119" s="1574"/>
      <c r="BG119" s="1574"/>
      <c r="BH119" s="1574"/>
      <c r="BI119" s="1574"/>
      <c r="BJ119" s="1574"/>
      <c r="BK119" s="1574"/>
      <c r="BL119" s="1574"/>
      <c r="BM119" s="1574"/>
      <c r="BN119" s="1574"/>
      <c r="BO119" s="1574"/>
      <c r="BP119" s="1574"/>
      <c r="BQ119" s="1574"/>
      <c r="BR119" s="1574"/>
      <c r="BS119" s="1574"/>
      <c r="BT119" s="1574"/>
      <c r="BU119" s="1574"/>
      <c r="BV119" s="1574"/>
      <c r="BW119" s="1574"/>
      <c r="BX119" s="1574"/>
      <c r="BY119" s="1574"/>
      <c r="BZ119" s="1574"/>
      <c r="CA119" s="1574"/>
      <c r="CB119" s="1574"/>
      <c r="CC119" s="1574"/>
      <c r="CD119" s="1574"/>
      <c r="CE119" s="1574"/>
      <c r="CF119" s="1574"/>
      <c r="CG119" s="1574"/>
      <c r="CH119" s="1574"/>
      <c r="CI119" s="1574"/>
      <c r="CJ119" s="1574"/>
      <c r="CK119" s="1574"/>
      <c r="CL119" s="1574"/>
      <c r="CM119" s="1574"/>
      <c r="CN119" s="1574"/>
      <c r="CO119" s="1574"/>
      <c r="CP119" s="1574"/>
      <c r="CQ119" s="1574"/>
      <c r="CR119" s="1574"/>
      <c r="CS119" s="1574"/>
      <c r="CT119" s="1574"/>
      <c r="CU119" s="1574"/>
      <c r="CV119" s="1574"/>
      <c r="CW119" s="1574"/>
      <c r="CX119" s="1574"/>
      <c r="CY119" s="1574"/>
      <c r="CZ119" s="1574"/>
      <c r="DA119" s="1574"/>
      <c r="DB119" s="1574"/>
      <c r="DC119" s="1574"/>
      <c r="DD119" s="1574"/>
      <c r="DE119" s="1574"/>
      <c r="DF119" s="1574"/>
      <c r="DG119" s="1574"/>
      <c r="DH119" s="1574"/>
      <c r="DI119" s="1574"/>
      <c r="DJ119" s="1574"/>
      <c r="DK119" s="1574"/>
      <c r="DL119" s="1574"/>
      <c r="DM119" s="1574"/>
      <c r="DN119" s="1574"/>
      <c r="DO119" s="1574"/>
      <c r="DP119" s="1574"/>
      <c r="DQ119" s="1574"/>
      <c r="DR119" s="1574"/>
      <c r="DS119" s="1574"/>
      <c r="DT119" s="1574"/>
      <c r="DU119" s="1574"/>
      <c r="DV119" s="1574"/>
      <c r="DW119" s="1574"/>
      <c r="DX119" s="1574"/>
      <c r="DY119" s="1574"/>
      <c r="DZ119" s="1574"/>
      <c r="EA119" s="1574"/>
      <c r="EB119" s="1574"/>
      <c r="EC119" s="1574"/>
      <c r="ED119" s="1574"/>
      <c r="EE119" s="1574"/>
      <c r="EF119" s="1574"/>
      <c r="EG119" s="1574"/>
      <c r="EH119" s="1574"/>
      <c r="EI119" s="1574"/>
      <c r="EJ119" s="1574"/>
      <c r="EK119" s="1574"/>
      <c r="EL119" s="1574"/>
      <c r="EM119" s="1574"/>
      <c r="EN119" s="1574"/>
      <c r="EO119" s="1574"/>
      <c r="EP119" s="1574"/>
      <c r="EQ119" s="1574"/>
      <c r="ER119" s="1574"/>
      <c r="ES119" s="1574"/>
      <c r="ET119" s="1574"/>
      <c r="EU119" s="1574"/>
      <c r="EV119" s="1574"/>
      <c r="EW119" s="1574"/>
      <c r="EX119" s="1574"/>
      <c r="EY119" s="1574"/>
      <c r="EZ119" s="1574"/>
      <c r="FA119" s="1574"/>
      <c r="FB119" s="1574"/>
      <c r="FC119" s="1574"/>
      <c r="FD119" s="1574"/>
      <c r="FE119" s="1574"/>
      <c r="FF119" s="1574"/>
      <c r="FG119" s="1574"/>
      <c r="FH119" s="1574"/>
      <c r="FI119" s="1574"/>
      <c r="FJ119" s="1574"/>
      <c r="FK119" s="1574"/>
      <c r="FL119" s="1574"/>
      <c r="FM119" s="1574"/>
      <c r="FN119" s="1574"/>
      <c r="FO119" s="1574"/>
      <c r="FP119" s="1574"/>
      <c r="FQ119" s="1574"/>
      <c r="FR119" s="1574"/>
      <c r="FS119" s="1574"/>
      <c r="FT119" s="1574"/>
      <c r="FU119" s="1574"/>
      <c r="FV119" s="1574"/>
      <c r="FW119" s="1574"/>
      <c r="FX119" s="1574"/>
      <c r="FY119" s="1574"/>
      <c r="FZ119" s="1574"/>
      <c r="GA119" s="1574"/>
      <c r="GB119" s="1574"/>
      <c r="GC119" s="1574"/>
      <c r="GD119" s="1574"/>
      <c r="GE119" s="1574"/>
      <c r="GF119" s="1574"/>
      <c r="GG119" s="1574"/>
      <c r="GH119" s="1574"/>
      <c r="GI119" s="1574"/>
      <c r="GJ119" s="1574"/>
      <c r="GK119" s="1574"/>
      <c r="GL119" s="1574"/>
      <c r="GM119" s="1574"/>
      <c r="GN119" s="1574"/>
      <c r="GO119" s="1574"/>
      <c r="GP119" s="1574"/>
      <c r="GQ119" s="1574"/>
      <c r="GR119" s="1574"/>
      <c r="GS119" s="1574"/>
      <c r="GT119" s="1574"/>
      <c r="GU119" s="1574"/>
      <c r="GV119" s="1574"/>
      <c r="GW119" s="1574"/>
      <c r="GX119" s="1574"/>
      <c r="GY119" s="1574"/>
      <c r="GZ119" s="1574"/>
      <c r="HA119" s="1574"/>
      <c r="HB119" s="1574"/>
      <c r="HC119" s="1574"/>
      <c r="HD119" s="1574"/>
      <c r="HE119" s="1574"/>
      <c r="HF119" s="1574"/>
      <c r="HG119" s="1574"/>
      <c r="HH119" s="1574"/>
      <c r="HI119" s="1574"/>
      <c r="HJ119" s="1574"/>
      <c r="HK119" s="1574"/>
      <c r="HL119" s="1574"/>
      <c r="HM119" s="1574"/>
      <c r="HN119" s="1574"/>
      <c r="HO119" s="1574"/>
      <c r="HP119" s="1574"/>
      <c r="HQ119" s="1574"/>
      <c r="HR119" s="1574"/>
      <c r="HS119" s="1574"/>
      <c r="HT119" s="1574"/>
      <c r="HU119" s="1574"/>
      <c r="HV119" s="1574"/>
      <c r="HW119" s="1574"/>
      <c r="HX119" s="1574"/>
      <c r="HY119" s="1574"/>
      <c r="HZ119" s="1574"/>
      <c r="IA119" s="1574"/>
      <c r="IB119" s="1574"/>
      <c r="IC119" s="1574"/>
      <c r="ID119" s="1574"/>
      <c r="IE119" s="1574"/>
      <c r="IF119" s="1574"/>
      <c r="IG119" s="1574"/>
      <c r="IH119" s="1574"/>
      <c r="II119" s="1574"/>
      <c r="IJ119" s="1574"/>
      <c r="IK119" s="1574"/>
      <c r="IL119" s="1574"/>
      <c r="IM119" s="1574"/>
      <c r="IN119" s="1574"/>
      <c r="IO119" s="1574"/>
      <c r="IP119" s="1574"/>
      <c r="IQ119" s="1574"/>
      <c r="IR119" s="1574"/>
      <c r="IS119" s="1574"/>
      <c r="IT119" s="1574"/>
      <c r="IU119" s="1574"/>
      <c r="IV119" s="1574"/>
      <c r="IW119" s="1574"/>
      <c r="IX119" s="1574"/>
      <c r="IY119" s="1574"/>
      <c r="IZ119" s="1574"/>
      <c r="JA119" s="1574"/>
      <c r="JB119" s="1574"/>
      <c r="JC119" s="1574"/>
      <c r="JD119" s="1574"/>
      <c r="JE119" s="1574"/>
      <c r="JF119" s="1574"/>
      <c r="JG119" s="1574"/>
      <c r="JH119" s="1574"/>
      <c r="JI119" s="1574"/>
      <c r="JJ119" s="1574"/>
      <c r="JK119" s="1574"/>
      <c r="JL119" s="1574"/>
      <c r="JM119" s="1574"/>
      <c r="JN119" s="1574"/>
      <c r="JO119" s="1574"/>
      <c r="JP119" s="1574"/>
      <c r="JQ119" s="1574"/>
      <c r="JR119" s="1574"/>
      <c r="JS119" s="1574"/>
      <c r="JT119" s="1574"/>
      <c r="JU119" s="1574"/>
      <c r="JV119" s="1574"/>
      <c r="JW119" s="1574"/>
      <c r="JX119" s="1574"/>
      <c r="JY119" s="1574"/>
      <c r="JZ119" s="1574"/>
      <c r="KA119" s="1574"/>
      <c r="KB119" s="1574"/>
      <c r="KC119" s="1574"/>
      <c r="KD119" s="1574"/>
      <c r="KE119" s="1574"/>
      <c r="KF119" s="1574"/>
      <c r="KG119" s="1574"/>
      <c r="KH119" s="1574"/>
      <c r="KI119" s="1574"/>
      <c r="KJ119" s="1574"/>
      <c r="KK119" s="1574"/>
      <c r="KL119" s="1574"/>
      <c r="KM119" s="1574"/>
      <c r="KN119" s="1574"/>
      <c r="KO119" s="1574"/>
      <c r="KP119" s="1574"/>
      <c r="KQ119" s="1574"/>
      <c r="KR119" s="1574"/>
      <c r="KS119" s="1574"/>
      <c r="KT119" s="1574"/>
      <c r="KU119" s="1574"/>
      <c r="KV119" s="1574"/>
      <c r="KW119" s="1574"/>
      <c r="KX119" s="1574"/>
      <c r="KY119" s="1574"/>
      <c r="KZ119" s="1574"/>
      <c r="LA119" s="1574"/>
      <c r="LB119" s="1574"/>
      <c r="LC119" s="1574"/>
      <c r="LD119" s="1574"/>
      <c r="LE119" s="1574"/>
      <c r="LF119" s="1574"/>
      <c r="LG119" s="1574"/>
      <c r="LH119" s="1574"/>
      <c r="LI119" s="1574"/>
      <c r="LJ119" s="1574"/>
      <c r="LK119" s="1574"/>
      <c r="LL119" s="1574"/>
      <c r="LM119" s="1574"/>
      <c r="LN119" s="1574"/>
      <c r="LO119" s="1574"/>
      <c r="LP119" s="1574"/>
      <c r="LQ119" s="1574"/>
      <c r="LR119" s="1574"/>
      <c r="LS119" s="1574"/>
      <c r="LT119" s="1574"/>
      <c r="LU119" s="1574"/>
      <c r="LV119" s="1574"/>
      <c r="LW119" s="1574"/>
      <c r="LX119" s="1574"/>
      <c r="LY119" s="1574"/>
      <c r="LZ119" s="1574"/>
      <c r="MA119" s="1574"/>
      <c r="MB119" s="1574"/>
      <c r="MC119" s="1574"/>
      <c r="MD119" s="1574"/>
      <c r="ME119" s="1574"/>
      <c r="MF119" s="1574"/>
      <c r="MG119" s="1574"/>
      <c r="MH119" s="1574"/>
      <c r="MI119" s="1574"/>
      <c r="MJ119" s="1574"/>
      <c r="MK119" s="1574"/>
      <c r="ML119" s="1574"/>
      <c r="MM119" s="1574"/>
      <c r="MN119" s="1574"/>
      <c r="MO119" s="1574"/>
      <c r="MP119" s="1574"/>
      <c r="MQ119" s="1574"/>
      <c r="MR119" s="1574"/>
      <c r="MS119" s="1574"/>
      <c r="MT119" s="1574"/>
      <c r="MU119" s="1574"/>
      <c r="MV119" s="1574"/>
      <c r="MW119" s="1574"/>
      <c r="MX119" s="1574"/>
      <c r="MY119" s="1574"/>
      <c r="MZ119" s="1574"/>
      <c r="NA119" s="1574"/>
      <c r="NB119" s="1574"/>
      <c r="NC119" s="1574"/>
      <c r="ND119" s="1574"/>
      <c r="NE119" s="1574"/>
      <c r="NF119" s="1574"/>
      <c r="NG119" s="1574"/>
      <c r="NH119" s="1574"/>
      <c r="NI119" s="1574"/>
      <c r="NJ119" s="1574"/>
      <c r="NK119" s="1574"/>
      <c r="NL119" s="1574"/>
      <c r="NM119" s="1574"/>
      <c r="NN119" s="1574"/>
      <c r="NO119" s="1574"/>
      <c r="NP119" s="1574"/>
      <c r="NQ119" s="1574"/>
      <c r="NR119" s="1574"/>
      <c r="NS119" s="1574"/>
      <c r="NT119" s="1574"/>
      <c r="NU119" s="1574"/>
      <c r="NV119" s="1574"/>
      <c r="NW119" s="1574"/>
      <c r="NX119" s="1574"/>
      <c r="NY119" s="1574"/>
      <c r="NZ119" s="1574"/>
      <c r="OA119" s="1574"/>
      <c r="OB119" s="1574"/>
      <c r="OC119" s="1574"/>
      <c r="OD119" s="1574"/>
      <c r="OE119" s="1574"/>
      <c r="OF119" s="1574"/>
      <c r="OG119" s="1574"/>
      <c r="OH119" s="1574"/>
      <c r="OI119" s="1574"/>
      <c r="OJ119" s="1574"/>
      <c r="OK119" s="1574"/>
      <c r="OL119" s="1574"/>
      <c r="OM119" s="1574"/>
      <c r="ON119" s="1574"/>
      <c r="OO119" s="1574"/>
      <c r="OP119" s="1574"/>
      <c r="OQ119" s="1574"/>
      <c r="OR119" s="1574"/>
      <c r="OS119" s="1574"/>
      <c r="OT119" s="1574"/>
      <c r="OU119" s="1574"/>
      <c r="OV119" s="1574"/>
      <c r="OW119" s="1574"/>
      <c r="OX119" s="1574"/>
      <c r="OY119" s="1574"/>
      <c r="OZ119" s="1574"/>
      <c r="PA119" s="1574"/>
      <c r="PB119" s="1574"/>
      <c r="PC119" s="1574"/>
      <c r="PD119" s="1574"/>
      <c r="PE119" s="1574"/>
      <c r="PF119" s="1574"/>
      <c r="PG119" s="1574"/>
      <c r="PH119" s="1574"/>
      <c r="PI119" s="1574"/>
      <c r="PJ119" s="1574"/>
      <c r="PK119" s="1574"/>
      <c r="PL119" s="1574"/>
      <c r="PM119" s="1574"/>
      <c r="PN119" s="1574"/>
      <c r="PO119" s="1574"/>
      <c r="PP119" s="1574"/>
      <c r="PQ119" s="1574"/>
      <c r="PR119" s="1574"/>
      <c r="PS119" s="1574"/>
      <c r="PT119" s="1574"/>
      <c r="PU119" s="1574"/>
      <c r="PV119" s="1574"/>
      <c r="PW119" s="1574"/>
      <c r="PX119" s="1574"/>
      <c r="PY119" s="1574"/>
      <c r="PZ119" s="1574"/>
      <c r="QA119" s="1574"/>
      <c r="QB119" s="1574"/>
      <c r="QC119" s="1574"/>
      <c r="QD119" s="1574"/>
      <c r="QE119" s="1574"/>
      <c r="QF119" s="1574"/>
      <c r="QG119" s="1574"/>
      <c r="QH119" s="1574"/>
      <c r="QI119" s="1574"/>
      <c r="QJ119" s="1574"/>
      <c r="QK119" s="1574"/>
      <c r="QL119" s="1574"/>
      <c r="QM119" s="1574"/>
      <c r="QN119" s="1574"/>
      <c r="QO119" s="1574"/>
      <c r="QP119" s="1574"/>
      <c r="QQ119" s="1574"/>
      <c r="QR119" s="1574"/>
      <c r="QS119" s="1574"/>
      <c r="QT119" s="1574"/>
      <c r="QU119" s="1574"/>
      <c r="QV119" s="1574"/>
      <c r="QW119" s="1574"/>
      <c r="QX119" s="1574"/>
      <c r="QY119" s="1574"/>
      <c r="QZ119" s="1574"/>
      <c r="RA119" s="1574"/>
      <c r="RB119" s="1574"/>
      <c r="RC119" s="1574"/>
      <c r="RD119" s="1574"/>
      <c r="RE119" s="1574"/>
      <c r="RF119" s="1574"/>
      <c r="RG119" s="1574"/>
      <c r="RH119" s="1574"/>
      <c r="RI119" s="1574"/>
      <c r="RJ119" s="1574"/>
      <c r="RK119" s="1574"/>
      <c r="RL119" s="1574"/>
      <c r="RM119" s="1574"/>
      <c r="RN119" s="1574"/>
      <c r="RO119" s="1574"/>
      <c r="RP119" s="1574"/>
      <c r="RQ119" s="1574"/>
      <c r="RR119" s="1574"/>
      <c r="RS119" s="1574"/>
      <c r="RT119" s="1574"/>
      <c r="RU119" s="1574"/>
      <c r="RV119" s="1574"/>
      <c r="RW119" s="1574"/>
      <c r="RX119" s="1574"/>
      <c r="RY119" s="1574"/>
      <c r="RZ119" s="1574"/>
      <c r="SA119" s="1574"/>
      <c r="SB119" s="1574"/>
      <c r="SC119" s="1574"/>
      <c r="SD119" s="1574"/>
      <c r="SE119" s="1574"/>
      <c r="SF119" s="1574"/>
      <c r="SG119" s="1574"/>
      <c r="SH119" s="1574"/>
      <c r="SI119" s="1574"/>
      <c r="SJ119" s="1574"/>
      <c r="SK119" s="1574"/>
      <c r="SL119" s="1574"/>
      <c r="SM119" s="1574"/>
      <c r="SN119" s="1574"/>
      <c r="SO119" s="1574"/>
      <c r="SP119" s="1574"/>
      <c r="SQ119" s="1574"/>
      <c r="SR119" s="1574"/>
      <c r="SS119" s="1574"/>
      <c r="ST119" s="1574"/>
      <c r="SU119" s="1574"/>
      <c r="SV119" s="1574"/>
      <c r="SW119" s="1574"/>
      <c r="SX119" s="1574"/>
      <c r="SY119" s="1574"/>
      <c r="SZ119" s="1574"/>
      <c r="TA119" s="1574"/>
      <c r="TB119" s="1574"/>
      <c r="TC119" s="1574"/>
      <c r="TD119" s="1574"/>
      <c r="TE119" s="1574"/>
      <c r="TF119" s="1574"/>
      <c r="TG119" s="1574"/>
      <c r="TH119" s="1574"/>
      <c r="TI119" s="1574"/>
      <c r="TJ119" s="1574"/>
      <c r="TK119" s="1574"/>
      <c r="TL119" s="1574"/>
      <c r="TM119" s="1574"/>
      <c r="TN119" s="1574"/>
      <c r="TO119" s="1574"/>
      <c r="TP119" s="1574"/>
      <c r="TQ119" s="1574"/>
      <c r="TR119" s="1574"/>
      <c r="TS119" s="1574"/>
      <c r="TT119" s="1574"/>
      <c r="TU119" s="1574"/>
      <c r="TV119" s="1574"/>
      <c r="TW119" s="1574"/>
      <c r="TX119" s="1574"/>
      <c r="TY119" s="1574"/>
      <c r="TZ119" s="1574"/>
      <c r="UA119" s="1574"/>
      <c r="UB119" s="1574"/>
      <c r="UC119" s="1574"/>
      <c r="UD119" s="1574"/>
      <c r="UE119" s="1574"/>
      <c r="UF119" s="1574"/>
      <c r="UG119" s="1574"/>
      <c r="UH119" s="1574"/>
      <c r="UI119" s="1574"/>
      <c r="UJ119" s="1574"/>
      <c r="UK119" s="1574"/>
      <c r="UL119" s="1574"/>
      <c r="UM119" s="1574"/>
      <c r="UN119" s="1574"/>
      <c r="UO119" s="1574"/>
      <c r="UP119" s="1574"/>
      <c r="UQ119" s="1574"/>
      <c r="UR119" s="1574"/>
      <c r="US119" s="1574"/>
      <c r="UT119" s="1574"/>
      <c r="UU119" s="1574"/>
      <c r="UV119" s="1574"/>
      <c r="UW119" s="1574"/>
      <c r="UX119" s="1574"/>
      <c r="UY119" s="1574"/>
      <c r="UZ119" s="1574"/>
      <c r="VA119" s="1574"/>
      <c r="VB119" s="1574"/>
      <c r="VC119" s="1574"/>
      <c r="VD119" s="1574"/>
      <c r="VE119" s="1574"/>
      <c r="VF119" s="1574"/>
      <c r="VG119" s="1574"/>
      <c r="VH119" s="1574"/>
      <c r="VI119" s="1574"/>
      <c r="VJ119" s="1574"/>
      <c r="VK119" s="1574"/>
    </row>
    <row r="120" spans="1:583" x14ac:dyDescent="0.25">
      <c r="B120" s="1610" t="s">
        <v>427</v>
      </c>
      <c r="C120" s="1582" t="s">
        <v>1347</v>
      </c>
      <c r="D120" s="4710" t="s">
        <v>2817</v>
      </c>
      <c r="E120" s="4710">
        <v>0</v>
      </c>
      <c r="F120" s="1912" t="e">
        <f>'Paso 1.1'!E99*Tiempos!$H$95</f>
        <v>#DIV/0!</v>
      </c>
      <c r="G120" s="1912" t="e">
        <f>'Paso 1.1'!F99*Tiempos!$H$95</f>
        <v>#DIV/0!</v>
      </c>
      <c r="H120" s="1912" t="e">
        <f>'Paso 1.1'!G99*Tiempos!$H$95</f>
        <v>#DIV/0!</v>
      </c>
      <c r="I120" s="1912" t="e">
        <f>'Paso 1.1'!H99*Tiempos!$H$95</f>
        <v>#DIV/0!</v>
      </c>
      <c r="J120" s="1912" t="e">
        <f>'Paso 1.1'!I99*Tiempos!$H$95</f>
        <v>#DIV/0!</v>
      </c>
      <c r="K120" s="1912" t="e">
        <f>'Paso 1.1'!J99*Tiempos!$H$95</f>
        <v>#DIV/0!</v>
      </c>
      <c r="L120" s="1912" t="e">
        <f>'Paso 1.1'!K99*Tiempos!$H$95</f>
        <v>#DIV/0!</v>
      </c>
      <c r="M120" s="1912" t="e">
        <f>'Paso 1.1'!L99*Tiempos!$H$95</f>
        <v>#DIV/0!</v>
      </c>
      <c r="N120" s="1912" t="e">
        <f>'Paso 1.1'!M99*Tiempos!$H$95</f>
        <v>#DIV/0!</v>
      </c>
      <c r="O120" s="1912" t="e">
        <f>'Paso 1.1'!N99*Tiempos!$H$95</f>
        <v>#DIV/0!</v>
      </c>
      <c r="P120" s="1912" t="e">
        <f>'Paso 1.1'!O99*Tiempos!$H$95</f>
        <v>#DIV/0!</v>
      </c>
      <c r="Q120" s="1912" t="e">
        <f>'Paso 1.1'!P99*Tiempos!$H$95</f>
        <v>#DIV/0!</v>
      </c>
      <c r="R120" s="1912" t="e">
        <f>'Paso 1.1'!Q99*Tiempos!$H$95</f>
        <v>#DIV/0!</v>
      </c>
      <c r="S120" s="1912" t="e">
        <f>'Paso 1.1'!R99*Tiempos!$H$95</f>
        <v>#DIV/0!</v>
      </c>
      <c r="T120" s="1912" t="e">
        <f>'Paso 1.1'!S99*Tiempos!$H$95</f>
        <v>#DIV/0!</v>
      </c>
      <c r="U120" s="1912" t="e">
        <f>'Paso 1.1'!T99*Tiempos!$H$95</f>
        <v>#DIV/0!</v>
      </c>
      <c r="V120" s="1912" t="e">
        <f>'Paso 1.1'!U99*Tiempos!$H$95</f>
        <v>#DIV/0!</v>
      </c>
      <c r="W120" s="1576"/>
      <c r="X120" s="1576"/>
      <c r="Y120" s="1576"/>
      <c r="Z120" s="1576"/>
      <c r="AA120" s="1576"/>
      <c r="AB120" s="1576"/>
      <c r="AC120" s="1576"/>
      <c r="AD120" s="1576"/>
      <c r="AE120" s="1576"/>
      <c r="AF120" s="1576"/>
      <c r="AG120" s="1576"/>
      <c r="AH120" s="1576"/>
      <c r="AI120" s="1576"/>
      <c r="AJ120" s="1576"/>
      <c r="AK120" s="1576"/>
      <c r="AL120" s="1576"/>
      <c r="AM120" s="1576"/>
      <c r="AN120" s="1576" t="e">
        <f>'Paso 1.1'!E99*Tiempos!$H$95</f>
        <v>#DIV/0!</v>
      </c>
      <c r="AO120" s="1576" t="e">
        <f>'Paso 1.1'!F99*Tiempos!$H$95</f>
        <v>#DIV/0!</v>
      </c>
      <c r="AP120" s="1576" t="e">
        <f>'Paso 1.1'!G99*Tiempos!$H$95</f>
        <v>#DIV/0!</v>
      </c>
      <c r="AQ120" s="1576" t="e">
        <f>'Paso 1.1'!H99*Tiempos!$H$95</f>
        <v>#DIV/0!</v>
      </c>
      <c r="AR120" s="1576" t="e">
        <f>'Paso 1.1'!I99*Tiempos!$H$95</f>
        <v>#DIV/0!</v>
      </c>
      <c r="AS120" s="1576" t="e">
        <f>'Paso 1.1'!J99*Tiempos!$H$95</f>
        <v>#DIV/0!</v>
      </c>
      <c r="AT120" s="1576" t="e">
        <f>'Paso 1.1'!K99*Tiempos!$H$95</f>
        <v>#DIV/0!</v>
      </c>
      <c r="AU120" s="1576" t="e">
        <f>'Paso 1.1'!L99*Tiempos!$H$95</f>
        <v>#DIV/0!</v>
      </c>
      <c r="AV120" s="1576" t="e">
        <f>'Paso 1.1'!M99*Tiempos!$H$95</f>
        <v>#DIV/0!</v>
      </c>
      <c r="AW120" s="1576" t="e">
        <f>'Paso 1.1'!N99*Tiempos!$H$95</f>
        <v>#DIV/0!</v>
      </c>
      <c r="AX120" s="1576" t="e">
        <f>'Paso 1.1'!O99*Tiempos!$H$95</f>
        <v>#DIV/0!</v>
      </c>
      <c r="AY120" s="1576" t="e">
        <f>'Paso 1.1'!P99*Tiempos!$H$95</f>
        <v>#DIV/0!</v>
      </c>
      <c r="AZ120" s="1576" t="e">
        <f>'Paso 1.1'!Q99*Tiempos!$H$95</f>
        <v>#DIV/0!</v>
      </c>
      <c r="BA120" s="1576" t="e">
        <f>'Paso 1.1'!R99*Tiempos!$H$95</f>
        <v>#DIV/0!</v>
      </c>
      <c r="BB120" s="1576" t="e">
        <f>'Paso 1.1'!S99*Tiempos!$H$95</f>
        <v>#DIV/0!</v>
      </c>
      <c r="BC120" s="1576" t="e">
        <f>'Paso 1.1'!T99*Tiempos!$H$95</f>
        <v>#DIV/0!</v>
      </c>
      <c r="BD120" s="1576" t="e">
        <f>'Paso 1.1'!U99*Tiempos!$H$95</f>
        <v>#DIV/0!</v>
      </c>
      <c r="BE120" s="1576"/>
      <c r="BF120" s="1576"/>
      <c r="BG120" s="1576"/>
      <c r="BH120" s="1576"/>
      <c r="BI120" s="1576"/>
      <c r="BJ120" s="1576"/>
      <c r="BK120" s="1576"/>
      <c r="BL120" s="1576"/>
      <c r="BM120" s="1576"/>
      <c r="BN120" s="1576"/>
      <c r="BO120" s="1576"/>
      <c r="BP120" s="1576"/>
      <c r="BQ120" s="1576"/>
      <c r="BR120" s="1576"/>
      <c r="BS120" s="1576"/>
      <c r="BT120" s="1576"/>
      <c r="BU120" s="1576"/>
      <c r="BV120" s="1576" t="e">
        <f>'Paso 1.1'!E99*Tiempos!$H$95</f>
        <v>#DIV/0!</v>
      </c>
      <c r="BW120" s="1576" t="e">
        <f>'Paso 1.1'!F99*Tiempos!$H$95</f>
        <v>#DIV/0!</v>
      </c>
      <c r="BX120" s="1576" t="e">
        <f>'Paso 1.1'!G99*Tiempos!$H$95</f>
        <v>#DIV/0!</v>
      </c>
      <c r="BY120" s="1576" t="e">
        <f>'Paso 1.1'!H99*Tiempos!$H$95</f>
        <v>#DIV/0!</v>
      </c>
      <c r="BZ120" s="1576" t="e">
        <f>'Paso 1.1'!I99*Tiempos!$H$95</f>
        <v>#DIV/0!</v>
      </c>
      <c r="CA120" s="1576" t="e">
        <f>'Paso 1.1'!J99*Tiempos!$H$95</f>
        <v>#DIV/0!</v>
      </c>
      <c r="CB120" s="1576" t="e">
        <f>'Paso 1.1'!K99*Tiempos!$H$95</f>
        <v>#DIV/0!</v>
      </c>
      <c r="CC120" s="1576" t="e">
        <f>'Paso 1.1'!L99*Tiempos!$H$95</f>
        <v>#DIV/0!</v>
      </c>
      <c r="CD120" s="1576" t="e">
        <f>'Paso 1.1'!M99*Tiempos!$H$95</f>
        <v>#DIV/0!</v>
      </c>
      <c r="CE120" s="1576" t="e">
        <f>'Paso 1.1'!N99*Tiempos!$H$95</f>
        <v>#DIV/0!</v>
      </c>
      <c r="CF120" s="1576" t="e">
        <f>'Paso 1.1'!O99*Tiempos!$H$95</f>
        <v>#DIV/0!</v>
      </c>
      <c r="CG120" s="1576" t="e">
        <f>'Paso 1.1'!P99*Tiempos!$H$95</f>
        <v>#DIV/0!</v>
      </c>
      <c r="CH120" s="1576" t="e">
        <f>'Paso 1.1'!Q99*Tiempos!$H$95</f>
        <v>#DIV/0!</v>
      </c>
      <c r="CI120" s="1576" t="e">
        <f>'Paso 1.1'!R99*Tiempos!$H$95</f>
        <v>#DIV/0!</v>
      </c>
      <c r="CJ120" s="1576" t="e">
        <f>'Paso 1.1'!S99*Tiempos!$H$95</f>
        <v>#DIV/0!</v>
      </c>
      <c r="CK120" s="1576" t="e">
        <f>'Paso 1.1'!T99*Tiempos!$H$95</f>
        <v>#DIV/0!</v>
      </c>
      <c r="CL120" s="1576" t="e">
        <f>'Paso 1.1'!U99*Tiempos!$H$95</f>
        <v>#DIV/0!</v>
      </c>
      <c r="CM120" s="1576"/>
      <c r="CN120" s="1576"/>
      <c r="CO120" s="1576"/>
      <c r="CP120" s="1576"/>
      <c r="CQ120" s="1576"/>
      <c r="CR120" s="1576"/>
      <c r="CS120" s="1576"/>
      <c r="CT120" s="1576"/>
      <c r="CU120" s="1576"/>
      <c r="CV120" s="1576"/>
      <c r="CW120" s="1576"/>
      <c r="CX120" s="1576"/>
      <c r="CY120" s="1576"/>
      <c r="CZ120" s="1576"/>
      <c r="DA120" s="1576"/>
      <c r="DB120" s="1576"/>
      <c r="DC120" s="1576"/>
      <c r="DD120" s="1576"/>
      <c r="DE120" s="1576"/>
      <c r="DF120" s="1576"/>
      <c r="DG120" s="1576"/>
      <c r="DH120" s="1576"/>
      <c r="DI120" s="1576"/>
      <c r="DJ120" s="1576"/>
      <c r="DK120" s="1576"/>
      <c r="DL120" s="1576"/>
      <c r="DM120" s="1576"/>
      <c r="DN120" s="1576"/>
      <c r="DO120" s="1576"/>
      <c r="DP120" s="1576"/>
      <c r="DQ120" s="1576"/>
      <c r="DR120" s="1576"/>
      <c r="DS120" s="1576"/>
      <c r="DT120" s="1576"/>
      <c r="DU120" s="1576"/>
      <c r="DV120" s="1576"/>
      <c r="DW120" s="1576"/>
      <c r="DX120" s="1576"/>
      <c r="DY120" s="1576"/>
      <c r="DZ120" s="1576"/>
      <c r="EA120" s="1576"/>
      <c r="EB120" s="1576"/>
      <c r="EC120" s="1576"/>
      <c r="ED120" s="1576"/>
      <c r="EE120" s="1576"/>
      <c r="EF120" s="1576"/>
      <c r="EG120" s="1576"/>
      <c r="EH120" s="1576"/>
      <c r="EI120" s="1576"/>
      <c r="EJ120" s="1576"/>
      <c r="EK120" s="1576"/>
      <c r="EL120" s="1576"/>
      <c r="EM120" s="1576"/>
      <c r="EN120" s="1576"/>
      <c r="EO120" s="1576"/>
      <c r="EP120" s="1576"/>
      <c r="EQ120" s="1576"/>
      <c r="ER120" s="1576"/>
      <c r="ES120" s="1576"/>
      <c r="ET120" s="1576"/>
      <c r="EU120" s="1576"/>
      <c r="EV120" s="1576"/>
      <c r="EW120" s="1576"/>
      <c r="EX120" s="1576"/>
      <c r="EY120" s="1576"/>
      <c r="EZ120" s="1576"/>
      <c r="FA120" s="1576"/>
      <c r="FB120" s="1576"/>
      <c r="FC120" s="1576"/>
      <c r="FD120" s="1576"/>
      <c r="FE120" s="1576"/>
      <c r="FF120" s="1576"/>
      <c r="FG120" s="1576"/>
      <c r="FH120" s="1576"/>
      <c r="FI120" s="1576"/>
      <c r="FJ120" s="1576"/>
      <c r="FK120" s="1576"/>
      <c r="FL120" s="1576"/>
      <c r="FM120" s="1576"/>
      <c r="FN120" s="1576"/>
      <c r="FO120" s="1576"/>
      <c r="FP120" s="1576"/>
      <c r="FQ120" s="1576"/>
      <c r="FR120" s="1576"/>
      <c r="FS120" s="1576"/>
      <c r="FT120" s="1576"/>
      <c r="FU120" s="1576"/>
      <c r="FV120" s="1576"/>
      <c r="FW120" s="1576"/>
      <c r="FX120" s="1576"/>
      <c r="FY120" s="1576"/>
      <c r="FZ120" s="1576"/>
      <c r="GA120" s="1576"/>
      <c r="GB120" s="1576"/>
      <c r="GC120" s="1576"/>
      <c r="GD120" s="1576"/>
      <c r="GE120" s="1576"/>
      <c r="GF120" s="1576"/>
      <c r="GG120" s="1576"/>
      <c r="GH120" s="1576"/>
      <c r="GI120" s="1576"/>
      <c r="GJ120" s="1576"/>
      <c r="GK120" s="1576"/>
      <c r="GL120" s="1576"/>
      <c r="GM120" s="1576"/>
      <c r="GN120" s="1576"/>
      <c r="GO120" s="1576"/>
      <c r="GP120" s="1576"/>
      <c r="GQ120" s="1576"/>
      <c r="GR120" s="1576"/>
      <c r="GS120" s="1576"/>
      <c r="GT120" s="1576"/>
      <c r="GU120" s="1576"/>
      <c r="GV120" s="1576"/>
      <c r="GW120" s="1576"/>
      <c r="GX120" s="1576"/>
      <c r="GY120" s="1576"/>
      <c r="GZ120" s="1576"/>
      <c r="HA120" s="1576"/>
      <c r="HB120" s="1576"/>
      <c r="HC120" s="1576"/>
      <c r="HD120" s="1576"/>
      <c r="HE120" s="1576"/>
      <c r="HF120" s="1576"/>
      <c r="HG120" s="1576"/>
      <c r="HH120" s="1576"/>
      <c r="HI120" s="1576"/>
      <c r="HJ120" s="1576"/>
      <c r="HK120" s="1576"/>
      <c r="HL120" s="1576"/>
      <c r="HM120" s="1576"/>
      <c r="HN120" s="1576"/>
      <c r="HO120" s="1576"/>
      <c r="HP120" s="1576"/>
      <c r="HQ120" s="1576"/>
      <c r="HR120" s="1576"/>
      <c r="HS120" s="1576"/>
      <c r="HT120" s="1576"/>
      <c r="HU120" s="1576"/>
      <c r="HV120" s="1576"/>
      <c r="HW120" s="1576"/>
      <c r="HX120" s="1576"/>
      <c r="HY120" s="1576"/>
      <c r="HZ120" s="1576"/>
      <c r="IA120" s="1576"/>
      <c r="IB120" s="1576"/>
      <c r="IC120" s="1576"/>
      <c r="ID120" s="1576"/>
      <c r="IE120" s="1576"/>
      <c r="IF120" s="1576"/>
      <c r="IG120" s="1576"/>
      <c r="IH120" s="1576"/>
      <c r="II120" s="1576"/>
      <c r="IJ120" s="1576"/>
      <c r="IK120" s="1576"/>
      <c r="IL120" s="1576"/>
      <c r="IM120" s="1576"/>
      <c r="IN120" s="1576"/>
      <c r="IO120" s="1576"/>
      <c r="IP120" s="1576"/>
      <c r="IQ120" s="1576"/>
      <c r="IR120" s="1576"/>
      <c r="IS120" s="1576"/>
      <c r="IT120" s="1576"/>
      <c r="IU120" s="1576"/>
      <c r="IV120" s="1576"/>
      <c r="IW120" s="1576"/>
      <c r="IX120" s="1576"/>
      <c r="IY120" s="1576"/>
      <c r="IZ120" s="1576"/>
      <c r="JA120" s="2054"/>
      <c r="JB120" s="2054"/>
      <c r="JC120" s="2054"/>
      <c r="JD120" s="2054"/>
      <c r="JE120" s="2054"/>
      <c r="JF120" s="2054"/>
      <c r="JG120" s="2054"/>
      <c r="JH120" s="2054"/>
      <c r="JI120" s="2054"/>
      <c r="JJ120" s="2054"/>
      <c r="JK120" s="2054"/>
      <c r="JL120" s="2054"/>
      <c r="JM120" s="2054"/>
      <c r="JN120" s="2054"/>
      <c r="JO120" s="2054"/>
      <c r="JP120" s="2054"/>
      <c r="JQ120" s="2054"/>
      <c r="JR120" s="1576" t="e">
        <f>'Paso 1.1'!E99*Tiempos!$T$95</f>
        <v>#DIV/0!</v>
      </c>
      <c r="JS120" s="1576" t="e">
        <f>'Paso 1.1'!F99*Tiempos!$T$95</f>
        <v>#DIV/0!</v>
      </c>
      <c r="JT120" s="1576" t="e">
        <f>'Paso 1.1'!G99*Tiempos!$T$95</f>
        <v>#DIV/0!</v>
      </c>
      <c r="JU120" s="1576" t="e">
        <f>'Paso 1.1'!H99*Tiempos!$T$95</f>
        <v>#DIV/0!</v>
      </c>
      <c r="JV120" s="1576" t="e">
        <f>'Paso 1.1'!I99*Tiempos!$T$95</f>
        <v>#DIV/0!</v>
      </c>
      <c r="JW120" s="1576" t="e">
        <f>'Paso 1.1'!J99*Tiempos!$T$95</f>
        <v>#DIV/0!</v>
      </c>
      <c r="JX120" s="1576" t="e">
        <f>'Paso 1.1'!K99*Tiempos!$T$95</f>
        <v>#DIV/0!</v>
      </c>
      <c r="JY120" s="1576" t="e">
        <f>'Paso 1.1'!L99*Tiempos!$T$95</f>
        <v>#DIV/0!</v>
      </c>
      <c r="JZ120" s="1576" t="e">
        <f>'Paso 1.1'!M99*Tiempos!$T$95</f>
        <v>#DIV/0!</v>
      </c>
      <c r="KA120" s="1576" t="e">
        <f>'Paso 1.1'!N99*Tiempos!$T$95</f>
        <v>#DIV/0!</v>
      </c>
      <c r="KB120" s="1576" t="e">
        <f>'Paso 1.1'!O99*Tiempos!$T$95</f>
        <v>#DIV/0!</v>
      </c>
      <c r="KC120" s="1576" t="e">
        <f>'Paso 1.1'!P99*Tiempos!$T$95</f>
        <v>#DIV/0!</v>
      </c>
      <c r="KD120" s="1576" t="e">
        <f>'Paso 1.1'!Q99*Tiempos!$T$95</f>
        <v>#DIV/0!</v>
      </c>
      <c r="KE120" s="1576" t="e">
        <f>'Paso 1.1'!R99*Tiempos!$T$95</f>
        <v>#DIV/0!</v>
      </c>
      <c r="KF120" s="1576" t="e">
        <f>'Paso 1.1'!S99*Tiempos!$T$95</f>
        <v>#DIV/0!</v>
      </c>
      <c r="KG120" s="1576" t="e">
        <f>'Paso 1.1'!T99*Tiempos!$T$95</f>
        <v>#DIV/0!</v>
      </c>
      <c r="KH120" s="1576" t="e">
        <f>'Paso 1.1'!U99*Tiempos!$T$95</f>
        <v>#DIV/0!</v>
      </c>
      <c r="KI120" s="1576" t="e">
        <f xml:space="preserve"> 'Paso 1.1'!E99*Tiempos!$T$95</f>
        <v>#DIV/0!</v>
      </c>
      <c r="KJ120" s="1576" t="e">
        <f xml:space="preserve"> 'Paso 1.1'!F99*Tiempos!$T$95</f>
        <v>#DIV/0!</v>
      </c>
      <c r="KK120" s="1576" t="e">
        <f xml:space="preserve"> 'Paso 1.1'!G99*Tiempos!$T$95</f>
        <v>#DIV/0!</v>
      </c>
      <c r="KL120" s="1576" t="e">
        <f xml:space="preserve"> 'Paso 1.1'!H99*Tiempos!$T$95</f>
        <v>#DIV/0!</v>
      </c>
      <c r="KM120" s="1576" t="e">
        <f xml:space="preserve"> 'Paso 1.1'!I99*Tiempos!$T$95</f>
        <v>#DIV/0!</v>
      </c>
      <c r="KN120" s="1576" t="e">
        <f xml:space="preserve"> 'Paso 1.1'!J99*Tiempos!$T$95</f>
        <v>#DIV/0!</v>
      </c>
      <c r="KO120" s="1576" t="e">
        <f xml:space="preserve"> 'Paso 1.1'!K99*Tiempos!$T$95</f>
        <v>#DIV/0!</v>
      </c>
      <c r="KP120" s="1576" t="e">
        <f xml:space="preserve"> 'Paso 1.1'!L99*Tiempos!$T$95</f>
        <v>#DIV/0!</v>
      </c>
      <c r="KQ120" s="1576" t="e">
        <f xml:space="preserve"> 'Paso 1.1'!M99*Tiempos!$T$95</f>
        <v>#DIV/0!</v>
      </c>
      <c r="KR120" s="1576" t="e">
        <f xml:space="preserve"> 'Paso 1.1'!N99*Tiempos!$T$95</f>
        <v>#DIV/0!</v>
      </c>
      <c r="KS120" s="1576" t="e">
        <f xml:space="preserve"> 'Paso 1.1'!O99*Tiempos!$T$95</f>
        <v>#DIV/0!</v>
      </c>
      <c r="KT120" s="1576" t="e">
        <f xml:space="preserve"> 'Paso 1.1'!P99*Tiempos!$T$95</f>
        <v>#DIV/0!</v>
      </c>
      <c r="KU120" s="1576" t="e">
        <f xml:space="preserve"> 'Paso 1.1'!Q99*Tiempos!$T$95</f>
        <v>#DIV/0!</v>
      </c>
      <c r="KV120" s="1576" t="e">
        <f xml:space="preserve"> 'Paso 1.1'!R99*Tiempos!$T$95</f>
        <v>#DIV/0!</v>
      </c>
      <c r="KW120" s="1576" t="e">
        <f xml:space="preserve"> 'Paso 1.1'!S99*Tiempos!$T$95</f>
        <v>#DIV/0!</v>
      </c>
      <c r="KX120" s="1576" t="e">
        <f xml:space="preserve"> 'Paso 1.1'!T99*Tiempos!$T$95</f>
        <v>#DIV/0!</v>
      </c>
      <c r="KY120" s="1576" t="e">
        <f xml:space="preserve"> 'Paso 1.1'!U99*Tiempos!$T$95</f>
        <v>#DIV/0!</v>
      </c>
      <c r="KZ120" s="1576"/>
      <c r="LA120" s="1576"/>
      <c r="LB120" s="1576"/>
      <c r="LC120" s="1576"/>
      <c r="LD120" s="1576"/>
      <c r="LE120" s="1576"/>
      <c r="LF120" s="1576"/>
      <c r="LG120" s="1576"/>
      <c r="LH120" s="1576"/>
      <c r="LI120" s="1576"/>
      <c r="LJ120" s="1576"/>
      <c r="LK120" s="1576"/>
      <c r="LL120" s="1576"/>
      <c r="LM120" s="1576"/>
      <c r="LN120" s="1576"/>
      <c r="LO120" s="1576"/>
      <c r="LP120" s="1576"/>
      <c r="LQ120" s="1576"/>
      <c r="LR120" s="1576"/>
      <c r="LS120" s="1576"/>
      <c r="LT120" s="1576"/>
      <c r="LU120" s="1576"/>
      <c r="LV120" s="1576"/>
      <c r="LW120" s="1576"/>
      <c r="LX120" s="1576"/>
      <c r="LY120" s="1576"/>
      <c r="LZ120" s="1576"/>
      <c r="MA120" s="1576"/>
      <c r="MB120" s="1576"/>
      <c r="MC120" s="1576"/>
      <c r="MD120" s="1576"/>
      <c r="ME120" s="1576"/>
      <c r="MF120" s="1576"/>
      <c r="MG120" s="1576"/>
      <c r="MH120" s="1576"/>
      <c r="MI120" s="1576"/>
      <c r="MJ120" s="1576"/>
      <c r="MK120" s="1576"/>
      <c r="ML120" s="1576"/>
      <c r="MM120" s="1576"/>
      <c r="MN120" s="1576"/>
      <c r="MO120" s="1576"/>
      <c r="MP120" s="1576"/>
      <c r="MQ120" s="1576"/>
      <c r="MR120" s="1576"/>
      <c r="MS120" s="1576"/>
      <c r="MT120" s="1576"/>
      <c r="MU120" s="1576"/>
      <c r="MV120" s="1576"/>
      <c r="MW120" s="1576"/>
      <c r="MX120" s="1576"/>
      <c r="MY120" s="1576" t="e">
        <f>'Paso 1.1'!E99*Tiempos!$L$95</f>
        <v>#DIV/0!</v>
      </c>
      <c r="MZ120" s="1576" t="e">
        <f>'Paso 1.1'!F99*Tiempos!$L$95</f>
        <v>#DIV/0!</v>
      </c>
      <c r="NA120" s="1576" t="e">
        <f>'Paso 1.1'!G99*Tiempos!$L$95</f>
        <v>#DIV/0!</v>
      </c>
      <c r="NB120" s="1576" t="e">
        <f>'Paso 1.1'!H99*Tiempos!$L$95</f>
        <v>#DIV/0!</v>
      </c>
      <c r="NC120" s="1576" t="e">
        <f>'Paso 1.1'!I99*Tiempos!$L$95</f>
        <v>#DIV/0!</v>
      </c>
      <c r="ND120" s="1576" t="e">
        <f>'Paso 1.1'!J99*Tiempos!$L$95</f>
        <v>#DIV/0!</v>
      </c>
      <c r="NE120" s="1576" t="e">
        <f>'Paso 1.1'!K99*Tiempos!$L$95</f>
        <v>#DIV/0!</v>
      </c>
      <c r="NF120" s="1576" t="e">
        <f>'Paso 1.1'!L99*Tiempos!$L$95</f>
        <v>#DIV/0!</v>
      </c>
      <c r="NG120" s="1576" t="e">
        <f>'Paso 1.1'!M99*Tiempos!$L$95</f>
        <v>#DIV/0!</v>
      </c>
      <c r="NH120" s="1576" t="e">
        <f>'Paso 1.1'!N99*Tiempos!$L$95</f>
        <v>#DIV/0!</v>
      </c>
      <c r="NI120" s="1576" t="e">
        <f>'Paso 1.1'!O99*Tiempos!$L$95</f>
        <v>#DIV/0!</v>
      </c>
      <c r="NJ120" s="1576" t="e">
        <f>'Paso 1.1'!P99*Tiempos!$L$95</f>
        <v>#DIV/0!</v>
      </c>
      <c r="NK120" s="1576" t="e">
        <f>'Paso 1.1'!Q99*Tiempos!$L$95</f>
        <v>#DIV/0!</v>
      </c>
      <c r="NL120" s="1576" t="e">
        <f>'Paso 1.1'!R99*Tiempos!$L$95</f>
        <v>#DIV/0!</v>
      </c>
      <c r="NM120" s="1576" t="e">
        <f>'Paso 1.1'!S99*Tiempos!$L$95</f>
        <v>#DIV/0!</v>
      </c>
      <c r="NN120" s="1576" t="e">
        <f>'Paso 1.1'!T99*Tiempos!$L$95</f>
        <v>#DIV/0!</v>
      </c>
      <c r="NO120" s="1576" t="e">
        <f>'Paso 1.1'!U99*Tiempos!$L$95</f>
        <v>#DIV/0!</v>
      </c>
      <c r="NP120" s="1576"/>
      <c r="NQ120" s="1576"/>
      <c r="NR120" s="1576"/>
      <c r="NS120" s="1576"/>
      <c r="NT120" s="1576"/>
      <c r="NU120" s="1576"/>
      <c r="NV120" s="1576"/>
      <c r="NW120" s="1576"/>
      <c r="NX120" s="1576"/>
      <c r="NY120" s="1576"/>
      <c r="NZ120" s="1576"/>
      <c r="OA120" s="1576"/>
      <c r="OB120" s="1576"/>
      <c r="OC120" s="1576"/>
      <c r="OD120" s="1576"/>
      <c r="OE120" s="1576"/>
      <c r="OF120" s="1576"/>
      <c r="OG120" s="1576"/>
      <c r="OH120" s="1576"/>
      <c r="OI120" s="1576"/>
      <c r="OJ120" s="1576"/>
      <c r="OK120" s="1576"/>
      <c r="OL120" s="1576"/>
      <c r="OM120" s="1576"/>
      <c r="ON120" s="1576"/>
      <c r="OO120" s="1576"/>
      <c r="OP120" s="1576"/>
      <c r="OQ120" s="1576"/>
      <c r="OR120" s="1576"/>
      <c r="OS120" s="1576"/>
      <c r="OT120" s="1576"/>
      <c r="OU120" s="1576"/>
      <c r="OV120" s="1576"/>
      <c r="OW120" s="1576"/>
      <c r="OX120" s="1576"/>
      <c r="OY120" s="1576"/>
      <c r="OZ120" s="1576"/>
      <c r="PA120" s="1576"/>
      <c r="PB120" s="1576"/>
      <c r="PC120" s="1576"/>
      <c r="PD120" s="1576"/>
      <c r="PE120" s="1576"/>
      <c r="PF120" s="1576"/>
      <c r="PG120" s="1576"/>
      <c r="PH120" s="1576"/>
      <c r="PI120" s="1576"/>
      <c r="PJ120" s="1576"/>
      <c r="PK120" s="1576"/>
      <c r="PL120" s="1576"/>
      <c r="PM120" s="1576"/>
      <c r="PN120" s="1576"/>
      <c r="PO120" s="1576"/>
      <c r="PP120" s="1576"/>
      <c r="PQ120" s="1576"/>
      <c r="PR120" s="1576"/>
      <c r="PS120" s="1576"/>
      <c r="PT120" s="1576"/>
      <c r="PU120" s="1576"/>
      <c r="PV120" s="1576"/>
      <c r="PW120" s="1576"/>
      <c r="PX120" s="1576"/>
      <c r="PY120" s="1576"/>
      <c r="PZ120" s="1576"/>
      <c r="QA120" s="1576"/>
      <c r="QB120" s="1576"/>
      <c r="QC120" s="1576"/>
      <c r="QD120" s="1576"/>
      <c r="QE120" s="1576"/>
      <c r="QF120" s="1576"/>
      <c r="QG120" s="1576"/>
      <c r="QH120" s="1576"/>
      <c r="QI120" s="1576"/>
      <c r="QJ120" s="1576"/>
      <c r="QK120" s="1576"/>
      <c r="QL120" s="1576"/>
      <c r="QM120" s="1576"/>
      <c r="QN120" s="1576"/>
      <c r="QO120" s="1576"/>
      <c r="QP120" s="1576"/>
      <c r="QQ120" s="1576"/>
      <c r="QR120" s="1576"/>
      <c r="QS120" s="1576"/>
      <c r="QT120" s="1576"/>
      <c r="QU120" s="1576"/>
      <c r="QV120" s="1576"/>
      <c r="QW120" s="1576"/>
      <c r="QX120" s="1576"/>
      <c r="QY120" s="1576"/>
      <c r="QZ120" s="1576"/>
      <c r="RA120" s="1576"/>
      <c r="RB120" s="1576"/>
      <c r="RC120" s="1576"/>
      <c r="RD120" s="1576"/>
      <c r="RE120" s="1576"/>
      <c r="RF120" s="1576"/>
      <c r="RG120" s="1576"/>
      <c r="RH120" s="1576"/>
      <c r="RI120" s="1576"/>
      <c r="RJ120" s="1576"/>
      <c r="RK120" s="1576"/>
      <c r="RL120" s="1576"/>
      <c r="RM120" s="1576"/>
      <c r="RN120" s="1576"/>
      <c r="RO120" s="1576"/>
      <c r="RP120" s="1576"/>
      <c r="RQ120" s="1576"/>
      <c r="RR120" s="1576"/>
      <c r="RS120" s="1576"/>
      <c r="RT120" s="1576"/>
      <c r="RU120" s="1576"/>
      <c r="RV120" s="1576"/>
      <c r="RW120" s="1576"/>
      <c r="RX120" s="1576"/>
      <c r="RY120" s="1576"/>
      <c r="RZ120" s="1576"/>
      <c r="SA120" s="1576"/>
      <c r="SB120" s="1576"/>
      <c r="SC120" s="1576"/>
      <c r="SD120" s="1576"/>
      <c r="SE120" s="1576"/>
      <c r="SF120" s="1576"/>
      <c r="SG120" s="1576"/>
      <c r="SH120" s="1576"/>
      <c r="SI120" s="1576"/>
      <c r="SJ120" s="1576"/>
      <c r="SK120" s="1576"/>
      <c r="SL120" s="1576"/>
      <c r="SM120" s="1576"/>
      <c r="SN120" s="1576"/>
      <c r="SO120" s="1576"/>
      <c r="SP120" s="1576"/>
      <c r="SQ120" s="1576"/>
      <c r="SR120" s="1576"/>
      <c r="SS120" s="1576"/>
      <c r="ST120" s="1576"/>
      <c r="SU120" s="1576"/>
      <c r="SV120" s="1576"/>
      <c r="SW120" s="1576"/>
      <c r="SX120" s="1576"/>
      <c r="SY120" s="1576"/>
      <c r="SZ120" s="1576"/>
      <c r="TA120" s="1576"/>
      <c r="TB120" s="1576"/>
      <c r="TC120" s="1576"/>
      <c r="TD120" s="1576"/>
      <c r="TE120" s="1576"/>
      <c r="TF120" s="1576"/>
      <c r="TG120" s="1576"/>
      <c r="TH120" s="1576"/>
      <c r="TI120" s="1576"/>
      <c r="TJ120" s="1576"/>
      <c r="TK120" s="1576"/>
      <c r="TL120" s="1576"/>
      <c r="TM120" s="1576"/>
      <c r="TN120" s="1576"/>
      <c r="TO120" s="1576"/>
      <c r="TP120" s="1576"/>
      <c r="TQ120" s="1576"/>
      <c r="TR120" s="1576"/>
      <c r="TS120" s="1576"/>
      <c r="TT120" s="1576"/>
      <c r="TU120" s="1576"/>
      <c r="TV120" s="1576"/>
      <c r="TW120" s="1576"/>
      <c r="TX120" s="1576"/>
      <c r="TY120" s="1576"/>
      <c r="TZ120" s="1576"/>
      <c r="UA120" s="1576"/>
      <c r="UB120" s="1576"/>
      <c r="UC120" s="1576"/>
      <c r="UD120" s="1576"/>
      <c r="UE120" s="1576"/>
      <c r="UF120" s="1576"/>
      <c r="UG120" s="1576"/>
      <c r="UH120" s="1576"/>
      <c r="UI120" s="1576"/>
      <c r="UJ120" s="1576"/>
      <c r="UK120" s="1576"/>
      <c r="UL120" s="1576"/>
      <c r="UM120" s="1576"/>
      <c r="UN120" s="1576"/>
      <c r="UO120" s="1576"/>
      <c r="UP120" s="1576"/>
      <c r="UQ120" s="1576"/>
      <c r="UR120" s="1576"/>
      <c r="US120" s="1576"/>
      <c r="UT120" s="1576"/>
      <c r="UU120" s="1576"/>
      <c r="UV120" s="1576"/>
      <c r="UW120" s="1576"/>
      <c r="UX120" s="1576"/>
      <c r="UY120" s="1576"/>
      <c r="UZ120" s="1576"/>
      <c r="VA120" s="1576"/>
      <c r="VB120" s="1576"/>
      <c r="VC120" s="1576"/>
      <c r="VD120" s="1576"/>
      <c r="VE120" s="1576"/>
      <c r="VF120" s="1576"/>
      <c r="VG120" s="1576"/>
      <c r="VH120" s="1576"/>
      <c r="VI120" s="1576"/>
      <c r="VJ120" s="1576"/>
      <c r="VK120" s="1576"/>
    </row>
    <row r="121" spans="1:583" ht="15" customHeight="1" x14ac:dyDescent="0.25">
      <c r="B121" s="1610" t="s">
        <v>115</v>
      </c>
      <c r="C121" s="1582" t="s">
        <v>2941</v>
      </c>
      <c r="D121" s="4710" t="s">
        <v>2942</v>
      </c>
      <c r="E121" s="4710">
        <v>-1</v>
      </c>
      <c r="F121" s="1912"/>
      <c r="G121" s="1912"/>
      <c r="H121" s="1912"/>
      <c r="I121" s="1576"/>
      <c r="J121" s="1576"/>
      <c r="K121" s="1576"/>
      <c r="L121" s="1576"/>
      <c r="M121" s="1576"/>
      <c r="N121" s="1576"/>
      <c r="O121" s="1576"/>
      <c r="P121" s="1576"/>
      <c r="Q121" s="1576"/>
      <c r="R121" s="1576"/>
      <c r="S121" s="1576"/>
      <c r="T121" s="1576"/>
      <c r="U121" s="1576"/>
      <c r="V121" s="1576"/>
      <c r="W121" s="1576"/>
      <c r="X121" s="1576"/>
      <c r="Y121" s="1576"/>
      <c r="Z121" s="1576"/>
      <c r="AA121" s="1576"/>
      <c r="AB121" s="1576"/>
      <c r="AC121" s="1576"/>
      <c r="AD121" s="1576"/>
      <c r="AE121" s="1576"/>
      <c r="AF121" s="1576"/>
      <c r="AG121" s="1576"/>
      <c r="AH121" s="1576"/>
      <c r="AI121" s="1576"/>
      <c r="AJ121" s="1576"/>
      <c r="AK121" s="1576"/>
      <c r="AL121" s="1576"/>
      <c r="AM121" s="1576"/>
      <c r="AN121" s="1576"/>
      <c r="AO121" s="1576"/>
      <c r="AP121" s="1576"/>
      <c r="AQ121" s="1576"/>
      <c r="AR121" s="1576"/>
      <c r="AS121" s="1576"/>
      <c r="AT121" s="1576"/>
      <c r="AU121" s="1576"/>
      <c r="AV121" s="1576"/>
      <c r="AW121" s="1576"/>
      <c r="AX121" s="1576"/>
      <c r="AY121" s="1576"/>
      <c r="AZ121" s="1576"/>
      <c r="BA121" s="1576"/>
      <c r="BB121" s="1576"/>
      <c r="BC121" s="1576"/>
      <c r="BD121" s="1576"/>
      <c r="BE121" s="1576"/>
      <c r="BF121" s="1576"/>
      <c r="BG121" s="1576"/>
      <c r="BH121" s="1576"/>
      <c r="BI121" s="1576"/>
      <c r="BJ121" s="1576"/>
      <c r="BK121" s="1576"/>
      <c r="BL121" s="1576"/>
      <c r="BM121" s="1576"/>
      <c r="BN121" s="1576"/>
      <c r="BO121" s="1576"/>
      <c r="BP121" s="1576"/>
      <c r="BQ121" s="1576"/>
      <c r="BR121" s="1576"/>
      <c r="BS121" s="1576"/>
      <c r="BT121" s="1576"/>
      <c r="BU121" s="1576"/>
      <c r="BV121" s="1576"/>
      <c r="BW121" s="1576"/>
      <c r="BX121" s="1576"/>
      <c r="BY121" s="1576"/>
      <c r="BZ121" s="1576"/>
      <c r="CA121" s="1576"/>
      <c r="CB121" s="1576"/>
      <c r="CC121" s="1576"/>
      <c r="CD121" s="1576"/>
      <c r="CE121" s="1576"/>
      <c r="CF121" s="1576"/>
      <c r="CG121" s="1576"/>
      <c r="CH121" s="1576"/>
      <c r="CI121" s="1576"/>
      <c r="CJ121" s="1576"/>
      <c r="CK121" s="1576"/>
      <c r="CL121" s="1576"/>
      <c r="CM121" s="1576"/>
      <c r="CN121" s="1576"/>
      <c r="CO121" s="1576"/>
      <c r="CP121" s="1576"/>
      <c r="CQ121" s="1576"/>
      <c r="CR121" s="1576"/>
      <c r="CS121" s="1576"/>
      <c r="CT121" s="1576"/>
      <c r="CU121" s="1576"/>
      <c r="CV121" s="1576"/>
      <c r="CW121" s="1576"/>
      <c r="CX121" s="1576"/>
      <c r="CY121" s="1576"/>
      <c r="CZ121" s="1576"/>
      <c r="DA121" s="1576"/>
      <c r="DB121" s="1576"/>
      <c r="DC121" s="1576"/>
      <c r="DD121" s="1576"/>
      <c r="DE121" s="1576"/>
      <c r="DF121" s="1576"/>
      <c r="DG121" s="1576"/>
      <c r="DH121" s="1576"/>
      <c r="DI121" s="1576"/>
      <c r="DJ121" s="1576"/>
      <c r="DK121" s="1576"/>
      <c r="DL121" s="1576"/>
      <c r="DM121" s="1576"/>
      <c r="DN121" s="1576"/>
      <c r="DO121" s="1576"/>
      <c r="DP121" s="1576"/>
      <c r="DQ121" s="1576"/>
      <c r="DR121" s="1576"/>
      <c r="DS121" s="1576"/>
      <c r="DT121" s="1576"/>
      <c r="DU121" s="1576"/>
      <c r="DV121" s="1576"/>
      <c r="DW121" s="1576"/>
      <c r="DX121" s="1576"/>
      <c r="DY121" s="1576"/>
      <c r="DZ121" s="1576"/>
      <c r="EA121" s="1576"/>
      <c r="EB121" s="1576"/>
      <c r="EC121" s="1576"/>
      <c r="ED121" s="1576"/>
      <c r="EE121" s="1576"/>
      <c r="EF121" s="1576"/>
      <c r="EG121" s="1576"/>
      <c r="EH121" s="1576"/>
      <c r="EI121" s="1576"/>
      <c r="EJ121" s="1576"/>
      <c r="EK121" s="1576"/>
      <c r="EL121" s="1576"/>
      <c r="EM121" s="1576"/>
      <c r="EN121" s="1576"/>
      <c r="EO121" s="1576"/>
      <c r="EP121" s="1576"/>
      <c r="EQ121" s="1576"/>
      <c r="ER121" s="1576"/>
      <c r="ES121" s="1576"/>
      <c r="ET121" s="1576"/>
      <c r="EU121" s="1576"/>
      <c r="EV121" s="1576"/>
      <c r="EW121" s="1576"/>
      <c r="EX121" s="1576"/>
      <c r="EY121" s="1576"/>
      <c r="EZ121" s="1576"/>
      <c r="FA121" s="1576"/>
      <c r="FB121" s="1576"/>
      <c r="FC121" s="1576"/>
      <c r="FD121" s="1576"/>
      <c r="FE121" s="1576"/>
      <c r="FF121" s="1576"/>
      <c r="FG121" s="1576"/>
      <c r="FH121" s="1576"/>
      <c r="FI121" s="1576"/>
      <c r="FJ121" s="1576"/>
      <c r="FK121" s="1576"/>
      <c r="FL121" s="1576"/>
      <c r="FM121" s="1576"/>
      <c r="FN121" s="1576"/>
      <c r="FO121" s="1576"/>
      <c r="FP121" s="1576"/>
      <c r="FQ121" s="1576"/>
      <c r="FR121" s="1576"/>
      <c r="FS121" s="1576"/>
      <c r="FT121" s="1576"/>
      <c r="FU121" s="1576"/>
      <c r="FV121" s="1576"/>
      <c r="FW121" s="1576"/>
      <c r="FX121" s="1576"/>
      <c r="FY121" s="1576"/>
      <c r="FZ121" s="1576"/>
      <c r="GA121" s="1576"/>
      <c r="GB121" s="1576"/>
      <c r="GC121" s="1576"/>
      <c r="GD121" s="1576"/>
      <c r="GE121" s="1576"/>
      <c r="GF121" s="1576"/>
      <c r="GG121" s="1576"/>
      <c r="GH121" s="1576"/>
      <c r="GI121" s="1576"/>
      <c r="GJ121" s="1576"/>
      <c r="GK121" s="1576"/>
      <c r="GL121" s="1576"/>
      <c r="GM121" s="1576"/>
      <c r="GN121" s="1576"/>
      <c r="GO121" s="1576"/>
      <c r="GP121" s="1576"/>
      <c r="GQ121" s="1576"/>
      <c r="GR121" s="1576"/>
      <c r="GS121" s="1576"/>
      <c r="GT121" s="1576"/>
      <c r="GU121" s="1576"/>
      <c r="GV121" s="1576"/>
      <c r="GW121" s="1576"/>
      <c r="GX121" s="1576"/>
      <c r="GY121" s="1576"/>
      <c r="GZ121" s="1576"/>
      <c r="HA121" s="1576"/>
      <c r="HB121" s="1576"/>
      <c r="HC121" s="1576"/>
      <c r="HD121" s="1576"/>
      <c r="HE121" s="1576"/>
      <c r="HF121" s="1576"/>
      <c r="HG121" s="1576"/>
      <c r="HH121" s="1576"/>
      <c r="HI121" s="1576"/>
      <c r="HJ121" s="1576"/>
      <c r="HK121" s="1576"/>
      <c r="HL121" s="1576"/>
      <c r="HM121" s="1576"/>
      <c r="HN121" s="1576"/>
      <c r="HO121" s="1576"/>
      <c r="HP121" s="1576"/>
      <c r="HQ121" s="1576"/>
      <c r="HR121" s="1576"/>
      <c r="HS121" s="1576"/>
      <c r="HT121" s="1576"/>
      <c r="HU121" s="1576"/>
      <c r="HV121" s="1576"/>
      <c r="HW121" s="1576"/>
      <c r="HX121" s="1576"/>
      <c r="HY121" s="1576"/>
      <c r="HZ121" s="1576"/>
      <c r="IA121" s="1576"/>
      <c r="IB121" s="1576"/>
      <c r="IC121" s="1576"/>
      <c r="ID121" s="1576"/>
      <c r="IE121" s="1576"/>
      <c r="IF121" s="1576"/>
      <c r="IG121" s="1576"/>
      <c r="IH121" s="1576"/>
      <c r="II121" s="1576"/>
      <c r="IJ121" s="1576"/>
      <c r="IK121" s="1576"/>
      <c r="IL121" s="1576"/>
      <c r="IM121" s="1576"/>
      <c r="IN121" s="1576"/>
      <c r="IO121" s="1576"/>
      <c r="IP121" s="1576"/>
      <c r="IQ121" s="1576"/>
      <c r="IR121" s="1576"/>
      <c r="IS121" s="1576"/>
      <c r="IT121" s="1576"/>
      <c r="IU121" s="1576"/>
      <c r="IV121" s="1576"/>
      <c r="IW121" s="1576"/>
      <c r="IX121" s="1576"/>
      <c r="IY121" s="1576"/>
      <c r="IZ121" s="1576"/>
      <c r="JA121" s="2054"/>
      <c r="JB121" s="2054"/>
      <c r="JC121" s="2054"/>
      <c r="JD121" s="2054"/>
      <c r="JE121" s="2054"/>
      <c r="JF121" s="2054"/>
      <c r="JG121" s="2054"/>
      <c r="JH121" s="2054"/>
      <c r="JI121" s="2054"/>
      <c r="JJ121" s="2054"/>
      <c r="JK121" s="2054"/>
      <c r="JL121" s="2054"/>
      <c r="JM121" s="2054"/>
      <c r="JN121" s="2054"/>
      <c r="JO121" s="2054"/>
      <c r="JP121" s="2054"/>
      <c r="JQ121" s="2054"/>
      <c r="JR121" s="1576"/>
      <c r="JS121" s="1576"/>
      <c r="JT121" s="1576"/>
      <c r="JU121" s="1576"/>
      <c r="JV121" s="1576"/>
      <c r="JW121" s="1576"/>
      <c r="JX121" s="1576"/>
      <c r="JY121" s="1576"/>
      <c r="JZ121" s="1576"/>
      <c r="KA121" s="1576"/>
      <c r="KB121" s="1576"/>
      <c r="KC121" s="1576"/>
      <c r="KD121" s="1576"/>
      <c r="KE121" s="1576"/>
      <c r="KF121" s="1576"/>
      <c r="KG121" s="1576"/>
      <c r="KH121" s="1576"/>
      <c r="KI121" s="1576"/>
      <c r="KJ121" s="1576"/>
      <c r="KK121" s="1576"/>
      <c r="KL121" s="1576"/>
      <c r="KM121" s="1576"/>
      <c r="KN121" s="1576"/>
      <c r="KO121" s="1576"/>
      <c r="KP121" s="1576"/>
      <c r="KQ121" s="1576"/>
      <c r="KR121" s="1576"/>
      <c r="KS121" s="1576"/>
      <c r="KT121" s="1576"/>
      <c r="KU121" s="1576"/>
      <c r="KV121" s="1576"/>
      <c r="KW121" s="1576"/>
      <c r="KX121" s="1576"/>
      <c r="KY121" s="1576"/>
      <c r="KZ121" s="1576"/>
      <c r="LA121" s="1576"/>
      <c r="LB121" s="1576"/>
      <c r="LC121" s="1576"/>
      <c r="LD121" s="1576"/>
      <c r="LE121" s="1576"/>
      <c r="LF121" s="1576"/>
      <c r="LG121" s="1576"/>
      <c r="LH121" s="1576"/>
      <c r="LI121" s="1576"/>
      <c r="LJ121" s="1576"/>
      <c r="LK121" s="1576"/>
      <c r="LL121" s="1576"/>
      <c r="LM121" s="1576"/>
      <c r="LN121" s="1576"/>
      <c r="LO121" s="1576"/>
      <c r="LP121" s="1576"/>
      <c r="LQ121" s="1576"/>
      <c r="LR121" s="1576"/>
      <c r="LS121" s="1576"/>
      <c r="LT121" s="1576"/>
      <c r="LU121" s="1576"/>
      <c r="LV121" s="1576"/>
      <c r="LW121" s="1576"/>
      <c r="LX121" s="1576"/>
      <c r="LY121" s="1576"/>
      <c r="LZ121" s="1576"/>
      <c r="MA121" s="1576"/>
      <c r="MB121" s="1576"/>
      <c r="MC121" s="1576"/>
      <c r="MD121" s="1576"/>
      <c r="ME121" s="1576"/>
      <c r="MF121" s="1576"/>
      <c r="MG121" s="1576"/>
      <c r="MH121" s="1576"/>
      <c r="MI121" s="1576"/>
      <c r="MJ121" s="1576"/>
      <c r="MK121" s="1576"/>
      <c r="ML121" s="1576"/>
      <c r="MM121" s="1576"/>
      <c r="MN121" s="1576"/>
      <c r="MO121" s="1576"/>
      <c r="MP121" s="1576"/>
      <c r="MQ121" s="1576"/>
      <c r="MR121" s="1576"/>
      <c r="MS121" s="1576"/>
      <c r="MT121" s="1576"/>
      <c r="MU121" s="1576"/>
      <c r="MV121" s="1576"/>
      <c r="MW121" s="1576"/>
      <c r="MX121" s="1576"/>
      <c r="MY121" s="1576"/>
      <c r="MZ121" s="1576"/>
      <c r="NA121" s="1576"/>
      <c r="NB121" s="1576"/>
      <c r="NC121" s="1576"/>
      <c r="ND121" s="1576"/>
      <c r="NE121" s="1576"/>
      <c r="NF121" s="1576"/>
      <c r="NG121" s="1576"/>
      <c r="NH121" s="1576"/>
      <c r="NI121" s="1576"/>
      <c r="NJ121" s="1576"/>
      <c r="NK121" s="1576"/>
      <c r="NL121" s="1576"/>
      <c r="NM121" s="1576"/>
      <c r="NN121" s="1576"/>
      <c r="NO121" s="1576"/>
      <c r="NP121" s="1576"/>
      <c r="NQ121" s="1576"/>
      <c r="NR121" s="1576"/>
      <c r="NS121" s="1576"/>
      <c r="NT121" s="1576"/>
      <c r="NU121" s="1576"/>
      <c r="NV121" s="1576"/>
      <c r="NW121" s="1576"/>
      <c r="NX121" s="1576"/>
      <c r="NY121" s="1576"/>
      <c r="NZ121" s="1576"/>
      <c r="OA121" s="1576"/>
      <c r="OB121" s="1576"/>
      <c r="OC121" s="1576"/>
      <c r="OD121" s="1576"/>
      <c r="OE121" s="1576"/>
      <c r="OF121" s="1576"/>
      <c r="OG121" s="1576"/>
      <c r="OH121" s="1576"/>
      <c r="OI121" s="1576"/>
      <c r="OJ121" s="1576"/>
      <c r="OK121" s="1576"/>
      <c r="OL121" s="1576"/>
      <c r="OM121" s="1576"/>
      <c r="ON121" s="1576"/>
      <c r="OO121" s="1576"/>
      <c r="OP121" s="1576"/>
      <c r="OQ121" s="1576"/>
      <c r="OR121" s="1576"/>
      <c r="OS121" s="1576"/>
      <c r="OT121" s="1576"/>
      <c r="OU121" s="1576"/>
      <c r="OV121" s="1576"/>
      <c r="OW121" s="1576"/>
      <c r="OX121" s="1576"/>
      <c r="OY121" s="1576"/>
      <c r="OZ121" s="1576"/>
      <c r="PA121" s="1576"/>
      <c r="PB121" s="1576"/>
      <c r="PC121" s="1576"/>
      <c r="PD121" s="1576"/>
      <c r="PE121" s="1576"/>
      <c r="PF121" s="1576"/>
      <c r="PG121" s="1576"/>
      <c r="PH121" s="1576"/>
      <c r="PI121" s="1576"/>
      <c r="PJ121" s="1576"/>
      <c r="PK121" s="1576"/>
      <c r="PL121" s="1576"/>
      <c r="PM121" s="1576"/>
      <c r="PN121" s="1576"/>
      <c r="PO121" s="1576"/>
      <c r="PP121" s="1576"/>
      <c r="PQ121" s="1576"/>
      <c r="PR121" s="1576"/>
      <c r="PS121" s="1576"/>
      <c r="PT121" s="1576"/>
      <c r="PU121" s="1576"/>
      <c r="PV121" s="1576"/>
      <c r="PW121" s="1576"/>
      <c r="PX121" s="1576"/>
      <c r="PY121" s="1576"/>
      <c r="PZ121" s="1576"/>
      <c r="QA121" s="1576"/>
      <c r="QB121" s="1576"/>
      <c r="QC121" s="1576"/>
      <c r="QD121" s="1576"/>
      <c r="QE121" s="1576"/>
      <c r="QF121" s="1576"/>
      <c r="QG121" s="1576"/>
      <c r="QH121" s="1576"/>
      <c r="QI121" s="1576"/>
      <c r="QJ121" s="1576"/>
      <c r="QK121" s="1576"/>
      <c r="QL121" s="1576"/>
      <c r="QM121" s="1576"/>
      <c r="QN121" s="1576"/>
      <c r="QO121" s="1576"/>
      <c r="QP121" s="1576"/>
      <c r="QQ121" s="1576"/>
      <c r="QR121" s="1576"/>
      <c r="QS121" s="1576"/>
      <c r="QT121" s="1576"/>
      <c r="QU121" s="1576"/>
      <c r="QV121" s="1576"/>
      <c r="QW121" s="1576"/>
      <c r="QX121" s="1576"/>
      <c r="QY121" s="1576"/>
      <c r="QZ121" s="1576"/>
      <c r="RA121" s="1576"/>
      <c r="RB121" s="1576"/>
      <c r="RC121" s="1576"/>
      <c r="RD121" s="1576"/>
      <c r="RE121" s="1576"/>
      <c r="RF121" s="1576"/>
      <c r="RG121" s="1576"/>
      <c r="RH121" s="1576"/>
      <c r="RI121" s="1576"/>
      <c r="RJ121" s="1576"/>
      <c r="RK121" s="1576"/>
      <c r="RL121" s="1576"/>
      <c r="RM121" s="1576"/>
      <c r="RN121" s="1576"/>
      <c r="RO121" s="1576"/>
      <c r="RP121" s="1576"/>
      <c r="RQ121" s="1576"/>
      <c r="RR121" s="1576"/>
      <c r="RS121" s="1576"/>
      <c r="RT121" s="1576"/>
      <c r="RU121" s="1576"/>
      <c r="RV121" s="1576"/>
      <c r="RW121" s="1576"/>
      <c r="RX121" s="1576"/>
      <c r="RY121" s="1576"/>
      <c r="RZ121" s="1576"/>
      <c r="SA121" s="1576"/>
      <c r="SB121" s="1576"/>
      <c r="SC121" s="1576"/>
      <c r="SD121" s="1576"/>
      <c r="SE121" s="1576"/>
      <c r="SF121" s="1576"/>
      <c r="SG121" s="1576"/>
      <c r="SH121" s="1576"/>
      <c r="SI121" s="1576"/>
      <c r="SJ121" s="1576"/>
      <c r="SK121" s="1576"/>
      <c r="SL121" s="1576"/>
      <c r="SM121" s="1576"/>
      <c r="SN121" s="1576"/>
      <c r="SO121" s="1576"/>
      <c r="SP121" s="1576"/>
      <c r="SQ121" s="1576"/>
      <c r="SR121" s="1576"/>
      <c r="SS121" s="1576"/>
      <c r="ST121" s="1576"/>
      <c r="SU121" s="1576"/>
      <c r="SV121" s="1576"/>
      <c r="SW121" s="1576"/>
      <c r="SX121" s="1576"/>
      <c r="SY121" s="1576"/>
      <c r="SZ121" s="1576"/>
      <c r="TA121" s="1576"/>
      <c r="TB121" s="1576"/>
      <c r="TC121" s="1576"/>
      <c r="TD121" s="1576"/>
      <c r="TE121" s="1576"/>
      <c r="TF121" s="1576"/>
      <c r="TG121" s="1576"/>
      <c r="TH121" s="1576"/>
      <c r="TI121" s="1576"/>
      <c r="TJ121" s="1576"/>
      <c r="TK121" s="1576"/>
      <c r="TL121" s="1576"/>
      <c r="TM121" s="1576"/>
      <c r="TN121" s="1576"/>
      <c r="TO121" s="1576"/>
      <c r="TP121" s="1576"/>
      <c r="TQ121" s="1576"/>
      <c r="TR121" s="1576"/>
      <c r="TS121" s="1576"/>
      <c r="TT121" s="1576"/>
      <c r="TU121" s="1576"/>
      <c r="TV121" s="1576"/>
      <c r="TW121" s="1576"/>
      <c r="TX121" s="1576"/>
      <c r="TY121" s="1576"/>
      <c r="TZ121" s="1576"/>
      <c r="UA121" s="1576"/>
      <c r="UB121" s="1576"/>
      <c r="UC121" s="1576"/>
      <c r="UD121" s="1576"/>
      <c r="UE121" s="1576"/>
      <c r="UF121" s="1576"/>
      <c r="UG121" s="1576"/>
      <c r="UH121" s="1576"/>
      <c r="UI121" s="1576"/>
      <c r="UJ121" s="1576"/>
      <c r="UK121" s="1576"/>
      <c r="UL121" s="1576"/>
      <c r="UM121" s="1576"/>
      <c r="UN121" s="1576"/>
      <c r="UO121" s="1576"/>
      <c r="UP121" s="1576"/>
      <c r="UQ121" s="1576"/>
      <c r="UR121" s="1576"/>
      <c r="US121" s="1576"/>
      <c r="UT121" s="1576"/>
      <c r="UU121" s="1576"/>
      <c r="UV121" s="1576"/>
      <c r="UW121" s="1576"/>
      <c r="UX121" s="1576"/>
      <c r="UY121" s="1576"/>
      <c r="UZ121" s="1576"/>
      <c r="VA121" s="1576"/>
      <c r="VB121" s="1576"/>
      <c r="VC121" s="1576"/>
      <c r="VD121" s="1576"/>
      <c r="VE121" s="1576"/>
      <c r="VF121" s="1576"/>
      <c r="VG121" s="1576"/>
      <c r="VH121" s="1576"/>
      <c r="VI121" s="1576"/>
      <c r="VJ121" s="1576"/>
      <c r="VK121" s="1576"/>
    </row>
    <row r="122" spans="1:583" ht="25.5" customHeight="1" x14ac:dyDescent="0.25">
      <c r="B122" s="1610" t="s">
        <v>115</v>
      </c>
      <c r="C122" s="1582" t="s">
        <v>2820</v>
      </c>
      <c r="D122" s="4710" t="s">
        <v>2821</v>
      </c>
      <c r="E122" s="4710">
        <v>0</v>
      </c>
      <c r="F122" s="1912"/>
      <c r="G122" s="1912"/>
      <c r="H122" s="1912"/>
      <c r="I122" s="1576"/>
      <c r="J122" s="1576"/>
      <c r="K122" s="1576"/>
      <c r="L122" s="1576"/>
      <c r="M122" s="1576"/>
      <c r="N122" s="1576"/>
      <c r="O122" s="1576"/>
      <c r="P122" s="1576"/>
      <c r="Q122" s="1576"/>
      <c r="R122" s="1576"/>
      <c r="S122" s="1576"/>
      <c r="T122" s="1576"/>
      <c r="U122" s="1576"/>
      <c r="V122" s="1576"/>
      <c r="W122" s="1576"/>
      <c r="X122" s="1576"/>
      <c r="Y122" s="1576"/>
      <c r="Z122" s="1576"/>
      <c r="AA122" s="1576"/>
      <c r="AB122" s="1576"/>
      <c r="AC122" s="1576"/>
      <c r="AD122" s="1576"/>
      <c r="AE122" s="1576"/>
      <c r="AF122" s="1576"/>
      <c r="AG122" s="1576"/>
      <c r="AH122" s="1576"/>
      <c r="AI122" s="1576"/>
      <c r="AJ122" s="1576"/>
      <c r="AK122" s="1576"/>
      <c r="AL122" s="1576"/>
      <c r="AM122" s="1576"/>
      <c r="AN122" s="1576"/>
      <c r="AO122" s="1576"/>
      <c r="AP122" s="1576"/>
      <c r="AQ122" s="1576"/>
      <c r="AR122" s="1576"/>
      <c r="AS122" s="1576"/>
      <c r="AT122" s="1576"/>
      <c r="AU122" s="1576"/>
      <c r="AV122" s="1576"/>
      <c r="AW122" s="1576"/>
      <c r="AX122" s="1576"/>
      <c r="AY122" s="1576"/>
      <c r="AZ122" s="1576"/>
      <c r="BA122" s="1576"/>
      <c r="BB122" s="1576"/>
      <c r="BC122" s="1576"/>
      <c r="BD122" s="1576"/>
      <c r="BE122" s="1576"/>
      <c r="BF122" s="1576"/>
      <c r="BG122" s="1576"/>
      <c r="BH122" s="1576"/>
      <c r="BI122" s="1576"/>
      <c r="BJ122" s="1576"/>
      <c r="BK122" s="1576"/>
      <c r="BL122" s="1576"/>
      <c r="BM122" s="1576"/>
      <c r="BN122" s="1576"/>
      <c r="BO122" s="1576"/>
      <c r="BP122" s="1576"/>
      <c r="BQ122" s="1576"/>
      <c r="BR122" s="1576"/>
      <c r="BS122" s="1576"/>
      <c r="BT122" s="1576"/>
      <c r="BU122" s="1576"/>
      <c r="BV122" s="1576"/>
      <c r="BW122" s="1576"/>
      <c r="BX122" s="1576"/>
      <c r="BY122" s="1576"/>
      <c r="BZ122" s="1576"/>
      <c r="CA122" s="1576"/>
      <c r="CB122" s="1576"/>
      <c r="CC122" s="1576"/>
      <c r="CD122" s="1576"/>
      <c r="CE122" s="1576"/>
      <c r="CF122" s="1576"/>
      <c r="CG122" s="1576"/>
      <c r="CH122" s="1576"/>
      <c r="CI122" s="1576"/>
      <c r="CJ122" s="1576"/>
      <c r="CK122" s="1576"/>
      <c r="CL122" s="1576"/>
      <c r="CM122" s="1576"/>
      <c r="CN122" s="1576"/>
      <c r="CO122" s="1576"/>
      <c r="CP122" s="1576"/>
      <c r="CQ122" s="1576"/>
      <c r="CR122" s="1576"/>
      <c r="CS122" s="1576"/>
      <c r="CT122" s="1576"/>
      <c r="CU122" s="1576"/>
      <c r="CV122" s="1576"/>
      <c r="CW122" s="1576"/>
      <c r="CX122" s="1576"/>
      <c r="CY122" s="1576"/>
      <c r="CZ122" s="1576"/>
      <c r="DA122" s="1576"/>
      <c r="DB122" s="1576"/>
      <c r="DC122" s="1576"/>
      <c r="DD122" s="1576"/>
      <c r="DE122" s="1576"/>
      <c r="DF122" s="1576"/>
      <c r="DG122" s="1576"/>
      <c r="DH122" s="1576"/>
      <c r="DI122" s="1576"/>
      <c r="DJ122" s="1576"/>
      <c r="DK122" s="1576"/>
      <c r="DL122" s="1576"/>
      <c r="DM122" s="1576"/>
      <c r="DN122" s="1576"/>
      <c r="DO122" s="1576"/>
      <c r="DP122" s="1576"/>
      <c r="DQ122" s="1576"/>
      <c r="DR122" s="1576"/>
      <c r="DS122" s="1576"/>
      <c r="DT122" s="1576"/>
      <c r="DU122" s="1576"/>
      <c r="DV122" s="1576"/>
      <c r="DW122" s="1576"/>
      <c r="DX122" s="1576"/>
      <c r="DY122" s="1576"/>
      <c r="DZ122" s="1576"/>
      <c r="EA122" s="1576"/>
      <c r="EB122" s="1576"/>
      <c r="EC122" s="1576"/>
      <c r="ED122" s="1576"/>
      <c r="EE122" s="1576"/>
      <c r="EF122" s="1576"/>
      <c r="EG122" s="1576"/>
      <c r="EH122" s="1576"/>
      <c r="EI122" s="1576"/>
      <c r="EJ122" s="1576"/>
      <c r="EK122" s="1576"/>
      <c r="EL122" s="1576"/>
      <c r="EM122" s="1576"/>
      <c r="EN122" s="1576"/>
      <c r="EO122" s="1576"/>
      <c r="EP122" s="1576"/>
      <c r="EQ122" s="1576"/>
      <c r="ER122" s="1576"/>
      <c r="ES122" s="1576"/>
      <c r="ET122" s="1576"/>
      <c r="EU122" s="1576"/>
      <c r="EV122" s="1576"/>
      <c r="EW122" s="1576"/>
      <c r="EX122" s="1576"/>
      <c r="EY122" s="1576"/>
      <c r="EZ122" s="1576"/>
      <c r="FA122" s="1576"/>
      <c r="FB122" s="1576"/>
      <c r="FC122" s="1576"/>
      <c r="FD122" s="1576"/>
      <c r="FE122" s="1576"/>
      <c r="FF122" s="1576"/>
      <c r="FG122" s="1576"/>
      <c r="FH122" s="1576"/>
      <c r="FI122" s="1576"/>
      <c r="FJ122" s="1576"/>
      <c r="FK122" s="1576"/>
      <c r="FL122" s="1576"/>
      <c r="FM122" s="1576"/>
      <c r="FN122" s="1576"/>
      <c r="FO122" s="1576"/>
      <c r="FP122" s="1576"/>
      <c r="FQ122" s="1576"/>
      <c r="FR122" s="1576"/>
      <c r="FS122" s="1576"/>
      <c r="FT122" s="1576"/>
      <c r="FU122" s="1576"/>
      <c r="FV122" s="1576"/>
      <c r="FW122" s="1576"/>
      <c r="FX122" s="1576"/>
      <c r="FY122" s="1576"/>
      <c r="FZ122" s="1576"/>
      <c r="GA122" s="1576"/>
      <c r="GB122" s="1576"/>
      <c r="GC122" s="1576"/>
      <c r="GD122" s="1576"/>
      <c r="GE122" s="1576"/>
      <c r="GF122" s="1576"/>
      <c r="GG122" s="1576"/>
      <c r="GH122" s="1576"/>
      <c r="GI122" s="1576"/>
      <c r="GJ122" s="1576"/>
      <c r="GK122" s="1576"/>
      <c r="GL122" s="1576"/>
      <c r="GM122" s="1576"/>
      <c r="GN122" s="1576"/>
      <c r="GO122" s="1576"/>
      <c r="GP122" s="1576"/>
      <c r="GQ122" s="1576"/>
      <c r="GR122" s="1576"/>
      <c r="GS122" s="1576"/>
      <c r="GT122" s="1576"/>
      <c r="GU122" s="1576"/>
      <c r="GV122" s="1576"/>
      <c r="GW122" s="1576"/>
      <c r="GX122" s="1576"/>
      <c r="GY122" s="1576"/>
      <c r="GZ122" s="1576"/>
      <c r="HA122" s="1576"/>
      <c r="HB122" s="1576"/>
      <c r="HC122" s="1576"/>
      <c r="HD122" s="1576"/>
      <c r="HE122" s="1576"/>
      <c r="HF122" s="1576"/>
      <c r="HG122" s="1576"/>
      <c r="HH122" s="1576"/>
      <c r="HI122" s="1576"/>
      <c r="HJ122" s="1576"/>
      <c r="HK122" s="1576"/>
      <c r="HL122" s="1576"/>
      <c r="HM122" s="1576"/>
      <c r="HN122" s="1576"/>
      <c r="HO122" s="1576"/>
      <c r="HP122" s="1576"/>
      <c r="HQ122" s="1576"/>
      <c r="HR122" s="1576"/>
      <c r="HS122" s="1576"/>
      <c r="HT122" s="1576"/>
      <c r="HU122" s="1576"/>
      <c r="HV122" s="1576"/>
      <c r="HW122" s="1576"/>
      <c r="HX122" s="1576"/>
      <c r="HY122" s="1576"/>
      <c r="HZ122" s="1576"/>
      <c r="IA122" s="1576"/>
      <c r="IB122" s="1576"/>
      <c r="IC122" s="1576"/>
      <c r="ID122" s="1576"/>
      <c r="IE122" s="1576"/>
      <c r="IF122" s="1576"/>
      <c r="IG122" s="1576"/>
      <c r="IH122" s="1576"/>
      <c r="II122" s="1576"/>
      <c r="IJ122" s="1576"/>
      <c r="IK122" s="1576"/>
      <c r="IL122" s="1576"/>
      <c r="IM122" s="1576"/>
      <c r="IN122" s="1576"/>
      <c r="IO122" s="1576"/>
      <c r="IP122" s="1576"/>
      <c r="IQ122" s="1576"/>
      <c r="IR122" s="1576"/>
      <c r="IS122" s="1576"/>
      <c r="IT122" s="1576"/>
      <c r="IU122" s="1576"/>
      <c r="IV122" s="1576"/>
      <c r="IW122" s="1576"/>
      <c r="IX122" s="1576"/>
      <c r="IY122" s="1576"/>
      <c r="IZ122" s="1576"/>
      <c r="JA122" s="2054"/>
      <c r="JB122" s="2054"/>
      <c r="JC122" s="2054"/>
      <c r="JD122" s="2054"/>
      <c r="JE122" s="2054"/>
      <c r="JF122" s="2054"/>
      <c r="JG122" s="2054"/>
      <c r="JH122" s="2054"/>
      <c r="JI122" s="2054"/>
      <c r="JJ122" s="2054"/>
      <c r="JK122" s="2054"/>
      <c r="JL122" s="2054"/>
      <c r="JM122" s="2054"/>
      <c r="JN122" s="2054"/>
      <c r="JO122" s="2054"/>
      <c r="JP122" s="2054"/>
      <c r="JQ122" s="2054"/>
      <c r="JR122" s="1576"/>
      <c r="JS122" s="1576"/>
      <c r="JT122" s="1576"/>
      <c r="JU122" s="1576"/>
      <c r="JV122" s="1576"/>
      <c r="JW122" s="1576"/>
      <c r="JX122" s="1576"/>
      <c r="JY122" s="1576"/>
      <c r="JZ122" s="1576"/>
      <c r="KA122" s="1576"/>
      <c r="KB122" s="1576"/>
      <c r="KC122" s="1576"/>
      <c r="KD122" s="1576"/>
      <c r="KE122" s="1576"/>
      <c r="KF122" s="1576"/>
      <c r="KG122" s="1576"/>
      <c r="KH122" s="1576"/>
      <c r="KI122" s="1576"/>
      <c r="KJ122" s="1576"/>
      <c r="KK122" s="1576"/>
      <c r="KL122" s="1576"/>
      <c r="KM122" s="1576"/>
      <c r="KN122" s="1576"/>
      <c r="KO122" s="1576"/>
      <c r="KP122" s="1576"/>
      <c r="KQ122" s="1576"/>
      <c r="KR122" s="1576"/>
      <c r="KS122" s="1576"/>
      <c r="KT122" s="1576"/>
      <c r="KU122" s="1576"/>
      <c r="KV122" s="1576"/>
      <c r="KW122" s="1576"/>
      <c r="KX122" s="1576"/>
      <c r="KY122" s="1576"/>
      <c r="KZ122" s="1576"/>
      <c r="LA122" s="1576"/>
      <c r="LB122" s="1576"/>
      <c r="LC122" s="1576"/>
      <c r="LD122" s="1576"/>
      <c r="LE122" s="1576"/>
      <c r="LF122" s="1576"/>
      <c r="LG122" s="1576"/>
      <c r="LH122" s="1576"/>
      <c r="LI122" s="1576"/>
      <c r="LJ122" s="1576"/>
      <c r="LK122" s="1576"/>
      <c r="LL122" s="1576"/>
      <c r="LM122" s="1576"/>
      <c r="LN122" s="1576"/>
      <c r="LO122" s="1576"/>
      <c r="LP122" s="1576"/>
      <c r="LQ122" s="1576"/>
      <c r="LR122" s="1576"/>
      <c r="LS122" s="1576"/>
      <c r="LT122" s="1576"/>
      <c r="LU122" s="1576"/>
      <c r="LV122" s="1576"/>
      <c r="LW122" s="1576"/>
      <c r="LX122" s="1576"/>
      <c r="LY122" s="1576"/>
      <c r="LZ122" s="1576"/>
      <c r="MA122" s="1576"/>
      <c r="MB122" s="1576"/>
      <c r="MC122" s="1576"/>
      <c r="MD122" s="1576"/>
      <c r="ME122" s="1576"/>
      <c r="MF122" s="1576"/>
      <c r="MG122" s="1576"/>
      <c r="MH122" s="1576"/>
      <c r="MI122" s="1576"/>
      <c r="MJ122" s="1576"/>
      <c r="MK122" s="1576"/>
      <c r="ML122" s="1576"/>
      <c r="MM122" s="1576"/>
      <c r="MN122" s="1576"/>
      <c r="MO122" s="1576"/>
      <c r="MP122" s="1576"/>
      <c r="MQ122" s="1576"/>
      <c r="MR122" s="1576"/>
      <c r="MS122" s="1576"/>
      <c r="MT122" s="1576"/>
      <c r="MU122" s="1576"/>
      <c r="MV122" s="1576"/>
      <c r="MW122" s="1576"/>
      <c r="MX122" s="1576"/>
      <c r="MY122" s="1576"/>
      <c r="MZ122" s="1576"/>
      <c r="NA122" s="1576"/>
      <c r="NB122" s="1576"/>
      <c r="NC122" s="1576"/>
      <c r="ND122" s="1576"/>
      <c r="NE122" s="1576"/>
      <c r="NF122" s="1576"/>
      <c r="NG122" s="1576"/>
      <c r="NH122" s="1576"/>
      <c r="NI122" s="1576"/>
      <c r="NJ122" s="1576"/>
      <c r="NK122" s="1576"/>
      <c r="NL122" s="1576"/>
      <c r="NM122" s="1576"/>
      <c r="NN122" s="1576"/>
      <c r="NO122" s="1576"/>
      <c r="NP122" s="1576"/>
      <c r="NQ122" s="1576"/>
      <c r="NR122" s="1576"/>
      <c r="NS122" s="1576"/>
      <c r="NT122" s="1576"/>
      <c r="NU122" s="1576"/>
      <c r="NV122" s="1576"/>
      <c r="NW122" s="1576"/>
      <c r="NX122" s="1576"/>
      <c r="NY122" s="1576"/>
      <c r="NZ122" s="1576"/>
      <c r="OA122" s="1576"/>
      <c r="OB122" s="1576"/>
      <c r="OC122" s="1576"/>
      <c r="OD122" s="1576"/>
      <c r="OE122" s="1576"/>
      <c r="OF122" s="1576"/>
      <c r="OG122" s="1576"/>
      <c r="OH122" s="1576"/>
      <c r="OI122" s="1576"/>
      <c r="OJ122" s="1576"/>
      <c r="OK122" s="1576"/>
      <c r="OL122" s="1576"/>
      <c r="OM122" s="1576"/>
      <c r="ON122" s="1576"/>
      <c r="OO122" s="1576"/>
      <c r="OP122" s="1576"/>
      <c r="OQ122" s="1576"/>
      <c r="OR122" s="1576"/>
      <c r="OS122" s="1576"/>
      <c r="OT122" s="1576"/>
      <c r="OU122" s="1576"/>
      <c r="OV122" s="1576"/>
      <c r="OW122" s="1576"/>
      <c r="OX122" s="1576"/>
      <c r="OY122" s="1576"/>
      <c r="OZ122" s="1576"/>
      <c r="PA122" s="1576"/>
      <c r="PB122" s="1576"/>
      <c r="PC122" s="1576"/>
      <c r="PD122" s="1576"/>
      <c r="PE122" s="1576"/>
      <c r="PF122" s="1576"/>
      <c r="PG122" s="1576"/>
      <c r="PH122" s="1576"/>
      <c r="PI122" s="1576"/>
      <c r="PJ122" s="1576"/>
      <c r="PK122" s="1576"/>
      <c r="PL122" s="1576"/>
      <c r="PM122" s="1576"/>
      <c r="PN122" s="1576"/>
      <c r="PO122" s="1576"/>
      <c r="PP122" s="1576"/>
      <c r="PQ122" s="1576"/>
      <c r="PR122" s="1576"/>
      <c r="PS122" s="1576"/>
      <c r="PT122" s="1576"/>
      <c r="PU122" s="1576"/>
      <c r="PV122" s="1576"/>
      <c r="PW122" s="1576"/>
      <c r="PX122" s="1576"/>
      <c r="PY122" s="1576"/>
      <c r="PZ122" s="1576"/>
      <c r="QA122" s="1576"/>
      <c r="QB122" s="1576"/>
      <c r="QC122" s="1576"/>
      <c r="QD122" s="1576"/>
      <c r="QE122" s="1576"/>
      <c r="QF122" s="1576"/>
      <c r="QG122" s="1576"/>
      <c r="QH122" s="1576"/>
      <c r="QI122" s="1576"/>
      <c r="QJ122" s="1576"/>
      <c r="QK122" s="1576"/>
      <c r="QL122" s="1576"/>
      <c r="QM122" s="1576"/>
      <c r="QN122" s="1576"/>
      <c r="QO122" s="1576"/>
      <c r="QP122" s="1576"/>
      <c r="QQ122" s="1576"/>
      <c r="QR122" s="1576"/>
      <c r="QS122" s="1576"/>
      <c r="QT122" s="1576"/>
      <c r="QU122" s="1576"/>
      <c r="QV122" s="1576"/>
      <c r="QW122" s="1576"/>
      <c r="QX122" s="1576"/>
      <c r="QY122" s="1576"/>
      <c r="QZ122" s="1576"/>
      <c r="RA122" s="1576"/>
      <c r="RB122" s="1576"/>
      <c r="RC122" s="1576"/>
      <c r="RD122" s="1576"/>
      <c r="RE122" s="1576"/>
      <c r="RF122" s="1576"/>
      <c r="RG122" s="1576"/>
      <c r="RH122" s="1576"/>
      <c r="RI122" s="1576"/>
      <c r="RJ122" s="1576"/>
      <c r="RK122" s="1576"/>
      <c r="RL122" s="1576"/>
      <c r="RM122" s="1576"/>
      <c r="RN122" s="1576"/>
      <c r="RO122" s="1576"/>
      <c r="RP122" s="1576"/>
      <c r="RQ122" s="1576"/>
      <c r="RR122" s="1576"/>
      <c r="RS122" s="1576"/>
      <c r="RT122" s="1576"/>
      <c r="RU122" s="1576"/>
      <c r="RV122" s="1576"/>
      <c r="RW122" s="1576"/>
      <c r="RX122" s="1576"/>
      <c r="RY122" s="1576"/>
      <c r="RZ122" s="1576"/>
      <c r="SA122" s="1576"/>
      <c r="SB122" s="1576"/>
      <c r="SC122" s="1576"/>
      <c r="SD122" s="1576"/>
      <c r="SE122" s="1576"/>
      <c r="SF122" s="1576"/>
      <c r="SG122" s="1576"/>
      <c r="SH122" s="1576"/>
      <c r="SI122" s="1576"/>
      <c r="SJ122" s="1576"/>
      <c r="SK122" s="1576"/>
      <c r="SL122" s="1576"/>
      <c r="SM122" s="1576"/>
      <c r="SN122" s="1576"/>
      <c r="SO122" s="1576"/>
      <c r="SP122" s="1576"/>
      <c r="SQ122" s="1576"/>
      <c r="SR122" s="1576"/>
      <c r="SS122" s="1576"/>
      <c r="ST122" s="1576"/>
      <c r="SU122" s="1576"/>
      <c r="SV122" s="1576"/>
      <c r="SW122" s="1576"/>
      <c r="SX122" s="1576"/>
      <c r="SY122" s="1576"/>
      <c r="SZ122" s="1576"/>
      <c r="TA122" s="1576"/>
      <c r="TB122" s="1576"/>
      <c r="TC122" s="1576"/>
      <c r="TD122" s="1576"/>
      <c r="TE122" s="1576"/>
      <c r="TF122" s="1576"/>
      <c r="TG122" s="1576"/>
      <c r="TH122" s="1576"/>
      <c r="TI122" s="1576"/>
      <c r="TJ122" s="1576"/>
      <c r="TK122" s="1576"/>
      <c r="TL122" s="1576"/>
      <c r="TM122" s="1576"/>
      <c r="TN122" s="1576"/>
      <c r="TO122" s="1576"/>
      <c r="TP122" s="1576"/>
      <c r="TQ122" s="1576"/>
      <c r="TR122" s="1576"/>
      <c r="TS122" s="1576"/>
      <c r="TT122" s="1576"/>
      <c r="TU122" s="1576"/>
      <c r="TV122" s="1576"/>
      <c r="TW122" s="1576"/>
      <c r="TX122" s="1576"/>
      <c r="TY122" s="1576"/>
      <c r="TZ122" s="1576"/>
      <c r="UA122" s="1576"/>
      <c r="UB122" s="1576"/>
      <c r="UC122" s="1576"/>
      <c r="UD122" s="1576"/>
      <c r="UE122" s="1576"/>
      <c r="UF122" s="1576"/>
      <c r="UG122" s="1576"/>
      <c r="UH122" s="1576"/>
      <c r="UI122" s="1576"/>
      <c r="UJ122" s="1576"/>
      <c r="UK122" s="1576"/>
      <c r="UL122" s="1576"/>
      <c r="UM122" s="1576"/>
      <c r="UN122" s="1576"/>
      <c r="UO122" s="1576"/>
      <c r="UP122" s="1576"/>
      <c r="UQ122" s="1576"/>
      <c r="UR122" s="1576"/>
      <c r="US122" s="1576"/>
      <c r="UT122" s="1576"/>
      <c r="UU122" s="1576"/>
      <c r="UV122" s="1576"/>
      <c r="UW122" s="1576"/>
      <c r="UX122" s="1576"/>
      <c r="UY122" s="1576"/>
      <c r="UZ122" s="1576"/>
      <c r="VA122" s="1576"/>
      <c r="VB122" s="1576"/>
      <c r="VC122" s="1576"/>
      <c r="VD122" s="1576"/>
      <c r="VE122" s="1576"/>
      <c r="VF122" s="1576"/>
      <c r="VG122" s="1576"/>
      <c r="VH122" s="1576"/>
      <c r="VI122" s="1576"/>
      <c r="VJ122" s="1576"/>
      <c r="VK122" s="1576"/>
    </row>
    <row r="123" spans="1:583" ht="29.25" customHeight="1" x14ac:dyDescent="0.25">
      <c r="B123" s="1610" t="s">
        <v>115</v>
      </c>
      <c r="C123" s="1582" t="s">
        <v>2822</v>
      </c>
      <c r="D123" s="4710" t="s">
        <v>2823</v>
      </c>
      <c r="E123" s="4710">
        <v>0</v>
      </c>
      <c r="F123" s="1912"/>
      <c r="G123" s="1912"/>
      <c r="H123" s="1912"/>
      <c r="I123" s="1576"/>
      <c r="J123" s="1576"/>
      <c r="K123" s="1576"/>
      <c r="L123" s="1576"/>
      <c r="M123" s="1576"/>
      <c r="N123" s="1576"/>
      <c r="O123" s="1576"/>
      <c r="P123" s="1576"/>
      <c r="Q123" s="1576"/>
      <c r="R123" s="1576"/>
      <c r="S123" s="1576"/>
      <c r="T123" s="1576"/>
      <c r="U123" s="1576"/>
      <c r="V123" s="1576"/>
      <c r="W123" s="1576"/>
      <c r="X123" s="1576"/>
      <c r="Y123" s="1576"/>
      <c r="Z123" s="1576"/>
      <c r="AA123" s="1576"/>
      <c r="AB123" s="1576"/>
      <c r="AC123" s="1576"/>
      <c r="AD123" s="1576"/>
      <c r="AE123" s="1576"/>
      <c r="AF123" s="1576"/>
      <c r="AG123" s="1576"/>
      <c r="AH123" s="1576"/>
      <c r="AI123" s="1576"/>
      <c r="AJ123" s="1576"/>
      <c r="AK123" s="1576"/>
      <c r="AL123" s="1576"/>
      <c r="AM123" s="1576"/>
      <c r="AN123" s="1576"/>
      <c r="AO123" s="1576"/>
      <c r="AP123" s="1576"/>
      <c r="AQ123" s="1576"/>
      <c r="AR123" s="1576"/>
      <c r="AS123" s="1576"/>
      <c r="AT123" s="1576"/>
      <c r="AU123" s="1576"/>
      <c r="AV123" s="1576"/>
      <c r="AW123" s="1576"/>
      <c r="AX123" s="1576"/>
      <c r="AY123" s="1576"/>
      <c r="AZ123" s="1576"/>
      <c r="BA123" s="1576"/>
      <c r="BB123" s="1576"/>
      <c r="BC123" s="1576"/>
      <c r="BD123" s="1576"/>
      <c r="BE123" s="1576"/>
      <c r="BF123" s="1576"/>
      <c r="BG123" s="1576"/>
      <c r="BH123" s="1576"/>
      <c r="BI123" s="1576"/>
      <c r="BJ123" s="1576"/>
      <c r="BK123" s="1576"/>
      <c r="BL123" s="1576"/>
      <c r="BM123" s="1576"/>
      <c r="BN123" s="1576"/>
      <c r="BO123" s="1576"/>
      <c r="BP123" s="1576"/>
      <c r="BQ123" s="1576"/>
      <c r="BR123" s="1576"/>
      <c r="BS123" s="1576"/>
      <c r="BT123" s="1576"/>
      <c r="BU123" s="1576"/>
      <c r="BV123" s="1576"/>
      <c r="BW123" s="1576"/>
      <c r="BX123" s="1576"/>
      <c r="BY123" s="1576"/>
      <c r="BZ123" s="1576"/>
      <c r="CA123" s="1576"/>
      <c r="CB123" s="1576"/>
      <c r="CC123" s="1576"/>
      <c r="CD123" s="1576"/>
      <c r="CE123" s="1576"/>
      <c r="CF123" s="1576"/>
      <c r="CG123" s="1576"/>
      <c r="CH123" s="1576"/>
      <c r="CI123" s="1576"/>
      <c r="CJ123" s="1576"/>
      <c r="CK123" s="1576"/>
      <c r="CL123" s="1576"/>
      <c r="CM123" s="1576"/>
      <c r="CN123" s="1576"/>
      <c r="CO123" s="1576"/>
      <c r="CP123" s="1576"/>
      <c r="CQ123" s="1576"/>
      <c r="CR123" s="1576"/>
      <c r="CS123" s="1576"/>
      <c r="CT123" s="1576"/>
      <c r="CU123" s="1576"/>
      <c r="CV123" s="1576"/>
      <c r="CW123" s="1576"/>
      <c r="CX123" s="1576"/>
      <c r="CY123" s="1576"/>
      <c r="CZ123" s="1576"/>
      <c r="DA123" s="1576"/>
      <c r="DB123" s="1576"/>
      <c r="DC123" s="1576"/>
      <c r="DD123" s="1576"/>
      <c r="DE123" s="1576"/>
      <c r="DF123" s="1576"/>
      <c r="DG123" s="1576"/>
      <c r="DH123" s="1576"/>
      <c r="DI123" s="1576"/>
      <c r="DJ123" s="1576"/>
      <c r="DK123" s="1576"/>
      <c r="DL123" s="1576"/>
      <c r="DM123" s="1576"/>
      <c r="DN123" s="1576"/>
      <c r="DO123" s="1576"/>
      <c r="DP123" s="1576"/>
      <c r="DQ123" s="1576"/>
      <c r="DR123" s="1576"/>
      <c r="DS123" s="1576"/>
      <c r="DT123" s="1576"/>
      <c r="DU123" s="1576"/>
      <c r="DV123" s="1576"/>
      <c r="DW123" s="1576"/>
      <c r="DX123" s="1576"/>
      <c r="DY123" s="1576"/>
      <c r="DZ123" s="1576"/>
      <c r="EA123" s="1576"/>
      <c r="EB123" s="1576"/>
      <c r="EC123" s="1576"/>
      <c r="ED123" s="1576"/>
      <c r="EE123" s="1576"/>
      <c r="EF123" s="1576"/>
      <c r="EG123" s="1576"/>
      <c r="EH123" s="1576"/>
      <c r="EI123" s="1576"/>
      <c r="EJ123" s="1576"/>
      <c r="EK123" s="1576"/>
      <c r="EL123" s="1576"/>
      <c r="EM123" s="1576"/>
      <c r="EN123" s="1576"/>
      <c r="EO123" s="1576"/>
      <c r="EP123" s="1576"/>
      <c r="EQ123" s="1576"/>
      <c r="ER123" s="1576"/>
      <c r="ES123" s="1576"/>
      <c r="ET123" s="1576"/>
      <c r="EU123" s="1576"/>
      <c r="EV123" s="1576"/>
      <c r="EW123" s="1576"/>
      <c r="EX123" s="1576"/>
      <c r="EY123" s="1576"/>
      <c r="EZ123" s="1576"/>
      <c r="FA123" s="1576"/>
      <c r="FB123" s="1576"/>
      <c r="FC123" s="1576"/>
      <c r="FD123" s="1576"/>
      <c r="FE123" s="1576"/>
      <c r="FF123" s="1576"/>
      <c r="FG123" s="1576"/>
      <c r="FH123" s="1576"/>
      <c r="FI123" s="1576"/>
      <c r="FJ123" s="1576"/>
      <c r="FK123" s="1576"/>
      <c r="FL123" s="1576"/>
      <c r="FM123" s="1576"/>
      <c r="FN123" s="1576"/>
      <c r="FO123" s="1576"/>
      <c r="FP123" s="1576"/>
      <c r="FQ123" s="1576"/>
      <c r="FR123" s="1576"/>
      <c r="FS123" s="1576"/>
      <c r="FT123" s="1576"/>
      <c r="FU123" s="1576"/>
      <c r="FV123" s="1576"/>
      <c r="FW123" s="1576"/>
      <c r="FX123" s="1576"/>
      <c r="FY123" s="1576"/>
      <c r="FZ123" s="1576"/>
      <c r="GA123" s="1576"/>
      <c r="GB123" s="1576"/>
      <c r="GC123" s="1576"/>
      <c r="GD123" s="1576"/>
      <c r="GE123" s="1576"/>
      <c r="GF123" s="1576"/>
      <c r="GG123" s="1576"/>
      <c r="GH123" s="1576"/>
      <c r="GI123" s="1576"/>
      <c r="GJ123" s="1576"/>
      <c r="GK123" s="1576"/>
      <c r="GL123" s="1576"/>
      <c r="GM123" s="1576"/>
      <c r="GN123" s="1576"/>
      <c r="GO123" s="1576"/>
      <c r="GP123" s="1576"/>
      <c r="GQ123" s="1576"/>
      <c r="GR123" s="1576"/>
      <c r="GS123" s="1576"/>
      <c r="GT123" s="1576"/>
      <c r="GU123" s="1576"/>
      <c r="GV123" s="1576"/>
      <c r="GW123" s="1576"/>
      <c r="GX123" s="1576"/>
      <c r="GY123" s="1576"/>
      <c r="GZ123" s="1576"/>
      <c r="HA123" s="1576"/>
      <c r="HB123" s="1576"/>
      <c r="HC123" s="1576"/>
      <c r="HD123" s="1576"/>
      <c r="HE123" s="1576"/>
      <c r="HF123" s="1576"/>
      <c r="HG123" s="1576"/>
      <c r="HH123" s="1576"/>
      <c r="HI123" s="1576"/>
      <c r="HJ123" s="1576"/>
      <c r="HK123" s="1576"/>
      <c r="HL123" s="1576"/>
      <c r="HM123" s="1576"/>
      <c r="HN123" s="1576"/>
      <c r="HO123" s="1576"/>
      <c r="HP123" s="1576"/>
      <c r="HQ123" s="1576"/>
      <c r="HR123" s="1576"/>
      <c r="HS123" s="1576"/>
      <c r="HT123" s="1576"/>
      <c r="HU123" s="1576"/>
      <c r="HV123" s="1576"/>
      <c r="HW123" s="1576"/>
      <c r="HX123" s="1576"/>
      <c r="HY123" s="1576"/>
      <c r="HZ123" s="1576"/>
      <c r="IA123" s="1576"/>
      <c r="IB123" s="1576"/>
      <c r="IC123" s="1576"/>
      <c r="ID123" s="1576"/>
      <c r="IE123" s="1576"/>
      <c r="IF123" s="1576"/>
      <c r="IG123" s="1576"/>
      <c r="IH123" s="1576"/>
      <c r="II123" s="1576"/>
      <c r="IJ123" s="1576"/>
      <c r="IK123" s="1576"/>
      <c r="IL123" s="1576"/>
      <c r="IM123" s="1576"/>
      <c r="IN123" s="1576"/>
      <c r="IO123" s="1576"/>
      <c r="IP123" s="1576"/>
      <c r="IQ123" s="1576"/>
      <c r="IR123" s="1576"/>
      <c r="IS123" s="1576"/>
      <c r="IT123" s="1576"/>
      <c r="IU123" s="1576"/>
      <c r="IV123" s="1576"/>
      <c r="IW123" s="1576"/>
      <c r="IX123" s="1576"/>
      <c r="IY123" s="1576"/>
      <c r="IZ123" s="1576"/>
      <c r="JA123" s="2054"/>
      <c r="JB123" s="2054"/>
      <c r="JC123" s="2054"/>
      <c r="JD123" s="2054"/>
      <c r="JE123" s="2054"/>
      <c r="JF123" s="2054"/>
      <c r="JG123" s="2054"/>
      <c r="JH123" s="2054"/>
      <c r="JI123" s="2054"/>
      <c r="JJ123" s="2054"/>
      <c r="JK123" s="2054"/>
      <c r="JL123" s="2054"/>
      <c r="JM123" s="2054"/>
      <c r="JN123" s="2054"/>
      <c r="JO123" s="2054"/>
      <c r="JP123" s="2054"/>
      <c r="JQ123" s="2054"/>
      <c r="JR123" s="1576"/>
      <c r="JS123" s="1576"/>
      <c r="JT123" s="1576"/>
      <c r="JU123" s="1576"/>
      <c r="JV123" s="1576"/>
      <c r="JW123" s="1576"/>
      <c r="JX123" s="1576"/>
      <c r="JY123" s="1576"/>
      <c r="JZ123" s="1576"/>
      <c r="KA123" s="1576"/>
      <c r="KB123" s="1576"/>
      <c r="KC123" s="1576"/>
      <c r="KD123" s="1576"/>
      <c r="KE123" s="1576"/>
      <c r="KF123" s="1576"/>
      <c r="KG123" s="1576"/>
      <c r="KH123" s="1576"/>
      <c r="KI123" s="1576"/>
      <c r="KJ123" s="1576"/>
      <c r="KK123" s="1576"/>
      <c r="KL123" s="1576"/>
      <c r="KM123" s="1576"/>
      <c r="KN123" s="1576"/>
      <c r="KO123" s="1576"/>
      <c r="KP123" s="1576"/>
      <c r="KQ123" s="1576"/>
      <c r="KR123" s="1576"/>
      <c r="KS123" s="1576"/>
      <c r="KT123" s="1576"/>
      <c r="KU123" s="1576"/>
      <c r="KV123" s="1576"/>
      <c r="KW123" s="1576"/>
      <c r="KX123" s="1576"/>
      <c r="KY123" s="1576"/>
      <c r="KZ123" s="1576"/>
      <c r="LA123" s="1576"/>
      <c r="LB123" s="1576"/>
      <c r="LC123" s="1576"/>
      <c r="LD123" s="1576"/>
      <c r="LE123" s="1576"/>
      <c r="LF123" s="1576"/>
      <c r="LG123" s="1576"/>
      <c r="LH123" s="1576"/>
      <c r="LI123" s="1576"/>
      <c r="LJ123" s="1576"/>
      <c r="LK123" s="1576"/>
      <c r="LL123" s="1576"/>
      <c r="LM123" s="1576"/>
      <c r="LN123" s="1576"/>
      <c r="LO123" s="1576"/>
      <c r="LP123" s="1576"/>
      <c r="LQ123" s="1576"/>
      <c r="LR123" s="1576"/>
      <c r="LS123" s="1576"/>
      <c r="LT123" s="1576"/>
      <c r="LU123" s="1576"/>
      <c r="LV123" s="1576"/>
      <c r="LW123" s="1576"/>
      <c r="LX123" s="1576"/>
      <c r="LY123" s="1576"/>
      <c r="LZ123" s="1576"/>
      <c r="MA123" s="1576"/>
      <c r="MB123" s="1576"/>
      <c r="MC123" s="1576"/>
      <c r="MD123" s="1576"/>
      <c r="ME123" s="1576"/>
      <c r="MF123" s="1576"/>
      <c r="MG123" s="1576"/>
      <c r="MH123" s="1576"/>
      <c r="MI123" s="1576"/>
      <c r="MJ123" s="1576"/>
      <c r="MK123" s="1576"/>
      <c r="ML123" s="1576"/>
      <c r="MM123" s="1576"/>
      <c r="MN123" s="1576"/>
      <c r="MO123" s="1576"/>
      <c r="MP123" s="1576"/>
      <c r="MQ123" s="1576"/>
      <c r="MR123" s="1576"/>
      <c r="MS123" s="1576"/>
      <c r="MT123" s="1576"/>
      <c r="MU123" s="1576"/>
      <c r="MV123" s="1576"/>
      <c r="MW123" s="1576"/>
      <c r="MX123" s="1576"/>
      <c r="MY123" s="1576"/>
      <c r="MZ123" s="1576"/>
      <c r="NA123" s="1576"/>
      <c r="NB123" s="1576"/>
      <c r="NC123" s="1576"/>
      <c r="ND123" s="1576"/>
      <c r="NE123" s="1576"/>
      <c r="NF123" s="1576"/>
      <c r="NG123" s="1576"/>
      <c r="NH123" s="1576"/>
      <c r="NI123" s="1576"/>
      <c r="NJ123" s="1576"/>
      <c r="NK123" s="1576"/>
      <c r="NL123" s="1576"/>
      <c r="NM123" s="1576"/>
      <c r="NN123" s="1576"/>
      <c r="NO123" s="1576"/>
      <c r="NP123" s="1576"/>
      <c r="NQ123" s="1576"/>
      <c r="NR123" s="1576"/>
      <c r="NS123" s="1576"/>
      <c r="NT123" s="1576"/>
      <c r="NU123" s="1576"/>
      <c r="NV123" s="1576"/>
      <c r="NW123" s="1576"/>
      <c r="NX123" s="1576"/>
      <c r="NY123" s="1576"/>
      <c r="NZ123" s="1576"/>
      <c r="OA123" s="1576"/>
      <c r="OB123" s="1576"/>
      <c r="OC123" s="1576"/>
      <c r="OD123" s="1576"/>
      <c r="OE123" s="1576"/>
      <c r="OF123" s="1576"/>
      <c r="OG123" s="1576"/>
      <c r="OH123" s="1576"/>
      <c r="OI123" s="1576"/>
      <c r="OJ123" s="1576"/>
      <c r="OK123" s="1576"/>
      <c r="OL123" s="1576"/>
      <c r="OM123" s="1576"/>
      <c r="ON123" s="1576"/>
      <c r="OO123" s="1576"/>
      <c r="OP123" s="1576"/>
      <c r="OQ123" s="1576"/>
      <c r="OR123" s="1576"/>
      <c r="OS123" s="1576"/>
      <c r="OT123" s="1576"/>
      <c r="OU123" s="1576"/>
      <c r="OV123" s="1576"/>
      <c r="OW123" s="1576"/>
      <c r="OX123" s="1576"/>
      <c r="OY123" s="1576"/>
      <c r="OZ123" s="1576"/>
      <c r="PA123" s="1576"/>
      <c r="PB123" s="1576"/>
      <c r="PC123" s="1576"/>
      <c r="PD123" s="1576"/>
      <c r="PE123" s="1576"/>
      <c r="PF123" s="1576"/>
      <c r="PG123" s="1576"/>
      <c r="PH123" s="1576"/>
      <c r="PI123" s="1576"/>
      <c r="PJ123" s="1576"/>
      <c r="PK123" s="1576"/>
      <c r="PL123" s="1576"/>
      <c r="PM123" s="1576"/>
      <c r="PN123" s="1576"/>
      <c r="PO123" s="1576"/>
      <c r="PP123" s="1576"/>
      <c r="PQ123" s="1576"/>
      <c r="PR123" s="1576"/>
      <c r="PS123" s="1576"/>
      <c r="PT123" s="1576"/>
      <c r="PU123" s="1576"/>
      <c r="PV123" s="1576"/>
      <c r="PW123" s="1576"/>
      <c r="PX123" s="1576"/>
      <c r="PY123" s="1576"/>
      <c r="PZ123" s="1576"/>
      <c r="QA123" s="1576"/>
      <c r="QB123" s="1576"/>
      <c r="QC123" s="1576"/>
      <c r="QD123" s="1576"/>
      <c r="QE123" s="1576"/>
      <c r="QF123" s="1576"/>
      <c r="QG123" s="1576"/>
      <c r="QH123" s="1576"/>
      <c r="QI123" s="1576"/>
      <c r="QJ123" s="1576"/>
      <c r="QK123" s="1576"/>
      <c r="QL123" s="1576"/>
      <c r="QM123" s="1576"/>
      <c r="QN123" s="1576"/>
      <c r="QO123" s="1576"/>
      <c r="QP123" s="1576"/>
      <c r="QQ123" s="1576"/>
      <c r="QR123" s="1576"/>
      <c r="QS123" s="1576"/>
      <c r="QT123" s="1576"/>
      <c r="QU123" s="1576"/>
      <c r="QV123" s="1576"/>
      <c r="QW123" s="1576"/>
      <c r="QX123" s="1576"/>
      <c r="QY123" s="1576"/>
      <c r="QZ123" s="1576"/>
      <c r="RA123" s="1576"/>
      <c r="RB123" s="1576"/>
      <c r="RC123" s="1576"/>
      <c r="RD123" s="1576"/>
      <c r="RE123" s="1576"/>
      <c r="RF123" s="1576"/>
      <c r="RG123" s="1576"/>
      <c r="RH123" s="1576"/>
      <c r="RI123" s="1576"/>
      <c r="RJ123" s="1576"/>
      <c r="RK123" s="1576"/>
      <c r="RL123" s="1576"/>
      <c r="RM123" s="1576"/>
      <c r="RN123" s="1576"/>
      <c r="RO123" s="1576"/>
      <c r="RP123" s="1576"/>
      <c r="RQ123" s="1576"/>
      <c r="RR123" s="1576"/>
      <c r="RS123" s="1576"/>
      <c r="RT123" s="1576"/>
      <c r="RU123" s="1576"/>
      <c r="RV123" s="1576"/>
      <c r="RW123" s="1576"/>
      <c r="RX123" s="1576"/>
      <c r="RY123" s="1576"/>
      <c r="RZ123" s="1576"/>
      <c r="SA123" s="1576"/>
      <c r="SB123" s="1576"/>
      <c r="SC123" s="1576"/>
      <c r="SD123" s="1576"/>
      <c r="SE123" s="1576"/>
      <c r="SF123" s="1576"/>
      <c r="SG123" s="1576"/>
      <c r="SH123" s="1576"/>
      <c r="SI123" s="1576"/>
      <c r="SJ123" s="1576"/>
      <c r="SK123" s="1576"/>
      <c r="SL123" s="1576"/>
      <c r="SM123" s="1576"/>
      <c r="SN123" s="1576"/>
      <c r="SO123" s="1576"/>
      <c r="SP123" s="1576"/>
      <c r="SQ123" s="1576"/>
      <c r="SR123" s="1576"/>
      <c r="SS123" s="1576"/>
      <c r="ST123" s="1576"/>
      <c r="SU123" s="1576"/>
      <c r="SV123" s="1576"/>
      <c r="SW123" s="1576"/>
      <c r="SX123" s="1576"/>
      <c r="SY123" s="1576"/>
      <c r="SZ123" s="1576"/>
      <c r="TA123" s="1576"/>
      <c r="TB123" s="1576"/>
      <c r="TC123" s="1576"/>
      <c r="TD123" s="1576"/>
      <c r="TE123" s="1576"/>
      <c r="TF123" s="1576"/>
      <c r="TG123" s="1576"/>
      <c r="TH123" s="1576"/>
      <c r="TI123" s="1576"/>
      <c r="TJ123" s="1576"/>
      <c r="TK123" s="1576"/>
      <c r="TL123" s="1576"/>
      <c r="TM123" s="1576"/>
      <c r="TN123" s="1576"/>
      <c r="TO123" s="1576"/>
      <c r="TP123" s="1576"/>
      <c r="TQ123" s="1576"/>
      <c r="TR123" s="1576"/>
      <c r="TS123" s="1576"/>
      <c r="TT123" s="1576"/>
      <c r="TU123" s="1576"/>
      <c r="TV123" s="1576"/>
      <c r="TW123" s="1576"/>
      <c r="TX123" s="1576"/>
      <c r="TY123" s="1576"/>
      <c r="TZ123" s="1576"/>
      <c r="UA123" s="1576"/>
      <c r="UB123" s="1576"/>
      <c r="UC123" s="1576"/>
      <c r="UD123" s="1576"/>
      <c r="UE123" s="1576"/>
      <c r="UF123" s="1576"/>
      <c r="UG123" s="1576"/>
      <c r="UH123" s="1576"/>
      <c r="UI123" s="1576"/>
      <c r="UJ123" s="1576"/>
      <c r="UK123" s="1576"/>
      <c r="UL123" s="1576"/>
      <c r="UM123" s="1576"/>
      <c r="UN123" s="1576"/>
      <c r="UO123" s="1576"/>
      <c r="UP123" s="1576"/>
      <c r="UQ123" s="1576"/>
      <c r="UR123" s="1576"/>
      <c r="US123" s="1576"/>
      <c r="UT123" s="1576"/>
      <c r="UU123" s="1576"/>
      <c r="UV123" s="1576"/>
      <c r="UW123" s="1576"/>
      <c r="UX123" s="1576"/>
      <c r="UY123" s="1576"/>
      <c r="UZ123" s="1576"/>
      <c r="VA123" s="1576"/>
      <c r="VB123" s="1576"/>
      <c r="VC123" s="1576"/>
      <c r="VD123" s="1576"/>
      <c r="VE123" s="1576"/>
      <c r="VF123" s="1576"/>
      <c r="VG123" s="1576"/>
      <c r="VH123" s="1576"/>
      <c r="VI123" s="1576"/>
      <c r="VJ123" s="1576"/>
      <c r="VK123" s="1576"/>
    </row>
    <row r="124" spans="1:583" x14ac:dyDescent="0.25">
      <c r="B124" s="1610" t="s">
        <v>427</v>
      </c>
      <c r="C124" s="1582" t="s">
        <v>2824</v>
      </c>
      <c r="D124" s="4710" t="s">
        <v>2825</v>
      </c>
      <c r="E124" s="4710">
        <v>0</v>
      </c>
      <c r="F124" s="1912"/>
      <c r="G124" s="1912"/>
      <c r="H124" s="1912"/>
      <c r="I124" s="1576"/>
      <c r="J124" s="1576"/>
      <c r="K124" s="1576"/>
      <c r="L124" s="1576"/>
      <c r="M124" s="1576"/>
      <c r="N124" s="1576"/>
      <c r="O124" s="1576"/>
      <c r="P124" s="1576"/>
      <c r="Q124" s="1576"/>
      <c r="R124" s="1576"/>
      <c r="S124" s="1576"/>
      <c r="T124" s="1576"/>
      <c r="U124" s="1576"/>
      <c r="V124" s="1576"/>
      <c r="W124" s="1576"/>
      <c r="X124" s="1576"/>
      <c r="Y124" s="1576"/>
      <c r="Z124" s="1576"/>
      <c r="AA124" s="1576"/>
      <c r="AB124" s="1576"/>
      <c r="AC124" s="1576"/>
      <c r="AD124" s="1576"/>
      <c r="AE124" s="1576"/>
      <c r="AF124" s="1576"/>
      <c r="AG124" s="1576"/>
      <c r="AH124" s="1576"/>
      <c r="AI124" s="1576"/>
      <c r="AJ124" s="1576"/>
      <c r="AK124" s="1576"/>
      <c r="AL124" s="1576"/>
      <c r="AM124" s="1576"/>
      <c r="AN124" s="1576"/>
      <c r="AO124" s="1576"/>
      <c r="AP124" s="1576"/>
      <c r="AQ124" s="1576"/>
      <c r="AR124" s="1576"/>
      <c r="AS124" s="1576"/>
      <c r="AT124" s="1576"/>
      <c r="AU124" s="1576"/>
      <c r="AV124" s="1576"/>
      <c r="AW124" s="1576"/>
      <c r="AX124" s="1576"/>
      <c r="AY124" s="1576"/>
      <c r="AZ124" s="1576"/>
      <c r="BA124" s="1576"/>
      <c r="BB124" s="1576"/>
      <c r="BC124" s="1576"/>
      <c r="BD124" s="1576"/>
      <c r="BE124" s="1576"/>
      <c r="BF124" s="1576"/>
      <c r="BG124" s="1576"/>
      <c r="BH124" s="1576"/>
      <c r="BI124" s="1576"/>
      <c r="BJ124" s="1576"/>
      <c r="BK124" s="1576"/>
      <c r="BL124" s="1576"/>
      <c r="BM124" s="1576"/>
      <c r="BN124" s="1576"/>
      <c r="BO124" s="1576"/>
      <c r="BP124" s="1576"/>
      <c r="BQ124" s="1576"/>
      <c r="BR124" s="1576"/>
      <c r="BS124" s="1576"/>
      <c r="BT124" s="1576"/>
      <c r="BU124" s="1576"/>
      <c r="BV124" s="1576"/>
      <c r="BW124" s="1576"/>
      <c r="BX124" s="1576"/>
      <c r="BY124" s="1576"/>
      <c r="BZ124" s="1576"/>
      <c r="CA124" s="1576"/>
      <c r="CB124" s="1576"/>
      <c r="CC124" s="1576"/>
      <c r="CD124" s="1576"/>
      <c r="CE124" s="1576"/>
      <c r="CF124" s="1576"/>
      <c r="CG124" s="1576"/>
      <c r="CH124" s="1576"/>
      <c r="CI124" s="1576"/>
      <c r="CJ124" s="1576"/>
      <c r="CK124" s="1576"/>
      <c r="CL124" s="1576"/>
      <c r="CM124" s="1576"/>
      <c r="CN124" s="1576"/>
      <c r="CO124" s="1576"/>
      <c r="CP124" s="1576"/>
      <c r="CQ124" s="1576"/>
      <c r="CR124" s="1576"/>
      <c r="CS124" s="1576"/>
      <c r="CT124" s="1576"/>
      <c r="CU124" s="1576"/>
      <c r="CV124" s="1576"/>
      <c r="CW124" s="1576"/>
      <c r="CX124" s="1576"/>
      <c r="CY124" s="1576"/>
      <c r="CZ124" s="1576"/>
      <c r="DA124" s="1576"/>
      <c r="DB124" s="1576"/>
      <c r="DC124" s="1576"/>
      <c r="DD124" s="1576"/>
      <c r="DE124" s="1576"/>
      <c r="DF124" s="1576"/>
      <c r="DG124" s="1576"/>
      <c r="DH124" s="1576"/>
      <c r="DI124" s="1576"/>
      <c r="DJ124" s="1576"/>
      <c r="DK124" s="1576"/>
      <c r="DL124" s="1576"/>
      <c r="DM124" s="1576"/>
      <c r="DN124" s="1576"/>
      <c r="DO124" s="1576"/>
      <c r="DP124" s="1576"/>
      <c r="DQ124" s="1576"/>
      <c r="DR124" s="1576"/>
      <c r="DS124" s="1576"/>
      <c r="DT124" s="1576"/>
      <c r="DU124" s="1576"/>
      <c r="DV124" s="1576"/>
      <c r="DW124" s="1576"/>
      <c r="DX124" s="1576"/>
      <c r="DY124" s="1576"/>
      <c r="DZ124" s="1576"/>
      <c r="EA124" s="1576"/>
      <c r="EB124" s="1576"/>
      <c r="EC124" s="1576"/>
      <c r="ED124" s="1576"/>
      <c r="EE124" s="1576"/>
      <c r="EF124" s="1576"/>
      <c r="EG124" s="1576"/>
      <c r="EH124" s="1576"/>
      <c r="EI124" s="1576"/>
      <c r="EJ124" s="1576"/>
      <c r="EK124" s="1576"/>
      <c r="EL124" s="1576"/>
      <c r="EM124" s="1576"/>
      <c r="EN124" s="1576"/>
      <c r="EO124" s="1576"/>
      <c r="EP124" s="1576"/>
      <c r="EQ124" s="1576"/>
      <c r="ER124" s="1576"/>
      <c r="ES124" s="1576"/>
      <c r="ET124" s="1576"/>
      <c r="EU124" s="1576"/>
      <c r="EV124" s="1576"/>
      <c r="EW124" s="1576"/>
      <c r="EX124" s="1576"/>
      <c r="EY124" s="1576"/>
      <c r="EZ124" s="1576"/>
      <c r="FA124" s="1576"/>
      <c r="FB124" s="1576"/>
      <c r="FC124" s="1576"/>
      <c r="FD124" s="1576"/>
      <c r="FE124" s="1576"/>
      <c r="FF124" s="1576"/>
      <c r="FG124" s="1576"/>
      <c r="FH124" s="1576"/>
      <c r="FI124" s="1576"/>
      <c r="FJ124" s="1576"/>
      <c r="FK124" s="1576"/>
      <c r="FL124" s="1576"/>
      <c r="FM124" s="1576"/>
      <c r="FN124" s="1576"/>
      <c r="FO124" s="1576"/>
      <c r="FP124" s="1576"/>
      <c r="FQ124" s="1576"/>
      <c r="FR124" s="1576"/>
      <c r="FS124" s="1576"/>
      <c r="FT124" s="1576"/>
      <c r="FU124" s="1576"/>
      <c r="FV124" s="1576"/>
      <c r="FW124" s="1576"/>
      <c r="FX124" s="1576"/>
      <c r="FY124" s="1576"/>
      <c r="FZ124" s="1576"/>
      <c r="GA124" s="1576"/>
      <c r="GB124" s="1576"/>
      <c r="GC124" s="1576"/>
      <c r="GD124" s="1576"/>
      <c r="GE124" s="1576"/>
      <c r="GF124" s="1576"/>
      <c r="GG124" s="1576"/>
      <c r="GH124" s="1576"/>
      <c r="GI124" s="1576"/>
      <c r="GJ124" s="1576"/>
      <c r="GK124" s="1576"/>
      <c r="GL124" s="1576"/>
      <c r="GM124" s="1576"/>
      <c r="GN124" s="1576"/>
      <c r="GO124" s="1576"/>
      <c r="GP124" s="1576"/>
      <c r="GQ124" s="1576"/>
      <c r="GR124" s="1576"/>
      <c r="GS124" s="1576"/>
      <c r="GT124" s="1576"/>
      <c r="GU124" s="1576"/>
      <c r="GV124" s="1576"/>
      <c r="GW124" s="1576"/>
      <c r="GX124" s="1576"/>
      <c r="GY124" s="1576"/>
      <c r="GZ124" s="1576"/>
      <c r="HA124" s="1576"/>
      <c r="HB124" s="1576"/>
      <c r="HC124" s="1576"/>
      <c r="HD124" s="1576"/>
      <c r="HE124" s="1576"/>
      <c r="HF124" s="1576"/>
      <c r="HG124" s="1576"/>
      <c r="HH124" s="1576"/>
      <c r="HI124" s="1576"/>
      <c r="HJ124" s="1576"/>
      <c r="HK124" s="1576"/>
      <c r="HL124" s="1576"/>
      <c r="HM124" s="1576"/>
      <c r="HN124" s="1576"/>
      <c r="HO124" s="1576"/>
      <c r="HP124" s="1576"/>
      <c r="HQ124" s="1576"/>
      <c r="HR124" s="1576"/>
      <c r="HS124" s="1576"/>
      <c r="HT124" s="1576"/>
      <c r="HU124" s="1576"/>
      <c r="HV124" s="1576"/>
      <c r="HW124" s="1576"/>
      <c r="HX124" s="1576"/>
      <c r="HY124" s="1576"/>
      <c r="HZ124" s="1576"/>
      <c r="IA124" s="1576"/>
      <c r="IB124" s="1576"/>
      <c r="IC124" s="1576"/>
      <c r="ID124" s="1576"/>
      <c r="IE124" s="1576"/>
      <c r="IF124" s="1576"/>
      <c r="IG124" s="1576"/>
      <c r="IH124" s="1576"/>
      <c r="II124" s="1576"/>
      <c r="IJ124" s="1576"/>
      <c r="IK124" s="1576"/>
      <c r="IL124" s="1576"/>
      <c r="IM124" s="1576"/>
      <c r="IN124" s="1576"/>
      <c r="IO124" s="1576"/>
      <c r="IP124" s="1576"/>
      <c r="IQ124" s="1576"/>
      <c r="IR124" s="1576"/>
      <c r="IS124" s="1576"/>
      <c r="IT124" s="1576"/>
      <c r="IU124" s="1576"/>
      <c r="IV124" s="1576"/>
      <c r="IW124" s="1576"/>
      <c r="IX124" s="1576"/>
      <c r="IY124" s="1576"/>
      <c r="IZ124" s="1576"/>
      <c r="JA124" s="2054"/>
      <c r="JB124" s="2054"/>
      <c r="JC124" s="2054"/>
      <c r="JD124" s="2054"/>
      <c r="JE124" s="2054"/>
      <c r="JF124" s="2054"/>
      <c r="JG124" s="2054"/>
      <c r="JH124" s="2054"/>
      <c r="JI124" s="2054"/>
      <c r="JJ124" s="2054"/>
      <c r="JK124" s="2054"/>
      <c r="JL124" s="2054"/>
      <c r="JM124" s="2054"/>
      <c r="JN124" s="2054"/>
      <c r="JO124" s="2054"/>
      <c r="JP124" s="2054"/>
      <c r="JQ124" s="2054"/>
      <c r="JR124" s="1576"/>
      <c r="JS124" s="1576"/>
      <c r="JT124" s="1576"/>
      <c r="JU124" s="1576"/>
      <c r="JV124" s="1576"/>
      <c r="JW124" s="1576"/>
      <c r="JX124" s="1576"/>
      <c r="JY124" s="1576"/>
      <c r="JZ124" s="1576"/>
      <c r="KA124" s="1576"/>
      <c r="KB124" s="1576"/>
      <c r="KC124" s="1576"/>
      <c r="KD124" s="1576"/>
      <c r="KE124" s="1576"/>
      <c r="KF124" s="1576"/>
      <c r="KG124" s="1576"/>
      <c r="KH124" s="1576"/>
      <c r="KI124" s="1576"/>
      <c r="KJ124" s="1576"/>
      <c r="KK124" s="1576"/>
      <c r="KL124" s="1576"/>
      <c r="KM124" s="1576"/>
      <c r="KN124" s="1576"/>
      <c r="KO124" s="1576"/>
      <c r="KP124" s="1576"/>
      <c r="KQ124" s="1576"/>
      <c r="KR124" s="1576"/>
      <c r="KS124" s="1576"/>
      <c r="KT124" s="1576"/>
      <c r="KU124" s="1576"/>
      <c r="KV124" s="1576"/>
      <c r="KW124" s="1576"/>
      <c r="KX124" s="1576"/>
      <c r="KY124" s="1576"/>
      <c r="KZ124" s="1576"/>
      <c r="LA124" s="1576"/>
      <c r="LB124" s="1576"/>
      <c r="LC124" s="1576"/>
      <c r="LD124" s="1576"/>
      <c r="LE124" s="1576"/>
      <c r="LF124" s="1576"/>
      <c r="LG124" s="1576"/>
      <c r="LH124" s="1576"/>
      <c r="LI124" s="1576"/>
      <c r="LJ124" s="1576"/>
      <c r="LK124" s="1576"/>
      <c r="LL124" s="1576"/>
      <c r="LM124" s="1576"/>
      <c r="LN124" s="1576"/>
      <c r="LO124" s="1576"/>
      <c r="LP124" s="1576"/>
      <c r="LQ124" s="1576"/>
      <c r="LR124" s="1576"/>
      <c r="LS124" s="1576"/>
      <c r="LT124" s="1576"/>
      <c r="LU124" s="1576"/>
      <c r="LV124" s="1576"/>
      <c r="LW124" s="1576"/>
      <c r="LX124" s="1576"/>
      <c r="LY124" s="1576"/>
      <c r="LZ124" s="1576"/>
      <c r="MA124" s="1576"/>
      <c r="MB124" s="1576"/>
      <c r="MC124" s="1576"/>
      <c r="MD124" s="1576"/>
      <c r="ME124" s="1576"/>
      <c r="MF124" s="1576"/>
      <c r="MG124" s="1576"/>
      <c r="MH124" s="1576"/>
      <c r="MI124" s="1576"/>
      <c r="MJ124" s="1576"/>
      <c r="MK124" s="1576"/>
      <c r="ML124" s="1576"/>
      <c r="MM124" s="1576"/>
      <c r="MN124" s="1576"/>
      <c r="MO124" s="1576"/>
      <c r="MP124" s="1576"/>
      <c r="MQ124" s="1576"/>
      <c r="MR124" s="1576"/>
      <c r="MS124" s="1576"/>
      <c r="MT124" s="1576"/>
      <c r="MU124" s="1576"/>
      <c r="MV124" s="1576"/>
      <c r="MW124" s="1576"/>
      <c r="MX124" s="1576"/>
      <c r="MY124" s="1576"/>
      <c r="MZ124" s="1576"/>
      <c r="NA124" s="1576"/>
      <c r="NB124" s="1576"/>
      <c r="NC124" s="1576"/>
      <c r="ND124" s="1576"/>
      <c r="NE124" s="1576"/>
      <c r="NF124" s="1576"/>
      <c r="NG124" s="1576"/>
      <c r="NH124" s="1576"/>
      <c r="NI124" s="1576"/>
      <c r="NJ124" s="1576"/>
      <c r="NK124" s="1576"/>
      <c r="NL124" s="1576"/>
      <c r="NM124" s="1576"/>
      <c r="NN124" s="1576"/>
      <c r="NO124" s="1576"/>
      <c r="NP124" s="1576"/>
      <c r="NQ124" s="1576"/>
      <c r="NR124" s="1576"/>
      <c r="NS124" s="1576"/>
      <c r="NT124" s="1576"/>
      <c r="NU124" s="1576"/>
      <c r="NV124" s="1576"/>
      <c r="NW124" s="1576"/>
      <c r="NX124" s="1576"/>
      <c r="NY124" s="1576"/>
      <c r="NZ124" s="1576"/>
      <c r="OA124" s="1576"/>
      <c r="OB124" s="1576"/>
      <c r="OC124" s="1576"/>
      <c r="OD124" s="1576"/>
      <c r="OE124" s="1576"/>
      <c r="OF124" s="1576"/>
      <c r="OG124" s="1576"/>
      <c r="OH124" s="1576"/>
      <c r="OI124" s="1576"/>
      <c r="OJ124" s="1576"/>
      <c r="OK124" s="1576"/>
      <c r="OL124" s="1576"/>
      <c r="OM124" s="1576"/>
      <c r="ON124" s="1576"/>
      <c r="OO124" s="1576"/>
      <c r="OP124" s="1576"/>
      <c r="OQ124" s="1576"/>
      <c r="OR124" s="1576"/>
      <c r="OS124" s="1576"/>
      <c r="OT124" s="1576"/>
      <c r="OU124" s="1576"/>
      <c r="OV124" s="1576"/>
      <c r="OW124" s="1576"/>
      <c r="OX124" s="1576"/>
      <c r="OY124" s="1576"/>
      <c r="OZ124" s="1576"/>
      <c r="PA124" s="1576"/>
      <c r="PB124" s="1576"/>
      <c r="PC124" s="1576"/>
      <c r="PD124" s="1576"/>
      <c r="PE124" s="1576"/>
      <c r="PF124" s="1576"/>
      <c r="PG124" s="1576"/>
      <c r="PH124" s="1576"/>
      <c r="PI124" s="1576"/>
      <c r="PJ124" s="1576"/>
      <c r="PK124" s="1576"/>
      <c r="PL124" s="1576"/>
      <c r="PM124" s="1576"/>
      <c r="PN124" s="1576"/>
      <c r="PO124" s="1576"/>
      <c r="PP124" s="1576"/>
      <c r="PQ124" s="1576"/>
      <c r="PR124" s="1576"/>
      <c r="PS124" s="1576"/>
      <c r="PT124" s="1576"/>
      <c r="PU124" s="1576"/>
      <c r="PV124" s="1576"/>
      <c r="PW124" s="1576"/>
      <c r="PX124" s="1576"/>
      <c r="PY124" s="1576"/>
      <c r="PZ124" s="1576"/>
      <c r="QA124" s="1576"/>
      <c r="QB124" s="1576"/>
      <c r="QC124" s="1576"/>
      <c r="QD124" s="1576"/>
      <c r="QE124" s="1576"/>
      <c r="QF124" s="1576"/>
      <c r="QG124" s="1576"/>
      <c r="QH124" s="1576"/>
      <c r="QI124" s="1576"/>
      <c r="QJ124" s="1576"/>
      <c r="QK124" s="1576"/>
      <c r="QL124" s="1576"/>
      <c r="QM124" s="1576"/>
      <c r="QN124" s="1576"/>
      <c r="QO124" s="1576"/>
      <c r="QP124" s="1576"/>
      <c r="QQ124" s="1576"/>
      <c r="QR124" s="1576"/>
      <c r="QS124" s="1576"/>
      <c r="QT124" s="1576"/>
      <c r="QU124" s="1576"/>
      <c r="QV124" s="1576"/>
      <c r="QW124" s="1576"/>
      <c r="QX124" s="1576"/>
      <c r="QY124" s="1576"/>
      <c r="QZ124" s="1576"/>
      <c r="RA124" s="1576"/>
      <c r="RB124" s="1576"/>
      <c r="RC124" s="1576"/>
      <c r="RD124" s="1576"/>
      <c r="RE124" s="1576"/>
      <c r="RF124" s="1576"/>
      <c r="RG124" s="1576"/>
      <c r="RH124" s="1576"/>
      <c r="RI124" s="1576"/>
      <c r="RJ124" s="1576"/>
      <c r="RK124" s="1576"/>
      <c r="RL124" s="1576"/>
      <c r="RM124" s="1576"/>
      <c r="RN124" s="1576"/>
      <c r="RO124" s="1576"/>
      <c r="RP124" s="1576"/>
      <c r="RQ124" s="1576"/>
      <c r="RR124" s="1576"/>
      <c r="RS124" s="1576"/>
      <c r="RT124" s="1576"/>
      <c r="RU124" s="1576"/>
      <c r="RV124" s="1576"/>
      <c r="RW124" s="1576"/>
      <c r="RX124" s="1576"/>
      <c r="RY124" s="1576"/>
      <c r="RZ124" s="1576"/>
      <c r="SA124" s="1576"/>
      <c r="SB124" s="1576"/>
      <c r="SC124" s="1576"/>
      <c r="SD124" s="1576"/>
      <c r="SE124" s="1576"/>
      <c r="SF124" s="1576"/>
      <c r="SG124" s="1576"/>
      <c r="SH124" s="1576"/>
      <c r="SI124" s="1576"/>
      <c r="SJ124" s="1576"/>
      <c r="SK124" s="1576"/>
      <c r="SL124" s="1576"/>
      <c r="SM124" s="1576"/>
      <c r="SN124" s="1576"/>
      <c r="SO124" s="1576"/>
      <c r="SP124" s="1576"/>
      <c r="SQ124" s="1576"/>
      <c r="SR124" s="1576"/>
      <c r="SS124" s="1576"/>
      <c r="ST124" s="1576"/>
      <c r="SU124" s="1576"/>
      <c r="SV124" s="1576"/>
      <c r="SW124" s="1576"/>
      <c r="SX124" s="1576"/>
      <c r="SY124" s="1576"/>
      <c r="SZ124" s="1576"/>
      <c r="TA124" s="1576"/>
      <c r="TB124" s="1576"/>
      <c r="TC124" s="1576"/>
      <c r="TD124" s="1576"/>
      <c r="TE124" s="1576"/>
      <c r="TF124" s="1576"/>
      <c r="TG124" s="1576"/>
      <c r="TH124" s="1576"/>
      <c r="TI124" s="1576"/>
      <c r="TJ124" s="1576"/>
      <c r="TK124" s="1576"/>
      <c r="TL124" s="1576"/>
      <c r="TM124" s="1576"/>
      <c r="TN124" s="1576"/>
      <c r="TO124" s="1576"/>
      <c r="TP124" s="1576"/>
      <c r="TQ124" s="1576"/>
      <c r="TR124" s="1576"/>
      <c r="TS124" s="1576"/>
      <c r="TT124" s="1576"/>
      <c r="TU124" s="1576"/>
      <c r="TV124" s="1576"/>
      <c r="TW124" s="1576"/>
      <c r="TX124" s="1576"/>
      <c r="TY124" s="1576"/>
      <c r="TZ124" s="1576"/>
      <c r="UA124" s="1576"/>
      <c r="UB124" s="1576"/>
      <c r="UC124" s="1576"/>
      <c r="UD124" s="1576"/>
      <c r="UE124" s="1576"/>
      <c r="UF124" s="1576"/>
      <c r="UG124" s="1576"/>
      <c r="UH124" s="1576"/>
      <c r="UI124" s="1576"/>
      <c r="UJ124" s="1576"/>
      <c r="UK124" s="1576"/>
      <c r="UL124" s="1576"/>
      <c r="UM124" s="1576"/>
      <c r="UN124" s="1576"/>
      <c r="UO124" s="1576"/>
      <c r="UP124" s="1576"/>
      <c r="UQ124" s="1576"/>
      <c r="UR124" s="1576"/>
      <c r="US124" s="1576"/>
      <c r="UT124" s="1576"/>
      <c r="UU124" s="1576"/>
      <c r="UV124" s="1576"/>
      <c r="UW124" s="1576"/>
      <c r="UX124" s="1576"/>
      <c r="UY124" s="1576"/>
      <c r="UZ124" s="1576"/>
      <c r="VA124" s="1576"/>
      <c r="VB124" s="1576"/>
      <c r="VC124" s="1576"/>
      <c r="VD124" s="1576"/>
      <c r="VE124" s="1576"/>
      <c r="VF124" s="1576"/>
      <c r="VG124" s="1576"/>
      <c r="VH124" s="1576"/>
      <c r="VI124" s="1576"/>
      <c r="VJ124" s="1576"/>
      <c r="VK124" s="1576"/>
    </row>
    <row r="125" spans="1:583" ht="25.5" customHeight="1" x14ac:dyDescent="0.25">
      <c r="B125" s="4710" t="s">
        <v>115</v>
      </c>
      <c r="C125" s="4710" t="s">
        <v>2826</v>
      </c>
      <c r="D125" s="4710" t="s">
        <v>2827</v>
      </c>
      <c r="E125" s="1582" t="s">
        <v>2828</v>
      </c>
      <c r="F125" s="1912"/>
      <c r="G125" s="1912"/>
      <c r="H125" s="1912"/>
      <c r="I125" s="1576"/>
      <c r="J125" s="1576"/>
      <c r="K125" s="1576"/>
      <c r="L125" s="1576"/>
      <c r="M125" s="1576"/>
      <c r="N125" s="1576"/>
      <c r="O125" s="1576"/>
      <c r="P125" s="1576"/>
      <c r="Q125" s="1576"/>
      <c r="R125" s="1576"/>
      <c r="S125" s="1576"/>
      <c r="T125" s="1576"/>
      <c r="U125" s="1576"/>
      <c r="V125" s="1576"/>
      <c r="W125" s="1576"/>
      <c r="X125" s="1576"/>
      <c r="Y125" s="1576"/>
      <c r="Z125" s="1576"/>
      <c r="AA125" s="1576"/>
      <c r="AB125" s="1576"/>
      <c r="AC125" s="1576"/>
      <c r="AD125" s="1576"/>
      <c r="AE125" s="1576"/>
      <c r="AF125" s="1576"/>
      <c r="AG125" s="1576"/>
      <c r="AH125" s="1576"/>
      <c r="AI125" s="1576"/>
      <c r="AJ125" s="1576"/>
      <c r="AK125" s="1576"/>
      <c r="AL125" s="1576"/>
      <c r="AM125" s="1576"/>
      <c r="AN125" s="1576"/>
      <c r="AO125" s="1576"/>
      <c r="AP125" s="1576"/>
      <c r="AQ125" s="1576"/>
      <c r="AR125" s="1576"/>
      <c r="AS125" s="1576"/>
      <c r="AT125" s="1576"/>
      <c r="AU125" s="1576"/>
      <c r="AV125" s="1576"/>
      <c r="AW125" s="1576"/>
      <c r="AX125" s="1576"/>
      <c r="AY125" s="1576"/>
      <c r="AZ125" s="1576"/>
      <c r="BA125" s="1576"/>
      <c r="BB125" s="1576"/>
      <c r="BC125" s="1576"/>
      <c r="BD125" s="1576"/>
      <c r="BE125" s="1576"/>
      <c r="BF125" s="1576"/>
      <c r="BG125" s="1576"/>
      <c r="BH125" s="1576"/>
      <c r="BI125" s="1576"/>
      <c r="BJ125" s="1576"/>
      <c r="BK125" s="1576"/>
      <c r="BL125" s="1576"/>
      <c r="BM125" s="1576"/>
      <c r="BN125" s="1576"/>
      <c r="BO125" s="1576"/>
      <c r="BP125" s="1576"/>
      <c r="BQ125" s="1576"/>
      <c r="BR125" s="1576"/>
      <c r="BS125" s="1576"/>
      <c r="BT125" s="1576"/>
      <c r="BU125" s="1576"/>
      <c r="BV125" s="1576"/>
      <c r="BW125" s="1576"/>
      <c r="BX125" s="1576"/>
      <c r="BY125" s="1576"/>
      <c r="BZ125" s="1576"/>
      <c r="CA125" s="1576"/>
      <c r="CB125" s="1576"/>
      <c r="CC125" s="1576"/>
      <c r="CD125" s="1576"/>
      <c r="CE125" s="1576"/>
      <c r="CF125" s="1576"/>
      <c r="CG125" s="1576"/>
      <c r="CH125" s="1576"/>
      <c r="CI125" s="1576"/>
      <c r="CJ125" s="1576"/>
      <c r="CK125" s="1576"/>
      <c r="CL125" s="1576"/>
      <c r="CM125" s="1576"/>
      <c r="CN125" s="1576"/>
      <c r="CO125" s="1576"/>
      <c r="CP125" s="1576"/>
      <c r="CQ125" s="1576"/>
      <c r="CR125" s="1576"/>
      <c r="CS125" s="1576"/>
      <c r="CT125" s="1576"/>
      <c r="CU125" s="1576"/>
      <c r="CV125" s="1576"/>
      <c r="CW125" s="1576"/>
      <c r="CX125" s="1576"/>
      <c r="CY125" s="1576"/>
      <c r="CZ125" s="1576"/>
      <c r="DA125" s="1576"/>
      <c r="DB125" s="1576"/>
      <c r="DC125" s="1576"/>
      <c r="DD125" s="1576"/>
      <c r="DE125" s="1576"/>
      <c r="DF125" s="1576"/>
      <c r="DG125" s="1576"/>
      <c r="DH125" s="1576"/>
      <c r="DI125" s="1576"/>
      <c r="DJ125" s="1576"/>
      <c r="DK125" s="1576"/>
      <c r="DL125" s="1576"/>
      <c r="DM125" s="1576"/>
      <c r="DN125" s="1576"/>
      <c r="DO125" s="1576"/>
      <c r="DP125" s="1576"/>
      <c r="DQ125" s="1576"/>
      <c r="DR125" s="1576"/>
      <c r="DS125" s="1576"/>
      <c r="DT125" s="1576"/>
      <c r="DU125" s="1576"/>
      <c r="DV125" s="1576"/>
      <c r="DW125" s="1576"/>
      <c r="DX125" s="1576"/>
      <c r="DY125" s="1576"/>
      <c r="DZ125" s="1576"/>
      <c r="EA125" s="1576"/>
      <c r="EB125" s="1576"/>
      <c r="EC125" s="1576"/>
      <c r="ED125" s="1576"/>
      <c r="EE125" s="1576"/>
      <c r="EF125" s="1576"/>
      <c r="EG125" s="1576"/>
      <c r="EH125" s="1576"/>
      <c r="EI125" s="1576"/>
      <c r="EJ125" s="1576"/>
      <c r="EK125" s="1576"/>
      <c r="EL125" s="1576"/>
      <c r="EM125" s="1576"/>
      <c r="EN125" s="1576"/>
      <c r="EO125" s="1576"/>
      <c r="EP125" s="1576"/>
      <c r="EQ125" s="1576"/>
      <c r="ER125" s="1576"/>
      <c r="ES125" s="1576"/>
      <c r="ET125" s="1576"/>
      <c r="EU125" s="1576"/>
      <c r="EV125" s="1576"/>
      <c r="EW125" s="1576"/>
      <c r="EX125" s="1576"/>
      <c r="EY125" s="1576"/>
      <c r="EZ125" s="1576"/>
      <c r="FA125" s="1576"/>
      <c r="FB125" s="1576"/>
      <c r="FC125" s="1576"/>
      <c r="FD125" s="1576"/>
      <c r="FE125" s="1576"/>
      <c r="FF125" s="1576"/>
      <c r="FG125" s="1576"/>
      <c r="FH125" s="1576"/>
      <c r="FI125" s="1576"/>
      <c r="FJ125" s="1576"/>
      <c r="FK125" s="1576"/>
      <c r="FL125" s="1576"/>
      <c r="FM125" s="1576"/>
      <c r="FN125" s="1576"/>
      <c r="FO125" s="1576"/>
      <c r="FP125" s="1576"/>
      <c r="FQ125" s="1576"/>
      <c r="FR125" s="1576"/>
      <c r="FS125" s="1576"/>
      <c r="FT125" s="1576"/>
      <c r="FU125" s="1576"/>
      <c r="FV125" s="1576"/>
      <c r="FW125" s="1576"/>
      <c r="FX125" s="1576"/>
      <c r="FY125" s="1576"/>
      <c r="FZ125" s="1576"/>
      <c r="GA125" s="1576"/>
      <c r="GB125" s="1576"/>
      <c r="GC125" s="1576"/>
      <c r="GD125" s="1576"/>
      <c r="GE125" s="1576"/>
      <c r="GF125" s="1576"/>
      <c r="GG125" s="1576"/>
      <c r="GH125" s="1576"/>
      <c r="GI125" s="1576"/>
      <c r="GJ125" s="1576"/>
      <c r="GK125" s="1576"/>
      <c r="GL125" s="1576"/>
      <c r="GM125" s="1576"/>
      <c r="GN125" s="1576"/>
      <c r="GO125" s="1576"/>
      <c r="GP125" s="1576"/>
      <c r="GQ125" s="1576"/>
      <c r="GR125" s="1576"/>
      <c r="GS125" s="1576"/>
      <c r="GT125" s="1576"/>
      <c r="GU125" s="1576"/>
      <c r="GV125" s="1576"/>
      <c r="GW125" s="1576"/>
      <c r="GX125" s="1576"/>
      <c r="GY125" s="1576"/>
      <c r="GZ125" s="1576"/>
      <c r="HA125" s="1576"/>
      <c r="HB125" s="1576"/>
      <c r="HC125" s="1576"/>
      <c r="HD125" s="1576"/>
      <c r="HE125" s="1576"/>
      <c r="HF125" s="1576"/>
      <c r="HG125" s="1576"/>
      <c r="HH125" s="1576"/>
      <c r="HI125" s="1576"/>
      <c r="HJ125" s="1576"/>
      <c r="HK125" s="1576"/>
      <c r="HL125" s="1576"/>
      <c r="HM125" s="1576"/>
      <c r="HN125" s="1576"/>
      <c r="HO125" s="1576"/>
      <c r="HP125" s="1576"/>
      <c r="HQ125" s="1576"/>
      <c r="HR125" s="1576"/>
      <c r="HS125" s="1576"/>
      <c r="HT125" s="1576"/>
      <c r="HU125" s="1576"/>
      <c r="HV125" s="1576"/>
      <c r="HW125" s="1576"/>
      <c r="HX125" s="1576"/>
      <c r="HY125" s="1576"/>
      <c r="HZ125" s="1576"/>
      <c r="IA125" s="1576"/>
      <c r="IB125" s="1576"/>
      <c r="IC125" s="1576"/>
      <c r="ID125" s="1576"/>
      <c r="IE125" s="1576"/>
      <c r="IF125" s="1576"/>
      <c r="IG125" s="1576"/>
      <c r="IH125" s="1576"/>
      <c r="II125" s="1576"/>
      <c r="IJ125" s="1576"/>
      <c r="IK125" s="1576"/>
      <c r="IL125" s="1576"/>
      <c r="IM125" s="1576"/>
      <c r="IN125" s="1576"/>
      <c r="IO125" s="1576"/>
      <c r="IP125" s="1576"/>
      <c r="IQ125" s="1576"/>
      <c r="IR125" s="1576"/>
      <c r="IS125" s="1576"/>
      <c r="IT125" s="1576"/>
      <c r="IU125" s="1576"/>
      <c r="IV125" s="1576"/>
      <c r="IW125" s="1576"/>
      <c r="IX125" s="1576"/>
      <c r="IY125" s="1576"/>
      <c r="IZ125" s="1576"/>
      <c r="JA125" s="2054"/>
      <c r="JB125" s="2054"/>
      <c r="JC125" s="2054"/>
      <c r="JD125" s="2054"/>
      <c r="JE125" s="2054"/>
      <c r="JF125" s="2054"/>
      <c r="JG125" s="2054"/>
      <c r="JH125" s="2054"/>
      <c r="JI125" s="2054"/>
      <c r="JJ125" s="2054"/>
      <c r="JK125" s="2054"/>
      <c r="JL125" s="2054"/>
      <c r="JM125" s="2054"/>
      <c r="JN125" s="2054"/>
      <c r="JO125" s="2054"/>
      <c r="JP125" s="2054"/>
      <c r="JQ125" s="2054"/>
      <c r="JR125" s="1576"/>
      <c r="JS125" s="1576"/>
      <c r="JT125" s="1576"/>
      <c r="JU125" s="1576"/>
      <c r="JV125" s="1576"/>
      <c r="JW125" s="1576"/>
      <c r="JX125" s="1576"/>
      <c r="JY125" s="1576"/>
      <c r="JZ125" s="1576"/>
      <c r="KA125" s="1576"/>
      <c r="KB125" s="1576"/>
      <c r="KC125" s="1576"/>
      <c r="KD125" s="1576"/>
      <c r="KE125" s="1576"/>
      <c r="KF125" s="1576"/>
      <c r="KG125" s="1576"/>
      <c r="KH125" s="1576"/>
      <c r="KI125" s="1576"/>
      <c r="KJ125" s="1576"/>
      <c r="KK125" s="1576"/>
      <c r="KL125" s="1576"/>
      <c r="KM125" s="1576"/>
      <c r="KN125" s="1576"/>
      <c r="KO125" s="1576"/>
      <c r="KP125" s="1576"/>
      <c r="KQ125" s="1576"/>
      <c r="KR125" s="1576"/>
      <c r="KS125" s="1576"/>
      <c r="KT125" s="1576"/>
      <c r="KU125" s="1576"/>
      <c r="KV125" s="1576"/>
      <c r="KW125" s="1576"/>
      <c r="KX125" s="1576"/>
      <c r="KY125" s="1576"/>
      <c r="KZ125" s="1576"/>
      <c r="LA125" s="1576"/>
      <c r="LB125" s="1576"/>
      <c r="LC125" s="1576"/>
      <c r="LD125" s="1576"/>
      <c r="LE125" s="1576"/>
      <c r="LF125" s="1576"/>
      <c r="LG125" s="1576"/>
      <c r="LH125" s="1576"/>
      <c r="LI125" s="1576"/>
      <c r="LJ125" s="1576"/>
      <c r="LK125" s="1576"/>
      <c r="LL125" s="1576"/>
      <c r="LM125" s="1576"/>
      <c r="LN125" s="1576"/>
      <c r="LO125" s="1576"/>
      <c r="LP125" s="1576"/>
      <c r="LQ125" s="1576"/>
      <c r="LR125" s="1576"/>
      <c r="LS125" s="1576"/>
      <c r="LT125" s="1576"/>
      <c r="LU125" s="1576"/>
      <c r="LV125" s="1576"/>
      <c r="LW125" s="1576"/>
      <c r="LX125" s="1576"/>
      <c r="LY125" s="1576"/>
      <c r="LZ125" s="1576"/>
      <c r="MA125" s="1576"/>
      <c r="MB125" s="1576"/>
      <c r="MC125" s="1576"/>
      <c r="MD125" s="1576"/>
      <c r="ME125" s="1576"/>
      <c r="MF125" s="1576"/>
      <c r="MG125" s="1576"/>
      <c r="MH125" s="1576"/>
      <c r="MI125" s="1576"/>
      <c r="MJ125" s="1576"/>
      <c r="MK125" s="1576"/>
      <c r="ML125" s="1576"/>
      <c r="MM125" s="1576"/>
      <c r="MN125" s="1576"/>
      <c r="MO125" s="1576"/>
      <c r="MP125" s="1576"/>
      <c r="MQ125" s="1576"/>
      <c r="MR125" s="1576"/>
      <c r="MS125" s="1576"/>
      <c r="MT125" s="1576"/>
      <c r="MU125" s="1576"/>
      <c r="MV125" s="1576"/>
      <c r="MW125" s="1576"/>
      <c r="MX125" s="1576"/>
      <c r="MY125" s="1576"/>
      <c r="MZ125" s="1576"/>
      <c r="NA125" s="1576"/>
      <c r="NB125" s="1576"/>
      <c r="NC125" s="1576"/>
      <c r="ND125" s="1576"/>
      <c r="NE125" s="1576"/>
      <c r="NF125" s="1576"/>
      <c r="NG125" s="1576"/>
      <c r="NH125" s="1576"/>
      <c r="NI125" s="1576"/>
      <c r="NJ125" s="1576"/>
      <c r="NK125" s="1576"/>
      <c r="NL125" s="1576"/>
      <c r="NM125" s="1576"/>
      <c r="NN125" s="1576"/>
      <c r="NO125" s="1576"/>
      <c r="NP125" s="1576"/>
      <c r="NQ125" s="1576"/>
      <c r="NR125" s="1576"/>
      <c r="NS125" s="1576"/>
      <c r="NT125" s="1576"/>
      <c r="NU125" s="1576"/>
      <c r="NV125" s="1576"/>
      <c r="NW125" s="1576"/>
      <c r="NX125" s="1576"/>
      <c r="NY125" s="1576"/>
      <c r="NZ125" s="1576"/>
      <c r="OA125" s="1576"/>
      <c r="OB125" s="1576"/>
      <c r="OC125" s="1576"/>
      <c r="OD125" s="1576"/>
      <c r="OE125" s="1576"/>
      <c r="OF125" s="1576"/>
      <c r="OG125" s="1576"/>
      <c r="OH125" s="1576"/>
      <c r="OI125" s="1576"/>
      <c r="OJ125" s="1576"/>
      <c r="OK125" s="1576"/>
      <c r="OL125" s="1576"/>
      <c r="OM125" s="1576"/>
      <c r="ON125" s="1576"/>
      <c r="OO125" s="1576"/>
      <c r="OP125" s="1576"/>
      <c r="OQ125" s="1576"/>
      <c r="OR125" s="1576"/>
      <c r="OS125" s="1576"/>
      <c r="OT125" s="1576"/>
      <c r="OU125" s="1576"/>
      <c r="OV125" s="1576"/>
      <c r="OW125" s="1576"/>
      <c r="OX125" s="1576"/>
      <c r="OY125" s="1576"/>
      <c r="OZ125" s="1576"/>
      <c r="PA125" s="1576"/>
      <c r="PB125" s="1576"/>
      <c r="PC125" s="1576"/>
      <c r="PD125" s="1576"/>
      <c r="PE125" s="1576"/>
      <c r="PF125" s="1576"/>
      <c r="PG125" s="1576"/>
      <c r="PH125" s="1576"/>
      <c r="PI125" s="1576"/>
      <c r="PJ125" s="1576"/>
      <c r="PK125" s="1576"/>
      <c r="PL125" s="1576"/>
      <c r="PM125" s="1576"/>
      <c r="PN125" s="1576"/>
      <c r="PO125" s="1576"/>
      <c r="PP125" s="1576"/>
      <c r="PQ125" s="1576"/>
      <c r="PR125" s="1576"/>
      <c r="PS125" s="1576"/>
      <c r="PT125" s="1576"/>
      <c r="PU125" s="1576"/>
      <c r="PV125" s="1576"/>
      <c r="PW125" s="1576"/>
      <c r="PX125" s="1576"/>
      <c r="PY125" s="1576"/>
      <c r="PZ125" s="1576"/>
      <c r="QA125" s="1576"/>
      <c r="QB125" s="1576"/>
      <c r="QC125" s="1576"/>
      <c r="QD125" s="1576"/>
      <c r="QE125" s="1576"/>
      <c r="QF125" s="1576"/>
      <c r="QG125" s="1576"/>
      <c r="QH125" s="1576"/>
      <c r="QI125" s="1576"/>
      <c r="QJ125" s="1576"/>
      <c r="QK125" s="1576"/>
      <c r="QL125" s="1576"/>
      <c r="QM125" s="1576"/>
      <c r="QN125" s="1576"/>
      <c r="QO125" s="1576"/>
      <c r="QP125" s="1576"/>
      <c r="QQ125" s="1576"/>
      <c r="QR125" s="1576"/>
      <c r="QS125" s="1576"/>
      <c r="QT125" s="1576"/>
      <c r="QU125" s="1576"/>
      <c r="QV125" s="1576"/>
      <c r="QW125" s="1576"/>
      <c r="QX125" s="1576"/>
      <c r="QY125" s="1576"/>
      <c r="QZ125" s="1576"/>
      <c r="RA125" s="1576"/>
      <c r="RB125" s="1576"/>
      <c r="RC125" s="1576"/>
      <c r="RD125" s="1576"/>
      <c r="RE125" s="1576"/>
      <c r="RF125" s="1576"/>
      <c r="RG125" s="1576"/>
      <c r="RH125" s="1576"/>
      <c r="RI125" s="1576"/>
      <c r="RJ125" s="1576"/>
      <c r="RK125" s="1576"/>
      <c r="RL125" s="1576"/>
      <c r="RM125" s="1576"/>
      <c r="RN125" s="1576"/>
      <c r="RO125" s="1576"/>
      <c r="RP125" s="1576"/>
      <c r="RQ125" s="1576"/>
      <c r="RR125" s="1576"/>
      <c r="RS125" s="1576"/>
      <c r="RT125" s="1576"/>
      <c r="RU125" s="1576"/>
      <c r="RV125" s="1576"/>
      <c r="RW125" s="1576"/>
      <c r="RX125" s="1576"/>
      <c r="RY125" s="1576"/>
      <c r="RZ125" s="1576"/>
      <c r="SA125" s="1576"/>
      <c r="SB125" s="1576"/>
      <c r="SC125" s="1576"/>
      <c r="SD125" s="1576"/>
      <c r="SE125" s="1576"/>
      <c r="SF125" s="1576"/>
      <c r="SG125" s="1576"/>
      <c r="SH125" s="1576"/>
      <c r="SI125" s="1576"/>
      <c r="SJ125" s="1576"/>
      <c r="SK125" s="1576"/>
      <c r="SL125" s="1576"/>
      <c r="SM125" s="1576"/>
      <c r="SN125" s="1576"/>
      <c r="SO125" s="1576"/>
      <c r="SP125" s="1576"/>
      <c r="SQ125" s="1576"/>
      <c r="SR125" s="1576"/>
      <c r="SS125" s="1576"/>
      <c r="ST125" s="1576"/>
      <c r="SU125" s="1576"/>
      <c r="SV125" s="1576"/>
      <c r="SW125" s="1576"/>
      <c r="SX125" s="1576"/>
      <c r="SY125" s="1576"/>
      <c r="SZ125" s="1576"/>
      <c r="TA125" s="1576"/>
      <c r="TB125" s="1576"/>
      <c r="TC125" s="1576"/>
      <c r="TD125" s="1576"/>
      <c r="TE125" s="1576"/>
      <c r="TF125" s="1576"/>
      <c r="TG125" s="1576"/>
      <c r="TH125" s="1576"/>
      <c r="TI125" s="1576"/>
      <c r="TJ125" s="1576"/>
      <c r="TK125" s="1576"/>
      <c r="TL125" s="1576"/>
      <c r="TM125" s="1576"/>
      <c r="TN125" s="1576"/>
      <c r="TO125" s="1576"/>
      <c r="TP125" s="1576"/>
      <c r="TQ125" s="1576"/>
      <c r="TR125" s="1576"/>
      <c r="TS125" s="1576"/>
      <c r="TT125" s="1576"/>
      <c r="TU125" s="1576"/>
      <c r="TV125" s="1576"/>
      <c r="TW125" s="1576"/>
      <c r="TX125" s="1576"/>
      <c r="TY125" s="1576"/>
      <c r="TZ125" s="1576"/>
      <c r="UA125" s="1576"/>
      <c r="UB125" s="1576"/>
      <c r="UC125" s="1576"/>
      <c r="UD125" s="1576"/>
      <c r="UE125" s="1576"/>
      <c r="UF125" s="1576"/>
      <c r="UG125" s="1576"/>
      <c r="UH125" s="1576"/>
      <c r="UI125" s="1576"/>
      <c r="UJ125" s="1576"/>
      <c r="UK125" s="1576"/>
      <c r="UL125" s="1576"/>
      <c r="UM125" s="1576"/>
      <c r="UN125" s="1576"/>
      <c r="UO125" s="1576"/>
      <c r="UP125" s="1576"/>
      <c r="UQ125" s="1576"/>
      <c r="UR125" s="1576"/>
      <c r="US125" s="1576"/>
      <c r="UT125" s="1576"/>
      <c r="UU125" s="1576"/>
      <c r="UV125" s="1576"/>
      <c r="UW125" s="1576"/>
      <c r="UX125" s="1576"/>
      <c r="UY125" s="1576"/>
      <c r="UZ125" s="1576"/>
      <c r="VA125" s="1576"/>
      <c r="VB125" s="1576"/>
      <c r="VC125" s="1576"/>
      <c r="VD125" s="1576"/>
      <c r="VE125" s="1576"/>
      <c r="VF125" s="1576"/>
      <c r="VG125" s="1576"/>
      <c r="VH125" s="1576"/>
      <c r="VI125" s="1576"/>
      <c r="VJ125" s="1576"/>
      <c r="VK125" s="1576"/>
    </row>
    <row r="126" spans="1:583" x14ac:dyDescent="0.25">
      <c r="B126" s="4710"/>
      <c r="C126" s="4710"/>
      <c r="D126" s="4710"/>
      <c r="E126" s="1582" t="s">
        <v>2829</v>
      </c>
      <c r="F126" s="1912"/>
      <c r="G126" s="1912"/>
      <c r="H126" s="1912"/>
      <c r="I126" s="1576"/>
      <c r="J126" s="1576"/>
      <c r="K126" s="1576"/>
      <c r="L126" s="1576"/>
      <c r="M126" s="1576"/>
      <c r="N126" s="1576"/>
      <c r="O126" s="1576"/>
      <c r="P126" s="1576"/>
      <c r="Q126" s="1576"/>
      <c r="R126" s="1576"/>
      <c r="S126" s="1576"/>
      <c r="T126" s="1576"/>
      <c r="U126" s="1576"/>
      <c r="V126" s="1576"/>
      <c r="W126" s="1576"/>
      <c r="X126" s="1576"/>
      <c r="Y126" s="1576"/>
      <c r="Z126" s="1576"/>
      <c r="AA126" s="1576"/>
      <c r="AB126" s="1576"/>
      <c r="AC126" s="1576"/>
      <c r="AD126" s="1576"/>
      <c r="AE126" s="1576"/>
      <c r="AF126" s="1576"/>
      <c r="AG126" s="1576"/>
      <c r="AH126" s="1576"/>
      <c r="AI126" s="1576"/>
      <c r="AJ126" s="1576"/>
      <c r="AK126" s="1576"/>
      <c r="AL126" s="1576"/>
      <c r="AM126" s="1576"/>
      <c r="AN126" s="1576"/>
      <c r="AO126" s="1576"/>
      <c r="AP126" s="1576"/>
      <c r="AQ126" s="1576"/>
      <c r="AR126" s="1576"/>
      <c r="AS126" s="1576"/>
      <c r="AT126" s="1576"/>
      <c r="AU126" s="1576"/>
      <c r="AV126" s="1576"/>
      <c r="AW126" s="1576"/>
      <c r="AX126" s="1576"/>
      <c r="AY126" s="1576"/>
      <c r="AZ126" s="1576"/>
      <c r="BA126" s="1576"/>
      <c r="BB126" s="1576"/>
      <c r="BC126" s="1576"/>
      <c r="BD126" s="1576"/>
      <c r="BE126" s="1576"/>
      <c r="BF126" s="1576"/>
      <c r="BG126" s="1576"/>
      <c r="BH126" s="1576"/>
      <c r="BI126" s="1576"/>
      <c r="BJ126" s="1576"/>
      <c r="BK126" s="1576"/>
      <c r="BL126" s="1576"/>
      <c r="BM126" s="1576"/>
      <c r="BN126" s="1576"/>
      <c r="BO126" s="1576"/>
      <c r="BP126" s="1576"/>
      <c r="BQ126" s="1576"/>
      <c r="BR126" s="1576"/>
      <c r="BS126" s="1576"/>
      <c r="BT126" s="1576"/>
      <c r="BU126" s="1576"/>
      <c r="BV126" s="1576"/>
      <c r="BW126" s="1576"/>
      <c r="BX126" s="1576"/>
      <c r="BY126" s="1576"/>
      <c r="BZ126" s="1576"/>
      <c r="CA126" s="1576"/>
      <c r="CB126" s="1576"/>
      <c r="CC126" s="1576"/>
      <c r="CD126" s="1576"/>
      <c r="CE126" s="1576"/>
      <c r="CF126" s="1576"/>
      <c r="CG126" s="1576"/>
      <c r="CH126" s="1576"/>
      <c r="CI126" s="1576"/>
      <c r="CJ126" s="1576"/>
      <c r="CK126" s="1576"/>
      <c r="CL126" s="1576"/>
      <c r="CM126" s="1576"/>
      <c r="CN126" s="1576"/>
      <c r="CO126" s="1576"/>
      <c r="CP126" s="1576"/>
      <c r="CQ126" s="1576"/>
      <c r="CR126" s="1576"/>
      <c r="CS126" s="1576"/>
      <c r="CT126" s="1576"/>
      <c r="CU126" s="1576"/>
      <c r="CV126" s="1576"/>
      <c r="CW126" s="1576"/>
      <c r="CX126" s="1576"/>
      <c r="CY126" s="1576"/>
      <c r="CZ126" s="1576"/>
      <c r="DA126" s="1576"/>
      <c r="DB126" s="1576"/>
      <c r="DC126" s="1576"/>
      <c r="DD126" s="1576"/>
      <c r="DE126" s="1576"/>
      <c r="DF126" s="1576"/>
      <c r="DG126" s="1576"/>
      <c r="DH126" s="1576"/>
      <c r="DI126" s="1576"/>
      <c r="DJ126" s="1576"/>
      <c r="DK126" s="1576"/>
      <c r="DL126" s="1576"/>
      <c r="DM126" s="1576"/>
      <c r="DN126" s="1576"/>
      <c r="DO126" s="1576"/>
      <c r="DP126" s="1576"/>
      <c r="DQ126" s="1576"/>
      <c r="DR126" s="1576"/>
      <c r="DS126" s="1576"/>
      <c r="DT126" s="1576"/>
      <c r="DU126" s="1576"/>
      <c r="DV126" s="1576"/>
      <c r="DW126" s="1576"/>
      <c r="DX126" s="1576"/>
      <c r="DY126" s="1576"/>
      <c r="DZ126" s="1576"/>
      <c r="EA126" s="1576"/>
      <c r="EB126" s="1576"/>
      <c r="EC126" s="1576"/>
      <c r="ED126" s="1576"/>
      <c r="EE126" s="1576"/>
      <c r="EF126" s="1576"/>
      <c r="EG126" s="1576"/>
      <c r="EH126" s="1576"/>
      <c r="EI126" s="1576"/>
      <c r="EJ126" s="1576"/>
      <c r="EK126" s="1576"/>
      <c r="EL126" s="1576"/>
      <c r="EM126" s="1576"/>
      <c r="EN126" s="1576"/>
      <c r="EO126" s="1576"/>
      <c r="EP126" s="1576"/>
      <c r="EQ126" s="1576"/>
      <c r="ER126" s="1576"/>
      <c r="ES126" s="1576"/>
      <c r="ET126" s="1576"/>
      <c r="EU126" s="1576"/>
      <c r="EV126" s="1576"/>
      <c r="EW126" s="1576"/>
      <c r="EX126" s="1576"/>
      <c r="EY126" s="1576"/>
      <c r="EZ126" s="1576"/>
      <c r="FA126" s="1576"/>
      <c r="FB126" s="1576"/>
      <c r="FC126" s="1576"/>
      <c r="FD126" s="1576"/>
      <c r="FE126" s="1576"/>
      <c r="FF126" s="1576"/>
      <c r="FG126" s="1576"/>
      <c r="FH126" s="1576"/>
      <c r="FI126" s="1576"/>
      <c r="FJ126" s="1576"/>
      <c r="FK126" s="1576"/>
      <c r="FL126" s="1576"/>
      <c r="FM126" s="1576"/>
      <c r="FN126" s="1576"/>
      <c r="FO126" s="1576"/>
      <c r="FP126" s="1576"/>
      <c r="FQ126" s="1576"/>
      <c r="FR126" s="1576"/>
      <c r="FS126" s="1576"/>
      <c r="FT126" s="1576"/>
      <c r="FU126" s="1576"/>
      <c r="FV126" s="1576"/>
      <c r="FW126" s="1576"/>
      <c r="FX126" s="1576"/>
      <c r="FY126" s="1576"/>
      <c r="FZ126" s="1576"/>
      <c r="GA126" s="1576"/>
      <c r="GB126" s="1576"/>
      <c r="GC126" s="1576"/>
      <c r="GD126" s="1576"/>
      <c r="GE126" s="1576"/>
      <c r="GF126" s="1576"/>
      <c r="GG126" s="1576"/>
      <c r="GH126" s="1576"/>
      <c r="GI126" s="1576"/>
      <c r="GJ126" s="1576"/>
      <c r="GK126" s="1576"/>
      <c r="GL126" s="1576"/>
      <c r="GM126" s="1576"/>
      <c r="GN126" s="1576"/>
      <c r="GO126" s="1576"/>
      <c r="GP126" s="1576"/>
      <c r="GQ126" s="1576"/>
      <c r="GR126" s="1576"/>
      <c r="GS126" s="1576"/>
      <c r="GT126" s="1576"/>
      <c r="GU126" s="1576"/>
      <c r="GV126" s="1576"/>
      <c r="GW126" s="1576"/>
      <c r="GX126" s="1576"/>
      <c r="GY126" s="1576"/>
      <c r="GZ126" s="1576"/>
      <c r="HA126" s="1576"/>
      <c r="HB126" s="1576"/>
      <c r="HC126" s="1576"/>
      <c r="HD126" s="1576"/>
      <c r="HE126" s="1576"/>
      <c r="HF126" s="1576"/>
      <c r="HG126" s="1576"/>
      <c r="HH126" s="1576"/>
      <c r="HI126" s="1576"/>
      <c r="HJ126" s="1576"/>
      <c r="HK126" s="1576"/>
      <c r="HL126" s="1576"/>
      <c r="HM126" s="1576"/>
      <c r="HN126" s="1576"/>
      <c r="HO126" s="1576"/>
      <c r="HP126" s="1576"/>
      <c r="HQ126" s="1576"/>
      <c r="HR126" s="1576"/>
      <c r="HS126" s="1576"/>
      <c r="HT126" s="1576"/>
      <c r="HU126" s="1576"/>
      <c r="HV126" s="1576"/>
      <c r="HW126" s="1576"/>
      <c r="HX126" s="1576"/>
      <c r="HY126" s="1576"/>
      <c r="HZ126" s="1576"/>
      <c r="IA126" s="1576"/>
      <c r="IB126" s="1576"/>
      <c r="IC126" s="1576"/>
      <c r="ID126" s="1576"/>
      <c r="IE126" s="1576"/>
      <c r="IF126" s="1576"/>
      <c r="IG126" s="1576"/>
      <c r="IH126" s="1576"/>
      <c r="II126" s="1576"/>
      <c r="IJ126" s="1576"/>
      <c r="IK126" s="1576"/>
      <c r="IL126" s="1576"/>
      <c r="IM126" s="1576"/>
      <c r="IN126" s="1576"/>
      <c r="IO126" s="1576"/>
      <c r="IP126" s="1576"/>
      <c r="IQ126" s="1576"/>
      <c r="IR126" s="1576"/>
      <c r="IS126" s="1576"/>
      <c r="IT126" s="1576"/>
      <c r="IU126" s="1576"/>
      <c r="IV126" s="1576"/>
      <c r="IW126" s="1576"/>
      <c r="IX126" s="1576"/>
      <c r="IY126" s="1576"/>
      <c r="IZ126" s="1576"/>
      <c r="JA126" s="2054"/>
      <c r="JB126" s="2054"/>
      <c r="JC126" s="2054"/>
      <c r="JD126" s="2054"/>
      <c r="JE126" s="2054"/>
      <c r="JF126" s="2054"/>
      <c r="JG126" s="2054"/>
      <c r="JH126" s="2054"/>
      <c r="JI126" s="2054"/>
      <c r="JJ126" s="2054"/>
      <c r="JK126" s="2054"/>
      <c r="JL126" s="2054"/>
      <c r="JM126" s="2054"/>
      <c r="JN126" s="2054"/>
      <c r="JO126" s="2054"/>
      <c r="JP126" s="2054"/>
      <c r="JQ126" s="2054"/>
      <c r="JR126" s="1576"/>
      <c r="JS126" s="1576"/>
      <c r="JT126" s="1576"/>
      <c r="JU126" s="1576"/>
      <c r="JV126" s="1576"/>
      <c r="JW126" s="1576"/>
      <c r="JX126" s="1576"/>
      <c r="JY126" s="1576"/>
      <c r="JZ126" s="1576"/>
      <c r="KA126" s="1576"/>
      <c r="KB126" s="1576"/>
      <c r="KC126" s="1576"/>
      <c r="KD126" s="1576"/>
      <c r="KE126" s="1576"/>
      <c r="KF126" s="1576"/>
      <c r="KG126" s="1576"/>
      <c r="KH126" s="1576"/>
      <c r="KI126" s="1576"/>
      <c r="KJ126" s="1576"/>
      <c r="KK126" s="1576"/>
      <c r="KL126" s="1576"/>
      <c r="KM126" s="1576"/>
      <c r="KN126" s="1576"/>
      <c r="KO126" s="1576"/>
      <c r="KP126" s="1576"/>
      <c r="KQ126" s="1576"/>
      <c r="KR126" s="1576"/>
      <c r="KS126" s="1576"/>
      <c r="KT126" s="1576"/>
      <c r="KU126" s="1576"/>
      <c r="KV126" s="1576"/>
      <c r="KW126" s="1576"/>
      <c r="KX126" s="1576"/>
      <c r="KY126" s="1576"/>
      <c r="KZ126" s="1576"/>
      <c r="LA126" s="1576"/>
      <c r="LB126" s="1576"/>
      <c r="LC126" s="1576"/>
      <c r="LD126" s="1576"/>
      <c r="LE126" s="1576"/>
      <c r="LF126" s="1576"/>
      <c r="LG126" s="1576"/>
      <c r="LH126" s="1576"/>
      <c r="LI126" s="1576"/>
      <c r="LJ126" s="1576"/>
      <c r="LK126" s="1576"/>
      <c r="LL126" s="1576"/>
      <c r="LM126" s="1576"/>
      <c r="LN126" s="1576"/>
      <c r="LO126" s="1576"/>
      <c r="LP126" s="1576"/>
      <c r="LQ126" s="1576"/>
      <c r="LR126" s="1576"/>
      <c r="LS126" s="1576"/>
      <c r="LT126" s="1576"/>
      <c r="LU126" s="1576"/>
      <c r="LV126" s="1576"/>
      <c r="LW126" s="1576"/>
      <c r="LX126" s="1576"/>
      <c r="LY126" s="1576"/>
      <c r="LZ126" s="1576"/>
      <c r="MA126" s="1576"/>
      <c r="MB126" s="1576"/>
      <c r="MC126" s="1576"/>
      <c r="MD126" s="1576"/>
      <c r="ME126" s="1576"/>
      <c r="MF126" s="1576"/>
      <c r="MG126" s="1576"/>
      <c r="MH126" s="1576"/>
      <c r="MI126" s="1576"/>
      <c r="MJ126" s="1576"/>
      <c r="MK126" s="1576"/>
      <c r="ML126" s="1576"/>
      <c r="MM126" s="1576"/>
      <c r="MN126" s="1576"/>
      <c r="MO126" s="1576"/>
      <c r="MP126" s="1576"/>
      <c r="MQ126" s="1576"/>
      <c r="MR126" s="1576"/>
      <c r="MS126" s="1576"/>
      <c r="MT126" s="1576"/>
      <c r="MU126" s="1576"/>
      <c r="MV126" s="1576"/>
      <c r="MW126" s="1576"/>
      <c r="MX126" s="1576"/>
      <c r="MY126" s="1576"/>
      <c r="MZ126" s="1576"/>
      <c r="NA126" s="1576"/>
      <c r="NB126" s="1576"/>
      <c r="NC126" s="1576"/>
      <c r="ND126" s="1576"/>
      <c r="NE126" s="1576"/>
      <c r="NF126" s="1576"/>
      <c r="NG126" s="1576"/>
      <c r="NH126" s="1576"/>
      <c r="NI126" s="1576"/>
      <c r="NJ126" s="1576"/>
      <c r="NK126" s="1576"/>
      <c r="NL126" s="1576"/>
      <c r="NM126" s="1576"/>
      <c r="NN126" s="1576"/>
      <c r="NO126" s="1576"/>
      <c r="NP126" s="1576"/>
      <c r="NQ126" s="1576"/>
      <c r="NR126" s="1576"/>
      <c r="NS126" s="1576"/>
      <c r="NT126" s="1576"/>
      <c r="NU126" s="1576"/>
      <c r="NV126" s="1576"/>
      <c r="NW126" s="1576"/>
      <c r="NX126" s="1576"/>
      <c r="NY126" s="1576"/>
      <c r="NZ126" s="1576"/>
      <c r="OA126" s="1576"/>
      <c r="OB126" s="1576"/>
      <c r="OC126" s="1576"/>
      <c r="OD126" s="1576"/>
      <c r="OE126" s="1576"/>
      <c r="OF126" s="1576"/>
      <c r="OG126" s="1576"/>
      <c r="OH126" s="1576"/>
      <c r="OI126" s="1576"/>
      <c r="OJ126" s="1576"/>
      <c r="OK126" s="1576"/>
      <c r="OL126" s="1576"/>
      <c r="OM126" s="1576"/>
      <c r="ON126" s="1576"/>
      <c r="OO126" s="1576"/>
      <c r="OP126" s="1576"/>
      <c r="OQ126" s="1576"/>
      <c r="OR126" s="1576"/>
      <c r="OS126" s="1576"/>
      <c r="OT126" s="1576"/>
      <c r="OU126" s="1576"/>
      <c r="OV126" s="1576"/>
      <c r="OW126" s="1576"/>
      <c r="OX126" s="1576"/>
      <c r="OY126" s="1576"/>
      <c r="OZ126" s="1576"/>
      <c r="PA126" s="1576"/>
      <c r="PB126" s="1576"/>
      <c r="PC126" s="1576"/>
      <c r="PD126" s="1576"/>
      <c r="PE126" s="1576"/>
      <c r="PF126" s="1576"/>
      <c r="PG126" s="1576"/>
      <c r="PH126" s="1576"/>
      <c r="PI126" s="1576"/>
      <c r="PJ126" s="1576"/>
      <c r="PK126" s="1576"/>
      <c r="PL126" s="1576"/>
      <c r="PM126" s="1576"/>
      <c r="PN126" s="1576"/>
      <c r="PO126" s="1576"/>
      <c r="PP126" s="1576"/>
      <c r="PQ126" s="1576"/>
      <c r="PR126" s="1576"/>
      <c r="PS126" s="1576"/>
      <c r="PT126" s="1576"/>
      <c r="PU126" s="1576"/>
      <c r="PV126" s="1576"/>
      <c r="PW126" s="1576"/>
      <c r="PX126" s="1576"/>
      <c r="PY126" s="1576"/>
      <c r="PZ126" s="1576"/>
      <c r="QA126" s="1576"/>
      <c r="QB126" s="1576"/>
      <c r="QC126" s="1576"/>
      <c r="QD126" s="1576"/>
      <c r="QE126" s="1576"/>
      <c r="QF126" s="1576"/>
      <c r="QG126" s="1576"/>
      <c r="QH126" s="1576"/>
      <c r="QI126" s="1576"/>
      <c r="QJ126" s="1576"/>
      <c r="QK126" s="1576"/>
      <c r="QL126" s="1576"/>
      <c r="QM126" s="1576"/>
      <c r="QN126" s="1576"/>
      <c r="QO126" s="1576"/>
      <c r="QP126" s="1576"/>
      <c r="QQ126" s="1576"/>
      <c r="QR126" s="1576"/>
      <c r="QS126" s="1576"/>
      <c r="QT126" s="1576"/>
      <c r="QU126" s="1576"/>
      <c r="QV126" s="1576"/>
      <c r="QW126" s="1576"/>
      <c r="QX126" s="1576"/>
      <c r="QY126" s="1576"/>
      <c r="QZ126" s="1576"/>
      <c r="RA126" s="1576"/>
      <c r="RB126" s="1576"/>
      <c r="RC126" s="1576"/>
      <c r="RD126" s="1576"/>
      <c r="RE126" s="1576"/>
      <c r="RF126" s="1576"/>
      <c r="RG126" s="1576"/>
      <c r="RH126" s="1576"/>
      <c r="RI126" s="1576"/>
      <c r="RJ126" s="1576"/>
      <c r="RK126" s="1576"/>
      <c r="RL126" s="1576"/>
      <c r="RM126" s="1576"/>
      <c r="RN126" s="1576"/>
      <c r="RO126" s="1576"/>
      <c r="RP126" s="1576"/>
      <c r="RQ126" s="1576"/>
      <c r="RR126" s="1576"/>
      <c r="RS126" s="1576"/>
      <c r="RT126" s="1576"/>
      <c r="RU126" s="1576"/>
      <c r="RV126" s="1576"/>
      <c r="RW126" s="1576"/>
      <c r="RX126" s="1576"/>
      <c r="RY126" s="1576"/>
      <c r="RZ126" s="1576"/>
      <c r="SA126" s="1576"/>
      <c r="SB126" s="1576"/>
      <c r="SC126" s="1576"/>
      <c r="SD126" s="1576"/>
      <c r="SE126" s="1576"/>
      <c r="SF126" s="1576"/>
      <c r="SG126" s="1576"/>
      <c r="SH126" s="1576"/>
      <c r="SI126" s="1576"/>
      <c r="SJ126" s="1576"/>
      <c r="SK126" s="1576"/>
      <c r="SL126" s="1576"/>
      <c r="SM126" s="1576"/>
      <c r="SN126" s="1576"/>
      <c r="SO126" s="1576"/>
      <c r="SP126" s="1576"/>
      <c r="SQ126" s="1576"/>
      <c r="SR126" s="1576"/>
      <c r="SS126" s="1576"/>
      <c r="ST126" s="1576"/>
      <c r="SU126" s="1576"/>
      <c r="SV126" s="1576"/>
      <c r="SW126" s="1576"/>
      <c r="SX126" s="1576"/>
      <c r="SY126" s="1576"/>
      <c r="SZ126" s="1576"/>
      <c r="TA126" s="1576"/>
      <c r="TB126" s="1576"/>
      <c r="TC126" s="1576"/>
      <c r="TD126" s="1576"/>
      <c r="TE126" s="1576"/>
      <c r="TF126" s="1576"/>
      <c r="TG126" s="1576"/>
      <c r="TH126" s="1576"/>
      <c r="TI126" s="1576"/>
      <c r="TJ126" s="1576"/>
      <c r="TK126" s="1576"/>
      <c r="TL126" s="1576"/>
      <c r="TM126" s="1576"/>
      <c r="TN126" s="1576"/>
      <c r="TO126" s="1576"/>
      <c r="TP126" s="1576"/>
      <c r="TQ126" s="1576"/>
      <c r="TR126" s="1576"/>
      <c r="TS126" s="1576"/>
      <c r="TT126" s="1576"/>
      <c r="TU126" s="1576"/>
      <c r="TV126" s="1576"/>
      <c r="TW126" s="1576"/>
      <c r="TX126" s="1576"/>
      <c r="TY126" s="1576"/>
      <c r="TZ126" s="1576"/>
      <c r="UA126" s="1576"/>
      <c r="UB126" s="1576"/>
      <c r="UC126" s="1576"/>
      <c r="UD126" s="1576"/>
      <c r="UE126" s="1576"/>
      <c r="UF126" s="1576"/>
      <c r="UG126" s="1576"/>
      <c r="UH126" s="1576"/>
      <c r="UI126" s="1576"/>
      <c r="UJ126" s="1576"/>
      <c r="UK126" s="1576"/>
      <c r="UL126" s="1576"/>
      <c r="UM126" s="1576"/>
      <c r="UN126" s="1576"/>
      <c r="UO126" s="1576"/>
      <c r="UP126" s="1576"/>
      <c r="UQ126" s="1576"/>
      <c r="UR126" s="1576"/>
      <c r="US126" s="1576"/>
      <c r="UT126" s="1576"/>
      <c r="UU126" s="1576"/>
      <c r="UV126" s="1576"/>
      <c r="UW126" s="1576"/>
      <c r="UX126" s="1576"/>
      <c r="UY126" s="1576"/>
      <c r="UZ126" s="1576"/>
      <c r="VA126" s="1576"/>
      <c r="VB126" s="1576"/>
      <c r="VC126" s="1576"/>
      <c r="VD126" s="1576"/>
      <c r="VE126" s="1576"/>
      <c r="VF126" s="1576"/>
      <c r="VG126" s="1576"/>
      <c r="VH126" s="1576"/>
      <c r="VI126" s="1576"/>
      <c r="VJ126" s="1576"/>
      <c r="VK126" s="1576"/>
    </row>
    <row r="127" spans="1:583" x14ac:dyDescent="0.25">
      <c r="B127" s="4710"/>
      <c r="C127" s="4710"/>
      <c r="D127" s="4710"/>
      <c r="E127" s="1582" t="s">
        <v>611</v>
      </c>
      <c r="F127" s="1912"/>
      <c r="G127" s="1912"/>
      <c r="H127" s="1912"/>
      <c r="I127" s="1576"/>
      <c r="J127" s="1576"/>
      <c r="K127" s="1576"/>
      <c r="L127" s="1576"/>
      <c r="M127" s="1576"/>
      <c r="N127" s="1576"/>
      <c r="O127" s="1576"/>
      <c r="P127" s="1576"/>
      <c r="Q127" s="1576"/>
      <c r="R127" s="1576"/>
      <c r="S127" s="1576"/>
      <c r="T127" s="1576"/>
      <c r="U127" s="1576"/>
      <c r="V127" s="1576"/>
      <c r="W127" s="1576"/>
      <c r="X127" s="1576"/>
      <c r="Y127" s="1576"/>
      <c r="Z127" s="1576"/>
      <c r="AA127" s="1576"/>
      <c r="AB127" s="1576"/>
      <c r="AC127" s="1576"/>
      <c r="AD127" s="1576"/>
      <c r="AE127" s="1576"/>
      <c r="AF127" s="1576"/>
      <c r="AG127" s="1576"/>
      <c r="AH127" s="1576"/>
      <c r="AI127" s="1576"/>
      <c r="AJ127" s="1576"/>
      <c r="AK127" s="1576"/>
      <c r="AL127" s="1576"/>
      <c r="AM127" s="1576"/>
      <c r="AN127" s="1576"/>
      <c r="AO127" s="1576"/>
      <c r="AP127" s="1576"/>
      <c r="AQ127" s="1576"/>
      <c r="AR127" s="1576"/>
      <c r="AS127" s="1576"/>
      <c r="AT127" s="1576"/>
      <c r="AU127" s="1576"/>
      <c r="AV127" s="1576"/>
      <c r="AW127" s="1576"/>
      <c r="AX127" s="1576"/>
      <c r="AY127" s="1576"/>
      <c r="AZ127" s="1576"/>
      <c r="BA127" s="1576"/>
      <c r="BB127" s="1576"/>
      <c r="BC127" s="1576"/>
      <c r="BD127" s="1576"/>
      <c r="BE127" s="1576"/>
      <c r="BF127" s="1576"/>
      <c r="BG127" s="1576"/>
      <c r="BH127" s="1576"/>
      <c r="BI127" s="1576"/>
      <c r="BJ127" s="1576"/>
      <c r="BK127" s="1576"/>
      <c r="BL127" s="1576"/>
      <c r="BM127" s="1576"/>
      <c r="BN127" s="1576"/>
      <c r="BO127" s="1576"/>
      <c r="BP127" s="1576"/>
      <c r="BQ127" s="1576"/>
      <c r="BR127" s="1576"/>
      <c r="BS127" s="1576"/>
      <c r="BT127" s="1576"/>
      <c r="BU127" s="1576"/>
      <c r="BV127" s="1576"/>
      <c r="BW127" s="1576"/>
      <c r="BX127" s="1576"/>
      <c r="BY127" s="1576"/>
      <c r="BZ127" s="1576"/>
      <c r="CA127" s="1576"/>
      <c r="CB127" s="1576"/>
      <c r="CC127" s="1576"/>
      <c r="CD127" s="1576"/>
      <c r="CE127" s="1576"/>
      <c r="CF127" s="1576"/>
      <c r="CG127" s="1576"/>
      <c r="CH127" s="1576"/>
      <c r="CI127" s="1576"/>
      <c r="CJ127" s="1576"/>
      <c r="CK127" s="1576"/>
      <c r="CL127" s="1576"/>
      <c r="CM127" s="1576"/>
      <c r="CN127" s="1576"/>
      <c r="CO127" s="1576"/>
      <c r="CP127" s="1576"/>
      <c r="CQ127" s="1576"/>
      <c r="CR127" s="1576"/>
      <c r="CS127" s="1576"/>
      <c r="CT127" s="1576"/>
      <c r="CU127" s="1576"/>
      <c r="CV127" s="1576"/>
      <c r="CW127" s="1576"/>
      <c r="CX127" s="1576"/>
      <c r="CY127" s="1576"/>
      <c r="CZ127" s="1576"/>
      <c r="DA127" s="1576"/>
      <c r="DB127" s="1576"/>
      <c r="DC127" s="1576"/>
      <c r="DD127" s="1576"/>
      <c r="DE127" s="1576"/>
      <c r="DF127" s="1576"/>
      <c r="DG127" s="1576"/>
      <c r="DH127" s="1576"/>
      <c r="DI127" s="1576"/>
      <c r="DJ127" s="1576"/>
      <c r="DK127" s="1576"/>
      <c r="DL127" s="1576"/>
      <c r="DM127" s="1576"/>
      <c r="DN127" s="1576"/>
      <c r="DO127" s="1576"/>
      <c r="DP127" s="1576"/>
      <c r="DQ127" s="1576"/>
      <c r="DR127" s="1576"/>
      <c r="DS127" s="1576"/>
      <c r="DT127" s="1576"/>
      <c r="DU127" s="1576"/>
      <c r="DV127" s="1576"/>
      <c r="DW127" s="1576"/>
      <c r="DX127" s="1576"/>
      <c r="DY127" s="1576"/>
      <c r="DZ127" s="1576"/>
      <c r="EA127" s="1576"/>
      <c r="EB127" s="1576"/>
      <c r="EC127" s="1576"/>
      <c r="ED127" s="1576"/>
      <c r="EE127" s="1576"/>
      <c r="EF127" s="1576"/>
      <c r="EG127" s="1576"/>
      <c r="EH127" s="1576"/>
      <c r="EI127" s="1576"/>
      <c r="EJ127" s="1576"/>
      <c r="EK127" s="1576"/>
      <c r="EL127" s="1576"/>
      <c r="EM127" s="1576"/>
      <c r="EN127" s="1576"/>
      <c r="EO127" s="1576"/>
      <c r="EP127" s="1576"/>
      <c r="EQ127" s="1576"/>
      <c r="ER127" s="1576"/>
      <c r="ES127" s="1576"/>
      <c r="ET127" s="1576"/>
      <c r="EU127" s="1576"/>
      <c r="EV127" s="1576"/>
      <c r="EW127" s="1576"/>
      <c r="EX127" s="1576"/>
      <c r="EY127" s="1576"/>
      <c r="EZ127" s="1576"/>
      <c r="FA127" s="1576"/>
      <c r="FB127" s="1576"/>
      <c r="FC127" s="1576"/>
      <c r="FD127" s="1576"/>
      <c r="FE127" s="1576"/>
      <c r="FF127" s="1576"/>
      <c r="FG127" s="1576"/>
      <c r="FH127" s="1576"/>
      <c r="FI127" s="1576"/>
      <c r="FJ127" s="1576"/>
      <c r="FK127" s="1576"/>
      <c r="FL127" s="1576"/>
      <c r="FM127" s="1576"/>
      <c r="FN127" s="1576"/>
      <c r="FO127" s="1576"/>
      <c r="FP127" s="1576"/>
      <c r="FQ127" s="1576"/>
      <c r="FR127" s="1576"/>
      <c r="FS127" s="1576"/>
      <c r="FT127" s="1576"/>
      <c r="FU127" s="1576"/>
      <c r="FV127" s="1576"/>
      <c r="FW127" s="1576"/>
      <c r="FX127" s="1576"/>
      <c r="FY127" s="1576"/>
      <c r="FZ127" s="1576"/>
      <c r="GA127" s="1576"/>
      <c r="GB127" s="1576"/>
      <c r="GC127" s="1576"/>
      <c r="GD127" s="1576"/>
      <c r="GE127" s="1576"/>
      <c r="GF127" s="1576"/>
      <c r="GG127" s="1576"/>
      <c r="GH127" s="1576"/>
      <c r="GI127" s="1576"/>
      <c r="GJ127" s="1576"/>
      <c r="GK127" s="1576"/>
      <c r="GL127" s="1576"/>
      <c r="GM127" s="1576"/>
      <c r="GN127" s="1576"/>
      <c r="GO127" s="1576"/>
      <c r="GP127" s="1576"/>
      <c r="GQ127" s="1576"/>
      <c r="GR127" s="1576"/>
      <c r="GS127" s="1576"/>
      <c r="GT127" s="1576"/>
      <c r="GU127" s="1576"/>
      <c r="GV127" s="1576"/>
      <c r="GW127" s="1576"/>
      <c r="GX127" s="1576"/>
      <c r="GY127" s="1576"/>
      <c r="GZ127" s="1576"/>
      <c r="HA127" s="1576"/>
      <c r="HB127" s="1576"/>
      <c r="HC127" s="1576"/>
      <c r="HD127" s="1576"/>
      <c r="HE127" s="1576"/>
      <c r="HF127" s="1576"/>
      <c r="HG127" s="1576"/>
      <c r="HH127" s="1576"/>
      <c r="HI127" s="1576"/>
      <c r="HJ127" s="1576"/>
      <c r="HK127" s="1576"/>
      <c r="HL127" s="1576"/>
      <c r="HM127" s="1576"/>
      <c r="HN127" s="1576"/>
      <c r="HO127" s="1576"/>
      <c r="HP127" s="1576"/>
      <c r="HQ127" s="1576"/>
      <c r="HR127" s="1576"/>
      <c r="HS127" s="1576"/>
      <c r="HT127" s="1576"/>
      <c r="HU127" s="1576"/>
      <c r="HV127" s="1576"/>
      <c r="HW127" s="1576"/>
      <c r="HX127" s="1576"/>
      <c r="HY127" s="1576"/>
      <c r="HZ127" s="1576"/>
      <c r="IA127" s="1576"/>
      <c r="IB127" s="1576"/>
      <c r="IC127" s="1576"/>
      <c r="ID127" s="1576"/>
      <c r="IE127" s="1576"/>
      <c r="IF127" s="1576"/>
      <c r="IG127" s="1576"/>
      <c r="IH127" s="1576"/>
      <c r="II127" s="1576"/>
      <c r="IJ127" s="1576"/>
      <c r="IK127" s="1576"/>
      <c r="IL127" s="1576"/>
      <c r="IM127" s="1576"/>
      <c r="IN127" s="1576"/>
      <c r="IO127" s="1576"/>
      <c r="IP127" s="1576"/>
      <c r="IQ127" s="1576"/>
      <c r="IR127" s="1576"/>
      <c r="IS127" s="1576"/>
      <c r="IT127" s="1576"/>
      <c r="IU127" s="1576"/>
      <c r="IV127" s="1576"/>
      <c r="IW127" s="1576"/>
      <c r="IX127" s="1576"/>
      <c r="IY127" s="1576"/>
      <c r="IZ127" s="1576"/>
      <c r="JA127" s="2054"/>
      <c r="JB127" s="2054"/>
      <c r="JC127" s="2054"/>
      <c r="JD127" s="2054"/>
      <c r="JE127" s="2054"/>
      <c r="JF127" s="2054"/>
      <c r="JG127" s="2054"/>
      <c r="JH127" s="2054"/>
      <c r="JI127" s="2054"/>
      <c r="JJ127" s="2054"/>
      <c r="JK127" s="2054"/>
      <c r="JL127" s="2054"/>
      <c r="JM127" s="2054"/>
      <c r="JN127" s="2054"/>
      <c r="JO127" s="2054"/>
      <c r="JP127" s="2054"/>
      <c r="JQ127" s="2054"/>
      <c r="JR127" s="1576"/>
      <c r="JS127" s="1576"/>
      <c r="JT127" s="1576"/>
      <c r="JU127" s="1576"/>
      <c r="JV127" s="1576"/>
      <c r="JW127" s="1576"/>
      <c r="JX127" s="1576"/>
      <c r="JY127" s="1576"/>
      <c r="JZ127" s="1576"/>
      <c r="KA127" s="1576"/>
      <c r="KB127" s="1576"/>
      <c r="KC127" s="1576"/>
      <c r="KD127" s="1576"/>
      <c r="KE127" s="1576"/>
      <c r="KF127" s="1576"/>
      <c r="KG127" s="1576"/>
      <c r="KH127" s="1576"/>
      <c r="KI127" s="1576"/>
      <c r="KJ127" s="1576"/>
      <c r="KK127" s="1576"/>
      <c r="KL127" s="1576"/>
      <c r="KM127" s="1576"/>
      <c r="KN127" s="1576"/>
      <c r="KO127" s="1576"/>
      <c r="KP127" s="1576"/>
      <c r="KQ127" s="1576"/>
      <c r="KR127" s="1576"/>
      <c r="KS127" s="1576"/>
      <c r="KT127" s="1576"/>
      <c r="KU127" s="1576"/>
      <c r="KV127" s="1576"/>
      <c r="KW127" s="1576"/>
      <c r="KX127" s="1576"/>
      <c r="KY127" s="1576"/>
      <c r="KZ127" s="1576"/>
      <c r="LA127" s="1576"/>
      <c r="LB127" s="1576"/>
      <c r="LC127" s="1576"/>
      <c r="LD127" s="1576"/>
      <c r="LE127" s="1576"/>
      <c r="LF127" s="1576"/>
      <c r="LG127" s="1576"/>
      <c r="LH127" s="1576"/>
      <c r="LI127" s="1576"/>
      <c r="LJ127" s="1576"/>
      <c r="LK127" s="1576"/>
      <c r="LL127" s="1576"/>
      <c r="LM127" s="1576"/>
      <c r="LN127" s="1576"/>
      <c r="LO127" s="1576"/>
      <c r="LP127" s="1576"/>
      <c r="LQ127" s="1576"/>
      <c r="LR127" s="1576"/>
      <c r="LS127" s="1576"/>
      <c r="LT127" s="1576"/>
      <c r="LU127" s="1576"/>
      <c r="LV127" s="1576"/>
      <c r="LW127" s="1576"/>
      <c r="LX127" s="1576"/>
      <c r="LY127" s="1576"/>
      <c r="LZ127" s="1576"/>
      <c r="MA127" s="1576"/>
      <c r="MB127" s="1576"/>
      <c r="MC127" s="1576"/>
      <c r="MD127" s="1576"/>
      <c r="ME127" s="1576"/>
      <c r="MF127" s="1576"/>
      <c r="MG127" s="1576"/>
      <c r="MH127" s="1576"/>
      <c r="MI127" s="1576"/>
      <c r="MJ127" s="1576"/>
      <c r="MK127" s="1576"/>
      <c r="ML127" s="1576"/>
      <c r="MM127" s="1576"/>
      <c r="MN127" s="1576"/>
      <c r="MO127" s="1576"/>
      <c r="MP127" s="1576"/>
      <c r="MQ127" s="1576"/>
      <c r="MR127" s="1576"/>
      <c r="MS127" s="1576"/>
      <c r="MT127" s="1576"/>
      <c r="MU127" s="1576"/>
      <c r="MV127" s="1576"/>
      <c r="MW127" s="1576"/>
      <c r="MX127" s="1576"/>
      <c r="MY127" s="1576"/>
      <c r="MZ127" s="1576"/>
      <c r="NA127" s="1576"/>
      <c r="NB127" s="1576"/>
      <c r="NC127" s="1576"/>
      <c r="ND127" s="1576"/>
      <c r="NE127" s="1576"/>
      <c r="NF127" s="1576"/>
      <c r="NG127" s="1576"/>
      <c r="NH127" s="1576"/>
      <c r="NI127" s="1576"/>
      <c r="NJ127" s="1576"/>
      <c r="NK127" s="1576"/>
      <c r="NL127" s="1576"/>
      <c r="NM127" s="1576"/>
      <c r="NN127" s="1576"/>
      <c r="NO127" s="1576"/>
      <c r="NP127" s="1576"/>
      <c r="NQ127" s="1576"/>
      <c r="NR127" s="1576"/>
      <c r="NS127" s="1576"/>
      <c r="NT127" s="1576"/>
      <c r="NU127" s="1576"/>
      <c r="NV127" s="1576"/>
      <c r="NW127" s="1576"/>
      <c r="NX127" s="1576"/>
      <c r="NY127" s="1576"/>
      <c r="NZ127" s="1576"/>
      <c r="OA127" s="1576"/>
      <c r="OB127" s="1576"/>
      <c r="OC127" s="1576"/>
      <c r="OD127" s="1576"/>
      <c r="OE127" s="1576"/>
      <c r="OF127" s="1576"/>
      <c r="OG127" s="1576"/>
      <c r="OH127" s="1576"/>
      <c r="OI127" s="1576"/>
      <c r="OJ127" s="1576"/>
      <c r="OK127" s="1576"/>
      <c r="OL127" s="1576"/>
      <c r="OM127" s="1576"/>
      <c r="ON127" s="1576"/>
      <c r="OO127" s="1576"/>
      <c r="OP127" s="1576"/>
      <c r="OQ127" s="1576"/>
      <c r="OR127" s="1576"/>
      <c r="OS127" s="1576"/>
      <c r="OT127" s="1576"/>
      <c r="OU127" s="1576"/>
      <c r="OV127" s="1576"/>
      <c r="OW127" s="1576"/>
      <c r="OX127" s="1576"/>
      <c r="OY127" s="1576"/>
      <c r="OZ127" s="1576"/>
      <c r="PA127" s="1576"/>
      <c r="PB127" s="1576"/>
      <c r="PC127" s="1576"/>
      <c r="PD127" s="1576"/>
      <c r="PE127" s="1576"/>
      <c r="PF127" s="1576"/>
      <c r="PG127" s="1576"/>
      <c r="PH127" s="1576"/>
      <c r="PI127" s="1576"/>
      <c r="PJ127" s="1576"/>
      <c r="PK127" s="1576"/>
      <c r="PL127" s="1576"/>
      <c r="PM127" s="1576"/>
      <c r="PN127" s="1576"/>
      <c r="PO127" s="1576"/>
      <c r="PP127" s="1576"/>
      <c r="PQ127" s="1576"/>
      <c r="PR127" s="1576"/>
      <c r="PS127" s="1576"/>
      <c r="PT127" s="1576"/>
      <c r="PU127" s="1576"/>
      <c r="PV127" s="1576"/>
      <c r="PW127" s="1576"/>
      <c r="PX127" s="1576"/>
      <c r="PY127" s="1576"/>
      <c r="PZ127" s="1576"/>
      <c r="QA127" s="1576"/>
      <c r="QB127" s="1576"/>
      <c r="QC127" s="1576"/>
      <c r="QD127" s="1576"/>
      <c r="QE127" s="1576"/>
      <c r="QF127" s="1576"/>
      <c r="QG127" s="1576"/>
      <c r="QH127" s="1576"/>
      <c r="QI127" s="1576"/>
      <c r="QJ127" s="1576"/>
      <c r="QK127" s="1576"/>
      <c r="QL127" s="1576"/>
      <c r="QM127" s="1576"/>
      <c r="QN127" s="1576"/>
      <c r="QO127" s="1576"/>
      <c r="QP127" s="1576"/>
      <c r="QQ127" s="1576"/>
      <c r="QR127" s="1576"/>
      <c r="QS127" s="1576"/>
      <c r="QT127" s="1576"/>
      <c r="QU127" s="1576"/>
      <c r="QV127" s="1576"/>
      <c r="QW127" s="1576"/>
      <c r="QX127" s="1576"/>
      <c r="QY127" s="1576"/>
      <c r="QZ127" s="1576"/>
      <c r="RA127" s="1576"/>
      <c r="RB127" s="1576"/>
      <c r="RC127" s="1576"/>
      <c r="RD127" s="1576"/>
      <c r="RE127" s="1576"/>
      <c r="RF127" s="1576"/>
      <c r="RG127" s="1576"/>
      <c r="RH127" s="1576"/>
      <c r="RI127" s="1576"/>
      <c r="RJ127" s="1576"/>
      <c r="RK127" s="1576"/>
      <c r="RL127" s="1576"/>
      <c r="RM127" s="1576"/>
      <c r="RN127" s="1576"/>
      <c r="RO127" s="1576"/>
      <c r="RP127" s="1576"/>
      <c r="RQ127" s="1576"/>
      <c r="RR127" s="1576"/>
      <c r="RS127" s="1576"/>
      <c r="RT127" s="1576"/>
      <c r="RU127" s="1576"/>
      <c r="RV127" s="1576"/>
      <c r="RW127" s="1576"/>
      <c r="RX127" s="1576"/>
      <c r="RY127" s="1576"/>
      <c r="RZ127" s="1576"/>
      <c r="SA127" s="1576"/>
      <c r="SB127" s="1576"/>
      <c r="SC127" s="1576"/>
      <c r="SD127" s="1576"/>
      <c r="SE127" s="1576"/>
      <c r="SF127" s="1576"/>
      <c r="SG127" s="1576"/>
      <c r="SH127" s="1576"/>
      <c r="SI127" s="1576"/>
      <c r="SJ127" s="1576"/>
      <c r="SK127" s="1576"/>
      <c r="SL127" s="1576"/>
      <c r="SM127" s="1576"/>
      <c r="SN127" s="1576"/>
      <c r="SO127" s="1576"/>
      <c r="SP127" s="1576"/>
      <c r="SQ127" s="1576"/>
      <c r="SR127" s="1576"/>
      <c r="SS127" s="1576"/>
      <c r="ST127" s="1576"/>
      <c r="SU127" s="1576"/>
      <c r="SV127" s="1576"/>
      <c r="SW127" s="1576"/>
      <c r="SX127" s="1576"/>
      <c r="SY127" s="1576"/>
      <c r="SZ127" s="1576"/>
      <c r="TA127" s="1576"/>
      <c r="TB127" s="1576"/>
      <c r="TC127" s="1576"/>
      <c r="TD127" s="1576"/>
      <c r="TE127" s="1576"/>
      <c r="TF127" s="1576"/>
      <c r="TG127" s="1576"/>
      <c r="TH127" s="1576"/>
      <c r="TI127" s="1576"/>
      <c r="TJ127" s="1576"/>
      <c r="TK127" s="1576"/>
      <c r="TL127" s="1576"/>
      <c r="TM127" s="1576"/>
      <c r="TN127" s="1576"/>
      <c r="TO127" s="1576"/>
      <c r="TP127" s="1576"/>
      <c r="TQ127" s="1576"/>
      <c r="TR127" s="1576"/>
      <c r="TS127" s="1576"/>
      <c r="TT127" s="1576"/>
      <c r="TU127" s="1576"/>
      <c r="TV127" s="1576"/>
      <c r="TW127" s="1576"/>
      <c r="TX127" s="1576"/>
      <c r="TY127" s="1576"/>
      <c r="TZ127" s="1576"/>
      <c r="UA127" s="1576"/>
      <c r="UB127" s="1576"/>
      <c r="UC127" s="1576"/>
      <c r="UD127" s="1576"/>
      <c r="UE127" s="1576"/>
      <c r="UF127" s="1576"/>
      <c r="UG127" s="1576"/>
      <c r="UH127" s="1576"/>
      <c r="UI127" s="1576"/>
      <c r="UJ127" s="1576"/>
      <c r="UK127" s="1576"/>
      <c r="UL127" s="1576"/>
      <c r="UM127" s="1576"/>
      <c r="UN127" s="1576"/>
      <c r="UO127" s="1576"/>
      <c r="UP127" s="1576"/>
      <c r="UQ127" s="1576"/>
      <c r="UR127" s="1576"/>
      <c r="US127" s="1576"/>
      <c r="UT127" s="1576"/>
      <c r="UU127" s="1576"/>
      <c r="UV127" s="1576"/>
      <c r="UW127" s="1576"/>
      <c r="UX127" s="1576"/>
      <c r="UY127" s="1576"/>
      <c r="UZ127" s="1576"/>
      <c r="VA127" s="1576"/>
      <c r="VB127" s="1576"/>
      <c r="VC127" s="1576"/>
      <c r="VD127" s="1576"/>
      <c r="VE127" s="1576"/>
      <c r="VF127" s="1576"/>
      <c r="VG127" s="1576"/>
      <c r="VH127" s="1576"/>
      <c r="VI127" s="1576"/>
      <c r="VJ127" s="1576"/>
      <c r="VK127" s="1576"/>
    </row>
    <row r="128" spans="1:583" ht="27.75" customHeight="1" x14ac:dyDescent="0.25">
      <c r="B128" s="1610" t="s">
        <v>115</v>
      </c>
      <c r="C128" s="1582" t="s">
        <v>2830</v>
      </c>
      <c r="D128" s="4710" t="s">
        <v>2831</v>
      </c>
      <c r="E128" s="4710"/>
      <c r="F128" s="1912"/>
      <c r="G128" s="1912"/>
      <c r="H128" s="1912"/>
      <c r="I128" s="1576"/>
      <c r="J128" s="1576"/>
      <c r="K128" s="1576"/>
      <c r="L128" s="1576"/>
      <c r="M128" s="1576"/>
      <c r="N128" s="1576"/>
      <c r="O128" s="1576"/>
      <c r="P128" s="1576"/>
      <c r="Q128" s="1576"/>
      <c r="R128" s="1576"/>
      <c r="S128" s="1576"/>
      <c r="T128" s="1576"/>
      <c r="U128" s="1576"/>
      <c r="V128" s="1576"/>
      <c r="W128" s="1576"/>
      <c r="X128" s="1576"/>
      <c r="Y128" s="1576"/>
      <c r="Z128" s="1576"/>
      <c r="AA128" s="1576"/>
      <c r="AB128" s="1576"/>
      <c r="AC128" s="1576"/>
      <c r="AD128" s="1576"/>
      <c r="AE128" s="1576"/>
      <c r="AF128" s="1576"/>
      <c r="AG128" s="1576"/>
      <c r="AH128" s="1576"/>
      <c r="AI128" s="1576"/>
      <c r="AJ128" s="1576"/>
      <c r="AK128" s="1576"/>
      <c r="AL128" s="1576"/>
      <c r="AM128" s="1576"/>
      <c r="AN128" s="1576"/>
      <c r="AO128" s="1576"/>
      <c r="AP128" s="1576"/>
      <c r="AQ128" s="1576"/>
      <c r="AR128" s="1576"/>
      <c r="AS128" s="1576"/>
      <c r="AT128" s="1576"/>
      <c r="AU128" s="1576"/>
      <c r="AV128" s="1576"/>
      <c r="AW128" s="1576"/>
      <c r="AX128" s="1576"/>
      <c r="AY128" s="1576"/>
      <c r="AZ128" s="1576"/>
      <c r="BA128" s="1576"/>
      <c r="BB128" s="1576"/>
      <c r="BC128" s="1576"/>
      <c r="BD128" s="1576"/>
      <c r="BE128" s="1576"/>
      <c r="BF128" s="1576"/>
      <c r="BG128" s="1576"/>
      <c r="BH128" s="1576"/>
      <c r="BI128" s="1576"/>
      <c r="BJ128" s="1576"/>
      <c r="BK128" s="1576"/>
      <c r="BL128" s="1576"/>
      <c r="BM128" s="1576"/>
      <c r="BN128" s="1576"/>
      <c r="BO128" s="1576"/>
      <c r="BP128" s="1576"/>
      <c r="BQ128" s="1576"/>
      <c r="BR128" s="1576"/>
      <c r="BS128" s="1576"/>
      <c r="BT128" s="1576"/>
      <c r="BU128" s="1576"/>
      <c r="BV128" s="1576"/>
      <c r="BW128" s="1576"/>
      <c r="BX128" s="1576"/>
      <c r="BY128" s="1576"/>
      <c r="BZ128" s="1576"/>
      <c r="CA128" s="1576"/>
      <c r="CB128" s="1576"/>
      <c r="CC128" s="1576"/>
      <c r="CD128" s="1576"/>
      <c r="CE128" s="1576"/>
      <c r="CF128" s="1576"/>
      <c r="CG128" s="1576"/>
      <c r="CH128" s="1576"/>
      <c r="CI128" s="1576"/>
      <c r="CJ128" s="1576"/>
      <c r="CK128" s="1576"/>
      <c r="CL128" s="1576"/>
      <c r="CM128" s="1576"/>
      <c r="CN128" s="1576"/>
      <c r="CO128" s="1576"/>
      <c r="CP128" s="1576"/>
      <c r="CQ128" s="1576"/>
      <c r="CR128" s="1576"/>
      <c r="CS128" s="1576"/>
      <c r="CT128" s="1576"/>
      <c r="CU128" s="1576"/>
      <c r="CV128" s="1576"/>
      <c r="CW128" s="1576"/>
      <c r="CX128" s="1576"/>
      <c r="CY128" s="1576"/>
      <c r="CZ128" s="1576"/>
      <c r="DA128" s="1576"/>
      <c r="DB128" s="1576"/>
      <c r="DC128" s="1576"/>
      <c r="DD128" s="1576"/>
      <c r="DE128" s="1576"/>
      <c r="DF128" s="1576"/>
      <c r="DG128" s="1576"/>
      <c r="DH128" s="1576"/>
      <c r="DI128" s="1576"/>
      <c r="DJ128" s="1576"/>
      <c r="DK128" s="1576"/>
      <c r="DL128" s="1576"/>
      <c r="DM128" s="1576"/>
      <c r="DN128" s="1576"/>
      <c r="DO128" s="1576"/>
      <c r="DP128" s="1576"/>
      <c r="DQ128" s="1576"/>
      <c r="DR128" s="1576"/>
      <c r="DS128" s="1576"/>
      <c r="DT128" s="1576"/>
      <c r="DU128" s="1576"/>
      <c r="DV128" s="1576"/>
      <c r="DW128" s="1576"/>
      <c r="DX128" s="1576"/>
      <c r="DY128" s="1576"/>
      <c r="DZ128" s="1576"/>
      <c r="EA128" s="1576"/>
      <c r="EB128" s="1576"/>
      <c r="EC128" s="1576"/>
      <c r="ED128" s="1576"/>
      <c r="EE128" s="1576"/>
      <c r="EF128" s="1576"/>
      <c r="EG128" s="1576"/>
      <c r="EH128" s="1576"/>
      <c r="EI128" s="1576"/>
      <c r="EJ128" s="1576"/>
      <c r="EK128" s="1576"/>
      <c r="EL128" s="1576"/>
      <c r="EM128" s="1576"/>
      <c r="EN128" s="1576"/>
      <c r="EO128" s="1576"/>
      <c r="EP128" s="1576"/>
      <c r="EQ128" s="1576"/>
      <c r="ER128" s="1576"/>
      <c r="ES128" s="1576"/>
      <c r="ET128" s="1576"/>
      <c r="EU128" s="1576"/>
      <c r="EV128" s="1576"/>
      <c r="EW128" s="1576"/>
      <c r="EX128" s="1576"/>
      <c r="EY128" s="1576"/>
      <c r="EZ128" s="1576"/>
      <c r="FA128" s="1576"/>
      <c r="FB128" s="1576"/>
      <c r="FC128" s="1576"/>
      <c r="FD128" s="1576"/>
      <c r="FE128" s="1576"/>
      <c r="FF128" s="1576"/>
      <c r="FG128" s="1576"/>
      <c r="FH128" s="1576"/>
      <c r="FI128" s="1576"/>
      <c r="FJ128" s="1576"/>
      <c r="FK128" s="1576"/>
      <c r="FL128" s="1576"/>
      <c r="FM128" s="1576"/>
      <c r="FN128" s="1576"/>
      <c r="FO128" s="1576"/>
      <c r="FP128" s="1576"/>
      <c r="FQ128" s="1576"/>
      <c r="FR128" s="1576"/>
      <c r="FS128" s="1576"/>
      <c r="FT128" s="1576"/>
      <c r="FU128" s="1576"/>
      <c r="FV128" s="1576"/>
      <c r="FW128" s="1576"/>
      <c r="FX128" s="1576"/>
      <c r="FY128" s="1576"/>
      <c r="FZ128" s="1576"/>
      <c r="GA128" s="1576"/>
      <c r="GB128" s="1576"/>
      <c r="GC128" s="1576"/>
      <c r="GD128" s="1576"/>
      <c r="GE128" s="1576"/>
      <c r="GF128" s="1576"/>
      <c r="GG128" s="1576"/>
      <c r="GH128" s="1576"/>
      <c r="GI128" s="1576"/>
      <c r="GJ128" s="1576"/>
      <c r="GK128" s="1576"/>
      <c r="GL128" s="1576"/>
      <c r="GM128" s="1576"/>
      <c r="GN128" s="1576"/>
      <c r="GO128" s="1576"/>
      <c r="GP128" s="1576"/>
      <c r="GQ128" s="1576"/>
      <c r="GR128" s="1576"/>
      <c r="GS128" s="1576"/>
      <c r="GT128" s="1576"/>
      <c r="GU128" s="1576"/>
      <c r="GV128" s="1576"/>
      <c r="GW128" s="1576"/>
      <c r="GX128" s="1576"/>
      <c r="GY128" s="1576"/>
      <c r="GZ128" s="1576"/>
      <c r="HA128" s="1576"/>
      <c r="HB128" s="1576"/>
      <c r="HC128" s="1576"/>
      <c r="HD128" s="1576"/>
      <c r="HE128" s="1576"/>
      <c r="HF128" s="1576"/>
      <c r="HG128" s="1576"/>
      <c r="HH128" s="1576"/>
      <c r="HI128" s="1576"/>
      <c r="HJ128" s="1576"/>
      <c r="HK128" s="1576"/>
      <c r="HL128" s="1576"/>
      <c r="HM128" s="1576"/>
      <c r="HN128" s="1576"/>
      <c r="HO128" s="1576"/>
      <c r="HP128" s="1576"/>
      <c r="HQ128" s="1576"/>
      <c r="HR128" s="1576"/>
      <c r="HS128" s="1576"/>
      <c r="HT128" s="1576"/>
      <c r="HU128" s="1576"/>
      <c r="HV128" s="1576"/>
      <c r="HW128" s="1576"/>
      <c r="HX128" s="1576"/>
      <c r="HY128" s="1576"/>
      <c r="HZ128" s="1576"/>
      <c r="IA128" s="1576"/>
      <c r="IB128" s="1576"/>
      <c r="IC128" s="1576"/>
      <c r="ID128" s="1576"/>
      <c r="IE128" s="1576"/>
      <c r="IF128" s="1576"/>
      <c r="IG128" s="1576"/>
      <c r="IH128" s="1576"/>
      <c r="II128" s="1576"/>
      <c r="IJ128" s="1576"/>
      <c r="IK128" s="1576"/>
      <c r="IL128" s="1576"/>
      <c r="IM128" s="1576"/>
      <c r="IN128" s="1576"/>
      <c r="IO128" s="1576"/>
      <c r="IP128" s="1576"/>
      <c r="IQ128" s="1576"/>
      <c r="IR128" s="1576"/>
      <c r="IS128" s="1576"/>
      <c r="IT128" s="1576"/>
      <c r="IU128" s="1576"/>
      <c r="IV128" s="1576"/>
      <c r="IW128" s="1576"/>
      <c r="IX128" s="1576"/>
      <c r="IY128" s="1576"/>
      <c r="IZ128" s="1576"/>
      <c r="JA128" s="2054"/>
      <c r="JB128" s="2054"/>
      <c r="JC128" s="2054"/>
      <c r="JD128" s="2054"/>
      <c r="JE128" s="2054"/>
      <c r="JF128" s="2054"/>
      <c r="JG128" s="2054"/>
      <c r="JH128" s="2054"/>
      <c r="JI128" s="2054"/>
      <c r="JJ128" s="2054"/>
      <c r="JK128" s="2054"/>
      <c r="JL128" s="2054"/>
      <c r="JM128" s="2054"/>
      <c r="JN128" s="2054"/>
      <c r="JO128" s="2054"/>
      <c r="JP128" s="2054"/>
      <c r="JQ128" s="2054"/>
      <c r="JR128" s="1576"/>
      <c r="JS128" s="1576"/>
      <c r="JT128" s="1576"/>
      <c r="JU128" s="1576"/>
      <c r="JV128" s="1576"/>
      <c r="JW128" s="1576"/>
      <c r="JX128" s="1576"/>
      <c r="JY128" s="1576"/>
      <c r="JZ128" s="1576"/>
      <c r="KA128" s="1576"/>
      <c r="KB128" s="1576"/>
      <c r="KC128" s="1576"/>
      <c r="KD128" s="1576"/>
      <c r="KE128" s="1576"/>
      <c r="KF128" s="1576"/>
      <c r="KG128" s="1576"/>
      <c r="KH128" s="1576"/>
      <c r="KI128" s="1576"/>
      <c r="KJ128" s="1576"/>
      <c r="KK128" s="1576"/>
      <c r="KL128" s="1576"/>
      <c r="KM128" s="1576"/>
      <c r="KN128" s="1576"/>
      <c r="KO128" s="1576"/>
      <c r="KP128" s="1576"/>
      <c r="KQ128" s="1576"/>
      <c r="KR128" s="1576"/>
      <c r="KS128" s="1576"/>
      <c r="KT128" s="1576"/>
      <c r="KU128" s="1576"/>
      <c r="KV128" s="1576"/>
      <c r="KW128" s="1576"/>
      <c r="KX128" s="1576"/>
      <c r="KY128" s="1576"/>
      <c r="KZ128" s="1576"/>
      <c r="LA128" s="1576"/>
      <c r="LB128" s="1576"/>
      <c r="LC128" s="1576"/>
      <c r="LD128" s="1576"/>
      <c r="LE128" s="1576"/>
      <c r="LF128" s="1576"/>
      <c r="LG128" s="1576"/>
      <c r="LH128" s="1576"/>
      <c r="LI128" s="1576"/>
      <c r="LJ128" s="1576"/>
      <c r="LK128" s="1576"/>
      <c r="LL128" s="1576"/>
      <c r="LM128" s="1576"/>
      <c r="LN128" s="1576"/>
      <c r="LO128" s="1576"/>
      <c r="LP128" s="1576"/>
      <c r="LQ128" s="1576"/>
      <c r="LR128" s="1576"/>
      <c r="LS128" s="1576"/>
      <c r="LT128" s="1576"/>
      <c r="LU128" s="1576"/>
      <c r="LV128" s="1576"/>
      <c r="LW128" s="1576"/>
      <c r="LX128" s="1576"/>
      <c r="LY128" s="1576"/>
      <c r="LZ128" s="1576"/>
      <c r="MA128" s="1576"/>
      <c r="MB128" s="1576"/>
      <c r="MC128" s="1576"/>
      <c r="MD128" s="1576"/>
      <c r="ME128" s="1576"/>
      <c r="MF128" s="1576"/>
      <c r="MG128" s="1576"/>
      <c r="MH128" s="1576"/>
      <c r="MI128" s="1576"/>
      <c r="MJ128" s="1576"/>
      <c r="MK128" s="1576"/>
      <c r="ML128" s="1576"/>
      <c r="MM128" s="1576"/>
      <c r="MN128" s="1576"/>
      <c r="MO128" s="1576"/>
      <c r="MP128" s="1576"/>
      <c r="MQ128" s="1576"/>
      <c r="MR128" s="1576"/>
      <c r="MS128" s="1576"/>
      <c r="MT128" s="1576"/>
      <c r="MU128" s="1576"/>
      <c r="MV128" s="1576"/>
      <c r="MW128" s="1576"/>
      <c r="MX128" s="1576"/>
      <c r="MY128" s="1576"/>
      <c r="MZ128" s="1576"/>
      <c r="NA128" s="1576"/>
      <c r="NB128" s="1576"/>
      <c r="NC128" s="1576"/>
      <c r="ND128" s="1576"/>
      <c r="NE128" s="1576"/>
      <c r="NF128" s="1576"/>
      <c r="NG128" s="1576"/>
      <c r="NH128" s="1576"/>
      <c r="NI128" s="1576"/>
      <c r="NJ128" s="1576"/>
      <c r="NK128" s="1576"/>
      <c r="NL128" s="1576"/>
      <c r="NM128" s="1576"/>
      <c r="NN128" s="1576"/>
      <c r="NO128" s="1576"/>
      <c r="NP128" s="1576"/>
      <c r="NQ128" s="1576"/>
      <c r="NR128" s="1576"/>
      <c r="NS128" s="1576"/>
      <c r="NT128" s="1576"/>
      <c r="NU128" s="1576"/>
      <c r="NV128" s="1576"/>
      <c r="NW128" s="1576"/>
      <c r="NX128" s="1576"/>
      <c r="NY128" s="1576"/>
      <c r="NZ128" s="1576"/>
      <c r="OA128" s="1576"/>
      <c r="OB128" s="1576"/>
      <c r="OC128" s="1576"/>
      <c r="OD128" s="1576"/>
      <c r="OE128" s="1576"/>
      <c r="OF128" s="1576"/>
      <c r="OG128" s="1576"/>
      <c r="OH128" s="1576"/>
      <c r="OI128" s="1576"/>
      <c r="OJ128" s="1576"/>
      <c r="OK128" s="1576"/>
      <c r="OL128" s="1576"/>
      <c r="OM128" s="1576"/>
      <c r="ON128" s="1576"/>
      <c r="OO128" s="1576"/>
      <c r="OP128" s="1576"/>
      <c r="OQ128" s="1576"/>
      <c r="OR128" s="1576"/>
      <c r="OS128" s="1576"/>
      <c r="OT128" s="1576"/>
      <c r="OU128" s="1576"/>
      <c r="OV128" s="1576"/>
      <c r="OW128" s="1576"/>
      <c r="OX128" s="1576"/>
      <c r="OY128" s="1576"/>
      <c r="OZ128" s="1576"/>
      <c r="PA128" s="1576"/>
      <c r="PB128" s="1576"/>
      <c r="PC128" s="1576"/>
      <c r="PD128" s="1576"/>
      <c r="PE128" s="1576"/>
      <c r="PF128" s="1576"/>
      <c r="PG128" s="1576"/>
      <c r="PH128" s="1576"/>
      <c r="PI128" s="1576"/>
      <c r="PJ128" s="1576"/>
      <c r="PK128" s="1576"/>
      <c r="PL128" s="1576"/>
      <c r="PM128" s="1576"/>
      <c r="PN128" s="1576"/>
      <c r="PO128" s="1576"/>
      <c r="PP128" s="1576"/>
      <c r="PQ128" s="1576"/>
      <c r="PR128" s="1576"/>
      <c r="PS128" s="1576"/>
      <c r="PT128" s="1576"/>
      <c r="PU128" s="1576"/>
      <c r="PV128" s="1576"/>
      <c r="PW128" s="1576"/>
      <c r="PX128" s="1576"/>
      <c r="PY128" s="1576"/>
      <c r="PZ128" s="1576"/>
      <c r="QA128" s="1576"/>
      <c r="QB128" s="1576"/>
      <c r="QC128" s="1576"/>
      <c r="QD128" s="1576"/>
      <c r="QE128" s="1576"/>
      <c r="QF128" s="1576"/>
      <c r="QG128" s="1576"/>
      <c r="QH128" s="1576"/>
      <c r="QI128" s="1576"/>
      <c r="QJ128" s="1576"/>
      <c r="QK128" s="1576"/>
      <c r="QL128" s="1576"/>
      <c r="QM128" s="1576"/>
      <c r="QN128" s="1576"/>
      <c r="QO128" s="1576"/>
      <c r="QP128" s="1576"/>
      <c r="QQ128" s="1576"/>
      <c r="QR128" s="1576"/>
      <c r="QS128" s="1576"/>
      <c r="QT128" s="1576"/>
      <c r="QU128" s="1576"/>
      <c r="QV128" s="1576"/>
      <c r="QW128" s="1576"/>
      <c r="QX128" s="1576"/>
      <c r="QY128" s="1576"/>
      <c r="QZ128" s="1576"/>
      <c r="RA128" s="1576"/>
      <c r="RB128" s="1576"/>
      <c r="RC128" s="1576"/>
      <c r="RD128" s="1576"/>
      <c r="RE128" s="1576"/>
      <c r="RF128" s="1576"/>
      <c r="RG128" s="1576"/>
      <c r="RH128" s="1576"/>
      <c r="RI128" s="1576"/>
      <c r="RJ128" s="1576"/>
      <c r="RK128" s="1576"/>
      <c r="RL128" s="1576"/>
      <c r="RM128" s="1576"/>
      <c r="RN128" s="1576"/>
      <c r="RO128" s="1576"/>
      <c r="RP128" s="1576"/>
      <c r="RQ128" s="1576"/>
      <c r="RR128" s="1576"/>
      <c r="RS128" s="1576"/>
      <c r="RT128" s="1576"/>
      <c r="RU128" s="1576"/>
      <c r="RV128" s="1576"/>
      <c r="RW128" s="1576"/>
      <c r="RX128" s="1576"/>
      <c r="RY128" s="1576"/>
      <c r="RZ128" s="1576"/>
      <c r="SA128" s="1576"/>
      <c r="SB128" s="1576"/>
      <c r="SC128" s="1576"/>
      <c r="SD128" s="1576"/>
      <c r="SE128" s="1576"/>
      <c r="SF128" s="1576"/>
      <c r="SG128" s="1576"/>
      <c r="SH128" s="1576"/>
      <c r="SI128" s="1576"/>
      <c r="SJ128" s="1576"/>
      <c r="SK128" s="1576"/>
      <c r="SL128" s="1576"/>
      <c r="SM128" s="1576"/>
      <c r="SN128" s="1576"/>
      <c r="SO128" s="1576"/>
      <c r="SP128" s="1576"/>
      <c r="SQ128" s="1576"/>
      <c r="SR128" s="1576"/>
      <c r="SS128" s="1576"/>
      <c r="ST128" s="1576"/>
      <c r="SU128" s="1576"/>
      <c r="SV128" s="1576"/>
      <c r="SW128" s="1576"/>
      <c r="SX128" s="1576"/>
      <c r="SY128" s="1576"/>
      <c r="SZ128" s="1576"/>
      <c r="TA128" s="1576"/>
      <c r="TB128" s="1576"/>
      <c r="TC128" s="1576"/>
      <c r="TD128" s="1576"/>
      <c r="TE128" s="1576"/>
      <c r="TF128" s="1576"/>
      <c r="TG128" s="1576"/>
      <c r="TH128" s="1576"/>
      <c r="TI128" s="1576"/>
      <c r="TJ128" s="1576"/>
      <c r="TK128" s="1576"/>
      <c r="TL128" s="1576"/>
      <c r="TM128" s="1576"/>
      <c r="TN128" s="1576"/>
      <c r="TO128" s="1576"/>
      <c r="TP128" s="1576"/>
      <c r="TQ128" s="1576"/>
      <c r="TR128" s="1576"/>
      <c r="TS128" s="1576"/>
      <c r="TT128" s="1576"/>
      <c r="TU128" s="1576"/>
      <c r="TV128" s="1576"/>
      <c r="TW128" s="1576"/>
      <c r="TX128" s="1576"/>
      <c r="TY128" s="1576"/>
      <c r="TZ128" s="1576"/>
      <c r="UA128" s="1576"/>
      <c r="UB128" s="1576"/>
      <c r="UC128" s="1576"/>
      <c r="UD128" s="1576"/>
      <c r="UE128" s="1576"/>
      <c r="UF128" s="1576"/>
      <c r="UG128" s="1576"/>
      <c r="UH128" s="1576"/>
      <c r="UI128" s="1576"/>
      <c r="UJ128" s="1576"/>
      <c r="UK128" s="1576"/>
      <c r="UL128" s="1576"/>
      <c r="UM128" s="1576"/>
      <c r="UN128" s="1576"/>
      <c r="UO128" s="1576"/>
      <c r="UP128" s="1576"/>
      <c r="UQ128" s="1576"/>
      <c r="UR128" s="1576"/>
      <c r="US128" s="1576"/>
      <c r="UT128" s="1576"/>
      <c r="UU128" s="1576"/>
      <c r="UV128" s="1576"/>
      <c r="UW128" s="1576"/>
      <c r="UX128" s="1576"/>
      <c r="UY128" s="1576"/>
      <c r="UZ128" s="1576"/>
      <c r="VA128" s="1576"/>
      <c r="VB128" s="1576"/>
      <c r="VC128" s="1576"/>
      <c r="VD128" s="1576"/>
      <c r="VE128" s="1576"/>
      <c r="VF128" s="1576"/>
      <c r="VG128" s="1576"/>
      <c r="VH128" s="1576"/>
      <c r="VI128" s="1576"/>
      <c r="VJ128" s="1576"/>
      <c r="VK128" s="1576"/>
    </row>
    <row r="129" spans="1:583" ht="15" customHeight="1" x14ac:dyDescent="0.25">
      <c r="B129" s="4710" t="s">
        <v>427</v>
      </c>
      <c r="C129" s="4710" t="s">
        <v>2832</v>
      </c>
      <c r="D129" s="4710" t="s">
        <v>2833</v>
      </c>
      <c r="E129" s="1582" t="s">
        <v>2834</v>
      </c>
      <c r="F129" s="1912"/>
      <c r="G129" s="1912"/>
      <c r="H129" s="1912"/>
      <c r="I129" s="1576"/>
      <c r="J129" s="1576"/>
      <c r="K129" s="1576"/>
      <c r="L129" s="1576"/>
      <c r="M129" s="1576"/>
      <c r="N129" s="1576"/>
      <c r="O129" s="1576"/>
      <c r="P129" s="1576"/>
      <c r="Q129" s="1576"/>
      <c r="R129" s="1576"/>
      <c r="S129" s="1576"/>
      <c r="T129" s="1576"/>
      <c r="U129" s="1576"/>
      <c r="V129" s="1576"/>
      <c r="W129" s="1576"/>
      <c r="X129" s="1576"/>
      <c r="Y129" s="1576"/>
      <c r="Z129" s="1576"/>
      <c r="AA129" s="1576"/>
      <c r="AB129" s="1576"/>
      <c r="AC129" s="1576"/>
      <c r="AD129" s="1576"/>
      <c r="AE129" s="1576"/>
      <c r="AF129" s="1576"/>
      <c r="AG129" s="1576"/>
      <c r="AH129" s="1576"/>
      <c r="AI129" s="1576"/>
      <c r="AJ129" s="1576"/>
      <c r="AK129" s="1576"/>
      <c r="AL129" s="1576"/>
      <c r="AM129" s="1576"/>
      <c r="AN129" s="1576"/>
      <c r="AO129" s="1576"/>
      <c r="AP129" s="1576"/>
      <c r="AQ129" s="1576"/>
      <c r="AR129" s="1576"/>
      <c r="AS129" s="1576"/>
      <c r="AT129" s="1576"/>
      <c r="AU129" s="1576"/>
      <c r="AV129" s="1576"/>
      <c r="AW129" s="1576"/>
      <c r="AX129" s="1576"/>
      <c r="AY129" s="1576"/>
      <c r="AZ129" s="1576"/>
      <c r="BA129" s="1576"/>
      <c r="BB129" s="1576"/>
      <c r="BC129" s="1576"/>
      <c r="BD129" s="1576"/>
      <c r="BE129" s="1576"/>
      <c r="BF129" s="1576"/>
      <c r="BG129" s="1576"/>
      <c r="BH129" s="1576"/>
      <c r="BI129" s="1576"/>
      <c r="BJ129" s="1576"/>
      <c r="BK129" s="1576"/>
      <c r="BL129" s="1576"/>
      <c r="BM129" s="1576"/>
      <c r="BN129" s="1576"/>
      <c r="BO129" s="1576"/>
      <c r="BP129" s="1576"/>
      <c r="BQ129" s="1576"/>
      <c r="BR129" s="1576"/>
      <c r="BS129" s="1576"/>
      <c r="BT129" s="1576"/>
      <c r="BU129" s="1576"/>
      <c r="BV129" s="1576"/>
      <c r="BW129" s="1576"/>
      <c r="BX129" s="1576"/>
      <c r="BY129" s="1576"/>
      <c r="BZ129" s="1576"/>
      <c r="CA129" s="1576"/>
      <c r="CB129" s="1576"/>
      <c r="CC129" s="1576"/>
      <c r="CD129" s="1576"/>
      <c r="CE129" s="1576"/>
      <c r="CF129" s="1576"/>
      <c r="CG129" s="1576"/>
      <c r="CH129" s="1576"/>
      <c r="CI129" s="1576"/>
      <c r="CJ129" s="1576"/>
      <c r="CK129" s="1576"/>
      <c r="CL129" s="1576"/>
      <c r="CM129" s="1576"/>
      <c r="CN129" s="1576"/>
      <c r="CO129" s="1576"/>
      <c r="CP129" s="1576"/>
      <c r="CQ129" s="1576"/>
      <c r="CR129" s="1576"/>
      <c r="CS129" s="1576"/>
      <c r="CT129" s="1576"/>
      <c r="CU129" s="1576"/>
      <c r="CV129" s="1576"/>
      <c r="CW129" s="1576"/>
      <c r="CX129" s="1576"/>
      <c r="CY129" s="1576"/>
      <c r="CZ129" s="1576"/>
      <c r="DA129" s="1576"/>
      <c r="DB129" s="1576"/>
      <c r="DC129" s="1576"/>
      <c r="DD129" s="1576"/>
      <c r="DE129" s="1576"/>
      <c r="DF129" s="1576"/>
      <c r="DG129" s="1576"/>
      <c r="DH129" s="1576"/>
      <c r="DI129" s="1576"/>
      <c r="DJ129" s="1576"/>
      <c r="DK129" s="1576"/>
      <c r="DL129" s="1576"/>
      <c r="DM129" s="1576"/>
      <c r="DN129" s="1576"/>
      <c r="DO129" s="1576"/>
      <c r="DP129" s="1576"/>
      <c r="DQ129" s="1576"/>
      <c r="DR129" s="1576"/>
      <c r="DS129" s="1576"/>
      <c r="DT129" s="1576"/>
      <c r="DU129" s="1576"/>
      <c r="DV129" s="1576"/>
      <c r="DW129" s="1576"/>
      <c r="DX129" s="1576"/>
      <c r="DY129" s="1576"/>
      <c r="DZ129" s="1576"/>
      <c r="EA129" s="1576"/>
      <c r="EB129" s="1576"/>
      <c r="EC129" s="1576"/>
      <c r="ED129" s="1576"/>
      <c r="EE129" s="1576"/>
      <c r="EF129" s="1576"/>
      <c r="EG129" s="1576"/>
      <c r="EH129" s="1576"/>
      <c r="EI129" s="1576"/>
      <c r="EJ129" s="1576"/>
      <c r="EK129" s="1576"/>
      <c r="EL129" s="1576"/>
      <c r="EM129" s="1576"/>
      <c r="EN129" s="1576"/>
      <c r="EO129" s="1576"/>
      <c r="EP129" s="1576"/>
      <c r="EQ129" s="1576"/>
      <c r="ER129" s="1576"/>
      <c r="ES129" s="1576"/>
      <c r="ET129" s="1576"/>
      <c r="EU129" s="1576"/>
      <c r="EV129" s="1576"/>
      <c r="EW129" s="1576"/>
      <c r="EX129" s="1576"/>
      <c r="EY129" s="1576"/>
      <c r="EZ129" s="1576"/>
      <c r="FA129" s="1576"/>
      <c r="FB129" s="1576"/>
      <c r="FC129" s="1576"/>
      <c r="FD129" s="1576"/>
      <c r="FE129" s="1576"/>
      <c r="FF129" s="1576"/>
      <c r="FG129" s="1576"/>
      <c r="FH129" s="1576"/>
      <c r="FI129" s="1576"/>
      <c r="FJ129" s="1576"/>
      <c r="FK129" s="1576"/>
      <c r="FL129" s="1576"/>
      <c r="FM129" s="1576"/>
      <c r="FN129" s="1576"/>
      <c r="FO129" s="1576"/>
      <c r="FP129" s="1576"/>
      <c r="FQ129" s="1576"/>
      <c r="FR129" s="1576"/>
      <c r="FS129" s="1576"/>
      <c r="FT129" s="1576"/>
      <c r="FU129" s="1576"/>
      <c r="FV129" s="1576"/>
      <c r="FW129" s="1576"/>
      <c r="FX129" s="1576"/>
      <c r="FY129" s="1576"/>
      <c r="FZ129" s="1576"/>
      <c r="GA129" s="1576"/>
      <c r="GB129" s="1576"/>
      <c r="GC129" s="1576"/>
      <c r="GD129" s="1576"/>
      <c r="GE129" s="1576"/>
      <c r="GF129" s="1576"/>
      <c r="GG129" s="1576"/>
      <c r="GH129" s="1576"/>
      <c r="GI129" s="1576"/>
      <c r="GJ129" s="1576"/>
      <c r="GK129" s="1576"/>
      <c r="GL129" s="1576"/>
      <c r="GM129" s="1576"/>
      <c r="GN129" s="1576"/>
      <c r="GO129" s="1576"/>
      <c r="GP129" s="1576"/>
      <c r="GQ129" s="1576"/>
      <c r="GR129" s="1576"/>
      <c r="GS129" s="1576"/>
      <c r="GT129" s="1576"/>
      <c r="GU129" s="1576"/>
      <c r="GV129" s="1576"/>
      <c r="GW129" s="1576"/>
      <c r="GX129" s="1576"/>
      <c r="GY129" s="1576"/>
      <c r="GZ129" s="1576"/>
      <c r="HA129" s="1576"/>
      <c r="HB129" s="1576"/>
      <c r="HC129" s="1576"/>
      <c r="HD129" s="1576"/>
      <c r="HE129" s="1576"/>
      <c r="HF129" s="1576"/>
      <c r="HG129" s="1576"/>
      <c r="HH129" s="1576"/>
      <c r="HI129" s="1576"/>
      <c r="HJ129" s="1576"/>
      <c r="HK129" s="1576"/>
      <c r="HL129" s="1576"/>
      <c r="HM129" s="1576"/>
      <c r="HN129" s="1576"/>
      <c r="HO129" s="1576"/>
      <c r="HP129" s="1576"/>
      <c r="HQ129" s="1576"/>
      <c r="HR129" s="1576"/>
      <c r="HS129" s="1576"/>
      <c r="HT129" s="1576"/>
      <c r="HU129" s="1576"/>
      <c r="HV129" s="1576"/>
      <c r="HW129" s="1576"/>
      <c r="HX129" s="1576"/>
      <c r="HY129" s="1576"/>
      <c r="HZ129" s="1576"/>
      <c r="IA129" s="1576"/>
      <c r="IB129" s="1576"/>
      <c r="IC129" s="1576"/>
      <c r="ID129" s="1576"/>
      <c r="IE129" s="1576"/>
      <c r="IF129" s="1576"/>
      <c r="IG129" s="1576"/>
      <c r="IH129" s="1576"/>
      <c r="II129" s="1576"/>
      <c r="IJ129" s="1576"/>
      <c r="IK129" s="1576"/>
      <c r="IL129" s="1576"/>
      <c r="IM129" s="1576"/>
      <c r="IN129" s="1576"/>
      <c r="IO129" s="1576"/>
      <c r="IP129" s="1576"/>
      <c r="IQ129" s="1576"/>
      <c r="IR129" s="1576"/>
      <c r="IS129" s="1576"/>
      <c r="IT129" s="1576"/>
      <c r="IU129" s="1576"/>
      <c r="IV129" s="1576"/>
      <c r="IW129" s="1576"/>
      <c r="IX129" s="1576"/>
      <c r="IY129" s="1576"/>
      <c r="IZ129" s="1576"/>
      <c r="JA129" s="2054"/>
      <c r="JB129" s="2054"/>
      <c r="JC129" s="2054"/>
      <c r="JD129" s="2054"/>
      <c r="JE129" s="2054"/>
      <c r="JF129" s="2054"/>
      <c r="JG129" s="2054"/>
      <c r="JH129" s="2054"/>
      <c r="JI129" s="2054"/>
      <c r="JJ129" s="2054"/>
      <c r="JK129" s="2054"/>
      <c r="JL129" s="2054"/>
      <c r="JM129" s="2054"/>
      <c r="JN129" s="2054"/>
      <c r="JO129" s="2054"/>
      <c r="JP129" s="2054"/>
      <c r="JQ129" s="2054"/>
      <c r="JR129" s="1576"/>
      <c r="JS129" s="1576"/>
      <c r="JT129" s="1576"/>
      <c r="JU129" s="1576"/>
      <c r="JV129" s="1576"/>
      <c r="JW129" s="1576"/>
      <c r="JX129" s="1576"/>
      <c r="JY129" s="1576"/>
      <c r="JZ129" s="1576"/>
      <c r="KA129" s="1576"/>
      <c r="KB129" s="1576"/>
      <c r="KC129" s="1576"/>
      <c r="KD129" s="1576"/>
      <c r="KE129" s="1576"/>
      <c r="KF129" s="1576"/>
      <c r="KG129" s="1576"/>
      <c r="KH129" s="1576"/>
      <c r="KI129" s="1576"/>
      <c r="KJ129" s="1576"/>
      <c r="KK129" s="1576"/>
      <c r="KL129" s="1576"/>
      <c r="KM129" s="1576"/>
      <c r="KN129" s="1576"/>
      <c r="KO129" s="1576"/>
      <c r="KP129" s="1576"/>
      <c r="KQ129" s="1576"/>
      <c r="KR129" s="1576"/>
      <c r="KS129" s="1576"/>
      <c r="KT129" s="1576"/>
      <c r="KU129" s="1576"/>
      <c r="KV129" s="1576"/>
      <c r="KW129" s="1576"/>
      <c r="KX129" s="1576"/>
      <c r="KY129" s="1576"/>
      <c r="KZ129" s="1576"/>
      <c r="LA129" s="1576"/>
      <c r="LB129" s="1576"/>
      <c r="LC129" s="1576"/>
      <c r="LD129" s="1576"/>
      <c r="LE129" s="1576"/>
      <c r="LF129" s="1576"/>
      <c r="LG129" s="1576"/>
      <c r="LH129" s="1576"/>
      <c r="LI129" s="1576"/>
      <c r="LJ129" s="1576"/>
      <c r="LK129" s="1576"/>
      <c r="LL129" s="1576"/>
      <c r="LM129" s="1576"/>
      <c r="LN129" s="1576"/>
      <c r="LO129" s="1576"/>
      <c r="LP129" s="1576"/>
      <c r="LQ129" s="1576"/>
      <c r="LR129" s="1576"/>
      <c r="LS129" s="1576"/>
      <c r="LT129" s="1576"/>
      <c r="LU129" s="1576"/>
      <c r="LV129" s="1576"/>
      <c r="LW129" s="1576"/>
      <c r="LX129" s="1576"/>
      <c r="LY129" s="1576"/>
      <c r="LZ129" s="1576"/>
      <c r="MA129" s="1576"/>
      <c r="MB129" s="1576"/>
      <c r="MC129" s="1576"/>
      <c r="MD129" s="1576"/>
      <c r="ME129" s="1576"/>
      <c r="MF129" s="1576"/>
      <c r="MG129" s="1576"/>
      <c r="MH129" s="1576"/>
      <c r="MI129" s="1576"/>
      <c r="MJ129" s="1576"/>
      <c r="MK129" s="1576"/>
      <c r="ML129" s="1576"/>
      <c r="MM129" s="1576"/>
      <c r="MN129" s="1576"/>
      <c r="MO129" s="1576"/>
      <c r="MP129" s="1576"/>
      <c r="MQ129" s="1576"/>
      <c r="MR129" s="1576"/>
      <c r="MS129" s="1576"/>
      <c r="MT129" s="1576"/>
      <c r="MU129" s="1576"/>
      <c r="MV129" s="1576"/>
      <c r="MW129" s="1576"/>
      <c r="MX129" s="1576"/>
      <c r="MY129" s="1576"/>
      <c r="MZ129" s="1576"/>
      <c r="NA129" s="1576"/>
      <c r="NB129" s="1576"/>
      <c r="NC129" s="1576"/>
      <c r="ND129" s="1576"/>
      <c r="NE129" s="1576"/>
      <c r="NF129" s="1576"/>
      <c r="NG129" s="1576"/>
      <c r="NH129" s="1576"/>
      <c r="NI129" s="1576"/>
      <c r="NJ129" s="1576"/>
      <c r="NK129" s="1576"/>
      <c r="NL129" s="1576"/>
      <c r="NM129" s="1576"/>
      <c r="NN129" s="1576"/>
      <c r="NO129" s="1576"/>
      <c r="NP129" s="1576"/>
      <c r="NQ129" s="1576"/>
      <c r="NR129" s="1576"/>
      <c r="NS129" s="1576"/>
      <c r="NT129" s="1576"/>
      <c r="NU129" s="1576"/>
      <c r="NV129" s="1576"/>
      <c r="NW129" s="1576"/>
      <c r="NX129" s="1576"/>
      <c r="NY129" s="1576"/>
      <c r="NZ129" s="1576"/>
      <c r="OA129" s="1576"/>
      <c r="OB129" s="1576"/>
      <c r="OC129" s="1576"/>
      <c r="OD129" s="1576"/>
      <c r="OE129" s="1576"/>
      <c r="OF129" s="1576"/>
      <c r="OG129" s="1576"/>
      <c r="OH129" s="1576"/>
      <c r="OI129" s="1576"/>
      <c r="OJ129" s="1576"/>
      <c r="OK129" s="1576"/>
      <c r="OL129" s="1576"/>
      <c r="OM129" s="1576"/>
      <c r="ON129" s="1576"/>
      <c r="OO129" s="1576"/>
      <c r="OP129" s="1576"/>
      <c r="OQ129" s="1576"/>
      <c r="OR129" s="1576"/>
      <c r="OS129" s="1576"/>
      <c r="OT129" s="1576"/>
      <c r="OU129" s="1576"/>
      <c r="OV129" s="1576"/>
      <c r="OW129" s="1576"/>
      <c r="OX129" s="1576"/>
      <c r="OY129" s="1576"/>
      <c r="OZ129" s="1576"/>
      <c r="PA129" s="1576"/>
      <c r="PB129" s="1576"/>
      <c r="PC129" s="1576"/>
      <c r="PD129" s="1576"/>
      <c r="PE129" s="1576"/>
      <c r="PF129" s="1576"/>
      <c r="PG129" s="1576"/>
      <c r="PH129" s="1576"/>
      <c r="PI129" s="1576"/>
      <c r="PJ129" s="1576"/>
      <c r="PK129" s="1576"/>
      <c r="PL129" s="1576"/>
      <c r="PM129" s="1576"/>
      <c r="PN129" s="1576"/>
      <c r="PO129" s="1576"/>
      <c r="PP129" s="1576"/>
      <c r="PQ129" s="1576"/>
      <c r="PR129" s="1576"/>
      <c r="PS129" s="1576"/>
      <c r="PT129" s="1576"/>
      <c r="PU129" s="1576"/>
      <c r="PV129" s="1576"/>
      <c r="PW129" s="1576"/>
      <c r="PX129" s="1576"/>
      <c r="PY129" s="1576"/>
      <c r="PZ129" s="1576"/>
      <c r="QA129" s="1576"/>
      <c r="QB129" s="1576"/>
      <c r="QC129" s="1576"/>
      <c r="QD129" s="1576"/>
      <c r="QE129" s="1576"/>
      <c r="QF129" s="1576"/>
      <c r="QG129" s="1576"/>
      <c r="QH129" s="1576"/>
      <c r="QI129" s="1576"/>
      <c r="QJ129" s="1576"/>
      <c r="QK129" s="1576"/>
      <c r="QL129" s="1576"/>
      <c r="QM129" s="1576"/>
      <c r="QN129" s="1576"/>
      <c r="QO129" s="1576"/>
      <c r="QP129" s="1576"/>
      <c r="QQ129" s="1576"/>
      <c r="QR129" s="1576"/>
      <c r="QS129" s="1576"/>
      <c r="QT129" s="1576"/>
      <c r="QU129" s="1576"/>
      <c r="QV129" s="1576"/>
      <c r="QW129" s="1576"/>
      <c r="QX129" s="1576"/>
      <c r="QY129" s="1576"/>
      <c r="QZ129" s="1576"/>
      <c r="RA129" s="1576"/>
      <c r="RB129" s="1576"/>
      <c r="RC129" s="1576"/>
      <c r="RD129" s="1576"/>
      <c r="RE129" s="1576"/>
      <c r="RF129" s="1576"/>
      <c r="RG129" s="1576"/>
      <c r="RH129" s="1576"/>
      <c r="RI129" s="1576"/>
      <c r="RJ129" s="1576"/>
      <c r="RK129" s="1576"/>
      <c r="RL129" s="1576"/>
      <c r="RM129" s="1576"/>
      <c r="RN129" s="1576"/>
      <c r="RO129" s="1576"/>
      <c r="RP129" s="1576"/>
      <c r="RQ129" s="1576"/>
      <c r="RR129" s="1576"/>
      <c r="RS129" s="1576"/>
      <c r="RT129" s="1576"/>
      <c r="RU129" s="1576"/>
      <c r="RV129" s="1576"/>
      <c r="RW129" s="1576"/>
      <c r="RX129" s="1576"/>
      <c r="RY129" s="1576"/>
      <c r="RZ129" s="1576"/>
      <c r="SA129" s="1576"/>
      <c r="SB129" s="1576"/>
      <c r="SC129" s="1576"/>
      <c r="SD129" s="1576"/>
      <c r="SE129" s="1576"/>
      <c r="SF129" s="1576"/>
      <c r="SG129" s="1576"/>
      <c r="SH129" s="1576"/>
      <c r="SI129" s="1576"/>
      <c r="SJ129" s="1576"/>
      <c r="SK129" s="1576"/>
      <c r="SL129" s="1576"/>
      <c r="SM129" s="1576"/>
      <c r="SN129" s="1576"/>
      <c r="SO129" s="1576"/>
      <c r="SP129" s="1576"/>
      <c r="SQ129" s="1576"/>
      <c r="SR129" s="1576"/>
      <c r="SS129" s="1576"/>
      <c r="ST129" s="1576"/>
      <c r="SU129" s="1576"/>
      <c r="SV129" s="1576"/>
      <c r="SW129" s="1576"/>
      <c r="SX129" s="1576"/>
      <c r="SY129" s="1576"/>
      <c r="SZ129" s="1576"/>
      <c r="TA129" s="1576"/>
      <c r="TB129" s="1576"/>
      <c r="TC129" s="1576"/>
      <c r="TD129" s="1576"/>
      <c r="TE129" s="1576"/>
      <c r="TF129" s="1576"/>
      <c r="TG129" s="1576"/>
      <c r="TH129" s="1576"/>
      <c r="TI129" s="1576"/>
      <c r="TJ129" s="1576"/>
      <c r="TK129" s="1576"/>
      <c r="TL129" s="1576"/>
      <c r="TM129" s="1576"/>
      <c r="TN129" s="1576"/>
      <c r="TO129" s="1576"/>
      <c r="TP129" s="1576"/>
      <c r="TQ129" s="1576"/>
      <c r="TR129" s="1576"/>
      <c r="TS129" s="1576"/>
      <c r="TT129" s="1576"/>
      <c r="TU129" s="1576"/>
      <c r="TV129" s="1576"/>
      <c r="TW129" s="1576"/>
      <c r="TX129" s="1576"/>
      <c r="TY129" s="1576"/>
      <c r="TZ129" s="1576"/>
      <c r="UA129" s="1576"/>
      <c r="UB129" s="1576"/>
      <c r="UC129" s="1576"/>
      <c r="UD129" s="1576"/>
      <c r="UE129" s="1576"/>
      <c r="UF129" s="1576"/>
      <c r="UG129" s="1576"/>
      <c r="UH129" s="1576"/>
      <c r="UI129" s="1576"/>
      <c r="UJ129" s="1576"/>
      <c r="UK129" s="1576"/>
      <c r="UL129" s="1576"/>
      <c r="UM129" s="1576"/>
      <c r="UN129" s="1576"/>
      <c r="UO129" s="1576"/>
      <c r="UP129" s="1576"/>
      <c r="UQ129" s="1576"/>
      <c r="UR129" s="1576"/>
      <c r="US129" s="1576"/>
      <c r="UT129" s="1576"/>
      <c r="UU129" s="1576"/>
      <c r="UV129" s="1576"/>
      <c r="UW129" s="1576"/>
      <c r="UX129" s="1576"/>
      <c r="UY129" s="1576"/>
      <c r="UZ129" s="1576"/>
      <c r="VA129" s="1576"/>
      <c r="VB129" s="1576"/>
      <c r="VC129" s="1576"/>
      <c r="VD129" s="1576"/>
      <c r="VE129" s="1576"/>
      <c r="VF129" s="1576"/>
      <c r="VG129" s="1576"/>
      <c r="VH129" s="1576"/>
      <c r="VI129" s="1576"/>
      <c r="VJ129" s="1576"/>
      <c r="VK129" s="1576"/>
    </row>
    <row r="130" spans="1:583" ht="22.5" customHeight="1" x14ac:dyDescent="0.25">
      <c r="B130" s="4710"/>
      <c r="C130" s="4710"/>
      <c r="D130" s="4710"/>
      <c r="E130" s="1582" t="s">
        <v>2835</v>
      </c>
      <c r="F130" s="1912">
        <f>'Paso 1.1'!E109*Tiempos!$H$105</f>
        <v>10.981999999999999</v>
      </c>
      <c r="G130" s="1912">
        <f>'Paso 1.1'!F109*Tiempos!$H$105</f>
        <v>10.986255605689891</v>
      </c>
      <c r="H130" s="1912">
        <f>'Paso 1.1'!G109*Tiempos!$H$105</f>
        <v>10.990512860458253</v>
      </c>
      <c r="I130" s="1912">
        <f>'Paso 1.1'!H109*Tiempos!$H$105</f>
        <v>10.994771764944121</v>
      </c>
      <c r="J130" s="1912">
        <f>'Paso 1.1'!I109*Tiempos!$H$105</f>
        <v>10.999032319786767</v>
      </c>
      <c r="K130" s="1912">
        <f>'Paso 1.1'!J109*Tiempos!$H$105</f>
        <v>11.003294525625719</v>
      </c>
      <c r="L130" s="1912">
        <f>'Paso 1.1'!K109*Tiempos!$H$105</f>
        <v>11.007558383100751</v>
      </c>
      <c r="M130" s="1912">
        <f>'Paso 1.1'!L109*Tiempos!$H$105</f>
        <v>11.011823892851883</v>
      </c>
      <c r="N130" s="1912">
        <f>'Paso 1.1'!M109*Tiempos!$H$105</f>
        <v>11.016091055519384</v>
      </c>
      <c r="O130" s="1912">
        <f>'Paso 1.1'!N109*Tiempos!$H$105</f>
        <v>11.020359871743768</v>
      </c>
      <c r="P130" s="1912">
        <f>'Paso 1.1'!O109*Tiempos!$H$105</f>
        <v>11.024630342165809</v>
      </c>
      <c r="Q130" s="1912">
        <f>'Paso 1.1'!P109*Tiempos!$H$105</f>
        <v>11.028902467426516</v>
      </c>
      <c r="R130" s="1912">
        <f>'Paso 1.1'!Q109*Tiempos!$H$105</f>
        <v>11.033176248167148</v>
      </c>
      <c r="S130" s="1912">
        <f>'Paso 1.1'!R109*Tiempos!$H$105</f>
        <v>11.037451685029218</v>
      </c>
      <c r="T130" s="1912">
        <f>'Paso 1.1'!S109*Tiempos!$H$105</f>
        <v>11.041728778654488</v>
      </c>
      <c r="U130" s="1912">
        <f>'Paso 1.1'!T109*Tiempos!$H$105</f>
        <v>11.046007529684964</v>
      </c>
      <c r="V130" s="1912">
        <f>'Paso 1.1'!U109*Tiempos!$H$105</f>
        <v>11.050287938762899</v>
      </c>
      <c r="W130" s="1576"/>
      <c r="X130" s="1576"/>
      <c r="Y130" s="1576"/>
      <c r="Z130" s="1576"/>
      <c r="AA130" s="1576"/>
      <c r="AB130" s="1576"/>
      <c r="AC130" s="1576"/>
      <c r="AD130" s="1576"/>
      <c r="AE130" s="1576"/>
      <c r="AF130" s="1576"/>
      <c r="AG130" s="1576"/>
      <c r="AH130" s="1576"/>
      <c r="AI130" s="1576"/>
      <c r="AJ130" s="1576"/>
      <c r="AK130" s="1576"/>
      <c r="AL130" s="1576"/>
      <c r="AM130" s="1576"/>
      <c r="AN130" s="1576">
        <f>'Paso 1.1'!E109*Tiempos!$H$105</f>
        <v>10.981999999999999</v>
      </c>
      <c r="AO130" s="1576">
        <f>'Paso 1.1'!F109*Tiempos!$H$105</f>
        <v>10.986255605689891</v>
      </c>
      <c r="AP130" s="1576">
        <f>'Paso 1.1'!G109*Tiempos!$H$105</f>
        <v>10.990512860458253</v>
      </c>
      <c r="AQ130" s="1576">
        <f>'Paso 1.1'!H109*Tiempos!$H$105</f>
        <v>10.994771764944121</v>
      </c>
      <c r="AR130" s="1576">
        <f>'Paso 1.1'!I109*Tiempos!$H$105</f>
        <v>10.999032319786767</v>
      </c>
      <c r="AS130" s="1576">
        <f>'Paso 1.1'!J109*Tiempos!$H$105</f>
        <v>11.003294525625719</v>
      </c>
      <c r="AT130" s="1576">
        <f>'Paso 1.1'!K109*Tiempos!$H$105</f>
        <v>11.007558383100751</v>
      </c>
      <c r="AU130" s="1576">
        <f>'Paso 1.1'!L109*Tiempos!$H$105</f>
        <v>11.011823892851883</v>
      </c>
      <c r="AV130" s="1576">
        <f>'Paso 1.1'!M109*Tiempos!$H$105</f>
        <v>11.016091055519384</v>
      </c>
      <c r="AW130" s="1576">
        <f>'Paso 1.1'!N109*Tiempos!$H$105</f>
        <v>11.020359871743768</v>
      </c>
      <c r="AX130" s="1576">
        <f>'Paso 1.1'!O109*Tiempos!$H$105</f>
        <v>11.024630342165809</v>
      </c>
      <c r="AY130" s="1576">
        <f>'Paso 1.1'!P109*Tiempos!$H$105</f>
        <v>11.028902467426516</v>
      </c>
      <c r="AZ130" s="1576">
        <f>'Paso 1.1'!Q109*Tiempos!$H$105</f>
        <v>11.033176248167148</v>
      </c>
      <c r="BA130" s="1576">
        <f>'Paso 1.1'!R109*Tiempos!$H$105</f>
        <v>11.037451685029218</v>
      </c>
      <c r="BB130" s="1576">
        <f>'Paso 1.1'!S109*Tiempos!$H$105</f>
        <v>11.041728778654488</v>
      </c>
      <c r="BC130" s="1576">
        <f>'Paso 1.1'!T109*Tiempos!$H$105</f>
        <v>11.046007529684964</v>
      </c>
      <c r="BD130" s="1576">
        <f>'Paso 1.1'!U109*Tiempos!$H$105</f>
        <v>11.050287938762899</v>
      </c>
      <c r="BE130" s="1576"/>
      <c r="BF130" s="1576"/>
      <c r="BG130" s="1576"/>
      <c r="BH130" s="1576"/>
      <c r="BI130" s="1576"/>
      <c r="BJ130" s="1576"/>
      <c r="BK130" s="1576"/>
      <c r="BL130" s="1576"/>
      <c r="BM130" s="1576"/>
      <c r="BN130" s="1576"/>
      <c r="BO130" s="1576"/>
      <c r="BP130" s="1576"/>
      <c r="BQ130" s="1576"/>
      <c r="BR130" s="1576"/>
      <c r="BS130" s="1576"/>
      <c r="BT130" s="1576"/>
      <c r="BU130" s="1576"/>
      <c r="BV130" s="1576"/>
      <c r="BW130" s="1576"/>
      <c r="BX130" s="1576"/>
      <c r="BY130" s="1576"/>
      <c r="BZ130" s="1576"/>
      <c r="CA130" s="1576"/>
      <c r="CB130" s="1576"/>
      <c r="CC130" s="1576"/>
      <c r="CD130" s="1576"/>
      <c r="CE130" s="1576"/>
      <c r="CF130" s="1576"/>
      <c r="CG130" s="1576"/>
      <c r="CH130" s="1576"/>
      <c r="CI130" s="1576"/>
      <c r="CJ130" s="1576"/>
      <c r="CK130" s="1576"/>
      <c r="CL130" s="1576"/>
      <c r="CM130" s="1576">
        <f>'Paso 1.1'!V109*Tiempos!$H$105</f>
        <v>0</v>
      </c>
      <c r="CN130" s="1576">
        <f>'Paso 1.1'!W109*Tiempos!$H$105</f>
        <v>0</v>
      </c>
      <c r="CO130" s="1576">
        <f>'Paso 1.1'!X109*Tiempos!$H$105</f>
        <v>0</v>
      </c>
      <c r="CP130" s="1576">
        <f>'Paso 1.1'!Y109*Tiempos!$H$105</f>
        <v>0</v>
      </c>
      <c r="CQ130" s="1576">
        <f>'Paso 1.1'!Z109*Tiempos!$H$105</f>
        <v>0</v>
      </c>
      <c r="CR130" s="1576">
        <f>'Paso 1.1'!AA109*Tiempos!$H$105</f>
        <v>0</v>
      </c>
      <c r="CS130" s="1576">
        <f>'Paso 1.1'!AB109*Tiempos!$H$105</f>
        <v>0</v>
      </c>
      <c r="CT130" s="1576">
        <f>'Paso 1.1'!AC109*Tiempos!$H$105</f>
        <v>0</v>
      </c>
      <c r="CU130" s="1576">
        <f>'Paso 1.1'!AD109*Tiempos!$H$105</f>
        <v>0</v>
      </c>
      <c r="CV130" s="1576">
        <f>'Paso 1.1'!AE109*Tiempos!$H$105</f>
        <v>0</v>
      </c>
      <c r="CW130" s="1576">
        <f>'Paso 1.1'!AF109*Tiempos!$H$105</f>
        <v>0</v>
      </c>
      <c r="CX130" s="1576">
        <f>'Paso 1.1'!AG109*Tiempos!$H$105</f>
        <v>0</v>
      </c>
      <c r="CY130" s="1576">
        <f>'Paso 1.1'!AH109*Tiempos!$H$105</f>
        <v>0</v>
      </c>
      <c r="CZ130" s="1576">
        <f>'Paso 1.1'!AI109*Tiempos!$H$105</f>
        <v>0</v>
      </c>
      <c r="DA130" s="1576">
        <f>'Paso 1.1'!AJ109*Tiempos!$H$105</f>
        <v>0</v>
      </c>
      <c r="DB130" s="1576">
        <f>'Paso 1.1'!AK109*Tiempos!$H$105</f>
        <v>0</v>
      </c>
      <c r="DC130" s="1576">
        <f>'Paso 1.1'!AL109*Tiempos!$H$105</f>
        <v>0</v>
      </c>
      <c r="DD130" s="1576">
        <f>'Paso 1.1'!AM109*Tiempos!$H$105</f>
        <v>0</v>
      </c>
      <c r="DE130" s="1576">
        <f>'Paso 1.1'!AN109*Tiempos!$H$105</f>
        <v>0</v>
      </c>
      <c r="DF130" s="1576">
        <f>'Paso 1.1'!AO109*Tiempos!$H$105</f>
        <v>0</v>
      </c>
      <c r="DG130" s="1576">
        <f>'Paso 1.1'!AP109*Tiempos!$H$105</f>
        <v>0</v>
      </c>
      <c r="DH130" s="1576">
        <f>'Paso 1.1'!AQ109*Tiempos!$H$105</f>
        <v>0</v>
      </c>
      <c r="DI130" s="1576">
        <f>'Paso 1.1'!AR109*Tiempos!$H$105</f>
        <v>0</v>
      </c>
      <c r="DJ130" s="1576">
        <f>'Paso 1.1'!AS109*Tiempos!$H$105</f>
        <v>0</v>
      </c>
      <c r="DK130" s="1576">
        <f>'Paso 1.1'!AT109*Tiempos!$H$105</f>
        <v>0</v>
      </c>
      <c r="DL130" s="1576">
        <f>'Paso 1.1'!AU109*Tiempos!$H$105</f>
        <v>0</v>
      </c>
      <c r="DM130" s="1576">
        <f>'Paso 1.1'!AV109*Tiempos!$H$105</f>
        <v>0</v>
      </c>
      <c r="DN130" s="1576">
        <f>'Paso 1.1'!AW109*Tiempos!$H$105</f>
        <v>0</v>
      </c>
      <c r="DO130" s="1576">
        <f>'Paso 1.1'!AX109*Tiempos!$H$105</f>
        <v>0</v>
      </c>
      <c r="DP130" s="1576">
        <f>'Paso 1.1'!AY109*Tiempos!$H$105</f>
        <v>0</v>
      </c>
      <c r="DQ130" s="1576">
        <f>'Paso 1.1'!AZ109*Tiempos!$H$105</f>
        <v>0</v>
      </c>
      <c r="DR130" s="1576">
        <f>'Paso 1.1'!BA109*Tiempos!$H$105</f>
        <v>0</v>
      </c>
      <c r="DS130" s="1576">
        <f>'Paso 1.1'!BB109*Tiempos!$H$105</f>
        <v>0</v>
      </c>
      <c r="DT130" s="1576">
        <f>'Paso 1.1'!BC109*Tiempos!$H$105</f>
        <v>0</v>
      </c>
      <c r="DU130" s="1576">
        <f>'Paso 1.1'!BD109*Tiempos!$H$105</f>
        <v>0</v>
      </c>
      <c r="DV130" s="1576">
        <f>'Paso 1.1'!BE109*Tiempos!$H$105</f>
        <v>0</v>
      </c>
      <c r="DW130" s="1576">
        <f>'Paso 1.1'!BF109*Tiempos!$H$105</f>
        <v>0</v>
      </c>
      <c r="DX130" s="1576">
        <f>'Paso 1.1'!BG109*Tiempos!$H$105</f>
        <v>0</v>
      </c>
      <c r="DY130" s="1576">
        <f>'Paso 1.1'!BH109*Tiempos!$H$105</f>
        <v>0</v>
      </c>
      <c r="DZ130" s="1576">
        <f>'Paso 1.1'!BI109*Tiempos!$H$105</f>
        <v>0</v>
      </c>
      <c r="EA130" s="1576">
        <f>'Paso 1.1'!BJ109*Tiempos!$H$105</f>
        <v>0</v>
      </c>
      <c r="EB130" s="1576">
        <f>'Paso 1.1'!BK109*Tiempos!$H$105</f>
        <v>0</v>
      </c>
      <c r="EC130" s="1576">
        <f>'Paso 1.1'!BL109*Tiempos!$H$105</f>
        <v>0</v>
      </c>
      <c r="ED130" s="1576">
        <f>'Paso 1.1'!BM109*Tiempos!$H$105</f>
        <v>0</v>
      </c>
      <c r="EE130" s="1576">
        <f>'Paso 1.1'!BN109*Tiempos!$H$105</f>
        <v>0</v>
      </c>
      <c r="EF130" s="1576">
        <f>'Paso 1.1'!BO109*Tiempos!$H$105</f>
        <v>0</v>
      </c>
      <c r="EG130" s="1576">
        <f>'Paso 1.1'!BP109*Tiempos!$H$105</f>
        <v>0</v>
      </c>
      <c r="EH130" s="1576">
        <f>'Paso 1.1'!BQ109*Tiempos!$H$105</f>
        <v>0</v>
      </c>
      <c r="EI130" s="1576">
        <f>'Paso 1.1'!BR109*Tiempos!$H$105</f>
        <v>0</v>
      </c>
      <c r="EJ130" s="1576">
        <f>'Paso 1.1'!BS109*Tiempos!$H$105</f>
        <v>0</v>
      </c>
      <c r="EK130" s="1576">
        <f>'Paso 1.1'!BT109*Tiempos!$H$105</f>
        <v>0</v>
      </c>
      <c r="EL130" s="1576">
        <f>'Paso 1.1'!BU109*Tiempos!$H$105</f>
        <v>0</v>
      </c>
      <c r="EM130" s="1576">
        <f>'Paso 1.1'!BV109*Tiempos!$H$105</f>
        <v>0</v>
      </c>
      <c r="EN130" s="1576">
        <f>'Paso 1.1'!BW109*Tiempos!$H$105</f>
        <v>0</v>
      </c>
      <c r="EO130" s="1576">
        <f>'Paso 1.1'!BX109*Tiempos!$H$105</f>
        <v>0</v>
      </c>
      <c r="EP130" s="1576">
        <f>'Paso 1.1'!BY109*Tiempos!$H$105</f>
        <v>0</v>
      </c>
      <c r="EQ130" s="1576">
        <f>'Paso 1.1'!BZ109*Tiempos!$H$105</f>
        <v>0</v>
      </c>
      <c r="ER130" s="1576">
        <f>'Paso 1.1'!CA109*Tiempos!$H$105</f>
        <v>0</v>
      </c>
      <c r="ES130" s="1576">
        <f>'Paso 1.1'!CB109*Tiempos!$H$105</f>
        <v>0</v>
      </c>
      <c r="ET130" s="1576">
        <f>'Paso 1.1'!CC109*Tiempos!$H$105</f>
        <v>0</v>
      </c>
      <c r="EU130" s="1576">
        <f>'Paso 1.1'!CD109*Tiempos!$H$105</f>
        <v>0</v>
      </c>
      <c r="EV130" s="1576">
        <f>'Paso 1.1'!CE109*Tiempos!$H$105</f>
        <v>0</v>
      </c>
      <c r="EW130" s="1576">
        <f>'Paso 1.1'!CF109*Tiempos!$H$105</f>
        <v>0</v>
      </c>
      <c r="EX130" s="1576">
        <f>'Paso 1.1'!CG109*Tiempos!$H$105</f>
        <v>0</v>
      </c>
      <c r="EY130" s="1576">
        <f>'Paso 1.1'!CH109*Tiempos!$H$105</f>
        <v>0</v>
      </c>
      <c r="EZ130" s="1576">
        <f>'Paso 1.1'!CI109*Tiempos!$H$105</f>
        <v>0</v>
      </c>
      <c r="FA130" s="1576">
        <f>'Paso 1.1'!CJ109*Tiempos!$H$105</f>
        <v>0</v>
      </c>
      <c r="FB130" s="1576">
        <f>'Paso 1.1'!CK109*Tiempos!$H$105</f>
        <v>0</v>
      </c>
      <c r="FC130" s="1576">
        <f>'Paso 1.1'!CL109*Tiempos!$H$105</f>
        <v>0</v>
      </c>
      <c r="FD130" s="1576">
        <f>'Paso 1.1'!CM109*Tiempos!$H$105</f>
        <v>0</v>
      </c>
      <c r="FE130" s="1576">
        <f>'Paso 1.1'!CN109*Tiempos!$H$105</f>
        <v>0</v>
      </c>
      <c r="FF130" s="1576">
        <f>'Paso 1.1'!CO109*Tiempos!$H$105</f>
        <v>0</v>
      </c>
      <c r="FG130" s="1576">
        <f>'Paso 1.1'!CP109*Tiempos!$H$105</f>
        <v>0</v>
      </c>
      <c r="FH130" s="1576">
        <f>'Paso 1.1'!CQ109*Tiempos!$H$105</f>
        <v>0</v>
      </c>
      <c r="FI130" s="1576">
        <f>'Paso 1.1'!CR109*Tiempos!$H$105</f>
        <v>0</v>
      </c>
      <c r="FJ130" s="1576">
        <f>'Paso 1.1'!CS109*Tiempos!$H$105</f>
        <v>0</v>
      </c>
      <c r="FK130" s="1576">
        <f>'Paso 1.1'!CT109*Tiempos!$H$105</f>
        <v>0</v>
      </c>
      <c r="FL130" s="1576">
        <f>'Paso 1.1'!CU109*Tiempos!$H$105</f>
        <v>0</v>
      </c>
      <c r="FM130" s="1576">
        <f>'Paso 1.1'!CV109*Tiempos!$H$105</f>
        <v>0</v>
      </c>
      <c r="FN130" s="1576">
        <f>'Paso 1.1'!CW109*Tiempos!$H$105</f>
        <v>0</v>
      </c>
      <c r="FO130" s="1576">
        <f>'Paso 1.1'!CX109*Tiempos!$H$105</f>
        <v>0</v>
      </c>
      <c r="FP130" s="1576">
        <f>'Paso 1.1'!CY109*Tiempos!$H$105</f>
        <v>0</v>
      </c>
      <c r="FQ130" s="1576">
        <f>'Paso 1.1'!CZ109*Tiempos!$H$105</f>
        <v>0</v>
      </c>
      <c r="FR130" s="1576">
        <f>'Paso 1.1'!DA109*Tiempos!$H$105</f>
        <v>0</v>
      </c>
      <c r="FS130" s="1576">
        <f>'Paso 1.1'!DB109*Tiempos!$H$105</f>
        <v>0</v>
      </c>
      <c r="FT130" s="1576">
        <f>'Paso 1.1'!DC109*Tiempos!$H$105</f>
        <v>0</v>
      </c>
      <c r="FU130" s="1576">
        <f>'Paso 1.1'!DD109*Tiempos!$H$105</f>
        <v>0</v>
      </c>
      <c r="FV130" s="1576">
        <f>'Paso 1.1'!DE109*Tiempos!$H$105</f>
        <v>0</v>
      </c>
      <c r="FW130" s="1576">
        <f>'Paso 1.1'!DF109*Tiempos!$H$105</f>
        <v>0</v>
      </c>
      <c r="FX130" s="1576">
        <f>'Paso 1.1'!DG109*Tiempos!$H$105</f>
        <v>0</v>
      </c>
      <c r="FY130" s="1576">
        <f>'Paso 1.1'!DH109*Tiempos!$H$105</f>
        <v>0</v>
      </c>
      <c r="FZ130" s="1576">
        <f>'Paso 1.1'!DI109*Tiempos!$H$105</f>
        <v>0</v>
      </c>
      <c r="GA130" s="1576">
        <f>'Paso 1.1'!DJ109*Tiempos!$H$105</f>
        <v>0</v>
      </c>
      <c r="GB130" s="1576">
        <f>'Paso 1.1'!DK109*Tiempos!$H$105</f>
        <v>0</v>
      </c>
      <c r="GC130" s="1576">
        <f>'Paso 1.1'!DL109*Tiempos!$H$105</f>
        <v>0</v>
      </c>
      <c r="GD130" s="1576">
        <f>'Paso 1.1'!DM109*Tiempos!$H$105</f>
        <v>0</v>
      </c>
      <c r="GE130" s="1576">
        <f>'Paso 1.1'!DN109*Tiempos!$H$105</f>
        <v>0</v>
      </c>
      <c r="GF130" s="1576">
        <f>'Paso 1.1'!DO109*Tiempos!$H$105</f>
        <v>0</v>
      </c>
      <c r="GG130" s="1576">
        <f>'Paso 1.1'!DP109*Tiempos!$H$105</f>
        <v>0</v>
      </c>
      <c r="GH130" s="1576">
        <f>'Paso 1.1'!DQ109*Tiempos!$H$105</f>
        <v>0</v>
      </c>
      <c r="GI130" s="1576">
        <f>'Paso 1.1'!DR109*Tiempos!$H$105</f>
        <v>0</v>
      </c>
      <c r="GJ130" s="1576">
        <f>'Paso 1.1'!DS109*Tiempos!$H$105</f>
        <v>0</v>
      </c>
      <c r="GK130" s="1576">
        <f>'Paso 1.1'!DT109*Tiempos!$H$105</f>
        <v>0</v>
      </c>
      <c r="GL130" s="1576">
        <f>'Paso 1.1'!DU109*Tiempos!$H$105</f>
        <v>0</v>
      </c>
      <c r="GM130" s="1576">
        <f>'Paso 1.1'!DV109*Tiempos!$H$105</f>
        <v>0</v>
      </c>
      <c r="GN130" s="1576">
        <f>'Paso 1.1'!DW109*Tiempos!$H$105</f>
        <v>0</v>
      </c>
      <c r="GO130" s="1576">
        <f>'Paso 1.1'!DX109*Tiempos!$H$105</f>
        <v>0</v>
      </c>
      <c r="GP130" s="1576">
        <f>'Paso 1.1'!DY109*Tiempos!$H$105</f>
        <v>0</v>
      </c>
      <c r="GQ130" s="1576">
        <f>'Paso 1.1'!DZ109*Tiempos!$H$105</f>
        <v>0</v>
      </c>
      <c r="GR130" s="1576">
        <f>'Paso 1.1'!EA109*Tiempos!$H$105</f>
        <v>0</v>
      </c>
      <c r="GS130" s="1576">
        <f>'Paso 1.1'!EB109*Tiempos!$H$105</f>
        <v>0</v>
      </c>
      <c r="GT130" s="1576">
        <f>'Paso 1.1'!EC109*Tiempos!$H$105</f>
        <v>0</v>
      </c>
      <c r="GU130" s="1576">
        <f>'Paso 1.1'!ED109*Tiempos!$H$105</f>
        <v>0</v>
      </c>
      <c r="GV130" s="1576">
        <f>'Paso 1.1'!EE109*Tiempos!$H$105</f>
        <v>0</v>
      </c>
      <c r="GW130" s="1576">
        <f>'Paso 1.1'!EF109*Tiempos!$H$105</f>
        <v>0</v>
      </c>
      <c r="GX130" s="1576">
        <f>'Paso 1.1'!EG109*Tiempos!$H$105</f>
        <v>0</v>
      </c>
      <c r="GY130" s="1576">
        <f>'Paso 1.1'!EH109*Tiempos!$H$105</f>
        <v>0</v>
      </c>
      <c r="GZ130" s="1576">
        <f>'Paso 1.1'!EI109*Tiempos!$H$105</f>
        <v>0</v>
      </c>
      <c r="HA130" s="1576">
        <f>'Paso 1.1'!EJ109*Tiempos!$H$105</f>
        <v>0</v>
      </c>
      <c r="HB130" s="1576">
        <f>'Paso 1.1'!EK109*Tiempos!$H$105</f>
        <v>0</v>
      </c>
      <c r="HC130" s="1576">
        <f>'Paso 1.1'!EL109*Tiempos!$H$105</f>
        <v>0</v>
      </c>
      <c r="HD130" s="1576">
        <f>'Paso 1.1'!EM109*Tiempos!$H$105</f>
        <v>0</v>
      </c>
      <c r="HE130" s="1576">
        <f>'Paso 1.1'!EN109*Tiempos!$H$105</f>
        <v>0</v>
      </c>
      <c r="HF130" s="1576">
        <f>'Paso 1.1'!EO109*Tiempos!$H$105</f>
        <v>0</v>
      </c>
      <c r="HG130" s="1576">
        <f>'Paso 1.1'!EP109*Tiempos!$H$105</f>
        <v>0</v>
      </c>
      <c r="HH130" s="1576">
        <f>'Paso 1.1'!EQ109*Tiempos!$H$105</f>
        <v>0</v>
      </c>
      <c r="HI130" s="1576">
        <f>'Paso 1.1'!ER109*Tiempos!$H$105</f>
        <v>0</v>
      </c>
      <c r="HJ130" s="1576">
        <f>'Paso 1.1'!ES109*Tiempos!$H$105</f>
        <v>0</v>
      </c>
      <c r="HK130" s="1576">
        <f>'Paso 1.1'!ET109*Tiempos!$H$105</f>
        <v>0</v>
      </c>
      <c r="HL130" s="1576">
        <f>'Paso 1.1'!EU109*Tiempos!$H$105</f>
        <v>0</v>
      </c>
      <c r="HM130" s="1576">
        <f>'Paso 1.1'!EV109*Tiempos!$H$105</f>
        <v>0</v>
      </c>
      <c r="HN130" s="1576">
        <f>'Paso 1.1'!EW109*Tiempos!$H$105</f>
        <v>0</v>
      </c>
      <c r="HO130" s="1576">
        <f>'Paso 1.1'!EX109*Tiempos!$H$105</f>
        <v>0</v>
      </c>
      <c r="HP130" s="1576">
        <f>'Paso 1.1'!EY109*Tiempos!$H$105</f>
        <v>0</v>
      </c>
      <c r="HQ130" s="1576">
        <f>'Paso 1.1'!EZ109*Tiempos!$H$105</f>
        <v>0</v>
      </c>
      <c r="HR130" s="1576">
        <f>'Paso 1.1'!FA109*Tiempos!$H$105</f>
        <v>0</v>
      </c>
      <c r="HS130" s="1576">
        <f>'Paso 1.1'!FB109*Tiempos!$H$105</f>
        <v>0</v>
      </c>
      <c r="HT130" s="1576">
        <f>'Paso 1.1'!FC109*Tiempos!$H$105</f>
        <v>0</v>
      </c>
      <c r="HU130" s="1576">
        <f>'Paso 1.1'!FD109*Tiempos!$H$105</f>
        <v>0</v>
      </c>
      <c r="HV130" s="1576">
        <f>'Paso 1.1'!FE109*Tiempos!$H$105</f>
        <v>0</v>
      </c>
      <c r="HW130" s="1576">
        <f>'Paso 1.1'!FF109*Tiempos!$H$105</f>
        <v>0</v>
      </c>
      <c r="HX130" s="1576">
        <f>'Paso 1.1'!FG109*Tiempos!$H$105</f>
        <v>0</v>
      </c>
      <c r="HY130" s="1576">
        <f>'Paso 1.1'!FH109*Tiempos!$H$105</f>
        <v>0</v>
      </c>
      <c r="HZ130" s="1576">
        <f>'Paso 1.1'!FI109*Tiempos!$H$105</f>
        <v>0</v>
      </c>
      <c r="IA130" s="1576">
        <f>'Paso 1.1'!FJ109*Tiempos!$H$105</f>
        <v>0</v>
      </c>
      <c r="IB130" s="1576">
        <f>'Paso 1.1'!FK109*Tiempos!$H$105</f>
        <v>0</v>
      </c>
      <c r="IC130" s="1576">
        <f>'Paso 1.1'!FL109*Tiempos!$H$105</f>
        <v>0</v>
      </c>
      <c r="ID130" s="1576">
        <f>'Paso 1.1'!FM109*Tiempos!$H$105</f>
        <v>0</v>
      </c>
      <c r="IE130" s="1576">
        <f>'Paso 1.1'!FN109*Tiempos!$H$105</f>
        <v>0</v>
      </c>
      <c r="IF130" s="1576">
        <f>'Paso 1.1'!FO109*Tiempos!$H$105</f>
        <v>0</v>
      </c>
      <c r="IG130" s="1576">
        <f>'Paso 1.1'!FP109*Tiempos!$H$105</f>
        <v>0</v>
      </c>
      <c r="IH130" s="1576">
        <f>'Paso 1.1'!FQ109*Tiempos!$H$105</f>
        <v>0</v>
      </c>
      <c r="II130" s="1576">
        <f>'Paso 1.1'!FR109*Tiempos!$H$105</f>
        <v>0</v>
      </c>
      <c r="IJ130" s="1576">
        <f>'Paso 1.1'!FS109*Tiempos!$H$105</f>
        <v>0</v>
      </c>
      <c r="IK130" s="1576">
        <f>'Paso 1.1'!FT109*Tiempos!$H$105</f>
        <v>0</v>
      </c>
      <c r="IL130" s="1576">
        <f>'Paso 1.1'!FU109*Tiempos!$H$105</f>
        <v>0</v>
      </c>
      <c r="IM130" s="1576">
        <f>'Paso 1.1'!FV109*Tiempos!$H$105</f>
        <v>0</v>
      </c>
      <c r="IN130" s="1576">
        <f>'Paso 1.1'!FW109*Tiempos!$H$105</f>
        <v>0</v>
      </c>
      <c r="IO130" s="1576">
        <f>'Paso 1.1'!FX109*Tiempos!$H$105</f>
        <v>0</v>
      </c>
      <c r="IP130" s="1576">
        <f>'Paso 1.1'!FY109*Tiempos!$H$105</f>
        <v>0</v>
      </c>
      <c r="IQ130" s="1576">
        <f>'Paso 1.1'!FZ109*Tiempos!$H$105</f>
        <v>0</v>
      </c>
      <c r="IR130" s="1576">
        <f>'Paso 1.1'!GA109*Tiempos!$H$105</f>
        <v>0</v>
      </c>
      <c r="IS130" s="1576">
        <f>'Paso 1.1'!GB109*Tiempos!$H$105</f>
        <v>0</v>
      </c>
      <c r="IT130" s="1576">
        <f>'Paso 1.1'!GC109*Tiempos!$H$105</f>
        <v>0</v>
      </c>
      <c r="IU130" s="1576">
        <f>'Paso 1.1'!GD109*Tiempos!$H$105</f>
        <v>0</v>
      </c>
      <c r="IV130" s="1576">
        <f>'Paso 1.1'!GE109*Tiempos!$H$105</f>
        <v>0</v>
      </c>
      <c r="IW130" s="1576">
        <f>'Paso 1.1'!GF109*Tiempos!$H$105</f>
        <v>0</v>
      </c>
      <c r="IX130" s="1576">
        <f>'Paso 1.1'!GG109*Tiempos!$H$105</f>
        <v>0</v>
      </c>
      <c r="IY130" s="1576">
        <f>'Paso 1.1'!GH109*Tiempos!$H$105</f>
        <v>0</v>
      </c>
      <c r="IZ130" s="1576">
        <f>'Paso 1.1'!GI109*Tiempos!$H$105</f>
        <v>0</v>
      </c>
      <c r="JA130" s="2054">
        <f>'Paso 1.1'!GJ109*Tiempos!$H$105</f>
        <v>0</v>
      </c>
      <c r="JB130" s="2054">
        <f>'Paso 1.1'!GK109*Tiempos!$H$105</f>
        <v>0</v>
      </c>
      <c r="JC130" s="2054">
        <f>'Paso 1.1'!GL109*Tiempos!$H$105</f>
        <v>0</v>
      </c>
      <c r="JD130" s="2054">
        <f>'Paso 1.1'!GM109*Tiempos!$H$105</f>
        <v>0</v>
      </c>
      <c r="JE130" s="2054">
        <f>'Paso 1.1'!GN109*Tiempos!$H$105</f>
        <v>0</v>
      </c>
      <c r="JF130" s="2054">
        <f>'Paso 1.1'!GO109*Tiempos!$H$105</f>
        <v>0</v>
      </c>
      <c r="JG130" s="2054">
        <f>'Paso 1.1'!GP109*Tiempos!$H$105</f>
        <v>0</v>
      </c>
      <c r="JH130" s="2054">
        <f>'Paso 1.1'!GQ109*Tiempos!$H$105</f>
        <v>0</v>
      </c>
      <c r="JI130" s="2054">
        <f>'Paso 1.1'!GR109*Tiempos!$H$105</f>
        <v>0</v>
      </c>
      <c r="JJ130" s="2054">
        <f>'Paso 1.1'!GS109*Tiempos!$H$105</f>
        <v>0</v>
      </c>
      <c r="JK130" s="2054">
        <f>'Paso 1.1'!GT109*Tiempos!$H$105</f>
        <v>0</v>
      </c>
      <c r="JL130" s="2054">
        <f>'Paso 1.1'!GU109*Tiempos!$H$105</f>
        <v>0</v>
      </c>
      <c r="JM130" s="2054">
        <f>'Paso 1.1'!GV109*Tiempos!$H$105</f>
        <v>0</v>
      </c>
      <c r="JN130" s="2054">
        <f>'Paso 1.1'!GW109*Tiempos!$H$105</f>
        <v>0</v>
      </c>
      <c r="JO130" s="2054">
        <f>'Paso 1.1'!GX109*Tiempos!$H$105</f>
        <v>0</v>
      </c>
      <c r="JP130" s="2054">
        <f>'Paso 1.1'!GY109*Tiempos!$H$105</f>
        <v>0</v>
      </c>
      <c r="JQ130" s="2054">
        <f>'Paso 1.1'!GZ109*Tiempos!$H$105</f>
        <v>0</v>
      </c>
      <c r="JR130" s="1576">
        <f>'Paso 1.1'!E109*Tiempos!$P$105</f>
        <v>76.873999999999995</v>
      </c>
      <c r="JS130" s="1576">
        <f>'Paso 1.1'!F109*Tiempos!$P$105</f>
        <v>76.903789239829237</v>
      </c>
      <c r="JT130" s="1576">
        <f>'Paso 1.1'!G109*Tiempos!$P$105</f>
        <v>76.933590023207771</v>
      </c>
      <c r="JU130" s="1576">
        <f>'Paso 1.1'!H109*Tiempos!$P$105</f>
        <v>76.963402354608846</v>
      </c>
      <c r="JV130" s="1576">
        <f>'Paso 1.1'!I109*Tiempos!$P$105</f>
        <v>76.993226238507376</v>
      </c>
      <c r="JW130" s="1576">
        <f>'Paso 1.1'!J109*Tiempos!$P$105</f>
        <v>77.023061679380035</v>
      </c>
      <c r="JX130" s="1576">
        <f>'Paso 1.1'!K109*Tiempos!$P$105</f>
        <v>77.052908681705247</v>
      </c>
      <c r="JY130" s="1576">
        <f>'Paso 1.1'!L109*Tiempos!$P$105</f>
        <v>77.082767249963183</v>
      </c>
      <c r="JZ130" s="1576">
        <f>'Paso 1.1'!M109*Tiempos!$P$105</f>
        <v>77.11263738863569</v>
      </c>
      <c r="KA130" s="1576">
        <f>'Paso 1.1'!N109*Tiempos!$P$105</f>
        <v>77.142519102206379</v>
      </c>
      <c r="KB130" s="1576">
        <f>'Paso 1.1'!O109*Tiempos!$P$105</f>
        <v>77.172412395160663</v>
      </c>
      <c r="KC130" s="1576">
        <f>'Paso 1.1'!P109*Tiempos!$P$105</f>
        <v>77.202317271985606</v>
      </c>
      <c r="KD130" s="1576">
        <f>'Paso 1.1'!Q109*Tiempos!$P$105</f>
        <v>77.232233737170034</v>
      </c>
      <c r="KE130" s="1576">
        <f>'Paso 1.1'!R109*Tiempos!$P$105</f>
        <v>77.26216179520452</v>
      </c>
      <c r="KF130" s="1576">
        <f>'Paso 1.1'!S109*Tiempos!$P$105</f>
        <v>77.292101450581413</v>
      </c>
      <c r="KG130" s="1576">
        <f>'Paso 1.1'!T109*Tiempos!$P$105</f>
        <v>77.322052707794739</v>
      </c>
      <c r="KH130" s="1576">
        <f>'Paso 1.1'!U109*Tiempos!$P$105</f>
        <v>77.352015571340303</v>
      </c>
      <c r="KI130" s="1576"/>
      <c r="KJ130" s="1576"/>
      <c r="KK130" s="1576"/>
      <c r="KL130" s="1576"/>
      <c r="KM130" s="1576"/>
      <c r="KN130" s="1576"/>
      <c r="KO130" s="1576"/>
      <c r="KP130" s="1576"/>
      <c r="KQ130" s="1576"/>
      <c r="KR130" s="1576"/>
      <c r="KS130" s="1576"/>
      <c r="KT130" s="1576"/>
      <c r="KU130" s="1576"/>
      <c r="KV130" s="1576"/>
      <c r="KW130" s="1576"/>
      <c r="KX130" s="1576"/>
      <c r="KY130" s="1576"/>
      <c r="KZ130" s="1576"/>
      <c r="LA130" s="1576"/>
      <c r="LB130" s="1576"/>
      <c r="LC130" s="1576"/>
      <c r="LD130" s="1576"/>
      <c r="LE130" s="1576"/>
      <c r="LF130" s="1576"/>
      <c r="LG130" s="1576"/>
      <c r="LH130" s="1576"/>
      <c r="LI130" s="1576"/>
      <c r="LJ130" s="1576"/>
      <c r="LK130" s="1576"/>
      <c r="LL130" s="1576"/>
      <c r="LM130" s="1576"/>
      <c r="LN130" s="1576"/>
      <c r="LO130" s="1576"/>
      <c r="LP130" s="1576"/>
      <c r="LQ130" s="1576"/>
      <c r="LR130" s="1576"/>
      <c r="LS130" s="1576"/>
      <c r="LT130" s="1576"/>
      <c r="LU130" s="1576"/>
      <c r="LV130" s="1576"/>
      <c r="LW130" s="1576"/>
      <c r="LX130" s="1576"/>
      <c r="LY130" s="1576"/>
      <c r="LZ130" s="1576"/>
      <c r="MA130" s="1576"/>
      <c r="MB130" s="1576"/>
      <c r="MC130" s="1576"/>
      <c r="MD130" s="1576"/>
      <c r="ME130" s="1576"/>
      <c r="MF130" s="1576"/>
      <c r="MG130" s="1576"/>
      <c r="MH130" s="1576"/>
      <c r="MI130" s="1576"/>
      <c r="MJ130" s="1576"/>
      <c r="MK130" s="1576"/>
      <c r="ML130" s="1576"/>
      <c r="MM130" s="1576"/>
      <c r="MN130" s="1576"/>
      <c r="MO130" s="1576"/>
      <c r="MP130" s="1576"/>
      <c r="MQ130" s="1576"/>
      <c r="MR130" s="1576"/>
      <c r="MS130" s="1576"/>
      <c r="MT130" s="1576"/>
      <c r="MU130" s="1576"/>
      <c r="MV130" s="1576"/>
      <c r="MW130" s="1576"/>
      <c r="MX130" s="1576"/>
      <c r="MY130" s="1576">
        <f>'Paso 1.1'!E109*Tiempos!$H$105</f>
        <v>10.981999999999999</v>
      </c>
      <c r="MZ130" s="1576">
        <f>'Paso 1.1'!F109*Tiempos!$H$105</f>
        <v>10.986255605689891</v>
      </c>
      <c r="NA130" s="1576">
        <f>'Paso 1.1'!G109*Tiempos!$H$105</f>
        <v>10.990512860458253</v>
      </c>
      <c r="NB130" s="1576">
        <f>'Paso 1.1'!H109*Tiempos!$H$105</f>
        <v>10.994771764944121</v>
      </c>
      <c r="NC130" s="1576">
        <f>'Paso 1.1'!I109*Tiempos!$H$105</f>
        <v>10.999032319786767</v>
      </c>
      <c r="ND130" s="1576">
        <f>'Paso 1.1'!J109*Tiempos!$H$105</f>
        <v>11.003294525625719</v>
      </c>
      <c r="NE130" s="1576">
        <f>'Paso 1.1'!K109*Tiempos!$H$105</f>
        <v>11.007558383100751</v>
      </c>
      <c r="NF130" s="1576">
        <f>'Paso 1.1'!L109*Tiempos!$H$105</f>
        <v>11.011823892851883</v>
      </c>
      <c r="NG130" s="1576">
        <f>'Paso 1.1'!M109*Tiempos!$H$105</f>
        <v>11.016091055519384</v>
      </c>
      <c r="NH130" s="1576">
        <f>'Paso 1.1'!N109*Tiempos!$H$105</f>
        <v>11.020359871743768</v>
      </c>
      <c r="NI130" s="1576">
        <f>'Paso 1.1'!O109*Tiempos!$H$105</f>
        <v>11.024630342165809</v>
      </c>
      <c r="NJ130" s="1576">
        <f>'Paso 1.1'!P109*Tiempos!$H$105</f>
        <v>11.028902467426516</v>
      </c>
      <c r="NK130" s="1576">
        <f>'Paso 1.1'!Q109*Tiempos!$H$105</f>
        <v>11.033176248167148</v>
      </c>
      <c r="NL130" s="1576">
        <f>'Paso 1.1'!R109*Tiempos!$H$105</f>
        <v>11.037451685029218</v>
      </c>
      <c r="NM130" s="1576">
        <f>'Paso 1.1'!S109*Tiempos!$H$105</f>
        <v>11.041728778654488</v>
      </c>
      <c r="NN130" s="1576">
        <f>'Paso 1.1'!T109*Tiempos!$H$105</f>
        <v>11.046007529684964</v>
      </c>
      <c r="NO130" s="1576">
        <f>'Paso 1.1'!U109*Tiempos!$H$105</f>
        <v>11.050287938762899</v>
      </c>
      <c r="NP130" s="1576"/>
      <c r="NQ130" s="1576"/>
      <c r="NR130" s="1576"/>
      <c r="NS130" s="1576"/>
      <c r="NT130" s="1576"/>
      <c r="NU130" s="1576"/>
      <c r="NV130" s="1576"/>
      <c r="NW130" s="1576"/>
      <c r="NX130" s="1576"/>
      <c r="NY130" s="1576"/>
      <c r="NZ130" s="1576"/>
      <c r="OA130" s="1576"/>
      <c r="OB130" s="1576"/>
      <c r="OC130" s="1576"/>
      <c r="OD130" s="1576"/>
      <c r="OE130" s="1576"/>
      <c r="OF130" s="1576"/>
      <c r="OG130" s="1576"/>
      <c r="OH130" s="1576"/>
      <c r="OI130" s="1576"/>
      <c r="OJ130" s="1576"/>
      <c r="OK130" s="1576"/>
      <c r="OL130" s="1576"/>
      <c r="OM130" s="1576"/>
      <c r="ON130" s="1576"/>
      <c r="OO130" s="1576"/>
      <c r="OP130" s="1576"/>
      <c r="OQ130" s="1576"/>
      <c r="OR130" s="1576"/>
      <c r="OS130" s="1576"/>
      <c r="OT130" s="1576"/>
      <c r="OU130" s="1576"/>
      <c r="OV130" s="1576"/>
      <c r="OW130" s="1576"/>
      <c r="OX130" s="1576"/>
      <c r="OY130" s="1576"/>
      <c r="OZ130" s="1576"/>
      <c r="PA130" s="1576"/>
      <c r="PB130" s="1576"/>
      <c r="PC130" s="1576"/>
      <c r="PD130" s="1576"/>
      <c r="PE130" s="1576"/>
      <c r="PF130" s="1576"/>
      <c r="PG130" s="1576"/>
      <c r="PH130" s="1576"/>
      <c r="PI130" s="1576"/>
      <c r="PJ130" s="1576"/>
      <c r="PK130" s="1576"/>
      <c r="PL130" s="1576"/>
      <c r="PM130" s="1576"/>
      <c r="PN130" s="1576"/>
      <c r="PO130" s="1576"/>
      <c r="PP130" s="1576"/>
      <c r="PQ130" s="1576"/>
      <c r="PR130" s="1576"/>
      <c r="PS130" s="1576"/>
      <c r="PT130" s="1576"/>
      <c r="PU130" s="1576"/>
      <c r="PV130" s="1576"/>
      <c r="PW130" s="1576"/>
      <c r="PX130" s="1576"/>
      <c r="PY130" s="1576"/>
      <c r="PZ130" s="1576"/>
      <c r="QA130" s="1576"/>
      <c r="QB130" s="1576"/>
      <c r="QC130" s="1576"/>
      <c r="QD130" s="1576"/>
      <c r="QE130" s="1576"/>
      <c r="QF130" s="1576"/>
      <c r="QG130" s="1576"/>
      <c r="QH130" s="1576"/>
      <c r="QI130" s="1576"/>
      <c r="QJ130" s="1576"/>
      <c r="QK130" s="1576"/>
      <c r="QL130" s="1576"/>
      <c r="QM130" s="1576"/>
      <c r="QN130" s="1576"/>
      <c r="QO130" s="1576"/>
      <c r="QP130" s="1576"/>
      <c r="QQ130" s="1576"/>
      <c r="QR130" s="1576"/>
      <c r="QS130" s="1576"/>
      <c r="QT130" s="1576"/>
      <c r="QU130" s="1576"/>
      <c r="QV130" s="1576"/>
      <c r="QW130" s="1576"/>
      <c r="QX130" s="1576"/>
      <c r="QY130" s="1576"/>
      <c r="QZ130" s="1576"/>
      <c r="RA130" s="1576"/>
      <c r="RB130" s="1576"/>
      <c r="RC130" s="1576"/>
      <c r="RD130" s="1576"/>
      <c r="RE130" s="1576"/>
      <c r="RF130" s="1576"/>
      <c r="RG130" s="1576"/>
      <c r="RH130" s="1576"/>
      <c r="RI130" s="1576"/>
      <c r="RJ130" s="1576"/>
      <c r="RK130" s="1576"/>
      <c r="RL130" s="1576"/>
      <c r="RM130" s="1576"/>
      <c r="RN130" s="1576"/>
      <c r="RO130" s="1576"/>
      <c r="RP130" s="1576"/>
      <c r="RQ130" s="1576"/>
      <c r="RR130" s="1576"/>
      <c r="RS130" s="1576"/>
      <c r="RT130" s="1576"/>
      <c r="RU130" s="1576"/>
      <c r="RV130" s="1576"/>
      <c r="RW130" s="1576"/>
      <c r="RX130" s="1576"/>
      <c r="RY130" s="1576"/>
      <c r="RZ130" s="1576"/>
      <c r="SA130" s="1576"/>
      <c r="SB130" s="1576"/>
      <c r="SC130" s="1576"/>
      <c r="SD130" s="1576"/>
      <c r="SE130" s="1576"/>
      <c r="SF130" s="1576"/>
      <c r="SG130" s="1576"/>
      <c r="SH130" s="1576"/>
      <c r="SI130" s="1576"/>
      <c r="SJ130" s="1576"/>
      <c r="SK130" s="1576"/>
      <c r="SL130" s="1576"/>
      <c r="SM130" s="1576"/>
      <c r="SN130" s="1576"/>
      <c r="SO130" s="1576"/>
      <c r="SP130" s="1576"/>
      <c r="SQ130" s="1576"/>
      <c r="SR130" s="1576"/>
      <c r="SS130" s="1576"/>
      <c r="ST130" s="1576"/>
      <c r="SU130" s="1576"/>
      <c r="SV130" s="1576"/>
      <c r="SW130" s="1576"/>
      <c r="SX130" s="1576"/>
      <c r="SY130" s="1576"/>
      <c r="SZ130" s="1576"/>
      <c r="TA130" s="1576"/>
      <c r="TB130" s="1576"/>
      <c r="TC130" s="1576"/>
      <c r="TD130" s="1576"/>
      <c r="TE130" s="1576"/>
      <c r="TF130" s="1576"/>
      <c r="TG130" s="1576"/>
      <c r="TH130" s="1576"/>
      <c r="TI130" s="1576"/>
      <c r="TJ130" s="1576"/>
      <c r="TK130" s="1576"/>
      <c r="TL130" s="1576"/>
      <c r="TM130" s="1576"/>
      <c r="TN130" s="1576"/>
      <c r="TO130" s="1576"/>
      <c r="TP130" s="1576"/>
      <c r="TQ130" s="1576"/>
      <c r="TR130" s="1576"/>
      <c r="TS130" s="1576"/>
      <c r="TT130" s="1576"/>
      <c r="TU130" s="1576"/>
      <c r="TV130" s="1576"/>
      <c r="TW130" s="1576"/>
      <c r="TX130" s="1576"/>
      <c r="TY130" s="1576"/>
      <c r="TZ130" s="1576"/>
      <c r="UA130" s="1576"/>
      <c r="UB130" s="1576"/>
      <c r="UC130" s="1576"/>
      <c r="UD130" s="1576"/>
      <c r="UE130" s="1576"/>
      <c r="UF130" s="1576"/>
      <c r="UG130" s="1576"/>
      <c r="UH130" s="1576"/>
      <c r="UI130" s="1576"/>
      <c r="UJ130" s="1576"/>
      <c r="UK130" s="1576"/>
      <c r="UL130" s="1576"/>
      <c r="UM130" s="1576"/>
      <c r="UN130" s="1576"/>
      <c r="UO130" s="1576"/>
      <c r="UP130" s="1576"/>
      <c r="UQ130" s="1576"/>
      <c r="UR130" s="1576"/>
      <c r="US130" s="1576"/>
      <c r="UT130" s="1576"/>
      <c r="UU130" s="1576"/>
      <c r="UV130" s="1576"/>
      <c r="UW130" s="1576"/>
      <c r="UX130" s="1576"/>
      <c r="UY130" s="1576"/>
      <c r="UZ130" s="1576"/>
      <c r="VA130" s="1576"/>
      <c r="VB130" s="1576"/>
      <c r="VC130" s="1576"/>
      <c r="VD130" s="1576"/>
      <c r="VE130" s="1576"/>
      <c r="VF130" s="1576"/>
      <c r="VG130" s="1576"/>
      <c r="VH130" s="1576"/>
      <c r="VI130" s="1576"/>
      <c r="VJ130" s="1576"/>
      <c r="VK130" s="1576"/>
    </row>
    <row r="131" spans="1:583" x14ac:dyDescent="0.25">
      <c r="A131" s="691" t="s">
        <v>3833</v>
      </c>
      <c r="B131" s="1610" t="s">
        <v>427</v>
      </c>
      <c r="C131" s="2062" t="s">
        <v>2943</v>
      </c>
      <c r="D131" s="1582" t="s">
        <v>2944</v>
      </c>
      <c r="E131" s="2062" t="s">
        <v>2943</v>
      </c>
      <c r="F131" s="2061" t="e">
        <f>SUM(F120:F130)</f>
        <v>#DIV/0!</v>
      </c>
      <c r="G131" s="2061" t="e">
        <f t="shared" ref="G131:BR131" si="146">SUM(G120:G130)</f>
        <v>#DIV/0!</v>
      </c>
      <c r="H131" s="2061" t="e">
        <f t="shared" si="146"/>
        <v>#DIV/0!</v>
      </c>
      <c r="I131" s="2061" t="e">
        <f t="shared" si="146"/>
        <v>#DIV/0!</v>
      </c>
      <c r="J131" s="2061" t="e">
        <f t="shared" si="146"/>
        <v>#DIV/0!</v>
      </c>
      <c r="K131" s="2061" t="e">
        <f t="shared" si="146"/>
        <v>#DIV/0!</v>
      </c>
      <c r="L131" s="2061" t="e">
        <f t="shared" si="146"/>
        <v>#DIV/0!</v>
      </c>
      <c r="M131" s="2061" t="e">
        <f t="shared" si="146"/>
        <v>#DIV/0!</v>
      </c>
      <c r="N131" s="2061" t="e">
        <f t="shared" si="146"/>
        <v>#DIV/0!</v>
      </c>
      <c r="O131" s="2061" t="e">
        <f t="shared" si="146"/>
        <v>#DIV/0!</v>
      </c>
      <c r="P131" s="2061" t="e">
        <f t="shared" si="146"/>
        <v>#DIV/0!</v>
      </c>
      <c r="Q131" s="2061" t="e">
        <f t="shared" si="146"/>
        <v>#DIV/0!</v>
      </c>
      <c r="R131" s="2061" t="e">
        <f t="shared" si="146"/>
        <v>#DIV/0!</v>
      </c>
      <c r="S131" s="2061" t="e">
        <f t="shared" si="146"/>
        <v>#DIV/0!</v>
      </c>
      <c r="T131" s="2061" t="e">
        <f t="shared" si="146"/>
        <v>#DIV/0!</v>
      </c>
      <c r="U131" s="2061" t="e">
        <f t="shared" si="146"/>
        <v>#DIV/0!</v>
      </c>
      <c r="V131" s="2061" t="e">
        <f t="shared" si="146"/>
        <v>#DIV/0!</v>
      </c>
      <c r="W131" s="2061">
        <f t="shared" si="146"/>
        <v>0</v>
      </c>
      <c r="X131" s="2061">
        <f t="shared" si="146"/>
        <v>0</v>
      </c>
      <c r="Y131" s="2061">
        <f t="shared" si="146"/>
        <v>0</v>
      </c>
      <c r="Z131" s="2061">
        <f t="shared" si="146"/>
        <v>0</v>
      </c>
      <c r="AA131" s="2061">
        <f t="shared" si="146"/>
        <v>0</v>
      </c>
      <c r="AB131" s="2061">
        <f t="shared" si="146"/>
        <v>0</v>
      </c>
      <c r="AC131" s="2061">
        <f t="shared" si="146"/>
        <v>0</v>
      </c>
      <c r="AD131" s="2061">
        <f t="shared" si="146"/>
        <v>0</v>
      </c>
      <c r="AE131" s="2061">
        <f t="shared" si="146"/>
        <v>0</v>
      </c>
      <c r="AF131" s="2061">
        <f t="shared" si="146"/>
        <v>0</v>
      </c>
      <c r="AG131" s="2061">
        <f t="shared" si="146"/>
        <v>0</v>
      </c>
      <c r="AH131" s="2061">
        <f t="shared" si="146"/>
        <v>0</v>
      </c>
      <c r="AI131" s="2061">
        <f t="shared" si="146"/>
        <v>0</v>
      </c>
      <c r="AJ131" s="2061">
        <f t="shared" si="146"/>
        <v>0</v>
      </c>
      <c r="AK131" s="2061">
        <f t="shared" si="146"/>
        <v>0</v>
      </c>
      <c r="AL131" s="2061">
        <f t="shared" si="146"/>
        <v>0</v>
      </c>
      <c r="AM131" s="2061">
        <f t="shared" si="146"/>
        <v>0</v>
      </c>
      <c r="AN131" s="2061" t="e">
        <f t="shared" si="146"/>
        <v>#DIV/0!</v>
      </c>
      <c r="AO131" s="2061" t="e">
        <f t="shared" si="146"/>
        <v>#DIV/0!</v>
      </c>
      <c r="AP131" s="2061" t="e">
        <f t="shared" si="146"/>
        <v>#DIV/0!</v>
      </c>
      <c r="AQ131" s="2061" t="e">
        <f t="shared" si="146"/>
        <v>#DIV/0!</v>
      </c>
      <c r="AR131" s="2061" t="e">
        <f t="shared" si="146"/>
        <v>#DIV/0!</v>
      </c>
      <c r="AS131" s="2061" t="e">
        <f t="shared" si="146"/>
        <v>#DIV/0!</v>
      </c>
      <c r="AT131" s="2061" t="e">
        <f t="shared" si="146"/>
        <v>#DIV/0!</v>
      </c>
      <c r="AU131" s="2061" t="e">
        <f t="shared" si="146"/>
        <v>#DIV/0!</v>
      </c>
      <c r="AV131" s="2061" t="e">
        <f t="shared" si="146"/>
        <v>#DIV/0!</v>
      </c>
      <c r="AW131" s="2061" t="e">
        <f t="shared" si="146"/>
        <v>#DIV/0!</v>
      </c>
      <c r="AX131" s="2061" t="e">
        <f t="shared" si="146"/>
        <v>#DIV/0!</v>
      </c>
      <c r="AY131" s="2061" t="e">
        <f t="shared" si="146"/>
        <v>#DIV/0!</v>
      </c>
      <c r="AZ131" s="2061" t="e">
        <f t="shared" si="146"/>
        <v>#DIV/0!</v>
      </c>
      <c r="BA131" s="2061" t="e">
        <f t="shared" si="146"/>
        <v>#DIV/0!</v>
      </c>
      <c r="BB131" s="2061" t="e">
        <f t="shared" si="146"/>
        <v>#DIV/0!</v>
      </c>
      <c r="BC131" s="2061" t="e">
        <f t="shared" si="146"/>
        <v>#DIV/0!</v>
      </c>
      <c r="BD131" s="2061" t="e">
        <f t="shared" si="146"/>
        <v>#DIV/0!</v>
      </c>
      <c r="BE131" s="2061">
        <f t="shared" si="146"/>
        <v>0</v>
      </c>
      <c r="BF131" s="2061">
        <f t="shared" si="146"/>
        <v>0</v>
      </c>
      <c r="BG131" s="2061">
        <f t="shared" si="146"/>
        <v>0</v>
      </c>
      <c r="BH131" s="2061">
        <f t="shared" si="146"/>
        <v>0</v>
      </c>
      <c r="BI131" s="2061">
        <f t="shared" si="146"/>
        <v>0</v>
      </c>
      <c r="BJ131" s="2061">
        <f t="shared" si="146"/>
        <v>0</v>
      </c>
      <c r="BK131" s="2061">
        <f t="shared" si="146"/>
        <v>0</v>
      </c>
      <c r="BL131" s="2061">
        <f t="shared" si="146"/>
        <v>0</v>
      </c>
      <c r="BM131" s="2061">
        <f t="shared" si="146"/>
        <v>0</v>
      </c>
      <c r="BN131" s="2061">
        <f t="shared" si="146"/>
        <v>0</v>
      </c>
      <c r="BO131" s="2061">
        <f t="shared" si="146"/>
        <v>0</v>
      </c>
      <c r="BP131" s="2061">
        <f t="shared" si="146"/>
        <v>0</v>
      </c>
      <c r="BQ131" s="2061">
        <f t="shared" si="146"/>
        <v>0</v>
      </c>
      <c r="BR131" s="2061">
        <f t="shared" si="146"/>
        <v>0</v>
      </c>
      <c r="BS131" s="2061">
        <f t="shared" ref="BS131:ED131" si="147">SUM(BS120:BS130)</f>
        <v>0</v>
      </c>
      <c r="BT131" s="2061">
        <f t="shared" si="147"/>
        <v>0</v>
      </c>
      <c r="BU131" s="2061">
        <f t="shared" si="147"/>
        <v>0</v>
      </c>
      <c r="BV131" s="2061" t="e">
        <f t="shared" si="147"/>
        <v>#DIV/0!</v>
      </c>
      <c r="BW131" s="2061" t="e">
        <f t="shared" si="147"/>
        <v>#DIV/0!</v>
      </c>
      <c r="BX131" s="2061" t="e">
        <f t="shared" si="147"/>
        <v>#DIV/0!</v>
      </c>
      <c r="BY131" s="2061" t="e">
        <f t="shared" si="147"/>
        <v>#DIV/0!</v>
      </c>
      <c r="BZ131" s="2061" t="e">
        <f t="shared" si="147"/>
        <v>#DIV/0!</v>
      </c>
      <c r="CA131" s="2061" t="e">
        <f t="shared" si="147"/>
        <v>#DIV/0!</v>
      </c>
      <c r="CB131" s="2061" t="e">
        <f t="shared" si="147"/>
        <v>#DIV/0!</v>
      </c>
      <c r="CC131" s="2061" t="e">
        <f t="shared" si="147"/>
        <v>#DIV/0!</v>
      </c>
      <c r="CD131" s="2061" t="e">
        <f t="shared" si="147"/>
        <v>#DIV/0!</v>
      </c>
      <c r="CE131" s="2061" t="e">
        <f t="shared" si="147"/>
        <v>#DIV/0!</v>
      </c>
      <c r="CF131" s="2061" t="e">
        <f t="shared" si="147"/>
        <v>#DIV/0!</v>
      </c>
      <c r="CG131" s="2061" t="e">
        <f t="shared" si="147"/>
        <v>#DIV/0!</v>
      </c>
      <c r="CH131" s="2061" t="e">
        <f t="shared" si="147"/>
        <v>#DIV/0!</v>
      </c>
      <c r="CI131" s="2061" t="e">
        <f t="shared" si="147"/>
        <v>#DIV/0!</v>
      </c>
      <c r="CJ131" s="2061" t="e">
        <f t="shared" si="147"/>
        <v>#DIV/0!</v>
      </c>
      <c r="CK131" s="2061" t="e">
        <f t="shared" si="147"/>
        <v>#DIV/0!</v>
      </c>
      <c r="CL131" s="2061" t="e">
        <f t="shared" si="147"/>
        <v>#DIV/0!</v>
      </c>
      <c r="CM131" s="2061">
        <f t="shared" si="147"/>
        <v>0</v>
      </c>
      <c r="CN131" s="2061">
        <f t="shared" si="147"/>
        <v>0</v>
      </c>
      <c r="CO131" s="2061">
        <f t="shared" si="147"/>
        <v>0</v>
      </c>
      <c r="CP131" s="2061">
        <f t="shared" si="147"/>
        <v>0</v>
      </c>
      <c r="CQ131" s="2061">
        <f t="shared" si="147"/>
        <v>0</v>
      </c>
      <c r="CR131" s="2061">
        <f t="shared" si="147"/>
        <v>0</v>
      </c>
      <c r="CS131" s="2061">
        <f t="shared" si="147"/>
        <v>0</v>
      </c>
      <c r="CT131" s="2061">
        <f t="shared" si="147"/>
        <v>0</v>
      </c>
      <c r="CU131" s="2061">
        <f t="shared" si="147"/>
        <v>0</v>
      </c>
      <c r="CV131" s="2061">
        <f t="shared" si="147"/>
        <v>0</v>
      </c>
      <c r="CW131" s="2061">
        <f t="shared" si="147"/>
        <v>0</v>
      </c>
      <c r="CX131" s="2061">
        <f t="shared" si="147"/>
        <v>0</v>
      </c>
      <c r="CY131" s="2061">
        <f t="shared" si="147"/>
        <v>0</v>
      </c>
      <c r="CZ131" s="2061">
        <f t="shared" si="147"/>
        <v>0</v>
      </c>
      <c r="DA131" s="2061">
        <f t="shared" si="147"/>
        <v>0</v>
      </c>
      <c r="DB131" s="2061">
        <f t="shared" si="147"/>
        <v>0</v>
      </c>
      <c r="DC131" s="2061">
        <f t="shared" si="147"/>
        <v>0</v>
      </c>
      <c r="DD131" s="2061">
        <f t="shared" si="147"/>
        <v>0</v>
      </c>
      <c r="DE131" s="2061">
        <f t="shared" si="147"/>
        <v>0</v>
      </c>
      <c r="DF131" s="2061">
        <f t="shared" si="147"/>
        <v>0</v>
      </c>
      <c r="DG131" s="2061">
        <f t="shared" si="147"/>
        <v>0</v>
      </c>
      <c r="DH131" s="2061">
        <f t="shared" si="147"/>
        <v>0</v>
      </c>
      <c r="DI131" s="2061">
        <f t="shared" si="147"/>
        <v>0</v>
      </c>
      <c r="DJ131" s="2061">
        <f t="shared" si="147"/>
        <v>0</v>
      </c>
      <c r="DK131" s="2061">
        <f t="shared" si="147"/>
        <v>0</v>
      </c>
      <c r="DL131" s="2061">
        <f t="shared" si="147"/>
        <v>0</v>
      </c>
      <c r="DM131" s="2061">
        <f t="shared" si="147"/>
        <v>0</v>
      </c>
      <c r="DN131" s="2061">
        <f t="shared" si="147"/>
        <v>0</v>
      </c>
      <c r="DO131" s="2061">
        <f t="shared" si="147"/>
        <v>0</v>
      </c>
      <c r="DP131" s="2061">
        <f t="shared" si="147"/>
        <v>0</v>
      </c>
      <c r="DQ131" s="2061">
        <f t="shared" si="147"/>
        <v>0</v>
      </c>
      <c r="DR131" s="2061">
        <f t="shared" si="147"/>
        <v>0</v>
      </c>
      <c r="DS131" s="2061">
        <f t="shared" si="147"/>
        <v>0</v>
      </c>
      <c r="DT131" s="2061">
        <f t="shared" si="147"/>
        <v>0</v>
      </c>
      <c r="DU131" s="2061">
        <f t="shared" si="147"/>
        <v>0</v>
      </c>
      <c r="DV131" s="2061">
        <f t="shared" si="147"/>
        <v>0</v>
      </c>
      <c r="DW131" s="2061">
        <f t="shared" si="147"/>
        <v>0</v>
      </c>
      <c r="DX131" s="2061">
        <f t="shared" si="147"/>
        <v>0</v>
      </c>
      <c r="DY131" s="2061">
        <f t="shared" si="147"/>
        <v>0</v>
      </c>
      <c r="DZ131" s="2061">
        <f t="shared" si="147"/>
        <v>0</v>
      </c>
      <c r="EA131" s="2061">
        <f t="shared" si="147"/>
        <v>0</v>
      </c>
      <c r="EB131" s="2061">
        <f t="shared" si="147"/>
        <v>0</v>
      </c>
      <c r="EC131" s="2061">
        <f t="shared" si="147"/>
        <v>0</v>
      </c>
      <c r="ED131" s="2061">
        <f t="shared" si="147"/>
        <v>0</v>
      </c>
      <c r="EE131" s="2061">
        <f t="shared" ref="EE131:GP131" si="148">SUM(EE120:EE130)</f>
        <v>0</v>
      </c>
      <c r="EF131" s="2061">
        <f t="shared" si="148"/>
        <v>0</v>
      </c>
      <c r="EG131" s="2061">
        <f t="shared" si="148"/>
        <v>0</v>
      </c>
      <c r="EH131" s="2061">
        <f t="shared" si="148"/>
        <v>0</v>
      </c>
      <c r="EI131" s="2061">
        <f t="shared" si="148"/>
        <v>0</v>
      </c>
      <c r="EJ131" s="2061">
        <f t="shared" si="148"/>
        <v>0</v>
      </c>
      <c r="EK131" s="2061">
        <f t="shared" si="148"/>
        <v>0</v>
      </c>
      <c r="EL131" s="2061">
        <f t="shared" si="148"/>
        <v>0</v>
      </c>
      <c r="EM131" s="2061">
        <f t="shared" si="148"/>
        <v>0</v>
      </c>
      <c r="EN131" s="2061">
        <f t="shared" si="148"/>
        <v>0</v>
      </c>
      <c r="EO131" s="2061">
        <f t="shared" si="148"/>
        <v>0</v>
      </c>
      <c r="EP131" s="2061">
        <f t="shared" si="148"/>
        <v>0</v>
      </c>
      <c r="EQ131" s="2061">
        <f t="shared" si="148"/>
        <v>0</v>
      </c>
      <c r="ER131" s="2061">
        <f t="shared" si="148"/>
        <v>0</v>
      </c>
      <c r="ES131" s="2061">
        <f t="shared" si="148"/>
        <v>0</v>
      </c>
      <c r="ET131" s="2061">
        <f t="shared" si="148"/>
        <v>0</v>
      </c>
      <c r="EU131" s="2061">
        <f t="shared" si="148"/>
        <v>0</v>
      </c>
      <c r="EV131" s="2061">
        <f t="shared" si="148"/>
        <v>0</v>
      </c>
      <c r="EW131" s="2061">
        <f t="shared" si="148"/>
        <v>0</v>
      </c>
      <c r="EX131" s="2061">
        <f t="shared" si="148"/>
        <v>0</v>
      </c>
      <c r="EY131" s="2061">
        <f t="shared" si="148"/>
        <v>0</v>
      </c>
      <c r="EZ131" s="2061">
        <f t="shared" si="148"/>
        <v>0</v>
      </c>
      <c r="FA131" s="2061">
        <f t="shared" si="148"/>
        <v>0</v>
      </c>
      <c r="FB131" s="2061">
        <f t="shared" si="148"/>
        <v>0</v>
      </c>
      <c r="FC131" s="2061">
        <f t="shared" si="148"/>
        <v>0</v>
      </c>
      <c r="FD131" s="2061">
        <f t="shared" si="148"/>
        <v>0</v>
      </c>
      <c r="FE131" s="2061">
        <f t="shared" si="148"/>
        <v>0</v>
      </c>
      <c r="FF131" s="2061">
        <f t="shared" si="148"/>
        <v>0</v>
      </c>
      <c r="FG131" s="2061">
        <f t="shared" si="148"/>
        <v>0</v>
      </c>
      <c r="FH131" s="2061">
        <f t="shared" si="148"/>
        <v>0</v>
      </c>
      <c r="FI131" s="2061">
        <f t="shared" si="148"/>
        <v>0</v>
      </c>
      <c r="FJ131" s="2061">
        <f t="shared" si="148"/>
        <v>0</v>
      </c>
      <c r="FK131" s="2061">
        <f t="shared" si="148"/>
        <v>0</v>
      </c>
      <c r="FL131" s="2061">
        <f t="shared" si="148"/>
        <v>0</v>
      </c>
      <c r="FM131" s="2061">
        <f t="shared" si="148"/>
        <v>0</v>
      </c>
      <c r="FN131" s="2061">
        <f t="shared" si="148"/>
        <v>0</v>
      </c>
      <c r="FO131" s="2061">
        <f t="shared" si="148"/>
        <v>0</v>
      </c>
      <c r="FP131" s="2061">
        <f t="shared" si="148"/>
        <v>0</v>
      </c>
      <c r="FQ131" s="2061">
        <f t="shared" si="148"/>
        <v>0</v>
      </c>
      <c r="FR131" s="2061">
        <f t="shared" si="148"/>
        <v>0</v>
      </c>
      <c r="FS131" s="2061">
        <f t="shared" si="148"/>
        <v>0</v>
      </c>
      <c r="FT131" s="2061">
        <f t="shared" si="148"/>
        <v>0</v>
      </c>
      <c r="FU131" s="2061">
        <f t="shared" si="148"/>
        <v>0</v>
      </c>
      <c r="FV131" s="2061">
        <f t="shared" si="148"/>
        <v>0</v>
      </c>
      <c r="FW131" s="2061">
        <f t="shared" si="148"/>
        <v>0</v>
      </c>
      <c r="FX131" s="2061">
        <f t="shared" si="148"/>
        <v>0</v>
      </c>
      <c r="FY131" s="2061">
        <f t="shared" si="148"/>
        <v>0</v>
      </c>
      <c r="FZ131" s="2061">
        <f t="shared" si="148"/>
        <v>0</v>
      </c>
      <c r="GA131" s="2061">
        <f t="shared" si="148"/>
        <v>0</v>
      </c>
      <c r="GB131" s="2061">
        <f t="shared" si="148"/>
        <v>0</v>
      </c>
      <c r="GC131" s="2061">
        <f t="shared" si="148"/>
        <v>0</v>
      </c>
      <c r="GD131" s="2061">
        <f t="shared" si="148"/>
        <v>0</v>
      </c>
      <c r="GE131" s="2061">
        <f t="shared" si="148"/>
        <v>0</v>
      </c>
      <c r="GF131" s="2061">
        <f t="shared" si="148"/>
        <v>0</v>
      </c>
      <c r="GG131" s="2061">
        <f t="shared" si="148"/>
        <v>0</v>
      </c>
      <c r="GH131" s="2061">
        <f t="shared" si="148"/>
        <v>0</v>
      </c>
      <c r="GI131" s="2061">
        <f t="shared" si="148"/>
        <v>0</v>
      </c>
      <c r="GJ131" s="2061">
        <f t="shared" si="148"/>
        <v>0</v>
      </c>
      <c r="GK131" s="2061">
        <f t="shared" si="148"/>
        <v>0</v>
      </c>
      <c r="GL131" s="2061">
        <f t="shared" si="148"/>
        <v>0</v>
      </c>
      <c r="GM131" s="2061">
        <f t="shared" si="148"/>
        <v>0</v>
      </c>
      <c r="GN131" s="2061">
        <f t="shared" si="148"/>
        <v>0</v>
      </c>
      <c r="GO131" s="2061">
        <f t="shared" si="148"/>
        <v>0</v>
      </c>
      <c r="GP131" s="2061">
        <f t="shared" si="148"/>
        <v>0</v>
      </c>
      <c r="GQ131" s="2061">
        <f t="shared" ref="GQ131:JB131" si="149">SUM(GQ120:GQ130)</f>
        <v>0</v>
      </c>
      <c r="GR131" s="2061">
        <f t="shared" si="149"/>
        <v>0</v>
      </c>
      <c r="GS131" s="2061">
        <f t="shared" si="149"/>
        <v>0</v>
      </c>
      <c r="GT131" s="2061">
        <f t="shared" si="149"/>
        <v>0</v>
      </c>
      <c r="GU131" s="2061">
        <f t="shared" si="149"/>
        <v>0</v>
      </c>
      <c r="GV131" s="2061">
        <f t="shared" si="149"/>
        <v>0</v>
      </c>
      <c r="GW131" s="2061">
        <f t="shared" si="149"/>
        <v>0</v>
      </c>
      <c r="GX131" s="2061">
        <f t="shared" si="149"/>
        <v>0</v>
      </c>
      <c r="GY131" s="2061">
        <f t="shared" si="149"/>
        <v>0</v>
      </c>
      <c r="GZ131" s="2061">
        <f t="shared" si="149"/>
        <v>0</v>
      </c>
      <c r="HA131" s="2061">
        <f t="shared" si="149"/>
        <v>0</v>
      </c>
      <c r="HB131" s="2061">
        <f t="shared" si="149"/>
        <v>0</v>
      </c>
      <c r="HC131" s="2061">
        <f t="shared" si="149"/>
        <v>0</v>
      </c>
      <c r="HD131" s="2061">
        <f t="shared" si="149"/>
        <v>0</v>
      </c>
      <c r="HE131" s="2061">
        <f t="shared" si="149"/>
        <v>0</v>
      </c>
      <c r="HF131" s="2061">
        <f t="shared" si="149"/>
        <v>0</v>
      </c>
      <c r="HG131" s="2061">
        <f t="shared" si="149"/>
        <v>0</v>
      </c>
      <c r="HH131" s="2061">
        <f t="shared" si="149"/>
        <v>0</v>
      </c>
      <c r="HI131" s="2061">
        <f t="shared" si="149"/>
        <v>0</v>
      </c>
      <c r="HJ131" s="2061">
        <f t="shared" si="149"/>
        <v>0</v>
      </c>
      <c r="HK131" s="2061">
        <f t="shared" si="149"/>
        <v>0</v>
      </c>
      <c r="HL131" s="2061">
        <f t="shared" si="149"/>
        <v>0</v>
      </c>
      <c r="HM131" s="2061">
        <f t="shared" si="149"/>
        <v>0</v>
      </c>
      <c r="HN131" s="2061">
        <f t="shared" si="149"/>
        <v>0</v>
      </c>
      <c r="HO131" s="2061">
        <f t="shared" si="149"/>
        <v>0</v>
      </c>
      <c r="HP131" s="2061">
        <f t="shared" si="149"/>
        <v>0</v>
      </c>
      <c r="HQ131" s="2061">
        <f t="shared" si="149"/>
        <v>0</v>
      </c>
      <c r="HR131" s="2061">
        <f t="shared" si="149"/>
        <v>0</v>
      </c>
      <c r="HS131" s="2061">
        <f t="shared" si="149"/>
        <v>0</v>
      </c>
      <c r="HT131" s="2061">
        <f t="shared" si="149"/>
        <v>0</v>
      </c>
      <c r="HU131" s="2061">
        <f t="shared" si="149"/>
        <v>0</v>
      </c>
      <c r="HV131" s="2061">
        <f t="shared" si="149"/>
        <v>0</v>
      </c>
      <c r="HW131" s="2061">
        <f t="shared" si="149"/>
        <v>0</v>
      </c>
      <c r="HX131" s="2061">
        <f t="shared" si="149"/>
        <v>0</v>
      </c>
      <c r="HY131" s="2061">
        <f t="shared" si="149"/>
        <v>0</v>
      </c>
      <c r="HZ131" s="2061">
        <f t="shared" si="149"/>
        <v>0</v>
      </c>
      <c r="IA131" s="2061">
        <f t="shared" si="149"/>
        <v>0</v>
      </c>
      <c r="IB131" s="2061">
        <f t="shared" si="149"/>
        <v>0</v>
      </c>
      <c r="IC131" s="2061">
        <f t="shared" si="149"/>
        <v>0</v>
      </c>
      <c r="ID131" s="2061">
        <f t="shared" si="149"/>
        <v>0</v>
      </c>
      <c r="IE131" s="2061">
        <f t="shared" si="149"/>
        <v>0</v>
      </c>
      <c r="IF131" s="2061">
        <f t="shared" si="149"/>
        <v>0</v>
      </c>
      <c r="IG131" s="2061">
        <f t="shared" si="149"/>
        <v>0</v>
      </c>
      <c r="IH131" s="2061">
        <f t="shared" si="149"/>
        <v>0</v>
      </c>
      <c r="II131" s="2061">
        <f t="shared" si="149"/>
        <v>0</v>
      </c>
      <c r="IJ131" s="2061">
        <f t="shared" si="149"/>
        <v>0</v>
      </c>
      <c r="IK131" s="2061">
        <f t="shared" si="149"/>
        <v>0</v>
      </c>
      <c r="IL131" s="2061">
        <f t="shared" si="149"/>
        <v>0</v>
      </c>
      <c r="IM131" s="2061">
        <f t="shared" si="149"/>
        <v>0</v>
      </c>
      <c r="IN131" s="2061">
        <f t="shared" si="149"/>
        <v>0</v>
      </c>
      <c r="IO131" s="2061">
        <f t="shared" si="149"/>
        <v>0</v>
      </c>
      <c r="IP131" s="2061">
        <f t="shared" si="149"/>
        <v>0</v>
      </c>
      <c r="IQ131" s="2061">
        <f t="shared" si="149"/>
        <v>0</v>
      </c>
      <c r="IR131" s="2061">
        <f t="shared" si="149"/>
        <v>0</v>
      </c>
      <c r="IS131" s="2061">
        <f t="shared" si="149"/>
        <v>0</v>
      </c>
      <c r="IT131" s="2061">
        <f t="shared" si="149"/>
        <v>0</v>
      </c>
      <c r="IU131" s="2061">
        <f t="shared" si="149"/>
        <v>0</v>
      </c>
      <c r="IV131" s="2061">
        <f t="shared" si="149"/>
        <v>0</v>
      </c>
      <c r="IW131" s="2061">
        <f t="shared" si="149"/>
        <v>0</v>
      </c>
      <c r="IX131" s="2061">
        <f t="shared" si="149"/>
        <v>0</v>
      </c>
      <c r="IY131" s="2061">
        <f t="shared" si="149"/>
        <v>0</v>
      </c>
      <c r="IZ131" s="2061">
        <f t="shared" si="149"/>
        <v>0</v>
      </c>
      <c r="JA131" s="2061">
        <f t="shared" si="149"/>
        <v>0</v>
      </c>
      <c r="JB131" s="2061">
        <f t="shared" si="149"/>
        <v>0</v>
      </c>
      <c r="JC131" s="2061">
        <f t="shared" ref="JC131:LN131" si="150">SUM(JC120:JC130)</f>
        <v>0</v>
      </c>
      <c r="JD131" s="2061">
        <f t="shared" si="150"/>
        <v>0</v>
      </c>
      <c r="JE131" s="2061">
        <f t="shared" si="150"/>
        <v>0</v>
      </c>
      <c r="JF131" s="2061">
        <f t="shared" si="150"/>
        <v>0</v>
      </c>
      <c r="JG131" s="2061">
        <f t="shared" si="150"/>
        <v>0</v>
      </c>
      <c r="JH131" s="2061">
        <f t="shared" si="150"/>
        <v>0</v>
      </c>
      <c r="JI131" s="2061">
        <f t="shared" si="150"/>
        <v>0</v>
      </c>
      <c r="JJ131" s="2061">
        <f t="shared" si="150"/>
        <v>0</v>
      </c>
      <c r="JK131" s="2061">
        <f t="shared" si="150"/>
        <v>0</v>
      </c>
      <c r="JL131" s="2061">
        <f t="shared" si="150"/>
        <v>0</v>
      </c>
      <c r="JM131" s="2061">
        <f t="shared" si="150"/>
        <v>0</v>
      </c>
      <c r="JN131" s="2061">
        <f t="shared" si="150"/>
        <v>0</v>
      </c>
      <c r="JO131" s="2061">
        <f t="shared" si="150"/>
        <v>0</v>
      </c>
      <c r="JP131" s="2061">
        <f t="shared" si="150"/>
        <v>0</v>
      </c>
      <c r="JQ131" s="2061">
        <f t="shared" si="150"/>
        <v>0</v>
      </c>
      <c r="JR131" s="2061" t="e">
        <f t="shared" si="150"/>
        <v>#DIV/0!</v>
      </c>
      <c r="JS131" s="2061" t="e">
        <f t="shared" si="150"/>
        <v>#DIV/0!</v>
      </c>
      <c r="JT131" s="2061" t="e">
        <f t="shared" si="150"/>
        <v>#DIV/0!</v>
      </c>
      <c r="JU131" s="2061" t="e">
        <f t="shared" si="150"/>
        <v>#DIV/0!</v>
      </c>
      <c r="JV131" s="2061" t="e">
        <f t="shared" si="150"/>
        <v>#DIV/0!</v>
      </c>
      <c r="JW131" s="2061" t="e">
        <f t="shared" si="150"/>
        <v>#DIV/0!</v>
      </c>
      <c r="JX131" s="2061" t="e">
        <f t="shared" si="150"/>
        <v>#DIV/0!</v>
      </c>
      <c r="JY131" s="2061" t="e">
        <f t="shared" si="150"/>
        <v>#DIV/0!</v>
      </c>
      <c r="JZ131" s="2061" t="e">
        <f t="shared" si="150"/>
        <v>#DIV/0!</v>
      </c>
      <c r="KA131" s="2061" t="e">
        <f t="shared" si="150"/>
        <v>#DIV/0!</v>
      </c>
      <c r="KB131" s="2061" t="e">
        <f t="shared" si="150"/>
        <v>#DIV/0!</v>
      </c>
      <c r="KC131" s="2061" t="e">
        <f t="shared" si="150"/>
        <v>#DIV/0!</v>
      </c>
      <c r="KD131" s="2061" t="e">
        <f t="shared" si="150"/>
        <v>#DIV/0!</v>
      </c>
      <c r="KE131" s="2061" t="e">
        <f t="shared" si="150"/>
        <v>#DIV/0!</v>
      </c>
      <c r="KF131" s="2061" t="e">
        <f t="shared" si="150"/>
        <v>#DIV/0!</v>
      </c>
      <c r="KG131" s="2061" t="e">
        <f t="shared" si="150"/>
        <v>#DIV/0!</v>
      </c>
      <c r="KH131" s="2061" t="e">
        <f t="shared" si="150"/>
        <v>#DIV/0!</v>
      </c>
      <c r="KI131" s="2061" t="e">
        <f t="shared" si="150"/>
        <v>#DIV/0!</v>
      </c>
      <c r="KJ131" s="2061" t="e">
        <f t="shared" si="150"/>
        <v>#DIV/0!</v>
      </c>
      <c r="KK131" s="2061" t="e">
        <f t="shared" si="150"/>
        <v>#DIV/0!</v>
      </c>
      <c r="KL131" s="2061" t="e">
        <f t="shared" si="150"/>
        <v>#DIV/0!</v>
      </c>
      <c r="KM131" s="2061" t="e">
        <f t="shared" si="150"/>
        <v>#DIV/0!</v>
      </c>
      <c r="KN131" s="2061" t="e">
        <f t="shared" si="150"/>
        <v>#DIV/0!</v>
      </c>
      <c r="KO131" s="2061" t="e">
        <f t="shared" si="150"/>
        <v>#DIV/0!</v>
      </c>
      <c r="KP131" s="2061" t="e">
        <f t="shared" si="150"/>
        <v>#DIV/0!</v>
      </c>
      <c r="KQ131" s="2061" t="e">
        <f t="shared" si="150"/>
        <v>#DIV/0!</v>
      </c>
      <c r="KR131" s="2061" t="e">
        <f t="shared" si="150"/>
        <v>#DIV/0!</v>
      </c>
      <c r="KS131" s="2061" t="e">
        <f t="shared" si="150"/>
        <v>#DIV/0!</v>
      </c>
      <c r="KT131" s="2061" t="e">
        <f t="shared" si="150"/>
        <v>#DIV/0!</v>
      </c>
      <c r="KU131" s="2061" t="e">
        <f t="shared" si="150"/>
        <v>#DIV/0!</v>
      </c>
      <c r="KV131" s="2061" t="e">
        <f t="shared" si="150"/>
        <v>#DIV/0!</v>
      </c>
      <c r="KW131" s="2061" t="e">
        <f t="shared" si="150"/>
        <v>#DIV/0!</v>
      </c>
      <c r="KX131" s="2061" t="e">
        <f t="shared" si="150"/>
        <v>#DIV/0!</v>
      </c>
      <c r="KY131" s="2061" t="e">
        <f t="shared" si="150"/>
        <v>#DIV/0!</v>
      </c>
      <c r="KZ131" s="2061">
        <f t="shared" si="150"/>
        <v>0</v>
      </c>
      <c r="LA131" s="2061">
        <f t="shared" si="150"/>
        <v>0</v>
      </c>
      <c r="LB131" s="2061">
        <f t="shared" si="150"/>
        <v>0</v>
      </c>
      <c r="LC131" s="2061">
        <f t="shared" si="150"/>
        <v>0</v>
      </c>
      <c r="LD131" s="2061">
        <f t="shared" si="150"/>
        <v>0</v>
      </c>
      <c r="LE131" s="2061">
        <f t="shared" si="150"/>
        <v>0</v>
      </c>
      <c r="LF131" s="2061">
        <f t="shared" si="150"/>
        <v>0</v>
      </c>
      <c r="LG131" s="2061">
        <f t="shared" si="150"/>
        <v>0</v>
      </c>
      <c r="LH131" s="2061">
        <f t="shared" si="150"/>
        <v>0</v>
      </c>
      <c r="LI131" s="2061">
        <f t="shared" si="150"/>
        <v>0</v>
      </c>
      <c r="LJ131" s="2061">
        <f t="shared" si="150"/>
        <v>0</v>
      </c>
      <c r="LK131" s="2061">
        <f t="shared" si="150"/>
        <v>0</v>
      </c>
      <c r="LL131" s="2061">
        <f t="shared" si="150"/>
        <v>0</v>
      </c>
      <c r="LM131" s="2061">
        <f t="shared" si="150"/>
        <v>0</v>
      </c>
      <c r="LN131" s="2061">
        <f t="shared" si="150"/>
        <v>0</v>
      </c>
      <c r="LO131" s="2061">
        <f t="shared" ref="LO131:NZ131" si="151">SUM(LO120:LO130)</f>
        <v>0</v>
      </c>
      <c r="LP131" s="2061">
        <f t="shared" si="151"/>
        <v>0</v>
      </c>
      <c r="LQ131" s="2061">
        <f t="shared" si="151"/>
        <v>0</v>
      </c>
      <c r="LR131" s="2061">
        <f t="shared" si="151"/>
        <v>0</v>
      </c>
      <c r="LS131" s="2061">
        <f t="shared" si="151"/>
        <v>0</v>
      </c>
      <c r="LT131" s="2061">
        <f t="shared" si="151"/>
        <v>0</v>
      </c>
      <c r="LU131" s="2061">
        <f t="shared" si="151"/>
        <v>0</v>
      </c>
      <c r="LV131" s="2061">
        <f t="shared" si="151"/>
        <v>0</v>
      </c>
      <c r="LW131" s="2061">
        <f t="shared" si="151"/>
        <v>0</v>
      </c>
      <c r="LX131" s="2061">
        <f t="shared" si="151"/>
        <v>0</v>
      </c>
      <c r="LY131" s="2061">
        <f t="shared" si="151"/>
        <v>0</v>
      </c>
      <c r="LZ131" s="2061">
        <f t="shared" si="151"/>
        <v>0</v>
      </c>
      <c r="MA131" s="2061">
        <f t="shared" si="151"/>
        <v>0</v>
      </c>
      <c r="MB131" s="2061">
        <f t="shared" si="151"/>
        <v>0</v>
      </c>
      <c r="MC131" s="2061">
        <f t="shared" si="151"/>
        <v>0</v>
      </c>
      <c r="MD131" s="2061">
        <f t="shared" si="151"/>
        <v>0</v>
      </c>
      <c r="ME131" s="2061">
        <f t="shared" si="151"/>
        <v>0</v>
      </c>
      <c r="MF131" s="2061">
        <f t="shared" si="151"/>
        <v>0</v>
      </c>
      <c r="MG131" s="2061">
        <f t="shared" si="151"/>
        <v>0</v>
      </c>
      <c r="MH131" s="2061">
        <f t="shared" si="151"/>
        <v>0</v>
      </c>
      <c r="MI131" s="2061">
        <f t="shared" si="151"/>
        <v>0</v>
      </c>
      <c r="MJ131" s="2061">
        <f t="shared" si="151"/>
        <v>0</v>
      </c>
      <c r="MK131" s="2061">
        <f t="shared" si="151"/>
        <v>0</v>
      </c>
      <c r="ML131" s="2061">
        <f t="shared" si="151"/>
        <v>0</v>
      </c>
      <c r="MM131" s="2061">
        <f t="shared" si="151"/>
        <v>0</v>
      </c>
      <c r="MN131" s="2061">
        <f t="shared" si="151"/>
        <v>0</v>
      </c>
      <c r="MO131" s="2061">
        <f t="shared" si="151"/>
        <v>0</v>
      </c>
      <c r="MP131" s="2061">
        <f t="shared" si="151"/>
        <v>0</v>
      </c>
      <c r="MQ131" s="2061">
        <f t="shared" si="151"/>
        <v>0</v>
      </c>
      <c r="MR131" s="2061">
        <f t="shared" si="151"/>
        <v>0</v>
      </c>
      <c r="MS131" s="2061">
        <f t="shared" si="151"/>
        <v>0</v>
      </c>
      <c r="MT131" s="2061">
        <f t="shared" si="151"/>
        <v>0</v>
      </c>
      <c r="MU131" s="2061">
        <f t="shared" si="151"/>
        <v>0</v>
      </c>
      <c r="MV131" s="2061">
        <f t="shared" si="151"/>
        <v>0</v>
      </c>
      <c r="MW131" s="2061">
        <f t="shared" si="151"/>
        <v>0</v>
      </c>
      <c r="MX131" s="2061">
        <f t="shared" si="151"/>
        <v>0</v>
      </c>
      <c r="MY131" s="2061" t="e">
        <f t="shared" si="151"/>
        <v>#DIV/0!</v>
      </c>
      <c r="MZ131" s="2061" t="e">
        <f t="shared" si="151"/>
        <v>#DIV/0!</v>
      </c>
      <c r="NA131" s="2061" t="e">
        <f t="shared" si="151"/>
        <v>#DIV/0!</v>
      </c>
      <c r="NB131" s="2061" t="e">
        <f t="shared" si="151"/>
        <v>#DIV/0!</v>
      </c>
      <c r="NC131" s="2061" t="e">
        <f t="shared" si="151"/>
        <v>#DIV/0!</v>
      </c>
      <c r="ND131" s="2061" t="e">
        <f t="shared" si="151"/>
        <v>#DIV/0!</v>
      </c>
      <c r="NE131" s="2061" t="e">
        <f t="shared" si="151"/>
        <v>#DIV/0!</v>
      </c>
      <c r="NF131" s="2061" t="e">
        <f t="shared" si="151"/>
        <v>#DIV/0!</v>
      </c>
      <c r="NG131" s="2061" t="e">
        <f t="shared" si="151"/>
        <v>#DIV/0!</v>
      </c>
      <c r="NH131" s="2061" t="e">
        <f t="shared" si="151"/>
        <v>#DIV/0!</v>
      </c>
      <c r="NI131" s="2061" t="e">
        <f t="shared" si="151"/>
        <v>#DIV/0!</v>
      </c>
      <c r="NJ131" s="2061" t="e">
        <f t="shared" si="151"/>
        <v>#DIV/0!</v>
      </c>
      <c r="NK131" s="2061" t="e">
        <f t="shared" si="151"/>
        <v>#DIV/0!</v>
      </c>
      <c r="NL131" s="2061" t="e">
        <f t="shared" si="151"/>
        <v>#DIV/0!</v>
      </c>
      <c r="NM131" s="2061" t="e">
        <f t="shared" si="151"/>
        <v>#DIV/0!</v>
      </c>
      <c r="NN131" s="2061" t="e">
        <f t="shared" si="151"/>
        <v>#DIV/0!</v>
      </c>
      <c r="NO131" s="2061" t="e">
        <f t="shared" si="151"/>
        <v>#DIV/0!</v>
      </c>
      <c r="NP131" s="2061">
        <f t="shared" si="151"/>
        <v>0</v>
      </c>
      <c r="NQ131" s="2061">
        <f t="shared" si="151"/>
        <v>0</v>
      </c>
      <c r="NR131" s="2061">
        <f t="shared" si="151"/>
        <v>0</v>
      </c>
      <c r="NS131" s="2061">
        <f t="shared" si="151"/>
        <v>0</v>
      </c>
      <c r="NT131" s="2061">
        <f t="shared" si="151"/>
        <v>0</v>
      </c>
      <c r="NU131" s="2061">
        <f t="shared" si="151"/>
        <v>0</v>
      </c>
      <c r="NV131" s="2061">
        <f t="shared" si="151"/>
        <v>0</v>
      </c>
      <c r="NW131" s="2061">
        <f t="shared" si="151"/>
        <v>0</v>
      </c>
      <c r="NX131" s="2061">
        <f t="shared" si="151"/>
        <v>0</v>
      </c>
      <c r="NY131" s="2061">
        <f t="shared" si="151"/>
        <v>0</v>
      </c>
      <c r="NZ131" s="2061">
        <f t="shared" si="151"/>
        <v>0</v>
      </c>
      <c r="OA131" s="2061">
        <f t="shared" ref="OA131:QL131" si="152">SUM(OA120:OA130)</f>
        <v>0</v>
      </c>
      <c r="OB131" s="2061">
        <f t="shared" si="152"/>
        <v>0</v>
      </c>
      <c r="OC131" s="2061">
        <f t="shared" si="152"/>
        <v>0</v>
      </c>
      <c r="OD131" s="2061">
        <f t="shared" si="152"/>
        <v>0</v>
      </c>
      <c r="OE131" s="2061">
        <f t="shared" si="152"/>
        <v>0</v>
      </c>
      <c r="OF131" s="2061">
        <f t="shared" si="152"/>
        <v>0</v>
      </c>
      <c r="OG131" s="2061">
        <f t="shared" si="152"/>
        <v>0</v>
      </c>
      <c r="OH131" s="2061">
        <f t="shared" si="152"/>
        <v>0</v>
      </c>
      <c r="OI131" s="2061">
        <f t="shared" si="152"/>
        <v>0</v>
      </c>
      <c r="OJ131" s="2061">
        <f t="shared" si="152"/>
        <v>0</v>
      </c>
      <c r="OK131" s="2061">
        <f t="shared" si="152"/>
        <v>0</v>
      </c>
      <c r="OL131" s="2061">
        <f t="shared" si="152"/>
        <v>0</v>
      </c>
      <c r="OM131" s="2061">
        <f t="shared" si="152"/>
        <v>0</v>
      </c>
      <c r="ON131" s="2061">
        <f t="shared" si="152"/>
        <v>0</v>
      </c>
      <c r="OO131" s="2061">
        <f t="shared" si="152"/>
        <v>0</v>
      </c>
      <c r="OP131" s="2061">
        <f t="shared" si="152"/>
        <v>0</v>
      </c>
      <c r="OQ131" s="2061">
        <f t="shared" si="152"/>
        <v>0</v>
      </c>
      <c r="OR131" s="2061">
        <f t="shared" si="152"/>
        <v>0</v>
      </c>
      <c r="OS131" s="2061">
        <f t="shared" si="152"/>
        <v>0</v>
      </c>
      <c r="OT131" s="2061">
        <f t="shared" si="152"/>
        <v>0</v>
      </c>
      <c r="OU131" s="2061">
        <f t="shared" si="152"/>
        <v>0</v>
      </c>
      <c r="OV131" s="2061">
        <f t="shared" si="152"/>
        <v>0</v>
      </c>
      <c r="OW131" s="2061">
        <f t="shared" si="152"/>
        <v>0</v>
      </c>
      <c r="OX131" s="2061">
        <f t="shared" si="152"/>
        <v>0</v>
      </c>
      <c r="OY131" s="2061">
        <f t="shared" si="152"/>
        <v>0</v>
      </c>
      <c r="OZ131" s="2061">
        <f t="shared" si="152"/>
        <v>0</v>
      </c>
      <c r="PA131" s="2061">
        <f t="shared" si="152"/>
        <v>0</v>
      </c>
      <c r="PB131" s="2061">
        <f t="shared" si="152"/>
        <v>0</v>
      </c>
      <c r="PC131" s="2061">
        <f t="shared" si="152"/>
        <v>0</v>
      </c>
      <c r="PD131" s="2061">
        <f t="shared" si="152"/>
        <v>0</v>
      </c>
      <c r="PE131" s="2061">
        <f t="shared" si="152"/>
        <v>0</v>
      </c>
      <c r="PF131" s="2061">
        <f t="shared" si="152"/>
        <v>0</v>
      </c>
      <c r="PG131" s="2061">
        <f t="shared" si="152"/>
        <v>0</v>
      </c>
      <c r="PH131" s="2061">
        <f t="shared" si="152"/>
        <v>0</v>
      </c>
      <c r="PI131" s="2061">
        <f t="shared" si="152"/>
        <v>0</v>
      </c>
      <c r="PJ131" s="2061">
        <f t="shared" si="152"/>
        <v>0</v>
      </c>
      <c r="PK131" s="2061">
        <f t="shared" si="152"/>
        <v>0</v>
      </c>
      <c r="PL131" s="2061">
        <f t="shared" si="152"/>
        <v>0</v>
      </c>
      <c r="PM131" s="2061">
        <f t="shared" si="152"/>
        <v>0</v>
      </c>
      <c r="PN131" s="2061">
        <f t="shared" si="152"/>
        <v>0</v>
      </c>
      <c r="PO131" s="2061">
        <f t="shared" si="152"/>
        <v>0</v>
      </c>
      <c r="PP131" s="2061">
        <f t="shared" si="152"/>
        <v>0</v>
      </c>
      <c r="PQ131" s="2061">
        <f t="shared" si="152"/>
        <v>0</v>
      </c>
      <c r="PR131" s="2061">
        <f t="shared" si="152"/>
        <v>0</v>
      </c>
      <c r="PS131" s="2061">
        <f t="shared" si="152"/>
        <v>0</v>
      </c>
      <c r="PT131" s="2061">
        <f t="shared" si="152"/>
        <v>0</v>
      </c>
      <c r="PU131" s="2061">
        <f t="shared" si="152"/>
        <v>0</v>
      </c>
      <c r="PV131" s="2061">
        <f t="shared" si="152"/>
        <v>0</v>
      </c>
      <c r="PW131" s="2061">
        <f t="shared" si="152"/>
        <v>0</v>
      </c>
      <c r="PX131" s="2061">
        <f t="shared" si="152"/>
        <v>0</v>
      </c>
      <c r="PY131" s="2061">
        <f t="shared" si="152"/>
        <v>0</v>
      </c>
      <c r="PZ131" s="2061">
        <f t="shared" si="152"/>
        <v>0</v>
      </c>
      <c r="QA131" s="2061">
        <f t="shared" si="152"/>
        <v>0</v>
      </c>
      <c r="QB131" s="2061">
        <f t="shared" si="152"/>
        <v>0</v>
      </c>
      <c r="QC131" s="2061">
        <f t="shared" si="152"/>
        <v>0</v>
      </c>
      <c r="QD131" s="2061">
        <f t="shared" si="152"/>
        <v>0</v>
      </c>
      <c r="QE131" s="2061">
        <f t="shared" si="152"/>
        <v>0</v>
      </c>
      <c r="QF131" s="2061">
        <f t="shared" si="152"/>
        <v>0</v>
      </c>
      <c r="QG131" s="2061">
        <f t="shared" si="152"/>
        <v>0</v>
      </c>
      <c r="QH131" s="2061">
        <f t="shared" si="152"/>
        <v>0</v>
      </c>
      <c r="QI131" s="2061">
        <f t="shared" si="152"/>
        <v>0</v>
      </c>
      <c r="QJ131" s="2061">
        <f t="shared" si="152"/>
        <v>0</v>
      </c>
      <c r="QK131" s="2061">
        <f t="shared" si="152"/>
        <v>0</v>
      </c>
      <c r="QL131" s="2061">
        <f t="shared" si="152"/>
        <v>0</v>
      </c>
      <c r="QM131" s="2061">
        <f t="shared" ref="QM131:SX131" si="153">SUM(QM120:QM130)</f>
        <v>0</v>
      </c>
      <c r="QN131" s="2061">
        <f t="shared" si="153"/>
        <v>0</v>
      </c>
      <c r="QO131" s="2061">
        <f t="shared" si="153"/>
        <v>0</v>
      </c>
      <c r="QP131" s="2061">
        <f t="shared" si="153"/>
        <v>0</v>
      </c>
      <c r="QQ131" s="2061">
        <f t="shared" si="153"/>
        <v>0</v>
      </c>
      <c r="QR131" s="2061">
        <f t="shared" si="153"/>
        <v>0</v>
      </c>
      <c r="QS131" s="2061">
        <f t="shared" si="153"/>
        <v>0</v>
      </c>
      <c r="QT131" s="2061">
        <f t="shared" si="153"/>
        <v>0</v>
      </c>
      <c r="QU131" s="2061">
        <f t="shared" si="153"/>
        <v>0</v>
      </c>
      <c r="QV131" s="2061">
        <f t="shared" si="153"/>
        <v>0</v>
      </c>
      <c r="QW131" s="2061">
        <f t="shared" si="153"/>
        <v>0</v>
      </c>
      <c r="QX131" s="2061">
        <f t="shared" si="153"/>
        <v>0</v>
      </c>
      <c r="QY131" s="2061">
        <f t="shared" si="153"/>
        <v>0</v>
      </c>
      <c r="QZ131" s="2061">
        <f t="shared" si="153"/>
        <v>0</v>
      </c>
      <c r="RA131" s="2061">
        <f t="shared" si="153"/>
        <v>0</v>
      </c>
      <c r="RB131" s="2061">
        <f t="shared" si="153"/>
        <v>0</v>
      </c>
      <c r="RC131" s="2061">
        <f t="shared" si="153"/>
        <v>0</v>
      </c>
      <c r="RD131" s="2061">
        <f t="shared" si="153"/>
        <v>0</v>
      </c>
      <c r="RE131" s="2061">
        <f t="shared" si="153"/>
        <v>0</v>
      </c>
      <c r="RF131" s="2061">
        <f t="shared" si="153"/>
        <v>0</v>
      </c>
      <c r="RG131" s="2061">
        <f t="shared" si="153"/>
        <v>0</v>
      </c>
      <c r="RH131" s="2061">
        <f t="shared" si="153"/>
        <v>0</v>
      </c>
      <c r="RI131" s="2061">
        <f t="shared" si="153"/>
        <v>0</v>
      </c>
      <c r="RJ131" s="2061">
        <f t="shared" si="153"/>
        <v>0</v>
      </c>
      <c r="RK131" s="2061">
        <f t="shared" si="153"/>
        <v>0</v>
      </c>
      <c r="RL131" s="2061">
        <f t="shared" si="153"/>
        <v>0</v>
      </c>
      <c r="RM131" s="2061">
        <f t="shared" si="153"/>
        <v>0</v>
      </c>
      <c r="RN131" s="2061">
        <f t="shared" si="153"/>
        <v>0</v>
      </c>
      <c r="RO131" s="2061">
        <f t="shared" si="153"/>
        <v>0</v>
      </c>
      <c r="RP131" s="2061">
        <f t="shared" si="153"/>
        <v>0</v>
      </c>
      <c r="RQ131" s="2061">
        <f t="shared" si="153"/>
        <v>0</v>
      </c>
      <c r="RR131" s="2061">
        <f t="shared" si="153"/>
        <v>0</v>
      </c>
      <c r="RS131" s="2061">
        <f t="shared" si="153"/>
        <v>0</v>
      </c>
      <c r="RT131" s="2061">
        <f t="shared" si="153"/>
        <v>0</v>
      </c>
      <c r="RU131" s="2061">
        <f t="shared" si="153"/>
        <v>0</v>
      </c>
      <c r="RV131" s="2061">
        <f t="shared" si="153"/>
        <v>0</v>
      </c>
      <c r="RW131" s="2061">
        <f t="shared" si="153"/>
        <v>0</v>
      </c>
      <c r="RX131" s="2061">
        <f t="shared" si="153"/>
        <v>0</v>
      </c>
      <c r="RY131" s="2061">
        <f t="shared" si="153"/>
        <v>0</v>
      </c>
      <c r="RZ131" s="2061">
        <f t="shared" si="153"/>
        <v>0</v>
      </c>
      <c r="SA131" s="2061">
        <f t="shared" si="153"/>
        <v>0</v>
      </c>
      <c r="SB131" s="2061">
        <f t="shared" si="153"/>
        <v>0</v>
      </c>
      <c r="SC131" s="2061">
        <f t="shared" si="153"/>
        <v>0</v>
      </c>
      <c r="SD131" s="2061">
        <f t="shared" si="153"/>
        <v>0</v>
      </c>
      <c r="SE131" s="2061">
        <f t="shared" si="153"/>
        <v>0</v>
      </c>
      <c r="SF131" s="2061">
        <f t="shared" si="153"/>
        <v>0</v>
      </c>
      <c r="SG131" s="2061">
        <f t="shared" si="153"/>
        <v>0</v>
      </c>
      <c r="SH131" s="2061">
        <f t="shared" si="153"/>
        <v>0</v>
      </c>
      <c r="SI131" s="2061">
        <f t="shared" si="153"/>
        <v>0</v>
      </c>
      <c r="SJ131" s="2061">
        <f t="shared" si="153"/>
        <v>0</v>
      </c>
      <c r="SK131" s="2061">
        <f t="shared" si="153"/>
        <v>0</v>
      </c>
      <c r="SL131" s="2061">
        <f t="shared" si="153"/>
        <v>0</v>
      </c>
      <c r="SM131" s="2061">
        <f t="shared" si="153"/>
        <v>0</v>
      </c>
      <c r="SN131" s="2061">
        <f t="shared" si="153"/>
        <v>0</v>
      </c>
      <c r="SO131" s="2061">
        <f t="shared" si="153"/>
        <v>0</v>
      </c>
      <c r="SP131" s="2061">
        <f t="shared" si="153"/>
        <v>0</v>
      </c>
      <c r="SQ131" s="2061">
        <f t="shared" si="153"/>
        <v>0</v>
      </c>
      <c r="SR131" s="2061">
        <f t="shared" si="153"/>
        <v>0</v>
      </c>
      <c r="SS131" s="2061">
        <f t="shared" si="153"/>
        <v>0</v>
      </c>
      <c r="ST131" s="2061">
        <f t="shared" si="153"/>
        <v>0</v>
      </c>
      <c r="SU131" s="2061">
        <f t="shared" si="153"/>
        <v>0</v>
      </c>
      <c r="SV131" s="2061">
        <f t="shared" si="153"/>
        <v>0</v>
      </c>
      <c r="SW131" s="2061">
        <f t="shared" si="153"/>
        <v>0</v>
      </c>
      <c r="SX131" s="2061">
        <f t="shared" si="153"/>
        <v>0</v>
      </c>
      <c r="SY131" s="2061">
        <f t="shared" ref="SY131:VJ131" si="154">SUM(SY120:SY130)</f>
        <v>0</v>
      </c>
      <c r="SZ131" s="2061">
        <f t="shared" si="154"/>
        <v>0</v>
      </c>
      <c r="TA131" s="2061">
        <f t="shared" si="154"/>
        <v>0</v>
      </c>
      <c r="TB131" s="2061">
        <f t="shared" si="154"/>
        <v>0</v>
      </c>
      <c r="TC131" s="2061">
        <f t="shared" si="154"/>
        <v>0</v>
      </c>
      <c r="TD131" s="2061">
        <f t="shared" si="154"/>
        <v>0</v>
      </c>
      <c r="TE131" s="2061">
        <f t="shared" si="154"/>
        <v>0</v>
      </c>
      <c r="TF131" s="2061">
        <f t="shared" si="154"/>
        <v>0</v>
      </c>
      <c r="TG131" s="2061">
        <f t="shared" si="154"/>
        <v>0</v>
      </c>
      <c r="TH131" s="2061">
        <f t="shared" si="154"/>
        <v>0</v>
      </c>
      <c r="TI131" s="2061">
        <f t="shared" si="154"/>
        <v>0</v>
      </c>
      <c r="TJ131" s="2061">
        <f t="shared" si="154"/>
        <v>0</v>
      </c>
      <c r="TK131" s="2061">
        <f t="shared" si="154"/>
        <v>0</v>
      </c>
      <c r="TL131" s="2061">
        <f t="shared" si="154"/>
        <v>0</v>
      </c>
      <c r="TM131" s="2061">
        <f t="shared" si="154"/>
        <v>0</v>
      </c>
      <c r="TN131" s="2061">
        <f t="shared" si="154"/>
        <v>0</v>
      </c>
      <c r="TO131" s="2061">
        <f t="shared" si="154"/>
        <v>0</v>
      </c>
      <c r="TP131" s="2061">
        <f t="shared" si="154"/>
        <v>0</v>
      </c>
      <c r="TQ131" s="2061">
        <f t="shared" si="154"/>
        <v>0</v>
      </c>
      <c r="TR131" s="2061">
        <f t="shared" si="154"/>
        <v>0</v>
      </c>
      <c r="TS131" s="2061">
        <f t="shared" si="154"/>
        <v>0</v>
      </c>
      <c r="TT131" s="2061">
        <f t="shared" si="154"/>
        <v>0</v>
      </c>
      <c r="TU131" s="2061">
        <f t="shared" si="154"/>
        <v>0</v>
      </c>
      <c r="TV131" s="2061">
        <f t="shared" si="154"/>
        <v>0</v>
      </c>
      <c r="TW131" s="2061">
        <f t="shared" si="154"/>
        <v>0</v>
      </c>
      <c r="TX131" s="2061">
        <f t="shared" si="154"/>
        <v>0</v>
      </c>
      <c r="TY131" s="2061">
        <f t="shared" si="154"/>
        <v>0</v>
      </c>
      <c r="TZ131" s="2061">
        <f t="shared" si="154"/>
        <v>0</v>
      </c>
      <c r="UA131" s="2061">
        <f t="shared" si="154"/>
        <v>0</v>
      </c>
      <c r="UB131" s="2061">
        <f t="shared" si="154"/>
        <v>0</v>
      </c>
      <c r="UC131" s="2061">
        <f t="shared" si="154"/>
        <v>0</v>
      </c>
      <c r="UD131" s="2061">
        <f t="shared" si="154"/>
        <v>0</v>
      </c>
      <c r="UE131" s="2061">
        <f t="shared" si="154"/>
        <v>0</v>
      </c>
      <c r="UF131" s="2061">
        <f t="shared" si="154"/>
        <v>0</v>
      </c>
      <c r="UG131" s="2061">
        <f t="shared" si="154"/>
        <v>0</v>
      </c>
      <c r="UH131" s="2061">
        <f t="shared" si="154"/>
        <v>0</v>
      </c>
      <c r="UI131" s="2061">
        <f t="shared" si="154"/>
        <v>0</v>
      </c>
      <c r="UJ131" s="2061">
        <f t="shared" si="154"/>
        <v>0</v>
      </c>
      <c r="UK131" s="2061">
        <f t="shared" si="154"/>
        <v>0</v>
      </c>
      <c r="UL131" s="2061">
        <f t="shared" si="154"/>
        <v>0</v>
      </c>
      <c r="UM131" s="2061">
        <f t="shared" si="154"/>
        <v>0</v>
      </c>
      <c r="UN131" s="2061">
        <f t="shared" si="154"/>
        <v>0</v>
      </c>
      <c r="UO131" s="2061">
        <f t="shared" si="154"/>
        <v>0</v>
      </c>
      <c r="UP131" s="2061">
        <f t="shared" si="154"/>
        <v>0</v>
      </c>
      <c r="UQ131" s="2061">
        <f t="shared" si="154"/>
        <v>0</v>
      </c>
      <c r="UR131" s="2061">
        <f t="shared" si="154"/>
        <v>0</v>
      </c>
      <c r="US131" s="2061">
        <f t="shared" si="154"/>
        <v>0</v>
      </c>
      <c r="UT131" s="2061">
        <f t="shared" si="154"/>
        <v>0</v>
      </c>
      <c r="UU131" s="2061">
        <f t="shared" si="154"/>
        <v>0</v>
      </c>
      <c r="UV131" s="2061">
        <f t="shared" si="154"/>
        <v>0</v>
      </c>
      <c r="UW131" s="2061">
        <f t="shared" si="154"/>
        <v>0</v>
      </c>
      <c r="UX131" s="2061">
        <f t="shared" si="154"/>
        <v>0</v>
      </c>
      <c r="UY131" s="2061">
        <f t="shared" si="154"/>
        <v>0</v>
      </c>
      <c r="UZ131" s="2061">
        <f t="shared" si="154"/>
        <v>0</v>
      </c>
      <c r="VA131" s="2061">
        <f t="shared" si="154"/>
        <v>0</v>
      </c>
      <c r="VB131" s="2061">
        <f t="shared" si="154"/>
        <v>0</v>
      </c>
      <c r="VC131" s="2061">
        <f t="shared" si="154"/>
        <v>0</v>
      </c>
      <c r="VD131" s="2061">
        <f t="shared" si="154"/>
        <v>0</v>
      </c>
      <c r="VE131" s="2061">
        <f t="shared" si="154"/>
        <v>0</v>
      </c>
      <c r="VF131" s="2061">
        <f t="shared" si="154"/>
        <v>0</v>
      </c>
      <c r="VG131" s="2061">
        <f t="shared" si="154"/>
        <v>0</v>
      </c>
      <c r="VH131" s="2061">
        <f t="shared" si="154"/>
        <v>0</v>
      </c>
      <c r="VI131" s="2061">
        <f t="shared" si="154"/>
        <v>0</v>
      </c>
      <c r="VJ131" s="2061">
        <f t="shared" si="154"/>
        <v>0</v>
      </c>
      <c r="VK131" s="2061">
        <f>SUM(VK120:VK130)</f>
        <v>0</v>
      </c>
    </row>
    <row r="132" spans="1:583" s="1296" customFormat="1" x14ac:dyDescent="0.25">
      <c r="B132" s="2080" t="s">
        <v>427</v>
      </c>
      <c r="C132" s="2081" t="s">
        <v>2945</v>
      </c>
      <c r="D132" s="2081" t="s">
        <v>427</v>
      </c>
      <c r="E132" s="2081" t="s">
        <v>2945</v>
      </c>
      <c r="F132" s="2082">
        <f>24*365*1</f>
        <v>8760</v>
      </c>
      <c r="G132" s="2082">
        <f t="shared" ref="G132:BR132" si="155">24*365*1</f>
        <v>8760</v>
      </c>
      <c r="H132" s="2082">
        <f t="shared" si="155"/>
        <v>8760</v>
      </c>
      <c r="I132" s="2082">
        <f t="shared" si="155"/>
        <v>8760</v>
      </c>
      <c r="J132" s="2082">
        <f t="shared" si="155"/>
        <v>8760</v>
      </c>
      <c r="K132" s="2082">
        <f t="shared" si="155"/>
        <v>8760</v>
      </c>
      <c r="L132" s="2082">
        <f t="shared" si="155"/>
        <v>8760</v>
      </c>
      <c r="M132" s="2082">
        <f t="shared" si="155"/>
        <v>8760</v>
      </c>
      <c r="N132" s="2082">
        <f t="shared" si="155"/>
        <v>8760</v>
      </c>
      <c r="O132" s="2082">
        <f t="shared" si="155"/>
        <v>8760</v>
      </c>
      <c r="P132" s="2082">
        <f t="shared" si="155"/>
        <v>8760</v>
      </c>
      <c r="Q132" s="2082">
        <f t="shared" si="155"/>
        <v>8760</v>
      </c>
      <c r="R132" s="2082">
        <f t="shared" si="155"/>
        <v>8760</v>
      </c>
      <c r="S132" s="2082">
        <f t="shared" si="155"/>
        <v>8760</v>
      </c>
      <c r="T132" s="2082">
        <f t="shared" si="155"/>
        <v>8760</v>
      </c>
      <c r="U132" s="2082">
        <f t="shared" si="155"/>
        <v>8760</v>
      </c>
      <c r="V132" s="2082">
        <f t="shared" si="155"/>
        <v>8760</v>
      </c>
      <c r="W132" s="2082">
        <f t="shared" si="155"/>
        <v>8760</v>
      </c>
      <c r="X132" s="2082">
        <f t="shared" si="155"/>
        <v>8760</v>
      </c>
      <c r="Y132" s="2082">
        <f t="shared" si="155"/>
        <v>8760</v>
      </c>
      <c r="Z132" s="2082">
        <f t="shared" si="155"/>
        <v>8760</v>
      </c>
      <c r="AA132" s="2082">
        <f t="shared" si="155"/>
        <v>8760</v>
      </c>
      <c r="AB132" s="2082">
        <f t="shared" si="155"/>
        <v>8760</v>
      </c>
      <c r="AC132" s="2082">
        <f t="shared" si="155"/>
        <v>8760</v>
      </c>
      <c r="AD132" s="2082">
        <f t="shared" si="155"/>
        <v>8760</v>
      </c>
      <c r="AE132" s="2082">
        <f t="shared" si="155"/>
        <v>8760</v>
      </c>
      <c r="AF132" s="2082">
        <f t="shared" si="155"/>
        <v>8760</v>
      </c>
      <c r="AG132" s="2082">
        <f t="shared" si="155"/>
        <v>8760</v>
      </c>
      <c r="AH132" s="2082">
        <f t="shared" si="155"/>
        <v>8760</v>
      </c>
      <c r="AI132" s="2082">
        <f t="shared" si="155"/>
        <v>8760</v>
      </c>
      <c r="AJ132" s="2082">
        <f t="shared" si="155"/>
        <v>8760</v>
      </c>
      <c r="AK132" s="2082">
        <f t="shared" si="155"/>
        <v>8760</v>
      </c>
      <c r="AL132" s="2082">
        <f t="shared" si="155"/>
        <v>8760</v>
      </c>
      <c r="AM132" s="2082">
        <f t="shared" si="155"/>
        <v>8760</v>
      </c>
      <c r="AN132" s="2082">
        <f t="shared" si="155"/>
        <v>8760</v>
      </c>
      <c r="AO132" s="2082">
        <f t="shared" si="155"/>
        <v>8760</v>
      </c>
      <c r="AP132" s="2082">
        <f t="shared" si="155"/>
        <v>8760</v>
      </c>
      <c r="AQ132" s="2082">
        <f t="shared" si="155"/>
        <v>8760</v>
      </c>
      <c r="AR132" s="2082">
        <f t="shared" si="155"/>
        <v>8760</v>
      </c>
      <c r="AS132" s="2082">
        <f t="shared" si="155"/>
        <v>8760</v>
      </c>
      <c r="AT132" s="2082">
        <f t="shared" si="155"/>
        <v>8760</v>
      </c>
      <c r="AU132" s="2082">
        <f t="shared" si="155"/>
        <v>8760</v>
      </c>
      <c r="AV132" s="2082">
        <f t="shared" si="155"/>
        <v>8760</v>
      </c>
      <c r="AW132" s="2082">
        <f t="shared" si="155"/>
        <v>8760</v>
      </c>
      <c r="AX132" s="2082">
        <f t="shared" si="155"/>
        <v>8760</v>
      </c>
      <c r="AY132" s="2082">
        <f t="shared" si="155"/>
        <v>8760</v>
      </c>
      <c r="AZ132" s="2082">
        <f t="shared" si="155"/>
        <v>8760</v>
      </c>
      <c r="BA132" s="2082">
        <f t="shared" si="155"/>
        <v>8760</v>
      </c>
      <c r="BB132" s="2082">
        <f t="shared" si="155"/>
        <v>8760</v>
      </c>
      <c r="BC132" s="2082">
        <f t="shared" si="155"/>
        <v>8760</v>
      </c>
      <c r="BD132" s="2082">
        <f t="shared" si="155"/>
        <v>8760</v>
      </c>
      <c r="BE132" s="2082">
        <f t="shared" si="155"/>
        <v>8760</v>
      </c>
      <c r="BF132" s="2082">
        <f t="shared" si="155"/>
        <v>8760</v>
      </c>
      <c r="BG132" s="2082">
        <f t="shared" si="155"/>
        <v>8760</v>
      </c>
      <c r="BH132" s="2082">
        <f t="shared" si="155"/>
        <v>8760</v>
      </c>
      <c r="BI132" s="2082">
        <f t="shared" si="155"/>
        <v>8760</v>
      </c>
      <c r="BJ132" s="2082">
        <f t="shared" si="155"/>
        <v>8760</v>
      </c>
      <c r="BK132" s="2082">
        <f t="shared" si="155"/>
        <v>8760</v>
      </c>
      <c r="BL132" s="2082">
        <f t="shared" si="155"/>
        <v>8760</v>
      </c>
      <c r="BM132" s="2082">
        <f t="shared" si="155"/>
        <v>8760</v>
      </c>
      <c r="BN132" s="2082">
        <f t="shared" si="155"/>
        <v>8760</v>
      </c>
      <c r="BO132" s="2082">
        <f t="shared" si="155"/>
        <v>8760</v>
      </c>
      <c r="BP132" s="2082">
        <f t="shared" si="155"/>
        <v>8760</v>
      </c>
      <c r="BQ132" s="2082">
        <f t="shared" si="155"/>
        <v>8760</v>
      </c>
      <c r="BR132" s="2082">
        <f t="shared" si="155"/>
        <v>8760</v>
      </c>
      <c r="BS132" s="2082">
        <f t="shared" ref="BS132:ED132" si="156">24*365*1</f>
        <v>8760</v>
      </c>
      <c r="BT132" s="2082">
        <f t="shared" si="156"/>
        <v>8760</v>
      </c>
      <c r="BU132" s="2082">
        <f t="shared" si="156"/>
        <v>8760</v>
      </c>
      <c r="BV132" s="2082">
        <f t="shared" si="156"/>
        <v>8760</v>
      </c>
      <c r="BW132" s="2082">
        <f t="shared" si="156"/>
        <v>8760</v>
      </c>
      <c r="BX132" s="2082">
        <f t="shared" si="156"/>
        <v>8760</v>
      </c>
      <c r="BY132" s="2082">
        <f t="shared" si="156"/>
        <v>8760</v>
      </c>
      <c r="BZ132" s="2082">
        <f t="shared" si="156"/>
        <v>8760</v>
      </c>
      <c r="CA132" s="2082">
        <f t="shared" si="156"/>
        <v>8760</v>
      </c>
      <c r="CB132" s="2082">
        <f t="shared" si="156"/>
        <v>8760</v>
      </c>
      <c r="CC132" s="2082">
        <f t="shared" si="156"/>
        <v>8760</v>
      </c>
      <c r="CD132" s="2082">
        <f t="shared" si="156"/>
        <v>8760</v>
      </c>
      <c r="CE132" s="2082">
        <f t="shared" si="156"/>
        <v>8760</v>
      </c>
      <c r="CF132" s="2082">
        <f t="shared" si="156"/>
        <v>8760</v>
      </c>
      <c r="CG132" s="2082">
        <f t="shared" si="156"/>
        <v>8760</v>
      </c>
      <c r="CH132" s="2082">
        <f t="shared" si="156"/>
        <v>8760</v>
      </c>
      <c r="CI132" s="2082">
        <f t="shared" si="156"/>
        <v>8760</v>
      </c>
      <c r="CJ132" s="2082">
        <f t="shared" si="156"/>
        <v>8760</v>
      </c>
      <c r="CK132" s="2082">
        <f t="shared" si="156"/>
        <v>8760</v>
      </c>
      <c r="CL132" s="2082">
        <f t="shared" si="156"/>
        <v>8760</v>
      </c>
      <c r="CM132" s="2082">
        <f t="shared" si="156"/>
        <v>8760</v>
      </c>
      <c r="CN132" s="2082">
        <f t="shared" si="156"/>
        <v>8760</v>
      </c>
      <c r="CO132" s="2082">
        <f t="shared" si="156"/>
        <v>8760</v>
      </c>
      <c r="CP132" s="2082">
        <f t="shared" si="156"/>
        <v>8760</v>
      </c>
      <c r="CQ132" s="2082">
        <f t="shared" si="156"/>
        <v>8760</v>
      </c>
      <c r="CR132" s="2082">
        <f t="shared" si="156"/>
        <v>8760</v>
      </c>
      <c r="CS132" s="2082">
        <f t="shared" si="156"/>
        <v>8760</v>
      </c>
      <c r="CT132" s="2082">
        <f t="shared" si="156"/>
        <v>8760</v>
      </c>
      <c r="CU132" s="2082">
        <f t="shared" si="156"/>
        <v>8760</v>
      </c>
      <c r="CV132" s="2082">
        <f t="shared" si="156"/>
        <v>8760</v>
      </c>
      <c r="CW132" s="2082">
        <f t="shared" si="156"/>
        <v>8760</v>
      </c>
      <c r="CX132" s="2082">
        <f t="shared" si="156"/>
        <v>8760</v>
      </c>
      <c r="CY132" s="2082">
        <f t="shared" si="156"/>
        <v>8760</v>
      </c>
      <c r="CZ132" s="2082">
        <f t="shared" si="156"/>
        <v>8760</v>
      </c>
      <c r="DA132" s="2082">
        <f t="shared" si="156"/>
        <v>8760</v>
      </c>
      <c r="DB132" s="2082">
        <f t="shared" si="156"/>
        <v>8760</v>
      </c>
      <c r="DC132" s="2082">
        <f t="shared" si="156"/>
        <v>8760</v>
      </c>
      <c r="DD132" s="2082">
        <f t="shared" si="156"/>
        <v>8760</v>
      </c>
      <c r="DE132" s="2082">
        <f t="shared" si="156"/>
        <v>8760</v>
      </c>
      <c r="DF132" s="2082">
        <f t="shared" si="156"/>
        <v>8760</v>
      </c>
      <c r="DG132" s="2082">
        <f t="shared" si="156"/>
        <v>8760</v>
      </c>
      <c r="DH132" s="2082">
        <f t="shared" si="156"/>
        <v>8760</v>
      </c>
      <c r="DI132" s="2082">
        <f t="shared" si="156"/>
        <v>8760</v>
      </c>
      <c r="DJ132" s="2082">
        <f t="shared" si="156"/>
        <v>8760</v>
      </c>
      <c r="DK132" s="2082">
        <f t="shared" si="156"/>
        <v>8760</v>
      </c>
      <c r="DL132" s="2082">
        <f t="shared" si="156"/>
        <v>8760</v>
      </c>
      <c r="DM132" s="2082">
        <f t="shared" si="156"/>
        <v>8760</v>
      </c>
      <c r="DN132" s="2082">
        <f t="shared" si="156"/>
        <v>8760</v>
      </c>
      <c r="DO132" s="2082">
        <f t="shared" si="156"/>
        <v>8760</v>
      </c>
      <c r="DP132" s="2082">
        <f t="shared" si="156"/>
        <v>8760</v>
      </c>
      <c r="DQ132" s="2082">
        <f t="shared" si="156"/>
        <v>8760</v>
      </c>
      <c r="DR132" s="2082">
        <f t="shared" si="156"/>
        <v>8760</v>
      </c>
      <c r="DS132" s="2082">
        <f t="shared" si="156"/>
        <v>8760</v>
      </c>
      <c r="DT132" s="2082">
        <f t="shared" si="156"/>
        <v>8760</v>
      </c>
      <c r="DU132" s="2082">
        <f t="shared" si="156"/>
        <v>8760</v>
      </c>
      <c r="DV132" s="2082">
        <f t="shared" si="156"/>
        <v>8760</v>
      </c>
      <c r="DW132" s="2082">
        <f t="shared" si="156"/>
        <v>8760</v>
      </c>
      <c r="DX132" s="2082">
        <f t="shared" si="156"/>
        <v>8760</v>
      </c>
      <c r="DY132" s="2082">
        <f t="shared" si="156"/>
        <v>8760</v>
      </c>
      <c r="DZ132" s="2082">
        <f t="shared" si="156"/>
        <v>8760</v>
      </c>
      <c r="EA132" s="2082">
        <f t="shared" si="156"/>
        <v>8760</v>
      </c>
      <c r="EB132" s="2082">
        <f t="shared" si="156"/>
        <v>8760</v>
      </c>
      <c r="EC132" s="2082">
        <f t="shared" si="156"/>
        <v>8760</v>
      </c>
      <c r="ED132" s="2082">
        <f t="shared" si="156"/>
        <v>8760</v>
      </c>
      <c r="EE132" s="2082">
        <f t="shared" ref="EE132:GP132" si="157">24*365*1</f>
        <v>8760</v>
      </c>
      <c r="EF132" s="2082">
        <f t="shared" si="157"/>
        <v>8760</v>
      </c>
      <c r="EG132" s="2082">
        <f t="shared" si="157"/>
        <v>8760</v>
      </c>
      <c r="EH132" s="2082">
        <f t="shared" si="157"/>
        <v>8760</v>
      </c>
      <c r="EI132" s="2082">
        <f t="shared" si="157"/>
        <v>8760</v>
      </c>
      <c r="EJ132" s="2082">
        <f t="shared" si="157"/>
        <v>8760</v>
      </c>
      <c r="EK132" s="2082">
        <f t="shared" si="157"/>
        <v>8760</v>
      </c>
      <c r="EL132" s="2082">
        <f t="shared" si="157"/>
        <v>8760</v>
      </c>
      <c r="EM132" s="2082">
        <f t="shared" si="157"/>
        <v>8760</v>
      </c>
      <c r="EN132" s="2082">
        <f t="shared" si="157"/>
        <v>8760</v>
      </c>
      <c r="EO132" s="2082">
        <f t="shared" si="157"/>
        <v>8760</v>
      </c>
      <c r="EP132" s="2082">
        <f t="shared" si="157"/>
        <v>8760</v>
      </c>
      <c r="EQ132" s="2082">
        <f t="shared" si="157"/>
        <v>8760</v>
      </c>
      <c r="ER132" s="2082">
        <f t="shared" si="157"/>
        <v>8760</v>
      </c>
      <c r="ES132" s="2082">
        <f t="shared" si="157"/>
        <v>8760</v>
      </c>
      <c r="ET132" s="2082">
        <f t="shared" si="157"/>
        <v>8760</v>
      </c>
      <c r="EU132" s="2082">
        <f t="shared" si="157"/>
        <v>8760</v>
      </c>
      <c r="EV132" s="2082">
        <f t="shared" si="157"/>
        <v>8760</v>
      </c>
      <c r="EW132" s="2082">
        <f t="shared" si="157"/>
        <v>8760</v>
      </c>
      <c r="EX132" s="2082">
        <f t="shared" si="157"/>
        <v>8760</v>
      </c>
      <c r="EY132" s="2082">
        <f t="shared" si="157"/>
        <v>8760</v>
      </c>
      <c r="EZ132" s="2082">
        <f t="shared" si="157"/>
        <v>8760</v>
      </c>
      <c r="FA132" s="2082">
        <f t="shared" si="157"/>
        <v>8760</v>
      </c>
      <c r="FB132" s="2082">
        <f t="shared" si="157"/>
        <v>8760</v>
      </c>
      <c r="FC132" s="2082">
        <f t="shared" si="157"/>
        <v>8760</v>
      </c>
      <c r="FD132" s="2082">
        <f t="shared" si="157"/>
        <v>8760</v>
      </c>
      <c r="FE132" s="2082">
        <f t="shared" si="157"/>
        <v>8760</v>
      </c>
      <c r="FF132" s="2082">
        <f t="shared" si="157"/>
        <v>8760</v>
      </c>
      <c r="FG132" s="2082">
        <f t="shared" si="157"/>
        <v>8760</v>
      </c>
      <c r="FH132" s="2082">
        <f t="shared" si="157"/>
        <v>8760</v>
      </c>
      <c r="FI132" s="2082">
        <f t="shared" si="157"/>
        <v>8760</v>
      </c>
      <c r="FJ132" s="2082">
        <f t="shared" si="157"/>
        <v>8760</v>
      </c>
      <c r="FK132" s="2082">
        <f t="shared" si="157"/>
        <v>8760</v>
      </c>
      <c r="FL132" s="2082">
        <f t="shared" si="157"/>
        <v>8760</v>
      </c>
      <c r="FM132" s="2082">
        <f t="shared" si="157"/>
        <v>8760</v>
      </c>
      <c r="FN132" s="2082">
        <f t="shared" si="157"/>
        <v>8760</v>
      </c>
      <c r="FO132" s="2082">
        <f t="shared" si="157"/>
        <v>8760</v>
      </c>
      <c r="FP132" s="2082">
        <f t="shared" si="157"/>
        <v>8760</v>
      </c>
      <c r="FQ132" s="2082">
        <f t="shared" si="157"/>
        <v>8760</v>
      </c>
      <c r="FR132" s="2082">
        <f t="shared" si="157"/>
        <v>8760</v>
      </c>
      <c r="FS132" s="2082">
        <f t="shared" si="157"/>
        <v>8760</v>
      </c>
      <c r="FT132" s="2082">
        <f t="shared" si="157"/>
        <v>8760</v>
      </c>
      <c r="FU132" s="2082">
        <f t="shared" si="157"/>
        <v>8760</v>
      </c>
      <c r="FV132" s="2082">
        <f t="shared" si="157"/>
        <v>8760</v>
      </c>
      <c r="FW132" s="2082">
        <f t="shared" si="157"/>
        <v>8760</v>
      </c>
      <c r="FX132" s="2082">
        <f t="shared" si="157"/>
        <v>8760</v>
      </c>
      <c r="FY132" s="2082">
        <f t="shared" si="157"/>
        <v>8760</v>
      </c>
      <c r="FZ132" s="2082">
        <f t="shared" si="157"/>
        <v>8760</v>
      </c>
      <c r="GA132" s="2082">
        <f t="shared" si="157"/>
        <v>8760</v>
      </c>
      <c r="GB132" s="2082">
        <f t="shared" si="157"/>
        <v>8760</v>
      </c>
      <c r="GC132" s="2082">
        <f t="shared" si="157"/>
        <v>8760</v>
      </c>
      <c r="GD132" s="2082">
        <f t="shared" si="157"/>
        <v>8760</v>
      </c>
      <c r="GE132" s="2082">
        <f t="shared" si="157"/>
        <v>8760</v>
      </c>
      <c r="GF132" s="2082">
        <f t="shared" si="157"/>
        <v>8760</v>
      </c>
      <c r="GG132" s="2082">
        <f t="shared" si="157"/>
        <v>8760</v>
      </c>
      <c r="GH132" s="2082">
        <f t="shared" si="157"/>
        <v>8760</v>
      </c>
      <c r="GI132" s="2082">
        <f t="shared" si="157"/>
        <v>8760</v>
      </c>
      <c r="GJ132" s="2082">
        <f t="shared" si="157"/>
        <v>8760</v>
      </c>
      <c r="GK132" s="2082">
        <f t="shared" si="157"/>
        <v>8760</v>
      </c>
      <c r="GL132" s="2082">
        <f t="shared" si="157"/>
        <v>8760</v>
      </c>
      <c r="GM132" s="2082">
        <f t="shared" si="157"/>
        <v>8760</v>
      </c>
      <c r="GN132" s="2082">
        <f t="shared" si="157"/>
        <v>8760</v>
      </c>
      <c r="GO132" s="2082">
        <f t="shared" si="157"/>
        <v>8760</v>
      </c>
      <c r="GP132" s="2082">
        <f t="shared" si="157"/>
        <v>8760</v>
      </c>
      <c r="GQ132" s="2082">
        <f t="shared" ref="GQ132:JB132" si="158">24*365*1</f>
        <v>8760</v>
      </c>
      <c r="GR132" s="2082">
        <f t="shared" si="158"/>
        <v>8760</v>
      </c>
      <c r="GS132" s="2082">
        <f t="shared" si="158"/>
        <v>8760</v>
      </c>
      <c r="GT132" s="2082">
        <f t="shared" si="158"/>
        <v>8760</v>
      </c>
      <c r="GU132" s="2082">
        <f t="shared" si="158"/>
        <v>8760</v>
      </c>
      <c r="GV132" s="2082">
        <f t="shared" si="158"/>
        <v>8760</v>
      </c>
      <c r="GW132" s="2082">
        <f t="shared" si="158"/>
        <v>8760</v>
      </c>
      <c r="GX132" s="2082">
        <f t="shared" si="158"/>
        <v>8760</v>
      </c>
      <c r="GY132" s="2082">
        <f t="shared" si="158"/>
        <v>8760</v>
      </c>
      <c r="GZ132" s="2082">
        <f t="shared" si="158"/>
        <v>8760</v>
      </c>
      <c r="HA132" s="2082">
        <f t="shared" si="158"/>
        <v>8760</v>
      </c>
      <c r="HB132" s="2082">
        <f t="shared" si="158"/>
        <v>8760</v>
      </c>
      <c r="HC132" s="2082">
        <f t="shared" si="158"/>
        <v>8760</v>
      </c>
      <c r="HD132" s="2082">
        <f t="shared" si="158"/>
        <v>8760</v>
      </c>
      <c r="HE132" s="2082">
        <f t="shared" si="158"/>
        <v>8760</v>
      </c>
      <c r="HF132" s="2082">
        <f t="shared" si="158"/>
        <v>8760</v>
      </c>
      <c r="HG132" s="2082">
        <f t="shared" si="158"/>
        <v>8760</v>
      </c>
      <c r="HH132" s="2082">
        <f t="shared" si="158"/>
        <v>8760</v>
      </c>
      <c r="HI132" s="2082">
        <f t="shared" si="158"/>
        <v>8760</v>
      </c>
      <c r="HJ132" s="2082">
        <f t="shared" si="158"/>
        <v>8760</v>
      </c>
      <c r="HK132" s="2082">
        <f t="shared" si="158"/>
        <v>8760</v>
      </c>
      <c r="HL132" s="2082">
        <f t="shared" si="158"/>
        <v>8760</v>
      </c>
      <c r="HM132" s="2082">
        <f t="shared" si="158"/>
        <v>8760</v>
      </c>
      <c r="HN132" s="2082">
        <f t="shared" si="158"/>
        <v>8760</v>
      </c>
      <c r="HO132" s="2082">
        <f t="shared" si="158"/>
        <v>8760</v>
      </c>
      <c r="HP132" s="2082">
        <f t="shared" si="158"/>
        <v>8760</v>
      </c>
      <c r="HQ132" s="2082">
        <f t="shared" si="158"/>
        <v>8760</v>
      </c>
      <c r="HR132" s="2082">
        <f t="shared" si="158"/>
        <v>8760</v>
      </c>
      <c r="HS132" s="2082">
        <f t="shared" si="158"/>
        <v>8760</v>
      </c>
      <c r="HT132" s="2082">
        <f t="shared" si="158"/>
        <v>8760</v>
      </c>
      <c r="HU132" s="2082">
        <f t="shared" si="158"/>
        <v>8760</v>
      </c>
      <c r="HV132" s="2082">
        <f t="shared" si="158"/>
        <v>8760</v>
      </c>
      <c r="HW132" s="2082">
        <f t="shared" si="158"/>
        <v>8760</v>
      </c>
      <c r="HX132" s="2082">
        <f t="shared" si="158"/>
        <v>8760</v>
      </c>
      <c r="HY132" s="2082">
        <f t="shared" si="158"/>
        <v>8760</v>
      </c>
      <c r="HZ132" s="2082">
        <f t="shared" si="158"/>
        <v>8760</v>
      </c>
      <c r="IA132" s="2082">
        <f t="shared" si="158"/>
        <v>8760</v>
      </c>
      <c r="IB132" s="2082">
        <f t="shared" si="158"/>
        <v>8760</v>
      </c>
      <c r="IC132" s="2082">
        <f t="shared" si="158"/>
        <v>8760</v>
      </c>
      <c r="ID132" s="2082">
        <f t="shared" si="158"/>
        <v>8760</v>
      </c>
      <c r="IE132" s="2082">
        <f t="shared" si="158"/>
        <v>8760</v>
      </c>
      <c r="IF132" s="2082">
        <f t="shared" si="158"/>
        <v>8760</v>
      </c>
      <c r="IG132" s="2082">
        <f t="shared" si="158"/>
        <v>8760</v>
      </c>
      <c r="IH132" s="2082">
        <f t="shared" si="158"/>
        <v>8760</v>
      </c>
      <c r="II132" s="2082">
        <f t="shared" si="158"/>
        <v>8760</v>
      </c>
      <c r="IJ132" s="2082">
        <f t="shared" si="158"/>
        <v>8760</v>
      </c>
      <c r="IK132" s="2082">
        <f t="shared" si="158"/>
        <v>8760</v>
      </c>
      <c r="IL132" s="2082">
        <f t="shared" si="158"/>
        <v>8760</v>
      </c>
      <c r="IM132" s="2082">
        <f t="shared" si="158"/>
        <v>8760</v>
      </c>
      <c r="IN132" s="2082">
        <f t="shared" si="158"/>
        <v>8760</v>
      </c>
      <c r="IO132" s="2082">
        <f t="shared" si="158"/>
        <v>8760</v>
      </c>
      <c r="IP132" s="2082">
        <f t="shared" si="158"/>
        <v>8760</v>
      </c>
      <c r="IQ132" s="2082">
        <f t="shared" si="158"/>
        <v>8760</v>
      </c>
      <c r="IR132" s="2082">
        <f t="shared" si="158"/>
        <v>8760</v>
      </c>
      <c r="IS132" s="2082">
        <f t="shared" si="158"/>
        <v>8760</v>
      </c>
      <c r="IT132" s="2082">
        <f t="shared" si="158"/>
        <v>8760</v>
      </c>
      <c r="IU132" s="2082">
        <f t="shared" si="158"/>
        <v>8760</v>
      </c>
      <c r="IV132" s="2082">
        <f t="shared" si="158"/>
        <v>8760</v>
      </c>
      <c r="IW132" s="2082">
        <f t="shared" si="158"/>
        <v>8760</v>
      </c>
      <c r="IX132" s="2082">
        <f t="shared" si="158"/>
        <v>8760</v>
      </c>
      <c r="IY132" s="2082">
        <f t="shared" si="158"/>
        <v>8760</v>
      </c>
      <c r="IZ132" s="2082">
        <f t="shared" si="158"/>
        <v>8760</v>
      </c>
      <c r="JA132" s="2082">
        <f t="shared" si="158"/>
        <v>8760</v>
      </c>
      <c r="JB132" s="2082">
        <f t="shared" si="158"/>
        <v>8760</v>
      </c>
      <c r="JC132" s="2082">
        <f t="shared" ref="JC132:LN132" si="159">24*365*1</f>
        <v>8760</v>
      </c>
      <c r="JD132" s="2082">
        <f t="shared" si="159"/>
        <v>8760</v>
      </c>
      <c r="JE132" s="2082">
        <f t="shared" si="159"/>
        <v>8760</v>
      </c>
      <c r="JF132" s="2082">
        <f t="shared" si="159"/>
        <v>8760</v>
      </c>
      <c r="JG132" s="2082">
        <f t="shared" si="159"/>
        <v>8760</v>
      </c>
      <c r="JH132" s="2082">
        <f t="shared" si="159"/>
        <v>8760</v>
      </c>
      <c r="JI132" s="2082">
        <f t="shared" si="159"/>
        <v>8760</v>
      </c>
      <c r="JJ132" s="2082">
        <f t="shared" si="159"/>
        <v>8760</v>
      </c>
      <c r="JK132" s="2082">
        <f t="shared" si="159"/>
        <v>8760</v>
      </c>
      <c r="JL132" s="2082">
        <f t="shared" si="159"/>
        <v>8760</v>
      </c>
      <c r="JM132" s="2082">
        <f t="shared" si="159"/>
        <v>8760</v>
      </c>
      <c r="JN132" s="2082">
        <f t="shared" si="159"/>
        <v>8760</v>
      </c>
      <c r="JO132" s="2082">
        <f t="shared" si="159"/>
        <v>8760</v>
      </c>
      <c r="JP132" s="2082">
        <f t="shared" si="159"/>
        <v>8760</v>
      </c>
      <c r="JQ132" s="2082">
        <f t="shared" si="159"/>
        <v>8760</v>
      </c>
      <c r="JR132" s="2082">
        <f t="shared" si="159"/>
        <v>8760</v>
      </c>
      <c r="JS132" s="2082">
        <f t="shared" si="159"/>
        <v>8760</v>
      </c>
      <c r="JT132" s="2082">
        <f t="shared" si="159"/>
        <v>8760</v>
      </c>
      <c r="JU132" s="2082">
        <f t="shared" si="159"/>
        <v>8760</v>
      </c>
      <c r="JV132" s="2082">
        <f t="shared" si="159"/>
        <v>8760</v>
      </c>
      <c r="JW132" s="2082">
        <f t="shared" si="159"/>
        <v>8760</v>
      </c>
      <c r="JX132" s="2082">
        <f t="shared" si="159"/>
        <v>8760</v>
      </c>
      <c r="JY132" s="2082">
        <f t="shared" si="159"/>
        <v>8760</v>
      </c>
      <c r="JZ132" s="2082">
        <f t="shared" si="159"/>
        <v>8760</v>
      </c>
      <c r="KA132" s="2082">
        <f t="shared" si="159"/>
        <v>8760</v>
      </c>
      <c r="KB132" s="2082">
        <f t="shared" si="159"/>
        <v>8760</v>
      </c>
      <c r="KC132" s="2082">
        <f t="shared" si="159"/>
        <v>8760</v>
      </c>
      <c r="KD132" s="2082">
        <f t="shared" si="159"/>
        <v>8760</v>
      </c>
      <c r="KE132" s="2082">
        <f t="shared" si="159"/>
        <v>8760</v>
      </c>
      <c r="KF132" s="2082">
        <f t="shared" si="159"/>
        <v>8760</v>
      </c>
      <c r="KG132" s="2082">
        <f t="shared" si="159"/>
        <v>8760</v>
      </c>
      <c r="KH132" s="2082">
        <f t="shared" si="159"/>
        <v>8760</v>
      </c>
      <c r="KI132" s="2082">
        <f t="shared" si="159"/>
        <v>8760</v>
      </c>
      <c r="KJ132" s="2082">
        <f t="shared" si="159"/>
        <v>8760</v>
      </c>
      <c r="KK132" s="2082">
        <f t="shared" si="159"/>
        <v>8760</v>
      </c>
      <c r="KL132" s="2082">
        <f t="shared" si="159"/>
        <v>8760</v>
      </c>
      <c r="KM132" s="2082">
        <f t="shared" si="159"/>
        <v>8760</v>
      </c>
      <c r="KN132" s="2082">
        <f t="shared" si="159"/>
        <v>8760</v>
      </c>
      <c r="KO132" s="2082">
        <f t="shared" si="159"/>
        <v>8760</v>
      </c>
      <c r="KP132" s="2082">
        <f t="shared" si="159"/>
        <v>8760</v>
      </c>
      <c r="KQ132" s="2082">
        <f t="shared" si="159"/>
        <v>8760</v>
      </c>
      <c r="KR132" s="2082">
        <f t="shared" si="159"/>
        <v>8760</v>
      </c>
      <c r="KS132" s="2082">
        <f t="shared" si="159"/>
        <v>8760</v>
      </c>
      <c r="KT132" s="2082">
        <f t="shared" si="159"/>
        <v>8760</v>
      </c>
      <c r="KU132" s="2082">
        <f t="shared" si="159"/>
        <v>8760</v>
      </c>
      <c r="KV132" s="2082">
        <f t="shared" si="159"/>
        <v>8760</v>
      </c>
      <c r="KW132" s="2082">
        <f t="shared" si="159"/>
        <v>8760</v>
      </c>
      <c r="KX132" s="2082">
        <f t="shared" si="159"/>
        <v>8760</v>
      </c>
      <c r="KY132" s="2082">
        <f t="shared" si="159"/>
        <v>8760</v>
      </c>
      <c r="KZ132" s="2082">
        <f t="shared" si="159"/>
        <v>8760</v>
      </c>
      <c r="LA132" s="2082">
        <f t="shared" si="159"/>
        <v>8760</v>
      </c>
      <c r="LB132" s="2082">
        <f t="shared" si="159"/>
        <v>8760</v>
      </c>
      <c r="LC132" s="2082">
        <f t="shared" si="159"/>
        <v>8760</v>
      </c>
      <c r="LD132" s="2082">
        <f t="shared" si="159"/>
        <v>8760</v>
      </c>
      <c r="LE132" s="2082">
        <f t="shared" si="159"/>
        <v>8760</v>
      </c>
      <c r="LF132" s="2082">
        <f t="shared" si="159"/>
        <v>8760</v>
      </c>
      <c r="LG132" s="2082">
        <f t="shared" si="159"/>
        <v>8760</v>
      </c>
      <c r="LH132" s="2082">
        <f t="shared" si="159"/>
        <v>8760</v>
      </c>
      <c r="LI132" s="2082">
        <f t="shared" si="159"/>
        <v>8760</v>
      </c>
      <c r="LJ132" s="2082">
        <f t="shared" si="159"/>
        <v>8760</v>
      </c>
      <c r="LK132" s="2082">
        <f t="shared" si="159"/>
        <v>8760</v>
      </c>
      <c r="LL132" s="2082">
        <f t="shared" si="159"/>
        <v>8760</v>
      </c>
      <c r="LM132" s="2082">
        <f t="shared" si="159"/>
        <v>8760</v>
      </c>
      <c r="LN132" s="2082">
        <f t="shared" si="159"/>
        <v>8760</v>
      </c>
      <c r="LO132" s="2082">
        <f t="shared" ref="LO132:NZ132" si="160">24*365*1</f>
        <v>8760</v>
      </c>
      <c r="LP132" s="2082">
        <f t="shared" si="160"/>
        <v>8760</v>
      </c>
      <c r="LQ132" s="2082">
        <f t="shared" si="160"/>
        <v>8760</v>
      </c>
      <c r="LR132" s="2082">
        <f t="shared" si="160"/>
        <v>8760</v>
      </c>
      <c r="LS132" s="2082">
        <f t="shared" si="160"/>
        <v>8760</v>
      </c>
      <c r="LT132" s="2082">
        <f t="shared" si="160"/>
        <v>8760</v>
      </c>
      <c r="LU132" s="2082">
        <f t="shared" si="160"/>
        <v>8760</v>
      </c>
      <c r="LV132" s="2082">
        <f t="shared" si="160"/>
        <v>8760</v>
      </c>
      <c r="LW132" s="2082">
        <f t="shared" si="160"/>
        <v>8760</v>
      </c>
      <c r="LX132" s="2082">
        <f t="shared" si="160"/>
        <v>8760</v>
      </c>
      <c r="LY132" s="2082">
        <f t="shared" si="160"/>
        <v>8760</v>
      </c>
      <c r="LZ132" s="2082">
        <f t="shared" si="160"/>
        <v>8760</v>
      </c>
      <c r="MA132" s="2082">
        <f t="shared" si="160"/>
        <v>8760</v>
      </c>
      <c r="MB132" s="2082">
        <f t="shared" si="160"/>
        <v>8760</v>
      </c>
      <c r="MC132" s="2082">
        <f t="shared" si="160"/>
        <v>8760</v>
      </c>
      <c r="MD132" s="2082">
        <f t="shared" si="160"/>
        <v>8760</v>
      </c>
      <c r="ME132" s="2082">
        <f t="shared" si="160"/>
        <v>8760</v>
      </c>
      <c r="MF132" s="2082">
        <f t="shared" si="160"/>
        <v>8760</v>
      </c>
      <c r="MG132" s="2082">
        <f t="shared" si="160"/>
        <v>8760</v>
      </c>
      <c r="MH132" s="2082">
        <f t="shared" si="160"/>
        <v>8760</v>
      </c>
      <c r="MI132" s="2082">
        <f t="shared" si="160"/>
        <v>8760</v>
      </c>
      <c r="MJ132" s="2082">
        <f t="shared" si="160"/>
        <v>8760</v>
      </c>
      <c r="MK132" s="2082">
        <f t="shared" si="160"/>
        <v>8760</v>
      </c>
      <c r="ML132" s="2082">
        <f t="shared" si="160"/>
        <v>8760</v>
      </c>
      <c r="MM132" s="2082">
        <f t="shared" si="160"/>
        <v>8760</v>
      </c>
      <c r="MN132" s="2082">
        <f t="shared" si="160"/>
        <v>8760</v>
      </c>
      <c r="MO132" s="2082">
        <f t="shared" si="160"/>
        <v>8760</v>
      </c>
      <c r="MP132" s="2082">
        <f t="shared" si="160"/>
        <v>8760</v>
      </c>
      <c r="MQ132" s="2082">
        <f t="shared" si="160"/>
        <v>8760</v>
      </c>
      <c r="MR132" s="2082">
        <f t="shared" si="160"/>
        <v>8760</v>
      </c>
      <c r="MS132" s="2082">
        <f t="shared" si="160"/>
        <v>8760</v>
      </c>
      <c r="MT132" s="2082">
        <f t="shared" si="160"/>
        <v>8760</v>
      </c>
      <c r="MU132" s="2082">
        <f t="shared" si="160"/>
        <v>8760</v>
      </c>
      <c r="MV132" s="2082">
        <f t="shared" si="160"/>
        <v>8760</v>
      </c>
      <c r="MW132" s="2082">
        <f t="shared" si="160"/>
        <v>8760</v>
      </c>
      <c r="MX132" s="2082">
        <f t="shared" si="160"/>
        <v>8760</v>
      </c>
      <c r="MY132" s="2082">
        <f t="shared" si="160"/>
        <v>8760</v>
      </c>
      <c r="MZ132" s="2082">
        <f t="shared" si="160"/>
        <v>8760</v>
      </c>
      <c r="NA132" s="2082">
        <f t="shared" si="160"/>
        <v>8760</v>
      </c>
      <c r="NB132" s="2082">
        <f t="shared" si="160"/>
        <v>8760</v>
      </c>
      <c r="NC132" s="2082">
        <f t="shared" si="160"/>
        <v>8760</v>
      </c>
      <c r="ND132" s="2082">
        <f t="shared" si="160"/>
        <v>8760</v>
      </c>
      <c r="NE132" s="2082">
        <f t="shared" si="160"/>
        <v>8760</v>
      </c>
      <c r="NF132" s="2082">
        <f t="shared" si="160"/>
        <v>8760</v>
      </c>
      <c r="NG132" s="2082">
        <f t="shared" si="160"/>
        <v>8760</v>
      </c>
      <c r="NH132" s="2082">
        <f t="shared" si="160"/>
        <v>8760</v>
      </c>
      <c r="NI132" s="2082">
        <f t="shared" si="160"/>
        <v>8760</v>
      </c>
      <c r="NJ132" s="2082">
        <f t="shared" si="160"/>
        <v>8760</v>
      </c>
      <c r="NK132" s="2082">
        <f t="shared" si="160"/>
        <v>8760</v>
      </c>
      <c r="NL132" s="2082">
        <f t="shared" si="160"/>
        <v>8760</v>
      </c>
      <c r="NM132" s="2082">
        <f t="shared" si="160"/>
        <v>8760</v>
      </c>
      <c r="NN132" s="2082">
        <f t="shared" si="160"/>
        <v>8760</v>
      </c>
      <c r="NO132" s="2082">
        <f t="shared" si="160"/>
        <v>8760</v>
      </c>
      <c r="NP132" s="2082">
        <f t="shared" si="160"/>
        <v>8760</v>
      </c>
      <c r="NQ132" s="2082">
        <f t="shared" si="160"/>
        <v>8760</v>
      </c>
      <c r="NR132" s="2082">
        <f t="shared" si="160"/>
        <v>8760</v>
      </c>
      <c r="NS132" s="2082">
        <f t="shared" si="160"/>
        <v>8760</v>
      </c>
      <c r="NT132" s="2082">
        <f t="shared" si="160"/>
        <v>8760</v>
      </c>
      <c r="NU132" s="2082">
        <f t="shared" si="160"/>
        <v>8760</v>
      </c>
      <c r="NV132" s="2082">
        <f t="shared" si="160"/>
        <v>8760</v>
      </c>
      <c r="NW132" s="2082">
        <f t="shared" si="160"/>
        <v>8760</v>
      </c>
      <c r="NX132" s="2082">
        <f t="shared" si="160"/>
        <v>8760</v>
      </c>
      <c r="NY132" s="2082">
        <f t="shared" si="160"/>
        <v>8760</v>
      </c>
      <c r="NZ132" s="2082">
        <f t="shared" si="160"/>
        <v>8760</v>
      </c>
      <c r="OA132" s="2082">
        <f t="shared" ref="OA132:QL132" si="161">24*365*1</f>
        <v>8760</v>
      </c>
      <c r="OB132" s="2082">
        <f t="shared" si="161"/>
        <v>8760</v>
      </c>
      <c r="OC132" s="2082">
        <f t="shared" si="161"/>
        <v>8760</v>
      </c>
      <c r="OD132" s="2082">
        <f t="shared" si="161"/>
        <v>8760</v>
      </c>
      <c r="OE132" s="2082">
        <f t="shared" si="161"/>
        <v>8760</v>
      </c>
      <c r="OF132" s="2082">
        <f t="shared" si="161"/>
        <v>8760</v>
      </c>
      <c r="OG132" s="2082">
        <f t="shared" si="161"/>
        <v>8760</v>
      </c>
      <c r="OH132" s="2082">
        <f t="shared" si="161"/>
        <v>8760</v>
      </c>
      <c r="OI132" s="2082">
        <f t="shared" si="161"/>
        <v>8760</v>
      </c>
      <c r="OJ132" s="2082">
        <f t="shared" si="161"/>
        <v>8760</v>
      </c>
      <c r="OK132" s="2082">
        <f t="shared" si="161"/>
        <v>8760</v>
      </c>
      <c r="OL132" s="2082">
        <f t="shared" si="161"/>
        <v>8760</v>
      </c>
      <c r="OM132" s="2082">
        <f t="shared" si="161"/>
        <v>8760</v>
      </c>
      <c r="ON132" s="2082">
        <f t="shared" si="161"/>
        <v>8760</v>
      </c>
      <c r="OO132" s="2082">
        <f t="shared" si="161"/>
        <v>8760</v>
      </c>
      <c r="OP132" s="2082">
        <f t="shared" si="161"/>
        <v>8760</v>
      </c>
      <c r="OQ132" s="2082">
        <f t="shared" si="161"/>
        <v>8760</v>
      </c>
      <c r="OR132" s="2082">
        <f t="shared" si="161"/>
        <v>8760</v>
      </c>
      <c r="OS132" s="2082">
        <f t="shared" si="161"/>
        <v>8760</v>
      </c>
      <c r="OT132" s="2082">
        <f t="shared" si="161"/>
        <v>8760</v>
      </c>
      <c r="OU132" s="2082">
        <f t="shared" si="161"/>
        <v>8760</v>
      </c>
      <c r="OV132" s="2082">
        <f t="shared" si="161"/>
        <v>8760</v>
      </c>
      <c r="OW132" s="2082">
        <f t="shared" si="161"/>
        <v>8760</v>
      </c>
      <c r="OX132" s="2082">
        <f t="shared" si="161"/>
        <v>8760</v>
      </c>
      <c r="OY132" s="2082">
        <f t="shared" si="161"/>
        <v>8760</v>
      </c>
      <c r="OZ132" s="2082">
        <f t="shared" si="161"/>
        <v>8760</v>
      </c>
      <c r="PA132" s="2082">
        <f t="shared" si="161"/>
        <v>8760</v>
      </c>
      <c r="PB132" s="2082">
        <f t="shared" si="161"/>
        <v>8760</v>
      </c>
      <c r="PC132" s="2082">
        <f t="shared" si="161"/>
        <v>8760</v>
      </c>
      <c r="PD132" s="2082">
        <f t="shared" si="161"/>
        <v>8760</v>
      </c>
      <c r="PE132" s="2082">
        <f t="shared" si="161"/>
        <v>8760</v>
      </c>
      <c r="PF132" s="2082">
        <f t="shared" si="161"/>
        <v>8760</v>
      </c>
      <c r="PG132" s="2082">
        <f t="shared" si="161"/>
        <v>8760</v>
      </c>
      <c r="PH132" s="2082">
        <f t="shared" si="161"/>
        <v>8760</v>
      </c>
      <c r="PI132" s="2082">
        <f t="shared" si="161"/>
        <v>8760</v>
      </c>
      <c r="PJ132" s="2082">
        <f t="shared" si="161"/>
        <v>8760</v>
      </c>
      <c r="PK132" s="2082">
        <f t="shared" si="161"/>
        <v>8760</v>
      </c>
      <c r="PL132" s="2082">
        <f t="shared" si="161"/>
        <v>8760</v>
      </c>
      <c r="PM132" s="2082">
        <f t="shared" si="161"/>
        <v>8760</v>
      </c>
      <c r="PN132" s="2082">
        <f t="shared" si="161"/>
        <v>8760</v>
      </c>
      <c r="PO132" s="2082">
        <f t="shared" si="161"/>
        <v>8760</v>
      </c>
      <c r="PP132" s="2082">
        <f t="shared" si="161"/>
        <v>8760</v>
      </c>
      <c r="PQ132" s="2082">
        <f t="shared" si="161"/>
        <v>8760</v>
      </c>
      <c r="PR132" s="2082">
        <f t="shared" si="161"/>
        <v>8760</v>
      </c>
      <c r="PS132" s="2082">
        <f t="shared" si="161"/>
        <v>8760</v>
      </c>
      <c r="PT132" s="2082">
        <f t="shared" si="161"/>
        <v>8760</v>
      </c>
      <c r="PU132" s="2082">
        <f t="shared" si="161"/>
        <v>8760</v>
      </c>
      <c r="PV132" s="2082">
        <f t="shared" si="161"/>
        <v>8760</v>
      </c>
      <c r="PW132" s="2082">
        <f t="shared" si="161"/>
        <v>8760</v>
      </c>
      <c r="PX132" s="2082">
        <f t="shared" si="161"/>
        <v>8760</v>
      </c>
      <c r="PY132" s="2082">
        <f t="shared" si="161"/>
        <v>8760</v>
      </c>
      <c r="PZ132" s="2082">
        <f t="shared" si="161"/>
        <v>8760</v>
      </c>
      <c r="QA132" s="2082">
        <f t="shared" si="161"/>
        <v>8760</v>
      </c>
      <c r="QB132" s="2082">
        <f t="shared" si="161"/>
        <v>8760</v>
      </c>
      <c r="QC132" s="2082">
        <f t="shared" si="161"/>
        <v>8760</v>
      </c>
      <c r="QD132" s="2082">
        <f t="shared" si="161"/>
        <v>8760</v>
      </c>
      <c r="QE132" s="2082">
        <f t="shared" si="161"/>
        <v>8760</v>
      </c>
      <c r="QF132" s="2082">
        <f t="shared" si="161"/>
        <v>8760</v>
      </c>
      <c r="QG132" s="2082">
        <f t="shared" si="161"/>
        <v>8760</v>
      </c>
      <c r="QH132" s="2082">
        <f t="shared" si="161"/>
        <v>8760</v>
      </c>
      <c r="QI132" s="2082">
        <f t="shared" si="161"/>
        <v>8760</v>
      </c>
      <c r="QJ132" s="2082">
        <f t="shared" si="161"/>
        <v>8760</v>
      </c>
      <c r="QK132" s="2082">
        <f t="shared" si="161"/>
        <v>8760</v>
      </c>
      <c r="QL132" s="2082">
        <f t="shared" si="161"/>
        <v>8760</v>
      </c>
      <c r="QM132" s="2082">
        <f t="shared" ref="QM132:SX132" si="162">24*365*1</f>
        <v>8760</v>
      </c>
      <c r="QN132" s="2082">
        <f t="shared" si="162"/>
        <v>8760</v>
      </c>
      <c r="QO132" s="2082">
        <f t="shared" si="162"/>
        <v>8760</v>
      </c>
      <c r="QP132" s="2082">
        <f t="shared" si="162"/>
        <v>8760</v>
      </c>
      <c r="QQ132" s="2082">
        <f t="shared" si="162"/>
        <v>8760</v>
      </c>
      <c r="QR132" s="2082">
        <f t="shared" si="162"/>
        <v>8760</v>
      </c>
      <c r="QS132" s="2082">
        <f t="shared" si="162"/>
        <v>8760</v>
      </c>
      <c r="QT132" s="2082">
        <f t="shared" si="162"/>
        <v>8760</v>
      </c>
      <c r="QU132" s="2082">
        <f t="shared" si="162"/>
        <v>8760</v>
      </c>
      <c r="QV132" s="2082">
        <f t="shared" si="162"/>
        <v>8760</v>
      </c>
      <c r="QW132" s="2082">
        <f t="shared" si="162"/>
        <v>8760</v>
      </c>
      <c r="QX132" s="2082">
        <f t="shared" si="162"/>
        <v>8760</v>
      </c>
      <c r="QY132" s="2082">
        <f t="shared" si="162"/>
        <v>8760</v>
      </c>
      <c r="QZ132" s="2082">
        <f t="shared" si="162"/>
        <v>8760</v>
      </c>
      <c r="RA132" s="2082">
        <f t="shared" si="162"/>
        <v>8760</v>
      </c>
      <c r="RB132" s="2082">
        <f t="shared" si="162"/>
        <v>8760</v>
      </c>
      <c r="RC132" s="2082">
        <f t="shared" si="162"/>
        <v>8760</v>
      </c>
      <c r="RD132" s="2082">
        <f t="shared" si="162"/>
        <v>8760</v>
      </c>
      <c r="RE132" s="2082">
        <f t="shared" si="162"/>
        <v>8760</v>
      </c>
      <c r="RF132" s="2082">
        <f t="shared" si="162"/>
        <v>8760</v>
      </c>
      <c r="RG132" s="2082">
        <f t="shared" si="162"/>
        <v>8760</v>
      </c>
      <c r="RH132" s="2082">
        <f t="shared" si="162"/>
        <v>8760</v>
      </c>
      <c r="RI132" s="2082">
        <f t="shared" si="162"/>
        <v>8760</v>
      </c>
      <c r="RJ132" s="2082">
        <f t="shared" si="162"/>
        <v>8760</v>
      </c>
      <c r="RK132" s="2082">
        <f t="shared" si="162"/>
        <v>8760</v>
      </c>
      <c r="RL132" s="2082">
        <f t="shared" si="162"/>
        <v>8760</v>
      </c>
      <c r="RM132" s="2082">
        <f t="shared" si="162"/>
        <v>8760</v>
      </c>
      <c r="RN132" s="2082">
        <f t="shared" si="162"/>
        <v>8760</v>
      </c>
      <c r="RO132" s="2082">
        <f t="shared" si="162"/>
        <v>8760</v>
      </c>
      <c r="RP132" s="2082">
        <f t="shared" si="162"/>
        <v>8760</v>
      </c>
      <c r="RQ132" s="2082">
        <f t="shared" si="162"/>
        <v>8760</v>
      </c>
      <c r="RR132" s="2082">
        <f t="shared" si="162"/>
        <v>8760</v>
      </c>
      <c r="RS132" s="2082">
        <f t="shared" si="162"/>
        <v>8760</v>
      </c>
      <c r="RT132" s="2082">
        <f t="shared" si="162"/>
        <v>8760</v>
      </c>
      <c r="RU132" s="2082">
        <f t="shared" si="162"/>
        <v>8760</v>
      </c>
      <c r="RV132" s="2082">
        <f t="shared" si="162"/>
        <v>8760</v>
      </c>
      <c r="RW132" s="2082">
        <f t="shared" si="162"/>
        <v>8760</v>
      </c>
      <c r="RX132" s="2082">
        <f t="shared" si="162"/>
        <v>8760</v>
      </c>
      <c r="RY132" s="2082">
        <f t="shared" si="162"/>
        <v>8760</v>
      </c>
      <c r="RZ132" s="2082">
        <f t="shared" si="162"/>
        <v>8760</v>
      </c>
      <c r="SA132" s="2082">
        <f t="shared" si="162"/>
        <v>8760</v>
      </c>
      <c r="SB132" s="2082">
        <f t="shared" si="162"/>
        <v>8760</v>
      </c>
      <c r="SC132" s="2082">
        <f t="shared" si="162"/>
        <v>8760</v>
      </c>
      <c r="SD132" s="2082">
        <f t="shared" si="162"/>
        <v>8760</v>
      </c>
      <c r="SE132" s="2082">
        <f t="shared" si="162"/>
        <v>8760</v>
      </c>
      <c r="SF132" s="2082">
        <f t="shared" si="162"/>
        <v>8760</v>
      </c>
      <c r="SG132" s="2082">
        <f t="shared" si="162"/>
        <v>8760</v>
      </c>
      <c r="SH132" s="2082">
        <f t="shared" si="162"/>
        <v>8760</v>
      </c>
      <c r="SI132" s="2082">
        <f t="shared" si="162"/>
        <v>8760</v>
      </c>
      <c r="SJ132" s="2082">
        <f t="shared" si="162"/>
        <v>8760</v>
      </c>
      <c r="SK132" s="2082">
        <f t="shared" si="162"/>
        <v>8760</v>
      </c>
      <c r="SL132" s="2082">
        <f t="shared" si="162"/>
        <v>8760</v>
      </c>
      <c r="SM132" s="2082">
        <f t="shared" si="162"/>
        <v>8760</v>
      </c>
      <c r="SN132" s="2082">
        <f t="shared" si="162"/>
        <v>8760</v>
      </c>
      <c r="SO132" s="2082">
        <f t="shared" si="162"/>
        <v>8760</v>
      </c>
      <c r="SP132" s="2082">
        <f t="shared" si="162"/>
        <v>8760</v>
      </c>
      <c r="SQ132" s="2082">
        <f t="shared" si="162"/>
        <v>8760</v>
      </c>
      <c r="SR132" s="2082">
        <f t="shared" si="162"/>
        <v>8760</v>
      </c>
      <c r="SS132" s="2082">
        <f t="shared" si="162"/>
        <v>8760</v>
      </c>
      <c r="ST132" s="2082">
        <f t="shared" si="162"/>
        <v>8760</v>
      </c>
      <c r="SU132" s="2082">
        <f t="shared" si="162"/>
        <v>8760</v>
      </c>
      <c r="SV132" s="2082">
        <f t="shared" si="162"/>
        <v>8760</v>
      </c>
      <c r="SW132" s="2082">
        <f t="shared" si="162"/>
        <v>8760</v>
      </c>
      <c r="SX132" s="2082">
        <f t="shared" si="162"/>
        <v>8760</v>
      </c>
      <c r="SY132" s="2082">
        <f t="shared" ref="SY132:VJ132" si="163">24*365*1</f>
        <v>8760</v>
      </c>
      <c r="SZ132" s="2082">
        <f t="shared" si="163"/>
        <v>8760</v>
      </c>
      <c r="TA132" s="2082">
        <f t="shared" si="163"/>
        <v>8760</v>
      </c>
      <c r="TB132" s="2082">
        <f t="shared" si="163"/>
        <v>8760</v>
      </c>
      <c r="TC132" s="2082">
        <f t="shared" si="163"/>
        <v>8760</v>
      </c>
      <c r="TD132" s="2082">
        <f t="shared" si="163"/>
        <v>8760</v>
      </c>
      <c r="TE132" s="2082">
        <f t="shared" si="163"/>
        <v>8760</v>
      </c>
      <c r="TF132" s="2082">
        <f t="shared" si="163"/>
        <v>8760</v>
      </c>
      <c r="TG132" s="2082">
        <f t="shared" si="163"/>
        <v>8760</v>
      </c>
      <c r="TH132" s="2082">
        <f t="shared" si="163"/>
        <v>8760</v>
      </c>
      <c r="TI132" s="2082">
        <f t="shared" si="163"/>
        <v>8760</v>
      </c>
      <c r="TJ132" s="2082">
        <f t="shared" si="163"/>
        <v>8760</v>
      </c>
      <c r="TK132" s="2082">
        <f t="shared" si="163"/>
        <v>8760</v>
      </c>
      <c r="TL132" s="2082">
        <f t="shared" si="163"/>
        <v>8760</v>
      </c>
      <c r="TM132" s="2082">
        <f t="shared" si="163"/>
        <v>8760</v>
      </c>
      <c r="TN132" s="2082">
        <f t="shared" si="163"/>
        <v>8760</v>
      </c>
      <c r="TO132" s="2082">
        <f t="shared" si="163"/>
        <v>8760</v>
      </c>
      <c r="TP132" s="2082">
        <f t="shared" si="163"/>
        <v>8760</v>
      </c>
      <c r="TQ132" s="2082">
        <f t="shared" si="163"/>
        <v>8760</v>
      </c>
      <c r="TR132" s="2082">
        <f t="shared" si="163"/>
        <v>8760</v>
      </c>
      <c r="TS132" s="2082">
        <f t="shared" si="163"/>
        <v>8760</v>
      </c>
      <c r="TT132" s="2082">
        <f t="shared" si="163"/>
        <v>8760</v>
      </c>
      <c r="TU132" s="2082">
        <f t="shared" si="163"/>
        <v>8760</v>
      </c>
      <c r="TV132" s="2082">
        <f t="shared" si="163"/>
        <v>8760</v>
      </c>
      <c r="TW132" s="2082">
        <f t="shared" si="163"/>
        <v>8760</v>
      </c>
      <c r="TX132" s="2082">
        <f t="shared" si="163"/>
        <v>8760</v>
      </c>
      <c r="TY132" s="2082">
        <f t="shared" si="163"/>
        <v>8760</v>
      </c>
      <c r="TZ132" s="2082">
        <f t="shared" si="163"/>
        <v>8760</v>
      </c>
      <c r="UA132" s="2082">
        <f t="shared" si="163"/>
        <v>8760</v>
      </c>
      <c r="UB132" s="2082">
        <f t="shared" si="163"/>
        <v>8760</v>
      </c>
      <c r="UC132" s="2082">
        <f t="shared" si="163"/>
        <v>8760</v>
      </c>
      <c r="UD132" s="2082">
        <f t="shared" si="163"/>
        <v>8760</v>
      </c>
      <c r="UE132" s="2082">
        <f t="shared" si="163"/>
        <v>8760</v>
      </c>
      <c r="UF132" s="2082">
        <f t="shared" si="163"/>
        <v>8760</v>
      </c>
      <c r="UG132" s="2082">
        <f t="shared" si="163"/>
        <v>8760</v>
      </c>
      <c r="UH132" s="2082">
        <f t="shared" si="163"/>
        <v>8760</v>
      </c>
      <c r="UI132" s="2082">
        <f t="shared" si="163"/>
        <v>8760</v>
      </c>
      <c r="UJ132" s="2082">
        <f t="shared" si="163"/>
        <v>8760</v>
      </c>
      <c r="UK132" s="2082">
        <f t="shared" si="163"/>
        <v>8760</v>
      </c>
      <c r="UL132" s="2082">
        <f t="shared" si="163"/>
        <v>8760</v>
      </c>
      <c r="UM132" s="2082">
        <f t="shared" si="163"/>
        <v>8760</v>
      </c>
      <c r="UN132" s="2082">
        <f t="shared" si="163"/>
        <v>8760</v>
      </c>
      <c r="UO132" s="2082">
        <f t="shared" si="163"/>
        <v>8760</v>
      </c>
      <c r="UP132" s="2082">
        <f t="shared" si="163"/>
        <v>8760</v>
      </c>
      <c r="UQ132" s="2082">
        <f t="shared" si="163"/>
        <v>8760</v>
      </c>
      <c r="UR132" s="2082">
        <f t="shared" si="163"/>
        <v>8760</v>
      </c>
      <c r="US132" s="2082">
        <f t="shared" si="163"/>
        <v>8760</v>
      </c>
      <c r="UT132" s="2082">
        <f t="shared" si="163"/>
        <v>8760</v>
      </c>
      <c r="UU132" s="2082">
        <f t="shared" si="163"/>
        <v>8760</v>
      </c>
      <c r="UV132" s="2082">
        <f t="shared" si="163"/>
        <v>8760</v>
      </c>
      <c r="UW132" s="2082">
        <f t="shared" si="163"/>
        <v>8760</v>
      </c>
      <c r="UX132" s="2082">
        <f t="shared" si="163"/>
        <v>8760</v>
      </c>
      <c r="UY132" s="2082">
        <f t="shared" si="163"/>
        <v>8760</v>
      </c>
      <c r="UZ132" s="2082">
        <f t="shared" si="163"/>
        <v>8760</v>
      </c>
      <c r="VA132" s="2082">
        <f t="shared" si="163"/>
        <v>8760</v>
      </c>
      <c r="VB132" s="2082">
        <f t="shared" si="163"/>
        <v>8760</v>
      </c>
      <c r="VC132" s="2082">
        <f t="shared" si="163"/>
        <v>8760</v>
      </c>
      <c r="VD132" s="2082">
        <f t="shared" si="163"/>
        <v>8760</v>
      </c>
      <c r="VE132" s="2082">
        <f t="shared" si="163"/>
        <v>8760</v>
      </c>
      <c r="VF132" s="2082">
        <f t="shared" si="163"/>
        <v>8760</v>
      </c>
      <c r="VG132" s="2082">
        <f t="shared" si="163"/>
        <v>8760</v>
      </c>
      <c r="VH132" s="2082">
        <f t="shared" si="163"/>
        <v>8760</v>
      </c>
      <c r="VI132" s="2082">
        <f t="shared" si="163"/>
        <v>8760</v>
      </c>
      <c r="VJ132" s="2082">
        <f t="shared" si="163"/>
        <v>8760</v>
      </c>
      <c r="VK132" s="2083">
        <f>24*365*1</f>
        <v>8760</v>
      </c>
    </row>
    <row r="133" spans="1:583" s="1296" customFormat="1" x14ac:dyDescent="0.25">
      <c r="B133" s="2084" t="s">
        <v>427</v>
      </c>
      <c r="C133" s="2085" t="s">
        <v>2946</v>
      </c>
      <c r="D133" s="2085" t="s">
        <v>427</v>
      </c>
      <c r="E133" s="2085" t="s">
        <v>2946</v>
      </c>
      <c r="F133" s="2086" t="e">
        <f>IF(F131&gt;F132,F131,IF(F132&gt;F131,F132))</f>
        <v>#DIV/0!</v>
      </c>
      <c r="G133" s="2086" t="e">
        <f t="shared" ref="G133:BR133" si="164">IF(G131&gt;G132,G131,IF(G132&gt;G131,G132))</f>
        <v>#DIV/0!</v>
      </c>
      <c r="H133" s="2086" t="e">
        <f t="shared" si="164"/>
        <v>#DIV/0!</v>
      </c>
      <c r="I133" s="2086" t="e">
        <f t="shared" si="164"/>
        <v>#DIV/0!</v>
      </c>
      <c r="J133" s="2086" t="e">
        <f t="shared" si="164"/>
        <v>#DIV/0!</v>
      </c>
      <c r="K133" s="2086" t="e">
        <f t="shared" si="164"/>
        <v>#DIV/0!</v>
      </c>
      <c r="L133" s="2086" t="e">
        <f t="shared" si="164"/>
        <v>#DIV/0!</v>
      </c>
      <c r="M133" s="2086" t="e">
        <f t="shared" si="164"/>
        <v>#DIV/0!</v>
      </c>
      <c r="N133" s="2086" t="e">
        <f t="shared" si="164"/>
        <v>#DIV/0!</v>
      </c>
      <c r="O133" s="2086" t="e">
        <f t="shared" si="164"/>
        <v>#DIV/0!</v>
      </c>
      <c r="P133" s="2086" t="e">
        <f t="shared" si="164"/>
        <v>#DIV/0!</v>
      </c>
      <c r="Q133" s="2086" t="e">
        <f t="shared" si="164"/>
        <v>#DIV/0!</v>
      </c>
      <c r="R133" s="2086" t="e">
        <f t="shared" si="164"/>
        <v>#DIV/0!</v>
      </c>
      <c r="S133" s="2086" t="e">
        <f t="shared" si="164"/>
        <v>#DIV/0!</v>
      </c>
      <c r="T133" s="2086" t="e">
        <f t="shared" si="164"/>
        <v>#DIV/0!</v>
      </c>
      <c r="U133" s="2086" t="e">
        <f t="shared" si="164"/>
        <v>#DIV/0!</v>
      </c>
      <c r="V133" s="2086" t="e">
        <f t="shared" si="164"/>
        <v>#DIV/0!</v>
      </c>
      <c r="W133" s="2086">
        <f t="shared" si="164"/>
        <v>8760</v>
      </c>
      <c r="X133" s="2086">
        <f t="shared" si="164"/>
        <v>8760</v>
      </c>
      <c r="Y133" s="2086">
        <f t="shared" si="164"/>
        <v>8760</v>
      </c>
      <c r="Z133" s="2086">
        <f t="shared" si="164"/>
        <v>8760</v>
      </c>
      <c r="AA133" s="2086">
        <f t="shared" si="164"/>
        <v>8760</v>
      </c>
      <c r="AB133" s="2086">
        <f t="shared" si="164"/>
        <v>8760</v>
      </c>
      <c r="AC133" s="2086">
        <f t="shared" si="164"/>
        <v>8760</v>
      </c>
      <c r="AD133" s="2086">
        <f t="shared" si="164"/>
        <v>8760</v>
      </c>
      <c r="AE133" s="2086">
        <f t="shared" si="164"/>
        <v>8760</v>
      </c>
      <c r="AF133" s="2086">
        <f t="shared" si="164"/>
        <v>8760</v>
      </c>
      <c r="AG133" s="2086">
        <f t="shared" si="164"/>
        <v>8760</v>
      </c>
      <c r="AH133" s="2086">
        <f t="shared" si="164"/>
        <v>8760</v>
      </c>
      <c r="AI133" s="2086">
        <f t="shared" si="164"/>
        <v>8760</v>
      </c>
      <c r="AJ133" s="2086">
        <f t="shared" si="164"/>
        <v>8760</v>
      </c>
      <c r="AK133" s="2086">
        <f t="shared" si="164"/>
        <v>8760</v>
      </c>
      <c r="AL133" s="2086">
        <f t="shared" si="164"/>
        <v>8760</v>
      </c>
      <c r="AM133" s="2086">
        <f t="shared" si="164"/>
        <v>8760</v>
      </c>
      <c r="AN133" s="2086" t="e">
        <f t="shared" si="164"/>
        <v>#DIV/0!</v>
      </c>
      <c r="AO133" s="2086" t="e">
        <f t="shared" si="164"/>
        <v>#DIV/0!</v>
      </c>
      <c r="AP133" s="2086" t="e">
        <f t="shared" si="164"/>
        <v>#DIV/0!</v>
      </c>
      <c r="AQ133" s="2086" t="e">
        <f t="shared" si="164"/>
        <v>#DIV/0!</v>
      </c>
      <c r="AR133" s="2086" t="e">
        <f t="shared" si="164"/>
        <v>#DIV/0!</v>
      </c>
      <c r="AS133" s="2086" t="e">
        <f t="shared" si="164"/>
        <v>#DIV/0!</v>
      </c>
      <c r="AT133" s="2086" t="e">
        <f t="shared" si="164"/>
        <v>#DIV/0!</v>
      </c>
      <c r="AU133" s="2086" t="e">
        <f t="shared" si="164"/>
        <v>#DIV/0!</v>
      </c>
      <c r="AV133" s="2086" t="e">
        <f t="shared" si="164"/>
        <v>#DIV/0!</v>
      </c>
      <c r="AW133" s="2086" t="e">
        <f t="shared" si="164"/>
        <v>#DIV/0!</v>
      </c>
      <c r="AX133" s="2086" t="e">
        <f t="shared" si="164"/>
        <v>#DIV/0!</v>
      </c>
      <c r="AY133" s="2086" t="e">
        <f t="shared" si="164"/>
        <v>#DIV/0!</v>
      </c>
      <c r="AZ133" s="2086" t="e">
        <f t="shared" si="164"/>
        <v>#DIV/0!</v>
      </c>
      <c r="BA133" s="2086" t="e">
        <f t="shared" si="164"/>
        <v>#DIV/0!</v>
      </c>
      <c r="BB133" s="2086" t="e">
        <f t="shared" si="164"/>
        <v>#DIV/0!</v>
      </c>
      <c r="BC133" s="2086" t="e">
        <f t="shared" si="164"/>
        <v>#DIV/0!</v>
      </c>
      <c r="BD133" s="2086" t="e">
        <f t="shared" si="164"/>
        <v>#DIV/0!</v>
      </c>
      <c r="BE133" s="2086">
        <f t="shared" si="164"/>
        <v>8760</v>
      </c>
      <c r="BF133" s="2086">
        <f t="shared" si="164"/>
        <v>8760</v>
      </c>
      <c r="BG133" s="2086">
        <f t="shared" si="164"/>
        <v>8760</v>
      </c>
      <c r="BH133" s="2086">
        <f t="shared" si="164"/>
        <v>8760</v>
      </c>
      <c r="BI133" s="2086">
        <f t="shared" si="164"/>
        <v>8760</v>
      </c>
      <c r="BJ133" s="2086">
        <f t="shared" si="164"/>
        <v>8760</v>
      </c>
      <c r="BK133" s="2086">
        <f t="shared" si="164"/>
        <v>8760</v>
      </c>
      <c r="BL133" s="2086">
        <f t="shared" si="164"/>
        <v>8760</v>
      </c>
      <c r="BM133" s="2086">
        <f t="shared" si="164"/>
        <v>8760</v>
      </c>
      <c r="BN133" s="2086">
        <f t="shared" si="164"/>
        <v>8760</v>
      </c>
      <c r="BO133" s="2086">
        <f t="shared" si="164"/>
        <v>8760</v>
      </c>
      <c r="BP133" s="2086">
        <f t="shared" si="164"/>
        <v>8760</v>
      </c>
      <c r="BQ133" s="2086">
        <f t="shared" si="164"/>
        <v>8760</v>
      </c>
      <c r="BR133" s="2086">
        <f t="shared" si="164"/>
        <v>8760</v>
      </c>
      <c r="BS133" s="2086">
        <f t="shared" ref="BS133:ED133" si="165">IF(BS131&gt;BS132,BS131,IF(BS132&gt;BS131,BS132))</f>
        <v>8760</v>
      </c>
      <c r="BT133" s="2086">
        <f t="shared" si="165"/>
        <v>8760</v>
      </c>
      <c r="BU133" s="2086">
        <f t="shared" si="165"/>
        <v>8760</v>
      </c>
      <c r="BV133" s="2086" t="e">
        <f t="shared" si="165"/>
        <v>#DIV/0!</v>
      </c>
      <c r="BW133" s="2086" t="e">
        <f t="shared" si="165"/>
        <v>#DIV/0!</v>
      </c>
      <c r="BX133" s="2086" t="e">
        <f t="shared" si="165"/>
        <v>#DIV/0!</v>
      </c>
      <c r="BY133" s="2086" t="e">
        <f t="shared" si="165"/>
        <v>#DIV/0!</v>
      </c>
      <c r="BZ133" s="2086" t="e">
        <f t="shared" si="165"/>
        <v>#DIV/0!</v>
      </c>
      <c r="CA133" s="2086" t="e">
        <f t="shared" si="165"/>
        <v>#DIV/0!</v>
      </c>
      <c r="CB133" s="2086" t="e">
        <f t="shared" si="165"/>
        <v>#DIV/0!</v>
      </c>
      <c r="CC133" s="2086" t="e">
        <f t="shared" si="165"/>
        <v>#DIV/0!</v>
      </c>
      <c r="CD133" s="2086" t="e">
        <f t="shared" si="165"/>
        <v>#DIV/0!</v>
      </c>
      <c r="CE133" s="2086" t="e">
        <f t="shared" si="165"/>
        <v>#DIV/0!</v>
      </c>
      <c r="CF133" s="2086" t="e">
        <f t="shared" si="165"/>
        <v>#DIV/0!</v>
      </c>
      <c r="CG133" s="2086" t="e">
        <f t="shared" si="165"/>
        <v>#DIV/0!</v>
      </c>
      <c r="CH133" s="2086" t="e">
        <f t="shared" si="165"/>
        <v>#DIV/0!</v>
      </c>
      <c r="CI133" s="2086" t="e">
        <f t="shared" si="165"/>
        <v>#DIV/0!</v>
      </c>
      <c r="CJ133" s="2086" t="e">
        <f t="shared" si="165"/>
        <v>#DIV/0!</v>
      </c>
      <c r="CK133" s="2086" t="e">
        <f t="shared" si="165"/>
        <v>#DIV/0!</v>
      </c>
      <c r="CL133" s="2086" t="e">
        <f t="shared" si="165"/>
        <v>#DIV/0!</v>
      </c>
      <c r="CM133" s="2086">
        <f t="shared" si="165"/>
        <v>8760</v>
      </c>
      <c r="CN133" s="2086">
        <f t="shared" si="165"/>
        <v>8760</v>
      </c>
      <c r="CO133" s="2086">
        <f t="shared" si="165"/>
        <v>8760</v>
      </c>
      <c r="CP133" s="2086">
        <f t="shared" si="165"/>
        <v>8760</v>
      </c>
      <c r="CQ133" s="2086">
        <f t="shared" si="165"/>
        <v>8760</v>
      </c>
      <c r="CR133" s="2086">
        <f t="shared" si="165"/>
        <v>8760</v>
      </c>
      <c r="CS133" s="2086">
        <f t="shared" si="165"/>
        <v>8760</v>
      </c>
      <c r="CT133" s="2086">
        <f t="shared" si="165"/>
        <v>8760</v>
      </c>
      <c r="CU133" s="2086">
        <f t="shared" si="165"/>
        <v>8760</v>
      </c>
      <c r="CV133" s="2086">
        <f t="shared" si="165"/>
        <v>8760</v>
      </c>
      <c r="CW133" s="2086">
        <f t="shared" si="165"/>
        <v>8760</v>
      </c>
      <c r="CX133" s="2086">
        <f t="shared" si="165"/>
        <v>8760</v>
      </c>
      <c r="CY133" s="2086">
        <f t="shared" si="165"/>
        <v>8760</v>
      </c>
      <c r="CZ133" s="2086">
        <f t="shared" si="165"/>
        <v>8760</v>
      </c>
      <c r="DA133" s="2086">
        <f t="shared" si="165"/>
        <v>8760</v>
      </c>
      <c r="DB133" s="2086">
        <f t="shared" si="165"/>
        <v>8760</v>
      </c>
      <c r="DC133" s="2086">
        <f t="shared" si="165"/>
        <v>8760</v>
      </c>
      <c r="DD133" s="2086">
        <f t="shared" si="165"/>
        <v>8760</v>
      </c>
      <c r="DE133" s="2086">
        <f t="shared" si="165"/>
        <v>8760</v>
      </c>
      <c r="DF133" s="2086">
        <f t="shared" si="165"/>
        <v>8760</v>
      </c>
      <c r="DG133" s="2086">
        <f t="shared" si="165"/>
        <v>8760</v>
      </c>
      <c r="DH133" s="2086">
        <f t="shared" si="165"/>
        <v>8760</v>
      </c>
      <c r="DI133" s="2086">
        <f t="shared" si="165"/>
        <v>8760</v>
      </c>
      <c r="DJ133" s="2086">
        <f t="shared" si="165"/>
        <v>8760</v>
      </c>
      <c r="DK133" s="2086">
        <f t="shared" si="165"/>
        <v>8760</v>
      </c>
      <c r="DL133" s="2086">
        <f t="shared" si="165"/>
        <v>8760</v>
      </c>
      <c r="DM133" s="2086">
        <f t="shared" si="165"/>
        <v>8760</v>
      </c>
      <c r="DN133" s="2086">
        <f t="shared" si="165"/>
        <v>8760</v>
      </c>
      <c r="DO133" s="2086">
        <f t="shared" si="165"/>
        <v>8760</v>
      </c>
      <c r="DP133" s="2086">
        <f t="shared" si="165"/>
        <v>8760</v>
      </c>
      <c r="DQ133" s="2086">
        <f t="shared" si="165"/>
        <v>8760</v>
      </c>
      <c r="DR133" s="2086">
        <f t="shared" si="165"/>
        <v>8760</v>
      </c>
      <c r="DS133" s="2086">
        <f t="shared" si="165"/>
        <v>8760</v>
      </c>
      <c r="DT133" s="2086">
        <f t="shared" si="165"/>
        <v>8760</v>
      </c>
      <c r="DU133" s="2086">
        <f t="shared" si="165"/>
        <v>8760</v>
      </c>
      <c r="DV133" s="2086">
        <f t="shared" si="165"/>
        <v>8760</v>
      </c>
      <c r="DW133" s="2086">
        <f t="shared" si="165"/>
        <v>8760</v>
      </c>
      <c r="DX133" s="2086">
        <f t="shared" si="165"/>
        <v>8760</v>
      </c>
      <c r="DY133" s="2086">
        <f t="shared" si="165"/>
        <v>8760</v>
      </c>
      <c r="DZ133" s="2086">
        <f t="shared" si="165"/>
        <v>8760</v>
      </c>
      <c r="EA133" s="2086">
        <f t="shared" si="165"/>
        <v>8760</v>
      </c>
      <c r="EB133" s="2086">
        <f t="shared" si="165"/>
        <v>8760</v>
      </c>
      <c r="EC133" s="2086">
        <f t="shared" si="165"/>
        <v>8760</v>
      </c>
      <c r="ED133" s="2086">
        <f t="shared" si="165"/>
        <v>8760</v>
      </c>
      <c r="EE133" s="2086">
        <f t="shared" ref="EE133:GP133" si="166">IF(EE131&gt;EE132,EE131,IF(EE132&gt;EE131,EE132))</f>
        <v>8760</v>
      </c>
      <c r="EF133" s="2086">
        <f t="shared" si="166"/>
        <v>8760</v>
      </c>
      <c r="EG133" s="2086">
        <f t="shared" si="166"/>
        <v>8760</v>
      </c>
      <c r="EH133" s="2086">
        <f t="shared" si="166"/>
        <v>8760</v>
      </c>
      <c r="EI133" s="2086">
        <f t="shared" si="166"/>
        <v>8760</v>
      </c>
      <c r="EJ133" s="2086">
        <f t="shared" si="166"/>
        <v>8760</v>
      </c>
      <c r="EK133" s="2086">
        <f t="shared" si="166"/>
        <v>8760</v>
      </c>
      <c r="EL133" s="2086">
        <f t="shared" si="166"/>
        <v>8760</v>
      </c>
      <c r="EM133" s="2086">
        <f t="shared" si="166"/>
        <v>8760</v>
      </c>
      <c r="EN133" s="2086">
        <f t="shared" si="166"/>
        <v>8760</v>
      </c>
      <c r="EO133" s="2086">
        <f t="shared" si="166"/>
        <v>8760</v>
      </c>
      <c r="EP133" s="2086">
        <f t="shared" si="166"/>
        <v>8760</v>
      </c>
      <c r="EQ133" s="2086">
        <f t="shared" si="166"/>
        <v>8760</v>
      </c>
      <c r="ER133" s="2086">
        <f t="shared" si="166"/>
        <v>8760</v>
      </c>
      <c r="ES133" s="2086">
        <f t="shared" si="166"/>
        <v>8760</v>
      </c>
      <c r="ET133" s="2086">
        <f t="shared" si="166"/>
        <v>8760</v>
      </c>
      <c r="EU133" s="2086">
        <f t="shared" si="166"/>
        <v>8760</v>
      </c>
      <c r="EV133" s="2086">
        <f t="shared" si="166"/>
        <v>8760</v>
      </c>
      <c r="EW133" s="2086">
        <f t="shared" si="166"/>
        <v>8760</v>
      </c>
      <c r="EX133" s="2086">
        <f t="shared" si="166"/>
        <v>8760</v>
      </c>
      <c r="EY133" s="2086">
        <f t="shared" si="166"/>
        <v>8760</v>
      </c>
      <c r="EZ133" s="2086">
        <f t="shared" si="166"/>
        <v>8760</v>
      </c>
      <c r="FA133" s="2086">
        <f t="shared" si="166"/>
        <v>8760</v>
      </c>
      <c r="FB133" s="2086">
        <f t="shared" si="166"/>
        <v>8760</v>
      </c>
      <c r="FC133" s="2086">
        <f t="shared" si="166"/>
        <v>8760</v>
      </c>
      <c r="FD133" s="2086">
        <f t="shared" si="166"/>
        <v>8760</v>
      </c>
      <c r="FE133" s="2086">
        <f t="shared" si="166"/>
        <v>8760</v>
      </c>
      <c r="FF133" s="2086">
        <f t="shared" si="166"/>
        <v>8760</v>
      </c>
      <c r="FG133" s="2086">
        <f t="shared" si="166"/>
        <v>8760</v>
      </c>
      <c r="FH133" s="2086">
        <f t="shared" si="166"/>
        <v>8760</v>
      </c>
      <c r="FI133" s="2086">
        <f t="shared" si="166"/>
        <v>8760</v>
      </c>
      <c r="FJ133" s="2086">
        <f t="shared" si="166"/>
        <v>8760</v>
      </c>
      <c r="FK133" s="2086">
        <f t="shared" si="166"/>
        <v>8760</v>
      </c>
      <c r="FL133" s="2086">
        <f t="shared" si="166"/>
        <v>8760</v>
      </c>
      <c r="FM133" s="2086">
        <f t="shared" si="166"/>
        <v>8760</v>
      </c>
      <c r="FN133" s="2086">
        <f t="shared" si="166"/>
        <v>8760</v>
      </c>
      <c r="FO133" s="2086">
        <f t="shared" si="166"/>
        <v>8760</v>
      </c>
      <c r="FP133" s="2086">
        <f t="shared" si="166"/>
        <v>8760</v>
      </c>
      <c r="FQ133" s="2086">
        <f t="shared" si="166"/>
        <v>8760</v>
      </c>
      <c r="FR133" s="2086">
        <f t="shared" si="166"/>
        <v>8760</v>
      </c>
      <c r="FS133" s="2086">
        <f t="shared" si="166"/>
        <v>8760</v>
      </c>
      <c r="FT133" s="2086">
        <f t="shared" si="166"/>
        <v>8760</v>
      </c>
      <c r="FU133" s="2086">
        <f t="shared" si="166"/>
        <v>8760</v>
      </c>
      <c r="FV133" s="2086">
        <f t="shared" si="166"/>
        <v>8760</v>
      </c>
      <c r="FW133" s="2086">
        <f t="shared" si="166"/>
        <v>8760</v>
      </c>
      <c r="FX133" s="2086">
        <f t="shared" si="166"/>
        <v>8760</v>
      </c>
      <c r="FY133" s="2086">
        <f t="shared" si="166"/>
        <v>8760</v>
      </c>
      <c r="FZ133" s="2086">
        <f t="shared" si="166"/>
        <v>8760</v>
      </c>
      <c r="GA133" s="2086">
        <f t="shared" si="166"/>
        <v>8760</v>
      </c>
      <c r="GB133" s="2086">
        <f t="shared" si="166"/>
        <v>8760</v>
      </c>
      <c r="GC133" s="2086">
        <f t="shared" si="166"/>
        <v>8760</v>
      </c>
      <c r="GD133" s="2086">
        <f t="shared" si="166"/>
        <v>8760</v>
      </c>
      <c r="GE133" s="2086">
        <f t="shared" si="166"/>
        <v>8760</v>
      </c>
      <c r="GF133" s="2086">
        <f t="shared" si="166"/>
        <v>8760</v>
      </c>
      <c r="GG133" s="2086">
        <f t="shared" si="166"/>
        <v>8760</v>
      </c>
      <c r="GH133" s="2086">
        <f t="shared" si="166"/>
        <v>8760</v>
      </c>
      <c r="GI133" s="2086">
        <f t="shared" si="166"/>
        <v>8760</v>
      </c>
      <c r="GJ133" s="2086">
        <f t="shared" si="166"/>
        <v>8760</v>
      </c>
      <c r="GK133" s="2086">
        <f t="shared" si="166"/>
        <v>8760</v>
      </c>
      <c r="GL133" s="2086">
        <f t="shared" si="166"/>
        <v>8760</v>
      </c>
      <c r="GM133" s="2086">
        <f t="shared" si="166"/>
        <v>8760</v>
      </c>
      <c r="GN133" s="2086">
        <f t="shared" si="166"/>
        <v>8760</v>
      </c>
      <c r="GO133" s="2086">
        <f t="shared" si="166"/>
        <v>8760</v>
      </c>
      <c r="GP133" s="2086">
        <f t="shared" si="166"/>
        <v>8760</v>
      </c>
      <c r="GQ133" s="2086">
        <f t="shared" ref="GQ133:JB133" si="167">IF(GQ131&gt;GQ132,GQ131,IF(GQ132&gt;GQ131,GQ132))</f>
        <v>8760</v>
      </c>
      <c r="GR133" s="2086">
        <f t="shared" si="167"/>
        <v>8760</v>
      </c>
      <c r="GS133" s="2086">
        <f t="shared" si="167"/>
        <v>8760</v>
      </c>
      <c r="GT133" s="2086">
        <f t="shared" si="167"/>
        <v>8760</v>
      </c>
      <c r="GU133" s="2086">
        <f t="shared" si="167"/>
        <v>8760</v>
      </c>
      <c r="GV133" s="2086">
        <f t="shared" si="167"/>
        <v>8760</v>
      </c>
      <c r="GW133" s="2086">
        <f t="shared" si="167"/>
        <v>8760</v>
      </c>
      <c r="GX133" s="2086">
        <f t="shared" si="167"/>
        <v>8760</v>
      </c>
      <c r="GY133" s="2086">
        <f t="shared" si="167"/>
        <v>8760</v>
      </c>
      <c r="GZ133" s="2086">
        <f t="shared" si="167"/>
        <v>8760</v>
      </c>
      <c r="HA133" s="2086">
        <f t="shared" si="167"/>
        <v>8760</v>
      </c>
      <c r="HB133" s="2086">
        <f t="shared" si="167"/>
        <v>8760</v>
      </c>
      <c r="HC133" s="2086">
        <f t="shared" si="167"/>
        <v>8760</v>
      </c>
      <c r="HD133" s="2086">
        <f t="shared" si="167"/>
        <v>8760</v>
      </c>
      <c r="HE133" s="2086">
        <f t="shared" si="167"/>
        <v>8760</v>
      </c>
      <c r="HF133" s="2086">
        <f t="shared" si="167"/>
        <v>8760</v>
      </c>
      <c r="HG133" s="2086">
        <f t="shared" si="167"/>
        <v>8760</v>
      </c>
      <c r="HH133" s="2086">
        <f t="shared" si="167"/>
        <v>8760</v>
      </c>
      <c r="HI133" s="2086">
        <f t="shared" si="167"/>
        <v>8760</v>
      </c>
      <c r="HJ133" s="2086">
        <f t="shared" si="167"/>
        <v>8760</v>
      </c>
      <c r="HK133" s="2086">
        <f t="shared" si="167"/>
        <v>8760</v>
      </c>
      <c r="HL133" s="2086">
        <f t="shared" si="167"/>
        <v>8760</v>
      </c>
      <c r="HM133" s="2086">
        <f t="shared" si="167"/>
        <v>8760</v>
      </c>
      <c r="HN133" s="2086">
        <f t="shared" si="167"/>
        <v>8760</v>
      </c>
      <c r="HO133" s="2086">
        <f t="shared" si="167"/>
        <v>8760</v>
      </c>
      <c r="HP133" s="2086">
        <f t="shared" si="167"/>
        <v>8760</v>
      </c>
      <c r="HQ133" s="2086">
        <f t="shared" si="167"/>
        <v>8760</v>
      </c>
      <c r="HR133" s="2086">
        <f t="shared" si="167"/>
        <v>8760</v>
      </c>
      <c r="HS133" s="2086">
        <f t="shared" si="167"/>
        <v>8760</v>
      </c>
      <c r="HT133" s="2086">
        <f t="shared" si="167"/>
        <v>8760</v>
      </c>
      <c r="HU133" s="2086">
        <f t="shared" si="167"/>
        <v>8760</v>
      </c>
      <c r="HV133" s="2086">
        <f t="shared" si="167"/>
        <v>8760</v>
      </c>
      <c r="HW133" s="2086">
        <f t="shared" si="167"/>
        <v>8760</v>
      </c>
      <c r="HX133" s="2086">
        <f t="shared" si="167"/>
        <v>8760</v>
      </c>
      <c r="HY133" s="2086">
        <f t="shared" si="167"/>
        <v>8760</v>
      </c>
      <c r="HZ133" s="2086">
        <f t="shared" si="167"/>
        <v>8760</v>
      </c>
      <c r="IA133" s="2086">
        <f t="shared" si="167"/>
        <v>8760</v>
      </c>
      <c r="IB133" s="2086">
        <f t="shared" si="167"/>
        <v>8760</v>
      </c>
      <c r="IC133" s="2086">
        <f t="shared" si="167"/>
        <v>8760</v>
      </c>
      <c r="ID133" s="2086">
        <f t="shared" si="167"/>
        <v>8760</v>
      </c>
      <c r="IE133" s="2086">
        <f t="shared" si="167"/>
        <v>8760</v>
      </c>
      <c r="IF133" s="2086">
        <f t="shared" si="167"/>
        <v>8760</v>
      </c>
      <c r="IG133" s="2086">
        <f t="shared" si="167"/>
        <v>8760</v>
      </c>
      <c r="IH133" s="2086">
        <f t="shared" si="167"/>
        <v>8760</v>
      </c>
      <c r="II133" s="2086">
        <f t="shared" si="167"/>
        <v>8760</v>
      </c>
      <c r="IJ133" s="2086">
        <f t="shared" si="167"/>
        <v>8760</v>
      </c>
      <c r="IK133" s="2086">
        <f t="shared" si="167"/>
        <v>8760</v>
      </c>
      <c r="IL133" s="2086">
        <f t="shared" si="167"/>
        <v>8760</v>
      </c>
      <c r="IM133" s="2086">
        <f t="shared" si="167"/>
        <v>8760</v>
      </c>
      <c r="IN133" s="2086">
        <f t="shared" si="167"/>
        <v>8760</v>
      </c>
      <c r="IO133" s="2086">
        <f t="shared" si="167"/>
        <v>8760</v>
      </c>
      <c r="IP133" s="2086">
        <f t="shared" si="167"/>
        <v>8760</v>
      </c>
      <c r="IQ133" s="2086">
        <f t="shared" si="167"/>
        <v>8760</v>
      </c>
      <c r="IR133" s="2086">
        <f t="shared" si="167"/>
        <v>8760</v>
      </c>
      <c r="IS133" s="2086">
        <f t="shared" si="167"/>
        <v>8760</v>
      </c>
      <c r="IT133" s="2086">
        <f t="shared" si="167"/>
        <v>8760</v>
      </c>
      <c r="IU133" s="2086">
        <f t="shared" si="167"/>
        <v>8760</v>
      </c>
      <c r="IV133" s="2086">
        <f t="shared" si="167"/>
        <v>8760</v>
      </c>
      <c r="IW133" s="2086">
        <f t="shared" si="167"/>
        <v>8760</v>
      </c>
      <c r="IX133" s="2086">
        <f t="shared" si="167"/>
        <v>8760</v>
      </c>
      <c r="IY133" s="2086">
        <f t="shared" si="167"/>
        <v>8760</v>
      </c>
      <c r="IZ133" s="2086">
        <f t="shared" si="167"/>
        <v>8760</v>
      </c>
      <c r="JA133" s="2086">
        <f t="shared" si="167"/>
        <v>8760</v>
      </c>
      <c r="JB133" s="2086">
        <f t="shared" si="167"/>
        <v>8760</v>
      </c>
      <c r="JC133" s="2086">
        <f t="shared" ref="JC133:LN133" si="168">IF(JC131&gt;JC132,JC131,IF(JC132&gt;JC131,JC132))</f>
        <v>8760</v>
      </c>
      <c r="JD133" s="2086">
        <f t="shared" si="168"/>
        <v>8760</v>
      </c>
      <c r="JE133" s="2086">
        <f t="shared" si="168"/>
        <v>8760</v>
      </c>
      <c r="JF133" s="2086">
        <f t="shared" si="168"/>
        <v>8760</v>
      </c>
      <c r="JG133" s="2086">
        <f t="shared" si="168"/>
        <v>8760</v>
      </c>
      <c r="JH133" s="2086">
        <f t="shared" si="168"/>
        <v>8760</v>
      </c>
      <c r="JI133" s="2086">
        <f t="shared" si="168"/>
        <v>8760</v>
      </c>
      <c r="JJ133" s="2086">
        <f t="shared" si="168"/>
        <v>8760</v>
      </c>
      <c r="JK133" s="2086">
        <f t="shared" si="168"/>
        <v>8760</v>
      </c>
      <c r="JL133" s="2086">
        <f t="shared" si="168"/>
        <v>8760</v>
      </c>
      <c r="JM133" s="2086">
        <f t="shared" si="168"/>
        <v>8760</v>
      </c>
      <c r="JN133" s="2086">
        <f t="shared" si="168"/>
        <v>8760</v>
      </c>
      <c r="JO133" s="2086">
        <f t="shared" si="168"/>
        <v>8760</v>
      </c>
      <c r="JP133" s="2086">
        <f t="shared" si="168"/>
        <v>8760</v>
      </c>
      <c r="JQ133" s="2086">
        <f t="shared" si="168"/>
        <v>8760</v>
      </c>
      <c r="JR133" s="2086" t="e">
        <f t="shared" si="168"/>
        <v>#DIV/0!</v>
      </c>
      <c r="JS133" s="2086" t="e">
        <f t="shared" si="168"/>
        <v>#DIV/0!</v>
      </c>
      <c r="JT133" s="2086" t="e">
        <f t="shared" si="168"/>
        <v>#DIV/0!</v>
      </c>
      <c r="JU133" s="2086" t="e">
        <f t="shared" si="168"/>
        <v>#DIV/0!</v>
      </c>
      <c r="JV133" s="2086" t="e">
        <f t="shared" si="168"/>
        <v>#DIV/0!</v>
      </c>
      <c r="JW133" s="2086" t="e">
        <f t="shared" si="168"/>
        <v>#DIV/0!</v>
      </c>
      <c r="JX133" s="2086" t="e">
        <f t="shared" si="168"/>
        <v>#DIV/0!</v>
      </c>
      <c r="JY133" s="2086" t="e">
        <f t="shared" si="168"/>
        <v>#DIV/0!</v>
      </c>
      <c r="JZ133" s="2086" t="e">
        <f t="shared" si="168"/>
        <v>#DIV/0!</v>
      </c>
      <c r="KA133" s="2086" t="e">
        <f t="shared" si="168"/>
        <v>#DIV/0!</v>
      </c>
      <c r="KB133" s="2086" t="e">
        <f t="shared" si="168"/>
        <v>#DIV/0!</v>
      </c>
      <c r="KC133" s="2086" t="e">
        <f t="shared" si="168"/>
        <v>#DIV/0!</v>
      </c>
      <c r="KD133" s="2086" t="e">
        <f t="shared" si="168"/>
        <v>#DIV/0!</v>
      </c>
      <c r="KE133" s="2086" t="e">
        <f t="shared" si="168"/>
        <v>#DIV/0!</v>
      </c>
      <c r="KF133" s="2086" t="e">
        <f t="shared" si="168"/>
        <v>#DIV/0!</v>
      </c>
      <c r="KG133" s="2086" t="e">
        <f t="shared" si="168"/>
        <v>#DIV/0!</v>
      </c>
      <c r="KH133" s="2086" t="e">
        <f t="shared" si="168"/>
        <v>#DIV/0!</v>
      </c>
      <c r="KI133" s="2086" t="e">
        <f t="shared" si="168"/>
        <v>#DIV/0!</v>
      </c>
      <c r="KJ133" s="2086" t="e">
        <f t="shared" si="168"/>
        <v>#DIV/0!</v>
      </c>
      <c r="KK133" s="2086" t="e">
        <f t="shared" si="168"/>
        <v>#DIV/0!</v>
      </c>
      <c r="KL133" s="2086" t="e">
        <f t="shared" si="168"/>
        <v>#DIV/0!</v>
      </c>
      <c r="KM133" s="2086" t="e">
        <f t="shared" si="168"/>
        <v>#DIV/0!</v>
      </c>
      <c r="KN133" s="2086" t="e">
        <f t="shared" si="168"/>
        <v>#DIV/0!</v>
      </c>
      <c r="KO133" s="2086" t="e">
        <f t="shared" si="168"/>
        <v>#DIV/0!</v>
      </c>
      <c r="KP133" s="2086" t="e">
        <f t="shared" si="168"/>
        <v>#DIV/0!</v>
      </c>
      <c r="KQ133" s="2086" t="e">
        <f t="shared" si="168"/>
        <v>#DIV/0!</v>
      </c>
      <c r="KR133" s="2086" t="e">
        <f t="shared" si="168"/>
        <v>#DIV/0!</v>
      </c>
      <c r="KS133" s="2086" t="e">
        <f t="shared" si="168"/>
        <v>#DIV/0!</v>
      </c>
      <c r="KT133" s="2086" t="e">
        <f t="shared" si="168"/>
        <v>#DIV/0!</v>
      </c>
      <c r="KU133" s="2086" t="e">
        <f t="shared" si="168"/>
        <v>#DIV/0!</v>
      </c>
      <c r="KV133" s="2086" t="e">
        <f t="shared" si="168"/>
        <v>#DIV/0!</v>
      </c>
      <c r="KW133" s="2086" t="e">
        <f t="shared" si="168"/>
        <v>#DIV/0!</v>
      </c>
      <c r="KX133" s="2086" t="e">
        <f t="shared" si="168"/>
        <v>#DIV/0!</v>
      </c>
      <c r="KY133" s="2086" t="e">
        <f t="shared" si="168"/>
        <v>#DIV/0!</v>
      </c>
      <c r="KZ133" s="2086">
        <f t="shared" si="168"/>
        <v>8760</v>
      </c>
      <c r="LA133" s="2086">
        <f t="shared" si="168"/>
        <v>8760</v>
      </c>
      <c r="LB133" s="2086">
        <f t="shared" si="168"/>
        <v>8760</v>
      </c>
      <c r="LC133" s="2086">
        <f t="shared" si="168"/>
        <v>8760</v>
      </c>
      <c r="LD133" s="2086">
        <f t="shared" si="168"/>
        <v>8760</v>
      </c>
      <c r="LE133" s="2086">
        <f t="shared" si="168"/>
        <v>8760</v>
      </c>
      <c r="LF133" s="2086">
        <f t="shared" si="168"/>
        <v>8760</v>
      </c>
      <c r="LG133" s="2086">
        <f t="shared" si="168"/>
        <v>8760</v>
      </c>
      <c r="LH133" s="2086">
        <f t="shared" si="168"/>
        <v>8760</v>
      </c>
      <c r="LI133" s="2086">
        <f t="shared" si="168"/>
        <v>8760</v>
      </c>
      <c r="LJ133" s="2086">
        <f t="shared" si="168"/>
        <v>8760</v>
      </c>
      <c r="LK133" s="2086">
        <f t="shared" si="168"/>
        <v>8760</v>
      </c>
      <c r="LL133" s="2086">
        <f t="shared" si="168"/>
        <v>8760</v>
      </c>
      <c r="LM133" s="2086">
        <f t="shared" si="168"/>
        <v>8760</v>
      </c>
      <c r="LN133" s="2086">
        <f t="shared" si="168"/>
        <v>8760</v>
      </c>
      <c r="LO133" s="2086">
        <f t="shared" ref="LO133:NZ133" si="169">IF(LO131&gt;LO132,LO131,IF(LO132&gt;LO131,LO132))</f>
        <v>8760</v>
      </c>
      <c r="LP133" s="2086">
        <f t="shared" si="169"/>
        <v>8760</v>
      </c>
      <c r="LQ133" s="2086">
        <f t="shared" si="169"/>
        <v>8760</v>
      </c>
      <c r="LR133" s="2086">
        <f t="shared" si="169"/>
        <v>8760</v>
      </c>
      <c r="LS133" s="2086">
        <f t="shared" si="169"/>
        <v>8760</v>
      </c>
      <c r="LT133" s="2086">
        <f t="shared" si="169"/>
        <v>8760</v>
      </c>
      <c r="LU133" s="2086">
        <f t="shared" si="169"/>
        <v>8760</v>
      </c>
      <c r="LV133" s="2086">
        <f t="shared" si="169"/>
        <v>8760</v>
      </c>
      <c r="LW133" s="2086">
        <f t="shared" si="169"/>
        <v>8760</v>
      </c>
      <c r="LX133" s="2086">
        <f t="shared" si="169"/>
        <v>8760</v>
      </c>
      <c r="LY133" s="2086">
        <f t="shared" si="169"/>
        <v>8760</v>
      </c>
      <c r="LZ133" s="2086">
        <f t="shared" si="169"/>
        <v>8760</v>
      </c>
      <c r="MA133" s="2086">
        <f t="shared" si="169"/>
        <v>8760</v>
      </c>
      <c r="MB133" s="2086">
        <f t="shared" si="169"/>
        <v>8760</v>
      </c>
      <c r="MC133" s="2086">
        <f t="shared" si="169"/>
        <v>8760</v>
      </c>
      <c r="MD133" s="2086">
        <f t="shared" si="169"/>
        <v>8760</v>
      </c>
      <c r="ME133" s="2086">
        <f t="shared" si="169"/>
        <v>8760</v>
      </c>
      <c r="MF133" s="2086">
        <f t="shared" si="169"/>
        <v>8760</v>
      </c>
      <c r="MG133" s="2086">
        <f t="shared" si="169"/>
        <v>8760</v>
      </c>
      <c r="MH133" s="2086">
        <f t="shared" si="169"/>
        <v>8760</v>
      </c>
      <c r="MI133" s="2086">
        <f t="shared" si="169"/>
        <v>8760</v>
      </c>
      <c r="MJ133" s="2086">
        <f t="shared" si="169"/>
        <v>8760</v>
      </c>
      <c r="MK133" s="2086">
        <f t="shared" si="169"/>
        <v>8760</v>
      </c>
      <c r="ML133" s="2086">
        <f t="shared" si="169"/>
        <v>8760</v>
      </c>
      <c r="MM133" s="2086">
        <f t="shared" si="169"/>
        <v>8760</v>
      </c>
      <c r="MN133" s="2086">
        <f t="shared" si="169"/>
        <v>8760</v>
      </c>
      <c r="MO133" s="2086">
        <f t="shared" si="169"/>
        <v>8760</v>
      </c>
      <c r="MP133" s="2086">
        <f t="shared" si="169"/>
        <v>8760</v>
      </c>
      <c r="MQ133" s="2086">
        <f t="shared" si="169"/>
        <v>8760</v>
      </c>
      <c r="MR133" s="2086">
        <f t="shared" si="169"/>
        <v>8760</v>
      </c>
      <c r="MS133" s="2086">
        <f t="shared" si="169"/>
        <v>8760</v>
      </c>
      <c r="MT133" s="2086">
        <f t="shared" si="169"/>
        <v>8760</v>
      </c>
      <c r="MU133" s="2086">
        <f t="shared" si="169"/>
        <v>8760</v>
      </c>
      <c r="MV133" s="2086">
        <f t="shared" si="169"/>
        <v>8760</v>
      </c>
      <c r="MW133" s="2086">
        <f t="shared" si="169"/>
        <v>8760</v>
      </c>
      <c r="MX133" s="2086">
        <f t="shared" si="169"/>
        <v>8760</v>
      </c>
      <c r="MY133" s="2086" t="e">
        <f t="shared" si="169"/>
        <v>#DIV/0!</v>
      </c>
      <c r="MZ133" s="2086" t="e">
        <f t="shared" si="169"/>
        <v>#DIV/0!</v>
      </c>
      <c r="NA133" s="2086" t="e">
        <f t="shared" si="169"/>
        <v>#DIV/0!</v>
      </c>
      <c r="NB133" s="2086" t="e">
        <f t="shared" si="169"/>
        <v>#DIV/0!</v>
      </c>
      <c r="NC133" s="2086" t="e">
        <f t="shared" si="169"/>
        <v>#DIV/0!</v>
      </c>
      <c r="ND133" s="2086" t="e">
        <f t="shared" si="169"/>
        <v>#DIV/0!</v>
      </c>
      <c r="NE133" s="2086" t="e">
        <f t="shared" si="169"/>
        <v>#DIV/0!</v>
      </c>
      <c r="NF133" s="2086" t="e">
        <f t="shared" si="169"/>
        <v>#DIV/0!</v>
      </c>
      <c r="NG133" s="2086" t="e">
        <f t="shared" si="169"/>
        <v>#DIV/0!</v>
      </c>
      <c r="NH133" s="2086" t="e">
        <f t="shared" si="169"/>
        <v>#DIV/0!</v>
      </c>
      <c r="NI133" s="2086" t="e">
        <f t="shared" si="169"/>
        <v>#DIV/0!</v>
      </c>
      <c r="NJ133" s="2086" t="e">
        <f t="shared" si="169"/>
        <v>#DIV/0!</v>
      </c>
      <c r="NK133" s="2086" t="e">
        <f t="shared" si="169"/>
        <v>#DIV/0!</v>
      </c>
      <c r="NL133" s="2086" t="e">
        <f t="shared" si="169"/>
        <v>#DIV/0!</v>
      </c>
      <c r="NM133" s="2086" t="e">
        <f t="shared" si="169"/>
        <v>#DIV/0!</v>
      </c>
      <c r="NN133" s="2086" t="e">
        <f t="shared" si="169"/>
        <v>#DIV/0!</v>
      </c>
      <c r="NO133" s="2086" t="e">
        <f t="shared" si="169"/>
        <v>#DIV/0!</v>
      </c>
      <c r="NP133" s="2086">
        <f t="shared" si="169"/>
        <v>8760</v>
      </c>
      <c r="NQ133" s="2086">
        <f t="shared" si="169"/>
        <v>8760</v>
      </c>
      <c r="NR133" s="2086">
        <f t="shared" si="169"/>
        <v>8760</v>
      </c>
      <c r="NS133" s="2086">
        <f t="shared" si="169"/>
        <v>8760</v>
      </c>
      <c r="NT133" s="2086">
        <f t="shared" si="169"/>
        <v>8760</v>
      </c>
      <c r="NU133" s="2086">
        <f t="shared" si="169"/>
        <v>8760</v>
      </c>
      <c r="NV133" s="2086">
        <f t="shared" si="169"/>
        <v>8760</v>
      </c>
      <c r="NW133" s="2086">
        <f t="shared" si="169"/>
        <v>8760</v>
      </c>
      <c r="NX133" s="2086">
        <f t="shared" si="169"/>
        <v>8760</v>
      </c>
      <c r="NY133" s="2086">
        <f t="shared" si="169"/>
        <v>8760</v>
      </c>
      <c r="NZ133" s="2086">
        <f t="shared" si="169"/>
        <v>8760</v>
      </c>
      <c r="OA133" s="2086">
        <f t="shared" ref="OA133:QL133" si="170">IF(OA131&gt;OA132,OA131,IF(OA132&gt;OA131,OA132))</f>
        <v>8760</v>
      </c>
      <c r="OB133" s="2086">
        <f t="shared" si="170"/>
        <v>8760</v>
      </c>
      <c r="OC133" s="2086">
        <f t="shared" si="170"/>
        <v>8760</v>
      </c>
      <c r="OD133" s="2086">
        <f t="shared" si="170"/>
        <v>8760</v>
      </c>
      <c r="OE133" s="2086">
        <f t="shared" si="170"/>
        <v>8760</v>
      </c>
      <c r="OF133" s="2086">
        <f t="shared" si="170"/>
        <v>8760</v>
      </c>
      <c r="OG133" s="2086">
        <f t="shared" si="170"/>
        <v>8760</v>
      </c>
      <c r="OH133" s="2086">
        <f t="shared" si="170"/>
        <v>8760</v>
      </c>
      <c r="OI133" s="2086">
        <f t="shared" si="170"/>
        <v>8760</v>
      </c>
      <c r="OJ133" s="2086">
        <f t="shared" si="170"/>
        <v>8760</v>
      </c>
      <c r="OK133" s="2086">
        <f t="shared" si="170"/>
        <v>8760</v>
      </c>
      <c r="OL133" s="2086">
        <f t="shared" si="170"/>
        <v>8760</v>
      </c>
      <c r="OM133" s="2086">
        <f t="shared" si="170"/>
        <v>8760</v>
      </c>
      <c r="ON133" s="2086">
        <f t="shared" si="170"/>
        <v>8760</v>
      </c>
      <c r="OO133" s="2086">
        <f t="shared" si="170"/>
        <v>8760</v>
      </c>
      <c r="OP133" s="2086">
        <f t="shared" si="170"/>
        <v>8760</v>
      </c>
      <c r="OQ133" s="2086">
        <f t="shared" si="170"/>
        <v>8760</v>
      </c>
      <c r="OR133" s="2086">
        <f t="shared" si="170"/>
        <v>8760</v>
      </c>
      <c r="OS133" s="2086">
        <f t="shared" si="170"/>
        <v>8760</v>
      </c>
      <c r="OT133" s="2086">
        <f t="shared" si="170"/>
        <v>8760</v>
      </c>
      <c r="OU133" s="2086">
        <f t="shared" si="170"/>
        <v>8760</v>
      </c>
      <c r="OV133" s="2086">
        <f t="shared" si="170"/>
        <v>8760</v>
      </c>
      <c r="OW133" s="2086">
        <f t="shared" si="170"/>
        <v>8760</v>
      </c>
      <c r="OX133" s="2086">
        <f t="shared" si="170"/>
        <v>8760</v>
      </c>
      <c r="OY133" s="2086">
        <f t="shared" si="170"/>
        <v>8760</v>
      </c>
      <c r="OZ133" s="2086">
        <f t="shared" si="170"/>
        <v>8760</v>
      </c>
      <c r="PA133" s="2086">
        <f t="shared" si="170"/>
        <v>8760</v>
      </c>
      <c r="PB133" s="2086">
        <f t="shared" si="170"/>
        <v>8760</v>
      </c>
      <c r="PC133" s="2086">
        <f t="shared" si="170"/>
        <v>8760</v>
      </c>
      <c r="PD133" s="2086">
        <f t="shared" si="170"/>
        <v>8760</v>
      </c>
      <c r="PE133" s="2086">
        <f t="shared" si="170"/>
        <v>8760</v>
      </c>
      <c r="PF133" s="2086">
        <f t="shared" si="170"/>
        <v>8760</v>
      </c>
      <c r="PG133" s="2086">
        <f t="shared" si="170"/>
        <v>8760</v>
      </c>
      <c r="PH133" s="2086">
        <f t="shared" si="170"/>
        <v>8760</v>
      </c>
      <c r="PI133" s="2086">
        <f t="shared" si="170"/>
        <v>8760</v>
      </c>
      <c r="PJ133" s="2086">
        <f t="shared" si="170"/>
        <v>8760</v>
      </c>
      <c r="PK133" s="2086">
        <f t="shared" si="170"/>
        <v>8760</v>
      </c>
      <c r="PL133" s="2086">
        <f t="shared" si="170"/>
        <v>8760</v>
      </c>
      <c r="PM133" s="2086">
        <f t="shared" si="170"/>
        <v>8760</v>
      </c>
      <c r="PN133" s="2086">
        <f t="shared" si="170"/>
        <v>8760</v>
      </c>
      <c r="PO133" s="2086">
        <f t="shared" si="170"/>
        <v>8760</v>
      </c>
      <c r="PP133" s="2086">
        <f t="shared" si="170"/>
        <v>8760</v>
      </c>
      <c r="PQ133" s="2086">
        <f t="shared" si="170"/>
        <v>8760</v>
      </c>
      <c r="PR133" s="2086">
        <f t="shared" si="170"/>
        <v>8760</v>
      </c>
      <c r="PS133" s="2086">
        <f t="shared" si="170"/>
        <v>8760</v>
      </c>
      <c r="PT133" s="2086">
        <f t="shared" si="170"/>
        <v>8760</v>
      </c>
      <c r="PU133" s="2086">
        <f t="shared" si="170"/>
        <v>8760</v>
      </c>
      <c r="PV133" s="2086">
        <f t="shared" si="170"/>
        <v>8760</v>
      </c>
      <c r="PW133" s="2086">
        <f t="shared" si="170"/>
        <v>8760</v>
      </c>
      <c r="PX133" s="2086">
        <f t="shared" si="170"/>
        <v>8760</v>
      </c>
      <c r="PY133" s="2086">
        <f t="shared" si="170"/>
        <v>8760</v>
      </c>
      <c r="PZ133" s="2086">
        <f t="shared" si="170"/>
        <v>8760</v>
      </c>
      <c r="QA133" s="2086">
        <f t="shared" si="170"/>
        <v>8760</v>
      </c>
      <c r="QB133" s="2086">
        <f t="shared" si="170"/>
        <v>8760</v>
      </c>
      <c r="QC133" s="2086">
        <f t="shared" si="170"/>
        <v>8760</v>
      </c>
      <c r="QD133" s="2086">
        <f t="shared" si="170"/>
        <v>8760</v>
      </c>
      <c r="QE133" s="2086">
        <f t="shared" si="170"/>
        <v>8760</v>
      </c>
      <c r="QF133" s="2086">
        <f t="shared" si="170"/>
        <v>8760</v>
      </c>
      <c r="QG133" s="2086">
        <f t="shared" si="170"/>
        <v>8760</v>
      </c>
      <c r="QH133" s="2086">
        <f t="shared" si="170"/>
        <v>8760</v>
      </c>
      <c r="QI133" s="2086">
        <f t="shared" si="170"/>
        <v>8760</v>
      </c>
      <c r="QJ133" s="2086">
        <f t="shared" si="170"/>
        <v>8760</v>
      </c>
      <c r="QK133" s="2086">
        <f t="shared" si="170"/>
        <v>8760</v>
      </c>
      <c r="QL133" s="2086">
        <f t="shared" si="170"/>
        <v>8760</v>
      </c>
      <c r="QM133" s="2086">
        <f t="shared" ref="QM133:SX133" si="171">IF(QM131&gt;QM132,QM131,IF(QM132&gt;QM131,QM132))</f>
        <v>8760</v>
      </c>
      <c r="QN133" s="2086">
        <f t="shared" si="171"/>
        <v>8760</v>
      </c>
      <c r="QO133" s="2086">
        <f t="shared" si="171"/>
        <v>8760</v>
      </c>
      <c r="QP133" s="2086">
        <f t="shared" si="171"/>
        <v>8760</v>
      </c>
      <c r="QQ133" s="2086">
        <f t="shared" si="171"/>
        <v>8760</v>
      </c>
      <c r="QR133" s="2086">
        <f t="shared" si="171"/>
        <v>8760</v>
      </c>
      <c r="QS133" s="2086">
        <f t="shared" si="171"/>
        <v>8760</v>
      </c>
      <c r="QT133" s="2086">
        <f t="shared" si="171"/>
        <v>8760</v>
      </c>
      <c r="QU133" s="2086">
        <f t="shared" si="171"/>
        <v>8760</v>
      </c>
      <c r="QV133" s="2086">
        <f t="shared" si="171"/>
        <v>8760</v>
      </c>
      <c r="QW133" s="2086">
        <f t="shared" si="171"/>
        <v>8760</v>
      </c>
      <c r="QX133" s="2086">
        <f t="shared" si="171"/>
        <v>8760</v>
      </c>
      <c r="QY133" s="2086">
        <f t="shared" si="171"/>
        <v>8760</v>
      </c>
      <c r="QZ133" s="2086">
        <f t="shared" si="171"/>
        <v>8760</v>
      </c>
      <c r="RA133" s="2086">
        <f t="shared" si="171"/>
        <v>8760</v>
      </c>
      <c r="RB133" s="2086">
        <f t="shared" si="171"/>
        <v>8760</v>
      </c>
      <c r="RC133" s="2086">
        <f t="shared" si="171"/>
        <v>8760</v>
      </c>
      <c r="RD133" s="2086">
        <f t="shared" si="171"/>
        <v>8760</v>
      </c>
      <c r="RE133" s="2086">
        <f t="shared" si="171"/>
        <v>8760</v>
      </c>
      <c r="RF133" s="2086">
        <f t="shared" si="171"/>
        <v>8760</v>
      </c>
      <c r="RG133" s="2086">
        <f t="shared" si="171"/>
        <v>8760</v>
      </c>
      <c r="RH133" s="2086">
        <f t="shared" si="171"/>
        <v>8760</v>
      </c>
      <c r="RI133" s="2086">
        <f t="shared" si="171"/>
        <v>8760</v>
      </c>
      <c r="RJ133" s="2086">
        <f t="shared" si="171"/>
        <v>8760</v>
      </c>
      <c r="RK133" s="2086">
        <f t="shared" si="171"/>
        <v>8760</v>
      </c>
      <c r="RL133" s="2086">
        <f t="shared" si="171"/>
        <v>8760</v>
      </c>
      <c r="RM133" s="2086">
        <f t="shared" si="171"/>
        <v>8760</v>
      </c>
      <c r="RN133" s="2086">
        <f t="shared" si="171"/>
        <v>8760</v>
      </c>
      <c r="RO133" s="2086">
        <f t="shared" si="171"/>
        <v>8760</v>
      </c>
      <c r="RP133" s="2086">
        <f t="shared" si="171"/>
        <v>8760</v>
      </c>
      <c r="RQ133" s="2086">
        <f t="shared" si="171"/>
        <v>8760</v>
      </c>
      <c r="RR133" s="2086">
        <f t="shared" si="171"/>
        <v>8760</v>
      </c>
      <c r="RS133" s="2086">
        <f t="shared" si="171"/>
        <v>8760</v>
      </c>
      <c r="RT133" s="2086">
        <f t="shared" si="171"/>
        <v>8760</v>
      </c>
      <c r="RU133" s="2086">
        <f t="shared" si="171"/>
        <v>8760</v>
      </c>
      <c r="RV133" s="2086">
        <f t="shared" si="171"/>
        <v>8760</v>
      </c>
      <c r="RW133" s="2086">
        <f t="shared" si="171"/>
        <v>8760</v>
      </c>
      <c r="RX133" s="2086">
        <f t="shared" si="171"/>
        <v>8760</v>
      </c>
      <c r="RY133" s="2086">
        <f t="shared" si="171"/>
        <v>8760</v>
      </c>
      <c r="RZ133" s="2086">
        <f t="shared" si="171"/>
        <v>8760</v>
      </c>
      <c r="SA133" s="2086">
        <f t="shared" si="171"/>
        <v>8760</v>
      </c>
      <c r="SB133" s="2086">
        <f t="shared" si="171"/>
        <v>8760</v>
      </c>
      <c r="SC133" s="2086">
        <f t="shared" si="171"/>
        <v>8760</v>
      </c>
      <c r="SD133" s="2086">
        <f t="shared" si="171"/>
        <v>8760</v>
      </c>
      <c r="SE133" s="2086">
        <f t="shared" si="171"/>
        <v>8760</v>
      </c>
      <c r="SF133" s="2086">
        <f t="shared" si="171"/>
        <v>8760</v>
      </c>
      <c r="SG133" s="2086">
        <f t="shared" si="171"/>
        <v>8760</v>
      </c>
      <c r="SH133" s="2086">
        <f t="shared" si="171"/>
        <v>8760</v>
      </c>
      <c r="SI133" s="2086">
        <f t="shared" si="171"/>
        <v>8760</v>
      </c>
      <c r="SJ133" s="2086">
        <f t="shared" si="171"/>
        <v>8760</v>
      </c>
      <c r="SK133" s="2086">
        <f t="shared" si="171"/>
        <v>8760</v>
      </c>
      <c r="SL133" s="2086">
        <f t="shared" si="171"/>
        <v>8760</v>
      </c>
      <c r="SM133" s="2086">
        <f t="shared" si="171"/>
        <v>8760</v>
      </c>
      <c r="SN133" s="2086">
        <f t="shared" si="171"/>
        <v>8760</v>
      </c>
      <c r="SO133" s="2086">
        <f t="shared" si="171"/>
        <v>8760</v>
      </c>
      <c r="SP133" s="2086">
        <f t="shared" si="171"/>
        <v>8760</v>
      </c>
      <c r="SQ133" s="2086">
        <f t="shared" si="171"/>
        <v>8760</v>
      </c>
      <c r="SR133" s="2086">
        <f t="shared" si="171"/>
        <v>8760</v>
      </c>
      <c r="SS133" s="2086">
        <f t="shared" si="171"/>
        <v>8760</v>
      </c>
      <c r="ST133" s="2086">
        <f t="shared" si="171"/>
        <v>8760</v>
      </c>
      <c r="SU133" s="2086">
        <f t="shared" si="171"/>
        <v>8760</v>
      </c>
      <c r="SV133" s="2086">
        <f t="shared" si="171"/>
        <v>8760</v>
      </c>
      <c r="SW133" s="2086">
        <f t="shared" si="171"/>
        <v>8760</v>
      </c>
      <c r="SX133" s="2086">
        <f t="shared" si="171"/>
        <v>8760</v>
      </c>
      <c r="SY133" s="2086">
        <f t="shared" ref="SY133:VJ133" si="172">IF(SY131&gt;SY132,SY131,IF(SY132&gt;SY131,SY132))</f>
        <v>8760</v>
      </c>
      <c r="SZ133" s="2086">
        <f t="shared" si="172"/>
        <v>8760</v>
      </c>
      <c r="TA133" s="2086">
        <f t="shared" si="172"/>
        <v>8760</v>
      </c>
      <c r="TB133" s="2086">
        <f t="shared" si="172"/>
        <v>8760</v>
      </c>
      <c r="TC133" s="2086">
        <f t="shared" si="172"/>
        <v>8760</v>
      </c>
      <c r="TD133" s="2086">
        <f t="shared" si="172"/>
        <v>8760</v>
      </c>
      <c r="TE133" s="2086">
        <f t="shared" si="172"/>
        <v>8760</v>
      </c>
      <c r="TF133" s="2086">
        <f t="shared" si="172"/>
        <v>8760</v>
      </c>
      <c r="TG133" s="2086">
        <f t="shared" si="172"/>
        <v>8760</v>
      </c>
      <c r="TH133" s="2086">
        <f t="shared" si="172"/>
        <v>8760</v>
      </c>
      <c r="TI133" s="2086">
        <f t="shared" si="172"/>
        <v>8760</v>
      </c>
      <c r="TJ133" s="2086">
        <f t="shared" si="172"/>
        <v>8760</v>
      </c>
      <c r="TK133" s="2086">
        <f t="shared" si="172"/>
        <v>8760</v>
      </c>
      <c r="TL133" s="2086">
        <f t="shared" si="172"/>
        <v>8760</v>
      </c>
      <c r="TM133" s="2086">
        <f t="shared" si="172"/>
        <v>8760</v>
      </c>
      <c r="TN133" s="2086">
        <f t="shared" si="172"/>
        <v>8760</v>
      </c>
      <c r="TO133" s="2086">
        <f t="shared" si="172"/>
        <v>8760</v>
      </c>
      <c r="TP133" s="2086">
        <f t="shared" si="172"/>
        <v>8760</v>
      </c>
      <c r="TQ133" s="2086">
        <f t="shared" si="172"/>
        <v>8760</v>
      </c>
      <c r="TR133" s="2086">
        <f t="shared" si="172"/>
        <v>8760</v>
      </c>
      <c r="TS133" s="2086">
        <f t="shared" si="172"/>
        <v>8760</v>
      </c>
      <c r="TT133" s="2086">
        <f t="shared" si="172"/>
        <v>8760</v>
      </c>
      <c r="TU133" s="2086">
        <f t="shared" si="172"/>
        <v>8760</v>
      </c>
      <c r="TV133" s="2086">
        <f t="shared" si="172"/>
        <v>8760</v>
      </c>
      <c r="TW133" s="2086">
        <f t="shared" si="172"/>
        <v>8760</v>
      </c>
      <c r="TX133" s="2086">
        <f t="shared" si="172"/>
        <v>8760</v>
      </c>
      <c r="TY133" s="2086">
        <f t="shared" si="172"/>
        <v>8760</v>
      </c>
      <c r="TZ133" s="2086">
        <f t="shared" si="172"/>
        <v>8760</v>
      </c>
      <c r="UA133" s="2086">
        <f t="shared" si="172"/>
        <v>8760</v>
      </c>
      <c r="UB133" s="2086">
        <f t="shared" si="172"/>
        <v>8760</v>
      </c>
      <c r="UC133" s="2086">
        <f t="shared" si="172"/>
        <v>8760</v>
      </c>
      <c r="UD133" s="2086">
        <f t="shared" si="172"/>
        <v>8760</v>
      </c>
      <c r="UE133" s="2086">
        <f t="shared" si="172"/>
        <v>8760</v>
      </c>
      <c r="UF133" s="2086">
        <f t="shared" si="172"/>
        <v>8760</v>
      </c>
      <c r="UG133" s="2086">
        <f t="shared" si="172"/>
        <v>8760</v>
      </c>
      <c r="UH133" s="2086">
        <f t="shared" si="172"/>
        <v>8760</v>
      </c>
      <c r="UI133" s="2086">
        <f t="shared" si="172"/>
        <v>8760</v>
      </c>
      <c r="UJ133" s="2086">
        <f t="shared" si="172"/>
        <v>8760</v>
      </c>
      <c r="UK133" s="2086">
        <f t="shared" si="172"/>
        <v>8760</v>
      </c>
      <c r="UL133" s="2086">
        <f t="shared" si="172"/>
        <v>8760</v>
      </c>
      <c r="UM133" s="2086">
        <f t="shared" si="172"/>
        <v>8760</v>
      </c>
      <c r="UN133" s="2086">
        <f t="shared" si="172"/>
        <v>8760</v>
      </c>
      <c r="UO133" s="2086">
        <f t="shared" si="172"/>
        <v>8760</v>
      </c>
      <c r="UP133" s="2086">
        <f t="shared" si="172"/>
        <v>8760</v>
      </c>
      <c r="UQ133" s="2086">
        <f t="shared" si="172"/>
        <v>8760</v>
      </c>
      <c r="UR133" s="2086">
        <f t="shared" si="172"/>
        <v>8760</v>
      </c>
      <c r="US133" s="2086">
        <f t="shared" si="172"/>
        <v>8760</v>
      </c>
      <c r="UT133" s="2086">
        <f t="shared" si="172"/>
        <v>8760</v>
      </c>
      <c r="UU133" s="2086">
        <f t="shared" si="172"/>
        <v>8760</v>
      </c>
      <c r="UV133" s="2086">
        <f t="shared" si="172"/>
        <v>8760</v>
      </c>
      <c r="UW133" s="2086">
        <f t="shared" si="172"/>
        <v>8760</v>
      </c>
      <c r="UX133" s="2086">
        <f t="shared" si="172"/>
        <v>8760</v>
      </c>
      <c r="UY133" s="2086">
        <f t="shared" si="172"/>
        <v>8760</v>
      </c>
      <c r="UZ133" s="2086">
        <f t="shared" si="172"/>
        <v>8760</v>
      </c>
      <c r="VA133" s="2086">
        <f t="shared" si="172"/>
        <v>8760</v>
      </c>
      <c r="VB133" s="2086">
        <f t="shared" si="172"/>
        <v>8760</v>
      </c>
      <c r="VC133" s="2086">
        <f t="shared" si="172"/>
        <v>8760</v>
      </c>
      <c r="VD133" s="2086">
        <f t="shared" si="172"/>
        <v>8760</v>
      </c>
      <c r="VE133" s="2086">
        <f t="shared" si="172"/>
        <v>8760</v>
      </c>
      <c r="VF133" s="2086">
        <f t="shared" si="172"/>
        <v>8760</v>
      </c>
      <c r="VG133" s="2086">
        <f t="shared" si="172"/>
        <v>8760</v>
      </c>
      <c r="VH133" s="2086">
        <f t="shared" si="172"/>
        <v>8760</v>
      </c>
      <c r="VI133" s="2086">
        <f t="shared" si="172"/>
        <v>8760</v>
      </c>
      <c r="VJ133" s="2086">
        <f t="shared" si="172"/>
        <v>8760</v>
      </c>
      <c r="VK133" s="2087">
        <f>IF(VK131&gt;VK132,VK131,IF(VK132&gt;VK131,VK132))</f>
        <v>8760</v>
      </c>
    </row>
    <row r="134" spans="1:583" s="2075" customFormat="1" x14ac:dyDescent="0.25">
      <c r="A134" s="2075" t="s">
        <v>3831</v>
      </c>
      <c r="B134" s="4709" t="s">
        <v>1837</v>
      </c>
      <c r="C134" s="4709"/>
      <c r="D134" s="4709" t="s">
        <v>1837</v>
      </c>
      <c r="E134" s="4709"/>
      <c r="F134" s="2078"/>
      <c r="G134" s="2078"/>
      <c r="H134" s="2078"/>
      <c r="I134" s="1574"/>
      <c r="J134" s="1574"/>
      <c r="K134" s="1574"/>
      <c r="L134" s="1574"/>
      <c r="M134" s="1574"/>
      <c r="N134" s="1574"/>
      <c r="O134" s="1574"/>
      <c r="P134" s="1574"/>
      <c r="Q134" s="1574"/>
      <c r="R134" s="1574"/>
      <c r="S134" s="1574"/>
      <c r="T134" s="1574"/>
      <c r="U134" s="1574"/>
      <c r="V134" s="1574"/>
      <c r="W134" s="1574"/>
      <c r="X134" s="1574"/>
      <c r="Y134" s="1574"/>
      <c r="Z134" s="1574"/>
      <c r="AA134" s="1574"/>
      <c r="AB134" s="1574"/>
      <c r="AC134" s="1574"/>
      <c r="AD134" s="1574"/>
      <c r="AE134" s="1574"/>
      <c r="AF134" s="1574"/>
      <c r="AG134" s="1574"/>
      <c r="AH134" s="1574"/>
      <c r="AI134" s="1574"/>
      <c r="AJ134" s="1574"/>
      <c r="AK134" s="1574"/>
      <c r="AL134" s="1574"/>
      <c r="AM134" s="1574"/>
      <c r="AN134" s="1574"/>
      <c r="AO134" s="1574"/>
      <c r="AP134" s="1574"/>
      <c r="AQ134" s="1574"/>
      <c r="AR134" s="1574"/>
      <c r="AS134" s="1574"/>
      <c r="AT134" s="1574"/>
      <c r="AU134" s="1574"/>
      <c r="AV134" s="1574"/>
      <c r="AW134" s="1574"/>
      <c r="AX134" s="1574"/>
      <c r="AY134" s="1574"/>
      <c r="AZ134" s="1574"/>
      <c r="BA134" s="1574"/>
      <c r="BB134" s="1574"/>
      <c r="BC134" s="1574"/>
      <c r="BD134" s="1574"/>
      <c r="BE134" s="1574"/>
      <c r="BF134" s="1574"/>
      <c r="BG134" s="1574"/>
      <c r="BH134" s="1574"/>
      <c r="BI134" s="1574"/>
      <c r="BJ134" s="1574"/>
      <c r="BK134" s="1574"/>
      <c r="BL134" s="1574"/>
      <c r="BM134" s="1574"/>
      <c r="BN134" s="1574"/>
      <c r="BO134" s="1574"/>
      <c r="BP134" s="1574"/>
      <c r="BQ134" s="1574"/>
      <c r="BR134" s="1574"/>
      <c r="BS134" s="1574"/>
      <c r="BT134" s="1574"/>
      <c r="BU134" s="1574"/>
      <c r="BV134" s="1574"/>
      <c r="BW134" s="1574"/>
      <c r="BX134" s="1574"/>
      <c r="BY134" s="1574"/>
      <c r="BZ134" s="1574"/>
      <c r="CA134" s="1574"/>
      <c r="CB134" s="1574"/>
      <c r="CC134" s="1574"/>
      <c r="CD134" s="1574"/>
      <c r="CE134" s="1574"/>
      <c r="CF134" s="1574"/>
      <c r="CG134" s="1574"/>
      <c r="CH134" s="1574"/>
      <c r="CI134" s="1574"/>
      <c r="CJ134" s="1574"/>
      <c r="CK134" s="1574"/>
      <c r="CL134" s="1574"/>
      <c r="CM134" s="1574"/>
      <c r="CN134" s="1574"/>
      <c r="CO134" s="1574"/>
      <c r="CP134" s="1574"/>
      <c r="CQ134" s="1574"/>
      <c r="CR134" s="1574"/>
      <c r="CS134" s="1574"/>
      <c r="CT134" s="1574"/>
      <c r="CU134" s="1574"/>
      <c r="CV134" s="1574"/>
      <c r="CW134" s="1574"/>
      <c r="CX134" s="1574"/>
      <c r="CY134" s="1574"/>
      <c r="CZ134" s="1574"/>
      <c r="DA134" s="1574"/>
      <c r="DB134" s="1574"/>
      <c r="DC134" s="1574"/>
      <c r="DD134" s="1574"/>
      <c r="DE134" s="1574"/>
      <c r="DF134" s="1574"/>
      <c r="DG134" s="1574"/>
      <c r="DH134" s="1574"/>
      <c r="DI134" s="1574"/>
      <c r="DJ134" s="1574"/>
      <c r="DK134" s="1574"/>
      <c r="DL134" s="1574"/>
      <c r="DM134" s="1574"/>
      <c r="DN134" s="1574"/>
      <c r="DO134" s="1574"/>
      <c r="DP134" s="1574"/>
      <c r="DQ134" s="1574"/>
      <c r="DR134" s="1574"/>
      <c r="DS134" s="1574"/>
      <c r="DT134" s="1574"/>
      <c r="DU134" s="1574"/>
      <c r="DV134" s="1574"/>
      <c r="DW134" s="1574"/>
      <c r="DX134" s="1574"/>
      <c r="DY134" s="1574"/>
      <c r="DZ134" s="1574"/>
      <c r="EA134" s="1574"/>
      <c r="EB134" s="1574"/>
      <c r="EC134" s="1574"/>
      <c r="ED134" s="1574"/>
      <c r="EE134" s="1574"/>
      <c r="EF134" s="1574"/>
      <c r="EG134" s="1574"/>
      <c r="EH134" s="1574"/>
      <c r="EI134" s="1574"/>
      <c r="EJ134" s="1574"/>
      <c r="EK134" s="1574"/>
      <c r="EL134" s="1574"/>
      <c r="EM134" s="1574"/>
      <c r="EN134" s="1574"/>
      <c r="EO134" s="1574"/>
      <c r="EP134" s="1574"/>
      <c r="EQ134" s="1574"/>
      <c r="ER134" s="1574"/>
      <c r="ES134" s="1574"/>
      <c r="ET134" s="1574"/>
      <c r="EU134" s="1574"/>
      <c r="EV134" s="1574"/>
      <c r="EW134" s="1574"/>
      <c r="EX134" s="1574"/>
      <c r="EY134" s="1574"/>
      <c r="EZ134" s="1574"/>
      <c r="FA134" s="1574"/>
      <c r="FB134" s="1574"/>
      <c r="FC134" s="1574"/>
      <c r="FD134" s="1574"/>
      <c r="FE134" s="1574"/>
      <c r="FF134" s="1574"/>
      <c r="FG134" s="1574"/>
      <c r="FH134" s="1574"/>
      <c r="FI134" s="1574"/>
      <c r="FJ134" s="1574"/>
      <c r="FK134" s="1574"/>
      <c r="FL134" s="1574"/>
      <c r="FM134" s="1574"/>
      <c r="FN134" s="1574"/>
      <c r="FO134" s="1574"/>
      <c r="FP134" s="1574"/>
      <c r="FQ134" s="1574"/>
      <c r="FR134" s="1574"/>
      <c r="FS134" s="1574"/>
      <c r="FT134" s="1574"/>
      <c r="FU134" s="1574"/>
      <c r="FV134" s="1574"/>
      <c r="FW134" s="1574"/>
      <c r="FX134" s="1574"/>
      <c r="FY134" s="1574"/>
      <c r="FZ134" s="1574"/>
      <c r="GA134" s="1574"/>
      <c r="GB134" s="1574"/>
      <c r="GC134" s="1574"/>
      <c r="GD134" s="1574"/>
      <c r="GE134" s="1574"/>
      <c r="GF134" s="1574"/>
      <c r="GG134" s="1574"/>
      <c r="GH134" s="1574"/>
      <c r="GI134" s="1574"/>
      <c r="GJ134" s="1574"/>
      <c r="GK134" s="1574"/>
      <c r="GL134" s="1574"/>
      <c r="GM134" s="1574"/>
      <c r="GN134" s="1574"/>
      <c r="GO134" s="1574"/>
      <c r="GP134" s="1574"/>
      <c r="GQ134" s="1574"/>
      <c r="GR134" s="1574"/>
      <c r="GS134" s="1574"/>
      <c r="GT134" s="1574"/>
      <c r="GU134" s="1574"/>
      <c r="GV134" s="1574"/>
      <c r="GW134" s="1574"/>
      <c r="GX134" s="1574"/>
      <c r="GY134" s="1574"/>
      <c r="GZ134" s="1574"/>
      <c r="HA134" s="1574"/>
      <c r="HB134" s="1574"/>
      <c r="HC134" s="1574"/>
      <c r="HD134" s="1574"/>
      <c r="HE134" s="1574"/>
      <c r="HF134" s="1574"/>
      <c r="HG134" s="1574"/>
      <c r="HH134" s="1574"/>
      <c r="HI134" s="1574"/>
      <c r="HJ134" s="1574"/>
      <c r="HK134" s="1574"/>
      <c r="HL134" s="1574"/>
      <c r="HM134" s="1574"/>
      <c r="HN134" s="1574"/>
      <c r="HO134" s="1574"/>
      <c r="HP134" s="1574"/>
      <c r="HQ134" s="1574"/>
      <c r="HR134" s="1574"/>
      <c r="HS134" s="1574"/>
      <c r="HT134" s="1574"/>
      <c r="HU134" s="1574"/>
      <c r="HV134" s="1574"/>
      <c r="HW134" s="1574"/>
      <c r="HX134" s="1574"/>
      <c r="HY134" s="1574"/>
      <c r="HZ134" s="1574"/>
      <c r="IA134" s="1574"/>
      <c r="IB134" s="1574"/>
      <c r="IC134" s="1574"/>
      <c r="ID134" s="1574"/>
      <c r="IE134" s="1574"/>
      <c r="IF134" s="1574"/>
      <c r="IG134" s="1574"/>
      <c r="IH134" s="1574"/>
      <c r="II134" s="1574"/>
      <c r="IJ134" s="1574"/>
      <c r="IK134" s="1574"/>
      <c r="IL134" s="1574"/>
      <c r="IM134" s="1574"/>
      <c r="IN134" s="1574"/>
      <c r="IO134" s="1574"/>
      <c r="IP134" s="1574"/>
      <c r="IQ134" s="1574"/>
      <c r="IR134" s="1574"/>
      <c r="IS134" s="1574"/>
      <c r="IT134" s="1574"/>
      <c r="IU134" s="1574"/>
      <c r="IV134" s="1574"/>
      <c r="IW134" s="1574"/>
      <c r="IX134" s="1574"/>
      <c r="IY134" s="1574"/>
      <c r="IZ134" s="1574"/>
      <c r="JA134" s="1574"/>
      <c r="JB134" s="1574"/>
      <c r="JC134" s="1574"/>
      <c r="JD134" s="1574"/>
      <c r="JE134" s="1574"/>
      <c r="JF134" s="1574"/>
      <c r="JG134" s="1574"/>
      <c r="JH134" s="1574"/>
      <c r="JI134" s="1574"/>
      <c r="JJ134" s="1574"/>
      <c r="JK134" s="1574"/>
      <c r="JL134" s="1574"/>
      <c r="JM134" s="1574"/>
      <c r="JN134" s="1574"/>
      <c r="JO134" s="1574"/>
      <c r="JP134" s="1574"/>
      <c r="JQ134" s="1574"/>
      <c r="JR134" s="1574"/>
      <c r="JS134" s="1574"/>
      <c r="JT134" s="1574"/>
      <c r="JU134" s="1574"/>
      <c r="JV134" s="1574"/>
      <c r="JW134" s="1574"/>
      <c r="JX134" s="1574"/>
      <c r="JY134" s="1574"/>
      <c r="JZ134" s="1574"/>
      <c r="KA134" s="1574"/>
      <c r="KB134" s="1574"/>
      <c r="KC134" s="1574"/>
      <c r="KD134" s="1574"/>
      <c r="KE134" s="1574"/>
      <c r="KF134" s="1574"/>
      <c r="KG134" s="1574"/>
      <c r="KH134" s="1574"/>
      <c r="KI134" s="1574"/>
      <c r="KJ134" s="1574"/>
      <c r="KK134" s="1574"/>
      <c r="KL134" s="1574"/>
      <c r="KM134" s="1574"/>
      <c r="KN134" s="1574"/>
      <c r="KO134" s="1574"/>
      <c r="KP134" s="1574"/>
      <c r="KQ134" s="1574"/>
      <c r="KR134" s="1574"/>
      <c r="KS134" s="1574"/>
      <c r="KT134" s="1574"/>
      <c r="KU134" s="1574"/>
      <c r="KV134" s="1574"/>
      <c r="KW134" s="1574"/>
      <c r="KX134" s="1574"/>
      <c r="KY134" s="1574"/>
      <c r="KZ134" s="1574"/>
      <c r="LA134" s="1574"/>
      <c r="LB134" s="1574"/>
      <c r="LC134" s="1574"/>
      <c r="LD134" s="1574"/>
      <c r="LE134" s="1574"/>
      <c r="LF134" s="1574"/>
      <c r="LG134" s="1574"/>
      <c r="LH134" s="1574"/>
      <c r="LI134" s="1574"/>
      <c r="LJ134" s="1574"/>
      <c r="LK134" s="1574"/>
      <c r="LL134" s="1574"/>
      <c r="LM134" s="1574"/>
      <c r="LN134" s="1574"/>
      <c r="LO134" s="1574"/>
      <c r="LP134" s="1574"/>
      <c r="LQ134" s="1574"/>
      <c r="LR134" s="1574"/>
      <c r="LS134" s="1574"/>
      <c r="LT134" s="1574"/>
      <c r="LU134" s="1574"/>
      <c r="LV134" s="1574"/>
      <c r="LW134" s="1574"/>
      <c r="LX134" s="1574"/>
      <c r="LY134" s="1574"/>
      <c r="LZ134" s="1574"/>
      <c r="MA134" s="1574"/>
      <c r="MB134" s="1574"/>
      <c r="MC134" s="1574"/>
      <c r="MD134" s="1574"/>
      <c r="ME134" s="1574"/>
      <c r="MF134" s="1574"/>
      <c r="MG134" s="1574"/>
      <c r="MH134" s="1574"/>
      <c r="MI134" s="1574"/>
      <c r="MJ134" s="1574"/>
      <c r="MK134" s="1574"/>
      <c r="ML134" s="1574"/>
      <c r="MM134" s="1574"/>
      <c r="MN134" s="1574"/>
      <c r="MO134" s="1574"/>
      <c r="MP134" s="1574"/>
      <c r="MQ134" s="1574"/>
      <c r="MR134" s="1574"/>
      <c r="MS134" s="1574"/>
      <c r="MT134" s="1574"/>
      <c r="MU134" s="1574"/>
      <c r="MV134" s="1574"/>
      <c r="MW134" s="1574"/>
      <c r="MX134" s="1574"/>
      <c r="MY134" s="1574"/>
      <c r="MZ134" s="1574"/>
      <c r="NA134" s="1574"/>
      <c r="NB134" s="1574"/>
      <c r="NC134" s="1574"/>
      <c r="ND134" s="1574"/>
      <c r="NE134" s="1574"/>
      <c r="NF134" s="1574"/>
      <c r="NG134" s="1574"/>
      <c r="NH134" s="1574"/>
      <c r="NI134" s="1574"/>
      <c r="NJ134" s="1574"/>
      <c r="NK134" s="1574"/>
      <c r="NL134" s="1574"/>
      <c r="NM134" s="1574"/>
      <c r="NN134" s="1574"/>
      <c r="NO134" s="1574"/>
      <c r="NP134" s="1574"/>
      <c r="NQ134" s="1574"/>
      <c r="NR134" s="1574"/>
      <c r="NS134" s="1574"/>
      <c r="NT134" s="1574"/>
      <c r="NU134" s="1574"/>
      <c r="NV134" s="1574"/>
      <c r="NW134" s="1574"/>
      <c r="NX134" s="1574"/>
      <c r="NY134" s="1574"/>
      <c r="NZ134" s="1574"/>
      <c r="OA134" s="1574"/>
      <c r="OB134" s="1574"/>
      <c r="OC134" s="1574"/>
      <c r="OD134" s="1574"/>
      <c r="OE134" s="1574"/>
      <c r="OF134" s="1574"/>
      <c r="OG134" s="1574"/>
      <c r="OH134" s="1574"/>
      <c r="OI134" s="1574"/>
      <c r="OJ134" s="1574"/>
      <c r="OK134" s="1574"/>
      <c r="OL134" s="1574"/>
      <c r="OM134" s="1574"/>
      <c r="ON134" s="1574"/>
      <c r="OO134" s="1574"/>
      <c r="OP134" s="1574"/>
      <c r="OQ134" s="1574"/>
      <c r="OR134" s="1574"/>
      <c r="OS134" s="1574"/>
      <c r="OT134" s="1574"/>
      <c r="OU134" s="1574"/>
      <c r="OV134" s="1574"/>
      <c r="OW134" s="1574"/>
      <c r="OX134" s="1574"/>
      <c r="OY134" s="1574"/>
      <c r="OZ134" s="1574"/>
      <c r="PA134" s="1574"/>
      <c r="PB134" s="1574"/>
      <c r="PC134" s="1574"/>
      <c r="PD134" s="1574"/>
      <c r="PE134" s="1574"/>
      <c r="PF134" s="1574"/>
      <c r="PG134" s="1574"/>
      <c r="PH134" s="1574"/>
      <c r="PI134" s="1574"/>
      <c r="PJ134" s="1574"/>
      <c r="PK134" s="1574"/>
      <c r="PL134" s="1574"/>
      <c r="PM134" s="1574"/>
      <c r="PN134" s="1574"/>
      <c r="PO134" s="1574"/>
      <c r="PP134" s="1574"/>
      <c r="PQ134" s="1574"/>
      <c r="PR134" s="1574"/>
      <c r="PS134" s="1574"/>
      <c r="PT134" s="1574"/>
      <c r="PU134" s="1574"/>
      <c r="PV134" s="1574"/>
      <c r="PW134" s="1574"/>
      <c r="PX134" s="1574"/>
      <c r="PY134" s="1574"/>
      <c r="PZ134" s="1574"/>
      <c r="QA134" s="1574"/>
      <c r="QB134" s="1574"/>
      <c r="QC134" s="1574"/>
      <c r="QD134" s="1574"/>
      <c r="QE134" s="1574"/>
      <c r="QF134" s="1574"/>
      <c r="QG134" s="1574"/>
      <c r="QH134" s="1574"/>
      <c r="QI134" s="1574"/>
      <c r="QJ134" s="1574"/>
      <c r="QK134" s="1574"/>
      <c r="QL134" s="1574"/>
      <c r="QM134" s="1574"/>
      <c r="QN134" s="1574"/>
      <c r="QO134" s="1574"/>
      <c r="QP134" s="1574"/>
      <c r="QQ134" s="1574"/>
      <c r="QR134" s="1574"/>
      <c r="QS134" s="1574"/>
      <c r="QT134" s="1574"/>
      <c r="QU134" s="1574"/>
      <c r="QV134" s="1574"/>
      <c r="QW134" s="1574"/>
      <c r="QX134" s="1574"/>
      <c r="QY134" s="1574"/>
      <c r="QZ134" s="1574"/>
      <c r="RA134" s="1574"/>
      <c r="RB134" s="1574"/>
      <c r="RC134" s="1574"/>
      <c r="RD134" s="1574"/>
      <c r="RE134" s="1574"/>
      <c r="RF134" s="1574"/>
      <c r="RG134" s="1574"/>
      <c r="RH134" s="1574"/>
      <c r="RI134" s="1574"/>
      <c r="RJ134" s="1574"/>
      <c r="RK134" s="1574"/>
      <c r="RL134" s="1574"/>
      <c r="RM134" s="1574"/>
      <c r="RN134" s="1574"/>
      <c r="RO134" s="1574"/>
      <c r="RP134" s="1574"/>
      <c r="RQ134" s="1574"/>
      <c r="RR134" s="1574"/>
      <c r="RS134" s="1574"/>
      <c r="RT134" s="1574"/>
      <c r="RU134" s="1574"/>
      <c r="RV134" s="1574"/>
      <c r="RW134" s="1574"/>
      <c r="RX134" s="1574"/>
      <c r="RY134" s="1574"/>
      <c r="RZ134" s="1574"/>
      <c r="SA134" s="1574"/>
      <c r="SB134" s="1574"/>
      <c r="SC134" s="1574"/>
      <c r="SD134" s="1574"/>
      <c r="SE134" s="1574"/>
      <c r="SF134" s="1574"/>
      <c r="SG134" s="1574"/>
      <c r="SH134" s="1574"/>
      <c r="SI134" s="1574"/>
      <c r="SJ134" s="1574"/>
      <c r="SK134" s="1574"/>
      <c r="SL134" s="1574"/>
      <c r="SM134" s="1574"/>
      <c r="SN134" s="1574"/>
      <c r="SO134" s="1574"/>
      <c r="SP134" s="1574"/>
      <c r="SQ134" s="1574"/>
      <c r="SR134" s="1574"/>
      <c r="SS134" s="1574"/>
      <c r="ST134" s="1574"/>
      <c r="SU134" s="1574"/>
      <c r="SV134" s="1574"/>
      <c r="SW134" s="1574"/>
      <c r="SX134" s="1574"/>
      <c r="SY134" s="1574"/>
      <c r="SZ134" s="1574"/>
      <c r="TA134" s="1574"/>
      <c r="TB134" s="1574"/>
      <c r="TC134" s="1574"/>
      <c r="TD134" s="1574"/>
      <c r="TE134" s="1574"/>
      <c r="TF134" s="1574"/>
      <c r="TG134" s="1574"/>
      <c r="TH134" s="1574"/>
      <c r="TI134" s="1574"/>
      <c r="TJ134" s="1574"/>
      <c r="TK134" s="1574"/>
      <c r="TL134" s="1574"/>
      <c r="TM134" s="1574"/>
      <c r="TN134" s="1574"/>
      <c r="TO134" s="1574"/>
      <c r="TP134" s="1574"/>
      <c r="TQ134" s="1574"/>
      <c r="TR134" s="1574"/>
      <c r="TS134" s="1574"/>
      <c r="TT134" s="1574"/>
      <c r="TU134" s="1574"/>
      <c r="TV134" s="1574"/>
      <c r="TW134" s="1574"/>
      <c r="TX134" s="1574"/>
      <c r="TY134" s="1574"/>
      <c r="TZ134" s="1574"/>
      <c r="UA134" s="1574"/>
      <c r="UB134" s="1574"/>
      <c r="UC134" s="1574"/>
      <c r="UD134" s="1574" t="e">
        <f>SUM(UD135:UD143)</f>
        <v>#DIV/0!</v>
      </c>
      <c r="UE134" s="1574" t="e">
        <f t="shared" ref="UE134:UT134" si="173">SUM(UE135:UE143)</f>
        <v>#DIV/0!</v>
      </c>
      <c r="UF134" s="1574"/>
      <c r="UG134" s="1574" t="e">
        <f t="shared" si="173"/>
        <v>#DIV/0!</v>
      </c>
      <c r="UH134" s="1574" t="e">
        <f t="shared" si="173"/>
        <v>#DIV/0!</v>
      </c>
      <c r="UI134" s="1574" t="e">
        <f t="shared" si="173"/>
        <v>#DIV/0!</v>
      </c>
      <c r="UJ134" s="1574" t="e">
        <f t="shared" si="173"/>
        <v>#DIV/0!</v>
      </c>
      <c r="UK134" s="1574" t="e">
        <f t="shared" si="173"/>
        <v>#DIV/0!</v>
      </c>
      <c r="UL134" s="1574" t="e">
        <f t="shared" si="173"/>
        <v>#DIV/0!</v>
      </c>
      <c r="UM134" s="1574" t="e">
        <f t="shared" si="173"/>
        <v>#DIV/0!</v>
      </c>
      <c r="UN134" s="1574" t="e">
        <f t="shared" si="173"/>
        <v>#DIV/0!</v>
      </c>
      <c r="UO134" s="1574" t="e">
        <f t="shared" si="173"/>
        <v>#DIV/0!</v>
      </c>
      <c r="UP134" s="1574" t="e">
        <f t="shared" si="173"/>
        <v>#DIV/0!</v>
      </c>
      <c r="UQ134" s="1574" t="e">
        <f t="shared" si="173"/>
        <v>#DIV/0!</v>
      </c>
      <c r="UR134" s="1574" t="e">
        <f t="shared" si="173"/>
        <v>#DIV/0!</v>
      </c>
      <c r="US134" s="1574" t="e">
        <f t="shared" si="173"/>
        <v>#DIV/0!</v>
      </c>
      <c r="UT134" s="1574" t="e">
        <f t="shared" si="173"/>
        <v>#DIV/0!</v>
      </c>
      <c r="UU134" s="1574"/>
      <c r="UV134" s="1574"/>
      <c r="UW134" s="1574"/>
      <c r="UX134" s="1574"/>
      <c r="UY134" s="1574"/>
      <c r="UZ134" s="1574"/>
      <c r="VA134" s="1574"/>
      <c r="VB134" s="1574"/>
      <c r="VC134" s="1574"/>
      <c r="VD134" s="1574"/>
      <c r="VE134" s="1574"/>
      <c r="VF134" s="1574"/>
      <c r="VG134" s="1574"/>
      <c r="VH134" s="1574"/>
      <c r="VI134" s="1574"/>
      <c r="VJ134" s="1574"/>
      <c r="VK134" s="1574"/>
    </row>
    <row r="135" spans="1:583" ht="27" x14ac:dyDescent="0.25">
      <c r="B135" s="1610" t="s">
        <v>2836</v>
      </c>
      <c r="C135" s="1582" t="s">
        <v>2837</v>
      </c>
      <c r="D135" s="4710" t="s">
        <v>2838</v>
      </c>
      <c r="E135" s="4710">
        <v>0</v>
      </c>
      <c r="F135" s="1912"/>
      <c r="G135" s="1912"/>
      <c r="H135" s="1912"/>
      <c r="I135" s="1576"/>
      <c r="J135" s="1576"/>
      <c r="K135" s="1576"/>
      <c r="L135" s="1576"/>
      <c r="M135" s="1576"/>
      <c r="N135" s="1576"/>
      <c r="O135" s="1576"/>
      <c r="P135" s="1576"/>
      <c r="Q135" s="1576"/>
      <c r="R135" s="1576"/>
      <c r="S135" s="1576"/>
      <c r="T135" s="1576"/>
      <c r="U135" s="1576"/>
      <c r="V135" s="1576"/>
      <c r="W135" s="1576"/>
      <c r="X135" s="1576"/>
      <c r="Y135" s="1576"/>
      <c r="Z135" s="1576"/>
      <c r="AA135" s="1576"/>
      <c r="AB135" s="1576"/>
      <c r="AC135" s="1576"/>
      <c r="AD135" s="1576"/>
      <c r="AE135" s="1576"/>
      <c r="AF135" s="1576"/>
      <c r="AG135" s="1576"/>
      <c r="AH135" s="1576"/>
      <c r="AI135" s="1576"/>
      <c r="AJ135" s="1576"/>
      <c r="AK135" s="1576"/>
      <c r="AL135" s="1576"/>
      <c r="AM135" s="1576"/>
      <c r="AN135" s="1576"/>
      <c r="AO135" s="1576"/>
      <c r="AP135" s="1576"/>
      <c r="AQ135" s="1576"/>
      <c r="AR135" s="1576"/>
      <c r="AS135" s="1576"/>
      <c r="AT135" s="1576"/>
      <c r="AU135" s="1576"/>
      <c r="AV135" s="1576"/>
      <c r="AW135" s="1576"/>
      <c r="AX135" s="1576"/>
      <c r="AY135" s="1576"/>
      <c r="AZ135" s="1576"/>
      <c r="BA135" s="1576"/>
      <c r="BB135" s="1576"/>
      <c r="BC135" s="1576"/>
      <c r="BD135" s="1576"/>
      <c r="BE135" s="1576"/>
      <c r="BF135" s="1576"/>
      <c r="BG135" s="1576"/>
      <c r="BH135" s="1576"/>
      <c r="BI135" s="1576"/>
      <c r="BJ135" s="1576"/>
      <c r="BK135" s="1576"/>
      <c r="BL135" s="1576"/>
      <c r="BM135" s="1576"/>
      <c r="BN135" s="1576"/>
      <c r="BO135" s="1576"/>
      <c r="BP135" s="1576"/>
      <c r="BQ135" s="1576"/>
      <c r="BR135" s="1576"/>
      <c r="BS135" s="1576"/>
      <c r="BT135" s="1576"/>
      <c r="BU135" s="1576"/>
      <c r="BV135" s="1576"/>
      <c r="BW135" s="1576"/>
      <c r="BX135" s="1576"/>
      <c r="BY135" s="1576"/>
      <c r="BZ135" s="1576"/>
      <c r="CA135" s="1576"/>
      <c r="CB135" s="1576"/>
      <c r="CC135" s="1576"/>
      <c r="CD135" s="1576"/>
      <c r="CE135" s="1576"/>
      <c r="CF135" s="1576"/>
      <c r="CG135" s="1576"/>
      <c r="CH135" s="1576"/>
      <c r="CI135" s="1576"/>
      <c r="CJ135" s="1576"/>
      <c r="CK135" s="1576"/>
      <c r="CL135" s="1576"/>
      <c r="CM135" s="1576"/>
      <c r="CN135" s="1576"/>
      <c r="CO135" s="1576"/>
      <c r="CP135" s="1576"/>
      <c r="CQ135" s="1576"/>
      <c r="CR135" s="1576"/>
      <c r="CS135" s="1576"/>
      <c r="CT135" s="1576"/>
      <c r="CU135" s="1576"/>
      <c r="CV135" s="1576"/>
      <c r="CW135" s="1576"/>
      <c r="CX135" s="1576"/>
      <c r="CY135" s="1576"/>
      <c r="CZ135" s="1576"/>
      <c r="DA135" s="1576"/>
      <c r="DB135" s="1576"/>
      <c r="DC135" s="1576"/>
      <c r="DD135" s="1576"/>
      <c r="DE135" s="1576"/>
      <c r="DF135" s="1576"/>
      <c r="DG135" s="1576"/>
      <c r="DH135" s="1576"/>
      <c r="DI135" s="1576"/>
      <c r="DJ135" s="1576"/>
      <c r="DK135" s="1576"/>
      <c r="DL135" s="1576"/>
      <c r="DM135" s="1576"/>
      <c r="DN135" s="1576"/>
      <c r="DO135" s="1576"/>
      <c r="DP135" s="1576"/>
      <c r="DQ135" s="1576"/>
      <c r="DR135" s="1576"/>
      <c r="DS135" s="1576"/>
      <c r="DT135" s="1576"/>
      <c r="DU135" s="1576"/>
      <c r="DV135" s="1576"/>
      <c r="DW135" s="1576"/>
      <c r="DX135" s="1576"/>
      <c r="DY135" s="1576"/>
      <c r="DZ135" s="1576"/>
      <c r="EA135" s="1576"/>
      <c r="EB135" s="1576"/>
      <c r="EC135" s="1576"/>
      <c r="ED135" s="1576"/>
      <c r="EE135" s="1576"/>
      <c r="EF135" s="1576"/>
      <c r="EG135" s="1576"/>
      <c r="EH135" s="1576"/>
      <c r="EI135" s="1576"/>
      <c r="EJ135" s="1576"/>
      <c r="EK135" s="1576"/>
      <c r="EL135" s="1576"/>
      <c r="EM135" s="1576"/>
      <c r="EN135" s="1576"/>
      <c r="EO135" s="1576"/>
      <c r="EP135" s="1576"/>
      <c r="EQ135" s="1576"/>
      <c r="ER135" s="1576"/>
      <c r="ES135" s="1576"/>
      <c r="ET135" s="1576"/>
      <c r="EU135" s="1576"/>
      <c r="EV135" s="1576"/>
      <c r="EW135" s="1576"/>
      <c r="EX135" s="1576"/>
      <c r="EY135" s="1576"/>
      <c r="EZ135" s="1576"/>
      <c r="FA135" s="1576"/>
      <c r="FB135" s="1576"/>
      <c r="FC135" s="1576"/>
      <c r="FD135" s="1576"/>
      <c r="FE135" s="1576"/>
      <c r="FF135" s="1576"/>
      <c r="FG135" s="1576"/>
      <c r="FH135" s="1576"/>
      <c r="FI135" s="1576"/>
      <c r="FJ135" s="1576"/>
      <c r="FK135" s="1576"/>
      <c r="FL135" s="1576"/>
      <c r="FM135" s="1576"/>
      <c r="FN135" s="1576"/>
      <c r="FO135" s="1576"/>
      <c r="FP135" s="1576"/>
      <c r="FQ135" s="1576"/>
      <c r="FR135" s="1576"/>
      <c r="FS135" s="1576"/>
      <c r="FT135" s="1576"/>
      <c r="FU135" s="1576"/>
      <c r="FV135" s="1576"/>
      <c r="FW135" s="1576"/>
      <c r="FX135" s="1576"/>
      <c r="FY135" s="1576"/>
      <c r="FZ135" s="1576"/>
      <c r="GA135" s="1576"/>
      <c r="GB135" s="1576"/>
      <c r="GC135" s="1576"/>
      <c r="GD135" s="1576"/>
      <c r="GE135" s="1576"/>
      <c r="GF135" s="1576"/>
      <c r="GG135" s="1576"/>
      <c r="GH135" s="1576"/>
      <c r="GI135" s="1576"/>
      <c r="GJ135" s="1576"/>
      <c r="GK135" s="1576"/>
      <c r="GL135" s="1576"/>
      <c r="GM135" s="1576"/>
      <c r="GN135" s="1576"/>
      <c r="GO135" s="1576"/>
      <c r="GP135" s="1576"/>
      <c r="GQ135" s="1576"/>
      <c r="GR135" s="1576"/>
      <c r="GS135" s="1576"/>
      <c r="GT135" s="1576"/>
      <c r="GU135" s="1576"/>
      <c r="GV135" s="1576"/>
      <c r="GW135" s="1576"/>
      <c r="GX135" s="1576"/>
      <c r="GY135" s="1576"/>
      <c r="GZ135" s="1576"/>
      <c r="HA135" s="1576"/>
      <c r="HB135" s="1576"/>
      <c r="HC135" s="1576"/>
      <c r="HD135" s="1576"/>
      <c r="HE135" s="1576"/>
      <c r="HF135" s="1576"/>
      <c r="HG135" s="1576"/>
      <c r="HH135" s="1576"/>
      <c r="HI135" s="1576"/>
      <c r="HJ135" s="1576"/>
      <c r="HK135" s="1576"/>
      <c r="HL135" s="1576"/>
      <c r="HM135" s="1576"/>
      <c r="HN135" s="1576"/>
      <c r="HO135" s="1576"/>
      <c r="HP135" s="1576"/>
      <c r="HQ135" s="1576"/>
      <c r="HR135" s="1576"/>
      <c r="HS135" s="1576"/>
      <c r="HT135" s="1576"/>
      <c r="HU135" s="1576"/>
      <c r="HV135" s="1576"/>
      <c r="HW135" s="1576"/>
      <c r="HX135" s="1576"/>
      <c r="HY135" s="1576"/>
      <c r="HZ135" s="1576"/>
      <c r="IA135" s="1576"/>
      <c r="IB135" s="1576"/>
      <c r="IC135" s="1576"/>
      <c r="ID135" s="1576"/>
      <c r="IE135" s="1576"/>
      <c r="IF135" s="1576"/>
      <c r="IG135" s="1576"/>
      <c r="IH135" s="1576"/>
      <c r="II135" s="1576"/>
      <c r="IJ135" s="1576"/>
      <c r="IK135" s="1576"/>
      <c r="IL135" s="1576"/>
      <c r="IM135" s="1576"/>
      <c r="IN135" s="1576"/>
      <c r="IO135" s="1576"/>
      <c r="IP135" s="1576"/>
      <c r="IQ135" s="1576"/>
      <c r="IR135" s="1576"/>
      <c r="IS135" s="1576"/>
      <c r="IT135" s="1576"/>
      <c r="IU135" s="1576"/>
      <c r="IV135" s="1576"/>
      <c r="IW135" s="1576"/>
      <c r="IX135" s="1576"/>
      <c r="IY135" s="1576"/>
      <c r="IZ135" s="1576"/>
      <c r="JA135" s="2054"/>
      <c r="JB135" s="2054"/>
      <c r="JC135" s="2054"/>
      <c r="JD135" s="2054"/>
      <c r="JE135" s="2054"/>
      <c r="JF135" s="2054"/>
      <c r="JG135" s="2054"/>
      <c r="JH135" s="2054"/>
      <c r="JI135" s="2054"/>
      <c r="JJ135" s="2054"/>
      <c r="JK135" s="2054"/>
      <c r="JL135" s="2054"/>
      <c r="JM135" s="2054"/>
      <c r="JN135" s="2054"/>
      <c r="JO135" s="2054"/>
      <c r="JP135" s="2054"/>
      <c r="JQ135" s="2054"/>
      <c r="JR135" s="1576"/>
      <c r="JS135" s="1576"/>
      <c r="JT135" s="1576"/>
      <c r="JU135" s="1576"/>
      <c r="JV135" s="1576"/>
      <c r="JW135" s="1576"/>
      <c r="JX135" s="1576"/>
      <c r="JY135" s="1576"/>
      <c r="JZ135" s="1576"/>
      <c r="KA135" s="1576"/>
      <c r="KB135" s="1576"/>
      <c r="KC135" s="1576"/>
      <c r="KD135" s="1576"/>
      <c r="KE135" s="1576"/>
      <c r="KF135" s="1576"/>
      <c r="KG135" s="1576"/>
      <c r="KH135" s="1576"/>
      <c r="KI135" s="1576"/>
      <c r="KJ135" s="1576"/>
      <c r="KK135" s="1576"/>
      <c r="KL135" s="1576"/>
      <c r="KM135" s="1576"/>
      <c r="KN135" s="1576"/>
      <c r="KO135" s="1576"/>
      <c r="KP135" s="1576"/>
      <c r="KQ135" s="1576"/>
      <c r="KR135" s="1576"/>
      <c r="KS135" s="1576"/>
      <c r="KT135" s="1576"/>
      <c r="KU135" s="1576"/>
      <c r="KV135" s="1576"/>
      <c r="KW135" s="1576"/>
      <c r="KX135" s="1576"/>
      <c r="KY135" s="1576"/>
      <c r="KZ135" s="1576"/>
      <c r="LA135" s="1576"/>
      <c r="LB135" s="1576"/>
      <c r="LC135" s="1576"/>
      <c r="LD135" s="1576"/>
      <c r="LE135" s="1576"/>
      <c r="LF135" s="1576"/>
      <c r="LG135" s="1576"/>
      <c r="LH135" s="1576"/>
      <c r="LI135" s="1576"/>
      <c r="LJ135" s="1576"/>
      <c r="LK135" s="1576"/>
      <c r="LL135" s="1576"/>
      <c r="LM135" s="1576"/>
      <c r="LN135" s="1576"/>
      <c r="LO135" s="1576"/>
      <c r="LP135" s="1576"/>
      <c r="LQ135" s="1576"/>
      <c r="LR135" s="1576"/>
      <c r="LS135" s="1576"/>
      <c r="LT135" s="1576"/>
      <c r="LU135" s="1576"/>
      <c r="LV135" s="1576"/>
      <c r="LW135" s="1576"/>
      <c r="LX135" s="1576"/>
      <c r="LY135" s="1576"/>
      <c r="LZ135" s="1576"/>
      <c r="MA135" s="1576"/>
      <c r="MB135" s="1576"/>
      <c r="MC135" s="1576"/>
      <c r="MD135" s="1576"/>
      <c r="ME135" s="1576"/>
      <c r="MF135" s="1576"/>
      <c r="MG135" s="1576"/>
      <c r="MH135" s="1576"/>
      <c r="MI135" s="1576"/>
      <c r="MJ135" s="1576"/>
      <c r="MK135" s="1576"/>
      <c r="ML135" s="1576"/>
      <c r="MM135" s="1576"/>
      <c r="MN135" s="1576"/>
      <c r="MO135" s="1576"/>
      <c r="MP135" s="1576"/>
      <c r="MQ135" s="1576"/>
      <c r="MR135" s="1576"/>
      <c r="MS135" s="1576"/>
      <c r="MT135" s="1576"/>
      <c r="MU135" s="1576"/>
      <c r="MV135" s="1576"/>
      <c r="MW135" s="1576"/>
      <c r="MX135" s="1576"/>
      <c r="MY135" s="1576"/>
      <c r="MZ135" s="1576"/>
      <c r="NA135" s="1576"/>
      <c r="NB135" s="1576"/>
      <c r="NC135" s="1576"/>
      <c r="ND135" s="1576"/>
      <c r="NE135" s="1576"/>
      <c r="NF135" s="1576"/>
      <c r="NG135" s="1576"/>
      <c r="NH135" s="1576"/>
      <c r="NI135" s="1576"/>
      <c r="NJ135" s="1576"/>
      <c r="NK135" s="1576"/>
      <c r="NL135" s="1576"/>
      <c r="NM135" s="1576"/>
      <c r="NN135" s="1576"/>
      <c r="NO135" s="1576"/>
      <c r="NP135" s="1576"/>
      <c r="NQ135" s="1576"/>
      <c r="NR135" s="1576"/>
      <c r="NS135" s="1576"/>
      <c r="NT135" s="1576"/>
      <c r="NU135" s="1576"/>
      <c r="NV135" s="1576"/>
      <c r="NW135" s="1576"/>
      <c r="NX135" s="1576"/>
      <c r="NY135" s="1576"/>
      <c r="NZ135" s="1576"/>
      <c r="OA135" s="1576"/>
      <c r="OB135" s="1576"/>
      <c r="OC135" s="1576"/>
      <c r="OD135" s="1576"/>
      <c r="OE135" s="1576"/>
      <c r="OF135" s="1576"/>
      <c r="OG135" s="1576"/>
      <c r="OH135" s="1576"/>
      <c r="OI135" s="1576"/>
      <c r="OJ135" s="1576"/>
      <c r="OK135" s="1576"/>
      <c r="OL135" s="1576"/>
      <c r="OM135" s="1576"/>
      <c r="ON135" s="1576"/>
      <c r="OO135" s="1576"/>
      <c r="OP135" s="1576"/>
      <c r="OQ135" s="1576"/>
      <c r="OR135" s="1576"/>
      <c r="OS135" s="1576"/>
      <c r="OT135" s="1576"/>
      <c r="OU135" s="1576"/>
      <c r="OV135" s="1576"/>
      <c r="OW135" s="1576"/>
      <c r="OX135" s="1576"/>
      <c r="OY135" s="1576"/>
      <c r="OZ135" s="1576"/>
      <c r="PA135" s="1576"/>
      <c r="PB135" s="1576"/>
      <c r="PC135" s="1576"/>
      <c r="PD135" s="1576"/>
      <c r="PE135" s="1576"/>
      <c r="PF135" s="1576"/>
      <c r="PG135" s="1576"/>
      <c r="PH135" s="1576"/>
      <c r="PI135" s="1576"/>
      <c r="PJ135" s="1576"/>
      <c r="PK135" s="1576"/>
      <c r="PL135" s="1576"/>
      <c r="PM135" s="1576"/>
      <c r="PN135" s="1576"/>
      <c r="PO135" s="1576"/>
      <c r="PP135" s="1576"/>
      <c r="PQ135" s="1576"/>
      <c r="PR135" s="1576"/>
      <c r="PS135" s="1576"/>
      <c r="PT135" s="1576"/>
      <c r="PU135" s="1576"/>
      <c r="PV135" s="1576"/>
      <c r="PW135" s="1576"/>
      <c r="PX135" s="1576"/>
      <c r="PY135" s="1576"/>
      <c r="PZ135" s="1576"/>
      <c r="QA135" s="1576"/>
      <c r="QB135" s="1576"/>
      <c r="QC135" s="1576"/>
      <c r="QD135" s="1576"/>
      <c r="QE135" s="1576"/>
      <c r="QF135" s="1576"/>
      <c r="QG135" s="1576"/>
      <c r="QH135" s="1576"/>
      <c r="QI135" s="1576"/>
      <c r="QJ135" s="1576"/>
      <c r="QK135" s="1576"/>
      <c r="QL135" s="1576"/>
      <c r="QM135" s="1576"/>
      <c r="QN135" s="1576"/>
      <c r="QO135" s="1576"/>
      <c r="QP135" s="1576"/>
      <c r="QQ135" s="1576"/>
      <c r="QR135" s="1576"/>
      <c r="QS135" s="1576"/>
      <c r="QT135" s="1576"/>
      <c r="QU135" s="1576"/>
      <c r="QV135" s="1576"/>
      <c r="QW135" s="1576"/>
      <c r="QX135" s="1576"/>
      <c r="QY135" s="1576"/>
      <c r="QZ135" s="1576"/>
      <c r="RA135" s="1576"/>
      <c r="RB135" s="1576"/>
      <c r="RC135" s="1576"/>
      <c r="RD135" s="1576"/>
      <c r="RE135" s="1576"/>
      <c r="RF135" s="1576"/>
      <c r="RG135" s="1576"/>
      <c r="RH135" s="1576"/>
      <c r="RI135" s="1576"/>
      <c r="RJ135" s="1576"/>
      <c r="RK135" s="1576"/>
      <c r="RL135" s="1576"/>
      <c r="RM135" s="1576"/>
      <c r="RN135" s="1576"/>
      <c r="RO135" s="1576"/>
      <c r="RP135" s="1576"/>
      <c r="RQ135" s="1576"/>
      <c r="RR135" s="1576"/>
      <c r="RS135" s="1576"/>
      <c r="RT135" s="1576"/>
      <c r="RU135" s="1576"/>
      <c r="RV135" s="1576"/>
      <c r="RW135" s="1576"/>
      <c r="RX135" s="1576"/>
      <c r="RY135" s="1576"/>
      <c r="RZ135" s="1576"/>
      <c r="SA135" s="1576"/>
      <c r="SB135" s="1576"/>
      <c r="SC135" s="1576"/>
      <c r="SD135" s="1576"/>
      <c r="SE135" s="1576"/>
      <c r="SF135" s="1576"/>
      <c r="SG135" s="1576"/>
      <c r="SH135" s="1576"/>
      <c r="SI135" s="1576"/>
      <c r="SJ135" s="1576"/>
      <c r="SK135" s="1576"/>
      <c r="SL135" s="1576"/>
      <c r="SM135" s="1576"/>
      <c r="SN135" s="1576"/>
      <c r="SO135" s="1576"/>
      <c r="SP135" s="1576"/>
      <c r="SQ135" s="1576"/>
      <c r="SR135" s="1576"/>
      <c r="SS135" s="1576"/>
      <c r="ST135" s="1576"/>
      <c r="SU135" s="1576"/>
      <c r="SV135" s="1576"/>
      <c r="SW135" s="1576"/>
      <c r="SX135" s="1576"/>
      <c r="SY135" s="1576"/>
      <c r="SZ135" s="1576"/>
      <c r="TA135" s="1576"/>
      <c r="TB135" s="1576"/>
      <c r="TC135" s="1576"/>
      <c r="TD135" s="1576"/>
      <c r="TE135" s="1576"/>
      <c r="TF135" s="1576"/>
      <c r="TG135" s="1576"/>
      <c r="TH135" s="1576"/>
      <c r="TI135" s="1576"/>
      <c r="TJ135" s="1576"/>
      <c r="TK135" s="1576"/>
      <c r="TL135" s="1576"/>
      <c r="TM135" s="1576"/>
      <c r="TN135" s="1576"/>
      <c r="TO135" s="1576"/>
      <c r="TP135" s="1576"/>
      <c r="TQ135" s="1576"/>
      <c r="TR135" s="1576"/>
      <c r="TS135" s="1576"/>
      <c r="TT135" s="1576"/>
      <c r="TU135" s="1576"/>
      <c r="TV135" s="1576"/>
      <c r="TW135" s="1576"/>
      <c r="TX135" s="1576"/>
      <c r="TY135" s="1576"/>
      <c r="TZ135" s="1576"/>
      <c r="UA135" s="1576"/>
      <c r="UB135" s="1576"/>
      <c r="UC135" s="1576"/>
      <c r="UD135" s="1576"/>
      <c r="UE135" s="1576"/>
      <c r="UF135" s="1576"/>
      <c r="UG135" s="1576"/>
      <c r="UH135" s="1576"/>
      <c r="UI135" s="1576"/>
      <c r="UJ135" s="1576"/>
      <c r="UK135" s="1576"/>
      <c r="UL135" s="1576"/>
      <c r="UM135" s="1576"/>
      <c r="UN135" s="1576"/>
      <c r="UO135" s="1576"/>
      <c r="UP135" s="1576"/>
      <c r="UQ135" s="1576"/>
      <c r="UR135" s="1576"/>
      <c r="US135" s="1576"/>
      <c r="UT135" s="1576"/>
      <c r="UU135" s="1576"/>
      <c r="UV135" s="1576"/>
      <c r="UW135" s="1576"/>
      <c r="UX135" s="1576"/>
      <c r="UY135" s="1576"/>
      <c r="UZ135" s="1576"/>
      <c r="VA135" s="1576"/>
      <c r="VB135" s="1576"/>
      <c r="VC135" s="1576"/>
      <c r="VD135" s="1576"/>
      <c r="VE135" s="1576"/>
      <c r="VF135" s="1576"/>
      <c r="VG135" s="1576"/>
      <c r="VH135" s="1576"/>
      <c r="VI135" s="1576"/>
      <c r="VJ135" s="1576"/>
      <c r="VK135" s="1576"/>
    </row>
    <row r="136" spans="1:583" ht="22.5" customHeight="1" x14ac:dyDescent="0.25">
      <c r="B136" s="4710" t="s">
        <v>1351</v>
      </c>
      <c r="C136" s="4713" t="s">
        <v>2839</v>
      </c>
      <c r="D136" s="4713" t="s">
        <v>2840</v>
      </c>
      <c r="E136" s="1582" t="s">
        <v>2841</v>
      </c>
      <c r="F136" s="1912"/>
      <c r="G136" s="1912"/>
      <c r="H136" s="1912"/>
      <c r="I136" s="1576"/>
      <c r="J136" s="1576"/>
      <c r="K136" s="1576"/>
      <c r="L136" s="1576"/>
      <c r="M136" s="1576"/>
      <c r="N136" s="1576"/>
      <c r="O136" s="1576"/>
      <c r="P136" s="1576"/>
      <c r="Q136" s="1576"/>
      <c r="R136" s="1576"/>
      <c r="S136" s="1576"/>
      <c r="T136" s="1576"/>
      <c r="U136" s="1576"/>
      <c r="V136" s="1576"/>
      <c r="W136" s="1576"/>
      <c r="X136" s="1576"/>
      <c r="Y136" s="1576"/>
      <c r="Z136" s="1576"/>
      <c r="AA136" s="1576"/>
      <c r="AB136" s="1576"/>
      <c r="AC136" s="1576"/>
      <c r="AD136" s="1576"/>
      <c r="AE136" s="1576"/>
      <c r="AF136" s="1576"/>
      <c r="AG136" s="1576"/>
      <c r="AH136" s="1576"/>
      <c r="AI136" s="1576"/>
      <c r="AJ136" s="1576"/>
      <c r="AK136" s="1576"/>
      <c r="AL136" s="1576"/>
      <c r="AM136" s="1576"/>
      <c r="AN136" s="1576"/>
      <c r="AO136" s="1576"/>
      <c r="AP136" s="1576"/>
      <c r="AQ136" s="1576"/>
      <c r="AR136" s="1576"/>
      <c r="AS136" s="1576"/>
      <c r="AT136" s="1576"/>
      <c r="AU136" s="1576"/>
      <c r="AV136" s="1576"/>
      <c r="AW136" s="1576"/>
      <c r="AX136" s="1576"/>
      <c r="AY136" s="1576"/>
      <c r="AZ136" s="1576"/>
      <c r="BA136" s="1576"/>
      <c r="BB136" s="1576"/>
      <c r="BC136" s="1576"/>
      <c r="BD136" s="1576"/>
      <c r="BE136" s="1576"/>
      <c r="BF136" s="1576"/>
      <c r="BG136" s="1576"/>
      <c r="BH136" s="1576"/>
      <c r="BI136" s="1576"/>
      <c r="BJ136" s="1576"/>
      <c r="BK136" s="1576"/>
      <c r="BL136" s="1576"/>
      <c r="BM136" s="1576"/>
      <c r="BN136" s="1576"/>
      <c r="BO136" s="1576"/>
      <c r="BP136" s="1576"/>
      <c r="BQ136" s="1576"/>
      <c r="BR136" s="1576"/>
      <c r="BS136" s="1576"/>
      <c r="BT136" s="1576"/>
      <c r="BU136" s="1576"/>
      <c r="BV136" s="1576"/>
      <c r="BW136" s="1576"/>
      <c r="BX136" s="1576"/>
      <c r="BY136" s="1576"/>
      <c r="BZ136" s="1576"/>
      <c r="CA136" s="1576"/>
      <c r="CB136" s="1576"/>
      <c r="CC136" s="1576"/>
      <c r="CD136" s="1576"/>
      <c r="CE136" s="1576"/>
      <c r="CF136" s="1576"/>
      <c r="CG136" s="1576"/>
      <c r="CH136" s="1576"/>
      <c r="CI136" s="1576"/>
      <c r="CJ136" s="1576"/>
      <c r="CK136" s="1576"/>
      <c r="CL136" s="1576"/>
      <c r="CM136" s="1576"/>
      <c r="CN136" s="1576"/>
      <c r="CO136" s="1576"/>
      <c r="CP136" s="1576"/>
      <c r="CQ136" s="1576"/>
      <c r="CR136" s="1576"/>
      <c r="CS136" s="1576"/>
      <c r="CT136" s="1576"/>
      <c r="CU136" s="1576"/>
      <c r="CV136" s="1576"/>
      <c r="CW136" s="1576"/>
      <c r="CX136" s="1576"/>
      <c r="CY136" s="1576"/>
      <c r="CZ136" s="1576"/>
      <c r="DA136" s="1576"/>
      <c r="DB136" s="1576"/>
      <c r="DC136" s="1576"/>
      <c r="DD136" s="1576"/>
      <c r="DE136" s="1576"/>
      <c r="DF136" s="1576"/>
      <c r="DG136" s="1576"/>
      <c r="DH136" s="1576"/>
      <c r="DI136" s="1576"/>
      <c r="DJ136" s="1576"/>
      <c r="DK136" s="1576"/>
      <c r="DL136" s="1576"/>
      <c r="DM136" s="1576"/>
      <c r="DN136" s="1576"/>
      <c r="DO136" s="1576"/>
      <c r="DP136" s="1576"/>
      <c r="DQ136" s="1576"/>
      <c r="DR136" s="1576"/>
      <c r="DS136" s="1576"/>
      <c r="DT136" s="1576"/>
      <c r="DU136" s="1576"/>
      <c r="DV136" s="1576"/>
      <c r="DW136" s="1576"/>
      <c r="DX136" s="1576"/>
      <c r="DY136" s="1576"/>
      <c r="DZ136" s="1576"/>
      <c r="EA136" s="1576"/>
      <c r="EB136" s="1576"/>
      <c r="EC136" s="1576"/>
      <c r="ED136" s="1576"/>
      <c r="EE136" s="1576"/>
      <c r="EF136" s="1576"/>
      <c r="EG136" s="1576"/>
      <c r="EH136" s="1576"/>
      <c r="EI136" s="1576"/>
      <c r="EJ136" s="1576"/>
      <c r="EK136" s="1576"/>
      <c r="EL136" s="1576"/>
      <c r="EM136" s="1576"/>
      <c r="EN136" s="1576"/>
      <c r="EO136" s="1576"/>
      <c r="EP136" s="1576"/>
      <c r="EQ136" s="1576"/>
      <c r="ER136" s="1576"/>
      <c r="ES136" s="1576"/>
      <c r="ET136" s="1576"/>
      <c r="EU136" s="1576"/>
      <c r="EV136" s="1576"/>
      <c r="EW136" s="1576"/>
      <c r="EX136" s="1576"/>
      <c r="EY136" s="1576"/>
      <c r="EZ136" s="1576"/>
      <c r="FA136" s="1576"/>
      <c r="FB136" s="1576"/>
      <c r="FC136" s="1576"/>
      <c r="FD136" s="1576"/>
      <c r="FE136" s="1576"/>
      <c r="FF136" s="1576"/>
      <c r="FG136" s="1576"/>
      <c r="FH136" s="1576"/>
      <c r="FI136" s="1576"/>
      <c r="FJ136" s="1576"/>
      <c r="FK136" s="1576"/>
      <c r="FL136" s="1576"/>
      <c r="FM136" s="1576"/>
      <c r="FN136" s="1576"/>
      <c r="FO136" s="1576"/>
      <c r="FP136" s="1576"/>
      <c r="FQ136" s="1576"/>
      <c r="FR136" s="1576"/>
      <c r="FS136" s="1576"/>
      <c r="FT136" s="1576"/>
      <c r="FU136" s="1576"/>
      <c r="FV136" s="1576"/>
      <c r="FW136" s="1576"/>
      <c r="FX136" s="1576"/>
      <c r="FY136" s="1576"/>
      <c r="FZ136" s="1576"/>
      <c r="GA136" s="1576"/>
      <c r="GB136" s="1576"/>
      <c r="GC136" s="1576"/>
      <c r="GD136" s="1576"/>
      <c r="GE136" s="1576"/>
      <c r="GF136" s="1576"/>
      <c r="GG136" s="1576"/>
      <c r="GH136" s="1576"/>
      <c r="GI136" s="1576"/>
      <c r="GJ136" s="1576"/>
      <c r="GK136" s="1576"/>
      <c r="GL136" s="1576"/>
      <c r="GM136" s="1576"/>
      <c r="GN136" s="1576"/>
      <c r="GO136" s="1576"/>
      <c r="GP136" s="1576"/>
      <c r="GQ136" s="1576"/>
      <c r="GR136" s="1576"/>
      <c r="GS136" s="1576"/>
      <c r="GT136" s="1576"/>
      <c r="GU136" s="1576"/>
      <c r="GV136" s="1576"/>
      <c r="GW136" s="1576"/>
      <c r="GX136" s="1576"/>
      <c r="GY136" s="1576"/>
      <c r="GZ136" s="1576"/>
      <c r="HA136" s="1576"/>
      <c r="HB136" s="1576"/>
      <c r="HC136" s="1576"/>
      <c r="HD136" s="1576"/>
      <c r="HE136" s="1576"/>
      <c r="HF136" s="1576"/>
      <c r="HG136" s="1576"/>
      <c r="HH136" s="1576"/>
      <c r="HI136" s="1576"/>
      <c r="HJ136" s="1576"/>
      <c r="HK136" s="1576"/>
      <c r="HL136" s="1576"/>
      <c r="HM136" s="1576"/>
      <c r="HN136" s="1576"/>
      <c r="HO136" s="1576"/>
      <c r="HP136" s="1576"/>
      <c r="HQ136" s="1576"/>
      <c r="HR136" s="1576"/>
      <c r="HS136" s="1576"/>
      <c r="HT136" s="1576"/>
      <c r="HU136" s="1576"/>
      <c r="HV136" s="1576"/>
      <c r="HW136" s="1576"/>
      <c r="HX136" s="1576"/>
      <c r="HY136" s="1576"/>
      <c r="HZ136" s="1576"/>
      <c r="IA136" s="1576"/>
      <c r="IB136" s="1576"/>
      <c r="IC136" s="1576"/>
      <c r="ID136" s="1576"/>
      <c r="IE136" s="1576"/>
      <c r="IF136" s="1576"/>
      <c r="IG136" s="1576"/>
      <c r="IH136" s="1576"/>
      <c r="II136" s="1576"/>
      <c r="IJ136" s="1576"/>
      <c r="IK136" s="1576"/>
      <c r="IL136" s="1576"/>
      <c r="IM136" s="1576"/>
      <c r="IN136" s="1576"/>
      <c r="IO136" s="1576"/>
      <c r="IP136" s="1576"/>
      <c r="IQ136" s="1576"/>
      <c r="IR136" s="1576"/>
      <c r="IS136" s="1576"/>
      <c r="IT136" s="1576"/>
      <c r="IU136" s="1576"/>
      <c r="IV136" s="1576"/>
      <c r="IW136" s="1576"/>
      <c r="IX136" s="1576"/>
      <c r="IY136" s="1576"/>
      <c r="IZ136" s="1576"/>
      <c r="JA136" s="2054"/>
      <c r="JB136" s="2054"/>
      <c r="JC136" s="2054"/>
      <c r="JD136" s="2054"/>
      <c r="JE136" s="2054"/>
      <c r="JF136" s="2054"/>
      <c r="JG136" s="2054"/>
      <c r="JH136" s="2054"/>
      <c r="JI136" s="2054"/>
      <c r="JJ136" s="2054"/>
      <c r="JK136" s="2054"/>
      <c r="JL136" s="2054"/>
      <c r="JM136" s="2054"/>
      <c r="JN136" s="2054"/>
      <c r="JO136" s="2054"/>
      <c r="JP136" s="2054"/>
      <c r="JQ136" s="2054"/>
      <c r="JR136" s="1576"/>
      <c r="JS136" s="1576"/>
      <c r="JT136" s="1576"/>
      <c r="JU136" s="1576"/>
      <c r="JV136" s="1576"/>
      <c r="JW136" s="1576"/>
      <c r="JX136" s="1576"/>
      <c r="JY136" s="1576"/>
      <c r="JZ136" s="1576"/>
      <c r="KA136" s="1576"/>
      <c r="KB136" s="1576"/>
      <c r="KC136" s="1576"/>
      <c r="KD136" s="1576"/>
      <c r="KE136" s="1576"/>
      <c r="KF136" s="1576"/>
      <c r="KG136" s="1576"/>
      <c r="KH136" s="1576"/>
      <c r="KI136" s="1576"/>
      <c r="KJ136" s="1576"/>
      <c r="KK136" s="1576"/>
      <c r="KL136" s="1576"/>
      <c r="KM136" s="1576"/>
      <c r="KN136" s="1576"/>
      <c r="KO136" s="1576"/>
      <c r="KP136" s="1576"/>
      <c r="KQ136" s="1576"/>
      <c r="KR136" s="1576"/>
      <c r="KS136" s="1576"/>
      <c r="KT136" s="1576"/>
      <c r="KU136" s="1576"/>
      <c r="KV136" s="1576"/>
      <c r="KW136" s="1576"/>
      <c r="KX136" s="1576"/>
      <c r="KY136" s="1576"/>
      <c r="KZ136" s="1576"/>
      <c r="LA136" s="1576"/>
      <c r="LB136" s="1576"/>
      <c r="LC136" s="1576"/>
      <c r="LD136" s="1576"/>
      <c r="LE136" s="1576"/>
      <c r="LF136" s="1576"/>
      <c r="LG136" s="1576"/>
      <c r="LH136" s="1576"/>
      <c r="LI136" s="1576"/>
      <c r="LJ136" s="1576"/>
      <c r="LK136" s="1576"/>
      <c r="LL136" s="1576"/>
      <c r="LM136" s="1576"/>
      <c r="LN136" s="1576"/>
      <c r="LO136" s="1576"/>
      <c r="LP136" s="1576"/>
      <c r="LQ136" s="1576"/>
      <c r="LR136" s="1576"/>
      <c r="LS136" s="1576"/>
      <c r="LT136" s="1576"/>
      <c r="LU136" s="1576"/>
      <c r="LV136" s="1576"/>
      <c r="LW136" s="1576"/>
      <c r="LX136" s="1576"/>
      <c r="LY136" s="1576"/>
      <c r="LZ136" s="1576"/>
      <c r="MA136" s="1576"/>
      <c r="MB136" s="1576"/>
      <c r="MC136" s="1576"/>
      <c r="MD136" s="1576"/>
      <c r="ME136" s="1576"/>
      <c r="MF136" s="1576"/>
      <c r="MG136" s="1576"/>
      <c r="MH136" s="1576"/>
      <c r="MI136" s="1576"/>
      <c r="MJ136" s="1576"/>
      <c r="MK136" s="1576"/>
      <c r="ML136" s="1576"/>
      <c r="MM136" s="1576"/>
      <c r="MN136" s="1576"/>
      <c r="MO136" s="1576"/>
      <c r="MP136" s="1576"/>
      <c r="MQ136" s="1576"/>
      <c r="MR136" s="1576"/>
      <c r="MS136" s="1576"/>
      <c r="MT136" s="1576"/>
      <c r="MU136" s="1576"/>
      <c r="MV136" s="1576"/>
      <c r="MW136" s="1576"/>
      <c r="MX136" s="1576"/>
      <c r="MY136" s="1576"/>
      <c r="MZ136" s="1576"/>
      <c r="NA136" s="1576"/>
      <c r="NB136" s="1576"/>
      <c r="NC136" s="1576"/>
      <c r="ND136" s="1576"/>
      <c r="NE136" s="1576"/>
      <c r="NF136" s="1576"/>
      <c r="NG136" s="1576"/>
      <c r="NH136" s="1576"/>
      <c r="NI136" s="1576"/>
      <c r="NJ136" s="1576"/>
      <c r="NK136" s="1576"/>
      <c r="NL136" s="1576"/>
      <c r="NM136" s="1576"/>
      <c r="NN136" s="1576"/>
      <c r="NO136" s="1576"/>
      <c r="NP136" s="1576"/>
      <c r="NQ136" s="1576"/>
      <c r="NR136" s="1576"/>
      <c r="NS136" s="1576"/>
      <c r="NT136" s="1576"/>
      <c r="NU136" s="1576"/>
      <c r="NV136" s="1576"/>
      <c r="NW136" s="1576"/>
      <c r="NX136" s="1576"/>
      <c r="NY136" s="1576"/>
      <c r="NZ136" s="1576"/>
      <c r="OA136" s="1576"/>
      <c r="OB136" s="1576"/>
      <c r="OC136" s="1576"/>
      <c r="OD136" s="1576"/>
      <c r="OE136" s="1576"/>
      <c r="OF136" s="1576"/>
      <c r="OG136" s="1576"/>
      <c r="OH136" s="1576"/>
      <c r="OI136" s="1576"/>
      <c r="OJ136" s="1576"/>
      <c r="OK136" s="1576"/>
      <c r="OL136" s="1576"/>
      <c r="OM136" s="1576"/>
      <c r="ON136" s="1576"/>
      <c r="OO136" s="1576"/>
      <c r="OP136" s="1576"/>
      <c r="OQ136" s="1576"/>
      <c r="OR136" s="1576"/>
      <c r="OS136" s="1576"/>
      <c r="OT136" s="1576"/>
      <c r="OU136" s="1576"/>
      <c r="OV136" s="1576"/>
      <c r="OW136" s="1576"/>
      <c r="OX136" s="1576"/>
      <c r="OY136" s="1576"/>
      <c r="OZ136" s="1576"/>
      <c r="PA136" s="1576"/>
      <c r="PB136" s="1576"/>
      <c r="PC136" s="1576"/>
      <c r="PD136" s="1576"/>
      <c r="PE136" s="1576"/>
      <c r="PF136" s="1576"/>
      <c r="PG136" s="1576"/>
      <c r="PH136" s="1576"/>
      <c r="PI136" s="1576"/>
      <c r="PJ136" s="1576"/>
      <c r="PK136" s="1576"/>
      <c r="PL136" s="1576"/>
      <c r="PM136" s="1576"/>
      <c r="PN136" s="1576"/>
      <c r="PO136" s="1576"/>
      <c r="PP136" s="1576"/>
      <c r="PQ136" s="1576"/>
      <c r="PR136" s="1576"/>
      <c r="PS136" s="1576"/>
      <c r="PT136" s="1576"/>
      <c r="PU136" s="1576"/>
      <c r="PV136" s="1576"/>
      <c r="PW136" s="1576"/>
      <c r="PX136" s="1576"/>
      <c r="PY136" s="1576"/>
      <c r="PZ136" s="1576"/>
      <c r="QA136" s="1576"/>
      <c r="QB136" s="1576"/>
      <c r="QC136" s="1576"/>
      <c r="QD136" s="1576"/>
      <c r="QE136" s="1576"/>
      <c r="QF136" s="1576"/>
      <c r="QG136" s="1576"/>
      <c r="QH136" s="1576"/>
      <c r="QI136" s="1576"/>
      <c r="QJ136" s="1576"/>
      <c r="QK136" s="1576"/>
      <c r="QL136" s="1576"/>
      <c r="QM136" s="1576"/>
      <c r="QN136" s="1576"/>
      <c r="QO136" s="1576"/>
      <c r="QP136" s="1576"/>
      <c r="QQ136" s="1576"/>
      <c r="QR136" s="1576"/>
      <c r="QS136" s="1576"/>
      <c r="QT136" s="1576"/>
      <c r="QU136" s="1576"/>
      <c r="QV136" s="1576"/>
      <c r="QW136" s="1576"/>
      <c r="QX136" s="1576"/>
      <c r="QY136" s="1576"/>
      <c r="QZ136" s="1576"/>
      <c r="RA136" s="1576"/>
      <c r="RB136" s="1576"/>
      <c r="RC136" s="1576"/>
      <c r="RD136" s="1576"/>
      <c r="RE136" s="1576"/>
      <c r="RF136" s="1576"/>
      <c r="RG136" s="1576"/>
      <c r="RH136" s="1576"/>
      <c r="RI136" s="1576"/>
      <c r="RJ136" s="1576"/>
      <c r="RK136" s="1576"/>
      <c r="RL136" s="1576"/>
      <c r="RM136" s="1576"/>
      <c r="RN136" s="1576"/>
      <c r="RO136" s="1576"/>
      <c r="RP136" s="1576"/>
      <c r="RQ136" s="1576"/>
      <c r="RR136" s="1576"/>
      <c r="RS136" s="1576"/>
      <c r="RT136" s="1576"/>
      <c r="RU136" s="1576"/>
      <c r="RV136" s="1576"/>
      <c r="RW136" s="1576"/>
      <c r="RX136" s="1576"/>
      <c r="RY136" s="1576"/>
      <c r="RZ136" s="1576"/>
      <c r="SA136" s="1576"/>
      <c r="SB136" s="1576"/>
      <c r="SC136" s="1576"/>
      <c r="SD136" s="1576"/>
      <c r="SE136" s="1576"/>
      <c r="SF136" s="1576"/>
      <c r="SG136" s="1576"/>
      <c r="SH136" s="1576"/>
      <c r="SI136" s="1576"/>
      <c r="SJ136" s="1576"/>
      <c r="SK136" s="1576"/>
      <c r="SL136" s="1576"/>
      <c r="SM136" s="1576"/>
      <c r="SN136" s="1576"/>
      <c r="SO136" s="1576"/>
      <c r="SP136" s="1576"/>
      <c r="SQ136" s="1576"/>
      <c r="SR136" s="1576"/>
      <c r="SS136" s="1576"/>
      <c r="ST136" s="1576"/>
      <c r="SU136" s="1576"/>
      <c r="SV136" s="1576"/>
      <c r="SW136" s="1576"/>
      <c r="SX136" s="1576"/>
      <c r="SY136" s="1576"/>
      <c r="SZ136" s="1576"/>
      <c r="TA136" s="1576"/>
      <c r="TB136" s="1576"/>
      <c r="TC136" s="1576"/>
      <c r="TD136" s="1576"/>
      <c r="TE136" s="1576"/>
      <c r="TF136" s="1576"/>
      <c r="TG136" s="1576"/>
      <c r="TH136" s="1576"/>
      <c r="TI136" s="1576"/>
      <c r="TJ136" s="1576"/>
      <c r="TK136" s="1576"/>
      <c r="TL136" s="1576"/>
      <c r="TM136" s="1576"/>
      <c r="TN136" s="1576"/>
      <c r="TO136" s="1576"/>
      <c r="TP136" s="1576"/>
      <c r="TQ136" s="1576"/>
      <c r="TR136" s="1576"/>
      <c r="TS136" s="1576"/>
      <c r="TT136" s="1576"/>
      <c r="TU136" s="1576"/>
      <c r="TV136" s="1576"/>
      <c r="TW136" s="1576"/>
      <c r="TX136" s="1576"/>
      <c r="TY136" s="1576"/>
      <c r="TZ136" s="1576"/>
      <c r="UA136" s="1576"/>
      <c r="UB136" s="1576"/>
      <c r="UC136" s="1576"/>
      <c r="UD136" s="1576"/>
      <c r="UE136" s="1576"/>
      <c r="UF136" s="1576"/>
      <c r="UG136" s="1576"/>
      <c r="UH136" s="1576"/>
      <c r="UI136" s="1576"/>
      <c r="UJ136" s="1576"/>
      <c r="UK136" s="1576"/>
      <c r="UL136" s="1576"/>
      <c r="UM136" s="1576"/>
      <c r="UN136" s="1576"/>
      <c r="UO136" s="1576"/>
      <c r="UP136" s="1576"/>
      <c r="UQ136" s="1576"/>
      <c r="UR136" s="1576"/>
      <c r="US136" s="1576"/>
      <c r="UT136" s="1576"/>
      <c r="UU136" s="1576"/>
      <c r="UV136" s="1576"/>
      <c r="UW136" s="1576"/>
      <c r="UX136" s="1576"/>
      <c r="UY136" s="1576"/>
      <c r="UZ136" s="1576"/>
      <c r="VA136" s="1576"/>
      <c r="VB136" s="1576"/>
      <c r="VC136" s="1576"/>
      <c r="VD136" s="1576"/>
      <c r="VE136" s="1576"/>
      <c r="VF136" s="1576"/>
      <c r="VG136" s="1576"/>
      <c r="VH136" s="1576"/>
      <c r="VI136" s="1576"/>
      <c r="VJ136" s="1576"/>
      <c r="VK136" s="1576"/>
    </row>
    <row r="137" spans="1:583" x14ac:dyDescent="0.25">
      <c r="B137" s="4710"/>
      <c r="C137" s="4713"/>
      <c r="D137" s="4713"/>
      <c r="E137" s="1610" t="s">
        <v>295</v>
      </c>
      <c r="F137" s="1912"/>
      <c r="G137" s="1912"/>
      <c r="H137" s="1912"/>
      <c r="I137" s="1576"/>
      <c r="J137" s="1576"/>
      <c r="K137" s="1576"/>
      <c r="L137" s="1576"/>
      <c r="M137" s="1576"/>
      <c r="N137" s="1576"/>
      <c r="O137" s="1576"/>
      <c r="P137" s="1576"/>
      <c r="Q137" s="1576"/>
      <c r="R137" s="1576"/>
      <c r="S137" s="1576"/>
      <c r="T137" s="1576"/>
      <c r="U137" s="1576"/>
      <c r="V137" s="1576"/>
      <c r="W137" s="1576"/>
      <c r="X137" s="1576"/>
      <c r="Y137" s="1576"/>
      <c r="Z137" s="1576"/>
      <c r="AA137" s="1576"/>
      <c r="AB137" s="1576"/>
      <c r="AC137" s="1576"/>
      <c r="AD137" s="1576"/>
      <c r="AE137" s="1576"/>
      <c r="AF137" s="1576"/>
      <c r="AG137" s="1576"/>
      <c r="AH137" s="1576"/>
      <c r="AI137" s="1576"/>
      <c r="AJ137" s="1576"/>
      <c r="AK137" s="1576"/>
      <c r="AL137" s="1576"/>
      <c r="AM137" s="1576"/>
      <c r="AN137" s="1576"/>
      <c r="AO137" s="1576"/>
      <c r="AP137" s="1576"/>
      <c r="AQ137" s="1576"/>
      <c r="AR137" s="1576"/>
      <c r="AS137" s="1576"/>
      <c r="AT137" s="1576"/>
      <c r="AU137" s="1576"/>
      <c r="AV137" s="1576"/>
      <c r="AW137" s="1576"/>
      <c r="AX137" s="1576"/>
      <c r="AY137" s="1576"/>
      <c r="AZ137" s="1576"/>
      <c r="BA137" s="1576"/>
      <c r="BB137" s="1576"/>
      <c r="BC137" s="1576"/>
      <c r="BD137" s="1576"/>
      <c r="BE137" s="1576"/>
      <c r="BF137" s="1576"/>
      <c r="BG137" s="1576"/>
      <c r="BH137" s="1576"/>
      <c r="BI137" s="1576"/>
      <c r="BJ137" s="1576"/>
      <c r="BK137" s="1576"/>
      <c r="BL137" s="1576"/>
      <c r="BM137" s="1576"/>
      <c r="BN137" s="1576"/>
      <c r="BO137" s="1576"/>
      <c r="BP137" s="1576"/>
      <c r="BQ137" s="1576"/>
      <c r="BR137" s="1576"/>
      <c r="BS137" s="1576"/>
      <c r="BT137" s="1576"/>
      <c r="BU137" s="1576"/>
      <c r="BV137" s="1576"/>
      <c r="BW137" s="1576"/>
      <c r="BX137" s="1576"/>
      <c r="BY137" s="1576"/>
      <c r="BZ137" s="1576"/>
      <c r="CA137" s="1576"/>
      <c r="CB137" s="1576"/>
      <c r="CC137" s="1576"/>
      <c r="CD137" s="1576"/>
      <c r="CE137" s="1576"/>
      <c r="CF137" s="1576"/>
      <c r="CG137" s="1576"/>
      <c r="CH137" s="1576"/>
      <c r="CI137" s="1576"/>
      <c r="CJ137" s="1576"/>
      <c r="CK137" s="1576"/>
      <c r="CL137" s="1576"/>
      <c r="CM137" s="1576"/>
      <c r="CN137" s="1576"/>
      <c r="CO137" s="1576"/>
      <c r="CP137" s="1576"/>
      <c r="CQ137" s="1576"/>
      <c r="CR137" s="1576"/>
      <c r="CS137" s="1576"/>
      <c r="CT137" s="1576"/>
      <c r="CU137" s="1576"/>
      <c r="CV137" s="1576"/>
      <c r="CW137" s="1576"/>
      <c r="CX137" s="1576"/>
      <c r="CY137" s="1576"/>
      <c r="CZ137" s="1576"/>
      <c r="DA137" s="1576"/>
      <c r="DB137" s="1576"/>
      <c r="DC137" s="1576"/>
      <c r="DD137" s="1576"/>
      <c r="DE137" s="1576"/>
      <c r="DF137" s="1576"/>
      <c r="DG137" s="1576"/>
      <c r="DH137" s="1576"/>
      <c r="DI137" s="1576"/>
      <c r="DJ137" s="1576"/>
      <c r="DK137" s="1576"/>
      <c r="DL137" s="1576"/>
      <c r="DM137" s="1576"/>
      <c r="DN137" s="1576"/>
      <c r="DO137" s="1576"/>
      <c r="DP137" s="1576"/>
      <c r="DQ137" s="1576"/>
      <c r="DR137" s="1576"/>
      <c r="DS137" s="1576"/>
      <c r="DT137" s="1576"/>
      <c r="DU137" s="1576"/>
      <c r="DV137" s="1576"/>
      <c r="DW137" s="1576"/>
      <c r="DX137" s="1576"/>
      <c r="DY137" s="1576"/>
      <c r="DZ137" s="1576"/>
      <c r="EA137" s="1576"/>
      <c r="EB137" s="1576"/>
      <c r="EC137" s="1576"/>
      <c r="ED137" s="1576"/>
      <c r="EE137" s="1576"/>
      <c r="EF137" s="1576"/>
      <c r="EG137" s="1576"/>
      <c r="EH137" s="1576"/>
      <c r="EI137" s="1576"/>
      <c r="EJ137" s="1576"/>
      <c r="EK137" s="1576"/>
      <c r="EL137" s="1576"/>
      <c r="EM137" s="1576"/>
      <c r="EN137" s="1576"/>
      <c r="EO137" s="1576"/>
      <c r="EP137" s="1576"/>
      <c r="EQ137" s="1576"/>
      <c r="ER137" s="1576"/>
      <c r="ES137" s="1576"/>
      <c r="ET137" s="1576"/>
      <c r="EU137" s="1576"/>
      <c r="EV137" s="1576"/>
      <c r="EW137" s="1576"/>
      <c r="EX137" s="1576"/>
      <c r="EY137" s="1576"/>
      <c r="EZ137" s="1576"/>
      <c r="FA137" s="1576"/>
      <c r="FB137" s="1576"/>
      <c r="FC137" s="1576"/>
      <c r="FD137" s="1576"/>
      <c r="FE137" s="1576"/>
      <c r="FF137" s="1576"/>
      <c r="FG137" s="1576"/>
      <c r="FH137" s="1576"/>
      <c r="FI137" s="1576"/>
      <c r="FJ137" s="1576"/>
      <c r="FK137" s="1576"/>
      <c r="FL137" s="1576"/>
      <c r="FM137" s="1576"/>
      <c r="FN137" s="1576"/>
      <c r="FO137" s="1576"/>
      <c r="FP137" s="1576"/>
      <c r="FQ137" s="1576"/>
      <c r="FR137" s="1576"/>
      <c r="FS137" s="1576"/>
      <c r="FT137" s="1576"/>
      <c r="FU137" s="1576"/>
      <c r="FV137" s="1576"/>
      <c r="FW137" s="1576"/>
      <c r="FX137" s="1576"/>
      <c r="FY137" s="1576"/>
      <c r="FZ137" s="1576"/>
      <c r="GA137" s="1576"/>
      <c r="GB137" s="1576"/>
      <c r="GC137" s="1576"/>
      <c r="GD137" s="1576"/>
      <c r="GE137" s="1576"/>
      <c r="GF137" s="1576"/>
      <c r="GG137" s="1576"/>
      <c r="GH137" s="1576"/>
      <c r="GI137" s="1576"/>
      <c r="GJ137" s="1576"/>
      <c r="GK137" s="1576"/>
      <c r="GL137" s="1576"/>
      <c r="GM137" s="1576"/>
      <c r="GN137" s="1576"/>
      <c r="GO137" s="1576"/>
      <c r="GP137" s="1576"/>
      <c r="GQ137" s="1576"/>
      <c r="GR137" s="1576"/>
      <c r="GS137" s="1576"/>
      <c r="GT137" s="1576"/>
      <c r="GU137" s="1576"/>
      <c r="GV137" s="1576"/>
      <c r="GW137" s="1576"/>
      <c r="GX137" s="1576"/>
      <c r="GY137" s="1576"/>
      <c r="GZ137" s="1576"/>
      <c r="HA137" s="1576"/>
      <c r="HB137" s="1576"/>
      <c r="HC137" s="1576"/>
      <c r="HD137" s="1576"/>
      <c r="HE137" s="1576"/>
      <c r="HF137" s="1576"/>
      <c r="HG137" s="1576"/>
      <c r="HH137" s="1576"/>
      <c r="HI137" s="1576"/>
      <c r="HJ137" s="1576"/>
      <c r="HK137" s="1576"/>
      <c r="HL137" s="1576"/>
      <c r="HM137" s="1576"/>
      <c r="HN137" s="1576"/>
      <c r="HO137" s="1576"/>
      <c r="HP137" s="1576"/>
      <c r="HQ137" s="1576"/>
      <c r="HR137" s="1576"/>
      <c r="HS137" s="1576"/>
      <c r="HT137" s="1576"/>
      <c r="HU137" s="1576"/>
      <c r="HV137" s="1576"/>
      <c r="HW137" s="1576"/>
      <c r="HX137" s="1576"/>
      <c r="HY137" s="1576"/>
      <c r="HZ137" s="1576"/>
      <c r="IA137" s="1576"/>
      <c r="IB137" s="1576"/>
      <c r="IC137" s="1576"/>
      <c r="ID137" s="1576"/>
      <c r="IE137" s="1576"/>
      <c r="IF137" s="1576"/>
      <c r="IG137" s="1576"/>
      <c r="IH137" s="1576"/>
      <c r="II137" s="1576"/>
      <c r="IJ137" s="1576"/>
      <c r="IK137" s="1576"/>
      <c r="IL137" s="1576"/>
      <c r="IM137" s="1576"/>
      <c r="IN137" s="1576"/>
      <c r="IO137" s="1576"/>
      <c r="IP137" s="1576"/>
      <c r="IQ137" s="1576"/>
      <c r="IR137" s="1576"/>
      <c r="IS137" s="1576"/>
      <c r="IT137" s="1576"/>
      <c r="IU137" s="1576"/>
      <c r="IV137" s="1576"/>
      <c r="IW137" s="1576"/>
      <c r="IX137" s="1576"/>
      <c r="IY137" s="1576"/>
      <c r="IZ137" s="1576"/>
      <c r="JA137" s="2054"/>
      <c r="JB137" s="2054"/>
      <c r="JC137" s="2054"/>
      <c r="JD137" s="2054"/>
      <c r="JE137" s="2054"/>
      <c r="JF137" s="2054"/>
      <c r="JG137" s="2054"/>
      <c r="JH137" s="2054"/>
      <c r="JI137" s="2054"/>
      <c r="JJ137" s="2054"/>
      <c r="JK137" s="2054"/>
      <c r="JL137" s="2054"/>
      <c r="JM137" s="2054"/>
      <c r="JN137" s="2054"/>
      <c r="JO137" s="2054"/>
      <c r="JP137" s="2054"/>
      <c r="JQ137" s="2054"/>
      <c r="JR137" s="1576"/>
      <c r="JS137" s="1576"/>
      <c r="JT137" s="1576"/>
      <c r="JU137" s="1576"/>
      <c r="JV137" s="1576"/>
      <c r="JW137" s="1576"/>
      <c r="JX137" s="1576"/>
      <c r="JY137" s="1576"/>
      <c r="JZ137" s="1576"/>
      <c r="KA137" s="1576"/>
      <c r="KB137" s="1576"/>
      <c r="KC137" s="1576"/>
      <c r="KD137" s="1576"/>
      <c r="KE137" s="1576"/>
      <c r="KF137" s="1576"/>
      <c r="KG137" s="1576"/>
      <c r="KH137" s="1576"/>
      <c r="KI137" s="1576"/>
      <c r="KJ137" s="1576"/>
      <c r="KK137" s="1576"/>
      <c r="KL137" s="1576"/>
      <c r="KM137" s="1576"/>
      <c r="KN137" s="1576"/>
      <c r="KO137" s="1576"/>
      <c r="KP137" s="1576"/>
      <c r="KQ137" s="1576"/>
      <c r="KR137" s="1576"/>
      <c r="KS137" s="1576"/>
      <c r="KT137" s="1576"/>
      <c r="KU137" s="1576"/>
      <c r="KV137" s="1576"/>
      <c r="KW137" s="1576"/>
      <c r="KX137" s="1576"/>
      <c r="KY137" s="1576"/>
      <c r="KZ137" s="1576"/>
      <c r="LA137" s="1576"/>
      <c r="LB137" s="1576"/>
      <c r="LC137" s="1576"/>
      <c r="LD137" s="1576"/>
      <c r="LE137" s="1576"/>
      <c r="LF137" s="1576"/>
      <c r="LG137" s="1576"/>
      <c r="LH137" s="1576"/>
      <c r="LI137" s="1576"/>
      <c r="LJ137" s="1576"/>
      <c r="LK137" s="1576"/>
      <c r="LL137" s="1576"/>
      <c r="LM137" s="1576"/>
      <c r="LN137" s="1576"/>
      <c r="LO137" s="1576"/>
      <c r="LP137" s="1576"/>
      <c r="LQ137" s="1576"/>
      <c r="LR137" s="1576"/>
      <c r="LS137" s="1576"/>
      <c r="LT137" s="1576"/>
      <c r="LU137" s="1576"/>
      <c r="LV137" s="1576"/>
      <c r="LW137" s="1576"/>
      <c r="LX137" s="1576"/>
      <c r="LY137" s="1576"/>
      <c r="LZ137" s="1576"/>
      <c r="MA137" s="1576"/>
      <c r="MB137" s="1576"/>
      <c r="MC137" s="1576"/>
      <c r="MD137" s="1576"/>
      <c r="ME137" s="1576"/>
      <c r="MF137" s="1576"/>
      <c r="MG137" s="1576"/>
      <c r="MH137" s="1576"/>
      <c r="MI137" s="1576"/>
      <c r="MJ137" s="1576"/>
      <c r="MK137" s="1576"/>
      <c r="ML137" s="1576"/>
      <c r="MM137" s="1576"/>
      <c r="MN137" s="1576"/>
      <c r="MO137" s="1576"/>
      <c r="MP137" s="1576"/>
      <c r="MQ137" s="1576"/>
      <c r="MR137" s="1576"/>
      <c r="MS137" s="1576"/>
      <c r="MT137" s="1576"/>
      <c r="MU137" s="1576"/>
      <c r="MV137" s="1576"/>
      <c r="MW137" s="1576"/>
      <c r="MX137" s="1576"/>
      <c r="MY137" s="1576"/>
      <c r="MZ137" s="1576"/>
      <c r="NA137" s="1576"/>
      <c r="NB137" s="1576"/>
      <c r="NC137" s="1576"/>
      <c r="ND137" s="1576"/>
      <c r="NE137" s="1576"/>
      <c r="NF137" s="1576"/>
      <c r="NG137" s="1576"/>
      <c r="NH137" s="1576"/>
      <c r="NI137" s="1576"/>
      <c r="NJ137" s="1576"/>
      <c r="NK137" s="1576"/>
      <c r="NL137" s="1576"/>
      <c r="NM137" s="1576"/>
      <c r="NN137" s="1576"/>
      <c r="NO137" s="1576"/>
      <c r="NP137" s="1576"/>
      <c r="NQ137" s="1576"/>
      <c r="NR137" s="1576"/>
      <c r="NS137" s="1576"/>
      <c r="NT137" s="1576"/>
      <c r="NU137" s="1576"/>
      <c r="NV137" s="1576"/>
      <c r="NW137" s="1576"/>
      <c r="NX137" s="1576"/>
      <c r="NY137" s="1576"/>
      <c r="NZ137" s="1576"/>
      <c r="OA137" s="1576"/>
      <c r="OB137" s="1576"/>
      <c r="OC137" s="1576"/>
      <c r="OD137" s="1576"/>
      <c r="OE137" s="1576"/>
      <c r="OF137" s="1576"/>
      <c r="OG137" s="1576"/>
      <c r="OH137" s="1576"/>
      <c r="OI137" s="1576"/>
      <c r="OJ137" s="1576"/>
      <c r="OK137" s="1576"/>
      <c r="OL137" s="1576"/>
      <c r="OM137" s="1576"/>
      <c r="ON137" s="1576"/>
      <c r="OO137" s="1576"/>
      <c r="OP137" s="1576"/>
      <c r="OQ137" s="1576"/>
      <c r="OR137" s="1576"/>
      <c r="OS137" s="1576"/>
      <c r="OT137" s="1576"/>
      <c r="OU137" s="1576"/>
      <c r="OV137" s="1576"/>
      <c r="OW137" s="1576"/>
      <c r="OX137" s="1576"/>
      <c r="OY137" s="1576"/>
      <c r="OZ137" s="1576"/>
      <c r="PA137" s="1576"/>
      <c r="PB137" s="1576"/>
      <c r="PC137" s="1576"/>
      <c r="PD137" s="1576"/>
      <c r="PE137" s="1576"/>
      <c r="PF137" s="1576"/>
      <c r="PG137" s="1576"/>
      <c r="PH137" s="1576"/>
      <c r="PI137" s="1576"/>
      <c r="PJ137" s="1576"/>
      <c r="PK137" s="1576"/>
      <c r="PL137" s="1576"/>
      <c r="PM137" s="1576"/>
      <c r="PN137" s="1576"/>
      <c r="PO137" s="1576"/>
      <c r="PP137" s="1576"/>
      <c r="PQ137" s="1576"/>
      <c r="PR137" s="1576"/>
      <c r="PS137" s="1576"/>
      <c r="PT137" s="1576"/>
      <c r="PU137" s="1576"/>
      <c r="PV137" s="1576"/>
      <c r="PW137" s="1576"/>
      <c r="PX137" s="1576"/>
      <c r="PY137" s="1576"/>
      <c r="PZ137" s="1576"/>
      <c r="QA137" s="1576"/>
      <c r="QB137" s="1576"/>
      <c r="QC137" s="1576"/>
      <c r="QD137" s="1576"/>
      <c r="QE137" s="1576"/>
      <c r="QF137" s="1576"/>
      <c r="QG137" s="1576"/>
      <c r="QH137" s="1576"/>
      <c r="QI137" s="1576"/>
      <c r="QJ137" s="1576"/>
      <c r="QK137" s="1576"/>
      <c r="QL137" s="1576"/>
      <c r="QM137" s="1576"/>
      <c r="QN137" s="1576"/>
      <c r="QO137" s="1576"/>
      <c r="QP137" s="1576"/>
      <c r="QQ137" s="1576"/>
      <c r="QR137" s="1576"/>
      <c r="QS137" s="1576"/>
      <c r="QT137" s="1576"/>
      <c r="QU137" s="1576"/>
      <c r="QV137" s="1576"/>
      <c r="QW137" s="1576"/>
      <c r="QX137" s="1576"/>
      <c r="QY137" s="1576"/>
      <c r="QZ137" s="1576"/>
      <c r="RA137" s="1576"/>
      <c r="RB137" s="1576"/>
      <c r="RC137" s="1576"/>
      <c r="RD137" s="1576"/>
      <c r="RE137" s="1576"/>
      <c r="RF137" s="1576"/>
      <c r="RG137" s="1576"/>
      <c r="RH137" s="1576"/>
      <c r="RI137" s="1576"/>
      <c r="RJ137" s="1576"/>
      <c r="RK137" s="1576"/>
      <c r="RL137" s="1576"/>
      <c r="RM137" s="1576"/>
      <c r="RN137" s="1576"/>
      <c r="RO137" s="1576"/>
      <c r="RP137" s="1576"/>
      <c r="RQ137" s="1576"/>
      <c r="RR137" s="1576"/>
      <c r="RS137" s="1576"/>
      <c r="RT137" s="1576"/>
      <c r="RU137" s="1576"/>
      <c r="RV137" s="1576"/>
      <c r="RW137" s="1576"/>
      <c r="RX137" s="1576"/>
      <c r="RY137" s="1576"/>
      <c r="RZ137" s="1576"/>
      <c r="SA137" s="1576"/>
      <c r="SB137" s="1576"/>
      <c r="SC137" s="1576"/>
      <c r="SD137" s="1576"/>
      <c r="SE137" s="1576"/>
      <c r="SF137" s="1576"/>
      <c r="SG137" s="1576"/>
      <c r="SH137" s="1576"/>
      <c r="SI137" s="1576"/>
      <c r="SJ137" s="1576"/>
      <c r="SK137" s="1576"/>
      <c r="SL137" s="1576"/>
      <c r="SM137" s="1576"/>
      <c r="SN137" s="1576"/>
      <c r="SO137" s="1576"/>
      <c r="SP137" s="1576"/>
      <c r="SQ137" s="1576"/>
      <c r="SR137" s="1576"/>
      <c r="SS137" s="1576"/>
      <c r="ST137" s="1576"/>
      <c r="SU137" s="1576"/>
      <c r="SV137" s="1576"/>
      <c r="SW137" s="1576"/>
      <c r="SX137" s="1576"/>
      <c r="SY137" s="1576"/>
      <c r="SZ137" s="1576"/>
      <c r="TA137" s="1576"/>
      <c r="TB137" s="1576"/>
      <c r="TC137" s="1576"/>
      <c r="TD137" s="1576"/>
      <c r="TE137" s="1576"/>
      <c r="TF137" s="1576"/>
      <c r="TG137" s="1576"/>
      <c r="TH137" s="1576"/>
      <c r="TI137" s="1576"/>
      <c r="TJ137" s="1576"/>
      <c r="TK137" s="1576"/>
      <c r="TL137" s="1576"/>
      <c r="TM137" s="1576"/>
      <c r="TN137" s="1576"/>
      <c r="TO137" s="1576"/>
      <c r="TP137" s="1576"/>
      <c r="TQ137" s="1576"/>
      <c r="TR137" s="1576"/>
      <c r="TS137" s="1576"/>
      <c r="TT137" s="1576"/>
      <c r="TU137" s="1576"/>
      <c r="TV137" s="1576"/>
      <c r="TW137" s="1576"/>
      <c r="TX137" s="1576"/>
      <c r="TY137" s="1576"/>
      <c r="TZ137" s="1576"/>
      <c r="UA137" s="1576"/>
      <c r="UB137" s="1576"/>
      <c r="UC137" s="1576"/>
      <c r="UD137" s="1576"/>
      <c r="UE137" s="1576"/>
      <c r="UF137" s="1576"/>
      <c r="UG137" s="1576"/>
      <c r="UH137" s="1576"/>
      <c r="UI137" s="1576"/>
      <c r="UJ137" s="1576"/>
      <c r="UK137" s="1576"/>
      <c r="UL137" s="1576"/>
      <c r="UM137" s="1576"/>
      <c r="UN137" s="1576"/>
      <c r="UO137" s="1576"/>
      <c r="UP137" s="1576"/>
      <c r="UQ137" s="1576"/>
      <c r="UR137" s="1576"/>
      <c r="US137" s="1576"/>
      <c r="UT137" s="1576"/>
      <c r="UU137" s="1576"/>
      <c r="UV137" s="1576"/>
      <c r="UW137" s="1576"/>
      <c r="UX137" s="1576"/>
      <c r="UY137" s="1576"/>
      <c r="UZ137" s="1576"/>
      <c r="VA137" s="1576"/>
      <c r="VB137" s="1576"/>
      <c r="VC137" s="1576"/>
      <c r="VD137" s="1576"/>
      <c r="VE137" s="1576"/>
      <c r="VF137" s="1576"/>
      <c r="VG137" s="1576"/>
      <c r="VH137" s="1576"/>
      <c r="VI137" s="1576"/>
      <c r="VJ137" s="1576"/>
      <c r="VK137" s="1576"/>
    </row>
    <row r="138" spans="1:583" ht="22.5" customHeight="1" x14ac:dyDescent="0.25">
      <c r="B138" s="4710" t="s">
        <v>1351</v>
      </c>
      <c r="C138" s="4713" t="s">
        <v>2839</v>
      </c>
      <c r="D138" s="4713" t="s">
        <v>2842</v>
      </c>
      <c r="E138" s="1582" t="s">
        <v>2841</v>
      </c>
      <c r="F138" s="1912"/>
      <c r="G138" s="1912"/>
      <c r="H138" s="1912"/>
      <c r="I138" s="1912"/>
      <c r="J138" s="1912"/>
      <c r="K138" s="1912"/>
      <c r="L138" s="1912"/>
      <c r="M138" s="1912"/>
      <c r="N138" s="1912"/>
      <c r="O138" s="1912"/>
      <c r="P138" s="1912"/>
      <c r="Q138" s="1912"/>
      <c r="R138" s="1912"/>
      <c r="S138" s="1912"/>
      <c r="T138" s="1912"/>
      <c r="U138" s="1912"/>
      <c r="V138" s="1912"/>
      <c r="W138" s="1576"/>
      <c r="X138" s="1576"/>
      <c r="Y138" s="1576"/>
      <c r="Z138" s="1576"/>
      <c r="AA138" s="1576"/>
      <c r="AB138" s="1576"/>
      <c r="AC138" s="1576"/>
      <c r="AD138" s="1576"/>
      <c r="AE138" s="1576"/>
      <c r="AF138" s="1576"/>
      <c r="AG138" s="1576"/>
      <c r="AH138" s="1576"/>
      <c r="AI138" s="1576"/>
      <c r="AJ138" s="1576"/>
      <c r="AK138" s="1576"/>
      <c r="AL138" s="1576"/>
      <c r="AM138" s="1576"/>
      <c r="AN138" s="1576"/>
      <c r="AO138" s="1576"/>
      <c r="AP138" s="1576"/>
      <c r="AQ138" s="1576"/>
      <c r="AR138" s="1576"/>
      <c r="AS138" s="1576"/>
      <c r="AT138" s="1576"/>
      <c r="AU138" s="1576"/>
      <c r="AV138" s="1576"/>
      <c r="AW138" s="1576"/>
      <c r="AX138" s="1576"/>
      <c r="AY138" s="1576"/>
      <c r="AZ138" s="1576"/>
      <c r="BA138" s="1576"/>
      <c r="BB138" s="1576"/>
      <c r="BC138" s="1576"/>
      <c r="BD138" s="1576"/>
      <c r="BE138" s="1576"/>
      <c r="BF138" s="1576"/>
      <c r="BG138" s="1576"/>
      <c r="BH138" s="1576"/>
      <c r="BI138" s="1576"/>
      <c r="BJ138" s="1576"/>
      <c r="BK138" s="1576"/>
      <c r="BL138" s="1576"/>
      <c r="BM138" s="1576"/>
      <c r="BN138" s="1576"/>
      <c r="BO138" s="1576"/>
      <c r="BP138" s="1576"/>
      <c r="BQ138" s="1576"/>
      <c r="BR138" s="1576"/>
      <c r="BS138" s="1576"/>
      <c r="BT138" s="1576"/>
      <c r="BU138" s="1576"/>
      <c r="BV138" s="1576"/>
      <c r="BW138" s="1576"/>
      <c r="BX138" s="1576"/>
      <c r="BY138" s="1576"/>
      <c r="BZ138" s="1576"/>
      <c r="CA138" s="1576"/>
      <c r="CB138" s="1576"/>
      <c r="CC138" s="1576"/>
      <c r="CD138" s="1576"/>
      <c r="CE138" s="1576"/>
      <c r="CF138" s="1576"/>
      <c r="CG138" s="1576"/>
      <c r="CH138" s="1576"/>
      <c r="CI138" s="1576"/>
      <c r="CJ138" s="1576"/>
      <c r="CK138" s="1576"/>
      <c r="CL138" s="1576"/>
      <c r="CM138" s="1576"/>
      <c r="CN138" s="1576"/>
      <c r="CO138" s="1576"/>
      <c r="CP138" s="1576"/>
      <c r="CQ138" s="1576"/>
      <c r="CR138" s="1576"/>
      <c r="CS138" s="1576"/>
      <c r="CT138" s="1576"/>
      <c r="CU138" s="1576"/>
      <c r="CV138" s="1576"/>
      <c r="CW138" s="1576"/>
      <c r="CX138" s="1576"/>
      <c r="CY138" s="1576"/>
      <c r="CZ138" s="1576"/>
      <c r="DA138" s="1576"/>
      <c r="DB138" s="1576"/>
      <c r="DC138" s="1576"/>
      <c r="DD138" s="1576"/>
      <c r="DE138" s="1576"/>
      <c r="DF138" s="1576"/>
      <c r="DG138" s="1576"/>
      <c r="DH138" s="1576"/>
      <c r="DI138" s="1576"/>
      <c r="DJ138" s="1576"/>
      <c r="DK138" s="1576"/>
      <c r="DL138" s="1576"/>
      <c r="DM138" s="1576"/>
      <c r="DN138" s="1576"/>
      <c r="DO138" s="1576"/>
      <c r="DP138" s="1576"/>
      <c r="DQ138" s="1576"/>
      <c r="DR138" s="1576"/>
      <c r="DS138" s="1576"/>
      <c r="DT138" s="1576"/>
      <c r="DU138" s="1576"/>
      <c r="DV138" s="1576"/>
      <c r="DW138" s="1576"/>
      <c r="DX138" s="1576"/>
      <c r="DY138" s="1576"/>
      <c r="DZ138" s="1576"/>
      <c r="EA138" s="1576"/>
      <c r="EB138" s="1576"/>
      <c r="EC138" s="1576"/>
      <c r="ED138" s="1576"/>
      <c r="EE138" s="1576"/>
      <c r="EF138" s="1576"/>
      <c r="EG138" s="1576"/>
      <c r="EH138" s="1576"/>
      <c r="EI138" s="1576"/>
      <c r="EJ138" s="1576"/>
      <c r="EK138" s="1576"/>
      <c r="EL138" s="1576"/>
      <c r="EM138" s="1576"/>
      <c r="EN138" s="1576"/>
      <c r="EO138" s="1576"/>
      <c r="EP138" s="1576"/>
      <c r="EQ138" s="1576"/>
      <c r="ER138" s="1576"/>
      <c r="ES138" s="1576"/>
      <c r="ET138" s="1576"/>
      <c r="EU138" s="1576"/>
      <c r="EV138" s="1576"/>
      <c r="EW138" s="1576"/>
      <c r="EX138" s="1576"/>
      <c r="EY138" s="1576"/>
      <c r="EZ138" s="1576"/>
      <c r="FA138" s="1576"/>
      <c r="FB138" s="1576"/>
      <c r="FC138" s="1576"/>
      <c r="FD138" s="1576"/>
      <c r="FE138" s="1576"/>
      <c r="FF138" s="1576"/>
      <c r="FG138" s="1576"/>
      <c r="FH138" s="1576"/>
      <c r="FI138" s="1576"/>
      <c r="FJ138" s="1576"/>
      <c r="FK138" s="1576"/>
      <c r="FL138" s="1576"/>
      <c r="FM138" s="1576"/>
      <c r="FN138" s="1576"/>
      <c r="FO138" s="1576"/>
      <c r="FP138" s="1576"/>
      <c r="FQ138" s="1576"/>
      <c r="FR138" s="1576"/>
      <c r="FS138" s="1576"/>
      <c r="FT138" s="1576"/>
      <c r="FU138" s="1576"/>
      <c r="FV138" s="1576"/>
      <c r="FW138" s="1576"/>
      <c r="FX138" s="1576"/>
      <c r="FY138" s="1576"/>
      <c r="FZ138" s="1576"/>
      <c r="GA138" s="1576"/>
      <c r="GB138" s="1576"/>
      <c r="GC138" s="1576"/>
      <c r="GD138" s="1576"/>
      <c r="GE138" s="1576"/>
      <c r="GF138" s="1576"/>
      <c r="GG138" s="1576"/>
      <c r="GH138" s="1576"/>
      <c r="GI138" s="1576"/>
      <c r="GJ138" s="1576"/>
      <c r="GK138" s="1576"/>
      <c r="GL138" s="1576"/>
      <c r="GM138" s="1576"/>
      <c r="GN138" s="1576"/>
      <c r="GO138" s="1576"/>
      <c r="GP138" s="1576"/>
      <c r="GQ138" s="1576"/>
      <c r="GR138" s="1576"/>
      <c r="GS138" s="1576"/>
      <c r="GT138" s="1576"/>
      <c r="GU138" s="1576"/>
      <c r="GV138" s="1576"/>
      <c r="GW138" s="1576"/>
      <c r="GX138" s="1576"/>
      <c r="GY138" s="1576"/>
      <c r="GZ138" s="1576"/>
      <c r="HA138" s="1576"/>
      <c r="HB138" s="1576"/>
      <c r="HC138" s="1576"/>
      <c r="HD138" s="1576"/>
      <c r="HE138" s="1576"/>
      <c r="HF138" s="1576"/>
      <c r="HG138" s="1576"/>
      <c r="HH138" s="1576"/>
      <c r="HI138" s="1576"/>
      <c r="HJ138" s="1576"/>
      <c r="HK138" s="1576"/>
      <c r="HL138" s="1576"/>
      <c r="HM138" s="1576"/>
      <c r="HN138" s="1576"/>
      <c r="HO138" s="1576"/>
      <c r="HP138" s="1576"/>
      <c r="HQ138" s="1576"/>
      <c r="HR138" s="1576"/>
      <c r="HS138" s="1576"/>
      <c r="HT138" s="1576"/>
      <c r="HU138" s="1576"/>
      <c r="HV138" s="1576"/>
      <c r="HW138" s="1576"/>
      <c r="HX138" s="1576"/>
      <c r="HY138" s="1576"/>
      <c r="HZ138" s="1576"/>
      <c r="IA138" s="1576"/>
      <c r="IB138" s="1576"/>
      <c r="IC138" s="1576"/>
      <c r="ID138" s="1576"/>
      <c r="IE138" s="1576"/>
      <c r="IF138" s="1576"/>
      <c r="IG138" s="1576"/>
      <c r="IH138" s="1576"/>
      <c r="II138" s="1576"/>
      <c r="IJ138" s="1576"/>
      <c r="IK138" s="1576"/>
      <c r="IL138" s="1576"/>
      <c r="IM138" s="1576"/>
      <c r="IN138" s="1576"/>
      <c r="IO138" s="1576"/>
      <c r="IP138" s="1576"/>
      <c r="IQ138" s="1576"/>
      <c r="IR138" s="1576"/>
      <c r="IS138" s="1576"/>
      <c r="IT138" s="1576"/>
      <c r="IU138" s="1576"/>
      <c r="IV138" s="1576"/>
      <c r="IW138" s="1576"/>
      <c r="IX138" s="1576"/>
      <c r="IY138" s="1576"/>
      <c r="IZ138" s="1576"/>
      <c r="JA138" s="2054"/>
      <c r="JB138" s="2054"/>
      <c r="JC138" s="2054"/>
      <c r="JD138" s="2054"/>
      <c r="JE138" s="2054"/>
      <c r="JF138" s="2054"/>
      <c r="JG138" s="2054"/>
      <c r="JH138" s="2054"/>
      <c r="JI138" s="2054"/>
      <c r="JJ138" s="2054"/>
      <c r="JK138" s="2054"/>
      <c r="JL138" s="2054"/>
      <c r="JM138" s="2054"/>
      <c r="JN138" s="2054"/>
      <c r="JO138" s="2054"/>
      <c r="JP138" s="2054"/>
      <c r="JQ138" s="2054"/>
      <c r="JR138" s="1576"/>
      <c r="JS138" s="1576"/>
      <c r="JT138" s="1576"/>
      <c r="JU138" s="1576"/>
      <c r="JV138" s="1576"/>
      <c r="JW138" s="1576"/>
      <c r="JX138" s="1576"/>
      <c r="JY138" s="1576"/>
      <c r="JZ138" s="1576"/>
      <c r="KA138" s="1576"/>
      <c r="KB138" s="1576"/>
      <c r="KC138" s="1576"/>
      <c r="KD138" s="1576"/>
      <c r="KE138" s="1576"/>
      <c r="KF138" s="1576"/>
      <c r="KG138" s="1576"/>
      <c r="KH138" s="1576"/>
      <c r="KI138" s="1576"/>
      <c r="KJ138" s="1576"/>
      <c r="KK138" s="1576"/>
      <c r="KL138" s="1576"/>
      <c r="KM138" s="1576"/>
      <c r="KN138" s="1576"/>
      <c r="KO138" s="1576"/>
      <c r="KP138" s="1576"/>
      <c r="KQ138" s="1576"/>
      <c r="KR138" s="1576"/>
      <c r="KS138" s="1576"/>
      <c r="KT138" s="1576"/>
      <c r="KU138" s="1576"/>
      <c r="KV138" s="1576"/>
      <c r="KW138" s="1576"/>
      <c r="KX138" s="1576"/>
      <c r="KY138" s="1576"/>
      <c r="KZ138" s="1576"/>
      <c r="LA138" s="1576"/>
      <c r="LB138" s="1576"/>
      <c r="LC138" s="1576"/>
      <c r="LD138" s="1576"/>
      <c r="LE138" s="1576"/>
      <c r="LF138" s="1576"/>
      <c r="LG138" s="1576"/>
      <c r="LH138" s="1576"/>
      <c r="LI138" s="1576"/>
      <c r="LJ138" s="1576"/>
      <c r="LK138" s="1576"/>
      <c r="LL138" s="1576"/>
      <c r="LM138" s="1576"/>
      <c r="LN138" s="1576"/>
      <c r="LO138" s="1576"/>
      <c r="LP138" s="1576"/>
      <c r="LQ138" s="1576"/>
      <c r="LR138" s="1576"/>
      <c r="LS138" s="1576"/>
      <c r="LT138" s="1576"/>
      <c r="LU138" s="1576"/>
      <c r="LV138" s="1576"/>
      <c r="LW138" s="1576"/>
      <c r="LX138" s="1576"/>
      <c r="LY138" s="1576"/>
      <c r="LZ138" s="1576"/>
      <c r="MA138" s="1576"/>
      <c r="MB138" s="1576"/>
      <c r="MC138" s="1576"/>
      <c r="MD138" s="1576"/>
      <c r="ME138" s="1576"/>
      <c r="MF138" s="1576"/>
      <c r="MG138" s="1576"/>
      <c r="MH138" s="1576"/>
      <c r="MI138" s="1576"/>
      <c r="MJ138" s="1576"/>
      <c r="MK138" s="1576"/>
      <c r="ML138" s="1576"/>
      <c r="MM138" s="1576"/>
      <c r="MN138" s="1576"/>
      <c r="MO138" s="1576"/>
      <c r="MP138" s="1576"/>
      <c r="MQ138" s="1576"/>
      <c r="MR138" s="1576"/>
      <c r="MS138" s="1576"/>
      <c r="MT138" s="1576"/>
      <c r="MU138" s="1576"/>
      <c r="MV138" s="1576"/>
      <c r="MW138" s="1576"/>
      <c r="MX138" s="1576"/>
      <c r="MY138" s="1576"/>
      <c r="MZ138" s="1576"/>
      <c r="NA138" s="1576"/>
      <c r="NB138" s="1576"/>
      <c r="NC138" s="1576"/>
      <c r="ND138" s="1576"/>
      <c r="NE138" s="1576"/>
      <c r="NF138" s="1576"/>
      <c r="NG138" s="1576"/>
      <c r="NH138" s="1576"/>
      <c r="NI138" s="1576"/>
      <c r="NJ138" s="1576"/>
      <c r="NK138" s="1576"/>
      <c r="NL138" s="1576"/>
      <c r="NM138" s="1576"/>
      <c r="NN138" s="1576"/>
      <c r="NO138" s="1576"/>
      <c r="NP138" s="1576" t="e">
        <f>'Paso 1.1'!E136*Tiempos!$H$125</f>
        <v>#DIV/0!</v>
      </c>
      <c r="NQ138" s="1576" t="e">
        <f>'Paso 1.1'!F136*Tiempos!$H$125</f>
        <v>#DIV/0!</v>
      </c>
      <c r="NR138" s="1576" t="e">
        <f>'Paso 1.1'!G136*Tiempos!$H$125</f>
        <v>#DIV/0!</v>
      </c>
      <c r="NS138" s="1576" t="e">
        <f>'Paso 1.1'!H136*Tiempos!$H$125</f>
        <v>#DIV/0!</v>
      </c>
      <c r="NT138" s="1576" t="e">
        <f>'Paso 1.1'!I136*Tiempos!$H$125</f>
        <v>#DIV/0!</v>
      </c>
      <c r="NU138" s="1576" t="e">
        <f>'Paso 1.1'!J136*Tiempos!$H$125</f>
        <v>#DIV/0!</v>
      </c>
      <c r="NV138" s="1576" t="e">
        <f>'Paso 1.1'!K136*Tiempos!$H$125</f>
        <v>#DIV/0!</v>
      </c>
      <c r="NW138" s="1576" t="e">
        <f>'Paso 1.1'!L136*Tiempos!$H$125</f>
        <v>#DIV/0!</v>
      </c>
      <c r="NX138" s="1576" t="e">
        <f>'Paso 1.1'!M136*Tiempos!$H$125</f>
        <v>#DIV/0!</v>
      </c>
      <c r="NY138" s="1576" t="e">
        <f>'Paso 1.1'!N136*Tiempos!$H$125</f>
        <v>#DIV/0!</v>
      </c>
      <c r="NZ138" s="1576" t="e">
        <f>'Paso 1.1'!O136*Tiempos!$H$125</f>
        <v>#DIV/0!</v>
      </c>
      <c r="OA138" s="1576" t="e">
        <f>'Paso 1.1'!P136*Tiempos!$H$125</f>
        <v>#DIV/0!</v>
      </c>
      <c r="OB138" s="1576" t="e">
        <f>'Paso 1.1'!Q136*Tiempos!$H$125</f>
        <v>#DIV/0!</v>
      </c>
      <c r="OC138" s="1576" t="e">
        <f>'Paso 1.1'!R136*Tiempos!$H$125</f>
        <v>#DIV/0!</v>
      </c>
      <c r="OD138" s="1576" t="e">
        <f>'Paso 1.1'!S136*Tiempos!$H$125</f>
        <v>#DIV/0!</v>
      </c>
      <c r="OE138" s="1576" t="e">
        <f>'Paso 1.1'!T136*Tiempos!$H$125</f>
        <v>#DIV/0!</v>
      </c>
      <c r="OF138" s="1576" t="e">
        <f>'Paso 1.1'!U136*Tiempos!$H$125</f>
        <v>#DIV/0!</v>
      </c>
      <c r="OG138" s="1576"/>
      <c r="OH138" s="1576"/>
      <c r="OI138" s="1576"/>
      <c r="OJ138" s="1576"/>
      <c r="OK138" s="1576"/>
      <c r="OL138" s="1576"/>
      <c r="OM138" s="1576"/>
      <c r="ON138" s="1576"/>
      <c r="OO138" s="1576"/>
      <c r="OP138" s="1576"/>
      <c r="OQ138" s="1576"/>
      <c r="OR138" s="1576"/>
      <c r="OS138" s="1576"/>
      <c r="OT138" s="1576"/>
      <c r="OU138" s="1576"/>
      <c r="OV138" s="1576"/>
      <c r="OW138" s="1576"/>
      <c r="OX138" s="1576"/>
      <c r="OY138" s="1576"/>
      <c r="OZ138" s="1576"/>
      <c r="PA138" s="1576"/>
      <c r="PB138" s="1576"/>
      <c r="PC138" s="1576"/>
      <c r="PD138" s="1576"/>
      <c r="PE138" s="1576"/>
      <c r="PF138" s="1576"/>
      <c r="PG138" s="1576"/>
      <c r="PH138" s="1576"/>
      <c r="PI138" s="1576"/>
      <c r="PJ138" s="1576"/>
      <c r="PK138" s="1576"/>
      <c r="PL138" s="1576"/>
      <c r="PM138" s="1576"/>
      <c r="PN138" s="1576"/>
      <c r="PO138" s="1576"/>
      <c r="PP138" s="1576"/>
      <c r="PQ138" s="1576"/>
      <c r="PR138" s="1576"/>
      <c r="PS138" s="1576"/>
      <c r="PT138" s="1576"/>
      <c r="PU138" s="1576"/>
      <c r="PV138" s="1576"/>
      <c r="PW138" s="1576"/>
      <c r="PX138" s="1576"/>
      <c r="PY138" s="1576"/>
      <c r="PZ138" s="1576"/>
      <c r="QA138" s="1576"/>
      <c r="QB138" s="1576"/>
      <c r="QC138" s="1576"/>
      <c r="QD138" s="1576"/>
      <c r="QE138" s="1576"/>
      <c r="QF138" s="1576"/>
      <c r="QG138" s="1576"/>
      <c r="QH138" s="1576"/>
      <c r="QI138" s="1576"/>
      <c r="QJ138" s="1576"/>
      <c r="QK138" s="1576"/>
      <c r="QL138" s="1576"/>
      <c r="QM138" s="1576"/>
      <c r="QN138" s="1576"/>
      <c r="QO138" s="1576"/>
      <c r="QP138" s="1576"/>
      <c r="QQ138" s="1576"/>
      <c r="QR138" s="1576"/>
      <c r="QS138" s="1576"/>
      <c r="QT138" s="1576"/>
      <c r="QU138" s="1576"/>
      <c r="QV138" s="1576"/>
      <c r="QW138" s="1576"/>
      <c r="QX138" s="1576"/>
      <c r="QY138" s="1576"/>
      <c r="QZ138" s="1576"/>
      <c r="RA138" s="1576"/>
      <c r="RB138" s="1576"/>
      <c r="RC138" s="1576"/>
      <c r="RD138" s="1576"/>
      <c r="RE138" s="1576"/>
      <c r="RF138" s="1576"/>
      <c r="RG138" s="1576"/>
      <c r="RH138" s="1576"/>
      <c r="RI138" s="1576"/>
      <c r="RJ138" s="1576"/>
      <c r="RK138" s="1576"/>
      <c r="RL138" s="1576"/>
      <c r="RM138" s="1576"/>
      <c r="RN138" s="1576" t="e">
        <f>'Paso 1.1'!E113*Tiempos!$H$108</f>
        <v>#DIV/0!</v>
      </c>
      <c r="RO138" s="1576" t="e">
        <f>'Paso 1.1'!F113*Tiempos!$H$108</f>
        <v>#DIV/0!</v>
      </c>
      <c r="RP138" s="1576" t="e">
        <f>'Paso 1.1'!G113*Tiempos!$H$108</f>
        <v>#DIV/0!</v>
      </c>
      <c r="RQ138" s="1576" t="e">
        <f>'Paso 1.1'!H113*Tiempos!$H$108</f>
        <v>#DIV/0!</v>
      </c>
      <c r="RR138" s="1576" t="e">
        <f>'Paso 1.1'!I113*Tiempos!$H$108</f>
        <v>#DIV/0!</v>
      </c>
      <c r="RS138" s="1576" t="e">
        <f>'Paso 1.1'!J113*Tiempos!$H$108</f>
        <v>#DIV/0!</v>
      </c>
      <c r="RT138" s="1576" t="e">
        <f>'Paso 1.1'!K113*Tiempos!$H$108</f>
        <v>#DIV/0!</v>
      </c>
      <c r="RU138" s="1576" t="e">
        <f>'Paso 1.1'!L113*Tiempos!$H$108</f>
        <v>#DIV/0!</v>
      </c>
      <c r="RV138" s="1576" t="e">
        <f>'Paso 1.1'!M113*Tiempos!$H$108</f>
        <v>#DIV/0!</v>
      </c>
      <c r="RW138" s="1576" t="e">
        <f>'Paso 1.1'!N113*Tiempos!$H$108</f>
        <v>#DIV/0!</v>
      </c>
      <c r="RX138" s="1576" t="e">
        <f>'Paso 1.1'!O113*Tiempos!$H$108</f>
        <v>#DIV/0!</v>
      </c>
      <c r="RY138" s="1576" t="e">
        <f>'Paso 1.1'!P113*Tiempos!$H$108</f>
        <v>#DIV/0!</v>
      </c>
      <c r="RZ138" s="1576" t="e">
        <f>'Paso 1.1'!Q113*Tiempos!$H$108</f>
        <v>#DIV/0!</v>
      </c>
      <c r="SA138" s="1576" t="e">
        <f>'Paso 1.1'!R113*Tiempos!$H$108</f>
        <v>#DIV/0!</v>
      </c>
      <c r="SB138" s="1576" t="e">
        <f>'Paso 1.1'!S113*Tiempos!$H$108</f>
        <v>#DIV/0!</v>
      </c>
      <c r="SC138" s="1576" t="e">
        <f>'Paso 1.1'!T113*Tiempos!$H$108</f>
        <v>#DIV/0!</v>
      </c>
      <c r="SD138" s="1576" t="e">
        <f>'Paso 1.1'!U113*Tiempos!$H$108</f>
        <v>#DIV/0!</v>
      </c>
      <c r="SE138" s="1576"/>
      <c r="SF138" s="1576"/>
      <c r="SG138" s="1576"/>
      <c r="SH138" s="1576"/>
      <c r="SI138" s="1576"/>
      <c r="SJ138" s="1576"/>
      <c r="SK138" s="1576"/>
      <c r="SL138" s="1576"/>
      <c r="SM138" s="1576"/>
      <c r="SN138" s="1576"/>
      <c r="SO138" s="1576"/>
      <c r="SP138" s="1576"/>
      <c r="SQ138" s="1576"/>
      <c r="SR138" s="1576"/>
      <c r="SS138" s="1576"/>
      <c r="ST138" s="1576"/>
      <c r="SU138" s="1576"/>
      <c r="SV138" s="1576"/>
      <c r="SW138" s="1576"/>
      <c r="SX138" s="1576"/>
      <c r="SY138" s="1576"/>
      <c r="SZ138" s="1576"/>
      <c r="TA138" s="1576"/>
      <c r="TB138" s="1576"/>
      <c r="TC138" s="1576"/>
      <c r="TD138" s="1576"/>
      <c r="TE138" s="1576"/>
      <c r="TF138" s="1576"/>
      <c r="TG138" s="1576"/>
      <c r="TH138" s="1576"/>
      <c r="TI138" s="1576"/>
      <c r="TJ138" s="1576"/>
      <c r="TK138" s="1576"/>
      <c r="TL138" s="1576"/>
      <c r="TM138" s="1576"/>
      <c r="TN138" s="1576"/>
      <c r="TO138" s="1576"/>
      <c r="TP138" s="1576"/>
      <c r="TQ138" s="1576"/>
      <c r="TR138" s="1576"/>
      <c r="TS138" s="1576"/>
      <c r="TT138" s="1576"/>
      <c r="TU138" s="1576"/>
      <c r="TV138" s="1576"/>
      <c r="TW138" s="1576"/>
      <c r="TX138" s="1576"/>
      <c r="TY138" s="1576"/>
      <c r="TZ138" s="1576"/>
      <c r="UA138" s="1576"/>
      <c r="UB138" s="1576"/>
      <c r="UC138" s="1576"/>
      <c r="UD138" s="1576" t="e">
        <f>'Paso 1.1'!E113*Tiempos!$L$108</f>
        <v>#DIV/0!</v>
      </c>
      <c r="UE138" s="1576" t="e">
        <f>'Paso 1.1'!F113*Tiempos!$L$108</f>
        <v>#DIV/0!</v>
      </c>
      <c r="UF138" s="1576" t="e">
        <f>'Paso 1.1'!G113*Tiempos!$L$108</f>
        <v>#DIV/0!</v>
      </c>
      <c r="UG138" s="1576" t="e">
        <f>'Paso 1.1'!H113*Tiempos!$L$108</f>
        <v>#DIV/0!</v>
      </c>
      <c r="UH138" s="1576" t="e">
        <f>'Paso 1.1'!I113*Tiempos!$L$108</f>
        <v>#DIV/0!</v>
      </c>
      <c r="UI138" s="1576" t="e">
        <f>'Paso 1.1'!J113*Tiempos!$L$108</f>
        <v>#DIV/0!</v>
      </c>
      <c r="UJ138" s="1576" t="e">
        <f>'Paso 1.1'!K113*Tiempos!$L$108</f>
        <v>#DIV/0!</v>
      </c>
      <c r="UK138" s="1576" t="e">
        <f>'Paso 1.1'!L113*Tiempos!$L$108</f>
        <v>#DIV/0!</v>
      </c>
      <c r="UL138" s="1576" t="e">
        <f>'Paso 1.1'!M113*Tiempos!$L$108</f>
        <v>#DIV/0!</v>
      </c>
      <c r="UM138" s="1576" t="e">
        <f>'Paso 1.1'!N113*Tiempos!$L$108</f>
        <v>#DIV/0!</v>
      </c>
      <c r="UN138" s="1576" t="e">
        <f>'Paso 1.1'!O113*Tiempos!$L$108</f>
        <v>#DIV/0!</v>
      </c>
      <c r="UO138" s="1576" t="e">
        <f>'Paso 1.1'!P113*Tiempos!$L$108</f>
        <v>#DIV/0!</v>
      </c>
      <c r="UP138" s="1576" t="e">
        <f>'Paso 1.1'!Q113*Tiempos!$L$108</f>
        <v>#DIV/0!</v>
      </c>
      <c r="UQ138" s="1576" t="e">
        <f>'Paso 1.1'!R113*Tiempos!$L$108</f>
        <v>#DIV/0!</v>
      </c>
      <c r="UR138" s="1576" t="e">
        <f>'Paso 1.1'!S113*Tiempos!$L$108</f>
        <v>#DIV/0!</v>
      </c>
      <c r="US138" s="1576" t="e">
        <f>'Paso 1.1'!T113*Tiempos!$L$108</f>
        <v>#DIV/0!</v>
      </c>
      <c r="UT138" s="1576" t="e">
        <f>'Paso 1.1'!U113*Tiempos!$L$108</f>
        <v>#DIV/0!</v>
      </c>
      <c r="UU138" s="1576"/>
      <c r="UV138" s="1576"/>
      <c r="UW138" s="1576"/>
      <c r="UX138" s="1576"/>
      <c r="UY138" s="1576"/>
      <c r="UZ138" s="1576"/>
      <c r="VA138" s="1576"/>
      <c r="VB138" s="1576"/>
      <c r="VC138" s="1576"/>
      <c r="VD138" s="1576"/>
      <c r="VE138" s="1576"/>
      <c r="VF138" s="1576"/>
      <c r="VG138" s="1576"/>
      <c r="VH138" s="1576"/>
      <c r="VI138" s="1576"/>
      <c r="VJ138" s="1576"/>
      <c r="VK138" s="1576"/>
    </row>
    <row r="139" spans="1:583" x14ac:dyDescent="0.25">
      <c r="B139" s="4710"/>
      <c r="C139" s="4713"/>
      <c r="D139" s="4713"/>
      <c r="E139" s="1610" t="s">
        <v>295</v>
      </c>
      <c r="F139" s="1912"/>
      <c r="G139" s="1912"/>
      <c r="H139" s="1912"/>
      <c r="I139" s="1576"/>
      <c r="J139" s="1576"/>
      <c r="K139" s="1576"/>
      <c r="L139" s="1576"/>
      <c r="M139" s="1576"/>
      <c r="N139" s="1576"/>
      <c r="O139" s="1576"/>
      <c r="P139" s="1576"/>
      <c r="Q139" s="1576"/>
      <c r="R139" s="1576"/>
      <c r="S139" s="1576"/>
      <c r="T139" s="1576"/>
      <c r="U139" s="1576"/>
      <c r="V139" s="1576"/>
      <c r="W139" s="1576"/>
      <c r="X139" s="1576"/>
      <c r="Y139" s="1576"/>
      <c r="Z139" s="1576"/>
      <c r="AA139" s="1576"/>
      <c r="AB139" s="1576"/>
      <c r="AC139" s="1576"/>
      <c r="AD139" s="1576"/>
      <c r="AE139" s="1576"/>
      <c r="AF139" s="1576"/>
      <c r="AG139" s="1576"/>
      <c r="AH139" s="1576"/>
      <c r="AI139" s="1576"/>
      <c r="AJ139" s="1576"/>
      <c r="AK139" s="1576"/>
      <c r="AL139" s="1576"/>
      <c r="AM139" s="1576"/>
      <c r="AN139" s="1576"/>
      <c r="AO139" s="1576"/>
      <c r="AP139" s="1576"/>
      <c r="AQ139" s="1576"/>
      <c r="AR139" s="1576"/>
      <c r="AS139" s="1576"/>
      <c r="AT139" s="1576"/>
      <c r="AU139" s="1576"/>
      <c r="AV139" s="1576"/>
      <c r="AW139" s="1576"/>
      <c r="AX139" s="1576"/>
      <c r="AY139" s="1576"/>
      <c r="AZ139" s="1576"/>
      <c r="BA139" s="1576"/>
      <c r="BB139" s="1576"/>
      <c r="BC139" s="1576"/>
      <c r="BD139" s="1576"/>
      <c r="BE139" s="1576"/>
      <c r="BF139" s="1576"/>
      <c r="BG139" s="1576"/>
      <c r="BH139" s="1576"/>
      <c r="BI139" s="1576"/>
      <c r="BJ139" s="1576"/>
      <c r="BK139" s="1576"/>
      <c r="BL139" s="1576"/>
      <c r="BM139" s="1576"/>
      <c r="BN139" s="1576"/>
      <c r="BO139" s="1576"/>
      <c r="BP139" s="1576"/>
      <c r="BQ139" s="1576"/>
      <c r="BR139" s="1576"/>
      <c r="BS139" s="1576"/>
      <c r="BT139" s="1576"/>
      <c r="BU139" s="1576"/>
      <c r="BV139" s="1576"/>
      <c r="BW139" s="1576"/>
      <c r="BX139" s="1576"/>
      <c r="BY139" s="1576"/>
      <c r="BZ139" s="1576"/>
      <c r="CA139" s="1576"/>
      <c r="CB139" s="1576"/>
      <c r="CC139" s="1576"/>
      <c r="CD139" s="1576"/>
      <c r="CE139" s="1576"/>
      <c r="CF139" s="1576"/>
      <c r="CG139" s="1576"/>
      <c r="CH139" s="1576"/>
      <c r="CI139" s="1576"/>
      <c r="CJ139" s="1576"/>
      <c r="CK139" s="1576"/>
      <c r="CL139" s="1576"/>
      <c r="CM139" s="1576"/>
      <c r="CN139" s="1576"/>
      <c r="CO139" s="1576"/>
      <c r="CP139" s="1576"/>
      <c r="CQ139" s="1576"/>
      <c r="CR139" s="1576"/>
      <c r="CS139" s="1576"/>
      <c r="CT139" s="1576"/>
      <c r="CU139" s="1576"/>
      <c r="CV139" s="1576"/>
      <c r="CW139" s="1576"/>
      <c r="CX139" s="1576"/>
      <c r="CY139" s="1576"/>
      <c r="CZ139" s="1576"/>
      <c r="DA139" s="1576"/>
      <c r="DB139" s="1576"/>
      <c r="DC139" s="1576"/>
      <c r="DD139" s="1576"/>
      <c r="DE139" s="1576"/>
      <c r="DF139" s="1576"/>
      <c r="DG139" s="1576"/>
      <c r="DH139" s="1576"/>
      <c r="DI139" s="1576"/>
      <c r="DJ139" s="1576"/>
      <c r="DK139" s="1576"/>
      <c r="DL139" s="1576"/>
      <c r="DM139" s="1576"/>
      <c r="DN139" s="1576"/>
      <c r="DO139" s="1576"/>
      <c r="DP139" s="1576"/>
      <c r="DQ139" s="1576"/>
      <c r="DR139" s="1576"/>
      <c r="DS139" s="1576"/>
      <c r="DT139" s="1576"/>
      <c r="DU139" s="1576"/>
      <c r="DV139" s="1576"/>
      <c r="DW139" s="1576"/>
      <c r="DX139" s="1576"/>
      <c r="DY139" s="1576"/>
      <c r="DZ139" s="1576"/>
      <c r="EA139" s="1576"/>
      <c r="EB139" s="1576"/>
      <c r="EC139" s="1576"/>
      <c r="ED139" s="1576"/>
      <c r="EE139" s="1576"/>
      <c r="EF139" s="1576"/>
      <c r="EG139" s="1576"/>
      <c r="EH139" s="1576"/>
      <c r="EI139" s="1576"/>
      <c r="EJ139" s="1576"/>
      <c r="EK139" s="1576"/>
      <c r="EL139" s="1576"/>
      <c r="EM139" s="1576"/>
      <c r="EN139" s="1576"/>
      <c r="EO139" s="1576"/>
      <c r="EP139" s="1576"/>
      <c r="EQ139" s="1576"/>
      <c r="ER139" s="1576"/>
      <c r="ES139" s="1576"/>
      <c r="ET139" s="1576"/>
      <c r="EU139" s="1576"/>
      <c r="EV139" s="1576"/>
      <c r="EW139" s="1576"/>
      <c r="EX139" s="1576"/>
      <c r="EY139" s="1576"/>
      <c r="EZ139" s="1576"/>
      <c r="FA139" s="1576"/>
      <c r="FB139" s="1576"/>
      <c r="FC139" s="1576"/>
      <c r="FD139" s="1576"/>
      <c r="FE139" s="1576"/>
      <c r="FF139" s="1576"/>
      <c r="FG139" s="1576"/>
      <c r="FH139" s="1576"/>
      <c r="FI139" s="1576"/>
      <c r="FJ139" s="1576"/>
      <c r="FK139" s="1576"/>
      <c r="FL139" s="1576"/>
      <c r="FM139" s="1576"/>
      <c r="FN139" s="1576"/>
      <c r="FO139" s="1576"/>
      <c r="FP139" s="1576"/>
      <c r="FQ139" s="1576"/>
      <c r="FR139" s="1576"/>
      <c r="FS139" s="1576"/>
      <c r="FT139" s="1576"/>
      <c r="FU139" s="1576"/>
      <c r="FV139" s="1576"/>
      <c r="FW139" s="1576"/>
      <c r="FX139" s="1576"/>
      <c r="FY139" s="1576"/>
      <c r="FZ139" s="1576"/>
      <c r="GA139" s="1576"/>
      <c r="GB139" s="1576"/>
      <c r="GC139" s="1576"/>
      <c r="GD139" s="1576"/>
      <c r="GE139" s="1576"/>
      <c r="GF139" s="1576"/>
      <c r="GG139" s="1576"/>
      <c r="GH139" s="1576"/>
      <c r="GI139" s="1576"/>
      <c r="GJ139" s="1576"/>
      <c r="GK139" s="1576"/>
      <c r="GL139" s="1576"/>
      <c r="GM139" s="1576"/>
      <c r="GN139" s="1576"/>
      <c r="GO139" s="1576"/>
      <c r="GP139" s="1576"/>
      <c r="GQ139" s="1576"/>
      <c r="GR139" s="1576"/>
      <c r="GS139" s="1576"/>
      <c r="GT139" s="1576"/>
      <c r="GU139" s="1576"/>
      <c r="GV139" s="1576"/>
      <c r="GW139" s="1576"/>
      <c r="GX139" s="1576"/>
      <c r="GY139" s="1576"/>
      <c r="GZ139" s="1576"/>
      <c r="HA139" s="1576"/>
      <c r="HB139" s="1576"/>
      <c r="HC139" s="1576"/>
      <c r="HD139" s="1576"/>
      <c r="HE139" s="1576"/>
      <c r="HF139" s="1576"/>
      <c r="HG139" s="1576"/>
      <c r="HH139" s="1576"/>
      <c r="HI139" s="1576"/>
      <c r="HJ139" s="1576"/>
      <c r="HK139" s="1576"/>
      <c r="HL139" s="1576"/>
      <c r="HM139" s="1576"/>
      <c r="HN139" s="1576"/>
      <c r="HO139" s="1576"/>
      <c r="HP139" s="1576"/>
      <c r="HQ139" s="1576"/>
      <c r="HR139" s="1576"/>
      <c r="HS139" s="1576"/>
      <c r="HT139" s="1576"/>
      <c r="HU139" s="1576"/>
      <c r="HV139" s="1576"/>
      <c r="HW139" s="1576"/>
      <c r="HX139" s="1576"/>
      <c r="HY139" s="1576"/>
      <c r="HZ139" s="1576"/>
      <c r="IA139" s="1576"/>
      <c r="IB139" s="1576"/>
      <c r="IC139" s="1576"/>
      <c r="ID139" s="1576"/>
      <c r="IE139" s="1576"/>
      <c r="IF139" s="1576"/>
      <c r="IG139" s="1576"/>
      <c r="IH139" s="1576"/>
      <c r="II139" s="1576"/>
      <c r="IJ139" s="1576"/>
      <c r="IK139" s="1576"/>
      <c r="IL139" s="1576"/>
      <c r="IM139" s="1576"/>
      <c r="IN139" s="1576"/>
      <c r="IO139" s="1576"/>
      <c r="IP139" s="1576"/>
      <c r="IQ139" s="1576"/>
      <c r="IR139" s="1576"/>
      <c r="IS139" s="1576"/>
      <c r="IT139" s="1576"/>
      <c r="IU139" s="1576"/>
      <c r="IV139" s="1576"/>
      <c r="IW139" s="1576"/>
      <c r="IX139" s="1576"/>
      <c r="IY139" s="1576"/>
      <c r="IZ139" s="1576"/>
      <c r="JA139" s="2054"/>
      <c r="JB139" s="2054"/>
      <c r="JC139" s="2054"/>
      <c r="JD139" s="2054"/>
      <c r="JE139" s="2054"/>
      <c r="JF139" s="2054"/>
      <c r="JG139" s="2054"/>
      <c r="JH139" s="2054"/>
      <c r="JI139" s="2054"/>
      <c r="JJ139" s="2054"/>
      <c r="JK139" s="2054"/>
      <c r="JL139" s="2054"/>
      <c r="JM139" s="2054"/>
      <c r="JN139" s="2054"/>
      <c r="JO139" s="2054"/>
      <c r="JP139" s="2054"/>
      <c r="JQ139" s="2054"/>
      <c r="JR139" s="1576"/>
      <c r="JS139" s="1576"/>
      <c r="JT139" s="1576"/>
      <c r="JU139" s="1576"/>
      <c r="JV139" s="1576"/>
      <c r="JW139" s="1576"/>
      <c r="JX139" s="1576"/>
      <c r="JY139" s="1576"/>
      <c r="JZ139" s="1576"/>
      <c r="KA139" s="1576"/>
      <c r="KB139" s="1576"/>
      <c r="KC139" s="1576"/>
      <c r="KD139" s="1576"/>
      <c r="KE139" s="1576"/>
      <c r="KF139" s="1576"/>
      <c r="KG139" s="1576"/>
      <c r="KH139" s="1576"/>
      <c r="KI139" s="1576"/>
      <c r="KJ139" s="1576"/>
      <c r="KK139" s="1576"/>
      <c r="KL139" s="1576"/>
      <c r="KM139" s="1576"/>
      <c r="KN139" s="1576"/>
      <c r="KO139" s="1576"/>
      <c r="KP139" s="1576"/>
      <c r="KQ139" s="1576"/>
      <c r="KR139" s="1576"/>
      <c r="KS139" s="1576"/>
      <c r="KT139" s="1576"/>
      <c r="KU139" s="1576"/>
      <c r="KV139" s="1576"/>
      <c r="KW139" s="1576"/>
      <c r="KX139" s="1576"/>
      <c r="KY139" s="1576"/>
      <c r="KZ139" s="1576"/>
      <c r="LA139" s="1576"/>
      <c r="LB139" s="1576"/>
      <c r="LC139" s="1576"/>
      <c r="LD139" s="1576"/>
      <c r="LE139" s="1576"/>
      <c r="LF139" s="1576"/>
      <c r="LG139" s="1576"/>
      <c r="LH139" s="1576"/>
      <c r="LI139" s="1576"/>
      <c r="LJ139" s="1576"/>
      <c r="LK139" s="1576"/>
      <c r="LL139" s="1576"/>
      <c r="LM139" s="1576"/>
      <c r="LN139" s="1576"/>
      <c r="LO139" s="1576"/>
      <c r="LP139" s="1576"/>
      <c r="LQ139" s="1576"/>
      <c r="LR139" s="1576"/>
      <c r="LS139" s="1576"/>
      <c r="LT139" s="1576"/>
      <c r="LU139" s="1576"/>
      <c r="LV139" s="1576"/>
      <c r="LW139" s="1576"/>
      <c r="LX139" s="1576"/>
      <c r="LY139" s="1576"/>
      <c r="LZ139" s="1576"/>
      <c r="MA139" s="1576"/>
      <c r="MB139" s="1576"/>
      <c r="MC139" s="1576"/>
      <c r="MD139" s="1576"/>
      <c r="ME139" s="1576"/>
      <c r="MF139" s="1576"/>
      <c r="MG139" s="1576"/>
      <c r="MH139" s="1576"/>
      <c r="MI139" s="1576"/>
      <c r="MJ139" s="1576"/>
      <c r="MK139" s="1576"/>
      <c r="ML139" s="1576"/>
      <c r="MM139" s="1576"/>
      <c r="MN139" s="1576"/>
      <c r="MO139" s="1576"/>
      <c r="MP139" s="1576"/>
      <c r="MQ139" s="1576"/>
      <c r="MR139" s="1576"/>
      <c r="MS139" s="1576"/>
      <c r="MT139" s="1576"/>
      <c r="MU139" s="1576"/>
      <c r="MV139" s="1576"/>
      <c r="MW139" s="1576"/>
      <c r="MX139" s="1576"/>
      <c r="MY139" s="1576"/>
      <c r="MZ139" s="1576"/>
      <c r="NA139" s="1576"/>
      <c r="NB139" s="1576"/>
      <c r="NC139" s="1576"/>
      <c r="ND139" s="1576"/>
      <c r="NE139" s="1576"/>
      <c r="NF139" s="1576"/>
      <c r="NG139" s="1576"/>
      <c r="NH139" s="1576"/>
      <c r="NI139" s="1576"/>
      <c r="NJ139" s="1576"/>
      <c r="NK139" s="1576"/>
      <c r="NL139" s="1576"/>
      <c r="NM139" s="1576"/>
      <c r="NN139" s="1576"/>
      <c r="NO139" s="1576"/>
      <c r="NP139" s="1576" t="e">
        <f>'Paso 1.1'!E136*Tiempos!$H$125</f>
        <v>#DIV/0!</v>
      </c>
      <c r="NQ139" s="1576" t="e">
        <f>'Paso 1.1'!F136*Tiempos!$H$125</f>
        <v>#DIV/0!</v>
      </c>
      <c r="NR139" s="1576" t="e">
        <f>'Paso 1.1'!G136*Tiempos!$H$125</f>
        <v>#DIV/0!</v>
      </c>
      <c r="NS139" s="1576" t="e">
        <f>'Paso 1.1'!H136*Tiempos!$H$125</f>
        <v>#DIV/0!</v>
      </c>
      <c r="NT139" s="1576" t="e">
        <f>'Paso 1.1'!I136*Tiempos!$H$125</f>
        <v>#DIV/0!</v>
      </c>
      <c r="NU139" s="1576" t="e">
        <f>'Paso 1.1'!J136*Tiempos!$H$125</f>
        <v>#DIV/0!</v>
      </c>
      <c r="NV139" s="1576" t="e">
        <f>'Paso 1.1'!K136*Tiempos!$H$125</f>
        <v>#DIV/0!</v>
      </c>
      <c r="NW139" s="1576" t="e">
        <f>'Paso 1.1'!L136*Tiempos!$H$125</f>
        <v>#DIV/0!</v>
      </c>
      <c r="NX139" s="1576" t="e">
        <f>'Paso 1.1'!M136*Tiempos!$H$125</f>
        <v>#DIV/0!</v>
      </c>
      <c r="NY139" s="1576" t="e">
        <f>'Paso 1.1'!N136*Tiempos!$H$125</f>
        <v>#DIV/0!</v>
      </c>
      <c r="NZ139" s="1576" t="e">
        <f>'Paso 1.1'!O136*Tiempos!$H$125</f>
        <v>#DIV/0!</v>
      </c>
      <c r="OA139" s="1576" t="e">
        <f>'Paso 1.1'!P136*Tiempos!$H$125</f>
        <v>#DIV/0!</v>
      </c>
      <c r="OB139" s="1576" t="e">
        <f>'Paso 1.1'!Q136*Tiempos!$H$125</f>
        <v>#DIV/0!</v>
      </c>
      <c r="OC139" s="1576" t="e">
        <f>'Paso 1.1'!R136*Tiempos!$H$125</f>
        <v>#DIV/0!</v>
      </c>
      <c r="OD139" s="1576" t="e">
        <f>'Paso 1.1'!S136*Tiempos!$H$125</f>
        <v>#DIV/0!</v>
      </c>
      <c r="OE139" s="1576" t="e">
        <f>'Paso 1.1'!T136*Tiempos!$H$125</f>
        <v>#DIV/0!</v>
      </c>
      <c r="OF139" s="1576" t="e">
        <f>'Paso 1.1'!U136*Tiempos!$H$125</f>
        <v>#DIV/0!</v>
      </c>
      <c r="OG139" s="1576"/>
      <c r="OH139" s="1576"/>
      <c r="OI139" s="1576"/>
      <c r="OJ139" s="1576"/>
      <c r="OK139" s="1576"/>
      <c r="OL139" s="1576"/>
      <c r="OM139" s="1576"/>
      <c r="ON139" s="1576"/>
      <c r="OO139" s="1576"/>
      <c r="OP139" s="1576"/>
      <c r="OQ139" s="1576"/>
      <c r="OR139" s="1576"/>
      <c r="OS139" s="1576"/>
      <c r="OT139" s="1576"/>
      <c r="OU139" s="1576"/>
      <c r="OV139" s="1576"/>
      <c r="OW139" s="1576"/>
      <c r="OX139" s="1576"/>
      <c r="OY139" s="1576"/>
      <c r="OZ139" s="1576"/>
      <c r="PA139" s="1576"/>
      <c r="PB139" s="1576"/>
      <c r="PC139" s="1576"/>
      <c r="PD139" s="1576"/>
      <c r="PE139" s="1576"/>
      <c r="PF139" s="1576"/>
      <c r="PG139" s="1576"/>
      <c r="PH139" s="1576"/>
      <c r="PI139" s="1576"/>
      <c r="PJ139" s="1576"/>
      <c r="PK139" s="1576"/>
      <c r="PL139" s="1576"/>
      <c r="PM139" s="1576"/>
      <c r="PN139" s="1576"/>
      <c r="PO139" s="1576"/>
      <c r="PP139" s="1576"/>
      <c r="PQ139" s="1576"/>
      <c r="PR139" s="1576"/>
      <c r="PS139" s="1576"/>
      <c r="PT139" s="1576"/>
      <c r="PU139" s="1576"/>
      <c r="PV139" s="1576"/>
      <c r="PW139" s="1576"/>
      <c r="PX139" s="1576"/>
      <c r="PY139" s="1576"/>
      <c r="PZ139" s="1576"/>
      <c r="QA139" s="1576"/>
      <c r="QB139" s="1576"/>
      <c r="QC139" s="1576"/>
      <c r="QD139" s="1576"/>
      <c r="QE139" s="1576"/>
      <c r="QF139" s="1576"/>
      <c r="QG139" s="1576"/>
      <c r="QH139" s="1576"/>
      <c r="QI139" s="1576"/>
      <c r="QJ139" s="1576"/>
      <c r="QK139" s="1576"/>
      <c r="QL139" s="1576"/>
      <c r="QM139" s="1576"/>
      <c r="QN139" s="1576"/>
      <c r="QO139" s="1576"/>
      <c r="QP139" s="1576"/>
      <c r="QQ139" s="1576"/>
      <c r="QR139" s="1576"/>
      <c r="QS139" s="1576"/>
      <c r="QT139" s="1576"/>
      <c r="QU139" s="1576"/>
      <c r="QV139" s="1576"/>
      <c r="QW139" s="1576"/>
      <c r="QX139" s="1576"/>
      <c r="QY139" s="1576"/>
      <c r="QZ139" s="1576"/>
      <c r="RA139" s="1576"/>
      <c r="RB139" s="1576"/>
      <c r="RC139" s="1576"/>
      <c r="RD139" s="1576"/>
      <c r="RE139" s="1576"/>
      <c r="RF139" s="1576"/>
      <c r="RG139" s="1576"/>
      <c r="RH139" s="1576"/>
      <c r="RI139" s="1576"/>
      <c r="RJ139" s="1576"/>
      <c r="RK139" s="1576"/>
      <c r="RL139" s="1576"/>
      <c r="RM139" s="1576"/>
      <c r="RN139" s="1576" t="e">
        <f>'Paso 1.1'!E113*Tiempos!$H$108</f>
        <v>#DIV/0!</v>
      </c>
      <c r="RO139" s="1576" t="e">
        <f>'Paso 1.1'!F113*Tiempos!$H$108</f>
        <v>#DIV/0!</v>
      </c>
      <c r="RP139" s="1576" t="e">
        <f>'Paso 1.1'!G113*Tiempos!$H$108</f>
        <v>#DIV/0!</v>
      </c>
      <c r="RQ139" s="1576" t="e">
        <f>'Paso 1.1'!H113*Tiempos!$H$108</f>
        <v>#DIV/0!</v>
      </c>
      <c r="RR139" s="1576" t="e">
        <f>'Paso 1.1'!I113*Tiempos!$H$108</f>
        <v>#DIV/0!</v>
      </c>
      <c r="RS139" s="1576" t="e">
        <f>'Paso 1.1'!J113*Tiempos!$H$108</f>
        <v>#DIV/0!</v>
      </c>
      <c r="RT139" s="1576" t="e">
        <f>'Paso 1.1'!K113*Tiempos!$H$108</f>
        <v>#DIV/0!</v>
      </c>
      <c r="RU139" s="1576" t="e">
        <f>'Paso 1.1'!L113*Tiempos!$H$108</f>
        <v>#DIV/0!</v>
      </c>
      <c r="RV139" s="1576" t="e">
        <f>'Paso 1.1'!M113*Tiempos!$H$108</f>
        <v>#DIV/0!</v>
      </c>
      <c r="RW139" s="1576" t="e">
        <f>'Paso 1.1'!N113*Tiempos!$H$108</f>
        <v>#DIV/0!</v>
      </c>
      <c r="RX139" s="1576" t="e">
        <f>'Paso 1.1'!O113*Tiempos!$H$108</f>
        <v>#DIV/0!</v>
      </c>
      <c r="RY139" s="1576" t="e">
        <f>'Paso 1.1'!P113*Tiempos!$H$108</f>
        <v>#DIV/0!</v>
      </c>
      <c r="RZ139" s="1576" t="e">
        <f>'Paso 1.1'!Q113*Tiempos!$H$108</f>
        <v>#DIV/0!</v>
      </c>
      <c r="SA139" s="1576" t="e">
        <f>'Paso 1.1'!R113*Tiempos!$H$108</f>
        <v>#DIV/0!</v>
      </c>
      <c r="SB139" s="1576" t="e">
        <f>'Paso 1.1'!S113*Tiempos!$H$108</f>
        <v>#DIV/0!</v>
      </c>
      <c r="SC139" s="1576" t="e">
        <f>'Paso 1.1'!T113*Tiempos!$H$108</f>
        <v>#DIV/0!</v>
      </c>
      <c r="SD139" s="1576" t="e">
        <f>'Paso 1.1'!U113*Tiempos!$H$108</f>
        <v>#DIV/0!</v>
      </c>
      <c r="SE139" s="1576"/>
      <c r="SF139" s="1576"/>
      <c r="SG139" s="1576"/>
      <c r="SH139" s="1576"/>
      <c r="SI139" s="1576"/>
      <c r="SJ139" s="1576"/>
      <c r="SK139" s="1576"/>
      <c r="SL139" s="1576"/>
      <c r="SM139" s="1576"/>
      <c r="SN139" s="1576"/>
      <c r="SO139" s="1576"/>
      <c r="SP139" s="1576"/>
      <c r="SQ139" s="1576"/>
      <c r="SR139" s="1576"/>
      <c r="SS139" s="1576"/>
      <c r="ST139" s="1576"/>
      <c r="SU139" s="1576"/>
      <c r="SV139" s="1576"/>
      <c r="SW139" s="1576"/>
      <c r="SX139" s="1576"/>
      <c r="SY139" s="1576"/>
      <c r="SZ139" s="1576"/>
      <c r="TA139" s="1576"/>
      <c r="TB139" s="1576"/>
      <c r="TC139" s="1576"/>
      <c r="TD139" s="1576"/>
      <c r="TE139" s="1576"/>
      <c r="TF139" s="1576"/>
      <c r="TG139" s="1576"/>
      <c r="TH139" s="1576"/>
      <c r="TI139" s="1576"/>
      <c r="TJ139" s="1576"/>
      <c r="TK139" s="1576"/>
      <c r="TL139" s="1576"/>
      <c r="TM139" s="1576"/>
      <c r="TN139" s="1576"/>
      <c r="TO139" s="1576"/>
      <c r="TP139" s="1576"/>
      <c r="TQ139" s="1576"/>
      <c r="TR139" s="1576"/>
      <c r="TS139" s="1576"/>
      <c r="TT139" s="1576"/>
      <c r="TU139" s="1576"/>
      <c r="TV139" s="1576"/>
      <c r="TW139" s="1576"/>
      <c r="TX139" s="1576"/>
      <c r="TY139" s="1576"/>
      <c r="TZ139" s="1576"/>
      <c r="UA139" s="1576"/>
      <c r="UB139" s="1576"/>
      <c r="UC139" s="1576"/>
      <c r="UD139" s="1576" t="e">
        <f>'Paso 1.1'!E113*Tiempos!$L$108</f>
        <v>#DIV/0!</v>
      </c>
      <c r="UE139" s="1576" t="e">
        <f>'Paso 1.1'!F113*Tiempos!$L$108</f>
        <v>#DIV/0!</v>
      </c>
      <c r="UF139" s="1576" t="e">
        <f>'Paso 1.1'!G113*Tiempos!$L$108</f>
        <v>#DIV/0!</v>
      </c>
      <c r="UG139" s="1576" t="e">
        <f>'Paso 1.1'!H113*Tiempos!$L$108</f>
        <v>#DIV/0!</v>
      </c>
      <c r="UH139" s="1576" t="e">
        <f>'Paso 1.1'!I113*Tiempos!$L$108</f>
        <v>#DIV/0!</v>
      </c>
      <c r="UI139" s="1576" t="e">
        <f>'Paso 1.1'!J113*Tiempos!$L$108</f>
        <v>#DIV/0!</v>
      </c>
      <c r="UJ139" s="1576" t="e">
        <f>'Paso 1.1'!K113*Tiempos!$L$108</f>
        <v>#DIV/0!</v>
      </c>
      <c r="UK139" s="1576" t="e">
        <f>'Paso 1.1'!L113*Tiempos!$L$108</f>
        <v>#DIV/0!</v>
      </c>
      <c r="UL139" s="1576" t="e">
        <f>'Paso 1.1'!M113*Tiempos!$L$108</f>
        <v>#DIV/0!</v>
      </c>
      <c r="UM139" s="1576" t="e">
        <f>'Paso 1.1'!N113*Tiempos!$L$108</f>
        <v>#DIV/0!</v>
      </c>
      <c r="UN139" s="1576" t="e">
        <f>'Paso 1.1'!O113*Tiempos!$L$108</f>
        <v>#DIV/0!</v>
      </c>
      <c r="UO139" s="1576" t="e">
        <f>'Paso 1.1'!P113*Tiempos!$L$108</f>
        <v>#DIV/0!</v>
      </c>
      <c r="UP139" s="1576" t="e">
        <f>'Paso 1.1'!Q113*Tiempos!$L$108</f>
        <v>#DIV/0!</v>
      </c>
      <c r="UQ139" s="1576" t="e">
        <f>'Paso 1.1'!R113*Tiempos!$L$108</f>
        <v>#DIV/0!</v>
      </c>
      <c r="UR139" s="1576" t="e">
        <f>'Paso 1.1'!S113*Tiempos!$L$108</f>
        <v>#DIV/0!</v>
      </c>
      <c r="US139" s="1576" t="e">
        <f>'Paso 1.1'!T113*Tiempos!$L$108</f>
        <v>#DIV/0!</v>
      </c>
      <c r="UT139" s="1576" t="e">
        <f>'Paso 1.1'!U113*Tiempos!$L$108</f>
        <v>#DIV/0!</v>
      </c>
      <c r="UU139" s="1576"/>
      <c r="UV139" s="1576"/>
      <c r="UW139" s="1576"/>
      <c r="UX139" s="1576"/>
      <c r="UY139" s="1576"/>
      <c r="UZ139" s="1576"/>
      <c r="VA139" s="1576"/>
      <c r="VB139" s="1576"/>
      <c r="VC139" s="1576"/>
      <c r="VD139" s="1576"/>
      <c r="VE139" s="1576"/>
      <c r="VF139" s="1576"/>
      <c r="VG139" s="1576"/>
      <c r="VH139" s="1576"/>
      <c r="VI139" s="1576"/>
      <c r="VJ139" s="1576"/>
      <c r="VK139" s="1576"/>
    </row>
    <row r="140" spans="1:583" x14ac:dyDescent="0.25">
      <c r="B140" s="4710" t="s">
        <v>1351</v>
      </c>
      <c r="C140" s="4713" t="s">
        <v>2844</v>
      </c>
      <c r="D140" s="4713" t="s">
        <v>2845</v>
      </c>
      <c r="E140" s="1582" t="s">
        <v>2841</v>
      </c>
      <c r="F140" s="1912"/>
      <c r="G140" s="1912"/>
      <c r="H140" s="1912"/>
      <c r="I140" s="1576"/>
      <c r="J140" s="1576"/>
      <c r="K140" s="1576"/>
      <c r="L140" s="1576"/>
      <c r="M140" s="1576"/>
      <c r="N140" s="1576"/>
      <c r="O140" s="1576"/>
      <c r="P140" s="1576"/>
      <c r="Q140" s="1576"/>
      <c r="R140" s="1576"/>
      <c r="S140" s="1576"/>
      <c r="T140" s="1576"/>
      <c r="U140" s="1576"/>
      <c r="V140" s="1576"/>
      <c r="W140" s="1576"/>
      <c r="X140" s="1576"/>
      <c r="Y140" s="1576"/>
      <c r="Z140" s="1576"/>
      <c r="AA140" s="1576"/>
      <c r="AB140" s="1576"/>
      <c r="AC140" s="1576"/>
      <c r="AD140" s="1576"/>
      <c r="AE140" s="1576"/>
      <c r="AF140" s="1576"/>
      <c r="AG140" s="1576"/>
      <c r="AH140" s="1576"/>
      <c r="AI140" s="1576"/>
      <c r="AJ140" s="1576"/>
      <c r="AK140" s="1576"/>
      <c r="AL140" s="1576"/>
      <c r="AM140" s="1576"/>
      <c r="AN140" s="1576"/>
      <c r="AO140" s="1576"/>
      <c r="AP140" s="1576"/>
      <c r="AQ140" s="1576"/>
      <c r="AR140" s="1576"/>
      <c r="AS140" s="1576"/>
      <c r="AT140" s="1576"/>
      <c r="AU140" s="1576"/>
      <c r="AV140" s="1576"/>
      <c r="AW140" s="1576"/>
      <c r="AX140" s="1576"/>
      <c r="AY140" s="1576"/>
      <c r="AZ140" s="1576"/>
      <c r="BA140" s="1576"/>
      <c r="BB140" s="1576"/>
      <c r="BC140" s="1576"/>
      <c r="BD140" s="1576"/>
      <c r="BE140" s="1576"/>
      <c r="BF140" s="1576"/>
      <c r="BG140" s="1576"/>
      <c r="BH140" s="1576"/>
      <c r="BI140" s="1576"/>
      <c r="BJ140" s="1576"/>
      <c r="BK140" s="1576"/>
      <c r="BL140" s="1576"/>
      <c r="BM140" s="1576"/>
      <c r="BN140" s="1576"/>
      <c r="BO140" s="1576"/>
      <c r="BP140" s="1576"/>
      <c r="BQ140" s="1576"/>
      <c r="BR140" s="1576"/>
      <c r="BS140" s="1576"/>
      <c r="BT140" s="1576"/>
      <c r="BU140" s="1576"/>
      <c r="BV140" s="1576"/>
      <c r="BW140" s="1576"/>
      <c r="BX140" s="1576"/>
      <c r="BY140" s="1576"/>
      <c r="BZ140" s="1576"/>
      <c r="CA140" s="1576"/>
      <c r="CB140" s="1576"/>
      <c r="CC140" s="1576"/>
      <c r="CD140" s="1576"/>
      <c r="CE140" s="1576"/>
      <c r="CF140" s="1576"/>
      <c r="CG140" s="1576"/>
      <c r="CH140" s="1576"/>
      <c r="CI140" s="1576"/>
      <c r="CJ140" s="1576"/>
      <c r="CK140" s="1576"/>
      <c r="CL140" s="1576"/>
      <c r="CM140" s="1576"/>
      <c r="CN140" s="1576"/>
      <c r="CO140" s="1576"/>
      <c r="CP140" s="1576"/>
      <c r="CQ140" s="1576"/>
      <c r="CR140" s="1576"/>
      <c r="CS140" s="1576"/>
      <c r="CT140" s="1576"/>
      <c r="CU140" s="1576"/>
      <c r="CV140" s="1576"/>
      <c r="CW140" s="1576"/>
      <c r="CX140" s="1576"/>
      <c r="CY140" s="1576"/>
      <c r="CZ140" s="1576"/>
      <c r="DA140" s="1576"/>
      <c r="DB140" s="1576"/>
      <c r="DC140" s="1576"/>
      <c r="DD140" s="1576"/>
      <c r="DE140" s="1576"/>
      <c r="DF140" s="1576"/>
      <c r="DG140" s="1576"/>
      <c r="DH140" s="1576"/>
      <c r="DI140" s="1576"/>
      <c r="DJ140" s="1576"/>
      <c r="DK140" s="1576"/>
      <c r="DL140" s="1576"/>
      <c r="DM140" s="1576"/>
      <c r="DN140" s="1576"/>
      <c r="DO140" s="1576"/>
      <c r="DP140" s="1576"/>
      <c r="DQ140" s="1576"/>
      <c r="DR140" s="1576"/>
      <c r="DS140" s="1576"/>
      <c r="DT140" s="1576"/>
      <c r="DU140" s="1576"/>
      <c r="DV140" s="1576"/>
      <c r="DW140" s="1576"/>
      <c r="DX140" s="1576"/>
      <c r="DY140" s="1576"/>
      <c r="DZ140" s="1576"/>
      <c r="EA140" s="1576"/>
      <c r="EB140" s="1576"/>
      <c r="EC140" s="1576"/>
      <c r="ED140" s="1576"/>
      <c r="EE140" s="1576"/>
      <c r="EF140" s="1576"/>
      <c r="EG140" s="1576"/>
      <c r="EH140" s="1576"/>
      <c r="EI140" s="1576"/>
      <c r="EJ140" s="1576"/>
      <c r="EK140" s="1576"/>
      <c r="EL140" s="1576"/>
      <c r="EM140" s="1576"/>
      <c r="EN140" s="1576"/>
      <c r="EO140" s="1576"/>
      <c r="EP140" s="1576"/>
      <c r="EQ140" s="1576"/>
      <c r="ER140" s="1576"/>
      <c r="ES140" s="1576"/>
      <c r="ET140" s="1576"/>
      <c r="EU140" s="1576"/>
      <c r="EV140" s="1576"/>
      <c r="EW140" s="1576"/>
      <c r="EX140" s="1576"/>
      <c r="EY140" s="1576"/>
      <c r="EZ140" s="1576"/>
      <c r="FA140" s="1576"/>
      <c r="FB140" s="1576"/>
      <c r="FC140" s="1576"/>
      <c r="FD140" s="1576"/>
      <c r="FE140" s="1576"/>
      <c r="FF140" s="1576"/>
      <c r="FG140" s="1576"/>
      <c r="FH140" s="1576"/>
      <c r="FI140" s="1576"/>
      <c r="FJ140" s="1576"/>
      <c r="FK140" s="1576"/>
      <c r="FL140" s="1576"/>
      <c r="FM140" s="1576"/>
      <c r="FN140" s="1576"/>
      <c r="FO140" s="1576"/>
      <c r="FP140" s="1576"/>
      <c r="FQ140" s="1576"/>
      <c r="FR140" s="1576"/>
      <c r="FS140" s="1576"/>
      <c r="FT140" s="1576"/>
      <c r="FU140" s="1576"/>
      <c r="FV140" s="1576"/>
      <c r="FW140" s="1576"/>
      <c r="FX140" s="1576"/>
      <c r="FY140" s="1576"/>
      <c r="FZ140" s="1576"/>
      <c r="GA140" s="1576"/>
      <c r="GB140" s="1576"/>
      <c r="GC140" s="1576"/>
      <c r="GD140" s="1576"/>
      <c r="GE140" s="1576"/>
      <c r="GF140" s="1576"/>
      <c r="GG140" s="1576"/>
      <c r="GH140" s="1576"/>
      <c r="GI140" s="1576"/>
      <c r="GJ140" s="1576"/>
      <c r="GK140" s="1576"/>
      <c r="GL140" s="1576"/>
      <c r="GM140" s="1576"/>
      <c r="GN140" s="1576"/>
      <c r="GO140" s="1576"/>
      <c r="GP140" s="1576"/>
      <c r="GQ140" s="1576"/>
      <c r="GR140" s="1576"/>
      <c r="GS140" s="1576"/>
      <c r="GT140" s="1576"/>
      <c r="GU140" s="1576"/>
      <c r="GV140" s="1576"/>
      <c r="GW140" s="1576"/>
      <c r="GX140" s="1576"/>
      <c r="GY140" s="1576"/>
      <c r="GZ140" s="1576"/>
      <c r="HA140" s="1576"/>
      <c r="HB140" s="1576"/>
      <c r="HC140" s="1576"/>
      <c r="HD140" s="1576"/>
      <c r="HE140" s="1576"/>
      <c r="HF140" s="1576"/>
      <c r="HG140" s="1576"/>
      <c r="HH140" s="1576"/>
      <c r="HI140" s="1576"/>
      <c r="HJ140" s="1576"/>
      <c r="HK140" s="1576"/>
      <c r="HL140" s="1576"/>
      <c r="HM140" s="1576"/>
      <c r="HN140" s="1576"/>
      <c r="HO140" s="1576"/>
      <c r="HP140" s="1576"/>
      <c r="HQ140" s="1576"/>
      <c r="HR140" s="1576"/>
      <c r="HS140" s="1576"/>
      <c r="HT140" s="1576"/>
      <c r="HU140" s="1576"/>
      <c r="HV140" s="1576"/>
      <c r="HW140" s="1576"/>
      <c r="HX140" s="1576"/>
      <c r="HY140" s="1576"/>
      <c r="HZ140" s="1576"/>
      <c r="IA140" s="1576"/>
      <c r="IB140" s="1576"/>
      <c r="IC140" s="1576"/>
      <c r="ID140" s="1576"/>
      <c r="IE140" s="1576"/>
      <c r="IF140" s="1576"/>
      <c r="IG140" s="1576"/>
      <c r="IH140" s="1576"/>
      <c r="II140" s="1576"/>
      <c r="IJ140" s="1576"/>
      <c r="IK140" s="1576"/>
      <c r="IL140" s="1576"/>
      <c r="IM140" s="1576"/>
      <c r="IN140" s="1576"/>
      <c r="IO140" s="1576"/>
      <c r="IP140" s="1576"/>
      <c r="IQ140" s="1576"/>
      <c r="IR140" s="1576"/>
      <c r="IS140" s="1576"/>
      <c r="IT140" s="1576"/>
      <c r="IU140" s="1576"/>
      <c r="IV140" s="1576"/>
      <c r="IW140" s="1576"/>
      <c r="IX140" s="1576"/>
      <c r="IY140" s="1576"/>
      <c r="IZ140" s="1576"/>
      <c r="JA140" s="2054"/>
      <c r="JB140" s="2054"/>
      <c r="JC140" s="2054"/>
      <c r="JD140" s="2054"/>
      <c r="JE140" s="2054"/>
      <c r="JF140" s="2054"/>
      <c r="JG140" s="2054"/>
      <c r="JH140" s="2054"/>
      <c r="JI140" s="2054"/>
      <c r="JJ140" s="2054"/>
      <c r="JK140" s="2054"/>
      <c r="JL140" s="2054"/>
      <c r="JM140" s="2054"/>
      <c r="JN140" s="2054"/>
      <c r="JO140" s="2054"/>
      <c r="JP140" s="2054"/>
      <c r="JQ140" s="2054"/>
      <c r="JR140" s="1576"/>
      <c r="JS140" s="1576"/>
      <c r="JT140" s="1576"/>
      <c r="JU140" s="1576"/>
      <c r="JV140" s="1576"/>
      <c r="JW140" s="1576"/>
      <c r="JX140" s="1576"/>
      <c r="JY140" s="1576"/>
      <c r="JZ140" s="1576"/>
      <c r="KA140" s="1576"/>
      <c r="KB140" s="1576"/>
      <c r="KC140" s="1576"/>
      <c r="KD140" s="1576"/>
      <c r="KE140" s="1576"/>
      <c r="KF140" s="1576"/>
      <c r="KG140" s="1576"/>
      <c r="KH140" s="1576"/>
      <c r="KI140" s="1576"/>
      <c r="KJ140" s="1576"/>
      <c r="KK140" s="1576"/>
      <c r="KL140" s="1576"/>
      <c r="KM140" s="1576"/>
      <c r="KN140" s="1576"/>
      <c r="KO140" s="1576"/>
      <c r="KP140" s="1576"/>
      <c r="KQ140" s="1576"/>
      <c r="KR140" s="1576"/>
      <c r="KS140" s="1576"/>
      <c r="KT140" s="1576"/>
      <c r="KU140" s="1576"/>
      <c r="KV140" s="1576"/>
      <c r="KW140" s="1576"/>
      <c r="KX140" s="1576"/>
      <c r="KY140" s="1576"/>
      <c r="KZ140" s="1576"/>
      <c r="LA140" s="1576"/>
      <c r="LB140" s="1576"/>
      <c r="LC140" s="1576"/>
      <c r="LD140" s="1576"/>
      <c r="LE140" s="1576"/>
      <c r="LF140" s="1576"/>
      <c r="LG140" s="1576"/>
      <c r="LH140" s="1576"/>
      <c r="LI140" s="1576"/>
      <c r="LJ140" s="1576"/>
      <c r="LK140" s="1576"/>
      <c r="LL140" s="1576"/>
      <c r="LM140" s="1576"/>
      <c r="LN140" s="1576"/>
      <c r="LO140" s="1576"/>
      <c r="LP140" s="1576"/>
      <c r="LQ140" s="1576"/>
      <c r="LR140" s="1576"/>
      <c r="LS140" s="1576"/>
      <c r="LT140" s="1576"/>
      <c r="LU140" s="1576"/>
      <c r="LV140" s="1576"/>
      <c r="LW140" s="1576"/>
      <c r="LX140" s="1576"/>
      <c r="LY140" s="1576"/>
      <c r="LZ140" s="1576"/>
      <c r="MA140" s="1576"/>
      <c r="MB140" s="1576"/>
      <c r="MC140" s="1576"/>
      <c r="MD140" s="1576"/>
      <c r="ME140" s="1576"/>
      <c r="MF140" s="1576"/>
      <c r="MG140" s="1576"/>
      <c r="MH140" s="1576"/>
      <c r="MI140" s="1576"/>
      <c r="MJ140" s="1576"/>
      <c r="MK140" s="1576"/>
      <c r="ML140" s="1576"/>
      <c r="MM140" s="1576"/>
      <c r="MN140" s="1576"/>
      <c r="MO140" s="1576"/>
      <c r="MP140" s="1576"/>
      <c r="MQ140" s="1576"/>
      <c r="MR140" s="1576"/>
      <c r="MS140" s="1576"/>
      <c r="MT140" s="1576"/>
      <c r="MU140" s="1576"/>
      <c r="MV140" s="1576"/>
      <c r="MW140" s="1576"/>
      <c r="MX140" s="1576"/>
      <c r="MY140" s="1576"/>
      <c r="MZ140" s="1576"/>
      <c r="NA140" s="1576"/>
      <c r="NB140" s="1576"/>
      <c r="NC140" s="1576"/>
      <c r="ND140" s="1576"/>
      <c r="NE140" s="1576"/>
      <c r="NF140" s="1576"/>
      <c r="NG140" s="1576"/>
      <c r="NH140" s="1576"/>
      <c r="NI140" s="1576"/>
      <c r="NJ140" s="1576"/>
      <c r="NK140" s="1576"/>
      <c r="NL140" s="1576"/>
      <c r="NM140" s="1576"/>
      <c r="NN140" s="1576"/>
      <c r="NO140" s="1576"/>
      <c r="NP140" s="1576"/>
      <c r="NQ140" s="1576"/>
      <c r="NR140" s="1576"/>
      <c r="NS140" s="1576"/>
      <c r="NT140" s="1576"/>
      <c r="NU140" s="1576"/>
      <c r="NV140" s="1576"/>
      <c r="NW140" s="1576"/>
      <c r="NX140" s="1576"/>
      <c r="NY140" s="1576"/>
      <c r="NZ140" s="1576"/>
      <c r="OA140" s="1576"/>
      <c r="OB140" s="1576"/>
      <c r="OC140" s="1576"/>
      <c r="OD140" s="1576"/>
      <c r="OE140" s="1576"/>
      <c r="OF140" s="1576"/>
      <c r="OG140" s="1576"/>
      <c r="OH140" s="1576"/>
      <c r="OI140" s="1576"/>
      <c r="OJ140" s="1576"/>
      <c r="OK140" s="1576"/>
      <c r="OL140" s="1576"/>
      <c r="OM140" s="1576"/>
      <c r="ON140" s="1576"/>
      <c r="OO140" s="1576"/>
      <c r="OP140" s="1576"/>
      <c r="OQ140" s="1576"/>
      <c r="OR140" s="1576"/>
      <c r="OS140" s="1576"/>
      <c r="OT140" s="1576"/>
      <c r="OU140" s="1576"/>
      <c r="OV140" s="1576"/>
      <c r="OW140" s="1576"/>
      <c r="OX140" s="1576"/>
      <c r="OY140" s="1576"/>
      <c r="OZ140" s="1576"/>
      <c r="PA140" s="1576"/>
      <c r="PB140" s="1576"/>
      <c r="PC140" s="1576"/>
      <c r="PD140" s="1576"/>
      <c r="PE140" s="1576"/>
      <c r="PF140" s="1576"/>
      <c r="PG140" s="1576"/>
      <c r="PH140" s="1576"/>
      <c r="PI140" s="1576"/>
      <c r="PJ140" s="1576"/>
      <c r="PK140" s="1576"/>
      <c r="PL140" s="1576"/>
      <c r="PM140" s="1576"/>
      <c r="PN140" s="1576"/>
      <c r="PO140" s="1576"/>
      <c r="PP140" s="1576"/>
      <c r="PQ140" s="1576"/>
      <c r="PR140" s="1576"/>
      <c r="PS140" s="1576"/>
      <c r="PT140" s="1576"/>
      <c r="PU140" s="1576"/>
      <c r="PV140" s="1576"/>
      <c r="PW140" s="1576"/>
      <c r="PX140" s="1576"/>
      <c r="PY140" s="1576"/>
      <c r="PZ140" s="1576"/>
      <c r="QA140" s="1576"/>
      <c r="QB140" s="1576"/>
      <c r="QC140" s="1576"/>
      <c r="QD140" s="1576"/>
      <c r="QE140" s="1576"/>
      <c r="QF140" s="1576"/>
      <c r="QG140" s="1576"/>
      <c r="QH140" s="1576"/>
      <c r="QI140" s="1576"/>
      <c r="QJ140" s="1576"/>
      <c r="QK140" s="1576"/>
      <c r="QL140" s="1576"/>
      <c r="QM140" s="1576"/>
      <c r="QN140" s="1576"/>
      <c r="QO140" s="1576"/>
      <c r="QP140" s="1576"/>
      <c r="QQ140" s="1576"/>
      <c r="QR140" s="1576"/>
      <c r="QS140" s="1576"/>
      <c r="QT140" s="1576"/>
      <c r="QU140" s="1576"/>
      <c r="QV140" s="1576"/>
      <c r="QW140" s="1576"/>
      <c r="QX140" s="1576"/>
      <c r="QY140" s="1576"/>
      <c r="QZ140" s="1576"/>
      <c r="RA140" s="1576"/>
      <c r="RB140" s="1576"/>
      <c r="RC140" s="1576"/>
      <c r="RD140" s="1576"/>
      <c r="RE140" s="1576"/>
      <c r="RF140" s="1576"/>
      <c r="RG140" s="1576"/>
      <c r="RH140" s="1576"/>
      <c r="RI140" s="1576"/>
      <c r="RJ140" s="1576"/>
      <c r="RK140" s="1576"/>
      <c r="RL140" s="1576"/>
      <c r="RM140" s="1576"/>
      <c r="RN140" s="1576"/>
      <c r="RO140" s="1576"/>
      <c r="RP140" s="1576"/>
      <c r="RQ140" s="1576"/>
      <c r="RR140" s="1576"/>
      <c r="RS140" s="1576"/>
      <c r="RT140" s="1576"/>
      <c r="RU140" s="1576"/>
      <c r="RV140" s="1576"/>
      <c r="RW140" s="1576"/>
      <c r="RX140" s="1576"/>
      <c r="RY140" s="1576"/>
      <c r="RZ140" s="1576"/>
      <c r="SA140" s="1576"/>
      <c r="SB140" s="1576"/>
      <c r="SC140" s="1576"/>
      <c r="SD140" s="1576"/>
      <c r="SE140" s="1576"/>
      <c r="SF140" s="1576"/>
      <c r="SG140" s="1576"/>
      <c r="SH140" s="1576"/>
      <c r="SI140" s="1576"/>
      <c r="SJ140" s="1576"/>
      <c r="SK140" s="1576"/>
      <c r="SL140" s="1576"/>
      <c r="SM140" s="1576"/>
      <c r="SN140" s="1576"/>
      <c r="SO140" s="1576"/>
      <c r="SP140" s="1576"/>
      <c r="SQ140" s="1576"/>
      <c r="SR140" s="1576"/>
      <c r="SS140" s="1576"/>
      <c r="ST140" s="1576"/>
      <c r="SU140" s="1576"/>
      <c r="SV140" s="1576"/>
      <c r="SW140" s="1576"/>
      <c r="SX140" s="1576"/>
      <c r="SY140" s="1576"/>
      <c r="SZ140" s="1576"/>
      <c r="TA140" s="1576"/>
      <c r="TB140" s="1576"/>
      <c r="TC140" s="1576"/>
      <c r="TD140" s="1576"/>
      <c r="TE140" s="1576"/>
      <c r="TF140" s="1576"/>
      <c r="TG140" s="1576"/>
      <c r="TH140" s="1576"/>
      <c r="TI140" s="1576"/>
      <c r="TJ140" s="1576"/>
      <c r="TK140" s="1576"/>
      <c r="TL140" s="1576"/>
      <c r="TM140" s="1576"/>
      <c r="TN140" s="1576"/>
      <c r="TO140" s="1576"/>
      <c r="TP140" s="1576"/>
      <c r="TQ140" s="1576"/>
      <c r="TR140" s="1576"/>
      <c r="TS140" s="1576"/>
      <c r="TT140" s="1576"/>
      <c r="TU140" s="1576"/>
      <c r="TV140" s="1576"/>
      <c r="TW140" s="1576"/>
      <c r="TX140" s="1576"/>
      <c r="TY140" s="1576"/>
      <c r="TZ140" s="1576"/>
      <c r="UA140" s="1576"/>
      <c r="UB140" s="1576"/>
      <c r="UC140" s="1576"/>
      <c r="UD140" s="1576"/>
      <c r="UE140" s="1576"/>
      <c r="UF140" s="1576"/>
      <c r="UG140" s="1576"/>
      <c r="UH140" s="1576"/>
      <c r="UI140" s="1576"/>
      <c r="UJ140" s="1576"/>
      <c r="UK140" s="1576"/>
      <c r="UL140" s="1576"/>
      <c r="UM140" s="1576"/>
      <c r="UN140" s="1576"/>
      <c r="UO140" s="1576"/>
      <c r="UP140" s="1576"/>
      <c r="UQ140" s="1576"/>
      <c r="UR140" s="1576"/>
      <c r="US140" s="1576"/>
      <c r="UT140" s="1576"/>
      <c r="UU140" s="1576"/>
      <c r="UV140" s="1576"/>
      <c r="UW140" s="1576"/>
      <c r="UX140" s="1576"/>
      <c r="UY140" s="1576"/>
      <c r="UZ140" s="1576"/>
      <c r="VA140" s="1576"/>
      <c r="VB140" s="1576"/>
      <c r="VC140" s="1576"/>
      <c r="VD140" s="1576"/>
      <c r="VE140" s="1576"/>
      <c r="VF140" s="1576"/>
      <c r="VG140" s="1576"/>
      <c r="VH140" s="1576"/>
      <c r="VI140" s="1576"/>
      <c r="VJ140" s="1576"/>
      <c r="VK140" s="1576"/>
    </row>
    <row r="141" spans="1:583" x14ac:dyDescent="0.25">
      <c r="B141" s="4710"/>
      <c r="C141" s="4713"/>
      <c r="D141" s="4713"/>
      <c r="E141" s="1610" t="s">
        <v>295</v>
      </c>
      <c r="F141" s="1912"/>
      <c r="G141" s="1912"/>
      <c r="H141" s="1912"/>
      <c r="I141" s="1576"/>
      <c r="J141" s="1576"/>
      <c r="K141" s="1576"/>
      <c r="L141" s="1576"/>
      <c r="M141" s="1576"/>
      <c r="N141" s="1576"/>
      <c r="O141" s="1576"/>
      <c r="P141" s="1576"/>
      <c r="Q141" s="1576"/>
      <c r="R141" s="1576"/>
      <c r="S141" s="1576"/>
      <c r="T141" s="1576"/>
      <c r="U141" s="1576"/>
      <c r="V141" s="1576"/>
      <c r="W141" s="1576"/>
      <c r="X141" s="1576"/>
      <c r="Y141" s="1576"/>
      <c r="Z141" s="1576"/>
      <c r="AA141" s="1576"/>
      <c r="AB141" s="1576"/>
      <c r="AC141" s="1576"/>
      <c r="AD141" s="1576"/>
      <c r="AE141" s="1576"/>
      <c r="AF141" s="1576"/>
      <c r="AG141" s="1576"/>
      <c r="AH141" s="1576"/>
      <c r="AI141" s="1576"/>
      <c r="AJ141" s="1576"/>
      <c r="AK141" s="1576"/>
      <c r="AL141" s="1576"/>
      <c r="AM141" s="1576"/>
      <c r="AN141" s="1576"/>
      <c r="AO141" s="1576"/>
      <c r="AP141" s="1576"/>
      <c r="AQ141" s="1576"/>
      <c r="AR141" s="1576"/>
      <c r="AS141" s="1576"/>
      <c r="AT141" s="1576"/>
      <c r="AU141" s="1576"/>
      <c r="AV141" s="1576"/>
      <c r="AW141" s="1576"/>
      <c r="AX141" s="1576"/>
      <c r="AY141" s="1576"/>
      <c r="AZ141" s="1576"/>
      <c r="BA141" s="1576"/>
      <c r="BB141" s="1576"/>
      <c r="BC141" s="1576"/>
      <c r="BD141" s="1576"/>
      <c r="BE141" s="1576"/>
      <c r="BF141" s="1576"/>
      <c r="BG141" s="1576"/>
      <c r="BH141" s="1576"/>
      <c r="BI141" s="1576"/>
      <c r="BJ141" s="1576"/>
      <c r="BK141" s="1576"/>
      <c r="BL141" s="1576"/>
      <c r="BM141" s="1576"/>
      <c r="BN141" s="1576"/>
      <c r="BO141" s="1576"/>
      <c r="BP141" s="1576"/>
      <c r="BQ141" s="1576"/>
      <c r="BR141" s="1576"/>
      <c r="BS141" s="1576"/>
      <c r="BT141" s="1576"/>
      <c r="BU141" s="1576"/>
      <c r="BV141" s="1576"/>
      <c r="BW141" s="1576"/>
      <c r="BX141" s="1576"/>
      <c r="BY141" s="1576"/>
      <c r="BZ141" s="1576"/>
      <c r="CA141" s="1576"/>
      <c r="CB141" s="1576"/>
      <c r="CC141" s="1576"/>
      <c r="CD141" s="1576"/>
      <c r="CE141" s="1576"/>
      <c r="CF141" s="1576"/>
      <c r="CG141" s="1576"/>
      <c r="CH141" s="1576"/>
      <c r="CI141" s="1576"/>
      <c r="CJ141" s="1576"/>
      <c r="CK141" s="1576"/>
      <c r="CL141" s="1576"/>
      <c r="CM141" s="1576"/>
      <c r="CN141" s="1576"/>
      <c r="CO141" s="1576"/>
      <c r="CP141" s="1576"/>
      <c r="CQ141" s="1576"/>
      <c r="CR141" s="1576"/>
      <c r="CS141" s="1576"/>
      <c r="CT141" s="1576"/>
      <c r="CU141" s="1576"/>
      <c r="CV141" s="1576"/>
      <c r="CW141" s="1576"/>
      <c r="CX141" s="1576"/>
      <c r="CY141" s="1576"/>
      <c r="CZ141" s="1576"/>
      <c r="DA141" s="1576"/>
      <c r="DB141" s="1576"/>
      <c r="DC141" s="1576"/>
      <c r="DD141" s="1576"/>
      <c r="DE141" s="1576"/>
      <c r="DF141" s="1576"/>
      <c r="DG141" s="1576"/>
      <c r="DH141" s="1576"/>
      <c r="DI141" s="1576"/>
      <c r="DJ141" s="1576"/>
      <c r="DK141" s="1576"/>
      <c r="DL141" s="1576"/>
      <c r="DM141" s="1576"/>
      <c r="DN141" s="1576"/>
      <c r="DO141" s="1576"/>
      <c r="DP141" s="1576"/>
      <c r="DQ141" s="1576"/>
      <c r="DR141" s="1576"/>
      <c r="DS141" s="1576"/>
      <c r="DT141" s="1576"/>
      <c r="DU141" s="1576"/>
      <c r="DV141" s="1576"/>
      <c r="DW141" s="1576"/>
      <c r="DX141" s="1576"/>
      <c r="DY141" s="1576"/>
      <c r="DZ141" s="1576"/>
      <c r="EA141" s="1576"/>
      <c r="EB141" s="1576"/>
      <c r="EC141" s="1576"/>
      <c r="ED141" s="1576"/>
      <c r="EE141" s="1576"/>
      <c r="EF141" s="1576"/>
      <c r="EG141" s="1576"/>
      <c r="EH141" s="1576"/>
      <c r="EI141" s="1576"/>
      <c r="EJ141" s="1576"/>
      <c r="EK141" s="1576"/>
      <c r="EL141" s="1576"/>
      <c r="EM141" s="1576"/>
      <c r="EN141" s="1576"/>
      <c r="EO141" s="1576"/>
      <c r="EP141" s="1576"/>
      <c r="EQ141" s="1576"/>
      <c r="ER141" s="1576"/>
      <c r="ES141" s="1576"/>
      <c r="ET141" s="1576"/>
      <c r="EU141" s="1576"/>
      <c r="EV141" s="1576"/>
      <c r="EW141" s="1576"/>
      <c r="EX141" s="1576"/>
      <c r="EY141" s="1576"/>
      <c r="EZ141" s="1576"/>
      <c r="FA141" s="1576"/>
      <c r="FB141" s="1576"/>
      <c r="FC141" s="1576"/>
      <c r="FD141" s="1576"/>
      <c r="FE141" s="1576"/>
      <c r="FF141" s="1576"/>
      <c r="FG141" s="1576"/>
      <c r="FH141" s="1576"/>
      <c r="FI141" s="1576"/>
      <c r="FJ141" s="1576"/>
      <c r="FK141" s="1576"/>
      <c r="FL141" s="1576"/>
      <c r="FM141" s="1576"/>
      <c r="FN141" s="1576"/>
      <c r="FO141" s="1576"/>
      <c r="FP141" s="1576"/>
      <c r="FQ141" s="1576"/>
      <c r="FR141" s="1576"/>
      <c r="FS141" s="1576"/>
      <c r="FT141" s="1576"/>
      <c r="FU141" s="1576"/>
      <c r="FV141" s="1576"/>
      <c r="FW141" s="1576"/>
      <c r="FX141" s="1576"/>
      <c r="FY141" s="1576"/>
      <c r="FZ141" s="1576"/>
      <c r="GA141" s="1576"/>
      <c r="GB141" s="1576"/>
      <c r="GC141" s="1576"/>
      <c r="GD141" s="1576"/>
      <c r="GE141" s="1576"/>
      <c r="GF141" s="1576"/>
      <c r="GG141" s="1576"/>
      <c r="GH141" s="1576"/>
      <c r="GI141" s="1576"/>
      <c r="GJ141" s="1576"/>
      <c r="GK141" s="1576"/>
      <c r="GL141" s="1576"/>
      <c r="GM141" s="1576"/>
      <c r="GN141" s="1576"/>
      <c r="GO141" s="1576"/>
      <c r="GP141" s="1576"/>
      <c r="GQ141" s="1576"/>
      <c r="GR141" s="1576"/>
      <c r="GS141" s="1576"/>
      <c r="GT141" s="1576"/>
      <c r="GU141" s="1576"/>
      <c r="GV141" s="1576"/>
      <c r="GW141" s="1576"/>
      <c r="GX141" s="1576"/>
      <c r="GY141" s="1576"/>
      <c r="GZ141" s="1576"/>
      <c r="HA141" s="1576"/>
      <c r="HB141" s="1576"/>
      <c r="HC141" s="1576"/>
      <c r="HD141" s="1576"/>
      <c r="HE141" s="1576"/>
      <c r="HF141" s="1576"/>
      <c r="HG141" s="1576"/>
      <c r="HH141" s="1576"/>
      <c r="HI141" s="1576"/>
      <c r="HJ141" s="1576"/>
      <c r="HK141" s="1576"/>
      <c r="HL141" s="1576"/>
      <c r="HM141" s="1576"/>
      <c r="HN141" s="1576"/>
      <c r="HO141" s="1576"/>
      <c r="HP141" s="1576"/>
      <c r="HQ141" s="1576"/>
      <c r="HR141" s="1576"/>
      <c r="HS141" s="1576"/>
      <c r="HT141" s="1576"/>
      <c r="HU141" s="1576"/>
      <c r="HV141" s="1576"/>
      <c r="HW141" s="1576"/>
      <c r="HX141" s="1576"/>
      <c r="HY141" s="1576"/>
      <c r="HZ141" s="1576"/>
      <c r="IA141" s="1576"/>
      <c r="IB141" s="1576"/>
      <c r="IC141" s="1576"/>
      <c r="ID141" s="1576"/>
      <c r="IE141" s="1576"/>
      <c r="IF141" s="1576"/>
      <c r="IG141" s="1576"/>
      <c r="IH141" s="1576"/>
      <c r="II141" s="1576"/>
      <c r="IJ141" s="1576"/>
      <c r="IK141" s="1576"/>
      <c r="IL141" s="1576"/>
      <c r="IM141" s="1576"/>
      <c r="IN141" s="1576"/>
      <c r="IO141" s="1576"/>
      <c r="IP141" s="1576"/>
      <c r="IQ141" s="1576"/>
      <c r="IR141" s="1576"/>
      <c r="IS141" s="1576"/>
      <c r="IT141" s="1576"/>
      <c r="IU141" s="1576"/>
      <c r="IV141" s="1576"/>
      <c r="IW141" s="1576"/>
      <c r="IX141" s="1576"/>
      <c r="IY141" s="1576"/>
      <c r="IZ141" s="1576"/>
      <c r="JA141" s="2054"/>
      <c r="JB141" s="2054"/>
      <c r="JC141" s="2054"/>
      <c r="JD141" s="2054"/>
      <c r="JE141" s="2054"/>
      <c r="JF141" s="2054"/>
      <c r="JG141" s="2054"/>
      <c r="JH141" s="2054"/>
      <c r="JI141" s="2054"/>
      <c r="JJ141" s="2054"/>
      <c r="JK141" s="2054"/>
      <c r="JL141" s="2054"/>
      <c r="JM141" s="2054"/>
      <c r="JN141" s="2054"/>
      <c r="JO141" s="2054"/>
      <c r="JP141" s="2054"/>
      <c r="JQ141" s="2054"/>
      <c r="JR141" s="1576"/>
      <c r="JS141" s="1576"/>
      <c r="JT141" s="1576"/>
      <c r="JU141" s="1576"/>
      <c r="JV141" s="1576"/>
      <c r="JW141" s="1576"/>
      <c r="JX141" s="1576"/>
      <c r="JY141" s="1576"/>
      <c r="JZ141" s="1576"/>
      <c r="KA141" s="1576"/>
      <c r="KB141" s="1576"/>
      <c r="KC141" s="1576"/>
      <c r="KD141" s="1576"/>
      <c r="KE141" s="1576"/>
      <c r="KF141" s="1576"/>
      <c r="KG141" s="1576"/>
      <c r="KH141" s="1576"/>
      <c r="KI141" s="1576"/>
      <c r="KJ141" s="1576"/>
      <c r="KK141" s="1576"/>
      <c r="KL141" s="1576"/>
      <c r="KM141" s="1576"/>
      <c r="KN141" s="1576"/>
      <c r="KO141" s="1576"/>
      <c r="KP141" s="1576"/>
      <c r="KQ141" s="1576"/>
      <c r="KR141" s="1576"/>
      <c r="KS141" s="1576"/>
      <c r="KT141" s="1576"/>
      <c r="KU141" s="1576"/>
      <c r="KV141" s="1576"/>
      <c r="KW141" s="1576"/>
      <c r="KX141" s="1576"/>
      <c r="KY141" s="1576"/>
      <c r="KZ141" s="1576"/>
      <c r="LA141" s="1576"/>
      <c r="LB141" s="1576"/>
      <c r="LC141" s="1576"/>
      <c r="LD141" s="1576"/>
      <c r="LE141" s="1576"/>
      <c r="LF141" s="1576"/>
      <c r="LG141" s="1576"/>
      <c r="LH141" s="1576"/>
      <c r="LI141" s="1576"/>
      <c r="LJ141" s="1576"/>
      <c r="LK141" s="1576"/>
      <c r="LL141" s="1576"/>
      <c r="LM141" s="1576"/>
      <c r="LN141" s="1576"/>
      <c r="LO141" s="1576"/>
      <c r="LP141" s="1576"/>
      <c r="LQ141" s="1576"/>
      <c r="LR141" s="1576"/>
      <c r="LS141" s="1576"/>
      <c r="LT141" s="1576"/>
      <c r="LU141" s="1576"/>
      <c r="LV141" s="1576"/>
      <c r="LW141" s="1576"/>
      <c r="LX141" s="1576"/>
      <c r="LY141" s="1576"/>
      <c r="LZ141" s="1576"/>
      <c r="MA141" s="1576"/>
      <c r="MB141" s="1576"/>
      <c r="MC141" s="1576"/>
      <c r="MD141" s="1576"/>
      <c r="ME141" s="1576"/>
      <c r="MF141" s="1576"/>
      <c r="MG141" s="1576"/>
      <c r="MH141" s="1576"/>
      <c r="MI141" s="1576"/>
      <c r="MJ141" s="1576"/>
      <c r="MK141" s="1576"/>
      <c r="ML141" s="1576"/>
      <c r="MM141" s="1576"/>
      <c r="MN141" s="1576"/>
      <c r="MO141" s="1576"/>
      <c r="MP141" s="1576"/>
      <c r="MQ141" s="1576"/>
      <c r="MR141" s="1576"/>
      <c r="MS141" s="1576"/>
      <c r="MT141" s="1576"/>
      <c r="MU141" s="1576"/>
      <c r="MV141" s="1576"/>
      <c r="MW141" s="1576"/>
      <c r="MX141" s="1576"/>
      <c r="MY141" s="1576"/>
      <c r="MZ141" s="1576"/>
      <c r="NA141" s="1576"/>
      <c r="NB141" s="1576"/>
      <c r="NC141" s="1576"/>
      <c r="ND141" s="1576"/>
      <c r="NE141" s="1576"/>
      <c r="NF141" s="1576"/>
      <c r="NG141" s="1576"/>
      <c r="NH141" s="1576"/>
      <c r="NI141" s="1576"/>
      <c r="NJ141" s="1576"/>
      <c r="NK141" s="1576"/>
      <c r="NL141" s="1576"/>
      <c r="NM141" s="1576"/>
      <c r="NN141" s="1576"/>
      <c r="NO141" s="1576"/>
      <c r="NP141" s="1576"/>
      <c r="NQ141" s="1576"/>
      <c r="NR141" s="1576"/>
      <c r="NS141" s="1576"/>
      <c r="NT141" s="1576"/>
      <c r="NU141" s="1576"/>
      <c r="NV141" s="1576"/>
      <c r="NW141" s="1576"/>
      <c r="NX141" s="1576"/>
      <c r="NY141" s="1576"/>
      <c r="NZ141" s="1576"/>
      <c r="OA141" s="1576"/>
      <c r="OB141" s="1576"/>
      <c r="OC141" s="1576"/>
      <c r="OD141" s="1576"/>
      <c r="OE141" s="1576"/>
      <c r="OF141" s="1576"/>
      <c r="OG141" s="1576"/>
      <c r="OH141" s="1576"/>
      <c r="OI141" s="1576"/>
      <c r="OJ141" s="1576"/>
      <c r="OK141" s="1576"/>
      <c r="OL141" s="1576"/>
      <c r="OM141" s="1576"/>
      <c r="ON141" s="1576"/>
      <c r="OO141" s="1576"/>
      <c r="OP141" s="1576"/>
      <c r="OQ141" s="1576"/>
      <c r="OR141" s="1576"/>
      <c r="OS141" s="1576"/>
      <c r="OT141" s="1576"/>
      <c r="OU141" s="1576"/>
      <c r="OV141" s="1576"/>
      <c r="OW141" s="1576"/>
      <c r="OX141" s="1576"/>
      <c r="OY141" s="1576"/>
      <c r="OZ141" s="1576"/>
      <c r="PA141" s="1576"/>
      <c r="PB141" s="1576"/>
      <c r="PC141" s="1576"/>
      <c r="PD141" s="1576"/>
      <c r="PE141" s="1576"/>
      <c r="PF141" s="1576"/>
      <c r="PG141" s="1576"/>
      <c r="PH141" s="1576"/>
      <c r="PI141" s="1576"/>
      <c r="PJ141" s="1576"/>
      <c r="PK141" s="1576"/>
      <c r="PL141" s="1576"/>
      <c r="PM141" s="1576"/>
      <c r="PN141" s="1576"/>
      <c r="PO141" s="1576"/>
      <c r="PP141" s="1576"/>
      <c r="PQ141" s="1576"/>
      <c r="PR141" s="1576"/>
      <c r="PS141" s="1576"/>
      <c r="PT141" s="1576"/>
      <c r="PU141" s="1576"/>
      <c r="PV141" s="1576"/>
      <c r="PW141" s="1576"/>
      <c r="PX141" s="1576"/>
      <c r="PY141" s="1576"/>
      <c r="PZ141" s="1576"/>
      <c r="QA141" s="1576"/>
      <c r="QB141" s="1576"/>
      <c r="QC141" s="1576"/>
      <c r="QD141" s="1576"/>
      <c r="QE141" s="1576"/>
      <c r="QF141" s="1576"/>
      <c r="QG141" s="1576"/>
      <c r="QH141" s="1576"/>
      <c r="QI141" s="1576"/>
      <c r="QJ141" s="1576"/>
      <c r="QK141" s="1576"/>
      <c r="QL141" s="1576"/>
      <c r="QM141" s="1576"/>
      <c r="QN141" s="1576"/>
      <c r="QO141" s="1576"/>
      <c r="QP141" s="1576"/>
      <c r="QQ141" s="1576"/>
      <c r="QR141" s="1576"/>
      <c r="QS141" s="1576"/>
      <c r="QT141" s="1576"/>
      <c r="QU141" s="1576"/>
      <c r="QV141" s="1576"/>
      <c r="QW141" s="1576"/>
      <c r="QX141" s="1576"/>
      <c r="QY141" s="1576"/>
      <c r="QZ141" s="1576"/>
      <c r="RA141" s="1576"/>
      <c r="RB141" s="1576"/>
      <c r="RC141" s="1576"/>
      <c r="RD141" s="1576"/>
      <c r="RE141" s="1576"/>
      <c r="RF141" s="1576"/>
      <c r="RG141" s="1576"/>
      <c r="RH141" s="1576"/>
      <c r="RI141" s="1576"/>
      <c r="RJ141" s="1576"/>
      <c r="RK141" s="1576"/>
      <c r="RL141" s="1576"/>
      <c r="RM141" s="1576"/>
      <c r="RN141" s="1576"/>
      <c r="RO141" s="1576"/>
      <c r="RP141" s="1576"/>
      <c r="RQ141" s="1576"/>
      <c r="RR141" s="1576"/>
      <c r="RS141" s="1576"/>
      <c r="RT141" s="1576"/>
      <c r="RU141" s="1576"/>
      <c r="RV141" s="1576"/>
      <c r="RW141" s="1576"/>
      <c r="RX141" s="1576"/>
      <c r="RY141" s="1576"/>
      <c r="RZ141" s="1576"/>
      <c r="SA141" s="1576"/>
      <c r="SB141" s="1576"/>
      <c r="SC141" s="1576"/>
      <c r="SD141" s="1576"/>
      <c r="SE141" s="1576"/>
      <c r="SF141" s="1576"/>
      <c r="SG141" s="1576"/>
      <c r="SH141" s="1576"/>
      <c r="SI141" s="1576"/>
      <c r="SJ141" s="1576"/>
      <c r="SK141" s="1576"/>
      <c r="SL141" s="1576"/>
      <c r="SM141" s="1576"/>
      <c r="SN141" s="1576"/>
      <c r="SO141" s="1576"/>
      <c r="SP141" s="1576"/>
      <c r="SQ141" s="1576"/>
      <c r="SR141" s="1576"/>
      <c r="SS141" s="1576"/>
      <c r="ST141" s="1576"/>
      <c r="SU141" s="1576"/>
      <c r="SV141" s="1576"/>
      <c r="SW141" s="1576"/>
      <c r="SX141" s="1576"/>
      <c r="SY141" s="1576"/>
      <c r="SZ141" s="1576"/>
      <c r="TA141" s="1576"/>
      <c r="TB141" s="1576"/>
      <c r="TC141" s="1576"/>
      <c r="TD141" s="1576"/>
      <c r="TE141" s="1576"/>
      <c r="TF141" s="1576"/>
      <c r="TG141" s="1576"/>
      <c r="TH141" s="1576"/>
      <c r="TI141" s="1576"/>
      <c r="TJ141" s="1576"/>
      <c r="TK141" s="1576"/>
      <c r="TL141" s="1576"/>
      <c r="TM141" s="1576"/>
      <c r="TN141" s="1576"/>
      <c r="TO141" s="1576"/>
      <c r="TP141" s="1576"/>
      <c r="TQ141" s="1576"/>
      <c r="TR141" s="1576"/>
      <c r="TS141" s="1576"/>
      <c r="TT141" s="1576"/>
      <c r="TU141" s="1576"/>
      <c r="TV141" s="1576"/>
      <c r="TW141" s="1576"/>
      <c r="TX141" s="1576"/>
      <c r="TY141" s="1576"/>
      <c r="TZ141" s="1576"/>
      <c r="UA141" s="1576"/>
      <c r="UB141" s="1576"/>
      <c r="UC141" s="1576"/>
      <c r="UD141" s="1576"/>
      <c r="UE141" s="1576"/>
      <c r="UF141" s="1576"/>
      <c r="UG141" s="1576"/>
      <c r="UH141" s="1576"/>
      <c r="UI141" s="1576"/>
      <c r="UJ141" s="1576"/>
      <c r="UK141" s="1576"/>
      <c r="UL141" s="1576"/>
      <c r="UM141" s="1576"/>
      <c r="UN141" s="1576"/>
      <c r="UO141" s="1576"/>
      <c r="UP141" s="1576"/>
      <c r="UQ141" s="1576"/>
      <c r="UR141" s="1576"/>
      <c r="US141" s="1576"/>
      <c r="UT141" s="1576"/>
      <c r="UU141" s="1576"/>
      <c r="UV141" s="1576"/>
      <c r="UW141" s="1576"/>
      <c r="UX141" s="1576"/>
      <c r="UY141" s="1576"/>
      <c r="UZ141" s="1576"/>
      <c r="VA141" s="1576"/>
      <c r="VB141" s="1576"/>
      <c r="VC141" s="1576"/>
      <c r="VD141" s="1576"/>
      <c r="VE141" s="1576"/>
      <c r="VF141" s="1576"/>
      <c r="VG141" s="1576"/>
      <c r="VH141" s="1576"/>
      <c r="VI141" s="1576"/>
      <c r="VJ141" s="1576"/>
      <c r="VK141" s="1576"/>
    </row>
    <row r="142" spans="1:583" ht="21.75" customHeight="1" x14ac:dyDescent="0.25">
      <c r="B142" s="4710" t="s">
        <v>1351</v>
      </c>
      <c r="C142" s="4713" t="s">
        <v>2846</v>
      </c>
      <c r="D142" s="4713" t="s">
        <v>2847</v>
      </c>
      <c r="E142" s="1582" t="s">
        <v>2841</v>
      </c>
      <c r="F142" s="1912"/>
      <c r="G142" s="1912"/>
      <c r="H142" s="1912"/>
      <c r="I142" s="1576"/>
      <c r="J142" s="1576"/>
      <c r="K142" s="1576"/>
      <c r="L142" s="1576"/>
      <c r="M142" s="1576"/>
      <c r="N142" s="1576"/>
      <c r="O142" s="1576"/>
      <c r="P142" s="1576"/>
      <c r="Q142" s="1576"/>
      <c r="R142" s="1576"/>
      <c r="S142" s="1576"/>
      <c r="T142" s="1576"/>
      <c r="U142" s="1576"/>
      <c r="V142" s="1576"/>
      <c r="W142" s="1576"/>
      <c r="X142" s="1576"/>
      <c r="Y142" s="1576"/>
      <c r="Z142" s="1576"/>
      <c r="AA142" s="1576"/>
      <c r="AB142" s="1576"/>
      <c r="AC142" s="1576"/>
      <c r="AD142" s="1576"/>
      <c r="AE142" s="1576"/>
      <c r="AF142" s="1576"/>
      <c r="AG142" s="1576"/>
      <c r="AH142" s="1576"/>
      <c r="AI142" s="1576"/>
      <c r="AJ142" s="1576"/>
      <c r="AK142" s="1576"/>
      <c r="AL142" s="1576"/>
      <c r="AM142" s="1576"/>
      <c r="AN142" s="1576"/>
      <c r="AO142" s="1576"/>
      <c r="AP142" s="1576"/>
      <c r="AQ142" s="1576"/>
      <c r="AR142" s="1576"/>
      <c r="AS142" s="1576"/>
      <c r="AT142" s="1576"/>
      <c r="AU142" s="1576"/>
      <c r="AV142" s="1576"/>
      <c r="AW142" s="1576"/>
      <c r="AX142" s="1576"/>
      <c r="AY142" s="1576"/>
      <c r="AZ142" s="1576"/>
      <c r="BA142" s="1576"/>
      <c r="BB142" s="1576"/>
      <c r="BC142" s="1576"/>
      <c r="BD142" s="1576"/>
      <c r="BE142" s="1576"/>
      <c r="BF142" s="1576"/>
      <c r="BG142" s="1576"/>
      <c r="BH142" s="1576"/>
      <c r="BI142" s="1576"/>
      <c r="BJ142" s="1576"/>
      <c r="BK142" s="1576"/>
      <c r="BL142" s="1576"/>
      <c r="BM142" s="1576"/>
      <c r="BN142" s="1576"/>
      <c r="BO142" s="1576"/>
      <c r="BP142" s="1576"/>
      <c r="BQ142" s="1576"/>
      <c r="BR142" s="1576"/>
      <c r="BS142" s="1576"/>
      <c r="BT142" s="1576"/>
      <c r="BU142" s="1576"/>
      <c r="BV142" s="1576"/>
      <c r="BW142" s="1576"/>
      <c r="BX142" s="1576"/>
      <c r="BY142" s="1576"/>
      <c r="BZ142" s="1576"/>
      <c r="CA142" s="1576"/>
      <c r="CB142" s="1576"/>
      <c r="CC142" s="1576"/>
      <c r="CD142" s="1576"/>
      <c r="CE142" s="1576"/>
      <c r="CF142" s="1576"/>
      <c r="CG142" s="1576"/>
      <c r="CH142" s="1576"/>
      <c r="CI142" s="1576"/>
      <c r="CJ142" s="1576"/>
      <c r="CK142" s="1576"/>
      <c r="CL142" s="1576"/>
      <c r="CM142" s="1576"/>
      <c r="CN142" s="1576"/>
      <c r="CO142" s="1576"/>
      <c r="CP142" s="1576"/>
      <c r="CQ142" s="1576"/>
      <c r="CR142" s="1576"/>
      <c r="CS142" s="1576"/>
      <c r="CT142" s="1576"/>
      <c r="CU142" s="1576"/>
      <c r="CV142" s="1576"/>
      <c r="CW142" s="1576"/>
      <c r="CX142" s="1576"/>
      <c r="CY142" s="1576"/>
      <c r="CZ142" s="1576"/>
      <c r="DA142" s="1576"/>
      <c r="DB142" s="1576"/>
      <c r="DC142" s="1576"/>
      <c r="DD142" s="1576"/>
      <c r="DE142" s="1576"/>
      <c r="DF142" s="1576"/>
      <c r="DG142" s="1576"/>
      <c r="DH142" s="1576"/>
      <c r="DI142" s="1576"/>
      <c r="DJ142" s="1576"/>
      <c r="DK142" s="1576"/>
      <c r="DL142" s="1576"/>
      <c r="DM142" s="1576"/>
      <c r="DN142" s="1576"/>
      <c r="DO142" s="1576"/>
      <c r="DP142" s="1576"/>
      <c r="DQ142" s="1576"/>
      <c r="DR142" s="1576"/>
      <c r="DS142" s="1576"/>
      <c r="DT142" s="1576"/>
      <c r="DU142" s="1576"/>
      <c r="DV142" s="1576"/>
      <c r="DW142" s="1576"/>
      <c r="DX142" s="1576"/>
      <c r="DY142" s="1576"/>
      <c r="DZ142" s="1576"/>
      <c r="EA142" s="1576"/>
      <c r="EB142" s="1576"/>
      <c r="EC142" s="1576"/>
      <c r="ED142" s="1576"/>
      <c r="EE142" s="1576"/>
      <c r="EF142" s="1576"/>
      <c r="EG142" s="1576"/>
      <c r="EH142" s="1576"/>
      <c r="EI142" s="1576"/>
      <c r="EJ142" s="1576"/>
      <c r="EK142" s="1576"/>
      <c r="EL142" s="1576"/>
      <c r="EM142" s="1576"/>
      <c r="EN142" s="1576"/>
      <c r="EO142" s="1576"/>
      <c r="EP142" s="1576"/>
      <c r="EQ142" s="1576"/>
      <c r="ER142" s="1576"/>
      <c r="ES142" s="1576"/>
      <c r="ET142" s="1576"/>
      <c r="EU142" s="1576"/>
      <c r="EV142" s="1576"/>
      <c r="EW142" s="1576"/>
      <c r="EX142" s="1576"/>
      <c r="EY142" s="1576"/>
      <c r="EZ142" s="1576"/>
      <c r="FA142" s="1576"/>
      <c r="FB142" s="1576"/>
      <c r="FC142" s="1576"/>
      <c r="FD142" s="1576"/>
      <c r="FE142" s="1576"/>
      <c r="FF142" s="1576"/>
      <c r="FG142" s="1576"/>
      <c r="FH142" s="1576"/>
      <c r="FI142" s="1576"/>
      <c r="FJ142" s="1576"/>
      <c r="FK142" s="1576"/>
      <c r="FL142" s="1576"/>
      <c r="FM142" s="1576"/>
      <c r="FN142" s="1576"/>
      <c r="FO142" s="1576"/>
      <c r="FP142" s="1576"/>
      <c r="FQ142" s="1576"/>
      <c r="FR142" s="1576"/>
      <c r="FS142" s="1576"/>
      <c r="FT142" s="1576"/>
      <c r="FU142" s="1576"/>
      <c r="FV142" s="1576"/>
      <c r="FW142" s="1576"/>
      <c r="FX142" s="1576"/>
      <c r="FY142" s="1576"/>
      <c r="FZ142" s="1576"/>
      <c r="GA142" s="1576"/>
      <c r="GB142" s="1576"/>
      <c r="GC142" s="1576"/>
      <c r="GD142" s="1576"/>
      <c r="GE142" s="1576"/>
      <c r="GF142" s="1576"/>
      <c r="GG142" s="1576"/>
      <c r="GH142" s="1576"/>
      <c r="GI142" s="1576"/>
      <c r="GJ142" s="1576"/>
      <c r="GK142" s="1576"/>
      <c r="GL142" s="1576"/>
      <c r="GM142" s="1576"/>
      <c r="GN142" s="1576"/>
      <c r="GO142" s="1576"/>
      <c r="GP142" s="1576"/>
      <c r="GQ142" s="1576"/>
      <c r="GR142" s="1576"/>
      <c r="GS142" s="1576"/>
      <c r="GT142" s="1576"/>
      <c r="GU142" s="1576"/>
      <c r="GV142" s="1576"/>
      <c r="GW142" s="1576"/>
      <c r="GX142" s="1576"/>
      <c r="GY142" s="1576"/>
      <c r="GZ142" s="1576"/>
      <c r="HA142" s="1576"/>
      <c r="HB142" s="1576"/>
      <c r="HC142" s="1576"/>
      <c r="HD142" s="1576"/>
      <c r="HE142" s="1576"/>
      <c r="HF142" s="1576"/>
      <c r="HG142" s="1576"/>
      <c r="HH142" s="1576"/>
      <c r="HI142" s="1576"/>
      <c r="HJ142" s="1576"/>
      <c r="HK142" s="1576"/>
      <c r="HL142" s="1576"/>
      <c r="HM142" s="1576"/>
      <c r="HN142" s="1576"/>
      <c r="HO142" s="1576"/>
      <c r="HP142" s="1576"/>
      <c r="HQ142" s="1576"/>
      <c r="HR142" s="1576"/>
      <c r="HS142" s="1576"/>
      <c r="HT142" s="1576"/>
      <c r="HU142" s="1576"/>
      <c r="HV142" s="1576"/>
      <c r="HW142" s="1576"/>
      <c r="HX142" s="1576"/>
      <c r="HY142" s="1576"/>
      <c r="HZ142" s="1576"/>
      <c r="IA142" s="1576"/>
      <c r="IB142" s="1576"/>
      <c r="IC142" s="1576"/>
      <c r="ID142" s="1576"/>
      <c r="IE142" s="1576"/>
      <c r="IF142" s="1576"/>
      <c r="IG142" s="1576"/>
      <c r="IH142" s="1576"/>
      <c r="II142" s="1576"/>
      <c r="IJ142" s="1576"/>
      <c r="IK142" s="1576"/>
      <c r="IL142" s="1576"/>
      <c r="IM142" s="1576"/>
      <c r="IN142" s="1576"/>
      <c r="IO142" s="1576"/>
      <c r="IP142" s="1576"/>
      <c r="IQ142" s="1576"/>
      <c r="IR142" s="1576"/>
      <c r="IS142" s="1576"/>
      <c r="IT142" s="1576"/>
      <c r="IU142" s="1576"/>
      <c r="IV142" s="1576"/>
      <c r="IW142" s="1576"/>
      <c r="IX142" s="1576"/>
      <c r="IY142" s="1576"/>
      <c r="IZ142" s="1576"/>
      <c r="JA142" s="2054"/>
      <c r="JB142" s="2054"/>
      <c r="JC142" s="2054"/>
      <c r="JD142" s="2054"/>
      <c r="JE142" s="2054"/>
      <c r="JF142" s="2054"/>
      <c r="JG142" s="2054"/>
      <c r="JH142" s="2054"/>
      <c r="JI142" s="2054"/>
      <c r="JJ142" s="2054"/>
      <c r="JK142" s="2054"/>
      <c r="JL142" s="2054"/>
      <c r="JM142" s="2054"/>
      <c r="JN142" s="2054"/>
      <c r="JO142" s="2054"/>
      <c r="JP142" s="2054"/>
      <c r="JQ142" s="2054"/>
      <c r="JR142" s="1576"/>
      <c r="JS142" s="1576"/>
      <c r="JT142" s="1576"/>
      <c r="JU142" s="1576"/>
      <c r="JV142" s="1576"/>
      <c r="JW142" s="1576"/>
      <c r="JX142" s="1576"/>
      <c r="JY142" s="1576"/>
      <c r="JZ142" s="1576"/>
      <c r="KA142" s="1576"/>
      <c r="KB142" s="1576"/>
      <c r="KC142" s="1576"/>
      <c r="KD142" s="1576"/>
      <c r="KE142" s="1576"/>
      <c r="KF142" s="1576"/>
      <c r="KG142" s="1576"/>
      <c r="KH142" s="1576"/>
      <c r="KI142" s="1576"/>
      <c r="KJ142" s="1576"/>
      <c r="KK142" s="1576"/>
      <c r="KL142" s="1576"/>
      <c r="KM142" s="1576"/>
      <c r="KN142" s="1576"/>
      <c r="KO142" s="1576"/>
      <c r="KP142" s="1576"/>
      <c r="KQ142" s="1576"/>
      <c r="KR142" s="1576"/>
      <c r="KS142" s="1576"/>
      <c r="KT142" s="1576"/>
      <c r="KU142" s="1576"/>
      <c r="KV142" s="1576"/>
      <c r="KW142" s="1576"/>
      <c r="KX142" s="1576"/>
      <c r="KY142" s="1576"/>
      <c r="KZ142" s="1576"/>
      <c r="LA142" s="1576"/>
      <c r="LB142" s="1576"/>
      <c r="LC142" s="1576"/>
      <c r="LD142" s="1576"/>
      <c r="LE142" s="1576"/>
      <c r="LF142" s="1576"/>
      <c r="LG142" s="1576"/>
      <c r="LH142" s="1576"/>
      <c r="LI142" s="1576"/>
      <c r="LJ142" s="1576"/>
      <c r="LK142" s="1576"/>
      <c r="LL142" s="1576"/>
      <c r="LM142" s="1576"/>
      <c r="LN142" s="1576"/>
      <c r="LO142" s="1576"/>
      <c r="LP142" s="1576"/>
      <c r="LQ142" s="1576"/>
      <c r="LR142" s="1576"/>
      <c r="LS142" s="1576"/>
      <c r="LT142" s="1576"/>
      <c r="LU142" s="1576"/>
      <c r="LV142" s="1576"/>
      <c r="LW142" s="1576"/>
      <c r="LX142" s="1576"/>
      <c r="LY142" s="1576"/>
      <c r="LZ142" s="1576"/>
      <c r="MA142" s="1576"/>
      <c r="MB142" s="1576"/>
      <c r="MC142" s="1576"/>
      <c r="MD142" s="1576"/>
      <c r="ME142" s="1576"/>
      <c r="MF142" s="1576"/>
      <c r="MG142" s="1576"/>
      <c r="MH142" s="1576"/>
      <c r="MI142" s="1576"/>
      <c r="MJ142" s="1576"/>
      <c r="MK142" s="1576"/>
      <c r="ML142" s="1576"/>
      <c r="MM142" s="1576"/>
      <c r="MN142" s="1576"/>
      <c r="MO142" s="1576"/>
      <c r="MP142" s="1576"/>
      <c r="MQ142" s="1576"/>
      <c r="MR142" s="1576"/>
      <c r="MS142" s="1576"/>
      <c r="MT142" s="1576"/>
      <c r="MU142" s="1576"/>
      <c r="MV142" s="1576"/>
      <c r="MW142" s="1576"/>
      <c r="MX142" s="1576"/>
      <c r="MY142" s="1576"/>
      <c r="MZ142" s="1576"/>
      <c r="NA142" s="1576"/>
      <c r="NB142" s="1576"/>
      <c r="NC142" s="1576"/>
      <c r="ND142" s="1576"/>
      <c r="NE142" s="1576"/>
      <c r="NF142" s="1576"/>
      <c r="NG142" s="1576"/>
      <c r="NH142" s="1576"/>
      <c r="NI142" s="1576"/>
      <c r="NJ142" s="1576"/>
      <c r="NK142" s="1576"/>
      <c r="NL142" s="1576"/>
      <c r="NM142" s="1576"/>
      <c r="NN142" s="1576"/>
      <c r="NO142" s="1576"/>
      <c r="NP142" s="1576"/>
      <c r="NQ142" s="1576"/>
      <c r="NR142" s="1576"/>
      <c r="NS142" s="1576"/>
      <c r="NT142" s="1576"/>
      <c r="NU142" s="1576"/>
      <c r="NV142" s="1576"/>
      <c r="NW142" s="1576"/>
      <c r="NX142" s="1576"/>
      <c r="NY142" s="1576"/>
      <c r="NZ142" s="1576"/>
      <c r="OA142" s="1576"/>
      <c r="OB142" s="1576"/>
      <c r="OC142" s="1576"/>
      <c r="OD142" s="1576"/>
      <c r="OE142" s="1576"/>
      <c r="OF142" s="1576"/>
      <c r="OG142" s="1576"/>
      <c r="OH142" s="1576"/>
      <c r="OI142" s="1576"/>
      <c r="OJ142" s="1576"/>
      <c r="OK142" s="1576"/>
      <c r="OL142" s="1576"/>
      <c r="OM142" s="1576"/>
      <c r="ON142" s="1576"/>
      <c r="OO142" s="1576"/>
      <c r="OP142" s="1576"/>
      <c r="OQ142" s="1576"/>
      <c r="OR142" s="1576"/>
      <c r="OS142" s="1576"/>
      <c r="OT142" s="1576"/>
      <c r="OU142" s="1576"/>
      <c r="OV142" s="1576"/>
      <c r="OW142" s="1576"/>
      <c r="OX142" s="1576"/>
      <c r="OY142" s="1576"/>
      <c r="OZ142" s="1576"/>
      <c r="PA142" s="1576"/>
      <c r="PB142" s="1576"/>
      <c r="PC142" s="1576"/>
      <c r="PD142" s="1576"/>
      <c r="PE142" s="1576"/>
      <c r="PF142" s="1576"/>
      <c r="PG142" s="1576"/>
      <c r="PH142" s="1576"/>
      <c r="PI142" s="1576"/>
      <c r="PJ142" s="1576"/>
      <c r="PK142" s="1576"/>
      <c r="PL142" s="1576"/>
      <c r="PM142" s="1576"/>
      <c r="PN142" s="1576"/>
      <c r="PO142" s="1576"/>
      <c r="PP142" s="1576"/>
      <c r="PQ142" s="1576"/>
      <c r="PR142" s="1576"/>
      <c r="PS142" s="1576"/>
      <c r="PT142" s="1576"/>
      <c r="PU142" s="1576"/>
      <c r="PV142" s="1576"/>
      <c r="PW142" s="1576"/>
      <c r="PX142" s="1576"/>
      <c r="PY142" s="1576"/>
      <c r="PZ142" s="1576"/>
      <c r="QA142" s="1576"/>
      <c r="QB142" s="1576"/>
      <c r="QC142" s="1576"/>
      <c r="QD142" s="1576"/>
      <c r="QE142" s="1576"/>
      <c r="QF142" s="1576"/>
      <c r="QG142" s="1576"/>
      <c r="QH142" s="1576"/>
      <c r="QI142" s="1576"/>
      <c r="QJ142" s="1576"/>
      <c r="QK142" s="1576"/>
      <c r="QL142" s="1576"/>
      <c r="QM142" s="1576"/>
      <c r="QN142" s="1576"/>
      <c r="QO142" s="1576"/>
      <c r="QP142" s="1576"/>
      <c r="QQ142" s="1576"/>
      <c r="QR142" s="1576"/>
      <c r="QS142" s="1576"/>
      <c r="QT142" s="1576"/>
      <c r="QU142" s="1576"/>
      <c r="QV142" s="1576"/>
      <c r="QW142" s="1576"/>
      <c r="QX142" s="1576"/>
      <c r="QY142" s="1576"/>
      <c r="QZ142" s="1576"/>
      <c r="RA142" s="1576"/>
      <c r="RB142" s="1576"/>
      <c r="RC142" s="1576"/>
      <c r="RD142" s="1576"/>
      <c r="RE142" s="1576"/>
      <c r="RF142" s="1576"/>
      <c r="RG142" s="1576"/>
      <c r="RH142" s="1576"/>
      <c r="RI142" s="1576"/>
      <c r="RJ142" s="1576"/>
      <c r="RK142" s="1576"/>
      <c r="RL142" s="1576"/>
      <c r="RM142" s="1576"/>
      <c r="RN142" s="1576"/>
      <c r="RO142" s="1576"/>
      <c r="RP142" s="1576"/>
      <c r="RQ142" s="1576"/>
      <c r="RR142" s="1576"/>
      <c r="RS142" s="1576"/>
      <c r="RT142" s="1576"/>
      <c r="RU142" s="1576"/>
      <c r="RV142" s="1576"/>
      <c r="RW142" s="1576"/>
      <c r="RX142" s="1576"/>
      <c r="RY142" s="1576"/>
      <c r="RZ142" s="1576"/>
      <c r="SA142" s="1576"/>
      <c r="SB142" s="1576"/>
      <c r="SC142" s="1576"/>
      <c r="SD142" s="1576"/>
      <c r="SE142" s="1576"/>
      <c r="SF142" s="1576"/>
      <c r="SG142" s="1576"/>
      <c r="SH142" s="1576"/>
      <c r="SI142" s="1576"/>
      <c r="SJ142" s="1576"/>
      <c r="SK142" s="1576"/>
      <c r="SL142" s="1576"/>
      <c r="SM142" s="1576"/>
      <c r="SN142" s="1576"/>
      <c r="SO142" s="1576"/>
      <c r="SP142" s="1576"/>
      <c r="SQ142" s="1576"/>
      <c r="SR142" s="1576"/>
      <c r="SS142" s="1576"/>
      <c r="ST142" s="1576"/>
      <c r="SU142" s="1576"/>
      <c r="SV142" s="1576"/>
      <c r="SW142" s="1576"/>
      <c r="SX142" s="1576"/>
      <c r="SY142" s="1576"/>
      <c r="SZ142" s="1576"/>
      <c r="TA142" s="1576"/>
      <c r="TB142" s="1576"/>
      <c r="TC142" s="1576"/>
      <c r="TD142" s="1576"/>
      <c r="TE142" s="1576"/>
      <c r="TF142" s="1576"/>
      <c r="TG142" s="1576"/>
      <c r="TH142" s="1576"/>
      <c r="TI142" s="1576"/>
      <c r="TJ142" s="1576"/>
      <c r="TK142" s="1576"/>
      <c r="TL142" s="1576"/>
      <c r="TM142" s="1576"/>
      <c r="TN142" s="1576"/>
      <c r="TO142" s="1576"/>
      <c r="TP142" s="1576"/>
      <c r="TQ142" s="1576"/>
      <c r="TR142" s="1576"/>
      <c r="TS142" s="1576"/>
      <c r="TT142" s="1576"/>
      <c r="TU142" s="1576"/>
      <c r="TV142" s="1576"/>
      <c r="TW142" s="1576"/>
      <c r="TX142" s="1576"/>
      <c r="TY142" s="1576"/>
      <c r="TZ142" s="1576"/>
      <c r="UA142" s="1576"/>
      <c r="UB142" s="1576"/>
      <c r="UC142" s="1576"/>
      <c r="UD142" s="1576"/>
      <c r="UE142" s="1576"/>
      <c r="UF142" s="1576"/>
      <c r="UG142" s="1576"/>
      <c r="UH142" s="1576"/>
      <c r="UI142" s="1576"/>
      <c r="UJ142" s="1576"/>
      <c r="UK142" s="1576"/>
      <c r="UL142" s="1576"/>
      <c r="UM142" s="1576"/>
      <c r="UN142" s="1576"/>
      <c r="UO142" s="1576"/>
      <c r="UP142" s="1576"/>
      <c r="UQ142" s="1576"/>
      <c r="UR142" s="1576"/>
      <c r="US142" s="1576"/>
      <c r="UT142" s="1576"/>
      <c r="UU142" s="1576"/>
      <c r="UV142" s="1576"/>
      <c r="UW142" s="1576"/>
      <c r="UX142" s="1576"/>
      <c r="UY142" s="1576"/>
      <c r="UZ142" s="1576"/>
      <c r="VA142" s="1576"/>
      <c r="VB142" s="1576"/>
      <c r="VC142" s="1576"/>
      <c r="VD142" s="1576"/>
      <c r="VE142" s="1576"/>
      <c r="VF142" s="1576"/>
      <c r="VG142" s="1576"/>
      <c r="VH142" s="1576"/>
      <c r="VI142" s="1576"/>
      <c r="VJ142" s="1576"/>
      <c r="VK142" s="1576"/>
    </row>
    <row r="143" spans="1:583" x14ac:dyDescent="0.25">
      <c r="B143" s="4710"/>
      <c r="C143" s="4713"/>
      <c r="D143" s="4713"/>
      <c r="E143" s="1610" t="s">
        <v>295</v>
      </c>
      <c r="F143" s="1912"/>
      <c r="G143" s="1912"/>
      <c r="H143" s="1912"/>
      <c r="I143" s="1576"/>
      <c r="J143" s="1576"/>
      <c r="K143" s="1576"/>
      <c r="L143" s="1576"/>
      <c r="M143" s="1576"/>
      <c r="N143" s="1576"/>
      <c r="O143" s="1576"/>
      <c r="P143" s="1576"/>
      <c r="Q143" s="1576"/>
      <c r="R143" s="1576"/>
      <c r="S143" s="1576"/>
      <c r="T143" s="1576"/>
      <c r="U143" s="1576"/>
      <c r="V143" s="1576"/>
      <c r="W143" s="1576"/>
      <c r="X143" s="1576"/>
      <c r="Y143" s="1576"/>
      <c r="Z143" s="1576"/>
      <c r="AA143" s="1576"/>
      <c r="AB143" s="1576"/>
      <c r="AC143" s="1576"/>
      <c r="AD143" s="1576"/>
      <c r="AE143" s="1576"/>
      <c r="AF143" s="1576"/>
      <c r="AG143" s="1576"/>
      <c r="AH143" s="1576"/>
      <c r="AI143" s="1576"/>
      <c r="AJ143" s="1576"/>
      <c r="AK143" s="1576"/>
      <c r="AL143" s="1576"/>
      <c r="AM143" s="1576"/>
      <c r="AN143" s="1576"/>
      <c r="AO143" s="1576"/>
      <c r="AP143" s="1576"/>
      <c r="AQ143" s="1576"/>
      <c r="AR143" s="1576"/>
      <c r="AS143" s="1576"/>
      <c r="AT143" s="1576"/>
      <c r="AU143" s="1576"/>
      <c r="AV143" s="1576"/>
      <c r="AW143" s="1576"/>
      <c r="AX143" s="1576"/>
      <c r="AY143" s="1576"/>
      <c r="AZ143" s="1576"/>
      <c r="BA143" s="1576"/>
      <c r="BB143" s="1576"/>
      <c r="BC143" s="1576"/>
      <c r="BD143" s="1576"/>
      <c r="BE143" s="1576"/>
      <c r="BF143" s="1576"/>
      <c r="BG143" s="1576"/>
      <c r="BH143" s="1576"/>
      <c r="BI143" s="1576"/>
      <c r="BJ143" s="1576"/>
      <c r="BK143" s="1576"/>
      <c r="BL143" s="1576"/>
      <c r="BM143" s="1576"/>
      <c r="BN143" s="1576"/>
      <c r="BO143" s="1576"/>
      <c r="BP143" s="1576"/>
      <c r="BQ143" s="1576"/>
      <c r="BR143" s="1576"/>
      <c r="BS143" s="1576"/>
      <c r="BT143" s="1576"/>
      <c r="BU143" s="1576"/>
      <c r="BV143" s="1576"/>
      <c r="BW143" s="1576"/>
      <c r="BX143" s="1576"/>
      <c r="BY143" s="1576"/>
      <c r="BZ143" s="1576"/>
      <c r="CA143" s="1576"/>
      <c r="CB143" s="1576"/>
      <c r="CC143" s="1576"/>
      <c r="CD143" s="1576"/>
      <c r="CE143" s="1576"/>
      <c r="CF143" s="1576"/>
      <c r="CG143" s="1576"/>
      <c r="CH143" s="1576"/>
      <c r="CI143" s="1576"/>
      <c r="CJ143" s="1576"/>
      <c r="CK143" s="1576"/>
      <c r="CL143" s="1576"/>
      <c r="CM143" s="1576"/>
      <c r="CN143" s="1576"/>
      <c r="CO143" s="1576"/>
      <c r="CP143" s="1576"/>
      <c r="CQ143" s="1576"/>
      <c r="CR143" s="1576"/>
      <c r="CS143" s="1576"/>
      <c r="CT143" s="1576"/>
      <c r="CU143" s="1576"/>
      <c r="CV143" s="1576"/>
      <c r="CW143" s="1576"/>
      <c r="CX143" s="1576"/>
      <c r="CY143" s="1576"/>
      <c r="CZ143" s="1576"/>
      <c r="DA143" s="1576"/>
      <c r="DB143" s="1576"/>
      <c r="DC143" s="1576"/>
      <c r="DD143" s="1576"/>
      <c r="DE143" s="1576"/>
      <c r="DF143" s="1576"/>
      <c r="DG143" s="1576"/>
      <c r="DH143" s="1576"/>
      <c r="DI143" s="1576"/>
      <c r="DJ143" s="1576"/>
      <c r="DK143" s="1576"/>
      <c r="DL143" s="1576"/>
      <c r="DM143" s="1576"/>
      <c r="DN143" s="1576"/>
      <c r="DO143" s="1576"/>
      <c r="DP143" s="1576"/>
      <c r="DQ143" s="1576"/>
      <c r="DR143" s="1576"/>
      <c r="DS143" s="1576"/>
      <c r="DT143" s="1576"/>
      <c r="DU143" s="1576"/>
      <c r="DV143" s="1576"/>
      <c r="DW143" s="1576"/>
      <c r="DX143" s="1576"/>
      <c r="DY143" s="1576"/>
      <c r="DZ143" s="1576"/>
      <c r="EA143" s="1576"/>
      <c r="EB143" s="1576"/>
      <c r="EC143" s="1576"/>
      <c r="ED143" s="1576"/>
      <c r="EE143" s="1576"/>
      <c r="EF143" s="1576"/>
      <c r="EG143" s="1576"/>
      <c r="EH143" s="1576"/>
      <c r="EI143" s="1576"/>
      <c r="EJ143" s="1576"/>
      <c r="EK143" s="1576"/>
      <c r="EL143" s="1576"/>
      <c r="EM143" s="1576"/>
      <c r="EN143" s="1576"/>
      <c r="EO143" s="1576"/>
      <c r="EP143" s="1576"/>
      <c r="EQ143" s="1576"/>
      <c r="ER143" s="1576"/>
      <c r="ES143" s="1576"/>
      <c r="ET143" s="1576"/>
      <c r="EU143" s="1576"/>
      <c r="EV143" s="1576"/>
      <c r="EW143" s="1576"/>
      <c r="EX143" s="1576"/>
      <c r="EY143" s="1576"/>
      <c r="EZ143" s="1576"/>
      <c r="FA143" s="1576"/>
      <c r="FB143" s="1576"/>
      <c r="FC143" s="1576"/>
      <c r="FD143" s="1576"/>
      <c r="FE143" s="1576"/>
      <c r="FF143" s="1576"/>
      <c r="FG143" s="1576"/>
      <c r="FH143" s="1576"/>
      <c r="FI143" s="1576"/>
      <c r="FJ143" s="1576"/>
      <c r="FK143" s="1576"/>
      <c r="FL143" s="1576"/>
      <c r="FM143" s="1576"/>
      <c r="FN143" s="1576"/>
      <c r="FO143" s="1576"/>
      <c r="FP143" s="1576"/>
      <c r="FQ143" s="1576"/>
      <c r="FR143" s="1576"/>
      <c r="FS143" s="1576"/>
      <c r="FT143" s="1576"/>
      <c r="FU143" s="1576"/>
      <c r="FV143" s="1576"/>
      <c r="FW143" s="1576"/>
      <c r="FX143" s="1576"/>
      <c r="FY143" s="1576"/>
      <c r="FZ143" s="1576"/>
      <c r="GA143" s="1576"/>
      <c r="GB143" s="1576"/>
      <c r="GC143" s="1576"/>
      <c r="GD143" s="1576"/>
      <c r="GE143" s="1576"/>
      <c r="GF143" s="1576"/>
      <c r="GG143" s="1576"/>
      <c r="GH143" s="1576"/>
      <c r="GI143" s="1576"/>
      <c r="GJ143" s="1576"/>
      <c r="GK143" s="1576"/>
      <c r="GL143" s="1576"/>
      <c r="GM143" s="1576"/>
      <c r="GN143" s="1576"/>
      <c r="GO143" s="1576"/>
      <c r="GP143" s="1576"/>
      <c r="GQ143" s="1576"/>
      <c r="GR143" s="1576"/>
      <c r="GS143" s="1576"/>
      <c r="GT143" s="1576"/>
      <c r="GU143" s="1576"/>
      <c r="GV143" s="1576"/>
      <c r="GW143" s="1576"/>
      <c r="GX143" s="1576"/>
      <c r="GY143" s="1576"/>
      <c r="GZ143" s="1576"/>
      <c r="HA143" s="1576"/>
      <c r="HB143" s="1576"/>
      <c r="HC143" s="1576"/>
      <c r="HD143" s="1576"/>
      <c r="HE143" s="1576"/>
      <c r="HF143" s="1576"/>
      <c r="HG143" s="1576"/>
      <c r="HH143" s="1576"/>
      <c r="HI143" s="1576"/>
      <c r="HJ143" s="1576"/>
      <c r="HK143" s="1576"/>
      <c r="HL143" s="1576"/>
      <c r="HM143" s="1576"/>
      <c r="HN143" s="1576"/>
      <c r="HO143" s="1576"/>
      <c r="HP143" s="1576"/>
      <c r="HQ143" s="1576"/>
      <c r="HR143" s="1576"/>
      <c r="HS143" s="1576"/>
      <c r="HT143" s="1576"/>
      <c r="HU143" s="1576"/>
      <c r="HV143" s="1576"/>
      <c r="HW143" s="1576"/>
      <c r="HX143" s="1576"/>
      <c r="HY143" s="1576"/>
      <c r="HZ143" s="1576"/>
      <c r="IA143" s="1576"/>
      <c r="IB143" s="1576"/>
      <c r="IC143" s="1576"/>
      <c r="ID143" s="1576"/>
      <c r="IE143" s="1576"/>
      <c r="IF143" s="1576"/>
      <c r="IG143" s="1576"/>
      <c r="IH143" s="1576"/>
      <c r="II143" s="1576"/>
      <c r="IJ143" s="1576"/>
      <c r="IK143" s="1576"/>
      <c r="IL143" s="1576"/>
      <c r="IM143" s="1576"/>
      <c r="IN143" s="1576"/>
      <c r="IO143" s="1576"/>
      <c r="IP143" s="1576"/>
      <c r="IQ143" s="1576"/>
      <c r="IR143" s="1576"/>
      <c r="IS143" s="1576"/>
      <c r="IT143" s="1576"/>
      <c r="IU143" s="1576"/>
      <c r="IV143" s="1576"/>
      <c r="IW143" s="1576"/>
      <c r="IX143" s="1576"/>
      <c r="IY143" s="1576"/>
      <c r="IZ143" s="1576"/>
      <c r="JA143" s="2054"/>
      <c r="JB143" s="2054"/>
      <c r="JC143" s="2054"/>
      <c r="JD143" s="2054"/>
      <c r="JE143" s="2054"/>
      <c r="JF143" s="2054"/>
      <c r="JG143" s="2054"/>
      <c r="JH143" s="2054"/>
      <c r="JI143" s="2054"/>
      <c r="JJ143" s="2054"/>
      <c r="JK143" s="2054"/>
      <c r="JL143" s="2054"/>
      <c r="JM143" s="2054"/>
      <c r="JN143" s="2054"/>
      <c r="JO143" s="2054"/>
      <c r="JP143" s="2054"/>
      <c r="JQ143" s="2054"/>
      <c r="JR143" s="1576"/>
      <c r="JS143" s="1576"/>
      <c r="JT143" s="1576"/>
      <c r="JU143" s="1576"/>
      <c r="JV143" s="1576"/>
      <c r="JW143" s="1576"/>
      <c r="JX143" s="1576"/>
      <c r="JY143" s="1576"/>
      <c r="JZ143" s="1576"/>
      <c r="KA143" s="1576"/>
      <c r="KB143" s="1576"/>
      <c r="KC143" s="1576"/>
      <c r="KD143" s="1576"/>
      <c r="KE143" s="1576"/>
      <c r="KF143" s="1576"/>
      <c r="KG143" s="1576"/>
      <c r="KH143" s="1576"/>
      <c r="KI143" s="1576"/>
      <c r="KJ143" s="1576"/>
      <c r="KK143" s="1576"/>
      <c r="KL143" s="1576"/>
      <c r="KM143" s="1576"/>
      <c r="KN143" s="1576"/>
      <c r="KO143" s="1576"/>
      <c r="KP143" s="1576"/>
      <c r="KQ143" s="1576"/>
      <c r="KR143" s="1576"/>
      <c r="KS143" s="1576"/>
      <c r="KT143" s="1576"/>
      <c r="KU143" s="1576"/>
      <c r="KV143" s="1576"/>
      <c r="KW143" s="1576"/>
      <c r="KX143" s="1576"/>
      <c r="KY143" s="1576"/>
      <c r="KZ143" s="1576"/>
      <c r="LA143" s="1576"/>
      <c r="LB143" s="1576"/>
      <c r="LC143" s="1576"/>
      <c r="LD143" s="1576"/>
      <c r="LE143" s="1576"/>
      <c r="LF143" s="1576"/>
      <c r="LG143" s="1576"/>
      <c r="LH143" s="1576"/>
      <c r="LI143" s="1576"/>
      <c r="LJ143" s="1576"/>
      <c r="LK143" s="1576"/>
      <c r="LL143" s="1576"/>
      <c r="LM143" s="1576"/>
      <c r="LN143" s="1576"/>
      <c r="LO143" s="1576"/>
      <c r="LP143" s="1576"/>
      <c r="LQ143" s="1576"/>
      <c r="LR143" s="1576"/>
      <c r="LS143" s="1576"/>
      <c r="LT143" s="1576"/>
      <c r="LU143" s="1576"/>
      <c r="LV143" s="1576"/>
      <c r="LW143" s="1576"/>
      <c r="LX143" s="1576"/>
      <c r="LY143" s="1576"/>
      <c r="LZ143" s="1576"/>
      <c r="MA143" s="1576"/>
      <c r="MB143" s="1576"/>
      <c r="MC143" s="1576"/>
      <c r="MD143" s="1576"/>
      <c r="ME143" s="1576"/>
      <c r="MF143" s="1576"/>
      <c r="MG143" s="1576"/>
      <c r="MH143" s="1576"/>
      <c r="MI143" s="1576"/>
      <c r="MJ143" s="1576"/>
      <c r="MK143" s="1576"/>
      <c r="ML143" s="1576"/>
      <c r="MM143" s="1576"/>
      <c r="MN143" s="1576"/>
      <c r="MO143" s="1576"/>
      <c r="MP143" s="1576"/>
      <c r="MQ143" s="1576"/>
      <c r="MR143" s="1576"/>
      <c r="MS143" s="1576"/>
      <c r="MT143" s="1576"/>
      <c r="MU143" s="1576"/>
      <c r="MV143" s="1576"/>
      <c r="MW143" s="1576"/>
      <c r="MX143" s="1576"/>
      <c r="MY143" s="1576"/>
      <c r="MZ143" s="1576"/>
      <c r="NA143" s="1576"/>
      <c r="NB143" s="1576"/>
      <c r="NC143" s="1576"/>
      <c r="ND143" s="1576"/>
      <c r="NE143" s="1576"/>
      <c r="NF143" s="1576"/>
      <c r="NG143" s="1576"/>
      <c r="NH143" s="1576"/>
      <c r="NI143" s="1576"/>
      <c r="NJ143" s="1576"/>
      <c r="NK143" s="1576"/>
      <c r="NL143" s="1576"/>
      <c r="NM143" s="1576"/>
      <c r="NN143" s="1576"/>
      <c r="NO143" s="1576"/>
      <c r="NP143" s="1576"/>
      <c r="NQ143" s="1576"/>
      <c r="NR143" s="1576"/>
      <c r="NS143" s="1576"/>
      <c r="NT143" s="1576"/>
      <c r="NU143" s="1576"/>
      <c r="NV143" s="1576"/>
      <c r="NW143" s="1576"/>
      <c r="NX143" s="1576"/>
      <c r="NY143" s="1576"/>
      <c r="NZ143" s="1576"/>
      <c r="OA143" s="1576"/>
      <c r="OB143" s="1576"/>
      <c r="OC143" s="1576"/>
      <c r="OD143" s="1576"/>
      <c r="OE143" s="1576"/>
      <c r="OF143" s="1576"/>
      <c r="OG143" s="1576"/>
      <c r="OH143" s="1576"/>
      <c r="OI143" s="1576"/>
      <c r="OJ143" s="1576"/>
      <c r="OK143" s="1576"/>
      <c r="OL143" s="1576"/>
      <c r="OM143" s="1576"/>
      <c r="ON143" s="1576"/>
      <c r="OO143" s="1576"/>
      <c r="OP143" s="1576"/>
      <c r="OQ143" s="1576"/>
      <c r="OR143" s="1576"/>
      <c r="OS143" s="1576"/>
      <c r="OT143" s="1576"/>
      <c r="OU143" s="1576"/>
      <c r="OV143" s="1576"/>
      <c r="OW143" s="1576"/>
      <c r="OX143" s="1576"/>
      <c r="OY143" s="1576"/>
      <c r="OZ143" s="1576"/>
      <c r="PA143" s="1576"/>
      <c r="PB143" s="1576"/>
      <c r="PC143" s="1576"/>
      <c r="PD143" s="1576"/>
      <c r="PE143" s="1576"/>
      <c r="PF143" s="1576"/>
      <c r="PG143" s="1576"/>
      <c r="PH143" s="1576"/>
      <c r="PI143" s="1576"/>
      <c r="PJ143" s="1576"/>
      <c r="PK143" s="1576"/>
      <c r="PL143" s="1576"/>
      <c r="PM143" s="1576"/>
      <c r="PN143" s="1576"/>
      <c r="PO143" s="1576"/>
      <c r="PP143" s="1576"/>
      <c r="PQ143" s="1576"/>
      <c r="PR143" s="1576"/>
      <c r="PS143" s="1576"/>
      <c r="PT143" s="1576"/>
      <c r="PU143" s="1576"/>
      <c r="PV143" s="1576"/>
      <c r="PW143" s="1576"/>
      <c r="PX143" s="1576"/>
      <c r="PY143" s="1576"/>
      <c r="PZ143" s="1576"/>
      <c r="QA143" s="1576"/>
      <c r="QB143" s="1576"/>
      <c r="QC143" s="1576"/>
      <c r="QD143" s="1576"/>
      <c r="QE143" s="1576"/>
      <c r="QF143" s="1576"/>
      <c r="QG143" s="1576"/>
      <c r="QH143" s="1576"/>
      <c r="QI143" s="1576"/>
      <c r="QJ143" s="1576"/>
      <c r="QK143" s="1576"/>
      <c r="QL143" s="1576"/>
      <c r="QM143" s="1576"/>
      <c r="QN143" s="1576"/>
      <c r="QO143" s="1576"/>
      <c r="QP143" s="1576"/>
      <c r="QQ143" s="1576"/>
      <c r="QR143" s="1576"/>
      <c r="QS143" s="1576"/>
      <c r="QT143" s="1576"/>
      <c r="QU143" s="1576"/>
      <c r="QV143" s="1576"/>
      <c r="QW143" s="1576"/>
      <c r="QX143" s="1576"/>
      <c r="QY143" s="1576"/>
      <c r="QZ143" s="1576"/>
      <c r="RA143" s="1576"/>
      <c r="RB143" s="1576"/>
      <c r="RC143" s="1576"/>
      <c r="RD143" s="1576"/>
      <c r="RE143" s="1576"/>
      <c r="RF143" s="1576"/>
      <c r="RG143" s="1576"/>
      <c r="RH143" s="1576"/>
      <c r="RI143" s="1576"/>
      <c r="RJ143" s="1576"/>
      <c r="RK143" s="1576"/>
      <c r="RL143" s="1576"/>
      <c r="RM143" s="1576"/>
      <c r="RN143" s="1576"/>
      <c r="RO143" s="1576"/>
      <c r="RP143" s="1576"/>
      <c r="RQ143" s="1576"/>
      <c r="RR143" s="1576"/>
      <c r="RS143" s="1576"/>
      <c r="RT143" s="1576"/>
      <c r="RU143" s="1576"/>
      <c r="RV143" s="1576"/>
      <c r="RW143" s="1576"/>
      <c r="RX143" s="1576"/>
      <c r="RY143" s="1576"/>
      <c r="RZ143" s="1576"/>
      <c r="SA143" s="1576"/>
      <c r="SB143" s="1576"/>
      <c r="SC143" s="1576"/>
      <c r="SD143" s="1576"/>
      <c r="SE143" s="1576"/>
      <c r="SF143" s="1576"/>
      <c r="SG143" s="1576"/>
      <c r="SH143" s="1576"/>
      <c r="SI143" s="1576"/>
      <c r="SJ143" s="1576"/>
      <c r="SK143" s="1576"/>
      <c r="SL143" s="1576"/>
      <c r="SM143" s="1576"/>
      <c r="SN143" s="1576"/>
      <c r="SO143" s="1576"/>
      <c r="SP143" s="1576"/>
      <c r="SQ143" s="1576"/>
      <c r="SR143" s="1576"/>
      <c r="SS143" s="1576"/>
      <c r="ST143" s="1576"/>
      <c r="SU143" s="1576"/>
      <c r="SV143" s="1576"/>
      <c r="SW143" s="1576"/>
      <c r="SX143" s="1576"/>
      <c r="SY143" s="1576"/>
      <c r="SZ143" s="1576"/>
      <c r="TA143" s="1576"/>
      <c r="TB143" s="1576"/>
      <c r="TC143" s="1576"/>
      <c r="TD143" s="1576"/>
      <c r="TE143" s="1576"/>
      <c r="TF143" s="1576"/>
      <c r="TG143" s="1576"/>
      <c r="TH143" s="1576"/>
      <c r="TI143" s="1576"/>
      <c r="TJ143" s="1576"/>
      <c r="TK143" s="1576"/>
      <c r="TL143" s="1576"/>
      <c r="TM143" s="1576"/>
      <c r="TN143" s="1576"/>
      <c r="TO143" s="1576"/>
      <c r="TP143" s="1576"/>
      <c r="TQ143" s="1576"/>
      <c r="TR143" s="1576"/>
      <c r="TS143" s="1576"/>
      <c r="TT143" s="1576"/>
      <c r="TU143" s="1576"/>
      <c r="TV143" s="1576"/>
      <c r="TW143" s="1576"/>
      <c r="TX143" s="1576"/>
      <c r="TY143" s="1576"/>
      <c r="TZ143" s="1576"/>
      <c r="UA143" s="1576"/>
      <c r="UB143" s="1576"/>
      <c r="UC143" s="1576"/>
      <c r="UD143" s="1576"/>
      <c r="UE143" s="1576"/>
      <c r="UF143" s="1576"/>
      <c r="UG143" s="1576"/>
      <c r="UH143" s="1576"/>
      <c r="UI143" s="1576"/>
      <c r="UJ143" s="1576"/>
      <c r="UK143" s="1576"/>
      <c r="UL143" s="1576"/>
      <c r="UM143" s="1576"/>
      <c r="UN143" s="1576"/>
      <c r="UO143" s="1576"/>
      <c r="UP143" s="1576"/>
      <c r="UQ143" s="1576"/>
      <c r="UR143" s="1576"/>
      <c r="US143" s="1576"/>
      <c r="UT143" s="1576"/>
      <c r="UU143" s="1576"/>
      <c r="UV143" s="1576"/>
      <c r="UW143" s="1576"/>
      <c r="UX143" s="1576"/>
      <c r="UY143" s="1576"/>
      <c r="UZ143" s="1576"/>
      <c r="VA143" s="1576"/>
      <c r="VB143" s="1576"/>
      <c r="VC143" s="1576"/>
      <c r="VD143" s="1576"/>
      <c r="VE143" s="1576"/>
      <c r="VF143" s="1576"/>
      <c r="VG143" s="1576"/>
      <c r="VH143" s="1576"/>
      <c r="VI143" s="1576"/>
      <c r="VJ143" s="1576"/>
      <c r="VK143" s="1576"/>
    </row>
    <row r="144" spans="1:583" ht="42.75" customHeight="1" x14ac:dyDescent="0.25">
      <c r="A144" s="691" t="s">
        <v>3833</v>
      </c>
      <c r="B144" s="1610" t="s">
        <v>1351</v>
      </c>
      <c r="C144" s="2062" t="s">
        <v>2947</v>
      </c>
      <c r="D144" s="1611" t="s">
        <v>1351</v>
      </c>
      <c r="E144" s="2062" t="s">
        <v>2947</v>
      </c>
      <c r="F144" s="2061">
        <f>SUM(F135:F143)</f>
        <v>0</v>
      </c>
      <c r="G144" s="2061">
        <f t="shared" ref="G144:BR144" si="174">SUM(G135:G143)</f>
        <v>0</v>
      </c>
      <c r="H144" s="2061">
        <f t="shared" si="174"/>
        <v>0</v>
      </c>
      <c r="I144" s="2061">
        <f t="shared" si="174"/>
        <v>0</v>
      </c>
      <c r="J144" s="2061">
        <f t="shared" si="174"/>
        <v>0</v>
      </c>
      <c r="K144" s="2061">
        <f t="shared" si="174"/>
        <v>0</v>
      </c>
      <c r="L144" s="2061">
        <f t="shared" si="174"/>
        <v>0</v>
      </c>
      <c r="M144" s="2061">
        <f t="shared" si="174"/>
        <v>0</v>
      </c>
      <c r="N144" s="2061">
        <f t="shared" si="174"/>
        <v>0</v>
      </c>
      <c r="O144" s="2061">
        <f t="shared" si="174"/>
        <v>0</v>
      </c>
      <c r="P144" s="2061">
        <f t="shared" si="174"/>
        <v>0</v>
      </c>
      <c r="Q144" s="2061">
        <f t="shared" si="174"/>
        <v>0</v>
      </c>
      <c r="R144" s="2061">
        <f t="shared" si="174"/>
        <v>0</v>
      </c>
      <c r="S144" s="2061">
        <f t="shared" si="174"/>
        <v>0</v>
      </c>
      <c r="T144" s="2061">
        <f t="shared" si="174"/>
        <v>0</v>
      </c>
      <c r="U144" s="2061">
        <f t="shared" si="174"/>
        <v>0</v>
      </c>
      <c r="V144" s="2061">
        <f t="shared" si="174"/>
        <v>0</v>
      </c>
      <c r="W144" s="2061">
        <f t="shared" si="174"/>
        <v>0</v>
      </c>
      <c r="X144" s="2061">
        <f t="shared" si="174"/>
        <v>0</v>
      </c>
      <c r="Y144" s="2061">
        <f t="shared" si="174"/>
        <v>0</v>
      </c>
      <c r="Z144" s="2061">
        <f t="shared" si="174"/>
        <v>0</v>
      </c>
      <c r="AA144" s="2061">
        <f t="shared" si="174"/>
        <v>0</v>
      </c>
      <c r="AB144" s="2061">
        <f t="shared" si="174"/>
        <v>0</v>
      </c>
      <c r="AC144" s="2061">
        <f t="shared" si="174"/>
        <v>0</v>
      </c>
      <c r="AD144" s="2061">
        <f t="shared" si="174"/>
        <v>0</v>
      </c>
      <c r="AE144" s="2061">
        <f t="shared" si="174"/>
        <v>0</v>
      </c>
      <c r="AF144" s="2061">
        <f t="shared" si="174"/>
        <v>0</v>
      </c>
      <c r="AG144" s="2061">
        <f t="shared" si="174"/>
        <v>0</v>
      </c>
      <c r="AH144" s="2061">
        <f t="shared" si="174"/>
        <v>0</v>
      </c>
      <c r="AI144" s="2061">
        <f t="shared" si="174"/>
        <v>0</v>
      </c>
      <c r="AJ144" s="2061">
        <f t="shared" si="174"/>
        <v>0</v>
      </c>
      <c r="AK144" s="2061">
        <f t="shared" si="174"/>
        <v>0</v>
      </c>
      <c r="AL144" s="2061">
        <f t="shared" si="174"/>
        <v>0</v>
      </c>
      <c r="AM144" s="2061">
        <f t="shared" si="174"/>
        <v>0</v>
      </c>
      <c r="AN144" s="2061">
        <f t="shared" si="174"/>
        <v>0</v>
      </c>
      <c r="AO144" s="2061">
        <f t="shared" si="174"/>
        <v>0</v>
      </c>
      <c r="AP144" s="2061">
        <f t="shared" si="174"/>
        <v>0</v>
      </c>
      <c r="AQ144" s="2061">
        <f t="shared" si="174"/>
        <v>0</v>
      </c>
      <c r="AR144" s="2061">
        <f t="shared" si="174"/>
        <v>0</v>
      </c>
      <c r="AS144" s="2061">
        <f t="shared" si="174"/>
        <v>0</v>
      </c>
      <c r="AT144" s="2061">
        <f t="shared" si="174"/>
        <v>0</v>
      </c>
      <c r="AU144" s="2061">
        <f t="shared" si="174"/>
        <v>0</v>
      </c>
      <c r="AV144" s="2061">
        <f t="shared" si="174"/>
        <v>0</v>
      </c>
      <c r="AW144" s="2061">
        <f t="shared" si="174"/>
        <v>0</v>
      </c>
      <c r="AX144" s="2061">
        <f t="shared" si="174"/>
        <v>0</v>
      </c>
      <c r="AY144" s="2061">
        <f t="shared" si="174"/>
        <v>0</v>
      </c>
      <c r="AZ144" s="2061">
        <f t="shared" si="174"/>
        <v>0</v>
      </c>
      <c r="BA144" s="2061">
        <f t="shared" si="174"/>
        <v>0</v>
      </c>
      <c r="BB144" s="2061">
        <f t="shared" si="174"/>
        <v>0</v>
      </c>
      <c r="BC144" s="2061">
        <f t="shared" si="174"/>
        <v>0</v>
      </c>
      <c r="BD144" s="2061">
        <f t="shared" si="174"/>
        <v>0</v>
      </c>
      <c r="BE144" s="2061">
        <f t="shared" si="174"/>
        <v>0</v>
      </c>
      <c r="BF144" s="2061">
        <f t="shared" si="174"/>
        <v>0</v>
      </c>
      <c r="BG144" s="2061">
        <f t="shared" si="174"/>
        <v>0</v>
      </c>
      <c r="BH144" s="2061">
        <f t="shared" si="174"/>
        <v>0</v>
      </c>
      <c r="BI144" s="2061">
        <f t="shared" si="174"/>
        <v>0</v>
      </c>
      <c r="BJ144" s="2061">
        <f t="shared" si="174"/>
        <v>0</v>
      </c>
      <c r="BK144" s="2061">
        <f t="shared" si="174"/>
        <v>0</v>
      </c>
      <c r="BL144" s="2061">
        <f t="shared" si="174"/>
        <v>0</v>
      </c>
      <c r="BM144" s="2061">
        <f t="shared" si="174"/>
        <v>0</v>
      </c>
      <c r="BN144" s="2061">
        <f t="shared" si="174"/>
        <v>0</v>
      </c>
      <c r="BO144" s="2061">
        <f t="shared" si="174"/>
        <v>0</v>
      </c>
      <c r="BP144" s="2061">
        <f t="shared" si="174"/>
        <v>0</v>
      </c>
      <c r="BQ144" s="2061">
        <f t="shared" si="174"/>
        <v>0</v>
      </c>
      <c r="BR144" s="2061">
        <f t="shared" si="174"/>
        <v>0</v>
      </c>
      <c r="BS144" s="2061">
        <f t="shared" ref="BS144:ED144" si="175">SUM(BS135:BS143)</f>
        <v>0</v>
      </c>
      <c r="BT144" s="2061">
        <f t="shared" si="175"/>
        <v>0</v>
      </c>
      <c r="BU144" s="2061">
        <f t="shared" si="175"/>
        <v>0</v>
      </c>
      <c r="BV144" s="2061">
        <f t="shared" si="175"/>
        <v>0</v>
      </c>
      <c r="BW144" s="2061">
        <f t="shared" si="175"/>
        <v>0</v>
      </c>
      <c r="BX144" s="2061">
        <f t="shared" si="175"/>
        <v>0</v>
      </c>
      <c r="BY144" s="2061">
        <f t="shared" si="175"/>
        <v>0</v>
      </c>
      <c r="BZ144" s="2061">
        <f t="shared" si="175"/>
        <v>0</v>
      </c>
      <c r="CA144" s="2061">
        <f t="shared" si="175"/>
        <v>0</v>
      </c>
      <c r="CB144" s="2061">
        <f t="shared" si="175"/>
        <v>0</v>
      </c>
      <c r="CC144" s="2061">
        <f t="shared" si="175"/>
        <v>0</v>
      </c>
      <c r="CD144" s="2061">
        <f t="shared" si="175"/>
        <v>0</v>
      </c>
      <c r="CE144" s="2061">
        <f t="shared" si="175"/>
        <v>0</v>
      </c>
      <c r="CF144" s="2061">
        <f t="shared" si="175"/>
        <v>0</v>
      </c>
      <c r="CG144" s="2061">
        <f t="shared" si="175"/>
        <v>0</v>
      </c>
      <c r="CH144" s="2061">
        <f t="shared" si="175"/>
        <v>0</v>
      </c>
      <c r="CI144" s="2061">
        <f t="shared" si="175"/>
        <v>0</v>
      </c>
      <c r="CJ144" s="2061">
        <f t="shared" si="175"/>
        <v>0</v>
      </c>
      <c r="CK144" s="2061">
        <f t="shared" si="175"/>
        <v>0</v>
      </c>
      <c r="CL144" s="2061">
        <f t="shared" si="175"/>
        <v>0</v>
      </c>
      <c r="CM144" s="2061">
        <f t="shared" si="175"/>
        <v>0</v>
      </c>
      <c r="CN144" s="2061">
        <f t="shared" si="175"/>
        <v>0</v>
      </c>
      <c r="CO144" s="2061">
        <f t="shared" si="175"/>
        <v>0</v>
      </c>
      <c r="CP144" s="2061">
        <f t="shared" si="175"/>
        <v>0</v>
      </c>
      <c r="CQ144" s="2061">
        <f t="shared" si="175"/>
        <v>0</v>
      </c>
      <c r="CR144" s="2061">
        <f t="shared" si="175"/>
        <v>0</v>
      </c>
      <c r="CS144" s="2061">
        <f t="shared" si="175"/>
        <v>0</v>
      </c>
      <c r="CT144" s="2061">
        <f t="shared" si="175"/>
        <v>0</v>
      </c>
      <c r="CU144" s="2061">
        <f t="shared" si="175"/>
        <v>0</v>
      </c>
      <c r="CV144" s="2061">
        <f t="shared" si="175"/>
        <v>0</v>
      </c>
      <c r="CW144" s="2061">
        <f t="shared" si="175"/>
        <v>0</v>
      </c>
      <c r="CX144" s="2061">
        <f t="shared" si="175"/>
        <v>0</v>
      </c>
      <c r="CY144" s="2061">
        <f t="shared" si="175"/>
        <v>0</v>
      </c>
      <c r="CZ144" s="2061">
        <f t="shared" si="175"/>
        <v>0</v>
      </c>
      <c r="DA144" s="2061">
        <f t="shared" si="175"/>
        <v>0</v>
      </c>
      <c r="DB144" s="2061">
        <f t="shared" si="175"/>
        <v>0</v>
      </c>
      <c r="DC144" s="2061">
        <f t="shared" si="175"/>
        <v>0</v>
      </c>
      <c r="DD144" s="2061">
        <f t="shared" si="175"/>
        <v>0</v>
      </c>
      <c r="DE144" s="2061">
        <f t="shared" si="175"/>
        <v>0</v>
      </c>
      <c r="DF144" s="2061">
        <f t="shared" si="175"/>
        <v>0</v>
      </c>
      <c r="DG144" s="2061">
        <f t="shared" si="175"/>
        <v>0</v>
      </c>
      <c r="DH144" s="2061">
        <f t="shared" si="175"/>
        <v>0</v>
      </c>
      <c r="DI144" s="2061">
        <f t="shared" si="175"/>
        <v>0</v>
      </c>
      <c r="DJ144" s="2061">
        <f t="shared" si="175"/>
        <v>0</v>
      </c>
      <c r="DK144" s="2061">
        <f t="shared" si="175"/>
        <v>0</v>
      </c>
      <c r="DL144" s="2061">
        <f t="shared" si="175"/>
        <v>0</v>
      </c>
      <c r="DM144" s="2061">
        <f t="shared" si="175"/>
        <v>0</v>
      </c>
      <c r="DN144" s="2061">
        <f t="shared" si="175"/>
        <v>0</v>
      </c>
      <c r="DO144" s="2061">
        <f t="shared" si="175"/>
        <v>0</v>
      </c>
      <c r="DP144" s="2061">
        <f t="shared" si="175"/>
        <v>0</v>
      </c>
      <c r="DQ144" s="2061">
        <f t="shared" si="175"/>
        <v>0</v>
      </c>
      <c r="DR144" s="2061">
        <f t="shared" si="175"/>
        <v>0</v>
      </c>
      <c r="DS144" s="2061">
        <f t="shared" si="175"/>
        <v>0</v>
      </c>
      <c r="DT144" s="2061">
        <f t="shared" si="175"/>
        <v>0</v>
      </c>
      <c r="DU144" s="2061">
        <f t="shared" si="175"/>
        <v>0</v>
      </c>
      <c r="DV144" s="2061">
        <f t="shared" si="175"/>
        <v>0</v>
      </c>
      <c r="DW144" s="2061">
        <f t="shared" si="175"/>
        <v>0</v>
      </c>
      <c r="DX144" s="2061">
        <f t="shared" si="175"/>
        <v>0</v>
      </c>
      <c r="DY144" s="2061">
        <f t="shared" si="175"/>
        <v>0</v>
      </c>
      <c r="DZ144" s="2061">
        <f t="shared" si="175"/>
        <v>0</v>
      </c>
      <c r="EA144" s="2061">
        <f t="shared" si="175"/>
        <v>0</v>
      </c>
      <c r="EB144" s="2061">
        <f t="shared" si="175"/>
        <v>0</v>
      </c>
      <c r="EC144" s="2061">
        <f t="shared" si="175"/>
        <v>0</v>
      </c>
      <c r="ED144" s="2061">
        <f t="shared" si="175"/>
        <v>0</v>
      </c>
      <c r="EE144" s="2061">
        <f t="shared" ref="EE144:GP144" si="176">SUM(EE135:EE143)</f>
        <v>0</v>
      </c>
      <c r="EF144" s="2061">
        <f t="shared" si="176"/>
        <v>0</v>
      </c>
      <c r="EG144" s="2061">
        <f t="shared" si="176"/>
        <v>0</v>
      </c>
      <c r="EH144" s="2061">
        <f t="shared" si="176"/>
        <v>0</v>
      </c>
      <c r="EI144" s="2061">
        <f t="shared" si="176"/>
        <v>0</v>
      </c>
      <c r="EJ144" s="2061">
        <f t="shared" si="176"/>
        <v>0</v>
      </c>
      <c r="EK144" s="2061">
        <f t="shared" si="176"/>
        <v>0</v>
      </c>
      <c r="EL144" s="2061">
        <f t="shared" si="176"/>
        <v>0</v>
      </c>
      <c r="EM144" s="2061">
        <f t="shared" si="176"/>
        <v>0</v>
      </c>
      <c r="EN144" s="2061">
        <f t="shared" si="176"/>
        <v>0</v>
      </c>
      <c r="EO144" s="2061">
        <f t="shared" si="176"/>
        <v>0</v>
      </c>
      <c r="EP144" s="2061">
        <f t="shared" si="176"/>
        <v>0</v>
      </c>
      <c r="EQ144" s="2061">
        <f t="shared" si="176"/>
        <v>0</v>
      </c>
      <c r="ER144" s="2061">
        <f t="shared" si="176"/>
        <v>0</v>
      </c>
      <c r="ES144" s="2061">
        <f t="shared" si="176"/>
        <v>0</v>
      </c>
      <c r="ET144" s="2061">
        <f t="shared" si="176"/>
        <v>0</v>
      </c>
      <c r="EU144" s="2061">
        <f t="shared" si="176"/>
        <v>0</v>
      </c>
      <c r="EV144" s="2061">
        <f t="shared" si="176"/>
        <v>0</v>
      </c>
      <c r="EW144" s="2061">
        <f t="shared" si="176"/>
        <v>0</v>
      </c>
      <c r="EX144" s="2061">
        <f t="shared" si="176"/>
        <v>0</v>
      </c>
      <c r="EY144" s="2061">
        <f t="shared" si="176"/>
        <v>0</v>
      </c>
      <c r="EZ144" s="2061">
        <f t="shared" si="176"/>
        <v>0</v>
      </c>
      <c r="FA144" s="2061">
        <f t="shared" si="176"/>
        <v>0</v>
      </c>
      <c r="FB144" s="2061">
        <f t="shared" si="176"/>
        <v>0</v>
      </c>
      <c r="FC144" s="2061">
        <f t="shared" si="176"/>
        <v>0</v>
      </c>
      <c r="FD144" s="2061">
        <f t="shared" si="176"/>
        <v>0</v>
      </c>
      <c r="FE144" s="2061">
        <f t="shared" si="176"/>
        <v>0</v>
      </c>
      <c r="FF144" s="2061">
        <f t="shared" si="176"/>
        <v>0</v>
      </c>
      <c r="FG144" s="2061">
        <f t="shared" si="176"/>
        <v>0</v>
      </c>
      <c r="FH144" s="2061">
        <f t="shared" si="176"/>
        <v>0</v>
      </c>
      <c r="FI144" s="2061">
        <f t="shared" si="176"/>
        <v>0</v>
      </c>
      <c r="FJ144" s="2061">
        <f t="shared" si="176"/>
        <v>0</v>
      </c>
      <c r="FK144" s="2061">
        <f t="shared" si="176"/>
        <v>0</v>
      </c>
      <c r="FL144" s="2061">
        <f t="shared" si="176"/>
        <v>0</v>
      </c>
      <c r="FM144" s="2061">
        <f t="shared" si="176"/>
        <v>0</v>
      </c>
      <c r="FN144" s="2061">
        <f t="shared" si="176"/>
        <v>0</v>
      </c>
      <c r="FO144" s="2061">
        <f t="shared" si="176"/>
        <v>0</v>
      </c>
      <c r="FP144" s="2061">
        <f t="shared" si="176"/>
        <v>0</v>
      </c>
      <c r="FQ144" s="2061">
        <f t="shared" si="176"/>
        <v>0</v>
      </c>
      <c r="FR144" s="2061">
        <f t="shared" si="176"/>
        <v>0</v>
      </c>
      <c r="FS144" s="2061">
        <f t="shared" si="176"/>
        <v>0</v>
      </c>
      <c r="FT144" s="2061">
        <f t="shared" si="176"/>
        <v>0</v>
      </c>
      <c r="FU144" s="2061">
        <f t="shared" si="176"/>
        <v>0</v>
      </c>
      <c r="FV144" s="2061">
        <f t="shared" si="176"/>
        <v>0</v>
      </c>
      <c r="FW144" s="2061">
        <f t="shared" si="176"/>
        <v>0</v>
      </c>
      <c r="FX144" s="2061">
        <f t="shared" si="176"/>
        <v>0</v>
      </c>
      <c r="FY144" s="2061">
        <f t="shared" si="176"/>
        <v>0</v>
      </c>
      <c r="FZ144" s="2061">
        <f t="shared" si="176"/>
        <v>0</v>
      </c>
      <c r="GA144" s="2061">
        <f t="shared" si="176"/>
        <v>0</v>
      </c>
      <c r="GB144" s="2061">
        <f t="shared" si="176"/>
        <v>0</v>
      </c>
      <c r="GC144" s="2061">
        <f t="shared" si="176"/>
        <v>0</v>
      </c>
      <c r="GD144" s="2061">
        <f t="shared" si="176"/>
        <v>0</v>
      </c>
      <c r="GE144" s="2061">
        <f t="shared" si="176"/>
        <v>0</v>
      </c>
      <c r="GF144" s="2061">
        <f t="shared" si="176"/>
        <v>0</v>
      </c>
      <c r="GG144" s="2061">
        <f t="shared" si="176"/>
        <v>0</v>
      </c>
      <c r="GH144" s="2061">
        <f t="shared" si="176"/>
        <v>0</v>
      </c>
      <c r="GI144" s="2061">
        <f t="shared" si="176"/>
        <v>0</v>
      </c>
      <c r="GJ144" s="2061">
        <f t="shared" si="176"/>
        <v>0</v>
      </c>
      <c r="GK144" s="2061">
        <f t="shared" si="176"/>
        <v>0</v>
      </c>
      <c r="GL144" s="2061">
        <f t="shared" si="176"/>
        <v>0</v>
      </c>
      <c r="GM144" s="2061">
        <f t="shared" si="176"/>
        <v>0</v>
      </c>
      <c r="GN144" s="2061">
        <f t="shared" si="176"/>
        <v>0</v>
      </c>
      <c r="GO144" s="2061">
        <f t="shared" si="176"/>
        <v>0</v>
      </c>
      <c r="GP144" s="2061">
        <f t="shared" si="176"/>
        <v>0</v>
      </c>
      <c r="GQ144" s="2061">
        <f t="shared" ref="GQ144:JB144" si="177">SUM(GQ135:GQ143)</f>
        <v>0</v>
      </c>
      <c r="GR144" s="2061">
        <f t="shared" si="177"/>
        <v>0</v>
      </c>
      <c r="GS144" s="2061">
        <f t="shared" si="177"/>
        <v>0</v>
      </c>
      <c r="GT144" s="2061">
        <f t="shared" si="177"/>
        <v>0</v>
      </c>
      <c r="GU144" s="2061">
        <f t="shared" si="177"/>
        <v>0</v>
      </c>
      <c r="GV144" s="2061">
        <f t="shared" si="177"/>
        <v>0</v>
      </c>
      <c r="GW144" s="2061">
        <f t="shared" si="177"/>
        <v>0</v>
      </c>
      <c r="GX144" s="2061">
        <f t="shared" si="177"/>
        <v>0</v>
      </c>
      <c r="GY144" s="2061">
        <f t="shared" si="177"/>
        <v>0</v>
      </c>
      <c r="GZ144" s="2061">
        <f t="shared" si="177"/>
        <v>0</v>
      </c>
      <c r="HA144" s="2061">
        <f t="shared" si="177"/>
        <v>0</v>
      </c>
      <c r="HB144" s="2061">
        <f t="shared" si="177"/>
        <v>0</v>
      </c>
      <c r="HC144" s="2061">
        <f t="shared" si="177"/>
        <v>0</v>
      </c>
      <c r="HD144" s="2061">
        <f t="shared" si="177"/>
        <v>0</v>
      </c>
      <c r="HE144" s="2061">
        <f t="shared" si="177"/>
        <v>0</v>
      </c>
      <c r="HF144" s="2061">
        <f t="shared" si="177"/>
        <v>0</v>
      </c>
      <c r="HG144" s="2061">
        <f t="shared" si="177"/>
        <v>0</v>
      </c>
      <c r="HH144" s="2061">
        <f t="shared" si="177"/>
        <v>0</v>
      </c>
      <c r="HI144" s="2061">
        <f t="shared" si="177"/>
        <v>0</v>
      </c>
      <c r="HJ144" s="2061">
        <f t="shared" si="177"/>
        <v>0</v>
      </c>
      <c r="HK144" s="2061">
        <f t="shared" si="177"/>
        <v>0</v>
      </c>
      <c r="HL144" s="2061">
        <f t="shared" si="177"/>
        <v>0</v>
      </c>
      <c r="HM144" s="2061">
        <f t="shared" si="177"/>
        <v>0</v>
      </c>
      <c r="HN144" s="2061">
        <f t="shared" si="177"/>
        <v>0</v>
      </c>
      <c r="HO144" s="2061">
        <f t="shared" si="177"/>
        <v>0</v>
      </c>
      <c r="HP144" s="2061">
        <f t="shared" si="177"/>
        <v>0</v>
      </c>
      <c r="HQ144" s="2061">
        <f t="shared" si="177"/>
        <v>0</v>
      </c>
      <c r="HR144" s="2061">
        <f t="shared" si="177"/>
        <v>0</v>
      </c>
      <c r="HS144" s="2061">
        <f t="shared" si="177"/>
        <v>0</v>
      </c>
      <c r="HT144" s="2061">
        <f t="shared" si="177"/>
        <v>0</v>
      </c>
      <c r="HU144" s="2061">
        <f t="shared" si="177"/>
        <v>0</v>
      </c>
      <c r="HV144" s="2061">
        <f t="shared" si="177"/>
        <v>0</v>
      </c>
      <c r="HW144" s="2061">
        <f t="shared" si="177"/>
        <v>0</v>
      </c>
      <c r="HX144" s="2061">
        <f t="shared" si="177"/>
        <v>0</v>
      </c>
      <c r="HY144" s="2061">
        <f t="shared" si="177"/>
        <v>0</v>
      </c>
      <c r="HZ144" s="2061">
        <f t="shared" si="177"/>
        <v>0</v>
      </c>
      <c r="IA144" s="2061">
        <f t="shared" si="177"/>
        <v>0</v>
      </c>
      <c r="IB144" s="2061">
        <f t="shared" si="177"/>
        <v>0</v>
      </c>
      <c r="IC144" s="2061">
        <f t="shared" si="177"/>
        <v>0</v>
      </c>
      <c r="ID144" s="2061">
        <f t="shared" si="177"/>
        <v>0</v>
      </c>
      <c r="IE144" s="2061">
        <f t="shared" si="177"/>
        <v>0</v>
      </c>
      <c r="IF144" s="2061">
        <f t="shared" si="177"/>
        <v>0</v>
      </c>
      <c r="IG144" s="2061">
        <f t="shared" si="177"/>
        <v>0</v>
      </c>
      <c r="IH144" s="2061">
        <f t="shared" si="177"/>
        <v>0</v>
      </c>
      <c r="II144" s="2061">
        <f t="shared" si="177"/>
        <v>0</v>
      </c>
      <c r="IJ144" s="2061">
        <f t="shared" si="177"/>
        <v>0</v>
      </c>
      <c r="IK144" s="2061">
        <f t="shared" si="177"/>
        <v>0</v>
      </c>
      <c r="IL144" s="2061">
        <f t="shared" si="177"/>
        <v>0</v>
      </c>
      <c r="IM144" s="2061">
        <f t="shared" si="177"/>
        <v>0</v>
      </c>
      <c r="IN144" s="2061">
        <f t="shared" si="177"/>
        <v>0</v>
      </c>
      <c r="IO144" s="2061">
        <f t="shared" si="177"/>
        <v>0</v>
      </c>
      <c r="IP144" s="2061">
        <f t="shared" si="177"/>
        <v>0</v>
      </c>
      <c r="IQ144" s="2061">
        <f t="shared" si="177"/>
        <v>0</v>
      </c>
      <c r="IR144" s="2061">
        <f t="shared" si="177"/>
        <v>0</v>
      </c>
      <c r="IS144" s="2061">
        <f t="shared" si="177"/>
        <v>0</v>
      </c>
      <c r="IT144" s="2061">
        <f t="shared" si="177"/>
        <v>0</v>
      </c>
      <c r="IU144" s="2061">
        <f t="shared" si="177"/>
        <v>0</v>
      </c>
      <c r="IV144" s="2061">
        <f t="shared" si="177"/>
        <v>0</v>
      </c>
      <c r="IW144" s="2061">
        <f t="shared" si="177"/>
        <v>0</v>
      </c>
      <c r="IX144" s="2061">
        <f t="shared" si="177"/>
        <v>0</v>
      </c>
      <c r="IY144" s="2061">
        <f t="shared" si="177"/>
        <v>0</v>
      </c>
      <c r="IZ144" s="2061">
        <f t="shared" si="177"/>
        <v>0</v>
      </c>
      <c r="JA144" s="2061">
        <f t="shared" si="177"/>
        <v>0</v>
      </c>
      <c r="JB144" s="2061">
        <f t="shared" si="177"/>
        <v>0</v>
      </c>
      <c r="JC144" s="2061">
        <f t="shared" ref="JC144:LN144" si="178">SUM(JC135:JC143)</f>
        <v>0</v>
      </c>
      <c r="JD144" s="2061">
        <f t="shared" si="178"/>
        <v>0</v>
      </c>
      <c r="JE144" s="2061">
        <f t="shared" si="178"/>
        <v>0</v>
      </c>
      <c r="JF144" s="2061">
        <f t="shared" si="178"/>
        <v>0</v>
      </c>
      <c r="JG144" s="2061">
        <f t="shared" si="178"/>
        <v>0</v>
      </c>
      <c r="JH144" s="2061">
        <f t="shared" si="178"/>
        <v>0</v>
      </c>
      <c r="JI144" s="2061">
        <f t="shared" si="178"/>
        <v>0</v>
      </c>
      <c r="JJ144" s="2061">
        <f t="shared" si="178"/>
        <v>0</v>
      </c>
      <c r="JK144" s="2061">
        <f t="shared" si="178"/>
        <v>0</v>
      </c>
      <c r="JL144" s="2061">
        <f t="shared" si="178"/>
        <v>0</v>
      </c>
      <c r="JM144" s="2061">
        <f t="shared" si="178"/>
        <v>0</v>
      </c>
      <c r="JN144" s="2061">
        <f t="shared" si="178"/>
        <v>0</v>
      </c>
      <c r="JO144" s="2061">
        <f t="shared" si="178"/>
        <v>0</v>
      </c>
      <c r="JP144" s="2061">
        <f t="shared" si="178"/>
        <v>0</v>
      </c>
      <c r="JQ144" s="2061">
        <f t="shared" si="178"/>
        <v>0</v>
      </c>
      <c r="JR144" s="2061">
        <f t="shared" si="178"/>
        <v>0</v>
      </c>
      <c r="JS144" s="2061">
        <f t="shared" si="178"/>
        <v>0</v>
      </c>
      <c r="JT144" s="2061">
        <f t="shared" si="178"/>
        <v>0</v>
      </c>
      <c r="JU144" s="2061">
        <f t="shared" si="178"/>
        <v>0</v>
      </c>
      <c r="JV144" s="2061">
        <f t="shared" si="178"/>
        <v>0</v>
      </c>
      <c r="JW144" s="2061">
        <f t="shared" si="178"/>
        <v>0</v>
      </c>
      <c r="JX144" s="2061">
        <f t="shared" si="178"/>
        <v>0</v>
      </c>
      <c r="JY144" s="2061">
        <f t="shared" si="178"/>
        <v>0</v>
      </c>
      <c r="JZ144" s="2061">
        <f t="shared" si="178"/>
        <v>0</v>
      </c>
      <c r="KA144" s="2061">
        <f t="shared" si="178"/>
        <v>0</v>
      </c>
      <c r="KB144" s="2061">
        <f t="shared" si="178"/>
        <v>0</v>
      </c>
      <c r="KC144" s="2061">
        <f t="shared" si="178"/>
        <v>0</v>
      </c>
      <c r="KD144" s="2061">
        <f t="shared" si="178"/>
        <v>0</v>
      </c>
      <c r="KE144" s="2061">
        <f t="shared" si="178"/>
        <v>0</v>
      </c>
      <c r="KF144" s="2061">
        <f t="shared" si="178"/>
        <v>0</v>
      </c>
      <c r="KG144" s="2061">
        <f t="shared" si="178"/>
        <v>0</v>
      </c>
      <c r="KH144" s="2061">
        <f t="shared" si="178"/>
        <v>0</v>
      </c>
      <c r="KI144" s="2061">
        <f t="shared" si="178"/>
        <v>0</v>
      </c>
      <c r="KJ144" s="2061">
        <f t="shared" si="178"/>
        <v>0</v>
      </c>
      <c r="KK144" s="2061">
        <f t="shared" si="178"/>
        <v>0</v>
      </c>
      <c r="KL144" s="2061">
        <f t="shared" si="178"/>
        <v>0</v>
      </c>
      <c r="KM144" s="2061">
        <f t="shared" si="178"/>
        <v>0</v>
      </c>
      <c r="KN144" s="2061">
        <f t="shared" si="178"/>
        <v>0</v>
      </c>
      <c r="KO144" s="2061">
        <f t="shared" si="178"/>
        <v>0</v>
      </c>
      <c r="KP144" s="2061">
        <f t="shared" si="178"/>
        <v>0</v>
      </c>
      <c r="KQ144" s="2061">
        <f t="shared" si="178"/>
        <v>0</v>
      </c>
      <c r="KR144" s="2061">
        <f t="shared" si="178"/>
        <v>0</v>
      </c>
      <c r="KS144" s="2061">
        <f t="shared" si="178"/>
        <v>0</v>
      </c>
      <c r="KT144" s="2061">
        <f t="shared" si="178"/>
        <v>0</v>
      </c>
      <c r="KU144" s="2061">
        <f t="shared" si="178"/>
        <v>0</v>
      </c>
      <c r="KV144" s="2061">
        <f t="shared" si="178"/>
        <v>0</v>
      </c>
      <c r="KW144" s="2061">
        <f t="shared" si="178"/>
        <v>0</v>
      </c>
      <c r="KX144" s="2061">
        <f t="shared" si="178"/>
        <v>0</v>
      </c>
      <c r="KY144" s="2061">
        <f t="shared" si="178"/>
        <v>0</v>
      </c>
      <c r="KZ144" s="2061">
        <f t="shared" si="178"/>
        <v>0</v>
      </c>
      <c r="LA144" s="2061">
        <f t="shared" si="178"/>
        <v>0</v>
      </c>
      <c r="LB144" s="2061">
        <f t="shared" si="178"/>
        <v>0</v>
      </c>
      <c r="LC144" s="2061">
        <f t="shared" si="178"/>
        <v>0</v>
      </c>
      <c r="LD144" s="2061">
        <f t="shared" si="178"/>
        <v>0</v>
      </c>
      <c r="LE144" s="2061">
        <f t="shared" si="178"/>
        <v>0</v>
      </c>
      <c r="LF144" s="2061">
        <f t="shared" si="178"/>
        <v>0</v>
      </c>
      <c r="LG144" s="2061">
        <f t="shared" si="178"/>
        <v>0</v>
      </c>
      <c r="LH144" s="2061">
        <f t="shared" si="178"/>
        <v>0</v>
      </c>
      <c r="LI144" s="2061">
        <f t="shared" si="178"/>
        <v>0</v>
      </c>
      <c r="LJ144" s="2061">
        <f t="shared" si="178"/>
        <v>0</v>
      </c>
      <c r="LK144" s="2061">
        <f t="shared" si="178"/>
        <v>0</v>
      </c>
      <c r="LL144" s="2061">
        <f t="shared" si="178"/>
        <v>0</v>
      </c>
      <c r="LM144" s="2061">
        <f t="shared" si="178"/>
        <v>0</v>
      </c>
      <c r="LN144" s="2061">
        <f t="shared" si="178"/>
        <v>0</v>
      </c>
      <c r="LO144" s="2061">
        <f t="shared" ref="LO144:NZ144" si="179">SUM(LO135:LO143)</f>
        <v>0</v>
      </c>
      <c r="LP144" s="2061">
        <f t="shared" si="179"/>
        <v>0</v>
      </c>
      <c r="LQ144" s="2061">
        <f t="shared" si="179"/>
        <v>0</v>
      </c>
      <c r="LR144" s="2061">
        <f t="shared" si="179"/>
        <v>0</v>
      </c>
      <c r="LS144" s="2061">
        <f t="shared" si="179"/>
        <v>0</v>
      </c>
      <c r="LT144" s="2061">
        <f t="shared" si="179"/>
        <v>0</v>
      </c>
      <c r="LU144" s="2061">
        <f t="shared" si="179"/>
        <v>0</v>
      </c>
      <c r="LV144" s="2061">
        <f t="shared" si="179"/>
        <v>0</v>
      </c>
      <c r="LW144" s="2061">
        <f t="shared" si="179"/>
        <v>0</v>
      </c>
      <c r="LX144" s="2061">
        <f t="shared" si="179"/>
        <v>0</v>
      </c>
      <c r="LY144" s="2061">
        <f t="shared" si="179"/>
        <v>0</v>
      </c>
      <c r="LZ144" s="2061">
        <f t="shared" si="179"/>
        <v>0</v>
      </c>
      <c r="MA144" s="2061">
        <f t="shared" si="179"/>
        <v>0</v>
      </c>
      <c r="MB144" s="2061">
        <f t="shared" si="179"/>
        <v>0</v>
      </c>
      <c r="MC144" s="2061">
        <f t="shared" si="179"/>
        <v>0</v>
      </c>
      <c r="MD144" s="2061">
        <f t="shared" si="179"/>
        <v>0</v>
      </c>
      <c r="ME144" s="2061">
        <f t="shared" si="179"/>
        <v>0</v>
      </c>
      <c r="MF144" s="2061">
        <f t="shared" si="179"/>
        <v>0</v>
      </c>
      <c r="MG144" s="2061">
        <f t="shared" si="179"/>
        <v>0</v>
      </c>
      <c r="MH144" s="2061">
        <f t="shared" si="179"/>
        <v>0</v>
      </c>
      <c r="MI144" s="2061">
        <f t="shared" si="179"/>
        <v>0</v>
      </c>
      <c r="MJ144" s="2061">
        <f t="shared" si="179"/>
        <v>0</v>
      </c>
      <c r="MK144" s="2061">
        <f t="shared" si="179"/>
        <v>0</v>
      </c>
      <c r="ML144" s="2061">
        <f t="shared" si="179"/>
        <v>0</v>
      </c>
      <c r="MM144" s="2061">
        <f t="shared" si="179"/>
        <v>0</v>
      </c>
      <c r="MN144" s="2061">
        <f t="shared" si="179"/>
        <v>0</v>
      </c>
      <c r="MO144" s="2061">
        <f t="shared" si="179"/>
        <v>0</v>
      </c>
      <c r="MP144" s="2061">
        <f t="shared" si="179"/>
        <v>0</v>
      </c>
      <c r="MQ144" s="2061">
        <f t="shared" si="179"/>
        <v>0</v>
      </c>
      <c r="MR144" s="2061">
        <f t="shared" si="179"/>
        <v>0</v>
      </c>
      <c r="MS144" s="2061">
        <f t="shared" si="179"/>
        <v>0</v>
      </c>
      <c r="MT144" s="2061">
        <f t="shared" si="179"/>
        <v>0</v>
      </c>
      <c r="MU144" s="2061">
        <f t="shared" si="179"/>
        <v>0</v>
      </c>
      <c r="MV144" s="2061">
        <f t="shared" si="179"/>
        <v>0</v>
      </c>
      <c r="MW144" s="2061">
        <f t="shared" si="179"/>
        <v>0</v>
      </c>
      <c r="MX144" s="2061">
        <f t="shared" si="179"/>
        <v>0</v>
      </c>
      <c r="MY144" s="2061">
        <f t="shared" si="179"/>
        <v>0</v>
      </c>
      <c r="MZ144" s="2061">
        <f t="shared" si="179"/>
        <v>0</v>
      </c>
      <c r="NA144" s="2061">
        <f t="shared" si="179"/>
        <v>0</v>
      </c>
      <c r="NB144" s="2061">
        <f t="shared" si="179"/>
        <v>0</v>
      </c>
      <c r="NC144" s="2061">
        <f t="shared" si="179"/>
        <v>0</v>
      </c>
      <c r="ND144" s="2061">
        <f t="shared" si="179"/>
        <v>0</v>
      </c>
      <c r="NE144" s="2061">
        <f t="shared" si="179"/>
        <v>0</v>
      </c>
      <c r="NF144" s="2061">
        <f t="shared" si="179"/>
        <v>0</v>
      </c>
      <c r="NG144" s="2061">
        <f t="shared" si="179"/>
        <v>0</v>
      </c>
      <c r="NH144" s="2061">
        <f t="shared" si="179"/>
        <v>0</v>
      </c>
      <c r="NI144" s="2061">
        <f t="shared" si="179"/>
        <v>0</v>
      </c>
      <c r="NJ144" s="2061">
        <f t="shared" si="179"/>
        <v>0</v>
      </c>
      <c r="NK144" s="2061">
        <f t="shared" si="179"/>
        <v>0</v>
      </c>
      <c r="NL144" s="2061">
        <f t="shared" si="179"/>
        <v>0</v>
      </c>
      <c r="NM144" s="2061">
        <f t="shared" si="179"/>
        <v>0</v>
      </c>
      <c r="NN144" s="2061">
        <f t="shared" si="179"/>
        <v>0</v>
      </c>
      <c r="NO144" s="2061">
        <f t="shared" si="179"/>
        <v>0</v>
      </c>
      <c r="NP144" s="2061" t="e">
        <f t="shared" si="179"/>
        <v>#DIV/0!</v>
      </c>
      <c r="NQ144" s="2061" t="e">
        <f t="shared" si="179"/>
        <v>#DIV/0!</v>
      </c>
      <c r="NR144" s="2061" t="e">
        <f t="shared" si="179"/>
        <v>#DIV/0!</v>
      </c>
      <c r="NS144" s="2061" t="e">
        <f t="shared" si="179"/>
        <v>#DIV/0!</v>
      </c>
      <c r="NT144" s="2061" t="e">
        <f t="shared" si="179"/>
        <v>#DIV/0!</v>
      </c>
      <c r="NU144" s="2061" t="e">
        <f t="shared" si="179"/>
        <v>#DIV/0!</v>
      </c>
      <c r="NV144" s="2061" t="e">
        <f t="shared" si="179"/>
        <v>#DIV/0!</v>
      </c>
      <c r="NW144" s="2061" t="e">
        <f t="shared" si="179"/>
        <v>#DIV/0!</v>
      </c>
      <c r="NX144" s="2061" t="e">
        <f t="shared" si="179"/>
        <v>#DIV/0!</v>
      </c>
      <c r="NY144" s="2061" t="e">
        <f t="shared" si="179"/>
        <v>#DIV/0!</v>
      </c>
      <c r="NZ144" s="2061" t="e">
        <f t="shared" si="179"/>
        <v>#DIV/0!</v>
      </c>
      <c r="OA144" s="2061" t="e">
        <f t="shared" ref="OA144:QL144" si="180">SUM(OA135:OA143)</f>
        <v>#DIV/0!</v>
      </c>
      <c r="OB144" s="2061" t="e">
        <f t="shared" si="180"/>
        <v>#DIV/0!</v>
      </c>
      <c r="OC144" s="2061" t="e">
        <f t="shared" si="180"/>
        <v>#DIV/0!</v>
      </c>
      <c r="OD144" s="2061" t="e">
        <f t="shared" si="180"/>
        <v>#DIV/0!</v>
      </c>
      <c r="OE144" s="2061" t="e">
        <f t="shared" si="180"/>
        <v>#DIV/0!</v>
      </c>
      <c r="OF144" s="2061" t="e">
        <f t="shared" si="180"/>
        <v>#DIV/0!</v>
      </c>
      <c r="OG144" s="2061">
        <f t="shared" si="180"/>
        <v>0</v>
      </c>
      <c r="OH144" s="2061">
        <f t="shared" si="180"/>
        <v>0</v>
      </c>
      <c r="OI144" s="2061">
        <f t="shared" si="180"/>
        <v>0</v>
      </c>
      <c r="OJ144" s="2061">
        <f t="shared" si="180"/>
        <v>0</v>
      </c>
      <c r="OK144" s="2061">
        <f t="shared" si="180"/>
        <v>0</v>
      </c>
      <c r="OL144" s="2061">
        <f t="shared" si="180"/>
        <v>0</v>
      </c>
      <c r="OM144" s="2061">
        <f t="shared" si="180"/>
        <v>0</v>
      </c>
      <c r="ON144" s="2061">
        <f t="shared" si="180"/>
        <v>0</v>
      </c>
      <c r="OO144" s="2061">
        <f t="shared" si="180"/>
        <v>0</v>
      </c>
      <c r="OP144" s="2061">
        <f t="shared" si="180"/>
        <v>0</v>
      </c>
      <c r="OQ144" s="2061">
        <f t="shared" si="180"/>
        <v>0</v>
      </c>
      <c r="OR144" s="2061">
        <f t="shared" si="180"/>
        <v>0</v>
      </c>
      <c r="OS144" s="2061">
        <f t="shared" si="180"/>
        <v>0</v>
      </c>
      <c r="OT144" s="2061">
        <f t="shared" si="180"/>
        <v>0</v>
      </c>
      <c r="OU144" s="2061">
        <f t="shared" si="180"/>
        <v>0</v>
      </c>
      <c r="OV144" s="2061">
        <f t="shared" si="180"/>
        <v>0</v>
      </c>
      <c r="OW144" s="2061">
        <f t="shared" si="180"/>
        <v>0</v>
      </c>
      <c r="OX144" s="2061">
        <f t="shared" si="180"/>
        <v>0</v>
      </c>
      <c r="OY144" s="2061">
        <f t="shared" si="180"/>
        <v>0</v>
      </c>
      <c r="OZ144" s="2061">
        <f t="shared" si="180"/>
        <v>0</v>
      </c>
      <c r="PA144" s="2061">
        <f t="shared" si="180"/>
        <v>0</v>
      </c>
      <c r="PB144" s="2061">
        <f t="shared" si="180"/>
        <v>0</v>
      </c>
      <c r="PC144" s="2061">
        <f t="shared" si="180"/>
        <v>0</v>
      </c>
      <c r="PD144" s="2061">
        <f t="shared" si="180"/>
        <v>0</v>
      </c>
      <c r="PE144" s="2061">
        <f t="shared" si="180"/>
        <v>0</v>
      </c>
      <c r="PF144" s="2061">
        <f t="shared" si="180"/>
        <v>0</v>
      </c>
      <c r="PG144" s="2061">
        <f t="shared" si="180"/>
        <v>0</v>
      </c>
      <c r="PH144" s="2061">
        <f t="shared" si="180"/>
        <v>0</v>
      </c>
      <c r="PI144" s="2061">
        <f t="shared" si="180"/>
        <v>0</v>
      </c>
      <c r="PJ144" s="2061">
        <f t="shared" si="180"/>
        <v>0</v>
      </c>
      <c r="PK144" s="2061">
        <f t="shared" si="180"/>
        <v>0</v>
      </c>
      <c r="PL144" s="2061">
        <f t="shared" si="180"/>
        <v>0</v>
      </c>
      <c r="PM144" s="2061">
        <f t="shared" si="180"/>
        <v>0</v>
      </c>
      <c r="PN144" s="2061">
        <f t="shared" si="180"/>
        <v>0</v>
      </c>
      <c r="PO144" s="2061">
        <f t="shared" si="180"/>
        <v>0</v>
      </c>
      <c r="PP144" s="2061">
        <f t="shared" si="180"/>
        <v>0</v>
      </c>
      <c r="PQ144" s="2061">
        <f t="shared" si="180"/>
        <v>0</v>
      </c>
      <c r="PR144" s="2061">
        <f t="shared" si="180"/>
        <v>0</v>
      </c>
      <c r="PS144" s="2061">
        <f t="shared" si="180"/>
        <v>0</v>
      </c>
      <c r="PT144" s="2061">
        <f t="shared" si="180"/>
        <v>0</v>
      </c>
      <c r="PU144" s="2061">
        <f t="shared" si="180"/>
        <v>0</v>
      </c>
      <c r="PV144" s="2061">
        <f t="shared" si="180"/>
        <v>0</v>
      </c>
      <c r="PW144" s="2061">
        <f t="shared" si="180"/>
        <v>0</v>
      </c>
      <c r="PX144" s="2061">
        <f t="shared" si="180"/>
        <v>0</v>
      </c>
      <c r="PY144" s="2061">
        <f t="shared" si="180"/>
        <v>0</v>
      </c>
      <c r="PZ144" s="2061">
        <f t="shared" si="180"/>
        <v>0</v>
      </c>
      <c r="QA144" s="2061">
        <f t="shared" si="180"/>
        <v>0</v>
      </c>
      <c r="QB144" s="2061">
        <f t="shared" si="180"/>
        <v>0</v>
      </c>
      <c r="QC144" s="2061">
        <f t="shared" si="180"/>
        <v>0</v>
      </c>
      <c r="QD144" s="2061">
        <f t="shared" si="180"/>
        <v>0</v>
      </c>
      <c r="QE144" s="2061">
        <f t="shared" si="180"/>
        <v>0</v>
      </c>
      <c r="QF144" s="2061">
        <f t="shared" si="180"/>
        <v>0</v>
      </c>
      <c r="QG144" s="2061">
        <f t="shared" si="180"/>
        <v>0</v>
      </c>
      <c r="QH144" s="2061">
        <f t="shared" si="180"/>
        <v>0</v>
      </c>
      <c r="QI144" s="2061">
        <f t="shared" si="180"/>
        <v>0</v>
      </c>
      <c r="QJ144" s="2061">
        <f t="shared" si="180"/>
        <v>0</v>
      </c>
      <c r="QK144" s="2061">
        <f t="shared" si="180"/>
        <v>0</v>
      </c>
      <c r="QL144" s="2061">
        <f t="shared" si="180"/>
        <v>0</v>
      </c>
      <c r="QM144" s="2061">
        <f t="shared" ref="QM144:SX144" si="181">SUM(QM135:QM143)</f>
        <v>0</v>
      </c>
      <c r="QN144" s="2061">
        <f t="shared" si="181"/>
        <v>0</v>
      </c>
      <c r="QO144" s="2061">
        <f t="shared" si="181"/>
        <v>0</v>
      </c>
      <c r="QP144" s="2061">
        <f t="shared" si="181"/>
        <v>0</v>
      </c>
      <c r="QQ144" s="2061">
        <f t="shared" si="181"/>
        <v>0</v>
      </c>
      <c r="QR144" s="2061">
        <f t="shared" si="181"/>
        <v>0</v>
      </c>
      <c r="QS144" s="2061">
        <f t="shared" si="181"/>
        <v>0</v>
      </c>
      <c r="QT144" s="2061">
        <f t="shared" si="181"/>
        <v>0</v>
      </c>
      <c r="QU144" s="2061">
        <f t="shared" si="181"/>
        <v>0</v>
      </c>
      <c r="QV144" s="2061">
        <f t="shared" si="181"/>
        <v>0</v>
      </c>
      <c r="QW144" s="2061">
        <f t="shared" si="181"/>
        <v>0</v>
      </c>
      <c r="QX144" s="2061">
        <f t="shared" si="181"/>
        <v>0</v>
      </c>
      <c r="QY144" s="2061">
        <f t="shared" si="181"/>
        <v>0</v>
      </c>
      <c r="QZ144" s="2061">
        <f t="shared" si="181"/>
        <v>0</v>
      </c>
      <c r="RA144" s="2061">
        <f t="shared" si="181"/>
        <v>0</v>
      </c>
      <c r="RB144" s="2061">
        <f t="shared" si="181"/>
        <v>0</v>
      </c>
      <c r="RC144" s="2061">
        <f t="shared" si="181"/>
        <v>0</v>
      </c>
      <c r="RD144" s="2061">
        <f t="shared" si="181"/>
        <v>0</v>
      </c>
      <c r="RE144" s="2061">
        <f t="shared" si="181"/>
        <v>0</v>
      </c>
      <c r="RF144" s="2061">
        <f t="shared" si="181"/>
        <v>0</v>
      </c>
      <c r="RG144" s="2061">
        <f t="shared" si="181"/>
        <v>0</v>
      </c>
      <c r="RH144" s="2061">
        <f t="shared" si="181"/>
        <v>0</v>
      </c>
      <c r="RI144" s="2061">
        <f t="shared" si="181"/>
        <v>0</v>
      </c>
      <c r="RJ144" s="2061">
        <f t="shared" si="181"/>
        <v>0</v>
      </c>
      <c r="RK144" s="2061">
        <f t="shared" si="181"/>
        <v>0</v>
      </c>
      <c r="RL144" s="2061">
        <f t="shared" si="181"/>
        <v>0</v>
      </c>
      <c r="RM144" s="2061">
        <f t="shared" si="181"/>
        <v>0</v>
      </c>
      <c r="RN144" s="2061" t="e">
        <f t="shared" si="181"/>
        <v>#DIV/0!</v>
      </c>
      <c r="RO144" s="2061" t="e">
        <f t="shared" si="181"/>
        <v>#DIV/0!</v>
      </c>
      <c r="RP144" s="2061" t="e">
        <f t="shared" si="181"/>
        <v>#DIV/0!</v>
      </c>
      <c r="RQ144" s="2061" t="e">
        <f t="shared" si="181"/>
        <v>#DIV/0!</v>
      </c>
      <c r="RR144" s="2061" t="e">
        <f t="shared" si="181"/>
        <v>#DIV/0!</v>
      </c>
      <c r="RS144" s="2061" t="e">
        <f t="shared" si="181"/>
        <v>#DIV/0!</v>
      </c>
      <c r="RT144" s="2061" t="e">
        <f t="shared" si="181"/>
        <v>#DIV/0!</v>
      </c>
      <c r="RU144" s="2061" t="e">
        <f t="shared" si="181"/>
        <v>#DIV/0!</v>
      </c>
      <c r="RV144" s="2061" t="e">
        <f t="shared" si="181"/>
        <v>#DIV/0!</v>
      </c>
      <c r="RW144" s="2061" t="e">
        <f t="shared" si="181"/>
        <v>#DIV/0!</v>
      </c>
      <c r="RX144" s="2061" t="e">
        <f t="shared" si="181"/>
        <v>#DIV/0!</v>
      </c>
      <c r="RY144" s="2061" t="e">
        <f t="shared" si="181"/>
        <v>#DIV/0!</v>
      </c>
      <c r="RZ144" s="2061" t="e">
        <f t="shared" si="181"/>
        <v>#DIV/0!</v>
      </c>
      <c r="SA144" s="2061" t="e">
        <f t="shared" si="181"/>
        <v>#DIV/0!</v>
      </c>
      <c r="SB144" s="2061" t="e">
        <f t="shared" si="181"/>
        <v>#DIV/0!</v>
      </c>
      <c r="SC144" s="2061" t="e">
        <f t="shared" si="181"/>
        <v>#DIV/0!</v>
      </c>
      <c r="SD144" s="2061" t="e">
        <f t="shared" si="181"/>
        <v>#DIV/0!</v>
      </c>
      <c r="SE144" s="2061">
        <f t="shared" si="181"/>
        <v>0</v>
      </c>
      <c r="SF144" s="2061">
        <f t="shared" si="181"/>
        <v>0</v>
      </c>
      <c r="SG144" s="2061">
        <f t="shared" si="181"/>
        <v>0</v>
      </c>
      <c r="SH144" s="2061">
        <f t="shared" si="181"/>
        <v>0</v>
      </c>
      <c r="SI144" s="2061">
        <f t="shared" si="181"/>
        <v>0</v>
      </c>
      <c r="SJ144" s="2061">
        <f t="shared" si="181"/>
        <v>0</v>
      </c>
      <c r="SK144" s="2061">
        <f t="shared" si="181"/>
        <v>0</v>
      </c>
      <c r="SL144" s="2061">
        <f t="shared" si="181"/>
        <v>0</v>
      </c>
      <c r="SM144" s="2061">
        <f t="shared" si="181"/>
        <v>0</v>
      </c>
      <c r="SN144" s="2061">
        <f t="shared" si="181"/>
        <v>0</v>
      </c>
      <c r="SO144" s="2061">
        <f t="shared" si="181"/>
        <v>0</v>
      </c>
      <c r="SP144" s="2061">
        <f t="shared" si="181"/>
        <v>0</v>
      </c>
      <c r="SQ144" s="2061">
        <f t="shared" si="181"/>
        <v>0</v>
      </c>
      <c r="SR144" s="2061">
        <f t="shared" si="181"/>
        <v>0</v>
      </c>
      <c r="SS144" s="2061">
        <f t="shared" si="181"/>
        <v>0</v>
      </c>
      <c r="ST144" s="2061">
        <f t="shared" si="181"/>
        <v>0</v>
      </c>
      <c r="SU144" s="2061">
        <f t="shared" si="181"/>
        <v>0</v>
      </c>
      <c r="SV144" s="2061">
        <f t="shared" si="181"/>
        <v>0</v>
      </c>
      <c r="SW144" s="2061">
        <f t="shared" si="181"/>
        <v>0</v>
      </c>
      <c r="SX144" s="2061">
        <f t="shared" si="181"/>
        <v>0</v>
      </c>
      <c r="SY144" s="2061">
        <f t="shared" ref="SY144:VJ144" si="182">SUM(SY135:SY143)</f>
        <v>0</v>
      </c>
      <c r="SZ144" s="2061">
        <f t="shared" si="182"/>
        <v>0</v>
      </c>
      <c r="TA144" s="2061">
        <f t="shared" si="182"/>
        <v>0</v>
      </c>
      <c r="TB144" s="2061">
        <f t="shared" si="182"/>
        <v>0</v>
      </c>
      <c r="TC144" s="2061">
        <f t="shared" si="182"/>
        <v>0</v>
      </c>
      <c r="TD144" s="2061">
        <f t="shared" si="182"/>
        <v>0</v>
      </c>
      <c r="TE144" s="2061">
        <f t="shared" si="182"/>
        <v>0</v>
      </c>
      <c r="TF144" s="2061">
        <f t="shared" si="182"/>
        <v>0</v>
      </c>
      <c r="TG144" s="2061">
        <f t="shared" si="182"/>
        <v>0</v>
      </c>
      <c r="TH144" s="2061">
        <f t="shared" si="182"/>
        <v>0</v>
      </c>
      <c r="TI144" s="2061">
        <f t="shared" si="182"/>
        <v>0</v>
      </c>
      <c r="TJ144" s="2061">
        <f t="shared" si="182"/>
        <v>0</v>
      </c>
      <c r="TK144" s="2061">
        <f t="shared" si="182"/>
        <v>0</v>
      </c>
      <c r="TL144" s="2061">
        <f t="shared" si="182"/>
        <v>0</v>
      </c>
      <c r="TM144" s="2061">
        <f t="shared" si="182"/>
        <v>0</v>
      </c>
      <c r="TN144" s="2061">
        <f t="shared" si="182"/>
        <v>0</v>
      </c>
      <c r="TO144" s="2061">
        <f t="shared" si="182"/>
        <v>0</v>
      </c>
      <c r="TP144" s="2061">
        <f t="shared" si="182"/>
        <v>0</v>
      </c>
      <c r="TQ144" s="2061">
        <f t="shared" si="182"/>
        <v>0</v>
      </c>
      <c r="TR144" s="2061">
        <f t="shared" si="182"/>
        <v>0</v>
      </c>
      <c r="TS144" s="2061">
        <f t="shared" si="182"/>
        <v>0</v>
      </c>
      <c r="TT144" s="2061">
        <f t="shared" si="182"/>
        <v>0</v>
      </c>
      <c r="TU144" s="2061">
        <f t="shared" si="182"/>
        <v>0</v>
      </c>
      <c r="TV144" s="2061">
        <f t="shared" si="182"/>
        <v>0</v>
      </c>
      <c r="TW144" s="2061">
        <f t="shared" si="182"/>
        <v>0</v>
      </c>
      <c r="TX144" s="2061">
        <f t="shared" si="182"/>
        <v>0</v>
      </c>
      <c r="TY144" s="2061">
        <f t="shared" si="182"/>
        <v>0</v>
      </c>
      <c r="TZ144" s="2061">
        <f t="shared" si="182"/>
        <v>0</v>
      </c>
      <c r="UA144" s="2061">
        <f t="shared" si="182"/>
        <v>0</v>
      </c>
      <c r="UB144" s="2061">
        <f t="shared" si="182"/>
        <v>0</v>
      </c>
      <c r="UC144" s="2061">
        <f t="shared" si="182"/>
        <v>0</v>
      </c>
      <c r="UD144" s="2061" t="e">
        <f t="shared" si="182"/>
        <v>#DIV/0!</v>
      </c>
      <c r="UE144" s="2061" t="e">
        <f t="shared" si="182"/>
        <v>#DIV/0!</v>
      </c>
      <c r="UF144" s="2061" t="e">
        <f t="shared" si="182"/>
        <v>#DIV/0!</v>
      </c>
      <c r="UG144" s="2061" t="e">
        <f t="shared" si="182"/>
        <v>#DIV/0!</v>
      </c>
      <c r="UH144" s="2061" t="e">
        <f t="shared" si="182"/>
        <v>#DIV/0!</v>
      </c>
      <c r="UI144" s="2061" t="e">
        <f t="shared" si="182"/>
        <v>#DIV/0!</v>
      </c>
      <c r="UJ144" s="2061" t="e">
        <f t="shared" si="182"/>
        <v>#DIV/0!</v>
      </c>
      <c r="UK144" s="2061" t="e">
        <f t="shared" si="182"/>
        <v>#DIV/0!</v>
      </c>
      <c r="UL144" s="2061" t="e">
        <f t="shared" si="182"/>
        <v>#DIV/0!</v>
      </c>
      <c r="UM144" s="2061" t="e">
        <f t="shared" si="182"/>
        <v>#DIV/0!</v>
      </c>
      <c r="UN144" s="2061" t="e">
        <f t="shared" si="182"/>
        <v>#DIV/0!</v>
      </c>
      <c r="UO144" s="2061" t="e">
        <f t="shared" si="182"/>
        <v>#DIV/0!</v>
      </c>
      <c r="UP144" s="2061" t="e">
        <f t="shared" si="182"/>
        <v>#DIV/0!</v>
      </c>
      <c r="UQ144" s="2061" t="e">
        <f t="shared" si="182"/>
        <v>#DIV/0!</v>
      </c>
      <c r="UR144" s="2061" t="e">
        <f t="shared" si="182"/>
        <v>#DIV/0!</v>
      </c>
      <c r="US144" s="2061" t="e">
        <f t="shared" si="182"/>
        <v>#DIV/0!</v>
      </c>
      <c r="UT144" s="2061" t="e">
        <f t="shared" si="182"/>
        <v>#DIV/0!</v>
      </c>
      <c r="UU144" s="2061">
        <f t="shared" si="182"/>
        <v>0</v>
      </c>
      <c r="UV144" s="2061">
        <f t="shared" si="182"/>
        <v>0</v>
      </c>
      <c r="UW144" s="2061">
        <f t="shared" si="182"/>
        <v>0</v>
      </c>
      <c r="UX144" s="2061">
        <f t="shared" si="182"/>
        <v>0</v>
      </c>
      <c r="UY144" s="2061">
        <f t="shared" si="182"/>
        <v>0</v>
      </c>
      <c r="UZ144" s="2061">
        <f t="shared" si="182"/>
        <v>0</v>
      </c>
      <c r="VA144" s="2061">
        <f t="shared" si="182"/>
        <v>0</v>
      </c>
      <c r="VB144" s="2061">
        <f t="shared" si="182"/>
        <v>0</v>
      </c>
      <c r="VC144" s="2061">
        <f t="shared" si="182"/>
        <v>0</v>
      </c>
      <c r="VD144" s="2061">
        <f t="shared" si="182"/>
        <v>0</v>
      </c>
      <c r="VE144" s="2061">
        <f t="shared" si="182"/>
        <v>0</v>
      </c>
      <c r="VF144" s="2061">
        <f t="shared" si="182"/>
        <v>0</v>
      </c>
      <c r="VG144" s="2061">
        <f t="shared" si="182"/>
        <v>0</v>
      </c>
      <c r="VH144" s="2061">
        <f t="shared" si="182"/>
        <v>0</v>
      </c>
      <c r="VI144" s="2061">
        <f t="shared" si="182"/>
        <v>0</v>
      </c>
      <c r="VJ144" s="2061">
        <f t="shared" si="182"/>
        <v>0</v>
      </c>
      <c r="VK144" s="2061">
        <f>SUM(VK135:VK143)</f>
        <v>0</v>
      </c>
    </row>
    <row r="145" spans="1:583" s="1296" customFormat="1" x14ac:dyDescent="0.25">
      <c r="B145" s="2080" t="s">
        <v>1351</v>
      </c>
      <c r="C145" s="2081" t="s">
        <v>2948</v>
      </c>
      <c r="D145" s="2081" t="s">
        <v>1351</v>
      </c>
      <c r="E145" s="2081" t="s">
        <v>2948</v>
      </c>
      <c r="F145" s="2082">
        <f>24*365</f>
        <v>8760</v>
      </c>
      <c r="G145" s="2082">
        <f t="shared" ref="G145:BR145" si="183">24*365</f>
        <v>8760</v>
      </c>
      <c r="H145" s="2082">
        <f t="shared" si="183"/>
        <v>8760</v>
      </c>
      <c r="I145" s="2082">
        <f t="shared" si="183"/>
        <v>8760</v>
      </c>
      <c r="J145" s="2082">
        <f t="shared" si="183"/>
        <v>8760</v>
      </c>
      <c r="K145" s="2082">
        <f t="shared" si="183"/>
        <v>8760</v>
      </c>
      <c r="L145" s="2082">
        <f t="shared" si="183"/>
        <v>8760</v>
      </c>
      <c r="M145" s="2082">
        <f t="shared" si="183"/>
        <v>8760</v>
      </c>
      <c r="N145" s="2082">
        <f t="shared" si="183"/>
        <v>8760</v>
      </c>
      <c r="O145" s="2082">
        <f t="shared" si="183"/>
        <v>8760</v>
      </c>
      <c r="P145" s="2082">
        <f t="shared" si="183"/>
        <v>8760</v>
      </c>
      <c r="Q145" s="2082">
        <f t="shared" si="183"/>
        <v>8760</v>
      </c>
      <c r="R145" s="2082">
        <f t="shared" si="183"/>
        <v>8760</v>
      </c>
      <c r="S145" s="2082">
        <f t="shared" si="183"/>
        <v>8760</v>
      </c>
      <c r="T145" s="2082">
        <f t="shared" si="183"/>
        <v>8760</v>
      </c>
      <c r="U145" s="2082">
        <f t="shared" si="183"/>
        <v>8760</v>
      </c>
      <c r="V145" s="2082">
        <f t="shared" si="183"/>
        <v>8760</v>
      </c>
      <c r="W145" s="2082">
        <f t="shared" si="183"/>
        <v>8760</v>
      </c>
      <c r="X145" s="2082">
        <f t="shared" si="183"/>
        <v>8760</v>
      </c>
      <c r="Y145" s="2082">
        <f t="shared" si="183"/>
        <v>8760</v>
      </c>
      <c r="Z145" s="2082">
        <f t="shared" si="183"/>
        <v>8760</v>
      </c>
      <c r="AA145" s="2082">
        <f t="shared" si="183"/>
        <v>8760</v>
      </c>
      <c r="AB145" s="2082">
        <f t="shared" si="183"/>
        <v>8760</v>
      </c>
      <c r="AC145" s="2082">
        <f t="shared" si="183"/>
        <v>8760</v>
      </c>
      <c r="AD145" s="2082">
        <f t="shared" si="183"/>
        <v>8760</v>
      </c>
      <c r="AE145" s="2082">
        <f t="shared" si="183"/>
        <v>8760</v>
      </c>
      <c r="AF145" s="2082">
        <f t="shared" si="183"/>
        <v>8760</v>
      </c>
      <c r="AG145" s="2082">
        <f t="shared" si="183"/>
        <v>8760</v>
      </c>
      <c r="AH145" s="2082">
        <f t="shared" si="183"/>
        <v>8760</v>
      </c>
      <c r="AI145" s="2082">
        <f t="shared" si="183"/>
        <v>8760</v>
      </c>
      <c r="AJ145" s="2082">
        <f t="shared" si="183"/>
        <v>8760</v>
      </c>
      <c r="AK145" s="2082">
        <f t="shared" si="183"/>
        <v>8760</v>
      </c>
      <c r="AL145" s="2082">
        <f t="shared" si="183"/>
        <v>8760</v>
      </c>
      <c r="AM145" s="2082">
        <f t="shared" si="183"/>
        <v>8760</v>
      </c>
      <c r="AN145" s="2082">
        <f t="shared" si="183"/>
        <v>8760</v>
      </c>
      <c r="AO145" s="2082">
        <f t="shared" si="183"/>
        <v>8760</v>
      </c>
      <c r="AP145" s="2082">
        <f t="shared" si="183"/>
        <v>8760</v>
      </c>
      <c r="AQ145" s="2082">
        <f t="shared" si="183"/>
        <v>8760</v>
      </c>
      <c r="AR145" s="2082">
        <f t="shared" si="183"/>
        <v>8760</v>
      </c>
      <c r="AS145" s="2082">
        <f t="shared" si="183"/>
        <v>8760</v>
      </c>
      <c r="AT145" s="2082">
        <f t="shared" si="183"/>
        <v>8760</v>
      </c>
      <c r="AU145" s="2082">
        <f t="shared" si="183"/>
        <v>8760</v>
      </c>
      <c r="AV145" s="2082">
        <f t="shared" si="183"/>
        <v>8760</v>
      </c>
      <c r="AW145" s="2082">
        <f t="shared" si="183"/>
        <v>8760</v>
      </c>
      <c r="AX145" s="2082">
        <f t="shared" si="183"/>
        <v>8760</v>
      </c>
      <c r="AY145" s="2082">
        <f t="shared" si="183"/>
        <v>8760</v>
      </c>
      <c r="AZ145" s="2082">
        <f t="shared" si="183"/>
        <v>8760</v>
      </c>
      <c r="BA145" s="2082">
        <f t="shared" si="183"/>
        <v>8760</v>
      </c>
      <c r="BB145" s="2082">
        <f t="shared" si="183"/>
        <v>8760</v>
      </c>
      <c r="BC145" s="2082">
        <f t="shared" si="183"/>
        <v>8760</v>
      </c>
      <c r="BD145" s="2082">
        <f t="shared" si="183"/>
        <v>8760</v>
      </c>
      <c r="BE145" s="2082">
        <f t="shared" si="183"/>
        <v>8760</v>
      </c>
      <c r="BF145" s="2082">
        <f t="shared" si="183"/>
        <v>8760</v>
      </c>
      <c r="BG145" s="2082">
        <f t="shared" si="183"/>
        <v>8760</v>
      </c>
      <c r="BH145" s="2082">
        <f t="shared" si="183"/>
        <v>8760</v>
      </c>
      <c r="BI145" s="2082">
        <f t="shared" si="183"/>
        <v>8760</v>
      </c>
      <c r="BJ145" s="2082">
        <f t="shared" si="183"/>
        <v>8760</v>
      </c>
      <c r="BK145" s="2082">
        <f t="shared" si="183"/>
        <v>8760</v>
      </c>
      <c r="BL145" s="2082">
        <f t="shared" si="183"/>
        <v>8760</v>
      </c>
      <c r="BM145" s="2082">
        <f t="shared" si="183"/>
        <v>8760</v>
      </c>
      <c r="BN145" s="2082">
        <f t="shared" si="183"/>
        <v>8760</v>
      </c>
      <c r="BO145" s="2082">
        <f t="shared" si="183"/>
        <v>8760</v>
      </c>
      <c r="BP145" s="2082">
        <f t="shared" si="183"/>
        <v>8760</v>
      </c>
      <c r="BQ145" s="2082">
        <f t="shared" si="183"/>
        <v>8760</v>
      </c>
      <c r="BR145" s="2082">
        <f t="shared" si="183"/>
        <v>8760</v>
      </c>
      <c r="BS145" s="2082">
        <f t="shared" ref="BS145:ED145" si="184">24*365</f>
        <v>8760</v>
      </c>
      <c r="BT145" s="2082">
        <f t="shared" si="184"/>
        <v>8760</v>
      </c>
      <c r="BU145" s="2082">
        <f t="shared" si="184"/>
        <v>8760</v>
      </c>
      <c r="BV145" s="2082">
        <f t="shared" si="184"/>
        <v>8760</v>
      </c>
      <c r="BW145" s="2082">
        <f t="shared" si="184"/>
        <v>8760</v>
      </c>
      <c r="BX145" s="2082">
        <f t="shared" si="184"/>
        <v>8760</v>
      </c>
      <c r="BY145" s="2082">
        <f t="shared" si="184"/>
        <v>8760</v>
      </c>
      <c r="BZ145" s="2082">
        <f t="shared" si="184"/>
        <v>8760</v>
      </c>
      <c r="CA145" s="2082">
        <f t="shared" si="184"/>
        <v>8760</v>
      </c>
      <c r="CB145" s="2082">
        <f t="shared" si="184"/>
        <v>8760</v>
      </c>
      <c r="CC145" s="2082">
        <f t="shared" si="184"/>
        <v>8760</v>
      </c>
      <c r="CD145" s="2082">
        <f t="shared" si="184"/>
        <v>8760</v>
      </c>
      <c r="CE145" s="2082">
        <f t="shared" si="184"/>
        <v>8760</v>
      </c>
      <c r="CF145" s="2082">
        <f t="shared" si="184"/>
        <v>8760</v>
      </c>
      <c r="CG145" s="2082">
        <f t="shared" si="184"/>
        <v>8760</v>
      </c>
      <c r="CH145" s="2082">
        <f t="shared" si="184"/>
        <v>8760</v>
      </c>
      <c r="CI145" s="2082">
        <f t="shared" si="184"/>
        <v>8760</v>
      </c>
      <c r="CJ145" s="2082">
        <f t="shared" si="184"/>
        <v>8760</v>
      </c>
      <c r="CK145" s="2082">
        <f t="shared" si="184"/>
        <v>8760</v>
      </c>
      <c r="CL145" s="2082">
        <f t="shared" si="184"/>
        <v>8760</v>
      </c>
      <c r="CM145" s="2082">
        <f t="shared" si="184"/>
        <v>8760</v>
      </c>
      <c r="CN145" s="2082">
        <f t="shared" si="184"/>
        <v>8760</v>
      </c>
      <c r="CO145" s="2082">
        <f t="shared" si="184"/>
        <v>8760</v>
      </c>
      <c r="CP145" s="2082">
        <f t="shared" si="184"/>
        <v>8760</v>
      </c>
      <c r="CQ145" s="2082">
        <f t="shared" si="184"/>
        <v>8760</v>
      </c>
      <c r="CR145" s="2082">
        <f t="shared" si="184"/>
        <v>8760</v>
      </c>
      <c r="CS145" s="2082">
        <f t="shared" si="184"/>
        <v>8760</v>
      </c>
      <c r="CT145" s="2082">
        <f t="shared" si="184"/>
        <v>8760</v>
      </c>
      <c r="CU145" s="2082">
        <f t="shared" si="184"/>
        <v>8760</v>
      </c>
      <c r="CV145" s="2082">
        <f t="shared" si="184"/>
        <v>8760</v>
      </c>
      <c r="CW145" s="2082">
        <f t="shared" si="184"/>
        <v>8760</v>
      </c>
      <c r="CX145" s="2082">
        <f t="shared" si="184"/>
        <v>8760</v>
      </c>
      <c r="CY145" s="2082">
        <f t="shared" si="184"/>
        <v>8760</v>
      </c>
      <c r="CZ145" s="2082">
        <f t="shared" si="184"/>
        <v>8760</v>
      </c>
      <c r="DA145" s="2082">
        <f t="shared" si="184"/>
        <v>8760</v>
      </c>
      <c r="DB145" s="2082">
        <f t="shared" si="184"/>
        <v>8760</v>
      </c>
      <c r="DC145" s="2082">
        <f t="shared" si="184"/>
        <v>8760</v>
      </c>
      <c r="DD145" s="2082">
        <f t="shared" si="184"/>
        <v>8760</v>
      </c>
      <c r="DE145" s="2082">
        <f t="shared" si="184"/>
        <v>8760</v>
      </c>
      <c r="DF145" s="2082">
        <f t="shared" si="184"/>
        <v>8760</v>
      </c>
      <c r="DG145" s="2082">
        <f t="shared" si="184"/>
        <v>8760</v>
      </c>
      <c r="DH145" s="2082">
        <f t="shared" si="184"/>
        <v>8760</v>
      </c>
      <c r="DI145" s="2082">
        <f t="shared" si="184"/>
        <v>8760</v>
      </c>
      <c r="DJ145" s="2082">
        <f t="shared" si="184"/>
        <v>8760</v>
      </c>
      <c r="DK145" s="2082">
        <f t="shared" si="184"/>
        <v>8760</v>
      </c>
      <c r="DL145" s="2082">
        <f t="shared" si="184"/>
        <v>8760</v>
      </c>
      <c r="DM145" s="2082">
        <f t="shared" si="184"/>
        <v>8760</v>
      </c>
      <c r="DN145" s="2082">
        <f t="shared" si="184"/>
        <v>8760</v>
      </c>
      <c r="DO145" s="2082">
        <f t="shared" si="184"/>
        <v>8760</v>
      </c>
      <c r="DP145" s="2082">
        <f t="shared" si="184"/>
        <v>8760</v>
      </c>
      <c r="DQ145" s="2082">
        <f t="shared" si="184"/>
        <v>8760</v>
      </c>
      <c r="DR145" s="2082">
        <f t="shared" si="184"/>
        <v>8760</v>
      </c>
      <c r="DS145" s="2082">
        <f t="shared" si="184"/>
        <v>8760</v>
      </c>
      <c r="DT145" s="2082">
        <f t="shared" si="184"/>
        <v>8760</v>
      </c>
      <c r="DU145" s="2082">
        <f t="shared" si="184"/>
        <v>8760</v>
      </c>
      <c r="DV145" s="2082">
        <f t="shared" si="184"/>
        <v>8760</v>
      </c>
      <c r="DW145" s="2082">
        <f t="shared" si="184"/>
        <v>8760</v>
      </c>
      <c r="DX145" s="2082">
        <f t="shared" si="184"/>
        <v>8760</v>
      </c>
      <c r="DY145" s="2082">
        <f t="shared" si="184"/>
        <v>8760</v>
      </c>
      <c r="DZ145" s="2082">
        <f t="shared" si="184"/>
        <v>8760</v>
      </c>
      <c r="EA145" s="2082">
        <f t="shared" si="184"/>
        <v>8760</v>
      </c>
      <c r="EB145" s="2082">
        <f t="shared" si="184"/>
        <v>8760</v>
      </c>
      <c r="EC145" s="2082">
        <f t="shared" si="184"/>
        <v>8760</v>
      </c>
      <c r="ED145" s="2082">
        <f t="shared" si="184"/>
        <v>8760</v>
      </c>
      <c r="EE145" s="2082">
        <f t="shared" ref="EE145:GP145" si="185">24*365</f>
        <v>8760</v>
      </c>
      <c r="EF145" s="2082">
        <f t="shared" si="185"/>
        <v>8760</v>
      </c>
      <c r="EG145" s="2082">
        <f t="shared" si="185"/>
        <v>8760</v>
      </c>
      <c r="EH145" s="2082">
        <f t="shared" si="185"/>
        <v>8760</v>
      </c>
      <c r="EI145" s="2082">
        <f t="shared" si="185"/>
        <v>8760</v>
      </c>
      <c r="EJ145" s="2082">
        <f t="shared" si="185"/>
        <v>8760</v>
      </c>
      <c r="EK145" s="2082">
        <f t="shared" si="185"/>
        <v>8760</v>
      </c>
      <c r="EL145" s="2082">
        <f t="shared" si="185"/>
        <v>8760</v>
      </c>
      <c r="EM145" s="2082">
        <f t="shared" si="185"/>
        <v>8760</v>
      </c>
      <c r="EN145" s="2082">
        <f t="shared" si="185"/>
        <v>8760</v>
      </c>
      <c r="EO145" s="2082">
        <f t="shared" si="185"/>
        <v>8760</v>
      </c>
      <c r="EP145" s="2082">
        <f t="shared" si="185"/>
        <v>8760</v>
      </c>
      <c r="EQ145" s="2082">
        <f t="shared" si="185"/>
        <v>8760</v>
      </c>
      <c r="ER145" s="2082">
        <f t="shared" si="185"/>
        <v>8760</v>
      </c>
      <c r="ES145" s="2082">
        <f t="shared" si="185"/>
        <v>8760</v>
      </c>
      <c r="ET145" s="2082">
        <f t="shared" si="185"/>
        <v>8760</v>
      </c>
      <c r="EU145" s="2082">
        <f t="shared" si="185"/>
        <v>8760</v>
      </c>
      <c r="EV145" s="2082">
        <f t="shared" si="185"/>
        <v>8760</v>
      </c>
      <c r="EW145" s="2082">
        <f t="shared" si="185"/>
        <v>8760</v>
      </c>
      <c r="EX145" s="2082">
        <f t="shared" si="185"/>
        <v>8760</v>
      </c>
      <c r="EY145" s="2082">
        <f t="shared" si="185"/>
        <v>8760</v>
      </c>
      <c r="EZ145" s="2082">
        <f t="shared" si="185"/>
        <v>8760</v>
      </c>
      <c r="FA145" s="2082">
        <f t="shared" si="185"/>
        <v>8760</v>
      </c>
      <c r="FB145" s="2082">
        <f t="shared" si="185"/>
        <v>8760</v>
      </c>
      <c r="FC145" s="2082">
        <f t="shared" si="185"/>
        <v>8760</v>
      </c>
      <c r="FD145" s="2082">
        <f t="shared" si="185"/>
        <v>8760</v>
      </c>
      <c r="FE145" s="2082">
        <f t="shared" si="185"/>
        <v>8760</v>
      </c>
      <c r="FF145" s="2082">
        <f t="shared" si="185"/>
        <v>8760</v>
      </c>
      <c r="FG145" s="2082">
        <f t="shared" si="185"/>
        <v>8760</v>
      </c>
      <c r="FH145" s="2082">
        <f t="shared" si="185"/>
        <v>8760</v>
      </c>
      <c r="FI145" s="2082">
        <f t="shared" si="185"/>
        <v>8760</v>
      </c>
      <c r="FJ145" s="2082">
        <f t="shared" si="185"/>
        <v>8760</v>
      </c>
      <c r="FK145" s="2082">
        <f t="shared" si="185"/>
        <v>8760</v>
      </c>
      <c r="FL145" s="2082">
        <f t="shared" si="185"/>
        <v>8760</v>
      </c>
      <c r="FM145" s="2082">
        <f t="shared" si="185"/>
        <v>8760</v>
      </c>
      <c r="FN145" s="2082">
        <f t="shared" si="185"/>
        <v>8760</v>
      </c>
      <c r="FO145" s="2082">
        <f t="shared" si="185"/>
        <v>8760</v>
      </c>
      <c r="FP145" s="2082">
        <f t="shared" si="185"/>
        <v>8760</v>
      </c>
      <c r="FQ145" s="2082">
        <f t="shared" si="185"/>
        <v>8760</v>
      </c>
      <c r="FR145" s="2082">
        <f t="shared" si="185"/>
        <v>8760</v>
      </c>
      <c r="FS145" s="2082">
        <f t="shared" si="185"/>
        <v>8760</v>
      </c>
      <c r="FT145" s="2082">
        <f t="shared" si="185"/>
        <v>8760</v>
      </c>
      <c r="FU145" s="2082">
        <f t="shared" si="185"/>
        <v>8760</v>
      </c>
      <c r="FV145" s="2082">
        <f t="shared" si="185"/>
        <v>8760</v>
      </c>
      <c r="FW145" s="2082">
        <f t="shared" si="185"/>
        <v>8760</v>
      </c>
      <c r="FX145" s="2082">
        <f t="shared" si="185"/>
        <v>8760</v>
      </c>
      <c r="FY145" s="2082">
        <f t="shared" si="185"/>
        <v>8760</v>
      </c>
      <c r="FZ145" s="2082">
        <f t="shared" si="185"/>
        <v>8760</v>
      </c>
      <c r="GA145" s="2082">
        <f t="shared" si="185"/>
        <v>8760</v>
      </c>
      <c r="GB145" s="2082">
        <f t="shared" si="185"/>
        <v>8760</v>
      </c>
      <c r="GC145" s="2082">
        <f t="shared" si="185"/>
        <v>8760</v>
      </c>
      <c r="GD145" s="2082">
        <f t="shared" si="185"/>
        <v>8760</v>
      </c>
      <c r="GE145" s="2082">
        <f t="shared" si="185"/>
        <v>8760</v>
      </c>
      <c r="GF145" s="2082">
        <f t="shared" si="185"/>
        <v>8760</v>
      </c>
      <c r="GG145" s="2082">
        <f t="shared" si="185"/>
        <v>8760</v>
      </c>
      <c r="GH145" s="2082">
        <f t="shared" si="185"/>
        <v>8760</v>
      </c>
      <c r="GI145" s="2082">
        <f t="shared" si="185"/>
        <v>8760</v>
      </c>
      <c r="GJ145" s="2082">
        <f t="shared" si="185"/>
        <v>8760</v>
      </c>
      <c r="GK145" s="2082">
        <f t="shared" si="185"/>
        <v>8760</v>
      </c>
      <c r="GL145" s="2082">
        <f t="shared" si="185"/>
        <v>8760</v>
      </c>
      <c r="GM145" s="2082">
        <f t="shared" si="185"/>
        <v>8760</v>
      </c>
      <c r="GN145" s="2082">
        <f t="shared" si="185"/>
        <v>8760</v>
      </c>
      <c r="GO145" s="2082">
        <f t="shared" si="185"/>
        <v>8760</v>
      </c>
      <c r="GP145" s="2082">
        <f t="shared" si="185"/>
        <v>8760</v>
      </c>
      <c r="GQ145" s="2082">
        <f t="shared" ref="GQ145:JB145" si="186">24*365</f>
        <v>8760</v>
      </c>
      <c r="GR145" s="2082">
        <f t="shared" si="186"/>
        <v>8760</v>
      </c>
      <c r="GS145" s="2082">
        <f t="shared" si="186"/>
        <v>8760</v>
      </c>
      <c r="GT145" s="2082">
        <f t="shared" si="186"/>
        <v>8760</v>
      </c>
      <c r="GU145" s="2082">
        <f t="shared" si="186"/>
        <v>8760</v>
      </c>
      <c r="GV145" s="2082">
        <f t="shared" si="186"/>
        <v>8760</v>
      </c>
      <c r="GW145" s="2082">
        <f t="shared" si="186"/>
        <v>8760</v>
      </c>
      <c r="GX145" s="2082">
        <f t="shared" si="186"/>
        <v>8760</v>
      </c>
      <c r="GY145" s="2082">
        <f t="shared" si="186"/>
        <v>8760</v>
      </c>
      <c r="GZ145" s="2082">
        <f t="shared" si="186"/>
        <v>8760</v>
      </c>
      <c r="HA145" s="2082">
        <f t="shared" si="186"/>
        <v>8760</v>
      </c>
      <c r="HB145" s="2082">
        <f t="shared" si="186"/>
        <v>8760</v>
      </c>
      <c r="HC145" s="2082">
        <f t="shared" si="186"/>
        <v>8760</v>
      </c>
      <c r="HD145" s="2082">
        <f t="shared" si="186"/>
        <v>8760</v>
      </c>
      <c r="HE145" s="2082">
        <f t="shared" si="186"/>
        <v>8760</v>
      </c>
      <c r="HF145" s="2082">
        <f t="shared" si="186"/>
        <v>8760</v>
      </c>
      <c r="HG145" s="2082">
        <f t="shared" si="186"/>
        <v>8760</v>
      </c>
      <c r="HH145" s="2082">
        <f t="shared" si="186"/>
        <v>8760</v>
      </c>
      <c r="HI145" s="2082">
        <f t="shared" si="186"/>
        <v>8760</v>
      </c>
      <c r="HJ145" s="2082">
        <f t="shared" si="186"/>
        <v>8760</v>
      </c>
      <c r="HK145" s="2082">
        <f t="shared" si="186"/>
        <v>8760</v>
      </c>
      <c r="HL145" s="2082">
        <f t="shared" si="186"/>
        <v>8760</v>
      </c>
      <c r="HM145" s="2082">
        <f t="shared" si="186"/>
        <v>8760</v>
      </c>
      <c r="HN145" s="2082">
        <f t="shared" si="186"/>
        <v>8760</v>
      </c>
      <c r="HO145" s="2082">
        <f t="shared" si="186"/>
        <v>8760</v>
      </c>
      <c r="HP145" s="2082">
        <f t="shared" si="186"/>
        <v>8760</v>
      </c>
      <c r="HQ145" s="2082">
        <f t="shared" si="186"/>
        <v>8760</v>
      </c>
      <c r="HR145" s="2082">
        <f t="shared" si="186"/>
        <v>8760</v>
      </c>
      <c r="HS145" s="2082">
        <f t="shared" si="186"/>
        <v>8760</v>
      </c>
      <c r="HT145" s="2082">
        <f t="shared" si="186"/>
        <v>8760</v>
      </c>
      <c r="HU145" s="2082">
        <f t="shared" si="186"/>
        <v>8760</v>
      </c>
      <c r="HV145" s="2082">
        <f t="shared" si="186"/>
        <v>8760</v>
      </c>
      <c r="HW145" s="2082">
        <f t="shared" si="186"/>
        <v>8760</v>
      </c>
      <c r="HX145" s="2082">
        <f t="shared" si="186"/>
        <v>8760</v>
      </c>
      <c r="HY145" s="2082">
        <f t="shared" si="186"/>
        <v>8760</v>
      </c>
      <c r="HZ145" s="2082">
        <f t="shared" si="186"/>
        <v>8760</v>
      </c>
      <c r="IA145" s="2082">
        <f t="shared" si="186"/>
        <v>8760</v>
      </c>
      <c r="IB145" s="2082">
        <f t="shared" si="186"/>
        <v>8760</v>
      </c>
      <c r="IC145" s="2082">
        <f t="shared" si="186"/>
        <v>8760</v>
      </c>
      <c r="ID145" s="2082">
        <f t="shared" si="186"/>
        <v>8760</v>
      </c>
      <c r="IE145" s="2082">
        <f t="shared" si="186"/>
        <v>8760</v>
      </c>
      <c r="IF145" s="2082">
        <f t="shared" si="186"/>
        <v>8760</v>
      </c>
      <c r="IG145" s="2082">
        <f t="shared" si="186"/>
        <v>8760</v>
      </c>
      <c r="IH145" s="2082">
        <f t="shared" si="186"/>
        <v>8760</v>
      </c>
      <c r="II145" s="2082">
        <f t="shared" si="186"/>
        <v>8760</v>
      </c>
      <c r="IJ145" s="2082">
        <f t="shared" si="186"/>
        <v>8760</v>
      </c>
      <c r="IK145" s="2082">
        <f t="shared" si="186"/>
        <v>8760</v>
      </c>
      <c r="IL145" s="2082">
        <f t="shared" si="186"/>
        <v>8760</v>
      </c>
      <c r="IM145" s="2082">
        <f t="shared" si="186"/>
        <v>8760</v>
      </c>
      <c r="IN145" s="2082">
        <f t="shared" si="186"/>
        <v>8760</v>
      </c>
      <c r="IO145" s="2082">
        <f t="shared" si="186"/>
        <v>8760</v>
      </c>
      <c r="IP145" s="2082">
        <f t="shared" si="186"/>
        <v>8760</v>
      </c>
      <c r="IQ145" s="2082">
        <f t="shared" si="186"/>
        <v>8760</v>
      </c>
      <c r="IR145" s="2082">
        <f t="shared" si="186"/>
        <v>8760</v>
      </c>
      <c r="IS145" s="2082">
        <f t="shared" si="186"/>
        <v>8760</v>
      </c>
      <c r="IT145" s="2082">
        <f t="shared" si="186"/>
        <v>8760</v>
      </c>
      <c r="IU145" s="2082">
        <f t="shared" si="186"/>
        <v>8760</v>
      </c>
      <c r="IV145" s="2082">
        <f t="shared" si="186"/>
        <v>8760</v>
      </c>
      <c r="IW145" s="2082">
        <f t="shared" si="186"/>
        <v>8760</v>
      </c>
      <c r="IX145" s="2082">
        <f t="shared" si="186"/>
        <v>8760</v>
      </c>
      <c r="IY145" s="2082">
        <f t="shared" si="186"/>
        <v>8760</v>
      </c>
      <c r="IZ145" s="2082">
        <f t="shared" si="186"/>
        <v>8760</v>
      </c>
      <c r="JA145" s="2082">
        <f t="shared" si="186"/>
        <v>8760</v>
      </c>
      <c r="JB145" s="2082">
        <f t="shared" si="186"/>
        <v>8760</v>
      </c>
      <c r="JC145" s="2082">
        <f t="shared" ref="JC145:LN145" si="187">24*365</f>
        <v>8760</v>
      </c>
      <c r="JD145" s="2082">
        <f t="shared" si="187"/>
        <v>8760</v>
      </c>
      <c r="JE145" s="2082">
        <f t="shared" si="187"/>
        <v>8760</v>
      </c>
      <c r="JF145" s="2082">
        <f t="shared" si="187"/>
        <v>8760</v>
      </c>
      <c r="JG145" s="2082">
        <f t="shared" si="187"/>
        <v>8760</v>
      </c>
      <c r="JH145" s="2082">
        <f t="shared" si="187"/>
        <v>8760</v>
      </c>
      <c r="JI145" s="2082">
        <f t="shared" si="187"/>
        <v>8760</v>
      </c>
      <c r="JJ145" s="2082">
        <f t="shared" si="187"/>
        <v>8760</v>
      </c>
      <c r="JK145" s="2082">
        <f t="shared" si="187"/>
        <v>8760</v>
      </c>
      <c r="JL145" s="2082">
        <f t="shared" si="187"/>
        <v>8760</v>
      </c>
      <c r="JM145" s="2082">
        <f t="shared" si="187"/>
        <v>8760</v>
      </c>
      <c r="JN145" s="2082">
        <f t="shared" si="187"/>
        <v>8760</v>
      </c>
      <c r="JO145" s="2082">
        <f t="shared" si="187"/>
        <v>8760</v>
      </c>
      <c r="JP145" s="2082">
        <f t="shared" si="187"/>
        <v>8760</v>
      </c>
      <c r="JQ145" s="2082">
        <f t="shared" si="187"/>
        <v>8760</v>
      </c>
      <c r="JR145" s="2082">
        <f t="shared" si="187"/>
        <v>8760</v>
      </c>
      <c r="JS145" s="2082">
        <f t="shared" si="187"/>
        <v>8760</v>
      </c>
      <c r="JT145" s="2082">
        <f t="shared" si="187"/>
        <v>8760</v>
      </c>
      <c r="JU145" s="2082">
        <f t="shared" si="187"/>
        <v>8760</v>
      </c>
      <c r="JV145" s="2082">
        <f t="shared" si="187"/>
        <v>8760</v>
      </c>
      <c r="JW145" s="2082">
        <f t="shared" si="187"/>
        <v>8760</v>
      </c>
      <c r="JX145" s="2082">
        <f t="shared" si="187"/>
        <v>8760</v>
      </c>
      <c r="JY145" s="2082">
        <f t="shared" si="187"/>
        <v>8760</v>
      </c>
      <c r="JZ145" s="2082">
        <f t="shared" si="187"/>
        <v>8760</v>
      </c>
      <c r="KA145" s="2082">
        <f t="shared" si="187"/>
        <v>8760</v>
      </c>
      <c r="KB145" s="2082">
        <f t="shared" si="187"/>
        <v>8760</v>
      </c>
      <c r="KC145" s="2082">
        <f t="shared" si="187"/>
        <v>8760</v>
      </c>
      <c r="KD145" s="2082">
        <f t="shared" si="187"/>
        <v>8760</v>
      </c>
      <c r="KE145" s="2082">
        <f t="shared" si="187"/>
        <v>8760</v>
      </c>
      <c r="KF145" s="2082">
        <f t="shared" si="187"/>
        <v>8760</v>
      </c>
      <c r="KG145" s="2082">
        <f t="shared" si="187"/>
        <v>8760</v>
      </c>
      <c r="KH145" s="2082">
        <f t="shared" si="187"/>
        <v>8760</v>
      </c>
      <c r="KI145" s="2082">
        <f t="shared" si="187"/>
        <v>8760</v>
      </c>
      <c r="KJ145" s="2082">
        <f t="shared" si="187"/>
        <v>8760</v>
      </c>
      <c r="KK145" s="2082">
        <f t="shared" si="187"/>
        <v>8760</v>
      </c>
      <c r="KL145" s="2082">
        <f t="shared" si="187"/>
        <v>8760</v>
      </c>
      <c r="KM145" s="2082">
        <f t="shared" si="187"/>
        <v>8760</v>
      </c>
      <c r="KN145" s="2082">
        <f t="shared" si="187"/>
        <v>8760</v>
      </c>
      <c r="KO145" s="2082">
        <f t="shared" si="187"/>
        <v>8760</v>
      </c>
      <c r="KP145" s="2082">
        <f t="shared" si="187"/>
        <v>8760</v>
      </c>
      <c r="KQ145" s="2082">
        <f t="shared" si="187"/>
        <v>8760</v>
      </c>
      <c r="KR145" s="2082">
        <f t="shared" si="187"/>
        <v>8760</v>
      </c>
      <c r="KS145" s="2082">
        <f t="shared" si="187"/>
        <v>8760</v>
      </c>
      <c r="KT145" s="2082">
        <f t="shared" si="187"/>
        <v>8760</v>
      </c>
      <c r="KU145" s="2082">
        <f t="shared" si="187"/>
        <v>8760</v>
      </c>
      <c r="KV145" s="2082">
        <f t="shared" si="187"/>
        <v>8760</v>
      </c>
      <c r="KW145" s="2082">
        <f t="shared" si="187"/>
        <v>8760</v>
      </c>
      <c r="KX145" s="2082">
        <f t="shared" si="187"/>
        <v>8760</v>
      </c>
      <c r="KY145" s="2082">
        <f t="shared" si="187"/>
        <v>8760</v>
      </c>
      <c r="KZ145" s="2082">
        <f t="shared" si="187"/>
        <v>8760</v>
      </c>
      <c r="LA145" s="2082">
        <f t="shared" si="187"/>
        <v>8760</v>
      </c>
      <c r="LB145" s="2082">
        <f t="shared" si="187"/>
        <v>8760</v>
      </c>
      <c r="LC145" s="2082">
        <f t="shared" si="187"/>
        <v>8760</v>
      </c>
      <c r="LD145" s="2082">
        <f t="shared" si="187"/>
        <v>8760</v>
      </c>
      <c r="LE145" s="2082">
        <f t="shared" si="187"/>
        <v>8760</v>
      </c>
      <c r="LF145" s="2082">
        <f t="shared" si="187"/>
        <v>8760</v>
      </c>
      <c r="LG145" s="2082">
        <f t="shared" si="187"/>
        <v>8760</v>
      </c>
      <c r="LH145" s="2082">
        <f t="shared" si="187"/>
        <v>8760</v>
      </c>
      <c r="LI145" s="2082">
        <f t="shared" si="187"/>
        <v>8760</v>
      </c>
      <c r="LJ145" s="2082">
        <f t="shared" si="187"/>
        <v>8760</v>
      </c>
      <c r="LK145" s="2082">
        <f t="shared" si="187"/>
        <v>8760</v>
      </c>
      <c r="LL145" s="2082">
        <f t="shared" si="187"/>
        <v>8760</v>
      </c>
      <c r="LM145" s="2082">
        <f t="shared" si="187"/>
        <v>8760</v>
      </c>
      <c r="LN145" s="2082">
        <f t="shared" si="187"/>
        <v>8760</v>
      </c>
      <c r="LO145" s="2082">
        <f t="shared" ref="LO145:NZ145" si="188">24*365</f>
        <v>8760</v>
      </c>
      <c r="LP145" s="2082">
        <f t="shared" si="188"/>
        <v>8760</v>
      </c>
      <c r="LQ145" s="2082">
        <f t="shared" si="188"/>
        <v>8760</v>
      </c>
      <c r="LR145" s="2082">
        <f t="shared" si="188"/>
        <v>8760</v>
      </c>
      <c r="LS145" s="2082">
        <f t="shared" si="188"/>
        <v>8760</v>
      </c>
      <c r="LT145" s="2082">
        <f t="shared" si="188"/>
        <v>8760</v>
      </c>
      <c r="LU145" s="2082">
        <f t="shared" si="188"/>
        <v>8760</v>
      </c>
      <c r="LV145" s="2082">
        <f t="shared" si="188"/>
        <v>8760</v>
      </c>
      <c r="LW145" s="2082">
        <f t="shared" si="188"/>
        <v>8760</v>
      </c>
      <c r="LX145" s="2082">
        <f t="shared" si="188"/>
        <v>8760</v>
      </c>
      <c r="LY145" s="2082">
        <f t="shared" si="188"/>
        <v>8760</v>
      </c>
      <c r="LZ145" s="2082">
        <f t="shared" si="188"/>
        <v>8760</v>
      </c>
      <c r="MA145" s="2082">
        <f t="shared" si="188"/>
        <v>8760</v>
      </c>
      <c r="MB145" s="2082">
        <f t="shared" si="188"/>
        <v>8760</v>
      </c>
      <c r="MC145" s="2082">
        <f t="shared" si="188"/>
        <v>8760</v>
      </c>
      <c r="MD145" s="2082">
        <f t="shared" si="188"/>
        <v>8760</v>
      </c>
      <c r="ME145" s="2082">
        <f t="shared" si="188"/>
        <v>8760</v>
      </c>
      <c r="MF145" s="2082">
        <f t="shared" si="188"/>
        <v>8760</v>
      </c>
      <c r="MG145" s="2082">
        <f t="shared" si="188"/>
        <v>8760</v>
      </c>
      <c r="MH145" s="2082">
        <f t="shared" si="188"/>
        <v>8760</v>
      </c>
      <c r="MI145" s="2082">
        <f t="shared" si="188"/>
        <v>8760</v>
      </c>
      <c r="MJ145" s="2082">
        <f t="shared" si="188"/>
        <v>8760</v>
      </c>
      <c r="MK145" s="2082">
        <f t="shared" si="188"/>
        <v>8760</v>
      </c>
      <c r="ML145" s="2082">
        <f t="shared" si="188"/>
        <v>8760</v>
      </c>
      <c r="MM145" s="2082">
        <f t="shared" si="188"/>
        <v>8760</v>
      </c>
      <c r="MN145" s="2082">
        <f t="shared" si="188"/>
        <v>8760</v>
      </c>
      <c r="MO145" s="2082">
        <f t="shared" si="188"/>
        <v>8760</v>
      </c>
      <c r="MP145" s="2082">
        <f t="shared" si="188"/>
        <v>8760</v>
      </c>
      <c r="MQ145" s="2082">
        <f t="shared" si="188"/>
        <v>8760</v>
      </c>
      <c r="MR145" s="2082">
        <f t="shared" si="188"/>
        <v>8760</v>
      </c>
      <c r="MS145" s="2082">
        <f t="shared" si="188"/>
        <v>8760</v>
      </c>
      <c r="MT145" s="2082">
        <f t="shared" si="188"/>
        <v>8760</v>
      </c>
      <c r="MU145" s="2082">
        <f t="shared" si="188"/>
        <v>8760</v>
      </c>
      <c r="MV145" s="2082">
        <f t="shared" si="188"/>
        <v>8760</v>
      </c>
      <c r="MW145" s="2082">
        <f t="shared" si="188"/>
        <v>8760</v>
      </c>
      <c r="MX145" s="2082">
        <f t="shared" si="188"/>
        <v>8760</v>
      </c>
      <c r="MY145" s="2082">
        <f t="shared" si="188"/>
        <v>8760</v>
      </c>
      <c r="MZ145" s="2082">
        <f t="shared" si="188"/>
        <v>8760</v>
      </c>
      <c r="NA145" s="2082">
        <f t="shared" si="188"/>
        <v>8760</v>
      </c>
      <c r="NB145" s="2082">
        <f t="shared" si="188"/>
        <v>8760</v>
      </c>
      <c r="NC145" s="2082">
        <f t="shared" si="188"/>
        <v>8760</v>
      </c>
      <c r="ND145" s="2082">
        <f t="shared" si="188"/>
        <v>8760</v>
      </c>
      <c r="NE145" s="2082">
        <f t="shared" si="188"/>
        <v>8760</v>
      </c>
      <c r="NF145" s="2082">
        <f t="shared" si="188"/>
        <v>8760</v>
      </c>
      <c r="NG145" s="2082">
        <f t="shared" si="188"/>
        <v>8760</v>
      </c>
      <c r="NH145" s="2082">
        <f t="shared" si="188"/>
        <v>8760</v>
      </c>
      <c r="NI145" s="2082">
        <f t="shared" si="188"/>
        <v>8760</v>
      </c>
      <c r="NJ145" s="2082">
        <f t="shared" si="188"/>
        <v>8760</v>
      </c>
      <c r="NK145" s="2082">
        <f t="shared" si="188"/>
        <v>8760</v>
      </c>
      <c r="NL145" s="2082">
        <f t="shared" si="188"/>
        <v>8760</v>
      </c>
      <c r="NM145" s="2082">
        <f t="shared" si="188"/>
        <v>8760</v>
      </c>
      <c r="NN145" s="2082">
        <f t="shared" si="188"/>
        <v>8760</v>
      </c>
      <c r="NO145" s="2082">
        <f t="shared" si="188"/>
        <v>8760</v>
      </c>
      <c r="NP145" s="2082">
        <f t="shared" si="188"/>
        <v>8760</v>
      </c>
      <c r="NQ145" s="2082">
        <f t="shared" si="188"/>
        <v>8760</v>
      </c>
      <c r="NR145" s="2082">
        <f t="shared" si="188"/>
        <v>8760</v>
      </c>
      <c r="NS145" s="2082">
        <f t="shared" si="188"/>
        <v>8760</v>
      </c>
      <c r="NT145" s="2082">
        <f t="shared" si="188"/>
        <v>8760</v>
      </c>
      <c r="NU145" s="2082">
        <f t="shared" si="188"/>
        <v>8760</v>
      </c>
      <c r="NV145" s="2082">
        <f t="shared" si="188"/>
        <v>8760</v>
      </c>
      <c r="NW145" s="2082">
        <f t="shared" si="188"/>
        <v>8760</v>
      </c>
      <c r="NX145" s="2082">
        <f t="shared" si="188"/>
        <v>8760</v>
      </c>
      <c r="NY145" s="2082">
        <f t="shared" si="188"/>
        <v>8760</v>
      </c>
      <c r="NZ145" s="2082">
        <f t="shared" si="188"/>
        <v>8760</v>
      </c>
      <c r="OA145" s="2082">
        <f t="shared" ref="OA145:QL145" si="189">24*365</f>
        <v>8760</v>
      </c>
      <c r="OB145" s="2082">
        <f t="shared" si="189"/>
        <v>8760</v>
      </c>
      <c r="OC145" s="2082">
        <f t="shared" si="189"/>
        <v>8760</v>
      </c>
      <c r="OD145" s="2082">
        <f t="shared" si="189"/>
        <v>8760</v>
      </c>
      <c r="OE145" s="2082">
        <f t="shared" si="189"/>
        <v>8760</v>
      </c>
      <c r="OF145" s="2082">
        <f t="shared" si="189"/>
        <v>8760</v>
      </c>
      <c r="OG145" s="2082">
        <f t="shared" si="189"/>
        <v>8760</v>
      </c>
      <c r="OH145" s="2082">
        <f t="shared" si="189"/>
        <v>8760</v>
      </c>
      <c r="OI145" s="2082">
        <f t="shared" si="189"/>
        <v>8760</v>
      </c>
      <c r="OJ145" s="2082">
        <f t="shared" si="189"/>
        <v>8760</v>
      </c>
      <c r="OK145" s="2082">
        <f t="shared" si="189"/>
        <v>8760</v>
      </c>
      <c r="OL145" s="2082">
        <f t="shared" si="189"/>
        <v>8760</v>
      </c>
      <c r="OM145" s="2082">
        <f t="shared" si="189"/>
        <v>8760</v>
      </c>
      <c r="ON145" s="2082">
        <f t="shared" si="189"/>
        <v>8760</v>
      </c>
      <c r="OO145" s="2082">
        <f t="shared" si="189"/>
        <v>8760</v>
      </c>
      <c r="OP145" s="2082">
        <f t="shared" si="189"/>
        <v>8760</v>
      </c>
      <c r="OQ145" s="2082">
        <f t="shared" si="189"/>
        <v>8760</v>
      </c>
      <c r="OR145" s="2082">
        <f t="shared" si="189"/>
        <v>8760</v>
      </c>
      <c r="OS145" s="2082">
        <f t="shared" si="189"/>
        <v>8760</v>
      </c>
      <c r="OT145" s="2082">
        <f t="shared" si="189"/>
        <v>8760</v>
      </c>
      <c r="OU145" s="2082">
        <f t="shared" si="189"/>
        <v>8760</v>
      </c>
      <c r="OV145" s="2082">
        <f t="shared" si="189"/>
        <v>8760</v>
      </c>
      <c r="OW145" s="2082">
        <f t="shared" si="189"/>
        <v>8760</v>
      </c>
      <c r="OX145" s="2082">
        <f t="shared" si="189"/>
        <v>8760</v>
      </c>
      <c r="OY145" s="2082">
        <f t="shared" si="189"/>
        <v>8760</v>
      </c>
      <c r="OZ145" s="2082">
        <f t="shared" si="189"/>
        <v>8760</v>
      </c>
      <c r="PA145" s="2082">
        <f t="shared" si="189"/>
        <v>8760</v>
      </c>
      <c r="PB145" s="2082">
        <f t="shared" si="189"/>
        <v>8760</v>
      </c>
      <c r="PC145" s="2082">
        <f t="shared" si="189"/>
        <v>8760</v>
      </c>
      <c r="PD145" s="2082">
        <f t="shared" si="189"/>
        <v>8760</v>
      </c>
      <c r="PE145" s="2082">
        <f t="shared" si="189"/>
        <v>8760</v>
      </c>
      <c r="PF145" s="2082">
        <f t="shared" si="189"/>
        <v>8760</v>
      </c>
      <c r="PG145" s="2082">
        <f t="shared" si="189"/>
        <v>8760</v>
      </c>
      <c r="PH145" s="2082">
        <f t="shared" si="189"/>
        <v>8760</v>
      </c>
      <c r="PI145" s="2082">
        <f t="shared" si="189"/>
        <v>8760</v>
      </c>
      <c r="PJ145" s="2082">
        <f t="shared" si="189"/>
        <v>8760</v>
      </c>
      <c r="PK145" s="2082">
        <f t="shared" si="189"/>
        <v>8760</v>
      </c>
      <c r="PL145" s="2082">
        <f t="shared" si="189"/>
        <v>8760</v>
      </c>
      <c r="PM145" s="2082">
        <f t="shared" si="189"/>
        <v>8760</v>
      </c>
      <c r="PN145" s="2082">
        <f t="shared" si="189"/>
        <v>8760</v>
      </c>
      <c r="PO145" s="2082">
        <f t="shared" si="189"/>
        <v>8760</v>
      </c>
      <c r="PP145" s="2082">
        <f t="shared" si="189"/>
        <v>8760</v>
      </c>
      <c r="PQ145" s="2082">
        <f t="shared" si="189"/>
        <v>8760</v>
      </c>
      <c r="PR145" s="2082">
        <f t="shared" si="189"/>
        <v>8760</v>
      </c>
      <c r="PS145" s="2082">
        <f t="shared" si="189"/>
        <v>8760</v>
      </c>
      <c r="PT145" s="2082">
        <f t="shared" si="189"/>
        <v>8760</v>
      </c>
      <c r="PU145" s="2082">
        <f t="shared" si="189"/>
        <v>8760</v>
      </c>
      <c r="PV145" s="2082">
        <f t="shared" si="189"/>
        <v>8760</v>
      </c>
      <c r="PW145" s="2082">
        <f t="shared" si="189"/>
        <v>8760</v>
      </c>
      <c r="PX145" s="2082">
        <f t="shared" si="189"/>
        <v>8760</v>
      </c>
      <c r="PY145" s="2082">
        <f t="shared" si="189"/>
        <v>8760</v>
      </c>
      <c r="PZ145" s="2082">
        <f t="shared" si="189"/>
        <v>8760</v>
      </c>
      <c r="QA145" s="2082">
        <f t="shared" si="189"/>
        <v>8760</v>
      </c>
      <c r="QB145" s="2082">
        <f t="shared" si="189"/>
        <v>8760</v>
      </c>
      <c r="QC145" s="2082">
        <f t="shared" si="189"/>
        <v>8760</v>
      </c>
      <c r="QD145" s="2082">
        <f t="shared" si="189"/>
        <v>8760</v>
      </c>
      <c r="QE145" s="2082">
        <f t="shared" si="189"/>
        <v>8760</v>
      </c>
      <c r="QF145" s="2082">
        <f t="shared" si="189"/>
        <v>8760</v>
      </c>
      <c r="QG145" s="2082">
        <f t="shared" si="189"/>
        <v>8760</v>
      </c>
      <c r="QH145" s="2082">
        <f t="shared" si="189"/>
        <v>8760</v>
      </c>
      <c r="QI145" s="2082">
        <f t="shared" si="189"/>
        <v>8760</v>
      </c>
      <c r="QJ145" s="2082">
        <f t="shared" si="189"/>
        <v>8760</v>
      </c>
      <c r="QK145" s="2082">
        <f t="shared" si="189"/>
        <v>8760</v>
      </c>
      <c r="QL145" s="2082">
        <f t="shared" si="189"/>
        <v>8760</v>
      </c>
      <c r="QM145" s="2082">
        <f t="shared" ref="QM145:SX145" si="190">24*365</f>
        <v>8760</v>
      </c>
      <c r="QN145" s="2082">
        <f t="shared" si="190"/>
        <v>8760</v>
      </c>
      <c r="QO145" s="2082">
        <f t="shared" si="190"/>
        <v>8760</v>
      </c>
      <c r="QP145" s="2082">
        <f t="shared" si="190"/>
        <v>8760</v>
      </c>
      <c r="QQ145" s="2082">
        <f t="shared" si="190"/>
        <v>8760</v>
      </c>
      <c r="QR145" s="2082">
        <f t="shared" si="190"/>
        <v>8760</v>
      </c>
      <c r="QS145" s="2082">
        <f t="shared" si="190"/>
        <v>8760</v>
      </c>
      <c r="QT145" s="2082">
        <f t="shared" si="190"/>
        <v>8760</v>
      </c>
      <c r="QU145" s="2082">
        <f t="shared" si="190"/>
        <v>8760</v>
      </c>
      <c r="QV145" s="2082">
        <f t="shared" si="190"/>
        <v>8760</v>
      </c>
      <c r="QW145" s="2082">
        <f t="shared" si="190"/>
        <v>8760</v>
      </c>
      <c r="QX145" s="2082">
        <f t="shared" si="190"/>
        <v>8760</v>
      </c>
      <c r="QY145" s="2082">
        <f t="shared" si="190"/>
        <v>8760</v>
      </c>
      <c r="QZ145" s="2082">
        <f t="shared" si="190"/>
        <v>8760</v>
      </c>
      <c r="RA145" s="2082">
        <f t="shared" si="190"/>
        <v>8760</v>
      </c>
      <c r="RB145" s="2082">
        <f t="shared" si="190"/>
        <v>8760</v>
      </c>
      <c r="RC145" s="2082">
        <f t="shared" si="190"/>
        <v>8760</v>
      </c>
      <c r="RD145" s="2082">
        <f t="shared" si="190"/>
        <v>8760</v>
      </c>
      <c r="RE145" s="2082">
        <f t="shared" si="190"/>
        <v>8760</v>
      </c>
      <c r="RF145" s="2082">
        <f t="shared" si="190"/>
        <v>8760</v>
      </c>
      <c r="RG145" s="2082">
        <f t="shared" si="190"/>
        <v>8760</v>
      </c>
      <c r="RH145" s="2082">
        <f t="shared" si="190"/>
        <v>8760</v>
      </c>
      <c r="RI145" s="2082">
        <f t="shared" si="190"/>
        <v>8760</v>
      </c>
      <c r="RJ145" s="2082">
        <f t="shared" si="190"/>
        <v>8760</v>
      </c>
      <c r="RK145" s="2082">
        <f t="shared" si="190"/>
        <v>8760</v>
      </c>
      <c r="RL145" s="2082">
        <f t="shared" si="190"/>
        <v>8760</v>
      </c>
      <c r="RM145" s="2082">
        <f t="shared" si="190"/>
        <v>8760</v>
      </c>
      <c r="RN145" s="2082">
        <f t="shared" si="190"/>
        <v>8760</v>
      </c>
      <c r="RO145" s="2082">
        <f t="shared" si="190"/>
        <v>8760</v>
      </c>
      <c r="RP145" s="2082">
        <f t="shared" si="190"/>
        <v>8760</v>
      </c>
      <c r="RQ145" s="2082">
        <f t="shared" si="190"/>
        <v>8760</v>
      </c>
      <c r="RR145" s="2082">
        <f t="shared" si="190"/>
        <v>8760</v>
      </c>
      <c r="RS145" s="2082">
        <f t="shared" si="190"/>
        <v>8760</v>
      </c>
      <c r="RT145" s="2082">
        <f t="shared" si="190"/>
        <v>8760</v>
      </c>
      <c r="RU145" s="2082">
        <f t="shared" si="190"/>
        <v>8760</v>
      </c>
      <c r="RV145" s="2082">
        <f t="shared" si="190"/>
        <v>8760</v>
      </c>
      <c r="RW145" s="2082">
        <f t="shared" si="190"/>
        <v>8760</v>
      </c>
      <c r="RX145" s="2082">
        <f t="shared" si="190"/>
        <v>8760</v>
      </c>
      <c r="RY145" s="2082">
        <f t="shared" si="190"/>
        <v>8760</v>
      </c>
      <c r="RZ145" s="2082">
        <f t="shared" si="190"/>
        <v>8760</v>
      </c>
      <c r="SA145" s="2082">
        <f t="shared" si="190"/>
        <v>8760</v>
      </c>
      <c r="SB145" s="2082">
        <f t="shared" si="190"/>
        <v>8760</v>
      </c>
      <c r="SC145" s="2082">
        <f t="shared" si="190"/>
        <v>8760</v>
      </c>
      <c r="SD145" s="2082">
        <f t="shared" si="190"/>
        <v>8760</v>
      </c>
      <c r="SE145" s="2082">
        <f t="shared" si="190"/>
        <v>8760</v>
      </c>
      <c r="SF145" s="2082">
        <f t="shared" si="190"/>
        <v>8760</v>
      </c>
      <c r="SG145" s="2082">
        <f t="shared" si="190"/>
        <v>8760</v>
      </c>
      <c r="SH145" s="2082">
        <f t="shared" si="190"/>
        <v>8760</v>
      </c>
      <c r="SI145" s="2082">
        <f t="shared" si="190"/>
        <v>8760</v>
      </c>
      <c r="SJ145" s="2082">
        <f t="shared" si="190"/>
        <v>8760</v>
      </c>
      <c r="SK145" s="2082">
        <f t="shared" si="190"/>
        <v>8760</v>
      </c>
      <c r="SL145" s="2082">
        <f t="shared" si="190"/>
        <v>8760</v>
      </c>
      <c r="SM145" s="2082">
        <f t="shared" si="190"/>
        <v>8760</v>
      </c>
      <c r="SN145" s="2082">
        <f t="shared" si="190"/>
        <v>8760</v>
      </c>
      <c r="SO145" s="2082">
        <f t="shared" si="190"/>
        <v>8760</v>
      </c>
      <c r="SP145" s="2082">
        <f t="shared" si="190"/>
        <v>8760</v>
      </c>
      <c r="SQ145" s="2082">
        <f t="shared" si="190"/>
        <v>8760</v>
      </c>
      <c r="SR145" s="2082">
        <f t="shared" si="190"/>
        <v>8760</v>
      </c>
      <c r="SS145" s="2082">
        <f t="shared" si="190"/>
        <v>8760</v>
      </c>
      <c r="ST145" s="2082">
        <f t="shared" si="190"/>
        <v>8760</v>
      </c>
      <c r="SU145" s="2082">
        <f t="shared" si="190"/>
        <v>8760</v>
      </c>
      <c r="SV145" s="2082">
        <f t="shared" si="190"/>
        <v>8760</v>
      </c>
      <c r="SW145" s="2082">
        <f t="shared" si="190"/>
        <v>8760</v>
      </c>
      <c r="SX145" s="2082">
        <f t="shared" si="190"/>
        <v>8760</v>
      </c>
      <c r="SY145" s="2082">
        <f t="shared" ref="SY145:VJ145" si="191">24*365</f>
        <v>8760</v>
      </c>
      <c r="SZ145" s="2082">
        <f t="shared" si="191"/>
        <v>8760</v>
      </c>
      <c r="TA145" s="2082">
        <f t="shared" si="191"/>
        <v>8760</v>
      </c>
      <c r="TB145" s="2082">
        <f t="shared" si="191"/>
        <v>8760</v>
      </c>
      <c r="TC145" s="2082">
        <f t="shared" si="191"/>
        <v>8760</v>
      </c>
      <c r="TD145" s="2082">
        <f t="shared" si="191"/>
        <v>8760</v>
      </c>
      <c r="TE145" s="2082">
        <f t="shared" si="191"/>
        <v>8760</v>
      </c>
      <c r="TF145" s="2082">
        <f t="shared" si="191"/>
        <v>8760</v>
      </c>
      <c r="TG145" s="2082">
        <f t="shared" si="191"/>
        <v>8760</v>
      </c>
      <c r="TH145" s="2082">
        <f t="shared" si="191"/>
        <v>8760</v>
      </c>
      <c r="TI145" s="2082">
        <f t="shared" si="191"/>
        <v>8760</v>
      </c>
      <c r="TJ145" s="2082">
        <f t="shared" si="191"/>
        <v>8760</v>
      </c>
      <c r="TK145" s="2082">
        <f t="shared" si="191"/>
        <v>8760</v>
      </c>
      <c r="TL145" s="2082">
        <f t="shared" si="191"/>
        <v>8760</v>
      </c>
      <c r="TM145" s="2082">
        <f t="shared" si="191"/>
        <v>8760</v>
      </c>
      <c r="TN145" s="2082">
        <f t="shared" si="191"/>
        <v>8760</v>
      </c>
      <c r="TO145" s="2082">
        <f t="shared" si="191"/>
        <v>8760</v>
      </c>
      <c r="TP145" s="2082">
        <f t="shared" si="191"/>
        <v>8760</v>
      </c>
      <c r="TQ145" s="2082">
        <f t="shared" si="191"/>
        <v>8760</v>
      </c>
      <c r="TR145" s="2082">
        <f t="shared" si="191"/>
        <v>8760</v>
      </c>
      <c r="TS145" s="2082">
        <f t="shared" si="191"/>
        <v>8760</v>
      </c>
      <c r="TT145" s="2082">
        <f t="shared" si="191"/>
        <v>8760</v>
      </c>
      <c r="TU145" s="2082">
        <f t="shared" si="191"/>
        <v>8760</v>
      </c>
      <c r="TV145" s="2082">
        <f t="shared" si="191"/>
        <v>8760</v>
      </c>
      <c r="TW145" s="2082">
        <f t="shared" si="191"/>
        <v>8760</v>
      </c>
      <c r="TX145" s="2082">
        <f t="shared" si="191"/>
        <v>8760</v>
      </c>
      <c r="TY145" s="2082">
        <f t="shared" si="191"/>
        <v>8760</v>
      </c>
      <c r="TZ145" s="2082">
        <f t="shared" si="191"/>
        <v>8760</v>
      </c>
      <c r="UA145" s="2082">
        <f t="shared" si="191"/>
        <v>8760</v>
      </c>
      <c r="UB145" s="2082">
        <f t="shared" si="191"/>
        <v>8760</v>
      </c>
      <c r="UC145" s="2082">
        <f t="shared" si="191"/>
        <v>8760</v>
      </c>
      <c r="UD145" s="2082">
        <f t="shared" si="191"/>
        <v>8760</v>
      </c>
      <c r="UE145" s="2082">
        <f t="shared" si="191"/>
        <v>8760</v>
      </c>
      <c r="UF145" s="2082">
        <f t="shared" si="191"/>
        <v>8760</v>
      </c>
      <c r="UG145" s="2082">
        <f t="shared" si="191"/>
        <v>8760</v>
      </c>
      <c r="UH145" s="2082">
        <f t="shared" si="191"/>
        <v>8760</v>
      </c>
      <c r="UI145" s="2082">
        <f t="shared" si="191"/>
        <v>8760</v>
      </c>
      <c r="UJ145" s="2082">
        <f t="shared" si="191"/>
        <v>8760</v>
      </c>
      <c r="UK145" s="2082">
        <f t="shared" si="191"/>
        <v>8760</v>
      </c>
      <c r="UL145" s="2082">
        <f t="shared" si="191"/>
        <v>8760</v>
      </c>
      <c r="UM145" s="2082">
        <f t="shared" si="191"/>
        <v>8760</v>
      </c>
      <c r="UN145" s="2082">
        <f t="shared" si="191"/>
        <v>8760</v>
      </c>
      <c r="UO145" s="2082">
        <f t="shared" si="191"/>
        <v>8760</v>
      </c>
      <c r="UP145" s="2082">
        <f t="shared" si="191"/>
        <v>8760</v>
      </c>
      <c r="UQ145" s="2082">
        <f t="shared" si="191"/>
        <v>8760</v>
      </c>
      <c r="UR145" s="2082">
        <f t="shared" si="191"/>
        <v>8760</v>
      </c>
      <c r="US145" s="2082">
        <f t="shared" si="191"/>
        <v>8760</v>
      </c>
      <c r="UT145" s="2082">
        <f t="shared" si="191"/>
        <v>8760</v>
      </c>
      <c r="UU145" s="2082">
        <f t="shared" si="191"/>
        <v>8760</v>
      </c>
      <c r="UV145" s="2082">
        <f t="shared" si="191"/>
        <v>8760</v>
      </c>
      <c r="UW145" s="2082">
        <f t="shared" si="191"/>
        <v>8760</v>
      </c>
      <c r="UX145" s="2082">
        <f t="shared" si="191"/>
        <v>8760</v>
      </c>
      <c r="UY145" s="2082">
        <f t="shared" si="191"/>
        <v>8760</v>
      </c>
      <c r="UZ145" s="2082">
        <f t="shared" si="191"/>
        <v>8760</v>
      </c>
      <c r="VA145" s="2082">
        <f t="shared" si="191"/>
        <v>8760</v>
      </c>
      <c r="VB145" s="2082">
        <f t="shared" si="191"/>
        <v>8760</v>
      </c>
      <c r="VC145" s="2082">
        <f t="shared" si="191"/>
        <v>8760</v>
      </c>
      <c r="VD145" s="2082">
        <f t="shared" si="191"/>
        <v>8760</v>
      </c>
      <c r="VE145" s="2082">
        <f t="shared" si="191"/>
        <v>8760</v>
      </c>
      <c r="VF145" s="2082">
        <f t="shared" si="191"/>
        <v>8760</v>
      </c>
      <c r="VG145" s="2082">
        <f t="shared" si="191"/>
        <v>8760</v>
      </c>
      <c r="VH145" s="2082">
        <f t="shared" si="191"/>
        <v>8760</v>
      </c>
      <c r="VI145" s="2082">
        <f t="shared" si="191"/>
        <v>8760</v>
      </c>
      <c r="VJ145" s="2082">
        <f t="shared" si="191"/>
        <v>8760</v>
      </c>
      <c r="VK145" s="2083">
        <f>24*365</f>
        <v>8760</v>
      </c>
    </row>
    <row r="146" spans="1:583" s="1296" customFormat="1" x14ac:dyDescent="0.25">
      <c r="B146" s="2084" t="s">
        <v>1351</v>
      </c>
      <c r="C146" s="2085" t="s">
        <v>2949</v>
      </c>
      <c r="D146" s="2085" t="s">
        <v>1351</v>
      </c>
      <c r="E146" s="2085" t="s">
        <v>2949</v>
      </c>
      <c r="F146" s="2086">
        <f t="shared" ref="F146:BR146" si="192">IF(F144&gt;F145,F144,IF(F145&gt;F144,F145))</f>
        <v>8760</v>
      </c>
      <c r="G146" s="2086">
        <f t="shared" si="192"/>
        <v>8760</v>
      </c>
      <c r="H146" s="2086">
        <f t="shared" si="192"/>
        <v>8760</v>
      </c>
      <c r="I146" s="2086">
        <f t="shared" si="192"/>
        <v>8760</v>
      </c>
      <c r="J146" s="2086">
        <f t="shared" si="192"/>
        <v>8760</v>
      </c>
      <c r="K146" s="2086">
        <f t="shared" si="192"/>
        <v>8760</v>
      </c>
      <c r="L146" s="2086">
        <f t="shared" si="192"/>
        <v>8760</v>
      </c>
      <c r="M146" s="2086">
        <f t="shared" si="192"/>
        <v>8760</v>
      </c>
      <c r="N146" s="2086">
        <f t="shared" si="192"/>
        <v>8760</v>
      </c>
      <c r="O146" s="2086">
        <f t="shared" si="192"/>
        <v>8760</v>
      </c>
      <c r="P146" s="2086">
        <f t="shared" si="192"/>
        <v>8760</v>
      </c>
      <c r="Q146" s="2086">
        <f t="shared" si="192"/>
        <v>8760</v>
      </c>
      <c r="R146" s="2086">
        <f t="shared" si="192"/>
        <v>8760</v>
      </c>
      <c r="S146" s="2086">
        <f t="shared" si="192"/>
        <v>8760</v>
      </c>
      <c r="T146" s="2086">
        <f t="shared" si="192"/>
        <v>8760</v>
      </c>
      <c r="U146" s="2086">
        <f t="shared" si="192"/>
        <v>8760</v>
      </c>
      <c r="V146" s="2086">
        <f t="shared" si="192"/>
        <v>8760</v>
      </c>
      <c r="W146" s="2086">
        <f t="shared" si="192"/>
        <v>8760</v>
      </c>
      <c r="X146" s="2086">
        <f t="shared" si="192"/>
        <v>8760</v>
      </c>
      <c r="Y146" s="2086">
        <f t="shared" si="192"/>
        <v>8760</v>
      </c>
      <c r="Z146" s="2086">
        <f t="shared" si="192"/>
        <v>8760</v>
      </c>
      <c r="AA146" s="2086">
        <f t="shared" si="192"/>
        <v>8760</v>
      </c>
      <c r="AB146" s="2086">
        <f t="shared" si="192"/>
        <v>8760</v>
      </c>
      <c r="AC146" s="2086">
        <f t="shared" si="192"/>
        <v>8760</v>
      </c>
      <c r="AD146" s="2086">
        <f t="shared" si="192"/>
        <v>8760</v>
      </c>
      <c r="AE146" s="2086">
        <f t="shared" si="192"/>
        <v>8760</v>
      </c>
      <c r="AF146" s="2086">
        <f t="shared" si="192"/>
        <v>8760</v>
      </c>
      <c r="AG146" s="2086">
        <f t="shared" si="192"/>
        <v>8760</v>
      </c>
      <c r="AH146" s="2086">
        <f t="shared" si="192"/>
        <v>8760</v>
      </c>
      <c r="AI146" s="2086">
        <f t="shared" si="192"/>
        <v>8760</v>
      </c>
      <c r="AJ146" s="2086">
        <f t="shared" si="192"/>
        <v>8760</v>
      </c>
      <c r="AK146" s="2086">
        <f t="shared" si="192"/>
        <v>8760</v>
      </c>
      <c r="AL146" s="2086">
        <f t="shared" si="192"/>
        <v>8760</v>
      </c>
      <c r="AM146" s="2086">
        <f t="shared" si="192"/>
        <v>8760</v>
      </c>
      <c r="AN146" s="2086">
        <f t="shared" si="192"/>
        <v>8760</v>
      </c>
      <c r="AO146" s="2086">
        <f t="shared" si="192"/>
        <v>8760</v>
      </c>
      <c r="AP146" s="2086">
        <f t="shared" si="192"/>
        <v>8760</v>
      </c>
      <c r="AQ146" s="2086">
        <f t="shared" si="192"/>
        <v>8760</v>
      </c>
      <c r="AR146" s="2086">
        <f t="shared" si="192"/>
        <v>8760</v>
      </c>
      <c r="AS146" s="2086">
        <f t="shared" si="192"/>
        <v>8760</v>
      </c>
      <c r="AT146" s="2086">
        <f t="shared" si="192"/>
        <v>8760</v>
      </c>
      <c r="AU146" s="2086">
        <f t="shared" si="192"/>
        <v>8760</v>
      </c>
      <c r="AV146" s="2086">
        <f t="shared" si="192"/>
        <v>8760</v>
      </c>
      <c r="AW146" s="2086">
        <f t="shared" si="192"/>
        <v>8760</v>
      </c>
      <c r="AX146" s="2086">
        <f t="shared" si="192"/>
        <v>8760</v>
      </c>
      <c r="AY146" s="2086">
        <f t="shared" si="192"/>
        <v>8760</v>
      </c>
      <c r="AZ146" s="2086">
        <f t="shared" si="192"/>
        <v>8760</v>
      </c>
      <c r="BA146" s="2086">
        <f t="shared" si="192"/>
        <v>8760</v>
      </c>
      <c r="BB146" s="2086">
        <f t="shared" si="192"/>
        <v>8760</v>
      </c>
      <c r="BC146" s="2086">
        <f t="shared" si="192"/>
        <v>8760</v>
      </c>
      <c r="BD146" s="2086">
        <f t="shared" si="192"/>
        <v>8760</v>
      </c>
      <c r="BE146" s="2086">
        <f t="shared" si="192"/>
        <v>8760</v>
      </c>
      <c r="BF146" s="2086">
        <f t="shared" si="192"/>
        <v>8760</v>
      </c>
      <c r="BG146" s="2086">
        <f t="shared" si="192"/>
        <v>8760</v>
      </c>
      <c r="BH146" s="2086">
        <f t="shared" si="192"/>
        <v>8760</v>
      </c>
      <c r="BI146" s="2086">
        <f t="shared" si="192"/>
        <v>8760</v>
      </c>
      <c r="BJ146" s="2086">
        <f t="shared" si="192"/>
        <v>8760</v>
      </c>
      <c r="BK146" s="2086">
        <f t="shared" si="192"/>
        <v>8760</v>
      </c>
      <c r="BL146" s="2086">
        <f t="shared" si="192"/>
        <v>8760</v>
      </c>
      <c r="BM146" s="2086">
        <f t="shared" si="192"/>
        <v>8760</v>
      </c>
      <c r="BN146" s="2086">
        <f t="shared" si="192"/>
        <v>8760</v>
      </c>
      <c r="BO146" s="2086">
        <f t="shared" si="192"/>
        <v>8760</v>
      </c>
      <c r="BP146" s="2086">
        <f t="shared" si="192"/>
        <v>8760</v>
      </c>
      <c r="BQ146" s="2086">
        <f t="shared" si="192"/>
        <v>8760</v>
      </c>
      <c r="BR146" s="2086">
        <f t="shared" si="192"/>
        <v>8760</v>
      </c>
      <c r="BS146" s="2086">
        <f t="shared" ref="BS146:ED146" si="193">IF(BS144&gt;BS145,BS144,IF(BS145&gt;BS144,BS145))</f>
        <v>8760</v>
      </c>
      <c r="BT146" s="2086">
        <f t="shared" si="193"/>
        <v>8760</v>
      </c>
      <c r="BU146" s="2086">
        <f t="shared" si="193"/>
        <v>8760</v>
      </c>
      <c r="BV146" s="2086">
        <f t="shared" si="193"/>
        <v>8760</v>
      </c>
      <c r="BW146" s="2086">
        <f t="shared" si="193"/>
        <v>8760</v>
      </c>
      <c r="BX146" s="2086">
        <f t="shared" si="193"/>
        <v>8760</v>
      </c>
      <c r="BY146" s="2086">
        <f t="shared" si="193"/>
        <v>8760</v>
      </c>
      <c r="BZ146" s="2086">
        <f t="shared" si="193"/>
        <v>8760</v>
      </c>
      <c r="CA146" s="2086">
        <f t="shared" si="193"/>
        <v>8760</v>
      </c>
      <c r="CB146" s="2086">
        <f t="shared" si="193"/>
        <v>8760</v>
      </c>
      <c r="CC146" s="2086">
        <f t="shared" si="193"/>
        <v>8760</v>
      </c>
      <c r="CD146" s="2086">
        <f t="shared" si="193"/>
        <v>8760</v>
      </c>
      <c r="CE146" s="2086">
        <f t="shared" si="193"/>
        <v>8760</v>
      </c>
      <c r="CF146" s="2086">
        <f t="shared" si="193"/>
        <v>8760</v>
      </c>
      <c r="CG146" s="2086">
        <f t="shared" si="193"/>
        <v>8760</v>
      </c>
      <c r="CH146" s="2086">
        <f t="shared" si="193"/>
        <v>8760</v>
      </c>
      <c r="CI146" s="2086">
        <f t="shared" si="193"/>
        <v>8760</v>
      </c>
      <c r="CJ146" s="2086">
        <f t="shared" si="193"/>
        <v>8760</v>
      </c>
      <c r="CK146" s="2086">
        <f t="shared" si="193"/>
        <v>8760</v>
      </c>
      <c r="CL146" s="2086">
        <f t="shared" si="193"/>
        <v>8760</v>
      </c>
      <c r="CM146" s="2086">
        <f t="shared" si="193"/>
        <v>8760</v>
      </c>
      <c r="CN146" s="2086">
        <f t="shared" si="193"/>
        <v>8760</v>
      </c>
      <c r="CO146" s="2086">
        <f t="shared" si="193"/>
        <v>8760</v>
      </c>
      <c r="CP146" s="2086">
        <f t="shared" si="193"/>
        <v>8760</v>
      </c>
      <c r="CQ146" s="2086">
        <f t="shared" si="193"/>
        <v>8760</v>
      </c>
      <c r="CR146" s="2086">
        <f t="shared" si="193"/>
        <v>8760</v>
      </c>
      <c r="CS146" s="2086">
        <f t="shared" si="193"/>
        <v>8760</v>
      </c>
      <c r="CT146" s="2086">
        <f t="shared" si="193"/>
        <v>8760</v>
      </c>
      <c r="CU146" s="2086">
        <f t="shared" si="193"/>
        <v>8760</v>
      </c>
      <c r="CV146" s="2086">
        <f t="shared" si="193"/>
        <v>8760</v>
      </c>
      <c r="CW146" s="2086">
        <f t="shared" si="193"/>
        <v>8760</v>
      </c>
      <c r="CX146" s="2086">
        <f t="shared" si="193"/>
        <v>8760</v>
      </c>
      <c r="CY146" s="2086">
        <f t="shared" si="193"/>
        <v>8760</v>
      </c>
      <c r="CZ146" s="2086">
        <f t="shared" si="193"/>
        <v>8760</v>
      </c>
      <c r="DA146" s="2086">
        <f t="shared" si="193"/>
        <v>8760</v>
      </c>
      <c r="DB146" s="2086">
        <f t="shared" si="193"/>
        <v>8760</v>
      </c>
      <c r="DC146" s="2086">
        <f t="shared" si="193"/>
        <v>8760</v>
      </c>
      <c r="DD146" s="2086">
        <f t="shared" si="193"/>
        <v>8760</v>
      </c>
      <c r="DE146" s="2086">
        <f t="shared" si="193"/>
        <v>8760</v>
      </c>
      <c r="DF146" s="2086">
        <f t="shared" si="193"/>
        <v>8760</v>
      </c>
      <c r="DG146" s="2086">
        <f t="shared" si="193"/>
        <v>8760</v>
      </c>
      <c r="DH146" s="2086">
        <f t="shared" si="193"/>
        <v>8760</v>
      </c>
      <c r="DI146" s="2086">
        <f t="shared" si="193"/>
        <v>8760</v>
      </c>
      <c r="DJ146" s="2086">
        <f t="shared" si="193"/>
        <v>8760</v>
      </c>
      <c r="DK146" s="2086">
        <f t="shared" si="193"/>
        <v>8760</v>
      </c>
      <c r="DL146" s="2086">
        <f t="shared" si="193"/>
        <v>8760</v>
      </c>
      <c r="DM146" s="2086">
        <f t="shared" si="193"/>
        <v>8760</v>
      </c>
      <c r="DN146" s="2086">
        <f t="shared" si="193"/>
        <v>8760</v>
      </c>
      <c r="DO146" s="2086">
        <f t="shared" si="193"/>
        <v>8760</v>
      </c>
      <c r="DP146" s="2086">
        <f t="shared" si="193"/>
        <v>8760</v>
      </c>
      <c r="DQ146" s="2086">
        <f t="shared" si="193"/>
        <v>8760</v>
      </c>
      <c r="DR146" s="2086">
        <f t="shared" si="193"/>
        <v>8760</v>
      </c>
      <c r="DS146" s="2086">
        <f t="shared" si="193"/>
        <v>8760</v>
      </c>
      <c r="DT146" s="2086">
        <f t="shared" si="193"/>
        <v>8760</v>
      </c>
      <c r="DU146" s="2086">
        <f t="shared" si="193"/>
        <v>8760</v>
      </c>
      <c r="DV146" s="2086">
        <f t="shared" si="193"/>
        <v>8760</v>
      </c>
      <c r="DW146" s="2086">
        <f t="shared" si="193"/>
        <v>8760</v>
      </c>
      <c r="DX146" s="2086">
        <f t="shared" si="193"/>
        <v>8760</v>
      </c>
      <c r="DY146" s="2086">
        <f t="shared" si="193"/>
        <v>8760</v>
      </c>
      <c r="DZ146" s="2086">
        <f t="shared" si="193"/>
        <v>8760</v>
      </c>
      <c r="EA146" s="2086">
        <f t="shared" si="193"/>
        <v>8760</v>
      </c>
      <c r="EB146" s="2086">
        <f t="shared" si="193"/>
        <v>8760</v>
      </c>
      <c r="EC146" s="2086">
        <f t="shared" si="193"/>
        <v>8760</v>
      </c>
      <c r="ED146" s="2086">
        <f t="shared" si="193"/>
        <v>8760</v>
      </c>
      <c r="EE146" s="2086">
        <f t="shared" ref="EE146:GP146" si="194">IF(EE144&gt;EE145,EE144,IF(EE145&gt;EE144,EE145))</f>
        <v>8760</v>
      </c>
      <c r="EF146" s="2086">
        <f t="shared" si="194"/>
        <v>8760</v>
      </c>
      <c r="EG146" s="2086">
        <f t="shared" si="194"/>
        <v>8760</v>
      </c>
      <c r="EH146" s="2086">
        <f t="shared" si="194"/>
        <v>8760</v>
      </c>
      <c r="EI146" s="2086">
        <f t="shared" si="194"/>
        <v>8760</v>
      </c>
      <c r="EJ146" s="2086">
        <f t="shared" si="194"/>
        <v>8760</v>
      </c>
      <c r="EK146" s="2086">
        <f t="shared" si="194"/>
        <v>8760</v>
      </c>
      <c r="EL146" s="2086">
        <f t="shared" si="194"/>
        <v>8760</v>
      </c>
      <c r="EM146" s="2086">
        <f t="shared" si="194"/>
        <v>8760</v>
      </c>
      <c r="EN146" s="2086">
        <f t="shared" si="194"/>
        <v>8760</v>
      </c>
      <c r="EO146" s="2086">
        <f t="shared" si="194"/>
        <v>8760</v>
      </c>
      <c r="EP146" s="2086">
        <f t="shared" si="194"/>
        <v>8760</v>
      </c>
      <c r="EQ146" s="2086">
        <f t="shared" si="194"/>
        <v>8760</v>
      </c>
      <c r="ER146" s="2086">
        <f t="shared" si="194"/>
        <v>8760</v>
      </c>
      <c r="ES146" s="2086">
        <f t="shared" si="194"/>
        <v>8760</v>
      </c>
      <c r="ET146" s="2086">
        <f t="shared" si="194"/>
        <v>8760</v>
      </c>
      <c r="EU146" s="2086">
        <f t="shared" si="194"/>
        <v>8760</v>
      </c>
      <c r="EV146" s="2086">
        <f t="shared" si="194"/>
        <v>8760</v>
      </c>
      <c r="EW146" s="2086">
        <f t="shared" si="194"/>
        <v>8760</v>
      </c>
      <c r="EX146" s="2086">
        <f t="shared" si="194"/>
        <v>8760</v>
      </c>
      <c r="EY146" s="2086">
        <f t="shared" si="194"/>
        <v>8760</v>
      </c>
      <c r="EZ146" s="2086">
        <f t="shared" si="194"/>
        <v>8760</v>
      </c>
      <c r="FA146" s="2086">
        <f t="shared" si="194"/>
        <v>8760</v>
      </c>
      <c r="FB146" s="2086">
        <f t="shared" si="194"/>
        <v>8760</v>
      </c>
      <c r="FC146" s="2086">
        <f t="shared" si="194"/>
        <v>8760</v>
      </c>
      <c r="FD146" s="2086">
        <f t="shared" si="194"/>
        <v>8760</v>
      </c>
      <c r="FE146" s="2086">
        <f t="shared" si="194"/>
        <v>8760</v>
      </c>
      <c r="FF146" s="2086">
        <f t="shared" si="194"/>
        <v>8760</v>
      </c>
      <c r="FG146" s="2086">
        <f t="shared" si="194"/>
        <v>8760</v>
      </c>
      <c r="FH146" s="2086">
        <f t="shared" si="194"/>
        <v>8760</v>
      </c>
      <c r="FI146" s="2086">
        <f t="shared" si="194"/>
        <v>8760</v>
      </c>
      <c r="FJ146" s="2086">
        <f t="shared" si="194"/>
        <v>8760</v>
      </c>
      <c r="FK146" s="2086">
        <f t="shared" si="194"/>
        <v>8760</v>
      </c>
      <c r="FL146" s="2086">
        <f t="shared" si="194"/>
        <v>8760</v>
      </c>
      <c r="FM146" s="2086">
        <f t="shared" si="194"/>
        <v>8760</v>
      </c>
      <c r="FN146" s="2086">
        <f t="shared" si="194"/>
        <v>8760</v>
      </c>
      <c r="FO146" s="2086">
        <f t="shared" si="194"/>
        <v>8760</v>
      </c>
      <c r="FP146" s="2086">
        <f t="shared" si="194"/>
        <v>8760</v>
      </c>
      <c r="FQ146" s="2086">
        <f t="shared" si="194"/>
        <v>8760</v>
      </c>
      <c r="FR146" s="2086">
        <f t="shared" si="194"/>
        <v>8760</v>
      </c>
      <c r="FS146" s="2086">
        <f t="shared" si="194"/>
        <v>8760</v>
      </c>
      <c r="FT146" s="2086">
        <f t="shared" si="194"/>
        <v>8760</v>
      </c>
      <c r="FU146" s="2086">
        <f t="shared" si="194"/>
        <v>8760</v>
      </c>
      <c r="FV146" s="2086">
        <f t="shared" si="194"/>
        <v>8760</v>
      </c>
      <c r="FW146" s="2086">
        <f t="shared" si="194"/>
        <v>8760</v>
      </c>
      <c r="FX146" s="2086">
        <f t="shared" si="194"/>
        <v>8760</v>
      </c>
      <c r="FY146" s="2086">
        <f t="shared" si="194"/>
        <v>8760</v>
      </c>
      <c r="FZ146" s="2086">
        <f t="shared" si="194"/>
        <v>8760</v>
      </c>
      <c r="GA146" s="2086">
        <f t="shared" si="194"/>
        <v>8760</v>
      </c>
      <c r="GB146" s="2086">
        <f t="shared" si="194"/>
        <v>8760</v>
      </c>
      <c r="GC146" s="2086">
        <f t="shared" si="194"/>
        <v>8760</v>
      </c>
      <c r="GD146" s="2086">
        <f t="shared" si="194"/>
        <v>8760</v>
      </c>
      <c r="GE146" s="2086">
        <f t="shared" si="194"/>
        <v>8760</v>
      </c>
      <c r="GF146" s="2086">
        <f t="shared" si="194"/>
        <v>8760</v>
      </c>
      <c r="GG146" s="2086">
        <f t="shared" si="194"/>
        <v>8760</v>
      </c>
      <c r="GH146" s="2086">
        <f t="shared" si="194"/>
        <v>8760</v>
      </c>
      <c r="GI146" s="2086">
        <f t="shared" si="194"/>
        <v>8760</v>
      </c>
      <c r="GJ146" s="2086">
        <f t="shared" si="194"/>
        <v>8760</v>
      </c>
      <c r="GK146" s="2086">
        <f t="shared" si="194"/>
        <v>8760</v>
      </c>
      <c r="GL146" s="2086">
        <f t="shared" si="194"/>
        <v>8760</v>
      </c>
      <c r="GM146" s="2086">
        <f t="shared" si="194"/>
        <v>8760</v>
      </c>
      <c r="GN146" s="2086">
        <f t="shared" si="194"/>
        <v>8760</v>
      </c>
      <c r="GO146" s="2086">
        <f t="shared" si="194"/>
        <v>8760</v>
      </c>
      <c r="GP146" s="2086">
        <f t="shared" si="194"/>
        <v>8760</v>
      </c>
      <c r="GQ146" s="2086">
        <f t="shared" ref="GQ146:JB146" si="195">IF(GQ144&gt;GQ145,GQ144,IF(GQ145&gt;GQ144,GQ145))</f>
        <v>8760</v>
      </c>
      <c r="GR146" s="2086">
        <f t="shared" si="195"/>
        <v>8760</v>
      </c>
      <c r="GS146" s="2086">
        <f t="shared" si="195"/>
        <v>8760</v>
      </c>
      <c r="GT146" s="2086">
        <f t="shared" si="195"/>
        <v>8760</v>
      </c>
      <c r="GU146" s="2086">
        <f t="shared" si="195"/>
        <v>8760</v>
      </c>
      <c r="GV146" s="2086">
        <f t="shared" si="195"/>
        <v>8760</v>
      </c>
      <c r="GW146" s="2086">
        <f t="shared" si="195"/>
        <v>8760</v>
      </c>
      <c r="GX146" s="2086">
        <f t="shared" si="195"/>
        <v>8760</v>
      </c>
      <c r="GY146" s="2086">
        <f t="shared" si="195"/>
        <v>8760</v>
      </c>
      <c r="GZ146" s="2086">
        <f t="shared" si="195"/>
        <v>8760</v>
      </c>
      <c r="HA146" s="2086">
        <f t="shared" si="195"/>
        <v>8760</v>
      </c>
      <c r="HB146" s="2086">
        <f t="shared" si="195"/>
        <v>8760</v>
      </c>
      <c r="HC146" s="2086">
        <f t="shared" si="195"/>
        <v>8760</v>
      </c>
      <c r="HD146" s="2086">
        <f t="shared" si="195"/>
        <v>8760</v>
      </c>
      <c r="HE146" s="2086">
        <f t="shared" si="195"/>
        <v>8760</v>
      </c>
      <c r="HF146" s="2086">
        <f t="shared" si="195"/>
        <v>8760</v>
      </c>
      <c r="HG146" s="2086">
        <f t="shared" si="195"/>
        <v>8760</v>
      </c>
      <c r="HH146" s="2086">
        <f t="shared" si="195"/>
        <v>8760</v>
      </c>
      <c r="HI146" s="2086">
        <f t="shared" si="195"/>
        <v>8760</v>
      </c>
      <c r="HJ146" s="2086">
        <f t="shared" si="195"/>
        <v>8760</v>
      </c>
      <c r="HK146" s="2086">
        <f t="shared" si="195"/>
        <v>8760</v>
      </c>
      <c r="HL146" s="2086">
        <f t="shared" si="195"/>
        <v>8760</v>
      </c>
      <c r="HM146" s="2086">
        <f t="shared" si="195"/>
        <v>8760</v>
      </c>
      <c r="HN146" s="2086">
        <f t="shared" si="195"/>
        <v>8760</v>
      </c>
      <c r="HO146" s="2086">
        <f t="shared" si="195"/>
        <v>8760</v>
      </c>
      <c r="HP146" s="2086">
        <f t="shared" si="195"/>
        <v>8760</v>
      </c>
      <c r="HQ146" s="2086">
        <f t="shared" si="195"/>
        <v>8760</v>
      </c>
      <c r="HR146" s="2086">
        <f t="shared" si="195"/>
        <v>8760</v>
      </c>
      <c r="HS146" s="2086">
        <f t="shared" si="195"/>
        <v>8760</v>
      </c>
      <c r="HT146" s="2086">
        <f t="shared" si="195"/>
        <v>8760</v>
      </c>
      <c r="HU146" s="2086">
        <f t="shared" si="195"/>
        <v>8760</v>
      </c>
      <c r="HV146" s="2086">
        <f t="shared" si="195"/>
        <v>8760</v>
      </c>
      <c r="HW146" s="2086">
        <f t="shared" si="195"/>
        <v>8760</v>
      </c>
      <c r="HX146" s="2086">
        <f t="shared" si="195"/>
        <v>8760</v>
      </c>
      <c r="HY146" s="2086">
        <f t="shared" si="195"/>
        <v>8760</v>
      </c>
      <c r="HZ146" s="2086">
        <f t="shared" si="195"/>
        <v>8760</v>
      </c>
      <c r="IA146" s="2086">
        <f t="shared" si="195"/>
        <v>8760</v>
      </c>
      <c r="IB146" s="2086">
        <f t="shared" si="195"/>
        <v>8760</v>
      </c>
      <c r="IC146" s="2086">
        <f t="shared" si="195"/>
        <v>8760</v>
      </c>
      <c r="ID146" s="2086">
        <f t="shared" si="195"/>
        <v>8760</v>
      </c>
      <c r="IE146" s="2086">
        <f t="shared" si="195"/>
        <v>8760</v>
      </c>
      <c r="IF146" s="2086">
        <f t="shared" si="195"/>
        <v>8760</v>
      </c>
      <c r="IG146" s="2086">
        <f t="shared" si="195"/>
        <v>8760</v>
      </c>
      <c r="IH146" s="2086">
        <f t="shared" si="195"/>
        <v>8760</v>
      </c>
      <c r="II146" s="2086">
        <f t="shared" si="195"/>
        <v>8760</v>
      </c>
      <c r="IJ146" s="2086">
        <f t="shared" si="195"/>
        <v>8760</v>
      </c>
      <c r="IK146" s="2086">
        <f t="shared" si="195"/>
        <v>8760</v>
      </c>
      <c r="IL146" s="2086">
        <f t="shared" si="195"/>
        <v>8760</v>
      </c>
      <c r="IM146" s="2086">
        <f t="shared" si="195"/>
        <v>8760</v>
      </c>
      <c r="IN146" s="2086">
        <f t="shared" si="195"/>
        <v>8760</v>
      </c>
      <c r="IO146" s="2086">
        <f t="shared" si="195"/>
        <v>8760</v>
      </c>
      <c r="IP146" s="2086">
        <f t="shared" si="195"/>
        <v>8760</v>
      </c>
      <c r="IQ146" s="2086">
        <f t="shared" si="195"/>
        <v>8760</v>
      </c>
      <c r="IR146" s="2086">
        <f t="shared" si="195"/>
        <v>8760</v>
      </c>
      <c r="IS146" s="2086">
        <f t="shared" si="195"/>
        <v>8760</v>
      </c>
      <c r="IT146" s="2086">
        <f t="shared" si="195"/>
        <v>8760</v>
      </c>
      <c r="IU146" s="2086">
        <f t="shared" si="195"/>
        <v>8760</v>
      </c>
      <c r="IV146" s="2086">
        <f t="shared" si="195"/>
        <v>8760</v>
      </c>
      <c r="IW146" s="2086">
        <f t="shared" si="195"/>
        <v>8760</v>
      </c>
      <c r="IX146" s="2086">
        <f t="shared" si="195"/>
        <v>8760</v>
      </c>
      <c r="IY146" s="2086">
        <f t="shared" si="195"/>
        <v>8760</v>
      </c>
      <c r="IZ146" s="2086">
        <f t="shared" si="195"/>
        <v>8760</v>
      </c>
      <c r="JA146" s="2086">
        <f t="shared" si="195"/>
        <v>8760</v>
      </c>
      <c r="JB146" s="2086">
        <f t="shared" si="195"/>
        <v>8760</v>
      </c>
      <c r="JC146" s="2086">
        <f t="shared" ref="JC146:LN146" si="196">IF(JC144&gt;JC145,JC144,IF(JC145&gt;JC144,JC145))</f>
        <v>8760</v>
      </c>
      <c r="JD146" s="2086">
        <f t="shared" si="196"/>
        <v>8760</v>
      </c>
      <c r="JE146" s="2086">
        <f t="shared" si="196"/>
        <v>8760</v>
      </c>
      <c r="JF146" s="2086">
        <f t="shared" si="196"/>
        <v>8760</v>
      </c>
      <c r="JG146" s="2086">
        <f t="shared" si="196"/>
        <v>8760</v>
      </c>
      <c r="JH146" s="2086">
        <f t="shared" si="196"/>
        <v>8760</v>
      </c>
      <c r="JI146" s="2086">
        <f t="shared" si="196"/>
        <v>8760</v>
      </c>
      <c r="JJ146" s="2086">
        <f t="shared" si="196"/>
        <v>8760</v>
      </c>
      <c r="JK146" s="2086">
        <f t="shared" si="196"/>
        <v>8760</v>
      </c>
      <c r="JL146" s="2086">
        <f t="shared" si="196"/>
        <v>8760</v>
      </c>
      <c r="JM146" s="2086">
        <f t="shared" si="196"/>
        <v>8760</v>
      </c>
      <c r="JN146" s="2086">
        <f t="shared" si="196"/>
        <v>8760</v>
      </c>
      <c r="JO146" s="2086">
        <f t="shared" si="196"/>
        <v>8760</v>
      </c>
      <c r="JP146" s="2086">
        <f t="shared" si="196"/>
        <v>8760</v>
      </c>
      <c r="JQ146" s="2086">
        <f t="shared" si="196"/>
        <v>8760</v>
      </c>
      <c r="JR146" s="2086">
        <f t="shared" si="196"/>
        <v>8760</v>
      </c>
      <c r="JS146" s="2086">
        <f t="shared" si="196"/>
        <v>8760</v>
      </c>
      <c r="JT146" s="2086">
        <f t="shared" si="196"/>
        <v>8760</v>
      </c>
      <c r="JU146" s="2086">
        <f t="shared" si="196"/>
        <v>8760</v>
      </c>
      <c r="JV146" s="2086">
        <f t="shared" si="196"/>
        <v>8760</v>
      </c>
      <c r="JW146" s="2086">
        <f t="shared" si="196"/>
        <v>8760</v>
      </c>
      <c r="JX146" s="2086">
        <f t="shared" si="196"/>
        <v>8760</v>
      </c>
      <c r="JY146" s="2086">
        <f t="shared" si="196"/>
        <v>8760</v>
      </c>
      <c r="JZ146" s="2086">
        <f t="shared" si="196"/>
        <v>8760</v>
      </c>
      <c r="KA146" s="2086">
        <f t="shared" si="196"/>
        <v>8760</v>
      </c>
      <c r="KB146" s="2086">
        <f t="shared" si="196"/>
        <v>8760</v>
      </c>
      <c r="KC146" s="2086">
        <f t="shared" si="196"/>
        <v>8760</v>
      </c>
      <c r="KD146" s="2086">
        <f t="shared" si="196"/>
        <v>8760</v>
      </c>
      <c r="KE146" s="2086">
        <f t="shared" si="196"/>
        <v>8760</v>
      </c>
      <c r="KF146" s="2086">
        <f t="shared" si="196"/>
        <v>8760</v>
      </c>
      <c r="KG146" s="2086">
        <f t="shared" si="196"/>
        <v>8760</v>
      </c>
      <c r="KH146" s="2086">
        <f t="shared" si="196"/>
        <v>8760</v>
      </c>
      <c r="KI146" s="2086">
        <f t="shared" si="196"/>
        <v>8760</v>
      </c>
      <c r="KJ146" s="2086">
        <f t="shared" si="196"/>
        <v>8760</v>
      </c>
      <c r="KK146" s="2086">
        <f t="shared" si="196"/>
        <v>8760</v>
      </c>
      <c r="KL146" s="2086">
        <f t="shared" si="196"/>
        <v>8760</v>
      </c>
      <c r="KM146" s="2086">
        <f t="shared" si="196"/>
        <v>8760</v>
      </c>
      <c r="KN146" s="2086">
        <f t="shared" si="196"/>
        <v>8760</v>
      </c>
      <c r="KO146" s="2086">
        <f t="shared" si="196"/>
        <v>8760</v>
      </c>
      <c r="KP146" s="2086">
        <f t="shared" si="196"/>
        <v>8760</v>
      </c>
      <c r="KQ146" s="2086">
        <f t="shared" si="196"/>
        <v>8760</v>
      </c>
      <c r="KR146" s="2086">
        <f t="shared" si="196"/>
        <v>8760</v>
      </c>
      <c r="KS146" s="2086">
        <f t="shared" si="196"/>
        <v>8760</v>
      </c>
      <c r="KT146" s="2086">
        <f t="shared" si="196"/>
        <v>8760</v>
      </c>
      <c r="KU146" s="2086">
        <f t="shared" si="196"/>
        <v>8760</v>
      </c>
      <c r="KV146" s="2086">
        <f t="shared" si="196"/>
        <v>8760</v>
      </c>
      <c r="KW146" s="2086">
        <f t="shared" si="196"/>
        <v>8760</v>
      </c>
      <c r="KX146" s="2086">
        <f t="shared" si="196"/>
        <v>8760</v>
      </c>
      <c r="KY146" s="2086">
        <f t="shared" si="196"/>
        <v>8760</v>
      </c>
      <c r="KZ146" s="2086">
        <f t="shared" si="196"/>
        <v>8760</v>
      </c>
      <c r="LA146" s="2086">
        <f t="shared" si="196"/>
        <v>8760</v>
      </c>
      <c r="LB146" s="2086">
        <f t="shared" si="196"/>
        <v>8760</v>
      </c>
      <c r="LC146" s="2086">
        <f t="shared" si="196"/>
        <v>8760</v>
      </c>
      <c r="LD146" s="2086">
        <f t="shared" si="196"/>
        <v>8760</v>
      </c>
      <c r="LE146" s="2086">
        <f t="shared" si="196"/>
        <v>8760</v>
      </c>
      <c r="LF146" s="2086">
        <f t="shared" si="196"/>
        <v>8760</v>
      </c>
      <c r="LG146" s="2086">
        <f t="shared" si="196"/>
        <v>8760</v>
      </c>
      <c r="LH146" s="2086">
        <f t="shared" si="196"/>
        <v>8760</v>
      </c>
      <c r="LI146" s="2086">
        <f t="shared" si="196"/>
        <v>8760</v>
      </c>
      <c r="LJ146" s="2086">
        <f t="shared" si="196"/>
        <v>8760</v>
      </c>
      <c r="LK146" s="2086">
        <f t="shared" si="196"/>
        <v>8760</v>
      </c>
      <c r="LL146" s="2086">
        <f t="shared" si="196"/>
        <v>8760</v>
      </c>
      <c r="LM146" s="2086">
        <f t="shared" si="196"/>
        <v>8760</v>
      </c>
      <c r="LN146" s="2086">
        <f t="shared" si="196"/>
        <v>8760</v>
      </c>
      <c r="LO146" s="2086">
        <f t="shared" ref="LO146:NZ146" si="197">IF(LO144&gt;LO145,LO144,IF(LO145&gt;LO144,LO145))</f>
        <v>8760</v>
      </c>
      <c r="LP146" s="2086">
        <f t="shared" si="197"/>
        <v>8760</v>
      </c>
      <c r="LQ146" s="2086">
        <f t="shared" si="197"/>
        <v>8760</v>
      </c>
      <c r="LR146" s="2086">
        <f t="shared" si="197"/>
        <v>8760</v>
      </c>
      <c r="LS146" s="2086">
        <f t="shared" si="197"/>
        <v>8760</v>
      </c>
      <c r="LT146" s="2086">
        <f t="shared" si="197"/>
        <v>8760</v>
      </c>
      <c r="LU146" s="2086">
        <f t="shared" si="197"/>
        <v>8760</v>
      </c>
      <c r="LV146" s="2086">
        <f t="shared" si="197"/>
        <v>8760</v>
      </c>
      <c r="LW146" s="2086">
        <f t="shared" si="197"/>
        <v>8760</v>
      </c>
      <c r="LX146" s="2086">
        <f t="shared" si="197"/>
        <v>8760</v>
      </c>
      <c r="LY146" s="2086">
        <f t="shared" si="197"/>
        <v>8760</v>
      </c>
      <c r="LZ146" s="2086">
        <f t="shared" si="197"/>
        <v>8760</v>
      </c>
      <c r="MA146" s="2086">
        <f t="shared" si="197"/>
        <v>8760</v>
      </c>
      <c r="MB146" s="2086">
        <f t="shared" si="197"/>
        <v>8760</v>
      </c>
      <c r="MC146" s="2086">
        <f t="shared" si="197"/>
        <v>8760</v>
      </c>
      <c r="MD146" s="2086">
        <f t="shared" si="197"/>
        <v>8760</v>
      </c>
      <c r="ME146" s="2086">
        <f t="shared" si="197"/>
        <v>8760</v>
      </c>
      <c r="MF146" s="2086">
        <f t="shared" si="197"/>
        <v>8760</v>
      </c>
      <c r="MG146" s="2086">
        <f t="shared" si="197"/>
        <v>8760</v>
      </c>
      <c r="MH146" s="2086">
        <f t="shared" si="197"/>
        <v>8760</v>
      </c>
      <c r="MI146" s="2086">
        <f t="shared" si="197"/>
        <v>8760</v>
      </c>
      <c r="MJ146" s="2086">
        <f t="shared" si="197"/>
        <v>8760</v>
      </c>
      <c r="MK146" s="2086">
        <f t="shared" si="197"/>
        <v>8760</v>
      </c>
      <c r="ML146" s="2086">
        <f t="shared" si="197"/>
        <v>8760</v>
      </c>
      <c r="MM146" s="2086">
        <f t="shared" si="197"/>
        <v>8760</v>
      </c>
      <c r="MN146" s="2086">
        <f t="shared" si="197"/>
        <v>8760</v>
      </c>
      <c r="MO146" s="2086">
        <f t="shared" si="197"/>
        <v>8760</v>
      </c>
      <c r="MP146" s="2086">
        <f t="shared" si="197"/>
        <v>8760</v>
      </c>
      <c r="MQ146" s="2086">
        <f t="shared" si="197"/>
        <v>8760</v>
      </c>
      <c r="MR146" s="2086">
        <f t="shared" si="197"/>
        <v>8760</v>
      </c>
      <c r="MS146" s="2086">
        <f t="shared" si="197"/>
        <v>8760</v>
      </c>
      <c r="MT146" s="2086">
        <f t="shared" si="197"/>
        <v>8760</v>
      </c>
      <c r="MU146" s="2086">
        <f t="shared" si="197"/>
        <v>8760</v>
      </c>
      <c r="MV146" s="2086">
        <f t="shared" si="197"/>
        <v>8760</v>
      </c>
      <c r="MW146" s="2086">
        <f t="shared" si="197"/>
        <v>8760</v>
      </c>
      <c r="MX146" s="2086">
        <f t="shared" si="197"/>
        <v>8760</v>
      </c>
      <c r="MY146" s="2086">
        <f t="shared" si="197"/>
        <v>8760</v>
      </c>
      <c r="MZ146" s="2086">
        <f t="shared" si="197"/>
        <v>8760</v>
      </c>
      <c r="NA146" s="2086">
        <f t="shared" si="197"/>
        <v>8760</v>
      </c>
      <c r="NB146" s="2086">
        <f t="shared" si="197"/>
        <v>8760</v>
      </c>
      <c r="NC146" s="2086">
        <f t="shared" si="197"/>
        <v>8760</v>
      </c>
      <c r="ND146" s="2086">
        <f t="shared" si="197"/>
        <v>8760</v>
      </c>
      <c r="NE146" s="2086">
        <f t="shared" si="197"/>
        <v>8760</v>
      </c>
      <c r="NF146" s="2086">
        <f t="shared" si="197"/>
        <v>8760</v>
      </c>
      <c r="NG146" s="2086">
        <f t="shared" si="197"/>
        <v>8760</v>
      </c>
      <c r="NH146" s="2086">
        <f t="shared" si="197"/>
        <v>8760</v>
      </c>
      <c r="NI146" s="2086">
        <f t="shared" si="197"/>
        <v>8760</v>
      </c>
      <c r="NJ146" s="2086">
        <f t="shared" si="197"/>
        <v>8760</v>
      </c>
      <c r="NK146" s="2086">
        <f t="shared" si="197"/>
        <v>8760</v>
      </c>
      <c r="NL146" s="2086">
        <f t="shared" si="197"/>
        <v>8760</v>
      </c>
      <c r="NM146" s="2086">
        <f t="shared" si="197"/>
        <v>8760</v>
      </c>
      <c r="NN146" s="2086">
        <f t="shared" si="197"/>
        <v>8760</v>
      </c>
      <c r="NO146" s="2086">
        <f t="shared" si="197"/>
        <v>8760</v>
      </c>
      <c r="NP146" s="2086" t="e">
        <f t="shared" si="197"/>
        <v>#DIV/0!</v>
      </c>
      <c r="NQ146" s="2086" t="e">
        <f t="shared" si="197"/>
        <v>#DIV/0!</v>
      </c>
      <c r="NR146" s="2086" t="e">
        <f t="shared" si="197"/>
        <v>#DIV/0!</v>
      </c>
      <c r="NS146" s="2086" t="e">
        <f t="shared" si="197"/>
        <v>#DIV/0!</v>
      </c>
      <c r="NT146" s="2086" t="e">
        <f t="shared" si="197"/>
        <v>#DIV/0!</v>
      </c>
      <c r="NU146" s="2086" t="e">
        <f t="shared" si="197"/>
        <v>#DIV/0!</v>
      </c>
      <c r="NV146" s="2086" t="e">
        <f t="shared" si="197"/>
        <v>#DIV/0!</v>
      </c>
      <c r="NW146" s="2086" t="e">
        <f t="shared" si="197"/>
        <v>#DIV/0!</v>
      </c>
      <c r="NX146" s="2086" t="e">
        <f t="shared" si="197"/>
        <v>#DIV/0!</v>
      </c>
      <c r="NY146" s="2086" t="e">
        <f t="shared" si="197"/>
        <v>#DIV/0!</v>
      </c>
      <c r="NZ146" s="2086" t="e">
        <f t="shared" si="197"/>
        <v>#DIV/0!</v>
      </c>
      <c r="OA146" s="2086" t="e">
        <f t="shared" ref="OA146:QL146" si="198">IF(OA144&gt;OA145,OA144,IF(OA145&gt;OA144,OA145))</f>
        <v>#DIV/0!</v>
      </c>
      <c r="OB146" s="2086" t="e">
        <f t="shared" si="198"/>
        <v>#DIV/0!</v>
      </c>
      <c r="OC146" s="2086" t="e">
        <f t="shared" si="198"/>
        <v>#DIV/0!</v>
      </c>
      <c r="OD146" s="2086" t="e">
        <f t="shared" si="198"/>
        <v>#DIV/0!</v>
      </c>
      <c r="OE146" s="2086" t="e">
        <f t="shared" si="198"/>
        <v>#DIV/0!</v>
      </c>
      <c r="OF146" s="2086" t="e">
        <f t="shared" si="198"/>
        <v>#DIV/0!</v>
      </c>
      <c r="OG146" s="2086">
        <f t="shared" si="198"/>
        <v>8760</v>
      </c>
      <c r="OH146" s="2086">
        <f t="shared" si="198"/>
        <v>8760</v>
      </c>
      <c r="OI146" s="2086">
        <f t="shared" si="198"/>
        <v>8760</v>
      </c>
      <c r="OJ146" s="2086">
        <f t="shared" si="198"/>
        <v>8760</v>
      </c>
      <c r="OK146" s="2086">
        <f t="shared" si="198"/>
        <v>8760</v>
      </c>
      <c r="OL146" s="2086">
        <f t="shared" si="198"/>
        <v>8760</v>
      </c>
      <c r="OM146" s="2086">
        <f t="shared" si="198"/>
        <v>8760</v>
      </c>
      <c r="ON146" s="2086">
        <f t="shared" si="198"/>
        <v>8760</v>
      </c>
      <c r="OO146" s="2086">
        <f t="shared" si="198"/>
        <v>8760</v>
      </c>
      <c r="OP146" s="2086">
        <f t="shared" si="198"/>
        <v>8760</v>
      </c>
      <c r="OQ146" s="2086">
        <f t="shared" si="198"/>
        <v>8760</v>
      </c>
      <c r="OR146" s="2086">
        <f t="shared" si="198"/>
        <v>8760</v>
      </c>
      <c r="OS146" s="2086">
        <f t="shared" si="198"/>
        <v>8760</v>
      </c>
      <c r="OT146" s="2086">
        <f t="shared" si="198"/>
        <v>8760</v>
      </c>
      <c r="OU146" s="2086">
        <f t="shared" si="198"/>
        <v>8760</v>
      </c>
      <c r="OV146" s="2086">
        <f t="shared" si="198"/>
        <v>8760</v>
      </c>
      <c r="OW146" s="2086">
        <f t="shared" si="198"/>
        <v>8760</v>
      </c>
      <c r="OX146" s="2086">
        <f t="shared" si="198"/>
        <v>8760</v>
      </c>
      <c r="OY146" s="2086">
        <f t="shared" si="198"/>
        <v>8760</v>
      </c>
      <c r="OZ146" s="2086">
        <f t="shared" si="198"/>
        <v>8760</v>
      </c>
      <c r="PA146" s="2086">
        <f t="shared" si="198"/>
        <v>8760</v>
      </c>
      <c r="PB146" s="2086">
        <f t="shared" si="198"/>
        <v>8760</v>
      </c>
      <c r="PC146" s="2086">
        <f t="shared" si="198"/>
        <v>8760</v>
      </c>
      <c r="PD146" s="2086">
        <f t="shared" si="198"/>
        <v>8760</v>
      </c>
      <c r="PE146" s="2086">
        <f t="shared" si="198"/>
        <v>8760</v>
      </c>
      <c r="PF146" s="2086">
        <f t="shared" si="198"/>
        <v>8760</v>
      </c>
      <c r="PG146" s="2086">
        <f t="shared" si="198"/>
        <v>8760</v>
      </c>
      <c r="PH146" s="2086">
        <f t="shared" si="198"/>
        <v>8760</v>
      </c>
      <c r="PI146" s="2086">
        <f t="shared" si="198"/>
        <v>8760</v>
      </c>
      <c r="PJ146" s="2086">
        <f t="shared" si="198"/>
        <v>8760</v>
      </c>
      <c r="PK146" s="2086">
        <f t="shared" si="198"/>
        <v>8760</v>
      </c>
      <c r="PL146" s="2086">
        <f t="shared" si="198"/>
        <v>8760</v>
      </c>
      <c r="PM146" s="2086">
        <f t="shared" si="198"/>
        <v>8760</v>
      </c>
      <c r="PN146" s="2086">
        <f t="shared" si="198"/>
        <v>8760</v>
      </c>
      <c r="PO146" s="2086">
        <f t="shared" si="198"/>
        <v>8760</v>
      </c>
      <c r="PP146" s="2086">
        <f t="shared" si="198"/>
        <v>8760</v>
      </c>
      <c r="PQ146" s="2086">
        <f t="shared" si="198"/>
        <v>8760</v>
      </c>
      <c r="PR146" s="2086">
        <f t="shared" si="198"/>
        <v>8760</v>
      </c>
      <c r="PS146" s="2086">
        <f t="shared" si="198"/>
        <v>8760</v>
      </c>
      <c r="PT146" s="2086">
        <f t="shared" si="198"/>
        <v>8760</v>
      </c>
      <c r="PU146" s="2086">
        <f t="shared" si="198"/>
        <v>8760</v>
      </c>
      <c r="PV146" s="2086">
        <f t="shared" si="198"/>
        <v>8760</v>
      </c>
      <c r="PW146" s="2086">
        <f t="shared" si="198"/>
        <v>8760</v>
      </c>
      <c r="PX146" s="2086">
        <f t="shared" si="198"/>
        <v>8760</v>
      </c>
      <c r="PY146" s="2086">
        <f t="shared" si="198"/>
        <v>8760</v>
      </c>
      <c r="PZ146" s="2086">
        <f t="shared" si="198"/>
        <v>8760</v>
      </c>
      <c r="QA146" s="2086">
        <f t="shared" si="198"/>
        <v>8760</v>
      </c>
      <c r="QB146" s="2086">
        <f t="shared" si="198"/>
        <v>8760</v>
      </c>
      <c r="QC146" s="2086">
        <f t="shared" si="198"/>
        <v>8760</v>
      </c>
      <c r="QD146" s="2086">
        <f t="shared" si="198"/>
        <v>8760</v>
      </c>
      <c r="QE146" s="2086">
        <f t="shared" si="198"/>
        <v>8760</v>
      </c>
      <c r="QF146" s="2086">
        <f t="shared" si="198"/>
        <v>8760</v>
      </c>
      <c r="QG146" s="2086">
        <f t="shared" si="198"/>
        <v>8760</v>
      </c>
      <c r="QH146" s="2086">
        <f t="shared" si="198"/>
        <v>8760</v>
      </c>
      <c r="QI146" s="2086">
        <f t="shared" si="198"/>
        <v>8760</v>
      </c>
      <c r="QJ146" s="2086">
        <f t="shared" si="198"/>
        <v>8760</v>
      </c>
      <c r="QK146" s="2086">
        <f t="shared" si="198"/>
        <v>8760</v>
      </c>
      <c r="QL146" s="2086">
        <f t="shared" si="198"/>
        <v>8760</v>
      </c>
      <c r="QM146" s="2086">
        <f t="shared" ref="QM146:SX146" si="199">IF(QM144&gt;QM145,QM144,IF(QM145&gt;QM144,QM145))</f>
        <v>8760</v>
      </c>
      <c r="QN146" s="2086">
        <f t="shared" si="199"/>
        <v>8760</v>
      </c>
      <c r="QO146" s="2086">
        <f t="shared" si="199"/>
        <v>8760</v>
      </c>
      <c r="QP146" s="2086">
        <f t="shared" si="199"/>
        <v>8760</v>
      </c>
      <c r="QQ146" s="2086">
        <f t="shared" si="199"/>
        <v>8760</v>
      </c>
      <c r="QR146" s="2086">
        <f t="shared" si="199"/>
        <v>8760</v>
      </c>
      <c r="QS146" s="2086">
        <f t="shared" si="199"/>
        <v>8760</v>
      </c>
      <c r="QT146" s="2086">
        <f t="shared" si="199"/>
        <v>8760</v>
      </c>
      <c r="QU146" s="2086">
        <f t="shared" si="199"/>
        <v>8760</v>
      </c>
      <c r="QV146" s="2086">
        <f t="shared" si="199"/>
        <v>8760</v>
      </c>
      <c r="QW146" s="2086">
        <f t="shared" si="199"/>
        <v>8760</v>
      </c>
      <c r="QX146" s="2086">
        <f t="shared" si="199"/>
        <v>8760</v>
      </c>
      <c r="QY146" s="2086">
        <f t="shared" si="199"/>
        <v>8760</v>
      </c>
      <c r="QZ146" s="2086">
        <f t="shared" si="199"/>
        <v>8760</v>
      </c>
      <c r="RA146" s="2086">
        <f t="shared" si="199"/>
        <v>8760</v>
      </c>
      <c r="RB146" s="2086">
        <f t="shared" si="199"/>
        <v>8760</v>
      </c>
      <c r="RC146" s="2086">
        <f t="shared" si="199"/>
        <v>8760</v>
      </c>
      <c r="RD146" s="2086">
        <f t="shared" si="199"/>
        <v>8760</v>
      </c>
      <c r="RE146" s="2086">
        <f t="shared" si="199"/>
        <v>8760</v>
      </c>
      <c r="RF146" s="2086">
        <f t="shared" si="199"/>
        <v>8760</v>
      </c>
      <c r="RG146" s="2086">
        <f t="shared" si="199"/>
        <v>8760</v>
      </c>
      <c r="RH146" s="2086">
        <f t="shared" si="199"/>
        <v>8760</v>
      </c>
      <c r="RI146" s="2086">
        <f t="shared" si="199"/>
        <v>8760</v>
      </c>
      <c r="RJ146" s="2086">
        <f t="shared" si="199"/>
        <v>8760</v>
      </c>
      <c r="RK146" s="2086">
        <f t="shared" si="199"/>
        <v>8760</v>
      </c>
      <c r="RL146" s="2086">
        <f t="shared" si="199"/>
        <v>8760</v>
      </c>
      <c r="RM146" s="2086">
        <f t="shared" si="199"/>
        <v>8760</v>
      </c>
      <c r="RN146" s="2086" t="e">
        <f t="shared" si="199"/>
        <v>#DIV/0!</v>
      </c>
      <c r="RO146" s="2086" t="e">
        <f t="shared" si="199"/>
        <v>#DIV/0!</v>
      </c>
      <c r="RP146" s="2086" t="e">
        <f t="shared" si="199"/>
        <v>#DIV/0!</v>
      </c>
      <c r="RQ146" s="2086" t="e">
        <f t="shared" si="199"/>
        <v>#DIV/0!</v>
      </c>
      <c r="RR146" s="2086" t="e">
        <f t="shared" si="199"/>
        <v>#DIV/0!</v>
      </c>
      <c r="RS146" s="2086" t="e">
        <f t="shared" si="199"/>
        <v>#DIV/0!</v>
      </c>
      <c r="RT146" s="2086" t="e">
        <f t="shared" si="199"/>
        <v>#DIV/0!</v>
      </c>
      <c r="RU146" s="2086" t="e">
        <f t="shared" si="199"/>
        <v>#DIV/0!</v>
      </c>
      <c r="RV146" s="2086" t="e">
        <f t="shared" si="199"/>
        <v>#DIV/0!</v>
      </c>
      <c r="RW146" s="2086" t="e">
        <f t="shared" si="199"/>
        <v>#DIV/0!</v>
      </c>
      <c r="RX146" s="2086" t="e">
        <f t="shared" si="199"/>
        <v>#DIV/0!</v>
      </c>
      <c r="RY146" s="2086" t="e">
        <f t="shared" si="199"/>
        <v>#DIV/0!</v>
      </c>
      <c r="RZ146" s="2086" t="e">
        <f t="shared" si="199"/>
        <v>#DIV/0!</v>
      </c>
      <c r="SA146" s="2086" t="e">
        <f t="shared" si="199"/>
        <v>#DIV/0!</v>
      </c>
      <c r="SB146" s="2086" t="e">
        <f t="shared" si="199"/>
        <v>#DIV/0!</v>
      </c>
      <c r="SC146" s="2086" t="e">
        <f t="shared" si="199"/>
        <v>#DIV/0!</v>
      </c>
      <c r="SD146" s="2086" t="e">
        <f t="shared" si="199"/>
        <v>#DIV/0!</v>
      </c>
      <c r="SE146" s="2086">
        <f t="shared" si="199"/>
        <v>8760</v>
      </c>
      <c r="SF146" s="2086">
        <f t="shared" si="199"/>
        <v>8760</v>
      </c>
      <c r="SG146" s="2086">
        <f t="shared" si="199"/>
        <v>8760</v>
      </c>
      <c r="SH146" s="2086">
        <f t="shared" si="199"/>
        <v>8760</v>
      </c>
      <c r="SI146" s="2086">
        <f t="shared" si="199"/>
        <v>8760</v>
      </c>
      <c r="SJ146" s="2086">
        <f t="shared" si="199"/>
        <v>8760</v>
      </c>
      <c r="SK146" s="2086">
        <f t="shared" si="199"/>
        <v>8760</v>
      </c>
      <c r="SL146" s="2086">
        <f t="shared" si="199"/>
        <v>8760</v>
      </c>
      <c r="SM146" s="2086">
        <f t="shared" si="199"/>
        <v>8760</v>
      </c>
      <c r="SN146" s="2086">
        <f t="shared" si="199"/>
        <v>8760</v>
      </c>
      <c r="SO146" s="2086">
        <f t="shared" si="199"/>
        <v>8760</v>
      </c>
      <c r="SP146" s="2086">
        <f t="shared" si="199"/>
        <v>8760</v>
      </c>
      <c r="SQ146" s="2086">
        <f t="shared" si="199"/>
        <v>8760</v>
      </c>
      <c r="SR146" s="2086">
        <f t="shared" si="199"/>
        <v>8760</v>
      </c>
      <c r="SS146" s="2086">
        <f t="shared" si="199"/>
        <v>8760</v>
      </c>
      <c r="ST146" s="2086">
        <f t="shared" si="199"/>
        <v>8760</v>
      </c>
      <c r="SU146" s="2086">
        <f t="shared" si="199"/>
        <v>8760</v>
      </c>
      <c r="SV146" s="2086">
        <f t="shared" si="199"/>
        <v>8760</v>
      </c>
      <c r="SW146" s="2086">
        <f t="shared" si="199"/>
        <v>8760</v>
      </c>
      <c r="SX146" s="2086">
        <f t="shared" si="199"/>
        <v>8760</v>
      </c>
      <c r="SY146" s="2086">
        <f t="shared" ref="SY146:VJ146" si="200">IF(SY144&gt;SY145,SY144,IF(SY145&gt;SY144,SY145))</f>
        <v>8760</v>
      </c>
      <c r="SZ146" s="2086">
        <f t="shared" si="200"/>
        <v>8760</v>
      </c>
      <c r="TA146" s="2086">
        <f t="shared" si="200"/>
        <v>8760</v>
      </c>
      <c r="TB146" s="2086">
        <f t="shared" si="200"/>
        <v>8760</v>
      </c>
      <c r="TC146" s="2086">
        <f t="shared" si="200"/>
        <v>8760</v>
      </c>
      <c r="TD146" s="2086">
        <f t="shared" si="200"/>
        <v>8760</v>
      </c>
      <c r="TE146" s="2086">
        <f t="shared" si="200"/>
        <v>8760</v>
      </c>
      <c r="TF146" s="2086">
        <f t="shared" si="200"/>
        <v>8760</v>
      </c>
      <c r="TG146" s="2086">
        <f t="shared" si="200"/>
        <v>8760</v>
      </c>
      <c r="TH146" s="2086">
        <f t="shared" si="200"/>
        <v>8760</v>
      </c>
      <c r="TI146" s="2086">
        <f t="shared" si="200"/>
        <v>8760</v>
      </c>
      <c r="TJ146" s="2086">
        <f t="shared" si="200"/>
        <v>8760</v>
      </c>
      <c r="TK146" s="2086">
        <f t="shared" si="200"/>
        <v>8760</v>
      </c>
      <c r="TL146" s="2086">
        <f t="shared" si="200"/>
        <v>8760</v>
      </c>
      <c r="TM146" s="2086">
        <f t="shared" si="200"/>
        <v>8760</v>
      </c>
      <c r="TN146" s="2086">
        <f t="shared" si="200"/>
        <v>8760</v>
      </c>
      <c r="TO146" s="2086">
        <f t="shared" si="200"/>
        <v>8760</v>
      </c>
      <c r="TP146" s="2086">
        <f t="shared" si="200"/>
        <v>8760</v>
      </c>
      <c r="TQ146" s="2086">
        <f t="shared" si="200"/>
        <v>8760</v>
      </c>
      <c r="TR146" s="2086">
        <f t="shared" si="200"/>
        <v>8760</v>
      </c>
      <c r="TS146" s="2086">
        <f t="shared" si="200"/>
        <v>8760</v>
      </c>
      <c r="TT146" s="2086">
        <f t="shared" si="200"/>
        <v>8760</v>
      </c>
      <c r="TU146" s="2086">
        <f t="shared" si="200"/>
        <v>8760</v>
      </c>
      <c r="TV146" s="2086">
        <f t="shared" si="200"/>
        <v>8760</v>
      </c>
      <c r="TW146" s="2086">
        <f t="shared" si="200"/>
        <v>8760</v>
      </c>
      <c r="TX146" s="2086">
        <f t="shared" si="200"/>
        <v>8760</v>
      </c>
      <c r="TY146" s="2086">
        <f t="shared" si="200"/>
        <v>8760</v>
      </c>
      <c r="TZ146" s="2086">
        <f t="shared" si="200"/>
        <v>8760</v>
      </c>
      <c r="UA146" s="2086">
        <f t="shared" si="200"/>
        <v>8760</v>
      </c>
      <c r="UB146" s="2086">
        <f t="shared" si="200"/>
        <v>8760</v>
      </c>
      <c r="UC146" s="2086">
        <f t="shared" si="200"/>
        <v>8760</v>
      </c>
      <c r="UD146" s="2086" t="e">
        <f t="shared" si="200"/>
        <v>#DIV/0!</v>
      </c>
      <c r="UE146" s="2086" t="e">
        <f t="shared" si="200"/>
        <v>#DIV/0!</v>
      </c>
      <c r="UF146" s="2086" t="e">
        <f t="shared" si="200"/>
        <v>#DIV/0!</v>
      </c>
      <c r="UG146" s="2086" t="e">
        <f t="shared" si="200"/>
        <v>#DIV/0!</v>
      </c>
      <c r="UH146" s="2086" t="e">
        <f t="shared" si="200"/>
        <v>#DIV/0!</v>
      </c>
      <c r="UI146" s="2086" t="e">
        <f t="shared" si="200"/>
        <v>#DIV/0!</v>
      </c>
      <c r="UJ146" s="2086" t="e">
        <f t="shared" si="200"/>
        <v>#DIV/0!</v>
      </c>
      <c r="UK146" s="2086" t="e">
        <f t="shared" si="200"/>
        <v>#DIV/0!</v>
      </c>
      <c r="UL146" s="2086" t="e">
        <f t="shared" si="200"/>
        <v>#DIV/0!</v>
      </c>
      <c r="UM146" s="2086" t="e">
        <f t="shared" si="200"/>
        <v>#DIV/0!</v>
      </c>
      <c r="UN146" s="2086" t="e">
        <f t="shared" si="200"/>
        <v>#DIV/0!</v>
      </c>
      <c r="UO146" s="2086" t="e">
        <f t="shared" si="200"/>
        <v>#DIV/0!</v>
      </c>
      <c r="UP146" s="2086" t="e">
        <f t="shared" si="200"/>
        <v>#DIV/0!</v>
      </c>
      <c r="UQ146" s="2086" t="e">
        <f t="shared" si="200"/>
        <v>#DIV/0!</v>
      </c>
      <c r="UR146" s="2086" t="e">
        <f t="shared" si="200"/>
        <v>#DIV/0!</v>
      </c>
      <c r="US146" s="2086" t="e">
        <f t="shared" si="200"/>
        <v>#DIV/0!</v>
      </c>
      <c r="UT146" s="2086" t="e">
        <f t="shared" si="200"/>
        <v>#DIV/0!</v>
      </c>
      <c r="UU146" s="2086">
        <f t="shared" si="200"/>
        <v>8760</v>
      </c>
      <c r="UV146" s="2086">
        <f t="shared" si="200"/>
        <v>8760</v>
      </c>
      <c r="UW146" s="2086">
        <f t="shared" si="200"/>
        <v>8760</v>
      </c>
      <c r="UX146" s="2086">
        <f t="shared" si="200"/>
        <v>8760</v>
      </c>
      <c r="UY146" s="2086">
        <f t="shared" si="200"/>
        <v>8760</v>
      </c>
      <c r="UZ146" s="2086">
        <f t="shared" si="200"/>
        <v>8760</v>
      </c>
      <c r="VA146" s="2086">
        <f t="shared" si="200"/>
        <v>8760</v>
      </c>
      <c r="VB146" s="2086">
        <f t="shared" si="200"/>
        <v>8760</v>
      </c>
      <c r="VC146" s="2086">
        <f t="shared" si="200"/>
        <v>8760</v>
      </c>
      <c r="VD146" s="2086">
        <f t="shared" si="200"/>
        <v>8760</v>
      </c>
      <c r="VE146" s="2086">
        <f t="shared" si="200"/>
        <v>8760</v>
      </c>
      <c r="VF146" s="2086">
        <f t="shared" si="200"/>
        <v>8760</v>
      </c>
      <c r="VG146" s="2086">
        <f t="shared" si="200"/>
        <v>8760</v>
      </c>
      <c r="VH146" s="2086">
        <f t="shared" si="200"/>
        <v>8760</v>
      </c>
      <c r="VI146" s="2086">
        <f t="shared" si="200"/>
        <v>8760</v>
      </c>
      <c r="VJ146" s="2086">
        <f t="shared" si="200"/>
        <v>8760</v>
      </c>
      <c r="VK146" s="2087">
        <f>IF(VK144&gt;VK145,VK144,IF(VK145&gt;VK144,VK145))</f>
        <v>8760</v>
      </c>
    </row>
    <row r="147" spans="1:583" ht="24.75" customHeight="1" x14ac:dyDescent="0.25">
      <c r="B147" s="1610" t="s">
        <v>96</v>
      </c>
      <c r="C147" s="1582" t="s">
        <v>2848</v>
      </c>
      <c r="D147" s="4710" t="s">
        <v>2849</v>
      </c>
      <c r="E147" s="4710">
        <v>0</v>
      </c>
      <c r="F147" s="1912"/>
      <c r="G147" s="1912"/>
      <c r="H147" s="1912"/>
      <c r="I147" s="1576"/>
      <c r="J147" s="1576"/>
      <c r="K147" s="1576"/>
      <c r="L147" s="1576"/>
      <c r="M147" s="1576"/>
      <c r="N147" s="1576"/>
      <c r="O147" s="1576"/>
      <c r="P147" s="1576"/>
      <c r="Q147" s="1576"/>
      <c r="R147" s="1576"/>
      <c r="S147" s="1576"/>
      <c r="T147" s="1576"/>
      <c r="U147" s="1576"/>
      <c r="V147" s="1576"/>
      <c r="W147" s="1576"/>
      <c r="X147" s="1576"/>
      <c r="Y147" s="1576"/>
      <c r="Z147" s="1576"/>
      <c r="AA147" s="1576"/>
      <c r="AB147" s="1576"/>
      <c r="AC147" s="1576"/>
      <c r="AD147" s="1576"/>
      <c r="AE147" s="1576"/>
      <c r="AF147" s="1576"/>
      <c r="AG147" s="1576"/>
      <c r="AH147" s="1576"/>
      <c r="AI147" s="1576"/>
      <c r="AJ147" s="1576"/>
      <c r="AK147" s="1576"/>
      <c r="AL147" s="1576"/>
      <c r="AM147" s="1576"/>
      <c r="AN147" s="1576"/>
      <c r="AO147" s="1576"/>
      <c r="AP147" s="1576"/>
      <c r="AQ147" s="1576"/>
      <c r="AR147" s="1576"/>
      <c r="AS147" s="1576"/>
      <c r="AT147" s="1576"/>
      <c r="AU147" s="1576"/>
      <c r="AV147" s="1576"/>
      <c r="AW147" s="1576"/>
      <c r="AX147" s="1576"/>
      <c r="AY147" s="1576"/>
      <c r="AZ147" s="1576"/>
      <c r="BA147" s="1576"/>
      <c r="BB147" s="1576"/>
      <c r="BC147" s="1576"/>
      <c r="BD147" s="1576"/>
      <c r="BE147" s="1576"/>
      <c r="BF147" s="1576"/>
      <c r="BG147" s="1576"/>
      <c r="BH147" s="1576"/>
      <c r="BI147" s="1576"/>
      <c r="BJ147" s="1576"/>
      <c r="BK147" s="1576"/>
      <c r="BL147" s="1576"/>
      <c r="BM147" s="1576"/>
      <c r="BN147" s="1576"/>
      <c r="BO147" s="1576"/>
      <c r="BP147" s="1576"/>
      <c r="BQ147" s="1576"/>
      <c r="BR147" s="1576"/>
      <c r="BS147" s="1576"/>
      <c r="BT147" s="1576"/>
      <c r="BU147" s="1576"/>
      <c r="BV147" s="1576"/>
      <c r="BW147" s="1576"/>
      <c r="BX147" s="1576"/>
      <c r="BY147" s="1576"/>
      <c r="BZ147" s="1576"/>
      <c r="CA147" s="1576"/>
      <c r="CB147" s="1576"/>
      <c r="CC147" s="1576"/>
      <c r="CD147" s="1576"/>
      <c r="CE147" s="1576"/>
      <c r="CF147" s="1576"/>
      <c r="CG147" s="1576"/>
      <c r="CH147" s="1576"/>
      <c r="CI147" s="1576"/>
      <c r="CJ147" s="1576"/>
      <c r="CK147" s="1576"/>
      <c r="CL147" s="1576"/>
      <c r="CM147" s="1576"/>
      <c r="CN147" s="1576"/>
      <c r="CO147" s="1576"/>
      <c r="CP147" s="1576"/>
      <c r="CQ147" s="1576"/>
      <c r="CR147" s="1576"/>
      <c r="CS147" s="1576"/>
      <c r="CT147" s="1576"/>
      <c r="CU147" s="1576"/>
      <c r="CV147" s="1576"/>
      <c r="CW147" s="1576"/>
      <c r="CX147" s="1576"/>
      <c r="CY147" s="1576"/>
      <c r="CZ147" s="1576"/>
      <c r="DA147" s="1576"/>
      <c r="DB147" s="1576"/>
      <c r="DC147" s="1576"/>
      <c r="DD147" s="1576"/>
      <c r="DE147" s="1576"/>
      <c r="DF147" s="1576"/>
      <c r="DG147" s="1576"/>
      <c r="DH147" s="1576"/>
      <c r="DI147" s="1576"/>
      <c r="DJ147" s="1576"/>
      <c r="DK147" s="1576"/>
      <c r="DL147" s="1576"/>
      <c r="DM147" s="1576"/>
      <c r="DN147" s="1576"/>
      <c r="DO147" s="1576"/>
      <c r="DP147" s="1576"/>
      <c r="DQ147" s="1576"/>
      <c r="DR147" s="1576"/>
      <c r="DS147" s="1576"/>
      <c r="DT147" s="1576"/>
      <c r="DU147" s="1576"/>
      <c r="DV147" s="1576"/>
      <c r="DW147" s="1576"/>
      <c r="DX147" s="1576"/>
      <c r="DY147" s="1576"/>
      <c r="DZ147" s="1576"/>
      <c r="EA147" s="1576"/>
      <c r="EB147" s="1576"/>
      <c r="EC147" s="1576"/>
      <c r="ED147" s="1576"/>
      <c r="EE147" s="1576"/>
      <c r="EF147" s="1576"/>
      <c r="EG147" s="1576"/>
      <c r="EH147" s="1576"/>
      <c r="EI147" s="1576"/>
      <c r="EJ147" s="1576"/>
      <c r="EK147" s="1576"/>
      <c r="EL147" s="1576"/>
      <c r="EM147" s="1576"/>
      <c r="EN147" s="1576"/>
      <c r="EO147" s="1576"/>
      <c r="EP147" s="1576"/>
      <c r="EQ147" s="1576"/>
      <c r="ER147" s="1576"/>
      <c r="ES147" s="1576"/>
      <c r="ET147" s="1576"/>
      <c r="EU147" s="1576"/>
      <c r="EV147" s="1576"/>
      <c r="EW147" s="1576"/>
      <c r="EX147" s="1576"/>
      <c r="EY147" s="1576"/>
      <c r="EZ147" s="1576"/>
      <c r="FA147" s="1576"/>
      <c r="FB147" s="1576"/>
      <c r="FC147" s="1576"/>
      <c r="FD147" s="1576"/>
      <c r="FE147" s="1576"/>
      <c r="FF147" s="1576"/>
      <c r="FG147" s="1576"/>
      <c r="FH147" s="1576"/>
      <c r="FI147" s="1576"/>
      <c r="FJ147" s="1576"/>
      <c r="FK147" s="1576"/>
      <c r="FL147" s="1576"/>
      <c r="FM147" s="1576"/>
      <c r="FN147" s="1576"/>
      <c r="FO147" s="1576"/>
      <c r="FP147" s="1576"/>
      <c r="FQ147" s="1576"/>
      <c r="FR147" s="1576"/>
      <c r="FS147" s="1576"/>
      <c r="FT147" s="1576"/>
      <c r="FU147" s="1576"/>
      <c r="FV147" s="1576"/>
      <c r="FW147" s="1576"/>
      <c r="FX147" s="1576"/>
      <c r="FY147" s="1576"/>
      <c r="FZ147" s="1576"/>
      <c r="GA147" s="1576"/>
      <c r="GB147" s="1576"/>
      <c r="GC147" s="1576"/>
      <c r="GD147" s="1576"/>
      <c r="GE147" s="1576"/>
      <c r="GF147" s="1576"/>
      <c r="GG147" s="1576"/>
      <c r="GH147" s="1576"/>
      <c r="GI147" s="1576"/>
      <c r="GJ147" s="1576"/>
      <c r="GK147" s="1576"/>
      <c r="GL147" s="1576"/>
      <c r="GM147" s="1576"/>
      <c r="GN147" s="1576"/>
      <c r="GO147" s="1576"/>
      <c r="GP147" s="1576"/>
      <c r="GQ147" s="1576"/>
      <c r="GR147" s="1576"/>
      <c r="GS147" s="1576"/>
      <c r="GT147" s="1576"/>
      <c r="GU147" s="1576"/>
      <c r="GV147" s="1576"/>
      <c r="GW147" s="1576"/>
      <c r="GX147" s="1576"/>
      <c r="GY147" s="1576"/>
      <c r="GZ147" s="1576"/>
      <c r="HA147" s="1576"/>
      <c r="HB147" s="1576"/>
      <c r="HC147" s="1576"/>
      <c r="HD147" s="1576"/>
      <c r="HE147" s="1576"/>
      <c r="HF147" s="1576"/>
      <c r="HG147" s="1576"/>
      <c r="HH147" s="1576"/>
      <c r="HI147" s="1576"/>
      <c r="HJ147" s="1576"/>
      <c r="HK147" s="1576"/>
      <c r="HL147" s="1576"/>
      <c r="HM147" s="1576"/>
      <c r="HN147" s="1576"/>
      <c r="HO147" s="1576"/>
      <c r="HP147" s="1576"/>
      <c r="HQ147" s="1576"/>
      <c r="HR147" s="1576"/>
      <c r="HS147" s="1576"/>
      <c r="HT147" s="1576"/>
      <c r="HU147" s="1576"/>
      <c r="HV147" s="1576"/>
      <c r="HW147" s="1576"/>
      <c r="HX147" s="1576"/>
      <c r="HY147" s="1576"/>
      <c r="HZ147" s="1576"/>
      <c r="IA147" s="1576"/>
      <c r="IB147" s="1576"/>
      <c r="IC147" s="1576"/>
      <c r="ID147" s="1576"/>
      <c r="IE147" s="1576"/>
      <c r="IF147" s="1576"/>
      <c r="IG147" s="1576"/>
      <c r="IH147" s="1576"/>
      <c r="II147" s="1576"/>
      <c r="IJ147" s="1576"/>
      <c r="IK147" s="1576"/>
      <c r="IL147" s="1576"/>
      <c r="IM147" s="1576"/>
      <c r="IN147" s="1576"/>
      <c r="IO147" s="1576"/>
      <c r="IP147" s="1576"/>
      <c r="IQ147" s="1576"/>
      <c r="IR147" s="1576"/>
      <c r="IS147" s="1576"/>
      <c r="IT147" s="1576"/>
      <c r="IU147" s="1576"/>
      <c r="IV147" s="1576"/>
      <c r="IW147" s="1576"/>
      <c r="IX147" s="1576"/>
      <c r="IY147" s="1576"/>
      <c r="IZ147" s="1576"/>
      <c r="JA147" s="2054"/>
      <c r="JB147" s="2054"/>
      <c r="JC147" s="2054"/>
      <c r="JD147" s="2054"/>
      <c r="JE147" s="2054"/>
      <c r="JF147" s="2054"/>
      <c r="JG147" s="2054"/>
      <c r="JH147" s="2054"/>
      <c r="JI147" s="2054"/>
      <c r="JJ147" s="2054"/>
      <c r="JK147" s="2054"/>
      <c r="JL147" s="2054"/>
      <c r="JM147" s="2054"/>
      <c r="JN147" s="2054"/>
      <c r="JO147" s="2054"/>
      <c r="JP147" s="2054"/>
      <c r="JQ147" s="2054"/>
      <c r="JR147" s="1576"/>
      <c r="JS147" s="1576"/>
      <c r="JT147" s="1576"/>
      <c r="JU147" s="1576"/>
      <c r="JV147" s="1576"/>
      <c r="JW147" s="1576"/>
      <c r="JX147" s="1576"/>
      <c r="JY147" s="1576"/>
      <c r="JZ147" s="1576"/>
      <c r="KA147" s="1576"/>
      <c r="KB147" s="1576"/>
      <c r="KC147" s="1576"/>
      <c r="KD147" s="1576"/>
      <c r="KE147" s="1576"/>
      <c r="KF147" s="1576"/>
      <c r="KG147" s="1576"/>
      <c r="KH147" s="1576"/>
      <c r="KI147" s="1576"/>
      <c r="KJ147" s="1576"/>
      <c r="KK147" s="1576"/>
      <c r="KL147" s="1576"/>
      <c r="KM147" s="1576"/>
      <c r="KN147" s="1576"/>
      <c r="KO147" s="1576"/>
      <c r="KP147" s="1576"/>
      <c r="KQ147" s="1576"/>
      <c r="KR147" s="1576"/>
      <c r="KS147" s="1576"/>
      <c r="KT147" s="1576"/>
      <c r="KU147" s="1576"/>
      <c r="KV147" s="1576"/>
      <c r="KW147" s="1576"/>
      <c r="KX147" s="1576"/>
      <c r="KY147" s="1576"/>
      <c r="KZ147" s="1576"/>
      <c r="LA147" s="1576"/>
      <c r="LB147" s="1576"/>
      <c r="LC147" s="1576"/>
      <c r="LD147" s="1576"/>
      <c r="LE147" s="1576"/>
      <c r="LF147" s="1576"/>
      <c r="LG147" s="1576"/>
      <c r="LH147" s="1576"/>
      <c r="LI147" s="1576"/>
      <c r="LJ147" s="1576"/>
      <c r="LK147" s="1576"/>
      <c r="LL147" s="1576"/>
      <c r="LM147" s="1576"/>
      <c r="LN147" s="1576"/>
      <c r="LO147" s="1576"/>
      <c r="LP147" s="1576"/>
      <c r="LQ147" s="1576"/>
      <c r="LR147" s="1576"/>
      <c r="LS147" s="1576"/>
      <c r="LT147" s="1576"/>
      <c r="LU147" s="1576"/>
      <c r="LV147" s="1576"/>
      <c r="LW147" s="1576"/>
      <c r="LX147" s="1576"/>
      <c r="LY147" s="1576"/>
      <c r="LZ147" s="1576"/>
      <c r="MA147" s="1576"/>
      <c r="MB147" s="1576"/>
      <c r="MC147" s="1576"/>
      <c r="MD147" s="1576"/>
      <c r="ME147" s="1576"/>
      <c r="MF147" s="1576"/>
      <c r="MG147" s="1576"/>
      <c r="MH147" s="1576"/>
      <c r="MI147" s="1576"/>
      <c r="MJ147" s="1576"/>
      <c r="MK147" s="1576"/>
      <c r="ML147" s="1576"/>
      <c r="MM147" s="1576"/>
      <c r="MN147" s="1576"/>
      <c r="MO147" s="1576"/>
      <c r="MP147" s="1576"/>
      <c r="MQ147" s="1576"/>
      <c r="MR147" s="1576"/>
      <c r="MS147" s="1576"/>
      <c r="MT147" s="1576"/>
      <c r="MU147" s="1576"/>
      <c r="MV147" s="1576"/>
      <c r="MW147" s="1576"/>
      <c r="MX147" s="1576"/>
      <c r="MY147" s="1576"/>
      <c r="MZ147" s="1576"/>
      <c r="NA147" s="1576"/>
      <c r="NB147" s="1576"/>
      <c r="NC147" s="1576"/>
      <c r="ND147" s="1576"/>
      <c r="NE147" s="1576"/>
      <c r="NF147" s="1576"/>
      <c r="NG147" s="1576"/>
      <c r="NH147" s="1576"/>
      <c r="NI147" s="1576"/>
      <c r="NJ147" s="1576"/>
      <c r="NK147" s="1576"/>
      <c r="NL147" s="1576"/>
      <c r="NM147" s="1576"/>
      <c r="NN147" s="1576"/>
      <c r="NO147" s="1576"/>
      <c r="NP147" s="1576"/>
      <c r="NQ147" s="1576"/>
      <c r="NR147" s="1576"/>
      <c r="NS147" s="1576"/>
      <c r="NT147" s="1576"/>
      <c r="NU147" s="1576"/>
      <c r="NV147" s="1576"/>
      <c r="NW147" s="1576"/>
      <c r="NX147" s="1576"/>
      <c r="NY147" s="1576"/>
      <c r="NZ147" s="1576"/>
      <c r="OA147" s="1576"/>
      <c r="OB147" s="1576"/>
      <c r="OC147" s="1576"/>
      <c r="OD147" s="1576"/>
      <c r="OE147" s="1576"/>
      <c r="OF147" s="1576"/>
      <c r="OG147" s="1576"/>
      <c r="OH147" s="1576"/>
      <c r="OI147" s="1576"/>
      <c r="OJ147" s="1576"/>
      <c r="OK147" s="1576"/>
      <c r="OL147" s="1576"/>
      <c r="OM147" s="1576"/>
      <c r="ON147" s="1576"/>
      <c r="OO147" s="1576"/>
      <c r="OP147" s="1576"/>
      <c r="OQ147" s="1576"/>
      <c r="OR147" s="1576"/>
      <c r="OS147" s="1576"/>
      <c r="OT147" s="1576"/>
      <c r="OU147" s="1576"/>
      <c r="OV147" s="1576"/>
      <c r="OW147" s="1576"/>
      <c r="OX147" s="1576"/>
      <c r="OY147" s="1576"/>
      <c r="OZ147" s="1576"/>
      <c r="PA147" s="1576"/>
      <c r="PB147" s="1576"/>
      <c r="PC147" s="1576"/>
      <c r="PD147" s="1576"/>
      <c r="PE147" s="1576"/>
      <c r="PF147" s="1576"/>
      <c r="PG147" s="1576"/>
      <c r="PH147" s="1576"/>
      <c r="PI147" s="1576"/>
      <c r="PJ147" s="1576"/>
      <c r="PK147" s="1576"/>
      <c r="PL147" s="1576"/>
      <c r="PM147" s="1576"/>
      <c r="PN147" s="1576"/>
      <c r="PO147" s="1576"/>
      <c r="PP147" s="1576"/>
      <c r="PQ147" s="1576"/>
      <c r="PR147" s="1576"/>
      <c r="PS147" s="1576"/>
      <c r="PT147" s="1576"/>
      <c r="PU147" s="1576"/>
      <c r="PV147" s="1576"/>
      <c r="PW147" s="1576"/>
      <c r="PX147" s="1576"/>
      <c r="PY147" s="1576"/>
      <c r="PZ147" s="1576"/>
      <c r="QA147" s="1576"/>
      <c r="QB147" s="1576"/>
      <c r="QC147" s="1576"/>
      <c r="QD147" s="1576"/>
      <c r="QE147" s="1576"/>
      <c r="QF147" s="1576"/>
      <c r="QG147" s="1576"/>
      <c r="QH147" s="1576"/>
      <c r="QI147" s="1576"/>
      <c r="QJ147" s="1576"/>
      <c r="QK147" s="1576"/>
      <c r="QL147" s="1576"/>
      <c r="QM147" s="1576"/>
      <c r="QN147" s="1576"/>
      <c r="QO147" s="1576"/>
      <c r="QP147" s="1576"/>
      <c r="QQ147" s="1576"/>
      <c r="QR147" s="1576"/>
      <c r="QS147" s="1576"/>
      <c r="QT147" s="1576"/>
      <c r="QU147" s="1576"/>
      <c r="QV147" s="1576"/>
      <c r="QW147" s="1576"/>
      <c r="QX147" s="1576"/>
      <c r="QY147" s="1576"/>
      <c r="QZ147" s="1576"/>
      <c r="RA147" s="1576"/>
      <c r="RB147" s="1576"/>
      <c r="RC147" s="1576"/>
      <c r="RD147" s="1576"/>
      <c r="RE147" s="1576"/>
      <c r="RF147" s="1576"/>
      <c r="RG147" s="1576"/>
      <c r="RH147" s="1576"/>
      <c r="RI147" s="1576"/>
      <c r="RJ147" s="1576"/>
      <c r="RK147" s="1576"/>
      <c r="RL147" s="1576"/>
      <c r="RM147" s="1576"/>
      <c r="RN147" s="1576"/>
      <c r="RO147" s="1576"/>
      <c r="RP147" s="1576"/>
      <c r="RQ147" s="1576"/>
      <c r="RR147" s="1576"/>
      <c r="RS147" s="1576"/>
      <c r="RT147" s="1576"/>
      <c r="RU147" s="1576"/>
      <c r="RV147" s="1576"/>
      <c r="RW147" s="1576"/>
      <c r="RX147" s="1576"/>
      <c r="RY147" s="1576"/>
      <c r="RZ147" s="1576"/>
      <c r="SA147" s="1576"/>
      <c r="SB147" s="1576"/>
      <c r="SC147" s="1576"/>
      <c r="SD147" s="1576"/>
      <c r="SE147" s="1576"/>
      <c r="SF147" s="1576"/>
      <c r="SG147" s="1576"/>
      <c r="SH147" s="1576"/>
      <c r="SI147" s="1576"/>
      <c r="SJ147" s="1576"/>
      <c r="SK147" s="1576"/>
      <c r="SL147" s="1576"/>
      <c r="SM147" s="1576"/>
      <c r="SN147" s="1576"/>
      <c r="SO147" s="1576"/>
      <c r="SP147" s="1576"/>
      <c r="SQ147" s="1576"/>
      <c r="SR147" s="1576"/>
      <c r="SS147" s="1576"/>
      <c r="ST147" s="1576"/>
      <c r="SU147" s="1576"/>
      <c r="SV147" s="1576"/>
      <c r="SW147" s="1576"/>
      <c r="SX147" s="1576"/>
      <c r="SY147" s="1576"/>
      <c r="SZ147" s="1576"/>
      <c r="TA147" s="1576"/>
      <c r="TB147" s="1576"/>
      <c r="TC147" s="1576"/>
      <c r="TD147" s="1576"/>
      <c r="TE147" s="1576"/>
      <c r="TF147" s="1576"/>
      <c r="TG147" s="1576"/>
      <c r="TH147" s="1576"/>
      <c r="TI147" s="1576"/>
      <c r="TJ147" s="1576"/>
      <c r="TK147" s="1576"/>
      <c r="TL147" s="1576"/>
      <c r="TM147" s="1576"/>
      <c r="TN147" s="1576"/>
      <c r="TO147" s="1576"/>
      <c r="TP147" s="1576"/>
      <c r="TQ147" s="1576"/>
      <c r="TR147" s="1576"/>
      <c r="TS147" s="1576"/>
      <c r="TT147" s="1576"/>
      <c r="TU147" s="1576"/>
      <c r="TV147" s="1576"/>
      <c r="TW147" s="1576"/>
      <c r="TX147" s="1576"/>
      <c r="TY147" s="1576"/>
      <c r="TZ147" s="1576"/>
      <c r="UA147" s="1576"/>
      <c r="UB147" s="1576"/>
      <c r="UC147" s="1576"/>
      <c r="UD147" s="1576"/>
      <c r="UE147" s="1576"/>
      <c r="UF147" s="1576"/>
      <c r="UG147" s="1576"/>
      <c r="UH147" s="1576"/>
      <c r="UI147" s="1576"/>
      <c r="UJ147" s="1576"/>
      <c r="UK147" s="1576"/>
      <c r="UL147" s="1576"/>
      <c r="UM147" s="1576"/>
      <c r="UN147" s="1576"/>
      <c r="UO147" s="1576"/>
      <c r="UP147" s="1576"/>
      <c r="UQ147" s="1576"/>
      <c r="UR147" s="1576"/>
      <c r="US147" s="1576"/>
      <c r="UT147" s="1576"/>
      <c r="UU147" s="1576"/>
      <c r="UV147" s="1576"/>
      <c r="UW147" s="1576"/>
      <c r="UX147" s="1576"/>
      <c r="UY147" s="1576"/>
      <c r="UZ147" s="1576"/>
      <c r="VA147" s="1576"/>
      <c r="VB147" s="1576"/>
      <c r="VC147" s="1576"/>
      <c r="VD147" s="1576"/>
      <c r="VE147" s="1576"/>
      <c r="VF147" s="1576"/>
      <c r="VG147" s="1576"/>
      <c r="VH147" s="1576"/>
      <c r="VI147" s="1576"/>
      <c r="VJ147" s="1576"/>
      <c r="VK147" s="1576"/>
    </row>
    <row r="148" spans="1:583" ht="40.5" x14ac:dyDescent="0.25">
      <c r="B148" s="1610" t="s">
        <v>2850</v>
      </c>
      <c r="C148" s="1582" t="s">
        <v>2851</v>
      </c>
      <c r="D148" s="4710" t="s">
        <v>2852</v>
      </c>
      <c r="E148" s="4710">
        <v>0</v>
      </c>
      <c r="F148" s="1912"/>
      <c r="G148" s="1912"/>
      <c r="H148" s="1912"/>
      <c r="I148" s="1576"/>
      <c r="J148" s="1576"/>
      <c r="K148" s="1576"/>
      <c r="L148" s="1576"/>
      <c r="M148" s="1576"/>
      <c r="N148" s="1576"/>
      <c r="O148" s="1576"/>
      <c r="P148" s="1576"/>
      <c r="Q148" s="1576"/>
      <c r="R148" s="1576"/>
      <c r="S148" s="1576"/>
      <c r="T148" s="1576"/>
      <c r="U148" s="1576"/>
      <c r="V148" s="1576"/>
      <c r="W148" s="1576"/>
      <c r="X148" s="1576"/>
      <c r="Y148" s="1576"/>
      <c r="Z148" s="1576"/>
      <c r="AA148" s="1576"/>
      <c r="AB148" s="1576"/>
      <c r="AC148" s="1576"/>
      <c r="AD148" s="1576"/>
      <c r="AE148" s="1576"/>
      <c r="AF148" s="1576"/>
      <c r="AG148" s="1576"/>
      <c r="AH148" s="1576"/>
      <c r="AI148" s="1576"/>
      <c r="AJ148" s="1576"/>
      <c r="AK148" s="1576"/>
      <c r="AL148" s="1576"/>
      <c r="AM148" s="1576"/>
      <c r="AN148" s="1576"/>
      <c r="AO148" s="1576"/>
      <c r="AP148" s="1576"/>
      <c r="AQ148" s="1576"/>
      <c r="AR148" s="1576"/>
      <c r="AS148" s="1576"/>
      <c r="AT148" s="1576"/>
      <c r="AU148" s="1576"/>
      <c r="AV148" s="1576"/>
      <c r="AW148" s="1576"/>
      <c r="AX148" s="1576"/>
      <c r="AY148" s="1576"/>
      <c r="AZ148" s="1576"/>
      <c r="BA148" s="1576"/>
      <c r="BB148" s="1576"/>
      <c r="BC148" s="1576"/>
      <c r="BD148" s="1576"/>
      <c r="BE148" s="1576"/>
      <c r="BF148" s="1576"/>
      <c r="BG148" s="1576"/>
      <c r="BH148" s="1576"/>
      <c r="BI148" s="1576"/>
      <c r="BJ148" s="1576"/>
      <c r="BK148" s="1576"/>
      <c r="BL148" s="1576"/>
      <c r="BM148" s="1576"/>
      <c r="BN148" s="1576"/>
      <c r="BO148" s="1576"/>
      <c r="BP148" s="1576"/>
      <c r="BQ148" s="1576"/>
      <c r="BR148" s="1576"/>
      <c r="BS148" s="1576"/>
      <c r="BT148" s="1576"/>
      <c r="BU148" s="1576"/>
      <c r="BV148" s="1576"/>
      <c r="BW148" s="1576"/>
      <c r="BX148" s="1576"/>
      <c r="BY148" s="1576"/>
      <c r="BZ148" s="1576"/>
      <c r="CA148" s="1576"/>
      <c r="CB148" s="1576"/>
      <c r="CC148" s="1576"/>
      <c r="CD148" s="1576"/>
      <c r="CE148" s="1576"/>
      <c r="CF148" s="1576"/>
      <c r="CG148" s="1576"/>
      <c r="CH148" s="1576"/>
      <c r="CI148" s="1576"/>
      <c r="CJ148" s="1576"/>
      <c r="CK148" s="1576"/>
      <c r="CL148" s="1576"/>
      <c r="CM148" s="1576"/>
      <c r="CN148" s="1576"/>
      <c r="CO148" s="1576"/>
      <c r="CP148" s="1576"/>
      <c r="CQ148" s="1576"/>
      <c r="CR148" s="1576"/>
      <c r="CS148" s="1576"/>
      <c r="CT148" s="1576"/>
      <c r="CU148" s="1576"/>
      <c r="CV148" s="1576"/>
      <c r="CW148" s="1576"/>
      <c r="CX148" s="1576"/>
      <c r="CY148" s="1576"/>
      <c r="CZ148" s="1576"/>
      <c r="DA148" s="1576"/>
      <c r="DB148" s="1576"/>
      <c r="DC148" s="1576"/>
      <c r="DD148" s="1576"/>
      <c r="DE148" s="1576"/>
      <c r="DF148" s="1576"/>
      <c r="DG148" s="1576"/>
      <c r="DH148" s="1576"/>
      <c r="DI148" s="1576"/>
      <c r="DJ148" s="1576"/>
      <c r="DK148" s="1576"/>
      <c r="DL148" s="1576"/>
      <c r="DM148" s="1576"/>
      <c r="DN148" s="1576"/>
      <c r="DO148" s="1576"/>
      <c r="DP148" s="1576"/>
      <c r="DQ148" s="1576"/>
      <c r="DR148" s="1576"/>
      <c r="DS148" s="1576"/>
      <c r="DT148" s="1576"/>
      <c r="DU148" s="1576"/>
      <c r="DV148" s="1576"/>
      <c r="DW148" s="1576"/>
      <c r="DX148" s="1576"/>
      <c r="DY148" s="1576"/>
      <c r="DZ148" s="1576"/>
      <c r="EA148" s="1576"/>
      <c r="EB148" s="1576"/>
      <c r="EC148" s="1576"/>
      <c r="ED148" s="1576"/>
      <c r="EE148" s="1576"/>
      <c r="EF148" s="1576"/>
      <c r="EG148" s="1576"/>
      <c r="EH148" s="1576"/>
      <c r="EI148" s="1576"/>
      <c r="EJ148" s="1576"/>
      <c r="EK148" s="1576"/>
      <c r="EL148" s="1576"/>
      <c r="EM148" s="1576"/>
      <c r="EN148" s="1576"/>
      <c r="EO148" s="1576"/>
      <c r="EP148" s="1576"/>
      <c r="EQ148" s="1576"/>
      <c r="ER148" s="1576"/>
      <c r="ES148" s="1576"/>
      <c r="ET148" s="1576"/>
      <c r="EU148" s="1576"/>
      <c r="EV148" s="1576"/>
      <c r="EW148" s="1576"/>
      <c r="EX148" s="1576"/>
      <c r="EY148" s="1576"/>
      <c r="EZ148" s="1576"/>
      <c r="FA148" s="1576"/>
      <c r="FB148" s="1576"/>
      <c r="FC148" s="1576"/>
      <c r="FD148" s="1576"/>
      <c r="FE148" s="1576"/>
      <c r="FF148" s="1576"/>
      <c r="FG148" s="1576"/>
      <c r="FH148" s="1576"/>
      <c r="FI148" s="1576"/>
      <c r="FJ148" s="1576"/>
      <c r="FK148" s="1576"/>
      <c r="FL148" s="1576"/>
      <c r="FM148" s="1576"/>
      <c r="FN148" s="1576"/>
      <c r="FO148" s="1576"/>
      <c r="FP148" s="1576"/>
      <c r="FQ148" s="1576"/>
      <c r="FR148" s="1576"/>
      <c r="FS148" s="1576"/>
      <c r="FT148" s="1576"/>
      <c r="FU148" s="1576"/>
      <c r="FV148" s="1576"/>
      <c r="FW148" s="1576"/>
      <c r="FX148" s="1576"/>
      <c r="FY148" s="1576"/>
      <c r="FZ148" s="1576"/>
      <c r="GA148" s="1576"/>
      <c r="GB148" s="1576"/>
      <c r="GC148" s="1576"/>
      <c r="GD148" s="1576"/>
      <c r="GE148" s="1576"/>
      <c r="GF148" s="1576"/>
      <c r="GG148" s="1576"/>
      <c r="GH148" s="1576"/>
      <c r="GI148" s="1576"/>
      <c r="GJ148" s="1576"/>
      <c r="GK148" s="1576"/>
      <c r="GL148" s="1576"/>
      <c r="GM148" s="1576"/>
      <c r="GN148" s="1576"/>
      <c r="GO148" s="1576"/>
      <c r="GP148" s="1576"/>
      <c r="GQ148" s="1576"/>
      <c r="GR148" s="1576"/>
      <c r="GS148" s="1576"/>
      <c r="GT148" s="1576"/>
      <c r="GU148" s="1576"/>
      <c r="GV148" s="1576"/>
      <c r="GW148" s="1576"/>
      <c r="GX148" s="1576"/>
      <c r="GY148" s="1576"/>
      <c r="GZ148" s="1576"/>
      <c r="HA148" s="1576"/>
      <c r="HB148" s="1576"/>
      <c r="HC148" s="1576"/>
      <c r="HD148" s="1576"/>
      <c r="HE148" s="1576"/>
      <c r="HF148" s="1576"/>
      <c r="HG148" s="1576"/>
      <c r="HH148" s="1576"/>
      <c r="HI148" s="1576"/>
      <c r="HJ148" s="1576"/>
      <c r="HK148" s="1576"/>
      <c r="HL148" s="1576"/>
      <c r="HM148" s="1576"/>
      <c r="HN148" s="1576"/>
      <c r="HO148" s="1576"/>
      <c r="HP148" s="1576"/>
      <c r="HQ148" s="1576"/>
      <c r="HR148" s="1576"/>
      <c r="HS148" s="1576"/>
      <c r="HT148" s="1576"/>
      <c r="HU148" s="1576"/>
      <c r="HV148" s="1576"/>
      <c r="HW148" s="1576"/>
      <c r="HX148" s="1576"/>
      <c r="HY148" s="1576"/>
      <c r="HZ148" s="1576"/>
      <c r="IA148" s="1576"/>
      <c r="IB148" s="1576"/>
      <c r="IC148" s="1576"/>
      <c r="ID148" s="1576"/>
      <c r="IE148" s="1576"/>
      <c r="IF148" s="1576"/>
      <c r="IG148" s="1576"/>
      <c r="IH148" s="1576"/>
      <c r="II148" s="1576"/>
      <c r="IJ148" s="1576"/>
      <c r="IK148" s="1576"/>
      <c r="IL148" s="1576"/>
      <c r="IM148" s="1576"/>
      <c r="IN148" s="1576"/>
      <c r="IO148" s="1576"/>
      <c r="IP148" s="1576"/>
      <c r="IQ148" s="1576"/>
      <c r="IR148" s="1576"/>
      <c r="IS148" s="1576"/>
      <c r="IT148" s="1576"/>
      <c r="IU148" s="1576"/>
      <c r="IV148" s="1576"/>
      <c r="IW148" s="1576"/>
      <c r="IX148" s="1576"/>
      <c r="IY148" s="1576"/>
      <c r="IZ148" s="1576"/>
      <c r="JA148" s="2054"/>
      <c r="JB148" s="2054"/>
      <c r="JC148" s="2054"/>
      <c r="JD148" s="2054"/>
      <c r="JE148" s="2054"/>
      <c r="JF148" s="2054"/>
      <c r="JG148" s="2054"/>
      <c r="JH148" s="2054"/>
      <c r="JI148" s="2054"/>
      <c r="JJ148" s="2054"/>
      <c r="JK148" s="2054"/>
      <c r="JL148" s="2054"/>
      <c r="JM148" s="2054"/>
      <c r="JN148" s="2054"/>
      <c r="JO148" s="2054"/>
      <c r="JP148" s="2054"/>
      <c r="JQ148" s="2054"/>
      <c r="JR148" s="1576"/>
      <c r="JS148" s="1576"/>
      <c r="JT148" s="1576"/>
      <c r="JU148" s="1576"/>
      <c r="JV148" s="1576"/>
      <c r="JW148" s="1576"/>
      <c r="JX148" s="1576"/>
      <c r="JY148" s="1576"/>
      <c r="JZ148" s="1576"/>
      <c r="KA148" s="1576"/>
      <c r="KB148" s="1576"/>
      <c r="KC148" s="1576"/>
      <c r="KD148" s="1576"/>
      <c r="KE148" s="1576"/>
      <c r="KF148" s="1576"/>
      <c r="KG148" s="1576"/>
      <c r="KH148" s="1576"/>
      <c r="KI148" s="1576"/>
      <c r="KJ148" s="1576"/>
      <c r="KK148" s="1576"/>
      <c r="KL148" s="1576"/>
      <c r="KM148" s="1576"/>
      <c r="KN148" s="1576"/>
      <c r="KO148" s="1576"/>
      <c r="KP148" s="1576"/>
      <c r="KQ148" s="1576"/>
      <c r="KR148" s="1576"/>
      <c r="KS148" s="1576"/>
      <c r="KT148" s="1576"/>
      <c r="KU148" s="1576"/>
      <c r="KV148" s="1576"/>
      <c r="KW148" s="1576"/>
      <c r="KX148" s="1576"/>
      <c r="KY148" s="1576"/>
      <c r="KZ148" s="1576"/>
      <c r="LA148" s="1576"/>
      <c r="LB148" s="1576"/>
      <c r="LC148" s="1576"/>
      <c r="LD148" s="1576"/>
      <c r="LE148" s="1576"/>
      <c r="LF148" s="1576"/>
      <c r="LG148" s="1576"/>
      <c r="LH148" s="1576"/>
      <c r="LI148" s="1576"/>
      <c r="LJ148" s="1576"/>
      <c r="LK148" s="1576"/>
      <c r="LL148" s="1576"/>
      <c r="LM148" s="1576"/>
      <c r="LN148" s="1576"/>
      <c r="LO148" s="1576"/>
      <c r="LP148" s="1576"/>
      <c r="LQ148" s="1576"/>
      <c r="LR148" s="1576"/>
      <c r="LS148" s="1576"/>
      <c r="LT148" s="1576"/>
      <c r="LU148" s="1576"/>
      <c r="LV148" s="1576"/>
      <c r="LW148" s="1576"/>
      <c r="LX148" s="1576"/>
      <c r="LY148" s="1576"/>
      <c r="LZ148" s="1576"/>
      <c r="MA148" s="1576"/>
      <c r="MB148" s="1576"/>
      <c r="MC148" s="1576"/>
      <c r="MD148" s="1576"/>
      <c r="ME148" s="1576"/>
      <c r="MF148" s="1576"/>
      <c r="MG148" s="1576"/>
      <c r="MH148" s="1576"/>
      <c r="MI148" s="1576"/>
      <c r="MJ148" s="1576"/>
      <c r="MK148" s="1576"/>
      <c r="ML148" s="1576"/>
      <c r="MM148" s="1576"/>
      <c r="MN148" s="1576"/>
      <c r="MO148" s="1576"/>
      <c r="MP148" s="1576"/>
      <c r="MQ148" s="1576"/>
      <c r="MR148" s="1576"/>
      <c r="MS148" s="1576"/>
      <c r="MT148" s="1576"/>
      <c r="MU148" s="1576"/>
      <c r="MV148" s="1576"/>
      <c r="MW148" s="1576"/>
      <c r="MX148" s="1576"/>
      <c r="MY148" s="1576"/>
      <c r="MZ148" s="1576"/>
      <c r="NA148" s="1576"/>
      <c r="NB148" s="1576"/>
      <c r="NC148" s="1576"/>
      <c r="ND148" s="1576"/>
      <c r="NE148" s="1576"/>
      <c r="NF148" s="1576"/>
      <c r="NG148" s="1576"/>
      <c r="NH148" s="1576"/>
      <c r="NI148" s="1576"/>
      <c r="NJ148" s="1576"/>
      <c r="NK148" s="1576"/>
      <c r="NL148" s="1576"/>
      <c r="NM148" s="1576"/>
      <c r="NN148" s="1576"/>
      <c r="NO148" s="1576"/>
      <c r="NP148" s="1576"/>
      <c r="NQ148" s="1576"/>
      <c r="NR148" s="1576"/>
      <c r="NS148" s="1576"/>
      <c r="NT148" s="1576"/>
      <c r="NU148" s="1576"/>
      <c r="NV148" s="1576"/>
      <c r="NW148" s="1576"/>
      <c r="NX148" s="1576"/>
      <c r="NY148" s="1576"/>
      <c r="NZ148" s="1576"/>
      <c r="OA148" s="1576"/>
      <c r="OB148" s="1576"/>
      <c r="OC148" s="1576"/>
      <c r="OD148" s="1576"/>
      <c r="OE148" s="1576"/>
      <c r="OF148" s="1576"/>
      <c r="OG148" s="1576"/>
      <c r="OH148" s="1576"/>
      <c r="OI148" s="1576"/>
      <c r="OJ148" s="1576"/>
      <c r="OK148" s="1576"/>
      <c r="OL148" s="1576"/>
      <c r="OM148" s="1576"/>
      <c r="ON148" s="1576"/>
      <c r="OO148" s="1576"/>
      <c r="OP148" s="1576"/>
      <c r="OQ148" s="1576"/>
      <c r="OR148" s="1576"/>
      <c r="OS148" s="1576"/>
      <c r="OT148" s="1576"/>
      <c r="OU148" s="1576"/>
      <c r="OV148" s="1576"/>
      <c r="OW148" s="1576"/>
      <c r="OX148" s="1576"/>
      <c r="OY148" s="1576"/>
      <c r="OZ148" s="1576"/>
      <c r="PA148" s="1576"/>
      <c r="PB148" s="1576"/>
      <c r="PC148" s="1576"/>
      <c r="PD148" s="1576"/>
      <c r="PE148" s="1576"/>
      <c r="PF148" s="1576"/>
      <c r="PG148" s="1576"/>
      <c r="PH148" s="1576"/>
      <c r="PI148" s="1576"/>
      <c r="PJ148" s="1576"/>
      <c r="PK148" s="1576"/>
      <c r="PL148" s="1576"/>
      <c r="PM148" s="1576"/>
      <c r="PN148" s="1576"/>
      <c r="PO148" s="1576"/>
      <c r="PP148" s="1576"/>
      <c r="PQ148" s="1576"/>
      <c r="PR148" s="1576"/>
      <c r="PS148" s="1576"/>
      <c r="PT148" s="1576"/>
      <c r="PU148" s="1576"/>
      <c r="PV148" s="1576"/>
      <c r="PW148" s="1576"/>
      <c r="PX148" s="1576"/>
      <c r="PY148" s="1576"/>
      <c r="PZ148" s="1576"/>
      <c r="QA148" s="1576"/>
      <c r="QB148" s="1576"/>
      <c r="QC148" s="1576"/>
      <c r="QD148" s="1576"/>
      <c r="QE148" s="1576"/>
      <c r="QF148" s="1576"/>
      <c r="QG148" s="1576"/>
      <c r="QH148" s="1576"/>
      <c r="QI148" s="1576"/>
      <c r="QJ148" s="1576"/>
      <c r="QK148" s="1576"/>
      <c r="QL148" s="1576"/>
      <c r="QM148" s="1576"/>
      <c r="QN148" s="1576"/>
      <c r="QO148" s="1576"/>
      <c r="QP148" s="1576"/>
      <c r="QQ148" s="1576"/>
      <c r="QR148" s="1576"/>
      <c r="QS148" s="1576"/>
      <c r="QT148" s="1576"/>
      <c r="QU148" s="1576"/>
      <c r="QV148" s="1576"/>
      <c r="QW148" s="1576"/>
      <c r="QX148" s="1576"/>
      <c r="QY148" s="1576"/>
      <c r="QZ148" s="1576"/>
      <c r="RA148" s="1576"/>
      <c r="RB148" s="1576"/>
      <c r="RC148" s="1576"/>
      <c r="RD148" s="1576"/>
      <c r="RE148" s="1576"/>
      <c r="RF148" s="1576"/>
      <c r="RG148" s="1576"/>
      <c r="RH148" s="1576"/>
      <c r="RI148" s="1576"/>
      <c r="RJ148" s="1576"/>
      <c r="RK148" s="1576"/>
      <c r="RL148" s="1576"/>
      <c r="RM148" s="1576"/>
      <c r="RN148" s="1576"/>
      <c r="RO148" s="1576"/>
      <c r="RP148" s="1576"/>
      <c r="RQ148" s="1576"/>
      <c r="RR148" s="1576"/>
      <c r="RS148" s="1576"/>
      <c r="RT148" s="1576"/>
      <c r="RU148" s="1576"/>
      <c r="RV148" s="1576"/>
      <c r="RW148" s="1576"/>
      <c r="RX148" s="1576"/>
      <c r="RY148" s="1576"/>
      <c r="RZ148" s="1576"/>
      <c r="SA148" s="1576"/>
      <c r="SB148" s="1576"/>
      <c r="SC148" s="1576"/>
      <c r="SD148" s="1576"/>
      <c r="SE148" s="1576"/>
      <c r="SF148" s="1576"/>
      <c r="SG148" s="1576"/>
      <c r="SH148" s="1576"/>
      <c r="SI148" s="1576"/>
      <c r="SJ148" s="1576"/>
      <c r="SK148" s="1576"/>
      <c r="SL148" s="1576"/>
      <c r="SM148" s="1576"/>
      <c r="SN148" s="1576"/>
      <c r="SO148" s="1576"/>
      <c r="SP148" s="1576"/>
      <c r="SQ148" s="1576"/>
      <c r="SR148" s="1576"/>
      <c r="SS148" s="1576"/>
      <c r="ST148" s="1576"/>
      <c r="SU148" s="1576"/>
      <c r="SV148" s="1576"/>
      <c r="SW148" s="1576"/>
      <c r="SX148" s="1576"/>
      <c r="SY148" s="1576"/>
      <c r="SZ148" s="1576"/>
      <c r="TA148" s="1576"/>
      <c r="TB148" s="1576"/>
      <c r="TC148" s="1576"/>
      <c r="TD148" s="1576"/>
      <c r="TE148" s="1576"/>
      <c r="TF148" s="1576"/>
      <c r="TG148" s="1576"/>
      <c r="TH148" s="1576"/>
      <c r="TI148" s="1576"/>
      <c r="TJ148" s="1576"/>
      <c r="TK148" s="1576"/>
      <c r="TL148" s="1576"/>
      <c r="TM148" s="1576"/>
      <c r="TN148" s="1576"/>
      <c r="TO148" s="1576"/>
      <c r="TP148" s="1576"/>
      <c r="TQ148" s="1576"/>
      <c r="TR148" s="1576"/>
      <c r="TS148" s="1576"/>
      <c r="TT148" s="1576"/>
      <c r="TU148" s="1576"/>
      <c r="TV148" s="1576"/>
      <c r="TW148" s="1576"/>
      <c r="TX148" s="1576"/>
      <c r="TY148" s="1576"/>
      <c r="TZ148" s="1576"/>
      <c r="UA148" s="1576"/>
      <c r="UB148" s="1576"/>
      <c r="UC148" s="1576"/>
      <c r="UD148" s="1576"/>
      <c r="UE148" s="1576"/>
      <c r="UF148" s="1576"/>
      <c r="UG148" s="1576"/>
      <c r="UH148" s="1576"/>
      <c r="UI148" s="1576"/>
      <c r="UJ148" s="1576"/>
      <c r="UK148" s="1576"/>
      <c r="UL148" s="1576"/>
      <c r="UM148" s="1576"/>
      <c r="UN148" s="1576"/>
      <c r="UO148" s="1576"/>
      <c r="UP148" s="1576"/>
      <c r="UQ148" s="1576"/>
      <c r="UR148" s="1576"/>
      <c r="US148" s="1576"/>
      <c r="UT148" s="1576"/>
      <c r="UU148" s="1576"/>
      <c r="UV148" s="1576"/>
      <c r="UW148" s="1576"/>
      <c r="UX148" s="1576"/>
      <c r="UY148" s="1576"/>
      <c r="UZ148" s="1576"/>
      <c r="VA148" s="1576"/>
      <c r="VB148" s="1576"/>
      <c r="VC148" s="1576"/>
      <c r="VD148" s="1576"/>
      <c r="VE148" s="1576"/>
      <c r="VF148" s="1576"/>
      <c r="VG148" s="1576"/>
      <c r="VH148" s="1576"/>
      <c r="VI148" s="1576"/>
      <c r="VJ148" s="1576"/>
      <c r="VK148" s="1576"/>
    </row>
    <row r="149" spans="1:583" s="2075" customFormat="1" x14ac:dyDescent="0.25">
      <c r="A149" s="2075" t="s">
        <v>3831</v>
      </c>
      <c r="B149" s="4709" t="s">
        <v>2950</v>
      </c>
      <c r="C149" s="4709"/>
      <c r="D149" s="4709" t="s">
        <v>2950</v>
      </c>
      <c r="E149" s="4709"/>
      <c r="F149" s="2079"/>
      <c r="G149" s="2079"/>
      <c r="H149" s="2079"/>
      <c r="I149" s="1574"/>
      <c r="J149" s="1574"/>
      <c r="K149" s="1574"/>
      <c r="L149" s="1574"/>
      <c r="M149" s="1574"/>
      <c r="N149" s="1574"/>
      <c r="O149" s="1574"/>
      <c r="P149" s="1574"/>
      <c r="Q149" s="1574"/>
      <c r="R149" s="1574"/>
      <c r="S149" s="1574"/>
      <c r="T149" s="1574"/>
      <c r="U149" s="1574"/>
      <c r="V149" s="1574"/>
      <c r="W149" s="1574"/>
      <c r="X149" s="1574"/>
      <c r="Y149" s="1574"/>
      <c r="Z149" s="1574"/>
      <c r="AA149" s="1574"/>
      <c r="AB149" s="1574"/>
      <c r="AC149" s="1574"/>
      <c r="AD149" s="1574"/>
      <c r="AE149" s="1574"/>
      <c r="AF149" s="1574"/>
      <c r="AG149" s="1574"/>
      <c r="AH149" s="1574"/>
      <c r="AI149" s="1574"/>
      <c r="AJ149" s="1574"/>
      <c r="AK149" s="1574"/>
      <c r="AL149" s="1574"/>
      <c r="AM149" s="1574"/>
      <c r="AN149" s="1574"/>
      <c r="AO149" s="1574"/>
      <c r="AP149" s="1574"/>
      <c r="AQ149" s="1574"/>
      <c r="AR149" s="1574"/>
      <c r="AS149" s="1574"/>
      <c r="AT149" s="1574"/>
      <c r="AU149" s="1574"/>
      <c r="AV149" s="1574"/>
      <c r="AW149" s="1574"/>
      <c r="AX149" s="1574"/>
      <c r="AY149" s="1574"/>
      <c r="AZ149" s="1574"/>
      <c r="BA149" s="1574"/>
      <c r="BB149" s="1574"/>
      <c r="BC149" s="1574"/>
      <c r="BD149" s="1574"/>
      <c r="BE149" s="1574"/>
      <c r="BF149" s="1574"/>
      <c r="BG149" s="1574"/>
      <c r="BH149" s="1574"/>
      <c r="BI149" s="1574"/>
      <c r="BJ149" s="1574"/>
      <c r="BK149" s="1574"/>
      <c r="BL149" s="1574"/>
      <c r="BM149" s="1574"/>
      <c r="BN149" s="1574"/>
      <c r="BO149" s="1574"/>
      <c r="BP149" s="1574"/>
      <c r="BQ149" s="1574"/>
      <c r="BR149" s="1574"/>
      <c r="BS149" s="1574"/>
      <c r="BT149" s="1574"/>
      <c r="BU149" s="1574"/>
      <c r="BV149" s="1574"/>
      <c r="BW149" s="1574"/>
      <c r="BX149" s="1574"/>
      <c r="BY149" s="1574"/>
      <c r="BZ149" s="1574"/>
      <c r="CA149" s="1574"/>
      <c r="CB149" s="1574"/>
      <c r="CC149" s="1574"/>
      <c r="CD149" s="1574"/>
      <c r="CE149" s="1574"/>
      <c r="CF149" s="1574"/>
      <c r="CG149" s="1574"/>
      <c r="CH149" s="1574"/>
      <c r="CI149" s="1574"/>
      <c r="CJ149" s="1574"/>
      <c r="CK149" s="1574"/>
      <c r="CL149" s="1574"/>
      <c r="CM149" s="1574"/>
      <c r="CN149" s="1574"/>
      <c r="CO149" s="1574"/>
      <c r="CP149" s="1574"/>
      <c r="CQ149" s="1574"/>
      <c r="CR149" s="1574"/>
      <c r="CS149" s="1574"/>
      <c r="CT149" s="1574"/>
      <c r="CU149" s="1574"/>
      <c r="CV149" s="1574"/>
      <c r="CW149" s="1574"/>
      <c r="CX149" s="1574"/>
      <c r="CY149" s="1574"/>
      <c r="CZ149" s="1574"/>
      <c r="DA149" s="1574"/>
      <c r="DB149" s="1574"/>
      <c r="DC149" s="1574"/>
      <c r="DD149" s="1574"/>
      <c r="DE149" s="1574"/>
      <c r="DF149" s="1574"/>
      <c r="DG149" s="1574"/>
      <c r="DH149" s="1574"/>
      <c r="DI149" s="1574"/>
      <c r="DJ149" s="1574"/>
      <c r="DK149" s="1574"/>
      <c r="DL149" s="1574"/>
      <c r="DM149" s="1574"/>
      <c r="DN149" s="1574"/>
      <c r="DO149" s="1574"/>
      <c r="DP149" s="1574"/>
      <c r="DQ149" s="1574"/>
      <c r="DR149" s="1574"/>
      <c r="DS149" s="1574"/>
      <c r="DT149" s="1574"/>
      <c r="DU149" s="1574"/>
      <c r="DV149" s="1574"/>
      <c r="DW149" s="1574"/>
      <c r="DX149" s="1574"/>
      <c r="DY149" s="1574"/>
      <c r="DZ149" s="1574"/>
      <c r="EA149" s="1574"/>
      <c r="EB149" s="1574"/>
      <c r="EC149" s="1574"/>
      <c r="ED149" s="1574"/>
      <c r="EE149" s="1574"/>
      <c r="EF149" s="1574"/>
      <c r="EG149" s="1574"/>
      <c r="EH149" s="1574"/>
      <c r="EI149" s="1574"/>
      <c r="EJ149" s="1574"/>
      <c r="EK149" s="1574"/>
      <c r="EL149" s="1574"/>
      <c r="EM149" s="1574"/>
      <c r="EN149" s="1574"/>
      <c r="EO149" s="1574"/>
      <c r="EP149" s="1574"/>
      <c r="EQ149" s="1574"/>
      <c r="ER149" s="1574"/>
      <c r="ES149" s="1574"/>
      <c r="ET149" s="1574"/>
      <c r="EU149" s="1574"/>
      <c r="EV149" s="1574"/>
      <c r="EW149" s="1574"/>
      <c r="EX149" s="1574"/>
      <c r="EY149" s="1574"/>
      <c r="EZ149" s="1574"/>
      <c r="FA149" s="1574"/>
      <c r="FB149" s="1574"/>
      <c r="FC149" s="1574"/>
      <c r="FD149" s="1574"/>
      <c r="FE149" s="1574"/>
      <c r="FF149" s="1574"/>
      <c r="FG149" s="1574"/>
      <c r="FH149" s="1574"/>
      <c r="FI149" s="1574"/>
      <c r="FJ149" s="1574"/>
      <c r="FK149" s="1574"/>
      <c r="FL149" s="1574"/>
      <c r="FM149" s="1574"/>
      <c r="FN149" s="1574"/>
      <c r="FO149" s="1574"/>
      <c r="FP149" s="1574"/>
      <c r="FQ149" s="1574"/>
      <c r="FR149" s="1574"/>
      <c r="FS149" s="1574"/>
      <c r="FT149" s="1574"/>
      <c r="FU149" s="1574"/>
      <c r="FV149" s="1574"/>
      <c r="FW149" s="1574"/>
      <c r="FX149" s="1574"/>
      <c r="FY149" s="1574"/>
      <c r="FZ149" s="1574"/>
      <c r="GA149" s="1574"/>
      <c r="GB149" s="1574"/>
      <c r="GC149" s="1574"/>
      <c r="GD149" s="1574"/>
      <c r="GE149" s="1574"/>
      <c r="GF149" s="1574"/>
      <c r="GG149" s="1574"/>
      <c r="GH149" s="1574"/>
      <c r="GI149" s="1574"/>
      <c r="GJ149" s="1574"/>
      <c r="GK149" s="1574"/>
      <c r="GL149" s="1574"/>
      <c r="GM149" s="1574"/>
      <c r="GN149" s="1574"/>
      <c r="GO149" s="1574"/>
      <c r="GP149" s="1574"/>
      <c r="GQ149" s="1574"/>
      <c r="GR149" s="1574"/>
      <c r="GS149" s="1574"/>
      <c r="GT149" s="1574"/>
      <c r="GU149" s="1574"/>
      <c r="GV149" s="1574"/>
      <c r="GW149" s="1574"/>
      <c r="GX149" s="1574"/>
      <c r="GY149" s="1574"/>
      <c r="GZ149" s="1574"/>
      <c r="HA149" s="1574"/>
      <c r="HB149" s="1574"/>
      <c r="HC149" s="1574"/>
      <c r="HD149" s="1574"/>
      <c r="HE149" s="1574"/>
      <c r="HF149" s="1574"/>
      <c r="HG149" s="1574"/>
      <c r="HH149" s="1574"/>
      <c r="HI149" s="1574"/>
      <c r="HJ149" s="1574"/>
      <c r="HK149" s="1574"/>
      <c r="HL149" s="1574"/>
      <c r="HM149" s="1574"/>
      <c r="HN149" s="1574"/>
      <c r="HO149" s="1574"/>
      <c r="HP149" s="1574"/>
      <c r="HQ149" s="1574"/>
      <c r="HR149" s="1574"/>
      <c r="HS149" s="1574"/>
      <c r="HT149" s="1574"/>
      <c r="HU149" s="1574"/>
      <c r="HV149" s="1574"/>
      <c r="HW149" s="1574"/>
      <c r="HX149" s="1574"/>
      <c r="HY149" s="1574"/>
      <c r="HZ149" s="1574"/>
      <c r="IA149" s="1574"/>
      <c r="IB149" s="1574"/>
      <c r="IC149" s="1574"/>
      <c r="ID149" s="1574"/>
      <c r="IE149" s="1574"/>
      <c r="IF149" s="1574"/>
      <c r="IG149" s="1574"/>
      <c r="IH149" s="1574"/>
      <c r="II149" s="1574"/>
      <c r="IJ149" s="1574"/>
      <c r="IK149" s="1574"/>
      <c r="IL149" s="1574"/>
      <c r="IM149" s="1574"/>
      <c r="IN149" s="1574"/>
      <c r="IO149" s="1574"/>
      <c r="IP149" s="1574"/>
      <c r="IQ149" s="1574"/>
      <c r="IR149" s="1574"/>
      <c r="IS149" s="1574"/>
      <c r="IT149" s="1574"/>
      <c r="IU149" s="1574"/>
      <c r="IV149" s="1574"/>
      <c r="IW149" s="1574"/>
      <c r="IX149" s="1574"/>
      <c r="IY149" s="1574"/>
      <c r="IZ149" s="1574"/>
      <c r="JA149" s="1574"/>
      <c r="JB149" s="1574"/>
      <c r="JC149" s="1574"/>
      <c r="JD149" s="1574"/>
      <c r="JE149" s="1574"/>
      <c r="JF149" s="1574"/>
      <c r="JG149" s="1574"/>
      <c r="JH149" s="1574"/>
      <c r="JI149" s="1574"/>
      <c r="JJ149" s="1574"/>
      <c r="JK149" s="1574"/>
      <c r="JL149" s="1574"/>
      <c r="JM149" s="1574"/>
      <c r="JN149" s="1574"/>
      <c r="JO149" s="1574"/>
      <c r="JP149" s="1574"/>
      <c r="JQ149" s="1574"/>
      <c r="JR149" s="1574"/>
      <c r="JS149" s="1574"/>
      <c r="JT149" s="1574"/>
      <c r="JU149" s="1574"/>
      <c r="JV149" s="1574"/>
      <c r="JW149" s="1574"/>
      <c r="JX149" s="1574"/>
      <c r="JY149" s="1574"/>
      <c r="JZ149" s="1574"/>
      <c r="KA149" s="1574"/>
      <c r="KB149" s="1574"/>
      <c r="KC149" s="1574"/>
      <c r="KD149" s="1574"/>
      <c r="KE149" s="1574"/>
      <c r="KF149" s="1574"/>
      <c r="KG149" s="1574"/>
      <c r="KH149" s="1574"/>
      <c r="KI149" s="1574"/>
      <c r="KJ149" s="1574"/>
      <c r="KK149" s="1574"/>
      <c r="KL149" s="1574"/>
      <c r="KM149" s="1574"/>
      <c r="KN149" s="1574"/>
      <c r="KO149" s="1574"/>
      <c r="KP149" s="1574"/>
      <c r="KQ149" s="1574"/>
      <c r="KR149" s="1574"/>
      <c r="KS149" s="1574"/>
      <c r="KT149" s="1574"/>
      <c r="KU149" s="1574"/>
      <c r="KV149" s="1574"/>
      <c r="KW149" s="1574"/>
      <c r="KX149" s="1574"/>
      <c r="KY149" s="1574"/>
      <c r="KZ149" s="1574"/>
      <c r="LA149" s="1574"/>
      <c r="LB149" s="1574"/>
      <c r="LC149" s="1574"/>
      <c r="LD149" s="1574"/>
      <c r="LE149" s="1574"/>
      <c r="LF149" s="1574"/>
      <c r="LG149" s="1574"/>
      <c r="LH149" s="1574"/>
      <c r="LI149" s="1574"/>
      <c r="LJ149" s="1574"/>
      <c r="LK149" s="1574"/>
      <c r="LL149" s="1574"/>
      <c r="LM149" s="1574"/>
      <c r="LN149" s="1574"/>
      <c r="LO149" s="1574"/>
      <c r="LP149" s="1574"/>
      <c r="LQ149" s="1574"/>
      <c r="LR149" s="1574"/>
      <c r="LS149" s="1574"/>
      <c r="LT149" s="1574"/>
      <c r="LU149" s="1574"/>
      <c r="LV149" s="1574"/>
      <c r="LW149" s="1574"/>
      <c r="LX149" s="1574"/>
      <c r="LY149" s="1574"/>
      <c r="LZ149" s="1574"/>
      <c r="MA149" s="1574"/>
      <c r="MB149" s="1574"/>
      <c r="MC149" s="1574"/>
      <c r="MD149" s="1574"/>
      <c r="ME149" s="1574"/>
      <c r="MF149" s="1574"/>
      <c r="MG149" s="1574"/>
      <c r="MH149" s="1574"/>
      <c r="MI149" s="1574"/>
      <c r="MJ149" s="1574"/>
      <c r="MK149" s="1574"/>
      <c r="ML149" s="1574"/>
      <c r="MM149" s="1574"/>
      <c r="MN149" s="1574"/>
      <c r="MO149" s="1574"/>
      <c r="MP149" s="1574"/>
      <c r="MQ149" s="1574"/>
      <c r="MR149" s="1574"/>
      <c r="MS149" s="1574"/>
      <c r="MT149" s="1574"/>
      <c r="MU149" s="1574"/>
      <c r="MV149" s="1574"/>
      <c r="MW149" s="1574"/>
      <c r="MX149" s="1574"/>
      <c r="MY149" s="1574"/>
      <c r="MZ149" s="1574"/>
      <c r="NA149" s="1574"/>
      <c r="NB149" s="1574"/>
      <c r="NC149" s="1574"/>
      <c r="ND149" s="1574"/>
      <c r="NE149" s="1574"/>
      <c r="NF149" s="1574"/>
      <c r="NG149" s="1574"/>
      <c r="NH149" s="1574"/>
      <c r="NI149" s="1574"/>
      <c r="NJ149" s="1574"/>
      <c r="NK149" s="1574"/>
      <c r="NL149" s="1574"/>
      <c r="NM149" s="1574"/>
      <c r="NN149" s="1574"/>
      <c r="NO149" s="1574"/>
      <c r="NP149" s="1574"/>
      <c r="NQ149" s="1574"/>
      <c r="NR149" s="1574"/>
      <c r="NS149" s="1574"/>
      <c r="NT149" s="1574"/>
      <c r="NU149" s="1574"/>
      <c r="NV149" s="1574"/>
      <c r="NW149" s="1574"/>
      <c r="NX149" s="1574"/>
      <c r="NY149" s="1574"/>
      <c r="NZ149" s="1574"/>
      <c r="OA149" s="1574"/>
      <c r="OB149" s="1574"/>
      <c r="OC149" s="1574"/>
      <c r="OD149" s="1574"/>
      <c r="OE149" s="1574"/>
      <c r="OF149" s="1574"/>
      <c r="OG149" s="1574"/>
      <c r="OH149" s="1574"/>
      <c r="OI149" s="1574"/>
      <c r="OJ149" s="1574"/>
      <c r="OK149" s="1574"/>
      <c r="OL149" s="1574"/>
      <c r="OM149" s="1574"/>
      <c r="ON149" s="1574"/>
      <c r="OO149" s="1574"/>
      <c r="OP149" s="1574"/>
      <c r="OQ149" s="1574"/>
      <c r="OR149" s="1574"/>
      <c r="OS149" s="1574"/>
      <c r="OT149" s="1574"/>
      <c r="OU149" s="1574"/>
      <c r="OV149" s="1574"/>
      <c r="OW149" s="1574"/>
      <c r="OX149" s="1574"/>
      <c r="OY149" s="1574"/>
      <c r="OZ149" s="1574"/>
      <c r="PA149" s="1574"/>
      <c r="PB149" s="1574"/>
      <c r="PC149" s="1574"/>
      <c r="PD149" s="1574"/>
      <c r="PE149" s="1574"/>
      <c r="PF149" s="1574"/>
      <c r="PG149" s="1574"/>
      <c r="PH149" s="1574"/>
      <c r="PI149" s="1574"/>
      <c r="PJ149" s="1574"/>
      <c r="PK149" s="1574"/>
      <c r="PL149" s="1574"/>
      <c r="PM149" s="1574"/>
      <c r="PN149" s="1574"/>
      <c r="PO149" s="1574"/>
      <c r="PP149" s="1574"/>
      <c r="PQ149" s="1574"/>
      <c r="PR149" s="1574"/>
      <c r="PS149" s="1574"/>
      <c r="PT149" s="1574"/>
      <c r="PU149" s="1574"/>
      <c r="PV149" s="1574"/>
      <c r="PW149" s="1574"/>
      <c r="PX149" s="1574"/>
      <c r="PY149" s="1574"/>
      <c r="PZ149" s="1574"/>
      <c r="QA149" s="1574"/>
      <c r="QB149" s="1574"/>
      <c r="QC149" s="1574"/>
      <c r="QD149" s="1574"/>
      <c r="QE149" s="1574"/>
      <c r="QF149" s="1574"/>
      <c r="QG149" s="1574"/>
      <c r="QH149" s="1574"/>
      <c r="QI149" s="1574"/>
      <c r="QJ149" s="1574"/>
      <c r="QK149" s="1574"/>
      <c r="QL149" s="1574"/>
      <c r="QM149" s="1574"/>
      <c r="QN149" s="1574"/>
      <c r="QO149" s="1574"/>
      <c r="QP149" s="1574"/>
      <c r="QQ149" s="1574"/>
      <c r="QR149" s="1574"/>
      <c r="QS149" s="1574"/>
      <c r="QT149" s="1574"/>
      <c r="QU149" s="1574"/>
      <c r="QV149" s="1574"/>
      <c r="QW149" s="1574"/>
      <c r="QX149" s="1574"/>
      <c r="QY149" s="1574"/>
      <c r="QZ149" s="1574"/>
      <c r="RA149" s="1574"/>
      <c r="RB149" s="1574"/>
      <c r="RC149" s="1574"/>
      <c r="RD149" s="1574"/>
      <c r="RE149" s="1574"/>
      <c r="RF149" s="1574"/>
      <c r="RG149" s="1574"/>
      <c r="RH149" s="1574"/>
      <c r="RI149" s="1574"/>
      <c r="RJ149" s="1574"/>
      <c r="RK149" s="1574"/>
      <c r="RL149" s="1574"/>
      <c r="RM149" s="1574"/>
      <c r="RN149" s="1574"/>
      <c r="RO149" s="1574"/>
      <c r="RP149" s="1574"/>
      <c r="RQ149" s="1574"/>
      <c r="RR149" s="1574"/>
      <c r="RS149" s="1574"/>
      <c r="RT149" s="1574"/>
      <c r="RU149" s="1574"/>
      <c r="RV149" s="1574"/>
      <c r="RW149" s="1574"/>
      <c r="RX149" s="1574"/>
      <c r="RY149" s="1574"/>
      <c r="RZ149" s="1574"/>
      <c r="SA149" s="1574"/>
      <c r="SB149" s="1574"/>
      <c r="SC149" s="1574"/>
      <c r="SD149" s="1574"/>
      <c r="SE149" s="1574"/>
      <c r="SF149" s="1574"/>
      <c r="SG149" s="1574"/>
      <c r="SH149" s="1574"/>
      <c r="SI149" s="1574"/>
      <c r="SJ149" s="1574"/>
      <c r="SK149" s="1574"/>
      <c r="SL149" s="1574"/>
      <c r="SM149" s="1574"/>
      <c r="SN149" s="1574"/>
      <c r="SO149" s="1574"/>
      <c r="SP149" s="1574"/>
      <c r="SQ149" s="1574"/>
      <c r="SR149" s="1574"/>
      <c r="SS149" s="1574"/>
      <c r="ST149" s="1574"/>
      <c r="SU149" s="1574"/>
      <c r="SV149" s="1574"/>
      <c r="SW149" s="1574"/>
      <c r="SX149" s="1574"/>
      <c r="SY149" s="1574"/>
      <c r="SZ149" s="1574"/>
      <c r="TA149" s="1574"/>
      <c r="TB149" s="1574"/>
      <c r="TC149" s="1574"/>
      <c r="TD149" s="1574"/>
      <c r="TE149" s="1574"/>
      <c r="TF149" s="1574"/>
      <c r="TG149" s="1574"/>
      <c r="TH149" s="1574"/>
      <c r="TI149" s="1574"/>
      <c r="TJ149" s="1574"/>
      <c r="TK149" s="1574"/>
      <c r="TL149" s="1574"/>
      <c r="TM149" s="1574"/>
      <c r="TN149" s="1574"/>
      <c r="TO149" s="1574"/>
      <c r="TP149" s="1574"/>
      <c r="TQ149" s="1574"/>
      <c r="TR149" s="1574"/>
      <c r="TS149" s="1574"/>
      <c r="TT149" s="1574"/>
      <c r="TU149" s="1574"/>
      <c r="TV149" s="1574"/>
      <c r="TW149" s="1574"/>
      <c r="TX149" s="1574"/>
      <c r="TY149" s="1574"/>
      <c r="TZ149" s="1574"/>
      <c r="UA149" s="1574"/>
      <c r="UB149" s="1574"/>
      <c r="UC149" s="1574"/>
      <c r="UD149" s="1574"/>
      <c r="UE149" s="1574"/>
      <c r="UF149" s="1574"/>
      <c r="UG149" s="1574"/>
      <c r="UH149" s="1574"/>
      <c r="UI149" s="1574"/>
      <c r="UJ149" s="1574"/>
      <c r="UK149" s="1574"/>
      <c r="UL149" s="1574"/>
      <c r="UM149" s="1574"/>
      <c r="UN149" s="1574"/>
      <c r="UO149" s="1574"/>
      <c r="UP149" s="1574"/>
      <c r="UQ149" s="1574"/>
      <c r="UR149" s="1574"/>
      <c r="US149" s="1574"/>
      <c r="UT149" s="1574"/>
      <c r="UU149" s="1574"/>
      <c r="UV149" s="1574"/>
      <c r="UW149" s="1574"/>
      <c r="UX149" s="1574"/>
      <c r="UY149" s="1574"/>
      <c r="UZ149" s="1574"/>
      <c r="VA149" s="1574"/>
      <c r="VB149" s="1574"/>
      <c r="VC149" s="1574"/>
      <c r="VD149" s="1574"/>
      <c r="VE149" s="1574"/>
      <c r="VF149" s="1574"/>
      <c r="VG149" s="1574"/>
      <c r="VH149" s="1574"/>
      <c r="VI149" s="1574"/>
      <c r="VJ149" s="1574"/>
      <c r="VK149" s="1574"/>
    </row>
    <row r="150" spans="1:583" x14ac:dyDescent="0.25">
      <c r="B150" s="1610" t="s">
        <v>2853</v>
      </c>
      <c r="C150" s="1582" t="s">
        <v>1979</v>
      </c>
      <c r="D150" s="4710" t="s">
        <v>2951</v>
      </c>
      <c r="E150" s="4710">
        <v>0</v>
      </c>
      <c r="F150" s="1912"/>
      <c r="G150" s="1912"/>
      <c r="H150" s="1912"/>
      <c r="I150" s="1912"/>
      <c r="J150" s="1912"/>
      <c r="K150" s="1912"/>
      <c r="L150" s="1912"/>
      <c r="M150" s="1912"/>
      <c r="N150" s="1912"/>
      <c r="O150" s="1912"/>
      <c r="P150" s="1912"/>
      <c r="Q150" s="1912"/>
      <c r="R150" s="1912"/>
      <c r="S150" s="1912"/>
      <c r="T150" s="1912"/>
      <c r="U150" s="1912"/>
      <c r="V150" s="1912"/>
      <c r="W150" s="1576"/>
      <c r="X150" s="1576"/>
      <c r="Y150" s="1576"/>
      <c r="Z150" s="1576"/>
      <c r="AA150" s="1576"/>
      <c r="AB150" s="1576"/>
      <c r="AC150" s="1576"/>
      <c r="AD150" s="1576"/>
      <c r="AE150" s="1576"/>
      <c r="AF150" s="1576"/>
      <c r="AG150" s="1576"/>
      <c r="AH150" s="1576"/>
      <c r="AI150" s="1576"/>
      <c r="AJ150" s="1576"/>
      <c r="AK150" s="1576"/>
      <c r="AL150" s="1576"/>
      <c r="AM150" s="1576"/>
      <c r="AN150" s="1576"/>
      <c r="AO150" s="1576"/>
      <c r="AP150" s="1576"/>
      <c r="AQ150" s="1576"/>
      <c r="AR150" s="1576"/>
      <c r="AS150" s="1576"/>
      <c r="AT150" s="1576"/>
      <c r="AU150" s="1576"/>
      <c r="AV150" s="1576"/>
      <c r="AW150" s="1576"/>
      <c r="AX150" s="1576"/>
      <c r="AY150" s="1576"/>
      <c r="AZ150" s="1576"/>
      <c r="BA150" s="1576"/>
      <c r="BB150" s="1576"/>
      <c r="BC150" s="1576"/>
      <c r="BD150" s="1576"/>
      <c r="BE150" s="1576"/>
      <c r="BF150" s="1576"/>
      <c r="BG150" s="1576"/>
      <c r="BH150" s="1576"/>
      <c r="BI150" s="1576"/>
      <c r="BJ150" s="1576"/>
      <c r="BK150" s="1576"/>
      <c r="BL150" s="1576"/>
      <c r="BM150" s="1576"/>
      <c r="BN150" s="1576"/>
      <c r="BO150" s="1576"/>
      <c r="BP150" s="1576"/>
      <c r="BQ150" s="1576"/>
      <c r="BR150" s="1576"/>
      <c r="BS150" s="1576"/>
      <c r="BT150" s="1576"/>
      <c r="BU150" s="1576"/>
      <c r="BV150" s="1576"/>
      <c r="BW150" s="1576"/>
      <c r="BX150" s="1576"/>
      <c r="BY150" s="1576"/>
      <c r="BZ150" s="1576"/>
      <c r="CA150" s="1576"/>
      <c r="CB150" s="1576"/>
      <c r="CC150" s="1576"/>
      <c r="CD150" s="1576"/>
      <c r="CE150" s="1576"/>
      <c r="CF150" s="1576"/>
      <c r="CG150" s="1576"/>
      <c r="CH150" s="1576"/>
      <c r="CI150" s="1576"/>
      <c r="CJ150" s="1576"/>
      <c r="CK150" s="1576"/>
      <c r="CL150" s="1576"/>
      <c r="CM150" s="1576"/>
      <c r="CN150" s="1576"/>
      <c r="CO150" s="1576"/>
      <c r="CP150" s="1576"/>
      <c r="CQ150" s="1576"/>
      <c r="CR150" s="1576"/>
      <c r="CS150" s="1576"/>
      <c r="CT150" s="1576"/>
      <c r="CU150" s="1576"/>
      <c r="CV150" s="1576"/>
      <c r="CW150" s="1576"/>
      <c r="CX150" s="1576"/>
      <c r="CY150" s="1576"/>
      <c r="CZ150" s="1576"/>
      <c r="DA150" s="1576"/>
      <c r="DB150" s="1576"/>
      <c r="DC150" s="1576"/>
      <c r="DD150" s="1576"/>
      <c r="DE150" s="1576"/>
      <c r="DF150" s="1576"/>
      <c r="DG150" s="1576"/>
      <c r="DH150" s="1576"/>
      <c r="DI150" s="1576"/>
      <c r="DJ150" s="1576"/>
      <c r="DK150" s="1576"/>
      <c r="DL150" s="1576"/>
      <c r="DM150" s="1576"/>
      <c r="DN150" s="1576"/>
      <c r="DO150" s="1576"/>
      <c r="DP150" s="1576"/>
      <c r="DQ150" s="1576"/>
      <c r="DR150" s="1576"/>
      <c r="DS150" s="1576"/>
      <c r="DT150" s="1576"/>
      <c r="DU150" s="1576"/>
      <c r="DV150" s="1576"/>
      <c r="DW150" s="1576"/>
      <c r="DX150" s="1576"/>
      <c r="DY150" s="1576"/>
      <c r="DZ150" s="1576"/>
      <c r="EA150" s="1576"/>
      <c r="EB150" s="1576"/>
      <c r="EC150" s="1576"/>
      <c r="ED150" s="1576"/>
      <c r="EE150" s="1576"/>
      <c r="EF150" s="1576"/>
      <c r="EG150" s="1576"/>
      <c r="EH150" s="1576"/>
      <c r="EI150" s="1576"/>
      <c r="EJ150" s="1576"/>
      <c r="EK150" s="1576"/>
      <c r="EL150" s="1576"/>
      <c r="EM150" s="1576"/>
      <c r="EN150" s="1576"/>
      <c r="EO150" s="1576"/>
      <c r="EP150" s="1576"/>
      <c r="EQ150" s="1576"/>
      <c r="ER150" s="1576"/>
      <c r="ES150" s="1576"/>
      <c r="ET150" s="1576"/>
      <c r="EU150" s="1576"/>
      <c r="EV150" s="1576"/>
      <c r="EW150" s="1576"/>
      <c r="EX150" s="1576"/>
      <c r="EY150" s="1576"/>
      <c r="EZ150" s="1576"/>
      <c r="FA150" s="1576"/>
      <c r="FB150" s="1576"/>
      <c r="FC150" s="1576"/>
      <c r="FD150" s="1576"/>
      <c r="FE150" s="1576"/>
      <c r="FF150" s="1576"/>
      <c r="FG150" s="1576"/>
      <c r="FH150" s="1576"/>
      <c r="FI150" s="1576"/>
      <c r="FJ150" s="1576"/>
      <c r="FK150" s="1576"/>
      <c r="FL150" s="1576"/>
      <c r="FM150" s="1576"/>
      <c r="FN150" s="1576"/>
      <c r="FO150" s="1576"/>
      <c r="FP150" s="1576"/>
      <c r="FQ150" s="1576"/>
      <c r="FR150" s="1576"/>
      <c r="FS150" s="1576"/>
      <c r="FT150" s="1576"/>
      <c r="FU150" s="1576"/>
      <c r="FV150" s="1576"/>
      <c r="FW150" s="1576"/>
      <c r="FX150" s="1576"/>
      <c r="FY150" s="1576"/>
      <c r="FZ150" s="1576"/>
      <c r="GA150" s="1576"/>
      <c r="GB150" s="1576"/>
      <c r="GC150" s="1576"/>
      <c r="GD150" s="1576"/>
      <c r="GE150" s="1576"/>
      <c r="GF150" s="1576"/>
      <c r="GG150" s="1576"/>
      <c r="GH150" s="1576"/>
      <c r="GI150" s="1576"/>
      <c r="GJ150" s="1576"/>
      <c r="GK150" s="1576"/>
      <c r="GL150" s="1576"/>
      <c r="GM150" s="1576"/>
      <c r="GN150" s="1576"/>
      <c r="GO150" s="1576"/>
      <c r="GP150" s="1576"/>
      <c r="GQ150" s="1576"/>
      <c r="GR150" s="1576"/>
      <c r="GS150" s="1576"/>
      <c r="GT150" s="1576"/>
      <c r="GU150" s="1576"/>
      <c r="GV150" s="1576"/>
      <c r="GW150" s="1576"/>
      <c r="GX150" s="1576"/>
      <c r="GY150" s="1576"/>
      <c r="GZ150" s="1576"/>
      <c r="HA150" s="1576"/>
      <c r="HB150" s="1576"/>
      <c r="HC150" s="1576"/>
      <c r="HD150" s="1576"/>
      <c r="HE150" s="1576"/>
      <c r="HF150" s="1576"/>
      <c r="HG150" s="1576"/>
      <c r="HH150" s="1576"/>
      <c r="HI150" s="1576"/>
      <c r="HJ150" s="1576"/>
      <c r="HK150" s="1576"/>
      <c r="HL150" s="1576"/>
      <c r="HM150" s="1576"/>
      <c r="HN150" s="1576"/>
      <c r="HO150" s="1576"/>
      <c r="HP150" s="1576"/>
      <c r="HQ150" s="1576"/>
      <c r="HR150" s="1576"/>
      <c r="HS150" s="1576"/>
      <c r="HT150" s="1576"/>
      <c r="HU150" s="1576"/>
      <c r="HV150" s="1576"/>
      <c r="HW150" s="1576"/>
      <c r="HX150" s="1576"/>
      <c r="HY150" s="1576"/>
      <c r="HZ150" s="1576"/>
      <c r="IA150" s="1576"/>
      <c r="IB150" s="1576"/>
      <c r="IC150" s="1576"/>
      <c r="ID150" s="1576"/>
      <c r="IE150" s="1576"/>
      <c r="IF150" s="1576"/>
      <c r="IG150" s="1576"/>
      <c r="IH150" s="1576"/>
      <c r="II150" s="1576"/>
      <c r="IJ150" s="1576"/>
      <c r="IK150" s="1576"/>
      <c r="IL150" s="1576"/>
      <c r="IM150" s="1576"/>
      <c r="IN150" s="1576"/>
      <c r="IO150" s="1576"/>
      <c r="IP150" s="1576"/>
      <c r="IQ150" s="1576"/>
      <c r="IR150" s="1576"/>
      <c r="IS150" s="1576"/>
      <c r="IT150" s="1576"/>
      <c r="IU150" s="1576"/>
      <c r="IV150" s="1576"/>
      <c r="IW150" s="1576"/>
      <c r="IX150" s="1576"/>
      <c r="IY150" s="1576"/>
      <c r="IZ150" s="1576"/>
      <c r="JA150" s="2054"/>
      <c r="JB150" s="2054"/>
      <c r="JC150" s="2054"/>
      <c r="JD150" s="2054"/>
      <c r="JE150" s="2054"/>
      <c r="JF150" s="2054"/>
      <c r="JG150" s="2054"/>
      <c r="JH150" s="2054"/>
      <c r="JI150" s="2054"/>
      <c r="JJ150" s="2054"/>
      <c r="JK150" s="2054"/>
      <c r="JL150" s="2054"/>
      <c r="JM150" s="2054"/>
      <c r="JN150" s="2054"/>
      <c r="JO150" s="2054"/>
      <c r="JP150" s="2054"/>
      <c r="JQ150" s="2054"/>
      <c r="JR150" s="1576"/>
      <c r="JS150" s="1576"/>
      <c r="JT150" s="1576"/>
      <c r="JU150" s="1576"/>
      <c r="JV150" s="1576"/>
      <c r="JW150" s="1576"/>
      <c r="JX150" s="1576"/>
      <c r="JY150" s="1576"/>
      <c r="JZ150" s="1576"/>
      <c r="KA150" s="1576"/>
      <c r="KB150" s="1576"/>
      <c r="KC150" s="1576"/>
      <c r="KD150" s="1576"/>
      <c r="KE150" s="1576"/>
      <c r="KF150" s="1576"/>
      <c r="KG150" s="1576"/>
      <c r="KH150" s="1576"/>
      <c r="KI150" s="1576"/>
      <c r="KJ150" s="1576"/>
      <c r="KK150" s="1576"/>
      <c r="KL150" s="1576"/>
      <c r="KM150" s="1576"/>
      <c r="KN150" s="1576"/>
      <c r="KO150" s="1576"/>
      <c r="KP150" s="1576"/>
      <c r="KQ150" s="1576"/>
      <c r="KR150" s="1576"/>
      <c r="KS150" s="1576"/>
      <c r="KT150" s="1576"/>
      <c r="KU150" s="1576"/>
      <c r="KV150" s="1576"/>
      <c r="KW150" s="1576"/>
      <c r="KX150" s="1576"/>
      <c r="KY150" s="1576"/>
      <c r="KZ150" s="1576"/>
      <c r="LA150" s="1576"/>
      <c r="LB150" s="1576"/>
      <c r="LC150" s="1576"/>
      <c r="LD150" s="1576"/>
      <c r="LE150" s="1576"/>
      <c r="LF150" s="1576"/>
      <c r="LG150" s="1576"/>
      <c r="LH150" s="1576"/>
      <c r="LI150" s="1576"/>
      <c r="LJ150" s="1576"/>
      <c r="LK150" s="1576"/>
      <c r="LL150" s="1576"/>
      <c r="LM150" s="1576"/>
      <c r="LN150" s="1576"/>
      <c r="LO150" s="1576"/>
      <c r="LP150" s="1576"/>
      <c r="LQ150" s="1576"/>
      <c r="LR150" s="1576"/>
      <c r="LS150" s="1576"/>
      <c r="LT150" s="1576"/>
      <c r="LU150" s="1576"/>
      <c r="LV150" s="1576"/>
      <c r="LW150" s="1576"/>
      <c r="LX150" s="1576"/>
      <c r="LY150" s="1576"/>
      <c r="LZ150" s="1576"/>
      <c r="MA150" s="1576"/>
      <c r="MB150" s="1576"/>
      <c r="MC150" s="1576"/>
      <c r="MD150" s="1576"/>
      <c r="ME150" s="1576"/>
      <c r="MF150" s="1576"/>
      <c r="MG150" s="1576"/>
      <c r="MH150" s="1576"/>
      <c r="MI150" s="1576"/>
      <c r="MJ150" s="1576"/>
      <c r="MK150" s="1576"/>
      <c r="ML150" s="1576"/>
      <c r="MM150" s="1576"/>
      <c r="MN150" s="1576"/>
      <c r="MO150" s="1576"/>
      <c r="MP150" s="1576"/>
      <c r="MQ150" s="1576"/>
      <c r="MR150" s="1576"/>
      <c r="MS150" s="1576"/>
      <c r="MT150" s="1576"/>
      <c r="MU150" s="1576"/>
      <c r="MV150" s="1576"/>
      <c r="MW150" s="1576"/>
      <c r="MX150" s="1576"/>
      <c r="MY150" s="1576" t="e">
        <f>'Paso 1.1'!E121*Tiempos!$L$113</f>
        <v>#DIV/0!</v>
      </c>
      <c r="MZ150" s="1576" t="e">
        <f>'Paso 1.1'!F121*Tiempos!$L$113</f>
        <v>#DIV/0!</v>
      </c>
      <c r="NA150" s="1576" t="e">
        <f>'Paso 1.1'!G121*Tiempos!$L$113</f>
        <v>#DIV/0!</v>
      </c>
      <c r="NB150" s="1576" t="e">
        <f>'Paso 1.1'!H121*Tiempos!$L$113</f>
        <v>#DIV/0!</v>
      </c>
      <c r="NC150" s="1576" t="e">
        <f>'Paso 1.1'!I121*Tiempos!$L$113</f>
        <v>#DIV/0!</v>
      </c>
      <c r="ND150" s="1576" t="e">
        <f>'Paso 1.1'!J121*Tiempos!$L$113</f>
        <v>#DIV/0!</v>
      </c>
      <c r="NE150" s="1576" t="e">
        <f>'Paso 1.1'!K121*Tiempos!$L$113</f>
        <v>#DIV/0!</v>
      </c>
      <c r="NF150" s="1576" t="e">
        <f>'Paso 1.1'!L121*Tiempos!$L$113</f>
        <v>#DIV/0!</v>
      </c>
      <c r="NG150" s="1576" t="e">
        <f>'Paso 1.1'!M121*Tiempos!$L$113</f>
        <v>#DIV/0!</v>
      </c>
      <c r="NH150" s="1576" t="e">
        <f>'Paso 1.1'!N121*Tiempos!$L$113</f>
        <v>#DIV/0!</v>
      </c>
      <c r="NI150" s="1576" t="e">
        <f>'Paso 1.1'!O121*Tiempos!$L$113</f>
        <v>#DIV/0!</v>
      </c>
      <c r="NJ150" s="1576" t="e">
        <f>'Paso 1.1'!P121*Tiempos!$L$113</f>
        <v>#DIV/0!</v>
      </c>
      <c r="NK150" s="1576" t="e">
        <f>'Paso 1.1'!Q121*Tiempos!$L$113</f>
        <v>#DIV/0!</v>
      </c>
      <c r="NL150" s="1576" t="e">
        <f>'Paso 1.1'!R121*Tiempos!$L$113</f>
        <v>#DIV/0!</v>
      </c>
      <c r="NM150" s="1576" t="e">
        <f>'Paso 1.1'!S121*Tiempos!$L$113</f>
        <v>#DIV/0!</v>
      </c>
      <c r="NN150" s="1576" t="e">
        <f>'Paso 1.1'!T121*Tiempos!$L$113</f>
        <v>#DIV/0!</v>
      </c>
      <c r="NO150" s="1576" t="e">
        <f>'Paso 1.1'!U121*Tiempos!$L$113</f>
        <v>#DIV/0!</v>
      </c>
      <c r="NP150" s="1576"/>
      <c r="NQ150" s="1576"/>
      <c r="NR150" s="1576"/>
      <c r="NS150" s="1576"/>
      <c r="NT150" s="1576"/>
      <c r="NU150" s="1576"/>
      <c r="NV150" s="1576"/>
      <c r="NW150" s="1576"/>
      <c r="NX150" s="1576"/>
      <c r="NY150" s="1576"/>
      <c r="NZ150" s="1576"/>
      <c r="OA150" s="1576"/>
      <c r="OB150" s="1576"/>
      <c r="OC150" s="1576"/>
      <c r="OD150" s="1576"/>
      <c r="OE150" s="1576"/>
      <c r="OF150" s="1576"/>
      <c r="OG150" s="1576" t="e">
        <f>'Paso 1.1'!E121*Tiempos!$H$113</f>
        <v>#DIV/0!</v>
      </c>
      <c r="OH150" s="1576" t="e">
        <f>'Paso 1.1'!F121*Tiempos!$H$113</f>
        <v>#DIV/0!</v>
      </c>
      <c r="OI150" s="1576" t="e">
        <f>'Paso 1.1'!G121*Tiempos!$H$113</f>
        <v>#DIV/0!</v>
      </c>
      <c r="OJ150" s="1576" t="e">
        <f>'Paso 1.1'!H121*Tiempos!$H$113</f>
        <v>#DIV/0!</v>
      </c>
      <c r="OK150" s="1576" t="e">
        <f>'Paso 1.1'!I121*Tiempos!$H$113</f>
        <v>#DIV/0!</v>
      </c>
      <c r="OL150" s="1576" t="e">
        <f>'Paso 1.1'!J121*Tiempos!$H$113</f>
        <v>#DIV/0!</v>
      </c>
      <c r="OM150" s="1576" t="e">
        <f>'Paso 1.1'!K121*Tiempos!$H$113</f>
        <v>#DIV/0!</v>
      </c>
      <c r="ON150" s="1576" t="e">
        <f>'Paso 1.1'!L121*Tiempos!$H$113</f>
        <v>#DIV/0!</v>
      </c>
      <c r="OO150" s="1576" t="e">
        <f>'Paso 1.1'!M121*Tiempos!$H$113</f>
        <v>#DIV/0!</v>
      </c>
      <c r="OP150" s="1576" t="e">
        <f>'Paso 1.1'!N121*Tiempos!$H$113</f>
        <v>#DIV/0!</v>
      </c>
      <c r="OQ150" s="1576" t="e">
        <f>'Paso 1.1'!O121*Tiempos!$H$113</f>
        <v>#DIV/0!</v>
      </c>
      <c r="OR150" s="1576" t="e">
        <f>'Paso 1.1'!P121*Tiempos!$H$113</f>
        <v>#DIV/0!</v>
      </c>
      <c r="OS150" s="1576" t="e">
        <f>'Paso 1.1'!Q121*Tiempos!$H$113</f>
        <v>#DIV/0!</v>
      </c>
      <c r="OT150" s="1576" t="e">
        <f>'Paso 1.1'!R121*Tiempos!$H$113</f>
        <v>#DIV/0!</v>
      </c>
      <c r="OU150" s="1576" t="e">
        <f>'Paso 1.1'!S121*Tiempos!$H$113</f>
        <v>#DIV/0!</v>
      </c>
      <c r="OV150" s="1576" t="e">
        <f>'Paso 1.1'!T121*Tiempos!$H$113</f>
        <v>#DIV/0!</v>
      </c>
      <c r="OW150" s="1576" t="e">
        <f>'Paso 1.1'!U121*Tiempos!$H$113</f>
        <v>#DIV/0!</v>
      </c>
      <c r="OX150" s="1576"/>
      <c r="OY150" s="1576"/>
      <c r="OZ150" s="1576"/>
      <c r="PA150" s="1576"/>
      <c r="PB150" s="1576"/>
      <c r="PC150" s="1576"/>
      <c r="PD150" s="1576"/>
      <c r="PE150" s="1576"/>
      <c r="PF150" s="1576"/>
      <c r="PG150" s="1576"/>
      <c r="PH150" s="1576"/>
      <c r="PI150" s="1576"/>
      <c r="PJ150" s="1576"/>
      <c r="PK150" s="1576"/>
      <c r="PL150" s="1576"/>
      <c r="PM150" s="1576"/>
      <c r="PN150" s="1576"/>
      <c r="PO150" s="1576"/>
      <c r="PP150" s="1576"/>
      <c r="PQ150" s="1576"/>
      <c r="PR150" s="1576"/>
      <c r="PS150" s="1576"/>
      <c r="PT150" s="1576"/>
      <c r="PU150" s="1576"/>
      <c r="PV150" s="1576"/>
      <c r="PW150" s="1576"/>
      <c r="PX150" s="1576"/>
      <c r="PY150" s="1576"/>
      <c r="PZ150" s="1576"/>
      <c r="QA150" s="1576"/>
      <c r="QB150" s="1576"/>
      <c r="QC150" s="1576"/>
      <c r="QD150" s="1576"/>
      <c r="QE150" s="1576"/>
      <c r="QF150" s="1576"/>
      <c r="QG150" s="1576"/>
      <c r="QH150" s="1576"/>
      <c r="QI150" s="1576"/>
      <c r="QJ150" s="1576"/>
      <c r="QK150" s="1576"/>
      <c r="QL150" s="1576"/>
      <c r="QM150" s="1576"/>
      <c r="QN150" s="1576"/>
      <c r="QO150" s="1576"/>
      <c r="QP150" s="1576"/>
      <c r="QQ150" s="1576"/>
      <c r="QR150" s="1576"/>
      <c r="QS150" s="1576"/>
      <c r="QT150" s="1576"/>
      <c r="QU150" s="1576"/>
      <c r="QV150" s="1576"/>
      <c r="QW150" s="1576"/>
      <c r="QX150" s="1576"/>
      <c r="QY150" s="1576"/>
      <c r="QZ150" s="1576"/>
      <c r="RA150" s="1576"/>
      <c r="RB150" s="1576"/>
      <c r="RC150" s="1576"/>
      <c r="RD150" s="1576"/>
      <c r="RE150" s="1576"/>
      <c r="RF150" s="1576"/>
      <c r="RG150" s="1576"/>
      <c r="RH150" s="1576"/>
      <c r="RI150" s="1576"/>
      <c r="RJ150" s="1576"/>
      <c r="RK150" s="1576"/>
      <c r="RL150" s="1576"/>
      <c r="RM150" s="1576"/>
      <c r="RN150" s="1576"/>
      <c r="RO150" s="1576"/>
      <c r="RP150" s="1576"/>
      <c r="RQ150" s="1576"/>
      <c r="RR150" s="1576"/>
      <c r="RS150" s="1576"/>
      <c r="RT150" s="1576"/>
      <c r="RU150" s="1576"/>
      <c r="RV150" s="1576"/>
      <c r="RW150" s="1576"/>
      <c r="RX150" s="1576"/>
      <c r="RY150" s="1576"/>
      <c r="RZ150" s="1576"/>
      <c r="SA150" s="1576"/>
      <c r="SB150" s="1576"/>
      <c r="SC150" s="1576"/>
      <c r="SD150" s="1576"/>
      <c r="SE150" s="1576"/>
      <c r="SF150" s="1576"/>
      <c r="SG150" s="1576"/>
      <c r="SH150" s="1576"/>
      <c r="SI150" s="1576"/>
      <c r="SJ150" s="1576"/>
      <c r="SK150" s="1576"/>
      <c r="SL150" s="1576"/>
      <c r="SM150" s="1576"/>
      <c r="SN150" s="1576"/>
      <c r="SO150" s="1576"/>
      <c r="SP150" s="1576"/>
      <c r="SQ150" s="1576"/>
      <c r="SR150" s="1576"/>
      <c r="SS150" s="1576"/>
      <c r="ST150" s="1576"/>
      <c r="SU150" s="1576"/>
      <c r="SV150" s="1576"/>
      <c r="SW150" s="1576"/>
      <c r="SX150" s="1576"/>
      <c r="SY150" s="1576"/>
      <c r="SZ150" s="1576"/>
      <c r="TA150" s="1576"/>
      <c r="TB150" s="1576"/>
      <c r="TC150" s="1576"/>
      <c r="TD150" s="1576"/>
      <c r="TE150" s="1576"/>
      <c r="TF150" s="1576"/>
      <c r="TG150" s="1576"/>
      <c r="TH150" s="1576"/>
      <c r="TI150" s="1576"/>
      <c r="TJ150" s="1576"/>
      <c r="TK150" s="1576"/>
      <c r="TL150" s="1576"/>
      <c r="TM150" s="1576"/>
      <c r="TN150" s="1576"/>
      <c r="TO150" s="1576"/>
      <c r="TP150" s="1576"/>
      <c r="TQ150" s="1576"/>
      <c r="TR150" s="1576"/>
      <c r="TS150" s="1576"/>
      <c r="TT150" s="1576"/>
      <c r="TU150" s="1576"/>
      <c r="TV150" s="1576"/>
      <c r="TW150" s="1576"/>
      <c r="TX150" s="1576"/>
      <c r="TY150" s="1576"/>
      <c r="TZ150" s="1576"/>
      <c r="UA150" s="1576"/>
      <c r="UB150" s="1576"/>
      <c r="UC150" s="1576"/>
      <c r="UD150" s="1576"/>
      <c r="UE150" s="1576"/>
      <c r="UF150" s="1576"/>
      <c r="UG150" s="1576"/>
      <c r="UH150" s="1576"/>
      <c r="UI150" s="1576"/>
      <c r="UJ150" s="1576"/>
      <c r="UK150" s="1576"/>
      <c r="UL150" s="1576"/>
      <c r="UM150" s="1576"/>
      <c r="UN150" s="1576"/>
      <c r="UO150" s="1576"/>
      <c r="UP150" s="1576"/>
      <c r="UQ150" s="1576"/>
      <c r="UR150" s="1576"/>
      <c r="US150" s="1576"/>
      <c r="UT150" s="1576"/>
      <c r="UU150" s="1576" t="e">
        <f>'Paso 1.1'!E121*Tiempos!$L$113</f>
        <v>#DIV/0!</v>
      </c>
      <c r="UV150" s="1576" t="e">
        <f>'Paso 1.1'!F121*Tiempos!$L$113</f>
        <v>#DIV/0!</v>
      </c>
      <c r="UW150" s="1576" t="e">
        <f>'Paso 1.1'!G121*Tiempos!$L$113</f>
        <v>#DIV/0!</v>
      </c>
      <c r="UX150" s="1576" t="e">
        <f>'Paso 1.1'!H121*Tiempos!$L$113</f>
        <v>#DIV/0!</v>
      </c>
      <c r="UY150" s="1576" t="e">
        <f>'Paso 1.1'!I121*Tiempos!$L$113</f>
        <v>#DIV/0!</v>
      </c>
      <c r="UZ150" s="1576" t="e">
        <f>'Paso 1.1'!J121*Tiempos!$L$113</f>
        <v>#DIV/0!</v>
      </c>
      <c r="VA150" s="1576" t="e">
        <f>'Paso 1.1'!K121*Tiempos!$L$113</f>
        <v>#DIV/0!</v>
      </c>
      <c r="VB150" s="1576" t="e">
        <f>'Paso 1.1'!L121*Tiempos!$L$113</f>
        <v>#DIV/0!</v>
      </c>
      <c r="VC150" s="1576" t="e">
        <f>'Paso 1.1'!M121*Tiempos!$L$113</f>
        <v>#DIV/0!</v>
      </c>
      <c r="VD150" s="1576" t="e">
        <f>'Paso 1.1'!N121*Tiempos!$L$113</f>
        <v>#DIV/0!</v>
      </c>
      <c r="VE150" s="1576" t="e">
        <f>'Paso 1.1'!O121*Tiempos!$L$113</f>
        <v>#DIV/0!</v>
      </c>
      <c r="VF150" s="1576" t="e">
        <f>'Paso 1.1'!P121*Tiempos!$L$113</f>
        <v>#DIV/0!</v>
      </c>
      <c r="VG150" s="1576" t="e">
        <f>'Paso 1.1'!Q121*Tiempos!$L$113</f>
        <v>#DIV/0!</v>
      </c>
      <c r="VH150" s="1576" t="e">
        <f>'Paso 1.1'!R121*Tiempos!$L$113</f>
        <v>#DIV/0!</v>
      </c>
      <c r="VI150" s="1576" t="e">
        <f>'Paso 1.1'!S121*Tiempos!$L$113</f>
        <v>#DIV/0!</v>
      </c>
      <c r="VJ150" s="1576" t="e">
        <f>'Paso 1.1'!T121*Tiempos!$L$113</f>
        <v>#DIV/0!</v>
      </c>
      <c r="VK150" s="1576" t="e">
        <f>'Paso 1.1'!U121*Tiempos!$L$113</f>
        <v>#DIV/0!</v>
      </c>
    </row>
    <row r="151" spans="1:583" x14ac:dyDescent="0.25">
      <c r="B151" s="1610" t="s">
        <v>2853</v>
      </c>
      <c r="C151" s="1582" t="s">
        <v>2952</v>
      </c>
      <c r="D151" s="4710" t="s">
        <v>2953</v>
      </c>
      <c r="E151" s="4710">
        <v>0</v>
      </c>
      <c r="F151" s="1912"/>
      <c r="G151" s="1912"/>
      <c r="H151" s="1912"/>
      <c r="I151" s="1576"/>
      <c r="J151" s="1576"/>
      <c r="K151" s="1576"/>
      <c r="L151" s="1576"/>
      <c r="M151" s="1576"/>
      <c r="N151" s="1576"/>
      <c r="O151" s="1576"/>
      <c r="P151" s="1576"/>
      <c r="Q151" s="1576"/>
      <c r="R151" s="1576"/>
      <c r="S151" s="1576"/>
      <c r="T151" s="1576"/>
      <c r="U151" s="1576"/>
      <c r="V151" s="1576"/>
      <c r="W151" s="1576"/>
      <c r="X151" s="1576"/>
      <c r="Y151" s="1576"/>
      <c r="Z151" s="1576"/>
      <c r="AA151" s="1576"/>
      <c r="AB151" s="1576"/>
      <c r="AC151" s="1576"/>
      <c r="AD151" s="1576"/>
      <c r="AE151" s="1576"/>
      <c r="AF151" s="1576"/>
      <c r="AG151" s="1576"/>
      <c r="AH151" s="1576"/>
      <c r="AI151" s="1576"/>
      <c r="AJ151" s="1576"/>
      <c r="AK151" s="1576"/>
      <c r="AL151" s="1576"/>
      <c r="AM151" s="1576"/>
      <c r="AN151" s="1576"/>
      <c r="AO151" s="1576"/>
      <c r="AP151" s="1576"/>
      <c r="AQ151" s="1576"/>
      <c r="AR151" s="1576"/>
      <c r="AS151" s="1576"/>
      <c r="AT151" s="1576"/>
      <c r="AU151" s="1576"/>
      <c r="AV151" s="1576"/>
      <c r="AW151" s="1576"/>
      <c r="AX151" s="1576"/>
      <c r="AY151" s="1576"/>
      <c r="AZ151" s="1576"/>
      <c r="BA151" s="1576"/>
      <c r="BB151" s="1576"/>
      <c r="BC151" s="1576"/>
      <c r="BD151" s="1576"/>
      <c r="BE151" s="1576"/>
      <c r="BF151" s="1576"/>
      <c r="BG151" s="1576"/>
      <c r="BH151" s="1576"/>
      <c r="BI151" s="1576"/>
      <c r="BJ151" s="1576"/>
      <c r="BK151" s="1576"/>
      <c r="BL151" s="1576"/>
      <c r="BM151" s="1576"/>
      <c r="BN151" s="1576"/>
      <c r="BO151" s="1576"/>
      <c r="BP151" s="1576"/>
      <c r="BQ151" s="1576"/>
      <c r="BR151" s="1576"/>
      <c r="BS151" s="1576"/>
      <c r="BT151" s="1576"/>
      <c r="BU151" s="1576"/>
      <c r="BV151" s="1576"/>
      <c r="BW151" s="1576"/>
      <c r="BX151" s="1576"/>
      <c r="BY151" s="1576"/>
      <c r="BZ151" s="1576"/>
      <c r="CA151" s="1576"/>
      <c r="CB151" s="1576"/>
      <c r="CC151" s="1576"/>
      <c r="CD151" s="1576"/>
      <c r="CE151" s="1576"/>
      <c r="CF151" s="1576"/>
      <c r="CG151" s="1576"/>
      <c r="CH151" s="1576"/>
      <c r="CI151" s="1576"/>
      <c r="CJ151" s="1576"/>
      <c r="CK151" s="1576"/>
      <c r="CL151" s="1576"/>
      <c r="CM151" s="1576"/>
      <c r="CN151" s="1576"/>
      <c r="CO151" s="1576"/>
      <c r="CP151" s="1576"/>
      <c r="CQ151" s="1576"/>
      <c r="CR151" s="1576"/>
      <c r="CS151" s="1576"/>
      <c r="CT151" s="1576"/>
      <c r="CU151" s="1576"/>
      <c r="CV151" s="1576"/>
      <c r="CW151" s="1576"/>
      <c r="CX151" s="1576"/>
      <c r="CY151" s="1576"/>
      <c r="CZ151" s="1576"/>
      <c r="DA151" s="1576"/>
      <c r="DB151" s="1576"/>
      <c r="DC151" s="1576"/>
      <c r="DD151" s="1576"/>
      <c r="DE151" s="1576"/>
      <c r="DF151" s="1576"/>
      <c r="DG151" s="1576"/>
      <c r="DH151" s="1576"/>
      <c r="DI151" s="1576"/>
      <c r="DJ151" s="1576"/>
      <c r="DK151" s="1576"/>
      <c r="DL151" s="1576"/>
      <c r="DM151" s="1576"/>
      <c r="DN151" s="1576"/>
      <c r="DO151" s="1576"/>
      <c r="DP151" s="1576"/>
      <c r="DQ151" s="1576"/>
      <c r="DR151" s="1576"/>
      <c r="DS151" s="1576"/>
      <c r="DT151" s="1576"/>
      <c r="DU151" s="1576"/>
      <c r="DV151" s="1576"/>
      <c r="DW151" s="1576"/>
      <c r="DX151" s="1576"/>
      <c r="DY151" s="1576"/>
      <c r="DZ151" s="1576"/>
      <c r="EA151" s="1576"/>
      <c r="EB151" s="1576"/>
      <c r="EC151" s="1576"/>
      <c r="ED151" s="1576"/>
      <c r="EE151" s="1576"/>
      <c r="EF151" s="1576"/>
      <c r="EG151" s="1576"/>
      <c r="EH151" s="1576"/>
      <c r="EI151" s="1576"/>
      <c r="EJ151" s="1576"/>
      <c r="EK151" s="1576"/>
      <c r="EL151" s="1576"/>
      <c r="EM151" s="1576"/>
      <c r="EN151" s="1576"/>
      <c r="EO151" s="1576"/>
      <c r="EP151" s="1576"/>
      <c r="EQ151" s="1576"/>
      <c r="ER151" s="1576"/>
      <c r="ES151" s="1576"/>
      <c r="ET151" s="1576"/>
      <c r="EU151" s="1576"/>
      <c r="EV151" s="1576"/>
      <c r="EW151" s="1576"/>
      <c r="EX151" s="1576"/>
      <c r="EY151" s="1576"/>
      <c r="EZ151" s="1576"/>
      <c r="FA151" s="1576"/>
      <c r="FB151" s="1576"/>
      <c r="FC151" s="1576"/>
      <c r="FD151" s="1576"/>
      <c r="FE151" s="1576"/>
      <c r="FF151" s="1576"/>
      <c r="FG151" s="1576"/>
      <c r="FH151" s="1576"/>
      <c r="FI151" s="1576"/>
      <c r="FJ151" s="1576"/>
      <c r="FK151" s="1576"/>
      <c r="FL151" s="1576"/>
      <c r="FM151" s="1576"/>
      <c r="FN151" s="1576"/>
      <c r="FO151" s="1576"/>
      <c r="FP151" s="1576"/>
      <c r="FQ151" s="1576"/>
      <c r="FR151" s="1576"/>
      <c r="FS151" s="1576"/>
      <c r="FT151" s="1576"/>
      <c r="FU151" s="1576"/>
      <c r="FV151" s="1576"/>
      <c r="FW151" s="1576"/>
      <c r="FX151" s="1576"/>
      <c r="FY151" s="1576"/>
      <c r="FZ151" s="1576"/>
      <c r="GA151" s="1576"/>
      <c r="GB151" s="1576"/>
      <c r="GC151" s="1576"/>
      <c r="GD151" s="1576"/>
      <c r="GE151" s="1576"/>
      <c r="GF151" s="1576"/>
      <c r="GG151" s="1576"/>
      <c r="GH151" s="1576"/>
      <c r="GI151" s="1576"/>
      <c r="GJ151" s="1576"/>
      <c r="GK151" s="1576"/>
      <c r="GL151" s="1576"/>
      <c r="GM151" s="1576"/>
      <c r="GN151" s="1576"/>
      <c r="GO151" s="1576"/>
      <c r="GP151" s="1576"/>
      <c r="GQ151" s="1576"/>
      <c r="GR151" s="1576"/>
      <c r="GS151" s="1576"/>
      <c r="GT151" s="1576"/>
      <c r="GU151" s="1576"/>
      <c r="GV151" s="1576"/>
      <c r="GW151" s="1576"/>
      <c r="GX151" s="1576"/>
      <c r="GY151" s="1576"/>
      <c r="GZ151" s="1576"/>
      <c r="HA151" s="1576"/>
      <c r="HB151" s="1576"/>
      <c r="HC151" s="1576"/>
      <c r="HD151" s="1576"/>
      <c r="HE151" s="1576"/>
      <c r="HF151" s="1576"/>
      <c r="HG151" s="1576"/>
      <c r="HH151" s="1576"/>
      <c r="HI151" s="1576"/>
      <c r="HJ151" s="1576"/>
      <c r="HK151" s="1576"/>
      <c r="HL151" s="1576"/>
      <c r="HM151" s="1576"/>
      <c r="HN151" s="1576"/>
      <c r="HO151" s="1576"/>
      <c r="HP151" s="1576"/>
      <c r="HQ151" s="1576"/>
      <c r="HR151" s="1576"/>
      <c r="HS151" s="1576"/>
      <c r="HT151" s="1576"/>
      <c r="HU151" s="1576"/>
      <c r="HV151" s="1576"/>
      <c r="HW151" s="1576"/>
      <c r="HX151" s="1576"/>
      <c r="HY151" s="1576"/>
      <c r="HZ151" s="1576"/>
      <c r="IA151" s="1576"/>
      <c r="IB151" s="1576"/>
      <c r="IC151" s="1576"/>
      <c r="ID151" s="1576"/>
      <c r="IE151" s="1576"/>
      <c r="IF151" s="1576"/>
      <c r="IG151" s="1576"/>
      <c r="IH151" s="1576"/>
      <c r="II151" s="1576"/>
      <c r="IJ151" s="1576"/>
      <c r="IK151" s="1576"/>
      <c r="IL151" s="1576"/>
      <c r="IM151" s="1576"/>
      <c r="IN151" s="1576"/>
      <c r="IO151" s="1576"/>
      <c r="IP151" s="1576"/>
      <c r="IQ151" s="1576"/>
      <c r="IR151" s="1576"/>
      <c r="IS151" s="1576"/>
      <c r="IT151" s="1576"/>
      <c r="IU151" s="1576"/>
      <c r="IV151" s="1576"/>
      <c r="IW151" s="1576"/>
      <c r="IX151" s="1576"/>
      <c r="IY151" s="1576"/>
      <c r="IZ151" s="1576"/>
      <c r="JA151" s="2054"/>
      <c r="JB151" s="2054"/>
      <c r="JC151" s="2054"/>
      <c r="JD151" s="2054"/>
      <c r="JE151" s="2054"/>
      <c r="JF151" s="2054"/>
      <c r="JG151" s="2054"/>
      <c r="JH151" s="2054"/>
      <c r="JI151" s="2054"/>
      <c r="JJ151" s="2054"/>
      <c r="JK151" s="2054"/>
      <c r="JL151" s="2054"/>
      <c r="JM151" s="2054"/>
      <c r="JN151" s="2054"/>
      <c r="JO151" s="2054"/>
      <c r="JP151" s="2054"/>
      <c r="JQ151" s="2054"/>
      <c r="JR151" s="1576"/>
      <c r="JS151" s="1576"/>
      <c r="JT151" s="1576"/>
      <c r="JU151" s="1576"/>
      <c r="JV151" s="1576"/>
      <c r="JW151" s="1576"/>
      <c r="JX151" s="1576"/>
      <c r="JY151" s="1576"/>
      <c r="JZ151" s="1576"/>
      <c r="KA151" s="1576"/>
      <c r="KB151" s="1576"/>
      <c r="KC151" s="1576"/>
      <c r="KD151" s="1576"/>
      <c r="KE151" s="1576"/>
      <c r="KF151" s="1576"/>
      <c r="KG151" s="1576"/>
      <c r="KH151" s="1576"/>
      <c r="KI151" s="1576"/>
      <c r="KJ151" s="1576"/>
      <c r="KK151" s="1576"/>
      <c r="KL151" s="1576"/>
      <c r="KM151" s="1576"/>
      <c r="KN151" s="1576"/>
      <c r="KO151" s="1576"/>
      <c r="KP151" s="1576"/>
      <c r="KQ151" s="1576"/>
      <c r="KR151" s="1576"/>
      <c r="KS151" s="1576"/>
      <c r="KT151" s="1576"/>
      <c r="KU151" s="1576"/>
      <c r="KV151" s="1576"/>
      <c r="KW151" s="1576"/>
      <c r="KX151" s="1576"/>
      <c r="KY151" s="1576"/>
      <c r="KZ151" s="1576"/>
      <c r="LA151" s="1576"/>
      <c r="LB151" s="1576"/>
      <c r="LC151" s="1576"/>
      <c r="LD151" s="1576"/>
      <c r="LE151" s="1576"/>
      <c r="LF151" s="1576"/>
      <c r="LG151" s="1576"/>
      <c r="LH151" s="1576"/>
      <c r="LI151" s="1576"/>
      <c r="LJ151" s="1576"/>
      <c r="LK151" s="1576"/>
      <c r="LL151" s="1576"/>
      <c r="LM151" s="1576"/>
      <c r="LN151" s="1576"/>
      <c r="LO151" s="1576"/>
      <c r="LP151" s="1576"/>
      <c r="LQ151" s="1576"/>
      <c r="LR151" s="1576"/>
      <c r="LS151" s="1576"/>
      <c r="LT151" s="1576"/>
      <c r="LU151" s="1576"/>
      <c r="LV151" s="1576"/>
      <c r="LW151" s="1576"/>
      <c r="LX151" s="1576"/>
      <c r="LY151" s="1576"/>
      <c r="LZ151" s="1576"/>
      <c r="MA151" s="1576"/>
      <c r="MB151" s="1576"/>
      <c r="MC151" s="1576"/>
      <c r="MD151" s="1576"/>
      <c r="ME151" s="1576"/>
      <c r="MF151" s="1576"/>
      <c r="MG151" s="1576"/>
      <c r="MH151" s="1576"/>
      <c r="MI151" s="1576"/>
      <c r="MJ151" s="1576"/>
      <c r="MK151" s="1576"/>
      <c r="ML151" s="1576"/>
      <c r="MM151" s="1576"/>
      <c r="MN151" s="1576"/>
      <c r="MO151" s="1576"/>
      <c r="MP151" s="1576"/>
      <c r="MQ151" s="1576"/>
      <c r="MR151" s="1576"/>
      <c r="MS151" s="1576"/>
      <c r="MT151" s="1576"/>
      <c r="MU151" s="1576"/>
      <c r="MV151" s="1576"/>
      <c r="MW151" s="1576"/>
      <c r="MX151" s="1576"/>
      <c r="MY151" s="1576"/>
      <c r="MZ151" s="1576"/>
      <c r="NA151" s="1576"/>
      <c r="NB151" s="1576"/>
      <c r="NC151" s="1576"/>
      <c r="ND151" s="1576"/>
      <c r="NE151" s="1576"/>
      <c r="NF151" s="1576"/>
      <c r="NG151" s="1576"/>
      <c r="NH151" s="1576"/>
      <c r="NI151" s="1576"/>
      <c r="NJ151" s="1576"/>
      <c r="NK151" s="1576"/>
      <c r="NL151" s="1576"/>
      <c r="NM151" s="1576"/>
      <c r="NN151" s="1576"/>
      <c r="NO151" s="1576"/>
      <c r="NP151" s="1576"/>
      <c r="NQ151" s="1576"/>
      <c r="NR151" s="1576"/>
      <c r="NS151" s="1576"/>
      <c r="NT151" s="1576"/>
      <c r="NU151" s="1576"/>
      <c r="NV151" s="1576"/>
      <c r="NW151" s="1576"/>
      <c r="NX151" s="1576"/>
      <c r="NY151" s="1576"/>
      <c r="NZ151" s="1576"/>
      <c r="OA151" s="1576"/>
      <c r="OB151" s="1576"/>
      <c r="OC151" s="1576"/>
      <c r="OD151" s="1576"/>
      <c r="OE151" s="1576"/>
      <c r="OF151" s="1576"/>
      <c r="OG151" s="1576"/>
      <c r="OH151" s="1576"/>
      <c r="OI151" s="1576"/>
      <c r="OJ151" s="1576"/>
      <c r="OK151" s="1576"/>
      <c r="OL151" s="1576"/>
      <c r="OM151" s="1576"/>
      <c r="ON151" s="1576"/>
      <c r="OO151" s="1576"/>
      <c r="OP151" s="1576"/>
      <c r="OQ151" s="1576"/>
      <c r="OR151" s="1576"/>
      <c r="OS151" s="1576"/>
      <c r="OT151" s="1576"/>
      <c r="OU151" s="1576"/>
      <c r="OV151" s="1576"/>
      <c r="OW151" s="1576"/>
      <c r="OX151" s="1576"/>
      <c r="OY151" s="1576"/>
      <c r="OZ151" s="1576"/>
      <c r="PA151" s="1576"/>
      <c r="PB151" s="1576"/>
      <c r="PC151" s="1576"/>
      <c r="PD151" s="1576"/>
      <c r="PE151" s="1576"/>
      <c r="PF151" s="1576"/>
      <c r="PG151" s="1576"/>
      <c r="PH151" s="1576"/>
      <c r="PI151" s="1576"/>
      <c r="PJ151" s="1576"/>
      <c r="PK151" s="1576"/>
      <c r="PL151" s="1576"/>
      <c r="PM151" s="1576"/>
      <c r="PN151" s="1576"/>
      <c r="PO151" s="1576"/>
      <c r="PP151" s="1576"/>
      <c r="PQ151" s="1576"/>
      <c r="PR151" s="1576"/>
      <c r="PS151" s="1576"/>
      <c r="PT151" s="1576"/>
      <c r="PU151" s="1576"/>
      <c r="PV151" s="1576"/>
      <c r="PW151" s="1576"/>
      <c r="PX151" s="1576"/>
      <c r="PY151" s="1576"/>
      <c r="PZ151" s="1576"/>
      <c r="QA151" s="1576"/>
      <c r="QB151" s="1576"/>
      <c r="QC151" s="1576"/>
      <c r="QD151" s="1576"/>
      <c r="QE151" s="1576"/>
      <c r="QF151" s="1576"/>
      <c r="QG151" s="1576"/>
      <c r="QH151" s="1576"/>
      <c r="QI151" s="1576"/>
      <c r="QJ151" s="1576"/>
      <c r="QK151" s="1576"/>
      <c r="QL151" s="1576"/>
      <c r="QM151" s="1576"/>
      <c r="QN151" s="1576"/>
      <c r="QO151" s="1576"/>
      <c r="QP151" s="1576"/>
      <c r="QQ151" s="1576"/>
      <c r="QR151" s="1576"/>
      <c r="QS151" s="1576"/>
      <c r="QT151" s="1576"/>
      <c r="QU151" s="1576"/>
      <c r="QV151" s="1576"/>
      <c r="QW151" s="1576"/>
      <c r="QX151" s="1576"/>
      <c r="QY151" s="1576"/>
      <c r="QZ151" s="1576"/>
      <c r="RA151" s="1576"/>
      <c r="RB151" s="1576"/>
      <c r="RC151" s="1576"/>
      <c r="RD151" s="1576"/>
      <c r="RE151" s="1576"/>
      <c r="RF151" s="1576"/>
      <c r="RG151" s="1576"/>
      <c r="RH151" s="1576"/>
      <c r="RI151" s="1576"/>
      <c r="RJ151" s="1576"/>
      <c r="RK151" s="1576"/>
      <c r="RL151" s="1576"/>
      <c r="RM151" s="1576"/>
      <c r="RN151" s="1576"/>
      <c r="RO151" s="1576"/>
      <c r="RP151" s="1576"/>
      <c r="RQ151" s="1576"/>
      <c r="RR151" s="1576"/>
      <c r="RS151" s="1576"/>
      <c r="RT151" s="1576"/>
      <c r="RU151" s="1576"/>
      <c r="RV151" s="1576"/>
      <c r="RW151" s="1576"/>
      <c r="RX151" s="1576"/>
      <c r="RY151" s="1576"/>
      <c r="RZ151" s="1576"/>
      <c r="SA151" s="1576"/>
      <c r="SB151" s="1576"/>
      <c r="SC151" s="1576"/>
      <c r="SD151" s="1576"/>
      <c r="SE151" s="1576"/>
      <c r="SF151" s="1576"/>
      <c r="SG151" s="1576"/>
      <c r="SH151" s="1576"/>
      <c r="SI151" s="1576"/>
      <c r="SJ151" s="1576"/>
      <c r="SK151" s="1576"/>
      <c r="SL151" s="1576"/>
      <c r="SM151" s="1576"/>
      <c r="SN151" s="1576"/>
      <c r="SO151" s="1576"/>
      <c r="SP151" s="1576"/>
      <c r="SQ151" s="1576"/>
      <c r="SR151" s="1576"/>
      <c r="SS151" s="1576"/>
      <c r="ST151" s="1576"/>
      <c r="SU151" s="1576"/>
      <c r="SV151" s="1576"/>
      <c r="SW151" s="1576"/>
      <c r="SX151" s="1576"/>
      <c r="SY151" s="1576"/>
      <c r="SZ151" s="1576"/>
      <c r="TA151" s="1576"/>
      <c r="TB151" s="1576"/>
      <c r="TC151" s="1576"/>
      <c r="TD151" s="1576"/>
      <c r="TE151" s="1576"/>
      <c r="TF151" s="1576"/>
      <c r="TG151" s="1576"/>
      <c r="TH151" s="1576"/>
      <c r="TI151" s="1576"/>
      <c r="TJ151" s="1576"/>
      <c r="TK151" s="1576"/>
      <c r="TL151" s="1576"/>
      <c r="TM151" s="1576"/>
      <c r="TN151" s="1576"/>
      <c r="TO151" s="1576"/>
      <c r="TP151" s="1576"/>
      <c r="TQ151" s="1576"/>
      <c r="TR151" s="1576"/>
      <c r="TS151" s="1576"/>
      <c r="TT151" s="1576"/>
      <c r="TU151" s="1576"/>
      <c r="TV151" s="1576"/>
      <c r="TW151" s="1576"/>
      <c r="TX151" s="1576"/>
      <c r="TY151" s="1576"/>
      <c r="TZ151" s="1576"/>
      <c r="UA151" s="1576"/>
      <c r="UB151" s="1576"/>
      <c r="UC151" s="1576"/>
      <c r="UD151" s="1576"/>
      <c r="UE151" s="1576"/>
      <c r="UF151" s="1576"/>
      <c r="UG151" s="1576"/>
      <c r="UH151" s="1576"/>
      <c r="UI151" s="1576"/>
      <c r="UJ151" s="1576"/>
      <c r="UK151" s="1576"/>
      <c r="UL151" s="1576"/>
      <c r="UM151" s="1576"/>
      <c r="UN151" s="1576"/>
      <c r="UO151" s="1576"/>
      <c r="UP151" s="1576"/>
      <c r="UQ151" s="1576"/>
      <c r="UR151" s="1576"/>
      <c r="US151" s="1576"/>
      <c r="UT151" s="1576"/>
      <c r="UU151" s="1576"/>
      <c r="UV151" s="1576"/>
      <c r="UW151" s="1576"/>
      <c r="UX151" s="1576"/>
      <c r="UY151" s="1576"/>
      <c r="UZ151" s="1576"/>
      <c r="VA151" s="1576"/>
      <c r="VB151" s="1576"/>
      <c r="VC151" s="1576"/>
      <c r="VD151" s="1576"/>
      <c r="VE151" s="1576"/>
      <c r="VF151" s="1576"/>
      <c r="VG151" s="1576"/>
      <c r="VH151" s="1576"/>
      <c r="VI151" s="1576"/>
      <c r="VJ151" s="1576"/>
      <c r="VK151" s="1576"/>
    </row>
    <row r="152" spans="1:583" ht="45" customHeight="1" x14ac:dyDescent="0.25">
      <c r="A152" s="691" t="s">
        <v>3833</v>
      </c>
      <c r="B152" s="1610" t="s">
        <v>2853</v>
      </c>
      <c r="C152" s="2062" t="s">
        <v>2954</v>
      </c>
      <c r="D152" s="1582" t="s">
        <v>2853</v>
      </c>
      <c r="E152" s="2062" t="s">
        <v>2954</v>
      </c>
      <c r="F152" s="2061">
        <f>SUM(F147:F151)</f>
        <v>0</v>
      </c>
      <c r="G152" s="2061">
        <f t="shared" ref="G152:BR152" si="201">SUM(G147:G151)</f>
        <v>0</v>
      </c>
      <c r="H152" s="2061">
        <f t="shared" si="201"/>
        <v>0</v>
      </c>
      <c r="I152" s="2061">
        <f t="shared" si="201"/>
        <v>0</v>
      </c>
      <c r="J152" s="2061">
        <f t="shared" si="201"/>
        <v>0</v>
      </c>
      <c r="K152" s="2061">
        <f t="shared" si="201"/>
        <v>0</v>
      </c>
      <c r="L152" s="2061">
        <f t="shared" si="201"/>
        <v>0</v>
      </c>
      <c r="M152" s="2061">
        <f t="shared" si="201"/>
        <v>0</v>
      </c>
      <c r="N152" s="2061">
        <f t="shared" si="201"/>
        <v>0</v>
      </c>
      <c r="O152" s="2061">
        <f t="shared" si="201"/>
        <v>0</v>
      </c>
      <c r="P152" s="2061">
        <f t="shared" si="201"/>
        <v>0</v>
      </c>
      <c r="Q152" s="2061">
        <f t="shared" si="201"/>
        <v>0</v>
      </c>
      <c r="R152" s="2061">
        <f t="shared" si="201"/>
        <v>0</v>
      </c>
      <c r="S152" s="2061">
        <f t="shared" si="201"/>
        <v>0</v>
      </c>
      <c r="T152" s="2061">
        <f t="shared" si="201"/>
        <v>0</v>
      </c>
      <c r="U152" s="2061">
        <f t="shared" si="201"/>
        <v>0</v>
      </c>
      <c r="V152" s="2061">
        <f t="shared" si="201"/>
        <v>0</v>
      </c>
      <c r="W152" s="2061">
        <f t="shared" si="201"/>
        <v>0</v>
      </c>
      <c r="X152" s="2061">
        <f t="shared" si="201"/>
        <v>0</v>
      </c>
      <c r="Y152" s="2061">
        <f t="shared" si="201"/>
        <v>0</v>
      </c>
      <c r="Z152" s="2061">
        <f t="shared" si="201"/>
        <v>0</v>
      </c>
      <c r="AA152" s="2061">
        <f t="shared" si="201"/>
        <v>0</v>
      </c>
      <c r="AB152" s="2061">
        <f t="shared" si="201"/>
        <v>0</v>
      </c>
      <c r="AC152" s="2061">
        <f t="shared" si="201"/>
        <v>0</v>
      </c>
      <c r="AD152" s="2061">
        <f t="shared" si="201"/>
        <v>0</v>
      </c>
      <c r="AE152" s="2061">
        <f t="shared" si="201"/>
        <v>0</v>
      </c>
      <c r="AF152" s="2061">
        <f t="shared" si="201"/>
        <v>0</v>
      </c>
      <c r="AG152" s="2061">
        <f t="shared" si="201"/>
        <v>0</v>
      </c>
      <c r="AH152" s="2061">
        <f t="shared" si="201"/>
        <v>0</v>
      </c>
      <c r="AI152" s="2061">
        <f t="shared" si="201"/>
        <v>0</v>
      </c>
      <c r="AJ152" s="2061">
        <f t="shared" si="201"/>
        <v>0</v>
      </c>
      <c r="AK152" s="2061">
        <f t="shared" si="201"/>
        <v>0</v>
      </c>
      <c r="AL152" s="2061">
        <f t="shared" si="201"/>
        <v>0</v>
      </c>
      <c r="AM152" s="2061">
        <f t="shared" si="201"/>
        <v>0</v>
      </c>
      <c r="AN152" s="2061">
        <f t="shared" si="201"/>
        <v>0</v>
      </c>
      <c r="AO152" s="2061">
        <f t="shared" si="201"/>
        <v>0</v>
      </c>
      <c r="AP152" s="2061">
        <f t="shared" si="201"/>
        <v>0</v>
      </c>
      <c r="AQ152" s="2061">
        <f t="shared" si="201"/>
        <v>0</v>
      </c>
      <c r="AR152" s="2061">
        <f t="shared" si="201"/>
        <v>0</v>
      </c>
      <c r="AS152" s="2061">
        <f t="shared" si="201"/>
        <v>0</v>
      </c>
      <c r="AT152" s="2061">
        <f t="shared" si="201"/>
        <v>0</v>
      </c>
      <c r="AU152" s="2061">
        <f t="shared" si="201"/>
        <v>0</v>
      </c>
      <c r="AV152" s="2061">
        <f t="shared" si="201"/>
        <v>0</v>
      </c>
      <c r="AW152" s="2061">
        <f t="shared" si="201"/>
        <v>0</v>
      </c>
      <c r="AX152" s="2061">
        <f t="shared" si="201"/>
        <v>0</v>
      </c>
      <c r="AY152" s="2061">
        <f t="shared" si="201"/>
        <v>0</v>
      </c>
      <c r="AZ152" s="2061">
        <f t="shared" si="201"/>
        <v>0</v>
      </c>
      <c r="BA152" s="2061">
        <f t="shared" si="201"/>
        <v>0</v>
      </c>
      <c r="BB152" s="2061">
        <f t="shared" si="201"/>
        <v>0</v>
      </c>
      <c r="BC152" s="2061">
        <f t="shared" si="201"/>
        <v>0</v>
      </c>
      <c r="BD152" s="2061">
        <f t="shared" si="201"/>
        <v>0</v>
      </c>
      <c r="BE152" s="2061">
        <f t="shared" si="201"/>
        <v>0</v>
      </c>
      <c r="BF152" s="2061">
        <f t="shared" si="201"/>
        <v>0</v>
      </c>
      <c r="BG152" s="2061">
        <f t="shared" si="201"/>
        <v>0</v>
      </c>
      <c r="BH152" s="2061">
        <f t="shared" si="201"/>
        <v>0</v>
      </c>
      <c r="BI152" s="2061">
        <f t="shared" si="201"/>
        <v>0</v>
      </c>
      <c r="BJ152" s="2061">
        <f t="shared" si="201"/>
        <v>0</v>
      </c>
      <c r="BK152" s="2061">
        <f t="shared" si="201"/>
        <v>0</v>
      </c>
      <c r="BL152" s="2061">
        <f t="shared" si="201"/>
        <v>0</v>
      </c>
      <c r="BM152" s="2061">
        <f t="shared" si="201"/>
        <v>0</v>
      </c>
      <c r="BN152" s="2061">
        <f t="shared" si="201"/>
        <v>0</v>
      </c>
      <c r="BO152" s="2061">
        <f t="shared" si="201"/>
        <v>0</v>
      </c>
      <c r="BP152" s="2061">
        <f t="shared" si="201"/>
        <v>0</v>
      </c>
      <c r="BQ152" s="2061">
        <f t="shared" si="201"/>
        <v>0</v>
      </c>
      <c r="BR152" s="2061">
        <f t="shared" si="201"/>
        <v>0</v>
      </c>
      <c r="BS152" s="2061">
        <f t="shared" ref="BS152:ED152" si="202">SUM(BS147:BS151)</f>
        <v>0</v>
      </c>
      <c r="BT152" s="2061">
        <f t="shared" si="202"/>
        <v>0</v>
      </c>
      <c r="BU152" s="2061">
        <f t="shared" si="202"/>
        <v>0</v>
      </c>
      <c r="BV152" s="2061">
        <f t="shared" si="202"/>
        <v>0</v>
      </c>
      <c r="BW152" s="2061">
        <f t="shared" si="202"/>
        <v>0</v>
      </c>
      <c r="BX152" s="2061">
        <f t="shared" si="202"/>
        <v>0</v>
      </c>
      <c r="BY152" s="2061">
        <f t="shared" si="202"/>
        <v>0</v>
      </c>
      <c r="BZ152" s="2061">
        <f t="shared" si="202"/>
        <v>0</v>
      </c>
      <c r="CA152" s="2061">
        <f t="shared" si="202"/>
        <v>0</v>
      </c>
      <c r="CB152" s="2061">
        <f t="shared" si="202"/>
        <v>0</v>
      </c>
      <c r="CC152" s="2061">
        <f t="shared" si="202"/>
        <v>0</v>
      </c>
      <c r="CD152" s="2061">
        <f t="shared" si="202"/>
        <v>0</v>
      </c>
      <c r="CE152" s="2061">
        <f t="shared" si="202"/>
        <v>0</v>
      </c>
      <c r="CF152" s="2061">
        <f t="shared" si="202"/>
        <v>0</v>
      </c>
      <c r="CG152" s="2061">
        <f t="shared" si="202"/>
        <v>0</v>
      </c>
      <c r="CH152" s="2061">
        <f t="shared" si="202"/>
        <v>0</v>
      </c>
      <c r="CI152" s="2061">
        <f t="shared" si="202"/>
        <v>0</v>
      </c>
      <c r="CJ152" s="2061">
        <f t="shared" si="202"/>
        <v>0</v>
      </c>
      <c r="CK152" s="2061">
        <f t="shared" si="202"/>
        <v>0</v>
      </c>
      <c r="CL152" s="2061">
        <f t="shared" si="202"/>
        <v>0</v>
      </c>
      <c r="CM152" s="2061">
        <f t="shared" si="202"/>
        <v>0</v>
      </c>
      <c r="CN152" s="2061">
        <f t="shared" si="202"/>
        <v>0</v>
      </c>
      <c r="CO152" s="2061">
        <f t="shared" si="202"/>
        <v>0</v>
      </c>
      <c r="CP152" s="2061">
        <f t="shared" si="202"/>
        <v>0</v>
      </c>
      <c r="CQ152" s="2061">
        <f t="shared" si="202"/>
        <v>0</v>
      </c>
      <c r="CR152" s="2061">
        <f t="shared" si="202"/>
        <v>0</v>
      </c>
      <c r="CS152" s="2061">
        <f t="shared" si="202"/>
        <v>0</v>
      </c>
      <c r="CT152" s="2061">
        <f t="shared" si="202"/>
        <v>0</v>
      </c>
      <c r="CU152" s="2061">
        <f t="shared" si="202"/>
        <v>0</v>
      </c>
      <c r="CV152" s="2061">
        <f t="shared" si="202"/>
        <v>0</v>
      </c>
      <c r="CW152" s="2061">
        <f t="shared" si="202"/>
        <v>0</v>
      </c>
      <c r="CX152" s="2061">
        <f t="shared" si="202"/>
        <v>0</v>
      </c>
      <c r="CY152" s="2061">
        <f t="shared" si="202"/>
        <v>0</v>
      </c>
      <c r="CZ152" s="2061">
        <f t="shared" si="202"/>
        <v>0</v>
      </c>
      <c r="DA152" s="2061">
        <f t="shared" si="202"/>
        <v>0</v>
      </c>
      <c r="DB152" s="2061">
        <f t="shared" si="202"/>
        <v>0</v>
      </c>
      <c r="DC152" s="2061">
        <f t="shared" si="202"/>
        <v>0</v>
      </c>
      <c r="DD152" s="2061">
        <f t="shared" si="202"/>
        <v>0</v>
      </c>
      <c r="DE152" s="2061">
        <f t="shared" si="202"/>
        <v>0</v>
      </c>
      <c r="DF152" s="2061">
        <f t="shared" si="202"/>
        <v>0</v>
      </c>
      <c r="DG152" s="2061">
        <f t="shared" si="202"/>
        <v>0</v>
      </c>
      <c r="DH152" s="2061">
        <f t="shared" si="202"/>
        <v>0</v>
      </c>
      <c r="DI152" s="2061">
        <f t="shared" si="202"/>
        <v>0</v>
      </c>
      <c r="DJ152" s="2061">
        <f t="shared" si="202"/>
        <v>0</v>
      </c>
      <c r="DK152" s="2061">
        <f t="shared" si="202"/>
        <v>0</v>
      </c>
      <c r="DL152" s="2061">
        <f t="shared" si="202"/>
        <v>0</v>
      </c>
      <c r="DM152" s="2061">
        <f t="shared" si="202"/>
        <v>0</v>
      </c>
      <c r="DN152" s="2061">
        <f t="shared" si="202"/>
        <v>0</v>
      </c>
      <c r="DO152" s="2061">
        <f t="shared" si="202"/>
        <v>0</v>
      </c>
      <c r="DP152" s="2061">
        <f t="shared" si="202"/>
        <v>0</v>
      </c>
      <c r="DQ152" s="2061">
        <f t="shared" si="202"/>
        <v>0</v>
      </c>
      <c r="DR152" s="2061">
        <f t="shared" si="202"/>
        <v>0</v>
      </c>
      <c r="DS152" s="2061">
        <f t="shared" si="202"/>
        <v>0</v>
      </c>
      <c r="DT152" s="2061">
        <f t="shared" si="202"/>
        <v>0</v>
      </c>
      <c r="DU152" s="2061">
        <f t="shared" si="202"/>
        <v>0</v>
      </c>
      <c r="DV152" s="2061">
        <f t="shared" si="202"/>
        <v>0</v>
      </c>
      <c r="DW152" s="2061">
        <f t="shared" si="202"/>
        <v>0</v>
      </c>
      <c r="DX152" s="2061">
        <f t="shared" si="202"/>
        <v>0</v>
      </c>
      <c r="DY152" s="2061">
        <f t="shared" si="202"/>
        <v>0</v>
      </c>
      <c r="DZ152" s="2061">
        <f t="shared" si="202"/>
        <v>0</v>
      </c>
      <c r="EA152" s="2061">
        <f t="shared" si="202"/>
        <v>0</v>
      </c>
      <c r="EB152" s="2061">
        <f t="shared" si="202"/>
        <v>0</v>
      </c>
      <c r="EC152" s="2061">
        <f t="shared" si="202"/>
        <v>0</v>
      </c>
      <c r="ED152" s="2061">
        <f t="shared" si="202"/>
        <v>0</v>
      </c>
      <c r="EE152" s="2061">
        <f t="shared" ref="EE152:GP152" si="203">SUM(EE147:EE151)</f>
        <v>0</v>
      </c>
      <c r="EF152" s="2061">
        <f t="shared" si="203"/>
        <v>0</v>
      </c>
      <c r="EG152" s="2061">
        <f t="shared" si="203"/>
        <v>0</v>
      </c>
      <c r="EH152" s="2061">
        <f t="shared" si="203"/>
        <v>0</v>
      </c>
      <c r="EI152" s="2061">
        <f t="shared" si="203"/>
        <v>0</v>
      </c>
      <c r="EJ152" s="2061">
        <f t="shared" si="203"/>
        <v>0</v>
      </c>
      <c r="EK152" s="2061">
        <f t="shared" si="203"/>
        <v>0</v>
      </c>
      <c r="EL152" s="2061">
        <f t="shared" si="203"/>
        <v>0</v>
      </c>
      <c r="EM152" s="2061">
        <f t="shared" si="203"/>
        <v>0</v>
      </c>
      <c r="EN152" s="2061">
        <f t="shared" si="203"/>
        <v>0</v>
      </c>
      <c r="EO152" s="2061">
        <f t="shared" si="203"/>
        <v>0</v>
      </c>
      <c r="EP152" s="2061">
        <f t="shared" si="203"/>
        <v>0</v>
      </c>
      <c r="EQ152" s="2061">
        <f t="shared" si="203"/>
        <v>0</v>
      </c>
      <c r="ER152" s="2061">
        <f t="shared" si="203"/>
        <v>0</v>
      </c>
      <c r="ES152" s="2061">
        <f t="shared" si="203"/>
        <v>0</v>
      </c>
      <c r="ET152" s="2061">
        <f t="shared" si="203"/>
        <v>0</v>
      </c>
      <c r="EU152" s="2061">
        <f t="shared" si="203"/>
        <v>0</v>
      </c>
      <c r="EV152" s="2061">
        <f t="shared" si="203"/>
        <v>0</v>
      </c>
      <c r="EW152" s="2061">
        <f t="shared" si="203"/>
        <v>0</v>
      </c>
      <c r="EX152" s="2061">
        <f t="shared" si="203"/>
        <v>0</v>
      </c>
      <c r="EY152" s="2061">
        <f t="shared" si="203"/>
        <v>0</v>
      </c>
      <c r="EZ152" s="2061">
        <f t="shared" si="203"/>
        <v>0</v>
      </c>
      <c r="FA152" s="2061">
        <f t="shared" si="203"/>
        <v>0</v>
      </c>
      <c r="FB152" s="2061">
        <f t="shared" si="203"/>
        <v>0</v>
      </c>
      <c r="FC152" s="2061">
        <f t="shared" si="203"/>
        <v>0</v>
      </c>
      <c r="FD152" s="2061">
        <f t="shared" si="203"/>
        <v>0</v>
      </c>
      <c r="FE152" s="2061">
        <f t="shared" si="203"/>
        <v>0</v>
      </c>
      <c r="FF152" s="2061">
        <f t="shared" si="203"/>
        <v>0</v>
      </c>
      <c r="FG152" s="2061">
        <f t="shared" si="203"/>
        <v>0</v>
      </c>
      <c r="FH152" s="2061">
        <f t="shared" si="203"/>
        <v>0</v>
      </c>
      <c r="FI152" s="2061">
        <f t="shared" si="203"/>
        <v>0</v>
      </c>
      <c r="FJ152" s="2061">
        <f t="shared" si="203"/>
        <v>0</v>
      </c>
      <c r="FK152" s="2061">
        <f t="shared" si="203"/>
        <v>0</v>
      </c>
      <c r="FL152" s="2061">
        <f t="shared" si="203"/>
        <v>0</v>
      </c>
      <c r="FM152" s="2061">
        <f t="shared" si="203"/>
        <v>0</v>
      </c>
      <c r="FN152" s="2061">
        <f t="shared" si="203"/>
        <v>0</v>
      </c>
      <c r="FO152" s="2061">
        <f t="shared" si="203"/>
        <v>0</v>
      </c>
      <c r="FP152" s="2061">
        <f t="shared" si="203"/>
        <v>0</v>
      </c>
      <c r="FQ152" s="2061">
        <f t="shared" si="203"/>
        <v>0</v>
      </c>
      <c r="FR152" s="2061">
        <f t="shared" si="203"/>
        <v>0</v>
      </c>
      <c r="FS152" s="2061">
        <f t="shared" si="203"/>
        <v>0</v>
      </c>
      <c r="FT152" s="2061">
        <f t="shared" si="203"/>
        <v>0</v>
      </c>
      <c r="FU152" s="2061">
        <f t="shared" si="203"/>
        <v>0</v>
      </c>
      <c r="FV152" s="2061">
        <f t="shared" si="203"/>
        <v>0</v>
      </c>
      <c r="FW152" s="2061">
        <f t="shared" si="203"/>
        <v>0</v>
      </c>
      <c r="FX152" s="2061">
        <f t="shared" si="203"/>
        <v>0</v>
      </c>
      <c r="FY152" s="2061">
        <f t="shared" si="203"/>
        <v>0</v>
      </c>
      <c r="FZ152" s="2061">
        <f t="shared" si="203"/>
        <v>0</v>
      </c>
      <c r="GA152" s="2061">
        <f t="shared" si="203"/>
        <v>0</v>
      </c>
      <c r="GB152" s="2061">
        <f t="shared" si="203"/>
        <v>0</v>
      </c>
      <c r="GC152" s="2061">
        <f t="shared" si="203"/>
        <v>0</v>
      </c>
      <c r="GD152" s="2061">
        <f t="shared" si="203"/>
        <v>0</v>
      </c>
      <c r="GE152" s="2061">
        <f t="shared" si="203"/>
        <v>0</v>
      </c>
      <c r="GF152" s="2061">
        <f t="shared" si="203"/>
        <v>0</v>
      </c>
      <c r="GG152" s="2061">
        <f t="shared" si="203"/>
        <v>0</v>
      </c>
      <c r="GH152" s="2061">
        <f t="shared" si="203"/>
        <v>0</v>
      </c>
      <c r="GI152" s="2061">
        <f t="shared" si="203"/>
        <v>0</v>
      </c>
      <c r="GJ152" s="2061">
        <f t="shared" si="203"/>
        <v>0</v>
      </c>
      <c r="GK152" s="2061">
        <f t="shared" si="203"/>
        <v>0</v>
      </c>
      <c r="GL152" s="2061">
        <f t="shared" si="203"/>
        <v>0</v>
      </c>
      <c r="GM152" s="2061">
        <f t="shared" si="203"/>
        <v>0</v>
      </c>
      <c r="GN152" s="2061">
        <f t="shared" si="203"/>
        <v>0</v>
      </c>
      <c r="GO152" s="2061">
        <f t="shared" si="203"/>
        <v>0</v>
      </c>
      <c r="GP152" s="2061">
        <f t="shared" si="203"/>
        <v>0</v>
      </c>
      <c r="GQ152" s="2061">
        <f t="shared" ref="GQ152:JB152" si="204">SUM(GQ147:GQ151)</f>
        <v>0</v>
      </c>
      <c r="GR152" s="2061">
        <f t="shared" si="204"/>
        <v>0</v>
      </c>
      <c r="GS152" s="2061">
        <f t="shared" si="204"/>
        <v>0</v>
      </c>
      <c r="GT152" s="2061">
        <f t="shared" si="204"/>
        <v>0</v>
      </c>
      <c r="GU152" s="2061">
        <f t="shared" si="204"/>
        <v>0</v>
      </c>
      <c r="GV152" s="2061">
        <f t="shared" si="204"/>
        <v>0</v>
      </c>
      <c r="GW152" s="2061">
        <f t="shared" si="204"/>
        <v>0</v>
      </c>
      <c r="GX152" s="2061">
        <f t="shared" si="204"/>
        <v>0</v>
      </c>
      <c r="GY152" s="2061">
        <f t="shared" si="204"/>
        <v>0</v>
      </c>
      <c r="GZ152" s="2061">
        <f t="shared" si="204"/>
        <v>0</v>
      </c>
      <c r="HA152" s="2061">
        <f t="shared" si="204"/>
        <v>0</v>
      </c>
      <c r="HB152" s="2061">
        <f t="shared" si="204"/>
        <v>0</v>
      </c>
      <c r="HC152" s="2061">
        <f t="shared" si="204"/>
        <v>0</v>
      </c>
      <c r="HD152" s="2061">
        <f t="shared" si="204"/>
        <v>0</v>
      </c>
      <c r="HE152" s="2061">
        <f t="shared" si="204"/>
        <v>0</v>
      </c>
      <c r="HF152" s="2061">
        <f t="shared" si="204"/>
        <v>0</v>
      </c>
      <c r="HG152" s="2061">
        <f t="shared" si="204"/>
        <v>0</v>
      </c>
      <c r="HH152" s="2061">
        <f t="shared" si="204"/>
        <v>0</v>
      </c>
      <c r="HI152" s="2061">
        <f t="shared" si="204"/>
        <v>0</v>
      </c>
      <c r="HJ152" s="2061">
        <f t="shared" si="204"/>
        <v>0</v>
      </c>
      <c r="HK152" s="2061">
        <f t="shared" si="204"/>
        <v>0</v>
      </c>
      <c r="HL152" s="2061">
        <f t="shared" si="204"/>
        <v>0</v>
      </c>
      <c r="HM152" s="2061">
        <f t="shared" si="204"/>
        <v>0</v>
      </c>
      <c r="HN152" s="2061">
        <f t="shared" si="204"/>
        <v>0</v>
      </c>
      <c r="HO152" s="2061">
        <f t="shared" si="204"/>
        <v>0</v>
      </c>
      <c r="HP152" s="2061">
        <f t="shared" si="204"/>
        <v>0</v>
      </c>
      <c r="HQ152" s="2061">
        <f t="shared" si="204"/>
        <v>0</v>
      </c>
      <c r="HR152" s="2061">
        <f t="shared" si="204"/>
        <v>0</v>
      </c>
      <c r="HS152" s="2061">
        <f t="shared" si="204"/>
        <v>0</v>
      </c>
      <c r="HT152" s="2061">
        <f t="shared" si="204"/>
        <v>0</v>
      </c>
      <c r="HU152" s="2061">
        <f t="shared" si="204"/>
        <v>0</v>
      </c>
      <c r="HV152" s="2061">
        <f t="shared" si="204"/>
        <v>0</v>
      </c>
      <c r="HW152" s="2061">
        <f t="shared" si="204"/>
        <v>0</v>
      </c>
      <c r="HX152" s="2061">
        <f t="shared" si="204"/>
        <v>0</v>
      </c>
      <c r="HY152" s="2061">
        <f t="shared" si="204"/>
        <v>0</v>
      </c>
      <c r="HZ152" s="2061">
        <f t="shared" si="204"/>
        <v>0</v>
      </c>
      <c r="IA152" s="2061">
        <f t="shared" si="204"/>
        <v>0</v>
      </c>
      <c r="IB152" s="2061">
        <f t="shared" si="204"/>
        <v>0</v>
      </c>
      <c r="IC152" s="2061">
        <f t="shared" si="204"/>
        <v>0</v>
      </c>
      <c r="ID152" s="2061">
        <f t="shared" si="204"/>
        <v>0</v>
      </c>
      <c r="IE152" s="2061">
        <f t="shared" si="204"/>
        <v>0</v>
      </c>
      <c r="IF152" s="2061">
        <f t="shared" si="204"/>
        <v>0</v>
      </c>
      <c r="IG152" s="2061">
        <f t="shared" si="204"/>
        <v>0</v>
      </c>
      <c r="IH152" s="2061">
        <f t="shared" si="204"/>
        <v>0</v>
      </c>
      <c r="II152" s="2061">
        <f t="shared" si="204"/>
        <v>0</v>
      </c>
      <c r="IJ152" s="2061">
        <f t="shared" si="204"/>
        <v>0</v>
      </c>
      <c r="IK152" s="2061">
        <f t="shared" si="204"/>
        <v>0</v>
      </c>
      <c r="IL152" s="2061">
        <f t="shared" si="204"/>
        <v>0</v>
      </c>
      <c r="IM152" s="2061">
        <f t="shared" si="204"/>
        <v>0</v>
      </c>
      <c r="IN152" s="2061">
        <f t="shared" si="204"/>
        <v>0</v>
      </c>
      <c r="IO152" s="2061">
        <f t="shared" si="204"/>
        <v>0</v>
      </c>
      <c r="IP152" s="2061">
        <f t="shared" si="204"/>
        <v>0</v>
      </c>
      <c r="IQ152" s="2061">
        <f t="shared" si="204"/>
        <v>0</v>
      </c>
      <c r="IR152" s="2061">
        <f t="shared" si="204"/>
        <v>0</v>
      </c>
      <c r="IS152" s="2061">
        <f t="shared" si="204"/>
        <v>0</v>
      </c>
      <c r="IT152" s="2061">
        <f t="shared" si="204"/>
        <v>0</v>
      </c>
      <c r="IU152" s="2061">
        <f t="shared" si="204"/>
        <v>0</v>
      </c>
      <c r="IV152" s="2061">
        <f t="shared" si="204"/>
        <v>0</v>
      </c>
      <c r="IW152" s="2061">
        <f t="shared" si="204"/>
        <v>0</v>
      </c>
      <c r="IX152" s="2061">
        <f t="shared" si="204"/>
        <v>0</v>
      </c>
      <c r="IY152" s="2061">
        <f t="shared" si="204"/>
        <v>0</v>
      </c>
      <c r="IZ152" s="2061">
        <f t="shared" si="204"/>
        <v>0</v>
      </c>
      <c r="JA152" s="2061">
        <f>SUM(JA147:JA150)</f>
        <v>0</v>
      </c>
      <c r="JB152" s="2061">
        <f t="shared" si="204"/>
        <v>0</v>
      </c>
      <c r="JC152" s="2061">
        <f t="shared" ref="JC152:LN152" si="205">SUM(JC147:JC151)</f>
        <v>0</v>
      </c>
      <c r="JD152" s="2061">
        <f t="shared" si="205"/>
        <v>0</v>
      </c>
      <c r="JE152" s="2061">
        <f t="shared" si="205"/>
        <v>0</v>
      </c>
      <c r="JF152" s="2061">
        <f t="shared" si="205"/>
        <v>0</v>
      </c>
      <c r="JG152" s="2061">
        <f t="shared" si="205"/>
        <v>0</v>
      </c>
      <c r="JH152" s="2061">
        <f t="shared" si="205"/>
        <v>0</v>
      </c>
      <c r="JI152" s="2061">
        <f t="shared" si="205"/>
        <v>0</v>
      </c>
      <c r="JJ152" s="2061">
        <f t="shared" si="205"/>
        <v>0</v>
      </c>
      <c r="JK152" s="2061">
        <f t="shared" si="205"/>
        <v>0</v>
      </c>
      <c r="JL152" s="2061">
        <f t="shared" si="205"/>
        <v>0</v>
      </c>
      <c r="JM152" s="2061">
        <f t="shared" si="205"/>
        <v>0</v>
      </c>
      <c r="JN152" s="2061">
        <f t="shared" si="205"/>
        <v>0</v>
      </c>
      <c r="JO152" s="2061">
        <f t="shared" si="205"/>
        <v>0</v>
      </c>
      <c r="JP152" s="2061">
        <f t="shared" si="205"/>
        <v>0</v>
      </c>
      <c r="JQ152" s="2061">
        <f t="shared" si="205"/>
        <v>0</v>
      </c>
      <c r="JR152" s="2061">
        <f t="shared" si="205"/>
        <v>0</v>
      </c>
      <c r="JS152" s="2061">
        <f t="shared" si="205"/>
        <v>0</v>
      </c>
      <c r="JT152" s="2061">
        <f t="shared" si="205"/>
        <v>0</v>
      </c>
      <c r="JU152" s="2061">
        <f t="shared" si="205"/>
        <v>0</v>
      </c>
      <c r="JV152" s="2061">
        <f t="shared" si="205"/>
        <v>0</v>
      </c>
      <c r="JW152" s="2061">
        <f t="shared" si="205"/>
        <v>0</v>
      </c>
      <c r="JX152" s="2061">
        <f t="shared" si="205"/>
        <v>0</v>
      </c>
      <c r="JY152" s="2061">
        <f t="shared" si="205"/>
        <v>0</v>
      </c>
      <c r="JZ152" s="2061">
        <f t="shared" si="205"/>
        <v>0</v>
      </c>
      <c r="KA152" s="2061">
        <f t="shared" si="205"/>
        <v>0</v>
      </c>
      <c r="KB152" s="2061">
        <f t="shared" si="205"/>
        <v>0</v>
      </c>
      <c r="KC152" s="2061">
        <f t="shared" si="205"/>
        <v>0</v>
      </c>
      <c r="KD152" s="2061">
        <f t="shared" si="205"/>
        <v>0</v>
      </c>
      <c r="KE152" s="2061">
        <f t="shared" si="205"/>
        <v>0</v>
      </c>
      <c r="KF152" s="2061">
        <f t="shared" si="205"/>
        <v>0</v>
      </c>
      <c r="KG152" s="2061">
        <f t="shared" si="205"/>
        <v>0</v>
      </c>
      <c r="KH152" s="2061">
        <f t="shared" si="205"/>
        <v>0</v>
      </c>
      <c r="KI152" s="2061">
        <f t="shared" si="205"/>
        <v>0</v>
      </c>
      <c r="KJ152" s="2061">
        <f t="shared" si="205"/>
        <v>0</v>
      </c>
      <c r="KK152" s="2061">
        <f t="shared" si="205"/>
        <v>0</v>
      </c>
      <c r="KL152" s="2061">
        <f t="shared" si="205"/>
        <v>0</v>
      </c>
      <c r="KM152" s="2061">
        <f t="shared" si="205"/>
        <v>0</v>
      </c>
      <c r="KN152" s="2061">
        <f t="shared" si="205"/>
        <v>0</v>
      </c>
      <c r="KO152" s="2061">
        <f t="shared" si="205"/>
        <v>0</v>
      </c>
      <c r="KP152" s="2061">
        <f t="shared" si="205"/>
        <v>0</v>
      </c>
      <c r="KQ152" s="2061">
        <f t="shared" si="205"/>
        <v>0</v>
      </c>
      <c r="KR152" s="2061">
        <f t="shared" si="205"/>
        <v>0</v>
      </c>
      <c r="KS152" s="2061">
        <f t="shared" si="205"/>
        <v>0</v>
      </c>
      <c r="KT152" s="2061">
        <f t="shared" si="205"/>
        <v>0</v>
      </c>
      <c r="KU152" s="2061">
        <f t="shared" si="205"/>
        <v>0</v>
      </c>
      <c r="KV152" s="2061">
        <f t="shared" si="205"/>
        <v>0</v>
      </c>
      <c r="KW152" s="2061">
        <f t="shared" si="205"/>
        <v>0</v>
      </c>
      <c r="KX152" s="2061">
        <f t="shared" si="205"/>
        <v>0</v>
      </c>
      <c r="KY152" s="2061">
        <f t="shared" si="205"/>
        <v>0</v>
      </c>
      <c r="KZ152" s="2061">
        <f t="shared" si="205"/>
        <v>0</v>
      </c>
      <c r="LA152" s="2061">
        <f t="shared" si="205"/>
        <v>0</v>
      </c>
      <c r="LB152" s="2061">
        <f t="shared" si="205"/>
        <v>0</v>
      </c>
      <c r="LC152" s="2061">
        <f t="shared" si="205"/>
        <v>0</v>
      </c>
      <c r="LD152" s="2061">
        <f t="shared" si="205"/>
        <v>0</v>
      </c>
      <c r="LE152" s="2061">
        <f t="shared" si="205"/>
        <v>0</v>
      </c>
      <c r="LF152" s="2061">
        <f t="shared" si="205"/>
        <v>0</v>
      </c>
      <c r="LG152" s="2061">
        <f t="shared" si="205"/>
        <v>0</v>
      </c>
      <c r="LH152" s="2061">
        <f t="shared" si="205"/>
        <v>0</v>
      </c>
      <c r="LI152" s="2061">
        <f t="shared" si="205"/>
        <v>0</v>
      </c>
      <c r="LJ152" s="2061">
        <f t="shared" si="205"/>
        <v>0</v>
      </c>
      <c r="LK152" s="2061">
        <f t="shared" si="205"/>
        <v>0</v>
      </c>
      <c r="LL152" s="2061">
        <f t="shared" si="205"/>
        <v>0</v>
      </c>
      <c r="LM152" s="2061">
        <f t="shared" si="205"/>
        <v>0</v>
      </c>
      <c r="LN152" s="2061">
        <f t="shared" si="205"/>
        <v>0</v>
      </c>
      <c r="LO152" s="2061">
        <f t="shared" ref="LO152:NZ152" si="206">SUM(LO147:LO151)</f>
        <v>0</v>
      </c>
      <c r="LP152" s="2061">
        <f t="shared" si="206"/>
        <v>0</v>
      </c>
      <c r="LQ152" s="2061">
        <f t="shared" si="206"/>
        <v>0</v>
      </c>
      <c r="LR152" s="2061">
        <f t="shared" si="206"/>
        <v>0</v>
      </c>
      <c r="LS152" s="2061">
        <f t="shared" si="206"/>
        <v>0</v>
      </c>
      <c r="LT152" s="2061">
        <f t="shared" si="206"/>
        <v>0</v>
      </c>
      <c r="LU152" s="2061">
        <f t="shared" si="206"/>
        <v>0</v>
      </c>
      <c r="LV152" s="2061">
        <f t="shared" si="206"/>
        <v>0</v>
      </c>
      <c r="LW152" s="2061">
        <f t="shared" si="206"/>
        <v>0</v>
      </c>
      <c r="LX152" s="2061">
        <f t="shared" si="206"/>
        <v>0</v>
      </c>
      <c r="LY152" s="2061">
        <f t="shared" si="206"/>
        <v>0</v>
      </c>
      <c r="LZ152" s="2061">
        <f t="shared" si="206"/>
        <v>0</v>
      </c>
      <c r="MA152" s="2061">
        <f t="shared" si="206"/>
        <v>0</v>
      </c>
      <c r="MB152" s="2061">
        <f t="shared" si="206"/>
        <v>0</v>
      </c>
      <c r="MC152" s="2061">
        <f t="shared" si="206"/>
        <v>0</v>
      </c>
      <c r="MD152" s="2061">
        <f t="shared" si="206"/>
        <v>0</v>
      </c>
      <c r="ME152" s="2061">
        <f t="shared" si="206"/>
        <v>0</v>
      </c>
      <c r="MF152" s="2061">
        <f t="shared" si="206"/>
        <v>0</v>
      </c>
      <c r="MG152" s="2061">
        <f t="shared" si="206"/>
        <v>0</v>
      </c>
      <c r="MH152" s="2061">
        <f t="shared" si="206"/>
        <v>0</v>
      </c>
      <c r="MI152" s="2061">
        <f t="shared" si="206"/>
        <v>0</v>
      </c>
      <c r="MJ152" s="2061">
        <f t="shared" si="206"/>
        <v>0</v>
      </c>
      <c r="MK152" s="2061">
        <f t="shared" si="206"/>
        <v>0</v>
      </c>
      <c r="ML152" s="2061">
        <f t="shared" si="206"/>
        <v>0</v>
      </c>
      <c r="MM152" s="2061">
        <f t="shared" si="206"/>
        <v>0</v>
      </c>
      <c r="MN152" s="2061">
        <f t="shared" si="206"/>
        <v>0</v>
      </c>
      <c r="MO152" s="2061">
        <f t="shared" si="206"/>
        <v>0</v>
      </c>
      <c r="MP152" s="2061">
        <f t="shared" si="206"/>
        <v>0</v>
      </c>
      <c r="MQ152" s="2061">
        <f t="shared" si="206"/>
        <v>0</v>
      </c>
      <c r="MR152" s="2061">
        <f t="shared" si="206"/>
        <v>0</v>
      </c>
      <c r="MS152" s="2061">
        <f t="shared" si="206"/>
        <v>0</v>
      </c>
      <c r="MT152" s="2061">
        <f t="shared" si="206"/>
        <v>0</v>
      </c>
      <c r="MU152" s="2061">
        <f t="shared" si="206"/>
        <v>0</v>
      </c>
      <c r="MV152" s="2061">
        <f t="shared" si="206"/>
        <v>0</v>
      </c>
      <c r="MW152" s="2061">
        <f t="shared" si="206"/>
        <v>0</v>
      </c>
      <c r="MX152" s="2061">
        <f t="shared" si="206"/>
        <v>0</v>
      </c>
      <c r="MY152" s="2061" t="e">
        <f t="shared" si="206"/>
        <v>#DIV/0!</v>
      </c>
      <c r="MZ152" s="2061" t="e">
        <f t="shared" si="206"/>
        <v>#DIV/0!</v>
      </c>
      <c r="NA152" s="2061" t="e">
        <f t="shared" si="206"/>
        <v>#DIV/0!</v>
      </c>
      <c r="NB152" s="2061" t="e">
        <f t="shared" si="206"/>
        <v>#DIV/0!</v>
      </c>
      <c r="NC152" s="2061" t="e">
        <f t="shared" si="206"/>
        <v>#DIV/0!</v>
      </c>
      <c r="ND152" s="2061" t="e">
        <f t="shared" si="206"/>
        <v>#DIV/0!</v>
      </c>
      <c r="NE152" s="2061" t="e">
        <f t="shared" si="206"/>
        <v>#DIV/0!</v>
      </c>
      <c r="NF152" s="2061" t="e">
        <f t="shared" si="206"/>
        <v>#DIV/0!</v>
      </c>
      <c r="NG152" s="2061" t="e">
        <f t="shared" si="206"/>
        <v>#DIV/0!</v>
      </c>
      <c r="NH152" s="2061" t="e">
        <f t="shared" si="206"/>
        <v>#DIV/0!</v>
      </c>
      <c r="NI152" s="2061" t="e">
        <f t="shared" si="206"/>
        <v>#DIV/0!</v>
      </c>
      <c r="NJ152" s="2061" t="e">
        <f t="shared" si="206"/>
        <v>#DIV/0!</v>
      </c>
      <c r="NK152" s="2061" t="e">
        <f t="shared" si="206"/>
        <v>#DIV/0!</v>
      </c>
      <c r="NL152" s="2061" t="e">
        <f t="shared" si="206"/>
        <v>#DIV/0!</v>
      </c>
      <c r="NM152" s="2061" t="e">
        <f t="shared" si="206"/>
        <v>#DIV/0!</v>
      </c>
      <c r="NN152" s="2061" t="e">
        <f t="shared" si="206"/>
        <v>#DIV/0!</v>
      </c>
      <c r="NO152" s="2061" t="e">
        <f t="shared" si="206"/>
        <v>#DIV/0!</v>
      </c>
      <c r="NP152" s="2061">
        <f t="shared" si="206"/>
        <v>0</v>
      </c>
      <c r="NQ152" s="2061">
        <f t="shared" si="206"/>
        <v>0</v>
      </c>
      <c r="NR152" s="2061">
        <f t="shared" si="206"/>
        <v>0</v>
      </c>
      <c r="NS152" s="2061">
        <f t="shared" si="206"/>
        <v>0</v>
      </c>
      <c r="NT152" s="2061">
        <f t="shared" si="206"/>
        <v>0</v>
      </c>
      <c r="NU152" s="2061">
        <f t="shared" si="206"/>
        <v>0</v>
      </c>
      <c r="NV152" s="2061">
        <f t="shared" si="206"/>
        <v>0</v>
      </c>
      <c r="NW152" s="2061">
        <f t="shared" si="206"/>
        <v>0</v>
      </c>
      <c r="NX152" s="2061">
        <f t="shared" si="206"/>
        <v>0</v>
      </c>
      <c r="NY152" s="2061">
        <f t="shared" si="206"/>
        <v>0</v>
      </c>
      <c r="NZ152" s="2061">
        <f t="shared" si="206"/>
        <v>0</v>
      </c>
      <c r="OA152" s="2061">
        <f t="shared" ref="OA152:QL152" si="207">SUM(OA147:OA151)</f>
        <v>0</v>
      </c>
      <c r="OB152" s="2061">
        <f t="shared" si="207"/>
        <v>0</v>
      </c>
      <c r="OC152" s="2061">
        <f t="shared" si="207"/>
        <v>0</v>
      </c>
      <c r="OD152" s="2061">
        <f t="shared" si="207"/>
        <v>0</v>
      </c>
      <c r="OE152" s="2061">
        <f t="shared" si="207"/>
        <v>0</v>
      </c>
      <c r="OF152" s="2061">
        <f t="shared" si="207"/>
        <v>0</v>
      </c>
      <c r="OG152" s="2061" t="e">
        <f t="shared" si="207"/>
        <v>#DIV/0!</v>
      </c>
      <c r="OH152" s="2061" t="e">
        <f t="shared" si="207"/>
        <v>#DIV/0!</v>
      </c>
      <c r="OI152" s="2061" t="e">
        <f t="shared" si="207"/>
        <v>#DIV/0!</v>
      </c>
      <c r="OJ152" s="2061" t="e">
        <f t="shared" si="207"/>
        <v>#DIV/0!</v>
      </c>
      <c r="OK152" s="2061" t="e">
        <f t="shared" si="207"/>
        <v>#DIV/0!</v>
      </c>
      <c r="OL152" s="2061" t="e">
        <f t="shared" si="207"/>
        <v>#DIV/0!</v>
      </c>
      <c r="OM152" s="2061" t="e">
        <f t="shared" si="207"/>
        <v>#DIV/0!</v>
      </c>
      <c r="ON152" s="2061" t="e">
        <f t="shared" si="207"/>
        <v>#DIV/0!</v>
      </c>
      <c r="OO152" s="2061" t="e">
        <f t="shared" si="207"/>
        <v>#DIV/0!</v>
      </c>
      <c r="OP152" s="2061" t="e">
        <f t="shared" si="207"/>
        <v>#DIV/0!</v>
      </c>
      <c r="OQ152" s="2061" t="e">
        <f t="shared" si="207"/>
        <v>#DIV/0!</v>
      </c>
      <c r="OR152" s="2061" t="e">
        <f t="shared" si="207"/>
        <v>#DIV/0!</v>
      </c>
      <c r="OS152" s="2061" t="e">
        <f t="shared" si="207"/>
        <v>#DIV/0!</v>
      </c>
      <c r="OT152" s="2061" t="e">
        <f t="shared" si="207"/>
        <v>#DIV/0!</v>
      </c>
      <c r="OU152" s="2061" t="e">
        <f t="shared" si="207"/>
        <v>#DIV/0!</v>
      </c>
      <c r="OV152" s="2061" t="e">
        <f t="shared" si="207"/>
        <v>#DIV/0!</v>
      </c>
      <c r="OW152" s="2061" t="e">
        <f t="shared" si="207"/>
        <v>#DIV/0!</v>
      </c>
      <c r="OX152" s="2061">
        <f t="shared" si="207"/>
        <v>0</v>
      </c>
      <c r="OY152" s="2061">
        <f t="shared" si="207"/>
        <v>0</v>
      </c>
      <c r="OZ152" s="2061">
        <f t="shared" si="207"/>
        <v>0</v>
      </c>
      <c r="PA152" s="2061">
        <f t="shared" si="207"/>
        <v>0</v>
      </c>
      <c r="PB152" s="2061">
        <f t="shared" si="207"/>
        <v>0</v>
      </c>
      <c r="PC152" s="2061">
        <f t="shared" si="207"/>
        <v>0</v>
      </c>
      <c r="PD152" s="2061">
        <f t="shared" si="207"/>
        <v>0</v>
      </c>
      <c r="PE152" s="2061">
        <f t="shared" si="207"/>
        <v>0</v>
      </c>
      <c r="PF152" s="2061">
        <f t="shared" si="207"/>
        <v>0</v>
      </c>
      <c r="PG152" s="2061">
        <f t="shared" si="207"/>
        <v>0</v>
      </c>
      <c r="PH152" s="2061">
        <f t="shared" si="207"/>
        <v>0</v>
      </c>
      <c r="PI152" s="2061">
        <f t="shared" si="207"/>
        <v>0</v>
      </c>
      <c r="PJ152" s="2061">
        <f t="shared" si="207"/>
        <v>0</v>
      </c>
      <c r="PK152" s="2061">
        <f t="shared" si="207"/>
        <v>0</v>
      </c>
      <c r="PL152" s="2061">
        <f t="shared" si="207"/>
        <v>0</v>
      </c>
      <c r="PM152" s="2061">
        <f t="shared" si="207"/>
        <v>0</v>
      </c>
      <c r="PN152" s="2061">
        <f t="shared" si="207"/>
        <v>0</v>
      </c>
      <c r="PO152" s="2061">
        <f t="shared" si="207"/>
        <v>0</v>
      </c>
      <c r="PP152" s="2061">
        <f t="shared" si="207"/>
        <v>0</v>
      </c>
      <c r="PQ152" s="2061">
        <f t="shared" si="207"/>
        <v>0</v>
      </c>
      <c r="PR152" s="2061">
        <f t="shared" si="207"/>
        <v>0</v>
      </c>
      <c r="PS152" s="2061">
        <f t="shared" si="207"/>
        <v>0</v>
      </c>
      <c r="PT152" s="2061">
        <f t="shared" si="207"/>
        <v>0</v>
      </c>
      <c r="PU152" s="2061">
        <f t="shared" si="207"/>
        <v>0</v>
      </c>
      <c r="PV152" s="2061">
        <f t="shared" si="207"/>
        <v>0</v>
      </c>
      <c r="PW152" s="2061">
        <f t="shared" si="207"/>
        <v>0</v>
      </c>
      <c r="PX152" s="2061">
        <f t="shared" si="207"/>
        <v>0</v>
      </c>
      <c r="PY152" s="2061">
        <f t="shared" si="207"/>
        <v>0</v>
      </c>
      <c r="PZ152" s="2061">
        <f t="shared" si="207"/>
        <v>0</v>
      </c>
      <c r="QA152" s="2061">
        <f t="shared" si="207"/>
        <v>0</v>
      </c>
      <c r="QB152" s="2061">
        <f t="shared" si="207"/>
        <v>0</v>
      </c>
      <c r="QC152" s="2061">
        <f t="shared" si="207"/>
        <v>0</v>
      </c>
      <c r="QD152" s="2061">
        <f t="shared" si="207"/>
        <v>0</v>
      </c>
      <c r="QE152" s="2061">
        <f t="shared" si="207"/>
        <v>0</v>
      </c>
      <c r="QF152" s="2061">
        <f t="shared" si="207"/>
        <v>0</v>
      </c>
      <c r="QG152" s="2061">
        <f t="shared" si="207"/>
        <v>0</v>
      </c>
      <c r="QH152" s="2061">
        <f t="shared" si="207"/>
        <v>0</v>
      </c>
      <c r="QI152" s="2061">
        <f t="shared" si="207"/>
        <v>0</v>
      </c>
      <c r="QJ152" s="2061">
        <f t="shared" si="207"/>
        <v>0</v>
      </c>
      <c r="QK152" s="2061">
        <f t="shared" si="207"/>
        <v>0</v>
      </c>
      <c r="QL152" s="2061">
        <f t="shared" si="207"/>
        <v>0</v>
      </c>
      <c r="QM152" s="2061">
        <f t="shared" ref="QM152:SX152" si="208">SUM(QM147:QM151)</f>
        <v>0</v>
      </c>
      <c r="QN152" s="2061">
        <f t="shared" si="208"/>
        <v>0</v>
      </c>
      <c r="QO152" s="2061">
        <f t="shared" si="208"/>
        <v>0</v>
      </c>
      <c r="QP152" s="2061">
        <f t="shared" si="208"/>
        <v>0</v>
      </c>
      <c r="QQ152" s="2061">
        <f t="shared" si="208"/>
        <v>0</v>
      </c>
      <c r="QR152" s="2061">
        <f t="shared" si="208"/>
        <v>0</v>
      </c>
      <c r="QS152" s="2061">
        <f t="shared" si="208"/>
        <v>0</v>
      </c>
      <c r="QT152" s="2061">
        <f t="shared" si="208"/>
        <v>0</v>
      </c>
      <c r="QU152" s="2061">
        <f t="shared" si="208"/>
        <v>0</v>
      </c>
      <c r="QV152" s="2061">
        <f t="shared" si="208"/>
        <v>0</v>
      </c>
      <c r="QW152" s="2061">
        <f t="shared" si="208"/>
        <v>0</v>
      </c>
      <c r="QX152" s="2061">
        <f t="shared" si="208"/>
        <v>0</v>
      </c>
      <c r="QY152" s="2061">
        <f t="shared" si="208"/>
        <v>0</v>
      </c>
      <c r="QZ152" s="2061">
        <f t="shared" si="208"/>
        <v>0</v>
      </c>
      <c r="RA152" s="2061">
        <f t="shared" si="208"/>
        <v>0</v>
      </c>
      <c r="RB152" s="2061">
        <f t="shared" si="208"/>
        <v>0</v>
      </c>
      <c r="RC152" s="2061">
        <f t="shared" si="208"/>
        <v>0</v>
      </c>
      <c r="RD152" s="2061">
        <f t="shared" si="208"/>
        <v>0</v>
      </c>
      <c r="RE152" s="2061">
        <f t="shared" si="208"/>
        <v>0</v>
      </c>
      <c r="RF152" s="2061">
        <f t="shared" si="208"/>
        <v>0</v>
      </c>
      <c r="RG152" s="2061">
        <f t="shared" si="208"/>
        <v>0</v>
      </c>
      <c r="RH152" s="2061">
        <f t="shared" si="208"/>
        <v>0</v>
      </c>
      <c r="RI152" s="2061">
        <f t="shared" si="208"/>
        <v>0</v>
      </c>
      <c r="RJ152" s="2061">
        <f t="shared" si="208"/>
        <v>0</v>
      </c>
      <c r="RK152" s="2061">
        <f t="shared" si="208"/>
        <v>0</v>
      </c>
      <c r="RL152" s="2061">
        <f t="shared" si="208"/>
        <v>0</v>
      </c>
      <c r="RM152" s="2061">
        <f t="shared" si="208"/>
        <v>0</v>
      </c>
      <c r="RN152" s="2061">
        <f t="shared" si="208"/>
        <v>0</v>
      </c>
      <c r="RO152" s="2061">
        <f t="shared" si="208"/>
        <v>0</v>
      </c>
      <c r="RP152" s="2061">
        <f t="shared" si="208"/>
        <v>0</v>
      </c>
      <c r="RQ152" s="2061">
        <f t="shared" si="208"/>
        <v>0</v>
      </c>
      <c r="RR152" s="2061">
        <f t="shared" si="208"/>
        <v>0</v>
      </c>
      <c r="RS152" s="2061">
        <f t="shared" si="208"/>
        <v>0</v>
      </c>
      <c r="RT152" s="2061">
        <f t="shared" si="208"/>
        <v>0</v>
      </c>
      <c r="RU152" s="2061">
        <f t="shared" si="208"/>
        <v>0</v>
      </c>
      <c r="RV152" s="2061">
        <f t="shared" si="208"/>
        <v>0</v>
      </c>
      <c r="RW152" s="2061">
        <f t="shared" si="208"/>
        <v>0</v>
      </c>
      <c r="RX152" s="2061">
        <f t="shared" si="208"/>
        <v>0</v>
      </c>
      <c r="RY152" s="2061">
        <f t="shared" si="208"/>
        <v>0</v>
      </c>
      <c r="RZ152" s="2061">
        <f t="shared" si="208"/>
        <v>0</v>
      </c>
      <c r="SA152" s="2061">
        <f t="shared" si="208"/>
        <v>0</v>
      </c>
      <c r="SB152" s="2061">
        <f t="shared" si="208"/>
        <v>0</v>
      </c>
      <c r="SC152" s="2061">
        <f t="shared" si="208"/>
        <v>0</v>
      </c>
      <c r="SD152" s="2061">
        <f t="shared" si="208"/>
        <v>0</v>
      </c>
      <c r="SE152" s="2061">
        <f t="shared" si="208"/>
        <v>0</v>
      </c>
      <c r="SF152" s="2061">
        <f t="shared" si="208"/>
        <v>0</v>
      </c>
      <c r="SG152" s="2061">
        <f t="shared" si="208"/>
        <v>0</v>
      </c>
      <c r="SH152" s="2061">
        <f t="shared" si="208"/>
        <v>0</v>
      </c>
      <c r="SI152" s="2061">
        <f t="shared" si="208"/>
        <v>0</v>
      </c>
      <c r="SJ152" s="2061">
        <f t="shared" si="208"/>
        <v>0</v>
      </c>
      <c r="SK152" s="2061">
        <f t="shared" si="208"/>
        <v>0</v>
      </c>
      <c r="SL152" s="2061">
        <f t="shared" si="208"/>
        <v>0</v>
      </c>
      <c r="SM152" s="2061">
        <f t="shared" si="208"/>
        <v>0</v>
      </c>
      <c r="SN152" s="2061">
        <f t="shared" si="208"/>
        <v>0</v>
      </c>
      <c r="SO152" s="2061">
        <f t="shared" si="208"/>
        <v>0</v>
      </c>
      <c r="SP152" s="2061">
        <f t="shared" si="208"/>
        <v>0</v>
      </c>
      <c r="SQ152" s="2061">
        <f t="shared" si="208"/>
        <v>0</v>
      </c>
      <c r="SR152" s="2061">
        <f t="shared" si="208"/>
        <v>0</v>
      </c>
      <c r="SS152" s="2061">
        <f t="shared" si="208"/>
        <v>0</v>
      </c>
      <c r="ST152" s="2061">
        <f t="shared" si="208"/>
        <v>0</v>
      </c>
      <c r="SU152" s="2061">
        <f t="shared" si="208"/>
        <v>0</v>
      </c>
      <c r="SV152" s="2061">
        <f t="shared" si="208"/>
        <v>0</v>
      </c>
      <c r="SW152" s="2061">
        <f t="shared" si="208"/>
        <v>0</v>
      </c>
      <c r="SX152" s="2061">
        <f t="shared" si="208"/>
        <v>0</v>
      </c>
      <c r="SY152" s="2061">
        <f t="shared" ref="SY152:VJ152" si="209">SUM(SY147:SY151)</f>
        <v>0</v>
      </c>
      <c r="SZ152" s="2061">
        <f t="shared" si="209"/>
        <v>0</v>
      </c>
      <c r="TA152" s="2061">
        <f t="shared" si="209"/>
        <v>0</v>
      </c>
      <c r="TB152" s="2061">
        <f t="shared" si="209"/>
        <v>0</v>
      </c>
      <c r="TC152" s="2061">
        <f t="shared" si="209"/>
        <v>0</v>
      </c>
      <c r="TD152" s="2061">
        <f t="shared" si="209"/>
        <v>0</v>
      </c>
      <c r="TE152" s="2061">
        <f t="shared" si="209"/>
        <v>0</v>
      </c>
      <c r="TF152" s="2061">
        <f t="shared" si="209"/>
        <v>0</v>
      </c>
      <c r="TG152" s="2061">
        <f t="shared" si="209"/>
        <v>0</v>
      </c>
      <c r="TH152" s="2061">
        <f t="shared" si="209"/>
        <v>0</v>
      </c>
      <c r="TI152" s="2061">
        <f t="shared" si="209"/>
        <v>0</v>
      </c>
      <c r="TJ152" s="2061">
        <f t="shared" si="209"/>
        <v>0</v>
      </c>
      <c r="TK152" s="2061">
        <f t="shared" si="209"/>
        <v>0</v>
      </c>
      <c r="TL152" s="2061">
        <f t="shared" si="209"/>
        <v>0</v>
      </c>
      <c r="TM152" s="2061">
        <f t="shared" si="209"/>
        <v>0</v>
      </c>
      <c r="TN152" s="2061">
        <f t="shared" si="209"/>
        <v>0</v>
      </c>
      <c r="TO152" s="2061">
        <f t="shared" si="209"/>
        <v>0</v>
      </c>
      <c r="TP152" s="2061">
        <f t="shared" si="209"/>
        <v>0</v>
      </c>
      <c r="TQ152" s="2061">
        <f t="shared" si="209"/>
        <v>0</v>
      </c>
      <c r="TR152" s="2061">
        <f t="shared" si="209"/>
        <v>0</v>
      </c>
      <c r="TS152" s="2061">
        <f t="shared" si="209"/>
        <v>0</v>
      </c>
      <c r="TT152" s="2061">
        <f t="shared" si="209"/>
        <v>0</v>
      </c>
      <c r="TU152" s="2061">
        <f t="shared" si="209"/>
        <v>0</v>
      </c>
      <c r="TV152" s="2061">
        <f t="shared" si="209"/>
        <v>0</v>
      </c>
      <c r="TW152" s="2061">
        <f t="shared" si="209"/>
        <v>0</v>
      </c>
      <c r="TX152" s="2061">
        <f t="shared" si="209"/>
        <v>0</v>
      </c>
      <c r="TY152" s="2061">
        <f t="shared" si="209"/>
        <v>0</v>
      </c>
      <c r="TZ152" s="2061">
        <f t="shared" si="209"/>
        <v>0</v>
      </c>
      <c r="UA152" s="2061">
        <f t="shared" si="209"/>
        <v>0</v>
      </c>
      <c r="UB152" s="2061">
        <f t="shared" si="209"/>
        <v>0</v>
      </c>
      <c r="UC152" s="2061">
        <f t="shared" si="209"/>
        <v>0</v>
      </c>
      <c r="UD152" s="2061">
        <f t="shared" si="209"/>
        <v>0</v>
      </c>
      <c r="UE152" s="2061">
        <f t="shared" si="209"/>
        <v>0</v>
      </c>
      <c r="UF152" s="2061">
        <f t="shared" si="209"/>
        <v>0</v>
      </c>
      <c r="UG152" s="2061">
        <f t="shared" si="209"/>
        <v>0</v>
      </c>
      <c r="UH152" s="2061">
        <f t="shared" si="209"/>
        <v>0</v>
      </c>
      <c r="UI152" s="2061">
        <f t="shared" si="209"/>
        <v>0</v>
      </c>
      <c r="UJ152" s="2061">
        <f t="shared" si="209"/>
        <v>0</v>
      </c>
      <c r="UK152" s="2061">
        <f t="shared" si="209"/>
        <v>0</v>
      </c>
      <c r="UL152" s="2061">
        <f t="shared" si="209"/>
        <v>0</v>
      </c>
      <c r="UM152" s="2061">
        <f t="shared" si="209"/>
        <v>0</v>
      </c>
      <c r="UN152" s="2061">
        <f t="shared" si="209"/>
        <v>0</v>
      </c>
      <c r="UO152" s="2061">
        <f t="shared" si="209"/>
        <v>0</v>
      </c>
      <c r="UP152" s="2061">
        <f t="shared" si="209"/>
        <v>0</v>
      </c>
      <c r="UQ152" s="2061">
        <f t="shared" si="209"/>
        <v>0</v>
      </c>
      <c r="UR152" s="2061">
        <f t="shared" si="209"/>
        <v>0</v>
      </c>
      <c r="US152" s="2061">
        <f t="shared" si="209"/>
        <v>0</v>
      </c>
      <c r="UT152" s="2061">
        <f t="shared" si="209"/>
        <v>0</v>
      </c>
      <c r="UU152" s="2061" t="e">
        <f t="shared" si="209"/>
        <v>#DIV/0!</v>
      </c>
      <c r="UV152" s="2061" t="e">
        <f t="shared" si="209"/>
        <v>#DIV/0!</v>
      </c>
      <c r="UW152" s="2061" t="e">
        <f t="shared" si="209"/>
        <v>#DIV/0!</v>
      </c>
      <c r="UX152" s="2061" t="e">
        <f t="shared" si="209"/>
        <v>#DIV/0!</v>
      </c>
      <c r="UY152" s="2061" t="e">
        <f t="shared" si="209"/>
        <v>#DIV/0!</v>
      </c>
      <c r="UZ152" s="2061" t="e">
        <f t="shared" si="209"/>
        <v>#DIV/0!</v>
      </c>
      <c r="VA152" s="2061" t="e">
        <f t="shared" si="209"/>
        <v>#DIV/0!</v>
      </c>
      <c r="VB152" s="2061" t="e">
        <f t="shared" si="209"/>
        <v>#DIV/0!</v>
      </c>
      <c r="VC152" s="2061" t="e">
        <f t="shared" si="209"/>
        <v>#DIV/0!</v>
      </c>
      <c r="VD152" s="2061" t="e">
        <f t="shared" si="209"/>
        <v>#DIV/0!</v>
      </c>
      <c r="VE152" s="2061" t="e">
        <f t="shared" si="209"/>
        <v>#DIV/0!</v>
      </c>
      <c r="VF152" s="2061" t="e">
        <f t="shared" si="209"/>
        <v>#DIV/0!</v>
      </c>
      <c r="VG152" s="2061" t="e">
        <f t="shared" si="209"/>
        <v>#DIV/0!</v>
      </c>
      <c r="VH152" s="2061" t="e">
        <f t="shared" si="209"/>
        <v>#DIV/0!</v>
      </c>
      <c r="VI152" s="2061" t="e">
        <f t="shared" si="209"/>
        <v>#DIV/0!</v>
      </c>
      <c r="VJ152" s="2061" t="e">
        <f t="shared" si="209"/>
        <v>#DIV/0!</v>
      </c>
      <c r="VK152" s="2061" t="e">
        <f>SUM(VK147:VK151)</f>
        <v>#DIV/0!</v>
      </c>
    </row>
    <row r="153" spans="1:583" s="1296" customFormat="1" x14ac:dyDescent="0.25">
      <c r="B153" s="2080" t="s">
        <v>2853</v>
      </c>
      <c r="C153" s="2081" t="s">
        <v>2955</v>
      </c>
      <c r="D153" s="2081" t="s">
        <v>2853</v>
      </c>
      <c r="E153" s="2081" t="s">
        <v>2955</v>
      </c>
      <c r="F153" s="2082">
        <f>12*365</f>
        <v>4380</v>
      </c>
      <c r="G153" s="2082">
        <f t="shared" ref="G153:BR153" si="210">12*365</f>
        <v>4380</v>
      </c>
      <c r="H153" s="2082">
        <f t="shared" si="210"/>
        <v>4380</v>
      </c>
      <c r="I153" s="2082">
        <f t="shared" si="210"/>
        <v>4380</v>
      </c>
      <c r="J153" s="2082">
        <f t="shared" si="210"/>
        <v>4380</v>
      </c>
      <c r="K153" s="2082">
        <f t="shared" si="210"/>
        <v>4380</v>
      </c>
      <c r="L153" s="2082">
        <f t="shared" si="210"/>
        <v>4380</v>
      </c>
      <c r="M153" s="2082">
        <f t="shared" si="210"/>
        <v>4380</v>
      </c>
      <c r="N153" s="2082">
        <f t="shared" si="210"/>
        <v>4380</v>
      </c>
      <c r="O153" s="2082">
        <f t="shared" si="210"/>
        <v>4380</v>
      </c>
      <c r="P153" s="2082">
        <f t="shared" si="210"/>
        <v>4380</v>
      </c>
      <c r="Q153" s="2082">
        <f t="shared" si="210"/>
        <v>4380</v>
      </c>
      <c r="R153" s="2082">
        <f t="shared" si="210"/>
        <v>4380</v>
      </c>
      <c r="S153" s="2082">
        <f t="shared" si="210"/>
        <v>4380</v>
      </c>
      <c r="T153" s="2082">
        <f t="shared" si="210"/>
        <v>4380</v>
      </c>
      <c r="U153" s="2082">
        <f t="shared" si="210"/>
        <v>4380</v>
      </c>
      <c r="V153" s="2082">
        <f t="shared" si="210"/>
        <v>4380</v>
      </c>
      <c r="W153" s="2082">
        <f t="shared" si="210"/>
        <v>4380</v>
      </c>
      <c r="X153" s="2082">
        <f t="shared" si="210"/>
        <v>4380</v>
      </c>
      <c r="Y153" s="2082">
        <f t="shared" si="210"/>
        <v>4380</v>
      </c>
      <c r="Z153" s="2082">
        <f t="shared" si="210"/>
        <v>4380</v>
      </c>
      <c r="AA153" s="2082">
        <f t="shared" si="210"/>
        <v>4380</v>
      </c>
      <c r="AB153" s="2082">
        <f t="shared" si="210"/>
        <v>4380</v>
      </c>
      <c r="AC153" s="2082">
        <f t="shared" si="210"/>
        <v>4380</v>
      </c>
      <c r="AD153" s="2082">
        <f t="shared" si="210"/>
        <v>4380</v>
      </c>
      <c r="AE153" s="2082">
        <f t="shared" si="210"/>
        <v>4380</v>
      </c>
      <c r="AF153" s="2082">
        <f t="shared" si="210"/>
        <v>4380</v>
      </c>
      <c r="AG153" s="2082">
        <f t="shared" si="210"/>
        <v>4380</v>
      </c>
      <c r="AH153" s="2082">
        <f t="shared" si="210"/>
        <v>4380</v>
      </c>
      <c r="AI153" s="2082">
        <f t="shared" si="210"/>
        <v>4380</v>
      </c>
      <c r="AJ153" s="2082">
        <f t="shared" si="210"/>
        <v>4380</v>
      </c>
      <c r="AK153" s="2082">
        <f t="shared" si="210"/>
        <v>4380</v>
      </c>
      <c r="AL153" s="2082">
        <f t="shared" si="210"/>
        <v>4380</v>
      </c>
      <c r="AM153" s="2082">
        <f t="shared" si="210"/>
        <v>4380</v>
      </c>
      <c r="AN153" s="2082">
        <f t="shared" si="210"/>
        <v>4380</v>
      </c>
      <c r="AO153" s="2082">
        <f t="shared" si="210"/>
        <v>4380</v>
      </c>
      <c r="AP153" s="2082">
        <f t="shared" si="210"/>
        <v>4380</v>
      </c>
      <c r="AQ153" s="2082">
        <f t="shared" si="210"/>
        <v>4380</v>
      </c>
      <c r="AR153" s="2082">
        <f t="shared" si="210"/>
        <v>4380</v>
      </c>
      <c r="AS153" s="2082">
        <f t="shared" si="210"/>
        <v>4380</v>
      </c>
      <c r="AT153" s="2082">
        <f t="shared" si="210"/>
        <v>4380</v>
      </c>
      <c r="AU153" s="2082">
        <f t="shared" si="210"/>
        <v>4380</v>
      </c>
      <c r="AV153" s="2082">
        <f t="shared" si="210"/>
        <v>4380</v>
      </c>
      <c r="AW153" s="2082">
        <f t="shared" si="210"/>
        <v>4380</v>
      </c>
      <c r="AX153" s="2082">
        <f t="shared" si="210"/>
        <v>4380</v>
      </c>
      <c r="AY153" s="2082">
        <f t="shared" si="210"/>
        <v>4380</v>
      </c>
      <c r="AZ153" s="2082">
        <f t="shared" si="210"/>
        <v>4380</v>
      </c>
      <c r="BA153" s="2082">
        <f t="shared" si="210"/>
        <v>4380</v>
      </c>
      <c r="BB153" s="2082">
        <f t="shared" si="210"/>
        <v>4380</v>
      </c>
      <c r="BC153" s="2082">
        <f t="shared" si="210"/>
        <v>4380</v>
      </c>
      <c r="BD153" s="2082">
        <f t="shared" si="210"/>
        <v>4380</v>
      </c>
      <c r="BE153" s="2082">
        <f t="shared" si="210"/>
        <v>4380</v>
      </c>
      <c r="BF153" s="2082">
        <f t="shared" si="210"/>
        <v>4380</v>
      </c>
      <c r="BG153" s="2082">
        <f t="shared" si="210"/>
        <v>4380</v>
      </c>
      <c r="BH153" s="2082">
        <f t="shared" si="210"/>
        <v>4380</v>
      </c>
      <c r="BI153" s="2082">
        <f t="shared" si="210"/>
        <v>4380</v>
      </c>
      <c r="BJ153" s="2082">
        <f t="shared" si="210"/>
        <v>4380</v>
      </c>
      <c r="BK153" s="2082">
        <f t="shared" si="210"/>
        <v>4380</v>
      </c>
      <c r="BL153" s="2082">
        <f t="shared" si="210"/>
        <v>4380</v>
      </c>
      <c r="BM153" s="2082">
        <f t="shared" si="210"/>
        <v>4380</v>
      </c>
      <c r="BN153" s="2082">
        <f t="shared" si="210"/>
        <v>4380</v>
      </c>
      <c r="BO153" s="2082">
        <f t="shared" si="210"/>
        <v>4380</v>
      </c>
      <c r="BP153" s="2082">
        <f t="shared" si="210"/>
        <v>4380</v>
      </c>
      <c r="BQ153" s="2082">
        <f t="shared" si="210"/>
        <v>4380</v>
      </c>
      <c r="BR153" s="2082">
        <f t="shared" si="210"/>
        <v>4380</v>
      </c>
      <c r="BS153" s="2082">
        <f t="shared" ref="BS153:ED153" si="211">12*365</f>
        <v>4380</v>
      </c>
      <c r="BT153" s="2082">
        <f t="shared" si="211"/>
        <v>4380</v>
      </c>
      <c r="BU153" s="2082">
        <f t="shared" si="211"/>
        <v>4380</v>
      </c>
      <c r="BV153" s="2082">
        <f t="shared" si="211"/>
        <v>4380</v>
      </c>
      <c r="BW153" s="2082">
        <f t="shared" si="211"/>
        <v>4380</v>
      </c>
      <c r="BX153" s="2082">
        <f t="shared" si="211"/>
        <v>4380</v>
      </c>
      <c r="BY153" s="2082">
        <f t="shared" si="211"/>
        <v>4380</v>
      </c>
      <c r="BZ153" s="2082">
        <f t="shared" si="211"/>
        <v>4380</v>
      </c>
      <c r="CA153" s="2082">
        <f t="shared" si="211"/>
        <v>4380</v>
      </c>
      <c r="CB153" s="2082">
        <f t="shared" si="211"/>
        <v>4380</v>
      </c>
      <c r="CC153" s="2082">
        <f t="shared" si="211"/>
        <v>4380</v>
      </c>
      <c r="CD153" s="2082">
        <f t="shared" si="211"/>
        <v>4380</v>
      </c>
      <c r="CE153" s="2082">
        <f t="shared" si="211"/>
        <v>4380</v>
      </c>
      <c r="CF153" s="2082">
        <f t="shared" si="211"/>
        <v>4380</v>
      </c>
      <c r="CG153" s="2082">
        <f t="shared" si="211"/>
        <v>4380</v>
      </c>
      <c r="CH153" s="2082">
        <f t="shared" si="211"/>
        <v>4380</v>
      </c>
      <c r="CI153" s="2082">
        <f t="shared" si="211"/>
        <v>4380</v>
      </c>
      <c r="CJ153" s="2082">
        <f t="shared" si="211"/>
        <v>4380</v>
      </c>
      <c r="CK153" s="2082">
        <f t="shared" si="211"/>
        <v>4380</v>
      </c>
      <c r="CL153" s="2082">
        <f t="shared" si="211"/>
        <v>4380</v>
      </c>
      <c r="CM153" s="2082">
        <f t="shared" si="211"/>
        <v>4380</v>
      </c>
      <c r="CN153" s="2082">
        <f t="shared" si="211"/>
        <v>4380</v>
      </c>
      <c r="CO153" s="2082">
        <f t="shared" si="211"/>
        <v>4380</v>
      </c>
      <c r="CP153" s="2082">
        <f t="shared" si="211"/>
        <v>4380</v>
      </c>
      <c r="CQ153" s="2082">
        <f t="shared" si="211"/>
        <v>4380</v>
      </c>
      <c r="CR153" s="2082">
        <f t="shared" si="211"/>
        <v>4380</v>
      </c>
      <c r="CS153" s="2082">
        <f t="shared" si="211"/>
        <v>4380</v>
      </c>
      <c r="CT153" s="2082">
        <f t="shared" si="211"/>
        <v>4380</v>
      </c>
      <c r="CU153" s="2082">
        <f t="shared" si="211"/>
        <v>4380</v>
      </c>
      <c r="CV153" s="2082">
        <f t="shared" si="211"/>
        <v>4380</v>
      </c>
      <c r="CW153" s="2082">
        <f t="shared" si="211"/>
        <v>4380</v>
      </c>
      <c r="CX153" s="2082">
        <f t="shared" si="211"/>
        <v>4380</v>
      </c>
      <c r="CY153" s="2082">
        <f t="shared" si="211"/>
        <v>4380</v>
      </c>
      <c r="CZ153" s="2082">
        <f t="shared" si="211"/>
        <v>4380</v>
      </c>
      <c r="DA153" s="2082">
        <f t="shared" si="211"/>
        <v>4380</v>
      </c>
      <c r="DB153" s="2082">
        <f t="shared" si="211"/>
        <v>4380</v>
      </c>
      <c r="DC153" s="2082">
        <f t="shared" si="211"/>
        <v>4380</v>
      </c>
      <c r="DD153" s="2082">
        <f t="shared" si="211"/>
        <v>4380</v>
      </c>
      <c r="DE153" s="2082">
        <f t="shared" si="211"/>
        <v>4380</v>
      </c>
      <c r="DF153" s="2082">
        <f t="shared" si="211"/>
        <v>4380</v>
      </c>
      <c r="DG153" s="2082">
        <f t="shared" si="211"/>
        <v>4380</v>
      </c>
      <c r="DH153" s="2082">
        <f t="shared" si="211"/>
        <v>4380</v>
      </c>
      <c r="DI153" s="2082">
        <f t="shared" si="211"/>
        <v>4380</v>
      </c>
      <c r="DJ153" s="2082">
        <f t="shared" si="211"/>
        <v>4380</v>
      </c>
      <c r="DK153" s="2082">
        <f t="shared" si="211"/>
        <v>4380</v>
      </c>
      <c r="DL153" s="2082">
        <f t="shared" si="211"/>
        <v>4380</v>
      </c>
      <c r="DM153" s="2082">
        <f t="shared" si="211"/>
        <v>4380</v>
      </c>
      <c r="DN153" s="2082">
        <f t="shared" si="211"/>
        <v>4380</v>
      </c>
      <c r="DO153" s="2082">
        <f t="shared" si="211"/>
        <v>4380</v>
      </c>
      <c r="DP153" s="2082">
        <f t="shared" si="211"/>
        <v>4380</v>
      </c>
      <c r="DQ153" s="2082">
        <f t="shared" si="211"/>
        <v>4380</v>
      </c>
      <c r="DR153" s="2082">
        <f t="shared" si="211"/>
        <v>4380</v>
      </c>
      <c r="DS153" s="2082">
        <f t="shared" si="211"/>
        <v>4380</v>
      </c>
      <c r="DT153" s="2082">
        <f t="shared" si="211"/>
        <v>4380</v>
      </c>
      <c r="DU153" s="2082">
        <f t="shared" si="211"/>
        <v>4380</v>
      </c>
      <c r="DV153" s="2082">
        <f t="shared" si="211"/>
        <v>4380</v>
      </c>
      <c r="DW153" s="2082">
        <f t="shared" si="211"/>
        <v>4380</v>
      </c>
      <c r="DX153" s="2082">
        <f t="shared" si="211"/>
        <v>4380</v>
      </c>
      <c r="DY153" s="2082">
        <f t="shared" si="211"/>
        <v>4380</v>
      </c>
      <c r="DZ153" s="2082">
        <f t="shared" si="211"/>
        <v>4380</v>
      </c>
      <c r="EA153" s="2082">
        <f t="shared" si="211"/>
        <v>4380</v>
      </c>
      <c r="EB153" s="2082">
        <f t="shared" si="211"/>
        <v>4380</v>
      </c>
      <c r="EC153" s="2082">
        <f t="shared" si="211"/>
        <v>4380</v>
      </c>
      <c r="ED153" s="2082">
        <f t="shared" si="211"/>
        <v>4380</v>
      </c>
      <c r="EE153" s="2082">
        <f t="shared" ref="EE153:GP153" si="212">12*365</f>
        <v>4380</v>
      </c>
      <c r="EF153" s="2082">
        <f t="shared" si="212"/>
        <v>4380</v>
      </c>
      <c r="EG153" s="2082">
        <f t="shared" si="212"/>
        <v>4380</v>
      </c>
      <c r="EH153" s="2082">
        <f t="shared" si="212"/>
        <v>4380</v>
      </c>
      <c r="EI153" s="2082">
        <f t="shared" si="212"/>
        <v>4380</v>
      </c>
      <c r="EJ153" s="2082">
        <f t="shared" si="212"/>
        <v>4380</v>
      </c>
      <c r="EK153" s="2082">
        <f t="shared" si="212"/>
        <v>4380</v>
      </c>
      <c r="EL153" s="2082">
        <f t="shared" si="212"/>
        <v>4380</v>
      </c>
      <c r="EM153" s="2082">
        <f t="shared" si="212"/>
        <v>4380</v>
      </c>
      <c r="EN153" s="2082">
        <f t="shared" si="212"/>
        <v>4380</v>
      </c>
      <c r="EO153" s="2082">
        <f t="shared" si="212"/>
        <v>4380</v>
      </c>
      <c r="EP153" s="2082">
        <f t="shared" si="212"/>
        <v>4380</v>
      </c>
      <c r="EQ153" s="2082">
        <f t="shared" si="212"/>
        <v>4380</v>
      </c>
      <c r="ER153" s="2082">
        <f t="shared" si="212"/>
        <v>4380</v>
      </c>
      <c r="ES153" s="2082">
        <f t="shared" si="212"/>
        <v>4380</v>
      </c>
      <c r="ET153" s="2082">
        <f t="shared" si="212"/>
        <v>4380</v>
      </c>
      <c r="EU153" s="2082">
        <f t="shared" si="212"/>
        <v>4380</v>
      </c>
      <c r="EV153" s="2082">
        <f t="shared" si="212"/>
        <v>4380</v>
      </c>
      <c r="EW153" s="2082">
        <f t="shared" si="212"/>
        <v>4380</v>
      </c>
      <c r="EX153" s="2082">
        <f t="shared" si="212"/>
        <v>4380</v>
      </c>
      <c r="EY153" s="2082">
        <f t="shared" si="212"/>
        <v>4380</v>
      </c>
      <c r="EZ153" s="2082">
        <f t="shared" si="212"/>
        <v>4380</v>
      </c>
      <c r="FA153" s="2082">
        <f t="shared" si="212"/>
        <v>4380</v>
      </c>
      <c r="FB153" s="2082">
        <f t="shared" si="212"/>
        <v>4380</v>
      </c>
      <c r="FC153" s="2082">
        <f t="shared" si="212"/>
        <v>4380</v>
      </c>
      <c r="FD153" s="2082">
        <f t="shared" si="212"/>
        <v>4380</v>
      </c>
      <c r="FE153" s="2082">
        <f t="shared" si="212"/>
        <v>4380</v>
      </c>
      <c r="FF153" s="2082">
        <f t="shared" si="212"/>
        <v>4380</v>
      </c>
      <c r="FG153" s="2082">
        <f t="shared" si="212"/>
        <v>4380</v>
      </c>
      <c r="FH153" s="2082">
        <f t="shared" si="212"/>
        <v>4380</v>
      </c>
      <c r="FI153" s="2082">
        <f t="shared" si="212"/>
        <v>4380</v>
      </c>
      <c r="FJ153" s="2082">
        <f t="shared" si="212"/>
        <v>4380</v>
      </c>
      <c r="FK153" s="2082">
        <f t="shared" si="212"/>
        <v>4380</v>
      </c>
      <c r="FL153" s="2082">
        <f t="shared" si="212"/>
        <v>4380</v>
      </c>
      <c r="FM153" s="2082">
        <f t="shared" si="212"/>
        <v>4380</v>
      </c>
      <c r="FN153" s="2082">
        <f t="shared" si="212"/>
        <v>4380</v>
      </c>
      <c r="FO153" s="2082">
        <f t="shared" si="212"/>
        <v>4380</v>
      </c>
      <c r="FP153" s="2082">
        <f t="shared" si="212"/>
        <v>4380</v>
      </c>
      <c r="FQ153" s="2082">
        <f t="shared" si="212"/>
        <v>4380</v>
      </c>
      <c r="FR153" s="2082">
        <f t="shared" si="212"/>
        <v>4380</v>
      </c>
      <c r="FS153" s="2082">
        <f t="shared" si="212"/>
        <v>4380</v>
      </c>
      <c r="FT153" s="2082">
        <f t="shared" si="212"/>
        <v>4380</v>
      </c>
      <c r="FU153" s="2082">
        <f t="shared" si="212"/>
        <v>4380</v>
      </c>
      <c r="FV153" s="2082">
        <f t="shared" si="212"/>
        <v>4380</v>
      </c>
      <c r="FW153" s="2082">
        <f t="shared" si="212"/>
        <v>4380</v>
      </c>
      <c r="FX153" s="2082">
        <f t="shared" si="212"/>
        <v>4380</v>
      </c>
      <c r="FY153" s="2082">
        <f t="shared" si="212"/>
        <v>4380</v>
      </c>
      <c r="FZ153" s="2082">
        <f t="shared" si="212"/>
        <v>4380</v>
      </c>
      <c r="GA153" s="2082">
        <f t="shared" si="212"/>
        <v>4380</v>
      </c>
      <c r="GB153" s="2082">
        <f t="shared" si="212"/>
        <v>4380</v>
      </c>
      <c r="GC153" s="2082">
        <f t="shared" si="212"/>
        <v>4380</v>
      </c>
      <c r="GD153" s="2082">
        <f t="shared" si="212"/>
        <v>4380</v>
      </c>
      <c r="GE153" s="2082">
        <f t="shared" si="212"/>
        <v>4380</v>
      </c>
      <c r="GF153" s="2082">
        <f t="shared" si="212"/>
        <v>4380</v>
      </c>
      <c r="GG153" s="2082">
        <f t="shared" si="212"/>
        <v>4380</v>
      </c>
      <c r="GH153" s="2082">
        <f t="shared" si="212"/>
        <v>4380</v>
      </c>
      <c r="GI153" s="2082">
        <f t="shared" si="212"/>
        <v>4380</v>
      </c>
      <c r="GJ153" s="2082">
        <f t="shared" si="212"/>
        <v>4380</v>
      </c>
      <c r="GK153" s="2082">
        <f t="shared" si="212"/>
        <v>4380</v>
      </c>
      <c r="GL153" s="2082">
        <f t="shared" si="212"/>
        <v>4380</v>
      </c>
      <c r="GM153" s="2082">
        <f t="shared" si="212"/>
        <v>4380</v>
      </c>
      <c r="GN153" s="2082">
        <f t="shared" si="212"/>
        <v>4380</v>
      </c>
      <c r="GO153" s="2082">
        <f t="shared" si="212"/>
        <v>4380</v>
      </c>
      <c r="GP153" s="2082">
        <f t="shared" si="212"/>
        <v>4380</v>
      </c>
      <c r="GQ153" s="2082">
        <f t="shared" ref="GQ153:JB153" si="213">12*365</f>
        <v>4380</v>
      </c>
      <c r="GR153" s="2082">
        <f t="shared" si="213"/>
        <v>4380</v>
      </c>
      <c r="GS153" s="2082">
        <f t="shared" si="213"/>
        <v>4380</v>
      </c>
      <c r="GT153" s="2082">
        <f t="shared" si="213"/>
        <v>4380</v>
      </c>
      <c r="GU153" s="2082">
        <f t="shared" si="213"/>
        <v>4380</v>
      </c>
      <c r="GV153" s="2082">
        <f t="shared" si="213"/>
        <v>4380</v>
      </c>
      <c r="GW153" s="2082">
        <f t="shared" si="213"/>
        <v>4380</v>
      </c>
      <c r="GX153" s="2082">
        <f t="shared" si="213"/>
        <v>4380</v>
      </c>
      <c r="GY153" s="2082">
        <f t="shared" si="213"/>
        <v>4380</v>
      </c>
      <c r="GZ153" s="2082">
        <f t="shared" si="213"/>
        <v>4380</v>
      </c>
      <c r="HA153" s="2082">
        <f t="shared" si="213"/>
        <v>4380</v>
      </c>
      <c r="HB153" s="2082">
        <f t="shared" si="213"/>
        <v>4380</v>
      </c>
      <c r="HC153" s="2082">
        <f t="shared" si="213"/>
        <v>4380</v>
      </c>
      <c r="HD153" s="2082">
        <f t="shared" si="213"/>
        <v>4380</v>
      </c>
      <c r="HE153" s="2082">
        <f t="shared" si="213"/>
        <v>4380</v>
      </c>
      <c r="HF153" s="2082">
        <f t="shared" si="213"/>
        <v>4380</v>
      </c>
      <c r="HG153" s="2082">
        <f t="shared" si="213"/>
        <v>4380</v>
      </c>
      <c r="HH153" s="2082">
        <f t="shared" si="213"/>
        <v>4380</v>
      </c>
      <c r="HI153" s="2082">
        <f t="shared" si="213"/>
        <v>4380</v>
      </c>
      <c r="HJ153" s="2082">
        <f t="shared" si="213"/>
        <v>4380</v>
      </c>
      <c r="HK153" s="2082">
        <f t="shared" si="213"/>
        <v>4380</v>
      </c>
      <c r="HL153" s="2082">
        <f t="shared" si="213"/>
        <v>4380</v>
      </c>
      <c r="HM153" s="2082">
        <f t="shared" si="213"/>
        <v>4380</v>
      </c>
      <c r="HN153" s="2082">
        <f t="shared" si="213"/>
        <v>4380</v>
      </c>
      <c r="HO153" s="2082">
        <f t="shared" si="213"/>
        <v>4380</v>
      </c>
      <c r="HP153" s="2082">
        <f t="shared" si="213"/>
        <v>4380</v>
      </c>
      <c r="HQ153" s="2082">
        <f t="shared" si="213"/>
        <v>4380</v>
      </c>
      <c r="HR153" s="2082">
        <f t="shared" si="213"/>
        <v>4380</v>
      </c>
      <c r="HS153" s="2082">
        <f t="shared" si="213"/>
        <v>4380</v>
      </c>
      <c r="HT153" s="2082">
        <f t="shared" si="213"/>
        <v>4380</v>
      </c>
      <c r="HU153" s="2082">
        <f t="shared" si="213"/>
        <v>4380</v>
      </c>
      <c r="HV153" s="2082">
        <f t="shared" si="213"/>
        <v>4380</v>
      </c>
      <c r="HW153" s="2082">
        <f t="shared" si="213"/>
        <v>4380</v>
      </c>
      <c r="HX153" s="2082">
        <f t="shared" si="213"/>
        <v>4380</v>
      </c>
      <c r="HY153" s="2082">
        <f t="shared" si="213"/>
        <v>4380</v>
      </c>
      <c r="HZ153" s="2082">
        <f t="shared" si="213"/>
        <v>4380</v>
      </c>
      <c r="IA153" s="2082">
        <f t="shared" si="213"/>
        <v>4380</v>
      </c>
      <c r="IB153" s="2082">
        <f t="shared" si="213"/>
        <v>4380</v>
      </c>
      <c r="IC153" s="2082">
        <f t="shared" si="213"/>
        <v>4380</v>
      </c>
      <c r="ID153" s="2082">
        <f t="shared" si="213"/>
        <v>4380</v>
      </c>
      <c r="IE153" s="2082">
        <f t="shared" si="213"/>
        <v>4380</v>
      </c>
      <c r="IF153" s="2082">
        <f t="shared" si="213"/>
        <v>4380</v>
      </c>
      <c r="IG153" s="2082">
        <f t="shared" si="213"/>
        <v>4380</v>
      </c>
      <c r="IH153" s="2082">
        <f t="shared" si="213"/>
        <v>4380</v>
      </c>
      <c r="II153" s="2082">
        <f t="shared" si="213"/>
        <v>4380</v>
      </c>
      <c r="IJ153" s="2082">
        <f t="shared" si="213"/>
        <v>4380</v>
      </c>
      <c r="IK153" s="2082">
        <f t="shared" si="213"/>
        <v>4380</v>
      </c>
      <c r="IL153" s="2082">
        <f t="shared" si="213"/>
        <v>4380</v>
      </c>
      <c r="IM153" s="2082">
        <f t="shared" si="213"/>
        <v>4380</v>
      </c>
      <c r="IN153" s="2082">
        <f t="shared" si="213"/>
        <v>4380</v>
      </c>
      <c r="IO153" s="2082">
        <f t="shared" si="213"/>
        <v>4380</v>
      </c>
      <c r="IP153" s="2082">
        <f t="shared" si="213"/>
        <v>4380</v>
      </c>
      <c r="IQ153" s="2082">
        <f t="shared" si="213"/>
        <v>4380</v>
      </c>
      <c r="IR153" s="2082">
        <f t="shared" si="213"/>
        <v>4380</v>
      </c>
      <c r="IS153" s="2082">
        <f t="shared" si="213"/>
        <v>4380</v>
      </c>
      <c r="IT153" s="2082">
        <f t="shared" si="213"/>
        <v>4380</v>
      </c>
      <c r="IU153" s="2082">
        <f t="shared" si="213"/>
        <v>4380</v>
      </c>
      <c r="IV153" s="2082">
        <f t="shared" si="213"/>
        <v>4380</v>
      </c>
      <c r="IW153" s="2082">
        <f t="shared" si="213"/>
        <v>4380</v>
      </c>
      <c r="IX153" s="2082">
        <f t="shared" si="213"/>
        <v>4380</v>
      </c>
      <c r="IY153" s="2082">
        <f t="shared" si="213"/>
        <v>4380</v>
      </c>
      <c r="IZ153" s="2082">
        <f t="shared" si="213"/>
        <v>4380</v>
      </c>
      <c r="JA153" s="2082">
        <f t="shared" si="213"/>
        <v>4380</v>
      </c>
      <c r="JB153" s="2082">
        <f t="shared" si="213"/>
        <v>4380</v>
      </c>
      <c r="JC153" s="2082">
        <f t="shared" ref="JC153:LN153" si="214">12*365</f>
        <v>4380</v>
      </c>
      <c r="JD153" s="2082">
        <f t="shared" si="214"/>
        <v>4380</v>
      </c>
      <c r="JE153" s="2082">
        <f t="shared" si="214"/>
        <v>4380</v>
      </c>
      <c r="JF153" s="2082">
        <f t="shared" si="214"/>
        <v>4380</v>
      </c>
      <c r="JG153" s="2082">
        <f t="shared" si="214"/>
        <v>4380</v>
      </c>
      <c r="JH153" s="2082">
        <f t="shared" si="214"/>
        <v>4380</v>
      </c>
      <c r="JI153" s="2082">
        <f t="shared" si="214"/>
        <v>4380</v>
      </c>
      <c r="JJ153" s="2082">
        <f t="shared" si="214"/>
        <v>4380</v>
      </c>
      <c r="JK153" s="2082">
        <f t="shared" si="214"/>
        <v>4380</v>
      </c>
      <c r="JL153" s="2082">
        <f t="shared" si="214"/>
        <v>4380</v>
      </c>
      <c r="JM153" s="2082">
        <f t="shared" si="214"/>
        <v>4380</v>
      </c>
      <c r="JN153" s="2082">
        <f t="shared" si="214"/>
        <v>4380</v>
      </c>
      <c r="JO153" s="2082">
        <f t="shared" si="214"/>
        <v>4380</v>
      </c>
      <c r="JP153" s="2082">
        <f t="shared" si="214"/>
        <v>4380</v>
      </c>
      <c r="JQ153" s="2082">
        <f t="shared" si="214"/>
        <v>4380</v>
      </c>
      <c r="JR153" s="2082">
        <f t="shared" si="214"/>
        <v>4380</v>
      </c>
      <c r="JS153" s="2082">
        <f t="shared" si="214"/>
        <v>4380</v>
      </c>
      <c r="JT153" s="2082">
        <f t="shared" si="214"/>
        <v>4380</v>
      </c>
      <c r="JU153" s="2082">
        <f t="shared" si="214"/>
        <v>4380</v>
      </c>
      <c r="JV153" s="2082">
        <f t="shared" si="214"/>
        <v>4380</v>
      </c>
      <c r="JW153" s="2082">
        <f t="shared" si="214"/>
        <v>4380</v>
      </c>
      <c r="JX153" s="2082">
        <f t="shared" si="214"/>
        <v>4380</v>
      </c>
      <c r="JY153" s="2082">
        <f t="shared" si="214"/>
        <v>4380</v>
      </c>
      <c r="JZ153" s="2082">
        <f t="shared" si="214"/>
        <v>4380</v>
      </c>
      <c r="KA153" s="2082">
        <f t="shared" si="214"/>
        <v>4380</v>
      </c>
      <c r="KB153" s="2082">
        <f t="shared" si="214"/>
        <v>4380</v>
      </c>
      <c r="KC153" s="2082">
        <f t="shared" si="214"/>
        <v>4380</v>
      </c>
      <c r="KD153" s="2082">
        <f t="shared" si="214"/>
        <v>4380</v>
      </c>
      <c r="KE153" s="2082">
        <f t="shared" si="214"/>
        <v>4380</v>
      </c>
      <c r="KF153" s="2082">
        <f t="shared" si="214"/>
        <v>4380</v>
      </c>
      <c r="KG153" s="2082">
        <f t="shared" si="214"/>
        <v>4380</v>
      </c>
      <c r="KH153" s="2082">
        <f t="shared" si="214"/>
        <v>4380</v>
      </c>
      <c r="KI153" s="2082">
        <f t="shared" si="214"/>
        <v>4380</v>
      </c>
      <c r="KJ153" s="2082">
        <f t="shared" si="214"/>
        <v>4380</v>
      </c>
      <c r="KK153" s="2082">
        <f t="shared" si="214"/>
        <v>4380</v>
      </c>
      <c r="KL153" s="2082">
        <f t="shared" si="214"/>
        <v>4380</v>
      </c>
      <c r="KM153" s="2082">
        <f t="shared" si="214"/>
        <v>4380</v>
      </c>
      <c r="KN153" s="2082">
        <f t="shared" si="214"/>
        <v>4380</v>
      </c>
      <c r="KO153" s="2082">
        <f t="shared" si="214"/>
        <v>4380</v>
      </c>
      <c r="KP153" s="2082">
        <f t="shared" si="214"/>
        <v>4380</v>
      </c>
      <c r="KQ153" s="2082">
        <f t="shared" si="214"/>
        <v>4380</v>
      </c>
      <c r="KR153" s="2082">
        <f t="shared" si="214"/>
        <v>4380</v>
      </c>
      <c r="KS153" s="2082">
        <f t="shared" si="214"/>
        <v>4380</v>
      </c>
      <c r="KT153" s="2082">
        <f t="shared" si="214"/>
        <v>4380</v>
      </c>
      <c r="KU153" s="2082">
        <f t="shared" si="214"/>
        <v>4380</v>
      </c>
      <c r="KV153" s="2082">
        <f t="shared" si="214"/>
        <v>4380</v>
      </c>
      <c r="KW153" s="2082">
        <f t="shared" si="214"/>
        <v>4380</v>
      </c>
      <c r="KX153" s="2082">
        <f t="shared" si="214"/>
        <v>4380</v>
      </c>
      <c r="KY153" s="2082">
        <f t="shared" si="214"/>
        <v>4380</v>
      </c>
      <c r="KZ153" s="2082">
        <f t="shared" si="214"/>
        <v>4380</v>
      </c>
      <c r="LA153" s="2082">
        <f t="shared" si="214"/>
        <v>4380</v>
      </c>
      <c r="LB153" s="2082">
        <f t="shared" si="214"/>
        <v>4380</v>
      </c>
      <c r="LC153" s="2082">
        <f t="shared" si="214"/>
        <v>4380</v>
      </c>
      <c r="LD153" s="2082">
        <f t="shared" si="214"/>
        <v>4380</v>
      </c>
      <c r="LE153" s="2082">
        <f t="shared" si="214"/>
        <v>4380</v>
      </c>
      <c r="LF153" s="2082">
        <f t="shared" si="214"/>
        <v>4380</v>
      </c>
      <c r="LG153" s="2082">
        <f t="shared" si="214"/>
        <v>4380</v>
      </c>
      <c r="LH153" s="2082">
        <f t="shared" si="214"/>
        <v>4380</v>
      </c>
      <c r="LI153" s="2082">
        <f t="shared" si="214"/>
        <v>4380</v>
      </c>
      <c r="LJ153" s="2082">
        <f t="shared" si="214"/>
        <v>4380</v>
      </c>
      <c r="LK153" s="2082">
        <f t="shared" si="214"/>
        <v>4380</v>
      </c>
      <c r="LL153" s="2082">
        <f t="shared" si="214"/>
        <v>4380</v>
      </c>
      <c r="LM153" s="2082">
        <f t="shared" si="214"/>
        <v>4380</v>
      </c>
      <c r="LN153" s="2082">
        <f t="shared" si="214"/>
        <v>4380</v>
      </c>
      <c r="LO153" s="2082">
        <f t="shared" ref="LO153:NZ153" si="215">12*365</f>
        <v>4380</v>
      </c>
      <c r="LP153" s="2082">
        <f t="shared" si="215"/>
        <v>4380</v>
      </c>
      <c r="LQ153" s="2082">
        <f t="shared" si="215"/>
        <v>4380</v>
      </c>
      <c r="LR153" s="2082">
        <f t="shared" si="215"/>
        <v>4380</v>
      </c>
      <c r="LS153" s="2082">
        <f t="shared" si="215"/>
        <v>4380</v>
      </c>
      <c r="LT153" s="2082">
        <f t="shared" si="215"/>
        <v>4380</v>
      </c>
      <c r="LU153" s="2082">
        <f t="shared" si="215"/>
        <v>4380</v>
      </c>
      <c r="LV153" s="2082">
        <f t="shared" si="215"/>
        <v>4380</v>
      </c>
      <c r="LW153" s="2082">
        <f t="shared" si="215"/>
        <v>4380</v>
      </c>
      <c r="LX153" s="2082">
        <f t="shared" si="215"/>
        <v>4380</v>
      </c>
      <c r="LY153" s="2082">
        <f t="shared" si="215"/>
        <v>4380</v>
      </c>
      <c r="LZ153" s="2082">
        <f t="shared" si="215"/>
        <v>4380</v>
      </c>
      <c r="MA153" s="2082">
        <f t="shared" si="215"/>
        <v>4380</v>
      </c>
      <c r="MB153" s="2082">
        <f t="shared" si="215"/>
        <v>4380</v>
      </c>
      <c r="MC153" s="2082">
        <f t="shared" si="215"/>
        <v>4380</v>
      </c>
      <c r="MD153" s="2082">
        <f t="shared" si="215"/>
        <v>4380</v>
      </c>
      <c r="ME153" s="2082">
        <f t="shared" si="215"/>
        <v>4380</v>
      </c>
      <c r="MF153" s="2082">
        <f t="shared" si="215"/>
        <v>4380</v>
      </c>
      <c r="MG153" s="2082">
        <f t="shared" si="215"/>
        <v>4380</v>
      </c>
      <c r="MH153" s="2082">
        <f t="shared" si="215"/>
        <v>4380</v>
      </c>
      <c r="MI153" s="2082">
        <f t="shared" si="215"/>
        <v>4380</v>
      </c>
      <c r="MJ153" s="2082">
        <f t="shared" si="215"/>
        <v>4380</v>
      </c>
      <c r="MK153" s="2082">
        <f t="shared" si="215"/>
        <v>4380</v>
      </c>
      <c r="ML153" s="2082">
        <f t="shared" si="215"/>
        <v>4380</v>
      </c>
      <c r="MM153" s="2082">
        <f t="shared" si="215"/>
        <v>4380</v>
      </c>
      <c r="MN153" s="2082">
        <f t="shared" si="215"/>
        <v>4380</v>
      </c>
      <c r="MO153" s="2082">
        <f t="shared" si="215"/>
        <v>4380</v>
      </c>
      <c r="MP153" s="2082">
        <f t="shared" si="215"/>
        <v>4380</v>
      </c>
      <c r="MQ153" s="2082">
        <f t="shared" si="215"/>
        <v>4380</v>
      </c>
      <c r="MR153" s="2082">
        <f t="shared" si="215"/>
        <v>4380</v>
      </c>
      <c r="MS153" s="2082">
        <f t="shared" si="215"/>
        <v>4380</v>
      </c>
      <c r="MT153" s="2082">
        <f t="shared" si="215"/>
        <v>4380</v>
      </c>
      <c r="MU153" s="2082">
        <f t="shared" si="215"/>
        <v>4380</v>
      </c>
      <c r="MV153" s="2082">
        <f t="shared" si="215"/>
        <v>4380</v>
      </c>
      <c r="MW153" s="2082">
        <f t="shared" si="215"/>
        <v>4380</v>
      </c>
      <c r="MX153" s="2082">
        <f t="shared" si="215"/>
        <v>4380</v>
      </c>
      <c r="MY153" s="2082">
        <f t="shared" si="215"/>
        <v>4380</v>
      </c>
      <c r="MZ153" s="2082">
        <f t="shared" si="215"/>
        <v>4380</v>
      </c>
      <c r="NA153" s="2082">
        <f t="shared" si="215"/>
        <v>4380</v>
      </c>
      <c r="NB153" s="2082">
        <f t="shared" si="215"/>
        <v>4380</v>
      </c>
      <c r="NC153" s="2082">
        <f t="shared" si="215"/>
        <v>4380</v>
      </c>
      <c r="ND153" s="2082">
        <f t="shared" si="215"/>
        <v>4380</v>
      </c>
      <c r="NE153" s="2082">
        <f t="shared" si="215"/>
        <v>4380</v>
      </c>
      <c r="NF153" s="2082">
        <f t="shared" si="215"/>
        <v>4380</v>
      </c>
      <c r="NG153" s="2082">
        <f t="shared" si="215"/>
        <v>4380</v>
      </c>
      <c r="NH153" s="2082">
        <f t="shared" si="215"/>
        <v>4380</v>
      </c>
      <c r="NI153" s="2082">
        <f t="shared" si="215"/>
        <v>4380</v>
      </c>
      <c r="NJ153" s="2082">
        <f t="shared" si="215"/>
        <v>4380</v>
      </c>
      <c r="NK153" s="2082">
        <f t="shared" si="215"/>
        <v>4380</v>
      </c>
      <c r="NL153" s="2082">
        <f t="shared" si="215"/>
        <v>4380</v>
      </c>
      <c r="NM153" s="2082">
        <f t="shared" si="215"/>
        <v>4380</v>
      </c>
      <c r="NN153" s="2082">
        <f t="shared" si="215"/>
        <v>4380</v>
      </c>
      <c r="NO153" s="2082">
        <f t="shared" si="215"/>
        <v>4380</v>
      </c>
      <c r="NP153" s="2082">
        <f t="shared" si="215"/>
        <v>4380</v>
      </c>
      <c r="NQ153" s="2082">
        <f t="shared" si="215"/>
        <v>4380</v>
      </c>
      <c r="NR153" s="2082">
        <f t="shared" si="215"/>
        <v>4380</v>
      </c>
      <c r="NS153" s="2082">
        <f t="shared" si="215"/>
        <v>4380</v>
      </c>
      <c r="NT153" s="2082">
        <f t="shared" si="215"/>
        <v>4380</v>
      </c>
      <c r="NU153" s="2082">
        <f t="shared" si="215"/>
        <v>4380</v>
      </c>
      <c r="NV153" s="2082">
        <f t="shared" si="215"/>
        <v>4380</v>
      </c>
      <c r="NW153" s="2082">
        <f t="shared" si="215"/>
        <v>4380</v>
      </c>
      <c r="NX153" s="2082">
        <f t="shared" si="215"/>
        <v>4380</v>
      </c>
      <c r="NY153" s="2082">
        <f t="shared" si="215"/>
        <v>4380</v>
      </c>
      <c r="NZ153" s="2082">
        <f t="shared" si="215"/>
        <v>4380</v>
      </c>
      <c r="OA153" s="2082">
        <f t="shared" ref="OA153:QL153" si="216">12*365</f>
        <v>4380</v>
      </c>
      <c r="OB153" s="2082">
        <f t="shared" si="216"/>
        <v>4380</v>
      </c>
      <c r="OC153" s="2082">
        <f t="shared" si="216"/>
        <v>4380</v>
      </c>
      <c r="OD153" s="2082">
        <f t="shared" si="216"/>
        <v>4380</v>
      </c>
      <c r="OE153" s="2082">
        <f t="shared" si="216"/>
        <v>4380</v>
      </c>
      <c r="OF153" s="2082">
        <f t="shared" si="216"/>
        <v>4380</v>
      </c>
      <c r="OG153" s="2082">
        <f t="shared" si="216"/>
        <v>4380</v>
      </c>
      <c r="OH153" s="2082">
        <f t="shared" si="216"/>
        <v>4380</v>
      </c>
      <c r="OI153" s="2082">
        <f t="shared" si="216"/>
        <v>4380</v>
      </c>
      <c r="OJ153" s="2082">
        <f t="shared" si="216"/>
        <v>4380</v>
      </c>
      <c r="OK153" s="2082">
        <f t="shared" si="216"/>
        <v>4380</v>
      </c>
      <c r="OL153" s="2082">
        <f t="shared" si="216"/>
        <v>4380</v>
      </c>
      <c r="OM153" s="2082">
        <f t="shared" si="216"/>
        <v>4380</v>
      </c>
      <c r="ON153" s="2082">
        <f t="shared" si="216"/>
        <v>4380</v>
      </c>
      <c r="OO153" s="2082">
        <f t="shared" si="216"/>
        <v>4380</v>
      </c>
      <c r="OP153" s="2082">
        <f t="shared" si="216"/>
        <v>4380</v>
      </c>
      <c r="OQ153" s="2082">
        <f t="shared" si="216"/>
        <v>4380</v>
      </c>
      <c r="OR153" s="2082">
        <f t="shared" si="216"/>
        <v>4380</v>
      </c>
      <c r="OS153" s="2082">
        <f t="shared" si="216"/>
        <v>4380</v>
      </c>
      <c r="OT153" s="2082">
        <f t="shared" si="216"/>
        <v>4380</v>
      </c>
      <c r="OU153" s="2082">
        <f t="shared" si="216"/>
        <v>4380</v>
      </c>
      <c r="OV153" s="2082">
        <f t="shared" si="216"/>
        <v>4380</v>
      </c>
      <c r="OW153" s="2082">
        <f t="shared" si="216"/>
        <v>4380</v>
      </c>
      <c r="OX153" s="2082">
        <f t="shared" si="216"/>
        <v>4380</v>
      </c>
      <c r="OY153" s="2082">
        <f t="shared" si="216"/>
        <v>4380</v>
      </c>
      <c r="OZ153" s="2082">
        <f t="shared" si="216"/>
        <v>4380</v>
      </c>
      <c r="PA153" s="2082">
        <f t="shared" si="216"/>
        <v>4380</v>
      </c>
      <c r="PB153" s="2082">
        <f t="shared" si="216"/>
        <v>4380</v>
      </c>
      <c r="PC153" s="2082">
        <f t="shared" si="216"/>
        <v>4380</v>
      </c>
      <c r="PD153" s="2082">
        <f t="shared" si="216"/>
        <v>4380</v>
      </c>
      <c r="PE153" s="2082">
        <f t="shared" si="216"/>
        <v>4380</v>
      </c>
      <c r="PF153" s="2082">
        <f t="shared" si="216"/>
        <v>4380</v>
      </c>
      <c r="PG153" s="2082">
        <f t="shared" si="216"/>
        <v>4380</v>
      </c>
      <c r="PH153" s="2082">
        <f t="shared" si="216"/>
        <v>4380</v>
      </c>
      <c r="PI153" s="2082">
        <f t="shared" si="216"/>
        <v>4380</v>
      </c>
      <c r="PJ153" s="2082">
        <f t="shared" si="216"/>
        <v>4380</v>
      </c>
      <c r="PK153" s="2082">
        <f t="shared" si="216"/>
        <v>4380</v>
      </c>
      <c r="PL153" s="2082">
        <f t="shared" si="216"/>
        <v>4380</v>
      </c>
      <c r="PM153" s="2082">
        <f t="shared" si="216"/>
        <v>4380</v>
      </c>
      <c r="PN153" s="2082">
        <f t="shared" si="216"/>
        <v>4380</v>
      </c>
      <c r="PO153" s="2082">
        <f t="shared" si="216"/>
        <v>4380</v>
      </c>
      <c r="PP153" s="2082">
        <f t="shared" si="216"/>
        <v>4380</v>
      </c>
      <c r="PQ153" s="2082">
        <f t="shared" si="216"/>
        <v>4380</v>
      </c>
      <c r="PR153" s="2082">
        <f t="shared" si="216"/>
        <v>4380</v>
      </c>
      <c r="PS153" s="2082">
        <f t="shared" si="216"/>
        <v>4380</v>
      </c>
      <c r="PT153" s="2082">
        <f t="shared" si="216"/>
        <v>4380</v>
      </c>
      <c r="PU153" s="2082">
        <f t="shared" si="216"/>
        <v>4380</v>
      </c>
      <c r="PV153" s="2082">
        <f t="shared" si="216"/>
        <v>4380</v>
      </c>
      <c r="PW153" s="2082">
        <f t="shared" si="216"/>
        <v>4380</v>
      </c>
      <c r="PX153" s="2082">
        <f t="shared" si="216"/>
        <v>4380</v>
      </c>
      <c r="PY153" s="2082">
        <f t="shared" si="216"/>
        <v>4380</v>
      </c>
      <c r="PZ153" s="2082">
        <f t="shared" si="216"/>
        <v>4380</v>
      </c>
      <c r="QA153" s="2082">
        <f t="shared" si="216"/>
        <v>4380</v>
      </c>
      <c r="QB153" s="2082">
        <f t="shared" si="216"/>
        <v>4380</v>
      </c>
      <c r="QC153" s="2082">
        <f t="shared" si="216"/>
        <v>4380</v>
      </c>
      <c r="QD153" s="2082">
        <f t="shared" si="216"/>
        <v>4380</v>
      </c>
      <c r="QE153" s="2082">
        <f t="shared" si="216"/>
        <v>4380</v>
      </c>
      <c r="QF153" s="2082">
        <f t="shared" si="216"/>
        <v>4380</v>
      </c>
      <c r="QG153" s="2082">
        <f t="shared" si="216"/>
        <v>4380</v>
      </c>
      <c r="QH153" s="2082">
        <f t="shared" si="216"/>
        <v>4380</v>
      </c>
      <c r="QI153" s="2082">
        <f t="shared" si="216"/>
        <v>4380</v>
      </c>
      <c r="QJ153" s="2082">
        <f t="shared" si="216"/>
        <v>4380</v>
      </c>
      <c r="QK153" s="2082">
        <f t="shared" si="216"/>
        <v>4380</v>
      </c>
      <c r="QL153" s="2082">
        <f t="shared" si="216"/>
        <v>4380</v>
      </c>
      <c r="QM153" s="2082">
        <f t="shared" ref="QM153:SX153" si="217">12*365</f>
        <v>4380</v>
      </c>
      <c r="QN153" s="2082">
        <f t="shared" si="217"/>
        <v>4380</v>
      </c>
      <c r="QO153" s="2082">
        <f t="shared" si="217"/>
        <v>4380</v>
      </c>
      <c r="QP153" s="2082">
        <f t="shared" si="217"/>
        <v>4380</v>
      </c>
      <c r="QQ153" s="2082">
        <f t="shared" si="217"/>
        <v>4380</v>
      </c>
      <c r="QR153" s="2082">
        <f t="shared" si="217"/>
        <v>4380</v>
      </c>
      <c r="QS153" s="2082">
        <f t="shared" si="217"/>
        <v>4380</v>
      </c>
      <c r="QT153" s="2082">
        <f t="shared" si="217"/>
        <v>4380</v>
      </c>
      <c r="QU153" s="2082">
        <f t="shared" si="217"/>
        <v>4380</v>
      </c>
      <c r="QV153" s="2082">
        <f t="shared" si="217"/>
        <v>4380</v>
      </c>
      <c r="QW153" s="2082">
        <f t="shared" si="217"/>
        <v>4380</v>
      </c>
      <c r="QX153" s="2082">
        <f t="shared" si="217"/>
        <v>4380</v>
      </c>
      <c r="QY153" s="2082">
        <f t="shared" si="217"/>
        <v>4380</v>
      </c>
      <c r="QZ153" s="2082">
        <f t="shared" si="217"/>
        <v>4380</v>
      </c>
      <c r="RA153" s="2082">
        <f t="shared" si="217"/>
        <v>4380</v>
      </c>
      <c r="RB153" s="2082">
        <f t="shared" si="217"/>
        <v>4380</v>
      </c>
      <c r="RC153" s="2082">
        <f t="shared" si="217"/>
        <v>4380</v>
      </c>
      <c r="RD153" s="2082">
        <f t="shared" si="217"/>
        <v>4380</v>
      </c>
      <c r="RE153" s="2082">
        <f t="shared" si="217"/>
        <v>4380</v>
      </c>
      <c r="RF153" s="2082">
        <f t="shared" si="217"/>
        <v>4380</v>
      </c>
      <c r="RG153" s="2082">
        <f t="shared" si="217"/>
        <v>4380</v>
      </c>
      <c r="RH153" s="2082">
        <f t="shared" si="217"/>
        <v>4380</v>
      </c>
      <c r="RI153" s="2082">
        <f t="shared" si="217"/>
        <v>4380</v>
      </c>
      <c r="RJ153" s="2082">
        <f t="shared" si="217"/>
        <v>4380</v>
      </c>
      <c r="RK153" s="2082">
        <f t="shared" si="217"/>
        <v>4380</v>
      </c>
      <c r="RL153" s="2082">
        <f t="shared" si="217"/>
        <v>4380</v>
      </c>
      <c r="RM153" s="2082">
        <f t="shared" si="217"/>
        <v>4380</v>
      </c>
      <c r="RN153" s="2082">
        <f t="shared" si="217"/>
        <v>4380</v>
      </c>
      <c r="RO153" s="2082">
        <f t="shared" si="217"/>
        <v>4380</v>
      </c>
      <c r="RP153" s="2082">
        <f t="shared" si="217"/>
        <v>4380</v>
      </c>
      <c r="RQ153" s="2082">
        <f t="shared" si="217"/>
        <v>4380</v>
      </c>
      <c r="RR153" s="2082">
        <f t="shared" si="217"/>
        <v>4380</v>
      </c>
      <c r="RS153" s="2082">
        <f t="shared" si="217"/>
        <v>4380</v>
      </c>
      <c r="RT153" s="2082">
        <f t="shared" si="217"/>
        <v>4380</v>
      </c>
      <c r="RU153" s="2082">
        <f t="shared" si="217"/>
        <v>4380</v>
      </c>
      <c r="RV153" s="2082">
        <f t="shared" si="217"/>
        <v>4380</v>
      </c>
      <c r="RW153" s="2082">
        <f t="shared" si="217"/>
        <v>4380</v>
      </c>
      <c r="RX153" s="2082">
        <f t="shared" si="217"/>
        <v>4380</v>
      </c>
      <c r="RY153" s="2082">
        <f t="shared" si="217"/>
        <v>4380</v>
      </c>
      <c r="RZ153" s="2082">
        <f t="shared" si="217"/>
        <v>4380</v>
      </c>
      <c r="SA153" s="2082">
        <f t="shared" si="217"/>
        <v>4380</v>
      </c>
      <c r="SB153" s="2082">
        <f t="shared" si="217"/>
        <v>4380</v>
      </c>
      <c r="SC153" s="2082">
        <f t="shared" si="217"/>
        <v>4380</v>
      </c>
      <c r="SD153" s="2082">
        <f t="shared" si="217"/>
        <v>4380</v>
      </c>
      <c r="SE153" s="2082">
        <f t="shared" si="217"/>
        <v>4380</v>
      </c>
      <c r="SF153" s="2082">
        <f t="shared" si="217"/>
        <v>4380</v>
      </c>
      <c r="SG153" s="2082">
        <f t="shared" si="217"/>
        <v>4380</v>
      </c>
      <c r="SH153" s="2082">
        <f t="shared" si="217"/>
        <v>4380</v>
      </c>
      <c r="SI153" s="2082">
        <f t="shared" si="217"/>
        <v>4380</v>
      </c>
      <c r="SJ153" s="2082">
        <f t="shared" si="217"/>
        <v>4380</v>
      </c>
      <c r="SK153" s="2082">
        <f t="shared" si="217"/>
        <v>4380</v>
      </c>
      <c r="SL153" s="2082">
        <f t="shared" si="217"/>
        <v>4380</v>
      </c>
      <c r="SM153" s="2082">
        <f t="shared" si="217"/>
        <v>4380</v>
      </c>
      <c r="SN153" s="2082">
        <f t="shared" si="217"/>
        <v>4380</v>
      </c>
      <c r="SO153" s="2082">
        <f t="shared" si="217"/>
        <v>4380</v>
      </c>
      <c r="SP153" s="2082">
        <f t="shared" si="217"/>
        <v>4380</v>
      </c>
      <c r="SQ153" s="2082">
        <f t="shared" si="217"/>
        <v>4380</v>
      </c>
      <c r="SR153" s="2082">
        <f t="shared" si="217"/>
        <v>4380</v>
      </c>
      <c r="SS153" s="2082">
        <f t="shared" si="217"/>
        <v>4380</v>
      </c>
      <c r="ST153" s="2082">
        <f t="shared" si="217"/>
        <v>4380</v>
      </c>
      <c r="SU153" s="2082">
        <f t="shared" si="217"/>
        <v>4380</v>
      </c>
      <c r="SV153" s="2082">
        <f t="shared" si="217"/>
        <v>4380</v>
      </c>
      <c r="SW153" s="2082">
        <f t="shared" si="217"/>
        <v>4380</v>
      </c>
      <c r="SX153" s="2082">
        <f t="shared" si="217"/>
        <v>4380</v>
      </c>
      <c r="SY153" s="2082">
        <f t="shared" ref="SY153:VJ153" si="218">12*365</f>
        <v>4380</v>
      </c>
      <c r="SZ153" s="2082">
        <f t="shared" si="218"/>
        <v>4380</v>
      </c>
      <c r="TA153" s="2082">
        <f t="shared" si="218"/>
        <v>4380</v>
      </c>
      <c r="TB153" s="2082">
        <f t="shared" si="218"/>
        <v>4380</v>
      </c>
      <c r="TC153" s="2082">
        <f t="shared" si="218"/>
        <v>4380</v>
      </c>
      <c r="TD153" s="2082">
        <f t="shared" si="218"/>
        <v>4380</v>
      </c>
      <c r="TE153" s="2082">
        <f t="shared" si="218"/>
        <v>4380</v>
      </c>
      <c r="TF153" s="2082">
        <f t="shared" si="218"/>
        <v>4380</v>
      </c>
      <c r="TG153" s="2082">
        <f t="shared" si="218"/>
        <v>4380</v>
      </c>
      <c r="TH153" s="2082">
        <f t="shared" si="218"/>
        <v>4380</v>
      </c>
      <c r="TI153" s="2082">
        <f t="shared" si="218"/>
        <v>4380</v>
      </c>
      <c r="TJ153" s="2082">
        <f t="shared" si="218"/>
        <v>4380</v>
      </c>
      <c r="TK153" s="2082">
        <f t="shared" si="218"/>
        <v>4380</v>
      </c>
      <c r="TL153" s="2082">
        <f t="shared" si="218"/>
        <v>4380</v>
      </c>
      <c r="TM153" s="2082">
        <f t="shared" si="218"/>
        <v>4380</v>
      </c>
      <c r="TN153" s="2082">
        <f t="shared" si="218"/>
        <v>4380</v>
      </c>
      <c r="TO153" s="2082">
        <f t="shared" si="218"/>
        <v>4380</v>
      </c>
      <c r="TP153" s="2082">
        <f t="shared" si="218"/>
        <v>4380</v>
      </c>
      <c r="TQ153" s="2082">
        <f t="shared" si="218"/>
        <v>4380</v>
      </c>
      <c r="TR153" s="2082">
        <f t="shared" si="218"/>
        <v>4380</v>
      </c>
      <c r="TS153" s="2082">
        <f t="shared" si="218"/>
        <v>4380</v>
      </c>
      <c r="TT153" s="2082">
        <f t="shared" si="218"/>
        <v>4380</v>
      </c>
      <c r="TU153" s="2082">
        <f t="shared" si="218"/>
        <v>4380</v>
      </c>
      <c r="TV153" s="2082">
        <f t="shared" si="218"/>
        <v>4380</v>
      </c>
      <c r="TW153" s="2082">
        <f t="shared" si="218"/>
        <v>4380</v>
      </c>
      <c r="TX153" s="2082">
        <f t="shared" si="218"/>
        <v>4380</v>
      </c>
      <c r="TY153" s="2082">
        <f t="shared" si="218"/>
        <v>4380</v>
      </c>
      <c r="TZ153" s="2082">
        <f t="shared" si="218"/>
        <v>4380</v>
      </c>
      <c r="UA153" s="2082">
        <f t="shared" si="218"/>
        <v>4380</v>
      </c>
      <c r="UB153" s="2082">
        <f t="shared" si="218"/>
        <v>4380</v>
      </c>
      <c r="UC153" s="2082">
        <f t="shared" si="218"/>
        <v>4380</v>
      </c>
      <c r="UD153" s="2082">
        <f t="shared" si="218"/>
        <v>4380</v>
      </c>
      <c r="UE153" s="2082">
        <f t="shared" si="218"/>
        <v>4380</v>
      </c>
      <c r="UF153" s="2082">
        <f t="shared" si="218"/>
        <v>4380</v>
      </c>
      <c r="UG153" s="2082">
        <f t="shared" si="218"/>
        <v>4380</v>
      </c>
      <c r="UH153" s="2082">
        <f t="shared" si="218"/>
        <v>4380</v>
      </c>
      <c r="UI153" s="2082">
        <f t="shared" si="218"/>
        <v>4380</v>
      </c>
      <c r="UJ153" s="2082">
        <f t="shared" si="218"/>
        <v>4380</v>
      </c>
      <c r="UK153" s="2082">
        <f t="shared" si="218"/>
        <v>4380</v>
      </c>
      <c r="UL153" s="2082">
        <f t="shared" si="218"/>
        <v>4380</v>
      </c>
      <c r="UM153" s="2082">
        <f t="shared" si="218"/>
        <v>4380</v>
      </c>
      <c r="UN153" s="2082">
        <f t="shared" si="218"/>
        <v>4380</v>
      </c>
      <c r="UO153" s="2082">
        <f t="shared" si="218"/>
        <v>4380</v>
      </c>
      <c r="UP153" s="2082">
        <f t="shared" si="218"/>
        <v>4380</v>
      </c>
      <c r="UQ153" s="2082">
        <f t="shared" si="218"/>
        <v>4380</v>
      </c>
      <c r="UR153" s="2082">
        <f t="shared" si="218"/>
        <v>4380</v>
      </c>
      <c r="US153" s="2082">
        <f t="shared" si="218"/>
        <v>4380</v>
      </c>
      <c r="UT153" s="2082">
        <f t="shared" si="218"/>
        <v>4380</v>
      </c>
      <c r="UU153" s="2082">
        <f t="shared" si="218"/>
        <v>4380</v>
      </c>
      <c r="UV153" s="2082">
        <f t="shared" si="218"/>
        <v>4380</v>
      </c>
      <c r="UW153" s="2082">
        <f t="shared" si="218"/>
        <v>4380</v>
      </c>
      <c r="UX153" s="2082">
        <f t="shared" si="218"/>
        <v>4380</v>
      </c>
      <c r="UY153" s="2082">
        <f t="shared" si="218"/>
        <v>4380</v>
      </c>
      <c r="UZ153" s="2082">
        <f t="shared" si="218"/>
        <v>4380</v>
      </c>
      <c r="VA153" s="2082">
        <f t="shared" si="218"/>
        <v>4380</v>
      </c>
      <c r="VB153" s="2082">
        <f t="shared" si="218"/>
        <v>4380</v>
      </c>
      <c r="VC153" s="2082">
        <f t="shared" si="218"/>
        <v>4380</v>
      </c>
      <c r="VD153" s="2082">
        <f t="shared" si="218"/>
        <v>4380</v>
      </c>
      <c r="VE153" s="2082">
        <f t="shared" si="218"/>
        <v>4380</v>
      </c>
      <c r="VF153" s="2082">
        <f t="shared" si="218"/>
        <v>4380</v>
      </c>
      <c r="VG153" s="2082">
        <f t="shared" si="218"/>
        <v>4380</v>
      </c>
      <c r="VH153" s="2082">
        <f t="shared" si="218"/>
        <v>4380</v>
      </c>
      <c r="VI153" s="2082">
        <f t="shared" si="218"/>
        <v>4380</v>
      </c>
      <c r="VJ153" s="2082">
        <f t="shared" si="218"/>
        <v>4380</v>
      </c>
      <c r="VK153" s="2083">
        <f>12*365</f>
        <v>4380</v>
      </c>
    </row>
    <row r="154" spans="1:583" s="1296" customFormat="1" x14ac:dyDescent="0.25">
      <c r="B154" s="2084" t="s">
        <v>2853</v>
      </c>
      <c r="C154" s="2085" t="s">
        <v>2956</v>
      </c>
      <c r="D154" s="2085" t="s">
        <v>2853</v>
      </c>
      <c r="E154" s="2085" t="s">
        <v>2956</v>
      </c>
      <c r="F154" s="2086">
        <f t="shared" ref="F154:BR154" si="219">IF(F152&gt;F153,F152,IF(F153&gt;F152,F153))</f>
        <v>4380</v>
      </c>
      <c r="G154" s="2086">
        <f t="shared" si="219"/>
        <v>4380</v>
      </c>
      <c r="H154" s="2086">
        <f t="shared" si="219"/>
        <v>4380</v>
      </c>
      <c r="I154" s="2086">
        <f t="shared" si="219"/>
        <v>4380</v>
      </c>
      <c r="J154" s="2086">
        <f t="shared" si="219"/>
        <v>4380</v>
      </c>
      <c r="K154" s="2086">
        <f t="shared" si="219"/>
        <v>4380</v>
      </c>
      <c r="L154" s="2086">
        <f t="shared" si="219"/>
        <v>4380</v>
      </c>
      <c r="M154" s="2086">
        <f t="shared" si="219"/>
        <v>4380</v>
      </c>
      <c r="N154" s="2086">
        <f t="shared" si="219"/>
        <v>4380</v>
      </c>
      <c r="O154" s="2086">
        <f t="shared" si="219"/>
        <v>4380</v>
      </c>
      <c r="P154" s="2086">
        <f t="shared" si="219"/>
        <v>4380</v>
      </c>
      <c r="Q154" s="2086">
        <f t="shared" si="219"/>
        <v>4380</v>
      </c>
      <c r="R154" s="2086">
        <f t="shared" si="219"/>
        <v>4380</v>
      </c>
      <c r="S154" s="2086">
        <f t="shared" si="219"/>
        <v>4380</v>
      </c>
      <c r="T154" s="2086">
        <f t="shared" si="219"/>
        <v>4380</v>
      </c>
      <c r="U154" s="2086">
        <f t="shared" si="219"/>
        <v>4380</v>
      </c>
      <c r="V154" s="2086">
        <f t="shared" si="219"/>
        <v>4380</v>
      </c>
      <c r="W154" s="2086">
        <f t="shared" si="219"/>
        <v>4380</v>
      </c>
      <c r="X154" s="2086">
        <f t="shared" si="219"/>
        <v>4380</v>
      </c>
      <c r="Y154" s="2086">
        <f t="shared" si="219"/>
        <v>4380</v>
      </c>
      <c r="Z154" s="2086">
        <f t="shared" si="219"/>
        <v>4380</v>
      </c>
      <c r="AA154" s="2086">
        <f t="shared" si="219"/>
        <v>4380</v>
      </c>
      <c r="AB154" s="2086">
        <f t="shared" si="219"/>
        <v>4380</v>
      </c>
      <c r="AC154" s="2086">
        <f t="shared" si="219"/>
        <v>4380</v>
      </c>
      <c r="AD154" s="2086">
        <f t="shared" si="219"/>
        <v>4380</v>
      </c>
      <c r="AE154" s="2086">
        <f t="shared" si="219"/>
        <v>4380</v>
      </c>
      <c r="AF154" s="2086">
        <f t="shared" si="219"/>
        <v>4380</v>
      </c>
      <c r="AG154" s="2086">
        <f t="shared" si="219"/>
        <v>4380</v>
      </c>
      <c r="AH154" s="2086">
        <f t="shared" si="219"/>
        <v>4380</v>
      </c>
      <c r="AI154" s="2086">
        <f t="shared" si="219"/>
        <v>4380</v>
      </c>
      <c r="AJ154" s="2086">
        <f t="shared" si="219"/>
        <v>4380</v>
      </c>
      <c r="AK154" s="2086">
        <f t="shared" si="219"/>
        <v>4380</v>
      </c>
      <c r="AL154" s="2086">
        <f t="shared" si="219"/>
        <v>4380</v>
      </c>
      <c r="AM154" s="2086">
        <f t="shared" si="219"/>
        <v>4380</v>
      </c>
      <c r="AN154" s="2086">
        <f t="shared" si="219"/>
        <v>4380</v>
      </c>
      <c r="AO154" s="2086">
        <f t="shared" si="219"/>
        <v>4380</v>
      </c>
      <c r="AP154" s="2086">
        <f t="shared" si="219"/>
        <v>4380</v>
      </c>
      <c r="AQ154" s="2086">
        <f t="shared" si="219"/>
        <v>4380</v>
      </c>
      <c r="AR154" s="2086">
        <f t="shared" si="219"/>
        <v>4380</v>
      </c>
      <c r="AS154" s="2086">
        <f t="shared" si="219"/>
        <v>4380</v>
      </c>
      <c r="AT154" s="2086">
        <f t="shared" si="219"/>
        <v>4380</v>
      </c>
      <c r="AU154" s="2086">
        <f t="shared" si="219"/>
        <v>4380</v>
      </c>
      <c r="AV154" s="2086">
        <f t="shared" si="219"/>
        <v>4380</v>
      </c>
      <c r="AW154" s="2086">
        <f t="shared" si="219"/>
        <v>4380</v>
      </c>
      <c r="AX154" s="2086">
        <f t="shared" si="219"/>
        <v>4380</v>
      </c>
      <c r="AY154" s="2086">
        <f t="shared" si="219"/>
        <v>4380</v>
      </c>
      <c r="AZ154" s="2086">
        <f t="shared" si="219"/>
        <v>4380</v>
      </c>
      <c r="BA154" s="2086">
        <f t="shared" si="219"/>
        <v>4380</v>
      </c>
      <c r="BB154" s="2086">
        <f t="shared" si="219"/>
        <v>4380</v>
      </c>
      <c r="BC154" s="2086">
        <f t="shared" si="219"/>
        <v>4380</v>
      </c>
      <c r="BD154" s="2086">
        <f t="shared" si="219"/>
        <v>4380</v>
      </c>
      <c r="BE154" s="2086">
        <f t="shared" si="219"/>
        <v>4380</v>
      </c>
      <c r="BF154" s="2086">
        <f t="shared" si="219"/>
        <v>4380</v>
      </c>
      <c r="BG154" s="2086">
        <f t="shared" si="219"/>
        <v>4380</v>
      </c>
      <c r="BH154" s="2086">
        <f t="shared" si="219"/>
        <v>4380</v>
      </c>
      <c r="BI154" s="2086">
        <f t="shared" si="219"/>
        <v>4380</v>
      </c>
      <c r="BJ154" s="2086">
        <f t="shared" si="219"/>
        <v>4380</v>
      </c>
      <c r="BK154" s="2086">
        <f t="shared" si="219"/>
        <v>4380</v>
      </c>
      <c r="BL154" s="2086">
        <f t="shared" si="219"/>
        <v>4380</v>
      </c>
      <c r="BM154" s="2086">
        <f t="shared" si="219"/>
        <v>4380</v>
      </c>
      <c r="BN154" s="2086">
        <f t="shared" si="219"/>
        <v>4380</v>
      </c>
      <c r="BO154" s="2086">
        <f t="shared" si="219"/>
        <v>4380</v>
      </c>
      <c r="BP154" s="2086">
        <f t="shared" si="219"/>
        <v>4380</v>
      </c>
      <c r="BQ154" s="2086">
        <f t="shared" si="219"/>
        <v>4380</v>
      </c>
      <c r="BR154" s="2086">
        <f t="shared" si="219"/>
        <v>4380</v>
      </c>
      <c r="BS154" s="2086">
        <f t="shared" ref="BS154:ED154" si="220">IF(BS152&gt;BS153,BS152,IF(BS153&gt;BS152,BS153))</f>
        <v>4380</v>
      </c>
      <c r="BT154" s="2086">
        <f t="shared" si="220"/>
        <v>4380</v>
      </c>
      <c r="BU154" s="2086">
        <f t="shared" si="220"/>
        <v>4380</v>
      </c>
      <c r="BV154" s="2086">
        <f t="shared" si="220"/>
        <v>4380</v>
      </c>
      <c r="BW154" s="2086">
        <f t="shared" si="220"/>
        <v>4380</v>
      </c>
      <c r="BX154" s="2086">
        <f t="shared" si="220"/>
        <v>4380</v>
      </c>
      <c r="BY154" s="2086">
        <f t="shared" si="220"/>
        <v>4380</v>
      </c>
      <c r="BZ154" s="2086">
        <f t="shared" si="220"/>
        <v>4380</v>
      </c>
      <c r="CA154" s="2086">
        <f t="shared" si="220"/>
        <v>4380</v>
      </c>
      <c r="CB154" s="2086">
        <f t="shared" si="220"/>
        <v>4380</v>
      </c>
      <c r="CC154" s="2086">
        <f t="shared" si="220"/>
        <v>4380</v>
      </c>
      <c r="CD154" s="2086">
        <f t="shared" si="220"/>
        <v>4380</v>
      </c>
      <c r="CE154" s="2086">
        <f t="shared" si="220"/>
        <v>4380</v>
      </c>
      <c r="CF154" s="2086">
        <f t="shared" si="220"/>
        <v>4380</v>
      </c>
      <c r="CG154" s="2086">
        <f t="shared" si="220"/>
        <v>4380</v>
      </c>
      <c r="CH154" s="2086">
        <f t="shared" si="220"/>
        <v>4380</v>
      </c>
      <c r="CI154" s="2086">
        <f t="shared" si="220"/>
        <v>4380</v>
      </c>
      <c r="CJ154" s="2086">
        <f t="shared" si="220"/>
        <v>4380</v>
      </c>
      <c r="CK154" s="2086">
        <f t="shared" si="220"/>
        <v>4380</v>
      </c>
      <c r="CL154" s="2086">
        <f t="shared" si="220"/>
        <v>4380</v>
      </c>
      <c r="CM154" s="2086">
        <f t="shared" si="220"/>
        <v>4380</v>
      </c>
      <c r="CN154" s="2086">
        <f t="shared" si="220"/>
        <v>4380</v>
      </c>
      <c r="CO154" s="2086">
        <f t="shared" si="220"/>
        <v>4380</v>
      </c>
      <c r="CP154" s="2086">
        <f t="shared" si="220"/>
        <v>4380</v>
      </c>
      <c r="CQ154" s="2086">
        <f t="shared" si="220"/>
        <v>4380</v>
      </c>
      <c r="CR154" s="2086">
        <f t="shared" si="220"/>
        <v>4380</v>
      </c>
      <c r="CS154" s="2086">
        <f t="shared" si="220"/>
        <v>4380</v>
      </c>
      <c r="CT154" s="2086">
        <f t="shared" si="220"/>
        <v>4380</v>
      </c>
      <c r="CU154" s="2086">
        <f t="shared" si="220"/>
        <v>4380</v>
      </c>
      <c r="CV154" s="2086">
        <f t="shared" si="220"/>
        <v>4380</v>
      </c>
      <c r="CW154" s="2086">
        <f t="shared" si="220"/>
        <v>4380</v>
      </c>
      <c r="CX154" s="2086">
        <f t="shared" si="220"/>
        <v>4380</v>
      </c>
      <c r="CY154" s="2086">
        <f t="shared" si="220"/>
        <v>4380</v>
      </c>
      <c r="CZ154" s="2086">
        <f t="shared" si="220"/>
        <v>4380</v>
      </c>
      <c r="DA154" s="2086">
        <f t="shared" si="220"/>
        <v>4380</v>
      </c>
      <c r="DB154" s="2086">
        <f t="shared" si="220"/>
        <v>4380</v>
      </c>
      <c r="DC154" s="2086">
        <f t="shared" si="220"/>
        <v>4380</v>
      </c>
      <c r="DD154" s="2086">
        <f t="shared" si="220"/>
        <v>4380</v>
      </c>
      <c r="DE154" s="2086">
        <f t="shared" si="220"/>
        <v>4380</v>
      </c>
      <c r="DF154" s="2086">
        <f t="shared" si="220"/>
        <v>4380</v>
      </c>
      <c r="DG154" s="2086">
        <f t="shared" si="220"/>
        <v>4380</v>
      </c>
      <c r="DH154" s="2086">
        <f t="shared" si="220"/>
        <v>4380</v>
      </c>
      <c r="DI154" s="2086">
        <f t="shared" si="220"/>
        <v>4380</v>
      </c>
      <c r="DJ154" s="2086">
        <f t="shared" si="220"/>
        <v>4380</v>
      </c>
      <c r="DK154" s="2086">
        <f t="shared" si="220"/>
        <v>4380</v>
      </c>
      <c r="DL154" s="2086">
        <f t="shared" si="220"/>
        <v>4380</v>
      </c>
      <c r="DM154" s="2086">
        <f t="shared" si="220"/>
        <v>4380</v>
      </c>
      <c r="DN154" s="2086">
        <f t="shared" si="220"/>
        <v>4380</v>
      </c>
      <c r="DO154" s="2086">
        <f t="shared" si="220"/>
        <v>4380</v>
      </c>
      <c r="DP154" s="2086">
        <f t="shared" si="220"/>
        <v>4380</v>
      </c>
      <c r="DQ154" s="2086">
        <f t="shared" si="220"/>
        <v>4380</v>
      </c>
      <c r="DR154" s="2086">
        <f t="shared" si="220"/>
        <v>4380</v>
      </c>
      <c r="DS154" s="2086">
        <f t="shared" si="220"/>
        <v>4380</v>
      </c>
      <c r="DT154" s="2086">
        <f t="shared" si="220"/>
        <v>4380</v>
      </c>
      <c r="DU154" s="2086">
        <f t="shared" si="220"/>
        <v>4380</v>
      </c>
      <c r="DV154" s="2086">
        <f t="shared" si="220"/>
        <v>4380</v>
      </c>
      <c r="DW154" s="2086">
        <f t="shared" si="220"/>
        <v>4380</v>
      </c>
      <c r="DX154" s="2086">
        <f t="shared" si="220"/>
        <v>4380</v>
      </c>
      <c r="DY154" s="2086">
        <f t="shared" si="220"/>
        <v>4380</v>
      </c>
      <c r="DZ154" s="2086">
        <f t="shared" si="220"/>
        <v>4380</v>
      </c>
      <c r="EA154" s="2086">
        <f t="shared" si="220"/>
        <v>4380</v>
      </c>
      <c r="EB154" s="2086">
        <f t="shared" si="220"/>
        <v>4380</v>
      </c>
      <c r="EC154" s="2086">
        <f t="shared" si="220"/>
        <v>4380</v>
      </c>
      <c r="ED154" s="2086">
        <f t="shared" si="220"/>
        <v>4380</v>
      </c>
      <c r="EE154" s="2086">
        <f t="shared" ref="EE154:GP154" si="221">IF(EE152&gt;EE153,EE152,IF(EE153&gt;EE152,EE153))</f>
        <v>4380</v>
      </c>
      <c r="EF154" s="2086">
        <f t="shared" si="221"/>
        <v>4380</v>
      </c>
      <c r="EG154" s="2086">
        <f t="shared" si="221"/>
        <v>4380</v>
      </c>
      <c r="EH154" s="2086">
        <f t="shared" si="221"/>
        <v>4380</v>
      </c>
      <c r="EI154" s="2086">
        <f t="shared" si="221"/>
        <v>4380</v>
      </c>
      <c r="EJ154" s="2086">
        <f t="shared" si="221"/>
        <v>4380</v>
      </c>
      <c r="EK154" s="2086">
        <f t="shared" si="221"/>
        <v>4380</v>
      </c>
      <c r="EL154" s="2086">
        <f t="shared" si="221"/>
        <v>4380</v>
      </c>
      <c r="EM154" s="2086">
        <f t="shared" si="221"/>
        <v>4380</v>
      </c>
      <c r="EN154" s="2086">
        <f t="shared" si="221"/>
        <v>4380</v>
      </c>
      <c r="EO154" s="2086">
        <f t="shared" si="221"/>
        <v>4380</v>
      </c>
      <c r="EP154" s="2086">
        <f t="shared" si="221"/>
        <v>4380</v>
      </c>
      <c r="EQ154" s="2086">
        <f t="shared" si="221"/>
        <v>4380</v>
      </c>
      <c r="ER154" s="2086">
        <f t="shared" si="221"/>
        <v>4380</v>
      </c>
      <c r="ES154" s="2086">
        <f t="shared" si="221"/>
        <v>4380</v>
      </c>
      <c r="ET154" s="2086">
        <f t="shared" si="221"/>
        <v>4380</v>
      </c>
      <c r="EU154" s="2086">
        <f t="shared" si="221"/>
        <v>4380</v>
      </c>
      <c r="EV154" s="2086">
        <f t="shared" si="221"/>
        <v>4380</v>
      </c>
      <c r="EW154" s="2086">
        <f t="shared" si="221"/>
        <v>4380</v>
      </c>
      <c r="EX154" s="2086">
        <f t="shared" si="221"/>
        <v>4380</v>
      </c>
      <c r="EY154" s="2086">
        <f t="shared" si="221"/>
        <v>4380</v>
      </c>
      <c r="EZ154" s="2086">
        <f t="shared" si="221"/>
        <v>4380</v>
      </c>
      <c r="FA154" s="2086">
        <f t="shared" si="221"/>
        <v>4380</v>
      </c>
      <c r="FB154" s="2086">
        <f t="shared" si="221"/>
        <v>4380</v>
      </c>
      <c r="FC154" s="2086">
        <f t="shared" si="221"/>
        <v>4380</v>
      </c>
      <c r="FD154" s="2086">
        <f t="shared" si="221"/>
        <v>4380</v>
      </c>
      <c r="FE154" s="2086">
        <f t="shared" si="221"/>
        <v>4380</v>
      </c>
      <c r="FF154" s="2086">
        <f t="shared" si="221"/>
        <v>4380</v>
      </c>
      <c r="FG154" s="2086">
        <f t="shared" si="221"/>
        <v>4380</v>
      </c>
      <c r="FH154" s="2086">
        <f t="shared" si="221"/>
        <v>4380</v>
      </c>
      <c r="FI154" s="2086">
        <f t="shared" si="221"/>
        <v>4380</v>
      </c>
      <c r="FJ154" s="2086">
        <f t="shared" si="221"/>
        <v>4380</v>
      </c>
      <c r="FK154" s="2086">
        <f t="shared" si="221"/>
        <v>4380</v>
      </c>
      <c r="FL154" s="2086">
        <f t="shared" si="221"/>
        <v>4380</v>
      </c>
      <c r="FM154" s="2086">
        <f t="shared" si="221"/>
        <v>4380</v>
      </c>
      <c r="FN154" s="2086">
        <f t="shared" si="221"/>
        <v>4380</v>
      </c>
      <c r="FO154" s="2086">
        <f t="shared" si="221"/>
        <v>4380</v>
      </c>
      <c r="FP154" s="2086">
        <f t="shared" si="221"/>
        <v>4380</v>
      </c>
      <c r="FQ154" s="2086">
        <f t="shared" si="221"/>
        <v>4380</v>
      </c>
      <c r="FR154" s="2086">
        <f t="shared" si="221"/>
        <v>4380</v>
      </c>
      <c r="FS154" s="2086">
        <f t="shared" si="221"/>
        <v>4380</v>
      </c>
      <c r="FT154" s="2086">
        <f t="shared" si="221"/>
        <v>4380</v>
      </c>
      <c r="FU154" s="2086">
        <f t="shared" si="221"/>
        <v>4380</v>
      </c>
      <c r="FV154" s="2086">
        <f t="shared" si="221"/>
        <v>4380</v>
      </c>
      <c r="FW154" s="2086">
        <f t="shared" si="221"/>
        <v>4380</v>
      </c>
      <c r="FX154" s="2086">
        <f t="shared" si="221"/>
        <v>4380</v>
      </c>
      <c r="FY154" s="2086">
        <f t="shared" si="221"/>
        <v>4380</v>
      </c>
      <c r="FZ154" s="2086">
        <f t="shared" si="221"/>
        <v>4380</v>
      </c>
      <c r="GA154" s="2086">
        <f t="shared" si="221"/>
        <v>4380</v>
      </c>
      <c r="GB154" s="2086">
        <f t="shared" si="221"/>
        <v>4380</v>
      </c>
      <c r="GC154" s="2086">
        <f t="shared" si="221"/>
        <v>4380</v>
      </c>
      <c r="GD154" s="2086">
        <f t="shared" si="221"/>
        <v>4380</v>
      </c>
      <c r="GE154" s="2086">
        <f t="shared" si="221"/>
        <v>4380</v>
      </c>
      <c r="GF154" s="2086">
        <f t="shared" si="221"/>
        <v>4380</v>
      </c>
      <c r="GG154" s="2086">
        <f t="shared" si="221"/>
        <v>4380</v>
      </c>
      <c r="GH154" s="2086">
        <f t="shared" si="221"/>
        <v>4380</v>
      </c>
      <c r="GI154" s="2086">
        <f t="shared" si="221"/>
        <v>4380</v>
      </c>
      <c r="GJ154" s="2086">
        <f t="shared" si="221"/>
        <v>4380</v>
      </c>
      <c r="GK154" s="2086">
        <f t="shared" si="221"/>
        <v>4380</v>
      </c>
      <c r="GL154" s="2086">
        <f t="shared" si="221"/>
        <v>4380</v>
      </c>
      <c r="GM154" s="2086">
        <f t="shared" si="221"/>
        <v>4380</v>
      </c>
      <c r="GN154" s="2086">
        <f t="shared" si="221"/>
        <v>4380</v>
      </c>
      <c r="GO154" s="2086">
        <f t="shared" si="221"/>
        <v>4380</v>
      </c>
      <c r="GP154" s="2086">
        <f t="shared" si="221"/>
        <v>4380</v>
      </c>
      <c r="GQ154" s="2086">
        <f t="shared" ref="GQ154:JB154" si="222">IF(GQ152&gt;GQ153,GQ152,IF(GQ153&gt;GQ152,GQ153))</f>
        <v>4380</v>
      </c>
      <c r="GR154" s="2086">
        <f t="shared" si="222"/>
        <v>4380</v>
      </c>
      <c r="GS154" s="2086">
        <f t="shared" si="222"/>
        <v>4380</v>
      </c>
      <c r="GT154" s="2086">
        <f t="shared" si="222"/>
        <v>4380</v>
      </c>
      <c r="GU154" s="2086">
        <f t="shared" si="222"/>
        <v>4380</v>
      </c>
      <c r="GV154" s="2086">
        <f t="shared" si="222"/>
        <v>4380</v>
      </c>
      <c r="GW154" s="2086">
        <f t="shared" si="222"/>
        <v>4380</v>
      </c>
      <c r="GX154" s="2086">
        <f t="shared" si="222"/>
        <v>4380</v>
      </c>
      <c r="GY154" s="2086">
        <f t="shared" si="222"/>
        <v>4380</v>
      </c>
      <c r="GZ154" s="2086">
        <f t="shared" si="222"/>
        <v>4380</v>
      </c>
      <c r="HA154" s="2086">
        <f t="shared" si="222"/>
        <v>4380</v>
      </c>
      <c r="HB154" s="2086">
        <f t="shared" si="222"/>
        <v>4380</v>
      </c>
      <c r="HC154" s="2086">
        <f t="shared" si="222"/>
        <v>4380</v>
      </c>
      <c r="HD154" s="2086">
        <f t="shared" si="222"/>
        <v>4380</v>
      </c>
      <c r="HE154" s="2086">
        <f t="shared" si="222"/>
        <v>4380</v>
      </c>
      <c r="HF154" s="2086">
        <f t="shared" si="222"/>
        <v>4380</v>
      </c>
      <c r="HG154" s="2086">
        <f t="shared" si="222"/>
        <v>4380</v>
      </c>
      <c r="HH154" s="2086">
        <f t="shared" si="222"/>
        <v>4380</v>
      </c>
      <c r="HI154" s="2086">
        <f t="shared" si="222"/>
        <v>4380</v>
      </c>
      <c r="HJ154" s="2086">
        <f t="shared" si="222"/>
        <v>4380</v>
      </c>
      <c r="HK154" s="2086">
        <f t="shared" si="222"/>
        <v>4380</v>
      </c>
      <c r="HL154" s="2086">
        <f t="shared" si="222"/>
        <v>4380</v>
      </c>
      <c r="HM154" s="2086">
        <f t="shared" si="222"/>
        <v>4380</v>
      </c>
      <c r="HN154" s="2086">
        <f t="shared" si="222"/>
        <v>4380</v>
      </c>
      <c r="HO154" s="2086">
        <f t="shared" si="222"/>
        <v>4380</v>
      </c>
      <c r="HP154" s="2086">
        <f t="shared" si="222"/>
        <v>4380</v>
      </c>
      <c r="HQ154" s="2086">
        <f t="shared" si="222"/>
        <v>4380</v>
      </c>
      <c r="HR154" s="2086">
        <f t="shared" si="222"/>
        <v>4380</v>
      </c>
      <c r="HS154" s="2086">
        <f t="shared" si="222"/>
        <v>4380</v>
      </c>
      <c r="HT154" s="2086">
        <f t="shared" si="222"/>
        <v>4380</v>
      </c>
      <c r="HU154" s="2086">
        <f t="shared" si="222"/>
        <v>4380</v>
      </c>
      <c r="HV154" s="2086">
        <f t="shared" si="222"/>
        <v>4380</v>
      </c>
      <c r="HW154" s="2086">
        <f t="shared" si="222"/>
        <v>4380</v>
      </c>
      <c r="HX154" s="2086">
        <f t="shared" si="222"/>
        <v>4380</v>
      </c>
      <c r="HY154" s="2086">
        <f t="shared" si="222"/>
        <v>4380</v>
      </c>
      <c r="HZ154" s="2086">
        <f t="shared" si="222"/>
        <v>4380</v>
      </c>
      <c r="IA154" s="2086">
        <f t="shared" si="222"/>
        <v>4380</v>
      </c>
      <c r="IB154" s="2086">
        <f t="shared" si="222"/>
        <v>4380</v>
      </c>
      <c r="IC154" s="2086">
        <f t="shared" si="222"/>
        <v>4380</v>
      </c>
      <c r="ID154" s="2086">
        <f t="shared" si="222"/>
        <v>4380</v>
      </c>
      <c r="IE154" s="2086">
        <f t="shared" si="222"/>
        <v>4380</v>
      </c>
      <c r="IF154" s="2086">
        <f t="shared" si="222"/>
        <v>4380</v>
      </c>
      <c r="IG154" s="2086">
        <f t="shared" si="222"/>
        <v>4380</v>
      </c>
      <c r="IH154" s="2086">
        <f t="shared" si="222"/>
        <v>4380</v>
      </c>
      <c r="II154" s="2086">
        <f t="shared" si="222"/>
        <v>4380</v>
      </c>
      <c r="IJ154" s="2086">
        <f t="shared" si="222"/>
        <v>4380</v>
      </c>
      <c r="IK154" s="2086">
        <f t="shared" si="222"/>
        <v>4380</v>
      </c>
      <c r="IL154" s="2086">
        <f t="shared" si="222"/>
        <v>4380</v>
      </c>
      <c r="IM154" s="2086">
        <f t="shared" si="222"/>
        <v>4380</v>
      </c>
      <c r="IN154" s="2086">
        <f t="shared" si="222"/>
        <v>4380</v>
      </c>
      <c r="IO154" s="2086">
        <f t="shared" si="222"/>
        <v>4380</v>
      </c>
      <c r="IP154" s="2086">
        <f t="shared" si="222"/>
        <v>4380</v>
      </c>
      <c r="IQ154" s="2086">
        <f t="shared" si="222"/>
        <v>4380</v>
      </c>
      <c r="IR154" s="2086">
        <f t="shared" si="222"/>
        <v>4380</v>
      </c>
      <c r="IS154" s="2086">
        <f t="shared" si="222"/>
        <v>4380</v>
      </c>
      <c r="IT154" s="2086">
        <f t="shared" si="222"/>
        <v>4380</v>
      </c>
      <c r="IU154" s="2086">
        <f t="shared" si="222"/>
        <v>4380</v>
      </c>
      <c r="IV154" s="2086">
        <f t="shared" si="222"/>
        <v>4380</v>
      </c>
      <c r="IW154" s="2086">
        <f t="shared" si="222"/>
        <v>4380</v>
      </c>
      <c r="IX154" s="2086">
        <f t="shared" si="222"/>
        <v>4380</v>
      </c>
      <c r="IY154" s="2086">
        <f t="shared" si="222"/>
        <v>4380</v>
      </c>
      <c r="IZ154" s="2086">
        <f t="shared" si="222"/>
        <v>4380</v>
      </c>
      <c r="JA154" s="2086">
        <f t="shared" si="222"/>
        <v>4380</v>
      </c>
      <c r="JB154" s="2086">
        <f t="shared" si="222"/>
        <v>4380</v>
      </c>
      <c r="JC154" s="2086">
        <f t="shared" ref="JC154:LN154" si="223">IF(JC152&gt;JC153,JC152,IF(JC153&gt;JC152,JC153))</f>
        <v>4380</v>
      </c>
      <c r="JD154" s="2086">
        <f t="shared" si="223"/>
        <v>4380</v>
      </c>
      <c r="JE154" s="2086">
        <f t="shared" si="223"/>
        <v>4380</v>
      </c>
      <c r="JF154" s="2086">
        <f t="shared" si="223"/>
        <v>4380</v>
      </c>
      <c r="JG154" s="2086">
        <f t="shared" si="223"/>
        <v>4380</v>
      </c>
      <c r="JH154" s="2086">
        <f t="shared" si="223"/>
        <v>4380</v>
      </c>
      <c r="JI154" s="2086">
        <f t="shared" si="223"/>
        <v>4380</v>
      </c>
      <c r="JJ154" s="2086">
        <f t="shared" si="223"/>
        <v>4380</v>
      </c>
      <c r="JK154" s="2086">
        <f t="shared" si="223"/>
        <v>4380</v>
      </c>
      <c r="JL154" s="2086">
        <f t="shared" si="223"/>
        <v>4380</v>
      </c>
      <c r="JM154" s="2086">
        <f t="shared" si="223"/>
        <v>4380</v>
      </c>
      <c r="JN154" s="2086">
        <f t="shared" si="223"/>
        <v>4380</v>
      </c>
      <c r="JO154" s="2086">
        <f t="shared" si="223"/>
        <v>4380</v>
      </c>
      <c r="JP154" s="2086">
        <f t="shared" si="223"/>
        <v>4380</v>
      </c>
      <c r="JQ154" s="2086">
        <f t="shared" si="223"/>
        <v>4380</v>
      </c>
      <c r="JR154" s="2086">
        <f t="shared" si="223"/>
        <v>4380</v>
      </c>
      <c r="JS154" s="2086">
        <f t="shared" si="223"/>
        <v>4380</v>
      </c>
      <c r="JT154" s="2086">
        <f t="shared" si="223"/>
        <v>4380</v>
      </c>
      <c r="JU154" s="2086">
        <f t="shared" si="223"/>
        <v>4380</v>
      </c>
      <c r="JV154" s="2086">
        <f t="shared" si="223"/>
        <v>4380</v>
      </c>
      <c r="JW154" s="2086">
        <f t="shared" si="223"/>
        <v>4380</v>
      </c>
      <c r="JX154" s="2086">
        <f t="shared" si="223"/>
        <v>4380</v>
      </c>
      <c r="JY154" s="2086">
        <f t="shared" si="223"/>
        <v>4380</v>
      </c>
      <c r="JZ154" s="2086">
        <f t="shared" si="223"/>
        <v>4380</v>
      </c>
      <c r="KA154" s="2086">
        <f t="shared" si="223"/>
        <v>4380</v>
      </c>
      <c r="KB154" s="2086">
        <f t="shared" si="223"/>
        <v>4380</v>
      </c>
      <c r="KC154" s="2086">
        <f t="shared" si="223"/>
        <v>4380</v>
      </c>
      <c r="KD154" s="2086">
        <f t="shared" si="223"/>
        <v>4380</v>
      </c>
      <c r="KE154" s="2086">
        <f t="shared" si="223"/>
        <v>4380</v>
      </c>
      <c r="KF154" s="2086">
        <f t="shared" si="223"/>
        <v>4380</v>
      </c>
      <c r="KG154" s="2086">
        <f t="shared" si="223"/>
        <v>4380</v>
      </c>
      <c r="KH154" s="2086">
        <f t="shared" si="223"/>
        <v>4380</v>
      </c>
      <c r="KI154" s="2086">
        <f t="shared" si="223"/>
        <v>4380</v>
      </c>
      <c r="KJ154" s="2086">
        <f t="shared" si="223"/>
        <v>4380</v>
      </c>
      <c r="KK154" s="2086">
        <f t="shared" si="223"/>
        <v>4380</v>
      </c>
      <c r="KL154" s="2086">
        <f t="shared" si="223"/>
        <v>4380</v>
      </c>
      <c r="KM154" s="2086">
        <f t="shared" si="223"/>
        <v>4380</v>
      </c>
      <c r="KN154" s="2086">
        <f t="shared" si="223"/>
        <v>4380</v>
      </c>
      <c r="KO154" s="2086">
        <f t="shared" si="223"/>
        <v>4380</v>
      </c>
      <c r="KP154" s="2086">
        <f t="shared" si="223"/>
        <v>4380</v>
      </c>
      <c r="KQ154" s="2086">
        <f t="shared" si="223"/>
        <v>4380</v>
      </c>
      <c r="KR154" s="2086">
        <f t="shared" si="223"/>
        <v>4380</v>
      </c>
      <c r="KS154" s="2086">
        <f t="shared" si="223"/>
        <v>4380</v>
      </c>
      <c r="KT154" s="2086">
        <f t="shared" si="223"/>
        <v>4380</v>
      </c>
      <c r="KU154" s="2086">
        <f t="shared" si="223"/>
        <v>4380</v>
      </c>
      <c r="KV154" s="2086">
        <f t="shared" si="223"/>
        <v>4380</v>
      </c>
      <c r="KW154" s="2086">
        <f t="shared" si="223"/>
        <v>4380</v>
      </c>
      <c r="KX154" s="2086">
        <f t="shared" si="223"/>
        <v>4380</v>
      </c>
      <c r="KY154" s="2086">
        <f t="shared" si="223"/>
        <v>4380</v>
      </c>
      <c r="KZ154" s="2086">
        <f t="shared" si="223"/>
        <v>4380</v>
      </c>
      <c r="LA154" s="2086">
        <f t="shared" si="223"/>
        <v>4380</v>
      </c>
      <c r="LB154" s="2086">
        <f t="shared" si="223"/>
        <v>4380</v>
      </c>
      <c r="LC154" s="2086">
        <f t="shared" si="223"/>
        <v>4380</v>
      </c>
      <c r="LD154" s="2086">
        <f t="shared" si="223"/>
        <v>4380</v>
      </c>
      <c r="LE154" s="2086">
        <f t="shared" si="223"/>
        <v>4380</v>
      </c>
      <c r="LF154" s="2086">
        <f t="shared" si="223"/>
        <v>4380</v>
      </c>
      <c r="LG154" s="2086">
        <f t="shared" si="223"/>
        <v>4380</v>
      </c>
      <c r="LH154" s="2086">
        <f t="shared" si="223"/>
        <v>4380</v>
      </c>
      <c r="LI154" s="2086">
        <f t="shared" si="223"/>
        <v>4380</v>
      </c>
      <c r="LJ154" s="2086">
        <f t="shared" si="223"/>
        <v>4380</v>
      </c>
      <c r="LK154" s="2086">
        <f t="shared" si="223"/>
        <v>4380</v>
      </c>
      <c r="LL154" s="2086">
        <f t="shared" si="223"/>
        <v>4380</v>
      </c>
      <c r="LM154" s="2086">
        <f t="shared" si="223"/>
        <v>4380</v>
      </c>
      <c r="LN154" s="2086">
        <f t="shared" si="223"/>
        <v>4380</v>
      </c>
      <c r="LO154" s="2086">
        <f t="shared" ref="LO154:NZ154" si="224">IF(LO152&gt;LO153,LO152,IF(LO153&gt;LO152,LO153))</f>
        <v>4380</v>
      </c>
      <c r="LP154" s="2086">
        <f t="shared" si="224"/>
        <v>4380</v>
      </c>
      <c r="LQ154" s="2086">
        <f t="shared" si="224"/>
        <v>4380</v>
      </c>
      <c r="LR154" s="2086">
        <f t="shared" si="224"/>
        <v>4380</v>
      </c>
      <c r="LS154" s="2086">
        <f t="shared" si="224"/>
        <v>4380</v>
      </c>
      <c r="LT154" s="2086">
        <f t="shared" si="224"/>
        <v>4380</v>
      </c>
      <c r="LU154" s="2086">
        <f t="shared" si="224"/>
        <v>4380</v>
      </c>
      <c r="LV154" s="2086">
        <f t="shared" si="224"/>
        <v>4380</v>
      </c>
      <c r="LW154" s="2086">
        <f t="shared" si="224"/>
        <v>4380</v>
      </c>
      <c r="LX154" s="2086">
        <f t="shared" si="224"/>
        <v>4380</v>
      </c>
      <c r="LY154" s="2086">
        <f t="shared" si="224"/>
        <v>4380</v>
      </c>
      <c r="LZ154" s="2086">
        <f t="shared" si="224"/>
        <v>4380</v>
      </c>
      <c r="MA154" s="2086">
        <f t="shared" si="224"/>
        <v>4380</v>
      </c>
      <c r="MB154" s="2086">
        <f t="shared" si="224"/>
        <v>4380</v>
      </c>
      <c r="MC154" s="2086">
        <f t="shared" si="224"/>
        <v>4380</v>
      </c>
      <c r="MD154" s="2086">
        <f t="shared" si="224"/>
        <v>4380</v>
      </c>
      <c r="ME154" s="2086">
        <f t="shared" si="224"/>
        <v>4380</v>
      </c>
      <c r="MF154" s="2086">
        <f t="shared" si="224"/>
        <v>4380</v>
      </c>
      <c r="MG154" s="2086">
        <f t="shared" si="224"/>
        <v>4380</v>
      </c>
      <c r="MH154" s="2086">
        <f t="shared" si="224"/>
        <v>4380</v>
      </c>
      <c r="MI154" s="2086">
        <f t="shared" si="224"/>
        <v>4380</v>
      </c>
      <c r="MJ154" s="2086">
        <f t="shared" si="224"/>
        <v>4380</v>
      </c>
      <c r="MK154" s="2086">
        <f t="shared" si="224"/>
        <v>4380</v>
      </c>
      <c r="ML154" s="2086">
        <f t="shared" si="224"/>
        <v>4380</v>
      </c>
      <c r="MM154" s="2086">
        <f t="shared" si="224"/>
        <v>4380</v>
      </c>
      <c r="MN154" s="2086">
        <f t="shared" si="224"/>
        <v>4380</v>
      </c>
      <c r="MO154" s="2086">
        <f t="shared" si="224"/>
        <v>4380</v>
      </c>
      <c r="MP154" s="2086">
        <f t="shared" si="224"/>
        <v>4380</v>
      </c>
      <c r="MQ154" s="2086">
        <f t="shared" si="224"/>
        <v>4380</v>
      </c>
      <c r="MR154" s="2086">
        <f t="shared" si="224"/>
        <v>4380</v>
      </c>
      <c r="MS154" s="2086">
        <f t="shared" si="224"/>
        <v>4380</v>
      </c>
      <c r="MT154" s="2086">
        <f t="shared" si="224"/>
        <v>4380</v>
      </c>
      <c r="MU154" s="2086">
        <f t="shared" si="224"/>
        <v>4380</v>
      </c>
      <c r="MV154" s="2086">
        <f t="shared" si="224"/>
        <v>4380</v>
      </c>
      <c r="MW154" s="2086">
        <f t="shared" si="224"/>
        <v>4380</v>
      </c>
      <c r="MX154" s="2086">
        <f t="shared" si="224"/>
        <v>4380</v>
      </c>
      <c r="MY154" s="2086" t="e">
        <f t="shared" si="224"/>
        <v>#DIV/0!</v>
      </c>
      <c r="MZ154" s="2086" t="e">
        <f t="shared" si="224"/>
        <v>#DIV/0!</v>
      </c>
      <c r="NA154" s="2086" t="e">
        <f t="shared" si="224"/>
        <v>#DIV/0!</v>
      </c>
      <c r="NB154" s="2086" t="e">
        <f t="shared" si="224"/>
        <v>#DIV/0!</v>
      </c>
      <c r="NC154" s="2086" t="e">
        <f t="shared" si="224"/>
        <v>#DIV/0!</v>
      </c>
      <c r="ND154" s="2086" t="e">
        <f t="shared" si="224"/>
        <v>#DIV/0!</v>
      </c>
      <c r="NE154" s="2086" t="e">
        <f t="shared" si="224"/>
        <v>#DIV/0!</v>
      </c>
      <c r="NF154" s="2086" t="e">
        <f t="shared" si="224"/>
        <v>#DIV/0!</v>
      </c>
      <c r="NG154" s="2086" t="e">
        <f t="shared" si="224"/>
        <v>#DIV/0!</v>
      </c>
      <c r="NH154" s="2086" t="e">
        <f t="shared" si="224"/>
        <v>#DIV/0!</v>
      </c>
      <c r="NI154" s="2086" t="e">
        <f t="shared" si="224"/>
        <v>#DIV/0!</v>
      </c>
      <c r="NJ154" s="2086" t="e">
        <f t="shared" si="224"/>
        <v>#DIV/0!</v>
      </c>
      <c r="NK154" s="2086" t="e">
        <f t="shared" si="224"/>
        <v>#DIV/0!</v>
      </c>
      <c r="NL154" s="2086" t="e">
        <f t="shared" si="224"/>
        <v>#DIV/0!</v>
      </c>
      <c r="NM154" s="2086" t="e">
        <f t="shared" si="224"/>
        <v>#DIV/0!</v>
      </c>
      <c r="NN154" s="2086" t="e">
        <f t="shared" si="224"/>
        <v>#DIV/0!</v>
      </c>
      <c r="NO154" s="2086" t="e">
        <f t="shared" si="224"/>
        <v>#DIV/0!</v>
      </c>
      <c r="NP154" s="2086">
        <f t="shared" si="224"/>
        <v>4380</v>
      </c>
      <c r="NQ154" s="2086">
        <f t="shared" si="224"/>
        <v>4380</v>
      </c>
      <c r="NR154" s="2086">
        <f t="shared" si="224"/>
        <v>4380</v>
      </c>
      <c r="NS154" s="2086">
        <f t="shared" si="224"/>
        <v>4380</v>
      </c>
      <c r="NT154" s="2086">
        <f t="shared" si="224"/>
        <v>4380</v>
      </c>
      <c r="NU154" s="2086">
        <f t="shared" si="224"/>
        <v>4380</v>
      </c>
      <c r="NV154" s="2086">
        <f t="shared" si="224"/>
        <v>4380</v>
      </c>
      <c r="NW154" s="2086">
        <f t="shared" si="224"/>
        <v>4380</v>
      </c>
      <c r="NX154" s="2086">
        <f t="shared" si="224"/>
        <v>4380</v>
      </c>
      <c r="NY154" s="2086">
        <f t="shared" si="224"/>
        <v>4380</v>
      </c>
      <c r="NZ154" s="2086">
        <f t="shared" si="224"/>
        <v>4380</v>
      </c>
      <c r="OA154" s="2086">
        <f t="shared" ref="OA154:QL154" si="225">IF(OA152&gt;OA153,OA152,IF(OA153&gt;OA152,OA153))</f>
        <v>4380</v>
      </c>
      <c r="OB154" s="2086">
        <f t="shared" si="225"/>
        <v>4380</v>
      </c>
      <c r="OC154" s="2086">
        <f t="shared" si="225"/>
        <v>4380</v>
      </c>
      <c r="OD154" s="2086">
        <f t="shared" si="225"/>
        <v>4380</v>
      </c>
      <c r="OE154" s="2086">
        <f t="shared" si="225"/>
        <v>4380</v>
      </c>
      <c r="OF154" s="2086">
        <f t="shared" si="225"/>
        <v>4380</v>
      </c>
      <c r="OG154" s="2086" t="e">
        <f t="shared" si="225"/>
        <v>#DIV/0!</v>
      </c>
      <c r="OH154" s="2086" t="e">
        <f t="shared" si="225"/>
        <v>#DIV/0!</v>
      </c>
      <c r="OI154" s="2086" t="e">
        <f t="shared" si="225"/>
        <v>#DIV/0!</v>
      </c>
      <c r="OJ154" s="2086" t="e">
        <f t="shared" si="225"/>
        <v>#DIV/0!</v>
      </c>
      <c r="OK154" s="2086" t="e">
        <f t="shared" si="225"/>
        <v>#DIV/0!</v>
      </c>
      <c r="OL154" s="2086" t="e">
        <f t="shared" si="225"/>
        <v>#DIV/0!</v>
      </c>
      <c r="OM154" s="2086" t="e">
        <f t="shared" si="225"/>
        <v>#DIV/0!</v>
      </c>
      <c r="ON154" s="2086" t="e">
        <f t="shared" si="225"/>
        <v>#DIV/0!</v>
      </c>
      <c r="OO154" s="2086" t="e">
        <f t="shared" si="225"/>
        <v>#DIV/0!</v>
      </c>
      <c r="OP154" s="2086" t="e">
        <f t="shared" si="225"/>
        <v>#DIV/0!</v>
      </c>
      <c r="OQ154" s="2086" t="e">
        <f t="shared" si="225"/>
        <v>#DIV/0!</v>
      </c>
      <c r="OR154" s="2086" t="e">
        <f t="shared" si="225"/>
        <v>#DIV/0!</v>
      </c>
      <c r="OS154" s="2086" t="e">
        <f t="shared" si="225"/>
        <v>#DIV/0!</v>
      </c>
      <c r="OT154" s="2086" t="e">
        <f t="shared" si="225"/>
        <v>#DIV/0!</v>
      </c>
      <c r="OU154" s="2086" t="e">
        <f t="shared" si="225"/>
        <v>#DIV/0!</v>
      </c>
      <c r="OV154" s="2086" t="e">
        <f t="shared" si="225"/>
        <v>#DIV/0!</v>
      </c>
      <c r="OW154" s="2086" t="e">
        <f t="shared" si="225"/>
        <v>#DIV/0!</v>
      </c>
      <c r="OX154" s="2086">
        <f t="shared" si="225"/>
        <v>4380</v>
      </c>
      <c r="OY154" s="2086">
        <f t="shared" si="225"/>
        <v>4380</v>
      </c>
      <c r="OZ154" s="2086">
        <f t="shared" si="225"/>
        <v>4380</v>
      </c>
      <c r="PA154" s="2086">
        <f t="shared" si="225"/>
        <v>4380</v>
      </c>
      <c r="PB154" s="2086">
        <f t="shared" si="225"/>
        <v>4380</v>
      </c>
      <c r="PC154" s="2086">
        <f t="shared" si="225"/>
        <v>4380</v>
      </c>
      <c r="PD154" s="2086">
        <f t="shared" si="225"/>
        <v>4380</v>
      </c>
      <c r="PE154" s="2086">
        <f t="shared" si="225"/>
        <v>4380</v>
      </c>
      <c r="PF154" s="2086">
        <f t="shared" si="225"/>
        <v>4380</v>
      </c>
      <c r="PG154" s="2086">
        <f t="shared" si="225"/>
        <v>4380</v>
      </c>
      <c r="PH154" s="2086">
        <f t="shared" si="225"/>
        <v>4380</v>
      </c>
      <c r="PI154" s="2086">
        <f t="shared" si="225"/>
        <v>4380</v>
      </c>
      <c r="PJ154" s="2086">
        <f t="shared" si="225"/>
        <v>4380</v>
      </c>
      <c r="PK154" s="2086">
        <f t="shared" si="225"/>
        <v>4380</v>
      </c>
      <c r="PL154" s="2086">
        <f t="shared" si="225"/>
        <v>4380</v>
      </c>
      <c r="PM154" s="2086">
        <f t="shared" si="225"/>
        <v>4380</v>
      </c>
      <c r="PN154" s="2086">
        <f t="shared" si="225"/>
        <v>4380</v>
      </c>
      <c r="PO154" s="2086">
        <f t="shared" si="225"/>
        <v>4380</v>
      </c>
      <c r="PP154" s="2086">
        <f t="shared" si="225"/>
        <v>4380</v>
      </c>
      <c r="PQ154" s="2086">
        <f t="shared" si="225"/>
        <v>4380</v>
      </c>
      <c r="PR154" s="2086">
        <f t="shared" si="225"/>
        <v>4380</v>
      </c>
      <c r="PS154" s="2086">
        <f t="shared" si="225"/>
        <v>4380</v>
      </c>
      <c r="PT154" s="2086">
        <f t="shared" si="225"/>
        <v>4380</v>
      </c>
      <c r="PU154" s="2086">
        <f t="shared" si="225"/>
        <v>4380</v>
      </c>
      <c r="PV154" s="2086">
        <f t="shared" si="225"/>
        <v>4380</v>
      </c>
      <c r="PW154" s="2086">
        <f t="shared" si="225"/>
        <v>4380</v>
      </c>
      <c r="PX154" s="2086">
        <f t="shared" si="225"/>
        <v>4380</v>
      </c>
      <c r="PY154" s="2086">
        <f t="shared" si="225"/>
        <v>4380</v>
      </c>
      <c r="PZ154" s="2086">
        <f t="shared" si="225"/>
        <v>4380</v>
      </c>
      <c r="QA154" s="2086">
        <f t="shared" si="225"/>
        <v>4380</v>
      </c>
      <c r="QB154" s="2086">
        <f t="shared" si="225"/>
        <v>4380</v>
      </c>
      <c r="QC154" s="2086">
        <f t="shared" si="225"/>
        <v>4380</v>
      </c>
      <c r="QD154" s="2086">
        <f t="shared" si="225"/>
        <v>4380</v>
      </c>
      <c r="QE154" s="2086">
        <f t="shared" si="225"/>
        <v>4380</v>
      </c>
      <c r="QF154" s="2086">
        <f t="shared" si="225"/>
        <v>4380</v>
      </c>
      <c r="QG154" s="2086">
        <f t="shared" si="225"/>
        <v>4380</v>
      </c>
      <c r="QH154" s="2086">
        <f t="shared" si="225"/>
        <v>4380</v>
      </c>
      <c r="QI154" s="2086">
        <f t="shared" si="225"/>
        <v>4380</v>
      </c>
      <c r="QJ154" s="2086">
        <f t="shared" si="225"/>
        <v>4380</v>
      </c>
      <c r="QK154" s="2086">
        <f t="shared" si="225"/>
        <v>4380</v>
      </c>
      <c r="QL154" s="2086">
        <f t="shared" si="225"/>
        <v>4380</v>
      </c>
      <c r="QM154" s="2086">
        <f t="shared" ref="QM154:SX154" si="226">IF(QM152&gt;QM153,QM152,IF(QM153&gt;QM152,QM153))</f>
        <v>4380</v>
      </c>
      <c r="QN154" s="2086">
        <f t="shared" si="226"/>
        <v>4380</v>
      </c>
      <c r="QO154" s="2086">
        <f t="shared" si="226"/>
        <v>4380</v>
      </c>
      <c r="QP154" s="2086">
        <f t="shared" si="226"/>
        <v>4380</v>
      </c>
      <c r="QQ154" s="2086">
        <f t="shared" si="226"/>
        <v>4380</v>
      </c>
      <c r="QR154" s="2086">
        <f t="shared" si="226"/>
        <v>4380</v>
      </c>
      <c r="QS154" s="2086">
        <f t="shared" si="226"/>
        <v>4380</v>
      </c>
      <c r="QT154" s="2086">
        <f t="shared" si="226"/>
        <v>4380</v>
      </c>
      <c r="QU154" s="2086">
        <f t="shared" si="226"/>
        <v>4380</v>
      </c>
      <c r="QV154" s="2086">
        <f t="shared" si="226"/>
        <v>4380</v>
      </c>
      <c r="QW154" s="2086">
        <f t="shared" si="226"/>
        <v>4380</v>
      </c>
      <c r="QX154" s="2086">
        <f t="shared" si="226"/>
        <v>4380</v>
      </c>
      <c r="QY154" s="2086">
        <f t="shared" si="226"/>
        <v>4380</v>
      </c>
      <c r="QZ154" s="2086">
        <f t="shared" si="226"/>
        <v>4380</v>
      </c>
      <c r="RA154" s="2086">
        <f t="shared" si="226"/>
        <v>4380</v>
      </c>
      <c r="RB154" s="2086">
        <f t="shared" si="226"/>
        <v>4380</v>
      </c>
      <c r="RC154" s="2086">
        <f t="shared" si="226"/>
        <v>4380</v>
      </c>
      <c r="RD154" s="2086">
        <f t="shared" si="226"/>
        <v>4380</v>
      </c>
      <c r="RE154" s="2086">
        <f t="shared" si="226"/>
        <v>4380</v>
      </c>
      <c r="RF154" s="2086">
        <f t="shared" si="226"/>
        <v>4380</v>
      </c>
      <c r="RG154" s="2086">
        <f t="shared" si="226"/>
        <v>4380</v>
      </c>
      <c r="RH154" s="2086">
        <f t="shared" si="226"/>
        <v>4380</v>
      </c>
      <c r="RI154" s="2086">
        <f t="shared" si="226"/>
        <v>4380</v>
      </c>
      <c r="RJ154" s="2086">
        <f t="shared" si="226"/>
        <v>4380</v>
      </c>
      <c r="RK154" s="2086">
        <f t="shared" si="226"/>
        <v>4380</v>
      </c>
      <c r="RL154" s="2086">
        <f t="shared" si="226"/>
        <v>4380</v>
      </c>
      <c r="RM154" s="2086">
        <f t="shared" si="226"/>
        <v>4380</v>
      </c>
      <c r="RN154" s="2086">
        <f t="shared" si="226"/>
        <v>4380</v>
      </c>
      <c r="RO154" s="2086">
        <f t="shared" si="226"/>
        <v>4380</v>
      </c>
      <c r="RP154" s="2086">
        <f t="shared" si="226"/>
        <v>4380</v>
      </c>
      <c r="RQ154" s="2086">
        <f t="shared" si="226"/>
        <v>4380</v>
      </c>
      <c r="RR154" s="2086">
        <f t="shared" si="226"/>
        <v>4380</v>
      </c>
      <c r="RS154" s="2086">
        <f t="shared" si="226"/>
        <v>4380</v>
      </c>
      <c r="RT154" s="2086">
        <f t="shared" si="226"/>
        <v>4380</v>
      </c>
      <c r="RU154" s="2086">
        <f t="shared" si="226"/>
        <v>4380</v>
      </c>
      <c r="RV154" s="2086">
        <f t="shared" si="226"/>
        <v>4380</v>
      </c>
      <c r="RW154" s="2086">
        <f t="shared" si="226"/>
        <v>4380</v>
      </c>
      <c r="RX154" s="2086">
        <f t="shared" si="226"/>
        <v>4380</v>
      </c>
      <c r="RY154" s="2086">
        <f t="shared" si="226"/>
        <v>4380</v>
      </c>
      <c r="RZ154" s="2086">
        <f t="shared" si="226"/>
        <v>4380</v>
      </c>
      <c r="SA154" s="2086">
        <f t="shared" si="226"/>
        <v>4380</v>
      </c>
      <c r="SB154" s="2086">
        <f t="shared" si="226"/>
        <v>4380</v>
      </c>
      <c r="SC154" s="2086">
        <f t="shared" si="226"/>
        <v>4380</v>
      </c>
      <c r="SD154" s="2086">
        <f t="shared" si="226"/>
        <v>4380</v>
      </c>
      <c r="SE154" s="2086">
        <f t="shared" si="226"/>
        <v>4380</v>
      </c>
      <c r="SF154" s="2086">
        <f t="shared" si="226"/>
        <v>4380</v>
      </c>
      <c r="SG154" s="2086">
        <f t="shared" si="226"/>
        <v>4380</v>
      </c>
      <c r="SH154" s="2086">
        <f t="shared" si="226"/>
        <v>4380</v>
      </c>
      <c r="SI154" s="2086">
        <f t="shared" si="226"/>
        <v>4380</v>
      </c>
      <c r="SJ154" s="2086">
        <f t="shared" si="226"/>
        <v>4380</v>
      </c>
      <c r="SK154" s="2086">
        <f t="shared" si="226"/>
        <v>4380</v>
      </c>
      <c r="SL154" s="2086">
        <f t="shared" si="226"/>
        <v>4380</v>
      </c>
      <c r="SM154" s="2086">
        <f t="shared" si="226"/>
        <v>4380</v>
      </c>
      <c r="SN154" s="2086">
        <f t="shared" si="226"/>
        <v>4380</v>
      </c>
      <c r="SO154" s="2086">
        <f t="shared" si="226"/>
        <v>4380</v>
      </c>
      <c r="SP154" s="2086">
        <f t="shared" si="226"/>
        <v>4380</v>
      </c>
      <c r="SQ154" s="2086">
        <f t="shared" si="226"/>
        <v>4380</v>
      </c>
      <c r="SR154" s="2086">
        <f t="shared" si="226"/>
        <v>4380</v>
      </c>
      <c r="SS154" s="2086">
        <f t="shared" si="226"/>
        <v>4380</v>
      </c>
      <c r="ST154" s="2086">
        <f t="shared" si="226"/>
        <v>4380</v>
      </c>
      <c r="SU154" s="2086">
        <f t="shared" si="226"/>
        <v>4380</v>
      </c>
      <c r="SV154" s="2086">
        <f t="shared" si="226"/>
        <v>4380</v>
      </c>
      <c r="SW154" s="2086">
        <f t="shared" si="226"/>
        <v>4380</v>
      </c>
      <c r="SX154" s="2086">
        <f t="shared" si="226"/>
        <v>4380</v>
      </c>
      <c r="SY154" s="2086">
        <f t="shared" ref="SY154:VJ154" si="227">IF(SY152&gt;SY153,SY152,IF(SY153&gt;SY152,SY153))</f>
        <v>4380</v>
      </c>
      <c r="SZ154" s="2086">
        <f t="shared" si="227"/>
        <v>4380</v>
      </c>
      <c r="TA154" s="2086">
        <f t="shared" si="227"/>
        <v>4380</v>
      </c>
      <c r="TB154" s="2086">
        <f t="shared" si="227"/>
        <v>4380</v>
      </c>
      <c r="TC154" s="2086">
        <f t="shared" si="227"/>
        <v>4380</v>
      </c>
      <c r="TD154" s="2086">
        <f t="shared" si="227"/>
        <v>4380</v>
      </c>
      <c r="TE154" s="2086">
        <f t="shared" si="227"/>
        <v>4380</v>
      </c>
      <c r="TF154" s="2086">
        <f t="shared" si="227"/>
        <v>4380</v>
      </c>
      <c r="TG154" s="2086">
        <f t="shared" si="227"/>
        <v>4380</v>
      </c>
      <c r="TH154" s="2086">
        <f t="shared" si="227"/>
        <v>4380</v>
      </c>
      <c r="TI154" s="2086">
        <f t="shared" si="227"/>
        <v>4380</v>
      </c>
      <c r="TJ154" s="2086">
        <f t="shared" si="227"/>
        <v>4380</v>
      </c>
      <c r="TK154" s="2086">
        <f t="shared" si="227"/>
        <v>4380</v>
      </c>
      <c r="TL154" s="2086">
        <f t="shared" si="227"/>
        <v>4380</v>
      </c>
      <c r="TM154" s="2086">
        <f t="shared" si="227"/>
        <v>4380</v>
      </c>
      <c r="TN154" s="2086">
        <f t="shared" si="227"/>
        <v>4380</v>
      </c>
      <c r="TO154" s="2086">
        <f t="shared" si="227"/>
        <v>4380</v>
      </c>
      <c r="TP154" s="2086">
        <f t="shared" si="227"/>
        <v>4380</v>
      </c>
      <c r="TQ154" s="2086">
        <f t="shared" si="227"/>
        <v>4380</v>
      </c>
      <c r="TR154" s="2086">
        <f t="shared" si="227"/>
        <v>4380</v>
      </c>
      <c r="TS154" s="2086">
        <f t="shared" si="227"/>
        <v>4380</v>
      </c>
      <c r="TT154" s="2086">
        <f t="shared" si="227"/>
        <v>4380</v>
      </c>
      <c r="TU154" s="2086">
        <f t="shared" si="227"/>
        <v>4380</v>
      </c>
      <c r="TV154" s="2086">
        <f t="shared" si="227"/>
        <v>4380</v>
      </c>
      <c r="TW154" s="2086">
        <f t="shared" si="227"/>
        <v>4380</v>
      </c>
      <c r="TX154" s="2086">
        <f t="shared" si="227"/>
        <v>4380</v>
      </c>
      <c r="TY154" s="2086">
        <f t="shared" si="227"/>
        <v>4380</v>
      </c>
      <c r="TZ154" s="2086">
        <f t="shared" si="227"/>
        <v>4380</v>
      </c>
      <c r="UA154" s="2086">
        <f t="shared" si="227"/>
        <v>4380</v>
      </c>
      <c r="UB154" s="2086">
        <f t="shared" si="227"/>
        <v>4380</v>
      </c>
      <c r="UC154" s="2086">
        <f t="shared" si="227"/>
        <v>4380</v>
      </c>
      <c r="UD154" s="2086">
        <f t="shared" si="227"/>
        <v>4380</v>
      </c>
      <c r="UE154" s="2086">
        <f t="shared" si="227"/>
        <v>4380</v>
      </c>
      <c r="UF154" s="2086">
        <f t="shared" si="227"/>
        <v>4380</v>
      </c>
      <c r="UG154" s="2086">
        <f t="shared" si="227"/>
        <v>4380</v>
      </c>
      <c r="UH154" s="2086">
        <f t="shared" si="227"/>
        <v>4380</v>
      </c>
      <c r="UI154" s="2086">
        <f t="shared" si="227"/>
        <v>4380</v>
      </c>
      <c r="UJ154" s="2086">
        <f t="shared" si="227"/>
        <v>4380</v>
      </c>
      <c r="UK154" s="2086">
        <f t="shared" si="227"/>
        <v>4380</v>
      </c>
      <c r="UL154" s="2086">
        <f t="shared" si="227"/>
        <v>4380</v>
      </c>
      <c r="UM154" s="2086">
        <f t="shared" si="227"/>
        <v>4380</v>
      </c>
      <c r="UN154" s="2086">
        <f t="shared" si="227"/>
        <v>4380</v>
      </c>
      <c r="UO154" s="2086">
        <f t="shared" si="227"/>
        <v>4380</v>
      </c>
      <c r="UP154" s="2086">
        <f t="shared" si="227"/>
        <v>4380</v>
      </c>
      <c r="UQ154" s="2086">
        <f t="shared" si="227"/>
        <v>4380</v>
      </c>
      <c r="UR154" s="2086">
        <f t="shared" si="227"/>
        <v>4380</v>
      </c>
      <c r="US154" s="2086">
        <f t="shared" si="227"/>
        <v>4380</v>
      </c>
      <c r="UT154" s="2086">
        <f t="shared" si="227"/>
        <v>4380</v>
      </c>
      <c r="UU154" s="2086" t="e">
        <f t="shared" si="227"/>
        <v>#DIV/0!</v>
      </c>
      <c r="UV154" s="2086" t="e">
        <f t="shared" si="227"/>
        <v>#DIV/0!</v>
      </c>
      <c r="UW154" s="2086" t="e">
        <f t="shared" si="227"/>
        <v>#DIV/0!</v>
      </c>
      <c r="UX154" s="2086" t="e">
        <f t="shared" si="227"/>
        <v>#DIV/0!</v>
      </c>
      <c r="UY154" s="2086" t="e">
        <f t="shared" si="227"/>
        <v>#DIV/0!</v>
      </c>
      <c r="UZ154" s="2086" t="e">
        <f t="shared" si="227"/>
        <v>#DIV/0!</v>
      </c>
      <c r="VA154" s="2086" t="e">
        <f t="shared" si="227"/>
        <v>#DIV/0!</v>
      </c>
      <c r="VB154" s="2086" t="e">
        <f t="shared" si="227"/>
        <v>#DIV/0!</v>
      </c>
      <c r="VC154" s="2086" t="e">
        <f t="shared" si="227"/>
        <v>#DIV/0!</v>
      </c>
      <c r="VD154" s="2086" t="e">
        <f t="shared" si="227"/>
        <v>#DIV/0!</v>
      </c>
      <c r="VE154" s="2086" t="e">
        <f t="shared" si="227"/>
        <v>#DIV/0!</v>
      </c>
      <c r="VF154" s="2086" t="e">
        <f t="shared" si="227"/>
        <v>#DIV/0!</v>
      </c>
      <c r="VG154" s="2086" t="e">
        <f t="shared" si="227"/>
        <v>#DIV/0!</v>
      </c>
      <c r="VH154" s="2086" t="e">
        <f t="shared" si="227"/>
        <v>#DIV/0!</v>
      </c>
      <c r="VI154" s="2086" t="e">
        <f t="shared" si="227"/>
        <v>#DIV/0!</v>
      </c>
      <c r="VJ154" s="2086" t="e">
        <f t="shared" si="227"/>
        <v>#DIV/0!</v>
      </c>
      <c r="VK154" s="2087" t="e">
        <f>IF(VK152&gt;VK153,VK152,IF(VK153&gt;VK152,VK153))</f>
        <v>#DIV/0!</v>
      </c>
    </row>
    <row r="155" spans="1:583" x14ac:dyDescent="0.25">
      <c r="B155" s="1610" t="s">
        <v>2853</v>
      </c>
      <c r="C155" s="1582" t="s">
        <v>2857</v>
      </c>
      <c r="D155" s="4710" t="s">
        <v>2858</v>
      </c>
      <c r="E155" s="4710">
        <v>0</v>
      </c>
      <c r="F155" s="1912"/>
      <c r="G155" s="1912"/>
      <c r="H155" s="1912"/>
      <c r="I155" s="1576"/>
      <c r="J155" s="1576"/>
      <c r="K155" s="1576"/>
      <c r="L155" s="1576"/>
      <c r="M155" s="1576"/>
      <c r="N155" s="1576"/>
      <c r="O155" s="1576"/>
      <c r="P155" s="1576"/>
      <c r="Q155" s="1576"/>
      <c r="R155" s="1576"/>
      <c r="S155" s="1576"/>
      <c r="T155" s="1576"/>
      <c r="U155" s="1576"/>
      <c r="V155" s="1576"/>
      <c r="W155" s="1576"/>
      <c r="X155" s="1576"/>
      <c r="Y155" s="1576"/>
      <c r="Z155" s="1576"/>
      <c r="AA155" s="1576"/>
      <c r="AB155" s="1576"/>
      <c r="AC155" s="1576"/>
      <c r="AD155" s="1576"/>
      <c r="AE155" s="1576"/>
      <c r="AF155" s="1576"/>
      <c r="AG155" s="1576"/>
      <c r="AH155" s="1576"/>
      <c r="AI155" s="1576"/>
      <c r="AJ155" s="1576"/>
      <c r="AK155" s="1576"/>
      <c r="AL155" s="1576"/>
      <c r="AM155" s="1576"/>
      <c r="AN155" s="1576"/>
      <c r="AO155" s="1576"/>
      <c r="AP155" s="1576"/>
      <c r="AQ155" s="1576"/>
      <c r="AR155" s="1576"/>
      <c r="AS155" s="1576"/>
      <c r="AT155" s="1576"/>
      <c r="AU155" s="1576"/>
      <c r="AV155" s="1576"/>
      <c r="AW155" s="1576"/>
      <c r="AX155" s="1576"/>
      <c r="AY155" s="1576"/>
      <c r="AZ155" s="1576"/>
      <c r="BA155" s="1576"/>
      <c r="BB155" s="1576"/>
      <c r="BC155" s="1576"/>
      <c r="BD155" s="1576"/>
      <c r="BE155" s="1576"/>
      <c r="BF155" s="1576"/>
      <c r="BG155" s="1576"/>
      <c r="BH155" s="1576"/>
      <c r="BI155" s="1576"/>
      <c r="BJ155" s="1576"/>
      <c r="BK155" s="1576"/>
      <c r="BL155" s="1576"/>
      <c r="BM155" s="1576"/>
      <c r="BN155" s="1576"/>
      <c r="BO155" s="1576"/>
      <c r="BP155" s="1576"/>
      <c r="BQ155" s="1576"/>
      <c r="BR155" s="1576"/>
      <c r="BS155" s="1576"/>
      <c r="BT155" s="1576"/>
      <c r="BU155" s="1576"/>
      <c r="BV155" s="1576"/>
      <c r="BW155" s="1576"/>
      <c r="BX155" s="1576"/>
      <c r="BY155" s="1576"/>
      <c r="BZ155" s="1576"/>
      <c r="CA155" s="1576"/>
      <c r="CB155" s="1576"/>
      <c r="CC155" s="1576"/>
      <c r="CD155" s="1576"/>
      <c r="CE155" s="1576"/>
      <c r="CF155" s="1576"/>
      <c r="CG155" s="1576"/>
      <c r="CH155" s="1576"/>
      <c r="CI155" s="1576"/>
      <c r="CJ155" s="1576"/>
      <c r="CK155" s="1576"/>
      <c r="CL155" s="1576"/>
      <c r="CM155" s="1576"/>
      <c r="CN155" s="1576"/>
      <c r="CO155" s="1576"/>
      <c r="CP155" s="1576"/>
      <c r="CQ155" s="1576"/>
      <c r="CR155" s="1576"/>
      <c r="CS155" s="1576"/>
      <c r="CT155" s="1576"/>
      <c r="CU155" s="1576"/>
      <c r="CV155" s="1576"/>
      <c r="CW155" s="1576"/>
      <c r="CX155" s="1576"/>
      <c r="CY155" s="1576"/>
      <c r="CZ155" s="1576"/>
      <c r="DA155" s="1576"/>
      <c r="DB155" s="1576"/>
      <c r="DC155" s="1576"/>
      <c r="DD155" s="1576"/>
      <c r="DE155" s="1576"/>
      <c r="DF155" s="1576"/>
      <c r="DG155" s="1576"/>
      <c r="DH155" s="1576"/>
      <c r="DI155" s="1576"/>
      <c r="DJ155" s="1576"/>
      <c r="DK155" s="1576"/>
      <c r="DL155" s="1576"/>
      <c r="DM155" s="1576"/>
      <c r="DN155" s="1576"/>
      <c r="DO155" s="1576"/>
      <c r="DP155" s="1576"/>
      <c r="DQ155" s="1576"/>
      <c r="DR155" s="1576"/>
      <c r="DS155" s="1576"/>
      <c r="DT155" s="1576"/>
      <c r="DU155" s="1576"/>
      <c r="DV155" s="1576"/>
      <c r="DW155" s="1576"/>
      <c r="DX155" s="1576"/>
      <c r="DY155" s="1576"/>
      <c r="DZ155" s="1576"/>
      <c r="EA155" s="1576"/>
      <c r="EB155" s="1576"/>
      <c r="EC155" s="1576"/>
      <c r="ED155" s="1576"/>
      <c r="EE155" s="1576"/>
      <c r="EF155" s="1576"/>
      <c r="EG155" s="1576"/>
      <c r="EH155" s="1576"/>
      <c r="EI155" s="1576"/>
      <c r="EJ155" s="1576"/>
      <c r="EK155" s="1576"/>
      <c r="EL155" s="1576"/>
      <c r="EM155" s="1576"/>
      <c r="EN155" s="1576"/>
      <c r="EO155" s="1576"/>
      <c r="EP155" s="1576"/>
      <c r="EQ155" s="1576"/>
      <c r="ER155" s="1576"/>
      <c r="ES155" s="1576"/>
      <c r="ET155" s="1576"/>
      <c r="EU155" s="1576"/>
      <c r="EV155" s="1576"/>
      <c r="EW155" s="1576"/>
      <c r="EX155" s="1576"/>
      <c r="EY155" s="1576"/>
      <c r="EZ155" s="1576"/>
      <c r="FA155" s="1576"/>
      <c r="FB155" s="1576"/>
      <c r="FC155" s="1576"/>
      <c r="FD155" s="1576"/>
      <c r="FE155" s="1576"/>
      <c r="FF155" s="1576"/>
      <c r="FG155" s="1576"/>
      <c r="FH155" s="1576"/>
      <c r="FI155" s="1576"/>
      <c r="FJ155" s="1576"/>
      <c r="FK155" s="1576"/>
      <c r="FL155" s="1576"/>
      <c r="FM155" s="1576"/>
      <c r="FN155" s="1576"/>
      <c r="FO155" s="1576"/>
      <c r="FP155" s="1576"/>
      <c r="FQ155" s="1576"/>
      <c r="FR155" s="1576"/>
      <c r="FS155" s="1576"/>
      <c r="FT155" s="1576"/>
      <c r="FU155" s="1576"/>
      <c r="FV155" s="1576"/>
      <c r="FW155" s="1576"/>
      <c r="FX155" s="1576"/>
      <c r="FY155" s="1576"/>
      <c r="FZ155" s="1576"/>
      <c r="GA155" s="1576"/>
      <c r="GB155" s="1576"/>
      <c r="GC155" s="1576"/>
      <c r="GD155" s="1576"/>
      <c r="GE155" s="1576"/>
      <c r="GF155" s="1576"/>
      <c r="GG155" s="1576"/>
      <c r="GH155" s="1576"/>
      <c r="GI155" s="1576"/>
      <c r="GJ155" s="1576"/>
      <c r="GK155" s="1576"/>
      <c r="GL155" s="1576"/>
      <c r="GM155" s="1576"/>
      <c r="GN155" s="1576"/>
      <c r="GO155" s="1576"/>
      <c r="GP155" s="1576"/>
      <c r="GQ155" s="1576"/>
      <c r="GR155" s="1576"/>
      <c r="GS155" s="1576"/>
      <c r="GT155" s="1576"/>
      <c r="GU155" s="1576"/>
      <c r="GV155" s="1576"/>
      <c r="GW155" s="1576"/>
      <c r="GX155" s="1576"/>
      <c r="GY155" s="1576"/>
      <c r="GZ155" s="1576"/>
      <c r="HA155" s="1576"/>
      <c r="HB155" s="1576"/>
      <c r="HC155" s="1576"/>
      <c r="HD155" s="1576"/>
      <c r="HE155" s="1576"/>
      <c r="HF155" s="1576"/>
      <c r="HG155" s="1576"/>
      <c r="HH155" s="1576"/>
      <c r="HI155" s="1576"/>
      <c r="HJ155" s="1576"/>
      <c r="HK155" s="1576"/>
      <c r="HL155" s="1576"/>
      <c r="HM155" s="1576"/>
      <c r="HN155" s="1576"/>
      <c r="HO155" s="1576"/>
      <c r="HP155" s="1576"/>
      <c r="HQ155" s="1576"/>
      <c r="HR155" s="1576"/>
      <c r="HS155" s="1576"/>
      <c r="HT155" s="1576"/>
      <c r="HU155" s="1576"/>
      <c r="HV155" s="1576"/>
      <c r="HW155" s="1576"/>
      <c r="HX155" s="1576"/>
      <c r="HY155" s="1576"/>
      <c r="HZ155" s="1576"/>
      <c r="IA155" s="1576"/>
      <c r="IB155" s="1576"/>
      <c r="IC155" s="1576"/>
      <c r="ID155" s="1576"/>
      <c r="IE155" s="1576"/>
      <c r="IF155" s="1576"/>
      <c r="IG155" s="1576"/>
      <c r="IH155" s="1576"/>
      <c r="II155" s="1576"/>
      <c r="IJ155" s="1576"/>
      <c r="IK155" s="1576"/>
      <c r="IL155" s="1576"/>
      <c r="IM155" s="1576"/>
      <c r="IN155" s="1576"/>
      <c r="IO155" s="1576"/>
      <c r="IP155" s="1576"/>
      <c r="IQ155" s="1576"/>
      <c r="IR155" s="1576"/>
      <c r="IS155" s="1576"/>
      <c r="IT155" s="1576"/>
      <c r="IU155" s="1576"/>
      <c r="IV155" s="1576"/>
      <c r="IW155" s="1576"/>
      <c r="IX155" s="1576"/>
      <c r="IY155" s="1576"/>
      <c r="IZ155" s="1576"/>
      <c r="JA155" s="2054"/>
      <c r="JB155" s="2054"/>
      <c r="JC155" s="2054"/>
      <c r="JD155" s="2054"/>
      <c r="JE155" s="2054"/>
      <c r="JF155" s="2054"/>
      <c r="JG155" s="2054"/>
      <c r="JH155" s="2054"/>
      <c r="JI155" s="2054"/>
      <c r="JJ155" s="2054"/>
      <c r="JK155" s="2054"/>
      <c r="JL155" s="2054"/>
      <c r="JM155" s="2054"/>
      <c r="JN155" s="2054"/>
      <c r="JO155" s="2054"/>
      <c r="JP155" s="2054"/>
      <c r="JQ155" s="2054"/>
      <c r="JR155" s="1576"/>
      <c r="JS155" s="1576"/>
      <c r="JT155" s="1576"/>
      <c r="JU155" s="1576"/>
      <c r="JV155" s="1576"/>
      <c r="JW155" s="1576"/>
      <c r="JX155" s="1576"/>
      <c r="JY155" s="1576"/>
      <c r="JZ155" s="1576"/>
      <c r="KA155" s="1576"/>
      <c r="KB155" s="1576"/>
      <c r="KC155" s="1576"/>
      <c r="KD155" s="1576"/>
      <c r="KE155" s="1576"/>
      <c r="KF155" s="1576"/>
      <c r="KG155" s="1576"/>
      <c r="KH155" s="1576"/>
      <c r="KI155" s="1576"/>
      <c r="KJ155" s="1576"/>
      <c r="KK155" s="1576"/>
      <c r="KL155" s="1576"/>
      <c r="KM155" s="1576"/>
      <c r="KN155" s="1576"/>
      <c r="KO155" s="1576"/>
      <c r="KP155" s="1576"/>
      <c r="KQ155" s="1576"/>
      <c r="KR155" s="1576"/>
      <c r="KS155" s="1576"/>
      <c r="KT155" s="1576"/>
      <c r="KU155" s="1576"/>
      <c r="KV155" s="1576"/>
      <c r="KW155" s="1576"/>
      <c r="KX155" s="1576"/>
      <c r="KY155" s="1576"/>
      <c r="KZ155" s="1576"/>
      <c r="LA155" s="1576"/>
      <c r="LB155" s="1576"/>
      <c r="LC155" s="1576"/>
      <c r="LD155" s="1576"/>
      <c r="LE155" s="1576"/>
      <c r="LF155" s="1576"/>
      <c r="LG155" s="1576"/>
      <c r="LH155" s="1576"/>
      <c r="LI155" s="1576"/>
      <c r="LJ155" s="1576"/>
      <c r="LK155" s="1576"/>
      <c r="LL155" s="1576"/>
      <c r="LM155" s="1576"/>
      <c r="LN155" s="1576"/>
      <c r="LO155" s="1576"/>
      <c r="LP155" s="1576"/>
      <c r="LQ155" s="1576"/>
      <c r="LR155" s="1576"/>
      <c r="LS155" s="1576"/>
      <c r="LT155" s="1576"/>
      <c r="LU155" s="1576"/>
      <c r="LV155" s="1576"/>
      <c r="LW155" s="1576"/>
      <c r="LX155" s="1576"/>
      <c r="LY155" s="1576"/>
      <c r="LZ155" s="1576"/>
      <c r="MA155" s="1576"/>
      <c r="MB155" s="1576"/>
      <c r="MC155" s="1576"/>
      <c r="MD155" s="1576"/>
      <c r="ME155" s="1576"/>
      <c r="MF155" s="1576"/>
      <c r="MG155" s="1576"/>
      <c r="MH155" s="1576"/>
      <c r="MI155" s="1576"/>
      <c r="MJ155" s="1576"/>
      <c r="MK155" s="1576"/>
      <c r="ML155" s="1576"/>
      <c r="MM155" s="1576"/>
      <c r="MN155" s="1576"/>
      <c r="MO155" s="1576"/>
      <c r="MP155" s="1576"/>
      <c r="MQ155" s="1576"/>
      <c r="MR155" s="1576"/>
      <c r="MS155" s="1576"/>
      <c r="MT155" s="1576"/>
      <c r="MU155" s="1576"/>
      <c r="MV155" s="1576"/>
      <c r="MW155" s="1576"/>
      <c r="MX155" s="1576"/>
      <c r="MY155" s="1576"/>
      <c r="MZ155" s="1576"/>
      <c r="NA155" s="1576"/>
      <c r="NB155" s="1576"/>
      <c r="NC155" s="1576"/>
      <c r="ND155" s="1576"/>
      <c r="NE155" s="1576"/>
      <c r="NF155" s="1576"/>
      <c r="NG155" s="1576"/>
      <c r="NH155" s="1576"/>
      <c r="NI155" s="1576"/>
      <c r="NJ155" s="1576"/>
      <c r="NK155" s="1576"/>
      <c r="NL155" s="1576"/>
      <c r="NM155" s="1576"/>
      <c r="NN155" s="1576"/>
      <c r="NO155" s="1576"/>
      <c r="NP155" s="1576"/>
      <c r="NQ155" s="1576"/>
      <c r="NR155" s="1576"/>
      <c r="NS155" s="1576"/>
      <c r="NT155" s="1576"/>
      <c r="NU155" s="1576"/>
      <c r="NV155" s="1576"/>
      <c r="NW155" s="1576"/>
      <c r="NX155" s="1576"/>
      <c r="NY155" s="1576"/>
      <c r="NZ155" s="1576"/>
      <c r="OA155" s="1576"/>
      <c r="OB155" s="1576"/>
      <c r="OC155" s="1576"/>
      <c r="OD155" s="1576"/>
      <c r="OE155" s="1576"/>
      <c r="OF155" s="1576"/>
      <c r="OG155" s="1576"/>
      <c r="OH155" s="1576"/>
      <c r="OI155" s="1576"/>
      <c r="OJ155" s="1576"/>
      <c r="OK155" s="1576"/>
      <c r="OL155" s="1576"/>
      <c r="OM155" s="1576"/>
      <c r="ON155" s="1576"/>
      <c r="OO155" s="1576"/>
      <c r="OP155" s="1576"/>
      <c r="OQ155" s="1576"/>
      <c r="OR155" s="1576"/>
      <c r="OS155" s="1576"/>
      <c r="OT155" s="1576"/>
      <c r="OU155" s="1576"/>
      <c r="OV155" s="1576"/>
      <c r="OW155" s="1576"/>
      <c r="OX155" s="1576"/>
      <c r="OY155" s="1576"/>
      <c r="OZ155" s="1576"/>
      <c r="PA155" s="1576"/>
      <c r="PB155" s="1576"/>
      <c r="PC155" s="1576"/>
      <c r="PD155" s="1576"/>
      <c r="PE155" s="1576"/>
      <c r="PF155" s="1576"/>
      <c r="PG155" s="1576"/>
      <c r="PH155" s="1576"/>
      <c r="PI155" s="1576"/>
      <c r="PJ155" s="1576"/>
      <c r="PK155" s="1576"/>
      <c r="PL155" s="1576"/>
      <c r="PM155" s="1576"/>
      <c r="PN155" s="1576"/>
      <c r="PO155" s="1576"/>
      <c r="PP155" s="1576"/>
      <c r="PQ155" s="1576"/>
      <c r="PR155" s="1576"/>
      <c r="PS155" s="1576"/>
      <c r="PT155" s="1576"/>
      <c r="PU155" s="1576"/>
      <c r="PV155" s="1576"/>
      <c r="PW155" s="1576"/>
      <c r="PX155" s="1576"/>
      <c r="PY155" s="1576"/>
      <c r="PZ155" s="1576"/>
      <c r="QA155" s="1576"/>
      <c r="QB155" s="1576"/>
      <c r="QC155" s="1576"/>
      <c r="QD155" s="1576"/>
      <c r="QE155" s="1576"/>
      <c r="QF155" s="1576"/>
      <c r="QG155" s="1576"/>
      <c r="QH155" s="1576"/>
      <c r="QI155" s="1576"/>
      <c r="QJ155" s="1576"/>
      <c r="QK155" s="1576"/>
      <c r="QL155" s="1576"/>
      <c r="QM155" s="1576"/>
      <c r="QN155" s="1576"/>
      <c r="QO155" s="1576"/>
      <c r="QP155" s="1576"/>
      <c r="QQ155" s="1576"/>
      <c r="QR155" s="1576"/>
      <c r="QS155" s="1576"/>
      <c r="QT155" s="1576"/>
      <c r="QU155" s="1576"/>
      <c r="QV155" s="1576"/>
      <c r="QW155" s="1576"/>
      <c r="QX155" s="1576"/>
      <c r="QY155" s="1576"/>
      <c r="QZ155" s="1576"/>
      <c r="RA155" s="1576"/>
      <c r="RB155" s="1576"/>
      <c r="RC155" s="1576"/>
      <c r="RD155" s="1576"/>
      <c r="RE155" s="1576"/>
      <c r="RF155" s="1576"/>
      <c r="RG155" s="1576"/>
      <c r="RH155" s="1576"/>
      <c r="RI155" s="1576"/>
      <c r="RJ155" s="1576"/>
      <c r="RK155" s="1576"/>
      <c r="RL155" s="1576"/>
      <c r="RM155" s="1576"/>
      <c r="RN155" s="1576"/>
      <c r="RO155" s="1576"/>
      <c r="RP155" s="1576"/>
      <c r="RQ155" s="1576"/>
      <c r="RR155" s="1576"/>
      <c r="RS155" s="1576"/>
      <c r="RT155" s="1576"/>
      <c r="RU155" s="1576"/>
      <c r="RV155" s="1576"/>
      <c r="RW155" s="1576"/>
      <c r="RX155" s="1576"/>
      <c r="RY155" s="1576"/>
      <c r="RZ155" s="1576"/>
      <c r="SA155" s="1576"/>
      <c r="SB155" s="1576"/>
      <c r="SC155" s="1576"/>
      <c r="SD155" s="1576"/>
      <c r="SE155" s="1576"/>
      <c r="SF155" s="1576"/>
      <c r="SG155" s="1576"/>
      <c r="SH155" s="1576"/>
      <c r="SI155" s="1576"/>
      <c r="SJ155" s="1576"/>
      <c r="SK155" s="1576"/>
      <c r="SL155" s="1576"/>
      <c r="SM155" s="1576"/>
      <c r="SN155" s="1576"/>
      <c r="SO155" s="1576"/>
      <c r="SP155" s="1576"/>
      <c r="SQ155" s="1576"/>
      <c r="SR155" s="1576"/>
      <c r="SS155" s="1576"/>
      <c r="ST155" s="1576"/>
      <c r="SU155" s="1576"/>
      <c r="SV155" s="1576"/>
      <c r="SW155" s="1576"/>
      <c r="SX155" s="1576"/>
      <c r="SY155" s="1576"/>
      <c r="SZ155" s="1576"/>
      <c r="TA155" s="1576"/>
      <c r="TB155" s="1576"/>
      <c r="TC155" s="1576"/>
      <c r="TD155" s="1576"/>
      <c r="TE155" s="1576"/>
      <c r="TF155" s="1576"/>
      <c r="TG155" s="1576"/>
      <c r="TH155" s="1576"/>
      <c r="TI155" s="1576"/>
      <c r="TJ155" s="1576"/>
      <c r="TK155" s="1576"/>
      <c r="TL155" s="1576"/>
      <c r="TM155" s="1576"/>
      <c r="TN155" s="1576"/>
      <c r="TO155" s="1576"/>
      <c r="TP155" s="1576"/>
      <c r="TQ155" s="1576"/>
      <c r="TR155" s="1576"/>
      <c r="TS155" s="1576"/>
      <c r="TT155" s="1576"/>
      <c r="TU155" s="1576"/>
      <c r="TV155" s="1576"/>
      <c r="TW155" s="1576"/>
      <c r="TX155" s="1576"/>
      <c r="TY155" s="1576"/>
      <c r="TZ155" s="1576"/>
      <c r="UA155" s="1576"/>
      <c r="UB155" s="1576"/>
      <c r="UC155" s="1576"/>
      <c r="UD155" s="1576"/>
      <c r="UE155" s="1576"/>
      <c r="UF155" s="1576"/>
      <c r="UG155" s="1576"/>
      <c r="UH155" s="1576"/>
      <c r="UI155" s="1576"/>
      <c r="UJ155" s="1576"/>
      <c r="UK155" s="1576"/>
      <c r="UL155" s="1576"/>
      <c r="UM155" s="1576"/>
      <c r="UN155" s="1576"/>
      <c r="UO155" s="1576"/>
      <c r="UP155" s="1576"/>
      <c r="UQ155" s="1576"/>
      <c r="UR155" s="1576"/>
      <c r="US155" s="1576"/>
      <c r="UT155" s="1576"/>
      <c r="UU155" s="1576"/>
      <c r="UV155" s="1576"/>
      <c r="UW155" s="1576"/>
      <c r="UX155" s="1576"/>
      <c r="UY155" s="1576"/>
      <c r="UZ155" s="1576"/>
      <c r="VA155" s="1576"/>
      <c r="VB155" s="1576"/>
      <c r="VC155" s="1576"/>
      <c r="VD155" s="1576"/>
      <c r="VE155" s="1576"/>
      <c r="VF155" s="1576"/>
      <c r="VG155" s="1576"/>
      <c r="VH155" s="1576"/>
      <c r="VI155" s="1576"/>
      <c r="VJ155" s="1576"/>
      <c r="VK155" s="1576"/>
    </row>
    <row r="156" spans="1:583" x14ac:dyDescent="0.25">
      <c r="B156" s="1610" t="s">
        <v>2853</v>
      </c>
      <c r="C156" s="1582" t="s">
        <v>2859</v>
      </c>
      <c r="D156" s="4710" t="s">
        <v>2860</v>
      </c>
      <c r="E156" s="4710">
        <v>0</v>
      </c>
      <c r="F156" s="1912" t="e">
        <f>'Paso 1.1'!E125*Tiempos!$H$116</f>
        <v>#DIV/0!</v>
      </c>
      <c r="G156" s="1912" t="e">
        <f>'Paso 1.1'!F125*Tiempos!$H$116</f>
        <v>#DIV/0!</v>
      </c>
      <c r="H156" s="1912" t="e">
        <f>'Paso 1.1'!G125*Tiempos!$H$116</f>
        <v>#DIV/0!</v>
      </c>
      <c r="I156" s="1912" t="e">
        <f>'Paso 1.1'!H125*Tiempos!$H$116</f>
        <v>#DIV/0!</v>
      </c>
      <c r="J156" s="1912" t="e">
        <f>'Paso 1.1'!I125*Tiempos!$H$116</f>
        <v>#DIV/0!</v>
      </c>
      <c r="K156" s="1912" t="e">
        <f>'Paso 1.1'!J125*Tiempos!$H$116</f>
        <v>#DIV/0!</v>
      </c>
      <c r="L156" s="1912" t="e">
        <f>'Paso 1.1'!K125*Tiempos!$H$116</f>
        <v>#DIV/0!</v>
      </c>
      <c r="M156" s="1912" t="e">
        <f>'Paso 1.1'!L125*Tiempos!$H$116</f>
        <v>#DIV/0!</v>
      </c>
      <c r="N156" s="1912" t="e">
        <f>'Paso 1.1'!M125*Tiempos!$H$116</f>
        <v>#DIV/0!</v>
      </c>
      <c r="O156" s="1912" t="e">
        <f>'Paso 1.1'!N125*Tiempos!$H$116</f>
        <v>#DIV/0!</v>
      </c>
      <c r="P156" s="1912" t="e">
        <f>'Paso 1.1'!O125*Tiempos!$H$116</f>
        <v>#DIV/0!</v>
      </c>
      <c r="Q156" s="1912" t="e">
        <f>'Paso 1.1'!P125*Tiempos!$H$116</f>
        <v>#DIV/0!</v>
      </c>
      <c r="R156" s="1912" t="e">
        <f>'Paso 1.1'!Q125*Tiempos!$H$116</f>
        <v>#DIV/0!</v>
      </c>
      <c r="S156" s="1912" t="e">
        <f>'Paso 1.1'!R125*Tiempos!$H$116</f>
        <v>#DIV/0!</v>
      </c>
      <c r="T156" s="1912" t="e">
        <f>'Paso 1.1'!S125*Tiempos!$H$116</f>
        <v>#DIV/0!</v>
      </c>
      <c r="U156" s="1912" t="e">
        <f>'Paso 1.1'!T125*Tiempos!$H$116</f>
        <v>#DIV/0!</v>
      </c>
      <c r="V156" s="1912" t="e">
        <f>'Paso 1.1'!U125*Tiempos!$H$116</f>
        <v>#DIV/0!</v>
      </c>
      <c r="W156" s="1576"/>
      <c r="X156" s="1576"/>
      <c r="Y156" s="1576"/>
      <c r="Z156" s="1576"/>
      <c r="AA156" s="1576"/>
      <c r="AB156" s="1576"/>
      <c r="AC156" s="1576"/>
      <c r="AD156" s="1576"/>
      <c r="AE156" s="1576"/>
      <c r="AF156" s="1576"/>
      <c r="AG156" s="1576"/>
      <c r="AH156" s="1576"/>
      <c r="AI156" s="1576"/>
      <c r="AJ156" s="1576"/>
      <c r="AK156" s="1576"/>
      <c r="AL156" s="1576"/>
      <c r="AM156" s="1576"/>
      <c r="AN156" s="1576"/>
      <c r="AO156" s="1576"/>
      <c r="AP156" s="1576"/>
      <c r="AQ156" s="1576"/>
      <c r="AR156" s="1576"/>
      <c r="AS156" s="1576"/>
      <c r="AT156" s="1576"/>
      <c r="AU156" s="1576"/>
      <c r="AV156" s="1576"/>
      <c r="AW156" s="1576"/>
      <c r="AX156" s="1576"/>
      <c r="AY156" s="1576"/>
      <c r="AZ156" s="1576"/>
      <c r="BA156" s="1576"/>
      <c r="BB156" s="1576"/>
      <c r="BC156" s="1576"/>
      <c r="BD156" s="1576"/>
      <c r="BE156" s="1576"/>
      <c r="BF156" s="1576"/>
      <c r="BG156" s="1576"/>
      <c r="BH156" s="1576"/>
      <c r="BI156" s="1576"/>
      <c r="BJ156" s="1576"/>
      <c r="BK156" s="1576"/>
      <c r="BL156" s="1576"/>
      <c r="BM156" s="1576"/>
      <c r="BN156" s="1576"/>
      <c r="BO156" s="1576"/>
      <c r="BP156" s="1576"/>
      <c r="BQ156" s="1576"/>
      <c r="BR156" s="1576"/>
      <c r="BS156" s="1576"/>
      <c r="BT156" s="1576"/>
      <c r="BU156" s="1576"/>
      <c r="BV156" s="1576"/>
      <c r="BW156" s="1576"/>
      <c r="BX156" s="1576"/>
      <c r="BY156" s="1576"/>
      <c r="BZ156" s="1576"/>
      <c r="CA156" s="1576"/>
      <c r="CB156" s="1576"/>
      <c r="CC156" s="1576"/>
      <c r="CD156" s="1576"/>
      <c r="CE156" s="1576"/>
      <c r="CF156" s="1576"/>
      <c r="CG156" s="1576"/>
      <c r="CH156" s="1576"/>
      <c r="CI156" s="1576"/>
      <c r="CJ156" s="1576"/>
      <c r="CK156" s="1576"/>
      <c r="CL156" s="1576"/>
      <c r="CM156" s="1576"/>
      <c r="CN156" s="1576"/>
      <c r="CO156" s="1576"/>
      <c r="CP156" s="1576"/>
      <c r="CQ156" s="1576"/>
      <c r="CR156" s="1576"/>
      <c r="CS156" s="1576"/>
      <c r="CT156" s="1576"/>
      <c r="CU156" s="1576"/>
      <c r="CV156" s="1576"/>
      <c r="CW156" s="1576"/>
      <c r="CX156" s="1576"/>
      <c r="CY156" s="1576"/>
      <c r="CZ156" s="1576"/>
      <c r="DA156" s="1576"/>
      <c r="DB156" s="1576"/>
      <c r="DC156" s="1576"/>
      <c r="DD156" s="1576"/>
      <c r="DE156" s="1576"/>
      <c r="DF156" s="1576"/>
      <c r="DG156" s="1576"/>
      <c r="DH156" s="1576"/>
      <c r="DI156" s="1576"/>
      <c r="DJ156" s="1576"/>
      <c r="DK156" s="1576"/>
      <c r="DL156" s="1576"/>
      <c r="DM156" s="1576"/>
      <c r="DN156" s="1576"/>
      <c r="DO156" s="1576"/>
      <c r="DP156" s="1576"/>
      <c r="DQ156" s="1576"/>
      <c r="DR156" s="1576"/>
      <c r="DS156" s="1576"/>
      <c r="DT156" s="1576"/>
      <c r="DU156" s="1576"/>
      <c r="DV156" s="1576"/>
      <c r="DW156" s="1576"/>
      <c r="DX156" s="1576"/>
      <c r="DY156" s="1576"/>
      <c r="DZ156" s="1576"/>
      <c r="EA156" s="1576"/>
      <c r="EB156" s="1576"/>
      <c r="EC156" s="1576"/>
      <c r="ED156" s="1576"/>
      <c r="EE156" s="1576"/>
      <c r="EF156" s="1576"/>
      <c r="EG156" s="1576"/>
      <c r="EH156" s="1576"/>
      <c r="EI156" s="1576"/>
      <c r="EJ156" s="1576"/>
      <c r="EK156" s="1576"/>
      <c r="EL156" s="1576"/>
      <c r="EM156" s="1576"/>
      <c r="EN156" s="1576"/>
      <c r="EO156" s="1576"/>
      <c r="EP156" s="1576"/>
      <c r="EQ156" s="1576"/>
      <c r="ER156" s="1576"/>
      <c r="ES156" s="1576"/>
      <c r="ET156" s="1576"/>
      <c r="EU156" s="1576"/>
      <c r="EV156" s="1576"/>
      <c r="EW156" s="1576"/>
      <c r="EX156" s="1576"/>
      <c r="EY156" s="1576"/>
      <c r="EZ156" s="1576"/>
      <c r="FA156" s="1576"/>
      <c r="FB156" s="1576"/>
      <c r="FC156" s="1576"/>
      <c r="FD156" s="1576"/>
      <c r="FE156" s="1576"/>
      <c r="FF156" s="1576"/>
      <c r="FG156" s="1576"/>
      <c r="FH156" s="1576"/>
      <c r="FI156" s="1576"/>
      <c r="FJ156" s="1576"/>
      <c r="FK156" s="1576"/>
      <c r="FL156" s="1576"/>
      <c r="FM156" s="1576"/>
      <c r="FN156" s="1576"/>
      <c r="FO156" s="1576"/>
      <c r="FP156" s="1576"/>
      <c r="FQ156" s="1576"/>
      <c r="FR156" s="1576"/>
      <c r="FS156" s="1576"/>
      <c r="FT156" s="1576"/>
      <c r="FU156" s="1576"/>
      <c r="FV156" s="1576"/>
      <c r="FW156" s="1576"/>
      <c r="FX156" s="1576"/>
      <c r="FY156" s="1576"/>
      <c r="FZ156" s="1576"/>
      <c r="GA156" s="1576"/>
      <c r="GB156" s="1576"/>
      <c r="GC156" s="1576"/>
      <c r="GD156" s="1576"/>
      <c r="GE156" s="1576"/>
      <c r="GF156" s="1576"/>
      <c r="GG156" s="1576"/>
      <c r="GH156" s="1576"/>
      <c r="GI156" s="1576"/>
      <c r="GJ156" s="1576"/>
      <c r="GK156" s="1576"/>
      <c r="GL156" s="1576"/>
      <c r="GM156" s="1576"/>
      <c r="GN156" s="1576"/>
      <c r="GO156" s="1576"/>
      <c r="GP156" s="1576"/>
      <c r="GQ156" s="1576"/>
      <c r="GR156" s="1576"/>
      <c r="GS156" s="1576"/>
      <c r="GT156" s="1576"/>
      <c r="GU156" s="1576"/>
      <c r="GV156" s="1576"/>
      <c r="GW156" s="1576"/>
      <c r="GX156" s="1576"/>
      <c r="GY156" s="1576"/>
      <c r="GZ156" s="1576"/>
      <c r="HA156" s="1576"/>
      <c r="HB156" s="1576"/>
      <c r="HC156" s="1576"/>
      <c r="HD156" s="1576"/>
      <c r="HE156" s="1576"/>
      <c r="HF156" s="1576"/>
      <c r="HG156" s="1576"/>
      <c r="HH156" s="1576"/>
      <c r="HI156" s="1576"/>
      <c r="HJ156" s="1576"/>
      <c r="HK156" s="1576"/>
      <c r="HL156" s="1576"/>
      <c r="HM156" s="1576"/>
      <c r="HN156" s="1576"/>
      <c r="HO156" s="1576"/>
      <c r="HP156" s="1576"/>
      <c r="HQ156" s="1576"/>
      <c r="HR156" s="1576"/>
      <c r="HS156" s="1576"/>
      <c r="HT156" s="1576"/>
      <c r="HU156" s="1576"/>
      <c r="HV156" s="1576"/>
      <c r="HW156" s="1576"/>
      <c r="HX156" s="1576"/>
      <c r="HY156" s="1576"/>
      <c r="HZ156" s="1576"/>
      <c r="IA156" s="1576"/>
      <c r="IB156" s="1576"/>
      <c r="IC156" s="1576"/>
      <c r="ID156" s="1576"/>
      <c r="IE156" s="1576"/>
      <c r="IF156" s="1576"/>
      <c r="IG156" s="1576"/>
      <c r="IH156" s="1576"/>
      <c r="II156" s="1576"/>
      <c r="IJ156" s="1576"/>
      <c r="IK156" s="1576"/>
      <c r="IL156" s="1576"/>
      <c r="IM156" s="1576"/>
      <c r="IN156" s="1576"/>
      <c r="IO156" s="1576"/>
      <c r="IP156" s="1576"/>
      <c r="IQ156" s="1576"/>
      <c r="IR156" s="1576"/>
      <c r="IS156" s="1576"/>
      <c r="IT156" s="1576"/>
      <c r="IU156" s="1576"/>
      <c r="IV156" s="1576"/>
      <c r="IW156" s="1576"/>
      <c r="IX156" s="1576"/>
      <c r="IY156" s="1576"/>
      <c r="IZ156" s="1576"/>
      <c r="JA156" s="2054"/>
      <c r="JB156" s="2054"/>
      <c r="JC156" s="2054"/>
      <c r="JD156" s="2054"/>
      <c r="JE156" s="2054"/>
      <c r="JF156" s="2054"/>
      <c r="JG156" s="2054"/>
      <c r="JH156" s="2054"/>
      <c r="JI156" s="2054"/>
      <c r="JJ156" s="2054"/>
      <c r="JK156" s="2054"/>
      <c r="JL156" s="2054"/>
      <c r="JM156" s="2054"/>
      <c r="JN156" s="2054"/>
      <c r="JO156" s="2054"/>
      <c r="JP156" s="2054"/>
      <c r="JQ156" s="2054"/>
      <c r="JR156" s="1576"/>
      <c r="JS156" s="1576"/>
      <c r="JT156" s="1576"/>
      <c r="JU156" s="1576"/>
      <c r="JV156" s="1576"/>
      <c r="JW156" s="1576"/>
      <c r="JX156" s="1576"/>
      <c r="JY156" s="1576"/>
      <c r="JZ156" s="1576"/>
      <c r="KA156" s="1576"/>
      <c r="KB156" s="1576"/>
      <c r="KC156" s="1576"/>
      <c r="KD156" s="1576"/>
      <c r="KE156" s="1576"/>
      <c r="KF156" s="1576"/>
      <c r="KG156" s="1576"/>
      <c r="KH156" s="1576"/>
      <c r="KI156" s="1576"/>
      <c r="KJ156" s="1576"/>
      <c r="KK156" s="1576"/>
      <c r="KL156" s="1576"/>
      <c r="KM156" s="1576"/>
      <c r="KN156" s="1576"/>
      <c r="KO156" s="1576"/>
      <c r="KP156" s="1576"/>
      <c r="KQ156" s="1576"/>
      <c r="KR156" s="1576"/>
      <c r="KS156" s="1576"/>
      <c r="KT156" s="1576"/>
      <c r="KU156" s="1576"/>
      <c r="KV156" s="1576"/>
      <c r="KW156" s="1576"/>
      <c r="KX156" s="1576"/>
      <c r="KY156" s="1576"/>
      <c r="KZ156" s="1576"/>
      <c r="LA156" s="1576"/>
      <c r="LB156" s="1576"/>
      <c r="LC156" s="1576"/>
      <c r="LD156" s="1576"/>
      <c r="LE156" s="1576"/>
      <c r="LF156" s="1576"/>
      <c r="LG156" s="1576"/>
      <c r="LH156" s="1576"/>
      <c r="LI156" s="1576"/>
      <c r="LJ156" s="1576"/>
      <c r="LK156" s="1576"/>
      <c r="LL156" s="1576"/>
      <c r="LM156" s="1576"/>
      <c r="LN156" s="1576"/>
      <c r="LO156" s="1576"/>
      <c r="LP156" s="1576"/>
      <c r="LQ156" s="1576"/>
      <c r="LR156" s="1576"/>
      <c r="LS156" s="1576"/>
      <c r="LT156" s="1576"/>
      <c r="LU156" s="1576"/>
      <c r="LV156" s="1576"/>
      <c r="LW156" s="1576"/>
      <c r="LX156" s="1576"/>
      <c r="LY156" s="1576"/>
      <c r="LZ156" s="1576"/>
      <c r="MA156" s="1576"/>
      <c r="MB156" s="1576"/>
      <c r="MC156" s="1576"/>
      <c r="MD156" s="1576"/>
      <c r="ME156" s="1576"/>
      <c r="MF156" s="1576"/>
      <c r="MG156" s="1576"/>
      <c r="MH156" s="1576"/>
      <c r="MI156" s="1576"/>
      <c r="MJ156" s="1576"/>
      <c r="MK156" s="1576"/>
      <c r="ML156" s="1576"/>
      <c r="MM156" s="1576"/>
      <c r="MN156" s="1576"/>
      <c r="MO156" s="1576"/>
      <c r="MP156" s="1576"/>
      <c r="MQ156" s="1576"/>
      <c r="MR156" s="1576"/>
      <c r="MS156" s="1576"/>
      <c r="MT156" s="1576"/>
      <c r="MU156" s="1576"/>
      <c r="MV156" s="1576"/>
      <c r="MW156" s="1576"/>
      <c r="MX156" s="1576"/>
      <c r="MY156" s="1576" t="e">
        <f>'Paso 1.1'!E125*Tiempos!$L$116</f>
        <v>#DIV/0!</v>
      </c>
      <c r="MZ156" s="1576" t="e">
        <f>'Paso 1.1'!F125*Tiempos!$L$116</f>
        <v>#DIV/0!</v>
      </c>
      <c r="NA156" s="1576" t="e">
        <f>'Paso 1.1'!G125*Tiempos!$L$116</f>
        <v>#DIV/0!</v>
      </c>
      <c r="NB156" s="1576" t="e">
        <f>'Paso 1.1'!H125*Tiempos!$L$116</f>
        <v>#DIV/0!</v>
      </c>
      <c r="NC156" s="1576" t="e">
        <f>'Paso 1.1'!I125*Tiempos!$L$116</f>
        <v>#DIV/0!</v>
      </c>
      <c r="ND156" s="1576" t="e">
        <f>'Paso 1.1'!J125*Tiempos!$L$116</f>
        <v>#DIV/0!</v>
      </c>
      <c r="NE156" s="1576" t="e">
        <f>'Paso 1.1'!K125*Tiempos!$L$116</f>
        <v>#DIV/0!</v>
      </c>
      <c r="NF156" s="1576" t="e">
        <f>'Paso 1.1'!L125*Tiempos!$L$116</f>
        <v>#DIV/0!</v>
      </c>
      <c r="NG156" s="1576" t="e">
        <f>'Paso 1.1'!M125*Tiempos!$L$116</f>
        <v>#DIV/0!</v>
      </c>
      <c r="NH156" s="1576" t="e">
        <f>'Paso 1.1'!N125*Tiempos!$L$116</f>
        <v>#DIV/0!</v>
      </c>
      <c r="NI156" s="1576" t="e">
        <f>'Paso 1.1'!O125*Tiempos!$L$116</f>
        <v>#DIV/0!</v>
      </c>
      <c r="NJ156" s="1576" t="e">
        <f>'Paso 1.1'!P125*Tiempos!$L$116</f>
        <v>#DIV/0!</v>
      </c>
      <c r="NK156" s="1576" t="e">
        <f>'Paso 1.1'!Q125*Tiempos!$L$116</f>
        <v>#DIV/0!</v>
      </c>
      <c r="NL156" s="1576" t="e">
        <f>'Paso 1.1'!R125*Tiempos!$L$116</f>
        <v>#DIV/0!</v>
      </c>
      <c r="NM156" s="1576" t="e">
        <f>'Paso 1.1'!S125*Tiempos!$L$116</f>
        <v>#DIV/0!</v>
      </c>
      <c r="NN156" s="1576" t="e">
        <f>'Paso 1.1'!T125*Tiempos!$L$116</f>
        <v>#DIV/0!</v>
      </c>
      <c r="NO156" s="1576" t="e">
        <f>'Paso 1.1'!U125*Tiempos!$L$116</f>
        <v>#DIV/0!</v>
      </c>
      <c r="NP156" s="1576"/>
      <c r="NQ156" s="1576"/>
      <c r="NR156" s="1576"/>
      <c r="NS156" s="1576"/>
      <c r="NT156" s="1576"/>
      <c r="NU156" s="1576"/>
      <c r="NV156" s="1576"/>
      <c r="NW156" s="1576"/>
      <c r="NX156" s="1576"/>
      <c r="NY156" s="1576"/>
      <c r="NZ156" s="1576"/>
      <c r="OA156" s="1576"/>
      <c r="OB156" s="1576"/>
      <c r="OC156" s="1576"/>
      <c r="OD156" s="1576"/>
      <c r="OE156" s="1576"/>
      <c r="OF156" s="1576"/>
      <c r="OG156" s="1576"/>
      <c r="OH156" s="1576"/>
      <c r="OI156" s="1576"/>
      <c r="OJ156" s="1576"/>
      <c r="OK156" s="1576"/>
      <c r="OL156" s="1576"/>
      <c r="OM156" s="1576"/>
      <c r="ON156" s="1576"/>
      <c r="OO156" s="1576"/>
      <c r="OP156" s="1576"/>
      <c r="OQ156" s="1576"/>
      <c r="OR156" s="1576"/>
      <c r="OS156" s="1576"/>
      <c r="OT156" s="1576"/>
      <c r="OU156" s="1576"/>
      <c r="OV156" s="1576"/>
      <c r="OW156" s="1576"/>
      <c r="OX156" s="1576"/>
      <c r="OY156" s="1576"/>
      <c r="OZ156" s="1576"/>
      <c r="PA156" s="1576"/>
      <c r="PB156" s="1576"/>
      <c r="PC156" s="1576"/>
      <c r="PD156" s="1576"/>
      <c r="PE156" s="1576"/>
      <c r="PF156" s="1576"/>
      <c r="PG156" s="1576"/>
      <c r="PH156" s="1576"/>
      <c r="PI156" s="1576"/>
      <c r="PJ156" s="1576"/>
      <c r="PK156" s="1576"/>
      <c r="PL156" s="1576"/>
      <c r="PM156" s="1576"/>
      <c r="PN156" s="1576"/>
      <c r="PO156" s="1576"/>
      <c r="PP156" s="1576"/>
      <c r="PQ156" s="1576"/>
      <c r="PR156" s="1576"/>
      <c r="PS156" s="1576"/>
      <c r="PT156" s="1576"/>
      <c r="PU156" s="1576"/>
      <c r="PV156" s="1576"/>
      <c r="PW156" s="1576"/>
      <c r="PX156" s="1576"/>
      <c r="PY156" s="1576"/>
      <c r="PZ156" s="1576"/>
      <c r="QA156" s="1576"/>
      <c r="QB156" s="1576"/>
      <c r="QC156" s="1576"/>
      <c r="QD156" s="1576"/>
      <c r="QE156" s="1576"/>
      <c r="QF156" s="1576"/>
      <c r="QG156" s="1576"/>
      <c r="QH156" s="1576"/>
      <c r="QI156" s="1576"/>
      <c r="QJ156" s="1576"/>
      <c r="QK156" s="1576"/>
      <c r="QL156" s="1576"/>
      <c r="QM156" s="1576"/>
      <c r="QN156" s="1576"/>
      <c r="QO156" s="1576"/>
      <c r="QP156" s="1576"/>
      <c r="QQ156" s="1576"/>
      <c r="QR156" s="1576"/>
      <c r="QS156" s="1576"/>
      <c r="QT156" s="1576"/>
      <c r="QU156" s="1576"/>
      <c r="QV156" s="1576"/>
      <c r="QW156" s="1576"/>
      <c r="QX156" s="1576"/>
      <c r="QY156" s="1576"/>
      <c r="QZ156" s="1576"/>
      <c r="RA156" s="1576"/>
      <c r="RB156" s="1576"/>
      <c r="RC156" s="1576"/>
      <c r="RD156" s="1576"/>
      <c r="RE156" s="1576"/>
      <c r="RF156" s="1576"/>
      <c r="RG156" s="1576"/>
      <c r="RH156" s="1576"/>
      <c r="RI156" s="1576"/>
      <c r="RJ156" s="1576"/>
      <c r="RK156" s="1576"/>
      <c r="RL156" s="1576"/>
      <c r="RM156" s="1576"/>
      <c r="RN156" s="1576"/>
      <c r="RO156" s="1576"/>
      <c r="RP156" s="1576"/>
      <c r="RQ156" s="1576"/>
      <c r="RR156" s="1576"/>
      <c r="RS156" s="1576"/>
      <c r="RT156" s="1576"/>
      <c r="RU156" s="1576"/>
      <c r="RV156" s="1576"/>
      <c r="RW156" s="1576"/>
      <c r="RX156" s="1576"/>
      <c r="RY156" s="1576"/>
      <c r="RZ156" s="1576"/>
      <c r="SA156" s="1576"/>
      <c r="SB156" s="1576"/>
      <c r="SC156" s="1576"/>
      <c r="SD156" s="1576"/>
      <c r="SE156" s="1576"/>
      <c r="SF156" s="1576"/>
      <c r="SG156" s="1576"/>
      <c r="SH156" s="1576"/>
      <c r="SI156" s="1576"/>
      <c r="SJ156" s="1576"/>
      <c r="SK156" s="1576"/>
      <c r="SL156" s="1576"/>
      <c r="SM156" s="1576"/>
      <c r="SN156" s="1576"/>
      <c r="SO156" s="1576"/>
      <c r="SP156" s="1576"/>
      <c r="SQ156" s="1576"/>
      <c r="SR156" s="1576"/>
      <c r="SS156" s="1576"/>
      <c r="ST156" s="1576"/>
      <c r="SU156" s="1576"/>
      <c r="SV156" s="1576"/>
      <c r="SW156" s="1576"/>
      <c r="SX156" s="1576"/>
      <c r="SY156" s="1576"/>
      <c r="SZ156" s="1576"/>
      <c r="TA156" s="1576"/>
      <c r="TB156" s="1576"/>
      <c r="TC156" s="1576"/>
      <c r="TD156" s="1576"/>
      <c r="TE156" s="1576"/>
      <c r="TF156" s="1576"/>
      <c r="TG156" s="1576"/>
      <c r="TH156" s="1576"/>
      <c r="TI156" s="1576"/>
      <c r="TJ156" s="1576"/>
      <c r="TK156" s="1576"/>
      <c r="TL156" s="1576"/>
      <c r="TM156" s="1576"/>
      <c r="TN156" s="1576"/>
      <c r="TO156" s="1576"/>
      <c r="TP156" s="1576"/>
      <c r="TQ156" s="1576"/>
      <c r="TR156" s="1576"/>
      <c r="TS156" s="1576"/>
      <c r="TT156" s="1576"/>
      <c r="TU156" s="1576"/>
      <c r="TV156" s="1576"/>
      <c r="TW156" s="1576"/>
      <c r="TX156" s="1576"/>
      <c r="TY156" s="1576"/>
      <c r="TZ156" s="1576"/>
      <c r="UA156" s="1576"/>
      <c r="UB156" s="1576"/>
      <c r="UC156" s="1576"/>
      <c r="UD156" s="1576"/>
      <c r="UE156" s="1576"/>
      <c r="UF156" s="1576"/>
      <c r="UG156" s="1576"/>
      <c r="UH156" s="1576"/>
      <c r="UI156" s="1576"/>
      <c r="UJ156" s="1576"/>
      <c r="UK156" s="1576"/>
      <c r="UL156" s="1576"/>
      <c r="UM156" s="1576"/>
      <c r="UN156" s="1576"/>
      <c r="UO156" s="1576"/>
      <c r="UP156" s="1576"/>
      <c r="UQ156" s="1576"/>
      <c r="UR156" s="1576"/>
      <c r="US156" s="1576"/>
      <c r="UT156" s="1576"/>
      <c r="UU156" s="1576"/>
      <c r="UV156" s="1576"/>
      <c r="UW156" s="1576"/>
      <c r="UX156" s="1576"/>
      <c r="UY156" s="1576"/>
      <c r="UZ156" s="1576"/>
      <c r="VA156" s="1576"/>
      <c r="VB156" s="1576"/>
      <c r="VC156" s="1576"/>
      <c r="VD156" s="1576"/>
      <c r="VE156" s="1576"/>
      <c r="VF156" s="1576"/>
      <c r="VG156" s="1576"/>
      <c r="VH156" s="1576"/>
      <c r="VI156" s="1576"/>
      <c r="VJ156" s="1576"/>
      <c r="VK156" s="1576"/>
    </row>
    <row r="157" spans="1:583" x14ac:dyDescent="0.25">
      <c r="B157" s="1610" t="s">
        <v>2853</v>
      </c>
      <c r="C157" s="1582" t="s">
        <v>2859</v>
      </c>
      <c r="D157" s="4710" t="s">
        <v>2861</v>
      </c>
      <c r="E157" s="4710">
        <v>0</v>
      </c>
      <c r="F157" s="1912"/>
      <c r="G157" s="1912"/>
      <c r="H157" s="1912"/>
      <c r="I157" s="1912"/>
      <c r="J157" s="1912"/>
      <c r="K157" s="1912"/>
      <c r="L157" s="1912"/>
      <c r="M157" s="1912"/>
      <c r="N157" s="1912"/>
      <c r="O157" s="1912"/>
      <c r="P157" s="1912"/>
      <c r="Q157" s="1912"/>
      <c r="R157" s="1912"/>
      <c r="S157" s="1912"/>
      <c r="T157" s="1912"/>
      <c r="U157" s="1912"/>
      <c r="V157" s="1912"/>
      <c r="W157" s="1576"/>
      <c r="X157" s="1576"/>
      <c r="Y157" s="1576"/>
      <c r="Z157" s="1576"/>
      <c r="AA157" s="1576"/>
      <c r="AB157" s="1576"/>
      <c r="AC157" s="1576"/>
      <c r="AD157" s="1576"/>
      <c r="AE157" s="1576"/>
      <c r="AF157" s="1576"/>
      <c r="AG157" s="1576"/>
      <c r="AH157" s="1576"/>
      <c r="AI157" s="1576"/>
      <c r="AJ157" s="1576"/>
      <c r="AK157" s="1576"/>
      <c r="AL157" s="1576"/>
      <c r="AM157" s="1576"/>
      <c r="AN157" s="1576"/>
      <c r="AO157" s="1576"/>
      <c r="AP157" s="1576"/>
      <c r="AQ157" s="1576"/>
      <c r="AR157" s="1576"/>
      <c r="AS157" s="1576"/>
      <c r="AT157" s="1576"/>
      <c r="AU157" s="1576"/>
      <c r="AV157" s="1576"/>
      <c r="AW157" s="1576"/>
      <c r="AX157" s="1576"/>
      <c r="AY157" s="1576"/>
      <c r="AZ157" s="1576"/>
      <c r="BA157" s="1576"/>
      <c r="BB157" s="1576"/>
      <c r="BC157" s="1576"/>
      <c r="BD157" s="1576"/>
      <c r="BE157" s="1576"/>
      <c r="BF157" s="1576"/>
      <c r="BG157" s="1576"/>
      <c r="BH157" s="1576"/>
      <c r="BI157" s="1576"/>
      <c r="BJ157" s="1576"/>
      <c r="BK157" s="1576"/>
      <c r="BL157" s="1576"/>
      <c r="BM157" s="1576"/>
      <c r="BN157" s="1576"/>
      <c r="BO157" s="1576"/>
      <c r="BP157" s="1576"/>
      <c r="BQ157" s="1576"/>
      <c r="BR157" s="1576"/>
      <c r="BS157" s="1576"/>
      <c r="BT157" s="1576"/>
      <c r="BU157" s="1576"/>
      <c r="BV157" s="1576">
        <f>'Paso 1.1'!E126*Tiempos!$H$117</f>
        <v>95</v>
      </c>
      <c r="BW157" s="1576">
        <f>'Paso 1.1'!F126*Tiempos!$H$117</f>
        <v>95.03681319800944</v>
      </c>
      <c r="BX157" s="1576">
        <f>'Paso 1.1'!G126*Tiempos!$H$117</f>
        <v>95.073640661403587</v>
      </c>
      <c r="BY157" s="1576">
        <f>'Paso 1.1'!H126*Tiempos!$H$117</f>
        <v>95.110482395710378</v>
      </c>
      <c r="BZ157" s="1576">
        <f>'Paso 1.1'!I126*Tiempos!$H$117</f>
        <v>95.147338406459923</v>
      </c>
      <c r="CA157" s="1576">
        <f>'Paso 1.1'!J126*Tiempos!$H$117</f>
        <v>95.184208699184424</v>
      </c>
      <c r="CB157" s="1576">
        <f>'Paso 1.1'!K126*Tiempos!$H$117</f>
        <v>95.221093279418255</v>
      </c>
      <c r="CC157" s="1576">
        <f>'Paso 1.1'!L126*Tiempos!$H$117</f>
        <v>95.257992152697952</v>
      </c>
      <c r="CD157" s="1576">
        <f>'Paso 1.1'!M126*Tiempos!$H$117</f>
        <v>95.294905324562137</v>
      </c>
      <c r="CE157" s="1576">
        <f>'Paso 1.1'!N126*Tiempos!$H$117</f>
        <v>95.331832800551652</v>
      </c>
      <c r="CF157" s="1576">
        <f>'Paso 1.1'!O126*Tiempos!$H$117</f>
        <v>95.368774586209426</v>
      </c>
      <c r="CG157" s="1576">
        <f>'Paso 1.1'!P126*Tiempos!$H$117</f>
        <v>95.405730687080592</v>
      </c>
      <c r="CH157" s="1576">
        <f>'Paso 1.1'!Q126*Tiempos!$H$117</f>
        <v>95.442701108712356</v>
      </c>
      <c r="CI157" s="1576">
        <f>'Paso 1.1'!R126*Tiempos!$H$117</f>
        <v>95.479685856654143</v>
      </c>
      <c r="CJ157" s="1576">
        <f>'Paso 1.1'!S126*Tiempos!$H$117</f>
        <v>95.516684936457523</v>
      </c>
      <c r="CK157" s="1576">
        <f>'Paso 1.1'!T126*Tiempos!$H$117</f>
        <v>95.553698353676168</v>
      </c>
      <c r="CL157" s="1576">
        <f>'Paso 1.1'!U126*Tiempos!$H$117</f>
        <v>95.590726113865927</v>
      </c>
      <c r="CM157" s="1576"/>
      <c r="CN157" s="1576"/>
      <c r="CO157" s="1576"/>
      <c r="CP157" s="1576"/>
      <c r="CQ157" s="1576"/>
      <c r="CR157" s="1576"/>
      <c r="CS157" s="1576"/>
      <c r="CT157" s="1576"/>
      <c r="CU157" s="1576"/>
      <c r="CV157" s="1576"/>
      <c r="CW157" s="1576"/>
      <c r="CX157" s="1576"/>
      <c r="CY157" s="1576"/>
      <c r="CZ157" s="1576"/>
      <c r="DA157" s="1576"/>
      <c r="DB157" s="1576"/>
      <c r="DC157" s="1576"/>
      <c r="DD157" s="1576"/>
      <c r="DE157" s="1576"/>
      <c r="DF157" s="1576"/>
      <c r="DG157" s="1576"/>
      <c r="DH157" s="1576"/>
      <c r="DI157" s="1576"/>
      <c r="DJ157" s="1576"/>
      <c r="DK157" s="1576"/>
      <c r="DL157" s="1576"/>
      <c r="DM157" s="1576"/>
      <c r="DN157" s="1576"/>
      <c r="DO157" s="1576"/>
      <c r="DP157" s="1576"/>
      <c r="DQ157" s="1576"/>
      <c r="DR157" s="1576"/>
      <c r="DS157" s="1576"/>
      <c r="DT157" s="1576"/>
      <c r="DU157" s="1576"/>
      <c r="DV157" s="1576"/>
      <c r="DW157" s="1576"/>
      <c r="DX157" s="1576"/>
      <c r="DY157" s="1576"/>
      <c r="DZ157" s="1576"/>
      <c r="EA157" s="1576"/>
      <c r="EB157" s="1576"/>
      <c r="EC157" s="1576"/>
      <c r="ED157" s="1576"/>
      <c r="EE157" s="1576"/>
      <c r="EF157" s="1576"/>
      <c r="EG157" s="1576"/>
      <c r="EH157" s="1576"/>
      <c r="EI157" s="1576"/>
      <c r="EJ157" s="1576"/>
      <c r="EK157" s="1576"/>
      <c r="EL157" s="1576"/>
      <c r="EM157" s="1576"/>
      <c r="EN157" s="1576"/>
      <c r="EO157" s="1576"/>
      <c r="EP157" s="1576"/>
      <c r="EQ157" s="1576"/>
      <c r="ER157" s="1576"/>
      <c r="ES157" s="1576"/>
      <c r="ET157" s="1576"/>
      <c r="EU157" s="1576"/>
      <c r="EV157" s="1576"/>
      <c r="EW157" s="1576"/>
      <c r="EX157" s="1576"/>
      <c r="EY157" s="1576"/>
      <c r="EZ157" s="1576"/>
      <c r="FA157" s="1576"/>
      <c r="FB157" s="1576"/>
      <c r="FC157" s="1576"/>
      <c r="FD157" s="1576"/>
      <c r="FE157" s="1576"/>
      <c r="FF157" s="1576"/>
      <c r="FG157" s="1576"/>
      <c r="FH157" s="1576"/>
      <c r="FI157" s="1576"/>
      <c r="FJ157" s="1576"/>
      <c r="FK157" s="1576"/>
      <c r="FL157" s="1576"/>
      <c r="FM157" s="1576"/>
      <c r="FN157" s="1576"/>
      <c r="FO157" s="1576"/>
      <c r="FP157" s="1576"/>
      <c r="FQ157" s="1576"/>
      <c r="FR157" s="1576"/>
      <c r="FS157" s="1576"/>
      <c r="FT157" s="1576"/>
      <c r="FU157" s="1576"/>
      <c r="FV157" s="1576"/>
      <c r="FW157" s="1576"/>
      <c r="FX157" s="1576"/>
      <c r="FY157" s="1576"/>
      <c r="FZ157" s="1576"/>
      <c r="GA157" s="1576"/>
      <c r="GB157" s="1576"/>
      <c r="GC157" s="1576"/>
      <c r="GD157" s="1576"/>
      <c r="GE157" s="1576"/>
      <c r="GF157" s="1576"/>
      <c r="GG157" s="1576"/>
      <c r="GH157" s="1576"/>
      <c r="GI157" s="1576"/>
      <c r="GJ157" s="1576"/>
      <c r="GK157" s="1576"/>
      <c r="GL157" s="1576"/>
      <c r="GM157" s="1576"/>
      <c r="GN157" s="1576"/>
      <c r="GO157" s="1576"/>
      <c r="GP157" s="1576"/>
      <c r="GQ157" s="1576"/>
      <c r="GR157" s="1576"/>
      <c r="GS157" s="1576"/>
      <c r="GT157" s="1576"/>
      <c r="GU157" s="1576"/>
      <c r="GV157" s="1576"/>
      <c r="GW157" s="1576"/>
      <c r="GX157" s="1576"/>
      <c r="GY157" s="1576"/>
      <c r="GZ157" s="1576"/>
      <c r="HA157" s="1576"/>
      <c r="HB157" s="1576"/>
      <c r="HC157" s="1576"/>
      <c r="HD157" s="1576"/>
      <c r="HE157" s="1576"/>
      <c r="HF157" s="1576"/>
      <c r="HG157" s="1576"/>
      <c r="HH157" s="1576"/>
      <c r="HI157" s="1576"/>
      <c r="HJ157" s="1576"/>
      <c r="HK157" s="1576"/>
      <c r="HL157" s="1576"/>
      <c r="HM157" s="1576"/>
      <c r="HN157" s="1576"/>
      <c r="HO157" s="1576"/>
      <c r="HP157" s="1576"/>
      <c r="HQ157" s="1576"/>
      <c r="HR157" s="1576"/>
      <c r="HS157" s="1576"/>
      <c r="HT157" s="1576"/>
      <c r="HU157" s="1576"/>
      <c r="HV157" s="1576"/>
      <c r="HW157" s="1576"/>
      <c r="HX157" s="1576"/>
      <c r="HY157" s="1576"/>
      <c r="HZ157" s="1576"/>
      <c r="IA157" s="1576"/>
      <c r="IB157" s="1576"/>
      <c r="IC157" s="1576"/>
      <c r="ID157" s="1576"/>
      <c r="IE157" s="1576"/>
      <c r="IF157" s="1576"/>
      <c r="IG157" s="1576"/>
      <c r="IH157" s="1576"/>
      <c r="II157" s="1576"/>
      <c r="IJ157" s="1576"/>
      <c r="IK157" s="1576"/>
      <c r="IL157" s="1576"/>
      <c r="IM157" s="1576"/>
      <c r="IN157" s="1576"/>
      <c r="IO157" s="1576"/>
      <c r="IP157" s="1576"/>
      <c r="IQ157" s="1576"/>
      <c r="IR157" s="1576"/>
      <c r="IS157" s="1576"/>
      <c r="IT157" s="1576"/>
      <c r="IU157" s="1576"/>
      <c r="IV157" s="1576"/>
      <c r="IW157" s="1576"/>
      <c r="IX157" s="1576"/>
      <c r="IY157" s="1576"/>
      <c r="IZ157" s="1576"/>
      <c r="JA157" s="2054"/>
      <c r="JB157" s="2054"/>
      <c r="JC157" s="2054"/>
      <c r="JD157" s="2054"/>
      <c r="JE157" s="2054"/>
      <c r="JF157" s="2054"/>
      <c r="JG157" s="2054"/>
      <c r="JH157" s="2054"/>
      <c r="JI157" s="2054"/>
      <c r="JJ157" s="2054"/>
      <c r="JK157" s="2054"/>
      <c r="JL157" s="2054"/>
      <c r="JM157" s="2054"/>
      <c r="JN157" s="2054"/>
      <c r="JO157" s="2054"/>
      <c r="JP157" s="2054"/>
      <c r="JQ157" s="2054"/>
      <c r="JR157" s="1576"/>
      <c r="JS157" s="1576"/>
      <c r="JT157" s="1576"/>
      <c r="JU157" s="1576"/>
      <c r="JV157" s="1576"/>
      <c r="JW157" s="1576"/>
      <c r="JX157" s="1576"/>
      <c r="JY157" s="1576"/>
      <c r="JZ157" s="1576"/>
      <c r="KA157" s="1576"/>
      <c r="KB157" s="1576"/>
      <c r="KC157" s="1576"/>
      <c r="KD157" s="1576"/>
      <c r="KE157" s="1576"/>
      <c r="KF157" s="1576"/>
      <c r="KG157" s="1576"/>
      <c r="KH157" s="1576"/>
      <c r="KI157" s="1576"/>
      <c r="KJ157" s="1576"/>
      <c r="KK157" s="1576"/>
      <c r="KL157" s="1576"/>
      <c r="KM157" s="1576"/>
      <c r="KN157" s="1576"/>
      <c r="KO157" s="1576"/>
      <c r="KP157" s="1576"/>
      <c r="KQ157" s="1576"/>
      <c r="KR157" s="1576"/>
      <c r="KS157" s="1576"/>
      <c r="KT157" s="1576"/>
      <c r="KU157" s="1576"/>
      <c r="KV157" s="1576"/>
      <c r="KW157" s="1576"/>
      <c r="KX157" s="1576"/>
      <c r="KY157" s="1576"/>
      <c r="KZ157" s="1576"/>
      <c r="LA157" s="1576"/>
      <c r="LB157" s="1576"/>
      <c r="LC157" s="1576"/>
      <c r="LD157" s="1576"/>
      <c r="LE157" s="1576"/>
      <c r="LF157" s="1576"/>
      <c r="LG157" s="1576"/>
      <c r="LH157" s="1576"/>
      <c r="LI157" s="1576"/>
      <c r="LJ157" s="1576"/>
      <c r="LK157" s="1576"/>
      <c r="LL157" s="1576"/>
      <c r="LM157" s="1576"/>
      <c r="LN157" s="1576"/>
      <c r="LO157" s="1576"/>
      <c r="LP157" s="1576"/>
      <c r="LQ157" s="1576"/>
      <c r="LR157" s="1576"/>
      <c r="LS157" s="1576"/>
      <c r="LT157" s="1576"/>
      <c r="LU157" s="1576"/>
      <c r="LV157" s="1576"/>
      <c r="LW157" s="1576"/>
      <c r="LX157" s="1576"/>
      <c r="LY157" s="1576"/>
      <c r="LZ157" s="1576"/>
      <c r="MA157" s="1576"/>
      <c r="MB157" s="1576"/>
      <c r="MC157" s="1576"/>
      <c r="MD157" s="1576"/>
      <c r="ME157" s="1576"/>
      <c r="MF157" s="1576"/>
      <c r="MG157" s="1576"/>
      <c r="MH157" s="1576"/>
      <c r="MI157" s="1576"/>
      <c r="MJ157" s="1576"/>
      <c r="MK157" s="1576"/>
      <c r="ML157" s="1576"/>
      <c r="MM157" s="1576"/>
      <c r="MN157" s="1576"/>
      <c r="MO157" s="1576"/>
      <c r="MP157" s="1576"/>
      <c r="MQ157" s="1576"/>
      <c r="MR157" s="1576"/>
      <c r="MS157" s="1576"/>
      <c r="MT157" s="1576"/>
      <c r="MU157" s="1576"/>
      <c r="MV157" s="1576"/>
      <c r="MW157" s="1576"/>
      <c r="MX157" s="1576"/>
      <c r="MY157" s="1576"/>
      <c r="MZ157" s="1576"/>
      <c r="NA157" s="1576"/>
      <c r="NB157" s="1576"/>
      <c r="NC157" s="1576"/>
      <c r="ND157" s="1576"/>
      <c r="NE157" s="1576"/>
      <c r="NF157" s="1576"/>
      <c r="NG157" s="1576"/>
      <c r="NH157" s="1576"/>
      <c r="NI157" s="1576"/>
      <c r="NJ157" s="1576"/>
      <c r="NK157" s="1576"/>
      <c r="NL157" s="1576"/>
      <c r="NM157" s="1576"/>
      <c r="NN157" s="1576"/>
      <c r="NO157" s="1576"/>
      <c r="NP157" s="1576"/>
      <c r="NQ157" s="1576"/>
      <c r="NR157" s="1576"/>
      <c r="NS157" s="1576"/>
      <c r="NT157" s="1576"/>
      <c r="NU157" s="1576"/>
      <c r="NV157" s="1576"/>
      <c r="NW157" s="1576"/>
      <c r="NX157" s="1576"/>
      <c r="NY157" s="1576"/>
      <c r="NZ157" s="1576"/>
      <c r="OA157" s="1576"/>
      <c r="OB157" s="1576"/>
      <c r="OC157" s="1576"/>
      <c r="OD157" s="1576"/>
      <c r="OE157" s="1576"/>
      <c r="OF157" s="1576"/>
      <c r="OG157" s="1576"/>
      <c r="OH157" s="1576"/>
      <c r="OI157" s="1576"/>
      <c r="OJ157" s="1576"/>
      <c r="OK157" s="1576"/>
      <c r="OL157" s="1576"/>
      <c r="OM157" s="1576"/>
      <c r="ON157" s="1576"/>
      <c r="OO157" s="1576"/>
      <c r="OP157" s="1576"/>
      <c r="OQ157" s="1576"/>
      <c r="OR157" s="1576"/>
      <c r="OS157" s="1576"/>
      <c r="OT157" s="1576"/>
      <c r="OU157" s="1576"/>
      <c r="OV157" s="1576"/>
      <c r="OW157" s="1576"/>
      <c r="OX157" s="1576"/>
      <c r="OY157" s="1576"/>
      <c r="OZ157" s="1576"/>
      <c r="PA157" s="1576"/>
      <c r="PB157" s="1576"/>
      <c r="PC157" s="1576"/>
      <c r="PD157" s="1576"/>
      <c r="PE157" s="1576"/>
      <c r="PF157" s="1576"/>
      <c r="PG157" s="1576"/>
      <c r="PH157" s="1576"/>
      <c r="PI157" s="1576"/>
      <c r="PJ157" s="1576"/>
      <c r="PK157" s="1576"/>
      <c r="PL157" s="1576"/>
      <c r="PM157" s="1576"/>
      <c r="PN157" s="1576"/>
      <c r="PO157" s="1576"/>
      <c r="PP157" s="1576"/>
      <c r="PQ157" s="1576"/>
      <c r="PR157" s="1576"/>
      <c r="PS157" s="1576"/>
      <c r="PT157" s="1576"/>
      <c r="PU157" s="1576"/>
      <c r="PV157" s="1576"/>
      <c r="PW157" s="1576"/>
      <c r="PX157" s="1576"/>
      <c r="PY157" s="1576"/>
      <c r="PZ157" s="1576"/>
      <c r="QA157" s="1576"/>
      <c r="QB157" s="1576"/>
      <c r="QC157" s="1576"/>
      <c r="QD157" s="1576"/>
      <c r="QE157" s="1576"/>
      <c r="QF157" s="1576"/>
      <c r="QG157" s="1576"/>
      <c r="QH157" s="1576"/>
      <c r="QI157" s="1576"/>
      <c r="QJ157" s="1576"/>
      <c r="QK157" s="1576"/>
      <c r="QL157" s="1576"/>
      <c r="QM157" s="1576"/>
      <c r="QN157" s="1576"/>
      <c r="QO157" s="1576"/>
      <c r="QP157" s="1576"/>
      <c r="QQ157" s="1576"/>
      <c r="QR157" s="1576"/>
      <c r="QS157" s="1576"/>
      <c r="QT157" s="1576"/>
      <c r="QU157" s="1576"/>
      <c r="QV157" s="1576"/>
      <c r="QW157" s="1576"/>
      <c r="QX157" s="1576"/>
      <c r="QY157" s="1576"/>
      <c r="QZ157" s="1576"/>
      <c r="RA157" s="1576"/>
      <c r="RB157" s="1576"/>
      <c r="RC157" s="1576"/>
      <c r="RD157" s="1576"/>
      <c r="RE157" s="1576"/>
      <c r="RF157" s="1576"/>
      <c r="RG157" s="1576"/>
      <c r="RH157" s="1576"/>
      <c r="RI157" s="1576"/>
      <c r="RJ157" s="1576"/>
      <c r="RK157" s="1576"/>
      <c r="RL157" s="1576"/>
      <c r="RM157" s="1576"/>
      <c r="RN157" s="1576"/>
      <c r="RO157" s="1576"/>
      <c r="RP157" s="1576"/>
      <c r="RQ157" s="1576"/>
      <c r="RR157" s="1576"/>
      <c r="RS157" s="1576"/>
      <c r="RT157" s="1576"/>
      <c r="RU157" s="1576"/>
      <c r="RV157" s="1576"/>
      <c r="RW157" s="1576"/>
      <c r="RX157" s="1576"/>
      <c r="RY157" s="1576"/>
      <c r="RZ157" s="1576"/>
      <c r="SA157" s="1576"/>
      <c r="SB157" s="1576"/>
      <c r="SC157" s="1576"/>
      <c r="SD157" s="1576"/>
      <c r="SE157" s="1576"/>
      <c r="SF157" s="1576"/>
      <c r="SG157" s="1576"/>
      <c r="SH157" s="1576"/>
      <c r="SI157" s="1576"/>
      <c r="SJ157" s="1576"/>
      <c r="SK157" s="1576"/>
      <c r="SL157" s="1576"/>
      <c r="SM157" s="1576"/>
      <c r="SN157" s="1576"/>
      <c r="SO157" s="1576"/>
      <c r="SP157" s="1576"/>
      <c r="SQ157" s="1576"/>
      <c r="SR157" s="1576"/>
      <c r="SS157" s="1576"/>
      <c r="ST157" s="1576"/>
      <c r="SU157" s="1576"/>
      <c r="SV157" s="1576"/>
      <c r="SW157" s="1576"/>
      <c r="SX157" s="1576"/>
      <c r="SY157" s="1576"/>
      <c r="SZ157" s="1576"/>
      <c r="TA157" s="1576"/>
      <c r="TB157" s="1576"/>
      <c r="TC157" s="1576"/>
      <c r="TD157" s="1576"/>
      <c r="TE157" s="1576"/>
      <c r="TF157" s="1576"/>
      <c r="TG157" s="1576"/>
      <c r="TH157" s="1576"/>
      <c r="TI157" s="1576"/>
      <c r="TJ157" s="1576"/>
      <c r="TK157" s="1576"/>
      <c r="TL157" s="1576"/>
      <c r="TM157" s="1576"/>
      <c r="TN157" s="1576"/>
      <c r="TO157" s="1576"/>
      <c r="TP157" s="1576"/>
      <c r="TQ157" s="1576"/>
      <c r="TR157" s="1576"/>
      <c r="TS157" s="1576"/>
      <c r="TT157" s="1576"/>
      <c r="TU157" s="1576"/>
      <c r="TV157" s="1576"/>
      <c r="TW157" s="1576"/>
      <c r="TX157" s="1576"/>
      <c r="TY157" s="1576"/>
      <c r="TZ157" s="1576"/>
      <c r="UA157" s="1576"/>
      <c r="UB157" s="1576"/>
      <c r="UC157" s="1576"/>
      <c r="UD157" s="1576"/>
      <c r="UE157" s="1576"/>
      <c r="UF157" s="1576"/>
      <c r="UG157" s="1576"/>
      <c r="UH157" s="1576"/>
      <c r="UI157" s="1576"/>
      <c r="UJ157" s="1576"/>
      <c r="UK157" s="1576"/>
      <c r="UL157" s="1576"/>
      <c r="UM157" s="1576"/>
      <c r="UN157" s="1576"/>
      <c r="UO157" s="1576"/>
      <c r="UP157" s="1576"/>
      <c r="UQ157" s="1576"/>
      <c r="UR157" s="1576"/>
      <c r="US157" s="1576"/>
      <c r="UT157" s="1576"/>
      <c r="UU157" s="1576"/>
      <c r="UV157" s="1576"/>
      <c r="UW157" s="1576"/>
      <c r="UX157" s="1576"/>
      <c r="UY157" s="1576"/>
      <c r="UZ157" s="1576"/>
      <c r="VA157" s="1576"/>
      <c r="VB157" s="1576"/>
      <c r="VC157" s="1576"/>
      <c r="VD157" s="1576"/>
      <c r="VE157" s="1576"/>
      <c r="VF157" s="1576"/>
      <c r="VG157" s="1576"/>
      <c r="VH157" s="1576"/>
      <c r="VI157" s="1576"/>
      <c r="VJ157" s="1576"/>
      <c r="VK157" s="1576"/>
    </row>
    <row r="158" spans="1:583" x14ac:dyDescent="0.25">
      <c r="B158" s="1610" t="s">
        <v>2853</v>
      </c>
      <c r="C158" s="1582" t="s">
        <v>2859</v>
      </c>
      <c r="D158" s="4710" t="s">
        <v>2862</v>
      </c>
      <c r="E158" s="4710">
        <v>0</v>
      </c>
      <c r="F158" s="1912"/>
      <c r="G158" s="1912"/>
      <c r="H158" s="1912"/>
      <c r="I158" s="1576"/>
      <c r="J158" s="1576"/>
      <c r="K158" s="1576"/>
      <c r="L158" s="1576"/>
      <c r="M158" s="1576"/>
      <c r="N158" s="1576"/>
      <c r="O158" s="1576"/>
      <c r="P158" s="1576"/>
      <c r="Q158" s="1576"/>
      <c r="R158" s="1576"/>
      <c r="S158" s="1576"/>
      <c r="T158" s="1576"/>
      <c r="U158" s="1576"/>
      <c r="V158" s="1576"/>
      <c r="W158" s="1576"/>
      <c r="X158" s="1576"/>
      <c r="Y158" s="1576"/>
      <c r="Z158" s="1576"/>
      <c r="AA158" s="1576"/>
      <c r="AB158" s="1576"/>
      <c r="AC158" s="1576"/>
      <c r="AD158" s="1576"/>
      <c r="AE158" s="1576"/>
      <c r="AF158" s="1576"/>
      <c r="AG158" s="1576"/>
      <c r="AH158" s="1576"/>
      <c r="AI158" s="1576"/>
      <c r="AJ158" s="1576"/>
      <c r="AK158" s="1576"/>
      <c r="AL158" s="1576"/>
      <c r="AM158" s="1576"/>
      <c r="AN158" s="1576"/>
      <c r="AO158" s="1576"/>
      <c r="AP158" s="1576"/>
      <c r="AQ158" s="1576"/>
      <c r="AR158" s="1576"/>
      <c r="AS158" s="1576"/>
      <c r="AT158" s="1576"/>
      <c r="AU158" s="1576"/>
      <c r="AV158" s="1576"/>
      <c r="AW158" s="1576"/>
      <c r="AX158" s="1576"/>
      <c r="AY158" s="1576"/>
      <c r="AZ158" s="1576"/>
      <c r="BA158" s="1576"/>
      <c r="BB158" s="1576"/>
      <c r="BC158" s="1576"/>
      <c r="BD158" s="1576"/>
      <c r="BE158" s="1576"/>
      <c r="BF158" s="1576"/>
      <c r="BG158" s="1576"/>
      <c r="BH158" s="1576"/>
      <c r="BI158" s="1576"/>
      <c r="BJ158" s="1576"/>
      <c r="BK158" s="1576"/>
      <c r="BL158" s="1576"/>
      <c r="BM158" s="1576"/>
      <c r="BN158" s="1576"/>
      <c r="BO158" s="1576"/>
      <c r="BP158" s="1576"/>
      <c r="BQ158" s="1576"/>
      <c r="BR158" s="1576"/>
      <c r="BS158" s="1576"/>
      <c r="BT158" s="1576"/>
      <c r="BU158" s="1576"/>
      <c r="BV158" s="1576"/>
      <c r="BW158" s="1576"/>
      <c r="BX158" s="1576"/>
      <c r="BY158" s="1576"/>
      <c r="BZ158" s="1576"/>
      <c r="CA158" s="1576"/>
      <c r="CB158" s="1576"/>
      <c r="CC158" s="1576"/>
      <c r="CD158" s="1576"/>
      <c r="CE158" s="1576"/>
      <c r="CF158" s="1576"/>
      <c r="CG158" s="1576"/>
      <c r="CH158" s="1576"/>
      <c r="CI158" s="1576"/>
      <c r="CJ158" s="1576"/>
      <c r="CK158" s="1576"/>
      <c r="CL158" s="1576"/>
      <c r="CM158" s="1576"/>
      <c r="CN158" s="1576"/>
      <c r="CO158" s="1576"/>
      <c r="CP158" s="1576"/>
      <c r="CQ158" s="1576"/>
      <c r="CR158" s="1576"/>
      <c r="CS158" s="1576"/>
      <c r="CT158" s="1576"/>
      <c r="CU158" s="1576"/>
      <c r="CV158" s="1576"/>
      <c r="CW158" s="1576"/>
      <c r="CX158" s="1576"/>
      <c r="CY158" s="1576"/>
      <c r="CZ158" s="1576"/>
      <c r="DA158" s="1576"/>
      <c r="DB158" s="1576"/>
      <c r="DC158" s="1576"/>
      <c r="DD158" s="1576"/>
      <c r="DE158" s="1576"/>
      <c r="DF158" s="1576"/>
      <c r="DG158" s="1576"/>
      <c r="DH158" s="1576"/>
      <c r="DI158" s="1576"/>
      <c r="DJ158" s="1576"/>
      <c r="DK158" s="1576"/>
      <c r="DL158" s="1576"/>
      <c r="DM158" s="1576"/>
      <c r="DN158" s="1576"/>
      <c r="DO158" s="1576"/>
      <c r="DP158" s="1576"/>
      <c r="DQ158" s="1576"/>
      <c r="DR158" s="1576"/>
      <c r="DS158" s="1576"/>
      <c r="DT158" s="1576"/>
      <c r="DU158" s="1576"/>
      <c r="DV158" s="1576"/>
      <c r="DW158" s="1576"/>
      <c r="DX158" s="1576"/>
      <c r="DY158" s="1576"/>
      <c r="DZ158" s="1576"/>
      <c r="EA158" s="1576"/>
      <c r="EB158" s="1576"/>
      <c r="EC158" s="1576"/>
      <c r="ED158" s="1576"/>
      <c r="EE158" s="1576"/>
      <c r="EF158" s="1576"/>
      <c r="EG158" s="1576"/>
      <c r="EH158" s="1576"/>
      <c r="EI158" s="1576"/>
      <c r="EJ158" s="1576"/>
      <c r="EK158" s="1576"/>
      <c r="EL158" s="1576"/>
      <c r="EM158" s="1576"/>
      <c r="EN158" s="1576"/>
      <c r="EO158" s="1576"/>
      <c r="EP158" s="1576"/>
      <c r="EQ158" s="1576"/>
      <c r="ER158" s="1576"/>
      <c r="ES158" s="1576"/>
      <c r="ET158" s="1576"/>
      <c r="EU158" s="1576"/>
      <c r="EV158" s="1576"/>
      <c r="EW158" s="1576"/>
      <c r="EX158" s="1576"/>
      <c r="EY158" s="1576"/>
      <c r="EZ158" s="1576"/>
      <c r="FA158" s="1576"/>
      <c r="FB158" s="1576"/>
      <c r="FC158" s="1576"/>
      <c r="FD158" s="1576"/>
      <c r="FE158" s="1576"/>
      <c r="FF158" s="1576"/>
      <c r="FG158" s="1576"/>
      <c r="FH158" s="1576"/>
      <c r="FI158" s="1576"/>
      <c r="FJ158" s="1576"/>
      <c r="FK158" s="1576"/>
      <c r="FL158" s="1576"/>
      <c r="FM158" s="1576"/>
      <c r="FN158" s="1576"/>
      <c r="FO158" s="1576"/>
      <c r="FP158" s="1576"/>
      <c r="FQ158" s="1576"/>
      <c r="FR158" s="1576"/>
      <c r="FS158" s="1576"/>
      <c r="FT158" s="1576"/>
      <c r="FU158" s="1576"/>
      <c r="FV158" s="1576"/>
      <c r="FW158" s="1576"/>
      <c r="FX158" s="1576"/>
      <c r="FY158" s="1576"/>
      <c r="FZ158" s="1576"/>
      <c r="GA158" s="1576"/>
      <c r="GB158" s="1576"/>
      <c r="GC158" s="1576"/>
      <c r="GD158" s="1576"/>
      <c r="GE158" s="1576"/>
      <c r="GF158" s="1576"/>
      <c r="GG158" s="1576"/>
      <c r="GH158" s="1576"/>
      <c r="GI158" s="1576"/>
      <c r="GJ158" s="1576"/>
      <c r="GK158" s="1576"/>
      <c r="GL158" s="1576"/>
      <c r="GM158" s="1576"/>
      <c r="GN158" s="1576"/>
      <c r="GO158" s="1576"/>
      <c r="GP158" s="1576"/>
      <c r="GQ158" s="1576"/>
      <c r="GR158" s="1576"/>
      <c r="GS158" s="1576"/>
      <c r="GT158" s="1576"/>
      <c r="GU158" s="1576"/>
      <c r="GV158" s="1576"/>
      <c r="GW158" s="1576"/>
      <c r="GX158" s="1576"/>
      <c r="GY158" s="1576"/>
      <c r="GZ158" s="1576"/>
      <c r="HA158" s="1576"/>
      <c r="HB158" s="1576"/>
      <c r="HC158" s="1576"/>
      <c r="HD158" s="1576"/>
      <c r="HE158" s="1576"/>
      <c r="HF158" s="1576"/>
      <c r="HG158" s="1576"/>
      <c r="HH158" s="1576"/>
      <c r="HI158" s="1576"/>
      <c r="HJ158" s="1576"/>
      <c r="HK158" s="1576"/>
      <c r="HL158" s="1576"/>
      <c r="HM158" s="1576"/>
      <c r="HN158" s="1576"/>
      <c r="HO158" s="1576"/>
      <c r="HP158" s="1576"/>
      <c r="HQ158" s="1576"/>
      <c r="HR158" s="1576"/>
      <c r="HS158" s="1576"/>
      <c r="HT158" s="1576"/>
      <c r="HU158" s="1576"/>
      <c r="HV158" s="1576"/>
      <c r="HW158" s="1576"/>
      <c r="HX158" s="1576"/>
      <c r="HY158" s="1576"/>
      <c r="HZ158" s="1576"/>
      <c r="IA158" s="1576"/>
      <c r="IB158" s="1576"/>
      <c r="IC158" s="1576"/>
      <c r="ID158" s="1576"/>
      <c r="IE158" s="1576"/>
      <c r="IF158" s="1576"/>
      <c r="IG158" s="1576"/>
      <c r="IH158" s="1576"/>
      <c r="II158" s="1576"/>
      <c r="IJ158" s="1576"/>
      <c r="IK158" s="1576"/>
      <c r="IL158" s="1576"/>
      <c r="IM158" s="1576"/>
      <c r="IN158" s="1576"/>
      <c r="IO158" s="1576"/>
      <c r="IP158" s="1576"/>
      <c r="IQ158" s="1576"/>
      <c r="IR158" s="1576"/>
      <c r="IS158" s="1576"/>
      <c r="IT158" s="1576"/>
      <c r="IU158" s="1576"/>
      <c r="IV158" s="1576"/>
      <c r="IW158" s="1576"/>
      <c r="IX158" s="1576"/>
      <c r="IY158" s="1576"/>
      <c r="IZ158" s="1576"/>
      <c r="JA158" s="2054"/>
      <c r="JB158" s="2054"/>
      <c r="JC158" s="2054"/>
      <c r="JD158" s="2054"/>
      <c r="JE158" s="2054"/>
      <c r="JF158" s="2054"/>
      <c r="JG158" s="2054"/>
      <c r="JH158" s="2054"/>
      <c r="JI158" s="2054"/>
      <c r="JJ158" s="2054"/>
      <c r="JK158" s="2054"/>
      <c r="JL158" s="2054"/>
      <c r="JM158" s="2054"/>
      <c r="JN158" s="2054"/>
      <c r="JO158" s="2054"/>
      <c r="JP158" s="2054"/>
      <c r="JQ158" s="2054"/>
      <c r="JR158" s="1576"/>
      <c r="JS158" s="1576"/>
      <c r="JT158" s="1576"/>
      <c r="JU158" s="1576"/>
      <c r="JV158" s="1576"/>
      <c r="JW158" s="1576"/>
      <c r="JX158" s="1576"/>
      <c r="JY158" s="1576"/>
      <c r="JZ158" s="1576"/>
      <c r="KA158" s="1576"/>
      <c r="KB158" s="1576"/>
      <c r="KC158" s="1576"/>
      <c r="KD158" s="1576"/>
      <c r="KE158" s="1576"/>
      <c r="KF158" s="1576"/>
      <c r="KG158" s="1576"/>
      <c r="KH158" s="1576"/>
      <c r="KI158" s="1576"/>
      <c r="KJ158" s="1576"/>
      <c r="KK158" s="1576"/>
      <c r="KL158" s="1576"/>
      <c r="KM158" s="1576"/>
      <c r="KN158" s="1576"/>
      <c r="KO158" s="1576"/>
      <c r="KP158" s="1576"/>
      <c r="KQ158" s="1576"/>
      <c r="KR158" s="1576"/>
      <c r="KS158" s="1576"/>
      <c r="KT158" s="1576"/>
      <c r="KU158" s="1576"/>
      <c r="KV158" s="1576"/>
      <c r="KW158" s="1576"/>
      <c r="KX158" s="1576"/>
      <c r="KY158" s="1576"/>
      <c r="KZ158" s="1576"/>
      <c r="LA158" s="1576"/>
      <c r="LB158" s="1576"/>
      <c r="LC158" s="1576"/>
      <c r="LD158" s="1576"/>
      <c r="LE158" s="1576"/>
      <c r="LF158" s="1576"/>
      <c r="LG158" s="1576"/>
      <c r="LH158" s="1576"/>
      <c r="LI158" s="1576"/>
      <c r="LJ158" s="1576"/>
      <c r="LK158" s="1576"/>
      <c r="LL158" s="1576"/>
      <c r="LM158" s="1576"/>
      <c r="LN158" s="1576"/>
      <c r="LO158" s="1576"/>
      <c r="LP158" s="1576"/>
      <c r="LQ158" s="1576"/>
      <c r="LR158" s="1576"/>
      <c r="LS158" s="1576"/>
      <c r="LT158" s="1576"/>
      <c r="LU158" s="1576"/>
      <c r="LV158" s="1576"/>
      <c r="LW158" s="1576"/>
      <c r="LX158" s="1576"/>
      <c r="LY158" s="1576"/>
      <c r="LZ158" s="1576"/>
      <c r="MA158" s="1576"/>
      <c r="MB158" s="1576"/>
      <c r="MC158" s="1576"/>
      <c r="MD158" s="1576"/>
      <c r="ME158" s="1576"/>
      <c r="MF158" s="1576"/>
      <c r="MG158" s="1576"/>
      <c r="MH158" s="1576"/>
      <c r="MI158" s="1576"/>
      <c r="MJ158" s="1576"/>
      <c r="MK158" s="1576"/>
      <c r="ML158" s="1576"/>
      <c r="MM158" s="1576"/>
      <c r="MN158" s="1576"/>
      <c r="MO158" s="1576"/>
      <c r="MP158" s="1576"/>
      <c r="MQ158" s="1576"/>
      <c r="MR158" s="1576"/>
      <c r="MS158" s="1576"/>
      <c r="MT158" s="1576"/>
      <c r="MU158" s="1576"/>
      <c r="MV158" s="1576"/>
      <c r="MW158" s="1576"/>
      <c r="MX158" s="1576"/>
      <c r="MY158" s="1576"/>
      <c r="MZ158" s="1576"/>
      <c r="NA158" s="1576"/>
      <c r="NB158" s="1576"/>
      <c r="NC158" s="1576"/>
      <c r="ND158" s="1576"/>
      <c r="NE158" s="1576"/>
      <c r="NF158" s="1576"/>
      <c r="NG158" s="1576"/>
      <c r="NH158" s="1576"/>
      <c r="NI158" s="1576"/>
      <c r="NJ158" s="1576"/>
      <c r="NK158" s="1576"/>
      <c r="NL158" s="1576"/>
      <c r="NM158" s="1576"/>
      <c r="NN158" s="1576"/>
      <c r="NO158" s="1576"/>
      <c r="NP158" s="1576"/>
      <c r="NQ158" s="1576"/>
      <c r="NR158" s="1576"/>
      <c r="NS158" s="1576"/>
      <c r="NT158" s="1576"/>
      <c r="NU158" s="1576"/>
      <c r="NV158" s="1576"/>
      <c r="NW158" s="1576"/>
      <c r="NX158" s="1576"/>
      <c r="NY158" s="1576"/>
      <c r="NZ158" s="1576"/>
      <c r="OA158" s="1576"/>
      <c r="OB158" s="1576"/>
      <c r="OC158" s="1576"/>
      <c r="OD158" s="1576"/>
      <c r="OE158" s="1576"/>
      <c r="OF158" s="1576"/>
      <c r="OG158" s="1576"/>
      <c r="OH158" s="1576"/>
      <c r="OI158" s="1576"/>
      <c r="OJ158" s="1576"/>
      <c r="OK158" s="1576"/>
      <c r="OL158" s="1576"/>
      <c r="OM158" s="1576"/>
      <c r="ON158" s="1576"/>
      <c r="OO158" s="1576"/>
      <c r="OP158" s="1576"/>
      <c r="OQ158" s="1576"/>
      <c r="OR158" s="1576"/>
      <c r="OS158" s="1576"/>
      <c r="OT158" s="1576"/>
      <c r="OU158" s="1576"/>
      <c r="OV158" s="1576"/>
      <c r="OW158" s="1576"/>
      <c r="OX158" s="1576"/>
      <c r="OY158" s="1576"/>
      <c r="OZ158" s="1576"/>
      <c r="PA158" s="1576"/>
      <c r="PB158" s="1576"/>
      <c r="PC158" s="1576"/>
      <c r="PD158" s="1576"/>
      <c r="PE158" s="1576"/>
      <c r="PF158" s="1576"/>
      <c r="PG158" s="1576"/>
      <c r="PH158" s="1576"/>
      <c r="PI158" s="1576"/>
      <c r="PJ158" s="1576"/>
      <c r="PK158" s="1576"/>
      <c r="PL158" s="1576"/>
      <c r="PM158" s="1576"/>
      <c r="PN158" s="1576"/>
      <c r="PO158" s="1576"/>
      <c r="PP158" s="1576"/>
      <c r="PQ158" s="1576"/>
      <c r="PR158" s="1576"/>
      <c r="PS158" s="1576"/>
      <c r="PT158" s="1576"/>
      <c r="PU158" s="1576"/>
      <c r="PV158" s="1576"/>
      <c r="PW158" s="1576"/>
      <c r="PX158" s="1576"/>
      <c r="PY158" s="1576"/>
      <c r="PZ158" s="1576"/>
      <c r="QA158" s="1576"/>
      <c r="QB158" s="1576"/>
      <c r="QC158" s="1576"/>
      <c r="QD158" s="1576"/>
      <c r="QE158" s="1576"/>
      <c r="QF158" s="1576"/>
      <c r="QG158" s="1576"/>
      <c r="QH158" s="1576"/>
      <c r="QI158" s="1576"/>
      <c r="QJ158" s="1576"/>
      <c r="QK158" s="1576"/>
      <c r="QL158" s="1576"/>
      <c r="QM158" s="1576"/>
      <c r="QN158" s="1576"/>
      <c r="QO158" s="1576"/>
      <c r="QP158" s="1576"/>
      <c r="QQ158" s="1576"/>
      <c r="QR158" s="1576"/>
      <c r="QS158" s="1576"/>
      <c r="QT158" s="1576"/>
      <c r="QU158" s="1576"/>
      <c r="QV158" s="1576"/>
      <c r="QW158" s="1576"/>
      <c r="QX158" s="1576"/>
      <c r="QY158" s="1576"/>
      <c r="QZ158" s="1576"/>
      <c r="RA158" s="1576"/>
      <c r="RB158" s="1576"/>
      <c r="RC158" s="1576"/>
      <c r="RD158" s="1576"/>
      <c r="RE158" s="1576"/>
      <c r="RF158" s="1576"/>
      <c r="RG158" s="1576"/>
      <c r="RH158" s="1576"/>
      <c r="RI158" s="1576"/>
      <c r="RJ158" s="1576"/>
      <c r="RK158" s="1576"/>
      <c r="RL158" s="1576"/>
      <c r="RM158" s="1576"/>
      <c r="RN158" s="1576"/>
      <c r="RO158" s="1576"/>
      <c r="RP158" s="1576"/>
      <c r="RQ158" s="1576"/>
      <c r="RR158" s="1576"/>
      <c r="RS158" s="1576"/>
      <c r="RT158" s="1576"/>
      <c r="RU158" s="1576"/>
      <c r="RV158" s="1576"/>
      <c r="RW158" s="1576"/>
      <c r="RX158" s="1576"/>
      <c r="RY158" s="1576"/>
      <c r="RZ158" s="1576"/>
      <c r="SA158" s="1576"/>
      <c r="SB158" s="1576"/>
      <c r="SC158" s="1576"/>
      <c r="SD158" s="1576"/>
      <c r="SE158" s="1576"/>
      <c r="SF158" s="1576"/>
      <c r="SG158" s="1576"/>
      <c r="SH158" s="1576"/>
      <c r="SI158" s="1576"/>
      <c r="SJ158" s="1576"/>
      <c r="SK158" s="1576"/>
      <c r="SL158" s="1576"/>
      <c r="SM158" s="1576"/>
      <c r="SN158" s="1576"/>
      <c r="SO158" s="1576"/>
      <c r="SP158" s="1576"/>
      <c r="SQ158" s="1576"/>
      <c r="SR158" s="1576"/>
      <c r="SS158" s="1576"/>
      <c r="ST158" s="1576"/>
      <c r="SU158" s="1576"/>
      <c r="SV158" s="1576"/>
      <c r="SW158" s="1576"/>
      <c r="SX158" s="1576"/>
      <c r="SY158" s="1576"/>
      <c r="SZ158" s="1576"/>
      <c r="TA158" s="1576"/>
      <c r="TB158" s="1576"/>
      <c r="TC158" s="1576"/>
      <c r="TD158" s="1576"/>
      <c r="TE158" s="1576"/>
      <c r="TF158" s="1576"/>
      <c r="TG158" s="1576"/>
      <c r="TH158" s="1576"/>
      <c r="TI158" s="1576"/>
      <c r="TJ158" s="1576"/>
      <c r="TK158" s="1576"/>
      <c r="TL158" s="1576"/>
      <c r="TM158" s="1576"/>
      <c r="TN158" s="1576"/>
      <c r="TO158" s="1576"/>
      <c r="TP158" s="1576"/>
      <c r="TQ158" s="1576"/>
      <c r="TR158" s="1576"/>
      <c r="TS158" s="1576"/>
      <c r="TT158" s="1576"/>
      <c r="TU158" s="1576"/>
      <c r="TV158" s="1576"/>
      <c r="TW158" s="1576"/>
      <c r="TX158" s="1576"/>
      <c r="TY158" s="1576"/>
      <c r="TZ158" s="1576"/>
      <c r="UA158" s="1576"/>
      <c r="UB158" s="1576"/>
      <c r="UC158" s="1576"/>
      <c r="UD158" s="1576"/>
      <c r="UE158" s="1576"/>
      <c r="UF158" s="1576"/>
      <c r="UG158" s="1576"/>
      <c r="UH158" s="1576"/>
      <c r="UI158" s="1576"/>
      <c r="UJ158" s="1576"/>
      <c r="UK158" s="1576"/>
      <c r="UL158" s="1576"/>
      <c r="UM158" s="1576"/>
      <c r="UN158" s="1576"/>
      <c r="UO158" s="1576"/>
      <c r="UP158" s="1576"/>
      <c r="UQ158" s="1576"/>
      <c r="UR158" s="1576"/>
      <c r="US158" s="1576"/>
      <c r="UT158" s="1576"/>
      <c r="UU158" s="1576"/>
      <c r="UV158" s="1576"/>
      <c r="UW158" s="1576"/>
      <c r="UX158" s="1576"/>
      <c r="UY158" s="1576"/>
      <c r="UZ158" s="1576"/>
      <c r="VA158" s="1576"/>
      <c r="VB158" s="1576"/>
      <c r="VC158" s="1576"/>
      <c r="VD158" s="1576"/>
      <c r="VE158" s="1576"/>
      <c r="VF158" s="1576"/>
      <c r="VG158" s="1576"/>
      <c r="VH158" s="1576"/>
      <c r="VI158" s="1576"/>
      <c r="VJ158" s="1576"/>
      <c r="VK158" s="1576"/>
    </row>
    <row r="159" spans="1:583" x14ac:dyDescent="0.25">
      <c r="B159" s="1610" t="s">
        <v>2853</v>
      </c>
      <c r="C159" s="1582" t="s">
        <v>93</v>
      </c>
      <c r="D159" s="4710" t="s">
        <v>2863</v>
      </c>
      <c r="E159" s="4710">
        <v>0</v>
      </c>
      <c r="F159" s="1912"/>
      <c r="G159" s="1912"/>
      <c r="H159" s="1912"/>
      <c r="I159" s="1576"/>
      <c r="J159" s="1576"/>
      <c r="K159" s="1576"/>
      <c r="L159" s="1576"/>
      <c r="M159" s="1576"/>
      <c r="N159" s="1576"/>
      <c r="O159" s="1576"/>
      <c r="P159" s="1576"/>
      <c r="Q159" s="1576"/>
      <c r="R159" s="1576"/>
      <c r="S159" s="1576"/>
      <c r="T159" s="1576"/>
      <c r="U159" s="1576"/>
      <c r="V159" s="1576"/>
      <c r="W159" s="1576"/>
      <c r="X159" s="1576"/>
      <c r="Y159" s="1576"/>
      <c r="Z159" s="1576"/>
      <c r="AA159" s="1576"/>
      <c r="AB159" s="1576"/>
      <c r="AC159" s="1576"/>
      <c r="AD159" s="1576"/>
      <c r="AE159" s="1576"/>
      <c r="AF159" s="1576"/>
      <c r="AG159" s="1576"/>
      <c r="AH159" s="1576"/>
      <c r="AI159" s="1576"/>
      <c r="AJ159" s="1576"/>
      <c r="AK159" s="1576"/>
      <c r="AL159" s="1576"/>
      <c r="AM159" s="1576"/>
      <c r="AN159" s="1576"/>
      <c r="AO159" s="1576"/>
      <c r="AP159" s="1576"/>
      <c r="AQ159" s="1576"/>
      <c r="AR159" s="1576"/>
      <c r="AS159" s="1576"/>
      <c r="AT159" s="1576"/>
      <c r="AU159" s="1576"/>
      <c r="AV159" s="1576"/>
      <c r="AW159" s="1576"/>
      <c r="AX159" s="1576"/>
      <c r="AY159" s="1576"/>
      <c r="AZ159" s="1576"/>
      <c r="BA159" s="1576"/>
      <c r="BB159" s="1576"/>
      <c r="BC159" s="1576"/>
      <c r="BD159" s="1576"/>
      <c r="BE159" s="1576"/>
      <c r="BF159" s="1576"/>
      <c r="BG159" s="1576"/>
      <c r="BH159" s="1576"/>
      <c r="BI159" s="1576"/>
      <c r="BJ159" s="1576"/>
      <c r="BK159" s="1576"/>
      <c r="BL159" s="1576"/>
      <c r="BM159" s="1576"/>
      <c r="BN159" s="1576"/>
      <c r="BO159" s="1576"/>
      <c r="BP159" s="1576"/>
      <c r="BQ159" s="1576"/>
      <c r="BR159" s="1576"/>
      <c r="BS159" s="1576"/>
      <c r="BT159" s="1576"/>
      <c r="BU159" s="1576"/>
      <c r="BV159" s="1576"/>
      <c r="BW159" s="1576"/>
      <c r="BX159" s="1576"/>
      <c r="BY159" s="1576"/>
      <c r="BZ159" s="1576"/>
      <c r="CA159" s="1576"/>
      <c r="CB159" s="1576"/>
      <c r="CC159" s="1576"/>
      <c r="CD159" s="1576"/>
      <c r="CE159" s="1576"/>
      <c r="CF159" s="1576"/>
      <c r="CG159" s="1576"/>
      <c r="CH159" s="1576"/>
      <c r="CI159" s="1576"/>
      <c r="CJ159" s="1576"/>
      <c r="CK159" s="1576"/>
      <c r="CL159" s="1576"/>
      <c r="CM159" s="1576"/>
      <c r="CN159" s="1576"/>
      <c r="CO159" s="1576"/>
      <c r="CP159" s="1576"/>
      <c r="CQ159" s="1576"/>
      <c r="CR159" s="1576"/>
      <c r="CS159" s="1576"/>
      <c r="CT159" s="1576"/>
      <c r="CU159" s="1576"/>
      <c r="CV159" s="1576"/>
      <c r="CW159" s="1576"/>
      <c r="CX159" s="1576"/>
      <c r="CY159" s="1576"/>
      <c r="CZ159" s="1576"/>
      <c r="DA159" s="1576"/>
      <c r="DB159" s="1576"/>
      <c r="DC159" s="1576"/>
      <c r="DD159" s="1576"/>
      <c r="DE159" s="1576"/>
      <c r="DF159" s="1576"/>
      <c r="DG159" s="1576"/>
      <c r="DH159" s="1576"/>
      <c r="DI159" s="1576"/>
      <c r="DJ159" s="1576"/>
      <c r="DK159" s="1576"/>
      <c r="DL159" s="1576"/>
      <c r="DM159" s="1576"/>
      <c r="DN159" s="1576"/>
      <c r="DO159" s="1576"/>
      <c r="DP159" s="1576"/>
      <c r="DQ159" s="1576"/>
      <c r="DR159" s="1576"/>
      <c r="DS159" s="1576"/>
      <c r="DT159" s="1576"/>
      <c r="DU159" s="1576"/>
      <c r="DV159" s="1576"/>
      <c r="DW159" s="1576"/>
      <c r="DX159" s="1576"/>
      <c r="DY159" s="1576"/>
      <c r="DZ159" s="1576"/>
      <c r="EA159" s="1576"/>
      <c r="EB159" s="1576"/>
      <c r="EC159" s="1576"/>
      <c r="ED159" s="1576"/>
      <c r="EE159" s="1576"/>
      <c r="EF159" s="1576"/>
      <c r="EG159" s="1576"/>
      <c r="EH159" s="1576"/>
      <c r="EI159" s="1576"/>
      <c r="EJ159" s="1576"/>
      <c r="EK159" s="1576"/>
      <c r="EL159" s="1576"/>
      <c r="EM159" s="1576"/>
      <c r="EN159" s="1576"/>
      <c r="EO159" s="1576"/>
      <c r="EP159" s="1576"/>
      <c r="EQ159" s="1576"/>
      <c r="ER159" s="1576"/>
      <c r="ES159" s="1576"/>
      <c r="ET159" s="1576"/>
      <c r="EU159" s="1576"/>
      <c r="EV159" s="1576"/>
      <c r="EW159" s="1576"/>
      <c r="EX159" s="1576"/>
      <c r="EY159" s="1576"/>
      <c r="EZ159" s="1576"/>
      <c r="FA159" s="1576"/>
      <c r="FB159" s="1576"/>
      <c r="FC159" s="1576"/>
      <c r="FD159" s="1576"/>
      <c r="FE159" s="1576"/>
      <c r="FF159" s="1576"/>
      <c r="FG159" s="1576"/>
      <c r="FH159" s="1576"/>
      <c r="FI159" s="1576"/>
      <c r="FJ159" s="1576"/>
      <c r="FK159" s="1576"/>
      <c r="FL159" s="1576"/>
      <c r="FM159" s="1576"/>
      <c r="FN159" s="1576"/>
      <c r="FO159" s="1576"/>
      <c r="FP159" s="1576"/>
      <c r="FQ159" s="1576"/>
      <c r="FR159" s="1576"/>
      <c r="FS159" s="1576"/>
      <c r="FT159" s="1576"/>
      <c r="FU159" s="1576"/>
      <c r="FV159" s="1576"/>
      <c r="FW159" s="1576"/>
      <c r="FX159" s="1576"/>
      <c r="FY159" s="1576"/>
      <c r="FZ159" s="1576"/>
      <c r="GA159" s="1576"/>
      <c r="GB159" s="1576"/>
      <c r="GC159" s="1576"/>
      <c r="GD159" s="1576"/>
      <c r="GE159" s="1576"/>
      <c r="GF159" s="1576"/>
      <c r="GG159" s="1576"/>
      <c r="GH159" s="1576"/>
      <c r="GI159" s="1576"/>
      <c r="GJ159" s="1576"/>
      <c r="GK159" s="1576"/>
      <c r="GL159" s="1576"/>
      <c r="GM159" s="1576"/>
      <c r="GN159" s="1576"/>
      <c r="GO159" s="1576"/>
      <c r="GP159" s="1576"/>
      <c r="GQ159" s="1576"/>
      <c r="GR159" s="1576"/>
      <c r="GS159" s="1576"/>
      <c r="GT159" s="1576"/>
      <c r="GU159" s="1576"/>
      <c r="GV159" s="1576"/>
      <c r="GW159" s="1576"/>
      <c r="GX159" s="1576"/>
      <c r="GY159" s="1576"/>
      <c r="GZ159" s="1576"/>
      <c r="HA159" s="1576"/>
      <c r="HB159" s="1576"/>
      <c r="HC159" s="1576"/>
      <c r="HD159" s="1576"/>
      <c r="HE159" s="1576"/>
      <c r="HF159" s="1576"/>
      <c r="HG159" s="1576"/>
      <c r="HH159" s="1576"/>
      <c r="HI159" s="1576"/>
      <c r="HJ159" s="1576"/>
      <c r="HK159" s="1576"/>
      <c r="HL159" s="1576"/>
      <c r="HM159" s="1576"/>
      <c r="HN159" s="1576"/>
      <c r="HO159" s="1576"/>
      <c r="HP159" s="1576"/>
      <c r="HQ159" s="1576"/>
      <c r="HR159" s="1576"/>
      <c r="HS159" s="1576"/>
      <c r="HT159" s="1576"/>
      <c r="HU159" s="1576"/>
      <c r="HV159" s="1576"/>
      <c r="HW159" s="1576"/>
      <c r="HX159" s="1576"/>
      <c r="HY159" s="1576"/>
      <c r="HZ159" s="1576"/>
      <c r="IA159" s="1576"/>
      <c r="IB159" s="1576"/>
      <c r="IC159" s="1576"/>
      <c r="ID159" s="1576"/>
      <c r="IE159" s="1576"/>
      <c r="IF159" s="1576"/>
      <c r="IG159" s="1576"/>
      <c r="IH159" s="1576"/>
      <c r="II159" s="1576"/>
      <c r="IJ159" s="1576"/>
      <c r="IK159" s="1576"/>
      <c r="IL159" s="1576"/>
      <c r="IM159" s="1576"/>
      <c r="IN159" s="1576"/>
      <c r="IO159" s="1576"/>
      <c r="IP159" s="1576"/>
      <c r="IQ159" s="1576"/>
      <c r="IR159" s="1576"/>
      <c r="IS159" s="1576"/>
      <c r="IT159" s="1576"/>
      <c r="IU159" s="1576"/>
      <c r="IV159" s="1576"/>
      <c r="IW159" s="1576"/>
      <c r="IX159" s="1576"/>
      <c r="IY159" s="1576"/>
      <c r="IZ159" s="1576"/>
      <c r="JA159" s="2054"/>
      <c r="JB159" s="2054"/>
      <c r="JC159" s="2054"/>
      <c r="JD159" s="2054"/>
      <c r="JE159" s="2054"/>
      <c r="JF159" s="2054"/>
      <c r="JG159" s="2054"/>
      <c r="JH159" s="2054"/>
      <c r="JI159" s="2054"/>
      <c r="JJ159" s="2054"/>
      <c r="JK159" s="2054"/>
      <c r="JL159" s="2054"/>
      <c r="JM159" s="2054"/>
      <c r="JN159" s="2054"/>
      <c r="JO159" s="2054"/>
      <c r="JP159" s="2054"/>
      <c r="JQ159" s="2054"/>
      <c r="JR159" s="1576"/>
      <c r="JS159" s="1576"/>
      <c r="JT159" s="1576"/>
      <c r="JU159" s="1576"/>
      <c r="JV159" s="1576"/>
      <c r="JW159" s="1576"/>
      <c r="JX159" s="1576"/>
      <c r="JY159" s="1576"/>
      <c r="JZ159" s="1576"/>
      <c r="KA159" s="1576"/>
      <c r="KB159" s="1576"/>
      <c r="KC159" s="1576"/>
      <c r="KD159" s="1576"/>
      <c r="KE159" s="1576"/>
      <c r="KF159" s="1576"/>
      <c r="KG159" s="1576"/>
      <c r="KH159" s="1576"/>
      <c r="KI159" s="1576"/>
      <c r="KJ159" s="1576"/>
      <c r="KK159" s="1576"/>
      <c r="KL159" s="1576"/>
      <c r="KM159" s="1576"/>
      <c r="KN159" s="1576"/>
      <c r="KO159" s="1576"/>
      <c r="KP159" s="1576"/>
      <c r="KQ159" s="1576"/>
      <c r="KR159" s="1576"/>
      <c r="KS159" s="1576"/>
      <c r="KT159" s="1576"/>
      <c r="KU159" s="1576"/>
      <c r="KV159" s="1576"/>
      <c r="KW159" s="1576"/>
      <c r="KX159" s="1576"/>
      <c r="KY159" s="1576"/>
      <c r="KZ159" s="1576"/>
      <c r="LA159" s="1576"/>
      <c r="LB159" s="1576"/>
      <c r="LC159" s="1576"/>
      <c r="LD159" s="1576"/>
      <c r="LE159" s="1576"/>
      <c r="LF159" s="1576"/>
      <c r="LG159" s="1576"/>
      <c r="LH159" s="1576"/>
      <c r="LI159" s="1576"/>
      <c r="LJ159" s="1576"/>
      <c r="LK159" s="1576"/>
      <c r="LL159" s="1576"/>
      <c r="LM159" s="1576"/>
      <c r="LN159" s="1576"/>
      <c r="LO159" s="1576"/>
      <c r="LP159" s="1576"/>
      <c r="LQ159" s="1576"/>
      <c r="LR159" s="1576"/>
      <c r="LS159" s="1576"/>
      <c r="LT159" s="1576"/>
      <c r="LU159" s="1576"/>
      <c r="LV159" s="1576"/>
      <c r="LW159" s="1576"/>
      <c r="LX159" s="1576"/>
      <c r="LY159" s="1576"/>
      <c r="LZ159" s="1576"/>
      <c r="MA159" s="1576"/>
      <c r="MB159" s="1576"/>
      <c r="MC159" s="1576"/>
      <c r="MD159" s="1576"/>
      <c r="ME159" s="1576"/>
      <c r="MF159" s="1576"/>
      <c r="MG159" s="1576"/>
      <c r="MH159" s="1576"/>
      <c r="MI159" s="1576"/>
      <c r="MJ159" s="1576"/>
      <c r="MK159" s="1576"/>
      <c r="ML159" s="1576"/>
      <c r="MM159" s="1576"/>
      <c r="MN159" s="1576"/>
      <c r="MO159" s="1576"/>
      <c r="MP159" s="1576"/>
      <c r="MQ159" s="1576"/>
      <c r="MR159" s="1576"/>
      <c r="MS159" s="1576"/>
      <c r="MT159" s="1576"/>
      <c r="MU159" s="1576"/>
      <c r="MV159" s="1576"/>
      <c r="MW159" s="1576"/>
      <c r="MX159" s="1576"/>
      <c r="MY159" s="1576"/>
      <c r="MZ159" s="1576"/>
      <c r="NA159" s="1576"/>
      <c r="NB159" s="1576"/>
      <c r="NC159" s="1576"/>
      <c r="ND159" s="1576"/>
      <c r="NE159" s="1576"/>
      <c r="NF159" s="1576"/>
      <c r="NG159" s="1576"/>
      <c r="NH159" s="1576"/>
      <c r="NI159" s="1576"/>
      <c r="NJ159" s="1576"/>
      <c r="NK159" s="1576"/>
      <c r="NL159" s="1576"/>
      <c r="NM159" s="1576"/>
      <c r="NN159" s="1576"/>
      <c r="NO159" s="1576"/>
      <c r="NP159" s="1576"/>
      <c r="NQ159" s="1576"/>
      <c r="NR159" s="1576"/>
      <c r="NS159" s="1576"/>
      <c r="NT159" s="1576"/>
      <c r="NU159" s="1576"/>
      <c r="NV159" s="1576"/>
      <c r="NW159" s="1576"/>
      <c r="NX159" s="1576"/>
      <c r="NY159" s="1576"/>
      <c r="NZ159" s="1576"/>
      <c r="OA159" s="1576"/>
      <c r="OB159" s="1576"/>
      <c r="OC159" s="1576"/>
      <c r="OD159" s="1576"/>
      <c r="OE159" s="1576"/>
      <c r="OF159" s="1576"/>
      <c r="OG159" s="1576"/>
      <c r="OH159" s="1576"/>
      <c r="OI159" s="1576"/>
      <c r="OJ159" s="1576"/>
      <c r="OK159" s="1576"/>
      <c r="OL159" s="1576"/>
      <c r="OM159" s="1576"/>
      <c r="ON159" s="1576"/>
      <c r="OO159" s="1576"/>
      <c r="OP159" s="1576"/>
      <c r="OQ159" s="1576"/>
      <c r="OR159" s="1576"/>
      <c r="OS159" s="1576"/>
      <c r="OT159" s="1576"/>
      <c r="OU159" s="1576"/>
      <c r="OV159" s="1576"/>
      <c r="OW159" s="1576"/>
      <c r="OX159" s="1576"/>
      <c r="OY159" s="1576"/>
      <c r="OZ159" s="1576"/>
      <c r="PA159" s="1576"/>
      <c r="PB159" s="1576"/>
      <c r="PC159" s="1576"/>
      <c r="PD159" s="1576"/>
      <c r="PE159" s="1576"/>
      <c r="PF159" s="1576"/>
      <c r="PG159" s="1576"/>
      <c r="PH159" s="1576"/>
      <c r="PI159" s="1576"/>
      <c r="PJ159" s="1576"/>
      <c r="PK159" s="1576"/>
      <c r="PL159" s="1576"/>
      <c r="PM159" s="1576"/>
      <c r="PN159" s="1576"/>
      <c r="PO159" s="1576"/>
      <c r="PP159" s="1576"/>
      <c r="PQ159" s="1576"/>
      <c r="PR159" s="1576"/>
      <c r="PS159" s="1576"/>
      <c r="PT159" s="1576"/>
      <c r="PU159" s="1576"/>
      <c r="PV159" s="1576"/>
      <c r="PW159" s="1576"/>
      <c r="PX159" s="1576"/>
      <c r="PY159" s="1576"/>
      <c r="PZ159" s="1576"/>
      <c r="QA159" s="1576"/>
      <c r="QB159" s="1576"/>
      <c r="QC159" s="1576"/>
      <c r="QD159" s="1576"/>
      <c r="QE159" s="1576"/>
      <c r="QF159" s="1576"/>
      <c r="QG159" s="1576"/>
      <c r="QH159" s="1576"/>
      <c r="QI159" s="1576"/>
      <c r="QJ159" s="1576"/>
      <c r="QK159" s="1576"/>
      <c r="QL159" s="1576"/>
      <c r="QM159" s="1576"/>
      <c r="QN159" s="1576"/>
      <c r="QO159" s="1576"/>
      <c r="QP159" s="1576"/>
      <c r="QQ159" s="1576"/>
      <c r="QR159" s="1576"/>
      <c r="QS159" s="1576"/>
      <c r="QT159" s="1576"/>
      <c r="QU159" s="1576"/>
      <c r="QV159" s="1576"/>
      <c r="QW159" s="1576"/>
      <c r="QX159" s="1576"/>
      <c r="QY159" s="1576"/>
      <c r="QZ159" s="1576"/>
      <c r="RA159" s="1576"/>
      <c r="RB159" s="1576"/>
      <c r="RC159" s="1576"/>
      <c r="RD159" s="1576"/>
      <c r="RE159" s="1576"/>
      <c r="RF159" s="1576"/>
      <c r="RG159" s="1576"/>
      <c r="RH159" s="1576"/>
      <c r="RI159" s="1576"/>
      <c r="RJ159" s="1576"/>
      <c r="RK159" s="1576"/>
      <c r="RL159" s="1576"/>
      <c r="RM159" s="1576"/>
      <c r="RN159" s="1576"/>
      <c r="RO159" s="1576"/>
      <c r="RP159" s="1576"/>
      <c r="RQ159" s="1576"/>
      <c r="RR159" s="1576"/>
      <c r="RS159" s="1576"/>
      <c r="RT159" s="1576"/>
      <c r="RU159" s="1576"/>
      <c r="RV159" s="1576"/>
      <c r="RW159" s="1576"/>
      <c r="RX159" s="1576"/>
      <c r="RY159" s="1576"/>
      <c r="RZ159" s="1576"/>
      <c r="SA159" s="1576"/>
      <c r="SB159" s="1576"/>
      <c r="SC159" s="1576"/>
      <c r="SD159" s="1576"/>
      <c r="SE159" s="1576"/>
      <c r="SF159" s="1576"/>
      <c r="SG159" s="1576"/>
      <c r="SH159" s="1576"/>
      <c r="SI159" s="1576"/>
      <c r="SJ159" s="1576"/>
      <c r="SK159" s="1576"/>
      <c r="SL159" s="1576"/>
      <c r="SM159" s="1576"/>
      <c r="SN159" s="1576"/>
      <c r="SO159" s="1576"/>
      <c r="SP159" s="1576"/>
      <c r="SQ159" s="1576"/>
      <c r="SR159" s="1576"/>
      <c r="SS159" s="1576"/>
      <c r="ST159" s="1576"/>
      <c r="SU159" s="1576"/>
      <c r="SV159" s="1576"/>
      <c r="SW159" s="1576"/>
      <c r="SX159" s="1576"/>
      <c r="SY159" s="1576"/>
      <c r="SZ159" s="1576"/>
      <c r="TA159" s="1576"/>
      <c r="TB159" s="1576"/>
      <c r="TC159" s="1576"/>
      <c r="TD159" s="1576"/>
      <c r="TE159" s="1576"/>
      <c r="TF159" s="1576"/>
      <c r="TG159" s="1576"/>
      <c r="TH159" s="1576"/>
      <c r="TI159" s="1576"/>
      <c r="TJ159" s="1576"/>
      <c r="TK159" s="1576"/>
      <c r="TL159" s="1576"/>
      <c r="TM159" s="1576"/>
      <c r="TN159" s="1576"/>
      <c r="TO159" s="1576"/>
      <c r="TP159" s="1576"/>
      <c r="TQ159" s="1576"/>
      <c r="TR159" s="1576"/>
      <c r="TS159" s="1576"/>
      <c r="TT159" s="1576"/>
      <c r="TU159" s="1576"/>
      <c r="TV159" s="1576"/>
      <c r="TW159" s="1576"/>
      <c r="TX159" s="1576"/>
      <c r="TY159" s="1576"/>
      <c r="TZ159" s="1576"/>
      <c r="UA159" s="1576"/>
      <c r="UB159" s="1576"/>
      <c r="UC159" s="1576"/>
      <c r="UD159" s="1576"/>
      <c r="UE159" s="1576"/>
      <c r="UF159" s="1576"/>
      <c r="UG159" s="1576"/>
      <c r="UH159" s="1576"/>
      <c r="UI159" s="1576"/>
      <c r="UJ159" s="1576"/>
      <c r="UK159" s="1576"/>
      <c r="UL159" s="1576"/>
      <c r="UM159" s="1576"/>
      <c r="UN159" s="1576"/>
      <c r="UO159" s="1576"/>
      <c r="UP159" s="1576"/>
      <c r="UQ159" s="1576"/>
      <c r="UR159" s="1576"/>
      <c r="US159" s="1576"/>
      <c r="UT159" s="1576"/>
      <c r="UU159" s="1576"/>
      <c r="UV159" s="1576"/>
      <c r="UW159" s="1576"/>
      <c r="UX159" s="1576"/>
      <c r="UY159" s="1576"/>
      <c r="UZ159" s="1576"/>
      <c r="VA159" s="1576"/>
      <c r="VB159" s="1576"/>
      <c r="VC159" s="1576"/>
      <c r="VD159" s="1576"/>
      <c r="VE159" s="1576"/>
      <c r="VF159" s="1576"/>
      <c r="VG159" s="1576"/>
      <c r="VH159" s="1576"/>
      <c r="VI159" s="1576"/>
      <c r="VJ159" s="1576"/>
      <c r="VK159" s="1576"/>
    </row>
    <row r="160" spans="1:583" ht="40.5" customHeight="1" x14ac:dyDescent="0.25">
      <c r="A160" s="691" t="s">
        <v>3833</v>
      </c>
      <c r="B160" s="1610" t="s">
        <v>2853</v>
      </c>
      <c r="C160" s="2062" t="s">
        <v>2957</v>
      </c>
      <c r="D160" s="1582" t="s">
        <v>2853</v>
      </c>
      <c r="E160" s="2062" t="s">
        <v>2957</v>
      </c>
      <c r="F160" s="2061" t="e">
        <f>SUM(F155:F159)</f>
        <v>#DIV/0!</v>
      </c>
      <c r="G160" s="2061" t="e">
        <f t="shared" ref="G160:BR160" si="228">SUM(G155:G159)</f>
        <v>#DIV/0!</v>
      </c>
      <c r="H160" s="2061" t="e">
        <f t="shared" si="228"/>
        <v>#DIV/0!</v>
      </c>
      <c r="I160" s="2061" t="e">
        <f t="shared" si="228"/>
        <v>#DIV/0!</v>
      </c>
      <c r="J160" s="2061" t="e">
        <f t="shared" si="228"/>
        <v>#DIV/0!</v>
      </c>
      <c r="K160" s="2061" t="e">
        <f t="shared" si="228"/>
        <v>#DIV/0!</v>
      </c>
      <c r="L160" s="2061" t="e">
        <f t="shared" si="228"/>
        <v>#DIV/0!</v>
      </c>
      <c r="M160" s="2061" t="e">
        <f t="shared" si="228"/>
        <v>#DIV/0!</v>
      </c>
      <c r="N160" s="2061" t="e">
        <f t="shared" si="228"/>
        <v>#DIV/0!</v>
      </c>
      <c r="O160" s="2061" t="e">
        <f t="shared" si="228"/>
        <v>#DIV/0!</v>
      </c>
      <c r="P160" s="2061" t="e">
        <f t="shared" si="228"/>
        <v>#DIV/0!</v>
      </c>
      <c r="Q160" s="2061" t="e">
        <f t="shared" si="228"/>
        <v>#DIV/0!</v>
      </c>
      <c r="R160" s="2061" t="e">
        <f t="shared" si="228"/>
        <v>#DIV/0!</v>
      </c>
      <c r="S160" s="2061" t="e">
        <f t="shared" si="228"/>
        <v>#DIV/0!</v>
      </c>
      <c r="T160" s="2061" t="e">
        <f t="shared" si="228"/>
        <v>#DIV/0!</v>
      </c>
      <c r="U160" s="2061" t="e">
        <f t="shared" si="228"/>
        <v>#DIV/0!</v>
      </c>
      <c r="V160" s="2061" t="e">
        <f t="shared" si="228"/>
        <v>#DIV/0!</v>
      </c>
      <c r="W160" s="2061">
        <f t="shared" si="228"/>
        <v>0</v>
      </c>
      <c r="X160" s="2061">
        <f t="shared" si="228"/>
        <v>0</v>
      </c>
      <c r="Y160" s="2061">
        <f t="shared" si="228"/>
        <v>0</v>
      </c>
      <c r="Z160" s="2061">
        <f t="shared" si="228"/>
        <v>0</v>
      </c>
      <c r="AA160" s="2061">
        <f t="shared" si="228"/>
        <v>0</v>
      </c>
      <c r="AB160" s="2061">
        <f t="shared" si="228"/>
        <v>0</v>
      </c>
      <c r="AC160" s="2061">
        <f t="shared" si="228"/>
        <v>0</v>
      </c>
      <c r="AD160" s="2061">
        <f t="shared" si="228"/>
        <v>0</v>
      </c>
      <c r="AE160" s="2061">
        <f t="shared" si="228"/>
        <v>0</v>
      </c>
      <c r="AF160" s="2061">
        <f t="shared" si="228"/>
        <v>0</v>
      </c>
      <c r="AG160" s="2061">
        <f t="shared" si="228"/>
        <v>0</v>
      </c>
      <c r="AH160" s="2061">
        <f t="shared" si="228"/>
        <v>0</v>
      </c>
      <c r="AI160" s="2061">
        <f t="shared" si="228"/>
        <v>0</v>
      </c>
      <c r="AJ160" s="2061">
        <f t="shared" si="228"/>
        <v>0</v>
      </c>
      <c r="AK160" s="2061">
        <f t="shared" si="228"/>
        <v>0</v>
      </c>
      <c r="AL160" s="2061">
        <f t="shared" si="228"/>
        <v>0</v>
      </c>
      <c r="AM160" s="2061">
        <f t="shared" si="228"/>
        <v>0</v>
      </c>
      <c r="AN160" s="2061">
        <f t="shared" si="228"/>
        <v>0</v>
      </c>
      <c r="AO160" s="2061">
        <f t="shared" si="228"/>
        <v>0</v>
      </c>
      <c r="AP160" s="2061">
        <f t="shared" si="228"/>
        <v>0</v>
      </c>
      <c r="AQ160" s="2061">
        <f t="shared" si="228"/>
        <v>0</v>
      </c>
      <c r="AR160" s="2061">
        <f t="shared" si="228"/>
        <v>0</v>
      </c>
      <c r="AS160" s="2061">
        <f t="shared" si="228"/>
        <v>0</v>
      </c>
      <c r="AT160" s="2061">
        <f t="shared" si="228"/>
        <v>0</v>
      </c>
      <c r="AU160" s="2061">
        <f t="shared" si="228"/>
        <v>0</v>
      </c>
      <c r="AV160" s="2061">
        <f t="shared" si="228"/>
        <v>0</v>
      </c>
      <c r="AW160" s="2061">
        <f t="shared" si="228"/>
        <v>0</v>
      </c>
      <c r="AX160" s="2061">
        <f t="shared" si="228"/>
        <v>0</v>
      </c>
      <c r="AY160" s="2061">
        <f t="shared" si="228"/>
        <v>0</v>
      </c>
      <c r="AZ160" s="2061">
        <f t="shared" si="228"/>
        <v>0</v>
      </c>
      <c r="BA160" s="2061">
        <f t="shared" si="228"/>
        <v>0</v>
      </c>
      <c r="BB160" s="2061">
        <f t="shared" si="228"/>
        <v>0</v>
      </c>
      <c r="BC160" s="2061">
        <f t="shared" si="228"/>
        <v>0</v>
      </c>
      <c r="BD160" s="2061">
        <f t="shared" si="228"/>
        <v>0</v>
      </c>
      <c r="BE160" s="2061">
        <f t="shared" si="228"/>
        <v>0</v>
      </c>
      <c r="BF160" s="2061">
        <f t="shared" si="228"/>
        <v>0</v>
      </c>
      <c r="BG160" s="2061">
        <f t="shared" si="228"/>
        <v>0</v>
      </c>
      <c r="BH160" s="2061">
        <f t="shared" si="228"/>
        <v>0</v>
      </c>
      <c r="BI160" s="2061">
        <f t="shared" si="228"/>
        <v>0</v>
      </c>
      <c r="BJ160" s="2061">
        <f t="shared" si="228"/>
        <v>0</v>
      </c>
      <c r="BK160" s="2061">
        <f t="shared" si="228"/>
        <v>0</v>
      </c>
      <c r="BL160" s="2061">
        <f t="shared" si="228"/>
        <v>0</v>
      </c>
      <c r="BM160" s="2061">
        <f t="shared" si="228"/>
        <v>0</v>
      </c>
      <c r="BN160" s="2061">
        <f t="shared" si="228"/>
        <v>0</v>
      </c>
      <c r="BO160" s="2061">
        <f t="shared" si="228"/>
        <v>0</v>
      </c>
      <c r="BP160" s="2061">
        <f t="shared" si="228"/>
        <v>0</v>
      </c>
      <c r="BQ160" s="2061">
        <f t="shared" si="228"/>
        <v>0</v>
      </c>
      <c r="BR160" s="2061">
        <f t="shared" si="228"/>
        <v>0</v>
      </c>
      <c r="BS160" s="2061">
        <f t="shared" ref="BS160:ED160" si="229">SUM(BS155:BS159)</f>
        <v>0</v>
      </c>
      <c r="BT160" s="2061">
        <f t="shared" si="229"/>
        <v>0</v>
      </c>
      <c r="BU160" s="2061">
        <f t="shared" si="229"/>
        <v>0</v>
      </c>
      <c r="BV160" s="2061">
        <f t="shared" si="229"/>
        <v>95</v>
      </c>
      <c r="BW160" s="2061">
        <f t="shared" si="229"/>
        <v>95.03681319800944</v>
      </c>
      <c r="BX160" s="2061">
        <f t="shared" si="229"/>
        <v>95.073640661403587</v>
      </c>
      <c r="BY160" s="2061">
        <f t="shared" si="229"/>
        <v>95.110482395710378</v>
      </c>
      <c r="BZ160" s="2061">
        <f t="shared" si="229"/>
        <v>95.147338406459923</v>
      </c>
      <c r="CA160" s="2061">
        <f t="shared" si="229"/>
        <v>95.184208699184424</v>
      </c>
      <c r="CB160" s="2061">
        <f t="shared" si="229"/>
        <v>95.221093279418255</v>
      </c>
      <c r="CC160" s="2061">
        <f t="shared" si="229"/>
        <v>95.257992152697952</v>
      </c>
      <c r="CD160" s="2061">
        <f t="shared" si="229"/>
        <v>95.294905324562137</v>
      </c>
      <c r="CE160" s="2061">
        <f t="shared" si="229"/>
        <v>95.331832800551652</v>
      </c>
      <c r="CF160" s="2061">
        <f t="shared" si="229"/>
        <v>95.368774586209426</v>
      </c>
      <c r="CG160" s="2061">
        <f t="shared" si="229"/>
        <v>95.405730687080592</v>
      </c>
      <c r="CH160" s="2061">
        <f t="shared" si="229"/>
        <v>95.442701108712356</v>
      </c>
      <c r="CI160" s="2061">
        <f t="shared" si="229"/>
        <v>95.479685856654143</v>
      </c>
      <c r="CJ160" s="2061">
        <f t="shared" si="229"/>
        <v>95.516684936457523</v>
      </c>
      <c r="CK160" s="2061">
        <f t="shared" si="229"/>
        <v>95.553698353676168</v>
      </c>
      <c r="CL160" s="2061">
        <f t="shared" si="229"/>
        <v>95.590726113865927</v>
      </c>
      <c r="CM160" s="2061">
        <f t="shared" si="229"/>
        <v>0</v>
      </c>
      <c r="CN160" s="2061">
        <f t="shared" si="229"/>
        <v>0</v>
      </c>
      <c r="CO160" s="2061">
        <f t="shared" si="229"/>
        <v>0</v>
      </c>
      <c r="CP160" s="2061">
        <f t="shared" si="229"/>
        <v>0</v>
      </c>
      <c r="CQ160" s="2061">
        <f t="shared" si="229"/>
        <v>0</v>
      </c>
      <c r="CR160" s="2061">
        <f t="shared" si="229"/>
        <v>0</v>
      </c>
      <c r="CS160" s="2061">
        <f t="shared" si="229"/>
        <v>0</v>
      </c>
      <c r="CT160" s="2061">
        <f t="shared" si="229"/>
        <v>0</v>
      </c>
      <c r="CU160" s="2061">
        <f t="shared" si="229"/>
        <v>0</v>
      </c>
      <c r="CV160" s="2061">
        <f t="shared" si="229"/>
        <v>0</v>
      </c>
      <c r="CW160" s="2061">
        <f t="shared" si="229"/>
        <v>0</v>
      </c>
      <c r="CX160" s="2061">
        <f t="shared" si="229"/>
        <v>0</v>
      </c>
      <c r="CY160" s="2061">
        <f t="shared" si="229"/>
        <v>0</v>
      </c>
      <c r="CZ160" s="2061">
        <f t="shared" si="229"/>
        <v>0</v>
      </c>
      <c r="DA160" s="2061">
        <f t="shared" si="229"/>
        <v>0</v>
      </c>
      <c r="DB160" s="2061">
        <f t="shared" si="229"/>
        <v>0</v>
      </c>
      <c r="DC160" s="2061">
        <f t="shared" si="229"/>
        <v>0</v>
      </c>
      <c r="DD160" s="2061">
        <f t="shared" si="229"/>
        <v>0</v>
      </c>
      <c r="DE160" s="2061">
        <f t="shared" si="229"/>
        <v>0</v>
      </c>
      <c r="DF160" s="2061">
        <f t="shared" si="229"/>
        <v>0</v>
      </c>
      <c r="DG160" s="2061">
        <f t="shared" si="229"/>
        <v>0</v>
      </c>
      <c r="DH160" s="2061">
        <f t="shared" si="229"/>
        <v>0</v>
      </c>
      <c r="DI160" s="2061">
        <f t="shared" si="229"/>
        <v>0</v>
      </c>
      <c r="DJ160" s="2061">
        <f t="shared" si="229"/>
        <v>0</v>
      </c>
      <c r="DK160" s="2061">
        <f t="shared" si="229"/>
        <v>0</v>
      </c>
      <c r="DL160" s="2061">
        <f t="shared" si="229"/>
        <v>0</v>
      </c>
      <c r="DM160" s="2061">
        <f t="shared" si="229"/>
        <v>0</v>
      </c>
      <c r="DN160" s="2061">
        <f t="shared" si="229"/>
        <v>0</v>
      </c>
      <c r="DO160" s="2061">
        <f t="shared" si="229"/>
        <v>0</v>
      </c>
      <c r="DP160" s="2061">
        <f t="shared" si="229"/>
        <v>0</v>
      </c>
      <c r="DQ160" s="2061">
        <f t="shared" si="229"/>
        <v>0</v>
      </c>
      <c r="DR160" s="2061">
        <f t="shared" si="229"/>
        <v>0</v>
      </c>
      <c r="DS160" s="2061">
        <f t="shared" si="229"/>
        <v>0</v>
      </c>
      <c r="DT160" s="2061">
        <f t="shared" si="229"/>
        <v>0</v>
      </c>
      <c r="DU160" s="2061">
        <f t="shared" si="229"/>
        <v>0</v>
      </c>
      <c r="DV160" s="2061">
        <f t="shared" si="229"/>
        <v>0</v>
      </c>
      <c r="DW160" s="2061">
        <f t="shared" si="229"/>
        <v>0</v>
      </c>
      <c r="DX160" s="2061">
        <f t="shared" si="229"/>
        <v>0</v>
      </c>
      <c r="DY160" s="2061">
        <f t="shared" si="229"/>
        <v>0</v>
      </c>
      <c r="DZ160" s="2061">
        <f t="shared" si="229"/>
        <v>0</v>
      </c>
      <c r="EA160" s="2061">
        <f t="shared" si="229"/>
        <v>0</v>
      </c>
      <c r="EB160" s="2061">
        <f t="shared" si="229"/>
        <v>0</v>
      </c>
      <c r="EC160" s="2061">
        <f t="shared" si="229"/>
        <v>0</v>
      </c>
      <c r="ED160" s="2061">
        <f t="shared" si="229"/>
        <v>0</v>
      </c>
      <c r="EE160" s="2061">
        <f t="shared" ref="EE160:GP160" si="230">SUM(EE155:EE159)</f>
        <v>0</v>
      </c>
      <c r="EF160" s="2061">
        <f t="shared" si="230"/>
        <v>0</v>
      </c>
      <c r="EG160" s="2061">
        <f t="shared" si="230"/>
        <v>0</v>
      </c>
      <c r="EH160" s="2061">
        <f t="shared" si="230"/>
        <v>0</v>
      </c>
      <c r="EI160" s="2061">
        <f t="shared" si="230"/>
        <v>0</v>
      </c>
      <c r="EJ160" s="2061">
        <f t="shared" si="230"/>
        <v>0</v>
      </c>
      <c r="EK160" s="2061">
        <f t="shared" si="230"/>
        <v>0</v>
      </c>
      <c r="EL160" s="2061">
        <f t="shared" si="230"/>
        <v>0</v>
      </c>
      <c r="EM160" s="2061">
        <f t="shared" si="230"/>
        <v>0</v>
      </c>
      <c r="EN160" s="2061">
        <f t="shared" si="230"/>
        <v>0</v>
      </c>
      <c r="EO160" s="2061">
        <f t="shared" si="230"/>
        <v>0</v>
      </c>
      <c r="EP160" s="2061">
        <f t="shared" si="230"/>
        <v>0</v>
      </c>
      <c r="EQ160" s="2061">
        <f t="shared" si="230"/>
        <v>0</v>
      </c>
      <c r="ER160" s="2061">
        <f t="shared" si="230"/>
        <v>0</v>
      </c>
      <c r="ES160" s="2061">
        <f t="shared" si="230"/>
        <v>0</v>
      </c>
      <c r="ET160" s="2061">
        <f t="shared" si="230"/>
        <v>0</v>
      </c>
      <c r="EU160" s="2061">
        <f t="shared" si="230"/>
        <v>0</v>
      </c>
      <c r="EV160" s="2061">
        <f t="shared" si="230"/>
        <v>0</v>
      </c>
      <c r="EW160" s="2061">
        <f t="shared" si="230"/>
        <v>0</v>
      </c>
      <c r="EX160" s="2061">
        <f t="shared" si="230"/>
        <v>0</v>
      </c>
      <c r="EY160" s="2061">
        <f t="shared" si="230"/>
        <v>0</v>
      </c>
      <c r="EZ160" s="2061">
        <f t="shared" si="230"/>
        <v>0</v>
      </c>
      <c r="FA160" s="2061">
        <f t="shared" si="230"/>
        <v>0</v>
      </c>
      <c r="FB160" s="2061">
        <f t="shared" si="230"/>
        <v>0</v>
      </c>
      <c r="FC160" s="2061">
        <f t="shared" si="230"/>
        <v>0</v>
      </c>
      <c r="FD160" s="2061">
        <f t="shared" si="230"/>
        <v>0</v>
      </c>
      <c r="FE160" s="2061">
        <f t="shared" si="230"/>
        <v>0</v>
      </c>
      <c r="FF160" s="2061">
        <f t="shared" si="230"/>
        <v>0</v>
      </c>
      <c r="FG160" s="2061">
        <f t="shared" si="230"/>
        <v>0</v>
      </c>
      <c r="FH160" s="2061">
        <f t="shared" si="230"/>
        <v>0</v>
      </c>
      <c r="FI160" s="2061">
        <f t="shared" si="230"/>
        <v>0</v>
      </c>
      <c r="FJ160" s="2061">
        <f t="shared" si="230"/>
        <v>0</v>
      </c>
      <c r="FK160" s="2061">
        <f t="shared" si="230"/>
        <v>0</v>
      </c>
      <c r="FL160" s="2061">
        <f t="shared" si="230"/>
        <v>0</v>
      </c>
      <c r="FM160" s="2061">
        <f t="shared" si="230"/>
        <v>0</v>
      </c>
      <c r="FN160" s="2061">
        <f t="shared" si="230"/>
        <v>0</v>
      </c>
      <c r="FO160" s="2061">
        <f t="shared" si="230"/>
        <v>0</v>
      </c>
      <c r="FP160" s="2061">
        <f t="shared" si="230"/>
        <v>0</v>
      </c>
      <c r="FQ160" s="2061">
        <f t="shared" si="230"/>
        <v>0</v>
      </c>
      <c r="FR160" s="2061">
        <f t="shared" si="230"/>
        <v>0</v>
      </c>
      <c r="FS160" s="2061">
        <f t="shared" si="230"/>
        <v>0</v>
      </c>
      <c r="FT160" s="2061">
        <f t="shared" si="230"/>
        <v>0</v>
      </c>
      <c r="FU160" s="2061">
        <f t="shared" si="230"/>
        <v>0</v>
      </c>
      <c r="FV160" s="2061">
        <f t="shared" si="230"/>
        <v>0</v>
      </c>
      <c r="FW160" s="2061">
        <f t="shared" si="230"/>
        <v>0</v>
      </c>
      <c r="FX160" s="2061">
        <f t="shared" si="230"/>
        <v>0</v>
      </c>
      <c r="FY160" s="2061">
        <f t="shared" si="230"/>
        <v>0</v>
      </c>
      <c r="FZ160" s="2061">
        <f t="shared" si="230"/>
        <v>0</v>
      </c>
      <c r="GA160" s="2061">
        <f t="shared" si="230"/>
        <v>0</v>
      </c>
      <c r="GB160" s="2061">
        <f t="shared" si="230"/>
        <v>0</v>
      </c>
      <c r="GC160" s="2061">
        <f t="shared" si="230"/>
        <v>0</v>
      </c>
      <c r="GD160" s="2061">
        <f t="shared" si="230"/>
        <v>0</v>
      </c>
      <c r="GE160" s="2061">
        <f t="shared" si="230"/>
        <v>0</v>
      </c>
      <c r="GF160" s="2061">
        <f t="shared" si="230"/>
        <v>0</v>
      </c>
      <c r="GG160" s="2061">
        <f t="shared" si="230"/>
        <v>0</v>
      </c>
      <c r="GH160" s="2061">
        <f t="shared" si="230"/>
        <v>0</v>
      </c>
      <c r="GI160" s="2061">
        <f t="shared" si="230"/>
        <v>0</v>
      </c>
      <c r="GJ160" s="2061">
        <f t="shared" si="230"/>
        <v>0</v>
      </c>
      <c r="GK160" s="2061">
        <f t="shared" si="230"/>
        <v>0</v>
      </c>
      <c r="GL160" s="2061">
        <f t="shared" si="230"/>
        <v>0</v>
      </c>
      <c r="GM160" s="2061">
        <f t="shared" si="230"/>
        <v>0</v>
      </c>
      <c r="GN160" s="2061">
        <f t="shared" si="230"/>
        <v>0</v>
      </c>
      <c r="GO160" s="2061">
        <f t="shared" si="230"/>
        <v>0</v>
      </c>
      <c r="GP160" s="2061">
        <f t="shared" si="230"/>
        <v>0</v>
      </c>
      <c r="GQ160" s="2061">
        <f t="shared" ref="GQ160:JB160" si="231">SUM(GQ155:GQ159)</f>
        <v>0</v>
      </c>
      <c r="GR160" s="2061">
        <f t="shared" si="231"/>
        <v>0</v>
      </c>
      <c r="GS160" s="2061">
        <f t="shared" si="231"/>
        <v>0</v>
      </c>
      <c r="GT160" s="2061">
        <f t="shared" si="231"/>
        <v>0</v>
      </c>
      <c r="GU160" s="2061">
        <f t="shared" si="231"/>
        <v>0</v>
      </c>
      <c r="GV160" s="2061">
        <f t="shared" si="231"/>
        <v>0</v>
      </c>
      <c r="GW160" s="2061">
        <f t="shared" si="231"/>
        <v>0</v>
      </c>
      <c r="GX160" s="2061">
        <f t="shared" si="231"/>
        <v>0</v>
      </c>
      <c r="GY160" s="2061">
        <f t="shared" si="231"/>
        <v>0</v>
      </c>
      <c r="GZ160" s="2061">
        <f t="shared" si="231"/>
        <v>0</v>
      </c>
      <c r="HA160" s="2061">
        <f t="shared" si="231"/>
        <v>0</v>
      </c>
      <c r="HB160" s="2061">
        <f t="shared" si="231"/>
        <v>0</v>
      </c>
      <c r="HC160" s="2061">
        <f t="shared" si="231"/>
        <v>0</v>
      </c>
      <c r="HD160" s="2061">
        <f t="shared" si="231"/>
        <v>0</v>
      </c>
      <c r="HE160" s="2061">
        <f t="shared" si="231"/>
        <v>0</v>
      </c>
      <c r="HF160" s="2061">
        <f t="shared" si="231"/>
        <v>0</v>
      </c>
      <c r="HG160" s="2061">
        <f t="shared" si="231"/>
        <v>0</v>
      </c>
      <c r="HH160" s="2061">
        <f t="shared" si="231"/>
        <v>0</v>
      </c>
      <c r="HI160" s="2061">
        <f t="shared" si="231"/>
        <v>0</v>
      </c>
      <c r="HJ160" s="2061">
        <f t="shared" si="231"/>
        <v>0</v>
      </c>
      <c r="HK160" s="2061">
        <f t="shared" si="231"/>
        <v>0</v>
      </c>
      <c r="HL160" s="2061">
        <f t="shared" si="231"/>
        <v>0</v>
      </c>
      <c r="HM160" s="2061">
        <f t="shared" si="231"/>
        <v>0</v>
      </c>
      <c r="HN160" s="2061">
        <f t="shared" si="231"/>
        <v>0</v>
      </c>
      <c r="HO160" s="2061">
        <f t="shared" si="231"/>
        <v>0</v>
      </c>
      <c r="HP160" s="2061">
        <f t="shared" si="231"/>
        <v>0</v>
      </c>
      <c r="HQ160" s="2061">
        <f t="shared" si="231"/>
        <v>0</v>
      </c>
      <c r="HR160" s="2061">
        <f t="shared" si="231"/>
        <v>0</v>
      </c>
      <c r="HS160" s="2061">
        <f t="shared" si="231"/>
        <v>0</v>
      </c>
      <c r="HT160" s="2061">
        <f t="shared" si="231"/>
        <v>0</v>
      </c>
      <c r="HU160" s="2061">
        <f t="shared" si="231"/>
        <v>0</v>
      </c>
      <c r="HV160" s="2061">
        <f t="shared" si="231"/>
        <v>0</v>
      </c>
      <c r="HW160" s="2061">
        <f t="shared" si="231"/>
        <v>0</v>
      </c>
      <c r="HX160" s="2061">
        <f t="shared" si="231"/>
        <v>0</v>
      </c>
      <c r="HY160" s="2061">
        <f t="shared" si="231"/>
        <v>0</v>
      </c>
      <c r="HZ160" s="2061">
        <f t="shared" si="231"/>
        <v>0</v>
      </c>
      <c r="IA160" s="2061">
        <f t="shared" si="231"/>
        <v>0</v>
      </c>
      <c r="IB160" s="2061">
        <f t="shared" si="231"/>
        <v>0</v>
      </c>
      <c r="IC160" s="2061">
        <f t="shared" si="231"/>
        <v>0</v>
      </c>
      <c r="ID160" s="2061">
        <f t="shared" si="231"/>
        <v>0</v>
      </c>
      <c r="IE160" s="2061">
        <f t="shared" si="231"/>
        <v>0</v>
      </c>
      <c r="IF160" s="2061">
        <f t="shared" si="231"/>
        <v>0</v>
      </c>
      <c r="IG160" s="2061">
        <f t="shared" si="231"/>
        <v>0</v>
      </c>
      <c r="IH160" s="2061">
        <f t="shared" si="231"/>
        <v>0</v>
      </c>
      <c r="II160" s="2061">
        <f t="shared" si="231"/>
        <v>0</v>
      </c>
      <c r="IJ160" s="2061">
        <f t="shared" si="231"/>
        <v>0</v>
      </c>
      <c r="IK160" s="2061">
        <f t="shared" si="231"/>
        <v>0</v>
      </c>
      <c r="IL160" s="2061">
        <f t="shared" si="231"/>
        <v>0</v>
      </c>
      <c r="IM160" s="2061">
        <f t="shared" si="231"/>
        <v>0</v>
      </c>
      <c r="IN160" s="2061">
        <f t="shared" si="231"/>
        <v>0</v>
      </c>
      <c r="IO160" s="2061">
        <f t="shared" si="231"/>
        <v>0</v>
      </c>
      <c r="IP160" s="2061">
        <f t="shared" si="231"/>
        <v>0</v>
      </c>
      <c r="IQ160" s="2061">
        <f t="shared" si="231"/>
        <v>0</v>
      </c>
      <c r="IR160" s="2061">
        <f t="shared" si="231"/>
        <v>0</v>
      </c>
      <c r="IS160" s="2061">
        <f t="shared" si="231"/>
        <v>0</v>
      </c>
      <c r="IT160" s="2061">
        <f t="shared" si="231"/>
        <v>0</v>
      </c>
      <c r="IU160" s="2061">
        <f t="shared" si="231"/>
        <v>0</v>
      </c>
      <c r="IV160" s="2061">
        <f t="shared" si="231"/>
        <v>0</v>
      </c>
      <c r="IW160" s="2061">
        <f t="shared" si="231"/>
        <v>0</v>
      </c>
      <c r="IX160" s="2061">
        <f t="shared" si="231"/>
        <v>0</v>
      </c>
      <c r="IY160" s="2061">
        <f t="shared" si="231"/>
        <v>0</v>
      </c>
      <c r="IZ160" s="2061">
        <f t="shared" si="231"/>
        <v>0</v>
      </c>
      <c r="JA160" s="2061">
        <f t="shared" si="231"/>
        <v>0</v>
      </c>
      <c r="JB160" s="2061">
        <f t="shared" si="231"/>
        <v>0</v>
      </c>
      <c r="JC160" s="2061">
        <f t="shared" ref="JC160:LN160" si="232">SUM(JC155:JC159)</f>
        <v>0</v>
      </c>
      <c r="JD160" s="2061">
        <f t="shared" si="232"/>
        <v>0</v>
      </c>
      <c r="JE160" s="2061">
        <f t="shared" si="232"/>
        <v>0</v>
      </c>
      <c r="JF160" s="2061">
        <f t="shared" si="232"/>
        <v>0</v>
      </c>
      <c r="JG160" s="2061">
        <f t="shared" si="232"/>
        <v>0</v>
      </c>
      <c r="JH160" s="2061">
        <f t="shared" si="232"/>
        <v>0</v>
      </c>
      <c r="JI160" s="2061">
        <f t="shared" si="232"/>
        <v>0</v>
      </c>
      <c r="JJ160" s="2061">
        <f t="shared" si="232"/>
        <v>0</v>
      </c>
      <c r="JK160" s="2061">
        <f t="shared" si="232"/>
        <v>0</v>
      </c>
      <c r="JL160" s="2061">
        <f t="shared" si="232"/>
        <v>0</v>
      </c>
      <c r="JM160" s="2061">
        <f t="shared" si="232"/>
        <v>0</v>
      </c>
      <c r="JN160" s="2061">
        <f t="shared" si="232"/>
        <v>0</v>
      </c>
      <c r="JO160" s="2061">
        <f t="shared" si="232"/>
        <v>0</v>
      </c>
      <c r="JP160" s="2061">
        <f t="shared" si="232"/>
        <v>0</v>
      </c>
      <c r="JQ160" s="2061">
        <f t="shared" si="232"/>
        <v>0</v>
      </c>
      <c r="JR160" s="2061">
        <f t="shared" si="232"/>
        <v>0</v>
      </c>
      <c r="JS160" s="2061">
        <f t="shared" si="232"/>
        <v>0</v>
      </c>
      <c r="JT160" s="2061">
        <f t="shared" si="232"/>
        <v>0</v>
      </c>
      <c r="JU160" s="2061">
        <f t="shared" si="232"/>
        <v>0</v>
      </c>
      <c r="JV160" s="2061">
        <f t="shared" si="232"/>
        <v>0</v>
      </c>
      <c r="JW160" s="2061">
        <f t="shared" si="232"/>
        <v>0</v>
      </c>
      <c r="JX160" s="2061">
        <f t="shared" si="232"/>
        <v>0</v>
      </c>
      <c r="JY160" s="2061">
        <f t="shared" si="232"/>
        <v>0</v>
      </c>
      <c r="JZ160" s="2061">
        <f t="shared" si="232"/>
        <v>0</v>
      </c>
      <c r="KA160" s="2061">
        <f t="shared" si="232"/>
        <v>0</v>
      </c>
      <c r="KB160" s="2061">
        <f t="shared" si="232"/>
        <v>0</v>
      </c>
      <c r="KC160" s="2061">
        <f t="shared" si="232"/>
        <v>0</v>
      </c>
      <c r="KD160" s="2061">
        <f t="shared" si="232"/>
        <v>0</v>
      </c>
      <c r="KE160" s="2061">
        <f t="shared" si="232"/>
        <v>0</v>
      </c>
      <c r="KF160" s="2061">
        <f t="shared" si="232"/>
        <v>0</v>
      </c>
      <c r="KG160" s="2061">
        <f t="shared" si="232"/>
        <v>0</v>
      </c>
      <c r="KH160" s="2061">
        <f t="shared" si="232"/>
        <v>0</v>
      </c>
      <c r="KI160" s="2061">
        <f t="shared" si="232"/>
        <v>0</v>
      </c>
      <c r="KJ160" s="2061">
        <f t="shared" si="232"/>
        <v>0</v>
      </c>
      <c r="KK160" s="2061">
        <f t="shared" si="232"/>
        <v>0</v>
      </c>
      <c r="KL160" s="2061">
        <f t="shared" si="232"/>
        <v>0</v>
      </c>
      <c r="KM160" s="2061">
        <f t="shared" si="232"/>
        <v>0</v>
      </c>
      <c r="KN160" s="2061">
        <f t="shared" si="232"/>
        <v>0</v>
      </c>
      <c r="KO160" s="2061">
        <f t="shared" si="232"/>
        <v>0</v>
      </c>
      <c r="KP160" s="2061">
        <f t="shared" si="232"/>
        <v>0</v>
      </c>
      <c r="KQ160" s="2061">
        <f t="shared" si="232"/>
        <v>0</v>
      </c>
      <c r="KR160" s="2061">
        <f t="shared" si="232"/>
        <v>0</v>
      </c>
      <c r="KS160" s="2061">
        <f t="shared" si="232"/>
        <v>0</v>
      </c>
      <c r="KT160" s="2061">
        <f t="shared" si="232"/>
        <v>0</v>
      </c>
      <c r="KU160" s="2061">
        <f t="shared" si="232"/>
        <v>0</v>
      </c>
      <c r="KV160" s="2061">
        <f t="shared" si="232"/>
        <v>0</v>
      </c>
      <c r="KW160" s="2061">
        <f t="shared" si="232"/>
        <v>0</v>
      </c>
      <c r="KX160" s="2061">
        <f t="shared" si="232"/>
        <v>0</v>
      </c>
      <c r="KY160" s="2061">
        <f t="shared" si="232"/>
        <v>0</v>
      </c>
      <c r="KZ160" s="2061">
        <f t="shared" si="232"/>
        <v>0</v>
      </c>
      <c r="LA160" s="2061">
        <f t="shared" si="232"/>
        <v>0</v>
      </c>
      <c r="LB160" s="2061">
        <f t="shared" si="232"/>
        <v>0</v>
      </c>
      <c r="LC160" s="2061">
        <f t="shared" si="232"/>
        <v>0</v>
      </c>
      <c r="LD160" s="2061">
        <f t="shared" si="232"/>
        <v>0</v>
      </c>
      <c r="LE160" s="2061">
        <f t="shared" si="232"/>
        <v>0</v>
      </c>
      <c r="LF160" s="2061">
        <f t="shared" si="232"/>
        <v>0</v>
      </c>
      <c r="LG160" s="2061">
        <f t="shared" si="232"/>
        <v>0</v>
      </c>
      <c r="LH160" s="2061">
        <f t="shared" si="232"/>
        <v>0</v>
      </c>
      <c r="LI160" s="2061">
        <f t="shared" si="232"/>
        <v>0</v>
      </c>
      <c r="LJ160" s="2061">
        <f t="shared" si="232"/>
        <v>0</v>
      </c>
      <c r="LK160" s="2061">
        <f t="shared" si="232"/>
        <v>0</v>
      </c>
      <c r="LL160" s="2061">
        <f t="shared" si="232"/>
        <v>0</v>
      </c>
      <c r="LM160" s="2061">
        <f t="shared" si="232"/>
        <v>0</v>
      </c>
      <c r="LN160" s="2061">
        <f t="shared" si="232"/>
        <v>0</v>
      </c>
      <c r="LO160" s="2061">
        <f t="shared" ref="LO160:NZ160" si="233">SUM(LO155:LO159)</f>
        <v>0</v>
      </c>
      <c r="LP160" s="2061">
        <f t="shared" si="233"/>
        <v>0</v>
      </c>
      <c r="LQ160" s="2061">
        <f t="shared" si="233"/>
        <v>0</v>
      </c>
      <c r="LR160" s="2061">
        <f t="shared" si="233"/>
        <v>0</v>
      </c>
      <c r="LS160" s="2061">
        <f t="shared" si="233"/>
        <v>0</v>
      </c>
      <c r="LT160" s="2061">
        <f t="shared" si="233"/>
        <v>0</v>
      </c>
      <c r="LU160" s="2061">
        <f t="shared" si="233"/>
        <v>0</v>
      </c>
      <c r="LV160" s="2061">
        <f t="shared" si="233"/>
        <v>0</v>
      </c>
      <c r="LW160" s="2061">
        <f t="shared" si="233"/>
        <v>0</v>
      </c>
      <c r="LX160" s="2061">
        <f t="shared" si="233"/>
        <v>0</v>
      </c>
      <c r="LY160" s="2061">
        <f t="shared" si="233"/>
        <v>0</v>
      </c>
      <c r="LZ160" s="2061">
        <f t="shared" si="233"/>
        <v>0</v>
      </c>
      <c r="MA160" s="2061">
        <f t="shared" si="233"/>
        <v>0</v>
      </c>
      <c r="MB160" s="2061">
        <f t="shared" si="233"/>
        <v>0</v>
      </c>
      <c r="MC160" s="2061">
        <f t="shared" si="233"/>
        <v>0</v>
      </c>
      <c r="MD160" s="2061">
        <f t="shared" si="233"/>
        <v>0</v>
      </c>
      <c r="ME160" s="2061">
        <f t="shared" si="233"/>
        <v>0</v>
      </c>
      <c r="MF160" s="2061">
        <f t="shared" si="233"/>
        <v>0</v>
      </c>
      <c r="MG160" s="2061">
        <f t="shared" si="233"/>
        <v>0</v>
      </c>
      <c r="MH160" s="2061">
        <f t="shared" si="233"/>
        <v>0</v>
      </c>
      <c r="MI160" s="2061">
        <f t="shared" si="233"/>
        <v>0</v>
      </c>
      <c r="MJ160" s="2061">
        <f t="shared" si="233"/>
        <v>0</v>
      </c>
      <c r="MK160" s="2061">
        <f t="shared" si="233"/>
        <v>0</v>
      </c>
      <c r="ML160" s="2061">
        <f t="shared" si="233"/>
        <v>0</v>
      </c>
      <c r="MM160" s="2061">
        <f t="shared" si="233"/>
        <v>0</v>
      </c>
      <c r="MN160" s="2061">
        <f t="shared" si="233"/>
        <v>0</v>
      </c>
      <c r="MO160" s="2061">
        <f t="shared" si="233"/>
        <v>0</v>
      </c>
      <c r="MP160" s="2061">
        <f t="shared" si="233"/>
        <v>0</v>
      </c>
      <c r="MQ160" s="2061">
        <f t="shared" si="233"/>
        <v>0</v>
      </c>
      <c r="MR160" s="2061">
        <f t="shared" si="233"/>
        <v>0</v>
      </c>
      <c r="MS160" s="2061">
        <f t="shared" si="233"/>
        <v>0</v>
      </c>
      <c r="MT160" s="2061">
        <f t="shared" si="233"/>
        <v>0</v>
      </c>
      <c r="MU160" s="2061">
        <f t="shared" si="233"/>
        <v>0</v>
      </c>
      <c r="MV160" s="2061">
        <f t="shared" si="233"/>
        <v>0</v>
      </c>
      <c r="MW160" s="2061">
        <f t="shared" si="233"/>
        <v>0</v>
      </c>
      <c r="MX160" s="2061">
        <f t="shared" si="233"/>
        <v>0</v>
      </c>
      <c r="MY160" s="2061" t="e">
        <f t="shared" si="233"/>
        <v>#DIV/0!</v>
      </c>
      <c r="MZ160" s="2061" t="e">
        <f t="shared" si="233"/>
        <v>#DIV/0!</v>
      </c>
      <c r="NA160" s="2061" t="e">
        <f t="shared" si="233"/>
        <v>#DIV/0!</v>
      </c>
      <c r="NB160" s="2061" t="e">
        <f t="shared" si="233"/>
        <v>#DIV/0!</v>
      </c>
      <c r="NC160" s="2061" t="e">
        <f t="shared" si="233"/>
        <v>#DIV/0!</v>
      </c>
      <c r="ND160" s="2061" t="e">
        <f t="shared" si="233"/>
        <v>#DIV/0!</v>
      </c>
      <c r="NE160" s="2061" t="e">
        <f t="shared" si="233"/>
        <v>#DIV/0!</v>
      </c>
      <c r="NF160" s="2061" t="e">
        <f t="shared" si="233"/>
        <v>#DIV/0!</v>
      </c>
      <c r="NG160" s="2061" t="e">
        <f t="shared" si="233"/>
        <v>#DIV/0!</v>
      </c>
      <c r="NH160" s="2061" t="e">
        <f t="shared" si="233"/>
        <v>#DIV/0!</v>
      </c>
      <c r="NI160" s="2061" t="e">
        <f t="shared" si="233"/>
        <v>#DIV/0!</v>
      </c>
      <c r="NJ160" s="2061" t="e">
        <f t="shared" si="233"/>
        <v>#DIV/0!</v>
      </c>
      <c r="NK160" s="2061" t="e">
        <f t="shared" si="233"/>
        <v>#DIV/0!</v>
      </c>
      <c r="NL160" s="2061" t="e">
        <f t="shared" si="233"/>
        <v>#DIV/0!</v>
      </c>
      <c r="NM160" s="2061" t="e">
        <f t="shared" si="233"/>
        <v>#DIV/0!</v>
      </c>
      <c r="NN160" s="2061" t="e">
        <f t="shared" si="233"/>
        <v>#DIV/0!</v>
      </c>
      <c r="NO160" s="2061" t="e">
        <f t="shared" si="233"/>
        <v>#DIV/0!</v>
      </c>
      <c r="NP160" s="2061">
        <f t="shared" si="233"/>
        <v>0</v>
      </c>
      <c r="NQ160" s="2061">
        <f t="shared" si="233"/>
        <v>0</v>
      </c>
      <c r="NR160" s="2061">
        <f t="shared" si="233"/>
        <v>0</v>
      </c>
      <c r="NS160" s="2061">
        <f t="shared" si="233"/>
        <v>0</v>
      </c>
      <c r="NT160" s="2061">
        <f t="shared" si="233"/>
        <v>0</v>
      </c>
      <c r="NU160" s="2061">
        <f t="shared" si="233"/>
        <v>0</v>
      </c>
      <c r="NV160" s="2061">
        <f t="shared" si="233"/>
        <v>0</v>
      </c>
      <c r="NW160" s="2061">
        <f t="shared" si="233"/>
        <v>0</v>
      </c>
      <c r="NX160" s="2061">
        <f t="shared" si="233"/>
        <v>0</v>
      </c>
      <c r="NY160" s="2061">
        <f t="shared" si="233"/>
        <v>0</v>
      </c>
      <c r="NZ160" s="2061">
        <f t="shared" si="233"/>
        <v>0</v>
      </c>
      <c r="OA160" s="2061">
        <f t="shared" ref="OA160:QL160" si="234">SUM(OA155:OA159)</f>
        <v>0</v>
      </c>
      <c r="OB160" s="2061">
        <f t="shared" si="234"/>
        <v>0</v>
      </c>
      <c r="OC160" s="2061">
        <f t="shared" si="234"/>
        <v>0</v>
      </c>
      <c r="OD160" s="2061">
        <f t="shared" si="234"/>
        <v>0</v>
      </c>
      <c r="OE160" s="2061">
        <f t="shared" si="234"/>
        <v>0</v>
      </c>
      <c r="OF160" s="2061">
        <f t="shared" si="234"/>
        <v>0</v>
      </c>
      <c r="OG160" s="2061">
        <f t="shared" si="234"/>
        <v>0</v>
      </c>
      <c r="OH160" s="2061">
        <f t="shared" si="234"/>
        <v>0</v>
      </c>
      <c r="OI160" s="2061">
        <f t="shared" si="234"/>
        <v>0</v>
      </c>
      <c r="OJ160" s="2061">
        <f t="shared" si="234"/>
        <v>0</v>
      </c>
      <c r="OK160" s="2061">
        <f t="shared" si="234"/>
        <v>0</v>
      </c>
      <c r="OL160" s="2061">
        <f t="shared" si="234"/>
        <v>0</v>
      </c>
      <c r="OM160" s="2061">
        <f t="shared" si="234"/>
        <v>0</v>
      </c>
      <c r="ON160" s="2061">
        <f t="shared" si="234"/>
        <v>0</v>
      </c>
      <c r="OO160" s="2061">
        <f t="shared" si="234"/>
        <v>0</v>
      </c>
      <c r="OP160" s="2061">
        <f t="shared" si="234"/>
        <v>0</v>
      </c>
      <c r="OQ160" s="2061">
        <f t="shared" si="234"/>
        <v>0</v>
      </c>
      <c r="OR160" s="2061">
        <f t="shared" si="234"/>
        <v>0</v>
      </c>
      <c r="OS160" s="2061">
        <f t="shared" si="234"/>
        <v>0</v>
      </c>
      <c r="OT160" s="2061">
        <f t="shared" si="234"/>
        <v>0</v>
      </c>
      <c r="OU160" s="2061">
        <f t="shared" si="234"/>
        <v>0</v>
      </c>
      <c r="OV160" s="2061">
        <f t="shared" si="234"/>
        <v>0</v>
      </c>
      <c r="OW160" s="2061">
        <f t="shared" si="234"/>
        <v>0</v>
      </c>
      <c r="OX160" s="2061">
        <f t="shared" si="234"/>
        <v>0</v>
      </c>
      <c r="OY160" s="2061">
        <f t="shared" si="234"/>
        <v>0</v>
      </c>
      <c r="OZ160" s="2061">
        <f t="shared" si="234"/>
        <v>0</v>
      </c>
      <c r="PA160" s="2061">
        <f t="shared" si="234"/>
        <v>0</v>
      </c>
      <c r="PB160" s="2061">
        <f t="shared" si="234"/>
        <v>0</v>
      </c>
      <c r="PC160" s="2061">
        <f t="shared" si="234"/>
        <v>0</v>
      </c>
      <c r="PD160" s="2061">
        <f t="shared" si="234"/>
        <v>0</v>
      </c>
      <c r="PE160" s="2061">
        <f t="shared" si="234"/>
        <v>0</v>
      </c>
      <c r="PF160" s="2061">
        <f t="shared" si="234"/>
        <v>0</v>
      </c>
      <c r="PG160" s="2061">
        <f t="shared" si="234"/>
        <v>0</v>
      </c>
      <c r="PH160" s="2061">
        <f t="shared" si="234"/>
        <v>0</v>
      </c>
      <c r="PI160" s="2061">
        <f t="shared" si="234"/>
        <v>0</v>
      </c>
      <c r="PJ160" s="2061">
        <f t="shared" si="234"/>
        <v>0</v>
      </c>
      <c r="PK160" s="2061">
        <f t="shared" si="234"/>
        <v>0</v>
      </c>
      <c r="PL160" s="2061">
        <f t="shared" si="234"/>
        <v>0</v>
      </c>
      <c r="PM160" s="2061">
        <f t="shared" si="234"/>
        <v>0</v>
      </c>
      <c r="PN160" s="2061">
        <f t="shared" si="234"/>
        <v>0</v>
      </c>
      <c r="PO160" s="2061">
        <f t="shared" si="234"/>
        <v>0</v>
      </c>
      <c r="PP160" s="2061">
        <f t="shared" si="234"/>
        <v>0</v>
      </c>
      <c r="PQ160" s="2061">
        <f t="shared" si="234"/>
        <v>0</v>
      </c>
      <c r="PR160" s="2061">
        <f t="shared" si="234"/>
        <v>0</v>
      </c>
      <c r="PS160" s="2061">
        <f t="shared" si="234"/>
        <v>0</v>
      </c>
      <c r="PT160" s="2061">
        <f t="shared" si="234"/>
        <v>0</v>
      </c>
      <c r="PU160" s="2061">
        <f t="shared" si="234"/>
        <v>0</v>
      </c>
      <c r="PV160" s="2061">
        <f t="shared" si="234"/>
        <v>0</v>
      </c>
      <c r="PW160" s="2061">
        <f t="shared" si="234"/>
        <v>0</v>
      </c>
      <c r="PX160" s="2061">
        <f t="shared" si="234"/>
        <v>0</v>
      </c>
      <c r="PY160" s="2061">
        <f t="shared" si="234"/>
        <v>0</v>
      </c>
      <c r="PZ160" s="2061">
        <f t="shared" si="234"/>
        <v>0</v>
      </c>
      <c r="QA160" s="2061">
        <f t="shared" si="234"/>
        <v>0</v>
      </c>
      <c r="QB160" s="2061">
        <f t="shared" si="234"/>
        <v>0</v>
      </c>
      <c r="QC160" s="2061">
        <f t="shared" si="234"/>
        <v>0</v>
      </c>
      <c r="QD160" s="2061">
        <f t="shared" si="234"/>
        <v>0</v>
      </c>
      <c r="QE160" s="2061">
        <f t="shared" si="234"/>
        <v>0</v>
      </c>
      <c r="QF160" s="2061">
        <f t="shared" si="234"/>
        <v>0</v>
      </c>
      <c r="QG160" s="2061">
        <f t="shared" si="234"/>
        <v>0</v>
      </c>
      <c r="QH160" s="2061">
        <f t="shared" si="234"/>
        <v>0</v>
      </c>
      <c r="QI160" s="2061">
        <f t="shared" si="234"/>
        <v>0</v>
      </c>
      <c r="QJ160" s="2061">
        <f t="shared" si="234"/>
        <v>0</v>
      </c>
      <c r="QK160" s="2061">
        <f t="shared" si="234"/>
        <v>0</v>
      </c>
      <c r="QL160" s="2061">
        <f t="shared" si="234"/>
        <v>0</v>
      </c>
      <c r="QM160" s="2061">
        <f t="shared" ref="QM160:SX160" si="235">SUM(QM155:QM159)</f>
        <v>0</v>
      </c>
      <c r="QN160" s="2061">
        <f t="shared" si="235"/>
        <v>0</v>
      </c>
      <c r="QO160" s="2061">
        <f t="shared" si="235"/>
        <v>0</v>
      </c>
      <c r="QP160" s="2061">
        <f t="shared" si="235"/>
        <v>0</v>
      </c>
      <c r="QQ160" s="2061">
        <f t="shared" si="235"/>
        <v>0</v>
      </c>
      <c r="QR160" s="2061">
        <f t="shared" si="235"/>
        <v>0</v>
      </c>
      <c r="QS160" s="2061">
        <f t="shared" si="235"/>
        <v>0</v>
      </c>
      <c r="QT160" s="2061">
        <f t="shared" si="235"/>
        <v>0</v>
      </c>
      <c r="QU160" s="2061">
        <f t="shared" si="235"/>
        <v>0</v>
      </c>
      <c r="QV160" s="2061">
        <f t="shared" si="235"/>
        <v>0</v>
      </c>
      <c r="QW160" s="2061">
        <f t="shared" si="235"/>
        <v>0</v>
      </c>
      <c r="QX160" s="2061">
        <f t="shared" si="235"/>
        <v>0</v>
      </c>
      <c r="QY160" s="2061">
        <f t="shared" si="235"/>
        <v>0</v>
      </c>
      <c r="QZ160" s="2061">
        <f t="shared" si="235"/>
        <v>0</v>
      </c>
      <c r="RA160" s="2061">
        <f t="shared" si="235"/>
        <v>0</v>
      </c>
      <c r="RB160" s="2061">
        <f t="shared" si="235"/>
        <v>0</v>
      </c>
      <c r="RC160" s="2061">
        <f t="shared" si="235"/>
        <v>0</v>
      </c>
      <c r="RD160" s="2061">
        <f t="shared" si="235"/>
        <v>0</v>
      </c>
      <c r="RE160" s="2061">
        <f t="shared" si="235"/>
        <v>0</v>
      </c>
      <c r="RF160" s="2061">
        <f t="shared" si="235"/>
        <v>0</v>
      </c>
      <c r="RG160" s="2061">
        <f t="shared" si="235"/>
        <v>0</v>
      </c>
      <c r="RH160" s="2061">
        <f t="shared" si="235"/>
        <v>0</v>
      </c>
      <c r="RI160" s="2061">
        <f t="shared" si="235"/>
        <v>0</v>
      </c>
      <c r="RJ160" s="2061">
        <f t="shared" si="235"/>
        <v>0</v>
      </c>
      <c r="RK160" s="2061">
        <f t="shared" si="235"/>
        <v>0</v>
      </c>
      <c r="RL160" s="2061">
        <f t="shared" si="235"/>
        <v>0</v>
      </c>
      <c r="RM160" s="2061">
        <f t="shared" si="235"/>
        <v>0</v>
      </c>
      <c r="RN160" s="2061">
        <f t="shared" si="235"/>
        <v>0</v>
      </c>
      <c r="RO160" s="2061">
        <f t="shared" si="235"/>
        <v>0</v>
      </c>
      <c r="RP160" s="2061">
        <f t="shared" si="235"/>
        <v>0</v>
      </c>
      <c r="RQ160" s="2061">
        <f t="shared" si="235"/>
        <v>0</v>
      </c>
      <c r="RR160" s="2061">
        <f t="shared" si="235"/>
        <v>0</v>
      </c>
      <c r="RS160" s="2061">
        <f t="shared" si="235"/>
        <v>0</v>
      </c>
      <c r="RT160" s="2061">
        <f t="shared" si="235"/>
        <v>0</v>
      </c>
      <c r="RU160" s="2061">
        <f t="shared" si="235"/>
        <v>0</v>
      </c>
      <c r="RV160" s="2061">
        <f t="shared" si="235"/>
        <v>0</v>
      </c>
      <c r="RW160" s="2061">
        <f t="shared" si="235"/>
        <v>0</v>
      </c>
      <c r="RX160" s="2061">
        <f t="shared" si="235"/>
        <v>0</v>
      </c>
      <c r="RY160" s="2061">
        <f t="shared" si="235"/>
        <v>0</v>
      </c>
      <c r="RZ160" s="2061">
        <f t="shared" si="235"/>
        <v>0</v>
      </c>
      <c r="SA160" s="2061">
        <f t="shared" si="235"/>
        <v>0</v>
      </c>
      <c r="SB160" s="2061">
        <f t="shared" si="235"/>
        <v>0</v>
      </c>
      <c r="SC160" s="2061">
        <f t="shared" si="235"/>
        <v>0</v>
      </c>
      <c r="SD160" s="2061">
        <f t="shared" si="235"/>
        <v>0</v>
      </c>
      <c r="SE160" s="2061">
        <f t="shared" si="235"/>
        <v>0</v>
      </c>
      <c r="SF160" s="2061">
        <f t="shared" si="235"/>
        <v>0</v>
      </c>
      <c r="SG160" s="2061">
        <f t="shared" si="235"/>
        <v>0</v>
      </c>
      <c r="SH160" s="2061">
        <f t="shared" si="235"/>
        <v>0</v>
      </c>
      <c r="SI160" s="2061">
        <f t="shared" si="235"/>
        <v>0</v>
      </c>
      <c r="SJ160" s="2061">
        <f t="shared" si="235"/>
        <v>0</v>
      </c>
      <c r="SK160" s="2061">
        <f t="shared" si="235"/>
        <v>0</v>
      </c>
      <c r="SL160" s="2061">
        <f t="shared" si="235"/>
        <v>0</v>
      </c>
      <c r="SM160" s="2061">
        <f t="shared" si="235"/>
        <v>0</v>
      </c>
      <c r="SN160" s="2061">
        <f t="shared" si="235"/>
        <v>0</v>
      </c>
      <c r="SO160" s="2061">
        <f t="shared" si="235"/>
        <v>0</v>
      </c>
      <c r="SP160" s="2061">
        <f t="shared" si="235"/>
        <v>0</v>
      </c>
      <c r="SQ160" s="2061">
        <f t="shared" si="235"/>
        <v>0</v>
      </c>
      <c r="SR160" s="2061">
        <f t="shared" si="235"/>
        <v>0</v>
      </c>
      <c r="SS160" s="2061">
        <f t="shared" si="235"/>
        <v>0</v>
      </c>
      <c r="ST160" s="2061">
        <f t="shared" si="235"/>
        <v>0</v>
      </c>
      <c r="SU160" s="2061">
        <f t="shared" si="235"/>
        <v>0</v>
      </c>
      <c r="SV160" s="2061">
        <f t="shared" si="235"/>
        <v>0</v>
      </c>
      <c r="SW160" s="2061">
        <f t="shared" si="235"/>
        <v>0</v>
      </c>
      <c r="SX160" s="2061">
        <f t="shared" si="235"/>
        <v>0</v>
      </c>
      <c r="SY160" s="2061">
        <f t="shared" ref="SY160:VJ160" si="236">SUM(SY155:SY159)</f>
        <v>0</v>
      </c>
      <c r="SZ160" s="2061">
        <f t="shared" si="236"/>
        <v>0</v>
      </c>
      <c r="TA160" s="2061">
        <f t="shared" si="236"/>
        <v>0</v>
      </c>
      <c r="TB160" s="2061">
        <f t="shared" si="236"/>
        <v>0</v>
      </c>
      <c r="TC160" s="2061">
        <f t="shared" si="236"/>
        <v>0</v>
      </c>
      <c r="TD160" s="2061">
        <f t="shared" si="236"/>
        <v>0</v>
      </c>
      <c r="TE160" s="2061">
        <f t="shared" si="236"/>
        <v>0</v>
      </c>
      <c r="TF160" s="2061">
        <f t="shared" si="236"/>
        <v>0</v>
      </c>
      <c r="TG160" s="2061">
        <f t="shared" si="236"/>
        <v>0</v>
      </c>
      <c r="TH160" s="2061">
        <f t="shared" si="236"/>
        <v>0</v>
      </c>
      <c r="TI160" s="2061">
        <f t="shared" si="236"/>
        <v>0</v>
      </c>
      <c r="TJ160" s="2061">
        <f t="shared" si="236"/>
        <v>0</v>
      </c>
      <c r="TK160" s="2061">
        <f t="shared" si="236"/>
        <v>0</v>
      </c>
      <c r="TL160" s="2061">
        <f t="shared" si="236"/>
        <v>0</v>
      </c>
      <c r="TM160" s="2061">
        <f t="shared" si="236"/>
        <v>0</v>
      </c>
      <c r="TN160" s="2061">
        <f t="shared" si="236"/>
        <v>0</v>
      </c>
      <c r="TO160" s="2061">
        <f t="shared" si="236"/>
        <v>0</v>
      </c>
      <c r="TP160" s="2061">
        <f t="shared" si="236"/>
        <v>0</v>
      </c>
      <c r="TQ160" s="2061">
        <f t="shared" si="236"/>
        <v>0</v>
      </c>
      <c r="TR160" s="2061">
        <f t="shared" si="236"/>
        <v>0</v>
      </c>
      <c r="TS160" s="2061">
        <f t="shared" si="236"/>
        <v>0</v>
      </c>
      <c r="TT160" s="2061">
        <f t="shared" si="236"/>
        <v>0</v>
      </c>
      <c r="TU160" s="2061">
        <f t="shared" si="236"/>
        <v>0</v>
      </c>
      <c r="TV160" s="2061">
        <f t="shared" si="236"/>
        <v>0</v>
      </c>
      <c r="TW160" s="2061">
        <f t="shared" si="236"/>
        <v>0</v>
      </c>
      <c r="TX160" s="2061">
        <f t="shared" si="236"/>
        <v>0</v>
      </c>
      <c r="TY160" s="2061">
        <f t="shared" si="236"/>
        <v>0</v>
      </c>
      <c r="TZ160" s="2061">
        <f t="shared" si="236"/>
        <v>0</v>
      </c>
      <c r="UA160" s="2061">
        <f t="shared" si="236"/>
        <v>0</v>
      </c>
      <c r="UB160" s="2061">
        <f t="shared" si="236"/>
        <v>0</v>
      </c>
      <c r="UC160" s="2061">
        <f t="shared" si="236"/>
        <v>0</v>
      </c>
      <c r="UD160" s="2061">
        <f t="shared" si="236"/>
        <v>0</v>
      </c>
      <c r="UE160" s="2061">
        <f t="shared" si="236"/>
        <v>0</v>
      </c>
      <c r="UF160" s="2061">
        <f t="shared" si="236"/>
        <v>0</v>
      </c>
      <c r="UG160" s="2061">
        <f t="shared" si="236"/>
        <v>0</v>
      </c>
      <c r="UH160" s="2061">
        <f t="shared" si="236"/>
        <v>0</v>
      </c>
      <c r="UI160" s="2061">
        <f t="shared" si="236"/>
        <v>0</v>
      </c>
      <c r="UJ160" s="2061">
        <f t="shared" si="236"/>
        <v>0</v>
      </c>
      <c r="UK160" s="2061">
        <f t="shared" si="236"/>
        <v>0</v>
      </c>
      <c r="UL160" s="2061">
        <f t="shared" si="236"/>
        <v>0</v>
      </c>
      <c r="UM160" s="2061">
        <f t="shared" si="236"/>
        <v>0</v>
      </c>
      <c r="UN160" s="2061">
        <f t="shared" si="236"/>
        <v>0</v>
      </c>
      <c r="UO160" s="2061">
        <f t="shared" si="236"/>
        <v>0</v>
      </c>
      <c r="UP160" s="2061">
        <f t="shared" si="236"/>
        <v>0</v>
      </c>
      <c r="UQ160" s="2061">
        <f t="shared" si="236"/>
        <v>0</v>
      </c>
      <c r="UR160" s="2061">
        <f t="shared" si="236"/>
        <v>0</v>
      </c>
      <c r="US160" s="2061">
        <f t="shared" si="236"/>
        <v>0</v>
      </c>
      <c r="UT160" s="2061">
        <f t="shared" si="236"/>
        <v>0</v>
      </c>
      <c r="UU160" s="2061">
        <f t="shared" si="236"/>
        <v>0</v>
      </c>
      <c r="UV160" s="2061">
        <f t="shared" si="236"/>
        <v>0</v>
      </c>
      <c r="UW160" s="2061">
        <f t="shared" si="236"/>
        <v>0</v>
      </c>
      <c r="UX160" s="2061">
        <f t="shared" si="236"/>
        <v>0</v>
      </c>
      <c r="UY160" s="2061">
        <f t="shared" si="236"/>
        <v>0</v>
      </c>
      <c r="UZ160" s="2061">
        <f t="shared" si="236"/>
        <v>0</v>
      </c>
      <c r="VA160" s="2061">
        <f t="shared" si="236"/>
        <v>0</v>
      </c>
      <c r="VB160" s="2061">
        <f t="shared" si="236"/>
        <v>0</v>
      </c>
      <c r="VC160" s="2061">
        <f t="shared" si="236"/>
        <v>0</v>
      </c>
      <c r="VD160" s="2061">
        <f t="shared" si="236"/>
        <v>0</v>
      </c>
      <c r="VE160" s="2061">
        <f t="shared" si="236"/>
        <v>0</v>
      </c>
      <c r="VF160" s="2061">
        <f t="shared" si="236"/>
        <v>0</v>
      </c>
      <c r="VG160" s="2061">
        <f t="shared" si="236"/>
        <v>0</v>
      </c>
      <c r="VH160" s="2061">
        <f t="shared" si="236"/>
        <v>0</v>
      </c>
      <c r="VI160" s="2061">
        <f t="shared" si="236"/>
        <v>0</v>
      </c>
      <c r="VJ160" s="2061">
        <f t="shared" si="236"/>
        <v>0</v>
      </c>
      <c r="VK160" s="2061">
        <f>SUM(VK155:VK159)</f>
        <v>0</v>
      </c>
    </row>
    <row r="161" spans="1:583" s="2075" customFormat="1" x14ac:dyDescent="0.25">
      <c r="A161" s="2075" t="s">
        <v>3831</v>
      </c>
      <c r="B161" s="4709" t="s">
        <v>2958</v>
      </c>
      <c r="C161" s="4709"/>
      <c r="D161" s="4709" t="s">
        <v>2958</v>
      </c>
      <c r="E161" s="4709"/>
      <c r="F161" s="2079"/>
      <c r="G161" s="2079"/>
      <c r="H161" s="2079"/>
      <c r="I161" s="1574"/>
      <c r="J161" s="1574"/>
      <c r="K161" s="1574"/>
      <c r="L161" s="1574"/>
      <c r="M161" s="1574"/>
      <c r="N161" s="1574"/>
      <c r="O161" s="1574"/>
      <c r="P161" s="1574"/>
      <c r="Q161" s="1574"/>
      <c r="R161" s="1574"/>
      <c r="S161" s="1574"/>
      <c r="T161" s="1574"/>
      <c r="U161" s="1574"/>
      <c r="V161" s="1574"/>
      <c r="W161" s="1574"/>
      <c r="X161" s="1574"/>
      <c r="Y161" s="1574"/>
      <c r="Z161" s="1574"/>
      <c r="AA161" s="1574"/>
      <c r="AB161" s="1574"/>
      <c r="AC161" s="1574"/>
      <c r="AD161" s="1574"/>
      <c r="AE161" s="1574"/>
      <c r="AF161" s="1574"/>
      <c r="AG161" s="1574"/>
      <c r="AH161" s="1574"/>
      <c r="AI161" s="1574"/>
      <c r="AJ161" s="1574"/>
      <c r="AK161" s="1574"/>
      <c r="AL161" s="1574"/>
      <c r="AM161" s="1574"/>
      <c r="AN161" s="1574"/>
      <c r="AO161" s="1574"/>
      <c r="AP161" s="1574"/>
      <c r="AQ161" s="1574"/>
      <c r="AR161" s="1574"/>
      <c r="AS161" s="1574"/>
      <c r="AT161" s="1574"/>
      <c r="AU161" s="1574"/>
      <c r="AV161" s="1574"/>
      <c r="AW161" s="1574"/>
      <c r="AX161" s="1574"/>
      <c r="AY161" s="1574"/>
      <c r="AZ161" s="1574"/>
      <c r="BA161" s="1574"/>
      <c r="BB161" s="1574"/>
      <c r="BC161" s="1574"/>
      <c r="BD161" s="1574"/>
      <c r="BE161" s="1574"/>
      <c r="BF161" s="1574"/>
      <c r="BG161" s="1574"/>
      <c r="BH161" s="1574"/>
      <c r="BI161" s="1574"/>
      <c r="BJ161" s="1574"/>
      <c r="BK161" s="1574"/>
      <c r="BL161" s="1574"/>
      <c r="BM161" s="1574"/>
      <c r="BN161" s="1574"/>
      <c r="BO161" s="1574"/>
      <c r="BP161" s="1574"/>
      <c r="BQ161" s="1574"/>
      <c r="BR161" s="1574"/>
      <c r="BS161" s="1574"/>
      <c r="BT161" s="1574"/>
      <c r="BU161" s="1574"/>
      <c r="BV161" s="1574"/>
      <c r="BW161" s="1574"/>
      <c r="BX161" s="1574"/>
      <c r="BY161" s="1574"/>
      <c r="BZ161" s="1574"/>
      <c r="CA161" s="1574"/>
      <c r="CB161" s="1574"/>
      <c r="CC161" s="1574"/>
      <c r="CD161" s="1574"/>
      <c r="CE161" s="1574"/>
      <c r="CF161" s="1574"/>
      <c r="CG161" s="1574"/>
      <c r="CH161" s="1574"/>
      <c r="CI161" s="1574"/>
      <c r="CJ161" s="1574"/>
      <c r="CK161" s="1574"/>
      <c r="CL161" s="1574"/>
      <c r="CM161" s="1574"/>
      <c r="CN161" s="1574"/>
      <c r="CO161" s="1574"/>
      <c r="CP161" s="1574"/>
      <c r="CQ161" s="1574"/>
      <c r="CR161" s="1574"/>
      <c r="CS161" s="1574"/>
      <c r="CT161" s="1574"/>
      <c r="CU161" s="1574"/>
      <c r="CV161" s="1574"/>
      <c r="CW161" s="1574"/>
      <c r="CX161" s="1574"/>
      <c r="CY161" s="1574"/>
      <c r="CZ161" s="1574"/>
      <c r="DA161" s="1574"/>
      <c r="DB161" s="1574"/>
      <c r="DC161" s="1574"/>
      <c r="DD161" s="1574"/>
      <c r="DE161" s="1574"/>
      <c r="DF161" s="1574"/>
      <c r="DG161" s="1574"/>
      <c r="DH161" s="1574"/>
      <c r="DI161" s="1574"/>
      <c r="DJ161" s="1574"/>
      <c r="DK161" s="1574"/>
      <c r="DL161" s="1574"/>
      <c r="DM161" s="1574"/>
      <c r="DN161" s="1574"/>
      <c r="DO161" s="1574"/>
      <c r="DP161" s="1574"/>
      <c r="DQ161" s="1574"/>
      <c r="DR161" s="1574"/>
      <c r="DS161" s="1574"/>
      <c r="DT161" s="1574"/>
      <c r="DU161" s="1574"/>
      <c r="DV161" s="1574"/>
      <c r="DW161" s="1574"/>
      <c r="DX161" s="1574"/>
      <c r="DY161" s="1574"/>
      <c r="DZ161" s="1574"/>
      <c r="EA161" s="1574"/>
      <c r="EB161" s="1574"/>
      <c r="EC161" s="1574"/>
      <c r="ED161" s="1574"/>
      <c r="EE161" s="1574"/>
      <c r="EF161" s="1574"/>
      <c r="EG161" s="1574"/>
      <c r="EH161" s="1574"/>
      <c r="EI161" s="1574"/>
      <c r="EJ161" s="1574"/>
      <c r="EK161" s="1574"/>
      <c r="EL161" s="1574"/>
      <c r="EM161" s="1574"/>
      <c r="EN161" s="1574"/>
      <c r="EO161" s="1574"/>
      <c r="EP161" s="1574"/>
      <c r="EQ161" s="1574"/>
      <c r="ER161" s="1574"/>
      <c r="ES161" s="1574"/>
      <c r="ET161" s="1574"/>
      <c r="EU161" s="1574"/>
      <c r="EV161" s="1574"/>
      <c r="EW161" s="1574"/>
      <c r="EX161" s="1574"/>
      <c r="EY161" s="1574"/>
      <c r="EZ161" s="1574"/>
      <c r="FA161" s="1574"/>
      <c r="FB161" s="1574"/>
      <c r="FC161" s="1574"/>
      <c r="FD161" s="1574"/>
      <c r="FE161" s="1574"/>
      <c r="FF161" s="1574"/>
      <c r="FG161" s="1574"/>
      <c r="FH161" s="1574"/>
      <c r="FI161" s="1574"/>
      <c r="FJ161" s="1574"/>
      <c r="FK161" s="1574"/>
      <c r="FL161" s="1574"/>
      <c r="FM161" s="1574"/>
      <c r="FN161" s="1574"/>
      <c r="FO161" s="1574"/>
      <c r="FP161" s="1574"/>
      <c r="FQ161" s="1574"/>
      <c r="FR161" s="1574"/>
      <c r="FS161" s="1574"/>
      <c r="FT161" s="1574"/>
      <c r="FU161" s="1574"/>
      <c r="FV161" s="1574"/>
      <c r="FW161" s="1574"/>
      <c r="FX161" s="1574"/>
      <c r="FY161" s="1574"/>
      <c r="FZ161" s="1574"/>
      <c r="GA161" s="1574"/>
      <c r="GB161" s="1574"/>
      <c r="GC161" s="1574"/>
      <c r="GD161" s="1574"/>
      <c r="GE161" s="1574"/>
      <c r="GF161" s="1574"/>
      <c r="GG161" s="1574"/>
      <c r="GH161" s="1574"/>
      <c r="GI161" s="1574"/>
      <c r="GJ161" s="1574"/>
      <c r="GK161" s="1574"/>
      <c r="GL161" s="1574"/>
      <c r="GM161" s="1574"/>
      <c r="GN161" s="1574"/>
      <c r="GO161" s="1574"/>
      <c r="GP161" s="1574"/>
      <c r="GQ161" s="1574"/>
      <c r="GR161" s="1574"/>
      <c r="GS161" s="1574"/>
      <c r="GT161" s="1574"/>
      <c r="GU161" s="1574"/>
      <c r="GV161" s="1574"/>
      <c r="GW161" s="1574"/>
      <c r="GX161" s="1574"/>
      <c r="GY161" s="1574"/>
      <c r="GZ161" s="1574"/>
      <c r="HA161" s="1574"/>
      <c r="HB161" s="1574"/>
      <c r="HC161" s="1574"/>
      <c r="HD161" s="1574"/>
      <c r="HE161" s="1574"/>
      <c r="HF161" s="1574"/>
      <c r="HG161" s="1574"/>
      <c r="HH161" s="1574"/>
      <c r="HI161" s="1574"/>
      <c r="HJ161" s="1574"/>
      <c r="HK161" s="1574"/>
      <c r="HL161" s="1574"/>
      <c r="HM161" s="1574"/>
      <c r="HN161" s="1574"/>
      <c r="HO161" s="1574"/>
      <c r="HP161" s="1574"/>
      <c r="HQ161" s="1574"/>
      <c r="HR161" s="1574"/>
      <c r="HS161" s="1574"/>
      <c r="HT161" s="1574"/>
      <c r="HU161" s="1574"/>
      <c r="HV161" s="1574"/>
      <c r="HW161" s="1574"/>
      <c r="HX161" s="1574"/>
      <c r="HY161" s="1574"/>
      <c r="HZ161" s="1574"/>
      <c r="IA161" s="1574"/>
      <c r="IB161" s="1574"/>
      <c r="IC161" s="1574"/>
      <c r="ID161" s="1574"/>
      <c r="IE161" s="1574"/>
      <c r="IF161" s="1574"/>
      <c r="IG161" s="1574"/>
      <c r="IH161" s="1574"/>
      <c r="II161" s="1574"/>
      <c r="IJ161" s="1574"/>
      <c r="IK161" s="1574"/>
      <c r="IL161" s="1574"/>
      <c r="IM161" s="1574"/>
      <c r="IN161" s="1574"/>
      <c r="IO161" s="1574"/>
      <c r="IP161" s="1574"/>
      <c r="IQ161" s="1574"/>
      <c r="IR161" s="1574"/>
      <c r="IS161" s="1574"/>
      <c r="IT161" s="1574"/>
      <c r="IU161" s="1574"/>
      <c r="IV161" s="1574"/>
      <c r="IW161" s="1574"/>
      <c r="IX161" s="1574"/>
      <c r="IY161" s="1574"/>
      <c r="IZ161" s="1574"/>
      <c r="JA161" s="1574"/>
      <c r="JB161" s="1574"/>
      <c r="JC161" s="1574"/>
      <c r="JD161" s="1574"/>
      <c r="JE161" s="1574"/>
      <c r="JF161" s="1574"/>
      <c r="JG161" s="1574"/>
      <c r="JH161" s="1574"/>
      <c r="JI161" s="1574"/>
      <c r="JJ161" s="1574"/>
      <c r="JK161" s="1574"/>
      <c r="JL161" s="1574"/>
      <c r="JM161" s="1574"/>
      <c r="JN161" s="1574"/>
      <c r="JO161" s="1574"/>
      <c r="JP161" s="1574"/>
      <c r="JQ161" s="1574"/>
      <c r="JR161" s="1574"/>
      <c r="JS161" s="1574"/>
      <c r="JT161" s="1574"/>
      <c r="JU161" s="1574"/>
      <c r="JV161" s="1574"/>
      <c r="JW161" s="1574"/>
      <c r="JX161" s="1574"/>
      <c r="JY161" s="1574"/>
      <c r="JZ161" s="1574"/>
      <c r="KA161" s="1574"/>
      <c r="KB161" s="1574"/>
      <c r="KC161" s="1574"/>
      <c r="KD161" s="1574"/>
      <c r="KE161" s="1574"/>
      <c r="KF161" s="1574"/>
      <c r="KG161" s="1574"/>
      <c r="KH161" s="1574"/>
      <c r="KI161" s="1574"/>
      <c r="KJ161" s="1574"/>
      <c r="KK161" s="1574"/>
      <c r="KL161" s="1574"/>
      <c r="KM161" s="1574"/>
      <c r="KN161" s="1574"/>
      <c r="KO161" s="1574"/>
      <c r="KP161" s="1574"/>
      <c r="KQ161" s="1574"/>
      <c r="KR161" s="1574"/>
      <c r="KS161" s="1574"/>
      <c r="KT161" s="1574"/>
      <c r="KU161" s="1574"/>
      <c r="KV161" s="1574"/>
      <c r="KW161" s="1574"/>
      <c r="KX161" s="1574"/>
      <c r="KY161" s="1574"/>
      <c r="KZ161" s="1574"/>
      <c r="LA161" s="1574"/>
      <c r="LB161" s="1574"/>
      <c r="LC161" s="1574"/>
      <c r="LD161" s="1574"/>
      <c r="LE161" s="1574"/>
      <c r="LF161" s="1574"/>
      <c r="LG161" s="1574"/>
      <c r="LH161" s="1574"/>
      <c r="LI161" s="1574"/>
      <c r="LJ161" s="1574"/>
      <c r="LK161" s="1574"/>
      <c r="LL161" s="1574"/>
      <c r="LM161" s="1574"/>
      <c r="LN161" s="1574"/>
      <c r="LO161" s="1574"/>
      <c r="LP161" s="1574"/>
      <c r="LQ161" s="1574"/>
      <c r="LR161" s="1574"/>
      <c r="LS161" s="1574"/>
      <c r="LT161" s="1574"/>
      <c r="LU161" s="1574"/>
      <c r="LV161" s="1574"/>
      <c r="LW161" s="1574"/>
      <c r="LX161" s="1574"/>
      <c r="LY161" s="1574"/>
      <c r="LZ161" s="1574"/>
      <c r="MA161" s="1574"/>
      <c r="MB161" s="1574"/>
      <c r="MC161" s="1574"/>
      <c r="MD161" s="1574"/>
      <c r="ME161" s="1574"/>
      <c r="MF161" s="1574"/>
      <c r="MG161" s="1574"/>
      <c r="MH161" s="1574"/>
      <c r="MI161" s="1574"/>
      <c r="MJ161" s="1574"/>
      <c r="MK161" s="1574"/>
      <c r="ML161" s="1574"/>
      <c r="MM161" s="1574"/>
      <c r="MN161" s="1574"/>
      <c r="MO161" s="1574"/>
      <c r="MP161" s="1574"/>
      <c r="MQ161" s="1574"/>
      <c r="MR161" s="1574"/>
      <c r="MS161" s="1574"/>
      <c r="MT161" s="1574"/>
      <c r="MU161" s="1574"/>
      <c r="MV161" s="1574"/>
      <c r="MW161" s="1574"/>
      <c r="MX161" s="1574"/>
      <c r="MY161" s="1574"/>
      <c r="MZ161" s="1574"/>
      <c r="NA161" s="1574"/>
      <c r="NB161" s="1574"/>
      <c r="NC161" s="1574"/>
      <c r="ND161" s="1574"/>
      <c r="NE161" s="1574"/>
      <c r="NF161" s="1574"/>
      <c r="NG161" s="1574"/>
      <c r="NH161" s="1574"/>
      <c r="NI161" s="1574"/>
      <c r="NJ161" s="1574"/>
      <c r="NK161" s="1574"/>
      <c r="NL161" s="1574"/>
      <c r="NM161" s="1574"/>
      <c r="NN161" s="1574"/>
      <c r="NO161" s="1574"/>
      <c r="NP161" s="1574"/>
      <c r="NQ161" s="1574"/>
      <c r="NR161" s="1574"/>
      <c r="NS161" s="1574"/>
      <c r="NT161" s="1574"/>
      <c r="NU161" s="1574"/>
      <c r="NV161" s="1574"/>
      <c r="NW161" s="1574"/>
      <c r="NX161" s="1574"/>
      <c r="NY161" s="1574"/>
      <c r="NZ161" s="1574"/>
      <c r="OA161" s="1574"/>
      <c r="OB161" s="1574"/>
      <c r="OC161" s="1574"/>
      <c r="OD161" s="1574"/>
      <c r="OE161" s="1574"/>
      <c r="OF161" s="1574"/>
      <c r="OG161" s="1574"/>
      <c r="OH161" s="1574"/>
      <c r="OI161" s="1574"/>
      <c r="OJ161" s="1574"/>
      <c r="OK161" s="1574"/>
      <c r="OL161" s="1574"/>
      <c r="OM161" s="1574"/>
      <c r="ON161" s="1574"/>
      <c r="OO161" s="1574"/>
      <c r="OP161" s="1574"/>
      <c r="OQ161" s="1574"/>
      <c r="OR161" s="1574"/>
      <c r="OS161" s="1574"/>
      <c r="OT161" s="1574"/>
      <c r="OU161" s="1574"/>
      <c r="OV161" s="1574"/>
      <c r="OW161" s="1574"/>
      <c r="OX161" s="1574"/>
      <c r="OY161" s="1574"/>
      <c r="OZ161" s="1574"/>
      <c r="PA161" s="1574"/>
      <c r="PB161" s="1574"/>
      <c r="PC161" s="1574"/>
      <c r="PD161" s="1574"/>
      <c r="PE161" s="1574"/>
      <c r="PF161" s="1574"/>
      <c r="PG161" s="1574"/>
      <c r="PH161" s="1574"/>
      <c r="PI161" s="1574"/>
      <c r="PJ161" s="1574"/>
      <c r="PK161" s="1574"/>
      <c r="PL161" s="1574"/>
      <c r="PM161" s="1574"/>
      <c r="PN161" s="1574"/>
      <c r="PO161" s="1574"/>
      <c r="PP161" s="1574"/>
      <c r="PQ161" s="1574"/>
      <c r="PR161" s="1574"/>
      <c r="PS161" s="1574"/>
      <c r="PT161" s="1574"/>
      <c r="PU161" s="1574"/>
      <c r="PV161" s="1574"/>
      <c r="PW161" s="1574"/>
      <c r="PX161" s="1574"/>
      <c r="PY161" s="1574"/>
      <c r="PZ161" s="1574"/>
      <c r="QA161" s="1574"/>
      <c r="QB161" s="1574"/>
      <c r="QC161" s="1574"/>
      <c r="QD161" s="1574"/>
      <c r="QE161" s="1574"/>
      <c r="QF161" s="1574"/>
      <c r="QG161" s="1574"/>
      <c r="QH161" s="1574"/>
      <c r="QI161" s="1574"/>
      <c r="QJ161" s="1574"/>
      <c r="QK161" s="1574"/>
      <c r="QL161" s="1574"/>
      <c r="QM161" s="1574"/>
      <c r="QN161" s="1574"/>
      <c r="QO161" s="1574"/>
      <c r="QP161" s="1574"/>
      <c r="QQ161" s="1574"/>
      <c r="QR161" s="1574"/>
      <c r="QS161" s="1574"/>
      <c r="QT161" s="1574"/>
      <c r="QU161" s="1574"/>
      <c r="QV161" s="1574"/>
      <c r="QW161" s="1574"/>
      <c r="QX161" s="1574"/>
      <c r="QY161" s="1574"/>
      <c r="QZ161" s="1574"/>
      <c r="RA161" s="1574"/>
      <c r="RB161" s="1574"/>
      <c r="RC161" s="1574"/>
      <c r="RD161" s="1574"/>
      <c r="RE161" s="1574"/>
      <c r="RF161" s="1574"/>
      <c r="RG161" s="1574"/>
      <c r="RH161" s="1574"/>
      <c r="RI161" s="1574"/>
      <c r="RJ161" s="1574"/>
      <c r="RK161" s="1574"/>
      <c r="RL161" s="1574"/>
      <c r="RM161" s="1574"/>
      <c r="RN161" s="1574"/>
      <c r="RO161" s="1574"/>
      <c r="RP161" s="1574"/>
      <c r="RQ161" s="1574"/>
      <c r="RR161" s="1574"/>
      <c r="RS161" s="1574"/>
      <c r="RT161" s="1574"/>
      <c r="RU161" s="1574"/>
      <c r="RV161" s="1574"/>
      <c r="RW161" s="1574"/>
      <c r="RX161" s="1574"/>
      <c r="RY161" s="1574"/>
      <c r="RZ161" s="1574"/>
      <c r="SA161" s="1574"/>
      <c r="SB161" s="1574"/>
      <c r="SC161" s="1574"/>
      <c r="SD161" s="1574"/>
      <c r="SE161" s="1574"/>
      <c r="SF161" s="1574"/>
      <c r="SG161" s="1574"/>
      <c r="SH161" s="1574"/>
      <c r="SI161" s="1574"/>
      <c r="SJ161" s="1574"/>
      <c r="SK161" s="1574"/>
      <c r="SL161" s="1574"/>
      <c r="SM161" s="1574"/>
      <c r="SN161" s="1574"/>
      <c r="SO161" s="1574"/>
      <c r="SP161" s="1574"/>
      <c r="SQ161" s="1574"/>
      <c r="SR161" s="1574"/>
      <c r="SS161" s="1574"/>
      <c r="ST161" s="1574"/>
      <c r="SU161" s="1574"/>
      <c r="SV161" s="1574"/>
      <c r="SW161" s="1574"/>
      <c r="SX161" s="1574"/>
      <c r="SY161" s="1574"/>
      <c r="SZ161" s="1574"/>
      <c r="TA161" s="1574"/>
      <c r="TB161" s="1574"/>
      <c r="TC161" s="1574"/>
      <c r="TD161" s="1574"/>
      <c r="TE161" s="1574"/>
      <c r="TF161" s="1574"/>
      <c r="TG161" s="1574"/>
      <c r="TH161" s="1574"/>
      <c r="TI161" s="1574"/>
      <c r="TJ161" s="1574"/>
      <c r="TK161" s="1574"/>
      <c r="TL161" s="1574"/>
      <c r="TM161" s="1574"/>
      <c r="TN161" s="1574"/>
      <c r="TO161" s="1574"/>
      <c r="TP161" s="1574"/>
      <c r="TQ161" s="1574"/>
      <c r="TR161" s="1574"/>
      <c r="TS161" s="1574"/>
      <c r="TT161" s="1574"/>
      <c r="TU161" s="1574"/>
      <c r="TV161" s="1574"/>
      <c r="TW161" s="1574"/>
      <c r="TX161" s="1574"/>
      <c r="TY161" s="1574"/>
      <c r="TZ161" s="1574"/>
      <c r="UA161" s="1574"/>
      <c r="UB161" s="1574"/>
      <c r="UC161" s="1574"/>
      <c r="UD161" s="1574"/>
      <c r="UE161" s="1574"/>
      <c r="UF161" s="1574"/>
      <c r="UG161" s="1574"/>
      <c r="UH161" s="1574"/>
      <c r="UI161" s="1574"/>
      <c r="UJ161" s="1574"/>
      <c r="UK161" s="1574"/>
      <c r="UL161" s="1574"/>
      <c r="UM161" s="1574"/>
      <c r="UN161" s="1574"/>
      <c r="UO161" s="1574"/>
      <c r="UP161" s="1574"/>
      <c r="UQ161" s="1574"/>
      <c r="UR161" s="1574"/>
      <c r="US161" s="1574"/>
      <c r="UT161" s="1574"/>
      <c r="UU161" s="1574"/>
      <c r="UV161" s="1574"/>
      <c r="UW161" s="1574"/>
      <c r="UX161" s="1574"/>
      <c r="UY161" s="1574"/>
      <c r="UZ161" s="1574"/>
      <c r="VA161" s="1574"/>
      <c r="VB161" s="1574"/>
      <c r="VC161" s="1574"/>
      <c r="VD161" s="1574"/>
      <c r="VE161" s="1574"/>
      <c r="VF161" s="1574"/>
      <c r="VG161" s="1574"/>
      <c r="VH161" s="1574"/>
      <c r="VI161" s="1574"/>
      <c r="VJ161" s="1574"/>
      <c r="VK161" s="1574"/>
    </row>
    <row r="162" spans="1:583" ht="58.5" customHeight="1" x14ac:dyDescent="0.25">
      <c r="B162" s="1610" t="s">
        <v>2864</v>
      </c>
      <c r="C162" s="1582" t="s">
        <v>2865</v>
      </c>
      <c r="D162" s="4710" t="s">
        <v>2191</v>
      </c>
      <c r="E162" s="4710">
        <v>0</v>
      </c>
      <c r="F162" s="1912"/>
      <c r="G162" s="1912"/>
      <c r="H162" s="1912"/>
      <c r="I162" s="1912"/>
      <c r="J162" s="1912"/>
      <c r="K162" s="1912"/>
      <c r="L162" s="1912"/>
      <c r="M162" s="1912"/>
      <c r="N162" s="1912"/>
      <c r="O162" s="1912"/>
      <c r="P162" s="1912"/>
      <c r="Q162" s="1912"/>
      <c r="R162" s="1912"/>
      <c r="S162" s="1912"/>
      <c r="T162" s="1912"/>
      <c r="U162" s="1912"/>
      <c r="V162" s="1912"/>
      <c r="W162" s="1576"/>
      <c r="X162" s="1576"/>
      <c r="Y162" s="1576"/>
      <c r="Z162" s="1576"/>
      <c r="AA162" s="1576"/>
      <c r="AB162" s="1576"/>
      <c r="AC162" s="1576"/>
      <c r="AD162" s="1576"/>
      <c r="AE162" s="1576"/>
      <c r="AF162" s="1576"/>
      <c r="AG162" s="1576"/>
      <c r="AH162" s="1576"/>
      <c r="AI162" s="1576"/>
      <c r="AJ162" s="1576"/>
      <c r="AK162" s="1576"/>
      <c r="AL162" s="1576"/>
      <c r="AM162" s="1576"/>
      <c r="AN162" s="1576"/>
      <c r="AO162" s="1576"/>
      <c r="AP162" s="1576"/>
      <c r="AQ162" s="1576"/>
      <c r="AR162" s="1576"/>
      <c r="AS162" s="1576"/>
      <c r="AT162" s="1576"/>
      <c r="AU162" s="1576"/>
      <c r="AV162" s="1576"/>
      <c r="AW162" s="1576"/>
      <c r="AX162" s="1576"/>
      <c r="AY162" s="1576"/>
      <c r="AZ162" s="1576"/>
      <c r="BA162" s="1576"/>
      <c r="BB162" s="1576"/>
      <c r="BC162" s="1576"/>
      <c r="BD162" s="1576"/>
      <c r="BE162" s="1576"/>
      <c r="BF162" s="1576"/>
      <c r="BG162" s="1576"/>
      <c r="BH162" s="1576"/>
      <c r="BI162" s="1576"/>
      <c r="BJ162" s="1576"/>
      <c r="BK162" s="1576"/>
      <c r="BL162" s="1576"/>
      <c r="BM162" s="1576"/>
      <c r="BN162" s="1576"/>
      <c r="BO162" s="1576"/>
      <c r="BP162" s="1576"/>
      <c r="BQ162" s="1576"/>
      <c r="BR162" s="1576"/>
      <c r="BS162" s="1576"/>
      <c r="BT162" s="1576"/>
      <c r="BU162" s="1576"/>
      <c r="BV162" s="1576"/>
      <c r="BW162" s="1576"/>
      <c r="BX162" s="1576"/>
      <c r="BY162" s="1576"/>
      <c r="BZ162" s="1576"/>
      <c r="CA162" s="1576"/>
      <c r="CB162" s="1576"/>
      <c r="CC162" s="1576"/>
      <c r="CD162" s="1576"/>
      <c r="CE162" s="1576"/>
      <c r="CF162" s="1576"/>
      <c r="CG162" s="1576"/>
      <c r="CH162" s="1576"/>
      <c r="CI162" s="1576"/>
      <c r="CJ162" s="1576"/>
      <c r="CK162" s="1576"/>
      <c r="CL162" s="1576"/>
      <c r="CM162" s="1576"/>
      <c r="CN162" s="1576"/>
      <c r="CO162" s="1576"/>
      <c r="CP162" s="1576"/>
      <c r="CQ162" s="1576"/>
      <c r="CR162" s="1576"/>
      <c r="CS162" s="1576"/>
      <c r="CT162" s="1576"/>
      <c r="CU162" s="1576"/>
      <c r="CV162" s="1576"/>
      <c r="CW162" s="1576"/>
      <c r="CX162" s="1576"/>
      <c r="CY162" s="1576"/>
      <c r="CZ162" s="1576"/>
      <c r="DA162" s="1576"/>
      <c r="DB162" s="1576"/>
      <c r="DC162" s="1576"/>
      <c r="DD162" s="1576"/>
      <c r="DE162" s="1576"/>
      <c r="DF162" s="1576"/>
      <c r="DG162" s="1576"/>
      <c r="DH162" s="1576"/>
      <c r="DI162" s="1576"/>
      <c r="DJ162" s="1576"/>
      <c r="DK162" s="1576"/>
      <c r="DL162" s="1576"/>
      <c r="DM162" s="1576"/>
      <c r="DN162" s="1576"/>
      <c r="DO162" s="1576"/>
      <c r="DP162" s="1576"/>
      <c r="DQ162" s="1576"/>
      <c r="DR162" s="1576"/>
      <c r="DS162" s="1576"/>
      <c r="DT162" s="1576"/>
      <c r="DU162" s="1576"/>
      <c r="DV162" s="1576"/>
      <c r="DW162" s="1576"/>
      <c r="DX162" s="1576"/>
      <c r="DY162" s="1576"/>
      <c r="DZ162" s="1576"/>
      <c r="EA162" s="1576"/>
      <c r="EB162" s="1576"/>
      <c r="EC162" s="1576"/>
      <c r="ED162" s="1576"/>
      <c r="EE162" s="1576"/>
      <c r="EF162" s="1576"/>
      <c r="EG162" s="1576"/>
      <c r="EH162" s="1576"/>
      <c r="EI162" s="1576"/>
      <c r="EJ162" s="1576"/>
      <c r="EK162" s="1576"/>
      <c r="EL162" s="1576"/>
      <c r="EM162" s="1576"/>
      <c r="EN162" s="1576"/>
      <c r="EO162" s="1576"/>
      <c r="EP162" s="1576"/>
      <c r="EQ162" s="1576"/>
      <c r="ER162" s="1576"/>
      <c r="ES162" s="1576"/>
      <c r="ET162" s="1576"/>
      <c r="EU162" s="1576"/>
      <c r="EV162" s="1576"/>
      <c r="EW162" s="1576"/>
      <c r="EX162" s="1576"/>
      <c r="EY162" s="1576"/>
      <c r="EZ162" s="1576"/>
      <c r="FA162" s="1576"/>
      <c r="FB162" s="1576"/>
      <c r="FC162" s="1576"/>
      <c r="FD162" s="1576"/>
      <c r="FE162" s="1576"/>
      <c r="FF162" s="1576"/>
      <c r="FG162" s="1576"/>
      <c r="FH162" s="1576"/>
      <c r="FI162" s="1576"/>
      <c r="FJ162" s="1576"/>
      <c r="FK162" s="1576"/>
      <c r="FL162" s="1576"/>
      <c r="FM162" s="1576"/>
      <c r="FN162" s="1576"/>
      <c r="FO162" s="1576"/>
      <c r="FP162" s="1576"/>
      <c r="FQ162" s="1576"/>
      <c r="FR162" s="1576"/>
      <c r="FS162" s="1576"/>
      <c r="FT162" s="1576"/>
      <c r="FU162" s="1576"/>
      <c r="FV162" s="1576"/>
      <c r="FW162" s="1576"/>
      <c r="FX162" s="1576"/>
      <c r="FY162" s="1576"/>
      <c r="FZ162" s="1576"/>
      <c r="GA162" s="1576"/>
      <c r="GB162" s="1576"/>
      <c r="GC162" s="1576"/>
      <c r="GD162" s="1576"/>
      <c r="GE162" s="1576"/>
      <c r="GF162" s="1576"/>
      <c r="GG162" s="1576"/>
      <c r="GH162" s="1576"/>
      <c r="GI162" s="1576"/>
      <c r="GJ162" s="1576"/>
      <c r="GK162" s="1576"/>
      <c r="GL162" s="1576"/>
      <c r="GM162" s="1576"/>
      <c r="GN162" s="1576"/>
      <c r="GO162" s="1576"/>
      <c r="GP162" s="1576"/>
      <c r="GQ162" s="1576"/>
      <c r="GR162" s="1576"/>
      <c r="GS162" s="1576"/>
      <c r="GT162" s="1576"/>
      <c r="GU162" s="1576"/>
      <c r="GV162" s="1576"/>
      <c r="GW162" s="1576"/>
      <c r="GX162" s="1576"/>
      <c r="GY162" s="1576"/>
      <c r="GZ162" s="1576"/>
      <c r="HA162" s="1576"/>
      <c r="HB162" s="1576"/>
      <c r="HC162" s="1576"/>
      <c r="HD162" s="1576"/>
      <c r="HE162" s="1576"/>
      <c r="HF162" s="1576"/>
      <c r="HG162" s="1576"/>
      <c r="HH162" s="1576"/>
      <c r="HI162" s="1576"/>
      <c r="HJ162" s="1576"/>
      <c r="HK162" s="1576"/>
      <c r="HL162" s="1576"/>
      <c r="HM162" s="1576"/>
      <c r="HN162" s="1576"/>
      <c r="HO162" s="1576"/>
      <c r="HP162" s="1576"/>
      <c r="HQ162" s="1576"/>
      <c r="HR162" s="1576"/>
      <c r="HS162" s="1576"/>
      <c r="HT162" s="1576"/>
      <c r="HU162" s="1576"/>
      <c r="HV162" s="1576"/>
      <c r="HW162" s="1576"/>
      <c r="HX162" s="1576"/>
      <c r="HY162" s="1576"/>
      <c r="HZ162" s="1576"/>
      <c r="IA162" s="1576"/>
      <c r="IB162" s="1576"/>
      <c r="IC162" s="1576"/>
      <c r="ID162" s="1576"/>
      <c r="IE162" s="1576"/>
      <c r="IF162" s="1576"/>
      <c r="IG162" s="1576"/>
      <c r="IH162" s="1576"/>
      <c r="II162" s="1576"/>
      <c r="IJ162" s="1576"/>
      <c r="IK162" s="1576"/>
      <c r="IL162" s="1576"/>
      <c r="IM162" s="1576"/>
      <c r="IN162" s="1576"/>
      <c r="IO162" s="1576"/>
      <c r="IP162" s="1576"/>
      <c r="IQ162" s="1576"/>
      <c r="IR162" s="1576"/>
      <c r="IS162" s="1576"/>
      <c r="IT162" s="1576"/>
      <c r="IU162" s="1576"/>
      <c r="IV162" s="1576"/>
      <c r="IW162" s="1576"/>
      <c r="IX162" s="1576"/>
      <c r="IY162" s="1576"/>
      <c r="IZ162" s="1576"/>
      <c r="JA162" s="2054"/>
      <c r="JB162" s="2054"/>
      <c r="JC162" s="2054"/>
      <c r="JD162" s="2054"/>
      <c r="JE162" s="2054"/>
      <c r="JF162" s="2054"/>
      <c r="JG162" s="2054"/>
      <c r="JH162" s="2054"/>
      <c r="JI162" s="2054"/>
      <c r="JJ162" s="2054"/>
      <c r="JK162" s="2054"/>
      <c r="JL162" s="2054"/>
      <c r="JM162" s="2054"/>
      <c r="JN162" s="2054"/>
      <c r="JO162" s="2054"/>
      <c r="JP162" s="2054"/>
      <c r="JQ162" s="2054"/>
      <c r="JR162" s="1576"/>
      <c r="JS162" s="1576"/>
      <c r="JT162" s="1576"/>
      <c r="JU162" s="1576"/>
      <c r="JV162" s="1576"/>
      <c r="JW162" s="1576"/>
      <c r="JX162" s="1576"/>
      <c r="JY162" s="1576"/>
      <c r="JZ162" s="1576"/>
      <c r="KA162" s="1576"/>
      <c r="KB162" s="1576"/>
      <c r="KC162" s="1576"/>
      <c r="KD162" s="1576"/>
      <c r="KE162" s="1576"/>
      <c r="KF162" s="1576"/>
      <c r="KG162" s="1576"/>
      <c r="KH162" s="1576"/>
      <c r="KI162" s="1576"/>
      <c r="KJ162" s="1576"/>
      <c r="KK162" s="1576"/>
      <c r="KL162" s="1576"/>
      <c r="KM162" s="1576"/>
      <c r="KN162" s="1576"/>
      <c r="KO162" s="1576"/>
      <c r="KP162" s="1576"/>
      <c r="KQ162" s="1576"/>
      <c r="KR162" s="1576"/>
      <c r="KS162" s="1576"/>
      <c r="KT162" s="1576"/>
      <c r="KU162" s="1576"/>
      <c r="KV162" s="1576"/>
      <c r="KW162" s="1576"/>
      <c r="KX162" s="1576"/>
      <c r="KY162" s="1576"/>
      <c r="KZ162" s="1576"/>
      <c r="LA162" s="1576"/>
      <c r="LB162" s="1576"/>
      <c r="LC162" s="1576"/>
      <c r="LD162" s="1576"/>
      <c r="LE162" s="1576"/>
      <c r="LF162" s="1576"/>
      <c r="LG162" s="1576"/>
      <c r="LH162" s="1576"/>
      <c r="LI162" s="1576"/>
      <c r="LJ162" s="1576"/>
      <c r="LK162" s="1576"/>
      <c r="LL162" s="1576"/>
      <c r="LM162" s="1576"/>
      <c r="LN162" s="1576"/>
      <c r="LO162" s="1576"/>
      <c r="LP162" s="1576"/>
      <c r="LQ162" s="1576"/>
      <c r="LR162" s="1576"/>
      <c r="LS162" s="1576"/>
      <c r="LT162" s="1576"/>
      <c r="LU162" s="1576"/>
      <c r="LV162" s="1576"/>
      <c r="LW162" s="1576"/>
      <c r="LX162" s="1576"/>
      <c r="LY162" s="1576"/>
      <c r="LZ162" s="1576"/>
      <c r="MA162" s="1576"/>
      <c r="MB162" s="1576"/>
      <c r="MC162" s="1576"/>
      <c r="MD162" s="1576"/>
      <c r="ME162" s="1576"/>
      <c r="MF162" s="1576"/>
      <c r="MG162" s="1576"/>
      <c r="MH162" s="1576"/>
      <c r="MI162" s="1576"/>
      <c r="MJ162" s="1576"/>
      <c r="MK162" s="1576"/>
      <c r="ML162" s="1576"/>
      <c r="MM162" s="1576"/>
      <c r="MN162" s="1576"/>
      <c r="MO162" s="1576"/>
      <c r="MP162" s="1576"/>
      <c r="MQ162" s="1576"/>
      <c r="MR162" s="1576"/>
      <c r="MS162" s="1576"/>
      <c r="MT162" s="1576"/>
      <c r="MU162" s="1576"/>
      <c r="MV162" s="1576"/>
      <c r="MW162" s="1576"/>
      <c r="MX162" s="1576"/>
      <c r="MY162" s="1576"/>
      <c r="MZ162" s="1576"/>
      <c r="NA162" s="1576"/>
      <c r="NB162" s="1576"/>
      <c r="NC162" s="1576"/>
      <c r="ND162" s="1576"/>
      <c r="NE162" s="1576"/>
      <c r="NF162" s="1576"/>
      <c r="NG162" s="1576"/>
      <c r="NH162" s="1576"/>
      <c r="NI162" s="1576"/>
      <c r="NJ162" s="1576"/>
      <c r="NK162" s="1576"/>
      <c r="NL162" s="1576"/>
      <c r="NM162" s="1576"/>
      <c r="NN162" s="1576"/>
      <c r="NO162" s="1576"/>
      <c r="NP162" s="1576"/>
      <c r="NQ162" s="1576"/>
      <c r="NR162" s="1576"/>
      <c r="NS162" s="1576"/>
      <c r="NT162" s="1576"/>
      <c r="NU162" s="1576"/>
      <c r="NV162" s="1576"/>
      <c r="NW162" s="1576"/>
      <c r="NX162" s="1576"/>
      <c r="NY162" s="1576"/>
      <c r="NZ162" s="1576"/>
      <c r="OA162" s="1576"/>
      <c r="OB162" s="1576"/>
      <c r="OC162" s="1576"/>
      <c r="OD162" s="1576"/>
      <c r="OE162" s="1576"/>
      <c r="OF162" s="1576"/>
      <c r="OG162" s="1576"/>
      <c r="OH162" s="1576"/>
      <c r="OI162" s="1576"/>
      <c r="OJ162" s="1576"/>
      <c r="OK162" s="1576"/>
      <c r="OL162" s="1576"/>
      <c r="OM162" s="1576"/>
      <c r="ON162" s="1576"/>
      <c r="OO162" s="1576"/>
      <c r="OP162" s="1576"/>
      <c r="OQ162" s="1576"/>
      <c r="OR162" s="1576"/>
      <c r="OS162" s="1576"/>
      <c r="OT162" s="1576"/>
      <c r="OU162" s="1576"/>
      <c r="OV162" s="1576"/>
      <c r="OW162" s="1576"/>
      <c r="OX162" s="1576"/>
      <c r="OY162" s="1576"/>
      <c r="OZ162" s="1576"/>
      <c r="PA162" s="1576"/>
      <c r="PB162" s="1576"/>
      <c r="PC162" s="1576"/>
      <c r="PD162" s="1576"/>
      <c r="PE162" s="1576"/>
      <c r="PF162" s="1576"/>
      <c r="PG162" s="1576"/>
      <c r="PH162" s="1576"/>
      <c r="PI162" s="1576"/>
      <c r="PJ162" s="1576"/>
      <c r="PK162" s="1576"/>
      <c r="PL162" s="1576"/>
      <c r="PM162" s="1576"/>
      <c r="PN162" s="1576"/>
      <c r="PO162" s="1576"/>
      <c r="PP162" s="1576"/>
      <c r="PQ162" s="1576"/>
      <c r="PR162" s="1576"/>
      <c r="PS162" s="1576"/>
      <c r="PT162" s="1576"/>
      <c r="PU162" s="1576"/>
      <c r="PV162" s="1576"/>
      <c r="PW162" s="1576"/>
      <c r="PX162" s="1576"/>
      <c r="PY162" s="1576"/>
      <c r="PZ162" s="1576"/>
      <c r="QA162" s="1576"/>
      <c r="QB162" s="1576"/>
      <c r="QC162" s="1576"/>
      <c r="QD162" s="1576"/>
      <c r="QE162" s="1576"/>
      <c r="QF162" s="1576"/>
      <c r="QG162" s="1576"/>
      <c r="QH162" s="1576"/>
      <c r="QI162" s="1576"/>
      <c r="QJ162" s="1576"/>
      <c r="QK162" s="1576"/>
      <c r="QL162" s="1576"/>
      <c r="QM162" s="1576"/>
      <c r="QN162" s="1576"/>
      <c r="QO162" s="1576"/>
      <c r="QP162" s="1576"/>
      <c r="QQ162" s="1576"/>
      <c r="QR162" s="1576"/>
      <c r="QS162" s="1576"/>
      <c r="QT162" s="1576"/>
      <c r="QU162" s="1576"/>
      <c r="QV162" s="1576"/>
      <c r="QW162" s="1576"/>
      <c r="QX162" s="1576"/>
      <c r="QY162" s="1576"/>
      <c r="QZ162" s="1576"/>
      <c r="RA162" s="1576"/>
      <c r="RB162" s="1576"/>
      <c r="RC162" s="1576"/>
      <c r="RD162" s="1576"/>
      <c r="RE162" s="1576"/>
      <c r="RF162" s="1576"/>
      <c r="RG162" s="1576"/>
      <c r="RH162" s="1576"/>
      <c r="RI162" s="1576"/>
      <c r="RJ162" s="1576"/>
      <c r="RK162" s="1576"/>
      <c r="RL162" s="1576"/>
      <c r="RM162" s="1576"/>
      <c r="RN162" s="1576"/>
      <c r="RO162" s="1576"/>
      <c r="RP162" s="1576"/>
      <c r="RQ162" s="1576"/>
      <c r="RR162" s="1576"/>
      <c r="RS162" s="1576"/>
      <c r="RT162" s="1576"/>
      <c r="RU162" s="1576"/>
      <c r="RV162" s="1576"/>
      <c r="RW162" s="1576"/>
      <c r="RX162" s="1576"/>
      <c r="RY162" s="1576"/>
      <c r="RZ162" s="1576"/>
      <c r="SA162" s="1576"/>
      <c r="SB162" s="1576"/>
      <c r="SC162" s="1576"/>
      <c r="SD162" s="1576"/>
      <c r="SE162" s="1576"/>
      <c r="SF162" s="1576"/>
      <c r="SG162" s="1576"/>
      <c r="SH162" s="1576"/>
      <c r="SI162" s="1576"/>
      <c r="SJ162" s="1576"/>
      <c r="SK162" s="1576"/>
      <c r="SL162" s="1576"/>
      <c r="SM162" s="1576"/>
      <c r="SN162" s="1576"/>
      <c r="SO162" s="1576"/>
      <c r="SP162" s="1576"/>
      <c r="SQ162" s="1576"/>
      <c r="SR162" s="1576"/>
      <c r="SS162" s="1576"/>
      <c r="ST162" s="1576"/>
      <c r="SU162" s="1576"/>
      <c r="SV162" s="1576"/>
      <c r="SW162" s="1576"/>
      <c r="SX162" s="1576"/>
      <c r="SY162" s="1576"/>
      <c r="SZ162" s="1576"/>
      <c r="TA162" s="1576"/>
      <c r="TB162" s="1576"/>
      <c r="TC162" s="1576"/>
      <c r="TD162" s="1576"/>
      <c r="TE162" s="1576"/>
      <c r="TF162" s="1576"/>
      <c r="TG162" s="1576"/>
      <c r="TH162" s="1576"/>
      <c r="TI162" s="1576"/>
      <c r="TJ162" s="1576"/>
      <c r="TK162" s="1576"/>
      <c r="TL162" s="1576"/>
      <c r="TM162" s="1576"/>
      <c r="TN162" s="1576"/>
      <c r="TO162" s="1576"/>
      <c r="TP162" s="1576"/>
      <c r="TQ162" s="1576"/>
      <c r="TR162" s="1576"/>
      <c r="TS162" s="1576"/>
      <c r="TT162" s="1576"/>
      <c r="TU162" s="1576"/>
      <c r="TV162" s="1576"/>
      <c r="TW162" s="1576"/>
      <c r="TX162" s="1576"/>
      <c r="TY162" s="1576"/>
      <c r="TZ162" s="1576"/>
      <c r="UA162" s="1576"/>
      <c r="UB162" s="1576"/>
      <c r="UC162" s="1576"/>
      <c r="UD162" s="1576"/>
      <c r="UE162" s="1576"/>
      <c r="UF162" s="1576"/>
      <c r="UG162" s="1576"/>
      <c r="UH162" s="1576"/>
      <c r="UI162" s="1576"/>
      <c r="UJ162" s="1576"/>
      <c r="UK162" s="1576"/>
      <c r="UL162" s="1576"/>
      <c r="UM162" s="1576"/>
      <c r="UN162" s="1576"/>
      <c r="UO162" s="1576"/>
      <c r="UP162" s="1576"/>
      <c r="UQ162" s="1576"/>
      <c r="UR162" s="1576"/>
      <c r="US162" s="1576"/>
      <c r="UT162" s="1576"/>
      <c r="UU162" s="1576"/>
      <c r="UV162" s="1576"/>
      <c r="UW162" s="1576"/>
      <c r="UX162" s="1576"/>
      <c r="UY162" s="1576"/>
      <c r="UZ162" s="1576"/>
      <c r="VA162" s="1576"/>
      <c r="VB162" s="1576"/>
      <c r="VC162" s="1576"/>
      <c r="VD162" s="1576"/>
      <c r="VE162" s="1576"/>
      <c r="VF162" s="1576"/>
      <c r="VG162" s="1576"/>
      <c r="VH162" s="1576"/>
      <c r="VI162" s="1576"/>
      <c r="VJ162" s="1576"/>
      <c r="VK162" s="1576"/>
    </row>
    <row r="163" spans="1:583" ht="58.5" customHeight="1" x14ac:dyDescent="0.25">
      <c r="B163" s="1610" t="s">
        <v>2864</v>
      </c>
      <c r="C163" s="1582" t="s">
        <v>2865</v>
      </c>
      <c r="D163" s="4710" t="s">
        <v>2866</v>
      </c>
      <c r="E163" s="4710">
        <v>0</v>
      </c>
      <c r="F163" s="1912"/>
      <c r="G163" s="1912"/>
      <c r="H163" s="1912"/>
      <c r="I163" s="1576"/>
      <c r="J163" s="1576"/>
      <c r="K163" s="1576"/>
      <c r="L163" s="1576"/>
      <c r="M163" s="1576"/>
      <c r="N163" s="1576"/>
      <c r="O163" s="1576"/>
      <c r="P163" s="1576"/>
      <c r="Q163" s="1576"/>
      <c r="R163" s="1576"/>
      <c r="S163" s="1576"/>
      <c r="T163" s="1576"/>
      <c r="U163" s="1576"/>
      <c r="V163" s="1576"/>
      <c r="W163" s="1576"/>
      <c r="X163" s="1576"/>
      <c r="Y163" s="1576"/>
      <c r="Z163" s="1576"/>
      <c r="AA163" s="1576"/>
      <c r="AB163" s="1576"/>
      <c r="AC163" s="1576"/>
      <c r="AD163" s="1576"/>
      <c r="AE163" s="1576"/>
      <c r="AF163" s="1576"/>
      <c r="AG163" s="1576"/>
      <c r="AH163" s="1576"/>
      <c r="AI163" s="1576"/>
      <c r="AJ163" s="1576"/>
      <c r="AK163" s="1576"/>
      <c r="AL163" s="1576"/>
      <c r="AM163" s="1576"/>
      <c r="AN163" s="1576"/>
      <c r="AO163" s="1576"/>
      <c r="AP163" s="1576"/>
      <c r="AQ163" s="1576"/>
      <c r="AR163" s="1576"/>
      <c r="AS163" s="1576"/>
      <c r="AT163" s="1576"/>
      <c r="AU163" s="1576"/>
      <c r="AV163" s="1576"/>
      <c r="AW163" s="1576"/>
      <c r="AX163" s="1576"/>
      <c r="AY163" s="1576"/>
      <c r="AZ163" s="1576"/>
      <c r="BA163" s="1576"/>
      <c r="BB163" s="1576"/>
      <c r="BC163" s="1576"/>
      <c r="BD163" s="1576"/>
      <c r="BE163" s="1576"/>
      <c r="BF163" s="1576"/>
      <c r="BG163" s="1576"/>
      <c r="BH163" s="1576"/>
      <c r="BI163" s="1576"/>
      <c r="BJ163" s="1576"/>
      <c r="BK163" s="1576"/>
      <c r="BL163" s="1576"/>
      <c r="BM163" s="1576"/>
      <c r="BN163" s="1576"/>
      <c r="BO163" s="1576"/>
      <c r="BP163" s="1576"/>
      <c r="BQ163" s="1576"/>
      <c r="BR163" s="1576"/>
      <c r="BS163" s="1576"/>
      <c r="BT163" s="1576"/>
      <c r="BU163" s="1576"/>
      <c r="BV163" s="1576"/>
      <c r="BW163" s="1576"/>
      <c r="BX163" s="1576"/>
      <c r="BY163" s="1576"/>
      <c r="BZ163" s="1576"/>
      <c r="CA163" s="1576"/>
      <c r="CB163" s="1576"/>
      <c r="CC163" s="1576"/>
      <c r="CD163" s="1576"/>
      <c r="CE163" s="1576"/>
      <c r="CF163" s="1576"/>
      <c r="CG163" s="1576"/>
      <c r="CH163" s="1576"/>
      <c r="CI163" s="1576"/>
      <c r="CJ163" s="1576"/>
      <c r="CK163" s="1576"/>
      <c r="CL163" s="1576"/>
      <c r="CM163" s="1576"/>
      <c r="CN163" s="1576"/>
      <c r="CO163" s="1576"/>
      <c r="CP163" s="1576"/>
      <c r="CQ163" s="1576"/>
      <c r="CR163" s="1576"/>
      <c r="CS163" s="1576"/>
      <c r="CT163" s="1576"/>
      <c r="CU163" s="1576"/>
      <c r="CV163" s="1576"/>
      <c r="CW163" s="1576"/>
      <c r="CX163" s="1576"/>
      <c r="CY163" s="1576"/>
      <c r="CZ163" s="1576"/>
      <c r="DA163" s="1576"/>
      <c r="DB163" s="1576"/>
      <c r="DC163" s="1576"/>
      <c r="DD163" s="1576"/>
      <c r="DE163" s="1576"/>
      <c r="DF163" s="1576"/>
      <c r="DG163" s="1576"/>
      <c r="DH163" s="1576"/>
      <c r="DI163" s="1576"/>
      <c r="DJ163" s="1576"/>
      <c r="DK163" s="1576"/>
      <c r="DL163" s="1576"/>
      <c r="DM163" s="1576"/>
      <c r="DN163" s="1576"/>
      <c r="DO163" s="1576"/>
      <c r="DP163" s="1576"/>
      <c r="DQ163" s="1576"/>
      <c r="DR163" s="1576"/>
      <c r="DS163" s="1576"/>
      <c r="DT163" s="1576"/>
      <c r="DU163" s="1576"/>
      <c r="DV163" s="1576"/>
      <c r="DW163" s="1576"/>
      <c r="DX163" s="1576"/>
      <c r="DY163" s="1576"/>
      <c r="DZ163" s="1576"/>
      <c r="EA163" s="1576"/>
      <c r="EB163" s="1576"/>
      <c r="EC163" s="1576"/>
      <c r="ED163" s="1576"/>
      <c r="EE163" s="1576"/>
      <c r="EF163" s="1576"/>
      <c r="EG163" s="1576"/>
      <c r="EH163" s="1576"/>
      <c r="EI163" s="1576"/>
      <c r="EJ163" s="1576"/>
      <c r="EK163" s="1576"/>
      <c r="EL163" s="1576"/>
      <c r="EM163" s="1576"/>
      <c r="EN163" s="1576"/>
      <c r="EO163" s="1576"/>
      <c r="EP163" s="1576"/>
      <c r="EQ163" s="1576"/>
      <c r="ER163" s="1576"/>
      <c r="ES163" s="1576"/>
      <c r="ET163" s="1576"/>
      <c r="EU163" s="1576"/>
      <c r="EV163" s="1576"/>
      <c r="EW163" s="1576"/>
      <c r="EX163" s="1576"/>
      <c r="EY163" s="1576"/>
      <c r="EZ163" s="1576"/>
      <c r="FA163" s="1576"/>
      <c r="FB163" s="1576"/>
      <c r="FC163" s="1576"/>
      <c r="FD163" s="1576"/>
      <c r="FE163" s="1576"/>
      <c r="FF163" s="1576"/>
      <c r="FG163" s="1576"/>
      <c r="FH163" s="1576"/>
      <c r="FI163" s="1576"/>
      <c r="FJ163" s="1576"/>
      <c r="FK163" s="1576"/>
      <c r="FL163" s="1576"/>
      <c r="FM163" s="1576"/>
      <c r="FN163" s="1576"/>
      <c r="FO163" s="1576"/>
      <c r="FP163" s="1576"/>
      <c r="FQ163" s="1576"/>
      <c r="FR163" s="1576"/>
      <c r="FS163" s="1576"/>
      <c r="FT163" s="1576"/>
      <c r="FU163" s="1576"/>
      <c r="FV163" s="1576"/>
      <c r="FW163" s="1576"/>
      <c r="FX163" s="1576"/>
      <c r="FY163" s="1576"/>
      <c r="FZ163" s="1576"/>
      <c r="GA163" s="1576"/>
      <c r="GB163" s="1576"/>
      <c r="GC163" s="1576"/>
      <c r="GD163" s="1576"/>
      <c r="GE163" s="1576"/>
      <c r="GF163" s="1576"/>
      <c r="GG163" s="1576"/>
      <c r="GH163" s="1576"/>
      <c r="GI163" s="1576"/>
      <c r="GJ163" s="1576"/>
      <c r="GK163" s="1576"/>
      <c r="GL163" s="1576"/>
      <c r="GM163" s="1576"/>
      <c r="GN163" s="1576"/>
      <c r="GO163" s="1576"/>
      <c r="GP163" s="1576"/>
      <c r="GQ163" s="1576"/>
      <c r="GR163" s="1576"/>
      <c r="GS163" s="1576"/>
      <c r="GT163" s="1576"/>
      <c r="GU163" s="1576"/>
      <c r="GV163" s="1576"/>
      <c r="GW163" s="1576"/>
      <c r="GX163" s="1576"/>
      <c r="GY163" s="1576"/>
      <c r="GZ163" s="1576"/>
      <c r="HA163" s="1576"/>
      <c r="HB163" s="1576"/>
      <c r="HC163" s="1576"/>
      <c r="HD163" s="1576"/>
      <c r="HE163" s="1576"/>
      <c r="HF163" s="1576"/>
      <c r="HG163" s="1576"/>
      <c r="HH163" s="1576"/>
      <c r="HI163" s="1576"/>
      <c r="HJ163" s="1576"/>
      <c r="HK163" s="1576"/>
      <c r="HL163" s="1576"/>
      <c r="HM163" s="1576"/>
      <c r="HN163" s="1576"/>
      <c r="HO163" s="1576"/>
      <c r="HP163" s="1576"/>
      <c r="HQ163" s="1576"/>
      <c r="HR163" s="1576"/>
      <c r="HS163" s="1576"/>
      <c r="HT163" s="1576"/>
      <c r="HU163" s="1576"/>
      <c r="HV163" s="1576"/>
      <c r="HW163" s="1576"/>
      <c r="HX163" s="1576"/>
      <c r="HY163" s="1576"/>
      <c r="HZ163" s="1576"/>
      <c r="IA163" s="1576"/>
      <c r="IB163" s="1576"/>
      <c r="IC163" s="1576"/>
      <c r="ID163" s="1576"/>
      <c r="IE163" s="1576"/>
      <c r="IF163" s="1576"/>
      <c r="IG163" s="1576"/>
      <c r="IH163" s="1576"/>
      <c r="II163" s="1576"/>
      <c r="IJ163" s="1576"/>
      <c r="IK163" s="1576"/>
      <c r="IL163" s="1576"/>
      <c r="IM163" s="1576"/>
      <c r="IN163" s="1576"/>
      <c r="IO163" s="1576"/>
      <c r="IP163" s="1576"/>
      <c r="IQ163" s="1576"/>
      <c r="IR163" s="1576"/>
      <c r="IS163" s="1576"/>
      <c r="IT163" s="1576"/>
      <c r="IU163" s="1576"/>
      <c r="IV163" s="1576"/>
      <c r="IW163" s="1576"/>
      <c r="IX163" s="1576"/>
      <c r="IY163" s="1576"/>
      <c r="IZ163" s="1576"/>
      <c r="JA163" s="2054"/>
      <c r="JB163" s="2054"/>
      <c r="JC163" s="2054"/>
      <c r="JD163" s="2054"/>
      <c r="JE163" s="2054"/>
      <c r="JF163" s="2054"/>
      <c r="JG163" s="2054"/>
      <c r="JH163" s="2054"/>
      <c r="JI163" s="2054"/>
      <c r="JJ163" s="2054"/>
      <c r="JK163" s="2054"/>
      <c r="JL163" s="2054"/>
      <c r="JM163" s="2054"/>
      <c r="JN163" s="2054"/>
      <c r="JO163" s="2054"/>
      <c r="JP163" s="2054"/>
      <c r="JQ163" s="2054"/>
      <c r="JR163" s="1576"/>
      <c r="JS163" s="1576"/>
      <c r="JT163" s="1576"/>
      <c r="JU163" s="1576"/>
      <c r="JV163" s="1576"/>
      <c r="JW163" s="1576"/>
      <c r="JX163" s="1576"/>
      <c r="JY163" s="1576"/>
      <c r="JZ163" s="1576"/>
      <c r="KA163" s="1576"/>
      <c r="KB163" s="1576"/>
      <c r="KC163" s="1576"/>
      <c r="KD163" s="1576"/>
      <c r="KE163" s="1576"/>
      <c r="KF163" s="1576"/>
      <c r="KG163" s="1576"/>
      <c r="KH163" s="1576"/>
      <c r="KI163" s="1576"/>
      <c r="KJ163" s="1576"/>
      <c r="KK163" s="1576"/>
      <c r="KL163" s="1576"/>
      <c r="KM163" s="1576"/>
      <c r="KN163" s="1576"/>
      <c r="KO163" s="1576"/>
      <c r="KP163" s="1576"/>
      <c r="KQ163" s="1576"/>
      <c r="KR163" s="1576"/>
      <c r="KS163" s="1576"/>
      <c r="KT163" s="1576"/>
      <c r="KU163" s="1576"/>
      <c r="KV163" s="1576"/>
      <c r="KW163" s="1576"/>
      <c r="KX163" s="1576"/>
      <c r="KY163" s="1576"/>
      <c r="KZ163" s="1576"/>
      <c r="LA163" s="1576"/>
      <c r="LB163" s="1576"/>
      <c r="LC163" s="1576"/>
      <c r="LD163" s="1576"/>
      <c r="LE163" s="1576"/>
      <c r="LF163" s="1576"/>
      <c r="LG163" s="1576"/>
      <c r="LH163" s="1576"/>
      <c r="LI163" s="1576"/>
      <c r="LJ163" s="1576"/>
      <c r="LK163" s="1576"/>
      <c r="LL163" s="1576"/>
      <c r="LM163" s="1576"/>
      <c r="LN163" s="1576"/>
      <c r="LO163" s="1576"/>
      <c r="LP163" s="1576"/>
      <c r="LQ163" s="1576"/>
      <c r="LR163" s="1576"/>
      <c r="LS163" s="1576"/>
      <c r="LT163" s="1576"/>
      <c r="LU163" s="1576"/>
      <c r="LV163" s="1576"/>
      <c r="LW163" s="1576"/>
      <c r="LX163" s="1576"/>
      <c r="LY163" s="1576"/>
      <c r="LZ163" s="1576"/>
      <c r="MA163" s="1576"/>
      <c r="MB163" s="1576"/>
      <c r="MC163" s="1576"/>
      <c r="MD163" s="1576"/>
      <c r="ME163" s="1576"/>
      <c r="MF163" s="1576"/>
      <c r="MG163" s="1576"/>
      <c r="MH163" s="1576"/>
      <c r="MI163" s="1576"/>
      <c r="MJ163" s="1576"/>
      <c r="MK163" s="1576"/>
      <c r="ML163" s="1576"/>
      <c r="MM163" s="1576"/>
      <c r="MN163" s="1576"/>
      <c r="MO163" s="1576"/>
      <c r="MP163" s="1576"/>
      <c r="MQ163" s="1576"/>
      <c r="MR163" s="1576"/>
      <c r="MS163" s="1576"/>
      <c r="MT163" s="1576"/>
      <c r="MU163" s="1576"/>
      <c r="MV163" s="1576"/>
      <c r="MW163" s="1576"/>
      <c r="MX163" s="1576"/>
      <c r="MY163" s="1576"/>
      <c r="MZ163" s="1576"/>
      <c r="NA163" s="1576"/>
      <c r="NB163" s="1576"/>
      <c r="NC163" s="1576"/>
      <c r="ND163" s="1576"/>
      <c r="NE163" s="1576"/>
      <c r="NF163" s="1576"/>
      <c r="NG163" s="1576"/>
      <c r="NH163" s="1576"/>
      <c r="NI163" s="1576"/>
      <c r="NJ163" s="1576"/>
      <c r="NK163" s="1576"/>
      <c r="NL163" s="1576"/>
      <c r="NM163" s="1576"/>
      <c r="NN163" s="1576"/>
      <c r="NO163" s="1576"/>
      <c r="NP163" s="1576"/>
      <c r="NQ163" s="1576"/>
      <c r="NR163" s="1576"/>
      <c r="NS163" s="1576"/>
      <c r="NT163" s="1576"/>
      <c r="NU163" s="1576"/>
      <c r="NV163" s="1576"/>
      <c r="NW163" s="1576"/>
      <c r="NX163" s="1576"/>
      <c r="NY163" s="1576"/>
      <c r="NZ163" s="1576"/>
      <c r="OA163" s="1576"/>
      <c r="OB163" s="1576"/>
      <c r="OC163" s="1576"/>
      <c r="OD163" s="1576"/>
      <c r="OE163" s="1576"/>
      <c r="OF163" s="1576"/>
      <c r="OG163" s="1576"/>
      <c r="OH163" s="1576"/>
      <c r="OI163" s="1576"/>
      <c r="OJ163" s="1576"/>
      <c r="OK163" s="1576"/>
      <c r="OL163" s="1576"/>
      <c r="OM163" s="1576"/>
      <c r="ON163" s="1576"/>
      <c r="OO163" s="1576"/>
      <c r="OP163" s="1576"/>
      <c r="OQ163" s="1576"/>
      <c r="OR163" s="1576"/>
      <c r="OS163" s="1576"/>
      <c r="OT163" s="1576"/>
      <c r="OU163" s="1576"/>
      <c r="OV163" s="1576"/>
      <c r="OW163" s="1576"/>
      <c r="OX163" s="1576"/>
      <c r="OY163" s="1576"/>
      <c r="OZ163" s="1576"/>
      <c r="PA163" s="1576"/>
      <c r="PB163" s="1576"/>
      <c r="PC163" s="1576"/>
      <c r="PD163" s="1576"/>
      <c r="PE163" s="1576"/>
      <c r="PF163" s="1576"/>
      <c r="PG163" s="1576"/>
      <c r="PH163" s="1576"/>
      <c r="PI163" s="1576"/>
      <c r="PJ163" s="1576"/>
      <c r="PK163" s="1576"/>
      <c r="PL163" s="1576"/>
      <c r="PM163" s="1576"/>
      <c r="PN163" s="1576"/>
      <c r="PO163" s="1576"/>
      <c r="PP163" s="1576"/>
      <c r="PQ163" s="1576"/>
      <c r="PR163" s="1576"/>
      <c r="PS163" s="1576"/>
      <c r="PT163" s="1576"/>
      <c r="PU163" s="1576"/>
      <c r="PV163" s="1576"/>
      <c r="PW163" s="1576"/>
      <c r="PX163" s="1576"/>
      <c r="PY163" s="1576"/>
      <c r="PZ163" s="1576"/>
      <c r="QA163" s="1576"/>
      <c r="QB163" s="1576"/>
      <c r="QC163" s="1576"/>
      <c r="QD163" s="1576"/>
      <c r="QE163" s="1576"/>
      <c r="QF163" s="1576"/>
      <c r="QG163" s="1576"/>
      <c r="QH163" s="1576"/>
      <c r="QI163" s="1576"/>
      <c r="QJ163" s="1576"/>
      <c r="QK163" s="1576"/>
      <c r="QL163" s="1576"/>
      <c r="QM163" s="1576"/>
      <c r="QN163" s="1576"/>
      <c r="QO163" s="1576"/>
      <c r="QP163" s="1576"/>
      <c r="QQ163" s="1576"/>
      <c r="QR163" s="1576"/>
      <c r="QS163" s="1576"/>
      <c r="QT163" s="1576"/>
      <c r="QU163" s="1576"/>
      <c r="QV163" s="1576"/>
      <c r="QW163" s="1576"/>
      <c r="QX163" s="1576"/>
      <c r="QY163" s="1576"/>
      <c r="QZ163" s="1576"/>
      <c r="RA163" s="1576"/>
      <c r="RB163" s="1576"/>
      <c r="RC163" s="1576"/>
      <c r="RD163" s="1576"/>
      <c r="RE163" s="1576"/>
      <c r="RF163" s="1576"/>
      <c r="RG163" s="1576"/>
      <c r="RH163" s="1576"/>
      <c r="RI163" s="1576"/>
      <c r="RJ163" s="1576"/>
      <c r="RK163" s="1576"/>
      <c r="RL163" s="1576"/>
      <c r="RM163" s="1576"/>
      <c r="RN163" s="1576"/>
      <c r="RO163" s="1576"/>
      <c r="RP163" s="1576"/>
      <c r="RQ163" s="1576"/>
      <c r="RR163" s="1576"/>
      <c r="RS163" s="1576"/>
      <c r="RT163" s="1576"/>
      <c r="RU163" s="1576"/>
      <c r="RV163" s="1576"/>
      <c r="RW163" s="1576"/>
      <c r="RX163" s="1576"/>
      <c r="RY163" s="1576"/>
      <c r="RZ163" s="1576"/>
      <c r="SA163" s="1576"/>
      <c r="SB163" s="1576"/>
      <c r="SC163" s="1576"/>
      <c r="SD163" s="1576"/>
      <c r="SE163" s="1576"/>
      <c r="SF163" s="1576"/>
      <c r="SG163" s="1576"/>
      <c r="SH163" s="1576"/>
      <c r="SI163" s="1576"/>
      <c r="SJ163" s="1576"/>
      <c r="SK163" s="1576"/>
      <c r="SL163" s="1576"/>
      <c r="SM163" s="1576"/>
      <c r="SN163" s="1576"/>
      <c r="SO163" s="1576"/>
      <c r="SP163" s="1576"/>
      <c r="SQ163" s="1576"/>
      <c r="SR163" s="1576"/>
      <c r="SS163" s="1576"/>
      <c r="ST163" s="1576"/>
      <c r="SU163" s="1576"/>
      <c r="SV163" s="1576"/>
      <c r="SW163" s="1576"/>
      <c r="SX163" s="1576"/>
      <c r="SY163" s="1576"/>
      <c r="SZ163" s="1576"/>
      <c r="TA163" s="1576"/>
      <c r="TB163" s="1576"/>
      <c r="TC163" s="1576"/>
      <c r="TD163" s="1576"/>
      <c r="TE163" s="1576"/>
      <c r="TF163" s="1576"/>
      <c r="TG163" s="1576"/>
      <c r="TH163" s="1576"/>
      <c r="TI163" s="1576"/>
      <c r="TJ163" s="1576"/>
      <c r="TK163" s="1576"/>
      <c r="TL163" s="1576"/>
      <c r="TM163" s="1576"/>
      <c r="TN163" s="1576"/>
      <c r="TO163" s="1576"/>
      <c r="TP163" s="1576"/>
      <c r="TQ163" s="1576"/>
      <c r="TR163" s="1576"/>
      <c r="TS163" s="1576"/>
      <c r="TT163" s="1576"/>
      <c r="TU163" s="1576"/>
      <c r="TV163" s="1576"/>
      <c r="TW163" s="1576"/>
      <c r="TX163" s="1576"/>
      <c r="TY163" s="1576"/>
      <c r="TZ163" s="1576"/>
      <c r="UA163" s="1576"/>
      <c r="UB163" s="1576"/>
      <c r="UC163" s="1576"/>
      <c r="UD163" s="1576"/>
      <c r="UE163" s="1576"/>
      <c r="UF163" s="1576"/>
      <c r="UG163" s="1576"/>
      <c r="UH163" s="1576"/>
      <c r="UI163" s="1576"/>
      <c r="UJ163" s="1576"/>
      <c r="UK163" s="1576"/>
      <c r="UL163" s="1576"/>
      <c r="UM163" s="1576"/>
      <c r="UN163" s="1576"/>
      <c r="UO163" s="1576"/>
      <c r="UP163" s="1576"/>
      <c r="UQ163" s="1576"/>
      <c r="UR163" s="1576"/>
      <c r="US163" s="1576"/>
      <c r="UT163" s="1576"/>
      <c r="UU163" s="1576"/>
      <c r="UV163" s="1576"/>
      <c r="UW163" s="1576"/>
      <c r="UX163" s="1576"/>
      <c r="UY163" s="1576"/>
      <c r="UZ163" s="1576"/>
      <c r="VA163" s="1576"/>
      <c r="VB163" s="1576"/>
      <c r="VC163" s="1576"/>
      <c r="VD163" s="1576"/>
      <c r="VE163" s="1576"/>
      <c r="VF163" s="1576"/>
      <c r="VG163" s="1576"/>
      <c r="VH163" s="1576"/>
      <c r="VI163" s="1576"/>
      <c r="VJ163" s="1576"/>
      <c r="VK163" s="1576"/>
    </row>
    <row r="164" spans="1:583" ht="70.5" customHeight="1" x14ac:dyDescent="0.25">
      <c r="A164" s="691" t="s">
        <v>3833</v>
      </c>
      <c r="B164" s="1610" t="s">
        <v>2864</v>
      </c>
      <c r="C164" s="2062" t="s">
        <v>2959</v>
      </c>
      <c r="D164" s="1582" t="s">
        <v>2864</v>
      </c>
      <c r="E164" s="2062" t="s">
        <v>2959</v>
      </c>
      <c r="F164" s="2061">
        <f>SUM(F162:F163)</f>
        <v>0</v>
      </c>
      <c r="G164" s="2061">
        <f t="shared" ref="G164:BR164" si="237">SUM(G162:G163)</f>
        <v>0</v>
      </c>
      <c r="H164" s="2061">
        <f t="shared" si="237"/>
        <v>0</v>
      </c>
      <c r="I164" s="2061">
        <f t="shared" si="237"/>
        <v>0</v>
      </c>
      <c r="J164" s="2061">
        <f t="shared" si="237"/>
        <v>0</v>
      </c>
      <c r="K164" s="2061">
        <f t="shared" si="237"/>
        <v>0</v>
      </c>
      <c r="L164" s="2061">
        <f t="shared" si="237"/>
        <v>0</v>
      </c>
      <c r="M164" s="2061">
        <f t="shared" si="237"/>
        <v>0</v>
      </c>
      <c r="N164" s="2061">
        <f t="shared" si="237"/>
        <v>0</v>
      </c>
      <c r="O164" s="2061">
        <f t="shared" si="237"/>
        <v>0</v>
      </c>
      <c r="P164" s="2061">
        <f t="shared" si="237"/>
        <v>0</v>
      </c>
      <c r="Q164" s="2061">
        <f t="shared" si="237"/>
        <v>0</v>
      </c>
      <c r="R164" s="2061">
        <f t="shared" si="237"/>
        <v>0</v>
      </c>
      <c r="S164" s="2061">
        <f t="shared" si="237"/>
        <v>0</v>
      </c>
      <c r="T164" s="2061">
        <f t="shared" si="237"/>
        <v>0</v>
      </c>
      <c r="U164" s="2061">
        <f t="shared" si="237"/>
        <v>0</v>
      </c>
      <c r="V164" s="2061">
        <f t="shared" si="237"/>
        <v>0</v>
      </c>
      <c r="W164" s="2061">
        <f t="shared" si="237"/>
        <v>0</v>
      </c>
      <c r="X164" s="2061">
        <f t="shared" si="237"/>
        <v>0</v>
      </c>
      <c r="Y164" s="2061">
        <f t="shared" si="237"/>
        <v>0</v>
      </c>
      <c r="Z164" s="2061">
        <f t="shared" si="237"/>
        <v>0</v>
      </c>
      <c r="AA164" s="2061">
        <f t="shared" si="237"/>
        <v>0</v>
      </c>
      <c r="AB164" s="2061">
        <f t="shared" si="237"/>
        <v>0</v>
      </c>
      <c r="AC164" s="2061">
        <f t="shared" si="237"/>
        <v>0</v>
      </c>
      <c r="AD164" s="2061">
        <f t="shared" si="237"/>
        <v>0</v>
      </c>
      <c r="AE164" s="2061">
        <f t="shared" si="237"/>
        <v>0</v>
      </c>
      <c r="AF164" s="2061">
        <f t="shared" si="237"/>
        <v>0</v>
      </c>
      <c r="AG164" s="2061">
        <f t="shared" si="237"/>
        <v>0</v>
      </c>
      <c r="AH164" s="2061">
        <f t="shared" si="237"/>
        <v>0</v>
      </c>
      <c r="AI164" s="2061">
        <f t="shared" si="237"/>
        <v>0</v>
      </c>
      <c r="AJ164" s="2061">
        <f t="shared" si="237"/>
        <v>0</v>
      </c>
      <c r="AK164" s="2061">
        <f t="shared" si="237"/>
        <v>0</v>
      </c>
      <c r="AL164" s="2061">
        <f t="shared" si="237"/>
        <v>0</v>
      </c>
      <c r="AM164" s="2061">
        <f t="shared" si="237"/>
        <v>0</v>
      </c>
      <c r="AN164" s="2061">
        <f t="shared" si="237"/>
        <v>0</v>
      </c>
      <c r="AO164" s="2061">
        <f t="shared" si="237"/>
        <v>0</v>
      </c>
      <c r="AP164" s="2061">
        <f t="shared" si="237"/>
        <v>0</v>
      </c>
      <c r="AQ164" s="2061">
        <f t="shared" si="237"/>
        <v>0</v>
      </c>
      <c r="AR164" s="2061">
        <f t="shared" si="237"/>
        <v>0</v>
      </c>
      <c r="AS164" s="2061">
        <f t="shared" si="237"/>
        <v>0</v>
      </c>
      <c r="AT164" s="2061">
        <f t="shared" si="237"/>
        <v>0</v>
      </c>
      <c r="AU164" s="2061">
        <f t="shared" si="237"/>
        <v>0</v>
      </c>
      <c r="AV164" s="2061">
        <f t="shared" si="237"/>
        <v>0</v>
      </c>
      <c r="AW164" s="2061">
        <f t="shared" si="237"/>
        <v>0</v>
      </c>
      <c r="AX164" s="2061">
        <f t="shared" si="237"/>
        <v>0</v>
      </c>
      <c r="AY164" s="2061">
        <f t="shared" si="237"/>
        <v>0</v>
      </c>
      <c r="AZ164" s="2061">
        <f t="shared" si="237"/>
        <v>0</v>
      </c>
      <c r="BA164" s="2061">
        <f t="shared" si="237"/>
        <v>0</v>
      </c>
      <c r="BB164" s="2061">
        <f t="shared" si="237"/>
        <v>0</v>
      </c>
      <c r="BC164" s="2061">
        <f t="shared" si="237"/>
        <v>0</v>
      </c>
      <c r="BD164" s="2061">
        <f t="shared" si="237"/>
        <v>0</v>
      </c>
      <c r="BE164" s="2061">
        <f t="shared" si="237"/>
        <v>0</v>
      </c>
      <c r="BF164" s="2061">
        <f t="shared" si="237"/>
        <v>0</v>
      </c>
      <c r="BG164" s="2061">
        <f t="shared" si="237"/>
        <v>0</v>
      </c>
      <c r="BH164" s="2061">
        <f t="shared" si="237"/>
        <v>0</v>
      </c>
      <c r="BI164" s="2061">
        <f t="shared" si="237"/>
        <v>0</v>
      </c>
      <c r="BJ164" s="2061">
        <f t="shared" si="237"/>
        <v>0</v>
      </c>
      <c r="BK164" s="2061">
        <f t="shared" si="237"/>
        <v>0</v>
      </c>
      <c r="BL164" s="2061">
        <f t="shared" si="237"/>
        <v>0</v>
      </c>
      <c r="BM164" s="2061">
        <f t="shared" si="237"/>
        <v>0</v>
      </c>
      <c r="BN164" s="2061">
        <f t="shared" si="237"/>
        <v>0</v>
      </c>
      <c r="BO164" s="2061">
        <f t="shared" si="237"/>
        <v>0</v>
      </c>
      <c r="BP164" s="2061">
        <f t="shared" si="237"/>
        <v>0</v>
      </c>
      <c r="BQ164" s="2061">
        <f t="shared" si="237"/>
        <v>0</v>
      </c>
      <c r="BR164" s="2061">
        <f t="shared" si="237"/>
        <v>0</v>
      </c>
      <c r="BS164" s="2061">
        <f t="shared" ref="BS164:ED164" si="238">SUM(BS162:BS163)</f>
        <v>0</v>
      </c>
      <c r="BT164" s="2061">
        <f t="shared" si="238"/>
        <v>0</v>
      </c>
      <c r="BU164" s="2061">
        <f t="shared" si="238"/>
        <v>0</v>
      </c>
      <c r="BV164" s="2061">
        <f t="shared" si="238"/>
        <v>0</v>
      </c>
      <c r="BW164" s="2061">
        <f t="shared" si="238"/>
        <v>0</v>
      </c>
      <c r="BX164" s="2061">
        <f t="shared" si="238"/>
        <v>0</v>
      </c>
      <c r="BY164" s="2061">
        <f t="shared" si="238"/>
        <v>0</v>
      </c>
      <c r="BZ164" s="2061">
        <f t="shared" si="238"/>
        <v>0</v>
      </c>
      <c r="CA164" s="2061">
        <f t="shared" si="238"/>
        <v>0</v>
      </c>
      <c r="CB164" s="2061">
        <f t="shared" si="238"/>
        <v>0</v>
      </c>
      <c r="CC164" s="2061">
        <f t="shared" si="238"/>
        <v>0</v>
      </c>
      <c r="CD164" s="2061">
        <f t="shared" si="238"/>
        <v>0</v>
      </c>
      <c r="CE164" s="2061">
        <f t="shared" si="238"/>
        <v>0</v>
      </c>
      <c r="CF164" s="2061">
        <f t="shared" si="238"/>
        <v>0</v>
      </c>
      <c r="CG164" s="2061">
        <f t="shared" si="238"/>
        <v>0</v>
      </c>
      <c r="CH164" s="2061">
        <f t="shared" si="238"/>
        <v>0</v>
      </c>
      <c r="CI164" s="2061">
        <f t="shared" si="238"/>
        <v>0</v>
      </c>
      <c r="CJ164" s="2061">
        <f t="shared" si="238"/>
        <v>0</v>
      </c>
      <c r="CK164" s="2061">
        <f t="shared" si="238"/>
        <v>0</v>
      </c>
      <c r="CL164" s="2061">
        <f t="shared" si="238"/>
        <v>0</v>
      </c>
      <c r="CM164" s="2061">
        <f t="shared" si="238"/>
        <v>0</v>
      </c>
      <c r="CN164" s="2061">
        <f t="shared" si="238"/>
        <v>0</v>
      </c>
      <c r="CO164" s="2061">
        <f t="shared" si="238"/>
        <v>0</v>
      </c>
      <c r="CP164" s="2061">
        <f t="shared" si="238"/>
        <v>0</v>
      </c>
      <c r="CQ164" s="2061">
        <f t="shared" si="238"/>
        <v>0</v>
      </c>
      <c r="CR164" s="2061">
        <f t="shared" si="238"/>
        <v>0</v>
      </c>
      <c r="CS164" s="2061">
        <f t="shared" si="238"/>
        <v>0</v>
      </c>
      <c r="CT164" s="2061">
        <f t="shared" si="238"/>
        <v>0</v>
      </c>
      <c r="CU164" s="2061">
        <f t="shared" si="238"/>
        <v>0</v>
      </c>
      <c r="CV164" s="2061">
        <f t="shared" si="238"/>
        <v>0</v>
      </c>
      <c r="CW164" s="2061">
        <f t="shared" si="238"/>
        <v>0</v>
      </c>
      <c r="CX164" s="2061">
        <f t="shared" si="238"/>
        <v>0</v>
      </c>
      <c r="CY164" s="2061">
        <f t="shared" si="238"/>
        <v>0</v>
      </c>
      <c r="CZ164" s="2061">
        <f t="shared" si="238"/>
        <v>0</v>
      </c>
      <c r="DA164" s="2061">
        <f t="shared" si="238"/>
        <v>0</v>
      </c>
      <c r="DB164" s="2061">
        <f t="shared" si="238"/>
        <v>0</v>
      </c>
      <c r="DC164" s="2061">
        <f t="shared" si="238"/>
        <v>0</v>
      </c>
      <c r="DD164" s="2061">
        <f t="shared" si="238"/>
        <v>0</v>
      </c>
      <c r="DE164" s="2061">
        <f t="shared" si="238"/>
        <v>0</v>
      </c>
      <c r="DF164" s="2061">
        <f t="shared" si="238"/>
        <v>0</v>
      </c>
      <c r="DG164" s="2061">
        <f t="shared" si="238"/>
        <v>0</v>
      </c>
      <c r="DH164" s="2061">
        <f t="shared" si="238"/>
        <v>0</v>
      </c>
      <c r="DI164" s="2061">
        <f t="shared" si="238"/>
        <v>0</v>
      </c>
      <c r="DJ164" s="2061">
        <f t="shared" si="238"/>
        <v>0</v>
      </c>
      <c r="DK164" s="2061">
        <f t="shared" si="238"/>
        <v>0</v>
      </c>
      <c r="DL164" s="2061">
        <f t="shared" si="238"/>
        <v>0</v>
      </c>
      <c r="DM164" s="2061">
        <f t="shared" si="238"/>
        <v>0</v>
      </c>
      <c r="DN164" s="2061">
        <f t="shared" si="238"/>
        <v>0</v>
      </c>
      <c r="DO164" s="2061">
        <f t="shared" si="238"/>
        <v>0</v>
      </c>
      <c r="DP164" s="2061">
        <f t="shared" si="238"/>
        <v>0</v>
      </c>
      <c r="DQ164" s="2061">
        <f t="shared" si="238"/>
        <v>0</v>
      </c>
      <c r="DR164" s="2061">
        <f t="shared" si="238"/>
        <v>0</v>
      </c>
      <c r="DS164" s="2061">
        <f t="shared" si="238"/>
        <v>0</v>
      </c>
      <c r="DT164" s="2061">
        <f t="shared" si="238"/>
        <v>0</v>
      </c>
      <c r="DU164" s="2061">
        <f t="shared" si="238"/>
        <v>0</v>
      </c>
      <c r="DV164" s="2061">
        <f t="shared" si="238"/>
        <v>0</v>
      </c>
      <c r="DW164" s="2061">
        <f t="shared" si="238"/>
        <v>0</v>
      </c>
      <c r="DX164" s="2061">
        <f t="shared" si="238"/>
        <v>0</v>
      </c>
      <c r="DY164" s="2061">
        <f t="shared" si="238"/>
        <v>0</v>
      </c>
      <c r="DZ164" s="2061">
        <f t="shared" si="238"/>
        <v>0</v>
      </c>
      <c r="EA164" s="2061">
        <f t="shared" si="238"/>
        <v>0</v>
      </c>
      <c r="EB164" s="2061">
        <f t="shared" si="238"/>
        <v>0</v>
      </c>
      <c r="EC164" s="2061">
        <f t="shared" si="238"/>
        <v>0</v>
      </c>
      <c r="ED164" s="2061">
        <f t="shared" si="238"/>
        <v>0</v>
      </c>
      <c r="EE164" s="2061">
        <f t="shared" ref="EE164:GP164" si="239">SUM(EE162:EE163)</f>
        <v>0</v>
      </c>
      <c r="EF164" s="2061">
        <f t="shared" si="239"/>
        <v>0</v>
      </c>
      <c r="EG164" s="2061">
        <f t="shared" si="239"/>
        <v>0</v>
      </c>
      <c r="EH164" s="2061">
        <f t="shared" si="239"/>
        <v>0</v>
      </c>
      <c r="EI164" s="2061">
        <f t="shared" si="239"/>
        <v>0</v>
      </c>
      <c r="EJ164" s="2061">
        <f t="shared" si="239"/>
        <v>0</v>
      </c>
      <c r="EK164" s="2061">
        <f t="shared" si="239"/>
        <v>0</v>
      </c>
      <c r="EL164" s="2061">
        <f t="shared" si="239"/>
        <v>0</v>
      </c>
      <c r="EM164" s="2061">
        <f t="shared" si="239"/>
        <v>0</v>
      </c>
      <c r="EN164" s="2061">
        <f t="shared" si="239"/>
        <v>0</v>
      </c>
      <c r="EO164" s="2061">
        <f t="shared" si="239"/>
        <v>0</v>
      </c>
      <c r="EP164" s="2061">
        <f t="shared" si="239"/>
        <v>0</v>
      </c>
      <c r="EQ164" s="2061">
        <f t="shared" si="239"/>
        <v>0</v>
      </c>
      <c r="ER164" s="2061">
        <f t="shared" si="239"/>
        <v>0</v>
      </c>
      <c r="ES164" s="2061">
        <f t="shared" si="239"/>
        <v>0</v>
      </c>
      <c r="ET164" s="2061">
        <f t="shared" si="239"/>
        <v>0</v>
      </c>
      <c r="EU164" s="2061">
        <f t="shared" si="239"/>
        <v>0</v>
      </c>
      <c r="EV164" s="2061">
        <f t="shared" si="239"/>
        <v>0</v>
      </c>
      <c r="EW164" s="2061">
        <f t="shared" si="239"/>
        <v>0</v>
      </c>
      <c r="EX164" s="2061">
        <f t="shared" si="239"/>
        <v>0</v>
      </c>
      <c r="EY164" s="2061">
        <f t="shared" si="239"/>
        <v>0</v>
      </c>
      <c r="EZ164" s="2061">
        <f t="shared" si="239"/>
        <v>0</v>
      </c>
      <c r="FA164" s="2061">
        <f t="shared" si="239"/>
        <v>0</v>
      </c>
      <c r="FB164" s="2061">
        <f t="shared" si="239"/>
        <v>0</v>
      </c>
      <c r="FC164" s="2061">
        <f t="shared" si="239"/>
        <v>0</v>
      </c>
      <c r="FD164" s="2061">
        <f t="shared" si="239"/>
        <v>0</v>
      </c>
      <c r="FE164" s="2061">
        <f t="shared" si="239"/>
        <v>0</v>
      </c>
      <c r="FF164" s="2061">
        <f t="shared" si="239"/>
        <v>0</v>
      </c>
      <c r="FG164" s="2061">
        <f t="shared" si="239"/>
        <v>0</v>
      </c>
      <c r="FH164" s="2061">
        <f t="shared" si="239"/>
        <v>0</v>
      </c>
      <c r="FI164" s="2061">
        <f t="shared" si="239"/>
        <v>0</v>
      </c>
      <c r="FJ164" s="2061">
        <f t="shared" si="239"/>
        <v>0</v>
      </c>
      <c r="FK164" s="2061">
        <f t="shared" si="239"/>
        <v>0</v>
      </c>
      <c r="FL164" s="2061">
        <f t="shared" si="239"/>
        <v>0</v>
      </c>
      <c r="FM164" s="2061">
        <f t="shared" si="239"/>
        <v>0</v>
      </c>
      <c r="FN164" s="2061">
        <f t="shared" si="239"/>
        <v>0</v>
      </c>
      <c r="FO164" s="2061">
        <f t="shared" si="239"/>
        <v>0</v>
      </c>
      <c r="FP164" s="2061">
        <f t="shared" si="239"/>
        <v>0</v>
      </c>
      <c r="FQ164" s="2061">
        <f t="shared" si="239"/>
        <v>0</v>
      </c>
      <c r="FR164" s="2061">
        <f t="shared" si="239"/>
        <v>0</v>
      </c>
      <c r="FS164" s="2061">
        <f t="shared" si="239"/>
        <v>0</v>
      </c>
      <c r="FT164" s="2061">
        <f t="shared" si="239"/>
        <v>0</v>
      </c>
      <c r="FU164" s="2061">
        <f t="shared" si="239"/>
        <v>0</v>
      </c>
      <c r="FV164" s="2061">
        <f t="shared" si="239"/>
        <v>0</v>
      </c>
      <c r="FW164" s="2061">
        <f t="shared" si="239"/>
        <v>0</v>
      </c>
      <c r="FX164" s="2061">
        <f t="shared" si="239"/>
        <v>0</v>
      </c>
      <c r="FY164" s="2061">
        <f t="shared" si="239"/>
        <v>0</v>
      </c>
      <c r="FZ164" s="2061">
        <f t="shared" si="239"/>
        <v>0</v>
      </c>
      <c r="GA164" s="2061">
        <f t="shared" si="239"/>
        <v>0</v>
      </c>
      <c r="GB164" s="2061">
        <f t="shared" si="239"/>
        <v>0</v>
      </c>
      <c r="GC164" s="2061">
        <f t="shared" si="239"/>
        <v>0</v>
      </c>
      <c r="GD164" s="2061">
        <f t="shared" si="239"/>
        <v>0</v>
      </c>
      <c r="GE164" s="2061">
        <f t="shared" si="239"/>
        <v>0</v>
      </c>
      <c r="GF164" s="2061">
        <f t="shared" si="239"/>
        <v>0</v>
      </c>
      <c r="GG164" s="2061">
        <f t="shared" si="239"/>
        <v>0</v>
      </c>
      <c r="GH164" s="2061">
        <f t="shared" si="239"/>
        <v>0</v>
      </c>
      <c r="GI164" s="2061">
        <f t="shared" si="239"/>
        <v>0</v>
      </c>
      <c r="GJ164" s="2061">
        <f t="shared" si="239"/>
        <v>0</v>
      </c>
      <c r="GK164" s="2061">
        <f t="shared" si="239"/>
        <v>0</v>
      </c>
      <c r="GL164" s="2061">
        <f t="shared" si="239"/>
        <v>0</v>
      </c>
      <c r="GM164" s="2061">
        <f t="shared" si="239"/>
        <v>0</v>
      </c>
      <c r="GN164" s="2061">
        <f t="shared" si="239"/>
        <v>0</v>
      </c>
      <c r="GO164" s="2061">
        <f t="shared" si="239"/>
        <v>0</v>
      </c>
      <c r="GP164" s="2061">
        <f t="shared" si="239"/>
        <v>0</v>
      </c>
      <c r="GQ164" s="2061">
        <f t="shared" ref="GQ164:JB164" si="240">SUM(GQ162:GQ163)</f>
        <v>0</v>
      </c>
      <c r="GR164" s="2061">
        <f t="shared" si="240"/>
        <v>0</v>
      </c>
      <c r="GS164" s="2061">
        <f t="shared" si="240"/>
        <v>0</v>
      </c>
      <c r="GT164" s="2061">
        <f t="shared" si="240"/>
        <v>0</v>
      </c>
      <c r="GU164" s="2061">
        <f t="shared" si="240"/>
        <v>0</v>
      </c>
      <c r="GV164" s="2061">
        <f t="shared" si="240"/>
        <v>0</v>
      </c>
      <c r="GW164" s="2061">
        <f t="shared" si="240"/>
        <v>0</v>
      </c>
      <c r="GX164" s="2061">
        <f t="shared" si="240"/>
        <v>0</v>
      </c>
      <c r="GY164" s="2061">
        <f t="shared" si="240"/>
        <v>0</v>
      </c>
      <c r="GZ164" s="2061">
        <f t="shared" si="240"/>
        <v>0</v>
      </c>
      <c r="HA164" s="2061">
        <f t="shared" si="240"/>
        <v>0</v>
      </c>
      <c r="HB164" s="2061">
        <f t="shared" si="240"/>
        <v>0</v>
      </c>
      <c r="HC164" s="2061">
        <f t="shared" si="240"/>
        <v>0</v>
      </c>
      <c r="HD164" s="2061">
        <f t="shared" si="240"/>
        <v>0</v>
      </c>
      <c r="HE164" s="2061">
        <f t="shared" si="240"/>
        <v>0</v>
      </c>
      <c r="HF164" s="2061">
        <f t="shared" si="240"/>
        <v>0</v>
      </c>
      <c r="HG164" s="2061">
        <f t="shared" si="240"/>
        <v>0</v>
      </c>
      <c r="HH164" s="2061">
        <f t="shared" si="240"/>
        <v>0</v>
      </c>
      <c r="HI164" s="2061">
        <f t="shared" si="240"/>
        <v>0</v>
      </c>
      <c r="HJ164" s="2061">
        <f t="shared" si="240"/>
        <v>0</v>
      </c>
      <c r="HK164" s="2061">
        <f t="shared" si="240"/>
        <v>0</v>
      </c>
      <c r="HL164" s="2061">
        <f t="shared" si="240"/>
        <v>0</v>
      </c>
      <c r="HM164" s="2061">
        <f t="shared" si="240"/>
        <v>0</v>
      </c>
      <c r="HN164" s="2061">
        <f t="shared" si="240"/>
        <v>0</v>
      </c>
      <c r="HO164" s="2061">
        <f t="shared" si="240"/>
        <v>0</v>
      </c>
      <c r="HP164" s="2061">
        <f t="shared" si="240"/>
        <v>0</v>
      </c>
      <c r="HQ164" s="2061">
        <f t="shared" si="240"/>
        <v>0</v>
      </c>
      <c r="HR164" s="2061">
        <f t="shared" si="240"/>
        <v>0</v>
      </c>
      <c r="HS164" s="2061">
        <f t="shared" si="240"/>
        <v>0</v>
      </c>
      <c r="HT164" s="2061">
        <f t="shared" si="240"/>
        <v>0</v>
      </c>
      <c r="HU164" s="2061">
        <f t="shared" si="240"/>
        <v>0</v>
      </c>
      <c r="HV164" s="2061">
        <f t="shared" si="240"/>
        <v>0</v>
      </c>
      <c r="HW164" s="2061">
        <f t="shared" si="240"/>
        <v>0</v>
      </c>
      <c r="HX164" s="2061">
        <f t="shared" si="240"/>
        <v>0</v>
      </c>
      <c r="HY164" s="2061">
        <f t="shared" si="240"/>
        <v>0</v>
      </c>
      <c r="HZ164" s="2061">
        <f t="shared" si="240"/>
        <v>0</v>
      </c>
      <c r="IA164" s="2061">
        <f t="shared" si="240"/>
        <v>0</v>
      </c>
      <c r="IB164" s="2061">
        <f t="shared" si="240"/>
        <v>0</v>
      </c>
      <c r="IC164" s="2061">
        <f t="shared" si="240"/>
        <v>0</v>
      </c>
      <c r="ID164" s="2061">
        <f t="shared" si="240"/>
        <v>0</v>
      </c>
      <c r="IE164" s="2061">
        <f t="shared" si="240"/>
        <v>0</v>
      </c>
      <c r="IF164" s="2061">
        <f t="shared" si="240"/>
        <v>0</v>
      </c>
      <c r="IG164" s="2061">
        <f t="shared" si="240"/>
        <v>0</v>
      </c>
      <c r="IH164" s="2061">
        <f t="shared" si="240"/>
        <v>0</v>
      </c>
      <c r="II164" s="2061">
        <f t="shared" si="240"/>
        <v>0</v>
      </c>
      <c r="IJ164" s="2061">
        <f t="shared" si="240"/>
        <v>0</v>
      </c>
      <c r="IK164" s="2061">
        <f t="shared" si="240"/>
        <v>0</v>
      </c>
      <c r="IL164" s="2061">
        <f t="shared" si="240"/>
        <v>0</v>
      </c>
      <c r="IM164" s="2061">
        <f t="shared" si="240"/>
        <v>0</v>
      </c>
      <c r="IN164" s="2061">
        <f t="shared" si="240"/>
        <v>0</v>
      </c>
      <c r="IO164" s="2061">
        <f t="shared" si="240"/>
        <v>0</v>
      </c>
      <c r="IP164" s="2061">
        <f t="shared" si="240"/>
        <v>0</v>
      </c>
      <c r="IQ164" s="2061">
        <f t="shared" si="240"/>
        <v>0</v>
      </c>
      <c r="IR164" s="2061">
        <f t="shared" si="240"/>
        <v>0</v>
      </c>
      <c r="IS164" s="2061">
        <f t="shared" si="240"/>
        <v>0</v>
      </c>
      <c r="IT164" s="2061">
        <f t="shared" si="240"/>
        <v>0</v>
      </c>
      <c r="IU164" s="2061">
        <f t="shared" si="240"/>
        <v>0</v>
      </c>
      <c r="IV164" s="2061">
        <f t="shared" si="240"/>
        <v>0</v>
      </c>
      <c r="IW164" s="2061">
        <f t="shared" si="240"/>
        <v>0</v>
      </c>
      <c r="IX164" s="2061">
        <f t="shared" si="240"/>
        <v>0</v>
      </c>
      <c r="IY164" s="2061">
        <f t="shared" si="240"/>
        <v>0</v>
      </c>
      <c r="IZ164" s="2061">
        <f t="shared" si="240"/>
        <v>0</v>
      </c>
      <c r="JA164" s="2061">
        <f t="shared" si="240"/>
        <v>0</v>
      </c>
      <c r="JB164" s="2061">
        <f t="shared" si="240"/>
        <v>0</v>
      </c>
      <c r="JC164" s="2061">
        <f t="shared" ref="JC164:LN164" si="241">SUM(JC162:JC163)</f>
        <v>0</v>
      </c>
      <c r="JD164" s="2061">
        <f t="shared" si="241"/>
        <v>0</v>
      </c>
      <c r="JE164" s="2061">
        <f t="shared" si="241"/>
        <v>0</v>
      </c>
      <c r="JF164" s="2061">
        <f t="shared" si="241"/>
        <v>0</v>
      </c>
      <c r="JG164" s="2061">
        <f t="shared" si="241"/>
        <v>0</v>
      </c>
      <c r="JH164" s="2061">
        <f t="shared" si="241"/>
        <v>0</v>
      </c>
      <c r="JI164" s="2061">
        <f t="shared" si="241"/>
        <v>0</v>
      </c>
      <c r="JJ164" s="2061">
        <f t="shared" si="241"/>
        <v>0</v>
      </c>
      <c r="JK164" s="2061">
        <f t="shared" si="241"/>
        <v>0</v>
      </c>
      <c r="JL164" s="2061">
        <f t="shared" si="241"/>
        <v>0</v>
      </c>
      <c r="JM164" s="2061">
        <f t="shared" si="241"/>
        <v>0</v>
      </c>
      <c r="JN164" s="2061">
        <f t="shared" si="241"/>
        <v>0</v>
      </c>
      <c r="JO164" s="2061">
        <f t="shared" si="241"/>
        <v>0</v>
      </c>
      <c r="JP164" s="2061">
        <f t="shared" si="241"/>
        <v>0</v>
      </c>
      <c r="JQ164" s="2061">
        <f t="shared" si="241"/>
        <v>0</v>
      </c>
      <c r="JR164" s="2061">
        <f t="shared" si="241"/>
        <v>0</v>
      </c>
      <c r="JS164" s="2061">
        <f t="shared" si="241"/>
        <v>0</v>
      </c>
      <c r="JT164" s="2061">
        <f t="shared" si="241"/>
        <v>0</v>
      </c>
      <c r="JU164" s="2061">
        <f t="shared" si="241"/>
        <v>0</v>
      </c>
      <c r="JV164" s="2061">
        <f t="shared" si="241"/>
        <v>0</v>
      </c>
      <c r="JW164" s="2061">
        <f t="shared" si="241"/>
        <v>0</v>
      </c>
      <c r="JX164" s="2061">
        <f t="shared" si="241"/>
        <v>0</v>
      </c>
      <c r="JY164" s="2061">
        <f t="shared" si="241"/>
        <v>0</v>
      </c>
      <c r="JZ164" s="2061">
        <f t="shared" si="241"/>
        <v>0</v>
      </c>
      <c r="KA164" s="2061">
        <f t="shared" si="241"/>
        <v>0</v>
      </c>
      <c r="KB164" s="2061">
        <f t="shared" si="241"/>
        <v>0</v>
      </c>
      <c r="KC164" s="2061">
        <f t="shared" si="241"/>
        <v>0</v>
      </c>
      <c r="KD164" s="2061">
        <f t="shared" si="241"/>
        <v>0</v>
      </c>
      <c r="KE164" s="2061">
        <f t="shared" si="241"/>
        <v>0</v>
      </c>
      <c r="KF164" s="2061">
        <f t="shared" si="241"/>
        <v>0</v>
      </c>
      <c r="KG164" s="2061">
        <f t="shared" si="241"/>
        <v>0</v>
      </c>
      <c r="KH164" s="2061">
        <f t="shared" si="241"/>
        <v>0</v>
      </c>
      <c r="KI164" s="2061">
        <f t="shared" si="241"/>
        <v>0</v>
      </c>
      <c r="KJ164" s="2061">
        <f t="shared" si="241"/>
        <v>0</v>
      </c>
      <c r="KK164" s="2061">
        <f t="shared" si="241"/>
        <v>0</v>
      </c>
      <c r="KL164" s="2061">
        <f t="shared" si="241"/>
        <v>0</v>
      </c>
      <c r="KM164" s="2061">
        <f t="shared" si="241"/>
        <v>0</v>
      </c>
      <c r="KN164" s="2061">
        <f t="shared" si="241"/>
        <v>0</v>
      </c>
      <c r="KO164" s="2061">
        <f t="shared" si="241"/>
        <v>0</v>
      </c>
      <c r="KP164" s="2061">
        <f t="shared" si="241"/>
        <v>0</v>
      </c>
      <c r="KQ164" s="2061">
        <f t="shared" si="241"/>
        <v>0</v>
      </c>
      <c r="KR164" s="2061">
        <f t="shared" si="241"/>
        <v>0</v>
      </c>
      <c r="KS164" s="2061">
        <f t="shared" si="241"/>
        <v>0</v>
      </c>
      <c r="KT164" s="2061">
        <f t="shared" si="241"/>
        <v>0</v>
      </c>
      <c r="KU164" s="2061">
        <f t="shared" si="241"/>
        <v>0</v>
      </c>
      <c r="KV164" s="2061">
        <f t="shared" si="241"/>
        <v>0</v>
      </c>
      <c r="KW164" s="2061">
        <f t="shared" si="241"/>
        <v>0</v>
      </c>
      <c r="KX164" s="2061">
        <f t="shared" si="241"/>
        <v>0</v>
      </c>
      <c r="KY164" s="2061">
        <f t="shared" si="241"/>
        <v>0</v>
      </c>
      <c r="KZ164" s="2061">
        <f t="shared" si="241"/>
        <v>0</v>
      </c>
      <c r="LA164" s="2061">
        <f t="shared" si="241"/>
        <v>0</v>
      </c>
      <c r="LB164" s="2061">
        <f t="shared" si="241"/>
        <v>0</v>
      </c>
      <c r="LC164" s="2061">
        <f t="shared" si="241"/>
        <v>0</v>
      </c>
      <c r="LD164" s="2061">
        <f t="shared" si="241"/>
        <v>0</v>
      </c>
      <c r="LE164" s="2061">
        <f t="shared" si="241"/>
        <v>0</v>
      </c>
      <c r="LF164" s="2061">
        <f t="shared" si="241"/>
        <v>0</v>
      </c>
      <c r="LG164" s="2061">
        <f t="shared" si="241"/>
        <v>0</v>
      </c>
      <c r="LH164" s="2061">
        <f t="shared" si="241"/>
        <v>0</v>
      </c>
      <c r="LI164" s="2061">
        <f t="shared" si="241"/>
        <v>0</v>
      </c>
      <c r="LJ164" s="2061">
        <f t="shared" si="241"/>
        <v>0</v>
      </c>
      <c r="LK164" s="2061">
        <f t="shared" si="241"/>
        <v>0</v>
      </c>
      <c r="LL164" s="2061">
        <f t="shared" si="241"/>
        <v>0</v>
      </c>
      <c r="LM164" s="2061">
        <f t="shared" si="241"/>
        <v>0</v>
      </c>
      <c r="LN164" s="2061">
        <f t="shared" si="241"/>
        <v>0</v>
      </c>
      <c r="LO164" s="2061">
        <f t="shared" ref="LO164:NZ164" si="242">SUM(LO162:LO163)</f>
        <v>0</v>
      </c>
      <c r="LP164" s="2061">
        <f t="shared" si="242"/>
        <v>0</v>
      </c>
      <c r="LQ164" s="2061">
        <f t="shared" si="242"/>
        <v>0</v>
      </c>
      <c r="LR164" s="2061">
        <f t="shared" si="242"/>
        <v>0</v>
      </c>
      <c r="LS164" s="2061">
        <f t="shared" si="242"/>
        <v>0</v>
      </c>
      <c r="LT164" s="2061">
        <f t="shared" si="242"/>
        <v>0</v>
      </c>
      <c r="LU164" s="2061">
        <f t="shared" si="242"/>
        <v>0</v>
      </c>
      <c r="LV164" s="2061">
        <f t="shared" si="242"/>
        <v>0</v>
      </c>
      <c r="LW164" s="2061">
        <f t="shared" si="242"/>
        <v>0</v>
      </c>
      <c r="LX164" s="2061">
        <f t="shared" si="242"/>
        <v>0</v>
      </c>
      <c r="LY164" s="2061">
        <f t="shared" si="242"/>
        <v>0</v>
      </c>
      <c r="LZ164" s="2061">
        <f t="shared" si="242"/>
        <v>0</v>
      </c>
      <c r="MA164" s="2061">
        <f t="shared" si="242"/>
        <v>0</v>
      </c>
      <c r="MB164" s="2061">
        <f t="shared" si="242"/>
        <v>0</v>
      </c>
      <c r="MC164" s="2061">
        <f t="shared" si="242"/>
        <v>0</v>
      </c>
      <c r="MD164" s="2061">
        <f t="shared" si="242"/>
        <v>0</v>
      </c>
      <c r="ME164" s="2061">
        <f t="shared" si="242"/>
        <v>0</v>
      </c>
      <c r="MF164" s="2061">
        <f t="shared" si="242"/>
        <v>0</v>
      </c>
      <c r="MG164" s="2061">
        <f t="shared" si="242"/>
        <v>0</v>
      </c>
      <c r="MH164" s="2061">
        <f t="shared" si="242"/>
        <v>0</v>
      </c>
      <c r="MI164" s="2061">
        <f t="shared" si="242"/>
        <v>0</v>
      </c>
      <c r="MJ164" s="2061">
        <f t="shared" si="242"/>
        <v>0</v>
      </c>
      <c r="MK164" s="2061">
        <f t="shared" si="242"/>
        <v>0</v>
      </c>
      <c r="ML164" s="2061">
        <f t="shared" si="242"/>
        <v>0</v>
      </c>
      <c r="MM164" s="2061">
        <f t="shared" si="242"/>
        <v>0</v>
      </c>
      <c r="MN164" s="2061">
        <f t="shared" si="242"/>
        <v>0</v>
      </c>
      <c r="MO164" s="2061">
        <f t="shared" si="242"/>
        <v>0</v>
      </c>
      <c r="MP164" s="2061">
        <f t="shared" si="242"/>
        <v>0</v>
      </c>
      <c r="MQ164" s="2061">
        <f t="shared" si="242"/>
        <v>0</v>
      </c>
      <c r="MR164" s="2061">
        <f t="shared" si="242"/>
        <v>0</v>
      </c>
      <c r="MS164" s="2061">
        <f t="shared" si="242"/>
        <v>0</v>
      </c>
      <c r="MT164" s="2061">
        <f t="shared" si="242"/>
        <v>0</v>
      </c>
      <c r="MU164" s="2061">
        <f t="shared" si="242"/>
        <v>0</v>
      </c>
      <c r="MV164" s="2061">
        <f t="shared" si="242"/>
        <v>0</v>
      </c>
      <c r="MW164" s="2061">
        <f t="shared" si="242"/>
        <v>0</v>
      </c>
      <c r="MX164" s="2061">
        <f t="shared" si="242"/>
        <v>0</v>
      </c>
      <c r="MY164" s="2061">
        <f t="shared" si="242"/>
        <v>0</v>
      </c>
      <c r="MZ164" s="2061">
        <f t="shared" si="242"/>
        <v>0</v>
      </c>
      <c r="NA164" s="2061">
        <f t="shared" si="242"/>
        <v>0</v>
      </c>
      <c r="NB164" s="2061">
        <f t="shared" si="242"/>
        <v>0</v>
      </c>
      <c r="NC164" s="2061">
        <f t="shared" si="242"/>
        <v>0</v>
      </c>
      <c r="ND164" s="2061">
        <f t="shared" si="242"/>
        <v>0</v>
      </c>
      <c r="NE164" s="2061">
        <f t="shared" si="242"/>
        <v>0</v>
      </c>
      <c r="NF164" s="2061">
        <f t="shared" si="242"/>
        <v>0</v>
      </c>
      <c r="NG164" s="2061">
        <f t="shared" si="242"/>
        <v>0</v>
      </c>
      <c r="NH164" s="2061">
        <f t="shared" si="242"/>
        <v>0</v>
      </c>
      <c r="NI164" s="2061">
        <f t="shared" si="242"/>
        <v>0</v>
      </c>
      <c r="NJ164" s="2061">
        <f t="shared" si="242"/>
        <v>0</v>
      </c>
      <c r="NK164" s="2061">
        <f t="shared" si="242"/>
        <v>0</v>
      </c>
      <c r="NL164" s="2061">
        <f t="shared" si="242"/>
        <v>0</v>
      </c>
      <c r="NM164" s="2061">
        <f t="shared" si="242"/>
        <v>0</v>
      </c>
      <c r="NN164" s="2061">
        <f t="shared" si="242"/>
        <v>0</v>
      </c>
      <c r="NO164" s="2061">
        <f t="shared" si="242"/>
        <v>0</v>
      </c>
      <c r="NP164" s="2061">
        <f t="shared" si="242"/>
        <v>0</v>
      </c>
      <c r="NQ164" s="2061">
        <f t="shared" si="242"/>
        <v>0</v>
      </c>
      <c r="NR164" s="2061">
        <f t="shared" si="242"/>
        <v>0</v>
      </c>
      <c r="NS164" s="2061">
        <f t="shared" si="242"/>
        <v>0</v>
      </c>
      <c r="NT164" s="2061">
        <f t="shared" si="242"/>
        <v>0</v>
      </c>
      <c r="NU164" s="2061">
        <f t="shared" si="242"/>
        <v>0</v>
      </c>
      <c r="NV164" s="2061">
        <f t="shared" si="242"/>
        <v>0</v>
      </c>
      <c r="NW164" s="2061">
        <f t="shared" si="242"/>
        <v>0</v>
      </c>
      <c r="NX164" s="2061">
        <f t="shared" si="242"/>
        <v>0</v>
      </c>
      <c r="NY164" s="2061">
        <f t="shared" si="242"/>
        <v>0</v>
      </c>
      <c r="NZ164" s="2061">
        <f t="shared" si="242"/>
        <v>0</v>
      </c>
      <c r="OA164" s="2061">
        <f t="shared" ref="OA164:QL164" si="243">SUM(OA162:OA163)</f>
        <v>0</v>
      </c>
      <c r="OB164" s="2061">
        <f t="shared" si="243"/>
        <v>0</v>
      </c>
      <c r="OC164" s="2061">
        <f t="shared" si="243"/>
        <v>0</v>
      </c>
      <c r="OD164" s="2061">
        <f t="shared" si="243"/>
        <v>0</v>
      </c>
      <c r="OE164" s="2061">
        <f t="shared" si="243"/>
        <v>0</v>
      </c>
      <c r="OF164" s="2061">
        <f t="shared" si="243"/>
        <v>0</v>
      </c>
      <c r="OG164" s="2061">
        <f t="shared" si="243"/>
        <v>0</v>
      </c>
      <c r="OH164" s="2061">
        <f t="shared" si="243"/>
        <v>0</v>
      </c>
      <c r="OI164" s="2061">
        <f t="shared" si="243"/>
        <v>0</v>
      </c>
      <c r="OJ164" s="2061">
        <f t="shared" si="243"/>
        <v>0</v>
      </c>
      <c r="OK164" s="2061">
        <f t="shared" si="243"/>
        <v>0</v>
      </c>
      <c r="OL164" s="2061">
        <f t="shared" si="243"/>
        <v>0</v>
      </c>
      <c r="OM164" s="2061">
        <f t="shared" si="243"/>
        <v>0</v>
      </c>
      <c r="ON164" s="2061">
        <f t="shared" si="243"/>
        <v>0</v>
      </c>
      <c r="OO164" s="2061">
        <f t="shared" si="243"/>
        <v>0</v>
      </c>
      <c r="OP164" s="2061">
        <f t="shared" si="243"/>
        <v>0</v>
      </c>
      <c r="OQ164" s="2061">
        <f t="shared" si="243"/>
        <v>0</v>
      </c>
      <c r="OR164" s="2061">
        <f t="shared" si="243"/>
        <v>0</v>
      </c>
      <c r="OS164" s="2061">
        <f t="shared" si="243"/>
        <v>0</v>
      </c>
      <c r="OT164" s="2061">
        <f t="shared" si="243"/>
        <v>0</v>
      </c>
      <c r="OU164" s="2061">
        <f t="shared" si="243"/>
        <v>0</v>
      </c>
      <c r="OV164" s="2061">
        <f t="shared" si="243"/>
        <v>0</v>
      </c>
      <c r="OW164" s="2061">
        <f t="shared" si="243"/>
        <v>0</v>
      </c>
      <c r="OX164" s="2061">
        <f t="shared" si="243"/>
        <v>0</v>
      </c>
      <c r="OY164" s="2061">
        <f t="shared" si="243"/>
        <v>0</v>
      </c>
      <c r="OZ164" s="2061">
        <f t="shared" si="243"/>
        <v>0</v>
      </c>
      <c r="PA164" s="2061">
        <f t="shared" si="243"/>
        <v>0</v>
      </c>
      <c r="PB164" s="2061">
        <f t="shared" si="243"/>
        <v>0</v>
      </c>
      <c r="PC164" s="2061">
        <f t="shared" si="243"/>
        <v>0</v>
      </c>
      <c r="PD164" s="2061">
        <f t="shared" si="243"/>
        <v>0</v>
      </c>
      <c r="PE164" s="2061">
        <f t="shared" si="243"/>
        <v>0</v>
      </c>
      <c r="PF164" s="2061">
        <f t="shared" si="243"/>
        <v>0</v>
      </c>
      <c r="PG164" s="2061">
        <f t="shared" si="243"/>
        <v>0</v>
      </c>
      <c r="PH164" s="2061">
        <f t="shared" si="243"/>
        <v>0</v>
      </c>
      <c r="PI164" s="2061">
        <f t="shared" si="243"/>
        <v>0</v>
      </c>
      <c r="PJ164" s="2061">
        <f t="shared" si="243"/>
        <v>0</v>
      </c>
      <c r="PK164" s="2061">
        <f t="shared" si="243"/>
        <v>0</v>
      </c>
      <c r="PL164" s="2061">
        <f t="shared" si="243"/>
        <v>0</v>
      </c>
      <c r="PM164" s="2061">
        <f t="shared" si="243"/>
        <v>0</v>
      </c>
      <c r="PN164" s="2061">
        <f t="shared" si="243"/>
        <v>0</v>
      </c>
      <c r="PO164" s="2061">
        <f t="shared" si="243"/>
        <v>0</v>
      </c>
      <c r="PP164" s="2061">
        <f t="shared" si="243"/>
        <v>0</v>
      </c>
      <c r="PQ164" s="2061">
        <f t="shared" si="243"/>
        <v>0</v>
      </c>
      <c r="PR164" s="2061">
        <f t="shared" si="243"/>
        <v>0</v>
      </c>
      <c r="PS164" s="2061">
        <f t="shared" si="243"/>
        <v>0</v>
      </c>
      <c r="PT164" s="2061">
        <f t="shared" si="243"/>
        <v>0</v>
      </c>
      <c r="PU164" s="2061">
        <f t="shared" si="243"/>
        <v>0</v>
      </c>
      <c r="PV164" s="2061">
        <f t="shared" si="243"/>
        <v>0</v>
      </c>
      <c r="PW164" s="2061">
        <f t="shared" si="243"/>
        <v>0</v>
      </c>
      <c r="PX164" s="2061">
        <f t="shared" si="243"/>
        <v>0</v>
      </c>
      <c r="PY164" s="2061">
        <f t="shared" si="243"/>
        <v>0</v>
      </c>
      <c r="PZ164" s="2061">
        <f t="shared" si="243"/>
        <v>0</v>
      </c>
      <c r="QA164" s="2061">
        <f t="shared" si="243"/>
        <v>0</v>
      </c>
      <c r="QB164" s="2061">
        <f t="shared" si="243"/>
        <v>0</v>
      </c>
      <c r="QC164" s="2061">
        <f t="shared" si="243"/>
        <v>0</v>
      </c>
      <c r="QD164" s="2061">
        <f t="shared" si="243"/>
        <v>0</v>
      </c>
      <c r="QE164" s="2061">
        <f t="shared" si="243"/>
        <v>0</v>
      </c>
      <c r="QF164" s="2061">
        <f t="shared" si="243"/>
        <v>0</v>
      </c>
      <c r="QG164" s="2061">
        <f t="shared" si="243"/>
        <v>0</v>
      </c>
      <c r="QH164" s="2061">
        <f t="shared" si="243"/>
        <v>0</v>
      </c>
      <c r="QI164" s="2061">
        <f t="shared" si="243"/>
        <v>0</v>
      </c>
      <c r="QJ164" s="2061">
        <f t="shared" si="243"/>
        <v>0</v>
      </c>
      <c r="QK164" s="2061">
        <f t="shared" si="243"/>
        <v>0</v>
      </c>
      <c r="QL164" s="2061">
        <f t="shared" si="243"/>
        <v>0</v>
      </c>
      <c r="QM164" s="2061">
        <f t="shared" ref="QM164:SX164" si="244">SUM(QM162:QM163)</f>
        <v>0</v>
      </c>
      <c r="QN164" s="2061">
        <f t="shared" si="244"/>
        <v>0</v>
      </c>
      <c r="QO164" s="2061">
        <f t="shared" si="244"/>
        <v>0</v>
      </c>
      <c r="QP164" s="2061">
        <f t="shared" si="244"/>
        <v>0</v>
      </c>
      <c r="QQ164" s="2061">
        <f t="shared" si="244"/>
        <v>0</v>
      </c>
      <c r="QR164" s="2061">
        <f t="shared" si="244"/>
        <v>0</v>
      </c>
      <c r="QS164" s="2061">
        <f t="shared" si="244"/>
        <v>0</v>
      </c>
      <c r="QT164" s="2061">
        <f t="shared" si="244"/>
        <v>0</v>
      </c>
      <c r="QU164" s="2061">
        <f t="shared" si="244"/>
        <v>0</v>
      </c>
      <c r="QV164" s="2061">
        <f t="shared" si="244"/>
        <v>0</v>
      </c>
      <c r="QW164" s="2061">
        <f t="shared" si="244"/>
        <v>0</v>
      </c>
      <c r="QX164" s="2061">
        <f t="shared" si="244"/>
        <v>0</v>
      </c>
      <c r="QY164" s="2061">
        <f t="shared" si="244"/>
        <v>0</v>
      </c>
      <c r="QZ164" s="2061">
        <f t="shared" si="244"/>
        <v>0</v>
      </c>
      <c r="RA164" s="2061">
        <f t="shared" si="244"/>
        <v>0</v>
      </c>
      <c r="RB164" s="2061">
        <f t="shared" si="244"/>
        <v>0</v>
      </c>
      <c r="RC164" s="2061">
        <f t="shared" si="244"/>
        <v>0</v>
      </c>
      <c r="RD164" s="2061">
        <f t="shared" si="244"/>
        <v>0</v>
      </c>
      <c r="RE164" s="2061">
        <f t="shared" si="244"/>
        <v>0</v>
      </c>
      <c r="RF164" s="2061">
        <f t="shared" si="244"/>
        <v>0</v>
      </c>
      <c r="RG164" s="2061">
        <f t="shared" si="244"/>
        <v>0</v>
      </c>
      <c r="RH164" s="2061">
        <f t="shared" si="244"/>
        <v>0</v>
      </c>
      <c r="RI164" s="2061">
        <f t="shared" si="244"/>
        <v>0</v>
      </c>
      <c r="RJ164" s="2061">
        <f t="shared" si="244"/>
        <v>0</v>
      </c>
      <c r="RK164" s="2061">
        <f t="shared" si="244"/>
        <v>0</v>
      </c>
      <c r="RL164" s="2061">
        <f t="shared" si="244"/>
        <v>0</v>
      </c>
      <c r="RM164" s="2061">
        <f t="shared" si="244"/>
        <v>0</v>
      </c>
      <c r="RN164" s="2061">
        <f t="shared" si="244"/>
        <v>0</v>
      </c>
      <c r="RO164" s="2061">
        <f t="shared" si="244"/>
        <v>0</v>
      </c>
      <c r="RP164" s="2061">
        <f t="shared" si="244"/>
        <v>0</v>
      </c>
      <c r="RQ164" s="2061">
        <f t="shared" si="244"/>
        <v>0</v>
      </c>
      <c r="RR164" s="2061">
        <f t="shared" si="244"/>
        <v>0</v>
      </c>
      <c r="RS164" s="2061">
        <f t="shared" si="244"/>
        <v>0</v>
      </c>
      <c r="RT164" s="2061">
        <f t="shared" si="244"/>
        <v>0</v>
      </c>
      <c r="RU164" s="2061">
        <f t="shared" si="244"/>
        <v>0</v>
      </c>
      <c r="RV164" s="2061">
        <f t="shared" si="244"/>
        <v>0</v>
      </c>
      <c r="RW164" s="2061">
        <f t="shared" si="244"/>
        <v>0</v>
      </c>
      <c r="RX164" s="2061">
        <f t="shared" si="244"/>
        <v>0</v>
      </c>
      <c r="RY164" s="2061">
        <f t="shared" si="244"/>
        <v>0</v>
      </c>
      <c r="RZ164" s="2061">
        <f t="shared" si="244"/>
        <v>0</v>
      </c>
      <c r="SA164" s="2061">
        <f t="shared" si="244"/>
        <v>0</v>
      </c>
      <c r="SB164" s="2061">
        <f t="shared" si="244"/>
        <v>0</v>
      </c>
      <c r="SC164" s="2061">
        <f t="shared" si="244"/>
        <v>0</v>
      </c>
      <c r="SD164" s="2061">
        <f t="shared" si="244"/>
        <v>0</v>
      </c>
      <c r="SE164" s="2061">
        <f t="shared" si="244"/>
        <v>0</v>
      </c>
      <c r="SF164" s="2061">
        <f t="shared" si="244"/>
        <v>0</v>
      </c>
      <c r="SG164" s="2061">
        <f t="shared" si="244"/>
        <v>0</v>
      </c>
      <c r="SH164" s="2061">
        <f t="shared" si="244"/>
        <v>0</v>
      </c>
      <c r="SI164" s="2061">
        <f t="shared" si="244"/>
        <v>0</v>
      </c>
      <c r="SJ164" s="2061">
        <f t="shared" si="244"/>
        <v>0</v>
      </c>
      <c r="SK164" s="2061">
        <f t="shared" si="244"/>
        <v>0</v>
      </c>
      <c r="SL164" s="2061">
        <f t="shared" si="244"/>
        <v>0</v>
      </c>
      <c r="SM164" s="2061">
        <f t="shared" si="244"/>
        <v>0</v>
      </c>
      <c r="SN164" s="2061">
        <f t="shared" si="244"/>
        <v>0</v>
      </c>
      <c r="SO164" s="2061">
        <f t="shared" si="244"/>
        <v>0</v>
      </c>
      <c r="SP164" s="2061">
        <f t="shared" si="244"/>
        <v>0</v>
      </c>
      <c r="SQ164" s="2061">
        <f t="shared" si="244"/>
        <v>0</v>
      </c>
      <c r="SR164" s="2061">
        <f t="shared" si="244"/>
        <v>0</v>
      </c>
      <c r="SS164" s="2061">
        <f t="shared" si="244"/>
        <v>0</v>
      </c>
      <c r="ST164" s="2061">
        <f t="shared" si="244"/>
        <v>0</v>
      </c>
      <c r="SU164" s="2061">
        <f t="shared" si="244"/>
        <v>0</v>
      </c>
      <c r="SV164" s="2061">
        <f t="shared" si="244"/>
        <v>0</v>
      </c>
      <c r="SW164" s="2061">
        <f t="shared" si="244"/>
        <v>0</v>
      </c>
      <c r="SX164" s="2061">
        <f t="shared" si="244"/>
        <v>0</v>
      </c>
      <c r="SY164" s="2061">
        <f t="shared" ref="SY164:VJ164" si="245">SUM(SY162:SY163)</f>
        <v>0</v>
      </c>
      <c r="SZ164" s="2061">
        <f t="shared" si="245"/>
        <v>0</v>
      </c>
      <c r="TA164" s="2061">
        <f t="shared" si="245"/>
        <v>0</v>
      </c>
      <c r="TB164" s="2061">
        <f t="shared" si="245"/>
        <v>0</v>
      </c>
      <c r="TC164" s="2061">
        <f t="shared" si="245"/>
        <v>0</v>
      </c>
      <c r="TD164" s="2061">
        <f t="shared" si="245"/>
        <v>0</v>
      </c>
      <c r="TE164" s="2061">
        <f t="shared" si="245"/>
        <v>0</v>
      </c>
      <c r="TF164" s="2061">
        <f t="shared" si="245"/>
        <v>0</v>
      </c>
      <c r="TG164" s="2061">
        <f t="shared" si="245"/>
        <v>0</v>
      </c>
      <c r="TH164" s="2061">
        <f t="shared" si="245"/>
        <v>0</v>
      </c>
      <c r="TI164" s="2061">
        <f t="shared" si="245"/>
        <v>0</v>
      </c>
      <c r="TJ164" s="2061">
        <f t="shared" si="245"/>
        <v>0</v>
      </c>
      <c r="TK164" s="2061">
        <f t="shared" si="245"/>
        <v>0</v>
      </c>
      <c r="TL164" s="2061">
        <f t="shared" si="245"/>
        <v>0</v>
      </c>
      <c r="TM164" s="2061">
        <f t="shared" si="245"/>
        <v>0</v>
      </c>
      <c r="TN164" s="2061">
        <f t="shared" si="245"/>
        <v>0</v>
      </c>
      <c r="TO164" s="2061">
        <f t="shared" si="245"/>
        <v>0</v>
      </c>
      <c r="TP164" s="2061">
        <f t="shared" si="245"/>
        <v>0</v>
      </c>
      <c r="TQ164" s="2061">
        <f t="shared" si="245"/>
        <v>0</v>
      </c>
      <c r="TR164" s="2061">
        <f t="shared" si="245"/>
        <v>0</v>
      </c>
      <c r="TS164" s="2061">
        <f t="shared" si="245"/>
        <v>0</v>
      </c>
      <c r="TT164" s="2061">
        <f t="shared" si="245"/>
        <v>0</v>
      </c>
      <c r="TU164" s="2061">
        <f t="shared" si="245"/>
        <v>0</v>
      </c>
      <c r="TV164" s="2061">
        <f t="shared" si="245"/>
        <v>0</v>
      </c>
      <c r="TW164" s="2061">
        <f t="shared" si="245"/>
        <v>0</v>
      </c>
      <c r="TX164" s="2061">
        <f t="shared" si="245"/>
        <v>0</v>
      </c>
      <c r="TY164" s="2061">
        <f t="shared" si="245"/>
        <v>0</v>
      </c>
      <c r="TZ164" s="2061">
        <f t="shared" si="245"/>
        <v>0</v>
      </c>
      <c r="UA164" s="2061">
        <f t="shared" si="245"/>
        <v>0</v>
      </c>
      <c r="UB164" s="2061">
        <f t="shared" si="245"/>
        <v>0</v>
      </c>
      <c r="UC164" s="2061">
        <f t="shared" si="245"/>
        <v>0</v>
      </c>
      <c r="UD164" s="2061">
        <f t="shared" si="245"/>
        <v>0</v>
      </c>
      <c r="UE164" s="2061">
        <f t="shared" si="245"/>
        <v>0</v>
      </c>
      <c r="UF164" s="2061">
        <f t="shared" si="245"/>
        <v>0</v>
      </c>
      <c r="UG164" s="2061">
        <f t="shared" si="245"/>
        <v>0</v>
      </c>
      <c r="UH164" s="2061">
        <f t="shared" si="245"/>
        <v>0</v>
      </c>
      <c r="UI164" s="2061">
        <f t="shared" si="245"/>
        <v>0</v>
      </c>
      <c r="UJ164" s="2061">
        <f t="shared" si="245"/>
        <v>0</v>
      </c>
      <c r="UK164" s="2061">
        <f t="shared" si="245"/>
        <v>0</v>
      </c>
      <c r="UL164" s="2061">
        <f t="shared" si="245"/>
        <v>0</v>
      </c>
      <c r="UM164" s="2061">
        <f t="shared" si="245"/>
        <v>0</v>
      </c>
      <c r="UN164" s="2061">
        <f t="shared" si="245"/>
        <v>0</v>
      </c>
      <c r="UO164" s="2061">
        <f t="shared" si="245"/>
        <v>0</v>
      </c>
      <c r="UP164" s="2061">
        <f t="shared" si="245"/>
        <v>0</v>
      </c>
      <c r="UQ164" s="2061">
        <f t="shared" si="245"/>
        <v>0</v>
      </c>
      <c r="UR164" s="2061">
        <f t="shared" si="245"/>
        <v>0</v>
      </c>
      <c r="US164" s="2061">
        <f t="shared" si="245"/>
        <v>0</v>
      </c>
      <c r="UT164" s="2061">
        <f t="shared" si="245"/>
        <v>0</v>
      </c>
      <c r="UU164" s="2061">
        <f t="shared" si="245"/>
        <v>0</v>
      </c>
      <c r="UV164" s="2061">
        <f t="shared" si="245"/>
        <v>0</v>
      </c>
      <c r="UW164" s="2061">
        <f t="shared" si="245"/>
        <v>0</v>
      </c>
      <c r="UX164" s="2061">
        <f t="shared" si="245"/>
        <v>0</v>
      </c>
      <c r="UY164" s="2061">
        <f t="shared" si="245"/>
        <v>0</v>
      </c>
      <c r="UZ164" s="2061">
        <f t="shared" si="245"/>
        <v>0</v>
      </c>
      <c r="VA164" s="2061">
        <f t="shared" si="245"/>
        <v>0</v>
      </c>
      <c r="VB164" s="2061">
        <f t="shared" si="245"/>
        <v>0</v>
      </c>
      <c r="VC164" s="2061">
        <f t="shared" si="245"/>
        <v>0</v>
      </c>
      <c r="VD164" s="2061">
        <f t="shared" si="245"/>
        <v>0</v>
      </c>
      <c r="VE164" s="2061">
        <f t="shared" si="245"/>
        <v>0</v>
      </c>
      <c r="VF164" s="2061">
        <f t="shared" si="245"/>
        <v>0</v>
      </c>
      <c r="VG164" s="2061">
        <f t="shared" si="245"/>
        <v>0</v>
      </c>
      <c r="VH164" s="2061">
        <f t="shared" si="245"/>
        <v>0</v>
      </c>
      <c r="VI164" s="2061">
        <f t="shared" si="245"/>
        <v>0</v>
      </c>
      <c r="VJ164" s="2061">
        <f t="shared" si="245"/>
        <v>0</v>
      </c>
      <c r="VK164" s="2061">
        <f>SUM(VK162:VK163)</f>
        <v>0</v>
      </c>
    </row>
    <row r="165" spans="1:583" s="2075" customFormat="1" x14ac:dyDescent="0.25">
      <c r="A165" s="2075" t="s">
        <v>3831</v>
      </c>
      <c r="B165" s="4709" t="s">
        <v>2960</v>
      </c>
      <c r="C165" s="4709"/>
      <c r="D165" s="4709" t="s">
        <v>2960</v>
      </c>
      <c r="E165" s="4709"/>
      <c r="F165" s="2079"/>
      <c r="G165" s="2079"/>
      <c r="H165" s="2079"/>
      <c r="I165" s="1574"/>
      <c r="J165" s="1574"/>
      <c r="K165" s="1574"/>
      <c r="L165" s="1574"/>
      <c r="M165" s="1574"/>
      <c r="N165" s="1574"/>
      <c r="O165" s="1574"/>
      <c r="P165" s="1574"/>
      <c r="Q165" s="1574"/>
      <c r="R165" s="1574"/>
      <c r="S165" s="1574"/>
      <c r="T165" s="1574"/>
      <c r="U165" s="1574"/>
      <c r="V165" s="1574"/>
      <c r="W165" s="1574"/>
      <c r="X165" s="1574"/>
      <c r="Y165" s="1574"/>
      <c r="Z165" s="1574"/>
      <c r="AA165" s="1574"/>
      <c r="AB165" s="1574"/>
      <c r="AC165" s="1574"/>
      <c r="AD165" s="1574"/>
      <c r="AE165" s="1574"/>
      <c r="AF165" s="1574"/>
      <c r="AG165" s="1574"/>
      <c r="AH165" s="1574"/>
      <c r="AI165" s="1574"/>
      <c r="AJ165" s="1574"/>
      <c r="AK165" s="1574"/>
      <c r="AL165" s="1574"/>
      <c r="AM165" s="1574"/>
      <c r="AN165" s="1574"/>
      <c r="AO165" s="1574"/>
      <c r="AP165" s="1574"/>
      <c r="AQ165" s="1574"/>
      <c r="AR165" s="1574"/>
      <c r="AS165" s="1574"/>
      <c r="AT165" s="1574"/>
      <c r="AU165" s="1574"/>
      <c r="AV165" s="1574"/>
      <c r="AW165" s="1574"/>
      <c r="AX165" s="1574"/>
      <c r="AY165" s="1574"/>
      <c r="AZ165" s="1574"/>
      <c r="BA165" s="1574"/>
      <c r="BB165" s="1574"/>
      <c r="BC165" s="1574"/>
      <c r="BD165" s="1574"/>
      <c r="BE165" s="1574"/>
      <c r="BF165" s="1574"/>
      <c r="BG165" s="1574"/>
      <c r="BH165" s="1574"/>
      <c r="BI165" s="1574"/>
      <c r="BJ165" s="1574"/>
      <c r="BK165" s="1574"/>
      <c r="BL165" s="1574"/>
      <c r="BM165" s="1574"/>
      <c r="BN165" s="1574"/>
      <c r="BO165" s="1574"/>
      <c r="BP165" s="1574"/>
      <c r="BQ165" s="1574"/>
      <c r="BR165" s="1574"/>
      <c r="BS165" s="1574"/>
      <c r="BT165" s="1574"/>
      <c r="BU165" s="1574"/>
      <c r="BV165" s="1574"/>
      <c r="BW165" s="1574"/>
      <c r="BX165" s="1574"/>
      <c r="BY165" s="1574"/>
      <c r="BZ165" s="1574"/>
      <c r="CA165" s="1574"/>
      <c r="CB165" s="1574"/>
      <c r="CC165" s="1574"/>
      <c r="CD165" s="1574"/>
      <c r="CE165" s="1574"/>
      <c r="CF165" s="1574"/>
      <c r="CG165" s="1574"/>
      <c r="CH165" s="1574"/>
      <c r="CI165" s="1574"/>
      <c r="CJ165" s="1574"/>
      <c r="CK165" s="1574"/>
      <c r="CL165" s="1574"/>
      <c r="CM165" s="1574"/>
      <c r="CN165" s="1574"/>
      <c r="CO165" s="1574"/>
      <c r="CP165" s="1574"/>
      <c r="CQ165" s="1574"/>
      <c r="CR165" s="1574"/>
      <c r="CS165" s="1574"/>
      <c r="CT165" s="1574"/>
      <c r="CU165" s="1574"/>
      <c r="CV165" s="1574"/>
      <c r="CW165" s="1574"/>
      <c r="CX165" s="1574"/>
      <c r="CY165" s="1574"/>
      <c r="CZ165" s="1574"/>
      <c r="DA165" s="1574"/>
      <c r="DB165" s="1574"/>
      <c r="DC165" s="1574"/>
      <c r="DD165" s="1574"/>
      <c r="DE165" s="1574"/>
      <c r="DF165" s="1574"/>
      <c r="DG165" s="1574"/>
      <c r="DH165" s="1574"/>
      <c r="DI165" s="1574"/>
      <c r="DJ165" s="1574"/>
      <c r="DK165" s="1574"/>
      <c r="DL165" s="1574"/>
      <c r="DM165" s="1574"/>
      <c r="DN165" s="1574"/>
      <c r="DO165" s="1574"/>
      <c r="DP165" s="1574"/>
      <c r="DQ165" s="1574"/>
      <c r="DR165" s="1574"/>
      <c r="DS165" s="1574"/>
      <c r="DT165" s="1574"/>
      <c r="DU165" s="1574"/>
      <c r="DV165" s="1574"/>
      <c r="DW165" s="1574"/>
      <c r="DX165" s="1574"/>
      <c r="DY165" s="1574"/>
      <c r="DZ165" s="1574"/>
      <c r="EA165" s="1574"/>
      <c r="EB165" s="1574"/>
      <c r="EC165" s="1574"/>
      <c r="ED165" s="1574"/>
      <c r="EE165" s="1574"/>
      <c r="EF165" s="1574"/>
      <c r="EG165" s="1574"/>
      <c r="EH165" s="1574"/>
      <c r="EI165" s="1574"/>
      <c r="EJ165" s="1574"/>
      <c r="EK165" s="1574"/>
      <c r="EL165" s="1574"/>
      <c r="EM165" s="1574"/>
      <c r="EN165" s="1574"/>
      <c r="EO165" s="1574"/>
      <c r="EP165" s="1574"/>
      <c r="EQ165" s="1574"/>
      <c r="ER165" s="1574"/>
      <c r="ES165" s="1574"/>
      <c r="ET165" s="1574"/>
      <c r="EU165" s="1574"/>
      <c r="EV165" s="1574"/>
      <c r="EW165" s="1574"/>
      <c r="EX165" s="1574"/>
      <c r="EY165" s="1574"/>
      <c r="EZ165" s="1574"/>
      <c r="FA165" s="1574"/>
      <c r="FB165" s="1574"/>
      <c r="FC165" s="1574"/>
      <c r="FD165" s="1574"/>
      <c r="FE165" s="1574"/>
      <c r="FF165" s="1574"/>
      <c r="FG165" s="1574"/>
      <c r="FH165" s="1574"/>
      <c r="FI165" s="1574"/>
      <c r="FJ165" s="1574"/>
      <c r="FK165" s="1574"/>
      <c r="FL165" s="1574"/>
      <c r="FM165" s="1574"/>
      <c r="FN165" s="1574"/>
      <c r="FO165" s="1574"/>
      <c r="FP165" s="1574"/>
      <c r="FQ165" s="1574"/>
      <c r="FR165" s="1574"/>
      <c r="FS165" s="1574"/>
      <c r="FT165" s="1574"/>
      <c r="FU165" s="1574"/>
      <c r="FV165" s="1574"/>
      <c r="FW165" s="1574"/>
      <c r="FX165" s="1574"/>
      <c r="FY165" s="1574"/>
      <c r="FZ165" s="1574"/>
      <c r="GA165" s="1574"/>
      <c r="GB165" s="1574"/>
      <c r="GC165" s="1574"/>
      <c r="GD165" s="1574"/>
      <c r="GE165" s="1574"/>
      <c r="GF165" s="1574"/>
      <c r="GG165" s="1574"/>
      <c r="GH165" s="1574"/>
      <c r="GI165" s="1574"/>
      <c r="GJ165" s="1574"/>
      <c r="GK165" s="1574"/>
      <c r="GL165" s="1574"/>
      <c r="GM165" s="1574"/>
      <c r="GN165" s="1574"/>
      <c r="GO165" s="1574"/>
      <c r="GP165" s="1574"/>
      <c r="GQ165" s="1574"/>
      <c r="GR165" s="1574"/>
      <c r="GS165" s="1574"/>
      <c r="GT165" s="1574"/>
      <c r="GU165" s="1574"/>
      <c r="GV165" s="1574"/>
      <c r="GW165" s="1574"/>
      <c r="GX165" s="1574"/>
      <c r="GY165" s="1574"/>
      <c r="GZ165" s="1574"/>
      <c r="HA165" s="1574"/>
      <c r="HB165" s="1574"/>
      <c r="HC165" s="1574"/>
      <c r="HD165" s="1574"/>
      <c r="HE165" s="1574"/>
      <c r="HF165" s="1574"/>
      <c r="HG165" s="1574"/>
      <c r="HH165" s="1574"/>
      <c r="HI165" s="1574"/>
      <c r="HJ165" s="1574"/>
      <c r="HK165" s="1574"/>
      <c r="HL165" s="1574"/>
      <c r="HM165" s="1574"/>
      <c r="HN165" s="1574"/>
      <c r="HO165" s="1574"/>
      <c r="HP165" s="1574"/>
      <c r="HQ165" s="1574"/>
      <c r="HR165" s="1574"/>
      <c r="HS165" s="1574"/>
      <c r="HT165" s="1574"/>
      <c r="HU165" s="1574"/>
      <c r="HV165" s="1574"/>
      <c r="HW165" s="1574"/>
      <c r="HX165" s="1574"/>
      <c r="HY165" s="1574"/>
      <c r="HZ165" s="1574"/>
      <c r="IA165" s="1574"/>
      <c r="IB165" s="1574"/>
      <c r="IC165" s="1574"/>
      <c r="ID165" s="1574"/>
      <c r="IE165" s="1574"/>
      <c r="IF165" s="1574"/>
      <c r="IG165" s="1574"/>
      <c r="IH165" s="1574"/>
      <c r="II165" s="1574"/>
      <c r="IJ165" s="1574"/>
      <c r="IK165" s="1574"/>
      <c r="IL165" s="1574"/>
      <c r="IM165" s="1574"/>
      <c r="IN165" s="1574"/>
      <c r="IO165" s="1574"/>
      <c r="IP165" s="1574"/>
      <c r="IQ165" s="1574"/>
      <c r="IR165" s="1574"/>
      <c r="IS165" s="1574"/>
      <c r="IT165" s="1574"/>
      <c r="IU165" s="1574"/>
      <c r="IV165" s="1574"/>
      <c r="IW165" s="1574"/>
      <c r="IX165" s="1574"/>
      <c r="IY165" s="1574"/>
      <c r="IZ165" s="1574"/>
      <c r="JA165" s="1574"/>
      <c r="JB165" s="1574"/>
      <c r="JC165" s="1574"/>
      <c r="JD165" s="1574"/>
      <c r="JE165" s="1574"/>
      <c r="JF165" s="1574"/>
      <c r="JG165" s="1574"/>
      <c r="JH165" s="1574"/>
      <c r="JI165" s="1574"/>
      <c r="JJ165" s="1574"/>
      <c r="JK165" s="1574"/>
      <c r="JL165" s="1574"/>
      <c r="JM165" s="1574"/>
      <c r="JN165" s="1574"/>
      <c r="JO165" s="1574"/>
      <c r="JP165" s="1574"/>
      <c r="JQ165" s="1574"/>
      <c r="JR165" s="1574"/>
      <c r="JS165" s="1574"/>
      <c r="JT165" s="1574"/>
      <c r="JU165" s="1574"/>
      <c r="JV165" s="1574"/>
      <c r="JW165" s="1574"/>
      <c r="JX165" s="1574"/>
      <c r="JY165" s="1574"/>
      <c r="JZ165" s="1574"/>
      <c r="KA165" s="1574"/>
      <c r="KB165" s="1574"/>
      <c r="KC165" s="1574"/>
      <c r="KD165" s="1574"/>
      <c r="KE165" s="1574"/>
      <c r="KF165" s="1574"/>
      <c r="KG165" s="1574"/>
      <c r="KH165" s="1574"/>
      <c r="KI165" s="1574"/>
      <c r="KJ165" s="1574"/>
      <c r="KK165" s="1574"/>
      <c r="KL165" s="1574"/>
      <c r="KM165" s="1574"/>
      <c r="KN165" s="1574"/>
      <c r="KO165" s="1574"/>
      <c r="KP165" s="1574"/>
      <c r="KQ165" s="1574"/>
      <c r="KR165" s="1574"/>
      <c r="KS165" s="1574"/>
      <c r="KT165" s="1574"/>
      <c r="KU165" s="1574"/>
      <c r="KV165" s="1574"/>
      <c r="KW165" s="1574"/>
      <c r="KX165" s="1574"/>
      <c r="KY165" s="1574"/>
      <c r="KZ165" s="1574"/>
      <c r="LA165" s="1574"/>
      <c r="LB165" s="1574"/>
      <c r="LC165" s="1574"/>
      <c r="LD165" s="1574"/>
      <c r="LE165" s="1574"/>
      <c r="LF165" s="1574"/>
      <c r="LG165" s="1574"/>
      <c r="LH165" s="1574"/>
      <c r="LI165" s="1574"/>
      <c r="LJ165" s="1574"/>
      <c r="LK165" s="1574"/>
      <c r="LL165" s="1574"/>
      <c r="LM165" s="1574"/>
      <c r="LN165" s="1574"/>
      <c r="LO165" s="1574"/>
      <c r="LP165" s="1574"/>
      <c r="LQ165" s="1574"/>
      <c r="LR165" s="1574"/>
      <c r="LS165" s="1574"/>
      <c r="LT165" s="1574"/>
      <c r="LU165" s="1574"/>
      <c r="LV165" s="1574"/>
      <c r="LW165" s="1574"/>
      <c r="LX165" s="1574"/>
      <c r="LY165" s="1574"/>
      <c r="LZ165" s="1574"/>
      <c r="MA165" s="1574"/>
      <c r="MB165" s="1574"/>
      <c r="MC165" s="1574"/>
      <c r="MD165" s="1574"/>
      <c r="ME165" s="1574"/>
      <c r="MF165" s="1574"/>
      <c r="MG165" s="1574"/>
      <c r="MH165" s="1574"/>
      <c r="MI165" s="1574"/>
      <c r="MJ165" s="1574"/>
      <c r="MK165" s="1574"/>
      <c r="ML165" s="1574"/>
      <c r="MM165" s="1574"/>
      <c r="MN165" s="1574"/>
      <c r="MO165" s="1574"/>
      <c r="MP165" s="1574"/>
      <c r="MQ165" s="1574"/>
      <c r="MR165" s="1574"/>
      <c r="MS165" s="1574"/>
      <c r="MT165" s="1574"/>
      <c r="MU165" s="1574"/>
      <c r="MV165" s="1574"/>
      <c r="MW165" s="1574"/>
      <c r="MX165" s="1574"/>
      <c r="MY165" s="1574"/>
      <c r="MZ165" s="1574"/>
      <c r="NA165" s="1574"/>
      <c r="NB165" s="1574"/>
      <c r="NC165" s="1574"/>
      <c r="ND165" s="1574"/>
      <c r="NE165" s="1574"/>
      <c r="NF165" s="1574"/>
      <c r="NG165" s="1574"/>
      <c r="NH165" s="1574"/>
      <c r="NI165" s="1574"/>
      <c r="NJ165" s="1574"/>
      <c r="NK165" s="1574"/>
      <c r="NL165" s="1574"/>
      <c r="NM165" s="1574"/>
      <c r="NN165" s="1574"/>
      <c r="NO165" s="1574"/>
      <c r="NP165" s="1574"/>
      <c r="NQ165" s="1574"/>
      <c r="NR165" s="1574"/>
      <c r="NS165" s="1574"/>
      <c r="NT165" s="1574"/>
      <c r="NU165" s="1574"/>
      <c r="NV165" s="1574"/>
      <c r="NW165" s="1574"/>
      <c r="NX165" s="1574"/>
      <c r="NY165" s="1574"/>
      <c r="NZ165" s="1574"/>
      <c r="OA165" s="1574"/>
      <c r="OB165" s="1574"/>
      <c r="OC165" s="1574"/>
      <c r="OD165" s="1574"/>
      <c r="OE165" s="1574"/>
      <c r="OF165" s="1574"/>
      <c r="OG165" s="1574"/>
      <c r="OH165" s="1574"/>
      <c r="OI165" s="1574"/>
      <c r="OJ165" s="1574"/>
      <c r="OK165" s="1574"/>
      <c r="OL165" s="1574"/>
      <c r="OM165" s="1574"/>
      <c r="ON165" s="1574"/>
      <c r="OO165" s="1574"/>
      <c r="OP165" s="1574"/>
      <c r="OQ165" s="1574"/>
      <c r="OR165" s="1574"/>
      <c r="OS165" s="1574"/>
      <c r="OT165" s="1574"/>
      <c r="OU165" s="1574"/>
      <c r="OV165" s="1574"/>
      <c r="OW165" s="1574"/>
      <c r="OX165" s="1574"/>
      <c r="OY165" s="1574"/>
      <c r="OZ165" s="1574"/>
      <c r="PA165" s="1574"/>
      <c r="PB165" s="1574"/>
      <c r="PC165" s="1574"/>
      <c r="PD165" s="1574"/>
      <c r="PE165" s="1574"/>
      <c r="PF165" s="1574"/>
      <c r="PG165" s="1574"/>
      <c r="PH165" s="1574"/>
      <c r="PI165" s="1574"/>
      <c r="PJ165" s="1574"/>
      <c r="PK165" s="1574"/>
      <c r="PL165" s="1574"/>
      <c r="PM165" s="1574"/>
      <c r="PN165" s="1574"/>
      <c r="PO165" s="1574"/>
      <c r="PP165" s="1574"/>
      <c r="PQ165" s="1574"/>
      <c r="PR165" s="1574"/>
      <c r="PS165" s="1574"/>
      <c r="PT165" s="1574"/>
      <c r="PU165" s="1574"/>
      <c r="PV165" s="1574"/>
      <c r="PW165" s="1574"/>
      <c r="PX165" s="1574"/>
      <c r="PY165" s="1574"/>
      <c r="PZ165" s="1574"/>
      <c r="QA165" s="1574"/>
      <c r="QB165" s="1574"/>
      <c r="QC165" s="1574"/>
      <c r="QD165" s="1574"/>
      <c r="QE165" s="1574"/>
      <c r="QF165" s="1574"/>
      <c r="QG165" s="1574"/>
      <c r="QH165" s="1574"/>
      <c r="QI165" s="1574"/>
      <c r="QJ165" s="1574"/>
      <c r="QK165" s="1574"/>
      <c r="QL165" s="1574"/>
      <c r="QM165" s="1574"/>
      <c r="QN165" s="1574"/>
      <c r="QO165" s="1574"/>
      <c r="QP165" s="1574"/>
      <c r="QQ165" s="1574"/>
      <c r="QR165" s="1574"/>
      <c r="QS165" s="1574"/>
      <c r="QT165" s="1574"/>
      <c r="QU165" s="1574"/>
      <c r="QV165" s="1574"/>
      <c r="QW165" s="1574"/>
      <c r="QX165" s="1574"/>
      <c r="QY165" s="1574"/>
      <c r="QZ165" s="1574"/>
      <c r="RA165" s="1574"/>
      <c r="RB165" s="1574"/>
      <c r="RC165" s="1574"/>
      <c r="RD165" s="1574"/>
      <c r="RE165" s="1574"/>
      <c r="RF165" s="1574"/>
      <c r="RG165" s="1574"/>
      <c r="RH165" s="1574"/>
      <c r="RI165" s="1574"/>
      <c r="RJ165" s="1574"/>
      <c r="RK165" s="1574"/>
      <c r="RL165" s="1574"/>
      <c r="RM165" s="1574"/>
      <c r="RN165" s="1574"/>
      <c r="RO165" s="1574"/>
      <c r="RP165" s="1574"/>
      <c r="RQ165" s="1574"/>
      <c r="RR165" s="1574"/>
      <c r="RS165" s="1574"/>
      <c r="RT165" s="1574"/>
      <c r="RU165" s="1574"/>
      <c r="RV165" s="1574"/>
      <c r="RW165" s="1574"/>
      <c r="RX165" s="1574"/>
      <c r="RY165" s="1574"/>
      <c r="RZ165" s="1574"/>
      <c r="SA165" s="1574"/>
      <c r="SB165" s="1574"/>
      <c r="SC165" s="1574"/>
      <c r="SD165" s="1574"/>
      <c r="SE165" s="1574"/>
      <c r="SF165" s="1574"/>
      <c r="SG165" s="1574"/>
      <c r="SH165" s="1574"/>
      <c r="SI165" s="1574"/>
      <c r="SJ165" s="1574"/>
      <c r="SK165" s="1574"/>
      <c r="SL165" s="1574"/>
      <c r="SM165" s="1574"/>
      <c r="SN165" s="1574"/>
      <c r="SO165" s="1574"/>
      <c r="SP165" s="1574"/>
      <c r="SQ165" s="1574"/>
      <c r="SR165" s="1574"/>
      <c r="SS165" s="1574"/>
      <c r="ST165" s="1574"/>
      <c r="SU165" s="1574"/>
      <c r="SV165" s="1574"/>
      <c r="SW165" s="1574"/>
      <c r="SX165" s="1574"/>
      <c r="SY165" s="1574"/>
      <c r="SZ165" s="1574"/>
      <c r="TA165" s="1574"/>
      <c r="TB165" s="1574"/>
      <c r="TC165" s="1574"/>
      <c r="TD165" s="1574"/>
      <c r="TE165" s="1574"/>
      <c r="TF165" s="1574"/>
      <c r="TG165" s="1574"/>
      <c r="TH165" s="1574"/>
      <c r="TI165" s="1574"/>
      <c r="TJ165" s="1574"/>
      <c r="TK165" s="1574"/>
      <c r="TL165" s="1574"/>
      <c r="TM165" s="1574"/>
      <c r="TN165" s="1574"/>
      <c r="TO165" s="1574"/>
      <c r="TP165" s="1574"/>
      <c r="TQ165" s="1574"/>
      <c r="TR165" s="1574"/>
      <c r="TS165" s="1574"/>
      <c r="TT165" s="1574"/>
      <c r="TU165" s="1574"/>
      <c r="TV165" s="1574"/>
      <c r="TW165" s="1574"/>
      <c r="TX165" s="1574"/>
      <c r="TY165" s="1574"/>
      <c r="TZ165" s="1574"/>
      <c r="UA165" s="1574"/>
      <c r="UB165" s="1574"/>
      <c r="UC165" s="1574"/>
      <c r="UD165" s="1574"/>
      <c r="UE165" s="1574"/>
      <c r="UF165" s="1574"/>
      <c r="UG165" s="1574"/>
      <c r="UH165" s="1574"/>
      <c r="UI165" s="1574"/>
      <c r="UJ165" s="1574"/>
      <c r="UK165" s="1574"/>
      <c r="UL165" s="1574"/>
      <c r="UM165" s="1574"/>
      <c r="UN165" s="1574"/>
      <c r="UO165" s="1574"/>
      <c r="UP165" s="1574"/>
      <c r="UQ165" s="1574"/>
      <c r="UR165" s="1574"/>
      <c r="US165" s="1574"/>
      <c r="UT165" s="1574"/>
      <c r="UU165" s="1574"/>
      <c r="UV165" s="1574"/>
      <c r="UW165" s="1574"/>
      <c r="UX165" s="1574"/>
      <c r="UY165" s="1574"/>
      <c r="UZ165" s="1574"/>
      <c r="VA165" s="1574"/>
      <c r="VB165" s="1574"/>
      <c r="VC165" s="1574"/>
      <c r="VD165" s="1574"/>
      <c r="VE165" s="1574"/>
      <c r="VF165" s="1574"/>
      <c r="VG165" s="1574"/>
      <c r="VH165" s="1574"/>
      <c r="VI165" s="1574"/>
      <c r="VJ165" s="1574"/>
      <c r="VK165" s="1574"/>
    </row>
    <row r="166" spans="1:583" x14ac:dyDescent="0.25">
      <c r="B166" s="1610" t="s">
        <v>2867</v>
      </c>
      <c r="C166" s="1582" t="s">
        <v>2868</v>
      </c>
      <c r="D166" s="4711" t="s">
        <v>612</v>
      </c>
      <c r="E166" s="4711"/>
      <c r="F166" s="1912"/>
      <c r="G166" s="1912"/>
      <c r="H166" s="1912"/>
      <c r="I166" s="1576"/>
      <c r="J166" s="1576"/>
      <c r="K166" s="1576"/>
      <c r="L166" s="1576"/>
      <c r="M166" s="1576"/>
      <c r="N166" s="1576"/>
      <c r="O166" s="1576"/>
      <c r="P166" s="1576"/>
      <c r="Q166" s="1576"/>
      <c r="R166" s="1576"/>
      <c r="S166" s="1576"/>
      <c r="T166" s="1576"/>
      <c r="U166" s="1576"/>
      <c r="V166" s="1576"/>
      <c r="W166" s="1576"/>
      <c r="X166" s="1576"/>
      <c r="Y166" s="1576"/>
      <c r="Z166" s="1576"/>
      <c r="AA166" s="1576"/>
      <c r="AB166" s="1576"/>
      <c r="AC166" s="1576"/>
      <c r="AD166" s="1576"/>
      <c r="AE166" s="1576"/>
      <c r="AF166" s="1576"/>
      <c r="AG166" s="1576"/>
      <c r="AH166" s="1576"/>
      <c r="AI166" s="1576"/>
      <c r="AJ166" s="1576"/>
      <c r="AK166" s="1576"/>
      <c r="AL166" s="1576"/>
      <c r="AM166" s="1576"/>
      <c r="AN166" s="1576"/>
      <c r="AO166" s="1576"/>
      <c r="AP166" s="1576"/>
      <c r="AQ166" s="1576"/>
      <c r="AR166" s="1576"/>
      <c r="AS166" s="1576"/>
      <c r="AT166" s="1576"/>
      <c r="AU166" s="1576"/>
      <c r="AV166" s="1576"/>
      <c r="AW166" s="1576"/>
      <c r="AX166" s="1576"/>
      <c r="AY166" s="1576"/>
      <c r="AZ166" s="1576"/>
      <c r="BA166" s="1576"/>
      <c r="BB166" s="1576"/>
      <c r="BC166" s="1576"/>
      <c r="BD166" s="1576"/>
      <c r="BE166" s="1576"/>
      <c r="BF166" s="1576"/>
      <c r="BG166" s="1576"/>
      <c r="BH166" s="1576"/>
      <c r="BI166" s="1576"/>
      <c r="BJ166" s="1576"/>
      <c r="BK166" s="1576"/>
      <c r="BL166" s="1576"/>
      <c r="BM166" s="1576"/>
      <c r="BN166" s="1576"/>
      <c r="BO166" s="1576"/>
      <c r="BP166" s="1576"/>
      <c r="BQ166" s="1576"/>
      <c r="BR166" s="1576"/>
      <c r="BS166" s="1576"/>
      <c r="BT166" s="1576"/>
      <c r="BU166" s="1576"/>
      <c r="BV166" s="1576"/>
      <c r="BW166" s="1576"/>
      <c r="BX166" s="1576"/>
      <c r="BY166" s="1576"/>
      <c r="BZ166" s="1576"/>
      <c r="CA166" s="1576"/>
      <c r="CB166" s="1576"/>
      <c r="CC166" s="1576"/>
      <c r="CD166" s="1576"/>
      <c r="CE166" s="1576"/>
      <c r="CF166" s="1576"/>
      <c r="CG166" s="1576"/>
      <c r="CH166" s="1576"/>
      <c r="CI166" s="1576"/>
      <c r="CJ166" s="1576"/>
      <c r="CK166" s="1576"/>
      <c r="CL166" s="1576"/>
      <c r="CM166" s="1576"/>
      <c r="CN166" s="1576"/>
      <c r="CO166" s="1576"/>
      <c r="CP166" s="1576"/>
      <c r="CQ166" s="1576"/>
      <c r="CR166" s="1576"/>
      <c r="CS166" s="1576"/>
      <c r="CT166" s="1576"/>
      <c r="CU166" s="1576"/>
      <c r="CV166" s="1576"/>
      <c r="CW166" s="1576"/>
      <c r="CX166" s="1576"/>
      <c r="CY166" s="1576"/>
      <c r="CZ166" s="1576"/>
      <c r="DA166" s="1576"/>
      <c r="DB166" s="1576"/>
      <c r="DC166" s="1576"/>
      <c r="DD166" s="1576"/>
      <c r="DE166" s="1576"/>
      <c r="DF166" s="1576"/>
      <c r="DG166" s="1576"/>
      <c r="DH166" s="1576"/>
      <c r="DI166" s="1576"/>
      <c r="DJ166" s="1576"/>
      <c r="DK166" s="1576"/>
      <c r="DL166" s="1576"/>
      <c r="DM166" s="1576"/>
      <c r="DN166" s="1576"/>
      <c r="DO166" s="1576"/>
      <c r="DP166" s="1576"/>
      <c r="DQ166" s="1576"/>
      <c r="DR166" s="1576"/>
      <c r="DS166" s="1576"/>
      <c r="DT166" s="1576"/>
      <c r="DU166" s="1576"/>
      <c r="DV166" s="1576"/>
      <c r="DW166" s="1576"/>
      <c r="DX166" s="1576"/>
      <c r="DY166" s="1576"/>
      <c r="DZ166" s="1576"/>
      <c r="EA166" s="1576"/>
      <c r="EB166" s="1576"/>
      <c r="EC166" s="1576"/>
      <c r="ED166" s="1576"/>
      <c r="EE166" s="1576"/>
      <c r="EF166" s="1576"/>
      <c r="EG166" s="1576"/>
      <c r="EH166" s="1576"/>
      <c r="EI166" s="1576"/>
      <c r="EJ166" s="1576"/>
      <c r="EK166" s="1576"/>
      <c r="EL166" s="1576"/>
      <c r="EM166" s="1576"/>
      <c r="EN166" s="1576"/>
      <c r="EO166" s="1576"/>
      <c r="EP166" s="1576"/>
      <c r="EQ166" s="1576"/>
      <c r="ER166" s="1576"/>
      <c r="ES166" s="1576"/>
      <c r="ET166" s="1576"/>
      <c r="EU166" s="1576"/>
      <c r="EV166" s="1576"/>
      <c r="EW166" s="1576"/>
      <c r="EX166" s="1576"/>
      <c r="EY166" s="1576"/>
      <c r="EZ166" s="1576"/>
      <c r="FA166" s="1576"/>
      <c r="FB166" s="1576"/>
      <c r="FC166" s="1576"/>
      <c r="FD166" s="1576"/>
      <c r="FE166" s="1576"/>
      <c r="FF166" s="1576"/>
      <c r="FG166" s="1576"/>
      <c r="FH166" s="1576"/>
      <c r="FI166" s="1576"/>
      <c r="FJ166" s="1576"/>
      <c r="FK166" s="1576"/>
      <c r="FL166" s="1576"/>
      <c r="FM166" s="1576"/>
      <c r="FN166" s="1576"/>
      <c r="FO166" s="1576"/>
      <c r="FP166" s="1576"/>
      <c r="FQ166" s="1576"/>
      <c r="FR166" s="1576"/>
      <c r="FS166" s="1576"/>
      <c r="FT166" s="1576"/>
      <c r="FU166" s="1576"/>
      <c r="FV166" s="1576"/>
      <c r="FW166" s="1576"/>
      <c r="FX166" s="1576"/>
      <c r="FY166" s="1576"/>
      <c r="FZ166" s="1576"/>
      <c r="GA166" s="1576"/>
      <c r="GB166" s="1576"/>
      <c r="GC166" s="1576"/>
      <c r="GD166" s="1576"/>
      <c r="GE166" s="1576"/>
      <c r="GF166" s="1576"/>
      <c r="GG166" s="1576"/>
      <c r="GH166" s="1576"/>
      <c r="GI166" s="1576"/>
      <c r="GJ166" s="1576"/>
      <c r="GK166" s="1576"/>
      <c r="GL166" s="1576"/>
      <c r="GM166" s="1576"/>
      <c r="GN166" s="1576"/>
      <c r="GO166" s="1576"/>
      <c r="GP166" s="1576"/>
      <c r="GQ166" s="1576"/>
      <c r="GR166" s="1576"/>
      <c r="GS166" s="1576"/>
      <c r="GT166" s="1576"/>
      <c r="GU166" s="1576"/>
      <c r="GV166" s="1576"/>
      <c r="GW166" s="1576"/>
      <c r="GX166" s="1576"/>
      <c r="GY166" s="1576"/>
      <c r="GZ166" s="1576"/>
      <c r="HA166" s="1576"/>
      <c r="HB166" s="1576"/>
      <c r="HC166" s="1576"/>
      <c r="HD166" s="1576"/>
      <c r="HE166" s="1576"/>
      <c r="HF166" s="1576"/>
      <c r="HG166" s="1576"/>
      <c r="HH166" s="1576"/>
      <c r="HI166" s="1576"/>
      <c r="HJ166" s="1576"/>
      <c r="HK166" s="1576"/>
      <c r="HL166" s="1576"/>
      <c r="HM166" s="1576"/>
      <c r="HN166" s="1576"/>
      <c r="HO166" s="1576"/>
      <c r="HP166" s="1576"/>
      <c r="HQ166" s="1576"/>
      <c r="HR166" s="1576"/>
      <c r="HS166" s="1576"/>
      <c r="HT166" s="1576"/>
      <c r="HU166" s="1576"/>
      <c r="HV166" s="1576"/>
      <c r="HW166" s="1576"/>
      <c r="HX166" s="1576"/>
      <c r="HY166" s="1576"/>
      <c r="HZ166" s="1576"/>
      <c r="IA166" s="1576"/>
      <c r="IB166" s="1576"/>
      <c r="IC166" s="1576"/>
      <c r="ID166" s="1576"/>
      <c r="IE166" s="1576"/>
      <c r="IF166" s="1576"/>
      <c r="IG166" s="1576"/>
      <c r="IH166" s="1576"/>
      <c r="II166" s="1576"/>
      <c r="IJ166" s="1576"/>
      <c r="IK166" s="1576"/>
      <c r="IL166" s="1576"/>
      <c r="IM166" s="1576"/>
      <c r="IN166" s="1576"/>
      <c r="IO166" s="1576"/>
      <c r="IP166" s="1576"/>
      <c r="IQ166" s="1576"/>
      <c r="IR166" s="1576"/>
      <c r="IS166" s="1576"/>
      <c r="IT166" s="1576"/>
      <c r="IU166" s="1576"/>
      <c r="IV166" s="1576"/>
      <c r="IW166" s="1576"/>
      <c r="IX166" s="1576"/>
      <c r="IY166" s="1576"/>
      <c r="IZ166" s="1576"/>
      <c r="JA166" s="2054"/>
      <c r="JB166" s="2054"/>
      <c r="JC166" s="2054"/>
      <c r="JD166" s="2054"/>
      <c r="JE166" s="2054"/>
      <c r="JF166" s="2054"/>
      <c r="JG166" s="2054"/>
      <c r="JH166" s="2054"/>
      <c r="JI166" s="2054"/>
      <c r="JJ166" s="2054"/>
      <c r="JK166" s="2054"/>
      <c r="JL166" s="2054"/>
      <c r="JM166" s="2054"/>
      <c r="JN166" s="2054"/>
      <c r="JO166" s="2054"/>
      <c r="JP166" s="2054"/>
      <c r="JQ166" s="2054"/>
      <c r="JR166" s="1576"/>
      <c r="JS166" s="1576"/>
      <c r="JT166" s="1576"/>
      <c r="JU166" s="1576"/>
      <c r="JV166" s="1576"/>
      <c r="JW166" s="1576"/>
      <c r="JX166" s="1576"/>
      <c r="JY166" s="1576"/>
      <c r="JZ166" s="1576"/>
      <c r="KA166" s="1576"/>
      <c r="KB166" s="1576"/>
      <c r="KC166" s="1576"/>
      <c r="KD166" s="1576"/>
      <c r="KE166" s="1576"/>
      <c r="KF166" s="1576"/>
      <c r="KG166" s="1576"/>
      <c r="KH166" s="1576"/>
      <c r="KI166" s="1576"/>
      <c r="KJ166" s="1576"/>
      <c r="KK166" s="1576"/>
      <c r="KL166" s="1576"/>
      <c r="KM166" s="1576"/>
      <c r="KN166" s="1576"/>
      <c r="KO166" s="1576"/>
      <c r="KP166" s="1576"/>
      <c r="KQ166" s="1576"/>
      <c r="KR166" s="1576"/>
      <c r="KS166" s="1576"/>
      <c r="KT166" s="1576"/>
      <c r="KU166" s="1576"/>
      <c r="KV166" s="1576"/>
      <c r="KW166" s="1576"/>
      <c r="KX166" s="1576"/>
      <c r="KY166" s="1576"/>
      <c r="KZ166" s="1576"/>
      <c r="LA166" s="1576"/>
      <c r="LB166" s="1576"/>
      <c r="LC166" s="1576"/>
      <c r="LD166" s="1576"/>
      <c r="LE166" s="1576"/>
      <c r="LF166" s="1576"/>
      <c r="LG166" s="1576"/>
      <c r="LH166" s="1576"/>
      <c r="LI166" s="1576"/>
      <c r="LJ166" s="1576"/>
      <c r="LK166" s="1576"/>
      <c r="LL166" s="1576"/>
      <c r="LM166" s="1576"/>
      <c r="LN166" s="1576"/>
      <c r="LO166" s="1576"/>
      <c r="LP166" s="1576"/>
      <c r="LQ166" s="1576"/>
      <c r="LR166" s="1576"/>
      <c r="LS166" s="1576"/>
      <c r="LT166" s="1576"/>
      <c r="LU166" s="1576"/>
      <c r="LV166" s="1576"/>
      <c r="LW166" s="1576"/>
      <c r="LX166" s="1576"/>
      <c r="LY166" s="1576"/>
      <c r="LZ166" s="1576"/>
      <c r="MA166" s="1576"/>
      <c r="MB166" s="1576"/>
      <c r="MC166" s="1576"/>
      <c r="MD166" s="1576"/>
      <c r="ME166" s="1576"/>
      <c r="MF166" s="1576"/>
      <c r="MG166" s="1576"/>
      <c r="MH166" s="1576"/>
      <c r="MI166" s="1576"/>
      <c r="MJ166" s="1576"/>
      <c r="MK166" s="1576"/>
      <c r="ML166" s="1576"/>
      <c r="MM166" s="1576"/>
      <c r="MN166" s="1576"/>
      <c r="MO166" s="1576"/>
      <c r="MP166" s="1576"/>
      <c r="MQ166" s="1576"/>
      <c r="MR166" s="1576"/>
      <c r="MS166" s="1576"/>
      <c r="MT166" s="1576"/>
      <c r="MU166" s="1576"/>
      <c r="MV166" s="1576"/>
      <c r="MW166" s="1576"/>
      <c r="MX166" s="1576"/>
      <c r="MY166" s="1576"/>
      <c r="MZ166" s="1576"/>
      <c r="NA166" s="1576"/>
      <c r="NB166" s="1576"/>
      <c r="NC166" s="1576"/>
      <c r="ND166" s="1576"/>
      <c r="NE166" s="1576"/>
      <c r="NF166" s="1576"/>
      <c r="NG166" s="1576"/>
      <c r="NH166" s="1576"/>
      <c r="NI166" s="1576"/>
      <c r="NJ166" s="1576"/>
      <c r="NK166" s="1576"/>
      <c r="NL166" s="1576"/>
      <c r="NM166" s="1576"/>
      <c r="NN166" s="1576"/>
      <c r="NO166" s="1576"/>
      <c r="NP166" s="1576"/>
      <c r="NQ166" s="1576"/>
      <c r="NR166" s="1576"/>
      <c r="NS166" s="1576"/>
      <c r="NT166" s="1576"/>
      <c r="NU166" s="1576"/>
      <c r="NV166" s="1576"/>
      <c r="NW166" s="1576"/>
      <c r="NX166" s="1576"/>
      <c r="NY166" s="1576"/>
      <c r="NZ166" s="1576"/>
      <c r="OA166" s="1576"/>
      <c r="OB166" s="1576"/>
      <c r="OC166" s="1576"/>
      <c r="OD166" s="1576"/>
      <c r="OE166" s="1576"/>
      <c r="OF166" s="1576"/>
      <c r="OG166" s="1576"/>
      <c r="OH166" s="1576"/>
      <c r="OI166" s="1576"/>
      <c r="OJ166" s="1576"/>
      <c r="OK166" s="1576"/>
      <c r="OL166" s="1576"/>
      <c r="OM166" s="1576"/>
      <c r="ON166" s="1576"/>
      <c r="OO166" s="1576"/>
      <c r="OP166" s="1576"/>
      <c r="OQ166" s="1576"/>
      <c r="OR166" s="1576"/>
      <c r="OS166" s="1576"/>
      <c r="OT166" s="1576"/>
      <c r="OU166" s="1576"/>
      <c r="OV166" s="1576"/>
      <c r="OW166" s="1576"/>
      <c r="OX166" s="1576"/>
      <c r="OY166" s="1576"/>
      <c r="OZ166" s="1576"/>
      <c r="PA166" s="1576"/>
      <c r="PB166" s="1576"/>
      <c r="PC166" s="1576"/>
      <c r="PD166" s="1576"/>
      <c r="PE166" s="1576"/>
      <c r="PF166" s="1576"/>
      <c r="PG166" s="1576"/>
      <c r="PH166" s="1576"/>
      <c r="PI166" s="1576"/>
      <c r="PJ166" s="1576"/>
      <c r="PK166" s="1576"/>
      <c r="PL166" s="1576"/>
      <c r="PM166" s="1576"/>
      <c r="PN166" s="1576"/>
      <c r="PO166" s="1576"/>
      <c r="PP166" s="1576"/>
      <c r="PQ166" s="1576"/>
      <c r="PR166" s="1576"/>
      <c r="PS166" s="1576"/>
      <c r="PT166" s="1576"/>
      <c r="PU166" s="1576"/>
      <c r="PV166" s="1576"/>
      <c r="PW166" s="1576"/>
      <c r="PX166" s="1576"/>
      <c r="PY166" s="1576"/>
      <c r="PZ166" s="1576"/>
      <c r="QA166" s="1576"/>
      <c r="QB166" s="1576"/>
      <c r="QC166" s="1576"/>
      <c r="QD166" s="1576"/>
      <c r="QE166" s="1576"/>
      <c r="QF166" s="1576"/>
      <c r="QG166" s="1576"/>
      <c r="QH166" s="1576"/>
      <c r="QI166" s="1576"/>
      <c r="QJ166" s="1576"/>
      <c r="QK166" s="1576"/>
      <c r="QL166" s="1576"/>
      <c r="QM166" s="1576"/>
      <c r="QN166" s="1576"/>
      <c r="QO166" s="1576"/>
      <c r="QP166" s="1576"/>
      <c r="QQ166" s="1576"/>
      <c r="QR166" s="1576"/>
      <c r="QS166" s="1576"/>
      <c r="QT166" s="1576"/>
      <c r="QU166" s="1576"/>
      <c r="QV166" s="1576"/>
      <c r="QW166" s="1576"/>
      <c r="QX166" s="1576"/>
      <c r="QY166" s="1576"/>
      <c r="QZ166" s="1576"/>
      <c r="RA166" s="1576"/>
      <c r="RB166" s="1576"/>
      <c r="RC166" s="1576"/>
      <c r="RD166" s="1576"/>
      <c r="RE166" s="1576"/>
      <c r="RF166" s="1576"/>
      <c r="RG166" s="1576"/>
      <c r="RH166" s="1576"/>
      <c r="RI166" s="1576"/>
      <c r="RJ166" s="1576"/>
      <c r="RK166" s="1576"/>
      <c r="RL166" s="1576"/>
      <c r="RM166" s="1576"/>
      <c r="RN166" s="1576"/>
      <c r="RO166" s="1576"/>
      <c r="RP166" s="1576"/>
      <c r="RQ166" s="1576"/>
      <c r="RR166" s="1576"/>
      <c r="RS166" s="1576"/>
      <c r="RT166" s="1576"/>
      <c r="RU166" s="1576"/>
      <c r="RV166" s="1576"/>
      <c r="RW166" s="1576"/>
      <c r="RX166" s="1576"/>
      <c r="RY166" s="1576"/>
      <c r="RZ166" s="1576"/>
      <c r="SA166" s="1576"/>
      <c r="SB166" s="1576"/>
      <c r="SC166" s="1576"/>
      <c r="SD166" s="1576"/>
      <c r="SE166" s="1576"/>
      <c r="SF166" s="1576"/>
      <c r="SG166" s="1576"/>
      <c r="SH166" s="1576"/>
      <c r="SI166" s="1576"/>
      <c r="SJ166" s="1576"/>
      <c r="SK166" s="1576"/>
      <c r="SL166" s="1576"/>
      <c r="SM166" s="1576"/>
      <c r="SN166" s="1576"/>
      <c r="SO166" s="1576"/>
      <c r="SP166" s="1576"/>
      <c r="SQ166" s="1576"/>
      <c r="SR166" s="1576"/>
      <c r="SS166" s="1576"/>
      <c r="ST166" s="1576"/>
      <c r="SU166" s="1576"/>
      <c r="SV166" s="1576"/>
      <c r="SW166" s="1576"/>
      <c r="SX166" s="1576"/>
      <c r="SY166" s="1576"/>
      <c r="SZ166" s="1576"/>
      <c r="TA166" s="1576"/>
      <c r="TB166" s="1576"/>
      <c r="TC166" s="1576"/>
      <c r="TD166" s="1576"/>
      <c r="TE166" s="1576"/>
      <c r="TF166" s="1576"/>
      <c r="TG166" s="1576"/>
      <c r="TH166" s="1576"/>
      <c r="TI166" s="1576"/>
      <c r="TJ166" s="1576"/>
      <c r="TK166" s="1576"/>
      <c r="TL166" s="1576"/>
      <c r="TM166" s="1576"/>
      <c r="TN166" s="1576"/>
      <c r="TO166" s="1576"/>
      <c r="TP166" s="1576"/>
      <c r="TQ166" s="1576"/>
      <c r="TR166" s="1576"/>
      <c r="TS166" s="1576"/>
      <c r="TT166" s="1576"/>
      <c r="TU166" s="1576"/>
      <c r="TV166" s="1576"/>
      <c r="TW166" s="1576"/>
      <c r="TX166" s="1576"/>
      <c r="TY166" s="1576"/>
      <c r="TZ166" s="1576"/>
      <c r="UA166" s="1576"/>
      <c r="UB166" s="1576"/>
      <c r="UC166" s="1576"/>
      <c r="UD166" s="1576"/>
      <c r="UE166" s="1576"/>
      <c r="UF166" s="1576"/>
      <c r="UG166" s="1576"/>
      <c r="UH166" s="1576"/>
      <c r="UI166" s="1576"/>
      <c r="UJ166" s="1576"/>
      <c r="UK166" s="1576"/>
      <c r="UL166" s="1576"/>
      <c r="UM166" s="1576"/>
      <c r="UN166" s="1576"/>
      <c r="UO166" s="1576"/>
      <c r="UP166" s="1576"/>
      <c r="UQ166" s="1576"/>
      <c r="UR166" s="1576"/>
      <c r="US166" s="1576"/>
      <c r="UT166" s="1576"/>
      <c r="UU166" s="1576"/>
      <c r="UV166" s="1576"/>
      <c r="UW166" s="1576"/>
      <c r="UX166" s="1576"/>
      <c r="UY166" s="1576"/>
      <c r="UZ166" s="1576"/>
      <c r="VA166" s="1576"/>
      <c r="VB166" s="1576"/>
      <c r="VC166" s="1576"/>
      <c r="VD166" s="1576"/>
      <c r="VE166" s="1576"/>
      <c r="VF166" s="1576"/>
      <c r="VG166" s="1576"/>
      <c r="VH166" s="1576"/>
      <c r="VI166" s="1576"/>
      <c r="VJ166" s="1576"/>
      <c r="VK166" s="1576"/>
    </row>
    <row r="167" spans="1:583" ht="27" x14ac:dyDescent="0.25">
      <c r="B167" s="1610" t="s">
        <v>2867</v>
      </c>
      <c r="C167" s="1582" t="s">
        <v>2869</v>
      </c>
      <c r="D167" s="4711"/>
      <c r="E167" s="4711"/>
      <c r="F167" s="1912"/>
      <c r="G167" s="1912"/>
      <c r="H167" s="1912"/>
      <c r="I167" s="1576"/>
      <c r="J167" s="1576"/>
      <c r="K167" s="1576"/>
      <c r="L167" s="1576"/>
      <c r="M167" s="1576"/>
      <c r="N167" s="1576"/>
      <c r="O167" s="1576"/>
      <c r="P167" s="1576"/>
      <c r="Q167" s="1576"/>
      <c r="R167" s="1576"/>
      <c r="S167" s="1576"/>
      <c r="T167" s="1576"/>
      <c r="U167" s="1576"/>
      <c r="V167" s="1576"/>
      <c r="W167" s="1576"/>
      <c r="X167" s="1576"/>
      <c r="Y167" s="1576"/>
      <c r="Z167" s="1576"/>
      <c r="AA167" s="1576"/>
      <c r="AB167" s="1576"/>
      <c r="AC167" s="1576"/>
      <c r="AD167" s="1576"/>
      <c r="AE167" s="1576"/>
      <c r="AF167" s="1576"/>
      <c r="AG167" s="1576"/>
      <c r="AH167" s="1576"/>
      <c r="AI167" s="1576"/>
      <c r="AJ167" s="1576"/>
      <c r="AK167" s="1576"/>
      <c r="AL167" s="1576"/>
      <c r="AM167" s="1576"/>
      <c r="AN167" s="1576"/>
      <c r="AO167" s="1576"/>
      <c r="AP167" s="1576"/>
      <c r="AQ167" s="1576"/>
      <c r="AR167" s="1576"/>
      <c r="AS167" s="1576"/>
      <c r="AT167" s="1576"/>
      <c r="AU167" s="1576"/>
      <c r="AV167" s="1576"/>
      <c r="AW167" s="1576"/>
      <c r="AX167" s="1576"/>
      <c r="AY167" s="1576"/>
      <c r="AZ167" s="1576"/>
      <c r="BA167" s="1576"/>
      <c r="BB167" s="1576"/>
      <c r="BC167" s="1576"/>
      <c r="BD167" s="1576"/>
      <c r="BE167" s="1576"/>
      <c r="BF167" s="1576"/>
      <c r="BG167" s="1576"/>
      <c r="BH167" s="1576"/>
      <c r="BI167" s="1576"/>
      <c r="BJ167" s="1576"/>
      <c r="BK167" s="1576"/>
      <c r="BL167" s="1576"/>
      <c r="BM167" s="1576"/>
      <c r="BN167" s="1576"/>
      <c r="BO167" s="1576"/>
      <c r="BP167" s="1576"/>
      <c r="BQ167" s="1576"/>
      <c r="BR167" s="1576"/>
      <c r="BS167" s="1576"/>
      <c r="BT167" s="1576"/>
      <c r="BU167" s="1576"/>
      <c r="BV167" s="1576"/>
      <c r="BW167" s="1576"/>
      <c r="BX167" s="1576"/>
      <c r="BY167" s="1576"/>
      <c r="BZ167" s="1576"/>
      <c r="CA167" s="1576"/>
      <c r="CB167" s="1576"/>
      <c r="CC167" s="1576"/>
      <c r="CD167" s="1576"/>
      <c r="CE167" s="1576"/>
      <c r="CF167" s="1576"/>
      <c r="CG167" s="1576"/>
      <c r="CH167" s="1576"/>
      <c r="CI167" s="1576"/>
      <c r="CJ167" s="1576"/>
      <c r="CK167" s="1576"/>
      <c r="CL167" s="1576"/>
      <c r="CM167" s="1576"/>
      <c r="CN167" s="1576"/>
      <c r="CO167" s="1576"/>
      <c r="CP167" s="1576"/>
      <c r="CQ167" s="1576"/>
      <c r="CR167" s="1576"/>
      <c r="CS167" s="1576"/>
      <c r="CT167" s="1576"/>
      <c r="CU167" s="1576"/>
      <c r="CV167" s="1576"/>
      <c r="CW167" s="1576"/>
      <c r="CX167" s="1576"/>
      <c r="CY167" s="1576"/>
      <c r="CZ167" s="1576"/>
      <c r="DA167" s="1576"/>
      <c r="DB167" s="1576"/>
      <c r="DC167" s="1576"/>
      <c r="DD167" s="1576"/>
      <c r="DE167" s="1576"/>
      <c r="DF167" s="1576"/>
      <c r="DG167" s="1576"/>
      <c r="DH167" s="1576"/>
      <c r="DI167" s="1576"/>
      <c r="DJ167" s="1576"/>
      <c r="DK167" s="1576"/>
      <c r="DL167" s="1576"/>
      <c r="DM167" s="1576"/>
      <c r="DN167" s="1576"/>
      <c r="DO167" s="1576"/>
      <c r="DP167" s="1576"/>
      <c r="DQ167" s="1576"/>
      <c r="DR167" s="1576"/>
      <c r="DS167" s="1576"/>
      <c r="DT167" s="1576"/>
      <c r="DU167" s="1576"/>
      <c r="DV167" s="1576"/>
      <c r="DW167" s="1576"/>
      <c r="DX167" s="1576"/>
      <c r="DY167" s="1576"/>
      <c r="DZ167" s="1576"/>
      <c r="EA167" s="1576"/>
      <c r="EB167" s="1576"/>
      <c r="EC167" s="1576"/>
      <c r="ED167" s="1576"/>
      <c r="EE167" s="1576"/>
      <c r="EF167" s="1576"/>
      <c r="EG167" s="1576"/>
      <c r="EH167" s="1576"/>
      <c r="EI167" s="1576"/>
      <c r="EJ167" s="1576"/>
      <c r="EK167" s="1576"/>
      <c r="EL167" s="1576"/>
      <c r="EM167" s="1576"/>
      <c r="EN167" s="1576"/>
      <c r="EO167" s="1576"/>
      <c r="EP167" s="1576"/>
      <c r="EQ167" s="1576"/>
      <c r="ER167" s="1576"/>
      <c r="ES167" s="1576"/>
      <c r="ET167" s="1576"/>
      <c r="EU167" s="1576"/>
      <c r="EV167" s="1576"/>
      <c r="EW167" s="1576"/>
      <c r="EX167" s="1576"/>
      <c r="EY167" s="1576"/>
      <c r="EZ167" s="1576"/>
      <c r="FA167" s="1576"/>
      <c r="FB167" s="1576"/>
      <c r="FC167" s="1576"/>
      <c r="FD167" s="1576"/>
      <c r="FE167" s="1576"/>
      <c r="FF167" s="1576"/>
      <c r="FG167" s="1576"/>
      <c r="FH167" s="1576"/>
      <c r="FI167" s="1576"/>
      <c r="FJ167" s="1576"/>
      <c r="FK167" s="1576"/>
      <c r="FL167" s="1576"/>
      <c r="FM167" s="1576"/>
      <c r="FN167" s="1576"/>
      <c r="FO167" s="1576"/>
      <c r="FP167" s="1576"/>
      <c r="FQ167" s="1576"/>
      <c r="FR167" s="1576"/>
      <c r="FS167" s="1576"/>
      <c r="FT167" s="1576"/>
      <c r="FU167" s="1576"/>
      <c r="FV167" s="1576"/>
      <c r="FW167" s="1576"/>
      <c r="FX167" s="1576"/>
      <c r="FY167" s="1576"/>
      <c r="FZ167" s="1576"/>
      <c r="GA167" s="1576"/>
      <c r="GB167" s="1576"/>
      <c r="GC167" s="1576"/>
      <c r="GD167" s="1576"/>
      <c r="GE167" s="1576"/>
      <c r="GF167" s="1576"/>
      <c r="GG167" s="1576"/>
      <c r="GH167" s="1576"/>
      <c r="GI167" s="1576"/>
      <c r="GJ167" s="1576"/>
      <c r="GK167" s="1576"/>
      <c r="GL167" s="1576"/>
      <c r="GM167" s="1576"/>
      <c r="GN167" s="1576"/>
      <c r="GO167" s="1576"/>
      <c r="GP167" s="1576"/>
      <c r="GQ167" s="1576"/>
      <c r="GR167" s="1576"/>
      <c r="GS167" s="1576"/>
      <c r="GT167" s="1576"/>
      <c r="GU167" s="1576"/>
      <c r="GV167" s="1576"/>
      <c r="GW167" s="1576"/>
      <c r="GX167" s="1576"/>
      <c r="GY167" s="1576"/>
      <c r="GZ167" s="1576"/>
      <c r="HA167" s="1576"/>
      <c r="HB167" s="1576"/>
      <c r="HC167" s="1576"/>
      <c r="HD167" s="1576"/>
      <c r="HE167" s="1576"/>
      <c r="HF167" s="1576"/>
      <c r="HG167" s="1576"/>
      <c r="HH167" s="1576"/>
      <c r="HI167" s="1576"/>
      <c r="HJ167" s="1576"/>
      <c r="HK167" s="1576"/>
      <c r="HL167" s="1576"/>
      <c r="HM167" s="1576"/>
      <c r="HN167" s="1576"/>
      <c r="HO167" s="1576"/>
      <c r="HP167" s="1576"/>
      <c r="HQ167" s="1576"/>
      <c r="HR167" s="1576"/>
      <c r="HS167" s="1576"/>
      <c r="HT167" s="1576"/>
      <c r="HU167" s="1576"/>
      <c r="HV167" s="1576"/>
      <c r="HW167" s="1576"/>
      <c r="HX167" s="1576"/>
      <c r="HY167" s="1576"/>
      <c r="HZ167" s="1576"/>
      <c r="IA167" s="1576"/>
      <c r="IB167" s="1576"/>
      <c r="IC167" s="1576"/>
      <c r="ID167" s="1576"/>
      <c r="IE167" s="1576"/>
      <c r="IF167" s="1576"/>
      <c r="IG167" s="1576"/>
      <c r="IH167" s="1576"/>
      <c r="II167" s="1576"/>
      <c r="IJ167" s="1576"/>
      <c r="IK167" s="1576"/>
      <c r="IL167" s="1576"/>
      <c r="IM167" s="1576"/>
      <c r="IN167" s="1576"/>
      <c r="IO167" s="1576"/>
      <c r="IP167" s="1576"/>
      <c r="IQ167" s="1576"/>
      <c r="IR167" s="1576"/>
      <c r="IS167" s="1576"/>
      <c r="IT167" s="1576"/>
      <c r="IU167" s="1576"/>
      <c r="IV167" s="1576"/>
      <c r="IW167" s="1576"/>
      <c r="IX167" s="1576"/>
      <c r="IY167" s="1576"/>
      <c r="IZ167" s="1576"/>
      <c r="JA167" s="2054"/>
      <c r="JB167" s="2054"/>
      <c r="JC167" s="2054"/>
      <c r="JD167" s="2054"/>
      <c r="JE167" s="2054"/>
      <c r="JF167" s="2054"/>
      <c r="JG167" s="2054"/>
      <c r="JH167" s="2054"/>
      <c r="JI167" s="2054"/>
      <c r="JJ167" s="2054"/>
      <c r="JK167" s="2054"/>
      <c r="JL167" s="2054"/>
      <c r="JM167" s="2054"/>
      <c r="JN167" s="2054"/>
      <c r="JO167" s="2054"/>
      <c r="JP167" s="2054"/>
      <c r="JQ167" s="2054"/>
      <c r="JR167" s="1576"/>
      <c r="JS167" s="1576"/>
      <c r="JT167" s="1576"/>
      <c r="JU167" s="1576"/>
      <c r="JV167" s="1576"/>
      <c r="JW167" s="1576"/>
      <c r="JX167" s="1576"/>
      <c r="JY167" s="1576"/>
      <c r="JZ167" s="1576"/>
      <c r="KA167" s="1576"/>
      <c r="KB167" s="1576"/>
      <c r="KC167" s="1576"/>
      <c r="KD167" s="1576"/>
      <c r="KE167" s="1576"/>
      <c r="KF167" s="1576"/>
      <c r="KG167" s="1576"/>
      <c r="KH167" s="1576"/>
      <c r="KI167" s="1576"/>
      <c r="KJ167" s="1576"/>
      <c r="KK167" s="1576"/>
      <c r="KL167" s="1576"/>
      <c r="KM167" s="1576"/>
      <c r="KN167" s="1576"/>
      <c r="KO167" s="1576"/>
      <c r="KP167" s="1576"/>
      <c r="KQ167" s="1576"/>
      <c r="KR167" s="1576"/>
      <c r="KS167" s="1576"/>
      <c r="KT167" s="1576"/>
      <c r="KU167" s="1576"/>
      <c r="KV167" s="1576"/>
      <c r="KW167" s="1576"/>
      <c r="KX167" s="1576"/>
      <c r="KY167" s="1576"/>
      <c r="KZ167" s="1576"/>
      <c r="LA167" s="1576"/>
      <c r="LB167" s="1576"/>
      <c r="LC167" s="1576"/>
      <c r="LD167" s="1576"/>
      <c r="LE167" s="1576"/>
      <c r="LF167" s="1576"/>
      <c r="LG167" s="1576"/>
      <c r="LH167" s="1576"/>
      <c r="LI167" s="1576"/>
      <c r="LJ167" s="1576"/>
      <c r="LK167" s="1576"/>
      <c r="LL167" s="1576"/>
      <c r="LM167" s="1576"/>
      <c r="LN167" s="1576"/>
      <c r="LO167" s="1576"/>
      <c r="LP167" s="1576"/>
      <c r="LQ167" s="1576"/>
      <c r="LR167" s="1576"/>
      <c r="LS167" s="1576"/>
      <c r="LT167" s="1576"/>
      <c r="LU167" s="1576"/>
      <c r="LV167" s="1576"/>
      <c r="LW167" s="1576"/>
      <c r="LX167" s="1576"/>
      <c r="LY167" s="1576"/>
      <c r="LZ167" s="1576"/>
      <c r="MA167" s="1576"/>
      <c r="MB167" s="1576"/>
      <c r="MC167" s="1576"/>
      <c r="MD167" s="1576"/>
      <c r="ME167" s="1576"/>
      <c r="MF167" s="1576"/>
      <c r="MG167" s="1576"/>
      <c r="MH167" s="1576"/>
      <c r="MI167" s="1576"/>
      <c r="MJ167" s="1576"/>
      <c r="MK167" s="1576"/>
      <c r="ML167" s="1576"/>
      <c r="MM167" s="1576"/>
      <c r="MN167" s="1576"/>
      <c r="MO167" s="1576"/>
      <c r="MP167" s="1576"/>
      <c r="MQ167" s="1576"/>
      <c r="MR167" s="1576"/>
      <c r="MS167" s="1576"/>
      <c r="MT167" s="1576"/>
      <c r="MU167" s="1576"/>
      <c r="MV167" s="1576"/>
      <c r="MW167" s="1576"/>
      <c r="MX167" s="1576"/>
      <c r="MY167" s="1576"/>
      <c r="MZ167" s="1576"/>
      <c r="NA167" s="1576"/>
      <c r="NB167" s="1576"/>
      <c r="NC167" s="1576"/>
      <c r="ND167" s="1576"/>
      <c r="NE167" s="1576"/>
      <c r="NF167" s="1576"/>
      <c r="NG167" s="1576"/>
      <c r="NH167" s="1576"/>
      <c r="NI167" s="1576"/>
      <c r="NJ167" s="1576"/>
      <c r="NK167" s="1576"/>
      <c r="NL167" s="1576"/>
      <c r="NM167" s="1576"/>
      <c r="NN167" s="1576"/>
      <c r="NO167" s="1576"/>
      <c r="NP167" s="1576"/>
      <c r="NQ167" s="1576"/>
      <c r="NR167" s="1576"/>
      <c r="NS167" s="1576"/>
      <c r="NT167" s="1576"/>
      <c r="NU167" s="1576"/>
      <c r="NV167" s="1576"/>
      <c r="NW167" s="1576"/>
      <c r="NX167" s="1576"/>
      <c r="NY167" s="1576"/>
      <c r="NZ167" s="1576"/>
      <c r="OA167" s="1576"/>
      <c r="OB167" s="1576"/>
      <c r="OC167" s="1576"/>
      <c r="OD167" s="1576"/>
      <c r="OE167" s="1576"/>
      <c r="OF167" s="1576"/>
      <c r="OG167" s="1576"/>
      <c r="OH167" s="1576"/>
      <c r="OI167" s="1576"/>
      <c r="OJ167" s="1576"/>
      <c r="OK167" s="1576"/>
      <c r="OL167" s="1576"/>
      <c r="OM167" s="1576"/>
      <c r="ON167" s="1576"/>
      <c r="OO167" s="1576"/>
      <c r="OP167" s="1576"/>
      <c r="OQ167" s="1576"/>
      <c r="OR167" s="1576"/>
      <c r="OS167" s="1576"/>
      <c r="OT167" s="1576"/>
      <c r="OU167" s="1576"/>
      <c r="OV167" s="1576"/>
      <c r="OW167" s="1576"/>
      <c r="OX167" s="1576"/>
      <c r="OY167" s="1576"/>
      <c r="OZ167" s="1576"/>
      <c r="PA167" s="1576"/>
      <c r="PB167" s="1576"/>
      <c r="PC167" s="1576"/>
      <c r="PD167" s="1576"/>
      <c r="PE167" s="1576"/>
      <c r="PF167" s="1576"/>
      <c r="PG167" s="1576"/>
      <c r="PH167" s="1576"/>
      <c r="PI167" s="1576"/>
      <c r="PJ167" s="1576"/>
      <c r="PK167" s="1576"/>
      <c r="PL167" s="1576"/>
      <c r="PM167" s="1576"/>
      <c r="PN167" s="1576"/>
      <c r="PO167" s="1576"/>
      <c r="PP167" s="1576"/>
      <c r="PQ167" s="1576"/>
      <c r="PR167" s="1576"/>
      <c r="PS167" s="1576"/>
      <c r="PT167" s="1576"/>
      <c r="PU167" s="1576"/>
      <c r="PV167" s="1576"/>
      <c r="PW167" s="1576"/>
      <c r="PX167" s="1576"/>
      <c r="PY167" s="1576"/>
      <c r="PZ167" s="1576"/>
      <c r="QA167" s="1576"/>
      <c r="QB167" s="1576"/>
      <c r="QC167" s="1576"/>
      <c r="QD167" s="1576"/>
      <c r="QE167" s="1576"/>
      <c r="QF167" s="1576"/>
      <c r="QG167" s="1576"/>
      <c r="QH167" s="1576"/>
      <c r="QI167" s="1576"/>
      <c r="QJ167" s="1576"/>
      <c r="QK167" s="1576"/>
      <c r="QL167" s="1576"/>
      <c r="QM167" s="1576"/>
      <c r="QN167" s="1576"/>
      <c r="QO167" s="1576"/>
      <c r="QP167" s="1576"/>
      <c r="QQ167" s="1576"/>
      <c r="QR167" s="1576"/>
      <c r="QS167" s="1576"/>
      <c r="QT167" s="1576"/>
      <c r="QU167" s="1576"/>
      <c r="QV167" s="1576"/>
      <c r="QW167" s="1576"/>
      <c r="QX167" s="1576"/>
      <c r="QY167" s="1576"/>
      <c r="QZ167" s="1576"/>
      <c r="RA167" s="1576"/>
      <c r="RB167" s="1576"/>
      <c r="RC167" s="1576"/>
      <c r="RD167" s="1576"/>
      <c r="RE167" s="1576"/>
      <c r="RF167" s="1576"/>
      <c r="RG167" s="1576"/>
      <c r="RH167" s="1576"/>
      <c r="RI167" s="1576"/>
      <c r="RJ167" s="1576"/>
      <c r="RK167" s="1576"/>
      <c r="RL167" s="1576"/>
      <c r="RM167" s="1576"/>
      <c r="RN167" s="1576"/>
      <c r="RO167" s="1576"/>
      <c r="RP167" s="1576"/>
      <c r="RQ167" s="1576"/>
      <c r="RR167" s="1576"/>
      <c r="RS167" s="1576"/>
      <c r="RT167" s="1576"/>
      <c r="RU167" s="1576"/>
      <c r="RV167" s="1576"/>
      <c r="RW167" s="1576"/>
      <c r="RX167" s="1576"/>
      <c r="RY167" s="1576"/>
      <c r="RZ167" s="1576"/>
      <c r="SA167" s="1576"/>
      <c r="SB167" s="1576"/>
      <c r="SC167" s="1576"/>
      <c r="SD167" s="1576"/>
      <c r="SE167" s="1576"/>
      <c r="SF167" s="1576"/>
      <c r="SG167" s="1576"/>
      <c r="SH167" s="1576"/>
      <c r="SI167" s="1576"/>
      <c r="SJ167" s="1576"/>
      <c r="SK167" s="1576"/>
      <c r="SL167" s="1576"/>
      <c r="SM167" s="1576"/>
      <c r="SN167" s="1576"/>
      <c r="SO167" s="1576"/>
      <c r="SP167" s="1576"/>
      <c r="SQ167" s="1576"/>
      <c r="SR167" s="1576"/>
      <c r="SS167" s="1576"/>
      <c r="ST167" s="1576"/>
      <c r="SU167" s="1576"/>
      <c r="SV167" s="1576"/>
      <c r="SW167" s="1576"/>
      <c r="SX167" s="1576"/>
      <c r="SY167" s="1576"/>
      <c r="SZ167" s="1576"/>
      <c r="TA167" s="1576"/>
      <c r="TB167" s="1576"/>
      <c r="TC167" s="1576"/>
      <c r="TD167" s="1576"/>
      <c r="TE167" s="1576"/>
      <c r="TF167" s="1576"/>
      <c r="TG167" s="1576"/>
      <c r="TH167" s="1576"/>
      <c r="TI167" s="1576"/>
      <c r="TJ167" s="1576"/>
      <c r="TK167" s="1576"/>
      <c r="TL167" s="1576"/>
      <c r="TM167" s="1576"/>
      <c r="TN167" s="1576"/>
      <c r="TO167" s="1576"/>
      <c r="TP167" s="1576"/>
      <c r="TQ167" s="1576"/>
      <c r="TR167" s="1576"/>
      <c r="TS167" s="1576"/>
      <c r="TT167" s="1576"/>
      <c r="TU167" s="1576"/>
      <c r="TV167" s="1576"/>
      <c r="TW167" s="1576"/>
      <c r="TX167" s="1576"/>
      <c r="TY167" s="1576"/>
      <c r="TZ167" s="1576"/>
      <c r="UA167" s="1576"/>
      <c r="UB167" s="1576"/>
      <c r="UC167" s="1576"/>
      <c r="UD167" s="1576"/>
      <c r="UE167" s="1576"/>
      <c r="UF167" s="1576"/>
      <c r="UG167" s="1576"/>
      <c r="UH167" s="1576"/>
      <c r="UI167" s="1576"/>
      <c r="UJ167" s="1576"/>
      <c r="UK167" s="1576"/>
      <c r="UL167" s="1576"/>
      <c r="UM167" s="1576"/>
      <c r="UN167" s="1576"/>
      <c r="UO167" s="1576"/>
      <c r="UP167" s="1576"/>
      <c r="UQ167" s="1576"/>
      <c r="UR167" s="1576"/>
      <c r="US167" s="1576"/>
      <c r="UT167" s="1576"/>
      <c r="UU167" s="1576"/>
      <c r="UV167" s="1576"/>
      <c r="UW167" s="1576"/>
      <c r="UX167" s="1576"/>
      <c r="UY167" s="1576"/>
      <c r="UZ167" s="1576"/>
      <c r="VA167" s="1576"/>
      <c r="VB167" s="1576"/>
      <c r="VC167" s="1576"/>
      <c r="VD167" s="1576"/>
      <c r="VE167" s="1576"/>
      <c r="VF167" s="1576"/>
      <c r="VG167" s="1576"/>
      <c r="VH167" s="1576"/>
      <c r="VI167" s="1576"/>
      <c r="VJ167" s="1576"/>
      <c r="VK167" s="1576"/>
    </row>
    <row r="168" spans="1:583" x14ac:dyDescent="0.25">
      <c r="B168" s="1610" t="s">
        <v>2867</v>
      </c>
      <c r="C168" s="1582" t="s">
        <v>2870</v>
      </c>
      <c r="D168" s="4711"/>
      <c r="E168" s="4711"/>
      <c r="F168" s="1912"/>
      <c r="G168" s="1912"/>
      <c r="H168" s="1912"/>
      <c r="I168" s="1576"/>
      <c r="J168" s="1576"/>
      <c r="K168" s="1576"/>
      <c r="L168" s="1576"/>
      <c r="M168" s="1576"/>
      <c r="N168" s="1576"/>
      <c r="O168" s="1576"/>
      <c r="P168" s="1576"/>
      <c r="Q168" s="1576"/>
      <c r="R168" s="1576"/>
      <c r="S168" s="1576"/>
      <c r="T168" s="1576"/>
      <c r="U168" s="1576"/>
      <c r="V168" s="1576"/>
      <c r="W168" s="1576"/>
      <c r="X168" s="1576"/>
      <c r="Y168" s="1576"/>
      <c r="Z168" s="1576"/>
      <c r="AA168" s="1576"/>
      <c r="AB168" s="1576"/>
      <c r="AC168" s="1576"/>
      <c r="AD168" s="1576"/>
      <c r="AE168" s="1576"/>
      <c r="AF168" s="1576"/>
      <c r="AG168" s="1576"/>
      <c r="AH168" s="1576"/>
      <c r="AI168" s="1576"/>
      <c r="AJ168" s="1576"/>
      <c r="AK168" s="1576"/>
      <c r="AL168" s="1576"/>
      <c r="AM168" s="1576"/>
      <c r="AN168" s="1576"/>
      <c r="AO168" s="1576"/>
      <c r="AP168" s="1576"/>
      <c r="AQ168" s="1576"/>
      <c r="AR168" s="1576"/>
      <c r="AS168" s="1576"/>
      <c r="AT168" s="1576"/>
      <c r="AU168" s="1576"/>
      <c r="AV168" s="1576"/>
      <c r="AW168" s="1576"/>
      <c r="AX168" s="1576"/>
      <c r="AY168" s="1576"/>
      <c r="AZ168" s="1576"/>
      <c r="BA168" s="1576"/>
      <c r="BB168" s="1576"/>
      <c r="BC168" s="1576"/>
      <c r="BD168" s="1576"/>
      <c r="BE168" s="1576"/>
      <c r="BF168" s="1576"/>
      <c r="BG168" s="1576"/>
      <c r="BH168" s="1576"/>
      <c r="BI168" s="1576"/>
      <c r="BJ168" s="1576"/>
      <c r="BK168" s="1576"/>
      <c r="BL168" s="1576"/>
      <c r="BM168" s="1576"/>
      <c r="BN168" s="1576"/>
      <c r="BO168" s="1576"/>
      <c r="BP168" s="1576"/>
      <c r="BQ168" s="1576"/>
      <c r="BR168" s="1576"/>
      <c r="BS168" s="1576"/>
      <c r="BT168" s="1576"/>
      <c r="BU168" s="1576"/>
      <c r="BV168" s="1576"/>
      <c r="BW168" s="1576"/>
      <c r="BX168" s="1576"/>
      <c r="BY168" s="1576"/>
      <c r="BZ168" s="1576"/>
      <c r="CA168" s="1576"/>
      <c r="CB168" s="1576"/>
      <c r="CC168" s="1576"/>
      <c r="CD168" s="1576"/>
      <c r="CE168" s="1576"/>
      <c r="CF168" s="1576"/>
      <c r="CG168" s="1576"/>
      <c r="CH168" s="1576"/>
      <c r="CI168" s="1576"/>
      <c r="CJ168" s="1576"/>
      <c r="CK168" s="1576"/>
      <c r="CL168" s="1576"/>
      <c r="CM168" s="1576"/>
      <c r="CN168" s="1576"/>
      <c r="CO168" s="1576"/>
      <c r="CP168" s="1576"/>
      <c r="CQ168" s="1576"/>
      <c r="CR168" s="1576"/>
      <c r="CS168" s="1576"/>
      <c r="CT168" s="1576"/>
      <c r="CU168" s="1576"/>
      <c r="CV168" s="1576"/>
      <c r="CW168" s="1576"/>
      <c r="CX168" s="1576"/>
      <c r="CY168" s="1576"/>
      <c r="CZ168" s="1576"/>
      <c r="DA168" s="1576"/>
      <c r="DB168" s="1576"/>
      <c r="DC168" s="1576"/>
      <c r="DD168" s="1576"/>
      <c r="DE168" s="1576"/>
      <c r="DF168" s="1576"/>
      <c r="DG168" s="1576"/>
      <c r="DH168" s="1576"/>
      <c r="DI168" s="1576"/>
      <c r="DJ168" s="1576"/>
      <c r="DK168" s="1576"/>
      <c r="DL168" s="1576"/>
      <c r="DM168" s="1576"/>
      <c r="DN168" s="1576"/>
      <c r="DO168" s="1576"/>
      <c r="DP168" s="1576"/>
      <c r="DQ168" s="1576"/>
      <c r="DR168" s="1576"/>
      <c r="DS168" s="1576"/>
      <c r="DT168" s="1576"/>
      <c r="DU168" s="1576"/>
      <c r="DV168" s="1576"/>
      <c r="DW168" s="1576"/>
      <c r="DX168" s="1576"/>
      <c r="DY168" s="1576"/>
      <c r="DZ168" s="1576"/>
      <c r="EA168" s="1576"/>
      <c r="EB168" s="1576"/>
      <c r="EC168" s="1576"/>
      <c r="ED168" s="1576"/>
      <c r="EE168" s="1576"/>
      <c r="EF168" s="1576"/>
      <c r="EG168" s="1576"/>
      <c r="EH168" s="1576"/>
      <c r="EI168" s="1576"/>
      <c r="EJ168" s="1576"/>
      <c r="EK168" s="1576"/>
      <c r="EL168" s="1576"/>
      <c r="EM168" s="1576"/>
      <c r="EN168" s="1576"/>
      <c r="EO168" s="1576"/>
      <c r="EP168" s="1576"/>
      <c r="EQ168" s="1576"/>
      <c r="ER168" s="1576"/>
      <c r="ES168" s="1576"/>
      <c r="ET168" s="1576"/>
      <c r="EU168" s="1576"/>
      <c r="EV168" s="1576"/>
      <c r="EW168" s="1576"/>
      <c r="EX168" s="1576"/>
      <c r="EY168" s="1576"/>
      <c r="EZ168" s="1576"/>
      <c r="FA168" s="1576"/>
      <c r="FB168" s="1576"/>
      <c r="FC168" s="1576"/>
      <c r="FD168" s="1576"/>
      <c r="FE168" s="1576"/>
      <c r="FF168" s="1576"/>
      <c r="FG168" s="1576"/>
      <c r="FH168" s="1576"/>
      <c r="FI168" s="1576"/>
      <c r="FJ168" s="1576"/>
      <c r="FK168" s="1576"/>
      <c r="FL168" s="1576"/>
      <c r="FM168" s="1576"/>
      <c r="FN168" s="1576"/>
      <c r="FO168" s="1576"/>
      <c r="FP168" s="1576"/>
      <c r="FQ168" s="1576"/>
      <c r="FR168" s="1576"/>
      <c r="FS168" s="1576"/>
      <c r="FT168" s="1576"/>
      <c r="FU168" s="1576"/>
      <c r="FV168" s="1576"/>
      <c r="FW168" s="1576"/>
      <c r="FX168" s="1576"/>
      <c r="FY168" s="1576"/>
      <c r="FZ168" s="1576"/>
      <c r="GA168" s="1576"/>
      <c r="GB168" s="1576"/>
      <c r="GC168" s="1576"/>
      <c r="GD168" s="1576"/>
      <c r="GE168" s="1576"/>
      <c r="GF168" s="1576"/>
      <c r="GG168" s="1576"/>
      <c r="GH168" s="1576"/>
      <c r="GI168" s="1576"/>
      <c r="GJ168" s="1576"/>
      <c r="GK168" s="1576"/>
      <c r="GL168" s="1576"/>
      <c r="GM168" s="1576"/>
      <c r="GN168" s="1576"/>
      <c r="GO168" s="1576"/>
      <c r="GP168" s="1576"/>
      <c r="GQ168" s="1576"/>
      <c r="GR168" s="1576"/>
      <c r="GS168" s="1576"/>
      <c r="GT168" s="1576"/>
      <c r="GU168" s="1576"/>
      <c r="GV168" s="1576"/>
      <c r="GW168" s="1576"/>
      <c r="GX168" s="1576"/>
      <c r="GY168" s="1576"/>
      <c r="GZ168" s="1576"/>
      <c r="HA168" s="1576"/>
      <c r="HB168" s="1576"/>
      <c r="HC168" s="1576"/>
      <c r="HD168" s="1576"/>
      <c r="HE168" s="1576"/>
      <c r="HF168" s="1576"/>
      <c r="HG168" s="1576"/>
      <c r="HH168" s="1576"/>
      <c r="HI168" s="1576"/>
      <c r="HJ168" s="1576"/>
      <c r="HK168" s="1576"/>
      <c r="HL168" s="1576"/>
      <c r="HM168" s="1576"/>
      <c r="HN168" s="1576"/>
      <c r="HO168" s="1576"/>
      <c r="HP168" s="1576"/>
      <c r="HQ168" s="1576"/>
      <c r="HR168" s="1576"/>
      <c r="HS168" s="1576"/>
      <c r="HT168" s="1576"/>
      <c r="HU168" s="1576"/>
      <c r="HV168" s="1576"/>
      <c r="HW168" s="1576"/>
      <c r="HX168" s="1576"/>
      <c r="HY168" s="1576"/>
      <c r="HZ168" s="1576"/>
      <c r="IA168" s="1576"/>
      <c r="IB168" s="1576"/>
      <c r="IC168" s="1576"/>
      <c r="ID168" s="1576"/>
      <c r="IE168" s="1576"/>
      <c r="IF168" s="1576"/>
      <c r="IG168" s="1576"/>
      <c r="IH168" s="1576"/>
      <c r="II168" s="1576"/>
      <c r="IJ168" s="1576"/>
      <c r="IK168" s="1576"/>
      <c r="IL168" s="1576"/>
      <c r="IM168" s="1576"/>
      <c r="IN168" s="1576"/>
      <c r="IO168" s="1576"/>
      <c r="IP168" s="1576"/>
      <c r="IQ168" s="1576"/>
      <c r="IR168" s="1576"/>
      <c r="IS168" s="1576"/>
      <c r="IT168" s="1576"/>
      <c r="IU168" s="1576"/>
      <c r="IV168" s="1576"/>
      <c r="IW168" s="1576"/>
      <c r="IX168" s="1576"/>
      <c r="IY168" s="1576"/>
      <c r="IZ168" s="1576"/>
      <c r="JA168" s="2054"/>
      <c r="JB168" s="2054"/>
      <c r="JC168" s="2054"/>
      <c r="JD168" s="2054"/>
      <c r="JE168" s="2054"/>
      <c r="JF168" s="2054"/>
      <c r="JG168" s="2054"/>
      <c r="JH168" s="2054"/>
      <c r="JI168" s="2054"/>
      <c r="JJ168" s="2054"/>
      <c r="JK168" s="2054"/>
      <c r="JL168" s="2054"/>
      <c r="JM168" s="2054"/>
      <c r="JN168" s="2054"/>
      <c r="JO168" s="2054"/>
      <c r="JP168" s="2054"/>
      <c r="JQ168" s="2054"/>
      <c r="JR168" s="1576"/>
      <c r="JS168" s="1576"/>
      <c r="JT168" s="1576"/>
      <c r="JU168" s="1576"/>
      <c r="JV168" s="1576"/>
      <c r="JW168" s="1576"/>
      <c r="JX168" s="1576"/>
      <c r="JY168" s="1576"/>
      <c r="JZ168" s="1576"/>
      <c r="KA168" s="1576"/>
      <c r="KB168" s="1576"/>
      <c r="KC168" s="1576"/>
      <c r="KD168" s="1576"/>
      <c r="KE168" s="1576"/>
      <c r="KF168" s="1576"/>
      <c r="KG168" s="1576"/>
      <c r="KH168" s="1576"/>
      <c r="KI168" s="1576"/>
      <c r="KJ168" s="1576"/>
      <c r="KK168" s="1576"/>
      <c r="KL168" s="1576"/>
      <c r="KM168" s="1576"/>
      <c r="KN168" s="1576"/>
      <c r="KO168" s="1576"/>
      <c r="KP168" s="1576"/>
      <c r="KQ168" s="1576"/>
      <c r="KR168" s="1576"/>
      <c r="KS168" s="1576"/>
      <c r="KT168" s="1576"/>
      <c r="KU168" s="1576"/>
      <c r="KV168" s="1576"/>
      <c r="KW168" s="1576"/>
      <c r="KX168" s="1576"/>
      <c r="KY168" s="1576"/>
      <c r="KZ168" s="1576"/>
      <c r="LA168" s="1576"/>
      <c r="LB168" s="1576"/>
      <c r="LC168" s="1576"/>
      <c r="LD168" s="1576"/>
      <c r="LE168" s="1576"/>
      <c r="LF168" s="1576"/>
      <c r="LG168" s="1576"/>
      <c r="LH168" s="1576"/>
      <c r="LI168" s="1576"/>
      <c r="LJ168" s="1576"/>
      <c r="LK168" s="1576"/>
      <c r="LL168" s="1576"/>
      <c r="LM168" s="1576"/>
      <c r="LN168" s="1576"/>
      <c r="LO168" s="1576"/>
      <c r="LP168" s="1576"/>
      <c r="LQ168" s="1576"/>
      <c r="LR168" s="1576"/>
      <c r="LS168" s="1576"/>
      <c r="LT168" s="1576"/>
      <c r="LU168" s="1576"/>
      <c r="LV168" s="1576"/>
      <c r="LW168" s="1576"/>
      <c r="LX168" s="1576"/>
      <c r="LY168" s="1576"/>
      <c r="LZ168" s="1576"/>
      <c r="MA168" s="1576"/>
      <c r="MB168" s="1576"/>
      <c r="MC168" s="1576"/>
      <c r="MD168" s="1576"/>
      <c r="ME168" s="1576"/>
      <c r="MF168" s="1576"/>
      <c r="MG168" s="1576"/>
      <c r="MH168" s="1576"/>
      <c r="MI168" s="1576"/>
      <c r="MJ168" s="1576"/>
      <c r="MK168" s="1576"/>
      <c r="ML168" s="1576"/>
      <c r="MM168" s="1576"/>
      <c r="MN168" s="1576"/>
      <c r="MO168" s="1576"/>
      <c r="MP168" s="1576"/>
      <c r="MQ168" s="1576"/>
      <c r="MR168" s="1576"/>
      <c r="MS168" s="1576"/>
      <c r="MT168" s="1576"/>
      <c r="MU168" s="1576"/>
      <c r="MV168" s="1576"/>
      <c r="MW168" s="1576"/>
      <c r="MX168" s="1576"/>
      <c r="MY168" s="1576"/>
      <c r="MZ168" s="1576"/>
      <c r="NA168" s="1576"/>
      <c r="NB168" s="1576"/>
      <c r="NC168" s="1576"/>
      <c r="ND168" s="1576"/>
      <c r="NE168" s="1576"/>
      <c r="NF168" s="1576"/>
      <c r="NG168" s="1576"/>
      <c r="NH168" s="1576"/>
      <c r="NI168" s="1576"/>
      <c r="NJ168" s="1576"/>
      <c r="NK168" s="1576"/>
      <c r="NL168" s="1576"/>
      <c r="NM168" s="1576"/>
      <c r="NN168" s="1576"/>
      <c r="NO168" s="1576"/>
      <c r="NP168" s="1576"/>
      <c r="NQ168" s="1576"/>
      <c r="NR168" s="1576"/>
      <c r="NS168" s="1576"/>
      <c r="NT168" s="1576"/>
      <c r="NU168" s="1576"/>
      <c r="NV168" s="1576"/>
      <c r="NW168" s="1576"/>
      <c r="NX168" s="1576"/>
      <c r="NY168" s="1576"/>
      <c r="NZ168" s="1576"/>
      <c r="OA168" s="1576"/>
      <c r="OB168" s="1576"/>
      <c r="OC168" s="1576"/>
      <c r="OD168" s="1576"/>
      <c r="OE168" s="1576"/>
      <c r="OF168" s="1576"/>
      <c r="OG168" s="1576"/>
      <c r="OH168" s="1576"/>
      <c r="OI168" s="1576"/>
      <c r="OJ168" s="1576"/>
      <c r="OK168" s="1576"/>
      <c r="OL168" s="1576"/>
      <c r="OM168" s="1576"/>
      <c r="ON168" s="1576"/>
      <c r="OO168" s="1576"/>
      <c r="OP168" s="1576"/>
      <c r="OQ168" s="1576"/>
      <c r="OR168" s="1576"/>
      <c r="OS168" s="1576"/>
      <c r="OT168" s="1576"/>
      <c r="OU168" s="1576"/>
      <c r="OV168" s="1576"/>
      <c r="OW168" s="1576"/>
      <c r="OX168" s="1576"/>
      <c r="OY168" s="1576"/>
      <c r="OZ168" s="1576"/>
      <c r="PA168" s="1576"/>
      <c r="PB168" s="1576"/>
      <c r="PC168" s="1576"/>
      <c r="PD168" s="1576"/>
      <c r="PE168" s="1576"/>
      <c r="PF168" s="1576"/>
      <c r="PG168" s="1576"/>
      <c r="PH168" s="1576"/>
      <c r="PI168" s="1576"/>
      <c r="PJ168" s="1576"/>
      <c r="PK168" s="1576"/>
      <c r="PL168" s="1576"/>
      <c r="PM168" s="1576"/>
      <c r="PN168" s="1576"/>
      <c r="PO168" s="1576"/>
      <c r="PP168" s="1576"/>
      <c r="PQ168" s="1576"/>
      <c r="PR168" s="1576"/>
      <c r="PS168" s="1576"/>
      <c r="PT168" s="1576"/>
      <c r="PU168" s="1576"/>
      <c r="PV168" s="1576"/>
      <c r="PW168" s="1576"/>
      <c r="PX168" s="1576"/>
      <c r="PY168" s="1576"/>
      <c r="PZ168" s="1576"/>
      <c r="QA168" s="1576"/>
      <c r="QB168" s="1576"/>
      <c r="QC168" s="1576"/>
      <c r="QD168" s="1576"/>
      <c r="QE168" s="1576"/>
      <c r="QF168" s="1576"/>
      <c r="QG168" s="1576"/>
      <c r="QH168" s="1576"/>
      <c r="QI168" s="1576"/>
      <c r="QJ168" s="1576"/>
      <c r="QK168" s="1576"/>
      <c r="QL168" s="1576"/>
      <c r="QM168" s="1576"/>
      <c r="QN168" s="1576"/>
      <c r="QO168" s="1576"/>
      <c r="QP168" s="1576"/>
      <c r="QQ168" s="1576"/>
      <c r="QR168" s="1576"/>
      <c r="QS168" s="1576"/>
      <c r="QT168" s="1576"/>
      <c r="QU168" s="1576"/>
      <c r="QV168" s="1576"/>
      <c r="QW168" s="1576"/>
      <c r="QX168" s="1576"/>
      <c r="QY168" s="1576"/>
      <c r="QZ168" s="1576"/>
      <c r="RA168" s="1576"/>
      <c r="RB168" s="1576"/>
      <c r="RC168" s="1576"/>
      <c r="RD168" s="1576"/>
      <c r="RE168" s="1576"/>
      <c r="RF168" s="1576"/>
      <c r="RG168" s="1576"/>
      <c r="RH168" s="1576"/>
      <c r="RI168" s="1576"/>
      <c r="RJ168" s="1576"/>
      <c r="RK168" s="1576"/>
      <c r="RL168" s="1576"/>
      <c r="RM168" s="1576"/>
      <c r="RN168" s="1576"/>
      <c r="RO168" s="1576"/>
      <c r="RP168" s="1576"/>
      <c r="RQ168" s="1576"/>
      <c r="RR168" s="1576"/>
      <c r="RS168" s="1576"/>
      <c r="RT168" s="1576"/>
      <c r="RU168" s="1576"/>
      <c r="RV168" s="1576"/>
      <c r="RW168" s="1576"/>
      <c r="RX168" s="1576"/>
      <c r="RY168" s="1576"/>
      <c r="RZ168" s="1576"/>
      <c r="SA168" s="1576"/>
      <c r="SB168" s="1576"/>
      <c r="SC168" s="1576"/>
      <c r="SD168" s="1576"/>
      <c r="SE168" s="1576"/>
      <c r="SF168" s="1576"/>
      <c r="SG168" s="1576"/>
      <c r="SH168" s="1576"/>
      <c r="SI168" s="1576"/>
      <c r="SJ168" s="1576"/>
      <c r="SK168" s="1576"/>
      <c r="SL168" s="1576"/>
      <c r="SM168" s="1576"/>
      <c r="SN168" s="1576"/>
      <c r="SO168" s="1576"/>
      <c r="SP168" s="1576"/>
      <c r="SQ168" s="1576"/>
      <c r="SR168" s="1576"/>
      <c r="SS168" s="1576"/>
      <c r="ST168" s="1576"/>
      <c r="SU168" s="1576"/>
      <c r="SV168" s="1576"/>
      <c r="SW168" s="1576"/>
      <c r="SX168" s="1576"/>
      <c r="SY168" s="1576"/>
      <c r="SZ168" s="1576"/>
      <c r="TA168" s="1576"/>
      <c r="TB168" s="1576"/>
      <c r="TC168" s="1576"/>
      <c r="TD168" s="1576"/>
      <c r="TE168" s="1576"/>
      <c r="TF168" s="1576"/>
      <c r="TG168" s="1576"/>
      <c r="TH168" s="1576"/>
      <c r="TI168" s="1576"/>
      <c r="TJ168" s="1576"/>
      <c r="TK168" s="1576"/>
      <c r="TL168" s="1576"/>
      <c r="TM168" s="1576"/>
      <c r="TN168" s="1576"/>
      <c r="TO168" s="1576"/>
      <c r="TP168" s="1576"/>
      <c r="TQ168" s="1576"/>
      <c r="TR168" s="1576"/>
      <c r="TS168" s="1576"/>
      <c r="TT168" s="1576"/>
      <c r="TU168" s="1576"/>
      <c r="TV168" s="1576"/>
      <c r="TW168" s="1576"/>
      <c r="TX168" s="1576"/>
      <c r="TY168" s="1576"/>
      <c r="TZ168" s="1576"/>
      <c r="UA168" s="1576"/>
      <c r="UB168" s="1576"/>
      <c r="UC168" s="1576"/>
      <c r="UD168" s="1576"/>
      <c r="UE168" s="1576"/>
      <c r="UF168" s="1576"/>
      <c r="UG168" s="1576"/>
      <c r="UH168" s="1576"/>
      <c r="UI168" s="1576"/>
      <c r="UJ168" s="1576"/>
      <c r="UK168" s="1576"/>
      <c r="UL168" s="1576"/>
      <c r="UM168" s="1576"/>
      <c r="UN168" s="1576"/>
      <c r="UO168" s="1576"/>
      <c r="UP168" s="1576"/>
      <c r="UQ168" s="1576"/>
      <c r="UR168" s="1576"/>
      <c r="US168" s="1576"/>
      <c r="UT168" s="1576"/>
      <c r="UU168" s="1576"/>
      <c r="UV168" s="1576"/>
      <c r="UW168" s="1576"/>
      <c r="UX168" s="1576"/>
      <c r="UY168" s="1576"/>
      <c r="UZ168" s="1576"/>
      <c r="VA168" s="1576"/>
      <c r="VB168" s="1576"/>
      <c r="VC168" s="1576"/>
      <c r="VD168" s="1576"/>
      <c r="VE168" s="1576"/>
      <c r="VF168" s="1576"/>
      <c r="VG168" s="1576"/>
      <c r="VH168" s="1576"/>
      <c r="VI168" s="1576"/>
      <c r="VJ168" s="1576"/>
      <c r="VK168" s="1576"/>
    </row>
    <row r="169" spans="1:583" x14ac:dyDescent="0.25">
      <c r="B169" s="1610" t="s">
        <v>2867</v>
      </c>
      <c r="C169" s="1582" t="s">
        <v>2871</v>
      </c>
      <c r="D169" s="4711"/>
      <c r="E169" s="4711"/>
      <c r="F169" s="1912"/>
      <c r="G169" s="1912"/>
      <c r="H169" s="1912"/>
      <c r="I169" s="1576"/>
      <c r="J169" s="1576"/>
      <c r="K169" s="1576"/>
      <c r="L169" s="1576"/>
      <c r="M169" s="1576"/>
      <c r="N169" s="1576"/>
      <c r="O169" s="1576"/>
      <c r="P169" s="1576"/>
      <c r="Q169" s="1576"/>
      <c r="R169" s="1576"/>
      <c r="S169" s="1576"/>
      <c r="T169" s="1576"/>
      <c r="U169" s="1576"/>
      <c r="V169" s="1576"/>
      <c r="W169" s="1576"/>
      <c r="X169" s="1576"/>
      <c r="Y169" s="1576"/>
      <c r="Z169" s="1576"/>
      <c r="AA169" s="1576"/>
      <c r="AB169" s="1576"/>
      <c r="AC169" s="1576"/>
      <c r="AD169" s="1576"/>
      <c r="AE169" s="1576"/>
      <c r="AF169" s="1576"/>
      <c r="AG169" s="1576"/>
      <c r="AH169" s="1576"/>
      <c r="AI169" s="1576"/>
      <c r="AJ169" s="1576"/>
      <c r="AK169" s="1576"/>
      <c r="AL169" s="1576"/>
      <c r="AM169" s="1576"/>
      <c r="AN169" s="1576"/>
      <c r="AO169" s="1576"/>
      <c r="AP169" s="1576"/>
      <c r="AQ169" s="1576"/>
      <c r="AR169" s="1576"/>
      <c r="AS169" s="1576"/>
      <c r="AT169" s="1576"/>
      <c r="AU169" s="1576"/>
      <c r="AV169" s="1576"/>
      <c r="AW169" s="1576"/>
      <c r="AX169" s="1576"/>
      <c r="AY169" s="1576"/>
      <c r="AZ169" s="1576"/>
      <c r="BA169" s="1576"/>
      <c r="BB169" s="1576"/>
      <c r="BC169" s="1576"/>
      <c r="BD169" s="1576"/>
      <c r="BE169" s="1576"/>
      <c r="BF169" s="1576"/>
      <c r="BG169" s="1576"/>
      <c r="BH169" s="1576"/>
      <c r="BI169" s="1576"/>
      <c r="BJ169" s="1576"/>
      <c r="BK169" s="1576"/>
      <c r="BL169" s="1576"/>
      <c r="BM169" s="1576"/>
      <c r="BN169" s="1576"/>
      <c r="BO169" s="1576"/>
      <c r="BP169" s="1576"/>
      <c r="BQ169" s="1576"/>
      <c r="BR169" s="1576"/>
      <c r="BS169" s="1576"/>
      <c r="BT169" s="1576"/>
      <c r="BU169" s="1576"/>
      <c r="BV169" s="1576"/>
      <c r="BW169" s="1576"/>
      <c r="BX169" s="1576"/>
      <c r="BY169" s="1576"/>
      <c r="BZ169" s="1576"/>
      <c r="CA169" s="1576"/>
      <c r="CB169" s="1576"/>
      <c r="CC169" s="1576"/>
      <c r="CD169" s="1576"/>
      <c r="CE169" s="1576"/>
      <c r="CF169" s="1576"/>
      <c r="CG169" s="1576"/>
      <c r="CH169" s="1576"/>
      <c r="CI169" s="1576"/>
      <c r="CJ169" s="1576"/>
      <c r="CK169" s="1576"/>
      <c r="CL169" s="1576"/>
      <c r="CM169" s="1576"/>
      <c r="CN169" s="1576"/>
      <c r="CO169" s="1576"/>
      <c r="CP169" s="1576"/>
      <c r="CQ169" s="1576"/>
      <c r="CR169" s="1576"/>
      <c r="CS169" s="1576"/>
      <c r="CT169" s="1576"/>
      <c r="CU169" s="1576"/>
      <c r="CV169" s="1576"/>
      <c r="CW169" s="1576"/>
      <c r="CX169" s="1576"/>
      <c r="CY169" s="1576"/>
      <c r="CZ169" s="1576"/>
      <c r="DA169" s="1576"/>
      <c r="DB169" s="1576"/>
      <c r="DC169" s="1576"/>
      <c r="DD169" s="1576"/>
      <c r="DE169" s="1576"/>
      <c r="DF169" s="1576"/>
      <c r="DG169" s="1576"/>
      <c r="DH169" s="1576"/>
      <c r="DI169" s="1576"/>
      <c r="DJ169" s="1576"/>
      <c r="DK169" s="1576"/>
      <c r="DL169" s="1576"/>
      <c r="DM169" s="1576"/>
      <c r="DN169" s="1576"/>
      <c r="DO169" s="1576"/>
      <c r="DP169" s="1576"/>
      <c r="DQ169" s="1576"/>
      <c r="DR169" s="1576"/>
      <c r="DS169" s="1576"/>
      <c r="DT169" s="1576"/>
      <c r="DU169" s="1576"/>
      <c r="DV169" s="1576"/>
      <c r="DW169" s="1576"/>
      <c r="DX169" s="1576"/>
      <c r="DY169" s="1576"/>
      <c r="DZ169" s="1576"/>
      <c r="EA169" s="1576"/>
      <c r="EB169" s="1576"/>
      <c r="EC169" s="1576"/>
      <c r="ED169" s="1576"/>
      <c r="EE169" s="1576"/>
      <c r="EF169" s="1576"/>
      <c r="EG169" s="1576"/>
      <c r="EH169" s="1576"/>
      <c r="EI169" s="1576"/>
      <c r="EJ169" s="1576"/>
      <c r="EK169" s="1576"/>
      <c r="EL169" s="1576"/>
      <c r="EM169" s="1576"/>
      <c r="EN169" s="1576"/>
      <c r="EO169" s="1576"/>
      <c r="EP169" s="1576"/>
      <c r="EQ169" s="1576"/>
      <c r="ER169" s="1576"/>
      <c r="ES169" s="1576"/>
      <c r="ET169" s="1576"/>
      <c r="EU169" s="1576"/>
      <c r="EV169" s="1576"/>
      <c r="EW169" s="1576"/>
      <c r="EX169" s="1576"/>
      <c r="EY169" s="1576"/>
      <c r="EZ169" s="1576"/>
      <c r="FA169" s="1576"/>
      <c r="FB169" s="1576"/>
      <c r="FC169" s="1576"/>
      <c r="FD169" s="1576"/>
      <c r="FE169" s="1576"/>
      <c r="FF169" s="1576"/>
      <c r="FG169" s="1576"/>
      <c r="FH169" s="1576"/>
      <c r="FI169" s="1576"/>
      <c r="FJ169" s="1576"/>
      <c r="FK169" s="1576"/>
      <c r="FL169" s="1576"/>
      <c r="FM169" s="1576"/>
      <c r="FN169" s="1576"/>
      <c r="FO169" s="1576"/>
      <c r="FP169" s="1576"/>
      <c r="FQ169" s="1576"/>
      <c r="FR169" s="1576"/>
      <c r="FS169" s="1576"/>
      <c r="FT169" s="1576"/>
      <c r="FU169" s="1576"/>
      <c r="FV169" s="1576"/>
      <c r="FW169" s="1576"/>
      <c r="FX169" s="1576"/>
      <c r="FY169" s="1576"/>
      <c r="FZ169" s="1576"/>
      <c r="GA169" s="1576"/>
      <c r="GB169" s="1576"/>
      <c r="GC169" s="1576"/>
      <c r="GD169" s="1576"/>
      <c r="GE169" s="1576"/>
      <c r="GF169" s="1576"/>
      <c r="GG169" s="1576"/>
      <c r="GH169" s="1576"/>
      <c r="GI169" s="1576"/>
      <c r="GJ169" s="1576"/>
      <c r="GK169" s="1576"/>
      <c r="GL169" s="1576"/>
      <c r="GM169" s="1576"/>
      <c r="GN169" s="1576"/>
      <c r="GO169" s="1576"/>
      <c r="GP169" s="1576"/>
      <c r="GQ169" s="1576"/>
      <c r="GR169" s="1576"/>
      <c r="GS169" s="1576"/>
      <c r="GT169" s="1576"/>
      <c r="GU169" s="1576"/>
      <c r="GV169" s="1576"/>
      <c r="GW169" s="1576"/>
      <c r="GX169" s="1576"/>
      <c r="GY169" s="1576"/>
      <c r="GZ169" s="1576"/>
      <c r="HA169" s="1576"/>
      <c r="HB169" s="1576"/>
      <c r="HC169" s="1576"/>
      <c r="HD169" s="1576"/>
      <c r="HE169" s="1576"/>
      <c r="HF169" s="1576"/>
      <c r="HG169" s="1576"/>
      <c r="HH169" s="1576"/>
      <c r="HI169" s="1576"/>
      <c r="HJ169" s="1576"/>
      <c r="HK169" s="1576"/>
      <c r="HL169" s="1576"/>
      <c r="HM169" s="1576"/>
      <c r="HN169" s="1576"/>
      <c r="HO169" s="1576"/>
      <c r="HP169" s="1576"/>
      <c r="HQ169" s="1576"/>
      <c r="HR169" s="1576"/>
      <c r="HS169" s="1576"/>
      <c r="HT169" s="1576"/>
      <c r="HU169" s="1576"/>
      <c r="HV169" s="1576"/>
      <c r="HW169" s="1576"/>
      <c r="HX169" s="1576"/>
      <c r="HY169" s="1576"/>
      <c r="HZ169" s="1576"/>
      <c r="IA169" s="1576"/>
      <c r="IB169" s="1576"/>
      <c r="IC169" s="1576"/>
      <c r="ID169" s="1576"/>
      <c r="IE169" s="1576"/>
      <c r="IF169" s="1576"/>
      <c r="IG169" s="1576"/>
      <c r="IH169" s="1576"/>
      <c r="II169" s="1576"/>
      <c r="IJ169" s="1576"/>
      <c r="IK169" s="1576"/>
      <c r="IL169" s="1576"/>
      <c r="IM169" s="1576"/>
      <c r="IN169" s="1576"/>
      <c r="IO169" s="1576"/>
      <c r="IP169" s="1576"/>
      <c r="IQ169" s="1576"/>
      <c r="IR169" s="1576"/>
      <c r="IS169" s="1576"/>
      <c r="IT169" s="1576"/>
      <c r="IU169" s="1576"/>
      <c r="IV169" s="1576"/>
      <c r="IW169" s="1576"/>
      <c r="IX169" s="1576"/>
      <c r="IY169" s="1576"/>
      <c r="IZ169" s="1576"/>
      <c r="JA169" s="2054"/>
      <c r="JB169" s="2054"/>
      <c r="JC169" s="2054"/>
      <c r="JD169" s="2054"/>
      <c r="JE169" s="2054"/>
      <c r="JF169" s="2054"/>
      <c r="JG169" s="2054"/>
      <c r="JH169" s="2054"/>
      <c r="JI169" s="2054"/>
      <c r="JJ169" s="2054"/>
      <c r="JK169" s="2054"/>
      <c r="JL169" s="2054"/>
      <c r="JM169" s="2054"/>
      <c r="JN169" s="2054"/>
      <c r="JO169" s="2054"/>
      <c r="JP169" s="2054"/>
      <c r="JQ169" s="2054"/>
      <c r="JR169" s="1576"/>
      <c r="JS169" s="1576"/>
      <c r="JT169" s="1576"/>
      <c r="JU169" s="1576"/>
      <c r="JV169" s="1576"/>
      <c r="JW169" s="1576"/>
      <c r="JX169" s="1576"/>
      <c r="JY169" s="1576"/>
      <c r="JZ169" s="1576"/>
      <c r="KA169" s="1576"/>
      <c r="KB169" s="1576"/>
      <c r="KC169" s="1576"/>
      <c r="KD169" s="1576"/>
      <c r="KE169" s="1576"/>
      <c r="KF169" s="1576"/>
      <c r="KG169" s="1576"/>
      <c r="KH169" s="1576"/>
      <c r="KI169" s="1576"/>
      <c r="KJ169" s="1576"/>
      <c r="KK169" s="1576"/>
      <c r="KL169" s="1576"/>
      <c r="KM169" s="1576"/>
      <c r="KN169" s="1576"/>
      <c r="KO169" s="1576"/>
      <c r="KP169" s="1576"/>
      <c r="KQ169" s="1576"/>
      <c r="KR169" s="1576"/>
      <c r="KS169" s="1576"/>
      <c r="KT169" s="1576"/>
      <c r="KU169" s="1576"/>
      <c r="KV169" s="1576"/>
      <c r="KW169" s="1576"/>
      <c r="KX169" s="1576"/>
      <c r="KY169" s="1576"/>
      <c r="KZ169" s="1576"/>
      <c r="LA169" s="1576"/>
      <c r="LB169" s="1576"/>
      <c r="LC169" s="1576"/>
      <c r="LD169" s="1576"/>
      <c r="LE169" s="1576"/>
      <c r="LF169" s="1576"/>
      <c r="LG169" s="1576"/>
      <c r="LH169" s="1576"/>
      <c r="LI169" s="1576"/>
      <c r="LJ169" s="1576"/>
      <c r="LK169" s="1576"/>
      <c r="LL169" s="1576"/>
      <c r="LM169" s="1576"/>
      <c r="LN169" s="1576"/>
      <c r="LO169" s="1576"/>
      <c r="LP169" s="1576"/>
      <c r="LQ169" s="1576"/>
      <c r="LR169" s="1576"/>
      <c r="LS169" s="1576"/>
      <c r="LT169" s="1576"/>
      <c r="LU169" s="1576"/>
      <c r="LV169" s="1576"/>
      <c r="LW169" s="1576"/>
      <c r="LX169" s="1576"/>
      <c r="LY169" s="1576"/>
      <c r="LZ169" s="1576"/>
      <c r="MA169" s="1576"/>
      <c r="MB169" s="1576"/>
      <c r="MC169" s="1576"/>
      <c r="MD169" s="1576"/>
      <c r="ME169" s="1576"/>
      <c r="MF169" s="1576"/>
      <c r="MG169" s="1576"/>
      <c r="MH169" s="1576"/>
      <c r="MI169" s="1576"/>
      <c r="MJ169" s="1576"/>
      <c r="MK169" s="1576"/>
      <c r="ML169" s="1576"/>
      <c r="MM169" s="1576"/>
      <c r="MN169" s="1576"/>
      <c r="MO169" s="1576"/>
      <c r="MP169" s="1576"/>
      <c r="MQ169" s="1576"/>
      <c r="MR169" s="1576"/>
      <c r="MS169" s="1576"/>
      <c r="MT169" s="1576"/>
      <c r="MU169" s="1576"/>
      <c r="MV169" s="1576"/>
      <c r="MW169" s="1576"/>
      <c r="MX169" s="1576"/>
      <c r="MY169" s="1576"/>
      <c r="MZ169" s="1576"/>
      <c r="NA169" s="1576"/>
      <c r="NB169" s="1576"/>
      <c r="NC169" s="1576"/>
      <c r="ND169" s="1576"/>
      <c r="NE169" s="1576"/>
      <c r="NF169" s="1576"/>
      <c r="NG169" s="1576"/>
      <c r="NH169" s="1576"/>
      <c r="NI169" s="1576"/>
      <c r="NJ169" s="1576"/>
      <c r="NK169" s="1576"/>
      <c r="NL169" s="1576"/>
      <c r="NM169" s="1576"/>
      <c r="NN169" s="1576"/>
      <c r="NO169" s="1576"/>
      <c r="NP169" s="1576"/>
      <c r="NQ169" s="1576"/>
      <c r="NR169" s="1576"/>
      <c r="NS169" s="1576"/>
      <c r="NT169" s="1576"/>
      <c r="NU169" s="1576"/>
      <c r="NV169" s="1576"/>
      <c r="NW169" s="1576"/>
      <c r="NX169" s="1576"/>
      <c r="NY169" s="1576"/>
      <c r="NZ169" s="1576"/>
      <c r="OA169" s="1576"/>
      <c r="OB169" s="1576"/>
      <c r="OC169" s="1576"/>
      <c r="OD169" s="1576"/>
      <c r="OE169" s="1576"/>
      <c r="OF169" s="1576"/>
      <c r="OG169" s="1576"/>
      <c r="OH169" s="1576"/>
      <c r="OI169" s="1576"/>
      <c r="OJ169" s="1576"/>
      <c r="OK169" s="1576"/>
      <c r="OL169" s="1576"/>
      <c r="OM169" s="1576"/>
      <c r="ON169" s="1576"/>
      <c r="OO169" s="1576"/>
      <c r="OP169" s="1576"/>
      <c r="OQ169" s="1576"/>
      <c r="OR169" s="1576"/>
      <c r="OS169" s="1576"/>
      <c r="OT169" s="1576"/>
      <c r="OU169" s="1576"/>
      <c r="OV169" s="1576"/>
      <c r="OW169" s="1576"/>
      <c r="OX169" s="1576"/>
      <c r="OY169" s="1576"/>
      <c r="OZ169" s="1576"/>
      <c r="PA169" s="1576"/>
      <c r="PB169" s="1576"/>
      <c r="PC169" s="1576"/>
      <c r="PD169" s="1576"/>
      <c r="PE169" s="1576"/>
      <c r="PF169" s="1576"/>
      <c r="PG169" s="1576"/>
      <c r="PH169" s="1576"/>
      <c r="PI169" s="1576"/>
      <c r="PJ169" s="1576"/>
      <c r="PK169" s="1576"/>
      <c r="PL169" s="1576"/>
      <c r="PM169" s="1576"/>
      <c r="PN169" s="1576"/>
      <c r="PO169" s="1576"/>
      <c r="PP169" s="1576"/>
      <c r="PQ169" s="1576"/>
      <c r="PR169" s="1576"/>
      <c r="PS169" s="1576"/>
      <c r="PT169" s="1576"/>
      <c r="PU169" s="1576"/>
      <c r="PV169" s="1576"/>
      <c r="PW169" s="1576"/>
      <c r="PX169" s="1576"/>
      <c r="PY169" s="1576"/>
      <c r="PZ169" s="1576"/>
      <c r="QA169" s="1576"/>
      <c r="QB169" s="1576"/>
      <c r="QC169" s="1576"/>
      <c r="QD169" s="1576"/>
      <c r="QE169" s="1576"/>
      <c r="QF169" s="1576"/>
      <c r="QG169" s="1576"/>
      <c r="QH169" s="1576"/>
      <c r="QI169" s="1576"/>
      <c r="QJ169" s="1576"/>
      <c r="QK169" s="1576"/>
      <c r="QL169" s="1576"/>
      <c r="QM169" s="1576"/>
      <c r="QN169" s="1576"/>
      <c r="QO169" s="1576"/>
      <c r="QP169" s="1576"/>
      <c r="QQ169" s="1576"/>
      <c r="QR169" s="1576"/>
      <c r="QS169" s="1576"/>
      <c r="QT169" s="1576"/>
      <c r="QU169" s="1576"/>
      <c r="QV169" s="1576"/>
      <c r="QW169" s="1576"/>
      <c r="QX169" s="1576"/>
      <c r="QY169" s="1576"/>
      <c r="QZ169" s="1576"/>
      <c r="RA169" s="1576"/>
      <c r="RB169" s="1576"/>
      <c r="RC169" s="1576"/>
      <c r="RD169" s="1576"/>
      <c r="RE169" s="1576"/>
      <c r="RF169" s="1576"/>
      <c r="RG169" s="1576"/>
      <c r="RH169" s="1576"/>
      <c r="RI169" s="1576"/>
      <c r="RJ169" s="1576"/>
      <c r="RK169" s="1576"/>
      <c r="RL169" s="1576"/>
      <c r="RM169" s="1576"/>
      <c r="RN169" s="1576"/>
      <c r="RO169" s="1576"/>
      <c r="RP169" s="1576"/>
      <c r="RQ169" s="1576"/>
      <c r="RR169" s="1576"/>
      <c r="RS169" s="1576"/>
      <c r="RT169" s="1576"/>
      <c r="RU169" s="1576"/>
      <c r="RV169" s="1576"/>
      <c r="RW169" s="1576"/>
      <c r="RX169" s="1576"/>
      <c r="RY169" s="1576"/>
      <c r="RZ169" s="1576"/>
      <c r="SA169" s="1576"/>
      <c r="SB169" s="1576"/>
      <c r="SC169" s="1576"/>
      <c r="SD169" s="1576"/>
      <c r="SE169" s="1576"/>
      <c r="SF169" s="1576"/>
      <c r="SG169" s="1576"/>
      <c r="SH169" s="1576"/>
      <c r="SI169" s="1576"/>
      <c r="SJ169" s="1576"/>
      <c r="SK169" s="1576"/>
      <c r="SL169" s="1576"/>
      <c r="SM169" s="1576"/>
      <c r="SN169" s="1576"/>
      <c r="SO169" s="1576"/>
      <c r="SP169" s="1576"/>
      <c r="SQ169" s="1576"/>
      <c r="SR169" s="1576"/>
      <c r="SS169" s="1576"/>
      <c r="ST169" s="1576"/>
      <c r="SU169" s="1576"/>
      <c r="SV169" s="1576"/>
      <c r="SW169" s="1576"/>
      <c r="SX169" s="1576"/>
      <c r="SY169" s="1576"/>
      <c r="SZ169" s="1576"/>
      <c r="TA169" s="1576"/>
      <c r="TB169" s="1576"/>
      <c r="TC169" s="1576"/>
      <c r="TD169" s="1576"/>
      <c r="TE169" s="1576"/>
      <c r="TF169" s="1576"/>
      <c r="TG169" s="1576"/>
      <c r="TH169" s="1576"/>
      <c r="TI169" s="1576"/>
      <c r="TJ169" s="1576"/>
      <c r="TK169" s="1576"/>
      <c r="TL169" s="1576"/>
      <c r="TM169" s="1576"/>
      <c r="TN169" s="1576"/>
      <c r="TO169" s="1576"/>
      <c r="TP169" s="1576"/>
      <c r="TQ169" s="1576"/>
      <c r="TR169" s="1576"/>
      <c r="TS169" s="1576"/>
      <c r="TT169" s="1576"/>
      <c r="TU169" s="1576"/>
      <c r="TV169" s="1576"/>
      <c r="TW169" s="1576"/>
      <c r="TX169" s="1576"/>
      <c r="TY169" s="1576"/>
      <c r="TZ169" s="1576"/>
      <c r="UA169" s="1576"/>
      <c r="UB169" s="1576"/>
      <c r="UC169" s="1576"/>
      <c r="UD169" s="1576"/>
      <c r="UE169" s="1576"/>
      <c r="UF169" s="1576"/>
      <c r="UG169" s="1576"/>
      <c r="UH169" s="1576"/>
      <c r="UI169" s="1576"/>
      <c r="UJ169" s="1576"/>
      <c r="UK169" s="1576"/>
      <c r="UL169" s="1576"/>
      <c r="UM169" s="1576"/>
      <c r="UN169" s="1576"/>
      <c r="UO169" s="1576"/>
      <c r="UP169" s="1576"/>
      <c r="UQ169" s="1576"/>
      <c r="UR169" s="1576"/>
      <c r="US169" s="1576"/>
      <c r="UT169" s="1576"/>
      <c r="UU169" s="1576"/>
      <c r="UV169" s="1576"/>
      <c r="UW169" s="1576"/>
      <c r="UX169" s="1576"/>
      <c r="UY169" s="1576"/>
      <c r="UZ169" s="1576"/>
      <c r="VA169" s="1576"/>
      <c r="VB169" s="1576"/>
      <c r="VC169" s="1576"/>
      <c r="VD169" s="1576"/>
      <c r="VE169" s="1576"/>
      <c r="VF169" s="1576"/>
      <c r="VG169" s="1576"/>
      <c r="VH169" s="1576"/>
      <c r="VI169" s="1576"/>
      <c r="VJ169" s="1576"/>
      <c r="VK169" s="1576"/>
    </row>
    <row r="170" spans="1:583" ht="48" customHeight="1" x14ac:dyDescent="0.25">
      <c r="A170" s="691" t="s">
        <v>3833</v>
      </c>
      <c r="B170" s="1610" t="s">
        <v>2867</v>
      </c>
      <c r="C170" s="2062" t="s">
        <v>2961</v>
      </c>
      <c r="D170" s="1582" t="s">
        <v>2867</v>
      </c>
      <c r="E170" s="2062" t="s">
        <v>2961</v>
      </c>
      <c r="F170" s="2061">
        <f>SUM(F166:F169)</f>
        <v>0</v>
      </c>
      <c r="G170" s="2061">
        <f t="shared" ref="G170:BR170" si="246">SUM(G166:G169)</f>
        <v>0</v>
      </c>
      <c r="H170" s="2061">
        <f t="shared" si="246"/>
        <v>0</v>
      </c>
      <c r="I170" s="2061">
        <f t="shared" si="246"/>
        <v>0</v>
      </c>
      <c r="J170" s="2061">
        <f t="shared" si="246"/>
        <v>0</v>
      </c>
      <c r="K170" s="2061">
        <f t="shared" si="246"/>
        <v>0</v>
      </c>
      <c r="L170" s="2061">
        <f t="shared" si="246"/>
        <v>0</v>
      </c>
      <c r="M170" s="2061">
        <f t="shared" si="246"/>
        <v>0</v>
      </c>
      <c r="N170" s="2061">
        <f t="shared" si="246"/>
        <v>0</v>
      </c>
      <c r="O170" s="2061">
        <f t="shared" si="246"/>
        <v>0</v>
      </c>
      <c r="P170" s="2061">
        <f t="shared" si="246"/>
        <v>0</v>
      </c>
      <c r="Q170" s="2061">
        <f t="shared" si="246"/>
        <v>0</v>
      </c>
      <c r="R170" s="2061">
        <f t="shared" si="246"/>
        <v>0</v>
      </c>
      <c r="S170" s="2061">
        <f t="shared" si="246"/>
        <v>0</v>
      </c>
      <c r="T170" s="2061">
        <f t="shared" si="246"/>
        <v>0</v>
      </c>
      <c r="U170" s="2061">
        <f t="shared" si="246"/>
        <v>0</v>
      </c>
      <c r="V170" s="2061">
        <f t="shared" si="246"/>
        <v>0</v>
      </c>
      <c r="W170" s="2061">
        <f t="shared" si="246"/>
        <v>0</v>
      </c>
      <c r="X170" s="2061">
        <f t="shared" si="246"/>
        <v>0</v>
      </c>
      <c r="Y170" s="2061">
        <f t="shared" si="246"/>
        <v>0</v>
      </c>
      <c r="Z170" s="2061">
        <f t="shared" si="246"/>
        <v>0</v>
      </c>
      <c r="AA170" s="2061">
        <f t="shared" si="246"/>
        <v>0</v>
      </c>
      <c r="AB170" s="2061">
        <f t="shared" si="246"/>
        <v>0</v>
      </c>
      <c r="AC170" s="2061">
        <f t="shared" si="246"/>
        <v>0</v>
      </c>
      <c r="AD170" s="2061">
        <f t="shared" si="246"/>
        <v>0</v>
      </c>
      <c r="AE170" s="2061">
        <f t="shared" si="246"/>
        <v>0</v>
      </c>
      <c r="AF170" s="2061">
        <f t="shared" si="246"/>
        <v>0</v>
      </c>
      <c r="AG170" s="2061">
        <f t="shared" si="246"/>
        <v>0</v>
      </c>
      <c r="AH170" s="2061">
        <f t="shared" si="246"/>
        <v>0</v>
      </c>
      <c r="AI170" s="2061">
        <f t="shared" si="246"/>
        <v>0</v>
      </c>
      <c r="AJ170" s="2061">
        <f t="shared" si="246"/>
        <v>0</v>
      </c>
      <c r="AK170" s="2061">
        <f t="shared" si="246"/>
        <v>0</v>
      </c>
      <c r="AL170" s="2061">
        <f t="shared" si="246"/>
        <v>0</v>
      </c>
      <c r="AM170" s="2061">
        <f t="shared" si="246"/>
        <v>0</v>
      </c>
      <c r="AN170" s="2061">
        <f t="shared" si="246"/>
        <v>0</v>
      </c>
      <c r="AO170" s="2061">
        <f t="shared" si="246"/>
        <v>0</v>
      </c>
      <c r="AP170" s="2061">
        <f t="shared" si="246"/>
        <v>0</v>
      </c>
      <c r="AQ170" s="2061">
        <f t="shared" si="246"/>
        <v>0</v>
      </c>
      <c r="AR170" s="2061">
        <f t="shared" si="246"/>
        <v>0</v>
      </c>
      <c r="AS170" s="2061">
        <f t="shared" si="246"/>
        <v>0</v>
      </c>
      <c r="AT170" s="2061">
        <f t="shared" si="246"/>
        <v>0</v>
      </c>
      <c r="AU170" s="2061">
        <f t="shared" si="246"/>
        <v>0</v>
      </c>
      <c r="AV170" s="2061">
        <f t="shared" si="246"/>
        <v>0</v>
      </c>
      <c r="AW170" s="2061">
        <f t="shared" si="246"/>
        <v>0</v>
      </c>
      <c r="AX170" s="2061">
        <f t="shared" si="246"/>
        <v>0</v>
      </c>
      <c r="AY170" s="2061">
        <f t="shared" si="246"/>
        <v>0</v>
      </c>
      <c r="AZ170" s="2061">
        <f t="shared" si="246"/>
        <v>0</v>
      </c>
      <c r="BA170" s="2061">
        <f t="shared" si="246"/>
        <v>0</v>
      </c>
      <c r="BB170" s="2061">
        <f t="shared" si="246"/>
        <v>0</v>
      </c>
      <c r="BC170" s="2061">
        <f t="shared" si="246"/>
        <v>0</v>
      </c>
      <c r="BD170" s="2061">
        <f t="shared" si="246"/>
        <v>0</v>
      </c>
      <c r="BE170" s="2061">
        <f t="shared" si="246"/>
        <v>0</v>
      </c>
      <c r="BF170" s="2061">
        <f t="shared" si="246"/>
        <v>0</v>
      </c>
      <c r="BG170" s="2061">
        <f t="shared" si="246"/>
        <v>0</v>
      </c>
      <c r="BH170" s="2061">
        <f t="shared" si="246"/>
        <v>0</v>
      </c>
      <c r="BI170" s="2061">
        <f t="shared" si="246"/>
        <v>0</v>
      </c>
      <c r="BJ170" s="2061">
        <f t="shared" si="246"/>
        <v>0</v>
      </c>
      <c r="BK170" s="2061">
        <f t="shared" si="246"/>
        <v>0</v>
      </c>
      <c r="BL170" s="2061">
        <f t="shared" si="246"/>
        <v>0</v>
      </c>
      <c r="BM170" s="2061">
        <f t="shared" si="246"/>
        <v>0</v>
      </c>
      <c r="BN170" s="2061">
        <f t="shared" si="246"/>
        <v>0</v>
      </c>
      <c r="BO170" s="2061">
        <f t="shared" si="246"/>
        <v>0</v>
      </c>
      <c r="BP170" s="2061">
        <f t="shared" si="246"/>
        <v>0</v>
      </c>
      <c r="BQ170" s="2061">
        <f t="shared" si="246"/>
        <v>0</v>
      </c>
      <c r="BR170" s="2061">
        <f t="shared" si="246"/>
        <v>0</v>
      </c>
      <c r="BS170" s="2061">
        <f t="shared" ref="BS170:ED170" si="247">SUM(BS166:BS169)</f>
        <v>0</v>
      </c>
      <c r="BT170" s="2061">
        <f t="shared" si="247"/>
        <v>0</v>
      </c>
      <c r="BU170" s="2061">
        <f t="shared" si="247"/>
        <v>0</v>
      </c>
      <c r="BV170" s="2061">
        <f t="shared" si="247"/>
        <v>0</v>
      </c>
      <c r="BW170" s="2061">
        <f t="shared" si="247"/>
        <v>0</v>
      </c>
      <c r="BX170" s="2061">
        <f t="shared" si="247"/>
        <v>0</v>
      </c>
      <c r="BY170" s="2061">
        <f t="shared" si="247"/>
        <v>0</v>
      </c>
      <c r="BZ170" s="2061">
        <f t="shared" si="247"/>
        <v>0</v>
      </c>
      <c r="CA170" s="2061">
        <f t="shared" si="247"/>
        <v>0</v>
      </c>
      <c r="CB170" s="2061">
        <f t="shared" si="247"/>
        <v>0</v>
      </c>
      <c r="CC170" s="2061">
        <f t="shared" si="247"/>
        <v>0</v>
      </c>
      <c r="CD170" s="2061">
        <f t="shared" si="247"/>
        <v>0</v>
      </c>
      <c r="CE170" s="2061">
        <f t="shared" si="247"/>
        <v>0</v>
      </c>
      <c r="CF170" s="2061">
        <f t="shared" si="247"/>
        <v>0</v>
      </c>
      <c r="CG170" s="2061">
        <f t="shared" si="247"/>
        <v>0</v>
      </c>
      <c r="CH170" s="2061">
        <f t="shared" si="247"/>
        <v>0</v>
      </c>
      <c r="CI170" s="2061">
        <f t="shared" si="247"/>
        <v>0</v>
      </c>
      <c r="CJ170" s="2061">
        <f t="shared" si="247"/>
        <v>0</v>
      </c>
      <c r="CK170" s="2061">
        <f t="shared" si="247"/>
        <v>0</v>
      </c>
      <c r="CL170" s="2061">
        <f t="shared" si="247"/>
        <v>0</v>
      </c>
      <c r="CM170" s="2061">
        <f t="shared" si="247"/>
        <v>0</v>
      </c>
      <c r="CN170" s="2061">
        <f t="shared" si="247"/>
        <v>0</v>
      </c>
      <c r="CO170" s="2061">
        <f t="shared" si="247"/>
        <v>0</v>
      </c>
      <c r="CP170" s="2061">
        <f t="shared" si="247"/>
        <v>0</v>
      </c>
      <c r="CQ170" s="2061">
        <f t="shared" si="247"/>
        <v>0</v>
      </c>
      <c r="CR170" s="2061">
        <f t="shared" si="247"/>
        <v>0</v>
      </c>
      <c r="CS170" s="2061">
        <f t="shared" si="247"/>
        <v>0</v>
      </c>
      <c r="CT170" s="2061">
        <f t="shared" si="247"/>
        <v>0</v>
      </c>
      <c r="CU170" s="2061">
        <f t="shared" si="247"/>
        <v>0</v>
      </c>
      <c r="CV170" s="2061">
        <f t="shared" si="247"/>
        <v>0</v>
      </c>
      <c r="CW170" s="2061">
        <f t="shared" si="247"/>
        <v>0</v>
      </c>
      <c r="CX170" s="2061">
        <f t="shared" si="247"/>
        <v>0</v>
      </c>
      <c r="CY170" s="2061">
        <f t="shared" si="247"/>
        <v>0</v>
      </c>
      <c r="CZ170" s="2061">
        <f t="shared" si="247"/>
        <v>0</v>
      </c>
      <c r="DA170" s="2061">
        <f t="shared" si="247"/>
        <v>0</v>
      </c>
      <c r="DB170" s="2061">
        <f t="shared" si="247"/>
        <v>0</v>
      </c>
      <c r="DC170" s="2061">
        <f t="shared" si="247"/>
        <v>0</v>
      </c>
      <c r="DD170" s="2061">
        <f t="shared" si="247"/>
        <v>0</v>
      </c>
      <c r="DE170" s="2061">
        <f t="shared" si="247"/>
        <v>0</v>
      </c>
      <c r="DF170" s="2061">
        <f t="shared" si="247"/>
        <v>0</v>
      </c>
      <c r="DG170" s="2061">
        <f t="shared" si="247"/>
        <v>0</v>
      </c>
      <c r="DH170" s="2061">
        <f t="shared" si="247"/>
        <v>0</v>
      </c>
      <c r="DI170" s="2061">
        <f t="shared" si="247"/>
        <v>0</v>
      </c>
      <c r="DJ170" s="2061">
        <f t="shared" si="247"/>
        <v>0</v>
      </c>
      <c r="DK170" s="2061">
        <f t="shared" si="247"/>
        <v>0</v>
      </c>
      <c r="DL170" s="2061">
        <f t="shared" si="247"/>
        <v>0</v>
      </c>
      <c r="DM170" s="2061">
        <f t="shared" si="247"/>
        <v>0</v>
      </c>
      <c r="DN170" s="2061">
        <f t="shared" si="247"/>
        <v>0</v>
      </c>
      <c r="DO170" s="2061">
        <f t="shared" si="247"/>
        <v>0</v>
      </c>
      <c r="DP170" s="2061">
        <f t="shared" si="247"/>
        <v>0</v>
      </c>
      <c r="DQ170" s="2061">
        <f t="shared" si="247"/>
        <v>0</v>
      </c>
      <c r="DR170" s="2061">
        <f t="shared" si="247"/>
        <v>0</v>
      </c>
      <c r="DS170" s="2061">
        <f t="shared" si="247"/>
        <v>0</v>
      </c>
      <c r="DT170" s="2061">
        <f t="shared" si="247"/>
        <v>0</v>
      </c>
      <c r="DU170" s="2061">
        <f t="shared" si="247"/>
        <v>0</v>
      </c>
      <c r="DV170" s="2061">
        <f t="shared" si="247"/>
        <v>0</v>
      </c>
      <c r="DW170" s="2061">
        <f t="shared" si="247"/>
        <v>0</v>
      </c>
      <c r="DX170" s="2061">
        <f t="shared" si="247"/>
        <v>0</v>
      </c>
      <c r="DY170" s="2061">
        <f t="shared" si="247"/>
        <v>0</v>
      </c>
      <c r="DZ170" s="2061">
        <f t="shared" si="247"/>
        <v>0</v>
      </c>
      <c r="EA170" s="2061">
        <f t="shared" si="247"/>
        <v>0</v>
      </c>
      <c r="EB170" s="2061">
        <f t="shared" si="247"/>
        <v>0</v>
      </c>
      <c r="EC170" s="2061">
        <f t="shared" si="247"/>
        <v>0</v>
      </c>
      <c r="ED170" s="2061">
        <f t="shared" si="247"/>
        <v>0</v>
      </c>
      <c r="EE170" s="2061">
        <f t="shared" ref="EE170:GP170" si="248">SUM(EE166:EE169)</f>
        <v>0</v>
      </c>
      <c r="EF170" s="2061">
        <f t="shared" si="248"/>
        <v>0</v>
      </c>
      <c r="EG170" s="2061">
        <f t="shared" si="248"/>
        <v>0</v>
      </c>
      <c r="EH170" s="2061">
        <f t="shared" si="248"/>
        <v>0</v>
      </c>
      <c r="EI170" s="2061">
        <f t="shared" si="248"/>
        <v>0</v>
      </c>
      <c r="EJ170" s="2061">
        <f t="shared" si="248"/>
        <v>0</v>
      </c>
      <c r="EK170" s="2061">
        <f t="shared" si="248"/>
        <v>0</v>
      </c>
      <c r="EL170" s="2061">
        <f t="shared" si="248"/>
        <v>0</v>
      </c>
      <c r="EM170" s="2061">
        <f t="shared" si="248"/>
        <v>0</v>
      </c>
      <c r="EN170" s="2061">
        <f t="shared" si="248"/>
        <v>0</v>
      </c>
      <c r="EO170" s="2061">
        <f t="shared" si="248"/>
        <v>0</v>
      </c>
      <c r="EP170" s="2061">
        <f t="shared" si="248"/>
        <v>0</v>
      </c>
      <c r="EQ170" s="2061">
        <f t="shared" si="248"/>
        <v>0</v>
      </c>
      <c r="ER170" s="2061">
        <f t="shared" si="248"/>
        <v>0</v>
      </c>
      <c r="ES170" s="2061">
        <f t="shared" si="248"/>
        <v>0</v>
      </c>
      <c r="ET170" s="2061">
        <f t="shared" si="248"/>
        <v>0</v>
      </c>
      <c r="EU170" s="2061">
        <f t="shared" si="248"/>
        <v>0</v>
      </c>
      <c r="EV170" s="2061">
        <f t="shared" si="248"/>
        <v>0</v>
      </c>
      <c r="EW170" s="2061">
        <f t="shared" si="248"/>
        <v>0</v>
      </c>
      <c r="EX170" s="2061">
        <f t="shared" si="248"/>
        <v>0</v>
      </c>
      <c r="EY170" s="2061">
        <f t="shared" si="248"/>
        <v>0</v>
      </c>
      <c r="EZ170" s="2061">
        <f t="shared" si="248"/>
        <v>0</v>
      </c>
      <c r="FA170" s="2061">
        <f t="shared" si="248"/>
        <v>0</v>
      </c>
      <c r="FB170" s="2061">
        <f t="shared" si="248"/>
        <v>0</v>
      </c>
      <c r="FC170" s="2061">
        <f t="shared" si="248"/>
        <v>0</v>
      </c>
      <c r="FD170" s="2061">
        <f t="shared" si="248"/>
        <v>0</v>
      </c>
      <c r="FE170" s="2061">
        <f t="shared" si="248"/>
        <v>0</v>
      </c>
      <c r="FF170" s="2061">
        <f t="shared" si="248"/>
        <v>0</v>
      </c>
      <c r="FG170" s="2061">
        <f t="shared" si="248"/>
        <v>0</v>
      </c>
      <c r="FH170" s="2061">
        <f t="shared" si="248"/>
        <v>0</v>
      </c>
      <c r="FI170" s="2061">
        <f t="shared" si="248"/>
        <v>0</v>
      </c>
      <c r="FJ170" s="2061">
        <f t="shared" si="248"/>
        <v>0</v>
      </c>
      <c r="FK170" s="2061">
        <f t="shared" si="248"/>
        <v>0</v>
      </c>
      <c r="FL170" s="2061">
        <f t="shared" si="248"/>
        <v>0</v>
      </c>
      <c r="FM170" s="2061">
        <f t="shared" si="248"/>
        <v>0</v>
      </c>
      <c r="FN170" s="2061">
        <f t="shared" si="248"/>
        <v>0</v>
      </c>
      <c r="FO170" s="2061">
        <f t="shared" si="248"/>
        <v>0</v>
      </c>
      <c r="FP170" s="2061">
        <f t="shared" si="248"/>
        <v>0</v>
      </c>
      <c r="FQ170" s="2061">
        <f t="shared" si="248"/>
        <v>0</v>
      </c>
      <c r="FR170" s="2061">
        <f t="shared" si="248"/>
        <v>0</v>
      </c>
      <c r="FS170" s="2061">
        <f t="shared" si="248"/>
        <v>0</v>
      </c>
      <c r="FT170" s="2061">
        <f t="shared" si="248"/>
        <v>0</v>
      </c>
      <c r="FU170" s="2061">
        <f t="shared" si="248"/>
        <v>0</v>
      </c>
      <c r="FV170" s="2061">
        <f t="shared" si="248"/>
        <v>0</v>
      </c>
      <c r="FW170" s="2061">
        <f t="shared" si="248"/>
        <v>0</v>
      </c>
      <c r="FX170" s="2061">
        <f t="shared" si="248"/>
        <v>0</v>
      </c>
      <c r="FY170" s="2061">
        <f t="shared" si="248"/>
        <v>0</v>
      </c>
      <c r="FZ170" s="2061">
        <f t="shared" si="248"/>
        <v>0</v>
      </c>
      <c r="GA170" s="2061">
        <f t="shared" si="248"/>
        <v>0</v>
      </c>
      <c r="GB170" s="2061">
        <f t="shared" si="248"/>
        <v>0</v>
      </c>
      <c r="GC170" s="2061">
        <f t="shared" si="248"/>
        <v>0</v>
      </c>
      <c r="GD170" s="2061">
        <f t="shared" si="248"/>
        <v>0</v>
      </c>
      <c r="GE170" s="2061">
        <f t="shared" si="248"/>
        <v>0</v>
      </c>
      <c r="GF170" s="2061">
        <f t="shared" si="248"/>
        <v>0</v>
      </c>
      <c r="GG170" s="2061">
        <f t="shared" si="248"/>
        <v>0</v>
      </c>
      <c r="GH170" s="2061">
        <f t="shared" si="248"/>
        <v>0</v>
      </c>
      <c r="GI170" s="2061">
        <f t="shared" si="248"/>
        <v>0</v>
      </c>
      <c r="GJ170" s="2061">
        <f t="shared" si="248"/>
        <v>0</v>
      </c>
      <c r="GK170" s="2061">
        <f t="shared" si="248"/>
        <v>0</v>
      </c>
      <c r="GL170" s="2061">
        <f t="shared" si="248"/>
        <v>0</v>
      </c>
      <c r="GM170" s="2061">
        <f t="shared" si="248"/>
        <v>0</v>
      </c>
      <c r="GN170" s="2061">
        <f t="shared" si="248"/>
        <v>0</v>
      </c>
      <c r="GO170" s="2061">
        <f t="shared" si="248"/>
        <v>0</v>
      </c>
      <c r="GP170" s="2061">
        <f t="shared" si="248"/>
        <v>0</v>
      </c>
      <c r="GQ170" s="2061">
        <f t="shared" ref="GQ170:JB170" si="249">SUM(GQ166:GQ169)</f>
        <v>0</v>
      </c>
      <c r="GR170" s="2061">
        <f t="shared" si="249"/>
        <v>0</v>
      </c>
      <c r="GS170" s="2061">
        <f t="shared" si="249"/>
        <v>0</v>
      </c>
      <c r="GT170" s="2061">
        <f t="shared" si="249"/>
        <v>0</v>
      </c>
      <c r="GU170" s="2061">
        <f t="shared" si="249"/>
        <v>0</v>
      </c>
      <c r="GV170" s="2061">
        <f t="shared" si="249"/>
        <v>0</v>
      </c>
      <c r="GW170" s="2061">
        <f t="shared" si="249"/>
        <v>0</v>
      </c>
      <c r="GX170" s="2061">
        <f t="shared" si="249"/>
        <v>0</v>
      </c>
      <c r="GY170" s="2061">
        <f t="shared" si="249"/>
        <v>0</v>
      </c>
      <c r="GZ170" s="2061">
        <f t="shared" si="249"/>
        <v>0</v>
      </c>
      <c r="HA170" s="2061">
        <f t="shared" si="249"/>
        <v>0</v>
      </c>
      <c r="HB170" s="2061">
        <f t="shared" si="249"/>
        <v>0</v>
      </c>
      <c r="HC170" s="2061">
        <f t="shared" si="249"/>
        <v>0</v>
      </c>
      <c r="HD170" s="2061">
        <f t="shared" si="249"/>
        <v>0</v>
      </c>
      <c r="HE170" s="2061">
        <f t="shared" si="249"/>
        <v>0</v>
      </c>
      <c r="HF170" s="2061">
        <f t="shared" si="249"/>
        <v>0</v>
      </c>
      <c r="HG170" s="2061">
        <f t="shared" si="249"/>
        <v>0</v>
      </c>
      <c r="HH170" s="2061">
        <f t="shared" si="249"/>
        <v>0</v>
      </c>
      <c r="HI170" s="2061">
        <f t="shared" si="249"/>
        <v>0</v>
      </c>
      <c r="HJ170" s="2061">
        <f t="shared" si="249"/>
        <v>0</v>
      </c>
      <c r="HK170" s="2061">
        <f t="shared" si="249"/>
        <v>0</v>
      </c>
      <c r="HL170" s="2061">
        <f t="shared" si="249"/>
        <v>0</v>
      </c>
      <c r="HM170" s="2061">
        <f t="shared" si="249"/>
        <v>0</v>
      </c>
      <c r="HN170" s="2061">
        <f t="shared" si="249"/>
        <v>0</v>
      </c>
      <c r="HO170" s="2061">
        <f t="shared" si="249"/>
        <v>0</v>
      </c>
      <c r="HP170" s="2061">
        <f t="shared" si="249"/>
        <v>0</v>
      </c>
      <c r="HQ170" s="2061">
        <f t="shared" si="249"/>
        <v>0</v>
      </c>
      <c r="HR170" s="2061">
        <f t="shared" si="249"/>
        <v>0</v>
      </c>
      <c r="HS170" s="2061">
        <f t="shared" si="249"/>
        <v>0</v>
      </c>
      <c r="HT170" s="2061">
        <f t="shared" si="249"/>
        <v>0</v>
      </c>
      <c r="HU170" s="2061">
        <f t="shared" si="249"/>
        <v>0</v>
      </c>
      <c r="HV170" s="2061">
        <f t="shared" si="249"/>
        <v>0</v>
      </c>
      <c r="HW170" s="2061">
        <f t="shared" si="249"/>
        <v>0</v>
      </c>
      <c r="HX170" s="2061">
        <f t="shared" si="249"/>
        <v>0</v>
      </c>
      <c r="HY170" s="2061">
        <f t="shared" si="249"/>
        <v>0</v>
      </c>
      <c r="HZ170" s="2061">
        <f t="shared" si="249"/>
        <v>0</v>
      </c>
      <c r="IA170" s="2061">
        <f t="shared" si="249"/>
        <v>0</v>
      </c>
      <c r="IB170" s="2061">
        <f t="shared" si="249"/>
        <v>0</v>
      </c>
      <c r="IC170" s="2061">
        <f t="shared" si="249"/>
        <v>0</v>
      </c>
      <c r="ID170" s="2061">
        <f t="shared" si="249"/>
        <v>0</v>
      </c>
      <c r="IE170" s="2061">
        <f t="shared" si="249"/>
        <v>0</v>
      </c>
      <c r="IF170" s="2061">
        <f t="shared" si="249"/>
        <v>0</v>
      </c>
      <c r="IG170" s="2061">
        <f t="shared" si="249"/>
        <v>0</v>
      </c>
      <c r="IH170" s="2061">
        <f t="shared" si="249"/>
        <v>0</v>
      </c>
      <c r="II170" s="2061">
        <f t="shared" si="249"/>
        <v>0</v>
      </c>
      <c r="IJ170" s="2061">
        <f t="shared" si="249"/>
        <v>0</v>
      </c>
      <c r="IK170" s="2061">
        <f t="shared" si="249"/>
        <v>0</v>
      </c>
      <c r="IL170" s="2061">
        <f t="shared" si="249"/>
        <v>0</v>
      </c>
      <c r="IM170" s="2061">
        <f t="shared" si="249"/>
        <v>0</v>
      </c>
      <c r="IN170" s="2061">
        <f t="shared" si="249"/>
        <v>0</v>
      </c>
      <c r="IO170" s="2061">
        <f t="shared" si="249"/>
        <v>0</v>
      </c>
      <c r="IP170" s="2061">
        <f t="shared" si="249"/>
        <v>0</v>
      </c>
      <c r="IQ170" s="2061">
        <f t="shared" si="249"/>
        <v>0</v>
      </c>
      <c r="IR170" s="2061">
        <f t="shared" si="249"/>
        <v>0</v>
      </c>
      <c r="IS170" s="2061">
        <f t="shared" si="249"/>
        <v>0</v>
      </c>
      <c r="IT170" s="2061">
        <f t="shared" si="249"/>
        <v>0</v>
      </c>
      <c r="IU170" s="2061">
        <f t="shared" si="249"/>
        <v>0</v>
      </c>
      <c r="IV170" s="2061">
        <f t="shared" si="249"/>
        <v>0</v>
      </c>
      <c r="IW170" s="2061">
        <f t="shared" si="249"/>
        <v>0</v>
      </c>
      <c r="IX170" s="2061">
        <f t="shared" si="249"/>
        <v>0</v>
      </c>
      <c r="IY170" s="2061">
        <f t="shared" si="249"/>
        <v>0</v>
      </c>
      <c r="IZ170" s="2061">
        <f t="shared" si="249"/>
        <v>0</v>
      </c>
      <c r="JA170" s="2061">
        <f t="shared" si="249"/>
        <v>0</v>
      </c>
      <c r="JB170" s="2061">
        <f t="shared" si="249"/>
        <v>0</v>
      </c>
      <c r="JC170" s="2061">
        <f t="shared" ref="JC170:LN170" si="250">SUM(JC166:JC169)</f>
        <v>0</v>
      </c>
      <c r="JD170" s="2061">
        <f t="shared" si="250"/>
        <v>0</v>
      </c>
      <c r="JE170" s="2061">
        <f t="shared" si="250"/>
        <v>0</v>
      </c>
      <c r="JF170" s="2061">
        <f t="shared" si="250"/>
        <v>0</v>
      </c>
      <c r="JG170" s="2061">
        <f t="shared" si="250"/>
        <v>0</v>
      </c>
      <c r="JH170" s="2061">
        <f t="shared" si="250"/>
        <v>0</v>
      </c>
      <c r="JI170" s="2061">
        <f t="shared" si="250"/>
        <v>0</v>
      </c>
      <c r="JJ170" s="2061">
        <f t="shared" si="250"/>
        <v>0</v>
      </c>
      <c r="JK170" s="2061">
        <f t="shared" si="250"/>
        <v>0</v>
      </c>
      <c r="JL170" s="2061">
        <f t="shared" si="250"/>
        <v>0</v>
      </c>
      <c r="JM170" s="2061">
        <f t="shared" si="250"/>
        <v>0</v>
      </c>
      <c r="JN170" s="2061">
        <f t="shared" si="250"/>
        <v>0</v>
      </c>
      <c r="JO170" s="2061">
        <f t="shared" si="250"/>
        <v>0</v>
      </c>
      <c r="JP170" s="2061">
        <f t="shared" si="250"/>
        <v>0</v>
      </c>
      <c r="JQ170" s="2061">
        <f t="shared" si="250"/>
        <v>0</v>
      </c>
      <c r="JR170" s="2061">
        <f t="shared" si="250"/>
        <v>0</v>
      </c>
      <c r="JS170" s="2061">
        <f t="shared" si="250"/>
        <v>0</v>
      </c>
      <c r="JT170" s="2061">
        <f t="shared" si="250"/>
        <v>0</v>
      </c>
      <c r="JU170" s="2061">
        <f t="shared" si="250"/>
        <v>0</v>
      </c>
      <c r="JV170" s="2061">
        <f t="shared" si="250"/>
        <v>0</v>
      </c>
      <c r="JW170" s="2061">
        <f t="shared" si="250"/>
        <v>0</v>
      </c>
      <c r="JX170" s="2061">
        <f t="shared" si="250"/>
        <v>0</v>
      </c>
      <c r="JY170" s="2061">
        <f t="shared" si="250"/>
        <v>0</v>
      </c>
      <c r="JZ170" s="2061">
        <f t="shared" si="250"/>
        <v>0</v>
      </c>
      <c r="KA170" s="2061">
        <f t="shared" si="250"/>
        <v>0</v>
      </c>
      <c r="KB170" s="2061">
        <f t="shared" si="250"/>
        <v>0</v>
      </c>
      <c r="KC170" s="2061">
        <f t="shared" si="250"/>
        <v>0</v>
      </c>
      <c r="KD170" s="2061">
        <f t="shared" si="250"/>
        <v>0</v>
      </c>
      <c r="KE170" s="2061">
        <f t="shared" si="250"/>
        <v>0</v>
      </c>
      <c r="KF170" s="2061">
        <f t="shared" si="250"/>
        <v>0</v>
      </c>
      <c r="KG170" s="2061">
        <f t="shared" si="250"/>
        <v>0</v>
      </c>
      <c r="KH170" s="2061">
        <f t="shared" si="250"/>
        <v>0</v>
      </c>
      <c r="KI170" s="2061">
        <f t="shared" si="250"/>
        <v>0</v>
      </c>
      <c r="KJ170" s="2061">
        <f t="shared" si="250"/>
        <v>0</v>
      </c>
      <c r="KK170" s="2061">
        <f t="shared" si="250"/>
        <v>0</v>
      </c>
      <c r="KL170" s="2061">
        <f t="shared" si="250"/>
        <v>0</v>
      </c>
      <c r="KM170" s="2061">
        <f t="shared" si="250"/>
        <v>0</v>
      </c>
      <c r="KN170" s="2061">
        <f t="shared" si="250"/>
        <v>0</v>
      </c>
      <c r="KO170" s="2061">
        <f t="shared" si="250"/>
        <v>0</v>
      </c>
      <c r="KP170" s="2061">
        <f t="shared" si="250"/>
        <v>0</v>
      </c>
      <c r="KQ170" s="2061">
        <f t="shared" si="250"/>
        <v>0</v>
      </c>
      <c r="KR170" s="2061">
        <f t="shared" si="250"/>
        <v>0</v>
      </c>
      <c r="KS170" s="2061">
        <f t="shared" si="250"/>
        <v>0</v>
      </c>
      <c r="KT170" s="2061">
        <f t="shared" si="250"/>
        <v>0</v>
      </c>
      <c r="KU170" s="2061">
        <f t="shared" si="250"/>
        <v>0</v>
      </c>
      <c r="KV170" s="2061">
        <f t="shared" si="250"/>
        <v>0</v>
      </c>
      <c r="KW170" s="2061">
        <f t="shared" si="250"/>
        <v>0</v>
      </c>
      <c r="KX170" s="2061">
        <f t="shared" si="250"/>
        <v>0</v>
      </c>
      <c r="KY170" s="2061">
        <f t="shared" si="250"/>
        <v>0</v>
      </c>
      <c r="KZ170" s="2061">
        <f t="shared" si="250"/>
        <v>0</v>
      </c>
      <c r="LA170" s="2061">
        <f t="shared" si="250"/>
        <v>0</v>
      </c>
      <c r="LB170" s="2061">
        <f t="shared" si="250"/>
        <v>0</v>
      </c>
      <c r="LC170" s="2061">
        <f t="shared" si="250"/>
        <v>0</v>
      </c>
      <c r="LD170" s="2061">
        <f t="shared" si="250"/>
        <v>0</v>
      </c>
      <c r="LE170" s="2061">
        <f t="shared" si="250"/>
        <v>0</v>
      </c>
      <c r="LF170" s="2061">
        <f t="shared" si="250"/>
        <v>0</v>
      </c>
      <c r="LG170" s="2061">
        <f t="shared" si="250"/>
        <v>0</v>
      </c>
      <c r="LH170" s="2061">
        <f t="shared" si="250"/>
        <v>0</v>
      </c>
      <c r="LI170" s="2061">
        <f t="shared" si="250"/>
        <v>0</v>
      </c>
      <c r="LJ170" s="2061">
        <f t="shared" si="250"/>
        <v>0</v>
      </c>
      <c r="LK170" s="2061">
        <f t="shared" si="250"/>
        <v>0</v>
      </c>
      <c r="LL170" s="2061">
        <f t="shared" si="250"/>
        <v>0</v>
      </c>
      <c r="LM170" s="2061">
        <f t="shared" si="250"/>
        <v>0</v>
      </c>
      <c r="LN170" s="2061">
        <f t="shared" si="250"/>
        <v>0</v>
      </c>
      <c r="LO170" s="2061">
        <f t="shared" ref="LO170:NZ170" si="251">SUM(LO166:LO169)</f>
        <v>0</v>
      </c>
      <c r="LP170" s="2061">
        <f t="shared" si="251"/>
        <v>0</v>
      </c>
      <c r="LQ170" s="2061">
        <f t="shared" si="251"/>
        <v>0</v>
      </c>
      <c r="LR170" s="2061">
        <f t="shared" si="251"/>
        <v>0</v>
      </c>
      <c r="LS170" s="2061">
        <f t="shared" si="251"/>
        <v>0</v>
      </c>
      <c r="LT170" s="2061">
        <f t="shared" si="251"/>
        <v>0</v>
      </c>
      <c r="LU170" s="2061">
        <f t="shared" si="251"/>
        <v>0</v>
      </c>
      <c r="LV170" s="2061">
        <f t="shared" si="251"/>
        <v>0</v>
      </c>
      <c r="LW170" s="2061">
        <f t="shared" si="251"/>
        <v>0</v>
      </c>
      <c r="LX170" s="2061">
        <f t="shared" si="251"/>
        <v>0</v>
      </c>
      <c r="LY170" s="2061">
        <f t="shared" si="251"/>
        <v>0</v>
      </c>
      <c r="LZ170" s="2061">
        <f t="shared" si="251"/>
        <v>0</v>
      </c>
      <c r="MA170" s="2061">
        <f t="shared" si="251"/>
        <v>0</v>
      </c>
      <c r="MB170" s="2061">
        <f t="shared" si="251"/>
        <v>0</v>
      </c>
      <c r="MC170" s="2061">
        <f t="shared" si="251"/>
        <v>0</v>
      </c>
      <c r="MD170" s="2061">
        <f t="shared" si="251"/>
        <v>0</v>
      </c>
      <c r="ME170" s="2061">
        <f t="shared" si="251"/>
        <v>0</v>
      </c>
      <c r="MF170" s="2061">
        <f t="shared" si="251"/>
        <v>0</v>
      </c>
      <c r="MG170" s="2061">
        <f t="shared" si="251"/>
        <v>0</v>
      </c>
      <c r="MH170" s="2061">
        <f t="shared" si="251"/>
        <v>0</v>
      </c>
      <c r="MI170" s="2061">
        <f t="shared" si="251"/>
        <v>0</v>
      </c>
      <c r="MJ170" s="2061">
        <f t="shared" si="251"/>
        <v>0</v>
      </c>
      <c r="MK170" s="2061">
        <f t="shared" si="251"/>
        <v>0</v>
      </c>
      <c r="ML170" s="2061">
        <f t="shared" si="251"/>
        <v>0</v>
      </c>
      <c r="MM170" s="2061">
        <f t="shared" si="251"/>
        <v>0</v>
      </c>
      <c r="MN170" s="2061">
        <f t="shared" si="251"/>
        <v>0</v>
      </c>
      <c r="MO170" s="2061">
        <f t="shared" si="251"/>
        <v>0</v>
      </c>
      <c r="MP170" s="2061">
        <f t="shared" si="251"/>
        <v>0</v>
      </c>
      <c r="MQ170" s="2061">
        <f t="shared" si="251"/>
        <v>0</v>
      </c>
      <c r="MR170" s="2061">
        <f t="shared" si="251"/>
        <v>0</v>
      </c>
      <c r="MS170" s="2061">
        <f t="shared" si="251"/>
        <v>0</v>
      </c>
      <c r="MT170" s="2061">
        <f t="shared" si="251"/>
        <v>0</v>
      </c>
      <c r="MU170" s="2061">
        <f t="shared" si="251"/>
        <v>0</v>
      </c>
      <c r="MV170" s="2061">
        <f t="shared" si="251"/>
        <v>0</v>
      </c>
      <c r="MW170" s="2061">
        <f t="shared" si="251"/>
        <v>0</v>
      </c>
      <c r="MX170" s="2061">
        <f t="shared" si="251"/>
        <v>0</v>
      </c>
      <c r="MY170" s="2061">
        <f t="shared" si="251"/>
        <v>0</v>
      </c>
      <c r="MZ170" s="2061">
        <f t="shared" si="251"/>
        <v>0</v>
      </c>
      <c r="NA170" s="2061">
        <f t="shared" si="251"/>
        <v>0</v>
      </c>
      <c r="NB170" s="2061">
        <f t="shared" si="251"/>
        <v>0</v>
      </c>
      <c r="NC170" s="2061">
        <f t="shared" si="251"/>
        <v>0</v>
      </c>
      <c r="ND170" s="2061">
        <f t="shared" si="251"/>
        <v>0</v>
      </c>
      <c r="NE170" s="2061">
        <f t="shared" si="251"/>
        <v>0</v>
      </c>
      <c r="NF170" s="2061">
        <f t="shared" si="251"/>
        <v>0</v>
      </c>
      <c r="NG170" s="2061">
        <f t="shared" si="251"/>
        <v>0</v>
      </c>
      <c r="NH170" s="2061">
        <f t="shared" si="251"/>
        <v>0</v>
      </c>
      <c r="NI170" s="2061">
        <f t="shared" si="251"/>
        <v>0</v>
      </c>
      <c r="NJ170" s="2061">
        <f t="shared" si="251"/>
        <v>0</v>
      </c>
      <c r="NK170" s="2061">
        <f t="shared" si="251"/>
        <v>0</v>
      </c>
      <c r="NL170" s="2061">
        <f t="shared" si="251"/>
        <v>0</v>
      </c>
      <c r="NM170" s="2061">
        <f t="shared" si="251"/>
        <v>0</v>
      </c>
      <c r="NN170" s="2061">
        <f t="shared" si="251"/>
        <v>0</v>
      </c>
      <c r="NO170" s="2061">
        <f t="shared" si="251"/>
        <v>0</v>
      </c>
      <c r="NP170" s="2061">
        <f t="shared" si="251"/>
        <v>0</v>
      </c>
      <c r="NQ170" s="2061">
        <f t="shared" si="251"/>
        <v>0</v>
      </c>
      <c r="NR170" s="2061">
        <f t="shared" si="251"/>
        <v>0</v>
      </c>
      <c r="NS170" s="2061">
        <f t="shared" si="251"/>
        <v>0</v>
      </c>
      <c r="NT170" s="2061">
        <f t="shared" si="251"/>
        <v>0</v>
      </c>
      <c r="NU170" s="2061">
        <f t="shared" si="251"/>
        <v>0</v>
      </c>
      <c r="NV170" s="2061">
        <f t="shared" si="251"/>
        <v>0</v>
      </c>
      <c r="NW170" s="2061">
        <f t="shared" si="251"/>
        <v>0</v>
      </c>
      <c r="NX170" s="2061">
        <f t="shared" si="251"/>
        <v>0</v>
      </c>
      <c r="NY170" s="2061">
        <f t="shared" si="251"/>
        <v>0</v>
      </c>
      <c r="NZ170" s="2061">
        <f t="shared" si="251"/>
        <v>0</v>
      </c>
      <c r="OA170" s="2061">
        <f t="shared" ref="OA170:QL170" si="252">SUM(OA166:OA169)</f>
        <v>0</v>
      </c>
      <c r="OB170" s="2061">
        <f t="shared" si="252"/>
        <v>0</v>
      </c>
      <c r="OC170" s="2061">
        <f t="shared" si="252"/>
        <v>0</v>
      </c>
      <c r="OD170" s="2061">
        <f t="shared" si="252"/>
        <v>0</v>
      </c>
      <c r="OE170" s="2061">
        <f t="shared" si="252"/>
        <v>0</v>
      </c>
      <c r="OF170" s="2061">
        <f t="shared" si="252"/>
        <v>0</v>
      </c>
      <c r="OG170" s="2061">
        <f t="shared" si="252"/>
        <v>0</v>
      </c>
      <c r="OH170" s="2061">
        <f t="shared" si="252"/>
        <v>0</v>
      </c>
      <c r="OI170" s="2061">
        <f t="shared" si="252"/>
        <v>0</v>
      </c>
      <c r="OJ170" s="2061">
        <f t="shared" si="252"/>
        <v>0</v>
      </c>
      <c r="OK170" s="2061">
        <f t="shared" si="252"/>
        <v>0</v>
      </c>
      <c r="OL170" s="2061">
        <f t="shared" si="252"/>
        <v>0</v>
      </c>
      <c r="OM170" s="2061">
        <f t="shared" si="252"/>
        <v>0</v>
      </c>
      <c r="ON170" s="2061">
        <f t="shared" si="252"/>
        <v>0</v>
      </c>
      <c r="OO170" s="2061">
        <f t="shared" si="252"/>
        <v>0</v>
      </c>
      <c r="OP170" s="2061">
        <f t="shared" si="252"/>
        <v>0</v>
      </c>
      <c r="OQ170" s="2061">
        <f t="shared" si="252"/>
        <v>0</v>
      </c>
      <c r="OR170" s="2061">
        <f t="shared" si="252"/>
        <v>0</v>
      </c>
      <c r="OS170" s="2061">
        <f t="shared" si="252"/>
        <v>0</v>
      </c>
      <c r="OT170" s="2061">
        <f t="shared" si="252"/>
        <v>0</v>
      </c>
      <c r="OU170" s="2061">
        <f t="shared" si="252"/>
        <v>0</v>
      </c>
      <c r="OV170" s="2061">
        <f t="shared" si="252"/>
        <v>0</v>
      </c>
      <c r="OW170" s="2061">
        <f t="shared" si="252"/>
        <v>0</v>
      </c>
      <c r="OX170" s="2061">
        <f t="shared" si="252"/>
        <v>0</v>
      </c>
      <c r="OY170" s="2061">
        <f t="shared" si="252"/>
        <v>0</v>
      </c>
      <c r="OZ170" s="2061">
        <f t="shared" si="252"/>
        <v>0</v>
      </c>
      <c r="PA170" s="2061">
        <f t="shared" si="252"/>
        <v>0</v>
      </c>
      <c r="PB170" s="2061">
        <f t="shared" si="252"/>
        <v>0</v>
      </c>
      <c r="PC170" s="2061">
        <f t="shared" si="252"/>
        <v>0</v>
      </c>
      <c r="PD170" s="2061">
        <f t="shared" si="252"/>
        <v>0</v>
      </c>
      <c r="PE170" s="2061">
        <f t="shared" si="252"/>
        <v>0</v>
      </c>
      <c r="PF170" s="2061">
        <f t="shared" si="252"/>
        <v>0</v>
      </c>
      <c r="PG170" s="2061">
        <f t="shared" si="252"/>
        <v>0</v>
      </c>
      <c r="PH170" s="2061">
        <f t="shared" si="252"/>
        <v>0</v>
      </c>
      <c r="PI170" s="2061">
        <f t="shared" si="252"/>
        <v>0</v>
      </c>
      <c r="PJ170" s="2061">
        <f t="shared" si="252"/>
        <v>0</v>
      </c>
      <c r="PK170" s="2061">
        <f t="shared" si="252"/>
        <v>0</v>
      </c>
      <c r="PL170" s="2061">
        <f t="shared" si="252"/>
        <v>0</v>
      </c>
      <c r="PM170" s="2061">
        <f t="shared" si="252"/>
        <v>0</v>
      </c>
      <c r="PN170" s="2061">
        <f t="shared" si="252"/>
        <v>0</v>
      </c>
      <c r="PO170" s="2061">
        <f t="shared" si="252"/>
        <v>0</v>
      </c>
      <c r="PP170" s="2061">
        <f t="shared" si="252"/>
        <v>0</v>
      </c>
      <c r="PQ170" s="2061">
        <f t="shared" si="252"/>
        <v>0</v>
      </c>
      <c r="PR170" s="2061">
        <f t="shared" si="252"/>
        <v>0</v>
      </c>
      <c r="PS170" s="2061">
        <f t="shared" si="252"/>
        <v>0</v>
      </c>
      <c r="PT170" s="2061">
        <f t="shared" si="252"/>
        <v>0</v>
      </c>
      <c r="PU170" s="2061">
        <f t="shared" si="252"/>
        <v>0</v>
      </c>
      <c r="PV170" s="2061">
        <f t="shared" si="252"/>
        <v>0</v>
      </c>
      <c r="PW170" s="2061">
        <f t="shared" si="252"/>
        <v>0</v>
      </c>
      <c r="PX170" s="2061">
        <f t="shared" si="252"/>
        <v>0</v>
      </c>
      <c r="PY170" s="2061">
        <f t="shared" si="252"/>
        <v>0</v>
      </c>
      <c r="PZ170" s="2061">
        <f t="shared" si="252"/>
        <v>0</v>
      </c>
      <c r="QA170" s="2061">
        <f t="shared" si="252"/>
        <v>0</v>
      </c>
      <c r="QB170" s="2061">
        <f t="shared" si="252"/>
        <v>0</v>
      </c>
      <c r="QC170" s="2061">
        <f t="shared" si="252"/>
        <v>0</v>
      </c>
      <c r="QD170" s="2061">
        <f t="shared" si="252"/>
        <v>0</v>
      </c>
      <c r="QE170" s="2061">
        <f t="shared" si="252"/>
        <v>0</v>
      </c>
      <c r="QF170" s="2061">
        <f t="shared" si="252"/>
        <v>0</v>
      </c>
      <c r="QG170" s="2061">
        <f t="shared" si="252"/>
        <v>0</v>
      </c>
      <c r="QH170" s="2061">
        <f t="shared" si="252"/>
        <v>0</v>
      </c>
      <c r="QI170" s="2061">
        <f t="shared" si="252"/>
        <v>0</v>
      </c>
      <c r="QJ170" s="2061">
        <f t="shared" si="252"/>
        <v>0</v>
      </c>
      <c r="QK170" s="2061">
        <f t="shared" si="252"/>
        <v>0</v>
      </c>
      <c r="QL170" s="2061">
        <f t="shared" si="252"/>
        <v>0</v>
      </c>
      <c r="QM170" s="2061">
        <f t="shared" ref="QM170:SX170" si="253">SUM(QM166:QM169)</f>
        <v>0</v>
      </c>
      <c r="QN170" s="2061">
        <f t="shared" si="253"/>
        <v>0</v>
      </c>
      <c r="QO170" s="2061">
        <f t="shared" si="253"/>
        <v>0</v>
      </c>
      <c r="QP170" s="2061">
        <f t="shared" si="253"/>
        <v>0</v>
      </c>
      <c r="QQ170" s="2061">
        <f t="shared" si="253"/>
        <v>0</v>
      </c>
      <c r="QR170" s="2061">
        <f t="shared" si="253"/>
        <v>0</v>
      </c>
      <c r="QS170" s="2061">
        <f t="shared" si="253"/>
        <v>0</v>
      </c>
      <c r="QT170" s="2061">
        <f t="shared" si="253"/>
        <v>0</v>
      </c>
      <c r="QU170" s="2061">
        <f t="shared" si="253"/>
        <v>0</v>
      </c>
      <c r="QV170" s="2061">
        <f t="shared" si="253"/>
        <v>0</v>
      </c>
      <c r="QW170" s="2061">
        <f t="shared" si="253"/>
        <v>0</v>
      </c>
      <c r="QX170" s="2061">
        <f t="shared" si="253"/>
        <v>0</v>
      </c>
      <c r="QY170" s="2061">
        <f t="shared" si="253"/>
        <v>0</v>
      </c>
      <c r="QZ170" s="2061">
        <f t="shared" si="253"/>
        <v>0</v>
      </c>
      <c r="RA170" s="2061">
        <f t="shared" si="253"/>
        <v>0</v>
      </c>
      <c r="RB170" s="2061">
        <f t="shared" si="253"/>
        <v>0</v>
      </c>
      <c r="RC170" s="2061">
        <f t="shared" si="253"/>
        <v>0</v>
      </c>
      <c r="RD170" s="2061">
        <f t="shared" si="253"/>
        <v>0</v>
      </c>
      <c r="RE170" s="2061">
        <f t="shared" si="253"/>
        <v>0</v>
      </c>
      <c r="RF170" s="2061">
        <f t="shared" si="253"/>
        <v>0</v>
      </c>
      <c r="RG170" s="2061">
        <f t="shared" si="253"/>
        <v>0</v>
      </c>
      <c r="RH170" s="2061">
        <f t="shared" si="253"/>
        <v>0</v>
      </c>
      <c r="RI170" s="2061">
        <f t="shared" si="253"/>
        <v>0</v>
      </c>
      <c r="RJ170" s="2061">
        <f t="shared" si="253"/>
        <v>0</v>
      </c>
      <c r="RK170" s="2061">
        <f t="shared" si="253"/>
        <v>0</v>
      </c>
      <c r="RL170" s="2061">
        <f t="shared" si="253"/>
        <v>0</v>
      </c>
      <c r="RM170" s="2061">
        <f t="shared" si="253"/>
        <v>0</v>
      </c>
      <c r="RN170" s="2061">
        <f t="shared" si="253"/>
        <v>0</v>
      </c>
      <c r="RO170" s="2061">
        <f t="shared" si="253"/>
        <v>0</v>
      </c>
      <c r="RP170" s="2061">
        <f t="shared" si="253"/>
        <v>0</v>
      </c>
      <c r="RQ170" s="2061">
        <f t="shared" si="253"/>
        <v>0</v>
      </c>
      <c r="RR170" s="2061">
        <f t="shared" si="253"/>
        <v>0</v>
      </c>
      <c r="RS170" s="2061">
        <f t="shared" si="253"/>
        <v>0</v>
      </c>
      <c r="RT170" s="2061">
        <f t="shared" si="253"/>
        <v>0</v>
      </c>
      <c r="RU170" s="2061">
        <f t="shared" si="253"/>
        <v>0</v>
      </c>
      <c r="RV170" s="2061">
        <f t="shared" si="253"/>
        <v>0</v>
      </c>
      <c r="RW170" s="2061">
        <f t="shared" si="253"/>
        <v>0</v>
      </c>
      <c r="RX170" s="2061">
        <f t="shared" si="253"/>
        <v>0</v>
      </c>
      <c r="RY170" s="2061">
        <f t="shared" si="253"/>
        <v>0</v>
      </c>
      <c r="RZ170" s="2061">
        <f t="shared" si="253"/>
        <v>0</v>
      </c>
      <c r="SA170" s="2061">
        <f t="shared" si="253"/>
        <v>0</v>
      </c>
      <c r="SB170" s="2061">
        <f t="shared" si="253"/>
        <v>0</v>
      </c>
      <c r="SC170" s="2061">
        <f t="shared" si="253"/>
        <v>0</v>
      </c>
      <c r="SD170" s="2061">
        <f t="shared" si="253"/>
        <v>0</v>
      </c>
      <c r="SE170" s="2061">
        <f t="shared" si="253"/>
        <v>0</v>
      </c>
      <c r="SF170" s="2061">
        <f t="shared" si="253"/>
        <v>0</v>
      </c>
      <c r="SG170" s="2061">
        <f t="shared" si="253"/>
        <v>0</v>
      </c>
      <c r="SH170" s="2061">
        <f t="shared" si="253"/>
        <v>0</v>
      </c>
      <c r="SI170" s="2061">
        <f t="shared" si="253"/>
        <v>0</v>
      </c>
      <c r="SJ170" s="2061">
        <f t="shared" si="253"/>
        <v>0</v>
      </c>
      <c r="SK170" s="2061">
        <f t="shared" si="253"/>
        <v>0</v>
      </c>
      <c r="SL170" s="2061">
        <f t="shared" si="253"/>
        <v>0</v>
      </c>
      <c r="SM170" s="2061">
        <f t="shared" si="253"/>
        <v>0</v>
      </c>
      <c r="SN170" s="2061">
        <f t="shared" si="253"/>
        <v>0</v>
      </c>
      <c r="SO170" s="2061">
        <f t="shared" si="253"/>
        <v>0</v>
      </c>
      <c r="SP170" s="2061">
        <f t="shared" si="253"/>
        <v>0</v>
      </c>
      <c r="SQ170" s="2061">
        <f t="shared" si="253"/>
        <v>0</v>
      </c>
      <c r="SR170" s="2061">
        <f t="shared" si="253"/>
        <v>0</v>
      </c>
      <c r="SS170" s="2061">
        <f t="shared" si="253"/>
        <v>0</v>
      </c>
      <c r="ST170" s="2061">
        <f t="shared" si="253"/>
        <v>0</v>
      </c>
      <c r="SU170" s="2061">
        <f t="shared" si="253"/>
        <v>0</v>
      </c>
      <c r="SV170" s="2061">
        <f t="shared" si="253"/>
        <v>0</v>
      </c>
      <c r="SW170" s="2061">
        <f t="shared" si="253"/>
        <v>0</v>
      </c>
      <c r="SX170" s="2061">
        <f t="shared" si="253"/>
        <v>0</v>
      </c>
      <c r="SY170" s="2061">
        <f t="shared" ref="SY170:VJ170" si="254">SUM(SY166:SY169)</f>
        <v>0</v>
      </c>
      <c r="SZ170" s="2061">
        <f t="shared" si="254"/>
        <v>0</v>
      </c>
      <c r="TA170" s="2061">
        <f t="shared" si="254"/>
        <v>0</v>
      </c>
      <c r="TB170" s="2061">
        <f t="shared" si="254"/>
        <v>0</v>
      </c>
      <c r="TC170" s="2061">
        <f t="shared" si="254"/>
        <v>0</v>
      </c>
      <c r="TD170" s="2061">
        <f t="shared" si="254"/>
        <v>0</v>
      </c>
      <c r="TE170" s="2061">
        <f t="shared" si="254"/>
        <v>0</v>
      </c>
      <c r="TF170" s="2061">
        <f t="shared" si="254"/>
        <v>0</v>
      </c>
      <c r="TG170" s="2061">
        <f t="shared" si="254"/>
        <v>0</v>
      </c>
      <c r="TH170" s="2061">
        <f t="shared" si="254"/>
        <v>0</v>
      </c>
      <c r="TI170" s="2061">
        <f t="shared" si="254"/>
        <v>0</v>
      </c>
      <c r="TJ170" s="2061">
        <f t="shared" si="254"/>
        <v>0</v>
      </c>
      <c r="TK170" s="2061">
        <f t="shared" si="254"/>
        <v>0</v>
      </c>
      <c r="TL170" s="2061">
        <f t="shared" si="254"/>
        <v>0</v>
      </c>
      <c r="TM170" s="2061">
        <f t="shared" si="254"/>
        <v>0</v>
      </c>
      <c r="TN170" s="2061">
        <f t="shared" si="254"/>
        <v>0</v>
      </c>
      <c r="TO170" s="2061">
        <f t="shared" si="254"/>
        <v>0</v>
      </c>
      <c r="TP170" s="2061">
        <f t="shared" si="254"/>
        <v>0</v>
      </c>
      <c r="TQ170" s="2061">
        <f t="shared" si="254"/>
        <v>0</v>
      </c>
      <c r="TR170" s="2061">
        <f t="shared" si="254"/>
        <v>0</v>
      </c>
      <c r="TS170" s="2061">
        <f t="shared" si="254"/>
        <v>0</v>
      </c>
      <c r="TT170" s="2061">
        <f t="shared" si="254"/>
        <v>0</v>
      </c>
      <c r="TU170" s="2061">
        <f t="shared" si="254"/>
        <v>0</v>
      </c>
      <c r="TV170" s="2061">
        <f t="shared" si="254"/>
        <v>0</v>
      </c>
      <c r="TW170" s="2061">
        <f t="shared" si="254"/>
        <v>0</v>
      </c>
      <c r="TX170" s="2061">
        <f t="shared" si="254"/>
        <v>0</v>
      </c>
      <c r="TY170" s="2061">
        <f t="shared" si="254"/>
        <v>0</v>
      </c>
      <c r="TZ170" s="2061">
        <f t="shared" si="254"/>
        <v>0</v>
      </c>
      <c r="UA170" s="2061">
        <f t="shared" si="254"/>
        <v>0</v>
      </c>
      <c r="UB170" s="2061">
        <f t="shared" si="254"/>
        <v>0</v>
      </c>
      <c r="UC170" s="2061">
        <f t="shared" si="254"/>
        <v>0</v>
      </c>
      <c r="UD170" s="2061">
        <f t="shared" si="254"/>
        <v>0</v>
      </c>
      <c r="UE170" s="2061">
        <f t="shared" si="254"/>
        <v>0</v>
      </c>
      <c r="UF170" s="2061">
        <f t="shared" si="254"/>
        <v>0</v>
      </c>
      <c r="UG170" s="2061">
        <f t="shared" si="254"/>
        <v>0</v>
      </c>
      <c r="UH170" s="2061">
        <f t="shared" si="254"/>
        <v>0</v>
      </c>
      <c r="UI170" s="2061">
        <f t="shared" si="254"/>
        <v>0</v>
      </c>
      <c r="UJ170" s="2061">
        <f t="shared" si="254"/>
        <v>0</v>
      </c>
      <c r="UK170" s="2061">
        <f t="shared" si="254"/>
        <v>0</v>
      </c>
      <c r="UL170" s="2061">
        <f t="shared" si="254"/>
        <v>0</v>
      </c>
      <c r="UM170" s="2061">
        <f t="shared" si="254"/>
        <v>0</v>
      </c>
      <c r="UN170" s="2061">
        <f t="shared" si="254"/>
        <v>0</v>
      </c>
      <c r="UO170" s="2061">
        <f t="shared" si="254"/>
        <v>0</v>
      </c>
      <c r="UP170" s="2061">
        <f t="shared" si="254"/>
        <v>0</v>
      </c>
      <c r="UQ170" s="2061">
        <f t="shared" si="254"/>
        <v>0</v>
      </c>
      <c r="UR170" s="2061">
        <f t="shared" si="254"/>
        <v>0</v>
      </c>
      <c r="US170" s="2061">
        <f t="shared" si="254"/>
        <v>0</v>
      </c>
      <c r="UT170" s="2061">
        <f t="shared" si="254"/>
        <v>0</v>
      </c>
      <c r="UU170" s="2061">
        <f t="shared" si="254"/>
        <v>0</v>
      </c>
      <c r="UV170" s="2061">
        <f t="shared" si="254"/>
        <v>0</v>
      </c>
      <c r="UW170" s="2061">
        <f t="shared" si="254"/>
        <v>0</v>
      </c>
      <c r="UX170" s="2061">
        <f t="shared" si="254"/>
        <v>0</v>
      </c>
      <c r="UY170" s="2061">
        <f t="shared" si="254"/>
        <v>0</v>
      </c>
      <c r="UZ170" s="2061">
        <f t="shared" si="254"/>
        <v>0</v>
      </c>
      <c r="VA170" s="2061">
        <f t="shared" si="254"/>
        <v>0</v>
      </c>
      <c r="VB170" s="2061">
        <f t="shared" si="254"/>
        <v>0</v>
      </c>
      <c r="VC170" s="2061">
        <f t="shared" si="254"/>
        <v>0</v>
      </c>
      <c r="VD170" s="2061">
        <f t="shared" si="254"/>
        <v>0</v>
      </c>
      <c r="VE170" s="2061">
        <f t="shared" si="254"/>
        <v>0</v>
      </c>
      <c r="VF170" s="2061">
        <f t="shared" si="254"/>
        <v>0</v>
      </c>
      <c r="VG170" s="2061">
        <f t="shared" si="254"/>
        <v>0</v>
      </c>
      <c r="VH170" s="2061">
        <f t="shared" si="254"/>
        <v>0</v>
      </c>
      <c r="VI170" s="2061">
        <f t="shared" si="254"/>
        <v>0</v>
      </c>
      <c r="VJ170" s="2061">
        <f t="shared" si="254"/>
        <v>0</v>
      </c>
      <c r="VK170" s="2061">
        <f>SUM(VK166:VK169)</f>
        <v>0</v>
      </c>
    </row>
    <row r="171" spans="1:583" s="2075" customFormat="1" ht="33.75" customHeight="1" x14ac:dyDescent="0.25">
      <c r="A171" s="2075" t="s">
        <v>3831</v>
      </c>
      <c r="B171" s="4709" t="s">
        <v>2962</v>
      </c>
      <c r="C171" s="4709"/>
      <c r="D171" s="4709" t="s">
        <v>2962</v>
      </c>
      <c r="E171" s="4709"/>
      <c r="F171" s="2079"/>
      <c r="G171" s="2079"/>
      <c r="H171" s="2079"/>
      <c r="I171" s="1574"/>
      <c r="J171" s="1574"/>
      <c r="K171" s="1574"/>
      <c r="L171" s="1574"/>
      <c r="M171" s="1574"/>
      <c r="N171" s="1574"/>
      <c r="O171" s="1574"/>
      <c r="P171" s="1574"/>
      <c r="Q171" s="1574"/>
      <c r="R171" s="1574"/>
      <c r="S171" s="1574"/>
      <c r="T171" s="1574"/>
      <c r="U171" s="1574"/>
      <c r="V171" s="1574"/>
      <c r="W171" s="1574"/>
      <c r="X171" s="1574"/>
      <c r="Y171" s="1574"/>
      <c r="Z171" s="1574"/>
      <c r="AA171" s="1574"/>
      <c r="AB171" s="1574"/>
      <c r="AC171" s="1574"/>
      <c r="AD171" s="1574"/>
      <c r="AE171" s="1574"/>
      <c r="AF171" s="1574"/>
      <c r="AG171" s="1574"/>
      <c r="AH171" s="1574"/>
      <c r="AI171" s="1574"/>
      <c r="AJ171" s="1574"/>
      <c r="AK171" s="1574"/>
      <c r="AL171" s="1574"/>
      <c r="AM171" s="1574"/>
      <c r="AN171" s="1574"/>
      <c r="AO171" s="1574"/>
      <c r="AP171" s="1574"/>
      <c r="AQ171" s="1574"/>
      <c r="AR171" s="1574"/>
      <c r="AS171" s="1574"/>
      <c r="AT171" s="1574"/>
      <c r="AU171" s="1574"/>
      <c r="AV171" s="1574"/>
      <c r="AW171" s="1574"/>
      <c r="AX171" s="1574"/>
      <c r="AY171" s="1574"/>
      <c r="AZ171" s="1574"/>
      <c r="BA171" s="1574"/>
      <c r="BB171" s="1574"/>
      <c r="BC171" s="1574"/>
      <c r="BD171" s="1574"/>
      <c r="BE171" s="1574"/>
      <c r="BF171" s="1574"/>
      <c r="BG171" s="1574"/>
      <c r="BH171" s="1574"/>
      <c r="BI171" s="1574"/>
      <c r="BJ171" s="1574"/>
      <c r="BK171" s="1574"/>
      <c r="BL171" s="1574"/>
      <c r="BM171" s="1574"/>
      <c r="BN171" s="1574"/>
      <c r="BO171" s="1574"/>
      <c r="BP171" s="1574"/>
      <c r="BQ171" s="1574"/>
      <c r="BR171" s="1574"/>
      <c r="BS171" s="1574"/>
      <c r="BT171" s="1574"/>
      <c r="BU171" s="1574"/>
      <c r="BV171" s="1574"/>
      <c r="BW171" s="1574"/>
      <c r="BX171" s="1574"/>
      <c r="BY171" s="1574"/>
      <c r="BZ171" s="1574"/>
      <c r="CA171" s="1574"/>
      <c r="CB171" s="1574"/>
      <c r="CC171" s="1574"/>
      <c r="CD171" s="1574"/>
      <c r="CE171" s="1574"/>
      <c r="CF171" s="1574"/>
      <c r="CG171" s="1574"/>
      <c r="CH171" s="1574"/>
      <c r="CI171" s="1574"/>
      <c r="CJ171" s="1574"/>
      <c r="CK171" s="1574"/>
      <c r="CL171" s="1574"/>
      <c r="CM171" s="1574"/>
      <c r="CN171" s="1574"/>
      <c r="CO171" s="1574"/>
      <c r="CP171" s="1574"/>
      <c r="CQ171" s="1574"/>
      <c r="CR171" s="1574"/>
      <c r="CS171" s="1574"/>
      <c r="CT171" s="1574"/>
      <c r="CU171" s="1574"/>
      <c r="CV171" s="1574"/>
      <c r="CW171" s="1574"/>
      <c r="CX171" s="1574"/>
      <c r="CY171" s="1574"/>
      <c r="CZ171" s="1574"/>
      <c r="DA171" s="1574"/>
      <c r="DB171" s="1574"/>
      <c r="DC171" s="1574"/>
      <c r="DD171" s="1574"/>
      <c r="DE171" s="1574"/>
      <c r="DF171" s="1574"/>
      <c r="DG171" s="1574"/>
      <c r="DH171" s="1574"/>
      <c r="DI171" s="1574"/>
      <c r="DJ171" s="1574"/>
      <c r="DK171" s="1574"/>
      <c r="DL171" s="1574"/>
      <c r="DM171" s="1574"/>
      <c r="DN171" s="1574"/>
      <c r="DO171" s="1574"/>
      <c r="DP171" s="1574"/>
      <c r="DQ171" s="1574"/>
      <c r="DR171" s="1574"/>
      <c r="DS171" s="1574"/>
      <c r="DT171" s="1574"/>
      <c r="DU171" s="1574"/>
      <c r="DV171" s="1574"/>
      <c r="DW171" s="1574"/>
      <c r="DX171" s="1574"/>
      <c r="DY171" s="1574"/>
      <c r="DZ171" s="1574"/>
      <c r="EA171" s="1574"/>
      <c r="EB171" s="1574"/>
      <c r="EC171" s="1574"/>
      <c r="ED171" s="1574"/>
      <c r="EE171" s="1574"/>
      <c r="EF171" s="1574"/>
      <c r="EG171" s="1574"/>
      <c r="EH171" s="1574"/>
      <c r="EI171" s="1574"/>
      <c r="EJ171" s="1574"/>
      <c r="EK171" s="1574"/>
      <c r="EL171" s="1574"/>
      <c r="EM171" s="1574"/>
      <c r="EN171" s="1574"/>
      <c r="EO171" s="1574"/>
      <c r="EP171" s="1574"/>
      <c r="EQ171" s="1574"/>
      <c r="ER171" s="1574"/>
      <c r="ES171" s="1574"/>
      <c r="ET171" s="1574"/>
      <c r="EU171" s="1574"/>
      <c r="EV171" s="1574"/>
      <c r="EW171" s="1574"/>
      <c r="EX171" s="1574"/>
      <c r="EY171" s="1574"/>
      <c r="EZ171" s="1574"/>
      <c r="FA171" s="1574"/>
      <c r="FB171" s="1574"/>
      <c r="FC171" s="1574"/>
      <c r="FD171" s="1574"/>
      <c r="FE171" s="1574"/>
      <c r="FF171" s="1574"/>
      <c r="FG171" s="1574"/>
      <c r="FH171" s="1574"/>
      <c r="FI171" s="1574"/>
      <c r="FJ171" s="1574"/>
      <c r="FK171" s="1574"/>
      <c r="FL171" s="1574"/>
      <c r="FM171" s="1574"/>
      <c r="FN171" s="1574"/>
      <c r="FO171" s="1574"/>
      <c r="FP171" s="1574"/>
      <c r="FQ171" s="1574"/>
      <c r="FR171" s="1574"/>
      <c r="FS171" s="1574"/>
      <c r="FT171" s="1574"/>
      <c r="FU171" s="1574"/>
      <c r="FV171" s="1574"/>
      <c r="FW171" s="1574"/>
      <c r="FX171" s="1574"/>
      <c r="FY171" s="1574"/>
      <c r="FZ171" s="1574"/>
      <c r="GA171" s="1574"/>
      <c r="GB171" s="1574"/>
      <c r="GC171" s="1574"/>
      <c r="GD171" s="1574"/>
      <c r="GE171" s="1574"/>
      <c r="GF171" s="1574"/>
      <c r="GG171" s="1574"/>
      <c r="GH171" s="1574"/>
      <c r="GI171" s="1574"/>
      <c r="GJ171" s="1574"/>
      <c r="GK171" s="1574"/>
      <c r="GL171" s="1574"/>
      <c r="GM171" s="1574"/>
      <c r="GN171" s="1574"/>
      <c r="GO171" s="1574"/>
      <c r="GP171" s="1574"/>
      <c r="GQ171" s="1574"/>
      <c r="GR171" s="1574"/>
      <c r="GS171" s="1574"/>
      <c r="GT171" s="1574"/>
      <c r="GU171" s="1574"/>
      <c r="GV171" s="1574"/>
      <c r="GW171" s="1574"/>
      <c r="GX171" s="1574"/>
      <c r="GY171" s="1574"/>
      <c r="GZ171" s="1574"/>
      <c r="HA171" s="1574"/>
      <c r="HB171" s="1574"/>
      <c r="HC171" s="1574"/>
      <c r="HD171" s="1574"/>
      <c r="HE171" s="1574"/>
      <c r="HF171" s="1574"/>
      <c r="HG171" s="1574"/>
      <c r="HH171" s="1574"/>
      <c r="HI171" s="1574"/>
      <c r="HJ171" s="1574"/>
      <c r="HK171" s="1574"/>
      <c r="HL171" s="1574"/>
      <c r="HM171" s="1574"/>
      <c r="HN171" s="1574"/>
      <c r="HO171" s="1574"/>
      <c r="HP171" s="1574"/>
      <c r="HQ171" s="1574"/>
      <c r="HR171" s="1574"/>
      <c r="HS171" s="1574"/>
      <c r="HT171" s="1574"/>
      <c r="HU171" s="1574"/>
      <c r="HV171" s="1574"/>
      <c r="HW171" s="1574"/>
      <c r="HX171" s="1574"/>
      <c r="HY171" s="1574"/>
      <c r="HZ171" s="1574"/>
      <c r="IA171" s="1574"/>
      <c r="IB171" s="1574"/>
      <c r="IC171" s="1574"/>
      <c r="ID171" s="1574"/>
      <c r="IE171" s="1574"/>
      <c r="IF171" s="1574"/>
      <c r="IG171" s="1574"/>
      <c r="IH171" s="1574"/>
      <c r="II171" s="1574"/>
      <c r="IJ171" s="1574"/>
      <c r="IK171" s="1574"/>
      <c r="IL171" s="1574"/>
      <c r="IM171" s="1574"/>
      <c r="IN171" s="1574"/>
      <c r="IO171" s="1574"/>
      <c r="IP171" s="1574"/>
      <c r="IQ171" s="1574"/>
      <c r="IR171" s="1574"/>
      <c r="IS171" s="1574"/>
      <c r="IT171" s="1574"/>
      <c r="IU171" s="1574"/>
      <c r="IV171" s="1574"/>
      <c r="IW171" s="1574"/>
      <c r="IX171" s="1574"/>
      <c r="IY171" s="1574"/>
      <c r="IZ171" s="1574"/>
      <c r="JA171" s="1574"/>
      <c r="JB171" s="1574"/>
      <c r="JC171" s="1574"/>
      <c r="JD171" s="1574"/>
      <c r="JE171" s="1574"/>
      <c r="JF171" s="1574"/>
      <c r="JG171" s="1574"/>
      <c r="JH171" s="1574"/>
      <c r="JI171" s="1574"/>
      <c r="JJ171" s="1574"/>
      <c r="JK171" s="1574"/>
      <c r="JL171" s="1574"/>
      <c r="JM171" s="1574"/>
      <c r="JN171" s="1574"/>
      <c r="JO171" s="1574"/>
      <c r="JP171" s="1574"/>
      <c r="JQ171" s="1574"/>
      <c r="JR171" s="1574"/>
      <c r="JS171" s="1574"/>
      <c r="JT171" s="1574"/>
      <c r="JU171" s="1574"/>
      <c r="JV171" s="1574"/>
      <c r="JW171" s="1574"/>
      <c r="JX171" s="1574"/>
      <c r="JY171" s="1574"/>
      <c r="JZ171" s="1574"/>
      <c r="KA171" s="1574"/>
      <c r="KB171" s="1574"/>
      <c r="KC171" s="1574"/>
      <c r="KD171" s="1574"/>
      <c r="KE171" s="1574"/>
      <c r="KF171" s="1574"/>
      <c r="KG171" s="1574"/>
      <c r="KH171" s="1574"/>
      <c r="KI171" s="1574"/>
      <c r="KJ171" s="1574"/>
      <c r="KK171" s="1574"/>
      <c r="KL171" s="1574"/>
      <c r="KM171" s="1574"/>
      <c r="KN171" s="1574"/>
      <c r="KO171" s="1574"/>
      <c r="KP171" s="1574"/>
      <c r="KQ171" s="1574"/>
      <c r="KR171" s="1574"/>
      <c r="KS171" s="1574"/>
      <c r="KT171" s="1574"/>
      <c r="KU171" s="1574"/>
      <c r="KV171" s="1574"/>
      <c r="KW171" s="1574"/>
      <c r="KX171" s="1574"/>
      <c r="KY171" s="1574"/>
      <c r="KZ171" s="1574"/>
      <c r="LA171" s="1574"/>
      <c r="LB171" s="1574"/>
      <c r="LC171" s="1574"/>
      <c r="LD171" s="1574"/>
      <c r="LE171" s="1574"/>
      <c r="LF171" s="1574"/>
      <c r="LG171" s="1574"/>
      <c r="LH171" s="1574"/>
      <c r="LI171" s="1574"/>
      <c r="LJ171" s="1574"/>
      <c r="LK171" s="1574"/>
      <c r="LL171" s="1574"/>
      <c r="LM171" s="1574"/>
      <c r="LN171" s="1574"/>
      <c r="LO171" s="1574"/>
      <c r="LP171" s="1574"/>
      <c r="LQ171" s="1574"/>
      <c r="LR171" s="1574"/>
      <c r="LS171" s="1574"/>
      <c r="LT171" s="1574"/>
      <c r="LU171" s="1574"/>
      <c r="LV171" s="1574"/>
      <c r="LW171" s="1574"/>
      <c r="LX171" s="1574"/>
      <c r="LY171" s="1574"/>
      <c r="LZ171" s="1574"/>
      <c r="MA171" s="1574"/>
      <c r="MB171" s="1574"/>
      <c r="MC171" s="1574"/>
      <c r="MD171" s="1574"/>
      <c r="ME171" s="1574"/>
      <c r="MF171" s="1574"/>
      <c r="MG171" s="1574"/>
      <c r="MH171" s="1574"/>
      <c r="MI171" s="1574"/>
      <c r="MJ171" s="1574"/>
      <c r="MK171" s="1574"/>
      <c r="ML171" s="1574"/>
      <c r="MM171" s="1574"/>
      <c r="MN171" s="1574"/>
      <c r="MO171" s="1574"/>
      <c r="MP171" s="1574"/>
      <c r="MQ171" s="1574"/>
      <c r="MR171" s="1574"/>
      <c r="MS171" s="1574"/>
      <c r="MT171" s="1574"/>
      <c r="MU171" s="1574"/>
      <c r="MV171" s="1574"/>
      <c r="MW171" s="1574"/>
      <c r="MX171" s="1574"/>
      <c r="MY171" s="1574"/>
      <c r="MZ171" s="1574"/>
      <c r="NA171" s="1574"/>
      <c r="NB171" s="1574"/>
      <c r="NC171" s="1574"/>
      <c r="ND171" s="1574"/>
      <c r="NE171" s="1574"/>
      <c r="NF171" s="1574"/>
      <c r="NG171" s="1574"/>
      <c r="NH171" s="1574"/>
      <c r="NI171" s="1574"/>
      <c r="NJ171" s="1574"/>
      <c r="NK171" s="1574"/>
      <c r="NL171" s="1574"/>
      <c r="NM171" s="1574"/>
      <c r="NN171" s="1574"/>
      <c r="NO171" s="1574"/>
      <c r="NP171" s="1574"/>
      <c r="NQ171" s="1574"/>
      <c r="NR171" s="1574"/>
      <c r="NS171" s="1574"/>
      <c r="NT171" s="1574"/>
      <c r="NU171" s="1574"/>
      <c r="NV171" s="1574"/>
      <c r="NW171" s="1574"/>
      <c r="NX171" s="1574"/>
      <c r="NY171" s="1574"/>
      <c r="NZ171" s="1574"/>
      <c r="OA171" s="1574"/>
      <c r="OB171" s="1574"/>
      <c r="OC171" s="1574"/>
      <c r="OD171" s="1574"/>
      <c r="OE171" s="1574"/>
      <c r="OF171" s="1574"/>
      <c r="OG171" s="1574"/>
      <c r="OH171" s="1574"/>
      <c r="OI171" s="1574"/>
      <c r="OJ171" s="1574"/>
      <c r="OK171" s="1574"/>
      <c r="OL171" s="1574"/>
      <c r="OM171" s="1574"/>
      <c r="ON171" s="1574"/>
      <c r="OO171" s="1574"/>
      <c r="OP171" s="1574"/>
      <c r="OQ171" s="1574"/>
      <c r="OR171" s="1574"/>
      <c r="OS171" s="1574"/>
      <c r="OT171" s="1574"/>
      <c r="OU171" s="1574"/>
      <c r="OV171" s="1574"/>
      <c r="OW171" s="1574"/>
      <c r="OX171" s="1574"/>
      <c r="OY171" s="1574"/>
      <c r="OZ171" s="1574"/>
      <c r="PA171" s="1574"/>
      <c r="PB171" s="1574"/>
      <c r="PC171" s="1574"/>
      <c r="PD171" s="1574"/>
      <c r="PE171" s="1574"/>
      <c r="PF171" s="1574"/>
      <c r="PG171" s="1574"/>
      <c r="PH171" s="1574"/>
      <c r="PI171" s="1574"/>
      <c r="PJ171" s="1574"/>
      <c r="PK171" s="1574"/>
      <c r="PL171" s="1574"/>
      <c r="PM171" s="1574"/>
      <c r="PN171" s="1574"/>
      <c r="PO171" s="1574"/>
      <c r="PP171" s="1574"/>
      <c r="PQ171" s="1574"/>
      <c r="PR171" s="1574"/>
      <c r="PS171" s="1574"/>
      <c r="PT171" s="1574"/>
      <c r="PU171" s="1574"/>
      <c r="PV171" s="1574"/>
      <c r="PW171" s="1574"/>
      <c r="PX171" s="1574"/>
      <c r="PY171" s="1574"/>
      <c r="PZ171" s="1574"/>
      <c r="QA171" s="1574"/>
      <c r="QB171" s="1574"/>
      <c r="QC171" s="1574"/>
      <c r="QD171" s="1574"/>
      <c r="QE171" s="1574"/>
      <c r="QF171" s="1574"/>
      <c r="QG171" s="1574"/>
      <c r="QH171" s="1574"/>
      <c r="QI171" s="1574"/>
      <c r="QJ171" s="1574"/>
      <c r="QK171" s="1574"/>
      <c r="QL171" s="1574"/>
      <c r="QM171" s="1574"/>
      <c r="QN171" s="1574"/>
      <c r="QO171" s="1574"/>
      <c r="QP171" s="1574"/>
      <c r="QQ171" s="1574"/>
      <c r="QR171" s="1574"/>
      <c r="QS171" s="1574"/>
      <c r="QT171" s="1574"/>
      <c r="QU171" s="1574"/>
      <c r="QV171" s="1574"/>
      <c r="QW171" s="1574"/>
      <c r="QX171" s="1574"/>
      <c r="QY171" s="1574"/>
      <c r="QZ171" s="1574"/>
      <c r="RA171" s="1574"/>
      <c r="RB171" s="1574"/>
      <c r="RC171" s="1574"/>
      <c r="RD171" s="1574"/>
      <c r="RE171" s="1574"/>
      <c r="RF171" s="1574"/>
      <c r="RG171" s="1574"/>
      <c r="RH171" s="1574"/>
      <c r="RI171" s="1574"/>
      <c r="RJ171" s="1574"/>
      <c r="RK171" s="1574"/>
      <c r="RL171" s="1574"/>
      <c r="RM171" s="1574"/>
      <c r="RN171" s="1574"/>
      <c r="RO171" s="1574"/>
      <c r="RP171" s="1574"/>
      <c r="RQ171" s="1574"/>
      <c r="RR171" s="1574"/>
      <c r="RS171" s="1574"/>
      <c r="RT171" s="1574"/>
      <c r="RU171" s="1574"/>
      <c r="RV171" s="1574"/>
      <c r="RW171" s="1574"/>
      <c r="RX171" s="1574"/>
      <c r="RY171" s="1574"/>
      <c r="RZ171" s="1574"/>
      <c r="SA171" s="1574"/>
      <c r="SB171" s="1574"/>
      <c r="SC171" s="1574"/>
      <c r="SD171" s="1574"/>
      <c r="SE171" s="1574"/>
      <c r="SF171" s="1574"/>
      <c r="SG171" s="1574"/>
      <c r="SH171" s="1574"/>
      <c r="SI171" s="1574"/>
      <c r="SJ171" s="1574"/>
      <c r="SK171" s="1574"/>
      <c r="SL171" s="1574"/>
      <c r="SM171" s="1574"/>
      <c r="SN171" s="1574"/>
      <c r="SO171" s="1574"/>
      <c r="SP171" s="1574"/>
      <c r="SQ171" s="1574"/>
      <c r="SR171" s="1574"/>
      <c r="SS171" s="1574"/>
      <c r="ST171" s="1574"/>
      <c r="SU171" s="1574"/>
      <c r="SV171" s="1574"/>
      <c r="SW171" s="1574"/>
      <c r="SX171" s="1574"/>
      <c r="SY171" s="1574"/>
      <c r="SZ171" s="1574"/>
      <c r="TA171" s="1574"/>
      <c r="TB171" s="1574"/>
      <c r="TC171" s="1574"/>
      <c r="TD171" s="1574"/>
      <c r="TE171" s="1574"/>
      <c r="TF171" s="1574"/>
      <c r="TG171" s="1574"/>
      <c r="TH171" s="1574"/>
      <c r="TI171" s="1574"/>
      <c r="TJ171" s="1574"/>
      <c r="TK171" s="1574"/>
      <c r="TL171" s="1574"/>
      <c r="TM171" s="1574"/>
      <c r="TN171" s="1574"/>
      <c r="TO171" s="1574"/>
      <c r="TP171" s="1574"/>
      <c r="TQ171" s="1574"/>
      <c r="TR171" s="1574"/>
      <c r="TS171" s="1574"/>
      <c r="TT171" s="1574"/>
      <c r="TU171" s="1574"/>
      <c r="TV171" s="1574"/>
      <c r="TW171" s="1574"/>
      <c r="TX171" s="1574"/>
      <c r="TY171" s="1574"/>
      <c r="TZ171" s="1574"/>
      <c r="UA171" s="1574"/>
      <c r="UB171" s="1574"/>
      <c r="UC171" s="1574"/>
      <c r="UD171" s="1574"/>
      <c r="UE171" s="1574"/>
      <c r="UF171" s="1574"/>
      <c r="UG171" s="1574"/>
      <c r="UH171" s="1574"/>
      <c r="UI171" s="1574"/>
      <c r="UJ171" s="1574"/>
      <c r="UK171" s="1574"/>
      <c r="UL171" s="1574"/>
      <c r="UM171" s="1574"/>
      <c r="UN171" s="1574"/>
      <c r="UO171" s="1574"/>
      <c r="UP171" s="1574"/>
      <c r="UQ171" s="1574"/>
      <c r="UR171" s="1574"/>
      <c r="US171" s="1574"/>
      <c r="UT171" s="1574"/>
      <c r="UU171" s="1574"/>
      <c r="UV171" s="1574"/>
      <c r="UW171" s="1574"/>
      <c r="UX171" s="1574"/>
      <c r="UY171" s="1574"/>
      <c r="UZ171" s="1574"/>
      <c r="VA171" s="1574"/>
      <c r="VB171" s="1574"/>
      <c r="VC171" s="1574"/>
      <c r="VD171" s="1574"/>
      <c r="VE171" s="1574"/>
      <c r="VF171" s="1574"/>
      <c r="VG171" s="1574"/>
      <c r="VH171" s="1574"/>
      <c r="VI171" s="1574"/>
      <c r="VJ171" s="1574"/>
      <c r="VK171" s="1574"/>
    </row>
    <row r="172" spans="1:583" ht="34.5" customHeight="1" x14ac:dyDescent="0.25">
      <c r="B172" s="1610" t="s">
        <v>2872</v>
      </c>
      <c r="C172" s="1582" t="s">
        <v>2873</v>
      </c>
      <c r="D172" s="4710" t="s">
        <v>2874</v>
      </c>
      <c r="E172" s="4710">
        <v>0</v>
      </c>
      <c r="F172" s="1912"/>
      <c r="G172" s="1912"/>
      <c r="H172" s="1912"/>
      <c r="I172" s="1576"/>
      <c r="J172" s="1576"/>
      <c r="K172" s="1576"/>
      <c r="L172" s="1576"/>
      <c r="M172" s="1576"/>
      <c r="N172" s="1576"/>
      <c r="O172" s="1576"/>
      <c r="P172" s="1576"/>
      <c r="Q172" s="1576"/>
      <c r="R172" s="1576"/>
      <c r="S172" s="1576"/>
      <c r="T172" s="1576"/>
      <c r="U172" s="1576"/>
      <c r="V172" s="1576"/>
      <c r="W172" s="1576"/>
      <c r="X172" s="1576"/>
      <c r="Y172" s="1576"/>
      <c r="Z172" s="1576"/>
      <c r="AA172" s="1576"/>
      <c r="AB172" s="1576"/>
      <c r="AC172" s="1576"/>
      <c r="AD172" s="1576"/>
      <c r="AE172" s="1576"/>
      <c r="AF172" s="1576"/>
      <c r="AG172" s="1576"/>
      <c r="AH172" s="1576"/>
      <c r="AI172" s="1576"/>
      <c r="AJ172" s="1576"/>
      <c r="AK172" s="1576"/>
      <c r="AL172" s="1576"/>
      <c r="AM172" s="1576"/>
      <c r="AN172" s="1576"/>
      <c r="AO172" s="1576"/>
      <c r="AP172" s="1576"/>
      <c r="AQ172" s="1576"/>
      <c r="AR172" s="1576"/>
      <c r="AS172" s="1576"/>
      <c r="AT172" s="1576"/>
      <c r="AU172" s="1576"/>
      <c r="AV172" s="1576"/>
      <c r="AW172" s="1576"/>
      <c r="AX172" s="1576"/>
      <c r="AY172" s="1576"/>
      <c r="AZ172" s="1576"/>
      <c r="BA172" s="1576"/>
      <c r="BB172" s="1576"/>
      <c r="BC172" s="1576"/>
      <c r="BD172" s="1576"/>
      <c r="BE172" s="1576"/>
      <c r="BF172" s="1576"/>
      <c r="BG172" s="1576"/>
      <c r="BH172" s="1576"/>
      <c r="BI172" s="1576"/>
      <c r="BJ172" s="1576"/>
      <c r="BK172" s="1576"/>
      <c r="BL172" s="1576"/>
      <c r="BM172" s="1576"/>
      <c r="BN172" s="1576"/>
      <c r="BO172" s="1576"/>
      <c r="BP172" s="1576"/>
      <c r="BQ172" s="1576"/>
      <c r="BR172" s="1576"/>
      <c r="BS172" s="1576"/>
      <c r="BT172" s="1576"/>
      <c r="BU172" s="1576"/>
      <c r="BV172" s="1576"/>
      <c r="BW172" s="1576"/>
      <c r="BX172" s="1576"/>
      <c r="BY172" s="1576"/>
      <c r="BZ172" s="1576"/>
      <c r="CA172" s="1576"/>
      <c r="CB172" s="1576"/>
      <c r="CC172" s="1576"/>
      <c r="CD172" s="1576"/>
      <c r="CE172" s="1576"/>
      <c r="CF172" s="1576"/>
      <c r="CG172" s="1576"/>
      <c r="CH172" s="1576"/>
      <c r="CI172" s="1576"/>
      <c r="CJ172" s="1576"/>
      <c r="CK172" s="1576"/>
      <c r="CL172" s="1576"/>
      <c r="CM172" s="1576"/>
      <c r="CN172" s="1576"/>
      <c r="CO172" s="1576"/>
      <c r="CP172" s="1576"/>
      <c r="CQ172" s="1576"/>
      <c r="CR172" s="1576"/>
      <c r="CS172" s="1576"/>
      <c r="CT172" s="1576"/>
      <c r="CU172" s="1576"/>
      <c r="CV172" s="1576"/>
      <c r="CW172" s="1576"/>
      <c r="CX172" s="1576"/>
      <c r="CY172" s="1576"/>
      <c r="CZ172" s="1576"/>
      <c r="DA172" s="1576"/>
      <c r="DB172" s="1576"/>
      <c r="DC172" s="1576"/>
      <c r="DD172" s="1576"/>
      <c r="DE172" s="1576"/>
      <c r="DF172" s="1576"/>
      <c r="DG172" s="1576"/>
      <c r="DH172" s="1576"/>
      <c r="DI172" s="1576"/>
      <c r="DJ172" s="1576"/>
      <c r="DK172" s="1576"/>
      <c r="DL172" s="1576"/>
      <c r="DM172" s="1576"/>
      <c r="DN172" s="1576"/>
      <c r="DO172" s="1576"/>
      <c r="DP172" s="1576"/>
      <c r="DQ172" s="1576"/>
      <c r="DR172" s="1576"/>
      <c r="DS172" s="1576"/>
      <c r="DT172" s="1576"/>
      <c r="DU172" s="1576"/>
      <c r="DV172" s="1576"/>
      <c r="DW172" s="1576"/>
      <c r="DX172" s="1576"/>
      <c r="DY172" s="1576"/>
      <c r="DZ172" s="1576"/>
      <c r="EA172" s="1576"/>
      <c r="EB172" s="1576"/>
      <c r="EC172" s="1576"/>
      <c r="ED172" s="1576"/>
      <c r="EE172" s="1576"/>
      <c r="EF172" s="1576"/>
      <c r="EG172" s="1576"/>
      <c r="EH172" s="1576"/>
      <c r="EI172" s="1576"/>
      <c r="EJ172" s="1576"/>
      <c r="EK172" s="1576"/>
      <c r="EL172" s="1576"/>
      <c r="EM172" s="1576"/>
      <c r="EN172" s="1576"/>
      <c r="EO172" s="1576"/>
      <c r="EP172" s="1576"/>
      <c r="EQ172" s="1576"/>
      <c r="ER172" s="1576"/>
      <c r="ES172" s="1576"/>
      <c r="ET172" s="1576"/>
      <c r="EU172" s="1576"/>
      <c r="EV172" s="1576"/>
      <c r="EW172" s="1576"/>
      <c r="EX172" s="1576"/>
      <c r="EY172" s="1576"/>
      <c r="EZ172" s="1576"/>
      <c r="FA172" s="1576"/>
      <c r="FB172" s="1576"/>
      <c r="FC172" s="1576"/>
      <c r="FD172" s="1576"/>
      <c r="FE172" s="1576"/>
      <c r="FF172" s="1576"/>
      <c r="FG172" s="1576"/>
      <c r="FH172" s="1576"/>
      <c r="FI172" s="1576"/>
      <c r="FJ172" s="1576"/>
      <c r="FK172" s="1576"/>
      <c r="FL172" s="1576"/>
      <c r="FM172" s="1576"/>
      <c r="FN172" s="1576"/>
      <c r="FO172" s="1576"/>
      <c r="FP172" s="1576"/>
      <c r="FQ172" s="1576"/>
      <c r="FR172" s="1576"/>
      <c r="FS172" s="1576"/>
      <c r="FT172" s="1576"/>
      <c r="FU172" s="1576"/>
      <c r="FV172" s="1576"/>
      <c r="FW172" s="1576"/>
      <c r="FX172" s="1576"/>
      <c r="FY172" s="1576"/>
      <c r="FZ172" s="1576"/>
      <c r="GA172" s="1576"/>
      <c r="GB172" s="1576"/>
      <c r="GC172" s="1576"/>
      <c r="GD172" s="1576"/>
      <c r="GE172" s="1576"/>
      <c r="GF172" s="1576"/>
      <c r="GG172" s="1576"/>
      <c r="GH172" s="1576"/>
      <c r="GI172" s="1576"/>
      <c r="GJ172" s="1576"/>
      <c r="GK172" s="1576"/>
      <c r="GL172" s="1576"/>
      <c r="GM172" s="1576"/>
      <c r="GN172" s="1576"/>
      <c r="GO172" s="1576"/>
      <c r="GP172" s="1576"/>
      <c r="GQ172" s="1576"/>
      <c r="GR172" s="1576"/>
      <c r="GS172" s="1576"/>
      <c r="GT172" s="1576"/>
      <c r="GU172" s="1576"/>
      <c r="GV172" s="1576"/>
      <c r="GW172" s="1576"/>
      <c r="GX172" s="1576"/>
      <c r="GY172" s="1576"/>
      <c r="GZ172" s="1576"/>
      <c r="HA172" s="1576"/>
      <c r="HB172" s="1576"/>
      <c r="HC172" s="1576"/>
      <c r="HD172" s="1576"/>
      <c r="HE172" s="1576"/>
      <c r="HF172" s="1576"/>
      <c r="HG172" s="1576"/>
      <c r="HH172" s="1576"/>
      <c r="HI172" s="1576"/>
      <c r="HJ172" s="1576"/>
      <c r="HK172" s="1576"/>
      <c r="HL172" s="1576"/>
      <c r="HM172" s="1576"/>
      <c r="HN172" s="1576"/>
      <c r="HO172" s="1576"/>
      <c r="HP172" s="1576"/>
      <c r="HQ172" s="1576"/>
      <c r="HR172" s="1576"/>
      <c r="HS172" s="1576"/>
      <c r="HT172" s="1576"/>
      <c r="HU172" s="1576"/>
      <c r="HV172" s="1576"/>
      <c r="HW172" s="1576"/>
      <c r="HX172" s="1576"/>
      <c r="HY172" s="1576"/>
      <c r="HZ172" s="1576"/>
      <c r="IA172" s="1576"/>
      <c r="IB172" s="1576"/>
      <c r="IC172" s="1576"/>
      <c r="ID172" s="1576"/>
      <c r="IE172" s="1576"/>
      <c r="IF172" s="1576"/>
      <c r="IG172" s="1576"/>
      <c r="IH172" s="1576"/>
      <c r="II172" s="1576"/>
      <c r="IJ172" s="1576"/>
      <c r="IK172" s="1576"/>
      <c r="IL172" s="1576"/>
      <c r="IM172" s="1576"/>
      <c r="IN172" s="1576"/>
      <c r="IO172" s="1576"/>
      <c r="IP172" s="1576"/>
      <c r="IQ172" s="1576"/>
      <c r="IR172" s="1576"/>
      <c r="IS172" s="1576"/>
      <c r="IT172" s="1576"/>
      <c r="IU172" s="1576"/>
      <c r="IV172" s="1576"/>
      <c r="IW172" s="1576"/>
      <c r="IX172" s="1576"/>
      <c r="IY172" s="1576"/>
      <c r="IZ172" s="1576"/>
      <c r="JA172" s="2054"/>
      <c r="JB172" s="2054"/>
      <c r="JC172" s="2054"/>
      <c r="JD172" s="2054"/>
      <c r="JE172" s="2054"/>
      <c r="JF172" s="2054"/>
      <c r="JG172" s="2054"/>
      <c r="JH172" s="2054"/>
      <c r="JI172" s="2054"/>
      <c r="JJ172" s="2054"/>
      <c r="JK172" s="2054"/>
      <c r="JL172" s="2054"/>
      <c r="JM172" s="2054"/>
      <c r="JN172" s="2054"/>
      <c r="JO172" s="2054"/>
      <c r="JP172" s="2054"/>
      <c r="JQ172" s="2054"/>
      <c r="JR172" s="1576"/>
      <c r="JS172" s="1576"/>
      <c r="JT172" s="1576"/>
      <c r="JU172" s="1576"/>
      <c r="JV172" s="1576"/>
      <c r="JW172" s="1576"/>
      <c r="JX172" s="1576"/>
      <c r="JY172" s="1576"/>
      <c r="JZ172" s="1576"/>
      <c r="KA172" s="1576"/>
      <c r="KB172" s="1576"/>
      <c r="KC172" s="1576"/>
      <c r="KD172" s="1576"/>
      <c r="KE172" s="1576"/>
      <c r="KF172" s="1576"/>
      <c r="KG172" s="1576"/>
      <c r="KH172" s="1576"/>
      <c r="KI172" s="1576"/>
      <c r="KJ172" s="1576"/>
      <c r="KK172" s="1576"/>
      <c r="KL172" s="1576"/>
      <c r="KM172" s="1576"/>
      <c r="KN172" s="1576"/>
      <c r="KO172" s="1576"/>
      <c r="KP172" s="1576"/>
      <c r="KQ172" s="1576"/>
      <c r="KR172" s="1576"/>
      <c r="KS172" s="1576"/>
      <c r="KT172" s="1576"/>
      <c r="KU172" s="1576"/>
      <c r="KV172" s="1576"/>
      <c r="KW172" s="1576"/>
      <c r="KX172" s="1576"/>
      <c r="KY172" s="1576"/>
      <c r="KZ172" s="1576"/>
      <c r="LA172" s="1576"/>
      <c r="LB172" s="1576"/>
      <c r="LC172" s="1576"/>
      <c r="LD172" s="1576"/>
      <c r="LE172" s="1576"/>
      <c r="LF172" s="1576"/>
      <c r="LG172" s="1576"/>
      <c r="LH172" s="1576"/>
      <c r="LI172" s="1576"/>
      <c r="LJ172" s="1576"/>
      <c r="LK172" s="1576"/>
      <c r="LL172" s="1576"/>
      <c r="LM172" s="1576"/>
      <c r="LN172" s="1576"/>
      <c r="LO172" s="1576"/>
      <c r="LP172" s="1576"/>
      <c r="LQ172" s="1576"/>
      <c r="LR172" s="1576"/>
      <c r="LS172" s="1576"/>
      <c r="LT172" s="1576"/>
      <c r="LU172" s="1576"/>
      <c r="LV172" s="1576"/>
      <c r="LW172" s="1576"/>
      <c r="LX172" s="1576"/>
      <c r="LY172" s="1576"/>
      <c r="LZ172" s="1576"/>
      <c r="MA172" s="1576"/>
      <c r="MB172" s="1576"/>
      <c r="MC172" s="1576"/>
      <c r="MD172" s="1576"/>
      <c r="ME172" s="1576"/>
      <c r="MF172" s="1576"/>
      <c r="MG172" s="1576"/>
      <c r="MH172" s="1576"/>
      <c r="MI172" s="1576"/>
      <c r="MJ172" s="1576"/>
      <c r="MK172" s="1576"/>
      <c r="ML172" s="1576"/>
      <c r="MM172" s="1576"/>
      <c r="MN172" s="1576"/>
      <c r="MO172" s="1576"/>
      <c r="MP172" s="1576"/>
      <c r="MQ172" s="1576"/>
      <c r="MR172" s="1576"/>
      <c r="MS172" s="1576"/>
      <c r="MT172" s="1576"/>
      <c r="MU172" s="1576"/>
      <c r="MV172" s="1576"/>
      <c r="MW172" s="1576"/>
      <c r="MX172" s="1576"/>
      <c r="MY172" s="1576"/>
      <c r="MZ172" s="1576"/>
      <c r="NA172" s="1576"/>
      <c r="NB172" s="1576"/>
      <c r="NC172" s="1576"/>
      <c r="ND172" s="1576"/>
      <c r="NE172" s="1576"/>
      <c r="NF172" s="1576"/>
      <c r="NG172" s="1576"/>
      <c r="NH172" s="1576"/>
      <c r="NI172" s="1576"/>
      <c r="NJ172" s="1576"/>
      <c r="NK172" s="1576"/>
      <c r="NL172" s="1576"/>
      <c r="NM172" s="1576"/>
      <c r="NN172" s="1576"/>
      <c r="NO172" s="1576"/>
      <c r="NP172" s="1576"/>
      <c r="NQ172" s="1576"/>
      <c r="NR172" s="1576"/>
      <c r="NS172" s="1576"/>
      <c r="NT172" s="1576"/>
      <c r="NU172" s="1576"/>
      <c r="NV172" s="1576"/>
      <c r="NW172" s="1576"/>
      <c r="NX172" s="1576"/>
      <c r="NY172" s="1576"/>
      <c r="NZ172" s="1576"/>
      <c r="OA172" s="1576"/>
      <c r="OB172" s="1576"/>
      <c r="OC172" s="1576"/>
      <c r="OD172" s="1576"/>
      <c r="OE172" s="1576"/>
      <c r="OF172" s="1576"/>
      <c r="OG172" s="1576"/>
      <c r="OH172" s="1576"/>
      <c r="OI172" s="1576"/>
      <c r="OJ172" s="1576"/>
      <c r="OK172" s="1576"/>
      <c r="OL172" s="1576"/>
      <c r="OM172" s="1576"/>
      <c r="ON172" s="1576"/>
      <c r="OO172" s="1576"/>
      <c r="OP172" s="1576"/>
      <c r="OQ172" s="1576"/>
      <c r="OR172" s="1576"/>
      <c r="OS172" s="1576"/>
      <c r="OT172" s="1576"/>
      <c r="OU172" s="1576"/>
      <c r="OV172" s="1576"/>
      <c r="OW172" s="1576"/>
      <c r="OX172" s="1576"/>
      <c r="OY172" s="1576"/>
      <c r="OZ172" s="1576"/>
      <c r="PA172" s="1576"/>
      <c r="PB172" s="1576"/>
      <c r="PC172" s="1576"/>
      <c r="PD172" s="1576"/>
      <c r="PE172" s="1576"/>
      <c r="PF172" s="1576"/>
      <c r="PG172" s="1576"/>
      <c r="PH172" s="1576"/>
      <c r="PI172" s="1576"/>
      <c r="PJ172" s="1576"/>
      <c r="PK172" s="1576"/>
      <c r="PL172" s="1576"/>
      <c r="PM172" s="1576"/>
      <c r="PN172" s="1576"/>
      <c r="PO172" s="1576"/>
      <c r="PP172" s="1576"/>
      <c r="PQ172" s="1576"/>
      <c r="PR172" s="1576"/>
      <c r="PS172" s="1576"/>
      <c r="PT172" s="1576"/>
      <c r="PU172" s="1576"/>
      <c r="PV172" s="1576"/>
      <c r="PW172" s="1576"/>
      <c r="PX172" s="1576"/>
      <c r="PY172" s="1576"/>
      <c r="PZ172" s="1576"/>
      <c r="QA172" s="1576"/>
      <c r="QB172" s="1576"/>
      <c r="QC172" s="1576"/>
      <c r="QD172" s="1576"/>
      <c r="QE172" s="1576"/>
      <c r="QF172" s="1576"/>
      <c r="QG172" s="1576"/>
      <c r="QH172" s="1576"/>
      <c r="QI172" s="1576"/>
      <c r="QJ172" s="1576"/>
      <c r="QK172" s="1576"/>
      <c r="QL172" s="1576"/>
      <c r="QM172" s="1576"/>
      <c r="QN172" s="1576"/>
      <c r="QO172" s="1576"/>
      <c r="QP172" s="1576"/>
      <c r="QQ172" s="1576"/>
      <c r="QR172" s="1576"/>
      <c r="QS172" s="1576"/>
      <c r="QT172" s="1576"/>
      <c r="QU172" s="1576"/>
      <c r="QV172" s="1576"/>
      <c r="QW172" s="1576"/>
      <c r="QX172" s="1576"/>
      <c r="QY172" s="1576"/>
      <c r="QZ172" s="1576"/>
      <c r="RA172" s="1576"/>
      <c r="RB172" s="1576"/>
      <c r="RC172" s="1576"/>
      <c r="RD172" s="1576"/>
      <c r="RE172" s="1576"/>
      <c r="RF172" s="1576"/>
      <c r="RG172" s="1576"/>
      <c r="RH172" s="1576"/>
      <c r="RI172" s="1576"/>
      <c r="RJ172" s="1576"/>
      <c r="RK172" s="1576"/>
      <c r="RL172" s="1576"/>
      <c r="RM172" s="1576"/>
      <c r="RN172" s="1576"/>
      <c r="RO172" s="1576"/>
      <c r="RP172" s="1576"/>
      <c r="RQ172" s="1576"/>
      <c r="RR172" s="1576"/>
      <c r="RS172" s="1576"/>
      <c r="RT172" s="1576"/>
      <c r="RU172" s="1576"/>
      <c r="RV172" s="1576"/>
      <c r="RW172" s="1576"/>
      <c r="RX172" s="1576"/>
      <c r="RY172" s="1576"/>
      <c r="RZ172" s="1576"/>
      <c r="SA172" s="1576"/>
      <c r="SB172" s="1576"/>
      <c r="SC172" s="1576"/>
      <c r="SD172" s="1576"/>
      <c r="SE172" s="1576"/>
      <c r="SF172" s="1576"/>
      <c r="SG172" s="1576"/>
      <c r="SH172" s="1576"/>
      <c r="SI172" s="1576"/>
      <c r="SJ172" s="1576"/>
      <c r="SK172" s="1576"/>
      <c r="SL172" s="1576"/>
      <c r="SM172" s="1576"/>
      <c r="SN172" s="1576"/>
      <c r="SO172" s="1576"/>
      <c r="SP172" s="1576"/>
      <c r="SQ172" s="1576"/>
      <c r="SR172" s="1576"/>
      <c r="SS172" s="1576"/>
      <c r="ST172" s="1576"/>
      <c r="SU172" s="1576"/>
      <c r="SV172" s="1576"/>
      <c r="SW172" s="1576"/>
      <c r="SX172" s="1576"/>
      <c r="SY172" s="1576"/>
      <c r="SZ172" s="1576"/>
      <c r="TA172" s="1576"/>
      <c r="TB172" s="1576"/>
      <c r="TC172" s="1576"/>
      <c r="TD172" s="1576"/>
      <c r="TE172" s="1576"/>
      <c r="TF172" s="1576"/>
      <c r="TG172" s="1576"/>
      <c r="TH172" s="1576"/>
      <c r="TI172" s="1576"/>
      <c r="TJ172" s="1576"/>
      <c r="TK172" s="1576"/>
      <c r="TL172" s="1576"/>
      <c r="TM172" s="1576"/>
      <c r="TN172" s="1576"/>
      <c r="TO172" s="1576"/>
      <c r="TP172" s="1576"/>
      <c r="TQ172" s="1576"/>
      <c r="TR172" s="1576"/>
      <c r="TS172" s="1576"/>
      <c r="TT172" s="1576"/>
      <c r="TU172" s="1576"/>
      <c r="TV172" s="1576"/>
      <c r="TW172" s="1576"/>
      <c r="TX172" s="1576"/>
      <c r="TY172" s="1576"/>
      <c r="TZ172" s="1576"/>
      <c r="UA172" s="1576"/>
      <c r="UB172" s="1576"/>
      <c r="UC172" s="1576"/>
      <c r="UD172" s="1576"/>
      <c r="UE172" s="1576"/>
      <c r="UF172" s="1576"/>
      <c r="UG172" s="1576"/>
      <c r="UH172" s="1576"/>
      <c r="UI172" s="1576"/>
      <c r="UJ172" s="1576"/>
      <c r="UK172" s="1576"/>
      <c r="UL172" s="1576"/>
      <c r="UM172" s="1576"/>
      <c r="UN172" s="1576"/>
      <c r="UO172" s="1576"/>
      <c r="UP172" s="1576"/>
      <c r="UQ172" s="1576"/>
      <c r="UR172" s="1576"/>
      <c r="US172" s="1576"/>
      <c r="UT172" s="1576"/>
      <c r="UU172" s="1576"/>
      <c r="UV172" s="1576"/>
      <c r="UW172" s="1576"/>
      <c r="UX172" s="1576"/>
      <c r="UY172" s="1576"/>
      <c r="UZ172" s="1576"/>
      <c r="VA172" s="1576"/>
      <c r="VB172" s="1576"/>
      <c r="VC172" s="1576"/>
      <c r="VD172" s="1576"/>
      <c r="VE172" s="1576"/>
      <c r="VF172" s="1576"/>
      <c r="VG172" s="1576"/>
      <c r="VH172" s="1576"/>
      <c r="VI172" s="1576"/>
      <c r="VJ172" s="1576"/>
      <c r="VK172" s="1576"/>
    </row>
    <row r="173" spans="1:583" ht="44.25" customHeight="1" x14ac:dyDescent="0.25">
      <c r="B173" s="1610" t="s">
        <v>2872</v>
      </c>
      <c r="C173" s="2062" t="s">
        <v>2963</v>
      </c>
      <c r="D173" s="1582" t="s">
        <v>2872</v>
      </c>
      <c r="E173" s="2062" t="s">
        <v>2963</v>
      </c>
      <c r="F173" s="2061">
        <f>SUM(F172)</f>
        <v>0</v>
      </c>
      <c r="G173" s="2061">
        <f t="shared" ref="G173:BR173" si="255">SUM(G172)</f>
        <v>0</v>
      </c>
      <c r="H173" s="2061">
        <f t="shared" si="255"/>
        <v>0</v>
      </c>
      <c r="I173" s="2061">
        <f t="shared" si="255"/>
        <v>0</v>
      </c>
      <c r="J173" s="2061">
        <f t="shared" si="255"/>
        <v>0</v>
      </c>
      <c r="K173" s="2061">
        <f t="shared" si="255"/>
        <v>0</v>
      </c>
      <c r="L173" s="2061">
        <f t="shared" si="255"/>
        <v>0</v>
      </c>
      <c r="M173" s="2061">
        <f t="shared" si="255"/>
        <v>0</v>
      </c>
      <c r="N173" s="2061">
        <f t="shared" si="255"/>
        <v>0</v>
      </c>
      <c r="O173" s="2061">
        <f t="shared" si="255"/>
        <v>0</v>
      </c>
      <c r="P173" s="2061">
        <f t="shared" si="255"/>
        <v>0</v>
      </c>
      <c r="Q173" s="2061">
        <f t="shared" si="255"/>
        <v>0</v>
      </c>
      <c r="R173" s="2061">
        <f t="shared" si="255"/>
        <v>0</v>
      </c>
      <c r="S173" s="2061">
        <f t="shared" si="255"/>
        <v>0</v>
      </c>
      <c r="T173" s="2061">
        <f t="shared" si="255"/>
        <v>0</v>
      </c>
      <c r="U173" s="2061">
        <f t="shared" si="255"/>
        <v>0</v>
      </c>
      <c r="V173" s="2061">
        <f t="shared" si="255"/>
        <v>0</v>
      </c>
      <c r="W173" s="2061">
        <f t="shared" si="255"/>
        <v>0</v>
      </c>
      <c r="X173" s="2061">
        <f t="shared" si="255"/>
        <v>0</v>
      </c>
      <c r="Y173" s="2061">
        <f t="shared" si="255"/>
        <v>0</v>
      </c>
      <c r="Z173" s="2061">
        <f t="shared" si="255"/>
        <v>0</v>
      </c>
      <c r="AA173" s="2061">
        <f t="shared" si="255"/>
        <v>0</v>
      </c>
      <c r="AB173" s="2061">
        <f t="shared" si="255"/>
        <v>0</v>
      </c>
      <c r="AC173" s="2061">
        <f t="shared" si="255"/>
        <v>0</v>
      </c>
      <c r="AD173" s="2061">
        <f t="shared" si="255"/>
        <v>0</v>
      </c>
      <c r="AE173" s="2061">
        <f t="shared" si="255"/>
        <v>0</v>
      </c>
      <c r="AF173" s="2061">
        <f t="shared" si="255"/>
        <v>0</v>
      </c>
      <c r="AG173" s="2061">
        <f t="shared" si="255"/>
        <v>0</v>
      </c>
      <c r="AH173" s="2061">
        <f t="shared" si="255"/>
        <v>0</v>
      </c>
      <c r="AI173" s="2061">
        <f t="shared" si="255"/>
        <v>0</v>
      </c>
      <c r="AJ173" s="2061">
        <f t="shared" si="255"/>
        <v>0</v>
      </c>
      <c r="AK173" s="2061">
        <f t="shared" si="255"/>
        <v>0</v>
      </c>
      <c r="AL173" s="2061">
        <f t="shared" si="255"/>
        <v>0</v>
      </c>
      <c r="AM173" s="2061">
        <f t="shared" si="255"/>
        <v>0</v>
      </c>
      <c r="AN173" s="2061">
        <f t="shared" si="255"/>
        <v>0</v>
      </c>
      <c r="AO173" s="2061">
        <f t="shared" si="255"/>
        <v>0</v>
      </c>
      <c r="AP173" s="2061">
        <f t="shared" si="255"/>
        <v>0</v>
      </c>
      <c r="AQ173" s="2061">
        <f t="shared" si="255"/>
        <v>0</v>
      </c>
      <c r="AR173" s="2061">
        <f t="shared" si="255"/>
        <v>0</v>
      </c>
      <c r="AS173" s="2061">
        <f t="shared" si="255"/>
        <v>0</v>
      </c>
      <c r="AT173" s="2061">
        <f t="shared" si="255"/>
        <v>0</v>
      </c>
      <c r="AU173" s="2061">
        <f t="shared" si="255"/>
        <v>0</v>
      </c>
      <c r="AV173" s="2061">
        <f t="shared" si="255"/>
        <v>0</v>
      </c>
      <c r="AW173" s="2061">
        <f t="shared" si="255"/>
        <v>0</v>
      </c>
      <c r="AX173" s="2061">
        <f t="shared" si="255"/>
        <v>0</v>
      </c>
      <c r="AY173" s="2061">
        <f t="shared" si="255"/>
        <v>0</v>
      </c>
      <c r="AZ173" s="2061">
        <f t="shared" si="255"/>
        <v>0</v>
      </c>
      <c r="BA173" s="2061">
        <f t="shared" si="255"/>
        <v>0</v>
      </c>
      <c r="BB173" s="2061">
        <f t="shared" si="255"/>
        <v>0</v>
      </c>
      <c r="BC173" s="2061">
        <f t="shared" si="255"/>
        <v>0</v>
      </c>
      <c r="BD173" s="2061">
        <f t="shared" si="255"/>
        <v>0</v>
      </c>
      <c r="BE173" s="2061">
        <f t="shared" si="255"/>
        <v>0</v>
      </c>
      <c r="BF173" s="2061">
        <f t="shared" si="255"/>
        <v>0</v>
      </c>
      <c r="BG173" s="2061">
        <f t="shared" si="255"/>
        <v>0</v>
      </c>
      <c r="BH173" s="2061">
        <f t="shared" si="255"/>
        <v>0</v>
      </c>
      <c r="BI173" s="2061">
        <f t="shared" si="255"/>
        <v>0</v>
      </c>
      <c r="BJ173" s="2061">
        <f t="shared" si="255"/>
        <v>0</v>
      </c>
      <c r="BK173" s="2061">
        <f t="shared" si="255"/>
        <v>0</v>
      </c>
      <c r="BL173" s="2061">
        <f t="shared" si="255"/>
        <v>0</v>
      </c>
      <c r="BM173" s="2061">
        <f t="shared" si="255"/>
        <v>0</v>
      </c>
      <c r="BN173" s="2061">
        <f t="shared" si="255"/>
        <v>0</v>
      </c>
      <c r="BO173" s="2061">
        <f t="shared" si="255"/>
        <v>0</v>
      </c>
      <c r="BP173" s="2061">
        <f t="shared" si="255"/>
        <v>0</v>
      </c>
      <c r="BQ173" s="2061">
        <f t="shared" si="255"/>
        <v>0</v>
      </c>
      <c r="BR173" s="2061">
        <f t="shared" si="255"/>
        <v>0</v>
      </c>
      <c r="BS173" s="2061">
        <f t="shared" ref="BS173:ED173" si="256">SUM(BS172)</f>
        <v>0</v>
      </c>
      <c r="BT173" s="2061">
        <f t="shared" si="256"/>
        <v>0</v>
      </c>
      <c r="BU173" s="2061">
        <f t="shared" si="256"/>
        <v>0</v>
      </c>
      <c r="BV173" s="2061">
        <f t="shared" si="256"/>
        <v>0</v>
      </c>
      <c r="BW173" s="2061">
        <f t="shared" si="256"/>
        <v>0</v>
      </c>
      <c r="BX173" s="2061">
        <f t="shared" si="256"/>
        <v>0</v>
      </c>
      <c r="BY173" s="2061">
        <f t="shared" si="256"/>
        <v>0</v>
      </c>
      <c r="BZ173" s="2061">
        <f t="shared" si="256"/>
        <v>0</v>
      </c>
      <c r="CA173" s="2061">
        <f t="shared" si="256"/>
        <v>0</v>
      </c>
      <c r="CB173" s="2061">
        <f t="shared" si="256"/>
        <v>0</v>
      </c>
      <c r="CC173" s="2061">
        <f t="shared" si="256"/>
        <v>0</v>
      </c>
      <c r="CD173" s="2061">
        <f t="shared" si="256"/>
        <v>0</v>
      </c>
      <c r="CE173" s="2061">
        <f t="shared" si="256"/>
        <v>0</v>
      </c>
      <c r="CF173" s="2061">
        <f t="shared" si="256"/>
        <v>0</v>
      </c>
      <c r="CG173" s="2061">
        <f t="shared" si="256"/>
        <v>0</v>
      </c>
      <c r="CH173" s="2061">
        <f t="shared" si="256"/>
        <v>0</v>
      </c>
      <c r="CI173" s="2061">
        <f t="shared" si="256"/>
        <v>0</v>
      </c>
      <c r="CJ173" s="2061">
        <f t="shared" si="256"/>
        <v>0</v>
      </c>
      <c r="CK173" s="2061">
        <f t="shared" si="256"/>
        <v>0</v>
      </c>
      <c r="CL173" s="2061">
        <f t="shared" si="256"/>
        <v>0</v>
      </c>
      <c r="CM173" s="2061">
        <f t="shared" si="256"/>
        <v>0</v>
      </c>
      <c r="CN173" s="2061">
        <f t="shared" si="256"/>
        <v>0</v>
      </c>
      <c r="CO173" s="2061">
        <f t="shared" si="256"/>
        <v>0</v>
      </c>
      <c r="CP173" s="2061">
        <f t="shared" si="256"/>
        <v>0</v>
      </c>
      <c r="CQ173" s="2061">
        <f t="shared" si="256"/>
        <v>0</v>
      </c>
      <c r="CR173" s="2061">
        <f t="shared" si="256"/>
        <v>0</v>
      </c>
      <c r="CS173" s="2061">
        <f t="shared" si="256"/>
        <v>0</v>
      </c>
      <c r="CT173" s="2061">
        <f t="shared" si="256"/>
        <v>0</v>
      </c>
      <c r="CU173" s="2061">
        <f t="shared" si="256"/>
        <v>0</v>
      </c>
      <c r="CV173" s="2061">
        <f t="shared" si="256"/>
        <v>0</v>
      </c>
      <c r="CW173" s="2061">
        <f t="shared" si="256"/>
        <v>0</v>
      </c>
      <c r="CX173" s="2061">
        <f t="shared" si="256"/>
        <v>0</v>
      </c>
      <c r="CY173" s="2061">
        <f t="shared" si="256"/>
        <v>0</v>
      </c>
      <c r="CZ173" s="2061">
        <f t="shared" si="256"/>
        <v>0</v>
      </c>
      <c r="DA173" s="2061">
        <f t="shared" si="256"/>
        <v>0</v>
      </c>
      <c r="DB173" s="2061">
        <f t="shared" si="256"/>
        <v>0</v>
      </c>
      <c r="DC173" s="2061">
        <f t="shared" si="256"/>
        <v>0</v>
      </c>
      <c r="DD173" s="2061">
        <f t="shared" si="256"/>
        <v>0</v>
      </c>
      <c r="DE173" s="2061">
        <f t="shared" si="256"/>
        <v>0</v>
      </c>
      <c r="DF173" s="2061">
        <f t="shared" si="256"/>
        <v>0</v>
      </c>
      <c r="DG173" s="2061">
        <f t="shared" si="256"/>
        <v>0</v>
      </c>
      <c r="DH173" s="2061">
        <f t="shared" si="256"/>
        <v>0</v>
      </c>
      <c r="DI173" s="2061">
        <f t="shared" si="256"/>
        <v>0</v>
      </c>
      <c r="DJ173" s="2061">
        <f t="shared" si="256"/>
        <v>0</v>
      </c>
      <c r="DK173" s="2061">
        <f t="shared" si="256"/>
        <v>0</v>
      </c>
      <c r="DL173" s="2061">
        <f t="shared" si="256"/>
        <v>0</v>
      </c>
      <c r="DM173" s="2061">
        <f t="shared" si="256"/>
        <v>0</v>
      </c>
      <c r="DN173" s="2061">
        <f t="shared" si="256"/>
        <v>0</v>
      </c>
      <c r="DO173" s="2061">
        <f t="shared" si="256"/>
        <v>0</v>
      </c>
      <c r="DP173" s="2061">
        <f t="shared" si="256"/>
        <v>0</v>
      </c>
      <c r="DQ173" s="2061">
        <f t="shared" si="256"/>
        <v>0</v>
      </c>
      <c r="DR173" s="2061">
        <f t="shared" si="256"/>
        <v>0</v>
      </c>
      <c r="DS173" s="2061">
        <f t="shared" si="256"/>
        <v>0</v>
      </c>
      <c r="DT173" s="2061">
        <f t="shared" si="256"/>
        <v>0</v>
      </c>
      <c r="DU173" s="2061">
        <f t="shared" si="256"/>
        <v>0</v>
      </c>
      <c r="DV173" s="2061">
        <f t="shared" si="256"/>
        <v>0</v>
      </c>
      <c r="DW173" s="2061">
        <f t="shared" si="256"/>
        <v>0</v>
      </c>
      <c r="DX173" s="2061">
        <f t="shared" si="256"/>
        <v>0</v>
      </c>
      <c r="DY173" s="2061">
        <f t="shared" si="256"/>
        <v>0</v>
      </c>
      <c r="DZ173" s="2061">
        <f t="shared" si="256"/>
        <v>0</v>
      </c>
      <c r="EA173" s="2061">
        <f t="shared" si="256"/>
        <v>0</v>
      </c>
      <c r="EB173" s="2061">
        <f t="shared" si="256"/>
        <v>0</v>
      </c>
      <c r="EC173" s="2061">
        <f t="shared" si="256"/>
        <v>0</v>
      </c>
      <c r="ED173" s="2061">
        <f t="shared" si="256"/>
        <v>0</v>
      </c>
      <c r="EE173" s="2061">
        <f t="shared" ref="EE173:GP173" si="257">SUM(EE172)</f>
        <v>0</v>
      </c>
      <c r="EF173" s="2061">
        <f t="shared" si="257"/>
        <v>0</v>
      </c>
      <c r="EG173" s="2061">
        <f t="shared" si="257"/>
        <v>0</v>
      </c>
      <c r="EH173" s="2061">
        <f t="shared" si="257"/>
        <v>0</v>
      </c>
      <c r="EI173" s="2061">
        <f t="shared" si="257"/>
        <v>0</v>
      </c>
      <c r="EJ173" s="2061">
        <f t="shared" si="257"/>
        <v>0</v>
      </c>
      <c r="EK173" s="2061">
        <f t="shared" si="257"/>
        <v>0</v>
      </c>
      <c r="EL173" s="2061">
        <f t="shared" si="257"/>
        <v>0</v>
      </c>
      <c r="EM173" s="2061">
        <f t="shared" si="257"/>
        <v>0</v>
      </c>
      <c r="EN173" s="2061">
        <f t="shared" si="257"/>
        <v>0</v>
      </c>
      <c r="EO173" s="2061">
        <f t="shared" si="257"/>
        <v>0</v>
      </c>
      <c r="EP173" s="2061">
        <f t="shared" si="257"/>
        <v>0</v>
      </c>
      <c r="EQ173" s="2061">
        <f t="shared" si="257"/>
        <v>0</v>
      </c>
      <c r="ER173" s="2061">
        <f t="shared" si="257"/>
        <v>0</v>
      </c>
      <c r="ES173" s="2061">
        <f t="shared" si="257"/>
        <v>0</v>
      </c>
      <c r="ET173" s="2061">
        <f t="shared" si="257"/>
        <v>0</v>
      </c>
      <c r="EU173" s="2061">
        <f t="shared" si="257"/>
        <v>0</v>
      </c>
      <c r="EV173" s="2061">
        <f t="shared" si="257"/>
        <v>0</v>
      </c>
      <c r="EW173" s="2061">
        <f t="shared" si="257"/>
        <v>0</v>
      </c>
      <c r="EX173" s="2061">
        <f t="shared" si="257"/>
        <v>0</v>
      </c>
      <c r="EY173" s="2061">
        <f t="shared" si="257"/>
        <v>0</v>
      </c>
      <c r="EZ173" s="2061">
        <f t="shared" si="257"/>
        <v>0</v>
      </c>
      <c r="FA173" s="2061">
        <f t="shared" si="257"/>
        <v>0</v>
      </c>
      <c r="FB173" s="2061">
        <f t="shared" si="257"/>
        <v>0</v>
      </c>
      <c r="FC173" s="2061">
        <f t="shared" si="257"/>
        <v>0</v>
      </c>
      <c r="FD173" s="2061">
        <f t="shared" si="257"/>
        <v>0</v>
      </c>
      <c r="FE173" s="2061">
        <f t="shared" si="257"/>
        <v>0</v>
      </c>
      <c r="FF173" s="2061">
        <f t="shared" si="257"/>
        <v>0</v>
      </c>
      <c r="FG173" s="2061">
        <f t="shared" si="257"/>
        <v>0</v>
      </c>
      <c r="FH173" s="2061">
        <f t="shared" si="257"/>
        <v>0</v>
      </c>
      <c r="FI173" s="2061">
        <f t="shared" si="257"/>
        <v>0</v>
      </c>
      <c r="FJ173" s="2061">
        <f t="shared" si="257"/>
        <v>0</v>
      </c>
      <c r="FK173" s="2061">
        <f t="shared" si="257"/>
        <v>0</v>
      </c>
      <c r="FL173" s="2061">
        <f t="shared" si="257"/>
        <v>0</v>
      </c>
      <c r="FM173" s="2061">
        <f t="shared" si="257"/>
        <v>0</v>
      </c>
      <c r="FN173" s="2061">
        <f t="shared" si="257"/>
        <v>0</v>
      </c>
      <c r="FO173" s="2061">
        <f t="shared" si="257"/>
        <v>0</v>
      </c>
      <c r="FP173" s="2061">
        <f t="shared" si="257"/>
        <v>0</v>
      </c>
      <c r="FQ173" s="2061">
        <f t="shared" si="257"/>
        <v>0</v>
      </c>
      <c r="FR173" s="2061">
        <f t="shared" si="257"/>
        <v>0</v>
      </c>
      <c r="FS173" s="2061">
        <f t="shared" si="257"/>
        <v>0</v>
      </c>
      <c r="FT173" s="2061">
        <f t="shared" si="257"/>
        <v>0</v>
      </c>
      <c r="FU173" s="2061">
        <f t="shared" si="257"/>
        <v>0</v>
      </c>
      <c r="FV173" s="2061">
        <f t="shared" si="257"/>
        <v>0</v>
      </c>
      <c r="FW173" s="2061">
        <f t="shared" si="257"/>
        <v>0</v>
      </c>
      <c r="FX173" s="2061">
        <f t="shared" si="257"/>
        <v>0</v>
      </c>
      <c r="FY173" s="2061">
        <f t="shared" si="257"/>
        <v>0</v>
      </c>
      <c r="FZ173" s="2061">
        <f t="shared" si="257"/>
        <v>0</v>
      </c>
      <c r="GA173" s="2061">
        <f t="shared" si="257"/>
        <v>0</v>
      </c>
      <c r="GB173" s="2061">
        <f t="shared" si="257"/>
        <v>0</v>
      </c>
      <c r="GC173" s="2061">
        <f t="shared" si="257"/>
        <v>0</v>
      </c>
      <c r="GD173" s="2061">
        <f t="shared" si="257"/>
        <v>0</v>
      </c>
      <c r="GE173" s="2061">
        <f t="shared" si="257"/>
        <v>0</v>
      </c>
      <c r="GF173" s="2061">
        <f t="shared" si="257"/>
        <v>0</v>
      </c>
      <c r="GG173" s="2061">
        <f t="shared" si="257"/>
        <v>0</v>
      </c>
      <c r="GH173" s="2061">
        <f t="shared" si="257"/>
        <v>0</v>
      </c>
      <c r="GI173" s="2061">
        <f t="shared" si="257"/>
        <v>0</v>
      </c>
      <c r="GJ173" s="2061">
        <f t="shared" si="257"/>
        <v>0</v>
      </c>
      <c r="GK173" s="2061">
        <f t="shared" si="257"/>
        <v>0</v>
      </c>
      <c r="GL173" s="2061">
        <f t="shared" si="257"/>
        <v>0</v>
      </c>
      <c r="GM173" s="2061">
        <f t="shared" si="257"/>
        <v>0</v>
      </c>
      <c r="GN173" s="2061">
        <f t="shared" si="257"/>
        <v>0</v>
      </c>
      <c r="GO173" s="2061">
        <f t="shared" si="257"/>
        <v>0</v>
      </c>
      <c r="GP173" s="2061">
        <f t="shared" si="257"/>
        <v>0</v>
      </c>
      <c r="GQ173" s="2061">
        <f t="shared" ref="GQ173:JB173" si="258">SUM(GQ172)</f>
        <v>0</v>
      </c>
      <c r="GR173" s="2061">
        <f t="shared" si="258"/>
        <v>0</v>
      </c>
      <c r="GS173" s="2061">
        <f t="shared" si="258"/>
        <v>0</v>
      </c>
      <c r="GT173" s="2061">
        <f t="shared" si="258"/>
        <v>0</v>
      </c>
      <c r="GU173" s="2061">
        <f t="shared" si="258"/>
        <v>0</v>
      </c>
      <c r="GV173" s="2061">
        <f t="shared" si="258"/>
        <v>0</v>
      </c>
      <c r="GW173" s="2061">
        <f t="shared" si="258"/>
        <v>0</v>
      </c>
      <c r="GX173" s="2061">
        <f t="shared" si="258"/>
        <v>0</v>
      </c>
      <c r="GY173" s="2061">
        <f t="shared" si="258"/>
        <v>0</v>
      </c>
      <c r="GZ173" s="2061">
        <f t="shared" si="258"/>
        <v>0</v>
      </c>
      <c r="HA173" s="2061">
        <f t="shared" si="258"/>
        <v>0</v>
      </c>
      <c r="HB173" s="2061">
        <f t="shared" si="258"/>
        <v>0</v>
      </c>
      <c r="HC173" s="2061">
        <f t="shared" si="258"/>
        <v>0</v>
      </c>
      <c r="HD173" s="2061">
        <f t="shared" si="258"/>
        <v>0</v>
      </c>
      <c r="HE173" s="2061">
        <f t="shared" si="258"/>
        <v>0</v>
      </c>
      <c r="HF173" s="2061">
        <f t="shared" si="258"/>
        <v>0</v>
      </c>
      <c r="HG173" s="2061">
        <f t="shared" si="258"/>
        <v>0</v>
      </c>
      <c r="HH173" s="2061">
        <f t="shared" si="258"/>
        <v>0</v>
      </c>
      <c r="HI173" s="2061">
        <f t="shared" si="258"/>
        <v>0</v>
      </c>
      <c r="HJ173" s="2061">
        <f t="shared" si="258"/>
        <v>0</v>
      </c>
      <c r="HK173" s="2061">
        <f t="shared" si="258"/>
        <v>0</v>
      </c>
      <c r="HL173" s="2061">
        <f t="shared" si="258"/>
        <v>0</v>
      </c>
      <c r="HM173" s="2061">
        <f t="shared" si="258"/>
        <v>0</v>
      </c>
      <c r="HN173" s="2061">
        <f t="shared" si="258"/>
        <v>0</v>
      </c>
      <c r="HO173" s="2061">
        <f t="shared" si="258"/>
        <v>0</v>
      </c>
      <c r="HP173" s="2061">
        <f t="shared" si="258"/>
        <v>0</v>
      </c>
      <c r="HQ173" s="2061">
        <f t="shared" si="258"/>
        <v>0</v>
      </c>
      <c r="HR173" s="2061">
        <f t="shared" si="258"/>
        <v>0</v>
      </c>
      <c r="HS173" s="2061">
        <f t="shared" si="258"/>
        <v>0</v>
      </c>
      <c r="HT173" s="2061">
        <f t="shared" si="258"/>
        <v>0</v>
      </c>
      <c r="HU173" s="2061">
        <f t="shared" si="258"/>
        <v>0</v>
      </c>
      <c r="HV173" s="2061">
        <f t="shared" si="258"/>
        <v>0</v>
      </c>
      <c r="HW173" s="2061">
        <f t="shared" si="258"/>
        <v>0</v>
      </c>
      <c r="HX173" s="2061">
        <f t="shared" si="258"/>
        <v>0</v>
      </c>
      <c r="HY173" s="2061">
        <f t="shared" si="258"/>
        <v>0</v>
      </c>
      <c r="HZ173" s="2061">
        <f t="shared" si="258"/>
        <v>0</v>
      </c>
      <c r="IA173" s="2061">
        <f t="shared" si="258"/>
        <v>0</v>
      </c>
      <c r="IB173" s="2061">
        <f t="shared" si="258"/>
        <v>0</v>
      </c>
      <c r="IC173" s="2061">
        <f t="shared" si="258"/>
        <v>0</v>
      </c>
      <c r="ID173" s="2061">
        <f t="shared" si="258"/>
        <v>0</v>
      </c>
      <c r="IE173" s="2061">
        <f t="shared" si="258"/>
        <v>0</v>
      </c>
      <c r="IF173" s="2061">
        <f t="shared" si="258"/>
        <v>0</v>
      </c>
      <c r="IG173" s="2061">
        <f t="shared" si="258"/>
        <v>0</v>
      </c>
      <c r="IH173" s="2061">
        <f t="shared" si="258"/>
        <v>0</v>
      </c>
      <c r="II173" s="2061">
        <f t="shared" si="258"/>
        <v>0</v>
      </c>
      <c r="IJ173" s="2061">
        <f t="shared" si="258"/>
        <v>0</v>
      </c>
      <c r="IK173" s="2061">
        <f t="shared" si="258"/>
        <v>0</v>
      </c>
      <c r="IL173" s="2061">
        <f t="shared" si="258"/>
        <v>0</v>
      </c>
      <c r="IM173" s="2061">
        <f t="shared" si="258"/>
        <v>0</v>
      </c>
      <c r="IN173" s="2061">
        <f t="shared" si="258"/>
        <v>0</v>
      </c>
      <c r="IO173" s="2061">
        <f t="shared" si="258"/>
        <v>0</v>
      </c>
      <c r="IP173" s="2061">
        <f t="shared" si="258"/>
        <v>0</v>
      </c>
      <c r="IQ173" s="2061">
        <f t="shared" si="258"/>
        <v>0</v>
      </c>
      <c r="IR173" s="2061">
        <f t="shared" si="258"/>
        <v>0</v>
      </c>
      <c r="IS173" s="2061">
        <f t="shared" si="258"/>
        <v>0</v>
      </c>
      <c r="IT173" s="2061">
        <f t="shared" si="258"/>
        <v>0</v>
      </c>
      <c r="IU173" s="2061">
        <f t="shared" si="258"/>
        <v>0</v>
      </c>
      <c r="IV173" s="2061">
        <f t="shared" si="258"/>
        <v>0</v>
      </c>
      <c r="IW173" s="2061">
        <f t="shared" si="258"/>
        <v>0</v>
      </c>
      <c r="IX173" s="2061">
        <f t="shared" si="258"/>
        <v>0</v>
      </c>
      <c r="IY173" s="2061">
        <f t="shared" si="258"/>
        <v>0</v>
      </c>
      <c r="IZ173" s="2061">
        <f t="shared" si="258"/>
        <v>0</v>
      </c>
      <c r="JA173" s="2061">
        <f t="shared" si="258"/>
        <v>0</v>
      </c>
      <c r="JB173" s="2061">
        <f t="shared" si="258"/>
        <v>0</v>
      </c>
      <c r="JC173" s="2061">
        <f t="shared" ref="JC173:LN173" si="259">SUM(JC172)</f>
        <v>0</v>
      </c>
      <c r="JD173" s="2061">
        <f t="shared" si="259"/>
        <v>0</v>
      </c>
      <c r="JE173" s="2061">
        <f t="shared" si="259"/>
        <v>0</v>
      </c>
      <c r="JF173" s="2061">
        <f t="shared" si="259"/>
        <v>0</v>
      </c>
      <c r="JG173" s="2061">
        <f t="shared" si="259"/>
        <v>0</v>
      </c>
      <c r="JH173" s="2061">
        <f t="shared" si="259"/>
        <v>0</v>
      </c>
      <c r="JI173" s="2061">
        <f t="shared" si="259"/>
        <v>0</v>
      </c>
      <c r="JJ173" s="2061">
        <f t="shared" si="259"/>
        <v>0</v>
      </c>
      <c r="JK173" s="2061">
        <f t="shared" si="259"/>
        <v>0</v>
      </c>
      <c r="JL173" s="2061">
        <f t="shared" si="259"/>
        <v>0</v>
      </c>
      <c r="JM173" s="2061">
        <f t="shared" si="259"/>
        <v>0</v>
      </c>
      <c r="JN173" s="2061">
        <f t="shared" si="259"/>
        <v>0</v>
      </c>
      <c r="JO173" s="2061">
        <f t="shared" si="259"/>
        <v>0</v>
      </c>
      <c r="JP173" s="2061">
        <f t="shared" si="259"/>
        <v>0</v>
      </c>
      <c r="JQ173" s="2061">
        <f t="shared" si="259"/>
        <v>0</v>
      </c>
      <c r="JR173" s="2061">
        <f t="shared" si="259"/>
        <v>0</v>
      </c>
      <c r="JS173" s="2061">
        <f t="shared" si="259"/>
        <v>0</v>
      </c>
      <c r="JT173" s="2061">
        <f t="shared" si="259"/>
        <v>0</v>
      </c>
      <c r="JU173" s="2061">
        <f t="shared" si="259"/>
        <v>0</v>
      </c>
      <c r="JV173" s="2061">
        <f t="shared" si="259"/>
        <v>0</v>
      </c>
      <c r="JW173" s="2061">
        <f t="shared" si="259"/>
        <v>0</v>
      </c>
      <c r="JX173" s="2061">
        <f t="shared" si="259"/>
        <v>0</v>
      </c>
      <c r="JY173" s="2061">
        <f t="shared" si="259"/>
        <v>0</v>
      </c>
      <c r="JZ173" s="2061">
        <f t="shared" si="259"/>
        <v>0</v>
      </c>
      <c r="KA173" s="2061">
        <f t="shared" si="259"/>
        <v>0</v>
      </c>
      <c r="KB173" s="2061">
        <f t="shared" si="259"/>
        <v>0</v>
      </c>
      <c r="KC173" s="2061">
        <f t="shared" si="259"/>
        <v>0</v>
      </c>
      <c r="KD173" s="2061">
        <f t="shared" si="259"/>
        <v>0</v>
      </c>
      <c r="KE173" s="2061">
        <f t="shared" si="259"/>
        <v>0</v>
      </c>
      <c r="KF173" s="2061">
        <f t="shared" si="259"/>
        <v>0</v>
      </c>
      <c r="KG173" s="2061">
        <f t="shared" si="259"/>
        <v>0</v>
      </c>
      <c r="KH173" s="2061">
        <f t="shared" si="259"/>
        <v>0</v>
      </c>
      <c r="KI173" s="2061">
        <f t="shared" si="259"/>
        <v>0</v>
      </c>
      <c r="KJ173" s="2061">
        <f t="shared" si="259"/>
        <v>0</v>
      </c>
      <c r="KK173" s="2061">
        <f t="shared" si="259"/>
        <v>0</v>
      </c>
      <c r="KL173" s="2061">
        <f t="shared" si="259"/>
        <v>0</v>
      </c>
      <c r="KM173" s="2061">
        <f t="shared" si="259"/>
        <v>0</v>
      </c>
      <c r="KN173" s="2061">
        <f t="shared" si="259"/>
        <v>0</v>
      </c>
      <c r="KO173" s="2061">
        <f t="shared" si="259"/>
        <v>0</v>
      </c>
      <c r="KP173" s="2061">
        <f t="shared" si="259"/>
        <v>0</v>
      </c>
      <c r="KQ173" s="2061">
        <f t="shared" si="259"/>
        <v>0</v>
      </c>
      <c r="KR173" s="2061">
        <f t="shared" si="259"/>
        <v>0</v>
      </c>
      <c r="KS173" s="2061">
        <f t="shared" si="259"/>
        <v>0</v>
      </c>
      <c r="KT173" s="2061">
        <f t="shared" si="259"/>
        <v>0</v>
      </c>
      <c r="KU173" s="2061">
        <f t="shared" si="259"/>
        <v>0</v>
      </c>
      <c r="KV173" s="2061">
        <f t="shared" si="259"/>
        <v>0</v>
      </c>
      <c r="KW173" s="2061">
        <f t="shared" si="259"/>
        <v>0</v>
      </c>
      <c r="KX173" s="2061">
        <f t="shared" si="259"/>
        <v>0</v>
      </c>
      <c r="KY173" s="2061">
        <f t="shared" si="259"/>
        <v>0</v>
      </c>
      <c r="KZ173" s="2061">
        <f t="shared" si="259"/>
        <v>0</v>
      </c>
      <c r="LA173" s="2061">
        <f t="shared" si="259"/>
        <v>0</v>
      </c>
      <c r="LB173" s="2061">
        <f t="shared" si="259"/>
        <v>0</v>
      </c>
      <c r="LC173" s="2061">
        <f t="shared" si="259"/>
        <v>0</v>
      </c>
      <c r="LD173" s="2061">
        <f t="shared" si="259"/>
        <v>0</v>
      </c>
      <c r="LE173" s="2061">
        <f t="shared" si="259"/>
        <v>0</v>
      </c>
      <c r="LF173" s="2061">
        <f t="shared" si="259"/>
        <v>0</v>
      </c>
      <c r="LG173" s="2061">
        <f t="shared" si="259"/>
        <v>0</v>
      </c>
      <c r="LH173" s="2061">
        <f t="shared" si="259"/>
        <v>0</v>
      </c>
      <c r="LI173" s="2061">
        <f t="shared" si="259"/>
        <v>0</v>
      </c>
      <c r="LJ173" s="2061">
        <f t="shared" si="259"/>
        <v>0</v>
      </c>
      <c r="LK173" s="2061">
        <f t="shared" si="259"/>
        <v>0</v>
      </c>
      <c r="LL173" s="2061">
        <f t="shared" si="259"/>
        <v>0</v>
      </c>
      <c r="LM173" s="2061">
        <f t="shared" si="259"/>
        <v>0</v>
      </c>
      <c r="LN173" s="2061">
        <f t="shared" si="259"/>
        <v>0</v>
      </c>
      <c r="LO173" s="2061">
        <f t="shared" ref="LO173:NZ173" si="260">SUM(LO172)</f>
        <v>0</v>
      </c>
      <c r="LP173" s="2061">
        <f t="shared" si="260"/>
        <v>0</v>
      </c>
      <c r="LQ173" s="2061">
        <f t="shared" si="260"/>
        <v>0</v>
      </c>
      <c r="LR173" s="2061">
        <f t="shared" si="260"/>
        <v>0</v>
      </c>
      <c r="LS173" s="2061">
        <f t="shared" si="260"/>
        <v>0</v>
      </c>
      <c r="LT173" s="2061">
        <f t="shared" si="260"/>
        <v>0</v>
      </c>
      <c r="LU173" s="2061">
        <f t="shared" si="260"/>
        <v>0</v>
      </c>
      <c r="LV173" s="2061">
        <f t="shared" si="260"/>
        <v>0</v>
      </c>
      <c r="LW173" s="2061">
        <f t="shared" si="260"/>
        <v>0</v>
      </c>
      <c r="LX173" s="2061">
        <f t="shared" si="260"/>
        <v>0</v>
      </c>
      <c r="LY173" s="2061">
        <f t="shared" si="260"/>
        <v>0</v>
      </c>
      <c r="LZ173" s="2061">
        <f t="shared" si="260"/>
        <v>0</v>
      </c>
      <c r="MA173" s="2061">
        <f t="shared" si="260"/>
        <v>0</v>
      </c>
      <c r="MB173" s="2061">
        <f t="shared" si="260"/>
        <v>0</v>
      </c>
      <c r="MC173" s="2061">
        <f t="shared" si="260"/>
        <v>0</v>
      </c>
      <c r="MD173" s="2061">
        <f t="shared" si="260"/>
        <v>0</v>
      </c>
      <c r="ME173" s="2061">
        <f t="shared" si="260"/>
        <v>0</v>
      </c>
      <c r="MF173" s="2061">
        <f t="shared" si="260"/>
        <v>0</v>
      </c>
      <c r="MG173" s="2061">
        <f t="shared" si="260"/>
        <v>0</v>
      </c>
      <c r="MH173" s="2061">
        <f t="shared" si="260"/>
        <v>0</v>
      </c>
      <c r="MI173" s="2061">
        <f t="shared" si="260"/>
        <v>0</v>
      </c>
      <c r="MJ173" s="2061">
        <f t="shared" si="260"/>
        <v>0</v>
      </c>
      <c r="MK173" s="2061">
        <f t="shared" si="260"/>
        <v>0</v>
      </c>
      <c r="ML173" s="2061">
        <f t="shared" si="260"/>
        <v>0</v>
      </c>
      <c r="MM173" s="2061">
        <f t="shared" si="260"/>
        <v>0</v>
      </c>
      <c r="MN173" s="2061">
        <f t="shared" si="260"/>
        <v>0</v>
      </c>
      <c r="MO173" s="2061">
        <f t="shared" si="260"/>
        <v>0</v>
      </c>
      <c r="MP173" s="2061">
        <f t="shared" si="260"/>
        <v>0</v>
      </c>
      <c r="MQ173" s="2061">
        <f t="shared" si="260"/>
        <v>0</v>
      </c>
      <c r="MR173" s="2061">
        <f t="shared" si="260"/>
        <v>0</v>
      </c>
      <c r="MS173" s="2061">
        <f t="shared" si="260"/>
        <v>0</v>
      </c>
      <c r="MT173" s="2061">
        <f t="shared" si="260"/>
        <v>0</v>
      </c>
      <c r="MU173" s="2061">
        <f t="shared" si="260"/>
        <v>0</v>
      </c>
      <c r="MV173" s="2061">
        <f t="shared" si="260"/>
        <v>0</v>
      </c>
      <c r="MW173" s="2061">
        <f t="shared" si="260"/>
        <v>0</v>
      </c>
      <c r="MX173" s="2061">
        <f t="shared" si="260"/>
        <v>0</v>
      </c>
      <c r="MY173" s="2061">
        <f t="shared" si="260"/>
        <v>0</v>
      </c>
      <c r="MZ173" s="2061">
        <f t="shared" si="260"/>
        <v>0</v>
      </c>
      <c r="NA173" s="2061">
        <f t="shared" si="260"/>
        <v>0</v>
      </c>
      <c r="NB173" s="2061">
        <f t="shared" si="260"/>
        <v>0</v>
      </c>
      <c r="NC173" s="2061">
        <f t="shared" si="260"/>
        <v>0</v>
      </c>
      <c r="ND173" s="2061">
        <f t="shared" si="260"/>
        <v>0</v>
      </c>
      <c r="NE173" s="2061">
        <f t="shared" si="260"/>
        <v>0</v>
      </c>
      <c r="NF173" s="2061">
        <f t="shared" si="260"/>
        <v>0</v>
      </c>
      <c r="NG173" s="2061">
        <f t="shared" si="260"/>
        <v>0</v>
      </c>
      <c r="NH173" s="2061">
        <f t="shared" si="260"/>
        <v>0</v>
      </c>
      <c r="NI173" s="2061">
        <f t="shared" si="260"/>
        <v>0</v>
      </c>
      <c r="NJ173" s="2061">
        <f t="shared" si="260"/>
        <v>0</v>
      </c>
      <c r="NK173" s="2061">
        <f t="shared" si="260"/>
        <v>0</v>
      </c>
      <c r="NL173" s="2061">
        <f t="shared" si="260"/>
        <v>0</v>
      </c>
      <c r="NM173" s="2061">
        <f t="shared" si="260"/>
        <v>0</v>
      </c>
      <c r="NN173" s="2061">
        <f t="shared" si="260"/>
        <v>0</v>
      </c>
      <c r="NO173" s="2061">
        <f t="shared" si="260"/>
        <v>0</v>
      </c>
      <c r="NP173" s="2061">
        <f t="shared" si="260"/>
        <v>0</v>
      </c>
      <c r="NQ173" s="2061">
        <f t="shared" si="260"/>
        <v>0</v>
      </c>
      <c r="NR173" s="2061">
        <f t="shared" si="260"/>
        <v>0</v>
      </c>
      <c r="NS173" s="2061">
        <f t="shared" si="260"/>
        <v>0</v>
      </c>
      <c r="NT173" s="2061">
        <f t="shared" si="260"/>
        <v>0</v>
      </c>
      <c r="NU173" s="2061">
        <f t="shared" si="260"/>
        <v>0</v>
      </c>
      <c r="NV173" s="2061">
        <f t="shared" si="260"/>
        <v>0</v>
      </c>
      <c r="NW173" s="2061">
        <f t="shared" si="260"/>
        <v>0</v>
      </c>
      <c r="NX173" s="2061">
        <f t="shared" si="260"/>
        <v>0</v>
      </c>
      <c r="NY173" s="2061">
        <f t="shared" si="260"/>
        <v>0</v>
      </c>
      <c r="NZ173" s="2061">
        <f t="shared" si="260"/>
        <v>0</v>
      </c>
      <c r="OA173" s="2061">
        <f t="shared" ref="OA173:QL173" si="261">SUM(OA172)</f>
        <v>0</v>
      </c>
      <c r="OB173" s="2061">
        <f t="shared" si="261"/>
        <v>0</v>
      </c>
      <c r="OC173" s="2061">
        <f t="shared" si="261"/>
        <v>0</v>
      </c>
      <c r="OD173" s="2061">
        <f t="shared" si="261"/>
        <v>0</v>
      </c>
      <c r="OE173" s="2061">
        <f t="shared" si="261"/>
        <v>0</v>
      </c>
      <c r="OF173" s="2061">
        <f t="shared" si="261"/>
        <v>0</v>
      </c>
      <c r="OG173" s="2061">
        <f t="shared" si="261"/>
        <v>0</v>
      </c>
      <c r="OH173" s="2061">
        <f t="shared" si="261"/>
        <v>0</v>
      </c>
      <c r="OI173" s="2061">
        <f t="shared" si="261"/>
        <v>0</v>
      </c>
      <c r="OJ173" s="2061">
        <f t="shared" si="261"/>
        <v>0</v>
      </c>
      <c r="OK173" s="2061">
        <f t="shared" si="261"/>
        <v>0</v>
      </c>
      <c r="OL173" s="2061">
        <f t="shared" si="261"/>
        <v>0</v>
      </c>
      <c r="OM173" s="2061">
        <f t="shared" si="261"/>
        <v>0</v>
      </c>
      <c r="ON173" s="2061">
        <f t="shared" si="261"/>
        <v>0</v>
      </c>
      <c r="OO173" s="2061">
        <f t="shared" si="261"/>
        <v>0</v>
      </c>
      <c r="OP173" s="2061">
        <f t="shared" si="261"/>
        <v>0</v>
      </c>
      <c r="OQ173" s="2061">
        <f t="shared" si="261"/>
        <v>0</v>
      </c>
      <c r="OR173" s="2061">
        <f t="shared" si="261"/>
        <v>0</v>
      </c>
      <c r="OS173" s="2061">
        <f t="shared" si="261"/>
        <v>0</v>
      </c>
      <c r="OT173" s="2061">
        <f t="shared" si="261"/>
        <v>0</v>
      </c>
      <c r="OU173" s="2061">
        <f t="shared" si="261"/>
        <v>0</v>
      </c>
      <c r="OV173" s="2061">
        <f t="shared" si="261"/>
        <v>0</v>
      </c>
      <c r="OW173" s="2061">
        <f t="shared" si="261"/>
        <v>0</v>
      </c>
      <c r="OX173" s="2061">
        <f t="shared" si="261"/>
        <v>0</v>
      </c>
      <c r="OY173" s="2061">
        <f t="shared" si="261"/>
        <v>0</v>
      </c>
      <c r="OZ173" s="2061">
        <f t="shared" si="261"/>
        <v>0</v>
      </c>
      <c r="PA173" s="2061">
        <f t="shared" si="261"/>
        <v>0</v>
      </c>
      <c r="PB173" s="2061">
        <f t="shared" si="261"/>
        <v>0</v>
      </c>
      <c r="PC173" s="2061">
        <f t="shared" si="261"/>
        <v>0</v>
      </c>
      <c r="PD173" s="2061">
        <f t="shared" si="261"/>
        <v>0</v>
      </c>
      <c r="PE173" s="2061">
        <f t="shared" si="261"/>
        <v>0</v>
      </c>
      <c r="PF173" s="2061">
        <f t="shared" si="261"/>
        <v>0</v>
      </c>
      <c r="PG173" s="2061">
        <f t="shared" si="261"/>
        <v>0</v>
      </c>
      <c r="PH173" s="2061">
        <f t="shared" si="261"/>
        <v>0</v>
      </c>
      <c r="PI173" s="2061">
        <f t="shared" si="261"/>
        <v>0</v>
      </c>
      <c r="PJ173" s="2061">
        <f t="shared" si="261"/>
        <v>0</v>
      </c>
      <c r="PK173" s="2061">
        <f t="shared" si="261"/>
        <v>0</v>
      </c>
      <c r="PL173" s="2061">
        <f t="shared" si="261"/>
        <v>0</v>
      </c>
      <c r="PM173" s="2061">
        <f t="shared" si="261"/>
        <v>0</v>
      </c>
      <c r="PN173" s="2061">
        <f t="shared" si="261"/>
        <v>0</v>
      </c>
      <c r="PO173" s="2061">
        <f t="shared" si="261"/>
        <v>0</v>
      </c>
      <c r="PP173" s="2061">
        <f t="shared" si="261"/>
        <v>0</v>
      </c>
      <c r="PQ173" s="2061">
        <f t="shared" si="261"/>
        <v>0</v>
      </c>
      <c r="PR173" s="2061">
        <f t="shared" si="261"/>
        <v>0</v>
      </c>
      <c r="PS173" s="2061">
        <f t="shared" si="261"/>
        <v>0</v>
      </c>
      <c r="PT173" s="2061">
        <f t="shared" si="261"/>
        <v>0</v>
      </c>
      <c r="PU173" s="2061">
        <f t="shared" si="261"/>
        <v>0</v>
      </c>
      <c r="PV173" s="2061">
        <f t="shared" si="261"/>
        <v>0</v>
      </c>
      <c r="PW173" s="2061">
        <f t="shared" si="261"/>
        <v>0</v>
      </c>
      <c r="PX173" s="2061">
        <f t="shared" si="261"/>
        <v>0</v>
      </c>
      <c r="PY173" s="2061">
        <f t="shared" si="261"/>
        <v>0</v>
      </c>
      <c r="PZ173" s="2061">
        <f t="shared" si="261"/>
        <v>0</v>
      </c>
      <c r="QA173" s="2061">
        <f t="shared" si="261"/>
        <v>0</v>
      </c>
      <c r="QB173" s="2061">
        <f t="shared" si="261"/>
        <v>0</v>
      </c>
      <c r="QC173" s="2061">
        <f t="shared" si="261"/>
        <v>0</v>
      </c>
      <c r="QD173" s="2061">
        <f t="shared" si="261"/>
        <v>0</v>
      </c>
      <c r="QE173" s="2061">
        <f t="shared" si="261"/>
        <v>0</v>
      </c>
      <c r="QF173" s="2061">
        <f t="shared" si="261"/>
        <v>0</v>
      </c>
      <c r="QG173" s="2061">
        <f t="shared" si="261"/>
        <v>0</v>
      </c>
      <c r="QH173" s="2061">
        <f t="shared" si="261"/>
        <v>0</v>
      </c>
      <c r="QI173" s="2061">
        <f t="shared" si="261"/>
        <v>0</v>
      </c>
      <c r="QJ173" s="2061">
        <f t="shared" si="261"/>
        <v>0</v>
      </c>
      <c r="QK173" s="2061">
        <f t="shared" si="261"/>
        <v>0</v>
      </c>
      <c r="QL173" s="2061">
        <f t="shared" si="261"/>
        <v>0</v>
      </c>
      <c r="QM173" s="2061">
        <f t="shared" ref="QM173:SX173" si="262">SUM(QM172)</f>
        <v>0</v>
      </c>
      <c r="QN173" s="2061">
        <f t="shared" si="262"/>
        <v>0</v>
      </c>
      <c r="QO173" s="2061">
        <f t="shared" si="262"/>
        <v>0</v>
      </c>
      <c r="QP173" s="2061">
        <f t="shared" si="262"/>
        <v>0</v>
      </c>
      <c r="QQ173" s="2061">
        <f t="shared" si="262"/>
        <v>0</v>
      </c>
      <c r="QR173" s="2061">
        <f t="shared" si="262"/>
        <v>0</v>
      </c>
      <c r="QS173" s="2061">
        <f t="shared" si="262"/>
        <v>0</v>
      </c>
      <c r="QT173" s="2061">
        <f t="shared" si="262"/>
        <v>0</v>
      </c>
      <c r="QU173" s="2061">
        <f t="shared" si="262"/>
        <v>0</v>
      </c>
      <c r="QV173" s="2061">
        <f t="shared" si="262"/>
        <v>0</v>
      </c>
      <c r="QW173" s="2061">
        <f t="shared" si="262"/>
        <v>0</v>
      </c>
      <c r="QX173" s="2061">
        <f t="shared" si="262"/>
        <v>0</v>
      </c>
      <c r="QY173" s="2061">
        <f t="shared" si="262"/>
        <v>0</v>
      </c>
      <c r="QZ173" s="2061">
        <f t="shared" si="262"/>
        <v>0</v>
      </c>
      <c r="RA173" s="2061">
        <f t="shared" si="262"/>
        <v>0</v>
      </c>
      <c r="RB173" s="2061">
        <f t="shared" si="262"/>
        <v>0</v>
      </c>
      <c r="RC173" s="2061">
        <f t="shared" si="262"/>
        <v>0</v>
      </c>
      <c r="RD173" s="2061">
        <f t="shared" si="262"/>
        <v>0</v>
      </c>
      <c r="RE173" s="2061">
        <f t="shared" si="262"/>
        <v>0</v>
      </c>
      <c r="RF173" s="2061">
        <f t="shared" si="262"/>
        <v>0</v>
      </c>
      <c r="RG173" s="2061">
        <f t="shared" si="262"/>
        <v>0</v>
      </c>
      <c r="RH173" s="2061">
        <f t="shared" si="262"/>
        <v>0</v>
      </c>
      <c r="RI173" s="2061">
        <f t="shared" si="262"/>
        <v>0</v>
      </c>
      <c r="RJ173" s="2061">
        <f t="shared" si="262"/>
        <v>0</v>
      </c>
      <c r="RK173" s="2061">
        <f t="shared" si="262"/>
        <v>0</v>
      </c>
      <c r="RL173" s="2061">
        <f t="shared" si="262"/>
        <v>0</v>
      </c>
      <c r="RM173" s="2061">
        <f t="shared" si="262"/>
        <v>0</v>
      </c>
      <c r="RN173" s="2061">
        <f t="shared" si="262"/>
        <v>0</v>
      </c>
      <c r="RO173" s="2061">
        <f t="shared" si="262"/>
        <v>0</v>
      </c>
      <c r="RP173" s="2061">
        <f t="shared" si="262"/>
        <v>0</v>
      </c>
      <c r="RQ173" s="2061">
        <f t="shared" si="262"/>
        <v>0</v>
      </c>
      <c r="RR173" s="2061">
        <f t="shared" si="262"/>
        <v>0</v>
      </c>
      <c r="RS173" s="2061">
        <f t="shared" si="262"/>
        <v>0</v>
      </c>
      <c r="RT173" s="2061">
        <f t="shared" si="262"/>
        <v>0</v>
      </c>
      <c r="RU173" s="2061">
        <f t="shared" si="262"/>
        <v>0</v>
      </c>
      <c r="RV173" s="2061">
        <f t="shared" si="262"/>
        <v>0</v>
      </c>
      <c r="RW173" s="2061">
        <f t="shared" si="262"/>
        <v>0</v>
      </c>
      <c r="RX173" s="2061">
        <f t="shared" si="262"/>
        <v>0</v>
      </c>
      <c r="RY173" s="2061">
        <f t="shared" si="262"/>
        <v>0</v>
      </c>
      <c r="RZ173" s="2061">
        <f t="shared" si="262"/>
        <v>0</v>
      </c>
      <c r="SA173" s="2061">
        <f t="shared" si="262"/>
        <v>0</v>
      </c>
      <c r="SB173" s="2061">
        <f t="shared" si="262"/>
        <v>0</v>
      </c>
      <c r="SC173" s="2061">
        <f t="shared" si="262"/>
        <v>0</v>
      </c>
      <c r="SD173" s="2061">
        <f t="shared" si="262"/>
        <v>0</v>
      </c>
      <c r="SE173" s="2061">
        <f t="shared" si="262"/>
        <v>0</v>
      </c>
      <c r="SF173" s="2061">
        <f t="shared" si="262"/>
        <v>0</v>
      </c>
      <c r="SG173" s="2061">
        <f t="shared" si="262"/>
        <v>0</v>
      </c>
      <c r="SH173" s="2061">
        <f t="shared" si="262"/>
        <v>0</v>
      </c>
      <c r="SI173" s="2061">
        <f t="shared" si="262"/>
        <v>0</v>
      </c>
      <c r="SJ173" s="2061">
        <f t="shared" si="262"/>
        <v>0</v>
      </c>
      <c r="SK173" s="2061">
        <f t="shared" si="262"/>
        <v>0</v>
      </c>
      <c r="SL173" s="2061">
        <f t="shared" si="262"/>
        <v>0</v>
      </c>
      <c r="SM173" s="2061">
        <f t="shared" si="262"/>
        <v>0</v>
      </c>
      <c r="SN173" s="2061">
        <f t="shared" si="262"/>
        <v>0</v>
      </c>
      <c r="SO173" s="2061">
        <f t="shared" si="262"/>
        <v>0</v>
      </c>
      <c r="SP173" s="2061">
        <f t="shared" si="262"/>
        <v>0</v>
      </c>
      <c r="SQ173" s="2061">
        <f t="shared" si="262"/>
        <v>0</v>
      </c>
      <c r="SR173" s="2061">
        <f t="shared" si="262"/>
        <v>0</v>
      </c>
      <c r="SS173" s="2061">
        <f t="shared" si="262"/>
        <v>0</v>
      </c>
      <c r="ST173" s="2061">
        <f t="shared" si="262"/>
        <v>0</v>
      </c>
      <c r="SU173" s="2061">
        <f t="shared" si="262"/>
        <v>0</v>
      </c>
      <c r="SV173" s="2061">
        <f t="shared" si="262"/>
        <v>0</v>
      </c>
      <c r="SW173" s="2061">
        <f t="shared" si="262"/>
        <v>0</v>
      </c>
      <c r="SX173" s="2061">
        <f t="shared" si="262"/>
        <v>0</v>
      </c>
      <c r="SY173" s="2061">
        <f t="shared" ref="SY173:VJ173" si="263">SUM(SY172)</f>
        <v>0</v>
      </c>
      <c r="SZ173" s="2061">
        <f t="shared" si="263"/>
        <v>0</v>
      </c>
      <c r="TA173" s="2061">
        <f t="shared" si="263"/>
        <v>0</v>
      </c>
      <c r="TB173" s="2061">
        <f t="shared" si="263"/>
        <v>0</v>
      </c>
      <c r="TC173" s="2061">
        <f t="shared" si="263"/>
        <v>0</v>
      </c>
      <c r="TD173" s="2061">
        <f t="shared" si="263"/>
        <v>0</v>
      </c>
      <c r="TE173" s="2061">
        <f t="shared" si="263"/>
        <v>0</v>
      </c>
      <c r="TF173" s="2061">
        <f t="shared" si="263"/>
        <v>0</v>
      </c>
      <c r="TG173" s="2061">
        <f t="shared" si="263"/>
        <v>0</v>
      </c>
      <c r="TH173" s="2061">
        <f t="shared" si="263"/>
        <v>0</v>
      </c>
      <c r="TI173" s="2061">
        <f t="shared" si="263"/>
        <v>0</v>
      </c>
      <c r="TJ173" s="2061">
        <f t="shared" si="263"/>
        <v>0</v>
      </c>
      <c r="TK173" s="2061">
        <f t="shared" si="263"/>
        <v>0</v>
      </c>
      <c r="TL173" s="2061">
        <f t="shared" si="263"/>
        <v>0</v>
      </c>
      <c r="TM173" s="2061">
        <f t="shared" si="263"/>
        <v>0</v>
      </c>
      <c r="TN173" s="2061">
        <f t="shared" si="263"/>
        <v>0</v>
      </c>
      <c r="TO173" s="2061">
        <f t="shared" si="263"/>
        <v>0</v>
      </c>
      <c r="TP173" s="2061">
        <f t="shared" si="263"/>
        <v>0</v>
      </c>
      <c r="TQ173" s="2061">
        <f t="shared" si="263"/>
        <v>0</v>
      </c>
      <c r="TR173" s="2061">
        <f t="shared" si="263"/>
        <v>0</v>
      </c>
      <c r="TS173" s="2061">
        <f t="shared" si="263"/>
        <v>0</v>
      </c>
      <c r="TT173" s="2061">
        <f t="shared" si="263"/>
        <v>0</v>
      </c>
      <c r="TU173" s="2061">
        <f t="shared" si="263"/>
        <v>0</v>
      </c>
      <c r="TV173" s="2061">
        <f t="shared" si="263"/>
        <v>0</v>
      </c>
      <c r="TW173" s="2061">
        <f t="shared" si="263"/>
        <v>0</v>
      </c>
      <c r="TX173" s="2061">
        <f t="shared" si="263"/>
        <v>0</v>
      </c>
      <c r="TY173" s="2061">
        <f t="shared" si="263"/>
        <v>0</v>
      </c>
      <c r="TZ173" s="2061">
        <f t="shared" si="263"/>
        <v>0</v>
      </c>
      <c r="UA173" s="2061">
        <f t="shared" si="263"/>
        <v>0</v>
      </c>
      <c r="UB173" s="2061">
        <f t="shared" si="263"/>
        <v>0</v>
      </c>
      <c r="UC173" s="2061">
        <f t="shared" si="263"/>
        <v>0</v>
      </c>
      <c r="UD173" s="2061">
        <f t="shared" si="263"/>
        <v>0</v>
      </c>
      <c r="UE173" s="2061">
        <f t="shared" si="263"/>
        <v>0</v>
      </c>
      <c r="UF173" s="2061">
        <f t="shared" si="263"/>
        <v>0</v>
      </c>
      <c r="UG173" s="2061">
        <f t="shared" si="263"/>
        <v>0</v>
      </c>
      <c r="UH173" s="2061">
        <f t="shared" si="263"/>
        <v>0</v>
      </c>
      <c r="UI173" s="2061">
        <f t="shared" si="263"/>
        <v>0</v>
      </c>
      <c r="UJ173" s="2061">
        <f t="shared" si="263"/>
        <v>0</v>
      </c>
      <c r="UK173" s="2061">
        <f t="shared" si="263"/>
        <v>0</v>
      </c>
      <c r="UL173" s="2061">
        <f t="shared" si="263"/>
        <v>0</v>
      </c>
      <c r="UM173" s="2061">
        <f t="shared" si="263"/>
        <v>0</v>
      </c>
      <c r="UN173" s="2061">
        <f t="shared" si="263"/>
        <v>0</v>
      </c>
      <c r="UO173" s="2061">
        <f t="shared" si="263"/>
        <v>0</v>
      </c>
      <c r="UP173" s="2061">
        <f t="shared" si="263"/>
        <v>0</v>
      </c>
      <c r="UQ173" s="2061">
        <f t="shared" si="263"/>
        <v>0</v>
      </c>
      <c r="UR173" s="2061">
        <f t="shared" si="263"/>
        <v>0</v>
      </c>
      <c r="US173" s="2061">
        <f t="shared" si="263"/>
        <v>0</v>
      </c>
      <c r="UT173" s="2061">
        <f t="shared" si="263"/>
        <v>0</v>
      </c>
      <c r="UU173" s="2061">
        <f t="shared" si="263"/>
        <v>0</v>
      </c>
      <c r="UV173" s="2061">
        <f t="shared" si="263"/>
        <v>0</v>
      </c>
      <c r="UW173" s="2061">
        <f t="shared" si="263"/>
        <v>0</v>
      </c>
      <c r="UX173" s="2061">
        <f t="shared" si="263"/>
        <v>0</v>
      </c>
      <c r="UY173" s="2061">
        <f t="shared" si="263"/>
        <v>0</v>
      </c>
      <c r="UZ173" s="2061">
        <f t="shared" si="263"/>
        <v>0</v>
      </c>
      <c r="VA173" s="2061">
        <f t="shared" si="263"/>
        <v>0</v>
      </c>
      <c r="VB173" s="2061">
        <f t="shared" si="263"/>
        <v>0</v>
      </c>
      <c r="VC173" s="2061">
        <f t="shared" si="263"/>
        <v>0</v>
      </c>
      <c r="VD173" s="2061">
        <f t="shared" si="263"/>
        <v>0</v>
      </c>
      <c r="VE173" s="2061">
        <f t="shared" si="263"/>
        <v>0</v>
      </c>
      <c r="VF173" s="2061">
        <f t="shared" si="263"/>
        <v>0</v>
      </c>
      <c r="VG173" s="2061">
        <f t="shared" si="263"/>
        <v>0</v>
      </c>
      <c r="VH173" s="2061">
        <f t="shared" si="263"/>
        <v>0</v>
      </c>
      <c r="VI173" s="2061">
        <f t="shared" si="263"/>
        <v>0</v>
      </c>
      <c r="VJ173" s="2061">
        <f t="shared" si="263"/>
        <v>0</v>
      </c>
      <c r="VK173" s="2061">
        <f>SUM(VK172)</f>
        <v>0</v>
      </c>
    </row>
    <row r="174" spans="1:583" s="2075" customFormat="1" x14ac:dyDescent="0.25">
      <c r="A174" s="2075" t="s">
        <v>3831</v>
      </c>
      <c r="B174" s="4709" t="s">
        <v>1843</v>
      </c>
      <c r="C174" s="4709"/>
      <c r="D174" s="4709" t="s">
        <v>1843</v>
      </c>
      <c r="E174" s="4709"/>
      <c r="F174" s="2079"/>
      <c r="G174" s="2079"/>
      <c r="H174" s="2079"/>
      <c r="I174" s="1574"/>
      <c r="J174" s="1574"/>
      <c r="K174" s="1574"/>
      <c r="L174" s="1574"/>
      <c r="M174" s="1574"/>
      <c r="N174" s="1574"/>
      <c r="O174" s="1574"/>
      <c r="P174" s="1574"/>
      <c r="Q174" s="1574"/>
      <c r="R174" s="1574"/>
      <c r="S174" s="1574"/>
      <c r="T174" s="1574"/>
      <c r="U174" s="1574"/>
      <c r="V174" s="1574"/>
      <c r="W174" s="1574"/>
      <c r="X174" s="1574"/>
      <c r="Y174" s="1574"/>
      <c r="Z174" s="1574"/>
      <c r="AA174" s="1574"/>
      <c r="AB174" s="1574"/>
      <c r="AC174" s="1574"/>
      <c r="AD174" s="1574"/>
      <c r="AE174" s="1574"/>
      <c r="AF174" s="1574"/>
      <c r="AG174" s="1574"/>
      <c r="AH174" s="1574"/>
      <c r="AI174" s="1574"/>
      <c r="AJ174" s="1574"/>
      <c r="AK174" s="1574"/>
      <c r="AL174" s="1574"/>
      <c r="AM174" s="1574"/>
      <c r="AN174" s="1574"/>
      <c r="AO174" s="1574"/>
      <c r="AP174" s="1574"/>
      <c r="AQ174" s="1574"/>
      <c r="AR174" s="1574"/>
      <c r="AS174" s="1574"/>
      <c r="AT174" s="1574"/>
      <c r="AU174" s="1574"/>
      <c r="AV174" s="1574"/>
      <c r="AW174" s="1574"/>
      <c r="AX174" s="1574"/>
      <c r="AY174" s="1574"/>
      <c r="AZ174" s="1574"/>
      <c r="BA174" s="1574"/>
      <c r="BB174" s="1574"/>
      <c r="BC174" s="1574"/>
      <c r="BD174" s="1574"/>
      <c r="BE174" s="1574"/>
      <c r="BF174" s="1574"/>
      <c r="BG174" s="1574"/>
      <c r="BH174" s="1574"/>
      <c r="BI174" s="1574"/>
      <c r="BJ174" s="1574"/>
      <c r="BK174" s="1574"/>
      <c r="BL174" s="1574"/>
      <c r="BM174" s="1574"/>
      <c r="BN174" s="1574"/>
      <c r="BO174" s="1574"/>
      <c r="BP174" s="1574"/>
      <c r="BQ174" s="1574"/>
      <c r="BR174" s="1574"/>
      <c r="BS174" s="1574"/>
      <c r="BT174" s="1574"/>
      <c r="BU174" s="1574"/>
      <c r="BV174" s="1574"/>
      <c r="BW174" s="1574"/>
      <c r="BX174" s="1574"/>
      <c r="BY174" s="1574"/>
      <c r="BZ174" s="1574"/>
      <c r="CA174" s="1574"/>
      <c r="CB174" s="1574"/>
      <c r="CC174" s="1574"/>
      <c r="CD174" s="1574"/>
      <c r="CE174" s="1574"/>
      <c r="CF174" s="1574"/>
      <c r="CG174" s="1574"/>
      <c r="CH174" s="1574"/>
      <c r="CI174" s="1574"/>
      <c r="CJ174" s="1574"/>
      <c r="CK174" s="1574"/>
      <c r="CL174" s="1574"/>
      <c r="CM174" s="1574"/>
      <c r="CN174" s="1574"/>
      <c r="CO174" s="1574"/>
      <c r="CP174" s="1574"/>
      <c r="CQ174" s="1574"/>
      <c r="CR174" s="1574"/>
      <c r="CS174" s="1574"/>
      <c r="CT174" s="1574"/>
      <c r="CU174" s="1574"/>
      <c r="CV174" s="1574"/>
      <c r="CW174" s="1574"/>
      <c r="CX174" s="1574"/>
      <c r="CY174" s="1574"/>
      <c r="CZ174" s="1574"/>
      <c r="DA174" s="1574"/>
      <c r="DB174" s="1574"/>
      <c r="DC174" s="1574"/>
      <c r="DD174" s="1574"/>
      <c r="DE174" s="1574"/>
      <c r="DF174" s="1574"/>
      <c r="DG174" s="1574"/>
      <c r="DH174" s="1574"/>
      <c r="DI174" s="1574"/>
      <c r="DJ174" s="1574"/>
      <c r="DK174" s="1574"/>
      <c r="DL174" s="1574"/>
      <c r="DM174" s="1574"/>
      <c r="DN174" s="1574"/>
      <c r="DO174" s="1574"/>
      <c r="DP174" s="1574"/>
      <c r="DQ174" s="1574"/>
      <c r="DR174" s="1574"/>
      <c r="DS174" s="1574"/>
      <c r="DT174" s="1574"/>
      <c r="DU174" s="1574"/>
      <c r="DV174" s="1574"/>
      <c r="DW174" s="1574"/>
      <c r="DX174" s="1574"/>
      <c r="DY174" s="1574"/>
      <c r="DZ174" s="1574"/>
      <c r="EA174" s="1574"/>
      <c r="EB174" s="1574"/>
      <c r="EC174" s="1574"/>
      <c r="ED174" s="1574"/>
      <c r="EE174" s="1574"/>
      <c r="EF174" s="1574"/>
      <c r="EG174" s="1574"/>
      <c r="EH174" s="1574"/>
      <c r="EI174" s="1574"/>
      <c r="EJ174" s="1574"/>
      <c r="EK174" s="1574"/>
      <c r="EL174" s="1574"/>
      <c r="EM174" s="1574"/>
      <c r="EN174" s="1574"/>
      <c r="EO174" s="1574"/>
      <c r="EP174" s="1574"/>
      <c r="EQ174" s="1574"/>
      <c r="ER174" s="1574"/>
      <c r="ES174" s="1574"/>
      <c r="ET174" s="1574"/>
      <c r="EU174" s="1574"/>
      <c r="EV174" s="1574"/>
      <c r="EW174" s="1574"/>
      <c r="EX174" s="1574"/>
      <c r="EY174" s="1574"/>
      <c r="EZ174" s="1574"/>
      <c r="FA174" s="1574"/>
      <c r="FB174" s="1574"/>
      <c r="FC174" s="1574"/>
      <c r="FD174" s="1574"/>
      <c r="FE174" s="1574"/>
      <c r="FF174" s="1574"/>
      <c r="FG174" s="1574"/>
      <c r="FH174" s="1574"/>
      <c r="FI174" s="1574"/>
      <c r="FJ174" s="1574"/>
      <c r="FK174" s="1574"/>
      <c r="FL174" s="1574"/>
      <c r="FM174" s="1574"/>
      <c r="FN174" s="1574"/>
      <c r="FO174" s="1574"/>
      <c r="FP174" s="1574"/>
      <c r="FQ174" s="1574"/>
      <c r="FR174" s="1574"/>
      <c r="FS174" s="1574"/>
      <c r="FT174" s="1574"/>
      <c r="FU174" s="1574"/>
      <c r="FV174" s="1574"/>
      <c r="FW174" s="1574"/>
      <c r="FX174" s="1574"/>
      <c r="FY174" s="1574"/>
      <c r="FZ174" s="1574"/>
      <c r="GA174" s="1574"/>
      <c r="GB174" s="1574"/>
      <c r="GC174" s="1574"/>
      <c r="GD174" s="1574"/>
      <c r="GE174" s="1574"/>
      <c r="GF174" s="1574"/>
      <c r="GG174" s="1574"/>
      <c r="GH174" s="1574"/>
      <c r="GI174" s="1574"/>
      <c r="GJ174" s="1574"/>
      <c r="GK174" s="1574"/>
      <c r="GL174" s="1574"/>
      <c r="GM174" s="1574"/>
      <c r="GN174" s="1574"/>
      <c r="GO174" s="1574"/>
      <c r="GP174" s="1574"/>
      <c r="GQ174" s="1574"/>
      <c r="GR174" s="1574"/>
      <c r="GS174" s="1574"/>
      <c r="GT174" s="1574"/>
      <c r="GU174" s="1574"/>
      <c r="GV174" s="1574"/>
      <c r="GW174" s="1574"/>
      <c r="GX174" s="1574"/>
      <c r="GY174" s="1574"/>
      <c r="GZ174" s="1574"/>
      <c r="HA174" s="1574"/>
      <c r="HB174" s="1574"/>
      <c r="HC174" s="1574"/>
      <c r="HD174" s="1574"/>
      <c r="HE174" s="1574"/>
      <c r="HF174" s="1574"/>
      <c r="HG174" s="1574"/>
      <c r="HH174" s="1574"/>
      <c r="HI174" s="1574"/>
      <c r="HJ174" s="1574"/>
      <c r="HK174" s="1574"/>
      <c r="HL174" s="1574"/>
      <c r="HM174" s="1574"/>
      <c r="HN174" s="1574"/>
      <c r="HO174" s="1574"/>
      <c r="HP174" s="1574"/>
      <c r="HQ174" s="1574"/>
      <c r="HR174" s="1574"/>
      <c r="HS174" s="1574"/>
      <c r="HT174" s="1574"/>
      <c r="HU174" s="1574"/>
      <c r="HV174" s="1574"/>
      <c r="HW174" s="1574"/>
      <c r="HX174" s="1574"/>
      <c r="HY174" s="1574"/>
      <c r="HZ174" s="1574"/>
      <c r="IA174" s="1574"/>
      <c r="IB174" s="1574"/>
      <c r="IC174" s="1574"/>
      <c r="ID174" s="1574"/>
      <c r="IE174" s="1574"/>
      <c r="IF174" s="1574"/>
      <c r="IG174" s="1574"/>
      <c r="IH174" s="1574"/>
      <c r="II174" s="1574"/>
      <c r="IJ174" s="1574"/>
      <c r="IK174" s="1574"/>
      <c r="IL174" s="1574"/>
      <c r="IM174" s="1574"/>
      <c r="IN174" s="1574"/>
      <c r="IO174" s="1574"/>
      <c r="IP174" s="1574"/>
      <c r="IQ174" s="1574"/>
      <c r="IR174" s="1574"/>
      <c r="IS174" s="1574"/>
      <c r="IT174" s="1574"/>
      <c r="IU174" s="1574"/>
      <c r="IV174" s="1574"/>
      <c r="IW174" s="1574"/>
      <c r="IX174" s="1574"/>
      <c r="IY174" s="1574"/>
      <c r="IZ174" s="1574"/>
      <c r="JA174" s="1574"/>
      <c r="JB174" s="1574"/>
      <c r="JC174" s="1574"/>
      <c r="JD174" s="1574"/>
      <c r="JE174" s="1574"/>
      <c r="JF174" s="1574"/>
      <c r="JG174" s="1574"/>
      <c r="JH174" s="1574"/>
      <c r="JI174" s="1574"/>
      <c r="JJ174" s="1574"/>
      <c r="JK174" s="1574"/>
      <c r="JL174" s="1574"/>
      <c r="JM174" s="1574"/>
      <c r="JN174" s="1574"/>
      <c r="JO174" s="1574"/>
      <c r="JP174" s="1574"/>
      <c r="JQ174" s="1574"/>
      <c r="JR174" s="1574"/>
      <c r="JS174" s="1574"/>
      <c r="JT174" s="1574"/>
      <c r="JU174" s="1574"/>
      <c r="JV174" s="1574"/>
      <c r="JW174" s="1574"/>
      <c r="JX174" s="1574"/>
      <c r="JY174" s="1574"/>
      <c r="JZ174" s="1574"/>
      <c r="KA174" s="1574"/>
      <c r="KB174" s="1574"/>
      <c r="KC174" s="1574"/>
      <c r="KD174" s="1574"/>
      <c r="KE174" s="1574"/>
      <c r="KF174" s="1574"/>
      <c r="KG174" s="1574"/>
      <c r="KH174" s="1574"/>
      <c r="KI174" s="1574"/>
      <c r="KJ174" s="1574"/>
      <c r="KK174" s="1574"/>
      <c r="KL174" s="1574"/>
      <c r="KM174" s="1574"/>
      <c r="KN174" s="1574"/>
      <c r="KO174" s="1574"/>
      <c r="KP174" s="1574"/>
      <c r="KQ174" s="1574"/>
      <c r="KR174" s="1574"/>
      <c r="KS174" s="1574"/>
      <c r="KT174" s="1574"/>
      <c r="KU174" s="1574"/>
      <c r="KV174" s="1574"/>
      <c r="KW174" s="1574"/>
      <c r="KX174" s="1574"/>
      <c r="KY174" s="1574"/>
      <c r="KZ174" s="1574"/>
      <c r="LA174" s="1574"/>
      <c r="LB174" s="1574"/>
      <c r="LC174" s="1574"/>
      <c r="LD174" s="1574"/>
      <c r="LE174" s="1574"/>
      <c r="LF174" s="1574"/>
      <c r="LG174" s="1574"/>
      <c r="LH174" s="1574"/>
      <c r="LI174" s="1574"/>
      <c r="LJ174" s="1574"/>
      <c r="LK174" s="1574"/>
      <c r="LL174" s="1574"/>
      <c r="LM174" s="1574"/>
      <c r="LN174" s="1574"/>
      <c r="LO174" s="1574"/>
      <c r="LP174" s="1574"/>
      <c r="LQ174" s="1574"/>
      <c r="LR174" s="1574"/>
      <c r="LS174" s="1574"/>
      <c r="LT174" s="1574"/>
      <c r="LU174" s="1574"/>
      <c r="LV174" s="1574"/>
      <c r="LW174" s="1574"/>
      <c r="LX174" s="1574"/>
      <c r="LY174" s="1574"/>
      <c r="LZ174" s="1574"/>
      <c r="MA174" s="1574"/>
      <c r="MB174" s="1574"/>
      <c r="MC174" s="1574"/>
      <c r="MD174" s="1574"/>
      <c r="ME174" s="1574"/>
      <c r="MF174" s="1574"/>
      <c r="MG174" s="1574"/>
      <c r="MH174" s="1574"/>
      <c r="MI174" s="1574"/>
      <c r="MJ174" s="1574"/>
      <c r="MK174" s="1574"/>
      <c r="ML174" s="1574"/>
      <c r="MM174" s="1574"/>
      <c r="MN174" s="1574"/>
      <c r="MO174" s="1574"/>
      <c r="MP174" s="1574"/>
      <c r="MQ174" s="1574"/>
      <c r="MR174" s="1574"/>
      <c r="MS174" s="1574"/>
      <c r="MT174" s="1574"/>
      <c r="MU174" s="1574"/>
      <c r="MV174" s="1574"/>
      <c r="MW174" s="1574"/>
      <c r="MX174" s="1574"/>
      <c r="MY174" s="1574">
        <f>SUM(MY175:MY177)</f>
        <v>0</v>
      </c>
      <c r="MZ174" s="1574">
        <f t="shared" ref="MZ174:NO174" si="264">SUM(MZ175:MZ177)</f>
        <v>0</v>
      </c>
      <c r="NA174" s="1574"/>
      <c r="NB174" s="1574">
        <f t="shared" si="264"/>
        <v>0</v>
      </c>
      <c r="NC174" s="1574">
        <f t="shared" si="264"/>
        <v>0</v>
      </c>
      <c r="ND174" s="1574">
        <f t="shared" si="264"/>
        <v>0</v>
      </c>
      <c r="NE174" s="1574">
        <f t="shared" si="264"/>
        <v>0</v>
      </c>
      <c r="NF174" s="1574">
        <f t="shared" si="264"/>
        <v>0</v>
      </c>
      <c r="NG174" s="1574">
        <f t="shared" si="264"/>
        <v>0</v>
      </c>
      <c r="NH174" s="1574">
        <f t="shared" si="264"/>
        <v>0</v>
      </c>
      <c r="NI174" s="1574">
        <f t="shared" si="264"/>
        <v>0</v>
      </c>
      <c r="NJ174" s="1574">
        <f t="shared" si="264"/>
        <v>0</v>
      </c>
      <c r="NK174" s="1574">
        <f t="shared" si="264"/>
        <v>0</v>
      </c>
      <c r="NL174" s="1574">
        <f t="shared" si="264"/>
        <v>0</v>
      </c>
      <c r="NM174" s="1574">
        <f t="shared" si="264"/>
        <v>0</v>
      </c>
      <c r="NN174" s="1574">
        <f t="shared" si="264"/>
        <v>0</v>
      </c>
      <c r="NO174" s="1574">
        <f t="shared" si="264"/>
        <v>0</v>
      </c>
      <c r="NP174" s="1574"/>
      <c r="NQ174" s="1574"/>
      <c r="NR174" s="1574"/>
      <c r="NS174" s="1574"/>
      <c r="NT174" s="1574"/>
      <c r="NU174" s="1574"/>
      <c r="NV174" s="1574"/>
      <c r="NW174" s="1574"/>
      <c r="NX174" s="1574"/>
      <c r="NY174" s="1574"/>
      <c r="NZ174" s="1574"/>
      <c r="OA174" s="1574"/>
      <c r="OB174" s="1574"/>
      <c r="OC174" s="1574"/>
      <c r="OD174" s="1574"/>
      <c r="OE174" s="1574"/>
      <c r="OF174" s="1574"/>
      <c r="OG174" s="1574"/>
      <c r="OH174" s="1574"/>
      <c r="OI174" s="1574"/>
      <c r="OJ174" s="1574"/>
      <c r="OK174" s="1574"/>
      <c r="OL174" s="1574"/>
      <c r="OM174" s="1574"/>
      <c r="ON174" s="1574"/>
      <c r="OO174" s="1574"/>
      <c r="OP174" s="1574"/>
      <c r="OQ174" s="1574"/>
      <c r="OR174" s="1574"/>
      <c r="OS174" s="1574"/>
      <c r="OT174" s="1574"/>
      <c r="OU174" s="1574"/>
      <c r="OV174" s="1574"/>
      <c r="OW174" s="1574"/>
      <c r="OX174" s="1574"/>
      <c r="OY174" s="1574"/>
      <c r="OZ174" s="1574"/>
      <c r="PA174" s="1574"/>
      <c r="PB174" s="1574"/>
      <c r="PC174" s="1574"/>
      <c r="PD174" s="1574"/>
      <c r="PE174" s="1574"/>
      <c r="PF174" s="1574"/>
      <c r="PG174" s="1574"/>
      <c r="PH174" s="1574"/>
      <c r="PI174" s="1574"/>
      <c r="PJ174" s="1574"/>
      <c r="PK174" s="1574"/>
      <c r="PL174" s="1574"/>
      <c r="PM174" s="1574"/>
      <c r="PN174" s="1574"/>
      <c r="PO174" s="1574"/>
      <c r="PP174" s="1574"/>
      <c r="PQ174" s="1574"/>
      <c r="PR174" s="1574"/>
      <c r="PS174" s="1574"/>
      <c r="PT174" s="1574"/>
      <c r="PU174" s="1574"/>
      <c r="PV174" s="1574"/>
      <c r="PW174" s="1574"/>
      <c r="PX174" s="1574"/>
      <c r="PY174" s="1574"/>
      <c r="PZ174" s="1574"/>
      <c r="QA174" s="1574"/>
      <c r="QB174" s="1574"/>
      <c r="QC174" s="1574"/>
      <c r="QD174" s="1574"/>
      <c r="QE174" s="1574"/>
      <c r="QF174" s="1574"/>
      <c r="QG174" s="1574"/>
      <c r="QH174" s="1574"/>
      <c r="QI174" s="1574"/>
      <c r="QJ174" s="1574"/>
      <c r="QK174" s="1574"/>
      <c r="QL174" s="1574"/>
      <c r="QM174" s="1574"/>
      <c r="QN174" s="1574"/>
      <c r="QO174" s="1574"/>
      <c r="QP174" s="1574"/>
      <c r="QQ174" s="1574"/>
      <c r="QR174" s="1574"/>
      <c r="QS174" s="1574"/>
      <c r="QT174" s="1574"/>
      <c r="QU174" s="1574"/>
      <c r="QV174" s="1574"/>
      <c r="QW174" s="1574"/>
      <c r="QX174" s="1574"/>
      <c r="QY174" s="1574"/>
      <c r="QZ174" s="1574"/>
      <c r="RA174" s="1574"/>
      <c r="RB174" s="1574"/>
      <c r="RC174" s="1574"/>
      <c r="RD174" s="1574"/>
      <c r="RE174" s="1574"/>
      <c r="RF174" s="1574"/>
      <c r="RG174" s="1574"/>
      <c r="RH174" s="1574"/>
      <c r="RI174" s="1574"/>
      <c r="RJ174" s="1574"/>
      <c r="RK174" s="1574"/>
      <c r="RL174" s="1574"/>
      <c r="RM174" s="1574"/>
      <c r="RN174" s="1574"/>
      <c r="RO174" s="1574"/>
      <c r="RP174" s="1574"/>
      <c r="RQ174" s="1574"/>
      <c r="RR174" s="1574"/>
      <c r="RS174" s="1574"/>
      <c r="RT174" s="1574"/>
      <c r="RU174" s="1574"/>
      <c r="RV174" s="1574"/>
      <c r="RW174" s="1574"/>
      <c r="RX174" s="1574"/>
      <c r="RY174" s="1574"/>
      <c r="RZ174" s="1574"/>
      <c r="SA174" s="1574"/>
      <c r="SB174" s="1574"/>
      <c r="SC174" s="1574"/>
      <c r="SD174" s="1574"/>
      <c r="SE174" s="1574"/>
      <c r="SF174" s="1574"/>
      <c r="SG174" s="1574"/>
      <c r="SH174" s="1574"/>
      <c r="SI174" s="1574"/>
      <c r="SJ174" s="1574"/>
      <c r="SK174" s="1574"/>
      <c r="SL174" s="1574"/>
      <c r="SM174" s="1574"/>
      <c r="SN174" s="1574"/>
      <c r="SO174" s="1574"/>
      <c r="SP174" s="1574"/>
      <c r="SQ174" s="1574"/>
      <c r="SR174" s="1574"/>
      <c r="SS174" s="1574"/>
      <c r="ST174" s="1574"/>
      <c r="SU174" s="1574"/>
      <c r="SV174" s="1574"/>
      <c r="SW174" s="1574"/>
      <c r="SX174" s="1574"/>
      <c r="SY174" s="1574"/>
      <c r="SZ174" s="1574"/>
      <c r="TA174" s="1574"/>
      <c r="TB174" s="1574"/>
      <c r="TC174" s="1574"/>
      <c r="TD174" s="1574"/>
      <c r="TE174" s="1574"/>
      <c r="TF174" s="1574"/>
      <c r="TG174" s="1574"/>
      <c r="TH174" s="1574"/>
      <c r="TI174" s="1574"/>
      <c r="TJ174" s="1574"/>
      <c r="TK174" s="1574"/>
      <c r="TL174" s="1574"/>
      <c r="TM174" s="1574"/>
      <c r="TN174" s="1574"/>
      <c r="TO174" s="1574"/>
      <c r="TP174" s="1574"/>
      <c r="TQ174" s="1574"/>
      <c r="TR174" s="1574"/>
      <c r="TS174" s="1574"/>
      <c r="TT174" s="1574"/>
      <c r="TU174" s="1574"/>
      <c r="TV174" s="1574"/>
      <c r="TW174" s="1574"/>
      <c r="TX174" s="1574"/>
      <c r="TY174" s="1574"/>
      <c r="TZ174" s="1574"/>
      <c r="UA174" s="1574"/>
      <c r="UB174" s="1574"/>
      <c r="UC174" s="1574"/>
      <c r="UD174" s="1574"/>
      <c r="UE174" s="1574"/>
      <c r="UF174" s="1574"/>
      <c r="UG174" s="1574"/>
      <c r="UH174" s="1574"/>
      <c r="UI174" s="1574"/>
      <c r="UJ174" s="1574"/>
      <c r="UK174" s="1574"/>
      <c r="UL174" s="1574"/>
      <c r="UM174" s="1574"/>
      <c r="UN174" s="1574"/>
      <c r="UO174" s="1574"/>
      <c r="UP174" s="1574"/>
      <c r="UQ174" s="1574"/>
      <c r="UR174" s="1574"/>
      <c r="US174" s="1574"/>
      <c r="UT174" s="1574"/>
      <c r="UU174" s="1574"/>
      <c r="UV174" s="1574"/>
      <c r="UW174" s="1574"/>
      <c r="UX174" s="1574"/>
      <c r="UY174" s="1574"/>
      <c r="UZ174" s="1574"/>
      <c r="VA174" s="1574"/>
      <c r="VB174" s="1574"/>
      <c r="VC174" s="1574"/>
      <c r="VD174" s="1574"/>
      <c r="VE174" s="1574"/>
      <c r="VF174" s="1574"/>
      <c r="VG174" s="1574"/>
      <c r="VH174" s="1574"/>
      <c r="VI174" s="1574"/>
      <c r="VJ174" s="1574"/>
      <c r="VK174" s="1574"/>
    </row>
    <row r="175" spans="1:583" ht="27" x14ac:dyDescent="0.25">
      <c r="B175" s="1610" t="s">
        <v>2875</v>
      </c>
      <c r="C175" s="1582" t="s">
        <v>2876</v>
      </c>
      <c r="D175" s="4710" t="s">
        <v>2877</v>
      </c>
      <c r="E175" s="4710"/>
      <c r="F175" s="1912"/>
      <c r="G175" s="1912"/>
      <c r="H175" s="1912"/>
      <c r="I175" s="1576"/>
      <c r="J175" s="1576"/>
      <c r="K175" s="1576"/>
      <c r="L175" s="1576"/>
      <c r="M175" s="1576"/>
      <c r="N175" s="1576"/>
      <c r="O175" s="1576"/>
      <c r="P175" s="1576"/>
      <c r="Q175" s="1576"/>
      <c r="R175" s="1576"/>
      <c r="S175" s="1576"/>
      <c r="T175" s="1576"/>
      <c r="U175" s="1576"/>
      <c r="V175" s="1576"/>
      <c r="W175" s="1576"/>
      <c r="X175" s="1576"/>
      <c r="Y175" s="1576"/>
      <c r="Z175" s="1576"/>
      <c r="AA175" s="1576"/>
      <c r="AB175" s="1576"/>
      <c r="AC175" s="1576"/>
      <c r="AD175" s="1576"/>
      <c r="AE175" s="1576"/>
      <c r="AF175" s="1576"/>
      <c r="AG175" s="1576"/>
      <c r="AH175" s="1576"/>
      <c r="AI175" s="1576"/>
      <c r="AJ175" s="1576"/>
      <c r="AK175" s="1576"/>
      <c r="AL175" s="1576"/>
      <c r="AM175" s="1576"/>
      <c r="AN175" s="1576"/>
      <c r="AO175" s="1576"/>
      <c r="AP175" s="1576"/>
      <c r="AQ175" s="1576"/>
      <c r="AR175" s="1576"/>
      <c r="AS175" s="1576"/>
      <c r="AT175" s="1576"/>
      <c r="AU175" s="1576"/>
      <c r="AV175" s="1576"/>
      <c r="AW175" s="1576"/>
      <c r="AX175" s="1576"/>
      <c r="AY175" s="1576"/>
      <c r="AZ175" s="1576"/>
      <c r="BA175" s="1576"/>
      <c r="BB175" s="1576"/>
      <c r="BC175" s="1576"/>
      <c r="BD175" s="1576"/>
      <c r="BE175" s="1576"/>
      <c r="BF175" s="1576"/>
      <c r="BG175" s="1576"/>
      <c r="BH175" s="1576"/>
      <c r="BI175" s="1576"/>
      <c r="BJ175" s="1576"/>
      <c r="BK175" s="1576"/>
      <c r="BL175" s="1576"/>
      <c r="BM175" s="1576"/>
      <c r="BN175" s="1576"/>
      <c r="BO175" s="1576"/>
      <c r="BP175" s="1576"/>
      <c r="BQ175" s="1576"/>
      <c r="BR175" s="1576"/>
      <c r="BS175" s="1576"/>
      <c r="BT175" s="1576"/>
      <c r="BU175" s="1576"/>
      <c r="BV175" s="1576"/>
      <c r="BW175" s="1576"/>
      <c r="BX175" s="1576"/>
      <c r="BY175" s="1576"/>
      <c r="BZ175" s="1576"/>
      <c r="CA175" s="1576"/>
      <c r="CB175" s="1576"/>
      <c r="CC175" s="1576"/>
      <c r="CD175" s="1576"/>
      <c r="CE175" s="1576"/>
      <c r="CF175" s="1576"/>
      <c r="CG175" s="1576"/>
      <c r="CH175" s="1576"/>
      <c r="CI175" s="1576"/>
      <c r="CJ175" s="1576"/>
      <c r="CK175" s="1576"/>
      <c r="CL175" s="1576"/>
      <c r="CM175" s="1576"/>
      <c r="CN175" s="1576"/>
      <c r="CO175" s="1576"/>
      <c r="CP175" s="1576"/>
      <c r="CQ175" s="1576"/>
      <c r="CR175" s="1576"/>
      <c r="CS175" s="1576"/>
      <c r="CT175" s="1576"/>
      <c r="CU175" s="1576"/>
      <c r="CV175" s="1576"/>
      <c r="CW175" s="1576"/>
      <c r="CX175" s="1576"/>
      <c r="CY175" s="1576"/>
      <c r="CZ175" s="1576"/>
      <c r="DA175" s="1576"/>
      <c r="DB175" s="1576"/>
      <c r="DC175" s="1576"/>
      <c r="DD175" s="1576"/>
      <c r="DE175" s="1576"/>
      <c r="DF175" s="1576"/>
      <c r="DG175" s="1576"/>
      <c r="DH175" s="1576"/>
      <c r="DI175" s="1576"/>
      <c r="DJ175" s="1576"/>
      <c r="DK175" s="1576"/>
      <c r="DL175" s="1576"/>
      <c r="DM175" s="1576"/>
      <c r="DN175" s="1576"/>
      <c r="DO175" s="1576"/>
      <c r="DP175" s="1576"/>
      <c r="DQ175" s="1576"/>
      <c r="DR175" s="1576"/>
      <c r="DS175" s="1576"/>
      <c r="DT175" s="1576"/>
      <c r="DU175" s="1576"/>
      <c r="DV175" s="1576"/>
      <c r="DW175" s="1576"/>
      <c r="DX175" s="1576"/>
      <c r="DY175" s="1576"/>
      <c r="DZ175" s="1576"/>
      <c r="EA175" s="1576"/>
      <c r="EB175" s="1576"/>
      <c r="EC175" s="1576"/>
      <c r="ED175" s="1576"/>
      <c r="EE175" s="1576"/>
      <c r="EF175" s="1576"/>
      <c r="EG175" s="1576"/>
      <c r="EH175" s="1576"/>
      <c r="EI175" s="1576"/>
      <c r="EJ175" s="1576"/>
      <c r="EK175" s="1576"/>
      <c r="EL175" s="1576"/>
      <c r="EM175" s="1576"/>
      <c r="EN175" s="1576"/>
      <c r="EO175" s="1576"/>
      <c r="EP175" s="1576"/>
      <c r="EQ175" s="1576"/>
      <c r="ER175" s="1576"/>
      <c r="ES175" s="1576"/>
      <c r="ET175" s="1576"/>
      <c r="EU175" s="1576"/>
      <c r="EV175" s="1576"/>
      <c r="EW175" s="1576"/>
      <c r="EX175" s="1576"/>
      <c r="EY175" s="1576"/>
      <c r="EZ175" s="1576"/>
      <c r="FA175" s="1576"/>
      <c r="FB175" s="1576"/>
      <c r="FC175" s="1576"/>
      <c r="FD175" s="1576"/>
      <c r="FE175" s="1576"/>
      <c r="FF175" s="1576"/>
      <c r="FG175" s="1576"/>
      <c r="FH175" s="1576"/>
      <c r="FI175" s="1576"/>
      <c r="FJ175" s="1576"/>
      <c r="FK175" s="1576"/>
      <c r="FL175" s="1576"/>
      <c r="FM175" s="1576"/>
      <c r="FN175" s="1576"/>
      <c r="FO175" s="1576"/>
      <c r="FP175" s="1576"/>
      <c r="FQ175" s="1576"/>
      <c r="FR175" s="1576"/>
      <c r="FS175" s="1576"/>
      <c r="FT175" s="1576"/>
      <c r="FU175" s="1576"/>
      <c r="FV175" s="1576"/>
      <c r="FW175" s="1576"/>
      <c r="FX175" s="1576"/>
      <c r="FY175" s="1576"/>
      <c r="FZ175" s="1576"/>
      <c r="GA175" s="1576"/>
      <c r="GB175" s="1576"/>
      <c r="GC175" s="1576"/>
      <c r="GD175" s="1576"/>
      <c r="GE175" s="1576"/>
      <c r="GF175" s="1576"/>
      <c r="GG175" s="1576"/>
      <c r="GH175" s="1576"/>
      <c r="GI175" s="1576"/>
      <c r="GJ175" s="1576"/>
      <c r="GK175" s="1576"/>
      <c r="GL175" s="1576"/>
      <c r="GM175" s="1576"/>
      <c r="GN175" s="1576"/>
      <c r="GO175" s="1576"/>
      <c r="GP175" s="1576"/>
      <c r="GQ175" s="1576"/>
      <c r="GR175" s="1576"/>
      <c r="GS175" s="1576"/>
      <c r="GT175" s="1576"/>
      <c r="GU175" s="1576"/>
      <c r="GV175" s="1576"/>
      <c r="GW175" s="1576"/>
      <c r="GX175" s="1576"/>
      <c r="GY175" s="1576"/>
      <c r="GZ175" s="1576"/>
      <c r="HA175" s="1576"/>
      <c r="HB175" s="1576"/>
      <c r="HC175" s="1576"/>
      <c r="HD175" s="1576"/>
      <c r="HE175" s="1576"/>
      <c r="HF175" s="1576"/>
      <c r="HG175" s="1576"/>
      <c r="HH175" s="1576"/>
      <c r="HI175" s="1576"/>
      <c r="HJ175" s="1576"/>
      <c r="HK175" s="1576"/>
      <c r="HL175" s="1576"/>
      <c r="HM175" s="1576"/>
      <c r="HN175" s="1576"/>
      <c r="HO175" s="1576"/>
      <c r="HP175" s="1576"/>
      <c r="HQ175" s="1576"/>
      <c r="HR175" s="1576"/>
      <c r="HS175" s="1576"/>
      <c r="HT175" s="1576"/>
      <c r="HU175" s="1576"/>
      <c r="HV175" s="1576"/>
      <c r="HW175" s="1576"/>
      <c r="HX175" s="1576"/>
      <c r="HY175" s="1576"/>
      <c r="HZ175" s="1576"/>
      <c r="IA175" s="1576"/>
      <c r="IB175" s="1576"/>
      <c r="IC175" s="1576"/>
      <c r="ID175" s="1576"/>
      <c r="IE175" s="1576"/>
      <c r="IF175" s="1576"/>
      <c r="IG175" s="1576"/>
      <c r="IH175" s="1576"/>
      <c r="II175" s="1576"/>
      <c r="IJ175" s="1576"/>
      <c r="IK175" s="1576"/>
      <c r="IL175" s="1576"/>
      <c r="IM175" s="1576"/>
      <c r="IN175" s="1576"/>
      <c r="IO175" s="1576"/>
      <c r="IP175" s="1576"/>
      <c r="IQ175" s="1576"/>
      <c r="IR175" s="1576"/>
      <c r="IS175" s="1576"/>
      <c r="IT175" s="1576"/>
      <c r="IU175" s="1576"/>
      <c r="IV175" s="1576"/>
      <c r="IW175" s="1576"/>
      <c r="IX175" s="1576"/>
      <c r="IY175" s="1576"/>
      <c r="IZ175" s="1576"/>
      <c r="JA175" s="2054"/>
      <c r="JB175" s="2054"/>
      <c r="JC175" s="2054"/>
      <c r="JD175" s="2054"/>
      <c r="JE175" s="2054"/>
      <c r="JF175" s="2054"/>
      <c r="JG175" s="2054"/>
      <c r="JH175" s="2054"/>
      <c r="JI175" s="2054"/>
      <c r="JJ175" s="2054"/>
      <c r="JK175" s="2054"/>
      <c r="JL175" s="2054"/>
      <c r="JM175" s="2054"/>
      <c r="JN175" s="2054"/>
      <c r="JO175" s="2054"/>
      <c r="JP175" s="2054"/>
      <c r="JQ175" s="2054"/>
      <c r="JR175" s="1576"/>
      <c r="JS175" s="1576"/>
      <c r="JT175" s="1576"/>
      <c r="JU175" s="1576"/>
      <c r="JV175" s="1576"/>
      <c r="JW175" s="1576"/>
      <c r="JX175" s="1576"/>
      <c r="JY175" s="1576"/>
      <c r="JZ175" s="1576"/>
      <c r="KA175" s="1576"/>
      <c r="KB175" s="1576"/>
      <c r="KC175" s="1576"/>
      <c r="KD175" s="1576"/>
      <c r="KE175" s="1576"/>
      <c r="KF175" s="1576"/>
      <c r="KG175" s="1576"/>
      <c r="KH175" s="1576"/>
      <c r="KI175" s="1576"/>
      <c r="KJ175" s="1576"/>
      <c r="KK175" s="1576"/>
      <c r="KL175" s="1576"/>
      <c r="KM175" s="1576"/>
      <c r="KN175" s="1576"/>
      <c r="KO175" s="1576"/>
      <c r="KP175" s="1576"/>
      <c r="KQ175" s="1576"/>
      <c r="KR175" s="1576"/>
      <c r="KS175" s="1576"/>
      <c r="KT175" s="1576"/>
      <c r="KU175" s="1576"/>
      <c r="KV175" s="1576"/>
      <c r="KW175" s="1576"/>
      <c r="KX175" s="1576"/>
      <c r="KY175" s="1576"/>
      <c r="KZ175" s="1576"/>
      <c r="LA175" s="1576"/>
      <c r="LB175" s="1576"/>
      <c r="LC175" s="1576"/>
      <c r="LD175" s="1576"/>
      <c r="LE175" s="1576"/>
      <c r="LF175" s="1576"/>
      <c r="LG175" s="1576"/>
      <c r="LH175" s="1576"/>
      <c r="LI175" s="1576"/>
      <c r="LJ175" s="1576"/>
      <c r="LK175" s="1576"/>
      <c r="LL175" s="1576"/>
      <c r="LM175" s="1576"/>
      <c r="LN175" s="1576"/>
      <c r="LO175" s="1576"/>
      <c r="LP175" s="1576"/>
      <c r="LQ175" s="1576"/>
      <c r="LR175" s="1576"/>
      <c r="LS175" s="1576"/>
      <c r="LT175" s="1576"/>
      <c r="LU175" s="1576"/>
      <c r="LV175" s="1576"/>
      <c r="LW175" s="1576"/>
      <c r="LX175" s="1576"/>
      <c r="LY175" s="1576"/>
      <c r="LZ175" s="1576"/>
      <c r="MA175" s="1576"/>
      <c r="MB175" s="1576"/>
      <c r="MC175" s="1576"/>
      <c r="MD175" s="1576"/>
      <c r="ME175" s="1576"/>
      <c r="MF175" s="1576"/>
      <c r="MG175" s="1576"/>
      <c r="MH175" s="1576"/>
      <c r="MI175" s="1576"/>
      <c r="MJ175" s="1576"/>
      <c r="MK175" s="1576"/>
      <c r="ML175" s="1576"/>
      <c r="MM175" s="1576"/>
      <c r="MN175" s="1576"/>
      <c r="MO175" s="1576"/>
      <c r="MP175" s="1576"/>
      <c r="MQ175" s="1576"/>
      <c r="MR175" s="1576"/>
      <c r="MS175" s="1576"/>
      <c r="MT175" s="1576"/>
      <c r="MU175" s="1576"/>
      <c r="MV175" s="1576"/>
      <c r="MW175" s="1576"/>
      <c r="MX175" s="1576"/>
      <c r="MY175" s="1576"/>
      <c r="MZ175" s="1576"/>
      <c r="NA175" s="1576"/>
      <c r="NB175" s="1576"/>
      <c r="NC175" s="1576"/>
      <c r="ND175" s="1576"/>
      <c r="NE175" s="1576"/>
      <c r="NF175" s="1576"/>
      <c r="NG175" s="1576"/>
      <c r="NH175" s="1576"/>
      <c r="NI175" s="1576"/>
      <c r="NJ175" s="1576"/>
      <c r="NK175" s="1576"/>
      <c r="NL175" s="1576"/>
      <c r="NM175" s="1576"/>
      <c r="NN175" s="1576"/>
      <c r="NO175" s="1576"/>
      <c r="NP175" s="1576"/>
      <c r="NQ175" s="1576"/>
      <c r="NR175" s="1576"/>
      <c r="NS175" s="1576"/>
      <c r="NT175" s="1576"/>
      <c r="NU175" s="1576"/>
      <c r="NV175" s="1576"/>
      <c r="NW175" s="1576"/>
      <c r="NX175" s="1576"/>
      <c r="NY175" s="1576"/>
      <c r="NZ175" s="1576"/>
      <c r="OA175" s="1576"/>
      <c r="OB175" s="1576"/>
      <c r="OC175" s="1576"/>
      <c r="OD175" s="1576"/>
      <c r="OE175" s="1576"/>
      <c r="OF175" s="1576"/>
      <c r="OG175" s="1576"/>
      <c r="OH175" s="1576"/>
      <c r="OI175" s="1576"/>
      <c r="OJ175" s="1576"/>
      <c r="OK175" s="1576"/>
      <c r="OL175" s="1576"/>
      <c r="OM175" s="1576"/>
      <c r="ON175" s="1576"/>
      <c r="OO175" s="1576"/>
      <c r="OP175" s="1576"/>
      <c r="OQ175" s="1576"/>
      <c r="OR175" s="1576"/>
      <c r="OS175" s="1576"/>
      <c r="OT175" s="1576"/>
      <c r="OU175" s="1576"/>
      <c r="OV175" s="1576"/>
      <c r="OW175" s="1576"/>
      <c r="OX175" s="1576"/>
      <c r="OY175" s="1576"/>
      <c r="OZ175" s="1576"/>
      <c r="PA175" s="1576"/>
      <c r="PB175" s="1576"/>
      <c r="PC175" s="1576"/>
      <c r="PD175" s="1576"/>
      <c r="PE175" s="1576"/>
      <c r="PF175" s="1576"/>
      <c r="PG175" s="1576"/>
      <c r="PH175" s="1576"/>
      <c r="PI175" s="1576"/>
      <c r="PJ175" s="1576"/>
      <c r="PK175" s="1576"/>
      <c r="PL175" s="1576"/>
      <c r="PM175" s="1576"/>
      <c r="PN175" s="1576"/>
      <c r="PO175" s="1576"/>
      <c r="PP175" s="1576"/>
      <c r="PQ175" s="1576"/>
      <c r="PR175" s="1576"/>
      <c r="PS175" s="1576"/>
      <c r="PT175" s="1576"/>
      <c r="PU175" s="1576"/>
      <c r="PV175" s="1576"/>
      <c r="PW175" s="1576"/>
      <c r="PX175" s="1576"/>
      <c r="PY175" s="1576"/>
      <c r="PZ175" s="1576"/>
      <c r="QA175" s="1576"/>
      <c r="QB175" s="1576"/>
      <c r="QC175" s="1576"/>
      <c r="QD175" s="1576"/>
      <c r="QE175" s="1576"/>
      <c r="QF175" s="1576"/>
      <c r="QG175" s="1576"/>
      <c r="QH175" s="1576"/>
      <c r="QI175" s="1576"/>
      <c r="QJ175" s="1576"/>
      <c r="QK175" s="1576"/>
      <c r="QL175" s="1576"/>
      <c r="QM175" s="1576"/>
      <c r="QN175" s="1576"/>
      <c r="QO175" s="1576"/>
      <c r="QP175" s="1576"/>
      <c r="QQ175" s="1576"/>
      <c r="QR175" s="1576"/>
      <c r="QS175" s="1576"/>
      <c r="QT175" s="1576"/>
      <c r="QU175" s="1576"/>
      <c r="QV175" s="1576"/>
      <c r="QW175" s="1576"/>
      <c r="QX175" s="1576"/>
      <c r="QY175" s="1576"/>
      <c r="QZ175" s="1576"/>
      <c r="RA175" s="1576"/>
      <c r="RB175" s="1576"/>
      <c r="RC175" s="1576"/>
      <c r="RD175" s="1576"/>
      <c r="RE175" s="1576"/>
      <c r="RF175" s="1576"/>
      <c r="RG175" s="1576"/>
      <c r="RH175" s="1576"/>
      <c r="RI175" s="1576"/>
      <c r="RJ175" s="1576"/>
      <c r="RK175" s="1576"/>
      <c r="RL175" s="1576"/>
      <c r="RM175" s="1576"/>
      <c r="RN175" s="1576"/>
      <c r="RO175" s="1576"/>
      <c r="RP175" s="1576"/>
      <c r="RQ175" s="1576"/>
      <c r="RR175" s="1576"/>
      <c r="RS175" s="1576"/>
      <c r="RT175" s="1576"/>
      <c r="RU175" s="1576"/>
      <c r="RV175" s="1576"/>
      <c r="RW175" s="1576"/>
      <c r="RX175" s="1576"/>
      <c r="RY175" s="1576"/>
      <c r="RZ175" s="1576"/>
      <c r="SA175" s="1576"/>
      <c r="SB175" s="1576"/>
      <c r="SC175" s="1576"/>
      <c r="SD175" s="1576"/>
      <c r="SE175" s="1576"/>
      <c r="SF175" s="1576"/>
      <c r="SG175" s="1576"/>
      <c r="SH175" s="1576"/>
      <c r="SI175" s="1576"/>
      <c r="SJ175" s="1576"/>
      <c r="SK175" s="1576"/>
      <c r="SL175" s="1576"/>
      <c r="SM175" s="1576"/>
      <c r="SN175" s="1576"/>
      <c r="SO175" s="1576"/>
      <c r="SP175" s="1576"/>
      <c r="SQ175" s="1576"/>
      <c r="SR175" s="1576"/>
      <c r="SS175" s="1576"/>
      <c r="ST175" s="1576"/>
      <c r="SU175" s="1576"/>
      <c r="SV175" s="1576"/>
      <c r="SW175" s="1576"/>
      <c r="SX175" s="1576"/>
      <c r="SY175" s="1576"/>
      <c r="SZ175" s="1576"/>
      <c r="TA175" s="1576"/>
      <c r="TB175" s="1576"/>
      <c r="TC175" s="1576"/>
      <c r="TD175" s="1576"/>
      <c r="TE175" s="1576"/>
      <c r="TF175" s="1576"/>
      <c r="TG175" s="1576"/>
      <c r="TH175" s="1576"/>
      <c r="TI175" s="1576"/>
      <c r="TJ175" s="1576"/>
      <c r="TK175" s="1576"/>
      <c r="TL175" s="1576"/>
      <c r="TM175" s="1576"/>
      <c r="TN175" s="1576"/>
      <c r="TO175" s="1576"/>
      <c r="TP175" s="1576"/>
      <c r="TQ175" s="1576"/>
      <c r="TR175" s="1576"/>
      <c r="TS175" s="1576"/>
      <c r="TT175" s="1576"/>
      <c r="TU175" s="1576"/>
      <c r="TV175" s="1576"/>
      <c r="TW175" s="1576"/>
      <c r="TX175" s="1576"/>
      <c r="TY175" s="1576"/>
      <c r="TZ175" s="1576"/>
      <c r="UA175" s="1576"/>
      <c r="UB175" s="1576"/>
      <c r="UC175" s="1576"/>
      <c r="UD175" s="1576"/>
      <c r="UE175" s="1576"/>
      <c r="UF175" s="1576"/>
      <c r="UG175" s="1576"/>
      <c r="UH175" s="1576"/>
      <c r="UI175" s="1576"/>
      <c r="UJ175" s="1576"/>
      <c r="UK175" s="1576"/>
      <c r="UL175" s="1576"/>
      <c r="UM175" s="1576"/>
      <c r="UN175" s="1576"/>
      <c r="UO175" s="1576"/>
      <c r="UP175" s="1576"/>
      <c r="UQ175" s="1576"/>
      <c r="UR175" s="1576"/>
      <c r="US175" s="1576"/>
      <c r="UT175" s="1576"/>
      <c r="UU175" s="1576"/>
      <c r="UV175" s="1576"/>
      <c r="UW175" s="1576"/>
      <c r="UX175" s="1576"/>
      <c r="UY175" s="1576"/>
      <c r="UZ175" s="1576"/>
      <c r="VA175" s="1576"/>
      <c r="VB175" s="1576"/>
      <c r="VC175" s="1576"/>
      <c r="VD175" s="1576"/>
      <c r="VE175" s="1576"/>
      <c r="VF175" s="1576"/>
      <c r="VG175" s="1576"/>
      <c r="VH175" s="1576"/>
      <c r="VI175" s="1576"/>
      <c r="VJ175" s="1576"/>
      <c r="VK175" s="1576"/>
    </row>
    <row r="176" spans="1:583" x14ac:dyDescent="0.25">
      <c r="B176" s="4710" t="s">
        <v>381</v>
      </c>
      <c r="C176" s="4711" t="s">
        <v>2137</v>
      </c>
      <c r="D176" s="4711" t="s">
        <v>2878</v>
      </c>
      <c r="E176" s="1911" t="s">
        <v>2843</v>
      </c>
      <c r="F176" s="1912"/>
      <c r="G176" s="1912"/>
      <c r="H176" s="1912"/>
      <c r="I176" s="1576"/>
      <c r="J176" s="1576"/>
      <c r="K176" s="1576"/>
      <c r="L176" s="1576"/>
      <c r="M176" s="1576"/>
      <c r="N176" s="1576"/>
      <c r="O176" s="1576"/>
      <c r="P176" s="1576"/>
      <c r="Q176" s="1576"/>
      <c r="R176" s="1576"/>
      <c r="S176" s="1576"/>
      <c r="T176" s="1576"/>
      <c r="U176" s="1576"/>
      <c r="V176" s="1576"/>
      <c r="W176" s="1576"/>
      <c r="X176" s="1576"/>
      <c r="Y176" s="1576"/>
      <c r="Z176" s="1576"/>
      <c r="AA176" s="1576"/>
      <c r="AB176" s="1576"/>
      <c r="AC176" s="1576"/>
      <c r="AD176" s="1576"/>
      <c r="AE176" s="1576"/>
      <c r="AF176" s="1576"/>
      <c r="AG176" s="1576"/>
      <c r="AH176" s="1576"/>
      <c r="AI176" s="1576"/>
      <c r="AJ176" s="1576"/>
      <c r="AK176" s="1576"/>
      <c r="AL176" s="1576"/>
      <c r="AM176" s="1576"/>
      <c r="AN176" s="1576"/>
      <c r="AO176" s="1576"/>
      <c r="AP176" s="1576"/>
      <c r="AQ176" s="1576"/>
      <c r="AR176" s="1576"/>
      <c r="AS176" s="1576"/>
      <c r="AT176" s="1576"/>
      <c r="AU176" s="1576"/>
      <c r="AV176" s="1576"/>
      <c r="AW176" s="1576"/>
      <c r="AX176" s="1576"/>
      <c r="AY176" s="1576"/>
      <c r="AZ176" s="1576"/>
      <c r="BA176" s="1576"/>
      <c r="BB176" s="1576"/>
      <c r="BC176" s="1576"/>
      <c r="BD176" s="1576"/>
      <c r="BE176" s="1576"/>
      <c r="BF176" s="1576"/>
      <c r="BG176" s="1576"/>
      <c r="BH176" s="1576"/>
      <c r="BI176" s="1576"/>
      <c r="BJ176" s="1576"/>
      <c r="BK176" s="1576"/>
      <c r="BL176" s="1576"/>
      <c r="BM176" s="1576"/>
      <c r="BN176" s="1576"/>
      <c r="BO176" s="1576"/>
      <c r="BP176" s="1576"/>
      <c r="BQ176" s="1576"/>
      <c r="BR176" s="1576"/>
      <c r="BS176" s="1576"/>
      <c r="BT176" s="1576"/>
      <c r="BU176" s="1576"/>
      <c r="BV176" s="1576"/>
      <c r="BW176" s="1576"/>
      <c r="BX176" s="1576"/>
      <c r="BY176" s="1576"/>
      <c r="BZ176" s="1576"/>
      <c r="CA176" s="1576"/>
      <c r="CB176" s="1576"/>
      <c r="CC176" s="1576"/>
      <c r="CD176" s="1576"/>
      <c r="CE176" s="1576"/>
      <c r="CF176" s="1576"/>
      <c r="CG176" s="1576"/>
      <c r="CH176" s="1576"/>
      <c r="CI176" s="1576"/>
      <c r="CJ176" s="1576"/>
      <c r="CK176" s="1576"/>
      <c r="CL176" s="1576"/>
      <c r="CM176" s="1576"/>
      <c r="CN176" s="1576"/>
      <c r="CO176" s="1576"/>
      <c r="CP176" s="1576"/>
      <c r="CQ176" s="1576"/>
      <c r="CR176" s="1576"/>
      <c r="CS176" s="1576"/>
      <c r="CT176" s="1576"/>
      <c r="CU176" s="1576"/>
      <c r="CV176" s="1576"/>
      <c r="CW176" s="1576"/>
      <c r="CX176" s="1576"/>
      <c r="CY176" s="1576"/>
      <c r="CZ176" s="1576"/>
      <c r="DA176" s="1576"/>
      <c r="DB176" s="1576"/>
      <c r="DC176" s="1576"/>
      <c r="DD176" s="1576"/>
      <c r="DE176" s="1576"/>
      <c r="DF176" s="1576"/>
      <c r="DG176" s="1576"/>
      <c r="DH176" s="1576"/>
      <c r="DI176" s="1576"/>
      <c r="DJ176" s="1576"/>
      <c r="DK176" s="1576"/>
      <c r="DL176" s="1576"/>
      <c r="DM176" s="1576"/>
      <c r="DN176" s="1576"/>
      <c r="DO176" s="1576"/>
      <c r="DP176" s="1576"/>
      <c r="DQ176" s="1576"/>
      <c r="DR176" s="1576"/>
      <c r="DS176" s="1576"/>
      <c r="DT176" s="1576"/>
      <c r="DU176" s="1576"/>
      <c r="DV176" s="1576"/>
      <c r="DW176" s="1576"/>
      <c r="DX176" s="1576"/>
      <c r="DY176" s="1576"/>
      <c r="DZ176" s="1576"/>
      <c r="EA176" s="1576"/>
      <c r="EB176" s="1576"/>
      <c r="EC176" s="1576"/>
      <c r="ED176" s="1576"/>
      <c r="EE176" s="1576"/>
      <c r="EF176" s="1576"/>
      <c r="EG176" s="1576"/>
      <c r="EH176" s="1576"/>
      <c r="EI176" s="1576"/>
      <c r="EJ176" s="1576"/>
      <c r="EK176" s="1576"/>
      <c r="EL176" s="1576"/>
      <c r="EM176" s="1576"/>
      <c r="EN176" s="1576"/>
      <c r="EO176" s="1576"/>
      <c r="EP176" s="1576"/>
      <c r="EQ176" s="1576"/>
      <c r="ER176" s="1576"/>
      <c r="ES176" s="1576"/>
      <c r="ET176" s="1576"/>
      <c r="EU176" s="1576"/>
      <c r="EV176" s="1576"/>
      <c r="EW176" s="1576"/>
      <c r="EX176" s="1576"/>
      <c r="EY176" s="1576"/>
      <c r="EZ176" s="1576"/>
      <c r="FA176" s="1576"/>
      <c r="FB176" s="1576"/>
      <c r="FC176" s="1576"/>
      <c r="FD176" s="1576"/>
      <c r="FE176" s="1576"/>
      <c r="FF176" s="1576"/>
      <c r="FG176" s="1576"/>
      <c r="FH176" s="1576"/>
      <c r="FI176" s="1576"/>
      <c r="FJ176" s="1576"/>
      <c r="FK176" s="1576"/>
      <c r="FL176" s="1576"/>
      <c r="FM176" s="1576"/>
      <c r="FN176" s="1576"/>
      <c r="FO176" s="1576"/>
      <c r="FP176" s="1576"/>
      <c r="FQ176" s="1576"/>
      <c r="FR176" s="1576"/>
      <c r="FS176" s="1576"/>
      <c r="FT176" s="1576"/>
      <c r="FU176" s="1576"/>
      <c r="FV176" s="1576"/>
      <c r="FW176" s="1576"/>
      <c r="FX176" s="1576"/>
      <c r="FY176" s="1576"/>
      <c r="FZ176" s="1576"/>
      <c r="GA176" s="1576"/>
      <c r="GB176" s="1576"/>
      <c r="GC176" s="1576"/>
      <c r="GD176" s="1576"/>
      <c r="GE176" s="1576"/>
      <c r="GF176" s="1576"/>
      <c r="GG176" s="1576"/>
      <c r="GH176" s="1576"/>
      <c r="GI176" s="1576"/>
      <c r="GJ176" s="1576"/>
      <c r="GK176" s="1576"/>
      <c r="GL176" s="1576"/>
      <c r="GM176" s="1576"/>
      <c r="GN176" s="1576"/>
      <c r="GO176" s="1576"/>
      <c r="GP176" s="1576"/>
      <c r="GQ176" s="1576"/>
      <c r="GR176" s="1576"/>
      <c r="GS176" s="1576"/>
      <c r="GT176" s="1576"/>
      <c r="GU176" s="1576"/>
      <c r="GV176" s="1576"/>
      <c r="GW176" s="1576"/>
      <c r="GX176" s="1576"/>
      <c r="GY176" s="1576"/>
      <c r="GZ176" s="1576"/>
      <c r="HA176" s="1576"/>
      <c r="HB176" s="1576"/>
      <c r="HC176" s="1576"/>
      <c r="HD176" s="1576"/>
      <c r="HE176" s="1576"/>
      <c r="HF176" s="1576"/>
      <c r="HG176" s="1576"/>
      <c r="HH176" s="1576"/>
      <c r="HI176" s="1576"/>
      <c r="HJ176" s="1576"/>
      <c r="HK176" s="1576"/>
      <c r="HL176" s="1576"/>
      <c r="HM176" s="1576"/>
      <c r="HN176" s="1576"/>
      <c r="HO176" s="1576"/>
      <c r="HP176" s="1576"/>
      <c r="HQ176" s="1576"/>
      <c r="HR176" s="1576"/>
      <c r="HS176" s="1576"/>
      <c r="HT176" s="1576"/>
      <c r="HU176" s="1576"/>
      <c r="HV176" s="1576"/>
      <c r="HW176" s="1576"/>
      <c r="HX176" s="1576"/>
      <c r="HY176" s="1576"/>
      <c r="HZ176" s="1576"/>
      <c r="IA176" s="1576"/>
      <c r="IB176" s="1576"/>
      <c r="IC176" s="1576"/>
      <c r="ID176" s="1576"/>
      <c r="IE176" s="1576"/>
      <c r="IF176" s="1576"/>
      <c r="IG176" s="1576"/>
      <c r="IH176" s="1576"/>
      <c r="II176" s="1576"/>
      <c r="IJ176" s="1576"/>
      <c r="IK176" s="1576"/>
      <c r="IL176" s="1576"/>
      <c r="IM176" s="1576"/>
      <c r="IN176" s="1576"/>
      <c r="IO176" s="1576"/>
      <c r="IP176" s="1576"/>
      <c r="IQ176" s="1576"/>
      <c r="IR176" s="1576"/>
      <c r="IS176" s="1576"/>
      <c r="IT176" s="1576"/>
      <c r="IU176" s="1576"/>
      <c r="IV176" s="1576"/>
      <c r="IW176" s="1576"/>
      <c r="IX176" s="1576"/>
      <c r="IY176" s="1576"/>
      <c r="IZ176" s="1576"/>
      <c r="JA176" s="2054"/>
      <c r="JB176" s="2054"/>
      <c r="JC176" s="2054"/>
      <c r="JD176" s="2054"/>
      <c r="JE176" s="2054"/>
      <c r="JF176" s="2054"/>
      <c r="JG176" s="2054"/>
      <c r="JH176" s="2054"/>
      <c r="JI176" s="2054"/>
      <c r="JJ176" s="2054"/>
      <c r="JK176" s="2054"/>
      <c r="JL176" s="2054"/>
      <c r="JM176" s="2054"/>
      <c r="JN176" s="2054"/>
      <c r="JO176" s="2054"/>
      <c r="JP176" s="2054"/>
      <c r="JQ176" s="2054"/>
      <c r="JR176" s="1576"/>
      <c r="JS176" s="1576"/>
      <c r="JT176" s="1576"/>
      <c r="JU176" s="1576"/>
      <c r="JV176" s="1576"/>
      <c r="JW176" s="1576"/>
      <c r="JX176" s="1576"/>
      <c r="JY176" s="1576"/>
      <c r="JZ176" s="1576"/>
      <c r="KA176" s="1576"/>
      <c r="KB176" s="1576"/>
      <c r="KC176" s="1576"/>
      <c r="KD176" s="1576"/>
      <c r="KE176" s="1576"/>
      <c r="KF176" s="1576"/>
      <c r="KG176" s="1576"/>
      <c r="KH176" s="1576"/>
      <c r="KI176" s="1576"/>
      <c r="KJ176" s="1576"/>
      <c r="KK176" s="1576"/>
      <c r="KL176" s="1576"/>
      <c r="KM176" s="1576"/>
      <c r="KN176" s="1576"/>
      <c r="KO176" s="1576"/>
      <c r="KP176" s="1576"/>
      <c r="KQ176" s="1576"/>
      <c r="KR176" s="1576"/>
      <c r="KS176" s="1576"/>
      <c r="KT176" s="1576"/>
      <c r="KU176" s="1576"/>
      <c r="KV176" s="1576"/>
      <c r="KW176" s="1576"/>
      <c r="KX176" s="1576"/>
      <c r="KY176" s="1576"/>
      <c r="KZ176" s="1576"/>
      <c r="LA176" s="1576"/>
      <c r="LB176" s="1576"/>
      <c r="LC176" s="1576"/>
      <c r="LD176" s="1576"/>
      <c r="LE176" s="1576"/>
      <c r="LF176" s="1576"/>
      <c r="LG176" s="1576"/>
      <c r="LH176" s="1576"/>
      <c r="LI176" s="1576"/>
      <c r="LJ176" s="1576"/>
      <c r="LK176" s="1576"/>
      <c r="LL176" s="1576"/>
      <c r="LM176" s="1576"/>
      <c r="LN176" s="1576"/>
      <c r="LO176" s="1576"/>
      <c r="LP176" s="1576"/>
      <c r="LQ176" s="1576"/>
      <c r="LR176" s="1576"/>
      <c r="LS176" s="1576"/>
      <c r="LT176" s="1576"/>
      <c r="LU176" s="1576"/>
      <c r="LV176" s="1576"/>
      <c r="LW176" s="1576"/>
      <c r="LX176" s="1576"/>
      <c r="LY176" s="1576"/>
      <c r="LZ176" s="1576"/>
      <c r="MA176" s="1576"/>
      <c r="MB176" s="1576"/>
      <c r="MC176" s="1576"/>
      <c r="MD176" s="1576"/>
      <c r="ME176" s="1576"/>
      <c r="MF176" s="1576"/>
      <c r="MG176" s="1576"/>
      <c r="MH176" s="1576"/>
      <c r="MI176" s="1576"/>
      <c r="MJ176" s="1576"/>
      <c r="MK176" s="1576"/>
      <c r="ML176" s="1576"/>
      <c r="MM176" s="1576"/>
      <c r="MN176" s="1576"/>
      <c r="MO176" s="1576"/>
      <c r="MP176" s="1576"/>
      <c r="MQ176" s="1576"/>
      <c r="MR176" s="1576"/>
      <c r="MS176" s="1576"/>
      <c r="MT176" s="1576"/>
      <c r="MU176" s="1576"/>
      <c r="MV176" s="1576"/>
      <c r="MW176" s="1576"/>
      <c r="MX176" s="1576"/>
      <c r="MY176" s="1576"/>
      <c r="MZ176" s="1576"/>
      <c r="NA176" s="1576"/>
      <c r="NB176" s="1576"/>
      <c r="NC176" s="1576"/>
      <c r="ND176" s="1576"/>
      <c r="NE176" s="1576"/>
      <c r="NF176" s="1576"/>
      <c r="NG176" s="1576"/>
      <c r="NH176" s="1576"/>
      <c r="NI176" s="1576"/>
      <c r="NJ176" s="1576"/>
      <c r="NK176" s="1576"/>
      <c r="NL176" s="1576"/>
      <c r="NM176" s="1576"/>
      <c r="NN176" s="1576"/>
      <c r="NO176" s="1576"/>
      <c r="NP176" s="1576"/>
      <c r="NQ176" s="1576"/>
      <c r="NR176" s="1576"/>
      <c r="NS176" s="1576"/>
      <c r="NT176" s="1576"/>
      <c r="NU176" s="1576"/>
      <c r="NV176" s="1576"/>
      <c r="NW176" s="1576"/>
      <c r="NX176" s="1576"/>
      <c r="NY176" s="1576"/>
      <c r="NZ176" s="1576"/>
      <c r="OA176" s="1576"/>
      <c r="OB176" s="1576"/>
      <c r="OC176" s="1576"/>
      <c r="OD176" s="1576"/>
      <c r="OE176" s="1576"/>
      <c r="OF176" s="1576"/>
      <c r="OG176" s="1576"/>
      <c r="OH176" s="1576"/>
      <c r="OI176" s="1576"/>
      <c r="OJ176" s="1576"/>
      <c r="OK176" s="1576"/>
      <c r="OL176" s="1576"/>
      <c r="OM176" s="1576"/>
      <c r="ON176" s="1576"/>
      <c r="OO176" s="1576"/>
      <c r="OP176" s="1576"/>
      <c r="OQ176" s="1576"/>
      <c r="OR176" s="1576"/>
      <c r="OS176" s="1576"/>
      <c r="OT176" s="1576"/>
      <c r="OU176" s="1576"/>
      <c r="OV176" s="1576"/>
      <c r="OW176" s="1576"/>
      <c r="OX176" s="1576"/>
      <c r="OY176" s="1576"/>
      <c r="OZ176" s="1576"/>
      <c r="PA176" s="1576"/>
      <c r="PB176" s="1576"/>
      <c r="PC176" s="1576"/>
      <c r="PD176" s="1576"/>
      <c r="PE176" s="1576"/>
      <c r="PF176" s="1576"/>
      <c r="PG176" s="1576"/>
      <c r="PH176" s="1576"/>
      <c r="PI176" s="1576"/>
      <c r="PJ176" s="1576"/>
      <c r="PK176" s="1576"/>
      <c r="PL176" s="1576"/>
      <c r="PM176" s="1576"/>
      <c r="PN176" s="1576"/>
      <c r="PO176" s="1576"/>
      <c r="PP176" s="1576"/>
      <c r="PQ176" s="1576"/>
      <c r="PR176" s="1576"/>
      <c r="PS176" s="1576"/>
      <c r="PT176" s="1576"/>
      <c r="PU176" s="1576"/>
      <c r="PV176" s="1576"/>
      <c r="PW176" s="1576"/>
      <c r="PX176" s="1576"/>
      <c r="PY176" s="1576"/>
      <c r="PZ176" s="1576"/>
      <c r="QA176" s="1576"/>
      <c r="QB176" s="1576"/>
      <c r="QC176" s="1576"/>
      <c r="QD176" s="1576"/>
      <c r="QE176" s="1576"/>
      <c r="QF176" s="1576"/>
      <c r="QG176" s="1576"/>
      <c r="QH176" s="1576"/>
      <c r="QI176" s="1576"/>
      <c r="QJ176" s="1576"/>
      <c r="QK176" s="1576"/>
      <c r="QL176" s="1576"/>
      <c r="QM176" s="1576"/>
      <c r="QN176" s="1576"/>
      <c r="QO176" s="1576"/>
      <c r="QP176" s="1576"/>
      <c r="QQ176" s="1576"/>
      <c r="QR176" s="1576"/>
      <c r="QS176" s="1576"/>
      <c r="QT176" s="1576"/>
      <c r="QU176" s="1576"/>
      <c r="QV176" s="1576"/>
      <c r="QW176" s="1576"/>
      <c r="QX176" s="1576"/>
      <c r="QY176" s="1576"/>
      <c r="QZ176" s="1576"/>
      <c r="RA176" s="1576"/>
      <c r="RB176" s="1576"/>
      <c r="RC176" s="1576"/>
      <c r="RD176" s="1576"/>
      <c r="RE176" s="1576"/>
      <c r="RF176" s="1576"/>
      <c r="RG176" s="1576"/>
      <c r="RH176" s="1576"/>
      <c r="RI176" s="1576"/>
      <c r="RJ176" s="1576"/>
      <c r="RK176" s="1576"/>
      <c r="RL176" s="1576"/>
      <c r="RM176" s="1576"/>
      <c r="RN176" s="1576"/>
      <c r="RO176" s="1576"/>
      <c r="RP176" s="1576"/>
      <c r="RQ176" s="1576"/>
      <c r="RR176" s="1576"/>
      <c r="RS176" s="1576"/>
      <c r="RT176" s="1576"/>
      <c r="RU176" s="1576"/>
      <c r="RV176" s="1576"/>
      <c r="RW176" s="1576"/>
      <c r="RX176" s="1576"/>
      <c r="RY176" s="1576"/>
      <c r="RZ176" s="1576"/>
      <c r="SA176" s="1576"/>
      <c r="SB176" s="1576"/>
      <c r="SC176" s="1576"/>
      <c r="SD176" s="1576"/>
      <c r="SE176" s="1576" t="e">
        <f>'Paso 1.1'!E136*Tiempos!$H$125</f>
        <v>#DIV/0!</v>
      </c>
      <c r="SF176" s="1576" t="e">
        <f>'Paso 1.1'!F136*Tiempos!$H$125</f>
        <v>#DIV/0!</v>
      </c>
      <c r="SG176" s="1576" t="e">
        <f>'Paso 1.1'!G136*Tiempos!$H$125</f>
        <v>#DIV/0!</v>
      </c>
      <c r="SH176" s="1576" t="e">
        <f>'Paso 1.1'!H136*Tiempos!$H$125</f>
        <v>#DIV/0!</v>
      </c>
      <c r="SI176" s="1576" t="e">
        <f>'Paso 1.1'!I136*Tiempos!$H$125</f>
        <v>#DIV/0!</v>
      </c>
      <c r="SJ176" s="1576" t="e">
        <f>'Paso 1.1'!J136*Tiempos!$H$125</f>
        <v>#DIV/0!</v>
      </c>
      <c r="SK176" s="1576" t="e">
        <f>'Paso 1.1'!K136*Tiempos!$H$125</f>
        <v>#DIV/0!</v>
      </c>
      <c r="SL176" s="1576" t="e">
        <f>'Paso 1.1'!L136*Tiempos!$H$125</f>
        <v>#DIV/0!</v>
      </c>
      <c r="SM176" s="1576" t="e">
        <f>'Paso 1.1'!M136*Tiempos!$H$125</f>
        <v>#DIV/0!</v>
      </c>
      <c r="SN176" s="1576" t="e">
        <f>'Paso 1.1'!N136*Tiempos!$H$125</f>
        <v>#DIV/0!</v>
      </c>
      <c r="SO176" s="1576" t="e">
        <f>'Paso 1.1'!O136*Tiempos!$H$125</f>
        <v>#DIV/0!</v>
      </c>
      <c r="SP176" s="1576" t="e">
        <f>'Paso 1.1'!P136*Tiempos!$H$125</f>
        <v>#DIV/0!</v>
      </c>
      <c r="SQ176" s="1576" t="e">
        <f>'Paso 1.1'!Q136*Tiempos!$H$125</f>
        <v>#DIV/0!</v>
      </c>
      <c r="SR176" s="1576" t="e">
        <f>'Paso 1.1'!R136*Tiempos!$H$125</f>
        <v>#DIV/0!</v>
      </c>
      <c r="SS176" s="1576" t="e">
        <f>'Paso 1.1'!S136*Tiempos!$H$125</f>
        <v>#DIV/0!</v>
      </c>
      <c r="ST176" s="1576" t="e">
        <f>'Paso 1.1'!T136*Tiempos!$H$125</f>
        <v>#DIV/0!</v>
      </c>
      <c r="SU176" s="1576" t="e">
        <f>'Paso 1.1'!U136*Tiempos!$H$125</f>
        <v>#DIV/0!</v>
      </c>
      <c r="SV176" s="1576" t="e">
        <f>'Paso 1.1'!E136*Tiempos!$L$125</f>
        <v>#DIV/0!</v>
      </c>
      <c r="SW176" s="1576" t="e">
        <f>'Paso 1.1'!F136*Tiempos!$L$125</f>
        <v>#DIV/0!</v>
      </c>
      <c r="SX176" s="1576" t="e">
        <f>'Paso 1.1'!G136*Tiempos!$L$125</f>
        <v>#DIV/0!</v>
      </c>
      <c r="SY176" s="1576" t="e">
        <f>'Paso 1.1'!H136*Tiempos!$L$125</f>
        <v>#DIV/0!</v>
      </c>
      <c r="SZ176" s="1576" t="e">
        <f>'Paso 1.1'!I136*Tiempos!$L$125</f>
        <v>#DIV/0!</v>
      </c>
      <c r="TA176" s="1576" t="e">
        <f>'Paso 1.1'!J136*Tiempos!$L$125</f>
        <v>#DIV/0!</v>
      </c>
      <c r="TB176" s="1576" t="e">
        <f>'Paso 1.1'!K136*Tiempos!$L$125</f>
        <v>#DIV/0!</v>
      </c>
      <c r="TC176" s="1576" t="e">
        <f>'Paso 1.1'!L136*Tiempos!$L$125</f>
        <v>#DIV/0!</v>
      </c>
      <c r="TD176" s="1576" t="e">
        <f>'Paso 1.1'!M136*Tiempos!$L$125</f>
        <v>#DIV/0!</v>
      </c>
      <c r="TE176" s="1576" t="e">
        <f>'Paso 1.1'!N136*Tiempos!$L$125</f>
        <v>#DIV/0!</v>
      </c>
      <c r="TF176" s="1576" t="e">
        <f>'Paso 1.1'!O136*Tiempos!$L$125</f>
        <v>#DIV/0!</v>
      </c>
      <c r="TG176" s="1576" t="e">
        <f>'Paso 1.1'!P136*Tiempos!$L$125</f>
        <v>#DIV/0!</v>
      </c>
      <c r="TH176" s="1576" t="e">
        <f>'Paso 1.1'!Q136*Tiempos!$L$125</f>
        <v>#DIV/0!</v>
      </c>
      <c r="TI176" s="1576" t="e">
        <f>'Paso 1.1'!R136*Tiempos!$L$125</f>
        <v>#DIV/0!</v>
      </c>
      <c r="TJ176" s="1576" t="e">
        <f>'Paso 1.1'!S136*Tiempos!$L$125</f>
        <v>#DIV/0!</v>
      </c>
      <c r="TK176" s="1576" t="e">
        <f>'Paso 1.1'!T136*Tiempos!$L$125</f>
        <v>#DIV/0!</v>
      </c>
      <c r="TL176" s="1576" t="e">
        <f>'Paso 1.1'!U136*Tiempos!$L$125</f>
        <v>#DIV/0!</v>
      </c>
      <c r="TM176" s="1576"/>
      <c r="TN176" s="1576"/>
      <c r="TO176" s="1576"/>
      <c r="TP176" s="1576"/>
      <c r="TQ176" s="1576"/>
      <c r="TR176" s="1576"/>
      <c r="TS176" s="1576"/>
      <c r="TT176" s="1576"/>
      <c r="TU176" s="1576"/>
      <c r="TV176" s="1576"/>
      <c r="TW176" s="1576"/>
      <c r="TX176" s="1576"/>
      <c r="TY176" s="1576"/>
      <c r="TZ176" s="1576"/>
      <c r="UA176" s="1576"/>
      <c r="UB176" s="1576"/>
      <c r="UC176" s="1576"/>
      <c r="UD176" s="1576"/>
      <c r="UE176" s="1576"/>
      <c r="UF176" s="1576"/>
      <c r="UG176" s="1576"/>
      <c r="UH176" s="1576"/>
      <c r="UI176" s="1576"/>
      <c r="UJ176" s="1576"/>
      <c r="UK176" s="1576"/>
      <c r="UL176" s="1576"/>
      <c r="UM176" s="1576"/>
      <c r="UN176" s="1576"/>
      <c r="UO176" s="1576"/>
      <c r="UP176" s="1576"/>
      <c r="UQ176" s="1576"/>
      <c r="UR176" s="1576"/>
      <c r="US176" s="1576"/>
      <c r="UT176" s="1576"/>
      <c r="UU176" s="1576"/>
      <c r="UV176" s="1576"/>
      <c r="UW176" s="1576"/>
      <c r="UX176" s="1576"/>
      <c r="UY176" s="1576"/>
      <c r="UZ176" s="1576"/>
      <c r="VA176" s="1576"/>
      <c r="VB176" s="1576"/>
      <c r="VC176" s="1576"/>
      <c r="VD176" s="1576"/>
      <c r="VE176" s="1576"/>
      <c r="VF176" s="1576"/>
      <c r="VG176" s="1576"/>
      <c r="VH176" s="1576"/>
      <c r="VI176" s="1576"/>
      <c r="VJ176" s="1576"/>
      <c r="VK176" s="1576"/>
    </row>
    <row r="177" spans="1:583" x14ac:dyDescent="0.25">
      <c r="B177" s="4710"/>
      <c r="C177" s="4711"/>
      <c r="D177" s="4711"/>
      <c r="E177" s="1609" t="s">
        <v>295</v>
      </c>
      <c r="F177" s="1912"/>
      <c r="G177" s="1912"/>
      <c r="H177" s="1912"/>
      <c r="I177" s="1576"/>
      <c r="J177" s="1576"/>
      <c r="K177" s="1576"/>
      <c r="L177" s="1576"/>
      <c r="M177" s="1576"/>
      <c r="N177" s="1576"/>
      <c r="O177" s="1576"/>
      <c r="P177" s="1576"/>
      <c r="Q177" s="1576"/>
      <c r="R177" s="1576"/>
      <c r="S177" s="1576"/>
      <c r="T177" s="1576"/>
      <c r="U177" s="1576"/>
      <c r="V177" s="1576"/>
      <c r="W177" s="1576"/>
      <c r="X177" s="1576"/>
      <c r="Y177" s="1576"/>
      <c r="Z177" s="1576"/>
      <c r="AA177" s="1576"/>
      <c r="AB177" s="1576"/>
      <c r="AC177" s="1576"/>
      <c r="AD177" s="1576"/>
      <c r="AE177" s="1576"/>
      <c r="AF177" s="1576"/>
      <c r="AG177" s="1576"/>
      <c r="AH177" s="1576"/>
      <c r="AI177" s="1576"/>
      <c r="AJ177" s="1576"/>
      <c r="AK177" s="1576"/>
      <c r="AL177" s="1576"/>
      <c r="AM177" s="1576"/>
      <c r="AN177" s="1576"/>
      <c r="AO177" s="1576"/>
      <c r="AP177" s="1576"/>
      <c r="AQ177" s="1576"/>
      <c r="AR177" s="1576"/>
      <c r="AS177" s="1576"/>
      <c r="AT177" s="1576"/>
      <c r="AU177" s="1576"/>
      <c r="AV177" s="1576"/>
      <c r="AW177" s="1576"/>
      <c r="AX177" s="1576"/>
      <c r="AY177" s="1576"/>
      <c r="AZ177" s="1576"/>
      <c r="BA177" s="1576"/>
      <c r="BB177" s="1576"/>
      <c r="BC177" s="1576"/>
      <c r="BD177" s="1576"/>
      <c r="BE177" s="1576"/>
      <c r="BF177" s="1576"/>
      <c r="BG177" s="1576"/>
      <c r="BH177" s="1576"/>
      <c r="BI177" s="1576"/>
      <c r="BJ177" s="1576"/>
      <c r="BK177" s="1576"/>
      <c r="BL177" s="1576"/>
      <c r="BM177" s="1576"/>
      <c r="BN177" s="1576"/>
      <c r="BO177" s="1576"/>
      <c r="BP177" s="1576"/>
      <c r="BQ177" s="1576"/>
      <c r="BR177" s="1576"/>
      <c r="BS177" s="1576"/>
      <c r="BT177" s="1576"/>
      <c r="BU177" s="1576"/>
      <c r="BV177" s="1576"/>
      <c r="BW177" s="1576"/>
      <c r="BX177" s="1576"/>
      <c r="BY177" s="1576"/>
      <c r="BZ177" s="1576"/>
      <c r="CA177" s="1576"/>
      <c r="CB177" s="1576"/>
      <c r="CC177" s="1576"/>
      <c r="CD177" s="1576"/>
      <c r="CE177" s="1576"/>
      <c r="CF177" s="1576"/>
      <c r="CG177" s="1576"/>
      <c r="CH177" s="1576"/>
      <c r="CI177" s="1576"/>
      <c r="CJ177" s="1576"/>
      <c r="CK177" s="1576"/>
      <c r="CL177" s="1576"/>
      <c r="CM177" s="1576"/>
      <c r="CN177" s="1576"/>
      <c r="CO177" s="1576"/>
      <c r="CP177" s="1576"/>
      <c r="CQ177" s="1576"/>
      <c r="CR177" s="1576"/>
      <c r="CS177" s="1576"/>
      <c r="CT177" s="1576"/>
      <c r="CU177" s="1576"/>
      <c r="CV177" s="1576"/>
      <c r="CW177" s="1576"/>
      <c r="CX177" s="1576"/>
      <c r="CY177" s="1576"/>
      <c r="CZ177" s="1576"/>
      <c r="DA177" s="1576"/>
      <c r="DB177" s="1576"/>
      <c r="DC177" s="1576"/>
      <c r="DD177" s="1576"/>
      <c r="DE177" s="1576"/>
      <c r="DF177" s="1576"/>
      <c r="DG177" s="1576"/>
      <c r="DH177" s="1576"/>
      <c r="DI177" s="1576"/>
      <c r="DJ177" s="1576"/>
      <c r="DK177" s="1576"/>
      <c r="DL177" s="1576"/>
      <c r="DM177" s="1576"/>
      <c r="DN177" s="1576"/>
      <c r="DO177" s="1576"/>
      <c r="DP177" s="1576"/>
      <c r="DQ177" s="1576"/>
      <c r="DR177" s="1576"/>
      <c r="DS177" s="1576"/>
      <c r="DT177" s="1576"/>
      <c r="DU177" s="1576"/>
      <c r="DV177" s="1576"/>
      <c r="DW177" s="1576"/>
      <c r="DX177" s="1576"/>
      <c r="DY177" s="1576"/>
      <c r="DZ177" s="1576"/>
      <c r="EA177" s="1576"/>
      <c r="EB177" s="1576"/>
      <c r="EC177" s="1576"/>
      <c r="ED177" s="1576"/>
      <c r="EE177" s="1576"/>
      <c r="EF177" s="1576"/>
      <c r="EG177" s="1576"/>
      <c r="EH177" s="1576"/>
      <c r="EI177" s="1576"/>
      <c r="EJ177" s="1576"/>
      <c r="EK177" s="1576"/>
      <c r="EL177" s="1576"/>
      <c r="EM177" s="1576"/>
      <c r="EN177" s="1576"/>
      <c r="EO177" s="1576"/>
      <c r="EP177" s="1576"/>
      <c r="EQ177" s="1576"/>
      <c r="ER177" s="1576"/>
      <c r="ES177" s="1576"/>
      <c r="ET177" s="1576"/>
      <c r="EU177" s="1576"/>
      <c r="EV177" s="1576"/>
      <c r="EW177" s="1576"/>
      <c r="EX177" s="1576"/>
      <c r="EY177" s="1576"/>
      <c r="EZ177" s="1576"/>
      <c r="FA177" s="1576"/>
      <c r="FB177" s="1576"/>
      <c r="FC177" s="1576"/>
      <c r="FD177" s="1576"/>
      <c r="FE177" s="1576"/>
      <c r="FF177" s="1576"/>
      <c r="FG177" s="1576"/>
      <c r="FH177" s="1576"/>
      <c r="FI177" s="1576"/>
      <c r="FJ177" s="1576"/>
      <c r="FK177" s="1576"/>
      <c r="FL177" s="1576"/>
      <c r="FM177" s="1576"/>
      <c r="FN177" s="1576"/>
      <c r="FO177" s="1576"/>
      <c r="FP177" s="1576"/>
      <c r="FQ177" s="1576"/>
      <c r="FR177" s="1576"/>
      <c r="FS177" s="1576"/>
      <c r="FT177" s="1576"/>
      <c r="FU177" s="1576"/>
      <c r="FV177" s="1576"/>
      <c r="FW177" s="1576"/>
      <c r="FX177" s="1576"/>
      <c r="FY177" s="1576"/>
      <c r="FZ177" s="1576"/>
      <c r="GA177" s="1576"/>
      <c r="GB177" s="1576"/>
      <c r="GC177" s="1576"/>
      <c r="GD177" s="1576"/>
      <c r="GE177" s="1576"/>
      <c r="GF177" s="1576"/>
      <c r="GG177" s="1576"/>
      <c r="GH177" s="1576"/>
      <c r="GI177" s="1576"/>
      <c r="GJ177" s="1576"/>
      <c r="GK177" s="1576"/>
      <c r="GL177" s="1576"/>
      <c r="GM177" s="1576"/>
      <c r="GN177" s="1576"/>
      <c r="GO177" s="1576"/>
      <c r="GP177" s="1576"/>
      <c r="GQ177" s="1576"/>
      <c r="GR177" s="1576"/>
      <c r="GS177" s="1576"/>
      <c r="GT177" s="1576"/>
      <c r="GU177" s="1576"/>
      <c r="GV177" s="1576"/>
      <c r="GW177" s="1576"/>
      <c r="GX177" s="1576"/>
      <c r="GY177" s="1576"/>
      <c r="GZ177" s="1576"/>
      <c r="HA177" s="1576"/>
      <c r="HB177" s="1576"/>
      <c r="HC177" s="1576"/>
      <c r="HD177" s="1576"/>
      <c r="HE177" s="1576"/>
      <c r="HF177" s="1576"/>
      <c r="HG177" s="1576"/>
      <c r="HH177" s="1576"/>
      <c r="HI177" s="1576"/>
      <c r="HJ177" s="1576"/>
      <c r="HK177" s="1576"/>
      <c r="HL177" s="1576"/>
      <c r="HM177" s="1576"/>
      <c r="HN177" s="1576"/>
      <c r="HO177" s="1576"/>
      <c r="HP177" s="1576"/>
      <c r="HQ177" s="1576"/>
      <c r="HR177" s="1576"/>
      <c r="HS177" s="1576"/>
      <c r="HT177" s="1576"/>
      <c r="HU177" s="1576"/>
      <c r="HV177" s="1576"/>
      <c r="HW177" s="1576"/>
      <c r="HX177" s="1576"/>
      <c r="HY177" s="1576"/>
      <c r="HZ177" s="1576"/>
      <c r="IA177" s="1576"/>
      <c r="IB177" s="1576"/>
      <c r="IC177" s="1576"/>
      <c r="ID177" s="1576"/>
      <c r="IE177" s="1576"/>
      <c r="IF177" s="1576"/>
      <c r="IG177" s="1576"/>
      <c r="IH177" s="1576"/>
      <c r="II177" s="1576"/>
      <c r="IJ177" s="1576"/>
      <c r="IK177" s="1576"/>
      <c r="IL177" s="1576"/>
      <c r="IM177" s="1576"/>
      <c r="IN177" s="1576"/>
      <c r="IO177" s="1576"/>
      <c r="IP177" s="1576"/>
      <c r="IQ177" s="1576"/>
      <c r="IR177" s="1576"/>
      <c r="IS177" s="1576"/>
      <c r="IT177" s="1576"/>
      <c r="IU177" s="1576"/>
      <c r="IV177" s="1576"/>
      <c r="IW177" s="1576"/>
      <c r="IX177" s="1576"/>
      <c r="IY177" s="1576"/>
      <c r="IZ177" s="1576"/>
      <c r="JA177" s="2054"/>
      <c r="JB177" s="2054"/>
      <c r="JC177" s="2054"/>
      <c r="JD177" s="2054"/>
      <c r="JE177" s="2054"/>
      <c r="JF177" s="2054"/>
      <c r="JG177" s="2054"/>
      <c r="JH177" s="2054"/>
      <c r="JI177" s="2054"/>
      <c r="JJ177" s="2054"/>
      <c r="JK177" s="2054"/>
      <c r="JL177" s="2054"/>
      <c r="JM177" s="2054"/>
      <c r="JN177" s="2054"/>
      <c r="JO177" s="2054"/>
      <c r="JP177" s="2054"/>
      <c r="JQ177" s="2054"/>
      <c r="JR177" s="1576"/>
      <c r="JS177" s="1576"/>
      <c r="JT177" s="1576"/>
      <c r="JU177" s="1576"/>
      <c r="JV177" s="1576"/>
      <c r="JW177" s="1576"/>
      <c r="JX177" s="1576"/>
      <c r="JY177" s="1576"/>
      <c r="JZ177" s="1576"/>
      <c r="KA177" s="1576"/>
      <c r="KB177" s="1576"/>
      <c r="KC177" s="1576"/>
      <c r="KD177" s="1576"/>
      <c r="KE177" s="1576"/>
      <c r="KF177" s="1576"/>
      <c r="KG177" s="1576"/>
      <c r="KH177" s="1576"/>
      <c r="KI177" s="1576"/>
      <c r="KJ177" s="1576"/>
      <c r="KK177" s="1576"/>
      <c r="KL177" s="1576"/>
      <c r="KM177" s="1576"/>
      <c r="KN177" s="1576"/>
      <c r="KO177" s="1576"/>
      <c r="KP177" s="1576"/>
      <c r="KQ177" s="1576"/>
      <c r="KR177" s="1576"/>
      <c r="KS177" s="1576"/>
      <c r="KT177" s="1576"/>
      <c r="KU177" s="1576"/>
      <c r="KV177" s="1576"/>
      <c r="KW177" s="1576"/>
      <c r="KX177" s="1576"/>
      <c r="KY177" s="1576"/>
      <c r="KZ177" s="1576"/>
      <c r="LA177" s="1576"/>
      <c r="LB177" s="1576"/>
      <c r="LC177" s="1576"/>
      <c r="LD177" s="1576"/>
      <c r="LE177" s="1576"/>
      <c r="LF177" s="1576"/>
      <c r="LG177" s="1576"/>
      <c r="LH177" s="1576"/>
      <c r="LI177" s="1576"/>
      <c r="LJ177" s="1576"/>
      <c r="LK177" s="1576"/>
      <c r="LL177" s="1576"/>
      <c r="LM177" s="1576"/>
      <c r="LN177" s="1576"/>
      <c r="LO177" s="1576"/>
      <c r="LP177" s="1576"/>
      <c r="LQ177" s="1576"/>
      <c r="LR177" s="1576"/>
      <c r="LS177" s="1576"/>
      <c r="LT177" s="1576"/>
      <c r="LU177" s="1576"/>
      <c r="LV177" s="1576"/>
      <c r="LW177" s="1576"/>
      <c r="LX177" s="1576"/>
      <c r="LY177" s="1576"/>
      <c r="LZ177" s="1576"/>
      <c r="MA177" s="1576"/>
      <c r="MB177" s="1576"/>
      <c r="MC177" s="1576"/>
      <c r="MD177" s="1576"/>
      <c r="ME177" s="1576"/>
      <c r="MF177" s="1576"/>
      <c r="MG177" s="1576"/>
      <c r="MH177" s="1576"/>
      <c r="MI177" s="1576"/>
      <c r="MJ177" s="1576"/>
      <c r="MK177" s="1576"/>
      <c r="ML177" s="1576"/>
      <c r="MM177" s="1576"/>
      <c r="MN177" s="1576"/>
      <c r="MO177" s="1576"/>
      <c r="MP177" s="1576"/>
      <c r="MQ177" s="1576"/>
      <c r="MR177" s="1576"/>
      <c r="MS177" s="1576"/>
      <c r="MT177" s="1576"/>
      <c r="MU177" s="1576"/>
      <c r="MV177" s="1576"/>
      <c r="MW177" s="1576"/>
      <c r="MX177" s="1576"/>
      <c r="MY177" s="1576"/>
      <c r="MZ177" s="1576"/>
      <c r="NA177" s="1576"/>
      <c r="NB177" s="1576"/>
      <c r="NC177" s="1576"/>
      <c r="ND177" s="1576"/>
      <c r="NE177" s="1576"/>
      <c r="NF177" s="1576"/>
      <c r="NG177" s="1576"/>
      <c r="NH177" s="1576"/>
      <c r="NI177" s="1576"/>
      <c r="NJ177" s="1576"/>
      <c r="NK177" s="1576"/>
      <c r="NL177" s="1576"/>
      <c r="NM177" s="1576"/>
      <c r="NN177" s="1576"/>
      <c r="NO177" s="1576"/>
      <c r="NP177" s="1576"/>
      <c r="NQ177" s="1576"/>
      <c r="NR177" s="1576"/>
      <c r="NS177" s="1576"/>
      <c r="NT177" s="1576"/>
      <c r="NU177" s="1576"/>
      <c r="NV177" s="1576"/>
      <c r="NW177" s="1576"/>
      <c r="NX177" s="1576"/>
      <c r="NY177" s="1576"/>
      <c r="NZ177" s="1576"/>
      <c r="OA177" s="1576"/>
      <c r="OB177" s="1576"/>
      <c r="OC177" s="1576"/>
      <c r="OD177" s="1576"/>
      <c r="OE177" s="1576"/>
      <c r="OF177" s="1576"/>
      <c r="OG177" s="1576"/>
      <c r="OH177" s="1576"/>
      <c r="OI177" s="1576"/>
      <c r="OJ177" s="1576"/>
      <c r="OK177" s="1576"/>
      <c r="OL177" s="1576"/>
      <c r="OM177" s="1576"/>
      <c r="ON177" s="1576"/>
      <c r="OO177" s="1576"/>
      <c r="OP177" s="1576"/>
      <c r="OQ177" s="1576"/>
      <c r="OR177" s="1576"/>
      <c r="OS177" s="1576"/>
      <c r="OT177" s="1576"/>
      <c r="OU177" s="1576"/>
      <c r="OV177" s="1576"/>
      <c r="OW177" s="1576"/>
      <c r="OX177" s="1576"/>
      <c r="OY177" s="1576"/>
      <c r="OZ177" s="1576"/>
      <c r="PA177" s="1576"/>
      <c r="PB177" s="1576"/>
      <c r="PC177" s="1576"/>
      <c r="PD177" s="1576"/>
      <c r="PE177" s="1576"/>
      <c r="PF177" s="1576"/>
      <c r="PG177" s="1576"/>
      <c r="PH177" s="1576"/>
      <c r="PI177" s="1576"/>
      <c r="PJ177" s="1576"/>
      <c r="PK177" s="1576"/>
      <c r="PL177" s="1576"/>
      <c r="PM177" s="1576"/>
      <c r="PN177" s="1576"/>
      <c r="PO177" s="1576"/>
      <c r="PP177" s="1576"/>
      <c r="PQ177" s="1576"/>
      <c r="PR177" s="1576"/>
      <c r="PS177" s="1576"/>
      <c r="PT177" s="1576"/>
      <c r="PU177" s="1576"/>
      <c r="PV177" s="1576"/>
      <c r="PW177" s="1576"/>
      <c r="PX177" s="1576"/>
      <c r="PY177" s="1576"/>
      <c r="PZ177" s="1576"/>
      <c r="QA177" s="1576"/>
      <c r="QB177" s="1576"/>
      <c r="QC177" s="1576"/>
      <c r="QD177" s="1576"/>
      <c r="QE177" s="1576"/>
      <c r="QF177" s="1576"/>
      <c r="QG177" s="1576"/>
      <c r="QH177" s="1576"/>
      <c r="QI177" s="1576"/>
      <c r="QJ177" s="1576"/>
      <c r="QK177" s="1576"/>
      <c r="QL177" s="1576"/>
      <c r="QM177" s="1576"/>
      <c r="QN177" s="1576"/>
      <c r="QO177" s="1576"/>
      <c r="QP177" s="1576"/>
      <c r="QQ177" s="1576"/>
      <c r="QR177" s="1576"/>
      <c r="QS177" s="1576"/>
      <c r="QT177" s="1576"/>
      <c r="QU177" s="1576"/>
      <c r="QV177" s="1576"/>
      <c r="QW177" s="1576"/>
      <c r="QX177" s="1576"/>
      <c r="QY177" s="1576"/>
      <c r="QZ177" s="1576"/>
      <c r="RA177" s="1576"/>
      <c r="RB177" s="1576"/>
      <c r="RC177" s="1576"/>
      <c r="RD177" s="1576"/>
      <c r="RE177" s="1576"/>
      <c r="RF177" s="1576"/>
      <c r="RG177" s="1576"/>
      <c r="RH177" s="1576"/>
      <c r="RI177" s="1576"/>
      <c r="RJ177" s="1576"/>
      <c r="RK177" s="1576"/>
      <c r="RL177" s="1576"/>
      <c r="RM177" s="1576"/>
      <c r="RN177" s="1576"/>
      <c r="RO177" s="1576"/>
      <c r="RP177" s="1576"/>
      <c r="RQ177" s="1576"/>
      <c r="RR177" s="1576"/>
      <c r="RS177" s="1576"/>
      <c r="RT177" s="1576"/>
      <c r="RU177" s="1576"/>
      <c r="RV177" s="1576"/>
      <c r="RW177" s="1576"/>
      <c r="RX177" s="1576"/>
      <c r="RY177" s="1576"/>
      <c r="RZ177" s="1576"/>
      <c r="SA177" s="1576"/>
      <c r="SB177" s="1576"/>
      <c r="SC177" s="1576"/>
      <c r="SD177" s="1576"/>
      <c r="SE177" s="1576" t="e">
        <f>'Paso 1.1'!E136*Tiempos!$H$125</f>
        <v>#DIV/0!</v>
      </c>
      <c r="SF177" s="1576" t="e">
        <f>'Paso 1.1'!F136*Tiempos!$H$125</f>
        <v>#DIV/0!</v>
      </c>
      <c r="SG177" s="1576" t="e">
        <f>'Paso 1.1'!G136*Tiempos!$H$125</f>
        <v>#DIV/0!</v>
      </c>
      <c r="SH177" s="1576" t="e">
        <f>'Paso 1.1'!H136*Tiempos!$H$125</f>
        <v>#DIV/0!</v>
      </c>
      <c r="SI177" s="1576" t="e">
        <f>'Paso 1.1'!I136*Tiempos!$H$125</f>
        <v>#DIV/0!</v>
      </c>
      <c r="SJ177" s="1576" t="e">
        <f>'Paso 1.1'!J136*Tiempos!$H$125</f>
        <v>#DIV/0!</v>
      </c>
      <c r="SK177" s="1576" t="e">
        <f>'Paso 1.1'!K136*Tiempos!$H$125</f>
        <v>#DIV/0!</v>
      </c>
      <c r="SL177" s="1576" t="e">
        <f>'Paso 1.1'!L136*Tiempos!$H$125</f>
        <v>#DIV/0!</v>
      </c>
      <c r="SM177" s="1576" t="e">
        <f>'Paso 1.1'!M136*Tiempos!$H$125</f>
        <v>#DIV/0!</v>
      </c>
      <c r="SN177" s="1576" t="e">
        <f>'Paso 1.1'!N136*Tiempos!$H$125</f>
        <v>#DIV/0!</v>
      </c>
      <c r="SO177" s="1576" t="e">
        <f>'Paso 1.1'!O136*Tiempos!$H$125</f>
        <v>#DIV/0!</v>
      </c>
      <c r="SP177" s="1576" t="e">
        <f>'Paso 1.1'!P136*Tiempos!$H$125</f>
        <v>#DIV/0!</v>
      </c>
      <c r="SQ177" s="1576" t="e">
        <f>'Paso 1.1'!Q136*Tiempos!$H$125</f>
        <v>#DIV/0!</v>
      </c>
      <c r="SR177" s="1576" t="e">
        <f>'Paso 1.1'!R136*Tiempos!$H$125</f>
        <v>#DIV/0!</v>
      </c>
      <c r="SS177" s="1576" t="e">
        <f>'Paso 1.1'!S136*Tiempos!$H$125</f>
        <v>#DIV/0!</v>
      </c>
      <c r="ST177" s="1576" t="e">
        <f>'Paso 1.1'!T136*Tiempos!$H$125</f>
        <v>#DIV/0!</v>
      </c>
      <c r="SU177" s="1576" t="e">
        <f>'Paso 1.1'!U136*Tiempos!$H$125</f>
        <v>#DIV/0!</v>
      </c>
      <c r="SV177" s="1576" t="e">
        <f>'Paso 1.1'!E136*Tiempos!$L$125</f>
        <v>#DIV/0!</v>
      </c>
      <c r="SW177" s="1576" t="e">
        <f>'Paso 1.1'!F136*Tiempos!$L$125</f>
        <v>#DIV/0!</v>
      </c>
      <c r="SX177" s="1576" t="e">
        <f>'Paso 1.1'!G136*Tiempos!$L$125</f>
        <v>#DIV/0!</v>
      </c>
      <c r="SY177" s="1576" t="e">
        <f>'Paso 1.1'!H136*Tiempos!$L$125</f>
        <v>#DIV/0!</v>
      </c>
      <c r="SZ177" s="1576" t="e">
        <f>'Paso 1.1'!I136*Tiempos!$L$125</f>
        <v>#DIV/0!</v>
      </c>
      <c r="TA177" s="1576" t="e">
        <f>'Paso 1.1'!J136*Tiempos!$L$125</f>
        <v>#DIV/0!</v>
      </c>
      <c r="TB177" s="1576" t="e">
        <f>'Paso 1.1'!K136*Tiempos!$L$125</f>
        <v>#DIV/0!</v>
      </c>
      <c r="TC177" s="1576" t="e">
        <f>'Paso 1.1'!L136*Tiempos!$L$125</f>
        <v>#DIV/0!</v>
      </c>
      <c r="TD177" s="1576" t="e">
        <f>'Paso 1.1'!M136*Tiempos!$L$125</f>
        <v>#DIV/0!</v>
      </c>
      <c r="TE177" s="1576" t="e">
        <f>'Paso 1.1'!N136*Tiempos!$L$125</f>
        <v>#DIV/0!</v>
      </c>
      <c r="TF177" s="1576" t="e">
        <f>'Paso 1.1'!O136*Tiempos!$L$125</f>
        <v>#DIV/0!</v>
      </c>
      <c r="TG177" s="1576" t="e">
        <f>'Paso 1.1'!P136*Tiempos!$L$125</f>
        <v>#DIV/0!</v>
      </c>
      <c r="TH177" s="1576" t="e">
        <f>'Paso 1.1'!Q136*Tiempos!$L$125</f>
        <v>#DIV/0!</v>
      </c>
      <c r="TI177" s="1576" t="e">
        <f>'Paso 1.1'!R136*Tiempos!$L$125</f>
        <v>#DIV/0!</v>
      </c>
      <c r="TJ177" s="1576" t="e">
        <f>'Paso 1.1'!S136*Tiempos!$L$125</f>
        <v>#DIV/0!</v>
      </c>
      <c r="TK177" s="1576" t="e">
        <f>'Paso 1.1'!T136*Tiempos!$L$125</f>
        <v>#DIV/0!</v>
      </c>
      <c r="TL177" s="1576" t="e">
        <f>'Paso 1.1'!U136*Tiempos!$L$125</f>
        <v>#DIV/0!</v>
      </c>
      <c r="TM177" s="1576"/>
      <c r="TN177" s="1576"/>
      <c r="TO177" s="1576"/>
      <c r="TP177" s="1576"/>
      <c r="TQ177" s="1576"/>
      <c r="TR177" s="1576"/>
      <c r="TS177" s="1576"/>
      <c r="TT177" s="1576"/>
      <c r="TU177" s="1576"/>
      <c r="TV177" s="1576"/>
      <c r="TW177" s="1576"/>
      <c r="TX177" s="1576"/>
      <c r="TY177" s="1576"/>
      <c r="TZ177" s="1576"/>
      <c r="UA177" s="1576"/>
      <c r="UB177" s="1576"/>
      <c r="UC177" s="1576"/>
      <c r="UD177" s="1576"/>
      <c r="UE177" s="1576"/>
      <c r="UF177" s="1576"/>
      <c r="UG177" s="1576"/>
      <c r="UH177" s="1576"/>
      <c r="UI177" s="1576"/>
      <c r="UJ177" s="1576"/>
      <c r="UK177" s="1576"/>
      <c r="UL177" s="1576"/>
      <c r="UM177" s="1576"/>
      <c r="UN177" s="1576"/>
      <c r="UO177" s="1576"/>
      <c r="UP177" s="1576"/>
      <c r="UQ177" s="1576"/>
      <c r="UR177" s="1576"/>
      <c r="US177" s="1576"/>
      <c r="UT177" s="1576"/>
      <c r="UU177" s="1576"/>
      <c r="UV177" s="1576"/>
      <c r="UW177" s="1576"/>
      <c r="UX177" s="1576"/>
      <c r="UY177" s="1576"/>
      <c r="UZ177" s="1576"/>
      <c r="VA177" s="1576"/>
      <c r="VB177" s="1576"/>
      <c r="VC177" s="1576"/>
      <c r="VD177" s="1576"/>
      <c r="VE177" s="1576"/>
      <c r="VF177" s="1576"/>
      <c r="VG177" s="1576"/>
      <c r="VH177" s="1576"/>
      <c r="VI177" s="1576"/>
      <c r="VJ177" s="1576"/>
      <c r="VK177" s="1576"/>
    </row>
    <row r="178" spans="1:583" ht="31.5" customHeight="1" x14ac:dyDescent="0.25">
      <c r="A178" s="691" t="s">
        <v>3833</v>
      </c>
      <c r="B178" s="1610" t="s">
        <v>381</v>
      </c>
      <c r="C178" s="2062" t="s">
        <v>2964</v>
      </c>
      <c r="D178" s="1582" t="s">
        <v>381</v>
      </c>
      <c r="E178" s="2062" t="s">
        <v>2964</v>
      </c>
      <c r="F178" s="2061">
        <f>SUM(F175:F177)</f>
        <v>0</v>
      </c>
      <c r="G178" s="2061">
        <f t="shared" ref="G178:BR178" si="265">SUM(G175:G177)</f>
        <v>0</v>
      </c>
      <c r="H178" s="2061">
        <f t="shared" si="265"/>
        <v>0</v>
      </c>
      <c r="I178" s="2061">
        <f t="shared" si="265"/>
        <v>0</v>
      </c>
      <c r="J178" s="2061">
        <f t="shared" si="265"/>
        <v>0</v>
      </c>
      <c r="K178" s="2061">
        <f t="shared" si="265"/>
        <v>0</v>
      </c>
      <c r="L178" s="2061">
        <f t="shared" si="265"/>
        <v>0</v>
      </c>
      <c r="M178" s="2061">
        <f t="shared" si="265"/>
        <v>0</v>
      </c>
      <c r="N178" s="2061">
        <f t="shared" si="265"/>
        <v>0</v>
      </c>
      <c r="O178" s="2061">
        <f t="shared" si="265"/>
        <v>0</v>
      </c>
      <c r="P178" s="2061">
        <f t="shared" si="265"/>
        <v>0</v>
      </c>
      <c r="Q178" s="2061">
        <f t="shared" si="265"/>
        <v>0</v>
      </c>
      <c r="R178" s="2061">
        <f t="shared" si="265"/>
        <v>0</v>
      </c>
      <c r="S178" s="2061">
        <f t="shared" si="265"/>
        <v>0</v>
      </c>
      <c r="T178" s="2061">
        <f t="shared" si="265"/>
        <v>0</v>
      </c>
      <c r="U178" s="2061">
        <f t="shared" si="265"/>
        <v>0</v>
      </c>
      <c r="V178" s="2061">
        <f t="shared" si="265"/>
        <v>0</v>
      </c>
      <c r="W178" s="2061">
        <f t="shared" si="265"/>
        <v>0</v>
      </c>
      <c r="X178" s="2061">
        <f t="shared" si="265"/>
        <v>0</v>
      </c>
      <c r="Y178" s="2061">
        <f t="shared" si="265"/>
        <v>0</v>
      </c>
      <c r="Z178" s="2061">
        <f t="shared" si="265"/>
        <v>0</v>
      </c>
      <c r="AA178" s="2061">
        <f t="shared" si="265"/>
        <v>0</v>
      </c>
      <c r="AB178" s="2061">
        <f t="shared" si="265"/>
        <v>0</v>
      </c>
      <c r="AC178" s="2061">
        <f t="shared" si="265"/>
        <v>0</v>
      </c>
      <c r="AD178" s="2061">
        <f t="shared" si="265"/>
        <v>0</v>
      </c>
      <c r="AE178" s="2061">
        <f t="shared" si="265"/>
        <v>0</v>
      </c>
      <c r="AF178" s="2061">
        <f t="shared" si="265"/>
        <v>0</v>
      </c>
      <c r="AG178" s="2061">
        <f t="shared" si="265"/>
        <v>0</v>
      </c>
      <c r="AH178" s="2061">
        <f t="shared" si="265"/>
        <v>0</v>
      </c>
      <c r="AI178" s="2061">
        <f t="shared" si="265"/>
        <v>0</v>
      </c>
      <c r="AJ178" s="2061">
        <f t="shared" si="265"/>
        <v>0</v>
      </c>
      <c r="AK178" s="2061">
        <f t="shared" si="265"/>
        <v>0</v>
      </c>
      <c r="AL178" s="2061">
        <f t="shared" si="265"/>
        <v>0</v>
      </c>
      <c r="AM178" s="2061">
        <f t="shared" si="265"/>
        <v>0</v>
      </c>
      <c r="AN178" s="2061">
        <f t="shared" si="265"/>
        <v>0</v>
      </c>
      <c r="AO178" s="2061">
        <f t="shared" si="265"/>
        <v>0</v>
      </c>
      <c r="AP178" s="2061">
        <f t="shared" si="265"/>
        <v>0</v>
      </c>
      <c r="AQ178" s="2061">
        <f t="shared" si="265"/>
        <v>0</v>
      </c>
      <c r="AR178" s="2061">
        <f t="shared" si="265"/>
        <v>0</v>
      </c>
      <c r="AS178" s="2061">
        <f t="shared" si="265"/>
        <v>0</v>
      </c>
      <c r="AT178" s="2061">
        <f t="shared" si="265"/>
        <v>0</v>
      </c>
      <c r="AU178" s="2061">
        <f t="shared" si="265"/>
        <v>0</v>
      </c>
      <c r="AV178" s="2061">
        <f t="shared" si="265"/>
        <v>0</v>
      </c>
      <c r="AW178" s="2061">
        <f t="shared" si="265"/>
        <v>0</v>
      </c>
      <c r="AX178" s="2061">
        <f t="shared" si="265"/>
        <v>0</v>
      </c>
      <c r="AY178" s="2061">
        <f t="shared" si="265"/>
        <v>0</v>
      </c>
      <c r="AZ178" s="2061">
        <f t="shared" si="265"/>
        <v>0</v>
      </c>
      <c r="BA178" s="2061">
        <f t="shared" si="265"/>
        <v>0</v>
      </c>
      <c r="BB178" s="2061">
        <f t="shared" si="265"/>
        <v>0</v>
      </c>
      <c r="BC178" s="2061">
        <f t="shared" si="265"/>
        <v>0</v>
      </c>
      <c r="BD178" s="2061">
        <f t="shared" si="265"/>
        <v>0</v>
      </c>
      <c r="BE178" s="2061">
        <f t="shared" si="265"/>
        <v>0</v>
      </c>
      <c r="BF178" s="2061">
        <f t="shared" si="265"/>
        <v>0</v>
      </c>
      <c r="BG178" s="2061">
        <f t="shared" si="265"/>
        <v>0</v>
      </c>
      <c r="BH178" s="2061">
        <f t="shared" si="265"/>
        <v>0</v>
      </c>
      <c r="BI178" s="2061">
        <f t="shared" si="265"/>
        <v>0</v>
      </c>
      <c r="BJ178" s="2061">
        <f t="shared" si="265"/>
        <v>0</v>
      </c>
      <c r="BK178" s="2061">
        <f t="shared" si="265"/>
        <v>0</v>
      </c>
      <c r="BL178" s="2061">
        <f t="shared" si="265"/>
        <v>0</v>
      </c>
      <c r="BM178" s="2061">
        <f t="shared" si="265"/>
        <v>0</v>
      </c>
      <c r="BN178" s="2061">
        <f t="shared" si="265"/>
        <v>0</v>
      </c>
      <c r="BO178" s="2061">
        <f t="shared" si="265"/>
        <v>0</v>
      </c>
      <c r="BP178" s="2061">
        <f t="shared" si="265"/>
        <v>0</v>
      </c>
      <c r="BQ178" s="2061">
        <f t="shared" si="265"/>
        <v>0</v>
      </c>
      <c r="BR178" s="2061">
        <f t="shared" si="265"/>
        <v>0</v>
      </c>
      <c r="BS178" s="2061">
        <f t="shared" ref="BS178:ED178" si="266">SUM(BS175:BS177)</f>
        <v>0</v>
      </c>
      <c r="BT178" s="2061">
        <f t="shared" si="266"/>
        <v>0</v>
      </c>
      <c r="BU178" s="2061">
        <f t="shared" si="266"/>
        <v>0</v>
      </c>
      <c r="BV178" s="2061">
        <f t="shared" si="266"/>
        <v>0</v>
      </c>
      <c r="BW178" s="2061">
        <f t="shared" si="266"/>
        <v>0</v>
      </c>
      <c r="BX178" s="2061">
        <f t="shared" si="266"/>
        <v>0</v>
      </c>
      <c r="BY178" s="2061">
        <f t="shared" si="266"/>
        <v>0</v>
      </c>
      <c r="BZ178" s="2061">
        <f t="shared" si="266"/>
        <v>0</v>
      </c>
      <c r="CA178" s="2061">
        <f t="shared" si="266"/>
        <v>0</v>
      </c>
      <c r="CB178" s="2061">
        <f t="shared" si="266"/>
        <v>0</v>
      </c>
      <c r="CC178" s="2061">
        <f t="shared" si="266"/>
        <v>0</v>
      </c>
      <c r="CD178" s="2061">
        <f t="shared" si="266"/>
        <v>0</v>
      </c>
      <c r="CE178" s="2061">
        <f t="shared" si="266"/>
        <v>0</v>
      </c>
      <c r="CF178" s="2061">
        <f t="shared" si="266"/>
        <v>0</v>
      </c>
      <c r="CG178" s="2061">
        <f t="shared" si="266"/>
        <v>0</v>
      </c>
      <c r="CH178" s="2061">
        <f t="shared" si="266"/>
        <v>0</v>
      </c>
      <c r="CI178" s="2061">
        <f t="shared" si="266"/>
        <v>0</v>
      </c>
      <c r="CJ178" s="2061">
        <f t="shared" si="266"/>
        <v>0</v>
      </c>
      <c r="CK178" s="2061">
        <f t="shared" si="266"/>
        <v>0</v>
      </c>
      <c r="CL178" s="2061">
        <f t="shared" si="266"/>
        <v>0</v>
      </c>
      <c r="CM178" s="2061">
        <f t="shared" si="266"/>
        <v>0</v>
      </c>
      <c r="CN178" s="2061">
        <f t="shared" si="266"/>
        <v>0</v>
      </c>
      <c r="CO178" s="2061">
        <f t="shared" si="266"/>
        <v>0</v>
      </c>
      <c r="CP178" s="2061">
        <f t="shared" si="266"/>
        <v>0</v>
      </c>
      <c r="CQ178" s="2061">
        <f t="shared" si="266"/>
        <v>0</v>
      </c>
      <c r="CR178" s="2061">
        <f t="shared" si="266"/>
        <v>0</v>
      </c>
      <c r="CS178" s="2061">
        <f t="shared" si="266"/>
        <v>0</v>
      </c>
      <c r="CT178" s="2061">
        <f t="shared" si="266"/>
        <v>0</v>
      </c>
      <c r="CU178" s="2061">
        <f t="shared" si="266"/>
        <v>0</v>
      </c>
      <c r="CV178" s="2061">
        <f t="shared" si="266"/>
        <v>0</v>
      </c>
      <c r="CW178" s="2061">
        <f t="shared" si="266"/>
        <v>0</v>
      </c>
      <c r="CX178" s="2061">
        <f t="shared" si="266"/>
        <v>0</v>
      </c>
      <c r="CY178" s="2061">
        <f t="shared" si="266"/>
        <v>0</v>
      </c>
      <c r="CZ178" s="2061">
        <f t="shared" si="266"/>
        <v>0</v>
      </c>
      <c r="DA178" s="2061">
        <f t="shared" si="266"/>
        <v>0</v>
      </c>
      <c r="DB178" s="2061">
        <f t="shared" si="266"/>
        <v>0</v>
      </c>
      <c r="DC178" s="2061">
        <f t="shared" si="266"/>
        <v>0</v>
      </c>
      <c r="DD178" s="2061">
        <f t="shared" si="266"/>
        <v>0</v>
      </c>
      <c r="DE178" s="2061">
        <f t="shared" si="266"/>
        <v>0</v>
      </c>
      <c r="DF178" s="2061">
        <f t="shared" si="266"/>
        <v>0</v>
      </c>
      <c r="DG178" s="2061">
        <f t="shared" si="266"/>
        <v>0</v>
      </c>
      <c r="DH178" s="2061">
        <f t="shared" si="266"/>
        <v>0</v>
      </c>
      <c r="DI178" s="2061">
        <f t="shared" si="266"/>
        <v>0</v>
      </c>
      <c r="DJ178" s="2061">
        <f t="shared" si="266"/>
        <v>0</v>
      </c>
      <c r="DK178" s="2061">
        <f t="shared" si="266"/>
        <v>0</v>
      </c>
      <c r="DL178" s="2061">
        <f t="shared" si="266"/>
        <v>0</v>
      </c>
      <c r="DM178" s="2061">
        <f t="shared" si="266"/>
        <v>0</v>
      </c>
      <c r="DN178" s="2061">
        <f t="shared" si="266"/>
        <v>0</v>
      </c>
      <c r="DO178" s="2061">
        <f t="shared" si="266"/>
        <v>0</v>
      </c>
      <c r="DP178" s="2061">
        <f t="shared" si="266"/>
        <v>0</v>
      </c>
      <c r="DQ178" s="2061">
        <f t="shared" si="266"/>
        <v>0</v>
      </c>
      <c r="DR178" s="2061">
        <f t="shared" si="266"/>
        <v>0</v>
      </c>
      <c r="DS178" s="2061">
        <f t="shared" si="266"/>
        <v>0</v>
      </c>
      <c r="DT178" s="2061">
        <f t="shared" si="266"/>
        <v>0</v>
      </c>
      <c r="DU178" s="2061">
        <f t="shared" si="266"/>
        <v>0</v>
      </c>
      <c r="DV178" s="2061">
        <f t="shared" si="266"/>
        <v>0</v>
      </c>
      <c r="DW178" s="2061">
        <f t="shared" si="266"/>
        <v>0</v>
      </c>
      <c r="DX178" s="2061">
        <f t="shared" si="266"/>
        <v>0</v>
      </c>
      <c r="DY178" s="2061">
        <f t="shared" si="266"/>
        <v>0</v>
      </c>
      <c r="DZ178" s="2061">
        <f t="shared" si="266"/>
        <v>0</v>
      </c>
      <c r="EA178" s="2061">
        <f t="shared" si="266"/>
        <v>0</v>
      </c>
      <c r="EB178" s="2061">
        <f t="shared" si="266"/>
        <v>0</v>
      </c>
      <c r="EC178" s="2061">
        <f t="shared" si="266"/>
        <v>0</v>
      </c>
      <c r="ED178" s="2061">
        <f t="shared" si="266"/>
        <v>0</v>
      </c>
      <c r="EE178" s="2061">
        <f t="shared" ref="EE178:GP178" si="267">SUM(EE175:EE177)</f>
        <v>0</v>
      </c>
      <c r="EF178" s="2061">
        <f t="shared" si="267"/>
        <v>0</v>
      </c>
      <c r="EG178" s="2061">
        <f t="shared" si="267"/>
        <v>0</v>
      </c>
      <c r="EH178" s="2061">
        <f t="shared" si="267"/>
        <v>0</v>
      </c>
      <c r="EI178" s="2061">
        <f t="shared" si="267"/>
        <v>0</v>
      </c>
      <c r="EJ178" s="2061">
        <f t="shared" si="267"/>
        <v>0</v>
      </c>
      <c r="EK178" s="2061">
        <f t="shared" si="267"/>
        <v>0</v>
      </c>
      <c r="EL178" s="2061">
        <f t="shared" si="267"/>
        <v>0</v>
      </c>
      <c r="EM178" s="2061">
        <f t="shared" si="267"/>
        <v>0</v>
      </c>
      <c r="EN178" s="2061">
        <f t="shared" si="267"/>
        <v>0</v>
      </c>
      <c r="EO178" s="2061">
        <f t="shared" si="267"/>
        <v>0</v>
      </c>
      <c r="EP178" s="2061">
        <f t="shared" si="267"/>
        <v>0</v>
      </c>
      <c r="EQ178" s="2061">
        <f t="shared" si="267"/>
        <v>0</v>
      </c>
      <c r="ER178" s="2061">
        <f t="shared" si="267"/>
        <v>0</v>
      </c>
      <c r="ES178" s="2061">
        <f t="shared" si="267"/>
        <v>0</v>
      </c>
      <c r="ET178" s="2061">
        <f t="shared" si="267"/>
        <v>0</v>
      </c>
      <c r="EU178" s="2061">
        <f t="shared" si="267"/>
        <v>0</v>
      </c>
      <c r="EV178" s="2061">
        <f t="shared" si="267"/>
        <v>0</v>
      </c>
      <c r="EW178" s="2061">
        <f t="shared" si="267"/>
        <v>0</v>
      </c>
      <c r="EX178" s="2061">
        <f t="shared" si="267"/>
        <v>0</v>
      </c>
      <c r="EY178" s="2061">
        <f t="shared" si="267"/>
        <v>0</v>
      </c>
      <c r="EZ178" s="2061">
        <f t="shared" si="267"/>
        <v>0</v>
      </c>
      <c r="FA178" s="2061">
        <f t="shared" si="267"/>
        <v>0</v>
      </c>
      <c r="FB178" s="2061">
        <f t="shared" si="267"/>
        <v>0</v>
      </c>
      <c r="FC178" s="2061">
        <f t="shared" si="267"/>
        <v>0</v>
      </c>
      <c r="FD178" s="2061">
        <f t="shared" si="267"/>
        <v>0</v>
      </c>
      <c r="FE178" s="2061">
        <f t="shared" si="267"/>
        <v>0</v>
      </c>
      <c r="FF178" s="2061">
        <f t="shared" si="267"/>
        <v>0</v>
      </c>
      <c r="FG178" s="2061">
        <f t="shared" si="267"/>
        <v>0</v>
      </c>
      <c r="FH178" s="2061">
        <f t="shared" si="267"/>
        <v>0</v>
      </c>
      <c r="FI178" s="2061">
        <f t="shared" si="267"/>
        <v>0</v>
      </c>
      <c r="FJ178" s="2061">
        <f t="shared" si="267"/>
        <v>0</v>
      </c>
      <c r="FK178" s="2061">
        <f t="shared" si="267"/>
        <v>0</v>
      </c>
      <c r="FL178" s="2061">
        <f t="shared" si="267"/>
        <v>0</v>
      </c>
      <c r="FM178" s="2061">
        <f t="shared" si="267"/>
        <v>0</v>
      </c>
      <c r="FN178" s="2061">
        <f t="shared" si="267"/>
        <v>0</v>
      </c>
      <c r="FO178" s="2061">
        <f t="shared" si="267"/>
        <v>0</v>
      </c>
      <c r="FP178" s="2061">
        <f t="shared" si="267"/>
        <v>0</v>
      </c>
      <c r="FQ178" s="2061">
        <f t="shared" si="267"/>
        <v>0</v>
      </c>
      <c r="FR178" s="2061">
        <f t="shared" si="267"/>
        <v>0</v>
      </c>
      <c r="FS178" s="2061">
        <f t="shared" si="267"/>
        <v>0</v>
      </c>
      <c r="FT178" s="2061">
        <f t="shared" si="267"/>
        <v>0</v>
      </c>
      <c r="FU178" s="2061">
        <f t="shared" si="267"/>
        <v>0</v>
      </c>
      <c r="FV178" s="2061">
        <f t="shared" si="267"/>
        <v>0</v>
      </c>
      <c r="FW178" s="2061">
        <f t="shared" si="267"/>
        <v>0</v>
      </c>
      <c r="FX178" s="2061">
        <f t="shared" si="267"/>
        <v>0</v>
      </c>
      <c r="FY178" s="2061">
        <f t="shared" si="267"/>
        <v>0</v>
      </c>
      <c r="FZ178" s="2061">
        <f t="shared" si="267"/>
        <v>0</v>
      </c>
      <c r="GA178" s="2061">
        <f t="shared" si="267"/>
        <v>0</v>
      </c>
      <c r="GB178" s="2061">
        <f t="shared" si="267"/>
        <v>0</v>
      </c>
      <c r="GC178" s="2061">
        <f t="shared" si="267"/>
        <v>0</v>
      </c>
      <c r="GD178" s="2061">
        <f t="shared" si="267"/>
        <v>0</v>
      </c>
      <c r="GE178" s="2061">
        <f t="shared" si="267"/>
        <v>0</v>
      </c>
      <c r="GF178" s="2061">
        <f t="shared" si="267"/>
        <v>0</v>
      </c>
      <c r="GG178" s="2061">
        <f t="shared" si="267"/>
        <v>0</v>
      </c>
      <c r="GH178" s="2061">
        <f t="shared" si="267"/>
        <v>0</v>
      </c>
      <c r="GI178" s="2061">
        <f t="shared" si="267"/>
        <v>0</v>
      </c>
      <c r="GJ178" s="2061">
        <f t="shared" si="267"/>
        <v>0</v>
      </c>
      <c r="GK178" s="2061">
        <f t="shared" si="267"/>
        <v>0</v>
      </c>
      <c r="GL178" s="2061">
        <f t="shared" si="267"/>
        <v>0</v>
      </c>
      <c r="GM178" s="2061">
        <f t="shared" si="267"/>
        <v>0</v>
      </c>
      <c r="GN178" s="2061">
        <f t="shared" si="267"/>
        <v>0</v>
      </c>
      <c r="GO178" s="2061">
        <f t="shared" si="267"/>
        <v>0</v>
      </c>
      <c r="GP178" s="2061">
        <f t="shared" si="267"/>
        <v>0</v>
      </c>
      <c r="GQ178" s="2061">
        <f t="shared" ref="GQ178:JB178" si="268">SUM(GQ175:GQ177)</f>
        <v>0</v>
      </c>
      <c r="GR178" s="2061">
        <f t="shared" si="268"/>
        <v>0</v>
      </c>
      <c r="GS178" s="2061">
        <f t="shared" si="268"/>
        <v>0</v>
      </c>
      <c r="GT178" s="2061">
        <f t="shared" si="268"/>
        <v>0</v>
      </c>
      <c r="GU178" s="2061">
        <f t="shared" si="268"/>
        <v>0</v>
      </c>
      <c r="GV178" s="2061">
        <f t="shared" si="268"/>
        <v>0</v>
      </c>
      <c r="GW178" s="2061">
        <f t="shared" si="268"/>
        <v>0</v>
      </c>
      <c r="GX178" s="2061">
        <f t="shared" si="268"/>
        <v>0</v>
      </c>
      <c r="GY178" s="2061">
        <f t="shared" si="268"/>
        <v>0</v>
      </c>
      <c r="GZ178" s="2061">
        <f t="shared" si="268"/>
        <v>0</v>
      </c>
      <c r="HA178" s="2061">
        <f t="shared" si="268"/>
        <v>0</v>
      </c>
      <c r="HB178" s="2061">
        <f t="shared" si="268"/>
        <v>0</v>
      </c>
      <c r="HC178" s="2061">
        <f t="shared" si="268"/>
        <v>0</v>
      </c>
      <c r="HD178" s="2061">
        <f t="shared" si="268"/>
        <v>0</v>
      </c>
      <c r="HE178" s="2061">
        <f t="shared" si="268"/>
        <v>0</v>
      </c>
      <c r="HF178" s="2061">
        <f t="shared" si="268"/>
        <v>0</v>
      </c>
      <c r="HG178" s="2061">
        <f t="shared" si="268"/>
        <v>0</v>
      </c>
      <c r="HH178" s="2061">
        <f t="shared" si="268"/>
        <v>0</v>
      </c>
      <c r="HI178" s="2061">
        <f t="shared" si="268"/>
        <v>0</v>
      </c>
      <c r="HJ178" s="2061">
        <f t="shared" si="268"/>
        <v>0</v>
      </c>
      <c r="HK178" s="2061">
        <f t="shared" si="268"/>
        <v>0</v>
      </c>
      <c r="HL178" s="2061">
        <f t="shared" si="268"/>
        <v>0</v>
      </c>
      <c r="HM178" s="2061">
        <f t="shared" si="268"/>
        <v>0</v>
      </c>
      <c r="HN178" s="2061">
        <f t="shared" si="268"/>
        <v>0</v>
      </c>
      <c r="HO178" s="2061">
        <f t="shared" si="268"/>
        <v>0</v>
      </c>
      <c r="HP178" s="2061">
        <f t="shared" si="268"/>
        <v>0</v>
      </c>
      <c r="HQ178" s="2061">
        <f t="shared" si="268"/>
        <v>0</v>
      </c>
      <c r="HR178" s="2061">
        <f t="shared" si="268"/>
        <v>0</v>
      </c>
      <c r="HS178" s="2061">
        <f t="shared" si="268"/>
        <v>0</v>
      </c>
      <c r="HT178" s="2061">
        <f t="shared" si="268"/>
        <v>0</v>
      </c>
      <c r="HU178" s="2061">
        <f t="shared" si="268"/>
        <v>0</v>
      </c>
      <c r="HV178" s="2061">
        <f t="shared" si="268"/>
        <v>0</v>
      </c>
      <c r="HW178" s="2061">
        <f t="shared" si="268"/>
        <v>0</v>
      </c>
      <c r="HX178" s="2061">
        <f t="shared" si="268"/>
        <v>0</v>
      </c>
      <c r="HY178" s="2061">
        <f t="shared" si="268"/>
        <v>0</v>
      </c>
      <c r="HZ178" s="2061">
        <f t="shared" si="268"/>
        <v>0</v>
      </c>
      <c r="IA178" s="2061">
        <f t="shared" si="268"/>
        <v>0</v>
      </c>
      <c r="IB178" s="2061">
        <f t="shared" si="268"/>
        <v>0</v>
      </c>
      <c r="IC178" s="2061">
        <f t="shared" si="268"/>
        <v>0</v>
      </c>
      <c r="ID178" s="2061">
        <f t="shared" si="268"/>
        <v>0</v>
      </c>
      <c r="IE178" s="2061">
        <f t="shared" si="268"/>
        <v>0</v>
      </c>
      <c r="IF178" s="2061">
        <f t="shared" si="268"/>
        <v>0</v>
      </c>
      <c r="IG178" s="2061">
        <f t="shared" si="268"/>
        <v>0</v>
      </c>
      <c r="IH178" s="2061">
        <f t="shared" si="268"/>
        <v>0</v>
      </c>
      <c r="II178" s="2061">
        <f t="shared" si="268"/>
        <v>0</v>
      </c>
      <c r="IJ178" s="2061">
        <f t="shared" si="268"/>
        <v>0</v>
      </c>
      <c r="IK178" s="2061">
        <f t="shared" si="268"/>
        <v>0</v>
      </c>
      <c r="IL178" s="2061">
        <f t="shared" si="268"/>
        <v>0</v>
      </c>
      <c r="IM178" s="2061">
        <f t="shared" si="268"/>
        <v>0</v>
      </c>
      <c r="IN178" s="2061">
        <f t="shared" si="268"/>
        <v>0</v>
      </c>
      <c r="IO178" s="2061">
        <f t="shared" si="268"/>
        <v>0</v>
      </c>
      <c r="IP178" s="2061">
        <f t="shared" si="268"/>
        <v>0</v>
      </c>
      <c r="IQ178" s="2061">
        <f t="shared" si="268"/>
        <v>0</v>
      </c>
      <c r="IR178" s="2061">
        <f t="shared" si="268"/>
        <v>0</v>
      </c>
      <c r="IS178" s="2061">
        <f t="shared" si="268"/>
        <v>0</v>
      </c>
      <c r="IT178" s="2061">
        <f t="shared" si="268"/>
        <v>0</v>
      </c>
      <c r="IU178" s="2061">
        <f t="shared" si="268"/>
        <v>0</v>
      </c>
      <c r="IV178" s="2061">
        <f t="shared" si="268"/>
        <v>0</v>
      </c>
      <c r="IW178" s="2061">
        <f t="shared" si="268"/>
        <v>0</v>
      </c>
      <c r="IX178" s="2061">
        <f t="shared" si="268"/>
        <v>0</v>
      </c>
      <c r="IY178" s="2061">
        <f t="shared" si="268"/>
        <v>0</v>
      </c>
      <c r="IZ178" s="2061">
        <f t="shared" si="268"/>
        <v>0</v>
      </c>
      <c r="JA178" s="2061">
        <f t="shared" si="268"/>
        <v>0</v>
      </c>
      <c r="JB178" s="2061">
        <f t="shared" si="268"/>
        <v>0</v>
      </c>
      <c r="JC178" s="2061">
        <f t="shared" ref="JC178:LN178" si="269">SUM(JC175:JC177)</f>
        <v>0</v>
      </c>
      <c r="JD178" s="2061">
        <f t="shared" si="269"/>
        <v>0</v>
      </c>
      <c r="JE178" s="2061">
        <f t="shared" si="269"/>
        <v>0</v>
      </c>
      <c r="JF178" s="2061">
        <f t="shared" si="269"/>
        <v>0</v>
      </c>
      <c r="JG178" s="2061">
        <f t="shared" si="269"/>
        <v>0</v>
      </c>
      <c r="JH178" s="2061">
        <f t="shared" si="269"/>
        <v>0</v>
      </c>
      <c r="JI178" s="2061">
        <f t="shared" si="269"/>
        <v>0</v>
      </c>
      <c r="JJ178" s="2061">
        <f t="shared" si="269"/>
        <v>0</v>
      </c>
      <c r="JK178" s="2061">
        <f t="shared" si="269"/>
        <v>0</v>
      </c>
      <c r="JL178" s="2061">
        <f t="shared" si="269"/>
        <v>0</v>
      </c>
      <c r="JM178" s="2061">
        <f t="shared" si="269"/>
        <v>0</v>
      </c>
      <c r="JN178" s="2061">
        <f t="shared" si="269"/>
        <v>0</v>
      </c>
      <c r="JO178" s="2061">
        <f t="shared" si="269"/>
        <v>0</v>
      </c>
      <c r="JP178" s="2061">
        <f t="shared" si="269"/>
        <v>0</v>
      </c>
      <c r="JQ178" s="2061">
        <f t="shared" si="269"/>
        <v>0</v>
      </c>
      <c r="JR178" s="2061">
        <f t="shared" si="269"/>
        <v>0</v>
      </c>
      <c r="JS178" s="2061">
        <f t="shared" si="269"/>
        <v>0</v>
      </c>
      <c r="JT178" s="2061">
        <f t="shared" si="269"/>
        <v>0</v>
      </c>
      <c r="JU178" s="2061">
        <f t="shared" si="269"/>
        <v>0</v>
      </c>
      <c r="JV178" s="2061">
        <f t="shared" si="269"/>
        <v>0</v>
      </c>
      <c r="JW178" s="2061">
        <f t="shared" si="269"/>
        <v>0</v>
      </c>
      <c r="JX178" s="2061">
        <f t="shared" si="269"/>
        <v>0</v>
      </c>
      <c r="JY178" s="2061">
        <f t="shared" si="269"/>
        <v>0</v>
      </c>
      <c r="JZ178" s="2061">
        <f t="shared" si="269"/>
        <v>0</v>
      </c>
      <c r="KA178" s="2061">
        <f t="shared" si="269"/>
        <v>0</v>
      </c>
      <c r="KB178" s="2061">
        <f t="shared" si="269"/>
        <v>0</v>
      </c>
      <c r="KC178" s="2061">
        <f t="shared" si="269"/>
        <v>0</v>
      </c>
      <c r="KD178" s="2061">
        <f t="shared" si="269"/>
        <v>0</v>
      </c>
      <c r="KE178" s="2061">
        <f t="shared" si="269"/>
        <v>0</v>
      </c>
      <c r="KF178" s="2061">
        <f t="shared" si="269"/>
        <v>0</v>
      </c>
      <c r="KG178" s="2061">
        <f t="shared" si="269"/>
        <v>0</v>
      </c>
      <c r="KH178" s="2061">
        <f t="shared" si="269"/>
        <v>0</v>
      </c>
      <c r="KI178" s="2061">
        <f t="shared" si="269"/>
        <v>0</v>
      </c>
      <c r="KJ178" s="2061">
        <f t="shared" si="269"/>
        <v>0</v>
      </c>
      <c r="KK178" s="2061">
        <f t="shared" si="269"/>
        <v>0</v>
      </c>
      <c r="KL178" s="2061">
        <f t="shared" si="269"/>
        <v>0</v>
      </c>
      <c r="KM178" s="2061">
        <f t="shared" si="269"/>
        <v>0</v>
      </c>
      <c r="KN178" s="2061">
        <f t="shared" si="269"/>
        <v>0</v>
      </c>
      <c r="KO178" s="2061">
        <f t="shared" si="269"/>
        <v>0</v>
      </c>
      <c r="KP178" s="2061">
        <f t="shared" si="269"/>
        <v>0</v>
      </c>
      <c r="KQ178" s="2061">
        <f t="shared" si="269"/>
        <v>0</v>
      </c>
      <c r="KR178" s="2061">
        <f t="shared" si="269"/>
        <v>0</v>
      </c>
      <c r="KS178" s="2061">
        <f t="shared" si="269"/>
        <v>0</v>
      </c>
      <c r="KT178" s="2061">
        <f t="shared" si="269"/>
        <v>0</v>
      </c>
      <c r="KU178" s="2061">
        <f t="shared" si="269"/>
        <v>0</v>
      </c>
      <c r="KV178" s="2061">
        <f t="shared" si="269"/>
        <v>0</v>
      </c>
      <c r="KW178" s="2061">
        <f t="shared" si="269"/>
        <v>0</v>
      </c>
      <c r="KX178" s="2061">
        <f t="shared" si="269"/>
        <v>0</v>
      </c>
      <c r="KY178" s="2061">
        <f t="shared" si="269"/>
        <v>0</v>
      </c>
      <c r="KZ178" s="2061">
        <f t="shared" si="269"/>
        <v>0</v>
      </c>
      <c r="LA178" s="2061">
        <f t="shared" si="269"/>
        <v>0</v>
      </c>
      <c r="LB178" s="2061">
        <f t="shared" si="269"/>
        <v>0</v>
      </c>
      <c r="LC178" s="2061">
        <f t="shared" si="269"/>
        <v>0</v>
      </c>
      <c r="LD178" s="2061">
        <f t="shared" si="269"/>
        <v>0</v>
      </c>
      <c r="LE178" s="2061">
        <f t="shared" si="269"/>
        <v>0</v>
      </c>
      <c r="LF178" s="2061">
        <f t="shared" si="269"/>
        <v>0</v>
      </c>
      <c r="LG178" s="2061">
        <f t="shared" si="269"/>
        <v>0</v>
      </c>
      <c r="LH178" s="2061">
        <f t="shared" si="269"/>
        <v>0</v>
      </c>
      <c r="LI178" s="2061">
        <f t="shared" si="269"/>
        <v>0</v>
      </c>
      <c r="LJ178" s="2061">
        <f t="shared" si="269"/>
        <v>0</v>
      </c>
      <c r="LK178" s="2061">
        <f t="shared" si="269"/>
        <v>0</v>
      </c>
      <c r="LL178" s="2061">
        <f t="shared" si="269"/>
        <v>0</v>
      </c>
      <c r="LM178" s="2061">
        <f t="shared" si="269"/>
        <v>0</v>
      </c>
      <c r="LN178" s="2061">
        <f t="shared" si="269"/>
        <v>0</v>
      </c>
      <c r="LO178" s="2061">
        <f t="shared" ref="LO178:NZ178" si="270">SUM(LO175:LO177)</f>
        <v>0</v>
      </c>
      <c r="LP178" s="2061">
        <f t="shared" si="270"/>
        <v>0</v>
      </c>
      <c r="LQ178" s="2061">
        <f t="shared" si="270"/>
        <v>0</v>
      </c>
      <c r="LR178" s="2061">
        <f t="shared" si="270"/>
        <v>0</v>
      </c>
      <c r="LS178" s="2061">
        <f t="shared" si="270"/>
        <v>0</v>
      </c>
      <c r="LT178" s="2061">
        <f t="shared" si="270"/>
        <v>0</v>
      </c>
      <c r="LU178" s="2061">
        <f t="shared" si="270"/>
        <v>0</v>
      </c>
      <c r="LV178" s="2061">
        <f t="shared" si="270"/>
        <v>0</v>
      </c>
      <c r="LW178" s="2061">
        <f t="shared" si="270"/>
        <v>0</v>
      </c>
      <c r="LX178" s="2061">
        <f t="shared" si="270"/>
        <v>0</v>
      </c>
      <c r="LY178" s="2061">
        <f t="shared" si="270"/>
        <v>0</v>
      </c>
      <c r="LZ178" s="2061">
        <f t="shared" si="270"/>
        <v>0</v>
      </c>
      <c r="MA178" s="2061">
        <f t="shared" si="270"/>
        <v>0</v>
      </c>
      <c r="MB178" s="2061">
        <f t="shared" si="270"/>
        <v>0</v>
      </c>
      <c r="MC178" s="2061">
        <f t="shared" si="270"/>
        <v>0</v>
      </c>
      <c r="MD178" s="2061">
        <f t="shared" si="270"/>
        <v>0</v>
      </c>
      <c r="ME178" s="2061">
        <f t="shared" si="270"/>
        <v>0</v>
      </c>
      <c r="MF178" s="2061">
        <f t="shared" si="270"/>
        <v>0</v>
      </c>
      <c r="MG178" s="2061">
        <f t="shared" si="270"/>
        <v>0</v>
      </c>
      <c r="MH178" s="2061">
        <f t="shared" si="270"/>
        <v>0</v>
      </c>
      <c r="MI178" s="2061">
        <f t="shared" si="270"/>
        <v>0</v>
      </c>
      <c r="MJ178" s="2061">
        <f t="shared" si="270"/>
        <v>0</v>
      </c>
      <c r="MK178" s="2061">
        <f t="shared" si="270"/>
        <v>0</v>
      </c>
      <c r="ML178" s="2061">
        <f t="shared" si="270"/>
        <v>0</v>
      </c>
      <c r="MM178" s="2061">
        <f t="shared" si="270"/>
        <v>0</v>
      </c>
      <c r="MN178" s="2061">
        <f t="shared" si="270"/>
        <v>0</v>
      </c>
      <c r="MO178" s="2061">
        <f t="shared" si="270"/>
        <v>0</v>
      </c>
      <c r="MP178" s="2061">
        <f t="shared" si="270"/>
        <v>0</v>
      </c>
      <c r="MQ178" s="2061">
        <f t="shared" si="270"/>
        <v>0</v>
      </c>
      <c r="MR178" s="2061">
        <f t="shared" si="270"/>
        <v>0</v>
      </c>
      <c r="MS178" s="2061">
        <f t="shared" si="270"/>
        <v>0</v>
      </c>
      <c r="MT178" s="2061">
        <f t="shared" si="270"/>
        <v>0</v>
      </c>
      <c r="MU178" s="2061">
        <f t="shared" si="270"/>
        <v>0</v>
      </c>
      <c r="MV178" s="2061">
        <f t="shared" si="270"/>
        <v>0</v>
      </c>
      <c r="MW178" s="2061">
        <f t="shared" si="270"/>
        <v>0</v>
      </c>
      <c r="MX178" s="2061">
        <f t="shared" si="270"/>
        <v>0</v>
      </c>
      <c r="MY178" s="2061">
        <f t="shared" si="270"/>
        <v>0</v>
      </c>
      <c r="MZ178" s="2061">
        <f t="shared" si="270"/>
        <v>0</v>
      </c>
      <c r="NA178" s="2061">
        <f t="shared" si="270"/>
        <v>0</v>
      </c>
      <c r="NB178" s="2061">
        <f t="shared" si="270"/>
        <v>0</v>
      </c>
      <c r="NC178" s="2061">
        <f t="shared" si="270"/>
        <v>0</v>
      </c>
      <c r="ND178" s="2061">
        <f t="shared" si="270"/>
        <v>0</v>
      </c>
      <c r="NE178" s="2061">
        <f t="shared" si="270"/>
        <v>0</v>
      </c>
      <c r="NF178" s="2061">
        <f t="shared" si="270"/>
        <v>0</v>
      </c>
      <c r="NG178" s="2061">
        <f t="shared" si="270"/>
        <v>0</v>
      </c>
      <c r="NH178" s="2061">
        <f t="shared" si="270"/>
        <v>0</v>
      </c>
      <c r="NI178" s="2061">
        <f t="shared" si="270"/>
        <v>0</v>
      </c>
      <c r="NJ178" s="2061">
        <f t="shared" si="270"/>
        <v>0</v>
      </c>
      <c r="NK178" s="2061">
        <f t="shared" si="270"/>
        <v>0</v>
      </c>
      <c r="NL178" s="2061">
        <f t="shared" si="270"/>
        <v>0</v>
      </c>
      <c r="NM178" s="2061">
        <f t="shared" si="270"/>
        <v>0</v>
      </c>
      <c r="NN178" s="2061">
        <f t="shared" si="270"/>
        <v>0</v>
      </c>
      <c r="NO178" s="2061">
        <f t="shared" si="270"/>
        <v>0</v>
      </c>
      <c r="NP178" s="2061">
        <f t="shared" si="270"/>
        <v>0</v>
      </c>
      <c r="NQ178" s="2061">
        <f t="shared" si="270"/>
        <v>0</v>
      </c>
      <c r="NR178" s="2061">
        <f t="shared" si="270"/>
        <v>0</v>
      </c>
      <c r="NS178" s="2061">
        <f t="shared" si="270"/>
        <v>0</v>
      </c>
      <c r="NT178" s="2061">
        <f t="shared" si="270"/>
        <v>0</v>
      </c>
      <c r="NU178" s="2061">
        <f t="shared" si="270"/>
        <v>0</v>
      </c>
      <c r="NV178" s="2061">
        <f t="shared" si="270"/>
        <v>0</v>
      </c>
      <c r="NW178" s="2061">
        <f t="shared" si="270"/>
        <v>0</v>
      </c>
      <c r="NX178" s="2061">
        <f t="shared" si="270"/>
        <v>0</v>
      </c>
      <c r="NY178" s="2061">
        <f t="shared" si="270"/>
        <v>0</v>
      </c>
      <c r="NZ178" s="2061">
        <f t="shared" si="270"/>
        <v>0</v>
      </c>
      <c r="OA178" s="2061">
        <f t="shared" ref="OA178:QL178" si="271">SUM(OA175:OA177)</f>
        <v>0</v>
      </c>
      <c r="OB178" s="2061">
        <f t="shared" si="271"/>
        <v>0</v>
      </c>
      <c r="OC178" s="2061">
        <f t="shared" si="271"/>
        <v>0</v>
      </c>
      <c r="OD178" s="2061">
        <f t="shared" si="271"/>
        <v>0</v>
      </c>
      <c r="OE178" s="2061">
        <f t="shared" si="271"/>
        <v>0</v>
      </c>
      <c r="OF178" s="2061">
        <f t="shared" si="271"/>
        <v>0</v>
      </c>
      <c r="OG178" s="2061">
        <f t="shared" si="271"/>
        <v>0</v>
      </c>
      <c r="OH178" s="2061">
        <f t="shared" si="271"/>
        <v>0</v>
      </c>
      <c r="OI178" s="2061">
        <f t="shared" si="271"/>
        <v>0</v>
      </c>
      <c r="OJ178" s="2061">
        <f t="shared" si="271"/>
        <v>0</v>
      </c>
      <c r="OK178" s="2061">
        <f t="shared" si="271"/>
        <v>0</v>
      </c>
      <c r="OL178" s="2061">
        <f t="shared" si="271"/>
        <v>0</v>
      </c>
      <c r="OM178" s="2061">
        <f t="shared" si="271"/>
        <v>0</v>
      </c>
      <c r="ON178" s="2061">
        <f t="shared" si="271"/>
        <v>0</v>
      </c>
      <c r="OO178" s="2061">
        <f t="shared" si="271"/>
        <v>0</v>
      </c>
      <c r="OP178" s="2061">
        <f t="shared" si="271"/>
        <v>0</v>
      </c>
      <c r="OQ178" s="2061">
        <f t="shared" si="271"/>
        <v>0</v>
      </c>
      <c r="OR178" s="2061">
        <f t="shared" si="271"/>
        <v>0</v>
      </c>
      <c r="OS178" s="2061">
        <f t="shared" si="271"/>
        <v>0</v>
      </c>
      <c r="OT178" s="2061">
        <f t="shared" si="271"/>
        <v>0</v>
      </c>
      <c r="OU178" s="2061">
        <f t="shared" si="271"/>
        <v>0</v>
      </c>
      <c r="OV178" s="2061">
        <f t="shared" si="271"/>
        <v>0</v>
      </c>
      <c r="OW178" s="2061">
        <f t="shared" si="271"/>
        <v>0</v>
      </c>
      <c r="OX178" s="2061">
        <f t="shared" si="271"/>
        <v>0</v>
      </c>
      <c r="OY178" s="2061">
        <f t="shared" si="271"/>
        <v>0</v>
      </c>
      <c r="OZ178" s="2061">
        <f t="shared" si="271"/>
        <v>0</v>
      </c>
      <c r="PA178" s="2061">
        <f t="shared" si="271"/>
        <v>0</v>
      </c>
      <c r="PB178" s="2061">
        <f t="shared" si="271"/>
        <v>0</v>
      </c>
      <c r="PC178" s="2061">
        <f t="shared" si="271"/>
        <v>0</v>
      </c>
      <c r="PD178" s="2061">
        <f t="shared" si="271"/>
        <v>0</v>
      </c>
      <c r="PE178" s="2061">
        <f t="shared" si="271"/>
        <v>0</v>
      </c>
      <c r="PF178" s="2061">
        <f t="shared" si="271"/>
        <v>0</v>
      </c>
      <c r="PG178" s="2061">
        <f t="shared" si="271"/>
        <v>0</v>
      </c>
      <c r="PH178" s="2061">
        <f t="shared" si="271"/>
        <v>0</v>
      </c>
      <c r="PI178" s="2061">
        <f t="shared" si="271"/>
        <v>0</v>
      </c>
      <c r="PJ178" s="2061">
        <f t="shared" si="271"/>
        <v>0</v>
      </c>
      <c r="PK178" s="2061">
        <f t="shared" si="271"/>
        <v>0</v>
      </c>
      <c r="PL178" s="2061">
        <f t="shared" si="271"/>
        <v>0</v>
      </c>
      <c r="PM178" s="2061">
        <f t="shared" si="271"/>
        <v>0</v>
      </c>
      <c r="PN178" s="2061">
        <f t="shared" si="271"/>
        <v>0</v>
      </c>
      <c r="PO178" s="2061">
        <f t="shared" si="271"/>
        <v>0</v>
      </c>
      <c r="PP178" s="2061">
        <f t="shared" si="271"/>
        <v>0</v>
      </c>
      <c r="PQ178" s="2061">
        <f t="shared" si="271"/>
        <v>0</v>
      </c>
      <c r="PR178" s="2061">
        <f t="shared" si="271"/>
        <v>0</v>
      </c>
      <c r="PS178" s="2061">
        <f t="shared" si="271"/>
        <v>0</v>
      </c>
      <c r="PT178" s="2061">
        <f t="shared" si="271"/>
        <v>0</v>
      </c>
      <c r="PU178" s="2061">
        <f t="shared" si="271"/>
        <v>0</v>
      </c>
      <c r="PV178" s="2061">
        <f t="shared" si="271"/>
        <v>0</v>
      </c>
      <c r="PW178" s="2061">
        <f t="shared" si="271"/>
        <v>0</v>
      </c>
      <c r="PX178" s="2061">
        <f t="shared" si="271"/>
        <v>0</v>
      </c>
      <c r="PY178" s="2061">
        <f t="shared" si="271"/>
        <v>0</v>
      </c>
      <c r="PZ178" s="2061">
        <f t="shared" si="271"/>
        <v>0</v>
      </c>
      <c r="QA178" s="2061">
        <f t="shared" si="271"/>
        <v>0</v>
      </c>
      <c r="QB178" s="2061">
        <f t="shared" si="271"/>
        <v>0</v>
      </c>
      <c r="QC178" s="2061">
        <f t="shared" si="271"/>
        <v>0</v>
      </c>
      <c r="QD178" s="2061">
        <f t="shared" si="271"/>
        <v>0</v>
      </c>
      <c r="QE178" s="2061">
        <f t="shared" si="271"/>
        <v>0</v>
      </c>
      <c r="QF178" s="2061">
        <f t="shared" si="271"/>
        <v>0</v>
      </c>
      <c r="QG178" s="2061">
        <f t="shared" si="271"/>
        <v>0</v>
      </c>
      <c r="QH178" s="2061">
        <f t="shared" si="271"/>
        <v>0</v>
      </c>
      <c r="QI178" s="2061">
        <f t="shared" si="271"/>
        <v>0</v>
      </c>
      <c r="QJ178" s="2061">
        <f t="shared" si="271"/>
        <v>0</v>
      </c>
      <c r="QK178" s="2061">
        <f t="shared" si="271"/>
        <v>0</v>
      </c>
      <c r="QL178" s="2061">
        <f t="shared" si="271"/>
        <v>0</v>
      </c>
      <c r="QM178" s="2061">
        <f t="shared" ref="QM178:SX178" si="272">SUM(QM175:QM177)</f>
        <v>0</v>
      </c>
      <c r="QN178" s="2061">
        <f t="shared" si="272"/>
        <v>0</v>
      </c>
      <c r="QO178" s="2061">
        <f t="shared" si="272"/>
        <v>0</v>
      </c>
      <c r="QP178" s="2061">
        <f t="shared" si="272"/>
        <v>0</v>
      </c>
      <c r="QQ178" s="2061">
        <f t="shared" si="272"/>
        <v>0</v>
      </c>
      <c r="QR178" s="2061">
        <f t="shared" si="272"/>
        <v>0</v>
      </c>
      <c r="QS178" s="2061">
        <f t="shared" si="272"/>
        <v>0</v>
      </c>
      <c r="QT178" s="2061">
        <f t="shared" si="272"/>
        <v>0</v>
      </c>
      <c r="QU178" s="2061">
        <f t="shared" si="272"/>
        <v>0</v>
      </c>
      <c r="QV178" s="2061">
        <f t="shared" si="272"/>
        <v>0</v>
      </c>
      <c r="QW178" s="2061">
        <f t="shared" si="272"/>
        <v>0</v>
      </c>
      <c r="QX178" s="2061">
        <f t="shared" si="272"/>
        <v>0</v>
      </c>
      <c r="QY178" s="2061">
        <f t="shared" si="272"/>
        <v>0</v>
      </c>
      <c r="QZ178" s="2061">
        <f t="shared" si="272"/>
        <v>0</v>
      </c>
      <c r="RA178" s="2061">
        <f t="shared" si="272"/>
        <v>0</v>
      </c>
      <c r="RB178" s="2061">
        <f t="shared" si="272"/>
        <v>0</v>
      </c>
      <c r="RC178" s="2061">
        <f t="shared" si="272"/>
        <v>0</v>
      </c>
      <c r="RD178" s="2061">
        <f t="shared" si="272"/>
        <v>0</v>
      </c>
      <c r="RE178" s="2061">
        <f t="shared" si="272"/>
        <v>0</v>
      </c>
      <c r="RF178" s="2061">
        <f t="shared" si="272"/>
        <v>0</v>
      </c>
      <c r="RG178" s="2061">
        <f t="shared" si="272"/>
        <v>0</v>
      </c>
      <c r="RH178" s="2061">
        <f t="shared" si="272"/>
        <v>0</v>
      </c>
      <c r="RI178" s="2061">
        <f t="shared" si="272"/>
        <v>0</v>
      </c>
      <c r="RJ178" s="2061">
        <f t="shared" si="272"/>
        <v>0</v>
      </c>
      <c r="RK178" s="2061">
        <f t="shared" si="272"/>
        <v>0</v>
      </c>
      <c r="RL178" s="2061">
        <f t="shared" si="272"/>
        <v>0</v>
      </c>
      <c r="RM178" s="2061">
        <f t="shared" si="272"/>
        <v>0</v>
      </c>
      <c r="RN178" s="2061">
        <f t="shared" si="272"/>
        <v>0</v>
      </c>
      <c r="RO178" s="2061">
        <f t="shared" si="272"/>
        <v>0</v>
      </c>
      <c r="RP178" s="2061">
        <f t="shared" si="272"/>
        <v>0</v>
      </c>
      <c r="RQ178" s="2061">
        <f t="shared" si="272"/>
        <v>0</v>
      </c>
      <c r="RR178" s="2061">
        <f t="shared" si="272"/>
        <v>0</v>
      </c>
      <c r="RS178" s="2061">
        <f t="shared" si="272"/>
        <v>0</v>
      </c>
      <c r="RT178" s="2061">
        <f t="shared" si="272"/>
        <v>0</v>
      </c>
      <c r="RU178" s="2061">
        <f t="shared" si="272"/>
        <v>0</v>
      </c>
      <c r="RV178" s="2061">
        <f t="shared" si="272"/>
        <v>0</v>
      </c>
      <c r="RW178" s="2061">
        <f t="shared" si="272"/>
        <v>0</v>
      </c>
      <c r="RX178" s="2061">
        <f t="shared" si="272"/>
        <v>0</v>
      </c>
      <c r="RY178" s="2061">
        <f t="shared" si="272"/>
        <v>0</v>
      </c>
      <c r="RZ178" s="2061">
        <f t="shared" si="272"/>
        <v>0</v>
      </c>
      <c r="SA178" s="2061">
        <f t="shared" si="272"/>
        <v>0</v>
      </c>
      <c r="SB178" s="2061">
        <f t="shared" si="272"/>
        <v>0</v>
      </c>
      <c r="SC178" s="2061">
        <f t="shared" si="272"/>
        <v>0</v>
      </c>
      <c r="SD178" s="2061">
        <f t="shared" si="272"/>
        <v>0</v>
      </c>
      <c r="SE178" s="2061" t="e">
        <f t="shared" si="272"/>
        <v>#DIV/0!</v>
      </c>
      <c r="SF178" s="2061" t="e">
        <f t="shared" si="272"/>
        <v>#DIV/0!</v>
      </c>
      <c r="SG178" s="2061" t="e">
        <f t="shared" si="272"/>
        <v>#DIV/0!</v>
      </c>
      <c r="SH178" s="2061" t="e">
        <f t="shared" si="272"/>
        <v>#DIV/0!</v>
      </c>
      <c r="SI178" s="2061" t="e">
        <f t="shared" si="272"/>
        <v>#DIV/0!</v>
      </c>
      <c r="SJ178" s="2061" t="e">
        <f t="shared" si="272"/>
        <v>#DIV/0!</v>
      </c>
      <c r="SK178" s="2061" t="e">
        <f t="shared" si="272"/>
        <v>#DIV/0!</v>
      </c>
      <c r="SL178" s="2061" t="e">
        <f t="shared" si="272"/>
        <v>#DIV/0!</v>
      </c>
      <c r="SM178" s="2061" t="e">
        <f t="shared" si="272"/>
        <v>#DIV/0!</v>
      </c>
      <c r="SN178" s="2061" t="e">
        <f t="shared" si="272"/>
        <v>#DIV/0!</v>
      </c>
      <c r="SO178" s="2061" t="e">
        <f t="shared" si="272"/>
        <v>#DIV/0!</v>
      </c>
      <c r="SP178" s="2061" t="e">
        <f t="shared" si="272"/>
        <v>#DIV/0!</v>
      </c>
      <c r="SQ178" s="2061" t="e">
        <f t="shared" si="272"/>
        <v>#DIV/0!</v>
      </c>
      <c r="SR178" s="2061" t="e">
        <f t="shared" si="272"/>
        <v>#DIV/0!</v>
      </c>
      <c r="SS178" s="2061" t="e">
        <f t="shared" si="272"/>
        <v>#DIV/0!</v>
      </c>
      <c r="ST178" s="2061" t="e">
        <f t="shared" si="272"/>
        <v>#DIV/0!</v>
      </c>
      <c r="SU178" s="2061" t="e">
        <f t="shared" si="272"/>
        <v>#DIV/0!</v>
      </c>
      <c r="SV178" s="2061" t="e">
        <f t="shared" si="272"/>
        <v>#DIV/0!</v>
      </c>
      <c r="SW178" s="2061" t="e">
        <f t="shared" si="272"/>
        <v>#DIV/0!</v>
      </c>
      <c r="SX178" s="2061" t="e">
        <f t="shared" si="272"/>
        <v>#DIV/0!</v>
      </c>
      <c r="SY178" s="2061" t="e">
        <f t="shared" ref="SY178:VJ178" si="273">SUM(SY175:SY177)</f>
        <v>#DIV/0!</v>
      </c>
      <c r="SZ178" s="2061" t="e">
        <f t="shared" si="273"/>
        <v>#DIV/0!</v>
      </c>
      <c r="TA178" s="2061" t="e">
        <f t="shared" si="273"/>
        <v>#DIV/0!</v>
      </c>
      <c r="TB178" s="2061" t="e">
        <f t="shared" si="273"/>
        <v>#DIV/0!</v>
      </c>
      <c r="TC178" s="2061" t="e">
        <f t="shared" si="273"/>
        <v>#DIV/0!</v>
      </c>
      <c r="TD178" s="2061" t="e">
        <f t="shared" si="273"/>
        <v>#DIV/0!</v>
      </c>
      <c r="TE178" s="2061" t="e">
        <f t="shared" si="273"/>
        <v>#DIV/0!</v>
      </c>
      <c r="TF178" s="2061" t="e">
        <f t="shared" si="273"/>
        <v>#DIV/0!</v>
      </c>
      <c r="TG178" s="2061" t="e">
        <f t="shared" si="273"/>
        <v>#DIV/0!</v>
      </c>
      <c r="TH178" s="2061" t="e">
        <f t="shared" si="273"/>
        <v>#DIV/0!</v>
      </c>
      <c r="TI178" s="2061" t="e">
        <f t="shared" si="273"/>
        <v>#DIV/0!</v>
      </c>
      <c r="TJ178" s="2061" t="e">
        <f t="shared" si="273"/>
        <v>#DIV/0!</v>
      </c>
      <c r="TK178" s="2061" t="e">
        <f t="shared" si="273"/>
        <v>#DIV/0!</v>
      </c>
      <c r="TL178" s="2061" t="e">
        <f t="shared" si="273"/>
        <v>#DIV/0!</v>
      </c>
      <c r="TM178" s="2061">
        <f t="shared" si="273"/>
        <v>0</v>
      </c>
      <c r="TN178" s="2061">
        <f t="shared" si="273"/>
        <v>0</v>
      </c>
      <c r="TO178" s="2061">
        <f t="shared" si="273"/>
        <v>0</v>
      </c>
      <c r="TP178" s="2061">
        <f t="shared" si="273"/>
        <v>0</v>
      </c>
      <c r="TQ178" s="2061">
        <f t="shared" si="273"/>
        <v>0</v>
      </c>
      <c r="TR178" s="2061">
        <f t="shared" si="273"/>
        <v>0</v>
      </c>
      <c r="TS178" s="2061">
        <f t="shared" si="273"/>
        <v>0</v>
      </c>
      <c r="TT178" s="2061">
        <f t="shared" si="273"/>
        <v>0</v>
      </c>
      <c r="TU178" s="2061">
        <f t="shared" si="273"/>
        <v>0</v>
      </c>
      <c r="TV178" s="2061">
        <f t="shared" si="273"/>
        <v>0</v>
      </c>
      <c r="TW178" s="2061">
        <f t="shared" si="273"/>
        <v>0</v>
      </c>
      <c r="TX178" s="2061">
        <f t="shared" si="273"/>
        <v>0</v>
      </c>
      <c r="TY178" s="2061">
        <f t="shared" si="273"/>
        <v>0</v>
      </c>
      <c r="TZ178" s="2061">
        <f t="shared" si="273"/>
        <v>0</v>
      </c>
      <c r="UA178" s="2061">
        <f t="shared" si="273"/>
        <v>0</v>
      </c>
      <c r="UB178" s="2061">
        <f t="shared" si="273"/>
        <v>0</v>
      </c>
      <c r="UC178" s="2061">
        <f t="shared" si="273"/>
        <v>0</v>
      </c>
      <c r="UD178" s="2061">
        <f t="shared" si="273"/>
        <v>0</v>
      </c>
      <c r="UE178" s="2061">
        <f t="shared" si="273"/>
        <v>0</v>
      </c>
      <c r="UF178" s="2061">
        <f t="shared" si="273"/>
        <v>0</v>
      </c>
      <c r="UG178" s="2061">
        <f t="shared" si="273"/>
        <v>0</v>
      </c>
      <c r="UH178" s="2061">
        <f t="shared" si="273"/>
        <v>0</v>
      </c>
      <c r="UI178" s="2061">
        <f t="shared" si="273"/>
        <v>0</v>
      </c>
      <c r="UJ178" s="2061">
        <f t="shared" si="273"/>
        <v>0</v>
      </c>
      <c r="UK178" s="2061">
        <f t="shared" si="273"/>
        <v>0</v>
      </c>
      <c r="UL178" s="2061">
        <f t="shared" si="273"/>
        <v>0</v>
      </c>
      <c r="UM178" s="2061">
        <f t="shared" si="273"/>
        <v>0</v>
      </c>
      <c r="UN178" s="2061">
        <f t="shared" si="273"/>
        <v>0</v>
      </c>
      <c r="UO178" s="2061">
        <f t="shared" si="273"/>
        <v>0</v>
      </c>
      <c r="UP178" s="2061">
        <f t="shared" si="273"/>
        <v>0</v>
      </c>
      <c r="UQ178" s="2061">
        <f t="shared" si="273"/>
        <v>0</v>
      </c>
      <c r="UR178" s="2061">
        <f t="shared" si="273"/>
        <v>0</v>
      </c>
      <c r="US178" s="2061">
        <f t="shared" si="273"/>
        <v>0</v>
      </c>
      <c r="UT178" s="2061">
        <f t="shared" si="273"/>
        <v>0</v>
      </c>
      <c r="UU178" s="2061">
        <f t="shared" si="273"/>
        <v>0</v>
      </c>
      <c r="UV178" s="2061">
        <f t="shared" si="273"/>
        <v>0</v>
      </c>
      <c r="UW178" s="2061">
        <f t="shared" si="273"/>
        <v>0</v>
      </c>
      <c r="UX178" s="2061">
        <f t="shared" si="273"/>
        <v>0</v>
      </c>
      <c r="UY178" s="2061">
        <f t="shared" si="273"/>
        <v>0</v>
      </c>
      <c r="UZ178" s="2061">
        <f t="shared" si="273"/>
        <v>0</v>
      </c>
      <c r="VA178" s="2061">
        <f t="shared" si="273"/>
        <v>0</v>
      </c>
      <c r="VB178" s="2061">
        <f t="shared" si="273"/>
        <v>0</v>
      </c>
      <c r="VC178" s="2061">
        <f t="shared" si="273"/>
        <v>0</v>
      </c>
      <c r="VD178" s="2061">
        <f t="shared" si="273"/>
        <v>0</v>
      </c>
      <c r="VE178" s="2061">
        <f t="shared" si="273"/>
        <v>0</v>
      </c>
      <c r="VF178" s="2061">
        <f t="shared" si="273"/>
        <v>0</v>
      </c>
      <c r="VG178" s="2061">
        <f t="shared" si="273"/>
        <v>0</v>
      </c>
      <c r="VH178" s="2061">
        <f t="shared" si="273"/>
        <v>0</v>
      </c>
      <c r="VI178" s="2061">
        <f t="shared" si="273"/>
        <v>0</v>
      </c>
      <c r="VJ178" s="2061">
        <f t="shared" si="273"/>
        <v>0</v>
      </c>
      <c r="VK178" s="2061">
        <f>SUM(VK175:VK177)</f>
        <v>0</v>
      </c>
    </row>
    <row r="179" spans="1:583" s="1296" customFormat="1" x14ac:dyDescent="0.25">
      <c r="B179" s="2080" t="s">
        <v>381</v>
      </c>
      <c r="C179" s="2081" t="s">
        <v>2965</v>
      </c>
      <c r="D179" s="2081" t="s">
        <v>381</v>
      </c>
      <c r="E179" s="2081" t="s">
        <v>2965</v>
      </c>
      <c r="F179" s="2082">
        <f>12*365</f>
        <v>4380</v>
      </c>
      <c r="G179" s="2082">
        <f t="shared" ref="G179:BR179" si="274">12*365</f>
        <v>4380</v>
      </c>
      <c r="H179" s="2082">
        <f t="shared" si="274"/>
        <v>4380</v>
      </c>
      <c r="I179" s="2082">
        <f t="shared" si="274"/>
        <v>4380</v>
      </c>
      <c r="J179" s="2082">
        <f t="shared" si="274"/>
        <v>4380</v>
      </c>
      <c r="K179" s="2082">
        <f t="shared" si="274"/>
        <v>4380</v>
      </c>
      <c r="L179" s="2082">
        <f t="shared" si="274"/>
        <v>4380</v>
      </c>
      <c r="M179" s="2082">
        <f t="shared" si="274"/>
        <v>4380</v>
      </c>
      <c r="N179" s="2082">
        <f t="shared" si="274"/>
        <v>4380</v>
      </c>
      <c r="O179" s="2082">
        <f t="shared" si="274"/>
        <v>4380</v>
      </c>
      <c r="P179" s="2082">
        <f t="shared" si="274"/>
        <v>4380</v>
      </c>
      <c r="Q179" s="2082">
        <f t="shared" si="274"/>
        <v>4380</v>
      </c>
      <c r="R179" s="2082">
        <f t="shared" si="274"/>
        <v>4380</v>
      </c>
      <c r="S179" s="2082">
        <f t="shared" si="274"/>
        <v>4380</v>
      </c>
      <c r="T179" s="2082">
        <f t="shared" si="274"/>
        <v>4380</v>
      </c>
      <c r="U179" s="2082">
        <f t="shared" si="274"/>
        <v>4380</v>
      </c>
      <c r="V179" s="2082">
        <f t="shared" si="274"/>
        <v>4380</v>
      </c>
      <c r="W179" s="2082">
        <f t="shared" si="274"/>
        <v>4380</v>
      </c>
      <c r="X179" s="2082">
        <f t="shared" si="274"/>
        <v>4380</v>
      </c>
      <c r="Y179" s="2082">
        <f t="shared" si="274"/>
        <v>4380</v>
      </c>
      <c r="Z179" s="2082">
        <f t="shared" si="274"/>
        <v>4380</v>
      </c>
      <c r="AA179" s="2082">
        <f t="shared" si="274"/>
        <v>4380</v>
      </c>
      <c r="AB179" s="2082">
        <f t="shared" si="274"/>
        <v>4380</v>
      </c>
      <c r="AC179" s="2082">
        <f t="shared" si="274"/>
        <v>4380</v>
      </c>
      <c r="AD179" s="2082">
        <f t="shared" si="274"/>
        <v>4380</v>
      </c>
      <c r="AE179" s="2082">
        <f t="shared" si="274"/>
        <v>4380</v>
      </c>
      <c r="AF179" s="2082">
        <f t="shared" si="274"/>
        <v>4380</v>
      </c>
      <c r="AG179" s="2082">
        <f t="shared" si="274"/>
        <v>4380</v>
      </c>
      <c r="AH179" s="2082">
        <f t="shared" si="274"/>
        <v>4380</v>
      </c>
      <c r="AI179" s="2082">
        <f t="shared" si="274"/>
        <v>4380</v>
      </c>
      <c r="AJ179" s="2082">
        <f t="shared" si="274"/>
        <v>4380</v>
      </c>
      <c r="AK179" s="2082">
        <f t="shared" si="274"/>
        <v>4380</v>
      </c>
      <c r="AL179" s="2082">
        <f t="shared" si="274"/>
        <v>4380</v>
      </c>
      <c r="AM179" s="2082">
        <f t="shared" si="274"/>
        <v>4380</v>
      </c>
      <c r="AN179" s="2082">
        <f t="shared" si="274"/>
        <v>4380</v>
      </c>
      <c r="AO179" s="2082">
        <f t="shared" si="274"/>
        <v>4380</v>
      </c>
      <c r="AP179" s="2082">
        <f t="shared" si="274"/>
        <v>4380</v>
      </c>
      <c r="AQ179" s="2082">
        <f t="shared" si="274"/>
        <v>4380</v>
      </c>
      <c r="AR179" s="2082">
        <f t="shared" si="274"/>
        <v>4380</v>
      </c>
      <c r="AS179" s="2082">
        <f t="shared" si="274"/>
        <v>4380</v>
      </c>
      <c r="AT179" s="2082">
        <f t="shared" si="274"/>
        <v>4380</v>
      </c>
      <c r="AU179" s="2082">
        <f t="shared" si="274"/>
        <v>4380</v>
      </c>
      <c r="AV179" s="2082">
        <f t="shared" si="274"/>
        <v>4380</v>
      </c>
      <c r="AW179" s="2082">
        <f t="shared" si="274"/>
        <v>4380</v>
      </c>
      <c r="AX179" s="2082">
        <f t="shared" si="274"/>
        <v>4380</v>
      </c>
      <c r="AY179" s="2082">
        <f t="shared" si="274"/>
        <v>4380</v>
      </c>
      <c r="AZ179" s="2082">
        <f t="shared" si="274"/>
        <v>4380</v>
      </c>
      <c r="BA179" s="2082">
        <f t="shared" si="274"/>
        <v>4380</v>
      </c>
      <c r="BB179" s="2082">
        <f t="shared" si="274"/>
        <v>4380</v>
      </c>
      <c r="BC179" s="2082">
        <f t="shared" si="274"/>
        <v>4380</v>
      </c>
      <c r="BD179" s="2082">
        <f t="shared" si="274"/>
        <v>4380</v>
      </c>
      <c r="BE179" s="2082">
        <f t="shared" si="274"/>
        <v>4380</v>
      </c>
      <c r="BF179" s="2082">
        <f t="shared" si="274"/>
        <v>4380</v>
      </c>
      <c r="BG179" s="2082">
        <f t="shared" si="274"/>
        <v>4380</v>
      </c>
      <c r="BH179" s="2082">
        <f t="shared" si="274"/>
        <v>4380</v>
      </c>
      <c r="BI179" s="2082">
        <f t="shared" si="274"/>
        <v>4380</v>
      </c>
      <c r="BJ179" s="2082">
        <f t="shared" si="274"/>
        <v>4380</v>
      </c>
      <c r="BK179" s="2082">
        <f t="shared" si="274"/>
        <v>4380</v>
      </c>
      <c r="BL179" s="2082">
        <f t="shared" si="274"/>
        <v>4380</v>
      </c>
      <c r="BM179" s="2082">
        <f t="shared" si="274"/>
        <v>4380</v>
      </c>
      <c r="BN179" s="2082">
        <f t="shared" si="274"/>
        <v>4380</v>
      </c>
      <c r="BO179" s="2082">
        <f t="shared" si="274"/>
        <v>4380</v>
      </c>
      <c r="BP179" s="2082">
        <f t="shared" si="274"/>
        <v>4380</v>
      </c>
      <c r="BQ179" s="2082">
        <f t="shared" si="274"/>
        <v>4380</v>
      </c>
      <c r="BR179" s="2082">
        <f t="shared" si="274"/>
        <v>4380</v>
      </c>
      <c r="BS179" s="2082">
        <f t="shared" ref="BS179:ED179" si="275">12*365</f>
        <v>4380</v>
      </c>
      <c r="BT179" s="2082">
        <f t="shared" si="275"/>
        <v>4380</v>
      </c>
      <c r="BU179" s="2082">
        <f t="shared" si="275"/>
        <v>4380</v>
      </c>
      <c r="BV179" s="2082">
        <f t="shared" si="275"/>
        <v>4380</v>
      </c>
      <c r="BW179" s="2082">
        <f t="shared" si="275"/>
        <v>4380</v>
      </c>
      <c r="BX179" s="2082">
        <f t="shared" si="275"/>
        <v>4380</v>
      </c>
      <c r="BY179" s="2082">
        <f t="shared" si="275"/>
        <v>4380</v>
      </c>
      <c r="BZ179" s="2082">
        <f t="shared" si="275"/>
        <v>4380</v>
      </c>
      <c r="CA179" s="2082">
        <f t="shared" si="275"/>
        <v>4380</v>
      </c>
      <c r="CB179" s="2082">
        <f t="shared" si="275"/>
        <v>4380</v>
      </c>
      <c r="CC179" s="2082">
        <f t="shared" si="275"/>
        <v>4380</v>
      </c>
      <c r="CD179" s="2082">
        <f t="shared" si="275"/>
        <v>4380</v>
      </c>
      <c r="CE179" s="2082">
        <f t="shared" si="275"/>
        <v>4380</v>
      </c>
      <c r="CF179" s="2082">
        <f t="shared" si="275"/>
        <v>4380</v>
      </c>
      <c r="CG179" s="2082">
        <f t="shared" si="275"/>
        <v>4380</v>
      </c>
      <c r="CH179" s="2082">
        <f t="shared" si="275"/>
        <v>4380</v>
      </c>
      <c r="CI179" s="2082">
        <f t="shared" si="275"/>
        <v>4380</v>
      </c>
      <c r="CJ179" s="2082">
        <f t="shared" si="275"/>
        <v>4380</v>
      </c>
      <c r="CK179" s="2082">
        <f t="shared" si="275"/>
        <v>4380</v>
      </c>
      <c r="CL179" s="2082">
        <f t="shared" si="275"/>
        <v>4380</v>
      </c>
      <c r="CM179" s="2082">
        <f t="shared" si="275"/>
        <v>4380</v>
      </c>
      <c r="CN179" s="2082">
        <f t="shared" si="275"/>
        <v>4380</v>
      </c>
      <c r="CO179" s="2082">
        <f t="shared" si="275"/>
        <v>4380</v>
      </c>
      <c r="CP179" s="2082">
        <f t="shared" si="275"/>
        <v>4380</v>
      </c>
      <c r="CQ179" s="2082">
        <f t="shared" si="275"/>
        <v>4380</v>
      </c>
      <c r="CR179" s="2082">
        <f t="shared" si="275"/>
        <v>4380</v>
      </c>
      <c r="CS179" s="2082">
        <f t="shared" si="275"/>
        <v>4380</v>
      </c>
      <c r="CT179" s="2082">
        <f t="shared" si="275"/>
        <v>4380</v>
      </c>
      <c r="CU179" s="2082">
        <f t="shared" si="275"/>
        <v>4380</v>
      </c>
      <c r="CV179" s="2082">
        <f t="shared" si="275"/>
        <v>4380</v>
      </c>
      <c r="CW179" s="2082">
        <f t="shared" si="275"/>
        <v>4380</v>
      </c>
      <c r="CX179" s="2082">
        <f t="shared" si="275"/>
        <v>4380</v>
      </c>
      <c r="CY179" s="2082">
        <f t="shared" si="275"/>
        <v>4380</v>
      </c>
      <c r="CZ179" s="2082">
        <f t="shared" si="275"/>
        <v>4380</v>
      </c>
      <c r="DA179" s="2082">
        <f t="shared" si="275"/>
        <v>4380</v>
      </c>
      <c r="DB179" s="2082">
        <f t="shared" si="275"/>
        <v>4380</v>
      </c>
      <c r="DC179" s="2082">
        <f t="shared" si="275"/>
        <v>4380</v>
      </c>
      <c r="DD179" s="2082">
        <f t="shared" si="275"/>
        <v>4380</v>
      </c>
      <c r="DE179" s="2082">
        <f t="shared" si="275"/>
        <v>4380</v>
      </c>
      <c r="DF179" s="2082">
        <f t="shared" si="275"/>
        <v>4380</v>
      </c>
      <c r="DG179" s="2082">
        <f t="shared" si="275"/>
        <v>4380</v>
      </c>
      <c r="DH179" s="2082">
        <f t="shared" si="275"/>
        <v>4380</v>
      </c>
      <c r="DI179" s="2082">
        <f t="shared" si="275"/>
        <v>4380</v>
      </c>
      <c r="DJ179" s="2082">
        <f t="shared" si="275"/>
        <v>4380</v>
      </c>
      <c r="DK179" s="2082">
        <f t="shared" si="275"/>
        <v>4380</v>
      </c>
      <c r="DL179" s="2082">
        <f t="shared" si="275"/>
        <v>4380</v>
      </c>
      <c r="DM179" s="2082">
        <f t="shared" si="275"/>
        <v>4380</v>
      </c>
      <c r="DN179" s="2082">
        <f t="shared" si="275"/>
        <v>4380</v>
      </c>
      <c r="DO179" s="2082">
        <f t="shared" si="275"/>
        <v>4380</v>
      </c>
      <c r="DP179" s="2082">
        <f t="shared" si="275"/>
        <v>4380</v>
      </c>
      <c r="DQ179" s="2082">
        <f t="shared" si="275"/>
        <v>4380</v>
      </c>
      <c r="DR179" s="2082">
        <f t="shared" si="275"/>
        <v>4380</v>
      </c>
      <c r="DS179" s="2082">
        <f t="shared" si="275"/>
        <v>4380</v>
      </c>
      <c r="DT179" s="2082">
        <f t="shared" si="275"/>
        <v>4380</v>
      </c>
      <c r="DU179" s="2082">
        <f t="shared" si="275"/>
        <v>4380</v>
      </c>
      <c r="DV179" s="2082">
        <f t="shared" si="275"/>
        <v>4380</v>
      </c>
      <c r="DW179" s="2082">
        <f t="shared" si="275"/>
        <v>4380</v>
      </c>
      <c r="DX179" s="2082">
        <f t="shared" si="275"/>
        <v>4380</v>
      </c>
      <c r="DY179" s="2082">
        <f t="shared" si="275"/>
        <v>4380</v>
      </c>
      <c r="DZ179" s="2082">
        <f t="shared" si="275"/>
        <v>4380</v>
      </c>
      <c r="EA179" s="2082">
        <f t="shared" si="275"/>
        <v>4380</v>
      </c>
      <c r="EB179" s="2082">
        <f t="shared" si="275"/>
        <v>4380</v>
      </c>
      <c r="EC179" s="2082">
        <f t="shared" si="275"/>
        <v>4380</v>
      </c>
      <c r="ED179" s="2082">
        <f t="shared" si="275"/>
        <v>4380</v>
      </c>
      <c r="EE179" s="2082">
        <f t="shared" ref="EE179:GP179" si="276">12*365</f>
        <v>4380</v>
      </c>
      <c r="EF179" s="2082">
        <f t="shared" si="276"/>
        <v>4380</v>
      </c>
      <c r="EG179" s="2082">
        <f t="shared" si="276"/>
        <v>4380</v>
      </c>
      <c r="EH179" s="2082">
        <f t="shared" si="276"/>
        <v>4380</v>
      </c>
      <c r="EI179" s="2082">
        <f t="shared" si="276"/>
        <v>4380</v>
      </c>
      <c r="EJ179" s="2082">
        <f t="shared" si="276"/>
        <v>4380</v>
      </c>
      <c r="EK179" s="2082">
        <f t="shared" si="276"/>
        <v>4380</v>
      </c>
      <c r="EL179" s="2082">
        <f t="shared" si="276"/>
        <v>4380</v>
      </c>
      <c r="EM179" s="2082">
        <f t="shared" si="276"/>
        <v>4380</v>
      </c>
      <c r="EN179" s="2082">
        <f t="shared" si="276"/>
        <v>4380</v>
      </c>
      <c r="EO179" s="2082">
        <f t="shared" si="276"/>
        <v>4380</v>
      </c>
      <c r="EP179" s="2082">
        <f t="shared" si="276"/>
        <v>4380</v>
      </c>
      <c r="EQ179" s="2082">
        <f t="shared" si="276"/>
        <v>4380</v>
      </c>
      <c r="ER179" s="2082">
        <f t="shared" si="276"/>
        <v>4380</v>
      </c>
      <c r="ES179" s="2082">
        <f t="shared" si="276"/>
        <v>4380</v>
      </c>
      <c r="ET179" s="2082">
        <f t="shared" si="276"/>
        <v>4380</v>
      </c>
      <c r="EU179" s="2082">
        <f t="shared" si="276"/>
        <v>4380</v>
      </c>
      <c r="EV179" s="2082">
        <f t="shared" si="276"/>
        <v>4380</v>
      </c>
      <c r="EW179" s="2082">
        <f t="shared" si="276"/>
        <v>4380</v>
      </c>
      <c r="EX179" s="2082">
        <f t="shared" si="276"/>
        <v>4380</v>
      </c>
      <c r="EY179" s="2082">
        <f t="shared" si="276"/>
        <v>4380</v>
      </c>
      <c r="EZ179" s="2082">
        <f t="shared" si="276"/>
        <v>4380</v>
      </c>
      <c r="FA179" s="2082">
        <f t="shared" si="276"/>
        <v>4380</v>
      </c>
      <c r="FB179" s="2082">
        <f t="shared" si="276"/>
        <v>4380</v>
      </c>
      <c r="FC179" s="2082">
        <f t="shared" si="276"/>
        <v>4380</v>
      </c>
      <c r="FD179" s="2082">
        <f t="shared" si="276"/>
        <v>4380</v>
      </c>
      <c r="FE179" s="2082">
        <f t="shared" si="276"/>
        <v>4380</v>
      </c>
      <c r="FF179" s="2082">
        <f t="shared" si="276"/>
        <v>4380</v>
      </c>
      <c r="FG179" s="2082">
        <f t="shared" si="276"/>
        <v>4380</v>
      </c>
      <c r="FH179" s="2082">
        <f t="shared" si="276"/>
        <v>4380</v>
      </c>
      <c r="FI179" s="2082">
        <f t="shared" si="276"/>
        <v>4380</v>
      </c>
      <c r="FJ179" s="2082">
        <f t="shared" si="276"/>
        <v>4380</v>
      </c>
      <c r="FK179" s="2082">
        <f t="shared" si="276"/>
        <v>4380</v>
      </c>
      <c r="FL179" s="2082">
        <f t="shared" si="276"/>
        <v>4380</v>
      </c>
      <c r="FM179" s="2082">
        <f t="shared" si="276"/>
        <v>4380</v>
      </c>
      <c r="FN179" s="2082">
        <f t="shared" si="276"/>
        <v>4380</v>
      </c>
      <c r="FO179" s="2082">
        <f t="shared" si="276"/>
        <v>4380</v>
      </c>
      <c r="FP179" s="2082">
        <f t="shared" si="276"/>
        <v>4380</v>
      </c>
      <c r="FQ179" s="2082">
        <f t="shared" si="276"/>
        <v>4380</v>
      </c>
      <c r="FR179" s="2082">
        <f t="shared" si="276"/>
        <v>4380</v>
      </c>
      <c r="FS179" s="2082">
        <f t="shared" si="276"/>
        <v>4380</v>
      </c>
      <c r="FT179" s="2082">
        <f t="shared" si="276"/>
        <v>4380</v>
      </c>
      <c r="FU179" s="2082">
        <f t="shared" si="276"/>
        <v>4380</v>
      </c>
      <c r="FV179" s="2082">
        <f t="shared" si="276"/>
        <v>4380</v>
      </c>
      <c r="FW179" s="2082">
        <f t="shared" si="276"/>
        <v>4380</v>
      </c>
      <c r="FX179" s="2082">
        <f t="shared" si="276"/>
        <v>4380</v>
      </c>
      <c r="FY179" s="2082">
        <f t="shared" si="276"/>
        <v>4380</v>
      </c>
      <c r="FZ179" s="2082">
        <f t="shared" si="276"/>
        <v>4380</v>
      </c>
      <c r="GA179" s="2082">
        <f t="shared" si="276"/>
        <v>4380</v>
      </c>
      <c r="GB179" s="2082">
        <f t="shared" si="276"/>
        <v>4380</v>
      </c>
      <c r="GC179" s="2082">
        <f t="shared" si="276"/>
        <v>4380</v>
      </c>
      <c r="GD179" s="2082">
        <f t="shared" si="276"/>
        <v>4380</v>
      </c>
      <c r="GE179" s="2082">
        <f t="shared" si="276"/>
        <v>4380</v>
      </c>
      <c r="GF179" s="2082">
        <f t="shared" si="276"/>
        <v>4380</v>
      </c>
      <c r="GG179" s="2082">
        <f t="shared" si="276"/>
        <v>4380</v>
      </c>
      <c r="GH179" s="2082">
        <f t="shared" si="276"/>
        <v>4380</v>
      </c>
      <c r="GI179" s="2082">
        <f t="shared" si="276"/>
        <v>4380</v>
      </c>
      <c r="GJ179" s="2082">
        <f t="shared" si="276"/>
        <v>4380</v>
      </c>
      <c r="GK179" s="2082">
        <f t="shared" si="276"/>
        <v>4380</v>
      </c>
      <c r="GL179" s="2082">
        <f t="shared" si="276"/>
        <v>4380</v>
      </c>
      <c r="GM179" s="2082">
        <f t="shared" si="276"/>
        <v>4380</v>
      </c>
      <c r="GN179" s="2082">
        <f t="shared" si="276"/>
        <v>4380</v>
      </c>
      <c r="GO179" s="2082">
        <f t="shared" si="276"/>
        <v>4380</v>
      </c>
      <c r="GP179" s="2082">
        <f t="shared" si="276"/>
        <v>4380</v>
      </c>
      <c r="GQ179" s="2082">
        <f t="shared" ref="GQ179:JB179" si="277">12*365</f>
        <v>4380</v>
      </c>
      <c r="GR179" s="2082">
        <f t="shared" si="277"/>
        <v>4380</v>
      </c>
      <c r="GS179" s="2082">
        <f t="shared" si="277"/>
        <v>4380</v>
      </c>
      <c r="GT179" s="2082">
        <f t="shared" si="277"/>
        <v>4380</v>
      </c>
      <c r="GU179" s="2082">
        <f t="shared" si="277"/>
        <v>4380</v>
      </c>
      <c r="GV179" s="2082">
        <f t="shared" si="277"/>
        <v>4380</v>
      </c>
      <c r="GW179" s="2082">
        <f t="shared" si="277"/>
        <v>4380</v>
      </c>
      <c r="GX179" s="2082">
        <f t="shared" si="277"/>
        <v>4380</v>
      </c>
      <c r="GY179" s="2082">
        <f t="shared" si="277"/>
        <v>4380</v>
      </c>
      <c r="GZ179" s="2082">
        <f t="shared" si="277"/>
        <v>4380</v>
      </c>
      <c r="HA179" s="2082">
        <f t="shared" si="277"/>
        <v>4380</v>
      </c>
      <c r="HB179" s="2082">
        <f t="shared" si="277"/>
        <v>4380</v>
      </c>
      <c r="HC179" s="2082">
        <f t="shared" si="277"/>
        <v>4380</v>
      </c>
      <c r="HD179" s="2082">
        <f t="shared" si="277"/>
        <v>4380</v>
      </c>
      <c r="HE179" s="2082">
        <f t="shared" si="277"/>
        <v>4380</v>
      </c>
      <c r="HF179" s="2082">
        <f t="shared" si="277"/>
        <v>4380</v>
      </c>
      <c r="HG179" s="2082">
        <f t="shared" si="277"/>
        <v>4380</v>
      </c>
      <c r="HH179" s="2082">
        <f t="shared" si="277"/>
        <v>4380</v>
      </c>
      <c r="HI179" s="2082">
        <f t="shared" si="277"/>
        <v>4380</v>
      </c>
      <c r="HJ179" s="2082">
        <f t="shared" si="277"/>
        <v>4380</v>
      </c>
      <c r="HK179" s="2082">
        <f t="shared" si="277"/>
        <v>4380</v>
      </c>
      <c r="HL179" s="2082">
        <f t="shared" si="277"/>
        <v>4380</v>
      </c>
      <c r="HM179" s="2082">
        <f t="shared" si="277"/>
        <v>4380</v>
      </c>
      <c r="HN179" s="2082">
        <f t="shared" si="277"/>
        <v>4380</v>
      </c>
      <c r="HO179" s="2082">
        <f t="shared" si="277"/>
        <v>4380</v>
      </c>
      <c r="HP179" s="2082">
        <f t="shared" si="277"/>
        <v>4380</v>
      </c>
      <c r="HQ179" s="2082">
        <f t="shared" si="277"/>
        <v>4380</v>
      </c>
      <c r="HR179" s="2082">
        <f t="shared" si="277"/>
        <v>4380</v>
      </c>
      <c r="HS179" s="2082">
        <f t="shared" si="277"/>
        <v>4380</v>
      </c>
      <c r="HT179" s="2082">
        <f t="shared" si="277"/>
        <v>4380</v>
      </c>
      <c r="HU179" s="2082">
        <f t="shared" si="277"/>
        <v>4380</v>
      </c>
      <c r="HV179" s="2082">
        <f t="shared" si="277"/>
        <v>4380</v>
      </c>
      <c r="HW179" s="2082">
        <f t="shared" si="277"/>
        <v>4380</v>
      </c>
      <c r="HX179" s="2082">
        <f t="shared" si="277"/>
        <v>4380</v>
      </c>
      <c r="HY179" s="2082">
        <f t="shared" si="277"/>
        <v>4380</v>
      </c>
      <c r="HZ179" s="2082">
        <f t="shared" si="277"/>
        <v>4380</v>
      </c>
      <c r="IA179" s="2082">
        <f t="shared" si="277"/>
        <v>4380</v>
      </c>
      <c r="IB179" s="2082">
        <f t="shared" si="277"/>
        <v>4380</v>
      </c>
      <c r="IC179" s="2082">
        <f t="shared" si="277"/>
        <v>4380</v>
      </c>
      <c r="ID179" s="2082">
        <f t="shared" si="277"/>
        <v>4380</v>
      </c>
      <c r="IE179" s="2082">
        <f t="shared" si="277"/>
        <v>4380</v>
      </c>
      <c r="IF179" s="2082">
        <f t="shared" si="277"/>
        <v>4380</v>
      </c>
      <c r="IG179" s="2082">
        <f t="shared" si="277"/>
        <v>4380</v>
      </c>
      <c r="IH179" s="2082">
        <f t="shared" si="277"/>
        <v>4380</v>
      </c>
      <c r="II179" s="2082">
        <f t="shared" si="277"/>
        <v>4380</v>
      </c>
      <c r="IJ179" s="2082">
        <f t="shared" si="277"/>
        <v>4380</v>
      </c>
      <c r="IK179" s="2082">
        <f t="shared" si="277"/>
        <v>4380</v>
      </c>
      <c r="IL179" s="2082">
        <f t="shared" si="277"/>
        <v>4380</v>
      </c>
      <c r="IM179" s="2082">
        <f t="shared" si="277"/>
        <v>4380</v>
      </c>
      <c r="IN179" s="2082">
        <f t="shared" si="277"/>
        <v>4380</v>
      </c>
      <c r="IO179" s="2082">
        <f t="shared" si="277"/>
        <v>4380</v>
      </c>
      <c r="IP179" s="2082">
        <f t="shared" si="277"/>
        <v>4380</v>
      </c>
      <c r="IQ179" s="2082">
        <f t="shared" si="277"/>
        <v>4380</v>
      </c>
      <c r="IR179" s="2082">
        <f t="shared" si="277"/>
        <v>4380</v>
      </c>
      <c r="IS179" s="2082">
        <f t="shared" si="277"/>
        <v>4380</v>
      </c>
      <c r="IT179" s="2082">
        <f t="shared" si="277"/>
        <v>4380</v>
      </c>
      <c r="IU179" s="2082">
        <f t="shared" si="277"/>
        <v>4380</v>
      </c>
      <c r="IV179" s="2082">
        <f t="shared" si="277"/>
        <v>4380</v>
      </c>
      <c r="IW179" s="2082">
        <f t="shared" si="277"/>
        <v>4380</v>
      </c>
      <c r="IX179" s="2082">
        <f t="shared" si="277"/>
        <v>4380</v>
      </c>
      <c r="IY179" s="2082">
        <f t="shared" si="277"/>
        <v>4380</v>
      </c>
      <c r="IZ179" s="2082">
        <f t="shared" si="277"/>
        <v>4380</v>
      </c>
      <c r="JA179" s="2082">
        <f t="shared" si="277"/>
        <v>4380</v>
      </c>
      <c r="JB179" s="2082">
        <f t="shared" si="277"/>
        <v>4380</v>
      </c>
      <c r="JC179" s="2082">
        <f t="shared" ref="JC179:LN179" si="278">12*365</f>
        <v>4380</v>
      </c>
      <c r="JD179" s="2082">
        <f t="shared" si="278"/>
        <v>4380</v>
      </c>
      <c r="JE179" s="2082">
        <f t="shared" si="278"/>
        <v>4380</v>
      </c>
      <c r="JF179" s="2082">
        <f t="shared" si="278"/>
        <v>4380</v>
      </c>
      <c r="JG179" s="2082">
        <f t="shared" si="278"/>
        <v>4380</v>
      </c>
      <c r="JH179" s="2082">
        <f t="shared" si="278"/>
        <v>4380</v>
      </c>
      <c r="JI179" s="2082">
        <f t="shared" si="278"/>
        <v>4380</v>
      </c>
      <c r="JJ179" s="2082">
        <f t="shared" si="278"/>
        <v>4380</v>
      </c>
      <c r="JK179" s="2082">
        <f t="shared" si="278"/>
        <v>4380</v>
      </c>
      <c r="JL179" s="2082">
        <f t="shared" si="278"/>
        <v>4380</v>
      </c>
      <c r="JM179" s="2082">
        <f t="shared" si="278"/>
        <v>4380</v>
      </c>
      <c r="JN179" s="2082">
        <f t="shared" si="278"/>
        <v>4380</v>
      </c>
      <c r="JO179" s="2082">
        <f t="shared" si="278"/>
        <v>4380</v>
      </c>
      <c r="JP179" s="2082">
        <f t="shared" si="278"/>
        <v>4380</v>
      </c>
      <c r="JQ179" s="2082">
        <f t="shared" si="278"/>
        <v>4380</v>
      </c>
      <c r="JR179" s="2082">
        <f t="shared" si="278"/>
        <v>4380</v>
      </c>
      <c r="JS179" s="2082">
        <f t="shared" si="278"/>
        <v>4380</v>
      </c>
      <c r="JT179" s="2082">
        <f t="shared" si="278"/>
        <v>4380</v>
      </c>
      <c r="JU179" s="2082">
        <f t="shared" si="278"/>
        <v>4380</v>
      </c>
      <c r="JV179" s="2082">
        <f t="shared" si="278"/>
        <v>4380</v>
      </c>
      <c r="JW179" s="2082">
        <f t="shared" si="278"/>
        <v>4380</v>
      </c>
      <c r="JX179" s="2082">
        <f t="shared" si="278"/>
        <v>4380</v>
      </c>
      <c r="JY179" s="2082">
        <f t="shared" si="278"/>
        <v>4380</v>
      </c>
      <c r="JZ179" s="2082">
        <f t="shared" si="278"/>
        <v>4380</v>
      </c>
      <c r="KA179" s="2082">
        <f t="shared" si="278"/>
        <v>4380</v>
      </c>
      <c r="KB179" s="2082">
        <f t="shared" si="278"/>
        <v>4380</v>
      </c>
      <c r="KC179" s="2082">
        <f t="shared" si="278"/>
        <v>4380</v>
      </c>
      <c r="KD179" s="2082">
        <f t="shared" si="278"/>
        <v>4380</v>
      </c>
      <c r="KE179" s="2082">
        <f t="shared" si="278"/>
        <v>4380</v>
      </c>
      <c r="KF179" s="2082">
        <f t="shared" si="278"/>
        <v>4380</v>
      </c>
      <c r="KG179" s="2082">
        <f t="shared" si="278"/>
        <v>4380</v>
      </c>
      <c r="KH179" s="2082">
        <f t="shared" si="278"/>
        <v>4380</v>
      </c>
      <c r="KI179" s="2082">
        <f t="shared" si="278"/>
        <v>4380</v>
      </c>
      <c r="KJ179" s="2082">
        <f t="shared" si="278"/>
        <v>4380</v>
      </c>
      <c r="KK179" s="2082">
        <f t="shared" si="278"/>
        <v>4380</v>
      </c>
      <c r="KL179" s="2082">
        <f t="shared" si="278"/>
        <v>4380</v>
      </c>
      <c r="KM179" s="2082">
        <f t="shared" si="278"/>
        <v>4380</v>
      </c>
      <c r="KN179" s="2082">
        <f t="shared" si="278"/>
        <v>4380</v>
      </c>
      <c r="KO179" s="2082">
        <f t="shared" si="278"/>
        <v>4380</v>
      </c>
      <c r="KP179" s="2082">
        <f t="shared" si="278"/>
        <v>4380</v>
      </c>
      <c r="KQ179" s="2082">
        <f t="shared" si="278"/>
        <v>4380</v>
      </c>
      <c r="KR179" s="2082">
        <f t="shared" si="278"/>
        <v>4380</v>
      </c>
      <c r="KS179" s="2082">
        <f t="shared" si="278"/>
        <v>4380</v>
      </c>
      <c r="KT179" s="2082">
        <f t="shared" si="278"/>
        <v>4380</v>
      </c>
      <c r="KU179" s="2082">
        <f t="shared" si="278"/>
        <v>4380</v>
      </c>
      <c r="KV179" s="2082">
        <f t="shared" si="278"/>
        <v>4380</v>
      </c>
      <c r="KW179" s="2082">
        <f t="shared" si="278"/>
        <v>4380</v>
      </c>
      <c r="KX179" s="2082">
        <f t="shared" si="278"/>
        <v>4380</v>
      </c>
      <c r="KY179" s="2082">
        <f t="shared" si="278"/>
        <v>4380</v>
      </c>
      <c r="KZ179" s="2082">
        <f t="shared" si="278"/>
        <v>4380</v>
      </c>
      <c r="LA179" s="2082">
        <f t="shared" si="278"/>
        <v>4380</v>
      </c>
      <c r="LB179" s="2082">
        <f t="shared" si="278"/>
        <v>4380</v>
      </c>
      <c r="LC179" s="2082">
        <f t="shared" si="278"/>
        <v>4380</v>
      </c>
      <c r="LD179" s="2082">
        <f t="shared" si="278"/>
        <v>4380</v>
      </c>
      <c r="LE179" s="2082">
        <f t="shared" si="278"/>
        <v>4380</v>
      </c>
      <c r="LF179" s="2082">
        <f t="shared" si="278"/>
        <v>4380</v>
      </c>
      <c r="LG179" s="2082">
        <f t="shared" si="278"/>
        <v>4380</v>
      </c>
      <c r="LH179" s="2082">
        <f t="shared" si="278"/>
        <v>4380</v>
      </c>
      <c r="LI179" s="2082">
        <f t="shared" si="278"/>
        <v>4380</v>
      </c>
      <c r="LJ179" s="2082">
        <f t="shared" si="278"/>
        <v>4380</v>
      </c>
      <c r="LK179" s="2082">
        <f t="shared" si="278"/>
        <v>4380</v>
      </c>
      <c r="LL179" s="2082">
        <f t="shared" si="278"/>
        <v>4380</v>
      </c>
      <c r="LM179" s="2082">
        <f t="shared" si="278"/>
        <v>4380</v>
      </c>
      <c r="LN179" s="2082">
        <f t="shared" si="278"/>
        <v>4380</v>
      </c>
      <c r="LO179" s="2082">
        <f t="shared" ref="LO179:NZ179" si="279">12*365</f>
        <v>4380</v>
      </c>
      <c r="LP179" s="2082">
        <f t="shared" si="279"/>
        <v>4380</v>
      </c>
      <c r="LQ179" s="2082">
        <f t="shared" si="279"/>
        <v>4380</v>
      </c>
      <c r="LR179" s="2082">
        <f t="shared" si="279"/>
        <v>4380</v>
      </c>
      <c r="LS179" s="2082">
        <f t="shared" si="279"/>
        <v>4380</v>
      </c>
      <c r="LT179" s="2082">
        <f t="shared" si="279"/>
        <v>4380</v>
      </c>
      <c r="LU179" s="2082">
        <f t="shared" si="279"/>
        <v>4380</v>
      </c>
      <c r="LV179" s="2082">
        <f t="shared" si="279"/>
        <v>4380</v>
      </c>
      <c r="LW179" s="2082">
        <f t="shared" si="279"/>
        <v>4380</v>
      </c>
      <c r="LX179" s="2082">
        <f t="shared" si="279"/>
        <v>4380</v>
      </c>
      <c r="LY179" s="2082">
        <f t="shared" si="279"/>
        <v>4380</v>
      </c>
      <c r="LZ179" s="2082">
        <f t="shared" si="279"/>
        <v>4380</v>
      </c>
      <c r="MA179" s="2082">
        <f t="shared" si="279"/>
        <v>4380</v>
      </c>
      <c r="MB179" s="2082">
        <f t="shared" si="279"/>
        <v>4380</v>
      </c>
      <c r="MC179" s="2082">
        <f t="shared" si="279"/>
        <v>4380</v>
      </c>
      <c r="MD179" s="2082">
        <f t="shared" si="279"/>
        <v>4380</v>
      </c>
      <c r="ME179" s="2082">
        <f t="shared" si="279"/>
        <v>4380</v>
      </c>
      <c r="MF179" s="2082">
        <f t="shared" si="279"/>
        <v>4380</v>
      </c>
      <c r="MG179" s="2082">
        <f t="shared" si="279"/>
        <v>4380</v>
      </c>
      <c r="MH179" s="2082">
        <f t="shared" si="279"/>
        <v>4380</v>
      </c>
      <c r="MI179" s="2082">
        <f t="shared" si="279"/>
        <v>4380</v>
      </c>
      <c r="MJ179" s="2082">
        <f t="shared" si="279"/>
        <v>4380</v>
      </c>
      <c r="MK179" s="2082">
        <f t="shared" si="279"/>
        <v>4380</v>
      </c>
      <c r="ML179" s="2082">
        <f t="shared" si="279"/>
        <v>4380</v>
      </c>
      <c r="MM179" s="2082">
        <f t="shared" si="279"/>
        <v>4380</v>
      </c>
      <c r="MN179" s="2082">
        <f t="shared" si="279"/>
        <v>4380</v>
      </c>
      <c r="MO179" s="2082">
        <f t="shared" si="279"/>
        <v>4380</v>
      </c>
      <c r="MP179" s="2082">
        <f t="shared" si="279"/>
        <v>4380</v>
      </c>
      <c r="MQ179" s="2082">
        <f t="shared" si="279"/>
        <v>4380</v>
      </c>
      <c r="MR179" s="2082">
        <f t="shared" si="279"/>
        <v>4380</v>
      </c>
      <c r="MS179" s="2082">
        <f t="shared" si="279"/>
        <v>4380</v>
      </c>
      <c r="MT179" s="2082">
        <f t="shared" si="279"/>
        <v>4380</v>
      </c>
      <c r="MU179" s="2082">
        <f t="shared" si="279"/>
        <v>4380</v>
      </c>
      <c r="MV179" s="2082">
        <f t="shared" si="279"/>
        <v>4380</v>
      </c>
      <c r="MW179" s="2082">
        <f t="shared" si="279"/>
        <v>4380</v>
      </c>
      <c r="MX179" s="2082">
        <f t="shared" si="279"/>
        <v>4380</v>
      </c>
      <c r="MY179" s="2082">
        <f t="shared" si="279"/>
        <v>4380</v>
      </c>
      <c r="MZ179" s="2082">
        <f t="shared" si="279"/>
        <v>4380</v>
      </c>
      <c r="NA179" s="2082">
        <f t="shared" si="279"/>
        <v>4380</v>
      </c>
      <c r="NB179" s="2082">
        <f t="shared" si="279"/>
        <v>4380</v>
      </c>
      <c r="NC179" s="2082">
        <f t="shared" si="279"/>
        <v>4380</v>
      </c>
      <c r="ND179" s="2082">
        <f t="shared" si="279"/>
        <v>4380</v>
      </c>
      <c r="NE179" s="2082">
        <f t="shared" si="279"/>
        <v>4380</v>
      </c>
      <c r="NF179" s="2082">
        <f t="shared" si="279"/>
        <v>4380</v>
      </c>
      <c r="NG179" s="2082">
        <f t="shared" si="279"/>
        <v>4380</v>
      </c>
      <c r="NH179" s="2082">
        <f t="shared" si="279"/>
        <v>4380</v>
      </c>
      <c r="NI179" s="2082">
        <f t="shared" si="279"/>
        <v>4380</v>
      </c>
      <c r="NJ179" s="2082">
        <f t="shared" si="279"/>
        <v>4380</v>
      </c>
      <c r="NK179" s="2082">
        <f t="shared" si="279"/>
        <v>4380</v>
      </c>
      <c r="NL179" s="2082">
        <f t="shared" si="279"/>
        <v>4380</v>
      </c>
      <c r="NM179" s="2082">
        <f t="shared" si="279"/>
        <v>4380</v>
      </c>
      <c r="NN179" s="2082">
        <f t="shared" si="279"/>
        <v>4380</v>
      </c>
      <c r="NO179" s="2082">
        <f t="shared" si="279"/>
        <v>4380</v>
      </c>
      <c r="NP179" s="2082">
        <f t="shared" si="279"/>
        <v>4380</v>
      </c>
      <c r="NQ179" s="2082">
        <f t="shared" si="279"/>
        <v>4380</v>
      </c>
      <c r="NR179" s="2082">
        <f t="shared" si="279"/>
        <v>4380</v>
      </c>
      <c r="NS179" s="2082">
        <f t="shared" si="279"/>
        <v>4380</v>
      </c>
      <c r="NT179" s="2082">
        <f t="shared" si="279"/>
        <v>4380</v>
      </c>
      <c r="NU179" s="2082">
        <f t="shared" si="279"/>
        <v>4380</v>
      </c>
      <c r="NV179" s="2082">
        <f t="shared" si="279"/>
        <v>4380</v>
      </c>
      <c r="NW179" s="2082">
        <f t="shared" si="279"/>
        <v>4380</v>
      </c>
      <c r="NX179" s="2082">
        <f t="shared" si="279"/>
        <v>4380</v>
      </c>
      <c r="NY179" s="2082">
        <f t="shared" si="279"/>
        <v>4380</v>
      </c>
      <c r="NZ179" s="2082">
        <f t="shared" si="279"/>
        <v>4380</v>
      </c>
      <c r="OA179" s="2082">
        <f t="shared" ref="OA179:QL179" si="280">12*365</f>
        <v>4380</v>
      </c>
      <c r="OB179" s="2082">
        <f t="shared" si="280"/>
        <v>4380</v>
      </c>
      <c r="OC179" s="2082">
        <f t="shared" si="280"/>
        <v>4380</v>
      </c>
      <c r="OD179" s="2082">
        <f t="shared" si="280"/>
        <v>4380</v>
      </c>
      <c r="OE179" s="2082">
        <f t="shared" si="280"/>
        <v>4380</v>
      </c>
      <c r="OF179" s="2082">
        <f t="shared" si="280"/>
        <v>4380</v>
      </c>
      <c r="OG179" s="2082">
        <f t="shared" si="280"/>
        <v>4380</v>
      </c>
      <c r="OH179" s="2082">
        <f t="shared" si="280"/>
        <v>4380</v>
      </c>
      <c r="OI179" s="2082">
        <f t="shared" si="280"/>
        <v>4380</v>
      </c>
      <c r="OJ179" s="2082">
        <f t="shared" si="280"/>
        <v>4380</v>
      </c>
      <c r="OK179" s="2082">
        <f t="shared" si="280"/>
        <v>4380</v>
      </c>
      <c r="OL179" s="2082">
        <f t="shared" si="280"/>
        <v>4380</v>
      </c>
      <c r="OM179" s="2082">
        <f t="shared" si="280"/>
        <v>4380</v>
      </c>
      <c r="ON179" s="2082">
        <f t="shared" si="280"/>
        <v>4380</v>
      </c>
      <c r="OO179" s="2082">
        <f t="shared" si="280"/>
        <v>4380</v>
      </c>
      <c r="OP179" s="2082">
        <f t="shared" si="280"/>
        <v>4380</v>
      </c>
      <c r="OQ179" s="2082">
        <f t="shared" si="280"/>
        <v>4380</v>
      </c>
      <c r="OR179" s="2082">
        <f t="shared" si="280"/>
        <v>4380</v>
      </c>
      <c r="OS179" s="2082">
        <f t="shared" si="280"/>
        <v>4380</v>
      </c>
      <c r="OT179" s="2082">
        <f t="shared" si="280"/>
        <v>4380</v>
      </c>
      <c r="OU179" s="2082">
        <f t="shared" si="280"/>
        <v>4380</v>
      </c>
      <c r="OV179" s="2082">
        <f t="shared" si="280"/>
        <v>4380</v>
      </c>
      <c r="OW179" s="2082">
        <f t="shared" si="280"/>
        <v>4380</v>
      </c>
      <c r="OX179" s="2082">
        <f t="shared" si="280"/>
        <v>4380</v>
      </c>
      <c r="OY179" s="2082">
        <f t="shared" si="280"/>
        <v>4380</v>
      </c>
      <c r="OZ179" s="2082">
        <f t="shared" si="280"/>
        <v>4380</v>
      </c>
      <c r="PA179" s="2082">
        <f t="shared" si="280"/>
        <v>4380</v>
      </c>
      <c r="PB179" s="2082">
        <f t="shared" si="280"/>
        <v>4380</v>
      </c>
      <c r="PC179" s="2082">
        <f t="shared" si="280"/>
        <v>4380</v>
      </c>
      <c r="PD179" s="2082">
        <f t="shared" si="280"/>
        <v>4380</v>
      </c>
      <c r="PE179" s="2082">
        <f t="shared" si="280"/>
        <v>4380</v>
      </c>
      <c r="PF179" s="2082">
        <f t="shared" si="280"/>
        <v>4380</v>
      </c>
      <c r="PG179" s="2082">
        <f t="shared" si="280"/>
        <v>4380</v>
      </c>
      <c r="PH179" s="2082">
        <f t="shared" si="280"/>
        <v>4380</v>
      </c>
      <c r="PI179" s="2082">
        <f t="shared" si="280"/>
        <v>4380</v>
      </c>
      <c r="PJ179" s="2082">
        <f t="shared" si="280"/>
        <v>4380</v>
      </c>
      <c r="PK179" s="2082">
        <f t="shared" si="280"/>
        <v>4380</v>
      </c>
      <c r="PL179" s="2082">
        <f t="shared" si="280"/>
        <v>4380</v>
      </c>
      <c r="PM179" s="2082">
        <f t="shared" si="280"/>
        <v>4380</v>
      </c>
      <c r="PN179" s="2082">
        <f t="shared" si="280"/>
        <v>4380</v>
      </c>
      <c r="PO179" s="2082">
        <f t="shared" si="280"/>
        <v>4380</v>
      </c>
      <c r="PP179" s="2082">
        <f t="shared" si="280"/>
        <v>4380</v>
      </c>
      <c r="PQ179" s="2082">
        <f t="shared" si="280"/>
        <v>4380</v>
      </c>
      <c r="PR179" s="2082">
        <f t="shared" si="280"/>
        <v>4380</v>
      </c>
      <c r="PS179" s="2082">
        <f t="shared" si="280"/>
        <v>4380</v>
      </c>
      <c r="PT179" s="2082">
        <f t="shared" si="280"/>
        <v>4380</v>
      </c>
      <c r="PU179" s="2082">
        <f t="shared" si="280"/>
        <v>4380</v>
      </c>
      <c r="PV179" s="2082">
        <f t="shared" si="280"/>
        <v>4380</v>
      </c>
      <c r="PW179" s="2082">
        <f t="shared" si="280"/>
        <v>4380</v>
      </c>
      <c r="PX179" s="2082">
        <f t="shared" si="280"/>
        <v>4380</v>
      </c>
      <c r="PY179" s="2082">
        <f t="shared" si="280"/>
        <v>4380</v>
      </c>
      <c r="PZ179" s="2082">
        <f t="shared" si="280"/>
        <v>4380</v>
      </c>
      <c r="QA179" s="2082">
        <f t="shared" si="280"/>
        <v>4380</v>
      </c>
      <c r="QB179" s="2082">
        <f t="shared" si="280"/>
        <v>4380</v>
      </c>
      <c r="QC179" s="2082">
        <f t="shared" si="280"/>
        <v>4380</v>
      </c>
      <c r="QD179" s="2082">
        <f t="shared" si="280"/>
        <v>4380</v>
      </c>
      <c r="QE179" s="2082">
        <f t="shared" si="280"/>
        <v>4380</v>
      </c>
      <c r="QF179" s="2082">
        <f t="shared" si="280"/>
        <v>4380</v>
      </c>
      <c r="QG179" s="2082">
        <f t="shared" si="280"/>
        <v>4380</v>
      </c>
      <c r="QH179" s="2082">
        <f t="shared" si="280"/>
        <v>4380</v>
      </c>
      <c r="QI179" s="2082">
        <f t="shared" si="280"/>
        <v>4380</v>
      </c>
      <c r="QJ179" s="2082">
        <f t="shared" si="280"/>
        <v>4380</v>
      </c>
      <c r="QK179" s="2082">
        <f t="shared" si="280"/>
        <v>4380</v>
      </c>
      <c r="QL179" s="2082">
        <f t="shared" si="280"/>
        <v>4380</v>
      </c>
      <c r="QM179" s="2082">
        <f t="shared" ref="QM179:SX179" si="281">12*365</f>
        <v>4380</v>
      </c>
      <c r="QN179" s="2082">
        <f t="shared" si="281"/>
        <v>4380</v>
      </c>
      <c r="QO179" s="2082">
        <f t="shared" si="281"/>
        <v>4380</v>
      </c>
      <c r="QP179" s="2082">
        <f t="shared" si="281"/>
        <v>4380</v>
      </c>
      <c r="QQ179" s="2082">
        <f t="shared" si="281"/>
        <v>4380</v>
      </c>
      <c r="QR179" s="2082">
        <f t="shared" si="281"/>
        <v>4380</v>
      </c>
      <c r="QS179" s="2082">
        <f t="shared" si="281"/>
        <v>4380</v>
      </c>
      <c r="QT179" s="2082">
        <f t="shared" si="281"/>
        <v>4380</v>
      </c>
      <c r="QU179" s="2082">
        <f t="shared" si="281"/>
        <v>4380</v>
      </c>
      <c r="QV179" s="2082">
        <f t="shared" si="281"/>
        <v>4380</v>
      </c>
      <c r="QW179" s="2082">
        <f t="shared" si="281"/>
        <v>4380</v>
      </c>
      <c r="QX179" s="2082">
        <f t="shared" si="281"/>
        <v>4380</v>
      </c>
      <c r="QY179" s="2082">
        <f t="shared" si="281"/>
        <v>4380</v>
      </c>
      <c r="QZ179" s="2082">
        <f t="shared" si="281"/>
        <v>4380</v>
      </c>
      <c r="RA179" s="2082">
        <f t="shared" si="281"/>
        <v>4380</v>
      </c>
      <c r="RB179" s="2082">
        <f t="shared" si="281"/>
        <v>4380</v>
      </c>
      <c r="RC179" s="2082">
        <f t="shared" si="281"/>
        <v>4380</v>
      </c>
      <c r="RD179" s="2082">
        <f t="shared" si="281"/>
        <v>4380</v>
      </c>
      <c r="RE179" s="2082">
        <f t="shared" si="281"/>
        <v>4380</v>
      </c>
      <c r="RF179" s="2082">
        <f t="shared" si="281"/>
        <v>4380</v>
      </c>
      <c r="RG179" s="2082">
        <f t="shared" si="281"/>
        <v>4380</v>
      </c>
      <c r="RH179" s="2082">
        <f t="shared" si="281"/>
        <v>4380</v>
      </c>
      <c r="RI179" s="2082">
        <f t="shared" si="281"/>
        <v>4380</v>
      </c>
      <c r="RJ179" s="2082">
        <f t="shared" si="281"/>
        <v>4380</v>
      </c>
      <c r="RK179" s="2082">
        <f t="shared" si="281"/>
        <v>4380</v>
      </c>
      <c r="RL179" s="2082">
        <f t="shared" si="281"/>
        <v>4380</v>
      </c>
      <c r="RM179" s="2082">
        <f t="shared" si="281"/>
        <v>4380</v>
      </c>
      <c r="RN179" s="2082">
        <f t="shared" si="281"/>
        <v>4380</v>
      </c>
      <c r="RO179" s="2082">
        <f t="shared" si="281"/>
        <v>4380</v>
      </c>
      <c r="RP179" s="2082">
        <f t="shared" si="281"/>
        <v>4380</v>
      </c>
      <c r="RQ179" s="2082">
        <f t="shared" si="281"/>
        <v>4380</v>
      </c>
      <c r="RR179" s="2082">
        <f t="shared" si="281"/>
        <v>4380</v>
      </c>
      <c r="RS179" s="2082">
        <f t="shared" si="281"/>
        <v>4380</v>
      </c>
      <c r="RT179" s="2082">
        <f t="shared" si="281"/>
        <v>4380</v>
      </c>
      <c r="RU179" s="2082">
        <f t="shared" si="281"/>
        <v>4380</v>
      </c>
      <c r="RV179" s="2082">
        <f t="shared" si="281"/>
        <v>4380</v>
      </c>
      <c r="RW179" s="2082">
        <f t="shared" si="281"/>
        <v>4380</v>
      </c>
      <c r="RX179" s="2082">
        <f t="shared" si="281"/>
        <v>4380</v>
      </c>
      <c r="RY179" s="2082">
        <f t="shared" si="281"/>
        <v>4380</v>
      </c>
      <c r="RZ179" s="2082">
        <f t="shared" si="281"/>
        <v>4380</v>
      </c>
      <c r="SA179" s="2082">
        <f t="shared" si="281"/>
        <v>4380</v>
      </c>
      <c r="SB179" s="2082">
        <f t="shared" si="281"/>
        <v>4380</v>
      </c>
      <c r="SC179" s="2082">
        <f t="shared" si="281"/>
        <v>4380</v>
      </c>
      <c r="SD179" s="2082">
        <f t="shared" si="281"/>
        <v>4380</v>
      </c>
      <c r="SE179" s="2082">
        <f t="shared" si="281"/>
        <v>4380</v>
      </c>
      <c r="SF179" s="2082">
        <f t="shared" si="281"/>
        <v>4380</v>
      </c>
      <c r="SG179" s="2082">
        <f t="shared" si="281"/>
        <v>4380</v>
      </c>
      <c r="SH179" s="2082">
        <f t="shared" si="281"/>
        <v>4380</v>
      </c>
      <c r="SI179" s="2082">
        <f t="shared" si="281"/>
        <v>4380</v>
      </c>
      <c r="SJ179" s="2082">
        <f t="shared" si="281"/>
        <v>4380</v>
      </c>
      <c r="SK179" s="2082">
        <f t="shared" si="281"/>
        <v>4380</v>
      </c>
      <c r="SL179" s="2082">
        <f t="shared" si="281"/>
        <v>4380</v>
      </c>
      <c r="SM179" s="2082">
        <f t="shared" si="281"/>
        <v>4380</v>
      </c>
      <c r="SN179" s="2082">
        <f t="shared" si="281"/>
        <v>4380</v>
      </c>
      <c r="SO179" s="2082">
        <f t="shared" si="281"/>
        <v>4380</v>
      </c>
      <c r="SP179" s="2082">
        <f t="shared" si="281"/>
        <v>4380</v>
      </c>
      <c r="SQ179" s="2082">
        <f t="shared" si="281"/>
        <v>4380</v>
      </c>
      <c r="SR179" s="2082">
        <f t="shared" si="281"/>
        <v>4380</v>
      </c>
      <c r="SS179" s="2082">
        <f t="shared" si="281"/>
        <v>4380</v>
      </c>
      <c r="ST179" s="2082">
        <f t="shared" si="281"/>
        <v>4380</v>
      </c>
      <c r="SU179" s="2082">
        <f t="shared" si="281"/>
        <v>4380</v>
      </c>
      <c r="SV179" s="2082">
        <f t="shared" si="281"/>
        <v>4380</v>
      </c>
      <c r="SW179" s="2082">
        <f t="shared" si="281"/>
        <v>4380</v>
      </c>
      <c r="SX179" s="2082">
        <f t="shared" si="281"/>
        <v>4380</v>
      </c>
      <c r="SY179" s="2082">
        <f t="shared" ref="SY179:VJ179" si="282">12*365</f>
        <v>4380</v>
      </c>
      <c r="SZ179" s="2082">
        <f t="shared" si="282"/>
        <v>4380</v>
      </c>
      <c r="TA179" s="2082">
        <f t="shared" si="282"/>
        <v>4380</v>
      </c>
      <c r="TB179" s="2082">
        <f t="shared" si="282"/>
        <v>4380</v>
      </c>
      <c r="TC179" s="2082">
        <f t="shared" si="282"/>
        <v>4380</v>
      </c>
      <c r="TD179" s="2082">
        <f t="shared" si="282"/>
        <v>4380</v>
      </c>
      <c r="TE179" s="2082">
        <f t="shared" si="282"/>
        <v>4380</v>
      </c>
      <c r="TF179" s="2082">
        <f t="shared" si="282"/>
        <v>4380</v>
      </c>
      <c r="TG179" s="2082">
        <f t="shared" si="282"/>
        <v>4380</v>
      </c>
      <c r="TH179" s="2082">
        <f t="shared" si="282"/>
        <v>4380</v>
      </c>
      <c r="TI179" s="2082">
        <f t="shared" si="282"/>
        <v>4380</v>
      </c>
      <c r="TJ179" s="2082">
        <f t="shared" si="282"/>
        <v>4380</v>
      </c>
      <c r="TK179" s="2082">
        <f t="shared" si="282"/>
        <v>4380</v>
      </c>
      <c r="TL179" s="2082">
        <f t="shared" si="282"/>
        <v>4380</v>
      </c>
      <c r="TM179" s="2082">
        <f t="shared" si="282"/>
        <v>4380</v>
      </c>
      <c r="TN179" s="2082">
        <f t="shared" si="282"/>
        <v>4380</v>
      </c>
      <c r="TO179" s="2082">
        <f t="shared" si="282"/>
        <v>4380</v>
      </c>
      <c r="TP179" s="2082">
        <f t="shared" si="282"/>
        <v>4380</v>
      </c>
      <c r="TQ179" s="2082">
        <f t="shared" si="282"/>
        <v>4380</v>
      </c>
      <c r="TR179" s="2082">
        <f t="shared" si="282"/>
        <v>4380</v>
      </c>
      <c r="TS179" s="2082">
        <f t="shared" si="282"/>
        <v>4380</v>
      </c>
      <c r="TT179" s="2082">
        <f t="shared" si="282"/>
        <v>4380</v>
      </c>
      <c r="TU179" s="2082">
        <f t="shared" si="282"/>
        <v>4380</v>
      </c>
      <c r="TV179" s="2082">
        <f t="shared" si="282"/>
        <v>4380</v>
      </c>
      <c r="TW179" s="2082">
        <f t="shared" si="282"/>
        <v>4380</v>
      </c>
      <c r="TX179" s="2082">
        <f t="shared" si="282"/>
        <v>4380</v>
      </c>
      <c r="TY179" s="2082">
        <f t="shared" si="282"/>
        <v>4380</v>
      </c>
      <c r="TZ179" s="2082">
        <f t="shared" si="282"/>
        <v>4380</v>
      </c>
      <c r="UA179" s="2082">
        <f t="shared" si="282"/>
        <v>4380</v>
      </c>
      <c r="UB179" s="2082">
        <f t="shared" si="282"/>
        <v>4380</v>
      </c>
      <c r="UC179" s="2082">
        <f t="shared" si="282"/>
        <v>4380</v>
      </c>
      <c r="UD179" s="2082">
        <f t="shared" si="282"/>
        <v>4380</v>
      </c>
      <c r="UE179" s="2082">
        <f t="shared" si="282"/>
        <v>4380</v>
      </c>
      <c r="UF179" s="2082">
        <f t="shared" si="282"/>
        <v>4380</v>
      </c>
      <c r="UG179" s="2082">
        <f t="shared" si="282"/>
        <v>4380</v>
      </c>
      <c r="UH179" s="2082">
        <f t="shared" si="282"/>
        <v>4380</v>
      </c>
      <c r="UI179" s="2082">
        <f t="shared" si="282"/>
        <v>4380</v>
      </c>
      <c r="UJ179" s="2082">
        <f t="shared" si="282"/>
        <v>4380</v>
      </c>
      <c r="UK179" s="2082">
        <f t="shared" si="282"/>
        <v>4380</v>
      </c>
      <c r="UL179" s="2082">
        <f t="shared" si="282"/>
        <v>4380</v>
      </c>
      <c r="UM179" s="2082">
        <f t="shared" si="282"/>
        <v>4380</v>
      </c>
      <c r="UN179" s="2082">
        <f t="shared" si="282"/>
        <v>4380</v>
      </c>
      <c r="UO179" s="2082">
        <f t="shared" si="282"/>
        <v>4380</v>
      </c>
      <c r="UP179" s="2082">
        <f t="shared" si="282"/>
        <v>4380</v>
      </c>
      <c r="UQ179" s="2082">
        <f t="shared" si="282"/>
        <v>4380</v>
      </c>
      <c r="UR179" s="2082">
        <f t="shared" si="282"/>
        <v>4380</v>
      </c>
      <c r="US179" s="2082">
        <f t="shared" si="282"/>
        <v>4380</v>
      </c>
      <c r="UT179" s="2082">
        <f t="shared" si="282"/>
        <v>4380</v>
      </c>
      <c r="UU179" s="2082">
        <f t="shared" si="282"/>
        <v>4380</v>
      </c>
      <c r="UV179" s="2082">
        <f t="shared" si="282"/>
        <v>4380</v>
      </c>
      <c r="UW179" s="2082">
        <f t="shared" si="282"/>
        <v>4380</v>
      </c>
      <c r="UX179" s="2082">
        <f t="shared" si="282"/>
        <v>4380</v>
      </c>
      <c r="UY179" s="2082">
        <f t="shared" si="282"/>
        <v>4380</v>
      </c>
      <c r="UZ179" s="2082">
        <f t="shared" si="282"/>
        <v>4380</v>
      </c>
      <c r="VA179" s="2082">
        <f t="shared" si="282"/>
        <v>4380</v>
      </c>
      <c r="VB179" s="2082">
        <f t="shared" si="282"/>
        <v>4380</v>
      </c>
      <c r="VC179" s="2082">
        <f t="shared" si="282"/>
        <v>4380</v>
      </c>
      <c r="VD179" s="2082">
        <f t="shared" si="282"/>
        <v>4380</v>
      </c>
      <c r="VE179" s="2082">
        <f t="shared" si="282"/>
        <v>4380</v>
      </c>
      <c r="VF179" s="2082">
        <f t="shared" si="282"/>
        <v>4380</v>
      </c>
      <c r="VG179" s="2082">
        <f t="shared" si="282"/>
        <v>4380</v>
      </c>
      <c r="VH179" s="2082">
        <f t="shared" si="282"/>
        <v>4380</v>
      </c>
      <c r="VI179" s="2082">
        <f t="shared" si="282"/>
        <v>4380</v>
      </c>
      <c r="VJ179" s="2082">
        <f t="shared" si="282"/>
        <v>4380</v>
      </c>
      <c r="VK179" s="2083">
        <f>12*365</f>
        <v>4380</v>
      </c>
    </row>
    <row r="180" spans="1:583" s="1296" customFormat="1" x14ac:dyDescent="0.25">
      <c r="B180" s="2084" t="s">
        <v>381</v>
      </c>
      <c r="C180" s="2085" t="s">
        <v>2966</v>
      </c>
      <c r="D180" s="2085" t="s">
        <v>381</v>
      </c>
      <c r="E180" s="2085" t="s">
        <v>2966</v>
      </c>
      <c r="F180" s="2086">
        <f>IF(F178&gt;F179,F178,IF(F179&gt;F178,F179))</f>
        <v>4380</v>
      </c>
      <c r="G180" s="2086">
        <f t="shared" ref="G180:BR180" si="283">IF(G178&gt;G179,G178,IF(G179&gt;G178,G179))</f>
        <v>4380</v>
      </c>
      <c r="H180" s="2086">
        <f t="shared" si="283"/>
        <v>4380</v>
      </c>
      <c r="I180" s="2086">
        <f t="shared" si="283"/>
        <v>4380</v>
      </c>
      <c r="J180" s="2086">
        <f t="shared" si="283"/>
        <v>4380</v>
      </c>
      <c r="K180" s="2086">
        <f t="shared" si="283"/>
        <v>4380</v>
      </c>
      <c r="L180" s="2086">
        <f t="shared" si="283"/>
        <v>4380</v>
      </c>
      <c r="M180" s="2086">
        <f t="shared" si="283"/>
        <v>4380</v>
      </c>
      <c r="N180" s="2086">
        <f t="shared" si="283"/>
        <v>4380</v>
      </c>
      <c r="O180" s="2086">
        <f t="shared" si="283"/>
        <v>4380</v>
      </c>
      <c r="P180" s="2086">
        <f t="shared" si="283"/>
        <v>4380</v>
      </c>
      <c r="Q180" s="2086">
        <f t="shared" si="283"/>
        <v>4380</v>
      </c>
      <c r="R180" s="2086">
        <f t="shared" si="283"/>
        <v>4380</v>
      </c>
      <c r="S180" s="2086">
        <f t="shared" si="283"/>
        <v>4380</v>
      </c>
      <c r="T180" s="2086">
        <f t="shared" si="283"/>
        <v>4380</v>
      </c>
      <c r="U180" s="2086">
        <f t="shared" si="283"/>
        <v>4380</v>
      </c>
      <c r="V180" s="2086">
        <f t="shared" si="283"/>
        <v>4380</v>
      </c>
      <c r="W180" s="2086">
        <f t="shared" si="283"/>
        <v>4380</v>
      </c>
      <c r="X180" s="2086">
        <f t="shared" si="283"/>
        <v>4380</v>
      </c>
      <c r="Y180" s="2086">
        <f t="shared" si="283"/>
        <v>4380</v>
      </c>
      <c r="Z180" s="2086">
        <f t="shared" si="283"/>
        <v>4380</v>
      </c>
      <c r="AA180" s="2086">
        <f t="shared" si="283"/>
        <v>4380</v>
      </c>
      <c r="AB180" s="2086">
        <f t="shared" si="283"/>
        <v>4380</v>
      </c>
      <c r="AC180" s="2086">
        <f t="shared" si="283"/>
        <v>4380</v>
      </c>
      <c r="AD180" s="2086">
        <f t="shared" si="283"/>
        <v>4380</v>
      </c>
      <c r="AE180" s="2086">
        <f t="shared" si="283"/>
        <v>4380</v>
      </c>
      <c r="AF180" s="2086">
        <f t="shared" si="283"/>
        <v>4380</v>
      </c>
      <c r="AG180" s="2086">
        <f t="shared" si="283"/>
        <v>4380</v>
      </c>
      <c r="AH180" s="2086">
        <f t="shared" si="283"/>
        <v>4380</v>
      </c>
      <c r="AI180" s="2086">
        <f t="shared" si="283"/>
        <v>4380</v>
      </c>
      <c r="AJ180" s="2086">
        <f t="shared" si="283"/>
        <v>4380</v>
      </c>
      <c r="AK180" s="2086">
        <f t="shared" si="283"/>
        <v>4380</v>
      </c>
      <c r="AL180" s="2086">
        <f t="shared" si="283"/>
        <v>4380</v>
      </c>
      <c r="AM180" s="2086">
        <f t="shared" si="283"/>
        <v>4380</v>
      </c>
      <c r="AN180" s="2086">
        <f t="shared" si="283"/>
        <v>4380</v>
      </c>
      <c r="AO180" s="2086">
        <f t="shared" si="283"/>
        <v>4380</v>
      </c>
      <c r="AP180" s="2086">
        <f t="shared" si="283"/>
        <v>4380</v>
      </c>
      <c r="AQ180" s="2086">
        <f t="shared" si="283"/>
        <v>4380</v>
      </c>
      <c r="AR180" s="2086">
        <f t="shared" si="283"/>
        <v>4380</v>
      </c>
      <c r="AS180" s="2086">
        <f t="shared" si="283"/>
        <v>4380</v>
      </c>
      <c r="AT180" s="2086">
        <f t="shared" si="283"/>
        <v>4380</v>
      </c>
      <c r="AU180" s="2086">
        <f t="shared" si="283"/>
        <v>4380</v>
      </c>
      <c r="AV180" s="2086">
        <f t="shared" si="283"/>
        <v>4380</v>
      </c>
      <c r="AW180" s="2086">
        <f t="shared" si="283"/>
        <v>4380</v>
      </c>
      <c r="AX180" s="2086">
        <f t="shared" si="283"/>
        <v>4380</v>
      </c>
      <c r="AY180" s="2086">
        <f t="shared" si="283"/>
        <v>4380</v>
      </c>
      <c r="AZ180" s="2086">
        <f t="shared" si="283"/>
        <v>4380</v>
      </c>
      <c r="BA180" s="2086">
        <f t="shared" si="283"/>
        <v>4380</v>
      </c>
      <c r="BB180" s="2086">
        <f t="shared" si="283"/>
        <v>4380</v>
      </c>
      <c r="BC180" s="2086">
        <f t="shared" si="283"/>
        <v>4380</v>
      </c>
      <c r="BD180" s="2086">
        <f t="shared" si="283"/>
        <v>4380</v>
      </c>
      <c r="BE180" s="2086">
        <f t="shared" si="283"/>
        <v>4380</v>
      </c>
      <c r="BF180" s="2086">
        <f t="shared" si="283"/>
        <v>4380</v>
      </c>
      <c r="BG180" s="2086">
        <f t="shared" si="283"/>
        <v>4380</v>
      </c>
      <c r="BH180" s="2086">
        <f t="shared" si="283"/>
        <v>4380</v>
      </c>
      <c r="BI180" s="2086">
        <f t="shared" si="283"/>
        <v>4380</v>
      </c>
      <c r="BJ180" s="2086">
        <f t="shared" si="283"/>
        <v>4380</v>
      </c>
      <c r="BK180" s="2086">
        <f t="shared" si="283"/>
        <v>4380</v>
      </c>
      <c r="BL180" s="2086">
        <f t="shared" si="283"/>
        <v>4380</v>
      </c>
      <c r="BM180" s="2086">
        <f t="shared" si="283"/>
        <v>4380</v>
      </c>
      <c r="BN180" s="2086">
        <f t="shared" si="283"/>
        <v>4380</v>
      </c>
      <c r="BO180" s="2086">
        <f t="shared" si="283"/>
        <v>4380</v>
      </c>
      <c r="BP180" s="2086">
        <f t="shared" si="283"/>
        <v>4380</v>
      </c>
      <c r="BQ180" s="2086">
        <f t="shared" si="283"/>
        <v>4380</v>
      </c>
      <c r="BR180" s="2086">
        <f t="shared" si="283"/>
        <v>4380</v>
      </c>
      <c r="BS180" s="2086">
        <f t="shared" ref="BS180:ED180" si="284">IF(BS178&gt;BS179,BS178,IF(BS179&gt;BS178,BS179))</f>
        <v>4380</v>
      </c>
      <c r="BT180" s="2086">
        <f t="shared" si="284"/>
        <v>4380</v>
      </c>
      <c r="BU180" s="2086">
        <f t="shared" si="284"/>
        <v>4380</v>
      </c>
      <c r="BV180" s="2086">
        <f t="shared" si="284"/>
        <v>4380</v>
      </c>
      <c r="BW180" s="2086">
        <f t="shared" si="284"/>
        <v>4380</v>
      </c>
      <c r="BX180" s="2086">
        <f t="shared" si="284"/>
        <v>4380</v>
      </c>
      <c r="BY180" s="2086">
        <f t="shared" si="284"/>
        <v>4380</v>
      </c>
      <c r="BZ180" s="2086">
        <f t="shared" si="284"/>
        <v>4380</v>
      </c>
      <c r="CA180" s="2086">
        <f t="shared" si="284"/>
        <v>4380</v>
      </c>
      <c r="CB180" s="2086">
        <f t="shared" si="284"/>
        <v>4380</v>
      </c>
      <c r="CC180" s="2086">
        <f t="shared" si="284"/>
        <v>4380</v>
      </c>
      <c r="CD180" s="2086">
        <f t="shared" si="284"/>
        <v>4380</v>
      </c>
      <c r="CE180" s="2086">
        <f t="shared" si="284"/>
        <v>4380</v>
      </c>
      <c r="CF180" s="2086">
        <f t="shared" si="284"/>
        <v>4380</v>
      </c>
      <c r="CG180" s="2086">
        <f t="shared" si="284"/>
        <v>4380</v>
      </c>
      <c r="CH180" s="2086">
        <f t="shared" si="284"/>
        <v>4380</v>
      </c>
      <c r="CI180" s="2086">
        <f t="shared" si="284"/>
        <v>4380</v>
      </c>
      <c r="CJ180" s="2086">
        <f t="shared" si="284"/>
        <v>4380</v>
      </c>
      <c r="CK180" s="2086">
        <f t="shared" si="284"/>
        <v>4380</v>
      </c>
      <c r="CL180" s="2086">
        <f t="shared" si="284"/>
        <v>4380</v>
      </c>
      <c r="CM180" s="2086">
        <f t="shared" si="284"/>
        <v>4380</v>
      </c>
      <c r="CN180" s="2086">
        <f t="shared" si="284"/>
        <v>4380</v>
      </c>
      <c r="CO180" s="2086">
        <f t="shared" si="284"/>
        <v>4380</v>
      </c>
      <c r="CP180" s="2086">
        <f t="shared" si="284"/>
        <v>4380</v>
      </c>
      <c r="CQ180" s="2086">
        <f t="shared" si="284"/>
        <v>4380</v>
      </c>
      <c r="CR180" s="2086">
        <f t="shared" si="284"/>
        <v>4380</v>
      </c>
      <c r="CS180" s="2086">
        <f t="shared" si="284"/>
        <v>4380</v>
      </c>
      <c r="CT180" s="2086">
        <f t="shared" si="284"/>
        <v>4380</v>
      </c>
      <c r="CU180" s="2086">
        <f t="shared" si="284"/>
        <v>4380</v>
      </c>
      <c r="CV180" s="2086">
        <f t="shared" si="284"/>
        <v>4380</v>
      </c>
      <c r="CW180" s="2086">
        <f t="shared" si="284"/>
        <v>4380</v>
      </c>
      <c r="CX180" s="2086">
        <f t="shared" si="284"/>
        <v>4380</v>
      </c>
      <c r="CY180" s="2086">
        <f t="shared" si="284"/>
        <v>4380</v>
      </c>
      <c r="CZ180" s="2086">
        <f t="shared" si="284"/>
        <v>4380</v>
      </c>
      <c r="DA180" s="2086">
        <f t="shared" si="284"/>
        <v>4380</v>
      </c>
      <c r="DB180" s="2086">
        <f t="shared" si="284"/>
        <v>4380</v>
      </c>
      <c r="DC180" s="2086">
        <f t="shared" si="284"/>
        <v>4380</v>
      </c>
      <c r="DD180" s="2086">
        <f t="shared" si="284"/>
        <v>4380</v>
      </c>
      <c r="DE180" s="2086">
        <f t="shared" si="284"/>
        <v>4380</v>
      </c>
      <c r="DF180" s="2086">
        <f t="shared" si="284"/>
        <v>4380</v>
      </c>
      <c r="DG180" s="2086">
        <f t="shared" si="284"/>
        <v>4380</v>
      </c>
      <c r="DH180" s="2086">
        <f t="shared" si="284"/>
        <v>4380</v>
      </c>
      <c r="DI180" s="2086">
        <f t="shared" si="284"/>
        <v>4380</v>
      </c>
      <c r="DJ180" s="2086">
        <f t="shared" si="284"/>
        <v>4380</v>
      </c>
      <c r="DK180" s="2086">
        <f t="shared" si="284"/>
        <v>4380</v>
      </c>
      <c r="DL180" s="2086">
        <f t="shared" si="284"/>
        <v>4380</v>
      </c>
      <c r="DM180" s="2086">
        <f t="shared" si="284"/>
        <v>4380</v>
      </c>
      <c r="DN180" s="2086">
        <f t="shared" si="284"/>
        <v>4380</v>
      </c>
      <c r="DO180" s="2086">
        <f t="shared" si="284"/>
        <v>4380</v>
      </c>
      <c r="DP180" s="2086">
        <f t="shared" si="284"/>
        <v>4380</v>
      </c>
      <c r="DQ180" s="2086">
        <f t="shared" si="284"/>
        <v>4380</v>
      </c>
      <c r="DR180" s="2086">
        <f t="shared" si="284"/>
        <v>4380</v>
      </c>
      <c r="DS180" s="2086">
        <f t="shared" si="284"/>
        <v>4380</v>
      </c>
      <c r="DT180" s="2086">
        <f t="shared" si="284"/>
        <v>4380</v>
      </c>
      <c r="DU180" s="2086">
        <f t="shared" si="284"/>
        <v>4380</v>
      </c>
      <c r="DV180" s="2086">
        <f t="shared" si="284"/>
        <v>4380</v>
      </c>
      <c r="DW180" s="2086">
        <f t="shared" si="284"/>
        <v>4380</v>
      </c>
      <c r="DX180" s="2086">
        <f t="shared" si="284"/>
        <v>4380</v>
      </c>
      <c r="DY180" s="2086">
        <f t="shared" si="284"/>
        <v>4380</v>
      </c>
      <c r="DZ180" s="2086">
        <f t="shared" si="284"/>
        <v>4380</v>
      </c>
      <c r="EA180" s="2086">
        <f t="shared" si="284"/>
        <v>4380</v>
      </c>
      <c r="EB180" s="2086">
        <f t="shared" si="284"/>
        <v>4380</v>
      </c>
      <c r="EC180" s="2086">
        <f t="shared" si="284"/>
        <v>4380</v>
      </c>
      <c r="ED180" s="2086">
        <f t="shared" si="284"/>
        <v>4380</v>
      </c>
      <c r="EE180" s="2086">
        <f t="shared" ref="EE180:GP180" si="285">IF(EE178&gt;EE179,EE178,IF(EE179&gt;EE178,EE179))</f>
        <v>4380</v>
      </c>
      <c r="EF180" s="2086">
        <f t="shared" si="285"/>
        <v>4380</v>
      </c>
      <c r="EG180" s="2086">
        <f t="shared" si="285"/>
        <v>4380</v>
      </c>
      <c r="EH180" s="2086">
        <f t="shared" si="285"/>
        <v>4380</v>
      </c>
      <c r="EI180" s="2086">
        <f t="shared" si="285"/>
        <v>4380</v>
      </c>
      <c r="EJ180" s="2086">
        <f t="shared" si="285"/>
        <v>4380</v>
      </c>
      <c r="EK180" s="2086">
        <f t="shared" si="285"/>
        <v>4380</v>
      </c>
      <c r="EL180" s="2086">
        <f t="shared" si="285"/>
        <v>4380</v>
      </c>
      <c r="EM180" s="2086">
        <f t="shared" si="285"/>
        <v>4380</v>
      </c>
      <c r="EN180" s="2086">
        <f t="shared" si="285"/>
        <v>4380</v>
      </c>
      <c r="EO180" s="2086">
        <f t="shared" si="285"/>
        <v>4380</v>
      </c>
      <c r="EP180" s="2086">
        <f t="shared" si="285"/>
        <v>4380</v>
      </c>
      <c r="EQ180" s="2086">
        <f t="shared" si="285"/>
        <v>4380</v>
      </c>
      <c r="ER180" s="2086">
        <f t="shared" si="285"/>
        <v>4380</v>
      </c>
      <c r="ES180" s="2086">
        <f t="shared" si="285"/>
        <v>4380</v>
      </c>
      <c r="ET180" s="2086">
        <f t="shared" si="285"/>
        <v>4380</v>
      </c>
      <c r="EU180" s="2086">
        <f t="shared" si="285"/>
        <v>4380</v>
      </c>
      <c r="EV180" s="2086">
        <f t="shared" si="285"/>
        <v>4380</v>
      </c>
      <c r="EW180" s="2086">
        <f t="shared" si="285"/>
        <v>4380</v>
      </c>
      <c r="EX180" s="2086">
        <f t="shared" si="285"/>
        <v>4380</v>
      </c>
      <c r="EY180" s="2086">
        <f t="shared" si="285"/>
        <v>4380</v>
      </c>
      <c r="EZ180" s="2086">
        <f t="shared" si="285"/>
        <v>4380</v>
      </c>
      <c r="FA180" s="2086">
        <f t="shared" si="285"/>
        <v>4380</v>
      </c>
      <c r="FB180" s="2086">
        <f t="shared" si="285"/>
        <v>4380</v>
      </c>
      <c r="FC180" s="2086">
        <f t="shared" si="285"/>
        <v>4380</v>
      </c>
      <c r="FD180" s="2086">
        <f t="shared" si="285"/>
        <v>4380</v>
      </c>
      <c r="FE180" s="2086">
        <f t="shared" si="285"/>
        <v>4380</v>
      </c>
      <c r="FF180" s="2086">
        <f t="shared" si="285"/>
        <v>4380</v>
      </c>
      <c r="FG180" s="2086">
        <f t="shared" si="285"/>
        <v>4380</v>
      </c>
      <c r="FH180" s="2086">
        <f t="shared" si="285"/>
        <v>4380</v>
      </c>
      <c r="FI180" s="2086">
        <f t="shared" si="285"/>
        <v>4380</v>
      </c>
      <c r="FJ180" s="2086">
        <f t="shared" si="285"/>
        <v>4380</v>
      </c>
      <c r="FK180" s="2086">
        <f t="shared" si="285"/>
        <v>4380</v>
      </c>
      <c r="FL180" s="2086">
        <f t="shared" si="285"/>
        <v>4380</v>
      </c>
      <c r="FM180" s="2086">
        <f t="shared" si="285"/>
        <v>4380</v>
      </c>
      <c r="FN180" s="2086">
        <f t="shared" si="285"/>
        <v>4380</v>
      </c>
      <c r="FO180" s="2086">
        <f t="shared" si="285"/>
        <v>4380</v>
      </c>
      <c r="FP180" s="2086">
        <f t="shared" si="285"/>
        <v>4380</v>
      </c>
      <c r="FQ180" s="2086">
        <f t="shared" si="285"/>
        <v>4380</v>
      </c>
      <c r="FR180" s="2086">
        <f t="shared" si="285"/>
        <v>4380</v>
      </c>
      <c r="FS180" s="2086">
        <f t="shared" si="285"/>
        <v>4380</v>
      </c>
      <c r="FT180" s="2086">
        <f t="shared" si="285"/>
        <v>4380</v>
      </c>
      <c r="FU180" s="2086">
        <f t="shared" si="285"/>
        <v>4380</v>
      </c>
      <c r="FV180" s="2086">
        <f t="shared" si="285"/>
        <v>4380</v>
      </c>
      <c r="FW180" s="2086">
        <f t="shared" si="285"/>
        <v>4380</v>
      </c>
      <c r="FX180" s="2086">
        <f t="shared" si="285"/>
        <v>4380</v>
      </c>
      <c r="FY180" s="2086">
        <f t="shared" si="285"/>
        <v>4380</v>
      </c>
      <c r="FZ180" s="2086">
        <f t="shared" si="285"/>
        <v>4380</v>
      </c>
      <c r="GA180" s="2086">
        <f t="shared" si="285"/>
        <v>4380</v>
      </c>
      <c r="GB180" s="2086">
        <f t="shared" si="285"/>
        <v>4380</v>
      </c>
      <c r="GC180" s="2086">
        <f t="shared" si="285"/>
        <v>4380</v>
      </c>
      <c r="GD180" s="2086">
        <f t="shared" si="285"/>
        <v>4380</v>
      </c>
      <c r="GE180" s="2086">
        <f t="shared" si="285"/>
        <v>4380</v>
      </c>
      <c r="GF180" s="2086">
        <f t="shared" si="285"/>
        <v>4380</v>
      </c>
      <c r="GG180" s="2086">
        <f t="shared" si="285"/>
        <v>4380</v>
      </c>
      <c r="GH180" s="2086">
        <f t="shared" si="285"/>
        <v>4380</v>
      </c>
      <c r="GI180" s="2086">
        <f t="shared" si="285"/>
        <v>4380</v>
      </c>
      <c r="GJ180" s="2086">
        <f t="shared" si="285"/>
        <v>4380</v>
      </c>
      <c r="GK180" s="2086">
        <f t="shared" si="285"/>
        <v>4380</v>
      </c>
      <c r="GL180" s="2086">
        <f t="shared" si="285"/>
        <v>4380</v>
      </c>
      <c r="GM180" s="2086">
        <f t="shared" si="285"/>
        <v>4380</v>
      </c>
      <c r="GN180" s="2086">
        <f t="shared" si="285"/>
        <v>4380</v>
      </c>
      <c r="GO180" s="2086">
        <f t="shared" si="285"/>
        <v>4380</v>
      </c>
      <c r="GP180" s="2086">
        <f t="shared" si="285"/>
        <v>4380</v>
      </c>
      <c r="GQ180" s="2086">
        <f t="shared" ref="GQ180:JB180" si="286">IF(GQ178&gt;GQ179,GQ178,IF(GQ179&gt;GQ178,GQ179))</f>
        <v>4380</v>
      </c>
      <c r="GR180" s="2086">
        <f t="shared" si="286"/>
        <v>4380</v>
      </c>
      <c r="GS180" s="2086">
        <f t="shared" si="286"/>
        <v>4380</v>
      </c>
      <c r="GT180" s="2086">
        <f t="shared" si="286"/>
        <v>4380</v>
      </c>
      <c r="GU180" s="2086">
        <f t="shared" si="286"/>
        <v>4380</v>
      </c>
      <c r="GV180" s="2086">
        <f t="shared" si="286"/>
        <v>4380</v>
      </c>
      <c r="GW180" s="2086">
        <f t="shared" si="286"/>
        <v>4380</v>
      </c>
      <c r="GX180" s="2086">
        <f t="shared" si="286"/>
        <v>4380</v>
      </c>
      <c r="GY180" s="2086">
        <f t="shared" si="286"/>
        <v>4380</v>
      </c>
      <c r="GZ180" s="2086">
        <f t="shared" si="286"/>
        <v>4380</v>
      </c>
      <c r="HA180" s="2086">
        <f t="shared" si="286"/>
        <v>4380</v>
      </c>
      <c r="HB180" s="2086">
        <f t="shared" si="286"/>
        <v>4380</v>
      </c>
      <c r="HC180" s="2086">
        <f t="shared" si="286"/>
        <v>4380</v>
      </c>
      <c r="HD180" s="2086">
        <f t="shared" si="286"/>
        <v>4380</v>
      </c>
      <c r="HE180" s="2086">
        <f t="shared" si="286"/>
        <v>4380</v>
      </c>
      <c r="HF180" s="2086">
        <f t="shared" si="286"/>
        <v>4380</v>
      </c>
      <c r="HG180" s="2086">
        <f t="shared" si="286"/>
        <v>4380</v>
      </c>
      <c r="HH180" s="2086">
        <f t="shared" si="286"/>
        <v>4380</v>
      </c>
      <c r="HI180" s="2086">
        <f t="shared" si="286"/>
        <v>4380</v>
      </c>
      <c r="HJ180" s="2086">
        <f t="shared" si="286"/>
        <v>4380</v>
      </c>
      <c r="HK180" s="2086">
        <f t="shared" si="286"/>
        <v>4380</v>
      </c>
      <c r="HL180" s="2086">
        <f t="shared" si="286"/>
        <v>4380</v>
      </c>
      <c r="HM180" s="2086">
        <f t="shared" si="286"/>
        <v>4380</v>
      </c>
      <c r="HN180" s="2086">
        <f t="shared" si="286"/>
        <v>4380</v>
      </c>
      <c r="HO180" s="2086">
        <f t="shared" si="286"/>
        <v>4380</v>
      </c>
      <c r="HP180" s="2086">
        <f t="shared" si="286"/>
        <v>4380</v>
      </c>
      <c r="HQ180" s="2086">
        <f t="shared" si="286"/>
        <v>4380</v>
      </c>
      <c r="HR180" s="2086">
        <f t="shared" si="286"/>
        <v>4380</v>
      </c>
      <c r="HS180" s="2086">
        <f t="shared" si="286"/>
        <v>4380</v>
      </c>
      <c r="HT180" s="2086">
        <f t="shared" si="286"/>
        <v>4380</v>
      </c>
      <c r="HU180" s="2086">
        <f t="shared" si="286"/>
        <v>4380</v>
      </c>
      <c r="HV180" s="2086">
        <f t="shared" si="286"/>
        <v>4380</v>
      </c>
      <c r="HW180" s="2086">
        <f t="shared" si="286"/>
        <v>4380</v>
      </c>
      <c r="HX180" s="2086">
        <f t="shared" si="286"/>
        <v>4380</v>
      </c>
      <c r="HY180" s="2086">
        <f t="shared" si="286"/>
        <v>4380</v>
      </c>
      <c r="HZ180" s="2086">
        <f t="shared" si="286"/>
        <v>4380</v>
      </c>
      <c r="IA180" s="2086">
        <f t="shared" si="286"/>
        <v>4380</v>
      </c>
      <c r="IB180" s="2086">
        <f t="shared" si="286"/>
        <v>4380</v>
      </c>
      <c r="IC180" s="2086">
        <f t="shared" si="286"/>
        <v>4380</v>
      </c>
      <c r="ID180" s="2086">
        <f t="shared" si="286"/>
        <v>4380</v>
      </c>
      <c r="IE180" s="2086">
        <f t="shared" si="286"/>
        <v>4380</v>
      </c>
      <c r="IF180" s="2086">
        <f t="shared" si="286"/>
        <v>4380</v>
      </c>
      <c r="IG180" s="2086">
        <f t="shared" si="286"/>
        <v>4380</v>
      </c>
      <c r="IH180" s="2086">
        <f t="shared" si="286"/>
        <v>4380</v>
      </c>
      <c r="II180" s="2086">
        <f t="shared" si="286"/>
        <v>4380</v>
      </c>
      <c r="IJ180" s="2086">
        <f t="shared" si="286"/>
        <v>4380</v>
      </c>
      <c r="IK180" s="2086">
        <f t="shared" si="286"/>
        <v>4380</v>
      </c>
      <c r="IL180" s="2086">
        <f t="shared" si="286"/>
        <v>4380</v>
      </c>
      <c r="IM180" s="2086">
        <f t="shared" si="286"/>
        <v>4380</v>
      </c>
      <c r="IN180" s="2086">
        <f t="shared" si="286"/>
        <v>4380</v>
      </c>
      <c r="IO180" s="2086">
        <f t="shared" si="286"/>
        <v>4380</v>
      </c>
      <c r="IP180" s="2086">
        <f t="shared" si="286"/>
        <v>4380</v>
      </c>
      <c r="IQ180" s="2086">
        <f t="shared" si="286"/>
        <v>4380</v>
      </c>
      <c r="IR180" s="2086">
        <f t="shared" si="286"/>
        <v>4380</v>
      </c>
      <c r="IS180" s="2086">
        <f t="shared" si="286"/>
        <v>4380</v>
      </c>
      <c r="IT180" s="2086">
        <f t="shared" si="286"/>
        <v>4380</v>
      </c>
      <c r="IU180" s="2086">
        <f t="shared" si="286"/>
        <v>4380</v>
      </c>
      <c r="IV180" s="2086">
        <f t="shared" si="286"/>
        <v>4380</v>
      </c>
      <c r="IW180" s="2086">
        <f t="shared" si="286"/>
        <v>4380</v>
      </c>
      <c r="IX180" s="2086">
        <f t="shared" si="286"/>
        <v>4380</v>
      </c>
      <c r="IY180" s="2086">
        <f t="shared" si="286"/>
        <v>4380</v>
      </c>
      <c r="IZ180" s="2086">
        <f t="shared" si="286"/>
        <v>4380</v>
      </c>
      <c r="JA180" s="2086">
        <f t="shared" si="286"/>
        <v>4380</v>
      </c>
      <c r="JB180" s="2086">
        <f t="shared" si="286"/>
        <v>4380</v>
      </c>
      <c r="JC180" s="2086">
        <f t="shared" ref="JC180:LN180" si="287">IF(JC178&gt;JC179,JC178,IF(JC179&gt;JC178,JC179))</f>
        <v>4380</v>
      </c>
      <c r="JD180" s="2086">
        <f t="shared" si="287"/>
        <v>4380</v>
      </c>
      <c r="JE180" s="2086">
        <f t="shared" si="287"/>
        <v>4380</v>
      </c>
      <c r="JF180" s="2086">
        <f t="shared" si="287"/>
        <v>4380</v>
      </c>
      <c r="JG180" s="2086">
        <f t="shared" si="287"/>
        <v>4380</v>
      </c>
      <c r="JH180" s="2086">
        <f t="shared" si="287"/>
        <v>4380</v>
      </c>
      <c r="JI180" s="2086">
        <f t="shared" si="287"/>
        <v>4380</v>
      </c>
      <c r="JJ180" s="2086">
        <f t="shared" si="287"/>
        <v>4380</v>
      </c>
      <c r="JK180" s="2086">
        <f t="shared" si="287"/>
        <v>4380</v>
      </c>
      <c r="JL180" s="2086">
        <f t="shared" si="287"/>
        <v>4380</v>
      </c>
      <c r="JM180" s="2086">
        <f t="shared" si="287"/>
        <v>4380</v>
      </c>
      <c r="JN180" s="2086">
        <f t="shared" si="287"/>
        <v>4380</v>
      </c>
      <c r="JO180" s="2086">
        <f t="shared" si="287"/>
        <v>4380</v>
      </c>
      <c r="JP180" s="2086">
        <f t="shared" si="287"/>
        <v>4380</v>
      </c>
      <c r="JQ180" s="2086">
        <f t="shared" si="287"/>
        <v>4380</v>
      </c>
      <c r="JR180" s="2086">
        <f t="shared" si="287"/>
        <v>4380</v>
      </c>
      <c r="JS180" s="2086">
        <f t="shared" si="287"/>
        <v>4380</v>
      </c>
      <c r="JT180" s="2086">
        <f t="shared" si="287"/>
        <v>4380</v>
      </c>
      <c r="JU180" s="2086">
        <f t="shared" si="287"/>
        <v>4380</v>
      </c>
      <c r="JV180" s="2086">
        <f t="shared" si="287"/>
        <v>4380</v>
      </c>
      <c r="JW180" s="2086">
        <f t="shared" si="287"/>
        <v>4380</v>
      </c>
      <c r="JX180" s="2086">
        <f t="shared" si="287"/>
        <v>4380</v>
      </c>
      <c r="JY180" s="2086">
        <f t="shared" si="287"/>
        <v>4380</v>
      </c>
      <c r="JZ180" s="2086">
        <f t="shared" si="287"/>
        <v>4380</v>
      </c>
      <c r="KA180" s="2086">
        <f t="shared" si="287"/>
        <v>4380</v>
      </c>
      <c r="KB180" s="2086">
        <f t="shared" si="287"/>
        <v>4380</v>
      </c>
      <c r="KC180" s="2086">
        <f t="shared" si="287"/>
        <v>4380</v>
      </c>
      <c r="KD180" s="2086">
        <f t="shared" si="287"/>
        <v>4380</v>
      </c>
      <c r="KE180" s="2086">
        <f t="shared" si="287"/>
        <v>4380</v>
      </c>
      <c r="KF180" s="2086">
        <f t="shared" si="287"/>
        <v>4380</v>
      </c>
      <c r="KG180" s="2086">
        <f t="shared" si="287"/>
        <v>4380</v>
      </c>
      <c r="KH180" s="2086">
        <f t="shared" si="287"/>
        <v>4380</v>
      </c>
      <c r="KI180" s="2086">
        <f t="shared" si="287"/>
        <v>4380</v>
      </c>
      <c r="KJ180" s="2086">
        <f t="shared" si="287"/>
        <v>4380</v>
      </c>
      <c r="KK180" s="2086">
        <f t="shared" si="287"/>
        <v>4380</v>
      </c>
      <c r="KL180" s="2086">
        <f t="shared" si="287"/>
        <v>4380</v>
      </c>
      <c r="KM180" s="2086">
        <f t="shared" si="287"/>
        <v>4380</v>
      </c>
      <c r="KN180" s="2086">
        <f t="shared" si="287"/>
        <v>4380</v>
      </c>
      <c r="KO180" s="2086">
        <f t="shared" si="287"/>
        <v>4380</v>
      </c>
      <c r="KP180" s="2086">
        <f t="shared" si="287"/>
        <v>4380</v>
      </c>
      <c r="KQ180" s="2086">
        <f t="shared" si="287"/>
        <v>4380</v>
      </c>
      <c r="KR180" s="2086">
        <f t="shared" si="287"/>
        <v>4380</v>
      </c>
      <c r="KS180" s="2086">
        <f t="shared" si="287"/>
        <v>4380</v>
      </c>
      <c r="KT180" s="2086">
        <f t="shared" si="287"/>
        <v>4380</v>
      </c>
      <c r="KU180" s="2086">
        <f t="shared" si="287"/>
        <v>4380</v>
      </c>
      <c r="KV180" s="2086">
        <f t="shared" si="287"/>
        <v>4380</v>
      </c>
      <c r="KW180" s="2086">
        <f t="shared" si="287"/>
        <v>4380</v>
      </c>
      <c r="KX180" s="2086">
        <f t="shared" si="287"/>
        <v>4380</v>
      </c>
      <c r="KY180" s="2086">
        <f t="shared" si="287"/>
        <v>4380</v>
      </c>
      <c r="KZ180" s="2086">
        <f t="shared" si="287"/>
        <v>4380</v>
      </c>
      <c r="LA180" s="2086">
        <f t="shared" si="287"/>
        <v>4380</v>
      </c>
      <c r="LB180" s="2086">
        <f t="shared" si="287"/>
        <v>4380</v>
      </c>
      <c r="LC180" s="2086">
        <f t="shared" si="287"/>
        <v>4380</v>
      </c>
      <c r="LD180" s="2086">
        <f t="shared" si="287"/>
        <v>4380</v>
      </c>
      <c r="LE180" s="2086">
        <f t="shared" si="287"/>
        <v>4380</v>
      </c>
      <c r="LF180" s="2086">
        <f t="shared" si="287"/>
        <v>4380</v>
      </c>
      <c r="LG180" s="2086">
        <f t="shared" si="287"/>
        <v>4380</v>
      </c>
      <c r="LH180" s="2086">
        <f t="shared" si="287"/>
        <v>4380</v>
      </c>
      <c r="LI180" s="2086">
        <f t="shared" si="287"/>
        <v>4380</v>
      </c>
      <c r="LJ180" s="2086">
        <f t="shared" si="287"/>
        <v>4380</v>
      </c>
      <c r="LK180" s="2086">
        <f t="shared" si="287"/>
        <v>4380</v>
      </c>
      <c r="LL180" s="2086">
        <f t="shared" si="287"/>
        <v>4380</v>
      </c>
      <c r="LM180" s="2086">
        <f t="shared" si="287"/>
        <v>4380</v>
      </c>
      <c r="LN180" s="2086">
        <f t="shared" si="287"/>
        <v>4380</v>
      </c>
      <c r="LO180" s="2086">
        <f t="shared" ref="LO180:NZ180" si="288">IF(LO178&gt;LO179,LO178,IF(LO179&gt;LO178,LO179))</f>
        <v>4380</v>
      </c>
      <c r="LP180" s="2086">
        <f t="shared" si="288"/>
        <v>4380</v>
      </c>
      <c r="LQ180" s="2086">
        <f t="shared" si="288"/>
        <v>4380</v>
      </c>
      <c r="LR180" s="2086">
        <f t="shared" si="288"/>
        <v>4380</v>
      </c>
      <c r="LS180" s="2086">
        <f t="shared" si="288"/>
        <v>4380</v>
      </c>
      <c r="LT180" s="2086">
        <f t="shared" si="288"/>
        <v>4380</v>
      </c>
      <c r="LU180" s="2086">
        <f t="shared" si="288"/>
        <v>4380</v>
      </c>
      <c r="LV180" s="2086">
        <f t="shared" si="288"/>
        <v>4380</v>
      </c>
      <c r="LW180" s="2086">
        <f t="shared" si="288"/>
        <v>4380</v>
      </c>
      <c r="LX180" s="2086">
        <f t="shared" si="288"/>
        <v>4380</v>
      </c>
      <c r="LY180" s="2086">
        <f t="shared" si="288"/>
        <v>4380</v>
      </c>
      <c r="LZ180" s="2086">
        <f t="shared" si="288"/>
        <v>4380</v>
      </c>
      <c r="MA180" s="2086">
        <f t="shared" si="288"/>
        <v>4380</v>
      </c>
      <c r="MB180" s="2086">
        <f t="shared" si="288"/>
        <v>4380</v>
      </c>
      <c r="MC180" s="2086">
        <f t="shared" si="288"/>
        <v>4380</v>
      </c>
      <c r="MD180" s="2086">
        <f t="shared" si="288"/>
        <v>4380</v>
      </c>
      <c r="ME180" s="2086">
        <f t="shared" si="288"/>
        <v>4380</v>
      </c>
      <c r="MF180" s="2086">
        <f t="shared" si="288"/>
        <v>4380</v>
      </c>
      <c r="MG180" s="2086">
        <f t="shared" si="288"/>
        <v>4380</v>
      </c>
      <c r="MH180" s="2086">
        <f t="shared" si="288"/>
        <v>4380</v>
      </c>
      <c r="MI180" s="2086">
        <f t="shared" si="288"/>
        <v>4380</v>
      </c>
      <c r="MJ180" s="2086">
        <f t="shared" si="288"/>
        <v>4380</v>
      </c>
      <c r="MK180" s="2086">
        <f t="shared" si="288"/>
        <v>4380</v>
      </c>
      <c r="ML180" s="2086">
        <f t="shared" si="288"/>
        <v>4380</v>
      </c>
      <c r="MM180" s="2086">
        <f t="shared" si="288"/>
        <v>4380</v>
      </c>
      <c r="MN180" s="2086">
        <f t="shared" si="288"/>
        <v>4380</v>
      </c>
      <c r="MO180" s="2086">
        <f t="shared" si="288"/>
        <v>4380</v>
      </c>
      <c r="MP180" s="2086">
        <f t="shared" si="288"/>
        <v>4380</v>
      </c>
      <c r="MQ180" s="2086">
        <f t="shared" si="288"/>
        <v>4380</v>
      </c>
      <c r="MR180" s="2086">
        <f t="shared" si="288"/>
        <v>4380</v>
      </c>
      <c r="MS180" s="2086">
        <f t="shared" si="288"/>
        <v>4380</v>
      </c>
      <c r="MT180" s="2086">
        <f t="shared" si="288"/>
        <v>4380</v>
      </c>
      <c r="MU180" s="2086">
        <f t="shared" si="288"/>
        <v>4380</v>
      </c>
      <c r="MV180" s="2086">
        <f t="shared" si="288"/>
        <v>4380</v>
      </c>
      <c r="MW180" s="2086">
        <f t="shared" si="288"/>
        <v>4380</v>
      </c>
      <c r="MX180" s="2086">
        <f t="shared" si="288"/>
        <v>4380</v>
      </c>
      <c r="MY180" s="2086">
        <f t="shared" si="288"/>
        <v>4380</v>
      </c>
      <c r="MZ180" s="2086">
        <f t="shared" si="288"/>
        <v>4380</v>
      </c>
      <c r="NA180" s="2086">
        <f t="shared" si="288"/>
        <v>4380</v>
      </c>
      <c r="NB180" s="2086">
        <f t="shared" si="288"/>
        <v>4380</v>
      </c>
      <c r="NC180" s="2086">
        <f t="shared" si="288"/>
        <v>4380</v>
      </c>
      <c r="ND180" s="2086">
        <f t="shared" si="288"/>
        <v>4380</v>
      </c>
      <c r="NE180" s="2086">
        <f t="shared" si="288"/>
        <v>4380</v>
      </c>
      <c r="NF180" s="2086">
        <f t="shared" si="288"/>
        <v>4380</v>
      </c>
      <c r="NG180" s="2086">
        <f t="shared" si="288"/>
        <v>4380</v>
      </c>
      <c r="NH180" s="2086">
        <f t="shared" si="288"/>
        <v>4380</v>
      </c>
      <c r="NI180" s="2086">
        <f t="shared" si="288"/>
        <v>4380</v>
      </c>
      <c r="NJ180" s="2086">
        <f t="shared" si="288"/>
        <v>4380</v>
      </c>
      <c r="NK180" s="2086">
        <f t="shared" si="288"/>
        <v>4380</v>
      </c>
      <c r="NL180" s="2086">
        <f t="shared" si="288"/>
        <v>4380</v>
      </c>
      <c r="NM180" s="2086">
        <f t="shared" si="288"/>
        <v>4380</v>
      </c>
      <c r="NN180" s="2086">
        <f t="shared" si="288"/>
        <v>4380</v>
      </c>
      <c r="NO180" s="2086">
        <f t="shared" si="288"/>
        <v>4380</v>
      </c>
      <c r="NP180" s="2086">
        <f t="shared" si="288"/>
        <v>4380</v>
      </c>
      <c r="NQ180" s="2086">
        <f t="shared" si="288"/>
        <v>4380</v>
      </c>
      <c r="NR180" s="2086">
        <f t="shared" si="288"/>
        <v>4380</v>
      </c>
      <c r="NS180" s="2086">
        <f t="shared" si="288"/>
        <v>4380</v>
      </c>
      <c r="NT180" s="2086">
        <f t="shared" si="288"/>
        <v>4380</v>
      </c>
      <c r="NU180" s="2086">
        <f t="shared" si="288"/>
        <v>4380</v>
      </c>
      <c r="NV180" s="2086">
        <f t="shared" si="288"/>
        <v>4380</v>
      </c>
      <c r="NW180" s="2086">
        <f t="shared" si="288"/>
        <v>4380</v>
      </c>
      <c r="NX180" s="2086">
        <f t="shared" si="288"/>
        <v>4380</v>
      </c>
      <c r="NY180" s="2086">
        <f t="shared" si="288"/>
        <v>4380</v>
      </c>
      <c r="NZ180" s="2086">
        <f t="shared" si="288"/>
        <v>4380</v>
      </c>
      <c r="OA180" s="2086">
        <f t="shared" ref="OA180:QL180" si="289">IF(OA178&gt;OA179,OA178,IF(OA179&gt;OA178,OA179))</f>
        <v>4380</v>
      </c>
      <c r="OB180" s="2086">
        <f t="shared" si="289"/>
        <v>4380</v>
      </c>
      <c r="OC180" s="2086">
        <f t="shared" si="289"/>
        <v>4380</v>
      </c>
      <c r="OD180" s="2086">
        <f t="shared" si="289"/>
        <v>4380</v>
      </c>
      <c r="OE180" s="2086">
        <f t="shared" si="289"/>
        <v>4380</v>
      </c>
      <c r="OF180" s="2086">
        <f t="shared" si="289"/>
        <v>4380</v>
      </c>
      <c r="OG180" s="2086">
        <f t="shared" si="289"/>
        <v>4380</v>
      </c>
      <c r="OH180" s="2086">
        <f t="shared" si="289"/>
        <v>4380</v>
      </c>
      <c r="OI180" s="2086">
        <f t="shared" si="289"/>
        <v>4380</v>
      </c>
      <c r="OJ180" s="2086">
        <f t="shared" si="289"/>
        <v>4380</v>
      </c>
      <c r="OK180" s="2086">
        <f t="shared" si="289"/>
        <v>4380</v>
      </c>
      <c r="OL180" s="2086">
        <f t="shared" si="289"/>
        <v>4380</v>
      </c>
      <c r="OM180" s="2086">
        <f t="shared" si="289"/>
        <v>4380</v>
      </c>
      <c r="ON180" s="2086">
        <f t="shared" si="289"/>
        <v>4380</v>
      </c>
      <c r="OO180" s="2086">
        <f t="shared" si="289"/>
        <v>4380</v>
      </c>
      <c r="OP180" s="2086">
        <f t="shared" si="289"/>
        <v>4380</v>
      </c>
      <c r="OQ180" s="2086">
        <f t="shared" si="289"/>
        <v>4380</v>
      </c>
      <c r="OR180" s="2086">
        <f t="shared" si="289"/>
        <v>4380</v>
      </c>
      <c r="OS180" s="2086">
        <f t="shared" si="289"/>
        <v>4380</v>
      </c>
      <c r="OT180" s="2086">
        <f t="shared" si="289"/>
        <v>4380</v>
      </c>
      <c r="OU180" s="2086">
        <f t="shared" si="289"/>
        <v>4380</v>
      </c>
      <c r="OV180" s="2086">
        <f t="shared" si="289"/>
        <v>4380</v>
      </c>
      <c r="OW180" s="2086">
        <f t="shared" si="289"/>
        <v>4380</v>
      </c>
      <c r="OX180" s="2086">
        <f t="shared" si="289"/>
        <v>4380</v>
      </c>
      <c r="OY180" s="2086">
        <f t="shared" si="289"/>
        <v>4380</v>
      </c>
      <c r="OZ180" s="2086">
        <f t="shared" si="289"/>
        <v>4380</v>
      </c>
      <c r="PA180" s="2086">
        <f t="shared" si="289"/>
        <v>4380</v>
      </c>
      <c r="PB180" s="2086">
        <f t="shared" si="289"/>
        <v>4380</v>
      </c>
      <c r="PC180" s="2086">
        <f t="shared" si="289"/>
        <v>4380</v>
      </c>
      <c r="PD180" s="2086">
        <f t="shared" si="289"/>
        <v>4380</v>
      </c>
      <c r="PE180" s="2086">
        <f t="shared" si="289"/>
        <v>4380</v>
      </c>
      <c r="PF180" s="2086">
        <f t="shared" si="289"/>
        <v>4380</v>
      </c>
      <c r="PG180" s="2086">
        <f t="shared" si="289"/>
        <v>4380</v>
      </c>
      <c r="PH180" s="2086">
        <f t="shared" si="289"/>
        <v>4380</v>
      </c>
      <c r="PI180" s="2086">
        <f t="shared" si="289"/>
        <v>4380</v>
      </c>
      <c r="PJ180" s="2086">
        <f t="shared" si="289"/>
        <v>4380</v>
      </c>
      <c r="PK180" s="2086">
        <f t="shared" si="289"/>
        <v>4380</v>
      </c>
      <c r="PL180" s="2086">
        <f t="shared" si="289"/>
        <v>4380</v>
      </c>
      <c r="PM180" s="2086">
        <f t="shared" si="289"/>
        <v>4380</v>
      </c>
      <c r="PN180" s="2086">
        <f t="shared" si="289"/>
        <v>4380</v>
      </c>
      <c r="PO180" s="2086">
        <f t="shared" si="289"/>
        <v>4380</v>
      </c>
      <c r="PP180" s="2086">
        <f t="shared" si="289"/>
        <v>4380</v>
      </c>
      <c r="PQ180" s="2086">
        <f t="shared" si="289"/>
        <v>4380</v>
      </c>
      <c r="PR180" s="2086">
        <f t="shared" si="289"/>
        <v>4380</v>
      </c>
      <c r="PS180" s="2086">
        <f t="shared" si="289"/>
        <v>4380</v>
      </c>
      <c r="PT180" s="2086">
        <f t="shared" si="289"/>
        <v>4380</v>
      </c>
      <c r="PU180" s="2086">
        <f t="shared" si="289"/>
        <v>4380</v>
      </c>
      <c r="PV180" s="2086">
        <f t="shared" si="289"/>
        <v>4380</v>
      </c>
      <c r="PW180" s="2086">
        <f t="shared" si="289"/>
        <v>4380</v>
      </c>
      <c r="PX180" s="2086">
        <f t="shared" si="289"/>
        <v>4380</v>
      </c>
      <c r="PY180" s="2086">
        <f t="shared" si="289"/>
        <v>4380</v>
      </c>
      <c r="PZ180" s="2086">
        <f t="shared" si="289"/>
        <v>4380</v>
      </c>
      <c r="QA180" s="2086">
        <f t="shared" si="289"/>
        <v>4380</v>
      </c>
      <c r="QB180" s="2086">
        <f t="shared" si="289"/>
        <v>4380</v>
      </c>
      <c r="QC180" s="2086">
        <f t="shared" si="289"/>
        <v>4380</v>
      </c>
      <c r="QD180" s="2086">
        <f t="shared" si="289"/>
        <v>4380</v>
      </c>
      <c r="QE180" s="2086">
        <f t="shared" si="289"/>
        <v>4380</v>
      </c>
      <c r="QF180" s="2086">
        <f t="shared" si="289"/>
        <v>4380</v>
      </c>
      <c r="QG180" s="2086">
        <f t="shared" si="289"/>
        <v>4380</v>
      </c>
      <c r="QH180" s="2086">
        <f t="shared" si="289"/>
        <v>4380</v>
      </c>
      <c r="QI180" s="2086">
        <f t="shared" si="289"/>
        <v>4380</v>
      </c>
      <c r="QJ180" s="2086">
        <f t="shared" si="289"/>
        <v>4380</v>
      </c>
      <c r="QK180" s="2086">
        <f t="shared" si="289"/>
        <v>4380</v>
      </c>
      <c r="QL180" s="2086">
        <f t="shared" si="289"/>
        <v>4380</v>
      </c>
      <c r="QM180" s="2086">
        <f t="shared" ref="QM180:SX180" si="290">IF(QM178&gt;QM179,QM178,IF(QM179&gt;QM178,QM179))</f>
        <v>4380</v>
      </c>
      <c r="QN180" s="2086">
        <f t="shared" si="290"/>
        <v>4380</v>
      </c>
      <c r="QO180" s="2086">
        <f t="shared" si="290"/>
        <v>4380</v>
      </c>
      <c r="QP180" s="2086">
        <f t="shared" si="290"/>
        <v>4380</v>
      </c>
      <c r="QQ180" s="2086">
        <f t="shared" si="290"/>
        <v>4380</v>
      </c>
      <c r="QR180" s="2086">
        <f t="shared" si="290"/>
        <v>4380</v>
      </c>
      <c r="QS180" s="2086">
        <f t="shared" si="290"/>
        <v>4380</v>
      </c>
      <c r="QT180" s="2086">
        <f t="shared" si="290"/>
        <v>4380</v>
      </c>
      <c r="QU180" s="2086">
        <f t="shared" si="290"/>
        <v>4380</v>
      </c>
      <c r="QV180" s="2086">
        <f t="shared" si="290"/>
        <v>4380</v>
      </c>
      <c r="QW180" s="2086">
        <f t="shared" si="290"/>
        <v>4380</v>
      </c>
      <c r="QX180" s="2086">
        <f t="shared" si="290"/>
        <v>4380</v>
      </c>
      <c r="QY180" s="2086">
        <f t="shared" si="290"/>
        <v>4380</v>
      </c>
      <c r="QZ180" s="2086">
        <f t="shared" si="290"/>
        <v>4380</v>
      </c>
      <c r="RA180" s="2086">
        <f t="shared" si="290"/>
        <v>4380</v>
      </c>
      <c r="RB180" s="2086">
        <f t="shared" si="290"/>
        <v>4380</v>
      </c>
      <c r="RC180" s="2086">
        <f t="shared" si="290"/>
        <v>4380</v>
      </c>
      <c r="RD180" s="2086">
        <f t="shared" si="290"/>
        <v>4380</v>
      </c>
      <c r="RE180" s="2086">
        <f t="shared" si="290"/>
        <v>4380</v>
      </c>
      <c r="RF180" s="2086">
        <f t="shared" si="290"/>
        <v>4380</v>
      </c>
      <c r="RG180" s="2086">
        <f t="shared" si="290"/>
        <v>4380</v>
      </c>
      <c r="RH180" s="2086">
        <f t="shared" si="290"/>
        <v>4380</v>
      </c>
      <c r="RI180" s="2086">
        <f t="shared" si="290"/>
        <v>4380</v>
      </c>
      <c r="RJ180" s="2086">
        <f t="shared" si="290"/>
        <v>4380</v>
      </c>
      <c r="RK180" s="2086">
        <f t="shared" si="290"/>
        <v>4380</v>
      </c>
      <c r="RL180" s="2086">
        <f t="shared" si="290"/>
        <v>4380</v>
      </c>
      <c r="RM180" s="2086">
        <f t="shared" si="290"/>
        <v>4380</v>
      </c>
      <c r="RN180" s="2086">
        <f t="shared" si="290"/>
        <v>4380</v>
      </c>
      <c r="RO180" s="2086">
        <f t="shared" si="290"/>
        <v>4380</v>
      </c>
      <c r="RP180" s="2086">
        <f t="shared" si="290"/>
        <v>4380</v>
      </c>
      <c r="RQ180" s="2086">
        <f t="shared" si="290"/>
        <v>4380</v>
      </c>
      <c r="RR180" s="2086">
        <f t="shared" si="290"/>
        <v>4380</v>
      </c>
      <c r="RS180" s="2086">
        <f t="shared" si="290"/>
        <v>4380</v>
      </c>
      <c r="RT180" s="2086">
        <f t="shared" si="290"/>
        <v>4380</v>
      </c>
      <c r="RU180" s="2086">
        <f t="shared" si="290"/>
        <v>4380</v>
      </c>
      <c r="RV180" s="2086">
        <f t="shared" si="290"/>
        <v>4380</v>
      </c>
      <c r="RW180" s="2086">
        <f t="shared" si="290"/>
        <v>4380</v>
      </c>
      <c r="RX180" s="2086">
        <f t="shared" si="290"/>
        <v>4380</v>
      </c>
      <c r="RY180" s="2086">
        <f t="shared" si="290"/>
        <v>4380</v>
      </c>
      <c r="RZ180" s="2086">
        <f t="shared" si="290"/>
        <v>4380</v>
      </c>
      <c r="SA180" s="2086">
        <f t="shared" si="290"/>
        <v>4380</v>
      </c>
      <c r="SB180" s="2086">
        <f t="shared" si="290"/>
        <v>4380</v>
      </c>
      <c r="SC180" s="2086">
        <f t="shared" si="290"/>
        <v>4380</v>
      </c>
      <c r="SD180" s="2086">
        <f t="shared" si="290"/>
        <v>4380</v>
      </c>
      <c r="SE180" s="2086" t="e">
        <f t="shared" si="290"/>
        <v>#DIV/0!</v>
      </c>
      <c r="SF180" s="2086" t="e">
        <f t="shared" si="290"/>
        <v>#DIV/0!</v>
      </c>
      <c r="SG180" s="2086" t="e">
        <f t="shared" si="290"/>
        <v>#DIV/0!</v>
      </c>
      <c r="SH180" s="2086" t="e">
        <f t="shared" si="290"/>
        <v>#DIV/0!</v>
      </c>
      <c r="SI180" s="2086" t="e">
        <f t="shared" si="290"/>
        <v>#DIV/0!</v>
      </c>
      <c r="SJ180" s="2086" t="e">
        <f t="shared" si="290"/>
        <v>#DIV/0!</v>
      </c>
      <c r="SK180" s="2086" t="e">
        <f t="shared" si="290"/>
        <v>#DIV/0!</v>
      </c>
      <c r="SL180" s="2086" t="e">
        <f t="shared" si="290"/>
        <v>#DIV/0!</v>
      </c>
      <c r="SM180" s="2086" t="e">
        <f t="shared" si="290"/>
        <v>#DIV/0!</v>
      </c>
      <c r="SN180" s="2086" t="e">
        <f t="shared" si="290"/>
        <v>#DIV/0!</v>
      </c>
      <c r="SO180" s="2086" t="e">
        <f t="shared" si="290"/>
        <v>#DIV/0!</v>
      </c>
      <c r="SP180" s="2086" t="e">
        <f t="shared" si="290"/>
        <v>#DIV/0!</v>
      </c>
      <c r="SQ180" s="2086" t="e">
        <f t="shared" si="290"/>
        <v>#DIV/0!</v>
      </c>
      <c r="SR180" s="2086" t="e">
        <f t="shared" si="290"/>
        <v>#DIV/0!</v>
      </c>
      <c r="SS180" s="2086" t="e">
        <f t="shared" si="290"/>
        <v>#DIV/0!</v>
      </c>
      <c r="ST180" s="2086" t="e">
        <f t="shared" si="290"/>
        <v>#DIV/0!</v>
      </c>
      <c r="SU180" s="2086" t="e">
        <f t="shared" si="290"/>
        <v>#DIV/0!</v>
      </c>
      <c r="SV180" s="2086" t="e">
        <f t="shared" si="290"/>
        <v>#DIV/0!</v>
      </c>
      <c r="SW180" s="2086" t="e">
        <f t="shared" si="290"/>
        <v>#DIV/0!</v>
      </c>
      <c r="SX180" s="2086" t="e">
        <f t="shared" si="290"/>
        <v>#DIV/0!</v>
      </c>
      <c r="SY180" s="2086" t="e">
        <f t="shared" ref="SY180:VJ180" si="291">IF(SY178&gt;SY179,SY178,IF(SY179&gt;SY178,SY179))</f>
        <v>#DIV/0!</v>
      </c>
      <c r="SZ180" s="2086" t="e">
        <f t="shared" si="291"/>
        <v>#DIV/0!</v>
      </c>
      <c r="TA180" s="2086" t="e">
        <f t="shared" si="291"/>
        <v>#DIV/0!</v>
      </c>
      <c r="TB180" s="2086" t="e">
        <f t="shared" si="291"/>
        <v>#DIV/0!</v>
      </c>
      <c r="TC180" s="2086" t="e">
        <f t="shared" si="291"/>
        <v>#DIV/0!</v>
      </c>
      <c r="TD180" s="2086" t="e">
        <f t="shared" si="291"/>
        <v>#DIV/0!</v>
      </c>
      <c r="TE180" s="2086" t="e">
        <f t="shared" si="291"/>
        <v>#DIV/0!</v>
      </c>
      <c r="TF180" s="2086" t="e">
        <f t="shared" si="291"/>
        <v>#DIV/0!</v>
      </c>
      <c r="TG180" s="2086" t="e">
        <f t="shared" si="291"/>
        <v>#DIV/0!</v>
      </c>
      <c r="TH180" s="2086" t="e">
        <f t="shared" si="291"/>
        <v>#DIV/0!</v>
      </c>
      <c r="TI180" s="2086" t="e">
        <f t="shared" si="291"/>
        <v>#DIV/0!</v>
      </c>
      <c r="TJ180" s="2086" t="e">
        <f t="shared" si="291"/>
        <v>#DIV/0!</v>
      </c>
      <c r="TK180" s="2086" t="e">
        <f t="shared" si="291"/>
        <v>#DIV/0!</v>
      </c>
      <c r="TL180" s="2086" t="e">
        <f t="shared" si="291"/>
        <v>#DIV/0!</v>
      </c>
      <c r="TM180" s="2086">
        <f t="shared" si="291"/>
        <v>4380</v>
      </c>
      <c r="TN180" s="2086">
        <f t="shared" si="291"/>
        <v>4380</v>
      </c>
      <c r="TO180" s="2086">
        <f t="shared" si="291"/>
        <v>4380</v>
      </c>
      <c r="TP180" s="2086">
        <f t="shared" si="291"/>
        <v>4380</v>
      </c>
      <c r="TQ180" s="2086">
        <f t="shared" si="291"/>
        <v>4380</v>
      </c>
      <c r="TR180" s="2086">
        <f t="shared" si="291"/>
        <v>4380</v>
      </c>
      <c r="TS180" s="2086">
        <f t="shared" si="291"/>
        <v>4380</v>
      </c>
      <c r="TT180" s="2086">
        <f t="shared" si="291"/>
        <v>4380</v>
      </c>
      <c r="TU180" s="2086">
        <f t="shared" si="291"/>
        <v>4380</v>
      </c>
      <c r="TV180" s="2086">
        <f t="shared" si="291"/>
        <v>4380</v>
      </c>
      <c r="TW180" s="2086">
        <f t="shared" si="291"/>
        <v>4380</v>
      </c>
      <c r="TX180" s="2086">
        <f t="shared" si="291"/>
        <v>4380</v>
      </c>
      <c r="TY180" s="2086">
        <f t="shared" si="291"/>
        <v>4380</v>
      </c>
      <c r="TZ180" s="2086">
        <f t="shared" si="291"/>
        <v>4380</v>
      </c>
      <c r="UA180" s="2086">
        <f t="shared" si="291"/>
        <v>4380</v>
      </c>
      <c r="UB180" s="2086">
        <f t="shared" si="291"/>
        <v>4380</v>
      </c>
      <c r="UC180" s="2086">
        <f t="shared" si="291"/>
        <v>4380</v>
      </c>
      <c r="UD180" s="2086">
        <f t="shared" si="291"/>
        <v>4380</v>
      </c>
      <c r="UE180" s="2086">
        <f t="shared" si="291"/>
        <v>4380</v>
      </c>
      <c r="UF180" s="2086">
        <f t="shared" si="291"/>
        <v>4380</v>
      </c>
      <c r="UG180" s="2086">
        <f t="shared" si="291"/>
        <v>4380</v>
      </c>
      <c r="UH180" s="2086">
        <f t="shared" si="291"/>
        <v>4380</v>
      </c>
      <c r="UI180" s="2086">
        <f t="shared" si="291"/>
        <v>4380</v>
      </c>
      <c r="UJ180" s="2086">
        <f t="shared" si="291"/>
        <v>4380</v>
      </c>
      <c r="UK180" s="2086">
        <f t="shared" si="291"/>
        <v>4380</v>
      </c>
      <c r="UL180" s="2086">
        <f t="shared" si="291"/>
        <v>4380</v>
      </c>
      <c r="UM180" s="2086">
        <f t="shared" si="291"/>
        <v>4380</v>
      </c>
      <c r="UN180" s="2086">
        <f t="shared" si="291"/>
        <v>4380</v>
      </c>
      <c r="UO180" s="2086">
        <f t="shared" si="291"/>
        <v>4380</v>
      </c>
      <c r="UP180" s="2086">
        <f t="shared" si="291"/>
        <v>4380</v>
      </c>
      <c r="UQ180" s="2086">
        <f t="shared" si="291"/>
        <v>4380</v>
      </c>
      <c r="UR180" s="2086">
        <f t="shared" si="291"/>
        <v>4380</v>
      </c>
      <c r="US180" s="2086">
        <f t="shared" si="291"/>
        <v>4380</v>
      </c>
      <c r="UT180" s="2086">
        <f t="shared" si="291"/>
        <v>4380</v>
      </c>
      <c r="UU180" s="2086">
        <f t="shared" si="291"/>
        <v>4380</v>
      </c>
      <c r="UV180" s="2086">
        <f t="shared" si="291"/>
        <v>4380</v>
      </c>
      <c r="UW180" s="2086">
        <f t="shared" si="291"/>
        <v>4380</v>
      </c>
      <c r="UX180" s="2086">
        <f t="shared" si="291"/>
        <v>4380</v>
      </c>
      <c r="UY180" s="2086">
        <f t="shared" si="291"/>
        <v>4380</v>
      </c>
      <c r="UZ180" s="2086">
        <f t="shared" si="291"/>
        <v>4380</v>
      </c>
      <c r="VA180" s="2086">
        <f t="shared" si="291"/>
        <v>4380</v>
      </c>
      <c r="VB180" s="2086">
        <f t="shared" si="291"/>
        <v>4380</v>
      </c>
      <c r="VC180" s="2086">
        <f t="shared" si="291"/>
        <v>4380</v>
      </c>
      <c r="VD180" s="2086">
        <f t="shared" si="291"/>
        <v>4380</v>
      </c>
      <c r="VE180" s="2086">
        <f t="shared" si="291"/>
        <v>4380</v>
      </c>
      <c r="VF180" s="2086">
        <f t="shared" si="291"/>
        <v>4380</v>
      </c>
      <c r="VG180" s="2086">
        <f t="shared" si="291"/>
        <v>4380</v>
      </c>
      <c r="VH180" s="2086">
        <f t="shared" si="291"/>
        <v>4380</v>
      </c>
      <c r="VI180" s="2086">
        <f t="shared" si="291"/>
        <v>4380</v>
      </c>
      <c r="VJ180" s="2086">
        <f t="shared" si="291"/>
        <v>4380</v>
      </c>
      <c r="VK180" s="2087">
        <f>IF(VK178&gt;VK179,VK178,IF(VK179&gt;VK178,VK179))</f>
        <v>4380</v>
      </c>
    </row>
    <row r="181" spans="1:583" s="2075" customFormat="1" x14ac:dyDescent="0.25">
      <c r="A181" s="2075" t="s">
        <v>3831</v>
      </c>
      <c r="B181" s="4709" t="s">
        <v>2967</v>
      </c>
      <c r="C181" s="4709"/>
      <c r="D181" s="4709" t="s">
        <v>2967</v>
      </c>
      <c r="E181" s="4709"/>
      <c r="F181" s="2078"/>
      <c r="G181" s="2078"/>
      <c r="H181" s="2078"/>
      <c r="I181" s="1574"/>
      <c r="J181" s="1574"/>
      <c r="K181" s="1574"/>
      <c r="L181" s="1574"/>
      <c r="M181" s="1574"/>
      <c r="N181" s="1574"/>
      <c r="O181" s="1574"/>
      <c r="P181" s="1574"/>
      <c r="Q181" s="1574"/>
      <c r="R181" s="1574"/>
      <c r="S181" s="1574"/>
      <c r="T181" s="1574"/>
      <c r="U181" s="1574"/>
      <c r="V181" s="1574"/>
      <c r="W181" s="1574"/>
      <c r="X181" s="1574"/>
      <c r="Y181" s="1574"/>
      <c r="Z181" s="1574"/>
      <c r="AA181" s="1574"/>
      <c r="AB181" s="1574"/>
      <c r="AC181" s="1574"/>
      <c r="AD181" s="1574"/>
      <c r="AE181" s="1574"/>
      <c r="AF181" s="1574"/>
      <c r="AG181" s="1574"/>
      <c r="AH181" s="1574"/>
      <c r="AI181" s="1574"/>
      <c r="AJ181" s="1574"/>
      <c r="AK181" s="1574"/>
      <c r="AL181" s="1574"/>
      <c r="AM181" s="1574"/>
      <c r="AN181" s="1574"/>
      <c r="AO181" s="1574"/>
      <c r="AP181" s="1574"/>
      <c r="AQ181" s="1574"/>
      <c r="AR181" s="1574"/>
      <c r="AS181" s="1574"/>
      <c r="AT181" s="1574"/>
      <c r="AU181" s="1574"/>
      <c r="AV181" s="1574"/>
      <c r="AW181" s="1574"/>
      <c r="AX181" s="1574"/>
      <c r="AY181" s="1574"/>
      <c r="AZ181" s="1574"/>
      <c r="BA181" s="1574"/>
      <c r="BB181" s="1574"/>
      <c r="BC181" s="1574"/>
      <c r="BD181" s="1574"/>
      <c r="BE181" s="1574"/>
      <c r="BF181" s="1574"/>
      <c r="BG181" s="1574"/>
      <c r="BH181" s="1574"/>
      <c r="BI181" s="1574"/>
      <c r="BJ181" s="1574"/>
      <c r="BK181" s="1574"/>
      <c r="BL181" s="1574"/>
      <c r="BM181" s="1574"/>
      <c r="BN181" s="1574"/>
      <c r="BO181" s="1574"/>
      <c r="BP181" s="1574"/>
      <c r="BQ181" s="1574"/>
      <c r="BR181" s="1574"/>
      <c r="BS181" s="1574"/>
      <c r="BT181" s="1574"/>
      <c r="BU181" s="1574"/>
      <c r="BV181" s="1574"/>
      <c r="BW181" s="1574"/>
      <c r="BX181" s="1574"/>
      <c r="BY181" s="1574"/>
      <c r="BZ181" s="1574"/>
      <c r="CA181" s="1574"/>
      <c r="CB181" s="1574"/>
      <c r="CC181" s="1574"/>
      <c r="CD181" s="1574"/>
      <c r="CE181" s="1574"/>
      <c r="CF181" s="1574"/>
      <c r="CG181" s="1574"/>
      <c r="CH181" s="1574"/>
      <c r="CI181" s="1574"/>
      <c r="CJ181" s="1574"/>
      <c r="CK181" s="1574"/>
      <c r="CL181" s="1574"/>
      <c r="CM181" s="1574"/>
      <c r="CN181" s="1574"/>
      <c r="CO181" s="1574"/>
      <c r="CP181" s="1574"/>
      <c r="CQ181" s="1574"/>
      <c r="CR181" s="1574"/>
      <c r="CS181" s="1574"/>
      <c r="CT181" s="1574"/>
      <c r="CU181" s="1574"/>
      <c r="CV181" s="1574"/>
      <c r="CW181" s="1574"/>
      <c r="CX181" s="1574"/>
      <c r="CY181" s="1574"/>
      <c r="CZ181" s="1574"/>
      <c r="DA181" s="1574"/>
      <c r="DB181" s="1574"/>
      <c r="DC181" s="1574"/>
      <c r="DD181" s="1574"/>
      <c r="DE181" s="1574"/>
      <c r="DF181" s="1574"/>
      <c r="DG181" s="1574"/>
      <c r="DH181" s="1574"/>
      <c r="DI181" s="1574"/>
      <c r="DJ181" s="1574"/>
      <c r="DK181" s="1574"/>
      <c r="DL181" s="1574"/>
      <c r="DM181" s="1574"/>
      <c r="DN181" s="1574"/>
      <c r="DO181" s="1574"/>
      <c r="DP181" s="1574"/>
      <c r="DQ181" s="1574"/>
      <c r="DR181" s="1574"/>
      <c r="DS181" s="1574"/>
      <c r="DT181" s="1574"/>
      <c r="DU181" s="1574"/>
      <c r="DV181" s="1574"/>
      <c r="DW181" s="1574"/>
      <c r="DX181" s="1574"/>
      <c r="DY181" s="1574"/>
      <c r="DZ181" s="1574"/>
      <c r="EA181" s="1574"/>
      <c r="EB181" s="1574"/>
      <c r="EC181" s="1574"/>
      <c r="ED181" s="1574"/>
      <c r="EE181" s="1574"/>
      <c r="EF181" s="1574"/>
      <c r="EG181" s="1574"/>
      <c r="EH181" s="1574"/>
      <c r="EI181" s="1574"/>
      <c r="EJ181" s="1574"/>
      <c r="EK181" s="1574"/>
      <c r="EL181" s="1574"/>
      <c r="EM181" s="1574"/>
      <c r="EN181" s="1574"/>
      <c r="EO181" s="1574"/>
      <c r="EP181" s="1574"/>
      <c r="EQ181" s="1574"/>
      <c r="ER181" s="1574"/>
      <c r="ES181" s="1574"/>
      <c r="ET181" s="1574"/>
      <c r="EU181" s="1574"/>
      <c r="EV181" s="1574"/>
      <c r="EW181" s="1574"/>
      <c r="EX181" s="1574"/>
      <c r="EY181" s="1574"/>
      <c r="EZ181" s="1574"/>
      <c r="FA181" s="1574"/>
      <c r="FB181" s="1574"/>
      <c r="FC181" s="1574"/>
      <c r="FD181" s="1574"/>
      <c r="FE181" s="1574"/>
      <c r="FF181" s="1574"/>
      <c r="FG181" s="1574"/>
      <c r="FH181" s="1574"/>
      <c r="FI181" s="1574"/>
      <c r="FJ181" s="1574"/>
      <c r="FK181" s="1574"/>
      <c r="FL181" s="1574"/>
      <c r="FM181" s="1574"/>
      <c r="FN181" s="1574"/>
      <c r="FO181" s="1574"/>
      <c r="FP181" s="1574"/>
      <c r="FQ181" s="1574"/>
      <c r="FR181" s="1574"/>
      <c r="FS181" s="1574"/>
      <c r="FT181" s="1574"/>
      <c r="FU181" s="1574"/>
      <c r="FV181" s="1574"/>
      <c r="FW181" s="1574"/>
      <c r="FX181" s="1574"/>
      <c r="FY181" s="1574"/>
      <c r="FZ181" s="1574"/>
      <c r="GA181" s="1574"/>
      <c r="GB181" s="1574"/>
      <c r="GC181" s="1574"/>
      <c r="GD181" s="1574"/>
      <c r="GE181" s="1574"/>
      <c r="GF181" s="1574"/>
      <c r="GG181" s="1574"/>
      <c r="GH181" s="1574"/>
      <c r="GI181" s="1574"/>
      <c r="GJ181" s="1574"/>
      <c r="GK181" s="1574"/>
      <c r="GL181" s="1574"/>
      <c r="GM181" s="1574"/>
      <c r="GN181" s="1574"/>
      <c r="GO181" s="1574"/>
      <c r="GP181" s="1574"/>
      <c r="GQ181" s="1574"/>
      <c r="GR181" s="1574"/>
      <c r="GS181" s="1574"/>
      <c r="GT181" s="1574"/>
      <c r="GU181" s="1574"/>
      <c r="GV181" s="1574"/>
      <c r="GW181" s="1574"/>
      <c r="GX181" s="1574"/>
      <c r="GY181" s="1574"/>
      <c r="GZ181" s="1574"/>
      <c r="HA181" s="1574"/>
      <c r="HB181" s="1574"/>
      <c r="HC181" s="1574"/>
      <c r="HD181" s="1574"/>
      <c r="HE181" s="1574"/>
      <c r="HF181" s="1574"/>
      <c r="HG181" s="1574"/>
      <c r="HH181" s="1574"/>
      <c r="HI181" s="1574"/>
      <c r="HJ181" s="1574"/>
      <c r="HK181" s="1574"/>
      <c r="HL181" s="1574"/>
      <c r="HM181" s="1574"/>
      <c r="HN181" s="1574"/>
      <c r="HO181" s="1574"/>
      <c r="HP181" s="1574"/>
      <c r="HQ181" s="1574"/>
      <c r="HR181" s="1574"/>
      <c r="HS181" s="1574"/>
      <c r="HT181" s="1574"/>
      <c r="HU181" s="1574"/>
      <c r="HV181" s="1574"/>
      <c r="HW181" s="1574"/>
      <c r="HX181" s="1574"/>
      <c r="HY181" s="1574"/>
      <c r="HZ181" s="1574"/>
      <c r="IA181" s="1574"/>
      <c r="IB181" s="1574"/>
      <c r="IC181" s="1574"/>
      <c r="ID181" s="1574"/>
      <c r="IE181" s="1574"/>
      <c r="IF181" s="1574"/>
      <c r="IG181" s="1574"/>
      <c r="IH181" s="1574"/>
      <c r="II181" s="1574"/>
      <c r="IJ181" s="1574"/>
      <c r="IK181" s="1574"/>
      <c r="IL181" s="1574"/>
      <c r="IM181" s="1574"/>
      <c r="IN181" s="1574"/>
      <c r="IO181" s="1574"/>
      <c r="IP181" s="1574"/>
      <c r="IQ181" s="1574"/>
      <c r="IR181" s="1574"/>
      <c r="IS181" s="1574"/>
      <c r="IT181" s="1574"/>
      <c r="IU181" s="1574"/>
      <c r="IV181" s="1574"/>
      <c r="IW181" s="1574"/>
      <c r="IX181" s="1574"/>
      <c r="IY181" s="1574"/>
      <c r="IZ181" s="1574"/>
      <c r="JA181" s="1574"/>
      <c r="JB181" s="1574"/>
      <c r="JC181" s="1574"/>
      <c r="JD181" s="1574"/>
      <c r="JE181" s="1574"/>
      <c r="JF181" s="1574"/>
      <c r="JG181" s="1574"/>
      <c r="JH181" s="1574"/>
      <c r="JI181" s="1574"/>
      <c r="JJ181" s="1574"/>
      <c r="JK181" s="1574"/>
      <c r="JL181" s="1574"/>
      <c r="JM181" s="1574"/>
      <c r="JN181" s="1574"/>
      <c r="JO181" s="1574"/>
      <c r="JP181" s="1574"/>
      <c r="JQ181" s="1574"/>
      <c r="JR181" s="1574"/>
      <c r="JS181" s="1574"/>
      <c r="JT181" s="1574"/>
      <c r="JU181" s="1574"/>
      <c r="JV181" s="1574"/>
      <c r="JW181" s="1574"/>
      <c r="JX181" s="1574"/>
      <c r="JY181" s="1574"/>
      <c r="JZ181" s="1574"/>
      <c r="KA181" s="1574"/>
      <c r="KB181" s="1574"/>
      <c r="KC181" s="1574"/>
      <c r="KD181" s="1574"/>
      <c r="KE181" s="1574"/>
      <c r="KF181" s="1574"/>
      <c r="KG181" s="1574"/>
      <c r="KH181" s="1574"/>
      <c r="KI181" s="1574"/>
      <c r="KJ181" s="1574"/>
      <c r="KK181" s="1574"/>
      <c r="KL181" s="1574"/>
      <c r="KM181" s="1574"/>
      <c r="KN181" s="1574"/>
      <c r="KO181" s="1574"/>
      <c r="KP181" s="1574"/>
      <c r="KQ181" s="1574"/>
      <c r="KR181" s="1574"/>
      <c r="KS181" s="1574"/>
      <c r="KT181" s="1574"/>
      <c r="KU181" s="1574"/>
      <c r="KV181" s="1574"/>
      <c r="KW181" s="1574"/>
      <c r="KX181" s="1574"/>
      <c r="KY181" s="1574"/>
      <c r="KZ181" s="1574"/>
      <c r="LA181" s="1574"/>
      <c r="LB181" s="1574"/>
      <c r="LC181" s="1574"/>
      <c r="LD181" s="1574"/>
      <c r="LE181" s="1574"/>
      <c r="LF181" s="1574"/>
      <c r="LG181" s="1574"/>
      <c r="LH181" s="1574"/>
      <c r="LI181" s="1574"/>
      <c r="LJ181" s="1574"/>
      <c r="LK181" s="1574"/>
      <c r="LL181" s="1574"/>
      <c r="LM181" s="1574"/>
      <c r="LN181" s="1574"/>
      <c r="LO181" s="1574"/>
      <c r="LP181" s="1574"/>
      <c r="LQ181" s="1574"/>
      <c r="LR181" s="1574"/>
      <c r="LS181" s="1574"/>
      <c r="LT181" s="1574"/>
      <c r="LU181" s="1574"/>
      <c r="LV181" s="1574"/>
      <c r="LW181" s="1574"/>
      <c r="LX181" s="1574"/>
      <c r="LY181" s="1574"/>
      <c r="LZ181" s="1574"/>
      <c r="MA181" s="1574"/>
      <c r="MB181" s="1574"/>
      <c r="MC181" s="1574"/>
      <c r="MD181" s="1574"/>
      <c r="ME181" s="1574"/>
      <c r="MF181" s="1574"/>
      <c r="MG181" s="1574"/>
      <c r="MH181" s="1574"/>
      <c r="MI181" s="1574"/>
      <c r="MJ181" s="1574"/>
      <c r="MK181" s="1574"/>
      <c r="ML181" s="1574"/>
      <c r="MM181" s="1574"/>
      <c r="MN181" s="1574"/>
      <c r="MO181" s="1574"/>
      <c r="MP181" s="1574"/>
      <c r="MQ181" s="1574"/>
      <c r="MR181" s="1574"/>
      <c r="MS181" s="1574"/>
      <c r="MT181" s="1574"/>
      <c r="MU181" s="1574"/>
      <c r="MV181" s="1574"/>
      <c r="MW181" s="1574"/>
      <c r="MX181" s="1574"/>
      <c r="MY181" s="1574"/>
      <c r="MZ181" s="1574"/>
      <c r="NA181" s="1574"/>
      <c r="NB181" s="1574"/>
      <c r="NC181" s="1574"/>
      <c r="ND181" s="1574"/>
      <c r="NE181" s="1574"/>
      <c r="NF181" s="1574"/>
      <c r="NG181" s="1574"/>
      <c r="NH181" s="1574"/>
      <c r="NI181" s="1574"/>
      <c r="NJ181" s="1574"/>
      <c r="NK181" s="1574"/>
      <c r="NL181" s="1574"/>
      <c r="NM181" s="1574"/>
      <c r="NN181" s="1574"/>
      <c r="NO181" s="1574"/>
      <c r="NP181" s="1574"/>
      <c r="NQ181" s="1574"/>
      <c r="NR181" s="1574"/>
      <c r="NS181" s="1574"/>
      <c r="NT181" s="1574"/>
      <c r="NU181" s="1574"/>
      <c r="NV181" s="1574"/>
      <c r="NW181" s="1574"/>
      <c r="NX181" s="1574"/>
      <c r="NY181" s="1574"/>
      <c r="NZ181" s="1574"/>
      <c r="OA181" s="1574"/>
      <c r="OB181" s="1574"/>
      <c r="OC181" s="1574"/>
      <c r="OD181" s="1574"/>
      <c r="OE181" s="1574"/>
      <c r="OF181" s="1574"/>
      <c r="OG181" s="1574"/>
      <c r="OH181" s="1574"/>
      <c r="OI181" s="1574"/>
      <c r="OJ181" s="1574"/>
      <c r="OK181" s="1574"/>
      <c r="OL181" s="1574"/>
      <c r="OM181" s="1574"/>
      <c r="ON181" s="1574"/>
      <c r="OO181" s="1574"/>
      <c r="OP181" s="1574"/>
      <c r="OQ181" s="1574"/>
      <c r="OR181" s="1574"/>
      <c r="OS181" s="1574"/>
      <c r="OT181" s="1574"/>
      <c r="OU181" s="1574"/>
      <c r="OV181" s="1574"/>
      <c r="OW181" s="1574"/>
      <c r="OX181" s="1574"/>
      <c r="OY181" s="1574"/>
      <c r="OZ181" s="1574"/>
      <c r="PA181" s="1574"/>
      <c r="PB181" s="1574"/>
      <c r="PC181" s="1574"/>
      <c r="PD181" s="1574"/>
      <c r="PE181" s="1574"/>
      <c r="PF181" s="1574"/>
      <c r="PG181" s="1574"/>
      <c r="PH181" s="1574"/>
      <c r="PI181" s="1574"/>
      <c r="PJ181" s="1574"/>
      <c r="PK181" s="1574"/>
      <c r="PL181" s="1574"/>
      <c r="PM181" s="1574"/>
      <c r="PN181" s="1574"/>
      <c r="PO181" s="1574"/>
      <c r="PP181" s="1574"/>
      <c r="PQ181" s="1574"/>
      <c r="PR181" s="1574"/>
      <c r="PS181" s="1574"/>
      <c r="PT181" s="1574"/>
      <c r="PU181" s="1574"/>
      <c r="PV181" s="1574"/>
      <c r="PW181" s="1574"/>
      <c r="PX181" s="1574"/>
      <c r="PY181" s="1574"/>
      <c r="PZ181" s="1574"/>
      <c r="QA181" s="1574"/>
      <c r="QB181" s="1574"/>
      <c r="QC181" s="1574"/>
      <c r="QD181" s="1574"/>
      <c r="QE181" s="1574"/>
      <c r="QF181" s="1574"/>
      <c r="QG181" s="1574"/>
      <c r="QH181" s="1574"/>
      <c r="QI181" s="1574"/>
      <c r="QJ181" s="1574"/>
      <c r="QK181" s="1574"/>
      <c r="QL181" s="1574"/>
      <c r="QM181" s="1574"/>
      <c r="QN181" s="1574"/>
      <c r="QO181" s="1574"/>
      <c r="QP181" s="1574"/>
      <c r="QQ181" s="1574"/>
      <c r="QR181" s="1574"/>
      <c r="QS181" s="1574"/>
      <c r="QT181" s="1574"/>
      <c r="QU181" s="1574"/>
      <c r="QV181" s="1574"/>
      <c r="QW181" s="1574"/>
      <c r="QX181" s="1574"/>
      <c r="QY181" s="1574"/>
      <c r="QZ181" s="1574"/>
      <c r="RA181" s="1574"/>
      <c r="RB181" s="1574"/>
      <c r="RC181" s="1574"/>
      <c r="RD181" s="1574"/>
      <c r="RE181" s="1574"/>
      <c r="RF181" s="1574"/>
      <c r="RG181" s="1574"/>
      <c r="RH181" s="1574"/>
      <c r="RI181" s="1574"/>
      <c r="RJ181" s="1574"/>
      <c r="RK181" s="1574"/>
      <c r="RL181" s="1574"/>
      <c r="RM181" s="1574"/>
      <c r="RN181" s="1574"/>
      <c r="RO181" s="1574"/>
      <c r="RP181" s="1574"/>
      <c r="RQ181" s="1574"/>
      <c r="RR181" s="1574"/>
      <c r="RS181" s="1574"/>
      <c r="RT181" s="1574"/>
      <c r="RU181" s="1574"/>
      <c r="RV181" s="1574"/>
      <c r="RW181" s="1574"/>
      <c r="RX181" s="1574"/>
      <c r="RY181" s="1574"/>
      <c r="RZ181" s="1574"/>
      <c r="SA181" s="1574"/>
      <c r="SB181" s="1574"/>
      <c r="SC181" s="1574"/>
      <c r="SD181" s="1574"/>
      <c r="SE181" s="1574"/>
      <c r="SF181" s="1574"/>
      <c r="SG181" s="1574"/>
      <c r="SH181" s="1574"/>
      <c r="SI181" s="1574"/>
      <c r="SJ181" s="1574"/>
      <c r="SK181" s="1574"/>
      <c r="SL181" s="1574"/>
      <c r="SM181" s="1574"/>
      <c r="SN181" s="1574"/>
      <c r="SO181" s="1574"/>
      <c r="SP181" s="1574"/>
      <c r="SQ181" s="1574"/>
      <c r="SR181" s="1574"/>
      <c r="SS181" s="1574"/>
      <c r="ST181" s="1574"/>
      <c r="SU181" s="1574"/>
      <c r="SV181" s="1574"/>
      <c r="SW181" s="1574"/>
      <c r="SX181" s="1574"/>
      <c r="SY181" s="1574"/>
      <c r="SZ181" s="1574"/>
      <c r="TA181" s="1574"/>
      <c r="TB181" s="1574"/>
      <c r="TC181" s="1574"/>
      <c r="TD181" s="1574"/>
      <c r="TE181" s="1574"/>
      <c r="TF181" s="1574"/>
      <c r="TG181" s="1574"/>
      <c r="TH181" s="1574"/>
      <c r="TI181" s="1574"/>
      <c r="TJ181" s="1574"/>
      <c r="TK181" s="1574"/>
      <c r="TL181" s="1574"/>
      <c r="TM181" s="1574"/>
      <c r="TN181" s="1574"/>
      <c r="TO181" s="1574"/>
      <c r="TP181" s="1574"/>
      <c r="TQ181" s="1574"/>
      <c r="TR181" s="1574"/>
      <c r="TS181" s="1574"/>
      <c r="TT181" s="1574"/>
      <c r="TU181" s="1574"/>
      <c r="TV181" s="1574"/>
      <c r="TW181" s="1574"/>
      <c r="TX181" s="1574"/>
      <c r="TY181" s="1574"/>
      <c r="TZ181" s="1574"/>
      <c r="UA181" s="1574"/>
      <c r="UB181" s="1574"/>
      <c r="UC181" s="1574"/>
      <c r="UD181" s="1574"/>
      <c r="UE181" s="1574"/>
      <c r="UF181" s="1574"/>
      <c r="UG181" s="1574"/>
      <c r="UH181" s="1574"/>
      <c r="UI181" s="1574"/>
      <c r="UJ181" s="1574"/>
      <c r="UK181" s="1574"/>
      <c r="UL181" s="1574"/>
      <c r="UM181" s="1574"/>
      <c r="UN181" s="1574"/>
      <c r="UO181" s="1574"/>
      <c r="UP181" s="1574"/>
      <c r="UQ181" s="1574"/>
      <c r="UR181" s="1574"/>
      <c r="US181" s="1574"/>
      <c r="UT181" s="1574"/>
      <c r="UU181" s="1574"/>
      <c r="UV181" s="1574"/>
      <c r="UW181" s="1574"/>
      <c r="UX181" s="1574"/>
      <c r="UY181" s="1574"/>
      <c r="UZ181" s="1574"/>
      <c r="VA181" s="1574"/>
      <c r="VB181" s="1574"/>
      <c r="VC181" s="1574"/>
      <c r="VD181" s="1574"/>
      <c r="VE181" s="1574"/>
      <c r="VF181" s="1574"/>
      <c r="VG181" s="1574"/>
      <c r="VH181" s="1574"/>
      <c r="VI181" s="1574"/>
      <c r="VJ181" s="1574"/>
      <c r="VK181" s="1574"/>
    </row>
    <row r="182" spans="1:583" x14ac:dyDescent="0.25">
      <c r="B182" s="1610" t="s">
        <v>2879</v>
      </c>
      <c r="C182" s="1582" t="s">
        <v>1982</v>
      </c>
      <c r="D182" s="4710" t="s">
        <v>2880</v>
      </c>
      <c r="E182" s="4710"/>
      <c r="F182" s="2057"/>
      <c r="G182" s="2057"/>
      <c r="H182" s="2057"/>
      <c r="I182" s="2059"/>
      <c r="J182" s="2059"/>
      <c r="K182" s="2059"/>
      <c r="L182" s="2059"/>
      <c r="M182" s="2059"/>
      <c r="N182" s="2059"/>
      <c r="O182" s="2059"/>
      <c r="P182" s="2059"/>
      <c r="Q182" s="2059"/>
      <c r="R182" s="2059"/>
      <c r="S182" s="2059"/>
      <c r="T182" s="2059"/>
      <c r="U182" s="2059"/>
      <c r="V182" s="2059"/>
      <c r="W182" s="2059"/>
      <c r="X182" s="2059"/>
      <c r="Y182" s="2059"/>
      <c r="Z182" s="2059"/>
      <c r="AA182" s="2059"/>
      <c r="AB182" s="2059"/>
      <c r="AC182" s="2059"/>
      <c r="AD182" s="2059"/>
      <c r="AE182" s="2059"/>
      <c r="AF182" s="2059"/>
      <c r="AG182" s="2059"/>
      <c r="AH182" s="2059"/>
      <c r="AI182" s="2059"/>
      <c r="AJ182" s="2059"/>
      <c r="AK182" s="2059"/>
      <c r="AL182" s="2059"/>
      <c r="AM182" s="2059"/>
      <c r="AN182" s="2059"/>
      <c r="AO182" s="2059"/>
      <c r="AP182" s="2059"/>
      <c r="AQ182" s="2059"/>
      <c r="AR182" s="2059"/>
      <c r="AS182" s="2059"/>
      <c r="AT182" s="2059"/>
      <c r="AU182" s="2059"/>
      <c r="AV182" s="2059"/>
      <c r="AW182" s="2059"/>
      <c r="AX182" s="2059"/>
      <c r="AY182" s="2059"/>
      <c r="AZ182" s="2059"/>
      <c r="BA182" s="2059"/>
      <c r="BB182" s="2059"/>
      <c r="BC182" s="2059"/>
      <c r="BD182" s="2059"/>
      <c r="BE182" s="2059"/>
      <c r="BF182" s="2059"/>
      <c r="BG182" s="2059"/>
      <c r="BH182" s="2059"/>
      <c r="BI182" s="2059"/>
      <c r="BJ182" s="2059"/>
      <c r="BK182" s="2059"/>
      <c r="BL182" s="2059"/>
      <c r="BM182" s="2059"/>
      <c r="BN182" s="2059"/>
      <c r="BO182" s="2059"/>
      <c r="BP182" s="2059"/>
      <c r="BQ182" s="2059"/>
      <c r="BR182" s="2059"/>
      <c r="BS182" s="2059"/>
      <c r="BT182" s="2059"/>
      <c r="BU182" s="2059"/>
      <c r="BV182" s="2059"/>
      <c r="BW182" s="2059"/>
      <c r="BX182" s="2059"/>
      <c r="BY182" s="2059"/>
      <c r="BZ182" s="2059"/>
      <c r="CA182" s="2059"/>
      <c r="CB182" s="2059"/>
      <c r="CC182" s="2059"/>
      <c r="CD182" s="2059"/>
      <c r="CE182" s="2059"/>
      <c r="CF182" s="2059"/>
      <c r="CG182" s="2059"/>
      <c r="CH182" s="2059"/>
      <c r="CI182" s="2059"/>
      <c r="CJ182" s="2059"/>
      <c r="CK182" s="2059"/>
      <c r="CL182" s="2059"/>
      <c r="CM182" s="2059"/>
      <c r="CN182" s="2059"/>
      <c r="CO182" s="2059"/>
      <c r="CP182" s="1576"/>
      <c r="CQ182" s="1576"/>
      <c r="CR182" s="1576"/>
      <c r="CS182" s="1576"/>
      <c r="CT182" s="1576"/>
      <c r="CU182" s="1576"/>
      <c r="CV182" s="1576"/>
      <c r="CW182" s="1576"/>
      <c r="CX182" s="1576"/>
      <c r="CY182" s="1576"/>
      <c r="CZ182" s="1576"/>
      <c r="DA182" s="1576"/>
      <c r="DB182" s="1576"/>
      <c r="DC182" s="1576"/>
      <c r="DD182" s="1576"/>
      <c r="DE182" s="1576"/>
      <c r="DF182" s="1576"/>
      <c r="DG182" s="1576"/>
      <c r="DH182" s="1576"/>
      <c r="DI182" s="1576"/>
      <c r="DJ182" s="1576"/>
      <c r="DK182" s="1576"/>
      <c r="DL182" s="1576"/>
      <c r="DM182" s="1576"/>
      <c r="DN182" s="1576"/>
      <c r="DO182" s="1576"/>
      <c r="DP182" s="1576"/>
      <c r="DQ182" s="1576"/>
      <c r="DR182" s="1576"/>
      <c r="DS182" s="1576"/>
      <c r="DT182" s="1576"/>
      <c r="DU182" s="1576"/>
      <c r="DV182" s="1576"/>
      <c r="DW182" s="1576"/>
      <c r="DX182" s="1576"/>
      <c r="DY182" s="1576"/>
      <c r="DZ182" s="1576"/>
      <c r="EA182" s="1576"/>
      <c r="EB182" s="1576"/>
      <c r="EC182" s="1576"/>
      <c r="ED182" s="1576"/>
      <c r="EE182" s="1576"/>
      <c r="EF182" s="1576"/>
      <c r="EG182" s="1576"/>
      <c r="EH182" s="1576"/>
      <c r="EI182" s="1576"/>
      <c r="EJ182" s="1576"/>
      <c r="EK182" s="1576"/>
      <c r="EL182" s="1576"/>
      <c r="EM182" s="1576"/>
      <c r="EN182" s="1576"/>
      <c r="EO182" s="1576"/>
      <c r="EP182" s="1576"/>
      <c r="EQ182" s="1576"/>
      <c r="ER182" s="1576"/>
      <c r="ES182" s="1576"/>
      <c r="ET182" s="1576"/>
      <c r="EU182" s="1576"/>
      <c r="EV182" s="1576"/>
      <c r="EW182" s="1576"/>
      <c r="EX182" s="1576"/>
      <c r="EY182" s="1576"/>
      <c r="EZ182" s="1576"/>
      <c r="FA182" s="1576"/>
      <c r="FB182" s="1576"/>
      <c r="FC182" s="1576"/>
      <c r="FD182" s="1576"/>
      <c r="FE182" s="1576"/>
      <c r="FF182" s="1576"/>
      <c r="FG182" s="1576"/>
      <c r="FH182" s="1576"/>
      <c r="FI182" s="1576"/>
      <c r="FJ182" s="1576"/>
      <c r="FK182" s="1576"/>
      <c r="FL182" s="1576"/>
      <c r="FM182" s="1576"/>
      <c r="FN182" s="1576"/>
      <c r="FO182" s="1576"/>
      <c r="FP182" s="1576"/>
      <c r="FQ182" s="1576"/>
      <c r="FR182" s="1576"/>
      <c r="FS182" s="1576"/>
      <c r="FT182" s="1576"/>
      <c r="FU182" s="1576"/>
      <c r="FV182" s="1576"/>
      <c r="FW182" s="1576"/>
      <c r="FX182" s="1576"/>
      <c r="FY182" s="1576"/>
      <c r="FZ182" s="1576"/>
      <c r="GA182" s="1576"/>
      <c r="GB182" s="1576"/>
      <c r="GC182" s="1576"/>
      <c r="GD182" s="1576"/>
      <c r="GE182" s="1576"/>
      <c r="GF182" s="1576"/>
      <c r="GG182" s="1576"/>
      <c r="GH182" s="1576"/>
      <c r="GI182" s="1576"/>
      <c r="GJ182" s="1576"/>
      <c r="GK182" s="1576"/>
      <c r="GL182" s="1576"/>
      <c r="GM182" s="1576"/>
      <c r="GN182" s="1576"/>
      <c r="GO182" s="1576"/>
      <c r="GP182" s="1576"/>
      <c r="GQ182" s="1576"/>
      <c r="GR182" s="1576"/>
      <c r="GS182" s="1576"/>
      <c r="GT182" s="1576"/>
      <c r="GU182" s="1576"/>
      <c r="GV182" s="1576"/>
      <c r="GW182" s="1576"/>
      <c r="GX182" s="1576"/>
      <c r="GY182" s="1576"/>
      <c r="GZ182" s="1576"/>
      <c r="HA182" s="1576"/>
      <c r="HB182" s="1576"/>
      <c r="HC182" s="1576"/>
      <c r="HD182" s="1576"/>
      <c r="HE182" s="1576"/>
      <c r="HF182" s="1576"/>
      <c r="HG182" s="1576"/>
      <c r="HH182" s="1576"/>
      <c r="HI182" s="1576"/>
      <c r="HJ182" s="1576"/>
      <c r="HK182" s="1576"/>
      <c r="HL182" s="1576"/>
      <c r="HM182" s="1576"/>
      <c r="HN182" s="1576"/>
      <c r="HO182" s="1576"/>
      <c r="HP182" s="1576"/>
      <c r="HQ182" s="1576"/>
      <c r="HR182" s="1576"/>
      <c r="HS182" s="1576"/>
      <c r="HT182" s="1576"/>
      <c r="HU182" s="1576"/>
      <c r="HV182" s="1576"/>
      <c r="HW182" s="1576"/>
      <c r="HX182" s="1576"/>
      <c r="HY182" s="1576"/>
      <c r="HZ182" s="1576"/>
      <c r="IA182" s="1576"/>
      <c r="IB182" s="1576"/>
      <c r="IC182" s="1576"/>
      <c r="ID182" s="1576"/>
      <c r="IE182" s="1576"/>
      <c r="IF182" s="1576"/>
      <c r="IG182" s="1576"/>
      <c r="IH182" s="1576"/>
      <c r="II182" s="1576"/>
      <c r="IJ182" s="1576"/>
      <c r="IK182" s="1576"/>
      <c r="IL182" s="1576"/>
      <c r="IM182" s="1576"/>
      <c r="IN182" s="1576"/>
      <c r="IO182" s="1576"/>
      <c r="IP182" s="1576"/>
      <c r="IQ182" s="1576"/>
      <c r="IR182" s="1576"/>
      <c r="IS182" s="1576"/>
      <c r="IT182" s="1576"/>
      <c r="IU182" s="1576"/>
      <c r="IV182" s="1576"/>
      <c r="IW182" s="1576"/>
      <c r="IX182" s="1576"/>
      <c r="IY182" s="1576"/>
      <c r="IZ182" s="1576"/>
      <c r="JA182" s="2054"/>
      <c r="JB182" s="2054"/>
      <c r="JC182" s="2054"/>
      <c r="JD182" s="2054"/>
      <c r="JE182" s="2054"/>
      <c r="JF182" s="2054"/>
      <c r="JG182" s="2054"/>
      <c r="JH182" s="2054"/>
      <c r="JI182" s="2054"/>
      <c r="JJ182" s="2054"/>
      <c r="JK182" s="2054"/>
      <c r="JL182" s="2054"/>
      <c r="JM182" s="2054"/>
      <c r="JN182" s="2054"/>
      <c r="JO182" s="2054"/>
      <c r="JP182" s="2054"/>
      <c r="JQ182" s="2054"/>
      <c r="JR182" s="1576" t="e">
        <f>'Paso 1.1'!E138*Tiempos!$I$271</f>
        <v>#DIV/0!</v>
      </c>
      <c r="JS182" s="1576" t="e">
        <f>'Paso 1.1'!F138*Tiempos!$I$271</f>
        <v>#DIV/0!</v>
      </c>
      <c r="JT182" s="1576" t="e">
        <f>'Paso 1.1'!G138*Tiempos!$I$271</f>
        <v>#DIV/0!</v>
      </c>
      <c r="JU182" s="1576" t="e">
        <f>'Paso 1.1'!H138*Tiempos!$I$271</f>
        <v>#DIV/0!</v>
      </c>
      <c r="JV182" s="1576" t="e">
        <f>'Paso 1.1'!I138*Tiempos!$I$271</f>
        <v>#DIV/0!</v>
      </c>
      <c r="JW182" s="1576" t="e">
        <f>'Paso 1.1'!J138*Tiempos!$I$271</f>
        <v>#DIV/0!</v>
      </c>
      <c r="JX182" s="1576" t="e">
        <f>'Paso 1.1'!K138*Tiempos!$I$271</f>
        <v>#DIV/0!</v>
      </c>
      <c r="JY182" s="1576" t="e">
        <f>'Paso 1.1'!L138*Tiempos!$I$271</f>
        <v>#DIV/0!</v>
      </c>
      <c r="JZ182" s="1576" t="e">
        <f>'Paso 1.1'!M138*Tiempos!$I$271</f>
        <v>#DIV/0!</v>
      </c>
      <c r="KA182" s="1576" t="e">
        <f>'Paso 1.1'!N138*Tiempos!$I$271</f>
        <v>#DIV/0!</v>
      </c>
      <c r="KB182" s="1576" t="e">
        <f>'Paso 1.1'!O138*Tiempos!$I$271</f>
        <v>#DIV/0!</v>
      </c>
      <c r="KC182" s="1576" t="e">
        <f>'Paso 1.1'!P138*Tiempos!$I$271</f>
        <v>#DIV/0!</v>
      </c>
      <c r="KD182" s="1576" t="e">
        <f>'Paso 1.1'!Q138*Tiempos!$I$271</f>
        <v>#DIV/0!</v>
      </c>
      <c r="KE182" s="1576" t="e">
        <f>'Paso 1.1'!R138*Tiempos!$I$271</f>
        <v>#DIV/0!</v>
      </c>
      <c r="KF182" s="1576" t="e">
        <f>'Paso 1.1'!S138*Tiempos!$I$271</f>
        <v>#DIV/0!</v>
      </c>
      <c r="KG182" s="1576" t="e">
        <f>'Paso 1.1'!T138*Tiempos!$I$271</f>
        <v>#DIV/0!</v>
      </c>
      <c r="KH182" s="1576" t="e">
        <f>'Paso 1.1'!U138*Tiempos!$I$271</f>
        <v>#DIV/0!</v>
      </c>
      <c r="KI182" s="1576"/>
      <c r="KJ182" s="1576"/>
      <c r="KK182" s="1576"/>
      <c r="KL182" s="1576"/>
      <c r="KM182" s="1576"/>
      <c r="KN182" s="1576"/>
      <c r="KO182" s="1576"/>
      <c r="KP182" s="1576"/>
      <c r="KQ182" s="1576"/>
      <c r="KR182" s="1576"/>
      <c r="KS182" s="1576"/>
      <c r="KT182" s="1576"/>
      <c r="KU182" s="1576"/>
      <c r="KV182" s="1576"/>
      <c r="KW182" s="1576"/>
      <c r="KX182" s="1576"/>
      <c r="KY182" s="1576"/>
      <c r="KZ182" s="1576"/>
      <c r="LA182" s="1576"/>
      <c r="LB182" s="1576"/>
      <c r="LC182" s="1576"/>
      <c r="LD182" s="1576"/>
      <c r="LE182" s="1576"/>
      <c r="LF182" s="1576"/>
      <c r="LG182" s="1576"/>
      <c r="LH182" s="1576"/>
      <c r="LI182" s="1576"/>
      <c r="LJ182" s="1576"/>
      <c r="LK182" s="1576"/>
      <c r="LL182" s="1576"/>
      <c r="LM182" s="1576"/>
      <c r="LN182" s="1576"/>
      <c r="LO182" s="1576"/>
      <c r="LP182" s="1576"/>
      <c r="LQ182" s="1576"/>
      <c r="LR182" s="1576"/>
      <c r="LS182" s="1576"/>
      <c r="LT182" s="1576"/>
      <c r="LU182" s="1576"/>
      <c r="LV182" s="1576"/>
      <c r="LW182" s="1576"/>
      <c r="LX182" s="1576"/>
      <c r="LY182" s="1576"/>
      <c r="LZ182" s="1576"/>
      <c r="MA182" s="1576"/>
      <c r="MB182" s="1576"/>
      <c r="MC182" s="1576"/>
      <c r="MD182" s="1576"/>
      <c r="ME182" s="1576"/>
      <c r="MF182" s="1576"/>
      <c r="MG182" s="1576"/>
      <c r="MH182" s="1576"/>
      <c r="MI182" s="1576"/>
      <c r="MJ182" s="1576"/>
      <c r="MK182" s="1576"/>
      <c r="ML182" s="1576"/>
      <c r="MM182" s="1576"/>
      <c r="MN182" s="1576"/>
      <c r="MO182" s="1576"/>
      <c r="MP182" s="1576"/>
      <c r="MQ182" s="1576"/>
      <c r="MR182" s="1576"/>
      <c r="MS182" s="1576"/>
      <c r="MT182" s="1576"/>
      <c r="MU182" s="1576"/>
      <c r="MV182" s="1576"/>
      <c r="MW182" s="1576"/>
      <c r="MX182" s="1576"/>
      <c r="MY182" s="1576" t="e">
        <f>'Paso 1.1'!E138*Tiempos!$I$271</f>
        <v>#DIV/0!</v>
      </c>
      <c r="MZ182" s="1576" t="e">
        <f>'Paso 1.1'!F138*Tiempos!$I$271</f>
        <v>#DIV/0!</v>
      </c>
      <c r="NA182" s="1576" t="e">
        <f>'Paso 1.1'!G138*Tiempos!$I$271</f>
        <v>#DIV/0!</v>
      </c>
      <c r="NB182" s="1576" t="e">
        <f>'Paso 1.1'!H138*Tiempos!$I$271</f>
        <v>#DIV/0!</v>
      </c>
      <c r="NC182" s="1576" t="e">
        <f>'Paso 1.1'!I138*Tiempos!$I$271</f>
        <v>#DIV/0!</v>
      </c>
      <c r="ND182" s="1576" t="e">
        <f>'Paso 1.1'!J138*Tiempos!$I$271</f>
        <v>#DIV/0!</v>
      </c>
      <c r="NE182" s="1576" t="e">
        <f>'Paso 1.1'!K138*Tiempos!$I$271</f>
        <v>#DIV/0!</v>
      </c>
      <c r="NF182" s="1576" t="e">
        <f>'Paso 1.1'!L138*Tiempos!$I$271</f>
        <v>#DIV/0!</v>
      </c>
      <c r="NG182" s="1576" t="e">
        <f>'Paso 1.1'!M138*Tiempos!$I$271</f>
        <v>#DIV/0!</v>
      </c>
      <c r="NH182" s="1576" t="e">
        <f>'Paso 1.1'!N138*Tiempos!$I$271</f>
        <v>#DIV/0!</v>
      </c>
      <c r="NI182" s="1576" t="e">
        <f>'Paso 1.1'!O138*Tiempos!$I$271</f>
        <v>#DIV/0!</v>
      </c>
      <c r="NJ182" s="1576" t="e">
        <f>'Paso 1.1'!P138*Tiempos!$I$271</f>
        <v>#DIV/0!</v>
      </c>
      <c r="NK182" s="1576" t="e">
        <f>'Paso 1.1'!Q138*Tiempos!$I$271</f>
        <v>#DIV/0!</v>
      </c>
      <c r="NL182" s="1576" t="e">
        <f>'Paso 1.1'!R138*Tiempos!$I$271</f>
        <v>#DIV/0!</v>
      </c>
      <c r="NM182" s="1576" t="e">
        <f>'Paso 1.1'!S138*Tiempos!$I$271</f>
        <v>#DIV/0!</v>
      </c>
      <c r="NN182" s="1576" t="e">
        <f>'Paso 1.1'!T138*Tiempos!$I$271</f>
        <v>#DIV/0!</v>
      </c>
      <c r="NO182" s="1576" t="e">
        <f>'Paso 1.1'!U138*Tiempos!$I$271</f>
        <v>#DIV/0!</v>
      </c>
      <c r="NP182" s="1576"/>
      <c r="NQ182" s="1576"/>
      <c r="NR182" s="1576"/>
      <c r="NS182" s="1576"/>
      <c r="NT182" s="1576"/>
      <c r="NU182" s="1576"/>
      <c r="NV182" s="1576"/>
      <c r="NW182" s="1576"/>
      <c r="NX182" s="1576"/>
      <c r="NY182" s="1576"/>
      <c r="NZ182" s="1576"/>
      <c r="OA182" s="1576"/>
      <c r="OB182" s="1576"/>
      <c r="OC182" s="1576"/>
      <c r="OD182" s="1576"/>
      <c r="OE182" s="1576"/>
      <c r="OF182" s="1576"/>
      <c r="OG182" s="1576"/>
      <c r="OH182" s="1576"/>
      <c r="OI182" s="1576"/>
      <c r="OJ182" s="1576"/>
      <c r="OK182" s="1576"/>
      <c r="OL182" s="1576"/>
      <c r="OM182" s="1576"/>
      <c r="ON182" s="1576"/>
      <c r="OO182" s="1576"/>
      <c r="OP182" s="1576"/>
      <c r="OQ182" s="1576"/>
      <c r="OR182" s="1576"/>
      <c r="OS182" s="1576"/>
      <c r="OT182" s="1576"/>
      <c r="OU182" s="1576"/>
      <c r="OV182" s="1576"/>
      <c r="OW182" s="1576"/>
      <c r="OX182" s="1576"/>
      <c r="OY182" s="1576"/>
      <c r="OZ182" s="1576"/>
      <c r="PA182" s="1576"/>
      <c r="PB182" s="1576"/>
      <c r="PC182" s="1576"/>
      <c r="PD182" s="1576"/>
      <c r="PE182" s="1576"/>
      <c r="PF182" s="1576"/>
      <c r="PG182" s="1576"/>
      <c r="PH182" s="1576"/>
      <c r="PI182" s="1576"/>
      <c r="PJ182" s="1576"/>
      <c r="PK182" s="1576"/>
      <c r="PL182" s="1576"/>
      <c r="PM182" s="1576"/>
      <c r="PN182" s="1576"/>
      <c r="PO182" s="1576"/>
      <c r="PP182" s="1576"/>
      <c r="PQ182" s="1576"/>
      <c r="PR182" s="1576"/>
      <c r="PS182" s="1576"/>
      <c r="PT182" s="1576"/>
      <c r="PU182" s="1576"/>
      <c r="PV182" s="1576"/>
      <c r="PW182" s="1576"/>
      <c r="PX182" s="1576"/>
      <c r="PY182" s="1576"/>
      <c r="PZ182" s="1576"/>
      <c r="QA182" s="1576"/>
      <c r="QB182" s="1576"/>
      <c r="QC182" s="1576"/>
      <c r="QD182" s="1576"/>
      <c r="QE182" s="1576"/>
      <c r="QF182" s="1576"/>
      <c r="QG182" s="1576"/>
      <c r="QH182" s="1576"/>
      <c r="QI182" s="1576"/>
      <c r="QJ182" s="1576"/>
      <c r="QK182" s="1576"/>
      <c r="QL182" s="1576"/>
      <c r="QM182" s="1576"/>
      <c r="QN182" s="1576"/>
      <c r="QO182" s="1576"/>
      <c r="QP182" s="1576"/>
      <c r="QQ182" s="1576"/>
      <c r="QR182" s="1576"/>
      <c r="QS182" s="1576"/>
      <c r="QT182" s="1576"/>
      <c r="QU182" s="1576"/>
      <c r="QV182" s="1576"/>
      <c r="QW182" s="1576"/>
      <c r="QX182" s="1576"/>
      <c r="QY182" s="1576"/>
      <c r="QZ182" s="1576"/>
      <c r="RA182" s="1576"/>
      <c r="RB182" s="1576"/>
      <c r="RC182" s="1576"/>
      <c r="RD182" s="1576"/>
      <c r="RE182" s="1576"/>
      <c r="RF182" s="1576"/>
      <c r="RG182" s="1576"/>
      <c r="RH182" s="1576"/>
      <c r="RI182" s="1576"/>
      <c r="RJ182" s="1576"/>
      <c r="RK182" s="1576"/>
      <c r="RL182" s="1576"/>
      <c r="RM182" s="1576"/>
      <c r="RN182" s="1576"/>
      <c r="RO182" s="1576"/>
      <c r="RP182" s="1576"/>
      <c r="RQ182" s="1576"/>
      <c r="RR182" s="1576"/>
      <c r="RS182" s="1576"/>
      <c r="RT182" s="1576"/>
      <c r="RU182" s="1576"/>
      <c r="RV182" s="1576"/>
      <c r="RW182" s="1576"/>
      <c r="RX182" s="1576"/>
      <c r="RY182" s="1576"/>
      <c r="RZ182" s="1576"/>
      <c r="SA182" s="1576"/>
      <c r="SB182" s="1576"/>
      <c r="SC182" s="1576"/>
      <c r="SD182" s="1576"/>
      <c r="SE182" s="1576"/>
      <c r="SF182" s="1576"/>
      <c r="SG182" s="1576"/>
      <c r="SH182" s="1576"/>
      <c r="SI182" s="1576"/>
      <c r="SJ182" s="1576"/>
      <c r="SK182" s="1576"/>
      <c r="SL182" s="1576"/>
      <c r="SM182" s="1576"/>
      <c r="SN182" s="1576"/>
      <c r="SO182" s="1576"/>
      <c r="SP182" s="1576"/>
      <c r="SQ182" s="1576"/>
      <c r="SR182" s="1576"/>
      <c r="SS182" s="1576"/>
      <c r="ST182" s="1576"/>
      <c r="SU182" s="1576"/>
      <c r="SV182" s="1576"/>
      <c r="SW182" s="1576"/>
      <c r="SX182" s="1576"/>
      <c r="SY182" s="1576"/>
      <c r="SZ182" s="1576"/>
      <c r="TA182" s="1576"/>
      <c r="TB182" s="1576"/>
      <c r="TC182" s="1576"/>
      <c r="TD182" s="1576"/>
      <c r="TE182" s="1576"/>
      <c r="TF182" s="1576"/>
      <c r="TG182" s="1576"/>
      <c r="TH182" s="1576"/>
      <c r="TI182" s="1576"/>
      <c r="TJ182" s="1576"/>
      <c r="TK182" s="1576"/>
      <c r="TL182" s="1576"/>
      <c r="TM182" s="1576"/>
      <c r="TN182" s="1576"/>
      <c r="TO182" s="1576"/>
      <c r="TP182" s="1576"/>
      <c r="TQ182" s="1576"/>
      <c r="TR182" s="1576"/>
      <c r="TS182" s="1576"/>
      <c r="TT182" s="1576"/>
      <c r="TU182" s="1576"/>
      <c r="TV182" s="1576"/>
      <c r="TW182" s="1576"/>
      <c r="TX182" s="1576"/>
      <c r="TY182" s="1576"/>
      <c r="TZ182" s="1576"/>
      <c r="UA182" s="1576"/>
      <c r="UB182" s="1576"/>
      <c r="UC182" s="1576"/>
      <c r="UD182" s="1576"/>
      <c r="UE182" s="1576"/>
      <c r="UF182" s="1576"/>
      <c r="UG182" s="1576"/>
      <c r="UH182" s="1576"/>
      <c r="UI182" s="1576"/>
      <c r="UJ182" s="1576"/>
      <c r="UK182" s="1576"/>
      <c r="UL182" s="1576"/>
      <c r="UM182" s="1576"/>
      <c r="UN182" s="1576"/>
      <c r="UO182" s="1576"/>
      <c r="UP182" s="1576"/>
      <c r="UQ182" s="1576"/>
      <c r="UR182" s="1576"/>
      <c r="US182" s="1576"/>
      <c r="UT182" s="1576"/>
      <c r="UU182" s="1576"/>
      <c r="UV182" s="1576"/>
      <c r="UW182" s="1576"/>
      <c r="UX182" s="1576"/>
      <c r="UY182" s="1576"/>
      <c r="UZ182" s="1576"/>
      <c r="VA182" s="1576"/>
      <c r="VB182" s="1576"/>
      <c r="VC182" s="1576"/>
      <c r="VD182" s="1576"/>
      <c r="VE182" s="1576"/>
      <c r="VF182" s="1576"/>
      <c r="VG182" s="1576"/>
      <c r="VH182" s="1576"/>
      <c r="VI182" s="1576"/>
      <c r="VJ182" s="1576"/>
      <c r="VK182" s="1576"/>
    </row>
    <row r="183" spans="1:583" ht="27" x14ac:dyDescent="0.25">
      <c r="B183" s="1610" t="s">
        <v>98</v>
      </c>
      <c r="C183" s="1582" t="s">
        <v>2881</v>
      </c>
      <c r="D183" s="4711" t="s">
        <v>2882</v>
      </c>
      <c r="E183" s="4711"/>
      <c r="F183" s="2057"/>
      <c r="G183" s="2057"/>
      <c r="H183" s="2057"/>
      <c r="I183" s="2059"/>
      <c r="J183" s="2059"/>
      <c r="K183" s="2059"/>
      <c r="L183" s="2059"/>
      <c r="M183" s="2059"/>
      <c r="N183" s="2059"/>
      <c r="O183" s="2059"/>
      <c r="P183" s="2059"/>
      <c r="Q183" s="2059"/>
      <c r="R183" s="2059"/>
      <c r="S183" s="2059"/>
      <c r="T183" s="2059"/>
      <c r="U183" s="2059"/>
      <c r="V183" s="2059"/>
      <c r="W183" s="2059"/>
      <c r="X183" s="2059"/>
      <c r="Y183" s="2059"/>
      <c r="Z183" s="2059"/>
      <c r="AA183" s="2059"/>
      <c r="AB183" s="2059"/>
      <c r="AC183" s="2059"/>
      <c r="AD183" s="2059"/>
      <c r="AE183" s="2059"/>
      <c r="AF183" s="2059"/>
      <c r="AG183" s="2059"/>
      <c r="AH183" s="2059"/>
      <c r="AI183" s="2059"/>
      <c r="AJ183" s="2059"/>
      <c r="AK183" s="2059"/>
      <c r="AL183" s="2059"/>
      <c r="AM183" s="2059"/>
      <c r="AN183" s="2059"/>
      <c r="AO183" s="2059"/>
      <c r="AP183" s="2059"/>
      <c r="AQ183" s="2059"/>
      <c r="AR183" s="2059"/>
      <c r="AS183" s="2059"/>
      <c r="AT183" s="2059"/>
      <c r="AU183" s="2059"/>
      <c r="AV183" s="2059"/>
      <c r="AW183" s="2059"/>
      <c r="AX183" s="2059"/>
      <c r="AY183" s="2059"/>
      <c r="AZ183" s="2059"/>
      <c r="BA183" s="2059"/>
      <c r="BB183" s="2059"/>
      <c r="BC183" s="2059"/>
      <c r="BD183" s="2059"/>
      <c r="BE183" s="2059"/>
      <c r="BF183" s="2059"/>
      <c r="BG183" s="2059"/>
      <c r="BH183" s="2059"/>
      <c r="BI183" s="2059"/>
      <c r="BJ183" s="2059"/>
      <c r="BK183" s="2059"/>
      <c r="BL183" s="2059"/>
      <c r="BM183" s="2059"/>
      <c r="BN183" s="2059"/>
      <c r="BO183" s="2059"/>
      <c r="BP183" s="2059"/>
      <c r="BQ183" s="2059"/>
      <c r="BR183" s="2059"/>
      <c r="BS183" s="2059"/>
      <c r="BT183" s="2059"/>
      <c r="BU183" s="2059"/>
      <c r="BV183" s="2059"/>
      <c r="BW183" s="2059"/>
      <c r="BX183" s="2059"/>
      <c r="BY183" s="2059"/>
      <c r="BZ183" s="2059"/>
      <c r="CA183" s="2059"/>
      <c r="CB183" s="2059"/>
      <c r="CC183" s="2059"/>
      <c r="CD183" s="2059"/>
      <c r="CE183" s="2059"/>
      <c r="CF183" s="2059"/>
      <c r="CG183" s="2059"/>
      <c r="CH183" s="2059"/>
      <c r="CI183" s="2059"/>
      <c r="CJ183" s="2059"/>
      <c r="CK183" s="2059"/>
      <c r="CL183" s="2059"/>
      <c r="CM183" s="2059"/>
      <c r="CN183" s="2059"/>
      <c r="CO183" s="2059"/>
      <c r="CP183" s="1576"/>
      <c r="CQ183" s="1576"/>
      <c r="CR183" s="1576"/>
      <c r="CS183" s="1576"/>
      <c r="CT183" s="1576"/>
      <c r="CU183" s="1576"/>
      <c r="CV183" s="1576"/>
      <c r="CW183" s="1576"/>
      <c r="CX183" s="1576"/>
      <c r="CY183" s="1576"/>
      <c r="CZ183" s="1576"/>
      <c r="DA183" s="1576"/>
      <c r="DB183" s="1576"/>
      <c r="DC183" s="1576"/>
      <c r="DD183" s="1576"/>
      <c r="DE183" s="1576"/>
      <c r="DF183" s="1576"/>
      <c r="DG183" s="1576"/>
      <c r="DH183" s="1576"/>
      <c r="DI183" s="1576"/>
      <c r="DJ183" s="1576"/>
      <c r="DK183" s="1576"/>
      <c r="DL183" s="1576"/>
      <c r="DM183" s="1576"/>
      <c r="DN183" s="1576"/>
      <c r="DO183" s="1576"/>
      <c r="DP183" s="1576"/>
      <c r="DQ183" s="1576"/>
      <c r="DR183" s="1576"/>
      <c r="DS183" s="1576"/>
      <c r="DT183" s="1576"/>
      <c r="DU183" s="1576"/>
      <c r="DV183" s="1576"/>
      <c r="DW183" s="1576"/>
      <c r="DX183" s="1576"/>
      <c r="DY183" s="1576"/>
      <c r="DZ183" s="1576"/>
      <c r="EA183" s="1576"/>
      <c r="EB183" s="1576"/>
      <c r="EC183" s="1576"/>
      <c r="ED183" s="1576"/>
      <c r="EE183" s="1576"/>
      <c r="EF183" s="1576"/>
      <c r="EG183" s="1576"/>
      <c r="EH183" s="1576"/>
      <c r="EI183" s="1576"/>
      <c r="EJ183" s="1576"/>
      <c r="EK183" s="1576"/>
      <c r="EL183" s="1576"/>
      <c r="EM183" s="1576"/>
      <c r="EN183" s="1576"/>
      <c r="EO183" s="1576"/>
      <c r="EP183" s="1576"/>
      <c r="EQ183" s="1576"/>
      <c r="ER183" s="1576"/>
      <c r="ES183" s="1576"/>
      <c r="ET183" s="1576"/>
      <c r="EU183" s="1576"/>
      <c r="EV183" s="1576"/>
      <c r="EW183" s="1576"/>
      <c r="EX183" s="1576"/>
      <c r="EY183" s="1576"/>
      <c r="EZ183" s="1576"/>
      <c r="FA183" s="1576"/>
      <c r="FB183" s="1576"/>
      <c r="FC183" s="1576"/>
      <c r="FD183" s="1576"/>
      <c r="FE183" s="1576"/>
      <c r="FF183" s="1576"/>
      <c r="FG183" s="1576"/>
      <c r="FH183" s="1576"/>
      <c r="FI183" s="1576"/>
      <c r="FJ183" s="1576"/>
      <c r="FK183" s="1576"/>
      <c r="FL183" s="1576"/>
      <c r="FM183" s="1576"/>
      <c r="FN183" s="1576"/>
      <c r="FO183" s="1576"/>
      <c r="FP183" s="1576"/>
      <c r="FQ183" s="1576"/>
      <c r="FR183" s="1576"/>
      <c r="FS183" s="1576"/>
      <c r="FT183" s="1576"/>
      <c r="FU183" s="1576"/>
      <c r="FV183" s="1576"/>
      <c r="FW183" s="1576"/>
      <c r="FX183" s="1576"/>
      <c r="FY183" s="1576"/>
      <c r="FZ183" s="1576"/>
      <c r="GA183" s="1576"/>
      <c r="GB183" s="1576"/>
      <c r="GC183" s="1576"/>
      <c r="GD183" s="1576"/>
      <c r="GE183" s="1576"/>
      <c r="GF183" s="1576"/>
      <c r="GG183" s="1576"/>
      <c r="GH183" s="1576"/>
      <c r="GI183" s="1576"/>
      <c r="GJ183" s="1576"/>
      <c r="GK183" s="1576"/>
      <c r="GL183" s="1576"/>
      <c r="GM183" s="1576"/>
      <c r="GN183" s="1576"/>
      <c r="GO183" s="1576"/>
      <c r="GP183" s="1576"/>
      <c r="GQ183" s="1576"/>
      <c r="GR183" s="1576"/>
      <c r="GS183" s="1576"/>
      <c r="GT183" s="1576"/>
      <c r="GU183" s="1576"/>
      <c r="GV183" s="1576"/>
      <c r="GW183" s="1576"/>
      <c r="GX183" s="1576"/>
      <c r="GY183" s="1576"/>
      <c r="GZ183" s="1576"/>
      <c r="HA183" s="1576"/>
      <c r="HB183" s="1576"/>
      <c r="HC183" s="1576"/>
      <c r="HD183" s="1576"/>
      <c r="HE183" s="1576"/>
      <c r="HF183" s="1576"/>
      <c r="HG183" s="1576"/>
      <c r="HH183" s="1576"/>
      <c r="HI183" s="1576"/>
      <c r="HJ183" s="1576"/>
      <c r="HK183" s="1576"/>
      <c r="HL183" s="1576"/>
      <c r="HM183" s="1576"/>
      <c r="HN183" s="1576"/>
      <c r="HO183" s="1576"/>
      <c r="HP183" s="1576"/>
      <c r="HQ183" s="1576"/>
      <c r="HR183" s="1576"/>
      <c r="HS183" s="1576"/>
      <c r="HT183" s="1576"/>
      <c r="HU183" s="1576"/>
      <c r="HV183" s="1576"/>
      <c r="HW183" s="1576"/>
      <c r="HX183" s="1576"/>
      <c r="HY183" s="1576"/>
      <c r="HZ183" s="1576"/>
      <c r="IA183" s="1576"/>
      <c r="IB183" s="1576"/>
      <c r="IC183" s="1576"/>
      <c r="ID183" s="1576"/>
      <c r="IE183" s="1576"/>
      <c r="IF183" s="1576"/>
      <c r="IG183" s="1576"/>
      <c r="IH183" s="1576"/>
      <c r="II183" s="1576"/>
      <c r="IJ183" s="1576"/>
      <c r="IK183" s="1576"/>
      <c r="IL183" s="1576"/>
      <c r="IM183" s="1576"/>
      <c r="IN183" s="1576"/>
      <c r="IO183" s="1576"/>
      <c r="IP183" s="1576"/>
      <c r="IQ183" s="1576"/>
      <c r="IR183" s="1576"/>
      <c r="IS183" s="1576"/>
      <c r="IT183" s="1576"/>
      <c r="IU183" s="1576"/>
      <c r="IV183" s="1576"/>
      <c r="IW183" s="1576"/>
      <c r="IX183" s="1576"/>
      <c r="IY183" s="1576"/>
      <c r="IZ183" s="1576"/>
      <c r="JA183" s="2054"/>
      <c r="JB183" s="2054"/>
      <c r="JC183" s="2054"/>
      <c r="JD183" s="2054"/>
      <c r="JE183" s="2054"/>
      <c r="JF183" s="2054"/>
      <c r="JG183" s="2054"/>
      <c r="JH183" s="2054"/>
      <c r="JI183" s="2054"/>
      <c r="JJ183" s="2054"/>
      <c r="JK183" s="2054"/>
      <c r="JL183" s="2054"/>
      <c r="JM183" s="2054"/>
      <c r="JN183" s="2054"/>
      <c r="JO183" s="2054"/>
      <c r="JP183" s="2054"/>
      <c r="JQ183" s="2054"/>
      <c r="JR183" s="1576"/>
      <c r="JS183" s="1576"/>
      <c r="JT183" s="1576"/>
      <c r="JU183" s="1576"/>
      <c r="JV183" s="1576"/>
      <c r="JW183" s="1576"/>
      <c r="JX183" s="1576"/>
      <c r="JY183" s="1576"/>
      <c r="JZ183" s="1576"/>
      <c r="KA183" s="1576"/>
      <c r="KB183" s="1576"/>
      <c r="KC183" s="1576"/>
      <c r="KD183" s="1576"/>
      <c r="KE183" s="1576"/>
      <c r="KF183" s="1576"/>
      <c r="KG183" s="1576"/>
      <c r="KH183" s="1576"/>
      <c r="KI183" s="1576"/>
      <c r="KJ183" s="1576"/>
      <c r="KK183" s="1576"/>
      <c r="KL183" s="1576"/>
      <c r="KM183" s="1576"/>
      <c r="KN183" s="1576"/>
      <c r="KO183" s="1576"/>
      <c r="KP183" s="1576"/>
      <c r="KQ183" s="1576"/>
      <c r="KR183" s="1576"/>
      <c r="KS183" s="1576"/>
      <c r="KT183" s="1576"/>
      <c r="KU183" s="1576"/>
      <c r="KV183" s="1576"/>
      <c r="KW183" s="1576"/>
      <c r="KX183" s="1576"/>
      <c r="KY183" s="1576"/>
      <c r="KZ183" s="1576"/>
      <c r="LA183" s="1576"/>
      <c r="LB183" s="1576"/>
      <c r="LC183" s="1576"/>
      <c r="LD183" s="1576"/>
      <c r="LE183" s="1576"/>
      <c r="LF183" s="1576"/>
      <c r="LG183" s="1576"/>
      <c r="LH183" s="1576"/>
      <c r="LI183" s="1576"/>
      <c r="LJ183" s="1576"/>
      <c r="LK183" s="1576"/>
      <c r="LL183" s="1576"/>
      <c r="LM183" s="1576"/>
      <c r="LN183" s="1576"/>
      <c r="LO183" s="1576"/>
      <c r="LP183" s="1576"/>
      <c r="LQ183" s="1576"/>
      <c r="LR183" s="1576"/>
      <c r="LS183" s="1576"/>
      <c r="LT183" s="1576"/>
      <c r="LU183" s="1576"/>
      <c r="LV183" s="1576"/>
      <c r="LW183" s="1576"/>
      <c r="LX183" s="1576"/>
      <c r="LY183" s="1576"/>
      <c r="LZ183" s="1576"/>
      <c r="MA183" s="1576"/>
      <c r="MB183" s="1576"/>
      <c r="MC183" s="1576"/>
      <c r="MD183" s="1576"/>
      <c r="ME183" s="1576"/>
      <c r="MF183" s="1576"/>
      <c r="MG183" s="1576"/>
      <c r="MH183" s="1576"/>
      <c r="MI183" s="1576"/>
      <c r="MJ183" s="1576"/>
      <c r="MK183" s="1576"/>
      <c r="ML183" s="1576"/>
      <c r="MM183" s="1576"/>
      <c r="MN183" s="1576"/>
      <c r="MO183" s="1576"/>
      <c r="MP183" s="1576"/>
      <c r="MQ183" s="1576"/>
      <c r="MR183" s="1576"/>
      <c r="MS183" s="1576"/>
      <c r="MT183" s="1576"/>
      <c r="MU183" s="1576"/>
      <c r="MV183" s="1576"/>
      <c r="MW183" s="1576"/>
      <c r="MX183" s="1576"/>
      <c r="MY183" s="1576"/>
      <c r="MZ183" s="1576"/>
      <c r="NA183" s="1576"/>
      <c r="NB183" s="1576"/>
      <c r="NC183" s="1576"/>
      <c r="ND183" s="1576"/>
      <c r="NE183" s="1576"/>
      <c r="NF183" s="1576"/>
      <c r="NG183" s="1576"/>
      <c r="NH183" s="1576"/>
      <c r="NI183" s="1576"/>
      <c r="NJ183" s="1576"/>
      <c r="NK183" s="1576"/>
      <c r="NL183" s="1576"/>
      <c r="NM183" s="1576"/>
      <c r="NN183" s="1576"/>
      <c r="NO183" s="1576"/>
      <c r="NP183" s="1576"/>
      <c r="NQ183" s="1576"/>
      <c r="NR183" s="1576"/>
      <c r="NS183" s="1576"/>
      <c r="NT183" s="1576"/>
      <c r="NU183" s="1576"/>
      <c r="NV183" s="1576"/>
      <c r="NW183" s="1576"/>
      <c r="NX183" s="1576"/>
      <c r="NY183" s="1576"/>
      <c r="NZ183" s="1576"/>
      <c r="OA183" s="1576"/>
      <c r="OB183" s="1576"/>
      <c r="OC183" s="1576"/>
      <c r="OD183" s="1576"/>
      <c r="OE183" s="1576"/>
      <c r="OF183" s="1576"/>
      <c r="OG183" s="1576"/>
      <c r="OH183" s="1576"/>
      <c r="OI183" s="1576"/>
      <c r="OJ183" s="1576"/>
      <c r="OK183" s="1576"/>
      <c r="OL183" s="1576"/>
      <c r="OM183" s="1576"/>
      <c r="ON183" s="1576"/>
      <c r="OO183" s="1576"/>
      <c r="OP183" s="1576"/>
      <c r="OQ183" s="1576"/>
      <c r="OR183" s="1576"/>
      <c r="OS183" s="1576"/>
      <c r="OT183" s="1576"/>
      <c r="OU183" s="1576"/>
      <c r="OV183" s="1576"/>
      <c r="OW183" s="1576"/>
      <c r="OX183" s="1576"/>
      <c r="OY183" s="1576"/>
      <c r="OZ183" s="1576"/>
      <c r="PA183" s="1576"/>
      <c r="PB183" s="1576"/>
      <c r="PC183" s="1576"/>
      <c r="PD183" s="1576"/>
      <c r="PE183" s="1576"/>
      <c r="PF183" s="1576"/>
      <c r="PG183" s="1576"/>
      <c r="PH183" s="1576"/>
      <c r="PI183" s="1576"/>
      <c r="PJ183" s="1576"/>
      <c r="PK183" s="1576"/>
      <c r="PL183" s="1576"/>
      <c r="PM183" s="1576"/>
      <c r="PN183" s="1576"/>
      <c r="PO183" s="1576"/>
      <c r="PP183" s="1576"/>
      <c r="PQ183" s="1576"/>
      <c r="PR183" s="1576"/>
      <c r="PS183" s="1576"/>
      <c r="PT183" s="1576"/>
      <c r="PU183" s="1576"/>
      <c r="PV183" s="1576"/>
      <c r="PW183" s="1576"/>
      <c r="PX183" s="1576"/>
      <c r="PY183" s="1576"/>
      <c r="PZ183" s="1576"/>
      <c r="QA183" s="1576"/>
      <c r="QB183" s="1576"/>
      <c r="QC183" s="1576"/>
      <c r="QD183" s="1576"/>
      <c r="QE183" s="1576"/>
      <c r="QF183" s="1576"/>
      <c r="QG183" s="1576"/>
      <c r="QH183" s="1576"/>
      <c r="QI183" s="1576"/>
      <c r="QJ183" s="1576"/>
      <c r="QK183" s="1576"/>
      <c r="QL183" s="1576"/>
      <c r="QM183" s="1576"/>
      <c r="QN183" s="1576"/>
      <c r="QO183" s="1576"/>
      <c r="QP183" s="1576"/>
      <c r="QQ183" s="1576"/>
      <c r="QR183" s="1576"/>
      <c r="QS183" s="1576"/>
      <c r="QT183" s="1576"/>
      <c r="QU183" s="1576"/>
      <c r="QV183" s="1576"/>
      <c r="QW183" s="1576"/>
      <c r="QX183" s="1576"/>
      <c r="QY183" s="1576"/>
      <c r="QZ183" s="1576"/>
      <c r="RA183" s="1576"/>
      <c r="RB183" s="1576"/>
      <c r="RC183" s="1576"/>
      <c r="RD183" s="1576"/>
      <c r="RE183" s="1576"/>
      <c r="RF183" s="1576"/>
      <c r="RG183" s="1576"/>
      <c r="RH183" s="1576"/>
      <c r="RI183" s="1576"/>
      <c r="RJ183" s="1576"/>
      <c r="RK183" s="1576"/>
      <c r="RL183" s="1576"/>
      <c r="RM183" s="1576"/>
      <c r="RN183" s="1576"/>
      <c r="RO183" s="1576"/>
      <c r="RP183" s="1576"/>
      <c r="RQ183" s="1576"/>
      <c r="RR183" s="1576"/>
      <c r="RS183" s="1576"/>
      <c r="RT183" s="1576"/>
      <c r="RU183" s="1576"/>
      <c r="RV183" s="1576"/>
      <c r="RW183" s="1576"/>
      <c r="RX183" s="1576"/>
      <c r="RY183" s="1576"/>
      <c r="RZ183" s="1576"/>
      <c r="SA183" s="1576"/>
      <c r="SB183" s="1576"/>
      <c r="SC183" s="1576"/>
      <c r="SD183" s="1576"/>
      <c r="SE183" s="1576"/>
      <c r="SF183" s="1576"/>
      <c r="SG183" s="1576"/>
      <c r="SH183" s="1576"/>
      <c r="SI183" s="1576"/>
      <c r="SJ183" s="1576"/>
      <c r="SK183" s="1576"/>
      <c r="SL183" s="1576"/>
      <c r="SM183" s="1576"/>
      <c r="SN183" s="1576"/>
      <c r="SO183" s="1576"/>
      <c r="SP183" s="1576"/>
      <c r="SQ183" s="1576"/>
      <c r="SR183" s="1576"/>
      <c r="SS183" s="1576"/>
      <c r="ST183" s="1576"/>
      <c r="SU183" s="1576"/>
      <c r="SV183" s="1576"/>
      <c r="SW183" s="1576"/>
      <c r="SX183" s="1576"/>
      <c r="SY183" s="1576"/>
      <c r="SZ183" s="1576"/>
      <c r="TA183" s="1576"/>
      <c r="TB183" s="1576"/>
      <c r="TC183" s="1576"/>
      <c r="TD183" s="1576"/>
      <c r="TE183" s="1576"/>
      <c r="TF183" s="1576"/>
      <c r="TG183" s="1576"/>
      <c r="TH183" s="1576"/>
      <c r="TI183" s="1576"/>
      <c r="TJ183" s="1576"/>
      <c r="TK183" s="1576"/>
      <c r="TL183" s="1576"/>
      <c r="TM183" s="1576"/>
      <c r="TN183" s="1576"/>
      <c r="TO183" s="1576"/>
      <c r="TP183" s="1576"/>
      <c r="TQ183" s="1576"/>
      <c r="TR183" s="1576"/>
      <c r="TS183" s="1576"/>
      <c r="TT183" s="1576"/>
      <c r="TU183" s="1576"/>
      <c r="TV183" s="1576"/>
      <c r="TW183" s="1576"/>
      <c r="TX183" s="1576"/>
      <c r="TY183" s="1576"/>
      <c r="TZ183" s="1576"/>
      <c r="UA183" s="1576"/>
      <c r="UB183" s="1576"/>
      <c r="UC183" s="1576"/>
      <c r="UD183" s="1576"/>
      <c r="UE183" s="1576"/>
      <c r="UF183" s="1576"/>
      <c r="UG183" s="1576"/>
      <c r="UH183" s="1576"/>
      <c r="UI183" s="1576"/>
      <c r="UJ183" s="1576"/>
      <c r="UK183" s="1576"/>
      <c r="UL183" s="1576"/>
      <c r="UM183" s="1576"/>
      <c r="UN183" s="1576"/>
      <c r="UO183" s="1576"/>
      <c r="UP183" s="1576"/>
      <c r="UQ183" s="1576"/>
      <c r="UR183" s="1576"/>
      <c r="US183" s="1576"/>
      <c r="UT183" s="1576"/>
      <c r="UU183" s="1576"/>
      <c r="UV183" s="1576"/>
      <c r="UW183" s="1576"/>
      <c r="UX183" s="1576"/>
      <c r="UY183" s="1576"/>
      <c r="UZ183" s="1576"/>
      <c r="VA183" s="1576"/>
      <c r="VB183" s="1576"/>
      <c r="VC183" s="1576"/>
      <c r="VD183" s="1576"/>
      <c r="VE183" s="1576"/>
      <c r="VF183" s="1576"/>
      <c r="VG183" s="1576"/>
      <c r="VH183" s="1576"/>
      <c r="VI183" s="1576"/>
      <c r="VJ183" s="1576"/>
      <c r="VK183" s="1576"/>
    </row>
    <row r="184" spans="1:583" ht="27" x14ac:dyDescent="0.25">
      <c r="B184" s="1610" t="s">
        <v>98</v>
      </c>
      <c r="C184" s="1582" t="s">
        <v>2883</v>
      </c>
      <c r="D184" s="4711"/>
      <c r="E184" s="4711"/>
      <c r="F184" s="2057"/>
      <c r="G184" s="2057"/>
      <c r="H184" s="2057"/>
      <c r="I184" s="2059"/>
      <c r="J184" s="2059"/>
      <c r="K184" s="2059"/>
      <c r="L184" s="2059"/>
      <c r="M184" s="2059"/>
      <c r="N184" s="2059"/>
      <c r="O184" s="2059"/>
      <c r="P184" s="2059"/>
      <c r="Q184" s="2059"/>
      <c r="R184" s="2059"/>
      <c r="S184" s="2059"/>
      <c r="T184" s="2059"/>
      <c r="U184" s="2059"/>
      <c r="V184" s="2059"/>
      <c r="W184" s="2059"/>
      <c r="X184" s="2059"/>
      <c r="Y184" s="2059"/>
      <c r="Z184" s="2059"/>
      <c r="AA184" s="2059"/>
      <c r="AB184" s="2059"/>
      <c r="AC184" s="2059"/>
      <c r="AD184" s="2059"/>
      <c r="AE184" s="2059"/>
      <c r="AF184" s="2059"/>
      <c r="AG184" s="2059"/>
      <c r="AH184" s="2059"/>
      <c r="AI184" s="2059"/>
      <c r="AJ184" s="2059"/>
      <c r="AK184" s="2059"/>
      <c r="AL184" s="2059"/>
      <c r="AM184" s="2059"/>
      <c r="AN184" s="2059"/>
      <c r="AO184" s="2059"/>
      <c r="AP184" s="2059"/>
      <c r="AQ184" s="2059"/>
      <c r="AR184" s="2059"/>
      <c r="AS184" s="2059"/>
      <c r="AT184" s="2059"/>
      <c r="AU184" s="2059"/>
      <c r="AV184" s="2059"/>
      <c r="AW184" s="2059"/>
      <c r="AX184" s="2059"/>
      <c r="AY184" s="2059"/>
      <c r="AZ184" s="2059"/>
      <c r="BA184" s="2059"/>
      <c r="BB184" s="2059"/>
      <c r="BC184" s="2059"/>
      <c r="BD184" s="2059"/>
      <c r="BE184" s="2059"/>
      <c r="BF184" s="2059"/>
      <c r="BG184" s="2059"/>
      <c r="BH184" s="2059"/>
      <c r="BI184" s="2059"/>
      <c r="BJ184" s="2059"/>
      <c r="BK184" s="2059"/>
      <c r="BL184" s="2059"/>
      <c r="BM184" s="2059"/>
      <c r="BN184" s="2059"/>
      <c r="BO184" s="2059"/>
      <c r="BP184" s="2059"/>
      <c r="BQ184" s="2059"/>
      <c r="BR184" s="2059"/>
      <c r="BS184" s="2059"/>
      <c r="BT184" s="2059"/>
      <c r="BU184" s="2059"/>
      <c r="BV184" s="2059"/>
      <c r="BW184" s="2059"/>
      <c r="BX184" s="2059"/>
      <c r="BY184" s="2059"/>
      <c r="BZ184" s="2059"/>
      <c r="CA184" s="2059"/>
      <c r="CB184" s="2059"/>
      <c r="CC184" s="2059"/>
      <c r="CD184" s="2059"/>
      <c r="CE184" s="2059"/>
      <c r="CF184" s="2059"/>
      <c r="CG184" s="2059"/>
      <c r="CH184" s="2059"/>
      <c r="CI184" s="2059"/>
      <c r="CJ184" s="2059"/>
      <c r="CK184" s="2059"/>
      <c r="CL184" s="2059"/>
      <c r="CM184" s="2059"/>
      <c r="CN184" s="2059"/>
      <c r="CO184" s="2059"/>
      <c r="CP184" s="1576"/>
      <c r="CQ184" s="1576"/>
      <c r="CR184" s="1576"/>
      <c r="CS184" s="1576"/>
      <c r="CT184" s="1576"/>
      <c r="CU184" s="1576"/>
      <c r="CV184" s="1576"/>
      <c r="CW184" s="1576"/>
      <c r="CX184" s="1576"/>
      <c r="CY184" s="1576"/>
      <c r="CZ184" s="1576"/>
      <c r="DA184" s="1576"/>
      <c r="DB184" s="1576"/>
      <c r="DC184" s="1576"/>
      <c r="DD184" s="1576"/>
      <c r="DE184" s="1576"/>
      <c r="DF184" s="1576"/>
      <c r="DG184" s="1576"/>
      <c r="DH184" s="1576"/>
      <c r="DI184" s="1576"/>
      <c r="DJ184" s="1576"/>
      <c r="DK184" s="1576"/>
      <c r="DL184" s="1576"/>
      <c r="DM184" s="1576"/>
      <c r="DN184" s="1576"/>
      <c r="DO184" s="1576"/>
      <c r="DP184" s="1576"/>
      <c r="DQ184" s="1576"/>
      <c r="DR184" s="1576"/>
      <c r="DS184" s="1576"/>
      <c r="DT184" s="1576"/>
      <c r="DU184" s="1576"/>
      <c r="DV184" s="1576"/>
      <c r="DW184" s="1576"/>
      <c r="DX184" s="1576"/>
      <c r="DY184" s="1576"/>
      <c r="DZ184" s="1576"/>
      <c r="EA184" s="1576"/>
      <c r="EB184" s="1576"/>
      <c r="EC184" s="1576"/>
      <c r="ED184" s="1576"/>
      <c r="EE184" s="1576"/>
      <c r="EF184" s="1576"/>
      <c r="EG184" s="1576"/>
      <c r="EH184" s="1576"/>
      <c r="EI184" s="1576"/>
      <c r="EJ184" s="1576"/>
      <c r="EK184" s="1576"/>
      <c r="EL184" s="1576"/>
      <c r="EM184" s="1576"/>
      <c r="EN184" s="1576"/>
      <c r="EO184" s="1576"/>
      <c r="EP184" s="1576"/>
      <c r="EQ184" s="1576"/>
      <c r="ER184" s="1576"/>
      <c r="ES184" s="1576"/>
      <c r="ET184" s="1576"/>
      <c r="EU184" s="1576"/>
      <c r="EV184" s="1576"/>
      <c r="EW184" s="1576"/>
      <c r="EX184" s="1576"/>
      <c r="EY184" s="1576"/>
      <c r="EZ184" s="1576"/>
      <c r="FA184" s="1576"/>
      <c r="FB184" s="1576"/>
      <c r="FC184" s="1576"/>
      <c r="FD184" s="1576"/>
      <c r="FE184" s="1576"/>
      <c r="FF184" s="1576"/>
      <c r="FG184" s="1576"/>
      <c r="FH184" s="1576"/>
      <c r="FI184" s="1576"/>
      <c r="FJ184" s="1576"/>
      <c r="FK184" s="1576"/>
      <c r="FL184" s="1576"/>
      <c r="FM184" s="1576"/>
      <c r="FN184" s="1576"/>
      <c r="FO184" s="1576"/>
      <c r="FP184" s="1576"/>
      <c r="FQ184" s="1576"/>
      <c r="FR184" s="1576"/>
      <c r="FS184" s="1576"/>
      <c r="FT184" s="1576"/>
      <c r="FU184" s="1576"/>
      <c r="FV184" s="1576"/>
      <c r="FW184" s="1576"/>
      <c r="FX184" s="1576"/>
      <c r="FY184" s="1576"/>
      <c r="FZ184" s="1576"/>
      <c r="GA184" s="1576"/>
      <c r="GB184" s="1576"/>
      <c r="GC184" s="1576"/>
      <c r="GD184" s="1576"/>
      <c r="GE184" s="1576"/>
      <c r="GF184" s="1576"/>
      <c r="GG184" s="1576"/>
      <c r="GH184" s="1576"/>
      <c r="GI184" s="1576"/>
      <c r="GJ184" s="1576"/>
      <c r="GK184" s="1576"/>
      <c r="GL184" s="1576"/>
      <c r="GM184" s="1576"/>
      <c r="GN184" s="1576"/>
      <c r="GO184" s="1576"/>
      <c r="GP184" s="1576"/>
      <c r="GQ184" s="1576"/>
      <c r="GR184" s="1576"/>
      <c r="GS184" s="1576"/>
      <c r="GT184" s="1576"/>
      <c r="GU184" s="1576"/>
      <c r="GV184" s="1576"/>
      <c r="GW184" s="1576"/>
      <c r="GX184" s="1576"/>
      <c r="GY184" s="1576"/>
      <c r="GZ184" s="1576"/>
      <c r="HA184" s="1576"/>
      <c r="HB184" s="1576"/>
      <c r="HC184" s="1576"/>
      <c r="HD184" s="1576"/>
      <c r="HE184" s="1576"/>
      <c r="HF184" s="1576"/>
      <c r="HG184" s="1576"/>
      <c r="HH184" s="1576"/>
      <c r="HI184" s="1576"/>
      <c r="HJ184" s="1576"/>
      <c r="HK184" s="1576"/>
      <c r="HL184" s="1576"/>
      <c r="HM184" s="1576"/>
      <c r="HN184" s="1576"/>
      <c r="HO184" s="1576"/>
      <c r="HP184" s="1576"/>
      <c r="HQ184" s="1576"/>
      <c r="HR184" s="1576"/>
      <c r="HS184" s="1576"/>
      <c r="HT184" s="1576"/>
      <c r="HU184" s="1576"/>
      <c r="HV184" s="1576"/>
      <c r="HW184" s="1576"/>
      <c r="HX184" s="1576"/>
      <c r="HY184" s="1576"/>
      <c r="HZ184" s="1576"/>
      <c r="IA184" s="1576"/>
      <c r="IB184" s="1576"/>
      <c r="IC184" s="1576"/>
      <c r="ID184" s="1576"/>
      <c r="IE184" s="1576"/>
      <c r="IF184" s="1576"/>
      <c r="IG184" s="1576"/>
      <c r="IH184" s="1576"/>
      <c r="II184" s="1576"/>
      <c r="IJ184" s="1576"/>
      <c r="IK184" s="1576"/>
      <c r="IL184" s="1576"/>
      <c r="IM184" s="1576"/>
      <c r="IN184" s="1576"/>
      <c r="IO184" s="1576"/>
      <c r="IP184" s="1576"/>
      <c r="IQ184" s="1576"/>
      <c r="IR184" s="1576"/>
      <c r="IS184" s="1576"/>
      <c r="IT184" s="1576"/>
      <c r="IU184" s="1576"/>
      <c r="IV184" s="1576"/>
      <c r="IW184" s="1576"/>
      <c r="IX184" s="1576"/>
      <c r="IY184" s="1576"/>
      <c r="IZ184" s="1576"/>
      <c r="JA184" s="2054"/>
      <c r="JB184" s="2054"/>
      <c r="JC184" s="2054"/>
      <c r="JD184" s="2054"/>
      <c r="JE184" s="2054"/>
      <c r="JF184" s="2054"/>
      <c r="JG184" s="2054"/>
      <c r="JH184" s="2054"/>
      <c r="JI184" s="2054"/>
      <c r="JJ184" s="2054"/>
      <c r="JK184" s="2054"/>
      <c r="JL184" s="2054"/>
      <c r="JM184" s="2054"/>
      <c r="JN184" s="2054"/>
      <c r="JO184" s="2054"/>
      <c r="JP184" s="2054"/>
      <c r="JQ184" s="2054"/>
      <c r="JR184" s="1576"/>
      <c r="JS184" s="1576"/>
      <c r="JT184" s="1576"/>
      <c r="JU184" s="1576"/>
      <c r="JV184" s="1576"/>
      <c r="JW184" s="1576"/>
      <c r="JX184" s="1576"/>
      <c r="JY184" s="1576"/>
      <c r="JZ184" s="1576"/>
      <c r="KA184" s="1576"/>
      <c r="KB184" s="1576"/>
      <c r="KC184" s="1576"/>
      <c r="KD184" s="1576"/>
      <c r="KE184" s="1576"/>
      <c r="KF184" s="1576"/>
      <c r="KG184" s="1576"/>
      <c r="KH184" s="1576"/>
      <c r="KI184" s="1576"/>
      <c r="KJ184" s="1576"/>
      <c r="KK184" s="1576"/>
      <c r="KL184" s="1576"/>
      <c r="KM184" s="1576"/>
      <c r="KN184" s="1576"/>
      <c r="KO184" s="1576"/>
      <c r="KP184" s="1576"/>
      <c r="KQ184" s="1576"/>
      <c r="KR184" s="1576"/>
      <c r="KS184" s="1576"/>
      <c r="KT184" s="1576"/>
      <c r="KU184" s="1576"/>
      <c r="KV184" s="1576"/>
      <c r="KW184" s="1576"/>
      <c r="KX184" s="1576"/>
      <c r="KY184" s="1576"/>
      <c r="KZ184" s="1576"/>
      <c r="LA184" s="1576"/>
      <c r="LB184" s="1576"/>
      <c r="LC184" s="1576"/>
      <c r="LD184" s="1576"/>
      <c r="LE184" s="1576"/>
      <c r="LF184" s="1576"/>
      <c r="LG184" s="1576"/>
      <c r="LH184" s="1576"/>
      <c r="LI184" s="1576"/>
      <c r="LJ184" s="1576"/>
      <c r="LK184" s="1576"/>
      <c r="LL184" s="1576"/>
      <c r="LM184" s="1576"/>
      <c r="LN184" s="1576"/>
      <c r="LO184" s="1576"/>
      <c r="LP184" s="1576"/>
      <c r="LQ184" s="1576"/>
      <c r="LR184" s="1576"/>
      <c r="LS184" s="1576"/>
      <c r="LT184" s="1576"/>
      <c r="LU184" s="1576"/>
      <c r="LV184" s="1576"/>
      <c r="LW184" s="1576"/>
      <c r="LX184" s="1576"/>
      <c r="LY184" s="1576"/>
      <c r="LZ184" s="1576"/>
      <c r="MA184" s="1576"/>
      <c r="MB184" s="1576"/>
      <c r="MC184" s="1576"/>
      <c r="MD184" s="1576"/>
      <c r="ME184" s="1576"/>
      <c r="MF184" s="1576"/>
      <c r="MG184" s="1576"/>
      <c r="MH184" s="1576"/>
      <c r="MI184" s="1576"/>
      <c r="MJ184" s="1576"/>
      <c r="MK184" s="1576"/>
      <c r="ML184" s="1576"/>
      <c r="MM184" s="1576"/>
      <c r="MN184" s="1576"/>
      <c r="MO184" s="1576"/>
      <c r="MP184" s="1576"/>
      <c r="MQ184" s="1576"/>
      <c r="MR184" s="1576"/>
      <c r="MS184" s="1576"/>
      <c r="MT184" s="1576"/>
      <c r="MU184" s="1576"/>
      <c r="MV184" s="1576"/>
      <c r="MW184" s="1576"/>
      <c r="MX184" s="1576"/>
      <c r="MY184" s="1576"/>
      <c r="MZ184" s="1576"/>
      <c r="NA184" s="1576"/>
      <c r="NB184" s="1576"/>
      <c r="NC184" s="1576"/>
      <c r="ND184" s="1576"/>
      <c r="NE184" s="1576"/>
      <c r="NF184" s="1576"/>
      <c r="NG184" s="1576"/>
      <c r="NH184" s="1576"/>
      <c r="NI184" s="1576"/>
      <c r="NJ184" s="1576"/>
      <c r="NK184" s="1576"/>
      <c r="NL184" s="1576"/>
      <c r="NM184" s="1576"/>
      <c r="NN184" s="1576"/>
      <c r="NO184" s="1576"/>
      <c r="NP184" s="1576"/>
      <c r="NQ184" s="1576"/>
      <c r="NR184" s="1576"/>
      <c r="NS184" s="1576"/>
      <c r="NT184" s="1576"/>
      <c r="NU184" s="1576"/>
      <c r="NV184" s="1576"/>
      <c r="NW184" s="1576"/>
      <c r="NX184" s="1576"/>
      <c r="NY184" s="1576"/>
      <c r="NZ184" s="1576"/>
      <c r="OA184" s="1576"/>
      <c r="OB184" s="1576"/>
      <c r="OC184" s="1576"/>
      <c r="OD184" s="1576"/>
      <c r="OE184" s="1576"/>
      <c r="OF184" s="1576"/>
      <c r="OG184" s="1576"/>
      <c r="OH184" s="1576"/>
      <c r="OI184" s="1576"/>
      <c r="OJ184" s="1576"/>
      <c r="OK184" s="1576"/>
      <c r="OL184" s="1576"/>
      <c r="OM184" s="1576"/>
      <c r="ON184" s="1576"/>
      <c r="OO184" s="1576"/>
      <c r="OP184" s="1576"/>
      <c r="OQ184" s="1576"/>
      <c r="OR184" s="1576"/>
      <c r="OS184" s="1576"/>
      <c r="OT184" s="1576"/>
      <c r="OU184" s="1576"/>
      <c r="OV184" s="1576"/>
      <c r="OW184" s="1576"/>
      <c r="OX184" s="1576"/>
      <c r="OY184" s="1576"/>
      <c r="OZ184" s="1576"/>
      <c r="PA184" s="1576"/>
      <c r="PB184" s="1576"/>
      <c r="PC184" s="1576"/>
      <c r="PD184" s="1576"/>
      <c r="PE184" s="1576"/>
      <c r="PF184" s="1576"/>
      <c r="PG184" s="1576"/>
      <c r="PH184" s="1576"/>
      <c r="PI184" s="1576"/>
      <c r="PJ184" s="1576"/>
      <c r="PK184" s="1576"/>
      <c r="PL184" s="1576"/>
      <c r="PM184" s="1576"/>
      <c r="PN184" s="1576"/>
      <c r="PO184" s="1576"/>
      <c r="PP184" s="1576"/>
      <c r="PQ184" s="1576"/>
      <c r="PR184" s="1576"/>
      <c r="PS184" s="1576"/>
      <c r="PT184" s="1576"/>
      <c r="PU184" s="1576"/>
      <c r="PV184" s="1576"/>
      <c r="PW184" s="1576"/>
      <c r="PX184" s="1576"/>
      <c r="PY184" s="1576"/>
      <c r="PZ184" s="1576"/>
      <c r="QA184" s="1576"/>
      <c r="QB184" s="1576"/>
      <c r="QC184" s="1576"/>
      <c r="QD184" s="1576"/>
      <c r="QE184" s="1576"/>
      <c r="QF184" s="1576"/>
      <c r="QG184" s="1576"/>
      <c r="QH184" s="1576"/>
      <c r="QI184" s="1576"/>
      <c r="QJ184" s="1576"/>
      <c r="QK184" s="1576"/>
      <c r="QL184" s="1576"/>
      <c r="QM184" s="1576"/>
      <c r="QN184" s="1576"/>
      <c r="QO184" s="1576"/>
      <c r="QP184" s="1576"/>
      <c r="QQ184" s="1576"/>
      <c r="QR184" s="1576"/>
      <c r="QS184" s="1576"/>
      <c r="QT184" s="1576"/>
      <c r="QU184" s="1576"/>
      <c r="QV184" s="1576"/>
      <c r="QW184" s="1576"/>
      <c r="QX184" s="1576"/>
      <c r="QY184" s="1576"/>
      <c r="QZ184" s="1576"/>
      <c r="RA184" s="1576"/>
      <c r="RB184" s="1576"/>
      <c r="RC184" s="1576"/>
      <c r="RD184" s="1576"/>
      <c r="RE184" s="1576"/>
      <c r="RF184" s="1576"/>
      <c r="RG184" s="1576"/>
      <c r="RH184" s="1576"/>
      <c r="RI184" s="1576"/>
      <c r="RJ184" s="1576"/>
      <c r="RK184" s="1576"/>
      <c r="RL184" s="1576"/>
      <c r="RM184" s="1576"/>
      <c r="RN184" s="1576"/>
      <c r="RO184" s="1576"/>
      <c r="RP184" s="1576"/>
      <c r="RQ184" s="1576"/>
      <c r="RR184" s="1576"/>
      <c r="RS184" s="1576"/>
      <c r="RT184" s="1576"/>
      <c r="RU184" s="1576"/>
      <c r="RV184" s="1576"/>
      <c r="RW184" s="1576"/>
      <c r="RX184" s="1576"/>
      <c r="RY184" s="1576"/>
      <c r="RZ184" s="1576"/>
      <c r="SA184" s="1576"/>
      <c r="SB184" s="1576"/>
      <c r="SC184" s="1576"/>
      <c r="SD184" s="1576"/>
      <c r="SE184" s="1576"/>
      <c r="SF184" s="1576"/>
      <c r="SG184" s="1576"/>
      <c r="SH184" s="1576"/>
      <c r="SI184" s="1576"/>
      <c r="SJ184" s="1576"/>
      <c r="SK184" s="1576"/>
      <c r="SL184" s="1576"/>
      <c r="SM184" s="1576"/>
      <c r="SN184" s="1576"/>
      <c r="SO184" s="1576"/>
      <c r="SP184" s="1576"/>
      <c r="SQ184" s="1576"/>
      <c r="SR184" s="1576"/>
      <c r="SS184" s="1576"/>
      <c r="ST184" s="1576"/>
      <c r="SU184" s="1576"/>
      <c r="SV184" s="1576"/>
      <c r="SW184" s="1576"/>
      <c r="SX184" s="1576"/>
      <c r="SY184" s="1576"/>
      <c r="SZ184" s="1576"/>
      <c r="TA184" s="1576"/>
      <c r="TB184" s="1576"/>
      <c r="TC184" s="1576"/>
      <c r="TD184" s="1576"/>
      <c r="TE184" s="1576"/>
      <c r="TF184" s="1576"/>
      <c r="TG184" s="1576"/>
      <c r="TH184" s="1576"/>
      <c r="TI184" s="1576"/>
      <c r="TJ184" s="1576"/>
      <c r="TK184" s="1576"/>
      <c r="TL184" s="1576"/>
      <c r="TM184" s="1576"/>
      <c r="TN184" s="1576"/>
      <c r="TO184" s="1576"/>
      <c r="TP184" s="1576"/>
      <c r="TQ184" s="1576"/>
      <c r="TR184" s="1576"/>
      <c r="TS184" s="1576"/>
      <c r="TT184" s="1576"/>
      <c r="TU184" s="1576"/>
      <c r="TV184" s="1576"/>
      <c r="TW184" s="1576"/>
      <c r="TX184" s="1576"/>
      <c r="TY184" s="1576"/>
      <c r="TZ184" s="1576"/>
      <c r="UA184" s="1576"/>
      <c r="UB184" s="1576"/>
      <c r="UC184" s="1576"/>
      <c r="UD184" s="1576"/>
      <c r="UE184" s="1576"/>
      <c r="UF184" s="1576"/>
      <c r="UG184" s="1576"/>
      <c r="UH184" s="1576"/>
      <c r="UI184" s="1576"/>
      <c r="UJ184" s="1576"/>
      <c r="UK184" s="1576"/>
      <c r="UL184" s="1576"/>
      <c r="UM184" s="1576"/>
      <c r="UN184" s="1576"/>
      <c r="UO184" s="1576"/>
      <c r="UP184" s="1576"/>
      <c r="UQ184" s="1576"/>
      <c r="UR184" s="1576"/>
      <c r="US184" s="1576"/>
      <c r="UT184" s="1576"/>
      <c r="UU184" s="1576"/>
      <c r="UV184" s="1576"/>
      <c r="UW184" s="1576"/>
      <c r="UX184" s="1576"/>
      <c r="UY184" s="1576"/>
      <c r="UZ184" s="1576"/>
      <c r="VA184" s="1576"/>
      <c r="VB184" s="1576"/>
      <c r="VC184" s="1576"/>
      <c r="VD184" s="1576"/>
      <c r="VE184" s="1576"/>
      <c r="VF184" s="1576"/>
      <c r="VG184" s="1576"/>
      <c r="VH184" s="1576"/>
      <c r="VI184" s="1576"/>
      <c r="VJ184" s="1576"/>
      <c r="VK184" s="1576"/>
    </row>
    <row r="185" spans="1:583" ht="27" x14ac:dyDescent="0.25">
      <c r="B185" s="1610" t="s">
        <v>98</v>
      </c>
      <c r="C185" s="1582" t="s">
        <v>2884</v>
      </c>
      <c r="D185" s="4711"/>
      <c r="E185" s="4711"/>
      <c r="F185" s="2057"/>
      <c r="G185" s="2057"/>
      <c r="H185" s="2057"/>
      <c r="I185" s="2059"/>
      <c r="J185" s="2059"/>
      <c r="K185" s="2059"/>
      <c r="L185" s="2059"/>
      <c r="M185" s="2059"/>
      <c r="N185" s="2059"/>
      <c r="O185" s="2059"/>
      <c r="P185" s="2059"/>
      <c r="Q185" s="2059"/>
      <c r="R185" s="2059"/>
      <c r="S185" s="2059"/>
      <c r="T185" s="2059"/>
      <c r="U185" s="2059"/>
      <c r="V185" s="2059"/>
      <c r="W185" s="2059"/>
      <c r="X185" s="2059"/>
      <c r="Y185" s="2059"/>
      <c r="Z185" s="2059"/>
      <c r="AA185" s="2059"/>
      <c r="AB185" s="2059"/>
      <c r="AC185" s="2059"/>
      <c r="AD185" s="2059"/>
      <c r="AE185" s="2059"/>
      <c r="AF185" s="2059"/>
      <c r="AG185" s="2059"/>
      <c r="AH185" s="2059"/>
      <c r="AI185" s="2059"/>
      <c r="AJ185" s="2059"/>
      <c r="AK185" s="2059"/>
      <c r="AL185" s="2059"/>
      <c r="AM185" s="2059"/>
      <c r="AN185" s="2059"/>
      <c r="AO185" s="2059"/>
      <c r="AP185" s="2059"/>
      <c r="AQ185" s="2059"/>
      <c r="AR185" s="2059"/>
      <c r="AS185" s="2059"/>
      <c r="AT185" s="2059"/>
      <c r="AU185" s="2059"/>
      <c r="AV185" s="2059"/>
      <c r="AW185" s="2059"/>
      <c r="AX185" s="2059"/>
      <c r="AY185" s="2059"/>
      <c r="AZ185" s="2059"/>
      <c r="BA185" s="2059"/>
      <c r="BB185" s="2059"/>
      <c r="BC185" s="2059"/>
      <c r="BD185" s="2059"/>
      <c r="BE185" s="2059"/>
      <c r="BF185" s="2059"/>
      <c r="BG185" s="2059"/>
      <c r="BH185" s="2059"/>
      <c r="BI185" s="2059"/>
      <c r="BJ185" s="2059"/>
      <c r="BK185" s="2059"/>
      <c r="BL185" s="2059"/>
      <c r="BM185" s="2059"/>
      <c r="BN185" s="2059"/>
      <c r="BO185" s="2059"/>
      <c r="BP185" s="2059"/>
      <c r="BQ185" s="2059"/>
      <c r="BR185" s="2059"/>
      <c r="BS185" s="2059"/>
      <c r="BT185" s="2059"/>
      <c r="BU185" s="2059"/>
      <c r="BV185" s="2059"/>
      <c r="BW185" s="2059"/>
      <c r="BX185" s="2059"/>
      <c r="BY185" s="2059"/>
      <c r="BZ185" s="2059"/>
      <c r="CA185" s="2059"/>
      <c r="CB185" s="2059"/>
      <c r="CC185" s="2059"/>
      <c r="CD185" s="2059"/>
      <c r="CE185" s="2059"/>
      <c r="CF185" s="2059"/>
      <c r="CG185" s="2059"/>
      <c r="CH185" s="2059"/>
      <c r="CI185" s="2059"/>
      <c r="CJ185" s="2059"/>
      <c r="CK185" s="2059"/>
      <c r="CL185" s="2059"/>
      <c r="CM185" s="2059"/>
      <c r="CN185" s="2059"/>
      <c r="CO185" s="2059"/>
      <c r="CP185" s="1576"/>
      <c r="CQ185" s="1576"/>
      <c r="CR185" s="1576"/>
      <c r="CS185" s="1576"/>
      <c r="CT185" s="1576"/>
      <c r="CU185" s="1576"/>
      <c r="CV185" s="1576"/>
      <c r="CW185" s="1576"/>
      <c r="CX185" s="1576"/>
      <c r="CY185" s="1576"/>
      <c r="CZ185" s="1576"/>
      <c r="DA185" s="1576"/>
      <c r="DB185" s="1576"/>
      <c r="DC185" s="1576"/>
      <c r="DD185" s="1576"/>
      <c r="DE185" s="1576"/>
      <c r="DF185" s="1576"/>
      <c r="DG185" s="1576"/>
      <c r="DH185" s="1576"/>
      <c r="DI185" s="1576"/>
      <c r="DJ185" s="1576"/>
      <c r="DK185" s="1576"/>
      <c r="DL185" s="1576"/>
      <c r="DM185" s="1576"/>
      <c r="DN185" s="1576"/>
      <c r="DO185" s="1576"/>
      <c r="DP185" s="1576"/>
      <c r="DQ185" s="1576"/>
      <c r="DR185" s="1576"/>
      <c r="DS185" s="1576"/>
      <c r="DT185" s="1576"/>
      <c r="DU185" s="1576"/>
      <c r="DV185" s="1576"/>
      <c r="DW185" s="1576"/>
      <c r="DX185" s="1576"/>
      <c r="DY185" s="1576"/>
      <c r="DZ185" s="1576"/>
      <c r="EA185" s="1576"/>
      <c r="EB185" s="1576"/>
      <c r="EC185" s="1576"/>
      <c r="ED185" s="1576"/>
      <c r="EE185" s="1576"/>
      <c r="EF185" s="1576"/>
      <c r="EG185" s="1576"/>
      <c r="EH185" s="1576"/>
      <c r="EI185" s="1576"/>
      <c r="EJ185" s="1576"/>
      <c r="EK185" s="1576"/>
      <c r="EL185" s="1576"/>
      <c r="EM185" s="1576"/>
      <c r="EN185" s="1576"/>
      <c r="EO185" s="1576"/>
      <c r="EP185" s="1576"/>
      <c r="EQ185" s="1576"/>
      <c r="ER185" s="1576"/>
      <c r="ES185" s="1576"/>
      <c r="ET185" s="1576"/>
      <c r="EU185" s="1576"/>
      <c r="EV185" s="1576"/>
      <c r="EW185" s="1576"/>
      <c r="EX185" s="1576"/>
      <c r="EY185" s="1576"/>
      <c r="EZ185" s="1576"/>
      <c r="FA185" s="1576"/>
      <c r="FB185" s="1576"/>
      <c r="FC185" s="1576"/>
      <c r="FD185" s="1576"/>
      <c r="FE185" s="1576"/>
      <c r="FF185" s="1576"/>
      <c r="FG185" s="1576"/>
      <c r="FH185" s="1576"/>
      <c r="FI185" s="1576"/>
      <c r="FJ185" s="1576"/>
      <c r="FK185" s="1576"/>
      <c r="FL185" s="1576"/>
      <c r="FM185" s="1576"/>
      <c r="FN185" s="1576"/>
      <c r="FO185" s="1576"/>
      <c r="FP185" s="1576"/>
      <c r="FQ185" s="1576"/>
      <c r="FR185" s="1576"/>
      <c r="FS185" s="1576"/>
      <c r="FT185" s="1576"/>
      <c r="FU185" s="1576"/>
      <c r="FV185" s="1576"/>
      <c r="FW185" s="1576"/>
      <c r="FX185" s="1576"/>
      <c r="FY185" s="1576"/>
      <c r="FZ185" s="1576"/>
      <c r="GA185" s="1576"/>
      <c r="GB185" s="1576"/>
      <c r="GC185" s="1576"/>
      <c r="GD185" s="1576"/>
      <c r="GE185" s="1576"/>
      <c r="GF185" s="1576"/>
      <c r="GG185" s="1576"/>
      <c r="GH185" s="1576"/>
      <c r="GI185" s="1576"/>
      <c r="GJ185" s="1576"/>
      <c r="GK185" s="1576"/>
      <c r="GL185" s="1576"/>
      <c r="GM185" s="1576"/>
      <c r="GN185" s="1576"/>
      <c r="GO185" s="1576"/>
      <c r="GP185" s="1576"/>
      <c r="GQ185" s="1576"/>
      <c r="GR185" s="1576"/>
      <c r="GS185" s="1576"/>
      <c r="GT185" s="1576"/>
      <c r="GU185" s="1576"/>
      <c r="GV185" s="1576"/>
      <c r="GW185" s="1576"/>
      <c r="GX185" s="1576"/>
      <c r="GY185" s="1576"/>
      <c r="GZ185" s="1576"/>
      <c r="HA185" s="1576"/>
      <c r="HB185" s="1576"/>
      <c r="HC185" s="1576"/>
      <c r="HD185" s="1576"/>
      <c r="HE185" s="1576"/>
      <c r="HF185" s="1576"/>
      <c r="HG185" s="1576"/>
      <c r="HH185" s="1576"/>
      <c r="HI185" s="1576"/>
      <c r="HJ185" s="1576"/>
      <c r="HK185" s="1576"/>
      <c r="HL185" s="1576"/>
      <c r="HM185" s="1576"/>
      <c r="HN185" s="1576"/>
      <c r="HO185" s="1576"/>
      <c r="HP185" s="1576"/>
      <c r="HQ185" s="1576"/>
      <c r="HR185" s="1576"/>
      <c r="HS185" s="1576"/>
      <c r="HT185" s="1576"/>
      <c r="HU185" s="1576"/>
      <c r="HV185" s="1576"/>
      <c r="HW185" s="1576"/>
      <c r="HX185" s="1576"/>
      <c r="HY185" s="1576"/>
      <c r="HZ185" s="1576"/>
      <c r="IA185" s="1576"/>
      <c r="IB185" s="1576"/>
      <c r="IC185" s="1576"/>
      <c r="ID185" s="1576"/>
      <c r="IE185" s="1576"/>
      <c r="IF185" s="1576"/>
      <c r="IG185" s="1576"/>
      <c r="IH185" s="1576"/>
      <c r="II185" s="1576"/>
      <c r="IJ185" s="1576"/>
      <c r="IK185" s="1576"/>
      <c r="IL185" s="1576"/>
      <c r="IM185" s="1576"/>
      <c r="IN185" s="1576"/>
      <c r="IO185" s="1576"/>
      <c r="IP185" s="1576"/>
      <c r="IQ185" s="1576"/>
      <c r="IR185" s="1576"/>
      <c r="IS185" s="1576"/>
      <c r="IT185" s="1576"/>
      <c r="IU185" s="1576"/>
      <c r="IV185" s="1576"/>
      <c r="IW185" s="1576"/>
      <c r="IX185" s="1576"/>
      <c r="IY185" s="1576"/>
      <c r="IZ185" s="1576"/>
      <c r="JA185" s="2054"/>
      <c r="JB185" s="2054"/>
      <c r="JC185" s="2054"/>
      <c r="JD185" s="2054"/>
      <c r="JE185" s="2054"/>
      <c r="JF185" s="2054"/>
      <c r="JG185" s="2054"/>
      <c r="JH185" s="2054"/>
      <c r="JI185" s="2054"/>
      <c r="JJ185" s="2054"/>
      <c r="JK185" s="2054"/>
      <c r="JL185" s="2054"/>
      <c r="JM185" s="2054"/>
      <c r="JN185" s="2054"/>
      <c r="JO185" s="2054"/>
      <c r="JP185" s="2054"/>
      <c r="JQ185" s="2054"/>
      <c r="JR185" s="1576"/>
      <c r="JS185" s="1576"/>
      <c r="JT185" s="1576"/>
      <c r="JU185" s="1576"/>
      <c r="JV185" s="1576"/>
      <c r="JW185" s="1576"/>
      <c r="JX185" s="1576"/>
      <c r="JY185" s="1576"/>
      <c r="JZ185" s="1576"/>
      <c r="KA185" s="1576"/>
      <c r="KB185" s="1576"/>
      <c r="KC185" s="1576"/>
      <c r="KD185" s="1576"/>
      <c r="KE185" s="1576"/>
      <c r="KF185" s="1576"/>
      <c r="KG185" s="1576"/>
      <c r="KH185" s="1576"/>
      <c r="KI185" s="1576"/>
      <c r="KJ185" s="1576"/>
      <c r="KK185" s="1576"/>
      <c r="KL185" s="1576"/>
      <c r="KM185" s="1576"/>
      <c r="KN185" s="1576"/>
      <c r="KO185" s="1576"/>
      <c r="KP185" s="1576"/>
      <c r="KQ185" s="1576"/>
      <c r="KR185" s="1576"/>
      <c r="KS185" s="1576"/>
      <c r="KT185" s="1576"/>
      <c r="KU185" s="1576"/>
      <c r="KV185" s="1576"/>
      <c r="KW185" s="1576"/>
      <c r="KX185" s="1576"/>
      <c r="KY185" s="1576"/>
      <c r="KZ185" s="1576"/>
      <c r="LA185" s="1576"/>
      <c r="LB185" s="1576"/>
      <c r="LC185" s="1576"/>
      <c r="LD185" s="1576"/>
      <c r="LE185" s="1576"/>
      <c r="LF185" s="1576"/>
      <c r="LG185" s="1576"/>
      <c r="LH185" s="1576"/>
      <c r="LI185" s="1576"/>
      <c r="LJ185" s="1576"/>
      <c r="LK185" s="1576"/>
      <c r="LL185" s="1576"/>
      <c r="LM185" s="1576"/>
      <c r="LN185" s="1576"/>
      <c r="LO185" s="1576"/>
      <c r="LP185" s="1576"/>
      <c r="LQ185" s="1576"/>
      <c r="LR185" s="1576"/>
      <c r="LS185" s="1576"/>
      <c r="LT185" s="1576"/>
      <c r="LU185" s="1576"/>
      <c r="LV185" s="1576"/>
      <c r="LW185" s="1576"/>
      <c r="LX185" s="1576"/>
      <c r="LY185" s="1576"/>
      <c r="LZ185" s="1576"/>
      <c r="MA185" s="1576"/>
      <c r="MB185" s="1576"/>
      <c r="MC185" s="1576"/>
      <c r="MD185" s="1576"/>
      <c r="ME185" s="1576"/>
      <c r="MF185" s="1576"/>
      <c r="MG185" s="1576"/>
      <c r="MH185" s="1576"/>
      <c r="MI185" s="1576"/>
      <c r="MJ185" s="1576"/>
      <c r="MK185" s="1576"/>
      <c r="ML185" s="1576"/>
      <c r="MM185" s="1576"/>
      <c r="MN185" s="1576"/>
      <c r="MO185" s="1576"/>
      <c r="MP185" s="1576"/>
      <c r="MQ185" s="1576"/>
      <c r="MR185" s="1576"/>
      <c r="MS185" s="1576"/>
      <c r="MT185" s="1576"/>
      <c r="MU185" s="1576"/>
      <c r="MV185" s="1576"/>
      <c r="MW185" s="1576"/>
      <c r="MX185" s="1576"/>
      <c r="MY185" s="1576"/>
      <c r="MZ185" s="1576"/>
      <c r="NA185" s="1576"/>
      <c r="NB185" s="1576"/>
      <c r="NC185" s="1576"/>
      <c r="ND185" s="1576"/>
      <c r="NE185" s="1576"/>
      <c r="NF185" s="1576"/>
      <c r="NG185" s="1576"/>
      <c r="NH185" s="1576"/>
      <c r="NI185" s="1576"/>
      <c r="NJ185" s="1576"/>
      <c r="NK185" s="1576"/>
      <c r="NL185" s="1576"/>
      <c r="NM185" s="1576"/>
      <c r="NN185" s="1576"/>
      <c r="NO185" s="1576"/>
      <c r="NP185" s="1576"/>
      <c r="NQ185" s="1576"/>
      <c r="NR185" s="1576"/>
      <c r="NS185" s="1576"/>
      <c r="NT185" s="1576"/>
      <c r="NU185" s="1576"/>
      <c r="NV185" s="1576"/>
      <c r="NW185" s="1576"/>
      <c r="NX185" s="1576"/>
      <c r="NY185" s="1576"/>
      <c r="NZ185" s="1576"/>
      <c r="OA185" s="1576"/>
      <c r="OB185" s="1576"/>
      <c r="OC185" s="1576"/>
      <c r="OD185" s="1576"/>
      <c r="OE185" s="1576"/>
      <c r="OF185" s="1576"/>
      <c r="OG185" s="1576"/>
      <c r="OH185" s="1576"/>
      <c r="OI185" s="1576"/>
      <c r="OJ185" s="1576"/>
      <c r="OK185" s="1576"/>
      <c r="OL185" s="1576"/>
      <c r="OM185" s="1576"/>
      <c r="ON185" s="1576"/>
      <c r="OO185" s="1576"/>
      <c r="OP185" s="1576"/>
      <c r="OQ185" s="1576"/>
      <c r="OR185" s="1576"/>
      <c r="OS185" s="1576"/>
      <c r="OT185" s="1576"/>
      <c r="OU185" s="1576"/>
      <c r="OV185" s="1576"/>
      <c r="OW185" s="1576"/>
      <c r="OX185" s="1576"/>
      <c r="OY185" s="1576"/>
      <c r="OZ185" s="1576"/>
      <c r="PA185" s="1576"/>
      <c r="PB185" s="1576"/>
      <c r="PC185" s="1576"/>
      <c r="PD185" s="1576"/>
      <c r="PE185" s="1576"/>
      <c r="PF185" s="1576"/>
      <c r="PG185" s="1576"/>
      <c r="PH185" s="1576"/>
      <c r="PI185" s="1576"/>
      <c r="PJ185" s="1576"/>
      <c r="PK185" s="1576"/>
      <c r="PL185" s="1576"/>
      <c r="PM185" s="1576"/>
      <c r="PN185" s="1576"/>
      <c r="PO185" s="1576"/>
      <c r="PP185" s="1576"/>
      <c r="PQ185" s="1576"/>
      <c r="PR185" s="1576"/>
      <c r="PS185" s="1576"/>
      <c r="PT185" s="1576"/>
      <c r="PU185" s="1576"/>
      <c r="PV185" s="1576"/>
      <c r="PW185" s="1576"/>
      <c r="PX185" s="1576"/>
      <c r="PY185" s="1576"/>
      <c r="PZ185" s="1576"/>
      <c r="QA185" s="1576"/>
      <c r="QB185" s="1576"/>
      <c r="QC185" s="1576"/>
      <c r="QD185" s="1576"/>
      <c r="QE185" s="1576"/>
      <c r="QF185" s="1576"/>
      <c r="QG185" s="1576"/>
      <c r="QH185" s="1576"/>
      <c r="QI185" s="1576"/>
      <c r="QJ185" s="1576"/>
      <c r="QK185" s="1576"/>
      <c r="QL185" s="1576"/>
      <c r="QM185" s="1576"/>
      <c r="QN185" s="1576"/>
      <c r="QO185" s="1576"/>
      <c r="QP185" s="1576"/>
      <c r="QQ185" s="1576"/>
      <c r="QR185" s="1576"/>
      <c r="QS185" s="1576"/>
      <c r="QT185" s="1576"/>
      <c r="QU185" s="1576"/>
      <c r="QV185" s="1576"/>
      <c r="QW185" s="1576"/>
      <c r="QX185" s="1576"/>
      <c r="QY185" s="1576"/>
      <c r="QZ185" s="1576"/>
      <c r="RA185" s="1576"/>
      <c r="RB185" s="1576"/>
      <c r="RC185" s="1576"/>
      <c r="RD185" s="1576"/>
      <c r="RE185" s="1576"/>
      <c r="RF185" s="1576"/>
      <c r="RG185" s="1576"/>
      <c r="RH185" s="1576"/>
      <c r="RI185" s="1576"/>
      <c r="RJ185" s="1576"/>
      <c r="RK185" s="1576"/>
      <c r="RL185" s="1576"/>
      <c r="RM185" s="1576"/>
      <c r="RN185" s="1576"/>
      <c r="RO185" s="1576"/>
      <c r="RP185" s="1576"/>
      <c r="RQ185" s="1576"/>
      <c r="RR185" s="1576"/>
      <c r="RS185" s="1576"/>
      <c r="RT185" s="1576"/>
      <c r="RU185" s="1576"/>
      <c r="RV185" s="1576"/>
      <c r="RW185" s="1576"/>
      <c r="RX185" s="1576"/>
      <c r="RY185" s="1576"/>
      <c r="RZ185" s="1576"/>
      <c r="SA185" s="1576"/>
      <c r="SB185" s="1576"/>
      <c r="SC185" s="1576"/>
      <c r="SD185" s="1576"/>
      <c r="SE185" s="1576"/>
      <c r="SF185" s="1576"/>
      <c r="SG185" s="1576"/>
      <c r="SH185" s="1576"/>
      <c r="SI185" s="1576"/>
      <c r="SJ185" s="1576"/>
      <c r="SK185" s="1576"/>
      <c r="SL185" s="1576"/>
      <c r="SM185" s="1576"/>
      <c r="SN185" s="1576"/>
      <c r="SO185" s="1576"/>
      <c r="SP185" s="1576"/>
      <c r="SQ185" s="1576"/>
      <c r="SR185" s="1576"/>
      <c r="SS185" s="1576"/>
      <c r="ST185" s="1576"/>
      <c r="SU185" s="1576"/>
      <c r="SV185" s="1576"/>
      <c r="SW185" s="1576"/>
      <c r="SX185" s="1576"/>
      <c r="SY185" s="1576"/>
      <c r="SZ185" s="1576"/>
      <c r="TA185" s="1576"/>
      <c r="TB185" s="1576"/>
      <c r="TC185" s="1576"/>
      <c r="TD185" s="1576"/>
      <c r="TE185" s="1576"/>
      <c r="TF185" s="1576"/>
      <c r="TG185" s="1576"/>
      <c r="TH185" s="1576"/>
      <c r="TI185" s="1576"/>
      <c r="TJ185" s="1576"/>
      <c r="TK185" s="1576"/>
      <c r="TL185" s="1576"/>
      <c r="TM185" s="1576"/>
      <c r="TN185" s="1576"/>
      <c r="TO185" s="1576"/>
      <c r="TP185" s="1576"/>
      <c r="TQ185" s="1576"/>
      <c r="TR185" s="1576"/>
      <c r="TS185" s="1576"/>
      <c r="TT185" s="1576"/>
      <c r="TU185" s="1576"/>
      <c r="TV185" s="1576"/>
      <c r="TW185" s="1576"/>
      <c r="TX185" s="1576"/>
      <c r="TY185" s="1576"/>
      <c r="TZ185" s="1576"/>
      <c r="UA185" s="1576"/>
      <c r="UB185" s="1576"/>
      <c r="UC185" s="1576"/>
      <c r="UD185" s="1576"/>
      <c r="UE185" s="1576"/>
      <c r="UF185" s="1576"/>
      <c r="UG185" s="1576"/>
      <c r="UH185" s="1576"/>
      <c r="UI185" s="1576"/>
      <c r="UJ185" s="1576"/>
      <c r="UK185" s="1576"/>
      <c r="UL185" s="1576"/>
      <c r="UM185" s="1576"/>
      <c r="UN185" s="1576"/>
      <c r="UO185" s="1576"/>
      <c r="UP185" s="1576"/>
      <c r="UQ185" s="1576"/>
      <c r="UR185" s="1576"/>
      <c r="US185" s="1576"/>
      <c r="UT185" s="1576"/>
      <c r="UU185" s="1576"/>
      <c r="UV185" s="1576"/>
      <c r="UW185" s="1576"/>
      <c r="UX185" s="1576"/>
      <c r="UY185" s="1576"/>
      <c r="UZ185" s="1576"/>
      <c r="VA185" s="1576"/>
      <c r="VB185" s="1576"/>
      <c r="VC185" s="1576"/>
      <c r="VD185" s="1576"/>
      <c r="VE185" s="1576"/>
      <c r="VF185" s="1576"/>
      <c r="VG185" s="1576"/>
      <c r="VH185" s="1576"/>
      <c r="VI185" s="1576"/>
      <c r="VJ185" s="1576"/>
      <c r="VK185" s="1576"/>
    </row>
    <row r="186" spans="1:583" ht="33" customHeight="1" x14ac:dyDescent="0.25">
      <c r="A186" s="691" t="s">
        <v>3833</v>
      </c>
      <c r="B186" s="1610" t="s">
        <v>98</v>
      </c>
      <c r="C186" s="2062" t="s">
        <v>2968</v>
      </c>
      <c r="D186" s="1582" t="s">
        <v>98</v>
      </c>
      <c r="E186" s="2062" t="s">
        <v>2968</v>
      </c>
      <c r="F186" s="2061">
        <f>SUM(F182:F185)</f>
        <v>0</v>
      </c>
      <c r="G186" s="2061">
        <f t="shared" ref="G186:BR186" si="292">SUM(G182:G185)</f>
        <v>0</v>
      </c>
      <c r="H186" s="2061">
        <f t="shared" si="292"/>
        <v>0</v>
      </c>
      <c r="I186" s="2061">
        <f t="shared" si="292"/>
        <v>0</v>
      </c>
      <c r="J186" s="2061">
        <f t="shared" si="292"/>
        <v>0</v>
      </c>
      <c r="K186" s="2061">
        <f t="shared" si="292"/>
        <v>0</v>
      </c>
      <c r="L186" s="2061">
        <f t="shared" si="292"/>
        <v>0</v>
      </c>
      <c r="M186" s="2061">
        <f t="shared" si="292"/>
        <v>0</v>
      </c>
      <c r="N186" s="2061">
        <f t="shared" si="292"/>
        <v>0</v>
      </c>
      <c r="O186" s="2061">
        <f t="shared" si="292"/>
        <v>0</v>
      </c>
      <c r="P186" s="2061">
        <f t="shared" si="292"/>
        <v>0</v>
      </c>
      <c r="Q186" s="2061">
        <f t="shared" si="292"/>
        <v>0</v>
      </c>
      <c r="R186" s="2061">
        <f t="shared" si="292"/>
        <v>0</v>
      </c>
      <c r="S186" s="2061">
        <f t="shared" si="292"/>
        <v>0</v>
      </c>
      <c r="T186" s="2061">
        <f t="shared" si="292"/>
        <v>0</v>
      </c>
      <c r="U186" s="2061">
        <f t="shared" si="292"/>
        <v>0</v>
      </c>
      <c r="V186" s="2061">
        <f t="shared" si="292"/>
        <v>0</v>
      </c>
      <c r="W186" s="2061">
        <f t="shared" si="292"/>
        <v>0</v>
      </c>
      <c r="X186" s="2061">
        <f t="shared" si="292"/>
        <v>0</v>
      </c>
      <c r="Y186" s="2061">
        <f t="shared" si="292"/>
        <v>0</v>
      </c>
      <c r="Z186" s="2061">
        <f t="shared" si="292"/>
        <v>0</v>
      </c>
      <c r="AA186" s="2061">
        <f t="shared" si="292"/>
        <v>0</v>
      </c>
      <c r="AB186" s="2061">
        <f t="shared" si="292"/>
        <v>0</v>
      </c>
      <c r="AC186" s="2061">
        <f t="shared" si="292"/>
        <v>0</v>
      </c>
      <c r="AD186" s="2061">
        <f t="shared" si="292"/>
        <v>0</v>
      </c>
      <c r="AE186" s="2061">
        <f t="shared" si="292"/>
        <v>0</v>
      </c>
      <c r="AF186" s="2061">
        <f t="shared" si="292"/>
        <v>0</v>
      </c>
      <c r="AG186" s="2061">
        <f t="shared" si="292"/>
        <v>0</v>
      </c>
      <c r="AH186" s="2061">
        <f t="shared" si="292"/>
        <v>0</v>
      </c>
      <c r="AI186" s="2061">
        <f t="shared" si="292"/>
        <v>0</v>
      </c>
      <c r="AJ186" s="2061">
        <f t="shared" si="292"/>
        <v>0</v>
      </c>
      <c r="AK186" s="2061">
        <f t="shared" si="292"/>
        <v>0</v>
      </c>
      <c r="AL186" s="2061">
        <f t="shared" si="292"/>
        <v>0</v>
      </c>
      <c r="AM186" s="2061">
        <f t="shared" si="292"/>
        <v>0</v>
      </c>
      <c r="AN186" s="2061">
        <f t="shared" si="292"/>
        <v>0</v>
      </c>
      <c r="AO186" s="2061">
        <f t="shared" si="292"/>
        <v>0</v>
      </c>
      <c r="AP186" s="2061">
        <f t="shared" si="292"/>
        <v>0</v>
      </c>
      <c r="AQ186" s="2061">
        <f t="shared" si="292"/>
        <v>0</v>
      </c>
      <c r="AR186" s="2061">
        <f t="shared" si="292"/>
        <v>0</v>
      </c>
      <c r="AS186" s="2061">
        <f t="shared" si="292"/>
        <v>0</v>
      </c>
      <c r="AT186" s="2061">
        <f t="shared" si="292"/>
        <v>0</v>
      </c>
      <c r="AU186" s="2061">
        <f t="shared" si="292"/>
        <v>0</v>
      </c>
      <c r="AV186" s="2061">
        <f t="shared" si="292"/>
        <v>0</v>
      </c>
      <c r="AW186" s="2061">
        <f t="shared" si="292"/>
        <v>0</v>
      </c>
      <c r="AX186" s="2061">
        <f t="shared" si="292"/>
        <v>0</v>
      </c>
      <c r="AY186" s="2061">
        <f t="shared" si="292"/>
        <v>0</v>
      </c>
      <c r="AZ186" s="2061">
        <f t="shared" si="292"/>
        <v>0</v>
      </c>
      <c r="BA186" s="2061">
        <f t="shared" si="292"/>
        <v>0</v>
      </c>
      <c r="BB186" s="2061">
        <f t="shared" si="292"/>
        <v>0</v>
      </c>
      <c r="BC186" s="2061">
        <f t="shared" si="292"/>
        <v>0</v>
      </c>
      <c r="BD186" s="2061">
        <f t="shared" si="292"/>
        <v>0</v>
      </c>
      <c r="BE186" s="2061">
        <f t="shared" si="292"/>
        <v>0</v>
      </c>
      <c r="BF186" s="2061">
        <f t="shared" si="292"/>
        <v>0</v>
      </c>
      <c r="BG186" s="2061">
        <f t="shared" si="292"/>
        <v>0</v>
      </c>
      <c r="BH186" s="2061">
        <f t="shared" si="292"/>
        <v>0</v>
      </c>
      <c r="BI186" s="2061">
        <f t="shared" si="292"/>
        <v>0</v>
      </c>
      <c r="BJ186" s="2061">
        <f t="shared" si="292"/>
        <v>0</v>
      </c>
      <c r="BK186" s="2061">
        <f t="shared" si="292"/>
        <v>0</v>
      </c>
      <c r="BL186" s="2061">
        <f t="shared" si="292"/>
        <v>0</v>
      </c>
      <c r="BM186" s="2061">
        <f t="shared" si="292"/>
        <v>0</v>
      </c>
      <c r="BN186" s="2061">
        <f t="shared" si="292"/>
        <v>0</v>
      </c>
      <c r="BO186" s="2061">
        <f t="shared" si="292"/>
        <v>0</v>
      </c>
      <c r="BP186" s="2061">
        <f t="shared" si="292"/>
        <v>0</v>
      </c>
      <c r="BQ186" s="2061">
        <f t="shared" si="292"/>
        <v>0</v>
      </c>
      <c r="BR186" s="2061">
        <f t="shared" si="292"/>
        <v>0</v>
      </c>
      <c r="BS186" s="2061">
        <f t="shared" ref="BS186:ED186" si="293">SUM(BS182:BS185)</f>
        <v>0</v>
      </c>
      <c r="BT186" s="2061">
        <f t="shared" si="293"/>
        <v>0</v>
      </c>
      <c r="BU186" s="2061">
        <f t="shared" si="293"/>
        <v>0</v>
      </c>
      <c r="BV186" s="2061">
        <f t="shared" si="293"/>
        <v>0</v>
      </c>
      <c r="BW186" s="2061">
        <f t="shared" si="293"/>
        <v>0</v>
      </c>
      <c r="BX186" s="2061">
        <f t="shared" si="293"/>
        <v>0</v>
      </c>
      <c r="BY186" s="2061">
        <f t="shared" si="293"/>
        <v>0</v>
      </c>
      <c r="BZ186" s="2061">
        <f t="shared" si="293"/>
        <v>0</v>
      </c>
      <c r="CA186" s="2061">
        <f t="shared" si="293"/>
        <v>0</v>
      </c>
      <c r="CB186" s="2061">
        <f t="shared" si="293"/>
        <v>0</v>
      </c>
      <c r="CC186" s="2061">
        <f t="shared" si="293"/>
        <v>0</v>
      </c>
      <c r="CD186" s="2061">
        <f t="shared" si="293"/>
        <v>0</v>
      </c>
      <c r="CE186" s="2061">
        <f t="shared" si="293"/>
        <v>0</v>
      </c>
      <c r="CF186" s="2061">
        <f t="shared" si="293"/>
        <v>0</v>
      </c>
      <c r="CG186" s="2061">
        <f t="shared" si="293"/>
        <v>0</v>
      </c>
      <c r="CH186" s="2061">
        <f t="shared" si="293"/>
        <v>0</v>
      </c>
      <c r="CI186" s="2061">
        <f t="shared" si="293"/>
        <v>0</v>
      </c>
      <c r="CJ186" s="2061">
        <f t="shared" si="293"/>
        <v>0</v>
      </c>
      <c r="CK186" s="2061">
        <f t="shared" si="293"/>
        <v>0</v>
      </c>
      <c r="CL186" s="2061">
        <f t="shared" si="293"/>
        <v>0</v>
      </c>
      <c r="CM186" s="2061">
        <f t="shared" si="293"/>
        <v>0</v>
      </c>
      <c r="CN186" s="2061">
        <f t="shared" si="293"/>
        <v>0</v>
      </c>
      <c r="CO186" s="2061">
        <f t="shared" si="293"/>
        <v>0</v>
      </c>
      <c r="CP186" s="2061">
        <f t="shared" si="293"/>
        <v>0</v>
      </c>
      <c r="CQ186" s="2061">
        <f t="shared" si="293"/>
        <v>0</v>
      </c>
      <c r="CR186" s="2061">
        <f t="shared" si="293"/>
        <v>0</v>
      </c>
      <c r="CS186" s="2061">
        <f t="shared" si="293"/>
        <v>0</v>
      </c>
      <c r="CT186" s="2061">
        <f t="shared" si="293"/>
        <v>0</v>
      </c>
      <c r="CU186" s="2061">
        <f t="shared" si="293"/>
        <v>0</v>
      </c>
      <c r="CV186" s="2061">
        <f t="shared" si="293"/>
        <v>0</v>
      </c>
      <c r="CW186" s="2061">
        <f t="shared" si="293"/>
        <v>0</v>
      </c>
      <c r="CX186" s="2061">
        <f t="shared" si="293"/>
        <v>0</v>
      </c>
      <c r="CY186" s="2061">
        <f t="shared" si="293"/>
        <v>0</v>
      </c>
      <c r="CZ186" s="2061">
        <f t="shared" si="293"/>
        <v>0</v>
      </c>
      <c r="DA186" s="2061">
        <f t="shared" si="293"/>
        <v>0</v>
      </c>
      <c r="DB186" s="2061">
        <f t="shared" si="293"/>
        <v>0</v>
      </c>
      <c r="DC186" s="2061">
        <f t="shared" si="293"/>
        <v>0</v>
      </c>
      <c r="DD186" s="2061">
        <f t="shared" si="293"/>
        <v>0</v>
      </c>
      <c r="DE186" s="2061">
        <f t="shared" si="293"/>
        <v>0</v>
      </c>
      <c r="DF186" s="2061">
        <f t="shared" si="293"/>
        <v>0</v>
      </c>
      <c r="DG186" s="2061">
        <f t="shared" si="293"/>
        <v>0</v>
      </c>
      <c r="DH186" s="2061">
        <f t="shared" si="293"/>
        <v>0</v>
      </c>
      <c r="DI186" s="2061">
        <f t="shared" si="293"/>
        <v>0</v>
      </c>
      <c r="DJ186" s="2061">
        <f t="shared" si="293"/>
        <v>0</v>
      </c>
      <c r="DK186" s="2061">
        <f t="shared" si="293"/>
        <v>0</v>
      </c>
      <c r="DL186" s="2061">
        <f t="shared" si="293"/>
        <v>0</v>
      </c>
      <c r="DM186" s="2061">
        <f t="shared" si="293"/>
        <v>0</v>
      </c>
      <c r="DN186" s="2061">
        <f t="shared" si="293"/>
        <v>0</v>
      </c>
      <c r="DO186" s="2061">
        <f t="shared" si="293"/>
        <v>0</v>
      </c>
      <c r="DP186" s="2061">
        <f t="shared" si="293"/>
        <v>0</v>
      </c>
      <c r="DQ186" s="2061">
        <f t="shared" si="293"/>
        <v>0</v>
      </c>
      <c r="DR186" s="2061">
        <f t="shared" si="293"/>
        <v>0</v>
      </c>
      <c r="DS186" s="2061">
        <f t="shared" si="293"/>
        <v>0</v>
      </c>
      <c r="DT186" s="2061">
        <f t="shared" si="293"/>
        <v>0</v>
      </c>
      <c r="DU186" s="2061">
        <f t="shared" si="293"/>
        <v>0</v>
      </c>
      <c r="DV186" s="2061">
        <f t="shared" si="293"/>
        <v>0</v>
      </c>
      <c r="DW186" s="2061">
        <f t="shared" si="293"/>
        <v>0</v>
      </c>
      <c r="DX186" s="2061">
        <f t="shared" si="293"/>
        <v>0</v>
      </c>
      <c r="DY186" s="2061">
        <f t="shared" si="293"/>
        <v>0</v>
      </c>
      <c r="DZ186" s="2061">
        <f t="shared" si="293"/>
        <v>0</v>
      </c>
      <c r="EA186" s="2061">
        <f t="shared" si="293"/>
        <v>0</v>
      </c>
      <c r="EB186" s="2061">
        <f t="shared" si="293"/>
        <v>0</v>
      </c>
      <c r="EC186" s="2061">
        <f t="shared" si="293"/>
        <v>0</v>
      </c>
      <c r="ED186" s="2061">
        <f t="shared" si="293"/>
        <v>0</v>
      </c>
      <c r="EE186" s="2061">
        <f t="shared" ref="EE186:GP186" si="294">SUM(EE182:EE185)</f>
        <v>0</v>
      </c>
      <c r="EF186" s="2061">
        <f t="shared" si="294"/>
        <v>0</v>
      </c>
      <c r="EG186" s="2061">
        <f t="shared" si="294"/>
        <v>0</v>
      </c>
      <c r="EH186" s="2061">
        <f t="shared" si="294"/>
        <v>0</v>
      </c>
      <c r="EI186" s="2061">
        <f t="shared" si="294"/>
        <v>0</v>
      </c>
      <c r="EJ186" s="2061">
        <f t="shared" si="294"/>
        <v>0</v>
      </c>
      <c r="EK186" s="2061">
        <f t="shared" si="294"/>
        <v>0</v>
      </c>
      <c r="EL186" s="2061">
        <f t="shared" si="294"/>
        <v>0</v>
      </c>
      <c r="EM186" s="2061">
        <f t="shared" si="294"/>
        <v>0</v>
      </c>
      <c r="EN186" s="2061">
        <f t="shared" si="294"/>
        <v>0</v>
      </c>
      <c r="EO186" s="2061">
        <f t="shared" si="294"/>
        <v>0</v>
      </c>
      <c r="EP186" s="2061">
        <f t="shared" si="294"/>
        <v>0</v>
      </c>
      <c r="EQ186" s="2061">
        <f t="shared" si="294"/>
        <v>0</v>
      </c>
      <c r="ER186" s="2061">
        <f t="shared" si="294"/>
        <v>0</v>
      </c>
      <c r="ES186" s="2061">
        <f t="shared" si="294"/>
        <v>0</v>
      </c>
      <c r="ET186" s="2061">
        <f t="shared" si="294"/>
        <v>0</v>
      </c>
      <c r="EU186" s="2061">
        <f t="shared" si="294"/>
        <v>0</v>
      </c>
      <c r="EV186" s="2061">
        <f t="shared" si="294"/>
        <v>0</v>
      </c>
      <c r="EW186" s="2061">
        <f t="shared" si="294"/>
        <v>0</v>
      </c>
      <c r="EX186" s="2061">
        <f t="shared" si="294"/>
        <v>0</v>
      </c>
      <c r="EY186" s="2061">
        <f t="shared" si="294"/>
        <v>0</v>
      </c>
      <c r="EZ186" s="2061">
        <f t="shared" si="294"/>
        <v>0</v>
      </c>
      <c r="FA186" s="2061">
        <f t="shared" si="294"/>
        <v>0</v>
      </c>
      <c r="FB186" s="2061">
        <f t="shared" si="294"/>
        <v>0</v>
      </c>
      <c r="FC186" s="2061">
        <f t="shared" si="294"/>
        <v>0</v>
      </c>
      <c r="FD186" s="2061">
        <f t="shared" si="294"/>
        <v>0</v>
      </c>
      <c r="FE186" s="2061">
        <f t="shared" si="294"/>
        <v>0</v>
      </c>
      <c r="FF186" s="2061">
        <f t="shared" si="294"/>
        <v>0</v>
      </c>
      <c r="FG186" s="2061">
        <f t="shared" si="294"/>
        <v>0</v>
      </c>
      <c r="FH186" s="2061">
        <f t="shared" si="294"/>
        <v>0</v>
      </c>
      <c r="FI186" s="2061">
        <f t="shared" si="294"/>
        <v>0</v>
      </c>
      <c r="FJ186" s="2061">
        <f t="shared" si="294"/>
        <v>0</v>
      </c>
      <c r="FK186" s="2061">
        <f t="shared" si="294"/>
        <v>0</v>
      </c>
      <c r="FL186" s="2061">
        <f t="shared" si="294"/>
        <v>0</v>
      </c>
      <c r="FM186" s="2061">
        <f t="shared" si="294"/>
        <v>0</v>
      </c>
      <c r="FN186" s="2061">
        <f t="shared" si="294"/>
        <v>0</v>
      </c>
      <c r="FO186" s="2061">
        <f t="shared" si="294"/>
        <v>0</v>
      </c>
      <c r="FP186" s="2061">
        <f t="shared" si="294"/>
        <v>0</v>
      </c>
      <c r="FQ186" s="2061">
        <f t="shared" si="294"/>
        <v>0</v>
      </c>
      <c r="FR186" s="2061">
        <f t="shared" si="294"/>
        <v>0</v>
      </c>
      <c r="FS186" s="2061">
        <f t="shared" si="294"/>
        <v>0</v>
      </c>
      <c r="FT186" s="2061">
        <f t="shared" si="294"/>
        <v>0</v>
      </c>
      <c r="FU186" s="2061">
        <f t="shared" si="294"/>
        <v>0</v>
      </c>
      <c r="FV186" s="2061">
        <f t="shared" si="294"/>
        <v>0</v>
      </c>
      <c r="FW186" s="2061">
        <f t="shared" si="294"/>
        <v>0</v>
      </c>
      <c r="FX186" s="2061">
        <f t="shared" si="294"/>
        <v>0</v>
      </c>
      <c r="FY186" s="2061">
        <f t="shared" si="294"/>
        <v>0</v>
      </c>
      <c r="FZ186" s="2061">
        <f t="shared" si="294"/>
        <v>0</v>
      </c>
      <c r="GA186" s="2061">
        <f t="shared" si="294"/>
        <v>0</v>
      </c>
      <c r="GB186" s="2061">
        <f t="shared" si="294"/>
        <v>0</v>
      </c>
      <c r="GC186" s="2061">
        <f t="shared" si="294"/>
        <v>0</v>
      </c>
      <c r="GD186" s="2061">
        <f t="shared" si="294"/>
        <v>0</v>
      </c>
      <c r="GE186" s="2061">
        <f t="shared" si="294"/>
        <v>0</v>
      </c>
      <c r="GF186" s="2061">
        <f t="shared" si="294"/>
        <v>0</v>
      </c>
      <c r="GG186" s="2061">
        <f t="shared" si="294"/>
        <v>0</v>
      </c>
      <c r="GH186" s="2061">
        <f t="shared" si="294"/>
        <v>0</v>
      </c>
      <c r="GI186" s="2061">
        <f t="shared" si="294"/>
        <v>0</v>
      </c>
      <c r="GJ186" s="2061">
        <f t="shared" si="294"/>
        <v>0</v>
      </c>
      <c r="GK186" s="2061">
        <f t="shared" si="294"/>
        <v>0</v>
      </c>
      <c r="GL186" s="2061">
        <f t="shared" si="294"/>
        <v>0</v>
      </c>
      <c r="GM186" s="2061">
        <f t="shared" si="294"/>
        <v>0</v>
      </c>
      <c r="GN186" s="2061">
        <f t="shared" si="294"/>
        <v>0</v>
      </c>
      <c r="GO186" s="2061">
        <f t="shared" si="294"/>
        <v>0</v>
      </c>
      <c r="GP186" s="2061">
        <f t="shared" si="294"/>
        <v>0</v>
      </c>
      <c r="GQ186" s="2061">
        <f t="shared" ref="GQ186:JB186" si="295">SUM(GQ182:GQ185)</f>
        <v>0</v>
      </c>
      <c r="GR186" s="2061">
        <f t="shared" si="295"/>
        <v>0</v>
      </c>
      <c r="GS186" s="2061">
        <f t="shared" si="295"/>
        <v>0</v>
      </c>
      <c r="GT186" s="2061">
        <f t="shared" si="295"/>
        <v>0</v>
      </c>
      <c r="GU186" s="2061">
        <f t="shared" si="295"/>
        <v>0</v>
      </c>
      <c r="GV186" s="2061">
        <f t="shared" si="295"/>
        <v>0</v>
      </c>
      <c r="GW186" s="2061">
        <f t="shared" si="295"/>
        <v>0</v>
      </c>
      <c r="GX186" s="2061">
        <f t="shared" si="295"/>
        <v>0</v>
      </c>
      <c r="GY186" s="2061">
        <f t="shared" si="295"/>
        <v>0</v>
      </c>
      <c r="GZ186" s="2061">
        <f t="shared" si="295"/>
        <v>0</v>
      </c>
      <c r="HA186" s="2061">
        <f t="shared" si="295"/>
        <v>0</v>
      </c>
      <c r="HB186" s="2061">
        <f t="shared" si="295"/>
        <v>0</v>
      </c>
      <c r="HC186" s="2061">
        <f t="shared" si="295"/>
        <v>0</v>
      </c>
      <c r="HD186" s="2061">
        <f t="shared" si="295"/>
        <v>0</v>
      </c>
      <c r="HE186" s="2061">
        <f t="shared" si="295"/>
        <v>0</v>
      </c>
      <c r="HF186" s="2061">
        <f t="shared" si="295"/>
        <v>0</v>
      </c>
      <c r="HG186" s="2061">
        <f t="shared" si="295"/>
        <v>0</v>
      </c>
      <c r="HH186" s="2061">
        <f t="shared" si="295"/>
        <v>0</v>
      </c>
      <c r="HI186" s="2061">
        <f t="shared" si="295"/>
        <v>0</v>
      </c>
      <c r="HJ186" s="2061">
        <f t="shared" si="295"/>
        <v>0</v>
      </c>
      <c r="HK186" s="2061">
        <f t="shared" si="295"/>
        <v>0</v>
      </c>
      <c r="HL186" s="2061">
        <f t="shared" si="295"/>
        <v>0</v>
      </c>
      <c r="HM186" s="2061">
        <f t="shared" si="295"/>
        <v>0</v>
      </c>
      <c r="HN186" s="2061">
        <f t="shared" si="295"/>
        <v>0</v>
      </c>
      <c r="HO186" s="2061">
        <f t="shared" si="295"/>
        <v>0</v>
      </c>
      <c r="HP186" s="2061">
        <f t="shared" si="295"/>
        <v>0</v>
      </c>
      <c r="HQ186" s="2061">
        <f t="shared" si="295"/>
        <v>0</v>
      </c>
      <c r="HR186" s="2061">
        <f t="shared" si="295"/>
        <v>0</v>
      </c>
      <c r="HS186" s="2061">
        <f t="shared" si="295"/>
        <v>0</v>
      </c>
      <c r="HT186" s="2061">
        <f t="shared" si="295"/>
        <v>0</v>
      </c>
      <c r="HU186" s="2061">
        <f t="shared" si="295"/>
        <v>0</v>
      </c>
      <c r="HV186" s="2061">
        <f t="shared" si="295"/>
        <v>0</v>
      </c>
      <c r="HW186" s="2061">
        <f t="shared" si="295"/>
        <v>0</v>
      </c>
      <c r="HX186" s="2061">
        <f t="shared" si="295"/>
        <v>0</v>
      </c>
      <c r="HY186" s="2061">
        <f t="shared" si="295"/>
        <v>0</v>
      </c>
      <c r="HZ186" s="2061">
        <f t="shared" si="295"/>
        <v>0</v>
      </c>
      <c r="IA186" s="2061">
        <f t="shared" si="295"/>
        <v>0</v>
      </c>
      <c r="IB186" s="2061">
        <f t="shared" si="295"/>
        <v>0</v>
      </c>
      <c r="IC186" s="2061">
        <f t="shared" si="295"/>
        <v>0</v>
      </c>
      <c r="ID186" s="2061">
        <f t="shared" si="295"/>
        <v>0</v>
      </c>
      <c r="IE186" s="2061">
        <f t="shared" si="295"/>
        <v>0</v>
      </c>
      <c r="IF186" s="2061">
        <f t="shared" si="295"/>
        <v>0</v>
      </c>
      <c r="IG186" s="2061">
        <f t="shared" si="295"/>
        <v>0</v>
      </c>
      <c r="IH186" s="2061">
        <f t="shared" si="295"/>
        <v>0</v>
      </c>
      <c r="II186" s="2061">
        <f t="shared" si="295"/>
        <v>0</v>
      </c>
      <c r="IJ186" s="2061">
        <f t="shared" si="295"/>
        <v>0</v>
      </c>
      <c r="IK186" s="2061">
        <f t="shared" si="295"/>
        <v>0</v>
      </c>
      <c r="IL186" s="2061">
        <f t="shared" si="295"/>
        <v>0</v>
      </c>
      <c r="IM186" s="2061">
        <f t="shared" si="295"/>
        <v>0</v>
      </c>
      <c r="IN186" s="2061">
        <f t="shared" si="295"/>
        <v>0</v>
      </c>
      <c r="IO186" s="2061">
        <f t="shared" si="295"/>
        <v>0</v>
      </c>
      <c r="IP186" s="2061">
        <f t="shared" si="295"/>
        <v>0</v>
      </c>
      <c r="IQ186" s="2061">
        <f t="shared" si="295"/>
        <v>0</v>
      </c>
      <c r="IR186" s="2061">
        <f t="shared" si="295"/>
        <v>0</v>
      </c>
      <c r="IS186" s="2061">
        <f t="shared" si="295"/>
        <v>0</v>
      </c>
      <c r="IT186" s="2061">
        <f t="shared" si="295"/>
        <v>0</v>
      </c>
      <c r="IU186" s="2061">
        <f t="shared" si="295"/>
        <v>0</v>
      </c>
      <c r="IV186" s="2061">
        <f t="shared" si="295"/>
        <v>0</v>
      </c>
      <c r="IW186" s="2061">
        <f t="shared" si="295"/>
        <v>0</v>
      </c>
      <c r="IX186" s="2061">
        <f t="shared" si="295"/>
        <v>0</v>
      </c>
      <c r="IY186" s="2061">
        <f t="shared" si="295"/>
        <v>0</v>
      </c>
      <c r="IZ186" s="2061">
        <f t="shared" si="295"/>
        <v>0</v>
      </c>
      <c r="JA186" s="2061">
        <f t="shared" si="295"/>
        <v>0</v>
      </c>
      <c r="JB186" s="2061">
        <f t="shared" si="295"/>
        <v>0</v>
      </c>
      <c r="JC186" s="2061">
        <f t="shared" ref="JC186:LN186" si="296">SUM(JC182:JC185)</f>
        <v>0</v>
      </c>
      <c r="JD186" s="2061">
        <f t="shared" si="296"/>
        <v>0</v>
      </c>
      <c r="JE186" s="2061">
        <f t="shared" si="296"/>
        <v>0</v>
      </c>
      <c r="JF186" s="2061">
        <f t="shared" si="296"/>
        <v>0</v>
      </c>
      <c r="JG186" s="2061">
        <f t="shared" si="296"/>
        <v>0</v>
      </c>
      <c r="JH186" s="2061">
        <f t="shared" si="296"/>
        <v>0</v>
      </c>
      <c r="JI186" s="2061">
        <f t="shared" si="296"/>
        <v>0</v>
      </c>
      <c r="JJ186" s="2061">
        <f t="shared" si="296"/>
        <v>0</v>
      </c>
      <c r="JK186" s="2061">
        <f t="shared" si="296"/>
        <v>0</v>
      </c>
      <c r="JL186" s="2061">
        <f t="shared" si="296"/>
        <v>0</v>
      </c>
      <c r="JM186" s="2061">
        <f t="shared" si="296"/>
        <v>0</v>
      </c>
      <c r="JN186" s="2061">
        <f t="shared" si="296"/>
        <v>0</v>
      </c>
      <c r="JO186" s="2061">
        <f t="shared" si="296"/>
        <v>0</v>
      </c>
      <c r="JP186" s="2061">
        <f t="shared" si="296"/>
        <v>0</v>
      </c>
      <c r="JQ186" s="2061">
        <f t="shared" si="296"/>
        <v>0</v>
      </c>
      <c r="JR186" s="2061" t="e">
        <f t="shared" si="296"/>
        <v>#DIV/0!</v>
      </c>
      <c r="JS186" s="2061" t="e">
        <f t="shared" si="296"/>
        <v>#DIV/0!</v>
      </c>
      <c r="JT186" s="2061" t="e">
        <f t="shared" si="296"/>
        <v>#DIV/0!</v>
      </c>
      <c r="JU186" s="2061" t="e">
        <f t="shared" si="296"/>
        <v>#DIV/0!</v>
      </c>
      <c r="JV186" s="2061" t="e">
        <f t="shared" si="296"/>
        <v>#DIV/0!</v>
      </c>
      <c r="JW186" s="2061" t="e">
        <f t="shared" si="296"/>
        <v>#DIV/0!</v>
      </c>
      <c r="JX186" s="2061" t="e">
        <f t="shared" si="296"/>
        <v>#DIV/0!</v>
      </c>
      <c r="JY186" s="2061" t="e">
        <f t="shared" si="296"/>
        <v>#DIV/0!</v>
      </c>
      <c r="JZ186" s="2061" t="e">
        <f t="shared" si="296"/>
        <v>#DIV/0!</v>
      </c>
      <c r="KA186" s="2061" t="e">
        <f t="shared" si="296"/>
        <v>#DIV/0!</v>
      </c>
      <c r="KB186" s="2061" t="e">
        <f t="shared" si="296"/>
        <v>#DIV/0!</v>
      </c>
      <c r="KC186" s="2061" t="e">
        <f t="shared" si="296"/>
        <v>#DIV/0!</v>
      </c>
      <c r="KD186" s="2061" t="e">
        <f t="shared" si="296"/>
        <v>#DIV/0!</v>
      </c>
      <c r="KE186" s="2061" t="e">
        <f t="shared" si="296"/>
        <v>#DIV/0!</v>
      </c>
      <c r="KF186" s="2061" t="e">
        <f t="shared" si="296"/>
        <v>#DIV/0!</v>
      </c>
      <c r="KG186" s="2061" t="e">
        <f t="shared" si="296"/>
        <v>#DIV/0!</v>
      </c>
      <c r="KH186" s="2061" t="e">
        <f t="shared" si="296"/>
        <v>#DIV/0!</v>
      </c>
      <c r="KI186" s="2061">
        <f t="shared" si="296"/>
        <v>0</v>
      </c>
      <c r="KJ186" s="2061">
        <f t="shared" si="296"/>
        <v>0</v>
      </c>
      <c r="KK186" s="2061">
        <f t="shared" si="296"/>
        <v>0</v>
      </c>
      <c r="KL186" s="2061">
        <f t="shared" si="296"/>
        <v>0</v>
      </c>
      <c r="KM186" s="2061">
        <f t="shared" si="296"/>
        <v>0</v>
      </c>
      <c r="KN186" s="2061">
        <f t="shared" si="296"/>
        <v>0</v>
      </c>
      <c r="KO186" s="2061">
        <f t="shared" si="296"/>
        <v>0</v>
      </c>
      <c r="KP186" s="2061">
        <f t="shared" si="296"/>
        <v>0</v>
      </c>
      <c r="KQ186" s="2061">
        <f t="shared" si="296"/>
        <v>0</v>
      </c>
      <c r="KR186" s="2061">
        <f t="shared" si="296"/>
        <v>0</v>
      </c>
      <c r="KS186" s="2061">
        <f t="shared" si="296"/>
        <v>0</v>
      </c>
      <c r="KT186" s="2061">
        <f t="shared" si="296"/>
        <v>0</v>
      </c>
      <c r="KU186" s="2061">
        <f t="shared" si="296"/>
        <v>0</v>
      </c>
      <c r="KV186" s="2061">
        <f t="shared" si="296"/>
        <v>0</v>
      </c>
      <c r="KW186" s="2061">
        <f t="shared" si="296"/>
        <v>0</v>
      </c>
      <c r="KX186" s="2061">
        <f t="shared" si="296"/>
        <v>0</v>
      </c>
      <c r="KY186" s="2061">
        <f t="shared" si="296"/>
        <v>0</v>
      </c>
      <c r="KZ186" s="2061">
        <f t="shared" si="296"/>
        <v>0</v>
      </c>
      <c r="LA186" s="2061">
        <f t="shared" si="296"/>
        <v>0</v>
      </c>
      <c r="LB186" s="2061">
        <f t="shared" si="296"/>
        <v>0</v>
      </c>
      <c r="LC186" s="2061">
        <f t="shared" si="296"/>
        <v>0</v>
      </c>
      <c r="LD186" s="2061">
        <f t="shared" si="296"/>
        <v>0</v>
      </c>
      <c r="LE186" s="2061">
        <f t="shared" si="296"/>
        <v>0</v>
      </c>
      <c r="LF186" s="2061">
        <f t="shared" si="296"/>
        <v>0</v>
      </c>
      <c r="LG186" s="2061">
        <f t="shared" si="296"/>
        <v>0</v>
      </c>
      <c r="LH186" s="2061">
        <f t="shared" si="296"/>
        <v>0</v>
      </c>
      <c r="LI186" s="2061">
        <f t="shared" si="296"/>
        <v>0</v>
      </c>
      <c r="LJ186" s="2061">
        <f t="shared" si="296"/>
        <v>0</v>
      </c>
      <c r="LK186" s="2061">
        <f t="shared" si="296"/>
        <v>0</v>
      </c>
      <c r="LL186" s="2061">
        <f t="shared" si="296"/>
        <v>0</v>
      </c>
      <c r="LM186" s="2061">
        <f t="shared" si="296"/>
        <v>0</v>
      </c>
      <c r="LN186" s="2061">
        <f t="shared" si="296"/>
        <v>0</v>
      </c>
      <c r="LO186" s="2061">
        <f t="shared" ref="LO186:NZ186" si="297">SUM(LO182:LO185)</f>
        <v>0</v>
      </c>
      <c r="LP186" s="2061">
        <f t="shared" si="297"/>
        <v>0</v>
      </c>
      <c r="LQ186" s="2061">
        <f t="shared" si="297"/>
        <v>0</v>
      </c>
      <c r="LR186" s="2061">
        <f t="shared" si="297"/>
        <v>0</v>
      </c>
      <c r="LS186" s="2061">
        <f t="shared" si="297"/>
        <v>0</v>
      </c>
      <c r="LT186" s="2061">
        <f t="shared" si="297"/>
        <v>0</v>
      </c>
      <c r="LU186" s="2061">
        <f t="shared" si="297"/>
        <v>0</v>
      </c>
      <c r="LV186" s="2061">
        <f t="shared" si="297"/>
        <v>0</v>
      </c>
      <c r="LW186" s="2061">
        <f t="shared" si="297"/>
        <v>0</v>
      </c>
      <c r="LX186" s="2061">
        <f t="shared" si="297"/>
        <v>0</v>
      </c>
      <c r="LY186" s="2061">
        <f t="shared" si="297"/>
        <v>0</v>
      </c>
      <c r="LZ186" s="2061">
        <f t="shared" si="297"/>
        <v>0</v>
      </c>
      <c r="MA186" s="2061">
        <f t="shared" si="297"/>
        <v>0</v>
      </c>
      <c r="MB186" s="2061">
        <f t="shared" si="297"/>
        <v>0</v>
      </c>
      <c r="MC186" s="2061">
        <f t="shared" si="297"/>
        <v>0</v>
      </c>
      <c r="MD186" s="2061">
        <f t="shared" si="297"/>
        <v>0</v>
      </c>
      <c r="ME186" s="2061">
        <f t="shared" si="297"/>
        <v>0</v>
      </c>
      <c r="MF186" s="2061">
        <f t="shared" si="297"/>
        <v>0</v>
      </c>
      <c r="MG186" s="2061">
        <f t="shared" si="297"/>
        <v>0</v>
      </c>
      <c r="MH186" s="2061">
        <f t="shared" si="297"/>
        <v>0</v>
      </c>
      <c r="MI186" s="2061">
        <f t="shared" si="297"/>
        <v>0</v>
      </c>
      <c r="MJ186" s="2061">
        <f t="shared" si="297"/>
        <v>0</v>
      </c>
      <c r="MK186" s="2061">
        <f t="shared" si="297"/>
        <v>0</v>
      </c>
      <c r="ML186" s="2061">
        <f t="shared" si="297"/>
        <v>0</v>
      </c>
      <c r="MM186" s="2061">
        <f t="shared" si="297"/>
        <v>0</v>
      </c>
      <c r="MN186" s="2061">
        <f t="shared" si="297"/>
        <v>0</v>
      </c>
      <c r="MO186" s="2061">
        <f t="shared" si="297"/>
        <v>0</v>
      </c>
      <c r="MP186" s="2061">
        <f t="shared" si="297"/>
        <v>0</v>
      </c>
      <c r="MQ186" s="2061">
        <f t="shared" si="297"/>
        <v>0</v>
      </c>
      <c r="MR186" s="2061">
        <f t="shared" si="297"/>
        <v>0</v>
      </c>
      <c r="MS186" s="2061">
        <f t="shared" si="297"/>
        <v>0</v>
      </c>
      <c r="MT186" s="2061">
        <f t="shared" si="297"/>
        <v>0</v>
      </c>
      <c r="MU186" s="2061">
        <f t="shared" si="297"/>
        <v>0</v>
      </c>
      <c r="MV186" s="2061">
        <f t="shared" si="297"/>
        <v>0</v>
      </c>
      <c r="MW186" s="2061">
        <f t="shared" si="297"/>
        <v>0</v>
      </c>
      <c r="MX186" s="2061">
        <f t="shared" si="297"/>
        <v>0</v>
      </c>
      <c r="MY186" s="2061" t="e">
        <f t="shared" si="297"/>
        <v>#DIV/0!</v>
      </c>
      <c r="MZ186" s="2061" t="e">
        <f t="shared" si="297"/>
        <v>#DIV/0!</v>
      </c>
      <c r="NA186" s="2061" t="e">
        <f t="shared" si="297"/>
        <v>#DIV/0!</v>
      </c>
      <c r="NB186" s="2061" t="e">
        <f t="shared" si="297"/>
        <v>#DIV/0!</v>
      </c>
      <c r="NC186" s="2061" t="e">
        <f t="shared" si="297"/>
        <v>#DIV/0!</v>
      </c>
      <c r="ND186" s="2061" t="e">
        <f t="shared" si="297"/>
        <v>#DIV/0!</v>
      </c>
      <c r="NE186" s="2061" t="e">
        <f t="shared" si="297"/>
        <v>#DIV/0!</v>
      </c>
      <c r="NF186" s="2061" t="e">
        <f t="shared" si="297"/>
        <v>#DIV/0!</v>
      </c>
      <c r="NG186" s="2061" t="e">
        <f t="shared" si="297"/>
        <v>#DIV/0!</v>
      </c>
      <c r="NH186" s="2061" t="e">
        <f t="shared" si="297"/>
        <v>#DIV/0!</v>
      </c>
      <c r="NI186" s="2061" t="e">
        <f t="shared" si="297"/>
        <v>#DIV/0!</v>
      </c>
      <c r="NJ186" s="2061" t="e">
        <f t="shared" si="297"/>
        <v>#DIV/0!</v>
      </c>
      <c r="NK186" s="2061" t="e">
        <f t="shared" si="297"/>
        <v>#DIV/0!</v>
      </c>
      <c r="NL186" s="2061" t="e">
        <f t="shared" si="297"/>
        <v>#DIV/0!</v>
      </c>
      <c r="NM186" s="2061" t="e">
        <f t="shared" si="297"/>
        <v>#DIV/0!</v>
      </c>
      <c r="NN186" s="2061" t="e">
        <f t="shared" si="297"/>
        <v>#DIV/0!</v>
      </c>
      <c r="NO186" s="2061" t="e">
        <f t="shared" si="297"/>
        <v>#DIV/0!</v>
      </c>
      <c r="NP186" s="2061">
        <f t="shared" si="297"/>
        <v>0</v>
      </c>
      <c r="NQ186" s="2061">
        <f t="shared" si="297"/>
        <v>0</v>
      </c>
      <c r="NR186" s="2061">
        <f t="shared" si="297"/>
        <v>0</v>
      </c>
      <c r="NS186" s="2061">
        <f t="shared" si="297"/>
        <v>0</v>
      </c>
      <c r="NT186" s="2061">
        <f t="shared" si="297"/>
        <v>0</v>
      </c>
      <c r="NU186" s="2061">
        <f t="shared" si="297"/>
        <v>0</v>
      </c>
      <c r="NV186" s="2061">
        <f t="shared" si="297"/>
        <v>0</v>
      </c>
      <c r="NW186" s="2061">
        <f t="shared" si="297"/>
        <v>0</v>
      </c>
      <c r="NX186" s="2061">
        <f t="shared" si="297"/>
        <v>0</v>
      </c>
      <c r="NY186" s="2061">
        <f t="shared" si="297"/>
        <v>0</v>
      </c>
      <c r="NZ186" s="2061">
        <f t="shared" si="297"/>
        <v>0</v>
      </c>
      <c r="OA186" s="2061">
        <f t="shared" ref="OA186:QL186" si="298">SUM(OA182:OA185)</f>
        <v>0</v>
      </c>
      <c r="OB186" s="2061">
        <f t="shared" si="298"/>
        <v>0</v>
      </c>
      <c r="OC186" s="2061">
        <f t="shared" si="298"/>
        <v>0</v>
      </c>
      <c r="OD186" s="2061">
        <f t="shared" si="298"/>
        <v>0</v>
      </c>
      <c r="OE186" s="2061">
        <f t="shared" si="298"/>
        <v>0</v>
      </c>
      <c r="OF186" s="2061">
        <f t="shared" si="298"/>
        <v>0</v>
      </c>
      <c r="OG186" s="2061">
        <f t="shared" si="298"/>
        <v>0</v>
      </c>
      <c r="OH186" s="2061">
        <f t="shared" si="298"/>
        <v>0</v>
      </c>
      <c r="OI186" s="2061">
        <f t="shared" si="298"/>
        <v>0</v>
      </c>
      <c r="OJ186" s="2061">
        <f t="shared" si="298"/>
        <v>0</v>
      </c>
      <c r="OK186" s="2061">
        <f t="shared" si="298"/>
        <v>0</v>
      </c>
      <c r="OL186" s="2061">
        <f t="shared" si="298"/>
        <v>0</v>
      </c>
      <c r="OM186" s="2061">
        <f t="shared" si="298"/>
        <v>0</v>
      </c>
      <c r="ON186" s="2061">
        <f t="shared" si="298"/>
        <v>0</v>
      </c>
      <c r="OO186" s="2061">
        <f t="shared" si="298"/>
        <v>0</v>
      </c>
      <c r="OP186" s="2061">
        <f t="shared" si="298"/>
        <v>0</v>
      </c>
      <c r="OQ186" s="2061">
        <f t="shared" si="298"/>
        <v>0</v>
      </c>
      <c r="OR186" s="2061">
        <f t="shared" si="298"/>
        <v>0</v>
      </c>
      <c r="OS186" s="2061">
        <f t="shared" si="298"/>
        <v>0</v>
      </c>
      <c r="OT186" s="2061">
        <f t="shared" si="298"/>
        <v>0</v>
      </c>
      <c r="OU186" s="2061">
        <f t="shared" si="298"/>
        <v>0</v>
      </c>
      <c r="OV186" s="2061">
        <f t="shared" si="298"/>
        <v>0</v>
      </c>
      <c r="OW186" s="2061">
        <f t="shared" si="298"/>
        <v>0</v>
      </c>
      <c r="OX186" s="2061">
        <f t="shared" si="298"/>
        <v>0</v>
      </c>
      <c r="OY186" s="2061">
        <f t="shared" si="298"/>
        <v>0</v>
      </c>
      <c r="OZ186" s="2061">
        <f t="shared" si="298"/>
        <v>0</v>
      </c>
      <c r="PA186" s="2061">
        <f t="shared" si="298"/>
        <v>0</v>
      </c>
      <c r="PB186" s="2061">
        <f t="shared" si="298"/>
        <v>0</v>
      </c>
      <c r="PC186" s="2061">
        <f t="shared" si="298"/>
        <v>0</v>
      </c>
      <c r="PD186" s="2061">
        <f t="shared" si="298"/>
        <v>0</v>
      </c>
      <c r="PE186" s="2061">
        <f t="shared" si="298"/>
        <v>0</v>
      </c>
      <c r="PF186" s="2061">
        <f t="shared" si="298"/>
        <v>0</v>
      </c>
      <c r="PG186" s="2061">
        <f t="shared" si="298"/>
        <v>0</v>
      </c>
      <c r="PH186" s="2061">
        <f t="shared" si="298"/>
        <v>0</v>
      </c>
      <c r="PI186" s="2061">
        <f t="shared" si="298"/>
        <v>0</v>
      </c>
      <c r="PJ186" s="2061">
        <f t="shared" si="298"/>
        <v>0</v>
      </c>
      <c r="PK186" s="2061">
        <f t="shared" si="298"/>
        <v>0</v>
      </c>
      <c r="PL186" s="2061">
        <f t="shared" si="298"/>
        <v>0</v>
      </c>
      <c r="PM186" s="2061">
        <f t="shared" si="298"/>
        <v>0</v>
      </c>
      <c r="PN186" s="2061">
        <f t="shared" si="298"/>
        <v>0</v>
      </c>
      <c r="PO186" s="2061">
        <f t="shared" si="298"/>
        <v>0</v>
      </c>
      <c r="PP186" s="2061">
        <f t="shared" si="298"/>
        <v>0</v>
      </c>
      <c r="PQ186" s="2061">
        <f t="shared" si="298"/>
        <v>0</v>
      </c>
      <c r="PR186" s="2061">
        <f t="shared" si="298"/>
        <v>0</v>
      </c>
      <c r="PS186" s="2061">
        <f t="shared" si="298"/>
        <v>0</v>
      </c>
      <c r="PT186" s="2061">
        <f t="shared" si="298"/>
        <v>0</v>
      </c>
      <c r="PU186" s="2061">
        <f t="shared" si="298"/>
        <v>0</v>
      </c>
      <c r="PV186" s="2061">
        <f t="shared" si="298"/>
        <v>0</v>
      </c>
      <c r="PW186" s="2061">
        <f t="shared" si="298"/>
        <v>0</v>
      </c>
      <c r="PX186" s="2061">
        <f t="shared" si="298"/>
        <v>0</v>
      </c>
      <c r="PY186" s="2061">
        <f t="shared" si="298"/>
        <v>0</v>
      </c>
      <c r="PZ186" s="2061">
        <f t="shared" si="298"/>
        <v>0</v>
      </c>
      <c r="QA186" s="2061">
        <f t="shared" si="298"/>
        <v>0</v>
      </c>
      <c r="QB186" s="2061">
        <f t="shared" si="298"/>
        <v>0</v>
      </c>
      <c r="QC186" s="2061">
        <f t="shared" si="298"/>
        <v>0</v>
      </c>
      <c r="QD186" s="2061">
        <f t="shared" si="298"/>
        <v>0</v>
      </c>
      <c r="QE186" s="2061">
        <f t="shared" si="298"/>
        <v>0</v>
      </c>
      <c r="QF186" s="2061">
        <f t="shared" si="298"/>
        <v>0</v>
      </c>
      <c r="QG186" s="2061">
        <f t="shared" si="298"/>
        <v>0</v>
      </c>
      <c r="QH186" s="2061">
        <f t="shared" si="298"/>
        <v>0</v>
      </c>
      <c r="QI186" s="2061">
        <f t="shared" si="298"/>
        <v>0</v>
      </c>
      <c r="QJ186" s="2061">
        <f t="shared" si="298"/>
        <v>0</v>
      </c>
      <c r="QK186" s="2061">
        <f t="shared" si="298"/>
        <v>0</v>
      </c>
      <c r="QL186" s="2061">
        <f t="shared" si="298"/>
        <v>0</v>
      </c>
      <c r="QM186" s="2061">
        <f t="shared" ref="QM186:SX186" si="299">SUM(QM182:QM185)</f>
        <v>0</v>
      </c>
      <c r="QN186" s="2061">
        <f t="shared" si="299"/>
        <v>0</v>
      </c>
      <c r="QO186" s="2061">
        <f t="shared" si="299"/>
        <v>0</v>
      </c>
      <c r="QP186" s="2061">
        <f t="shared" si="299"/>
        <v>0</v>
      </c>
      <c r="QQ186" s="2061">
        <f t="shared" si="299"/>
        <v>0</v>
      </c>
      <c r="QR186" s="2061">
        <f t="shared" si="299"/>
        <v>0</v>
      </c>
      <c r="QS186" s="2061">
        <f t="shared" si="299"/>
        <v>0</v>
      </c>
      <c r="QT186" s="2061">
        <f t="shared" si="299"/>
        <v>0</v>
      </c>
      <c r="QU186" s="2061">
        <f t="shared" si="299"/>
        <v>0</v>
      </c>
      <c r="QV186" s="2061">
        <f t="shared" si="299"/>
        <v>0</v>
      </c>
      <c r="QW186" s="2061">
        <f t="shared" si="299"/>
        <v>0</v>
      </c>
      <c r="QX186" s="2061">
        <f t="shared" si="299"/>
        <v>0</v>
      </c>
      <c r="QY186" s="2061">
        <f t="shared" si="299"/>
        <v>0</v>
      </c>
      <c r="QZ186" s="2061">
        <f t="shared" si="299"/>
        <v>0</v>
      </c>
      <c r="RA186" s="2061">
        <f t="shared" si="299"/>
        <v>0</v>
      </c>
      <c r="RB186" s="2061">
        <f t="shared" si="299"/>
        <v>0</v>
      </c>
      <c r="RC186" s="2061">
        <f t="shared" si="299"/>
        <v>0</v>
      </c>
      <c r="RD186" s="2061">
        <f t="shared" si="299"/>
        <v>0</v>
      </c>
      <c r="RE186" s="2061">
        <f t="shared" si="299"/>
        <v>0</v>
      </c>
      <c r="RF186" s="2061">
        <f t="shared" si="299"/>
        <v>0</v>
      </c>
      <c r="RG186" s="2061">
        <f t="shared" si="299"/>
        <v>0</v>
      </c>
      <c r="RH186" s="2061">
        <f t="shared" si="299"/>
        <v>0</v>
      </c>
      <c r="RI186" s="2061">
        <f t="shared" si="299"/>
        <v>0</v>
      </c>
      <c r="RJ186" s="2061">
        <f t="shared" si="299"/>
        <v>0</v>
      </c>
      <c r="RK186" s="2061">
        <f t="shared" si="299"/>
        <v>0</v>
      </c>
      <c r="RL186" s="2061">
        <f t="shared" si="299"/>
        <v>0</v>
      </c>
      <c r="RM186" s="2061">
        <f t="shared" si="299"/>
        <v>0</v>
      </c>
      <c r="RN186" s="2061">
        <f t="shared" si="299"/>
        <v>0</v>
      </c>
      <c r="RO186" s="2061">
        <f t="shared" si="299"/>
        <v>0</v>
      </c>
      <c r="RP186" s="2061">
        <f t="shared" si="299"/>
        <v>0</v>
      </c>
      <c r="RQ186" s="2061">
        <f t="shared" si="299"/>
        <v>0</v>
      </c>
      <c r="RR186" s="2061">
        <f t="shared" si="299"/>
        <v>0</v>
      </c>
      <c r="RS186" s="2061">
        <f t="shared" si="299"/>
        <v>0</v>
      </c>
      <c r="RT186" s="2061">
        <f t="shared" si="299"/>
        <v>0</v>
      </c>
      <c r="RU186" s="2061">
        <f t="shared" si="299"/>
        <v>0</v>
      </c>
      <c r="RV186" s="2061">
        <f t="shared" si="299"/>
        <v>0</v>
      </c>
      <c r="RW186" s="2061">
        <f t="shared" si="299"/>
        <v>0</v>
      </c>
      <c r="RX186" s="2061">
        <f t="shared" si="299"/>
        <v>0</v>
      </c>
      <c r="RY186" s="2061">
        <f t="shared" si="299"/>
        <v>0</v>
      </c>
      <c r="RZ186" s="2061">
        <f t="shared" si="299"/>
        <v>0</v>
      </c>
      <c r="SA186" s="2061">
        <f t="shared" si="299"/>
        <v>0</v>
      </c>
      <c r="SB186" s="2061">
        <f t="shared" si="299"/>
        <v>0</v>
      </c>
      <c r="SC186" s="2061">
        <f t="shared" si="299"/>
        <v>0</v>
      </c>
      <c r="SD186" s="2061">
        <f t="shared" si="299"/>
        <v>0</v>
      </c>
      <c r="SE186" s="2061">
        <f t="shared" si="299"/>
        <v>0</v>
      </c>
      <c r="SF186" s="2061">
        <f t="shared" si="299"/>
        <v>0</v>
      </c>
      <c r="SG186" s="2061">
        <f t="shared" si="299"/>
        <v>0</v>
      </c>
      <c r="SH186" s="2061">
        <f t="shared" si="299"/>
        <v>0</v>
      </c>
      <c r="SI186" s="2061">
        <f t="shared" si="299"/>
        <v>0</v>
      </c>
      <c r="SJ186" s="2061">
        <f t="shared" si="299"/>
        <v>0</v>
      </c>
      <c r="SK186" s="2061">
        <f t="shared" si="299"/>
        <v>0</v>
      </c>
      <c r="SL186" s="2061">
        <f t="shared" si="299"/>
        <v>0</v>
      </c>
      <c r="SM186" s="2061">
        <f t="shared" si="299"/>
        <v>0</v>
      </c>
      <c r="SN186" s="2061">
        <f t="shared" si="299"/>
        <v>0</v>
      </c>
      <c r="SO186" s="2061">
        <f t="shared" si="299"/>
        <v>0</v>
      </c>
      <c r="SP186" s="2061">
        <f t="shared" si="299"/>
        <v>0</v>
      </c>
      <c r="SQ186" s="2061">
        <f t="shared" si="299"/>
        <v>0</v>
      </c>
      <c r="SR186" s="2061">
        <f t="shared" si="299"/>
        <v>0</v>
      </c>
      <c r="SS186" s="2061">
        <f t="shared" si="299"/>
        <v>0</v>
      </c>
      <c r="ST186" s="2061">
        <f t="shared" si="299"/>
        <v>0</v>
      </c>
      <c r="SU186" s="2061">
        <f t="shared" si="299"/>
        <v>0</v>
      </c>
      <c r="SV186" s="2061">
        <f t="shared" si="299"/>
        <v>0</v>
      </c>
      <c r="SW186" s="2061">
        <f t="shared" si="299"/>
        <v>0</v>
      </c>
      <c r="SX186" s="2061">
        <f t="shared" si="299"/>
        <v>0</v>
      </c>
      <c r="SY186" s="2061">
        <f t="shared" ref="SY186:VJ186" si="300">SUM(SY182:SY185)</f>
        <v>0</v>
      </c>
      <c r="SZ186" s="2061">
        <f t="shared" si="300"/>
        <v>0</v>
      </c>
      <c r="TA186" s="2061">
        <f t="shared" si="300"/>
        <v>0</v>
      </c>
      <c r="TB186" s="2061">
        <f t="shared" si="300"/>
        <v>0</v>
      </c>
      <c r="TC186" s="2061">
        <f t="shared" si="300"/>
        <v>0</v>
      </c>
      <c r="TD186" s="2061">
        <f t="shared" si="300"/>
        <v>0</v>
      </c>
      <c r="TE186" s="2061">
        <f t="shared" si="300"/>
        <v>0</v>
      </c>
      <c r="TF186" s="2061">
        <f t="shared" si="300"/>
        <v>0</v>
      </c>
      <c r="TG186" s="2061">
        <f t="shared" si="300"/>
        <v>0</v>
      </c>
      <c r="TH186" s="2061">
        <f t="shared" si="300"/>
        <v>0</v>
      </c>
      <c r="TI186" s="2061">
        <f t="shared" si="300"/>
        <v>0</v>
      </c>
      <c r="TJ186" s="2061">
        <f t="shared" si="300"/>
        <v>0</v>
      </c>
      <c r="TK186" s="2061">
        <f t="shared" si="300"/>
        <v>0</v>
      </c>
      <c r="TL186" s="2061">
        <f t="shared" si="300"/>
        <v>0</v>
      </c>
      <c r="TM186" s="2061">
        <f t="shared" si="300"/>
        <v>0</v>
      </c>
      <c r="TN186" s="2061">
        <f t="shared" si="300"/>
        <v>0</v>
      </c>
      <c r="TO186" s="2061">
        <f t="shared" si="300"/>
        <v>0</v>
      </c>
      <c r="TP186" s="2061">
        <f t="shared" si="300"/>
        <v>0</v>
      </c>
      <c r="TQ186" s="2061">
        <f t="shared" si="300"/>
        <v>0</v>
      </c>
      <c r="TR186" s="2061">
        <f t="shared" si="300"/>
        <v>0</v>
      </c>
      <c r="TS186" s="2061">
        <f t="shared" si="300"/>
        <v>0</v>
      </c>
      <c r="TT186" s="2061">
        <f t="shared" si="300"/>
        <v>0</v>
      </c>
      <c r="TU186" s="2061">
        <f t="shared" si="300"/>
        <v>0</v>
      </c>
      <c r="TV186" s="2061">
        <f t="shared" si="300"/>
        <v>0</v>
      </c>
      <c r="TW186" s="2061">
        <f t="shared" si="300"/>
        <v>0</v>
      </c>
      <c r="TX186" s="2061">
        <f t="shared" si="300"/>
        <v>0</v>
      </c>
      <c r="TY186" s="2061">
        <f t="shared" si="300"/>
        <v>0</v>
      </c>
      <c r="TZ186" s="2061">
        <f t="shared" si="300"/>
        <v>0</v>
      </c>
      <c r="UA186" s="2061">
        <f t="shared" si="300"/>
        <v>0</v>
      </c>
      <c r="UB186" s="2061">
        <f t="shared" si="300"/>
        <v>0</v>
      </c>
      <c r="UC186" s="2061">
        <f t="shared" si="300"/>
        <v>0</v>
      </c>
      <c r="UD186" s="2061">
        <f t="shared" si="300"/>
        <v>0</v>
      </c>
      <c r="UE186" s="2061">
        <f t="shared" si="300"/>
        <v>0</v>
      </c>
      <c r="UF186" s="2061">
        <f t="shared" si="300"/>
        <v>0</v>
      </c>
      <c r="UG186" s="2061">
        <f t="shared" si="300"/>
        <v>0</v>
      </c>
      <c r="UH186" s="2061">
        <f t="shared" si="300"/>
        <v>0</v>
      </c>
      <c r="UI186" s="2061">
        <f t="shared" si="300"/>
        <v>0</v>
      </c>
      <c r="UJ186" s="2061">
        <f t="shared" si="300"/>
        <v>0</v>
      </c>
      <c r="UK186" s="2061">
        <f t="shared" si="300"/>
        <v>0</v>
      </c>
      <c r="UL186" s="2061">
        <f t="shared" si="300"/>
        <v>0</v>
      </c>
      <c r="UM186" s="2061">
        <f t="shared" si="300"/>
        <v>0</v>
      </c>
      <c r="UN186" s="2061">
        <f t="shared" si="300"/>
        <v>0</v>
      </c>
      <c r="UO186" s="2061">
        <f t="shared" si="300"/>
        <v>0</v>
      </c>
      <c r="UP186" s="2061">
        <f t="shared" si="300"/>
        <v>0</v>
      </c>
      <c r="UQ186" s="2061">
        <f t="shared" si="300"/>
        <v>0</v>
      </c>
      <c r="UR186" s="2061">
        <f t="shared" si="300"/>
        <v>0</v>
      </c>
      <c r="US186" s="2061">
        <f t="shared" si="300"/>
        <v>0</v>
      </c>
      <c r="UT186" s="2061">
        <f t="shared" si="300"/>
        <v>0</v>
      </c>
      <c r="UU186" s="2061">
        <f t="shared" si="300"/>
        <v>0</v>
      </c>
      <c r="UV186" s="2061">
        <f t="shared" si="300"/>
        <v>0</v>
      </c>
      <c r="UW186" s="2061">
        <f t="shared" si="300"/>
        <v>0</v>
      </c>
      <c r="UX186" s="2061">
        <f t="shared" si="300"/>
        <v>0</v>
      </c>
      <c r="UY186" s="2061">
        <f t="shared" si="300"/>
        <v>0</v>
      </c>
      <c r="UZ186" s="2061">
        <f t="shared" si="300"/>
        <v>0</v>
      </c>
      <c r="VA186" s="2061">
        <f t="shared" si="300"/>
        <v>0</v>
      </c>
      <c r="VB186" s="2061">
        <f t="shared" si="300"/>
        <v>0</v>
      </c>
      <c r="VC186" s="2061">
        <f t="shared" si="300"/>
        <v>0</v>
      </c>
      <c r="VD186" s="2061">
        <f t="shared" si="300"/>
        <v>0</v>
      </c>
      <c r="VE186" s="2061">
        <f t="shared" si="300"/>
        <v>0</v>
      </c>
      <c r="VF186" s="2061">
        <f t="shared" si="300"/>
        <v>0</v>
      </c>
      <c r="VG186" s="2061">
        <f t="shared" si="300"/>
        <v>0</v>
      </c>
      <c r="VH186" s="2061">
        <f t="shared" si="300"/>
        <v>0</v>
      </c>
      <c r="VI186" s="2061">
        <f t="shared" si="300"/>
        <v>0</v>
      </c>
      <c r="VJ186" s="2061">
        <f t="shared" si="300"/>
        <v>0</v>
      </c>
      <c r="VK186" s="2061">
        <f>SUM(VK182:VK185)</f>
        <v>0</v>
      </c>
    </row>
    <row r="187" spans="1:583" x14ac:dyDescent="0.25">
      <c r="A187" s="691" t="s">
        <v>3832</v>
      </c>
      <c r="B187" s="4712" t="s">
        <v>2969</v>
      </c>
      <c r="C187" s="4712"/>
      <c r="D187" s="4712"/>
      <c r="E187" s="4712"/>
      <c r="F187" s="1578" t="e">
        <f>SUM(F69+F76+F92+F96+F104+F116+F131+F144+F152+F160+F164+F170+F173+F178+F186)</f>
        <v>#DIV/0!</v>
      </c>
      <c r="G187" s="1578" t="e">
        <f t="shared" ref="G187:BR187" si="301">SUM(G69+G76+G92+G96+G104+G116+G131+G144+G152+G160+G164+G170+G173+G178+G186)</f>
        <v>#DIV/0!</v>
      </c>
      <c r="H187" s="1578" t="e">
        <f t="shared" si="301"/>
        <v>#DIV/0!</v>
      </c>
      <c r="I187" s="1578" t="e">
        <f t="shared" si="301"/>
        <v>#DIV/0!</v>
      </c>
      <c r="J187" s="1578" t="e">
        <f t="shared" si="301"/>
        <v>#DIV/0!</v>
      </c>
      <c r="K187" s="1578" t="e">
        <f t="shared" si="301"/>
        <v>#DIV/0!</v>
      </c>
      <c r="L187" s="1578" t="e">
        <f t="shared" si="301"/>
        <v>#DIV/0!</v>
      </c>
      <c r="M187" s="1578" t="e">
        <f t="shared" si="301"/>
        <v>#DIV/0!</v>
      </c>
      <c r="N187" s="1578" t="e">
        <f t="shared" si="301"/>
        <v>#DIV/0!</v>
      </c>
      <c r="O187" s="1578" t="e">
        <f t="shared" si="301"/>
        <v>#DIV/0!</v>
      </c>
      <c r="P187" s="1578" t="e">
        <f t="shared" si="301"/>
        <v>#DIV/0!</v>
      </c>
      <c r="Q187" s="1578" t="e">
        <f t="shared" si="301"/>
        <v>#DIV/0!</v>
      </c>
      <c r="R187" s="1578" t="e">
        <f t="shared" si="301"/>
        <v>#DIV/0!</v>
      </c>
      <c r="S187" s="1578" t="e">
        <f t="shared" si="301"/>
        <v>#DIV/0!</v>
      </c>
      <c r="T187" s="1578" t="e">
        <f t="shared" si="301"/>
        <v>#DIV/0!</v>
      </c>
      <c r="U187" s="1578" t="e">
        <f t="shared" si="301"/>
        <v>#DIV/0!</v>
      </c>
      <c r="V187" s="1578" t="e">
        <f t="shared" si="301"/>
        <v>#DIV/0!</v>
      </c>
      <c r="W187" s="1578">
        <f t="shared" si="301"/>
        <v>0</v>
      </c>
      <c r="X187" s="1578">
        <f t="shared" si="301"/>
        <v>0</v>
      </c>
      <c r="Y187" s="1578">
        <f t="shared" si="301"/>
        <v>0</v>
      </c>
      <c r="Z187" s="1578">
        <f t="shared" si="301"/>
        <v>0</v>
      </c>
      <c r="AA187" s="1578">
        <f t="shared" si="301"/>
        <v>0</v>
      </c>
      <c r="AB187" s="1578">
        <f t="shared" si="301"/>
        <v>0</v>
      </c>
      <c r="AC187" s="1578">
        <f t="shared" si="301"/>
        <v>0</v>
      </c>
      <c r="AD187" s="1578">
        <f t="shared" si="301"/>
        <v>0</v>
      </c>
      <c r="AE187" s="1578">
        <f t="shared" si="301"/>
        <v>0</v>
      </c>
      <c r="AF187" s="1578">
        <f t="shared" si="301"/>
        <v>0</v>
      </c>
      <c r="AG187" s="1578">
        <f t="shared" si="301"/>
        <v>0</v>
      </c>
      <c r="AH187" s="1578">
        <f t="shared" si="301"/>
        <v>0</v>
      </c>
      <c r="AI187" s="1578">
        <f t="shared" si="301"/>
        <v>0</v>
      </c>
      <c r="AJ187" s="1578">
        <f t="shared" si="301"/>
        <v>0</v>
      </c>
      <c r="AK187" s="1578">
        <f t="shared" si="301"/>
        <v>0</v>
      </c>
      <c r="AL187" s="1578">
        <f t="shared" si="301"/>
        <v>0</v>
      </c>
      <c r="AM187" s="1578">
        <f t="shared" si="301"/>
        <v>0</v>
      </c>
      <c r="AN187" s="1578" t="e">
        <f t="shared" si="301"/>
        <v>#DIV/0!</v>
      </c>
      <c r="AO187" s="1578" t="e">
        <f t="shared" si="301"/>
        <v>#DIV/0!</v>
      </c>
      <c r="AP187" s="1578" t="e">
        <f t="shared" si="301"/>
        <v>#DIV/0!</v>
      </c>
      <c r="AQ187" s="1578" t="e">
        <f t="shared" si="301"/>
        <v>#DIV/0!</v>
      </c>
      <c r="AR187" s="1578" t="e">
        <f t="shared" si="301"/>
        <v>#DIV/0!</v>
      </c>
      <c r="AS187" s="1578" t="e">
        <f t="shared" si="301"/>
        <v>#DIV/0!</v>
      </c>
      <c r="AT187" s="1578" t="e">
        <f t="shared" si="301"/>
        <v>#DIV/0!</v>
      </c>
      <c r="AU187" s="1578" t="e">
        <f t="shared" si="301"/>
        <v>#DIV/0!</v>
      </c>
      <c r="AV187" s="1578" t="e">
        <f t="shared" si="301"/>
        <v>#DIV/0!</v>
      </c>
      <c r="AW187" s="1578" t="e">
        <f t="shared" si="301"/>
        <v>#DIV/0!</v>
      </c>
      <c r="AX187" s="1578" t="e">
        <f t="shared" si="301"/>
        <v>#DIV/0!</v>
      </c>
      <c r="AY187" s="1578" t="e">
        <f t="shared" si="301"/>
        <v>#DIV/0!</v>
      </c>
      <c r="AZ187" s="1578" t="e">
        <f t="shared" si="301"/>
        <v>#DIV/0!</v>
      </c>
      <c r="BA187" s="1578" t="e">
        <f t="shared" si="301"/>
        <v>#DIV/0!</v>
      </c>
      <c r="BB187" s="1578" t="e">
        <f t="shared" si="301"/>
        <v>#DIV/0!</v>
      </c>
      <c r="BC187" s="1578" t="e">
        <f t="shared" si="301"/>
        <v>#DIV/0!</v>
      </c>
      <c r="BD187" s="1578" t="e">
        <f t="shared" si="301"/>
        <v>#DIV/0!</v>
      </c>
      <c r="BE187" s="1578">
        <f t="shared" si="301"/>
        <v>0</v>
      </c>
      <c r="BF187" s="1578">
        <f t="shared" si="301"/>
        <v>0</v>
      </c>
      <c r="BG187" s="1578">
        <f t="shared" si="301"/>
        <v>0</v>
      </c>
      <c r="BH187" s="1578">
        <f t="shared" si="301"/>
        <v>0</v>
      </c>
      <c r="BI187" s="1578">
        <f t="shared" si="301"/>
        <v>0</v>
      </c>
      <c r="BJ187" s="1578">
        <f t="shared" si="301"/>
        <v>0</v>
      </c>
      <c r="BK187" s="1578">
        <f t="shared" si="301"/>
        <v>0</v>
      </c>
      <c r="BL187" s="1578">
        <f t="shared" si="301"/>
        <v>0</v>
      </c>
      <c r="BM187" s="1578">
        <f t="shared" si="301"/>
        <v>0</v>
      </c>
      <c r="BN187" s="1578">
        <f t="shared" si="301"/>
        <v>0</v>
      </c>
      <c r="BO187" s="1578">
        <f t="shared" si="301"/>
        <v>0</v>
      </c>
      <c r="BP187" s="1578">
        <f t="shared" si="301"/>
        <v>0</v>
      </c>
      <c r="BQ187" s="1578">
        <f t="shared" si="301"/>
        <v>0</v>
      </c>
      <c r="BR187" s="1578">
        <f t="shared" si="301"/>
        <v>0</v>
      </c>
      <c r="BS187" s="1578">
        <f t="shared" ref="BS187:ED187" si="302">SUM(BS69+BS76+BS92+BS96+BS104+BS116+BS131+BS144+BS152+BS160+BS164+BS170+BS173+BS178+BS186)</f>
        <v>0</v>
      </c>
      <c r="BT187" s="1578">
        <f t="shared" si="302"/>
        <v>0</v>
      </c>
      <c r="BU187" s="1578">
        <f t="shared" si="302"/>
        <v>0</v>
      </c>
      <c r="BV187" s="1578" t="e">
        <f t="shared" si="302"/>
        <v>#DIV/0!</v>
      </c>
      <c r="BW187" s="1578" t="e">
        <f t="shared" si="302"/>
        <v>#DIV/0!</v>
      </c>
      <c r="BX187" s="1578" t="e">
        <f t="shared" si="302"/>
        <v>#DIV/0!</v>
      </c>
      <c r="BY187" s="1578" t="e">
        <f t="shared" si="302"/>
        <v>#DIV/0!</v>
      </c>
      <c r="BZ187" s="1578" t="e">
        <f t="shared" si="302"/>
        <v>#DIV/0!</v>
      </c>
      <c r="CA187" s="1578" t="e">
        <f t="shared" si="302"/>
        <v>#DIV/0!</v>
      </c>
      <c r="CB187" s="1578" t="e">
        <f t="shared" si="302"/>
        <v>#DIV/0!</v>
      </c>
      <c r="CC187" s="1578" t="e">
        <f t="shared" si="302"/>
        <v>#DIV/0!</v>
      </c>
      <c r="CD187" s="1578" t="e">
        <f t="shared" si="302"/>
        <v>#DIV/0!</v>
      </c>
      <c r="CE187" s="1578" t="e">
        <f t="shared" si="302"/>
        <v>#DIV/0!</v>
      </c>
      <c r="CF187" s="1578" t="e">
        <f t="shared" si="302"/>
        <v>#DIV/0!</v>
      </c>
      <c r="CG187" s="1578" t="e">
        <f t="shared" si="302"/>
        <v>#DIV/0!</v>
      </c>
      <c r="CH187" s="1578" t="e">
        <f t="shared" si="302"/>
        <v>#DIV/0!</v>
      </c>
      <c r="CI187" s="1578" t="e">
        <f t="shared" si="302"/>
        <v>#DIV/0!</v>
      </c>
      <c r="CJ187" s="1578" t="e">
        <f t="shared" si="302"/>
        <v>#DIV/0!</v>
      </c>
      <c r="CK187" s="1578" t="e">
        <f t="shared" si="302"/>
        <v>#DIV/0!</v>
      </c>
      <c r="CL187" s="1578" t="e">
        <f t="shared" si="302"/>
        <v>#DIV/0!</v>
      </c>
      <c r="CM187" s="1578" t="e">
        <f t="shared" si="302"/>
        <v>#DIV/0!</v>
      </c>
      <c r="CN187" s="1578" t="e">
        <f t="shared" si="302"/>
        <v>#DIV/0!</v>
      </c>
      <c r="CO187" s="1578" t="e">
        <f t="shared" si="302"/>
        <v>#DIV/0!</v>
      </c>
      <c r="CP187" s="1578" t="e">
        <f t="shared" si="302"/>
        <v>#DIV/0!</v>
      </c>
      <c r="CQ187" s="1578" t="e">
        <f t="shared" si="302"/>
        <v>#DIV/0!</v>
      </c>
      <c r="CR187" s="1578" t="e">
        <f t="shared" si="302"/>
        <v>#DIV/0!</v>
      </c>
      <c r="CS187" s="1578" t="e">
        <f t="shared" si="302"/>
        <v>#DIV/0!</v>
      </c>
      <c r="CT187" s="1578" t="e">
        <f t="shared" si="302"/>
        <v>#DIV/0!</v>
      </c>
      <c r="CU187" s="1578" t="e">
        <f t="shared" si="302"/>
        <v>#DIV/0!</v>
      </c>
      <c r="CV187" s="1578" t="e">
        <f t="shared" si="302"/>
        <v>#DIV/0!</v>
      </c>
      <c r="CW187" s="1578" t="e">
        <f t="shared" si="302"/>
        <v>#DIV/0!</v>
      </c>
      <c r="CX187" s="1578" t="e">
        <f t="shared" si="302"/>
        <v>#DIV/0!</v>
      </c>
      <c r="CY187" s="1578" t="e">
        <f t="shared" si="302"/>
        <v>#DIV/0!</v>
      </c>
      <c r="CZ187" s="1578" t="e">
        <f t="shared" si="302"/>
        <v>#DIV/0!</v>
      </c>
      <c r="DA187" s="1578" t="e">
        <f t="shared" si="302"/>
        <v>#DIV/0!</v>
      </c>
      <c r="DB187" s="1578" t="e">
        <f t="shared" si="302"/>
        <v>#DIV/0!</v>
      </c>
      <c r="DC187" s="1578" t="e">
        <f t="shared" si="302"/>
        <v>#DIV/0!</v>
      </c>
      <c r="DD187" s="1578">
        <f t="shared" si="302"/>
        <v>0</v>
      </c>
      <c r="DE187" s="1578">
        <f t="shared" si="302"/>
        <v>0</v>
      </c>
      <c r="DF187" s="1578">
        <f t="shared" si="302"/>
        <v>0</v>
      </c>
      <c r="DG187" s="1578">
        <f t="shared" si="302"/>
        <v>0</v>
      </c>
      <c r="DH187" s="1578">
        <f t="shared" si="302"/>
        <v>0</v>
      </c>
      <c r="DI187" s="1578">
        <f t="shared" si="302"/>
        <v>0</v>
      </c>
      <c r="DJ187" s="1578">
        <f t="shared" si="302"/>
        <v>0</v>
      </c>
      <c r="DK187" s="1578">
        <f t="shared" si="302"/>
        <v>0</v>
      </c>
      <c r="DL187" s="1578">
        <f t="shared" si="302"/>
        <v>0</v>
      </c>
      <c r="DM187" s="1578">
        <f t="shared" si="302"/>
        <v>0</v>
      </c>
      <c r="DN187" s="1578">
        <f t="shared" si="302"/>
        <v>0</v>
      </c>
      <c r="DO187" s="1578">
        <f t="shared" si="302"/>
        <v>0</v>
      </c>
      <c r="DP187" s="1578">
        <f t="shared" si="302"/>
        <v>0</v>
      </c>
      <c r="DQ187" s="1578">
        <f t="shared" si="302"/>
        <v>0</v>
      </c>
      <c r="DR187" s="1578">
        <f t="shared" si="302"/>
        <v>0</v>
      </c>
      <c r="DS187" s="1578">
        <f t="shared" si="302"/>
        <v>0</v>
      </c>
      <c r="DT187" s="1578">
        <f t="shared" si="302"/>
        <v>0</v>
      </c>
      <c r="DU187" s="1578">
        <f t="shared" si="302"/>
        <v>0</v>
      </c>
      <c r="DV187" s="1578">
        <f t="shared" si="302"/>
        <v>0</v>
      </c>
      <c r="DW187" s="1578">
        <f t="shared" si="302"/>
        <v>0</v>
      </c>
      <c r="DX187" s="1578">
        <f t="shared" si="302"/>
        <v>0</v>
      </c>
      <c r="DY187" s="1578">
        <f t="shared" si="302"/>
        <v>0</v>
      </c>
      <c r="DZ187" s="1578">
        <f t="shared" si="302"/>
        <v>0</v>
      </c>
      <c r="EA187" s="1578">
        <f t="shared" si="302"/>
        <v>0</v>
      </c>
      <c r="EB187" s="1578">
        <f t="shared" si="302"/>
        <v>0</v>
      </c>
      <c r="EC187" s="1578">
        <f t="shared" si="302"/>
        <v>0</v>
      </c>
      <c r="ED187" s="1578">
        <f t="shared" si="302"/>
        <v>0</v>
      </c>
      <c r="EE187" s="1578">
        <f t="shared" ref="EE187:GP187" si="303">SUM(EE69+EE76+EE92+EE96+EE104+EE116+EE131+EE144+EE152+EE160+EE164+EE170+EE173+EE178+EE186)</f>
        <v>0</v>
      </c>
      <c r="EF187" s="1578">
        <f t="shared" si="303"/>
        <v>0</v>
      </c>
      <c r="EG187" s="1578">
        <f t="shared" si="303"/>
        <v>0</v>
      </c>
      <c r="EH187" s="1578">
        <f t="shared" si="303"/>
        <v>0</v>
      </c>
      <c r="EI187" s="1578">
        <f t="shared" si="303"/>
        <v>0</v>
      </c>
      <c r="EJ187" s="1578">
        <f t="shared" si="303"/>
        <v>0</v>
      </c>
      <c r="EK187" s="1578">
        <f t="shared" si="303"/>
        <v>0</v>
      </c>
      <c r="EL187" s="1578">
        <f t="shared" si="303"/>
        <v>0</v>
      </c>
      <c r="EM187" s="1578">
        <f t="shared" si="303"/>
        <v>0</v>
      </c>
      <c r="EN187" s="1578">
        <f t="shared" si="303"/>
        <v>0</v>
      </c>
      <c r="EO187" s="1578">
        <f t="shared" si="303"/>
        <v>0</v>
      </c>
      <c r="EP187" s="1578">
        <f t="shared" si="303"/>
        <v>0</v>
      </c>
      <c r="EQ187" s="1578">
        <f t="shared" si="303"/>
        <v>0</v>
      </c>
      <c r="ER187" s="1578">
        <f t="shared" si="303"/>
        <v>0</v>
      </c>
      <c r="ES187" s="1578">
        <f t="shared" si="303"/>
        <v>0</v>
      </c>
      <c r="ET187" s="1578">
        <f t="shared" si="303"/>
        <v>0</v>
      </c>
      <c r="EU187" s="1578">
        <f t="shared" si="303"/>
        <v>0</v>
      </c>
      <c r="EV187" s="1578">
        <f t="shared" si="303"/>
        <v>0</v>
      </c>
      <c r="EW187" s="1578">
        <f t="shared" si="303"/>
        <v>0</v>
      </c>
      <c r="EX187" s="1578">
        <f t="shared" si="303"/>
        <v>0</v>
      </c>
      <c r="EY187" s="1578">
        <f t="shared" si="303"/>
        <v>0</v>
      </c>
      <c r="EZ187" s="1578">
        <f t="shared" si="303"/>
        <v>0</v>
      </c>
      <c r="FA187" s="1578">
        <f t="shared" si="303"/>
        <v>0</v>
      </c>
      <c r="FB187" s="1578">
        <f t="shared" si="303"/>
        <v>0</v>
      </c>
      <c r="FC187" s="1578">
        <f t="shared" si="303"/>
        <v>0</v>
      </c>
      <c r="FD187" s="1578">
        <f t="shared" si="303"/>
        <v>0</v>
      </c>
      <c r="FE187" s="1578">
        <f t="shared" si="303"/>
        <v>0</v>
      </c>
      <c r="FF187" s="1578">
        <f t="shared" si="303"/>
        <v>0</v>
      </c>
      <c r="FG187" s="1578">
        <f t="shared" si="303"/>
        <v>0</v>
      </c>
      <c r="FH187" s="1578">
        <f t="shared" si="303"/>
        <v>0</v>
      </c>
      <c r="FI187" s="1578">
        <f t="shared" si="303"/>
        <v>0</v>
      </c>
      <c r="FJ187" s="1578">
        <f t="shared" si="303"/>
        <v>0</v>
      </c>
      <c r="FK187" s="1578">
        <f t="shared" si="303"/>
        <v>0</v>
      </c>
      <c r="FL187" s="1578">
        <f t="shared" si="303"/>
        <v>0</v>
      </c>
      <c r="FM187" s="1578">
        <f t="shared" si="303"/>
        <v>0</v>
      </c>
      <c r="FN187" s="1578">
        <f t="shared" si="303"/>
        <v>0</v>
      </c>
      <c r="FO187" s="1578">
        <f t="shared" si="303"/>
        <v>0</v>
      </c>
      <c r="FP187" s="1578">
        <f t="shared" si="303"/>
        <v>0</v>
      </c>
      <c r="FQ187" s="1578">
        <f t="shared" si="303"/>
        <v>0</v>
      </c>
      <c r="FR187" s="1578">
        <f t="shared" si="303"/>
        <v>0</v>
      </c>
      <c r="FS187" s="1578">
        <f t="shared" si="303"/>
        <v>0</v>
      </c>
      <c r="FT187" s="1578">
        <f t="shared" si="303"/>
        <v>0</v>
      </c>
      <c r="FU187" s="1578">
        <f t="shared" si="303"/>
        <v>0</v>
      </c>
      <c r="FV187" s="1578">
        <f t="shared" si="303"/>
        <v>0</v>
      </c>
      <c r="FW187" s="1578">
        <f t="shared" si="303"/>
        <v>0</v>
      </c>
      <c r="FX187" s="1578">
        <f t="shared" si="303"/>
        <v>0</v>
      </c>
      <c r="FY187" s="1578">
        <f t="shared" si="303"/>
        <v>0</v>
      </c>
      <c r="FZ187" s="1578">
        <f t="shared" si="303"/>
        <v>0</v>
      </c>
      <c r="GA187" s="1578">
        <f t="shared" si="303"/>
        <v>0</v>
      </c>
      <c r="GB187" s="1578">
        <f t="shared" si="303"/>
        <v>0</v>
      </c>
      <c r="GC187" s="1578">
        <f t="shared" si="303"/>
        <v>0</v>
      </c>
      <c r="GD187" s="1578">
        <f t="shared" si="303"/>
        <v>0</v>
      </c>
      <c r="GE187" s="1578">
        <f t="shared" si="303"/>
        <v>0</v>
      </c>
      <c r="GF187" s="1578">
        <f t="shared" si="303"/>
        <v>0</v>
      </c>
      <c r="GG187" s="1578">
        <f t="shared" si="303"/>
        <v>0</v>
      </c>
      <c r="GH187" s="1578">
        <f t="shared" si="303"/>
        <v>0</v>
      </c>
      <c r="GI187" s="1578">
        <f t="shared" si="303"/>
        <v>0</v>
      </c>
      <c r="GJ187" s="1578">
        <f t="shared" si="303"/>
        <v>0</v>
      </c>
      <c r="GK187" s="1578">
        <f t="shared" si="303"/>
        <v>0</v>
      </c>
      <c r="GL187" s="1578">
        <f t="shared" si="303"/>
        <v>0</v>
      </c>
      <c r="GM187" s="1578">
        <f t="shared" si="303"/>
        <v>0</v>
      </c>
      <c r="GN187" s="1578">
        <f t="shared" si="303"/>
        <v>0</v>
      </c>
      <c r="GO187" s="1578">
        <f t="shared" si="303"/>
        <v>0</v>
      </c>
      <c r="GP187" s="1578">
        <f t="shared" si="303"/>
        <v>0</v>
      </c>
      <c r="GQ187" s="1578">
        <f t="shared" ref="GQ187:JB187" si="304">SUM(GQ69+GQ76+GQ92+GQ96+GQ104+GQ116+GQ131+GQ144+GQ152+GQ160+GQ164+GQ170+GQ173+GQ178+GQ186)</f>
        <v>0</v>
      </c>
      <c r="GR187" s="1578">
        <f t="shared" si="304"/>
        <v>0</v>
      </c>
      <c r="GS187" s="1578">
        <f t="shared" si="304"/>
        <v>0</v>
      </c>
      <c r="GT187" s="1578">
        <f t="shared" si="304"/>
        <v>0</v>
      </c>
      <c r="GU187" s="1578">
        <f t="shared" si="304"/>
        <v>0</v>
      </c>
      <c r="GV187" s="1578">
        <f t="shared" si="304"/>
        <v>0</v>
      </c>
      <c r="GW187" s="1578">
        <f t="shared" si="304"/>
        <v>0</v>
      </c>
      <c r="GX187" s="1578">
        <f t="shared" si="304"/>
        <v>0</v>
      </c>
      <c r="GY187" s="1578">
        <f t="shared" si="304"/>
        <v>0</v>
      </c>
      <c r="GZ187" s="1578">
        <f t="shared" si="304"/>
        <v>0</v>
      </c>
      <c r="HA187" s="1578">
        <f t="shared" si="304"/>
        <v>0</v>
      </c>
      <c r="HB187" s="1578">
        <f t="shared" si="304"/>
        <v>0</v>
      </c>
      <c r="HC187" s="1578">
        <f t="shared" si="304"/>
        <v>0</v>
      </c>
      <c r="HD187" s="1578">
        <f t="shared" si="304"/>
        <v>0</v>
      </c>
      <c r="HE187" s="1578">
        <f t="shared" si="304"/>
        <v>0</v>
      </c>
      <c r="HF187" s="1578">
        <f t="shared" si="304"/>
        <v>0</v>
      </c>
      <c r="HG187" s="1578">
        <f t="shared" si="304"/>
        <v>0</v>
      </c>
      <c r="HH187" s="1578">
        <f t="shared" si="304"/>
        <v>0</v>
      </c>
      <c r="HI187" s="1578">
        <f t="shared" si="304"/>
        <v>0</v>
      </c>
      <c r="HJ187" s="1578">
        <f t="shared" si="304"/>
        <v>0</v>
      </c>
      <c r="HK187" s="1578">
        <f t="shared" si="304"/>
        <v>0</v>
      </c>
      <c r="HL187" s="1578">
        <f t="shared" si="304"/>
        <v>0</v>
      </c>
      <c r="HM187" s="1578">
        <f t="shared" si="304"/>
        <v>0</v>
      </c>
      <c r="HN187" s="1578">
        <f t="shared" si="304"/>
        <v>0</v>
      </c>
      <c r="HO187" s="1578">
        <f t="shared" si="304"/>
        <v>0</v>
      </c>
      <c r="HP187" s="1578">
        <f t="shared" si="304"/>
        <v>0</v>
      </c>
      <c r="HQ187" s="1578">
        <f t="shared" si="304"/>
        <v>0</v>
      </c>
      <c r="HR187" s="1578">
        <f t="shared" si="304"/>
        <v>0</v>
      </c>
      <c r="HS187" s="1578">
        <f t="shared" si="304"/>
        <v>0</v>
      </c>
      <c r="HT187" s="1578">
        <f t="shared" si="304"/>
        <v>0</v>
      </c>
      <c r="HU187" s="1578">
        <f t="shared" si="304"/>
        <v>0</v>
      </c>
      <c r="HV187" s="1578">
        <f t="shared" si="304"/>
        <v>0</v>
      </c>
      <c r="HW187" s="1578">
        <f t="shared" si="304"/>
        <v>0</v>
      </c>
      <c r="HX187" s="1578">
        <f t="shared" si="304"/>
        <v>0</v>
      </c>
      <c r="HY187" s="1578">
        <f t="shared" si="304"/>
        <v>0</v>
      </c>
      <c r="HZ187" s="1578">
        <f t="shared" si="304"/>
        <v>0</v>
      </c>
      <c r="IA187" s="1578">
        <f t="shared" si="304"/>
        <v>0</v>
      </c>
      <c r="IB187" s="1578">
        <f t="shared" si="304"/>
        <v>0</v>
      </c>
      <c r="IC187" s="1578">
        <f t="shared" si="304"/>
        <v>0</v>
      </c>
      <c r="ID187" s="1578">
        <f t="shared" si="304"/>
        <v>0</v>
      </c>
      <c r="IE187" s="1578">
        <f t="shared" si="304"/>
        <v>0</v>
      </c>
      <c r="IF187" s="1578">
        <f t="shared" si="304"/>
        <v>0</v>
      </c>
      <c r="IG187" s="1578">
        <f t="shared" si="304"/>
        <v>0</v>
      </c>
      <c r="IH187" s="1578">
        <f t="shared" si="304"/>
        <v>0</v>
      </c>
      <c r="II187" s="1578">
        <f t="shared" si="304"/>
        <v>0</v>
      </c>
      <c r="IJ187" s="1578">
        <f t="shared" si="304"/>
        <v>0</v>
      </c>
      <c r="IK187" s="1578">
        <f t="shared" si="304"/>
        <v>0</v>
      </c>
      <c r="IL187" s="1578">
        <f t="shared" si="304"/>
        <v>0</v>
      </c>
      <c r="IM187" s="1578">
        <f t="shared" si="304"/>
        <v>0</v>
      </c>
      <c r="IN187" s="1578">
        <f t="shared" si="304"/>
        <v>0</v>
      </c>
      <c r="IO187" s="1578">
        <f t="shared" si="304"/>
        <v>0</v>
      </c>
      <c r="IP187" s="1578">
        <f t="shared" si="304"/>
        <v>0</v>
      </c>
      <c r="IQ187" s="1578">
        <f t="shared" si="304"/>
        <v>0</v>
      </c>
      <c r="IR187" s="1578">
        <f t="shared" si="304"/>
        <v>0</v>
      </c>
      <c r="IS187" s="1578">
        <f t="shared" si="304"/>
        <v>0</v>
      </c>
      <c r="IT187" s="1578">
        <f t="shared" si="304"/>
        <v>0</v>
      </c>
      <c r="IU187" s="1578">
        <f t="shared" si="304"/>
        <v>0</v>
      </c>
      <c r="IV187" s="1578">
        <f t="shared" si="304"/>
        <v>0</v>
      </c>
      <c r="IW187" s="1578">
        <f t="shared" si="304"/>
        <v>0</v>
      </c>
      <c r="IX187" s="1578">
        <f t="shared" si="304"/>
        <v>0</v>
      </c>
      <c r="IY187" s="1578">
        <f t="shared" si="304"/>
        <v>0</v>
      </c>
      <c r="IZ187" s="1578">
        <f t="shared" si="304"/>
        <v>0</v>
      </c>
      <c r="JA187" s="1578">
        <f t="shared" si="304"/>
        <v>0</v>
      </c>
      <c r="JB187" s="1578">
        <f t="shared" si="304"/>
        <v>0</v>
      </c>
      <c r="JC187" s="1578">
        <f t="shared" ref="JC187:LN187" si="305">SUM(JC69+JC76+JC92+JC96+JC104+JC116+JC131+JC144+JC152+JC160+JC164+JC170+JC173+JC178+JC186)</f>
        <v>0</v>
      </c>
      <c r="JD187" s="1578">
        <f t="shared" si="305"/>
        <v>0</v>
      </c>
      <c r="JE187" s="1578">
        <f t="shared" si="305"/>
        <v>0</v>
      </c>
      <c r="JF187" s="1578">
        <f t="shared" si="305"/>
        <v>0</v>
      </c>
      <c r="JG187" s="1578">
        <f t="shared" si="305"/>
        <v>0</v>
      </c>
      <c r="JH187" s="1578">
        <f t="shared" si="305"/>
        <v>0</v>
      </c>
      <c r="JI187" s="1578">
        <f t="shared" si="305"/>
        <v>0</v>
      </c>
      <c r="JJ187" s="1578">
        <f t="shared" si="305"/>
        <v>0</v>
      </c>
      <c r="JK187" s="1578">
        <f t="shared" si="305"/>
        <v>0</v>
      </c>
      <c r="JL187" s="1578">
        <f t="shared" si="305"/>
        <v>0</v>
      </c>
      <c r="JM187" s="1578">
        <f t="shared" si="305"/>
        <v>0</v>
      </c>
      <c r="JN187" s="1578">
        <f t="shared" si="305"/>
        <v>0</v>
      </c>
      <c r="JO187" s="1578">
        <f t="shared" si="305"/>
        <v>0</v>
      </c>
      <c r="JP187" s="1578">
        <f t="shared" si="305"/>
        <v>0</v>
      </c>
      <c r="JQ187" s="1578">
        <f t="shared" si="305"/>
        <v>0</v>
      </c>
      <c r="JR187" s="1578" t="e">
        <f t="shared" si="305"/>
        <v>#DIV/0!</v>
      </c>
      <c r="JS187" s="1578" t="e">
        <f t="shared" si="305"/>
        <v>#DIV/0!</v>
      </c>
      <c r="JT187" s="1578" t="e">
        <f t="shared" si="305"/>
        <v>#DIV/0!</v>
      </c>
      <c r="JU187" s="1578" t="e">
        <f t="shared" si="305"/>
        <v>#DIV/0!</v>
      </c>
      <c r="JV187" s="1578" t="e">
        <f t="shared" si="305"/>
        <v>#DIV/0!</v>
      </c>
      <c r="JW187" s="1578" t="e">
        <f t="shared" si="305"/>
        <v>#DIV/0!</v>
      </c>
      <c r="JX187" s="1578" t="e">
        <f t="shared" si="305"/>
        <v>#DIV/0!</v>
      </c>
      <c r="JY187" s="1578" t="e">
        <f t="shared" si="305"/>
        <v>#DIV/0!</v>
      </c>
      <c r="JZ187" s="1578" t="e">
        <f t="shared" si="305"/>
        <v>#DIV/0!</v>
      </c>
      <c r="KA187" s="1578" t="e">
        <f t="shared" si="305"/>
        <v>#DIV/0!</v>
      </c>
      <c r="KB187" s="1578" t="e">
        <f t="shared" si="305"/>
        <v>#DIV/0!</v>
      </c>
      <c r="KC187" s="1578" t="e">
        <f t="shared" si="305"/>
        <v>#DIV/0!</v>
      </c>
      <c r="KD187" s="1578" t="e">
        <f t="shared" si="305"/>
        <v>#DIV/0!</v>
      </c>
      <c r="KE187" s="1578" t="e">
        <f t="shared" si="305"/>
        <v>#DIV/0!</v>
      </c>
      <c r="KF187" s="1578" t="e">
        <f t="shared" si="305"/>
        <v>#DIV/0!</v>
      </c>
      <c r="KG187" s="1578" t="e">
        <f t="shared" si="305"/>
        <v>#DIV/0!</v>
      </c>
      <c r="KH187" s="1578" t="e">
        <f t="shared" si="305"/>
        <v>#DIV/0!</v>
      </c>
      <c r="KI187" s="1578" t="e">
        <f t="shared" si="305"/>
        <v>#REF!</v>
      </c>
      <c r="KJ187" s="1578" t="e">
        <f t="shared" si="305"/>
        <v>#REF!</v>
      </c>
      <c r="KK187" s="1578" t="e">
        <f t="shared" si="305"/>
        <v>#REF!</v>
      </c>
      <c r="KL187" s="1578" t="e">
        <f t="shared" si="305"/>
        <v>#REF!</v>
      </c>
      <c r="KM187" s="1578" t="e">
        <f t="shared" si="305"/>
        <v>#REF!</v>
      </c>
      <c r="KN187" s="1578" t="e">
        <f t="shared" si="305"/>
        <v>#REF!</v>
      </c>
      <c r="KO187" s="1578" t="e">
        <f t="shared" si="305"/>
        <v>#REF!</v>
      </c>
      <c r="KP187" s="1578" t="e">
        <f t="shared" si="305"/>
        <v>#REF!</v>
      </c>
      <c r="KQ187" s="1578" t="e">
        <f t="shared" si="305"/>
        <v>#REF!</v>
      </c>
      <c r="KR187" s="1578" t="e">
        <f t="shared" si="305"/>
        <v>#REF!</v>
      </c>
      <c r="KS187" s="1578" t="e">
        <f t="shared" si="305"/>
        <v>#REF!</v>
      </c>
      <c r="KT187" s="1578" t="e">
        <f t="shared" si="305"/>
        <v>#REF!</v>
      </c>
      <c r="KU187" s="1578" t="e">
        <f t="shared" si="305"/>
        <v>#REF!</v>
      </c>
      <c r="KV187" s="1578" t="e">
        <f t="shared" si="305"/>
        <v>#REF!</v>
      </c>
      <c r="KW187" s="1578" t="e">
        <f t="shared" si="305"/>
        <v>#REF!</v>
      </c>
      <c r="KX187" s="1578" t="e">
        <f t="shared" si="305"/>
        <v>#REF!</v>
      </c>
      <c r="KY187" s="1578" t="e">
        <f t="shared" si="305"/>
        <v>#REF!</v>
      </c>
      <c r="KZ187" s="1578" t="e">
        <f t="shared" si="305"/>
        <v>#REF!</v>
      </c>
      <c r="LA187" s="1578" t="e">
        <f t="shared" si="305"/>
        <v>#REF!</v>
      </c>
      <c r="LB187" s="1578" t="e">
        <f t="shared" si="305"/>
        <v>#REF!</v>
      </c>
      <c r="LC187" s="1578" t="e">
        <f t="shared" si="305"/>
        <v>#REF!</v>
      </c>
      <c r="LD187" s="1578" t="e">
        <f t="shared" si="305"/>
        <v>#REF!</v>
      </c>
      <c r="LE187" s="1578" t="e">
        <f t="shared" si="305"/>
        <v>#REF!</v>
      </c>
      <c r="LF187" s="1578" t="e">
        <f t="shared" si="305"/>
        <v>#REF!</v>
      </c>
      <c r="LG187" s="1578" t="e">
        <f t="shared" si="305"/>
        <v>#REF!</v>
      </c>
      <c r="LH187" s="1578" t="e">
        <f t="shared" si="305"/>
        <v>#REF!</v>
      </c>
      <c r="LI187" s="1578" t="e">
        <f t="shared" si="305"/>
        <v>#REF!</v>
      </c>
      <c r="LJ187" s="1578" t="e">
        <f t="shared" si="305"/>
        <v>#REF!</v>
      </c>
      <c r="LK187" s="1578" t="e">
        <f t="shared" si="305"/>
        <v>#REF!</v>
      </c>
      <c r="LL187" s="1578" t="e">
        <f t="shared" si="305"/>
        <v>#REF!</v>
      </c>
      <c r="LM187" s="1578" t="e">
        <f t="shared" si="305"/>
        <v>#REF!</v>
      </c>
      <c r="LN187" s="1578" t="e">
        <f t="shared" si="305"/>
        <v>#REF!</v>
      </c>
      <c r="LO187" s="1578" t="e">
        <f t="shared" ref="LO187:NZ187" si="306">SUM(LO69+LO76+LO92+LO96+LO104+LO116+LO131+LO144+LO152+LO160+LO164+LO170+LO173+LO178+LO186)</f>
        <v>#REF!</v>
      </c>
      <c r="LP187" s="1578" t="e">
        <f t="shared" si="306"/>
        <v>#REF!</v>
      </c>
      <c r="LQ187" s="1578" t="e">
        <f t="shared" si="306"/>
        <v>#DIV/0!</v>
      </c>
      <c r="LR187" s="1578" t="e">
        <f t="shared" si="306"/>
        <v>#DIV/0!</v>
      </c>
      <c r="LS187" s="1578" t="e">
        <f t="shared" si="306"/>
        <v>#DIV/0!</v>
      </c>
      <c r="LT187" s="1578" t="e">
        <f t="shared" si="306"/>
        <v>#DIV/0!</v>
      </c>
      <c r="LU187" s="1578" t="e">
        <f t="shared" si="306"/>
        <v>#DIV/0!</v>
      </c>
      <c r="LV187" s="1578" t="e">
        <f t="shared" si="306"/>
        <v>#DIV/0!</v>
      </c>
      <c r="LW187" s="1578" t="e">
        <f t="shared" si="306"/>
        <v>#DIV/0!</v>
      </c>
      <c r="LX187" s="1578" t="e">
        <f t="shared" si="306"/>
        <v>#DIV/0!</v>
      </c>
      <c r="LY187" s="1578" t="e">
        <f t="shared" si="306"/>
        <v>#DIV/0!</v>
      </c>
      <c r="LZ187" s="1578" t="e">
        <f t="shared" si="306"/>
        <v>#DIV/0!</v>
      </c>
      <c r="MA187" s="1578" t="e">
        <f t="shared" si="306"/>
        <v>#DIV/0!</v>
      </c>
      <c r="MB187" s="1578" t="e">
        <f t="shared" si="306"/>
        <v>#DIV/0!</v>
      </c>
      <c r="MC187" s="1578" t="e">
        <f t="shared" si="306"/>
        <v>#DIV/0!</v>
      </c>
      <c r="MD187" s="1578" t="e">
        <f t="shared" si="306"/>
        <v>#DIV/0!</v>
      </c>
      <c r="ME187" s="1578" t="e">
        <f t="shared" si="306"/>
        <v>#DIV/0!</v>
      </c>
      <c r="MF187" s="1578" t="e">
        <f t="shared" si="306"/>
        <v>#DIV/0!</v>
      </c>
      <c r="MG187" s="1578" t="e">
        <f t="shared" si="306"/>
        <v>#DIV/0!</v>
      </c>
      <c r="MH187" s="1578" t="e">
        <f t="shared" si="306"/>
        <v>#REF!</v>
      </c>
      <c r="MI187" s="1578" t="e">
        <f t="shared" si="306"/>
        <v>#REF!</v>
      </c>
      <c r="MJ187" s="1578" t="e">
        <f t="shared" si="306"/>
        <v>#REF!</v>
      </c>
      <c r="MK187" s="1578" t="e">
        <f t="shared" si="306"/>
        <v>#REF!</v>
      </c>
      <c r="ML187" s="1578" t="e">
        <f t="shared" si="306"/>
        <v>#REF!</v>
      </c>
      <c r="MM187" s="1578" t="e">
        <f t="shared" si="306"/>
        <v>#REF!</v>
      </c>
      <c r="MN187" s="1578" t="e">
        <f t="shared" si="306"/>
        <v>#REF!</v>
      </c>
      <c r="MO187" s="1578" t="e">
        <f t="shared" si="306"/>
        <v>#REF!</v>
      </c>
      <c r="MP187" s="1578" t="e">
        <f t="shared" si="306"/>
        <v>#REF!</v>
      </c>
      <c r="MQ187" s="1578" t="e">
        <f t="shared" si="306"/>
        <v>#REF!</v>
      </c>
      <c r="MR187" s="1578" t="e">
        <f t="shared" si="306"/>
        <v>#REF!</v>
      </c>
      <c r="MS187" s="1578" t="e">
        <f t="shared" si="306"/>
        <v>#REF!</v>
      </c>
      <c r="MT187" s="1578" t="e">
        <f t="shared" si="306"/>
        <v>#REF!</v>
      </c>
      <c r="MU187" s="1578" t="e">
        <f t="shared" si="306"/>
        <v>#REF!</v>
      </c>
      <c r="MV187" s="1578" t="e">
        <f t="shared" si="306"/>
        <v>#REF!</v>
      </c>
      <c r="MW187" s="1578" t="e">
        <f t="shared" si="306"/>
        <v>#REF!</v>
      </c>
      <c r="MX187" s="1578" t="e">
        <f t="shared" si="306"/>
        <v>#REF!</v>
      </c>
      <c r="MY187" s="1578" t="e">
        <f t="shared" si="306"/>
        <v>#DIV/0!</v>
      </c>
      <c r="MZ187" s="1578" t="e">
        <f t="shared" si="306"/>
        <v>#DIV/0!</v>
      </c>
      <c r="NA187" s="1578" t="e">
        <f t="shared" si="306"/>
        <v>#DIV/0!</v>
      </c>
      <c r="NB187" s="1578" t="e">
        <f t="shared" si="306"/>
        <v>#DIV/0!</v>
      </c>
      <c r="NC187" s="1578" t="e">
        <f t="shared" si="306"/>
        <v>#DIV/0!</v>
      </c>
      <c r="ND187" s="1578" t="e">
        <f t="shared" si="306"/>
        <v>#DIV/0!</v>
      </c>
      <c r="NE187" s="1578" t="e">
        <f t="shared" si="306"/>
        <v>#DIV/0!</v>
      </c>
      <c r="NF187" s="1578" t="e">
        <f>SUM(NF69+NF76+NF92+NF96+NF104+NF116+NF131+NF144+NF152+NF160+NF164+NF170+NF173+NF178+NF186)</f>
        <v>#DIV/0!</v>
      </c>
      <c r="NG187" s="1578" t="e">
        <f t="shared" si="306"/>
        <v>#DIV/0!</v>
      </c>
      <c r="NH187" s="1578" t="e">
        <f t="shared" si="306"/>
        <v>#DIV/0!</v>
      </c>
      <c r="NI187" s="1578" t="e">
        <f t="shared" si="306"/>
        <v>#DIV/0!</v>
      </c>
      <c r="NJ187" s="1578" t="e">
        <f t="shared" si="306"/>
        <v>#DIV/0!</v>
      </c>
      <c r="NK187" s="1578" t="e">
        <f t="shared" si="306"/>
        <v>#DIV/0!</v>
      </c>
      <c r="NL187" s="1578" t="e">
        <f t="shared" si="306"/>
        <v>#DIV/0!</v>
      </c>
      <c r="NM187" s="1578" t="e">
        <f t="shared" si="306"/>
        <v>#DIV/0!</v>
      </c>
      <c r="NN187" s="1578" t="e">
        <f t="shared" si="306"/>
        <v>#DIV/0!</v>
      </c>
      <c r="NO187" s="1578" t="e">
        <f t="shared" si="306"/>
        <v>#DIV/0!</v>
      </c>
      <c r="NP187" s="1578" t="e">
        <f t="shared" si="306"/>
        <v>#DIV/0!</v>
      </c>
      <c r="NQ187" s="1578" t="e">
        <f t="shared" si="306"/>
        <v>#DIV/0!</v>
      </c>
      <c r="NR187" s="1578" t="e">
        <f t="shared" si="306"/>
        <v>#DIV/0!</v>
      </c>
      <c r="NS187" s="1578" t="e">
        <f t="shared" si="306"/>
        <v>#DIV/0!</v>
      </c>
      <c r="NT187" s="1578" t="e">
        <f t="shared" si="306"/>
        <v>#DIV/0!</v>
      </c>
      <c r="NU187" s="1578" t="e">
        <f t="shared" si="306"/>
        <v>#DIV/0!</v>
      </c>
      <c r="NV187" s="1578" t="e">
        <f t="shared" si="306"/>
        <v>#DIV/0!</v>
      </c>
      <c r="NW187" s="1578" t="e">
        <f t="shared" si="306"/>
        <v>#DIV/0!</v>
      </c>
      <c r="NX187" s="1578" t="e">
        <f t="shared" si="306"/>
        <v>#DIV/0!</v>
      </c>
      <c r="NY187" s="1578" t="e">
        <f t="shared" si="306"/>
        <v>#DIV/0!</v>
      </c>
      <c r="NZ187" s="1578" t="e">
        <f t="shared" si="306"/>
        <v>#DIV/0!</v>
      </c>
      <c r="OA187" s="1578" t="e">
        <f t="shared" ref="OA187:QL187" si="307">SUM(OA69+OA76+OA92+OA96+OA104+OA116+OA131+OA144+OA152+OA160+OA164+OA170+OA173+OA178+OA186)</f>
        <v>#DIV/0!</v>
      </c>
      <c r="OB187" s="1578" t="e">
        <f t="shared" si="307"/>
        <v>#DIV/0!</v>
      </c>
      <c r="OC187" s="1578" t="e">
        <f t="shared" si="307"/>
        <v>#DIV/0!</v>
      </c>
      <c r="OD187" s="1578" t="e">
        <f t="shared" si="307"/>
        <v>#DIV/0!</v>
      </c>
      <c r="OE187" s="1578" t="e">
        <f t="shared" si="307"/>
        <v>#DIV/0!</v>
      </c>
      <c r="OF187" s="1578" t="e">
        <f t="shared" si="307"/>
        <v>#DIV/0!</v>
      </c>
      <c r="OG187" s="1578" t="e">
        <f t="shared" si="307"/>
        <v>#DIV/0!</v>
      </c>
      <c r="OH187" s="1578" t="e">
        <f t="shared" si="307"/>
        <v>#DIV/0!</v>
      </c>
      <c r="OI187" s="1578" t="e">
        <f t="shared" si="307"/>
        <v>#DIV/0!</v>
      </c>
      <c r="OJ187" s="1578" t="e">
        <f t="shared" si="307"/>
        <v>#DIV/0!</v>
      </c>
      <c r="OK187" s="1578" t="e">
        <f t="shared" si="307"/>
        <v>#DIV/0!</v>
      </c>
      <c r="OL187" s="1578" t="e">
        <f t="shared" si="307"/>
        <v>#DIV/0!</v>
      </c>
      <c r="OM187" s="1578" t="e">
        <f t="shared" si="307"/>
        <v>#DIV/0!</v>
      </c>
      <c r="ON187" s="1578" t="e">
        <f t="shared" si="307"/>
        <v>#DIV/0!</v>
      </c>
      <c r="OO187" s="1578" t="e">
        <f t="shared" si="307"/>
        <v>#DIV/0!</v>
      </c>
      <c r="OP187" s="1578" t="e">
        <f t="shared" si="307"/>
        <v>#DIV/0!</v>
      </c>
      <c r="OQ187" s="1578" t="e">
        <f t="shared" si="307"/>
        <v>#DIV/0!</v>
      </c>
      <c r="OR187" s="1578" t="e">
        <f t="shared" si="307"/>
        <v>#DIV/0!</v>
      </c>
      <c r="OS187" s="1578" t="e">
        <f t="shared" si="307"/>
        <v>#DIV/0!</v>
      </c>
      <c r="OT187" s="1578" t="e">
        <f t="shared" si="307"/>
        <v>#DIV/0!</v>
      </c>
      <c r="OU187" s="1578" t="e">
        <f t="shared" si="307"/>
        <v>#DIV/0!</v>
      </c>
      <c r="OV187" s="1578" t="e">
        <f t="shared" si="307"/>
        <v>#DIV/0!</v>
      </c>
      <c r="OW187" s="1578" t="e">
        <f t="shared" si="307"/>
        <v>#DIV/0!</v>
      </c>
      <c r="OX187" s="1578">
        <f t="shared" si="307"/>
        <v>0</v>
      </c>
      <c r="OY187" s="1578">
        <f t="shared" si="307"/>
        <v>0</v>
      </c>
      <c r="OZ187" s="1578">
        <f t="shared" si="307"/>
        <v>0</v>
      </c>
      <c r="PA187" s="1578">
        <f t="shared" si="307"/>
        <v>0</v>
      </c>
      <c r="PB187" s="1578">
        <f t="shared" si="307"/>
        <v>0</v>
      </c>
      <c r="PC187" s="1578">
        <f t="shared" si="307"/>
        <v>0</v>
      </c>
      <c r="PD187" s="1578">
        <f t="shared" si="307"/>
        <v>0</v>
      </c>
      <c r="PE187" s="1578">
        <f t="shared" si="307"/>
        <v>0</v>
      </c>
      <c r="PF187" s="1578">
        <f t="shared" si="307"/>
        <v>0</v>
      </c>
      <c r="PG187" s="1578">
        <f t="shared" si="307"/>
        <v>0</v>
      </c>
      <c r="PH187" s="1578">
        <f t="shared" si="307"/>
        <v>0</v>
      </c>
      <c r="PI187" s="1578">
        <f t="shared" si="307"/>
        <v>0</v>
      </c>
      <c r="PJ187" s="1578">
        <f t="shared" si="307"/>
        <v>0</v>
      </c>
      <c r="PK187" s="1578">
        <f t="shared" si="307"/>
        <v>0</v>
      </c>
      <c r="PL187" s="1578">
        <f t="shared" si="307"/>
        <v>0</v>
      </c>
      <c r="PM187" s="1578">
        <f t="shared" si="307"/>
        <v>0</v>
      </c>
      <c r="PN187" s="1578">
        <f t="shared" si="307"/>
        <v>0</v>
      </c>
      <c r="PO187" s="1578">
        <f t="shared" si="307"/>
        <v>0</v>
      </c>
      <c r="PP187" s="1578">
        <f t="shared" si="307"/>
        <v>0</v>
      </c>
      <c r="PQ187" s="1578">
        <f t="shared" si="307"/>
        <v>0</v>
      </c>
      <c r="PR187" s="1578">
        <f t="shared" si="307"/>
        <v>0</v>
      </c>
      <c r="PS187" s="1578">
        <f t="shared" si="307"/>
        <v>0</v>
      </c>
      <c r="PT187" s="1578">
        <f t="shared" si="307"/>
        <v>0</v>
      </c>
      <c r="PU187" s="1578">
        <f t="shared" si="307"/>
        <v>0</v>
      </c>
      <c r="PV187" s="1578">
        <f t="shared" si="307"/>
        <v>0</v>
      </c>
      <c r="PW187" s="1578">
        <f t="shared" si="307"/>
        <v>0</v>
      </c>
      <c r="PX187" s="1578">
        <f t="shared" si="307"/>
        <v>0</v>
      </c>
      <c r="PY187" s="1578">
        <f t="shared" si="307"/>
        <v>0</v>
      </c>
      <c r="PZ187" s="1578">
        <f t="shared" si="307"/>
        <v>0</v>
      </c>
      <c r="QA187" s="1578">
        <f t="shared" si="307"/>
        <v>0</v>
      </c>
      <c r="QB187" s="1578">
        <f t="shared" si="307"/>
        <v>0</v>
      </c>
      <c r="QC187" s="1578">
        <f t="shared" si="307"/>
        <v>0</v>
      </c>
      <c r="QD187" s="1578">
        <f t="shared" si="307"/>
        <v>0</v>
      </c>
      <c r="QE187" s="1578">
        <f t="shared" si="307"/>
        <v>0</v>
      </c>
      <c r="QF187" s="1578">
        <f t="shared" si="307"/>
        <v>0</v>
      </c>
      <c r="QG187" s="1578">
        <f t="shared" si="307"/>
        <v>0</v>
      </c>
      <c r="QH187" s="1578">
        <f t="shared" si="307"/>
        <v>0</v>
      </c>
      <c r="QI187" s="1578">
        <f t="shared" si="307"/>
        <v>0</v>
      </c>
      <c r="QJ187" s="1578">
        <f t="shared" si="307"/>
        <v>0</v>
      </c>
      <c r="QK187" s="1578">
        <f t="shared" si="307"/>
        <v>0</v>
      </c>
      <c r="QL187" s="1578">
        <f t="shared" si="307"/>
        <v>0</v>
      </c>
      <c r="QM187" s="1578">
        <f t="shared" ref="QM187:SX187" si="308">SUM(QM69+QM76+QM92+QM96+QM104+QM116+QM131+QM144+QM152+QM160+QM164+QM170+QM173+QM178+QM186)</f>
        <v>0</v>
      </c>
      <c r="QN187" s="1578">
        <f t="shared" si="308"/>
        <v>0</v>
      </c>
      <c r="QO187" s="1578">
        <f t="shared" si="308"/>
        <v>0</v>
      </c>
      <c r="QP187" s="1578">
        <f t="shared" si="308"/>
        <v>0</v>
      </c>
      <c r="QQ187" s="1578">
        <f t="shared" si="308"/>
        <v>0</v>
      </c>
      <c r="QR187" s="1578">
        <f t="shared" si="308"/>
        <v>0</v>
      </c>
      <c r="QS187" s="1578">
        <f t="shared" si="308"/>
        <v>0</v>
      </c>
      <c r="QT187" s="1578">
        <f t="shared" si="308"/>
        <v>0</v>
      </c>
      <c r="QU187" s="1578">
        <f t="shared" si="308"/>
        <v>0</v>
      </c>
      <c r="QV187" s="1578">
        <f t="shared" si="308"/>
        <v>0</v>
      </c>
      <c r="QW187" s="1578">
        <f t="shared" si="308"/>
        <v>0</v>
      </c>
      <c r="QX187" s="1578">
        <f t="shared" si="308"/>
        <v>0</v>
      </c>
      <c r="QY187" s="1578">
        <f t="shared" si="308"/>
        <v>0</v>
      </c>
      <c r="QZ187" s="1578">
        <f t="shared" si="308"/>
        <v>0</v>
      </c>
      <c r="RA187" s="1578">
        <f t="shared" si="308"/>
        <v>0</v>
      </c>
      <c r="RB187" s="1578">
        <f t="shared" si="308"/>
        <v>0</v>
      </c>
      <c r="RC187" s="1578">
        <f t="shared" si="308"/>
        <v>0</v>
      </c>
      <c r="RD187" s="1578">
        <f t="shared" si="308"/>
        <v>0</v>
      </c>
      <c r="RE187" s="1578">
        <f t="shared" si="308"/>
        <v>0</v>
      </c>
      <c r="RF187" s="1578">
        <f t="shared" si="308"/>
        <v>0</v>
      </c>
      <c r="RG187" s="1578">
        <f t="shared" si="308"/>
        <v>0</v>
      </c>
      <c r="RH187" s="1578">
        <f t="shared" si="308"/>
        <v>0</v>
      </c>
      <c r="RI187" s="1578">
        <f t="shared" si="308"/>
        <v>0</v>
      </c>
      <c r="RJ187" s="1578">
        <f t="shared" si="308"/>
        <v>0</v>
      </c>
      <c r="RK187" s="1578">
        <f t="shared" si="308"/>
        <v>0</v>
      </c>
      <c r="RL187" s="1578">
        <f t="shared" si="308"/>
        <v>0</v>
      </c>
      <c r="RM187" s="1578">
        <f t="shared" si="308"/>
        <v>0</v>
      </c>
      <c r="RN187" s="1578" t="e">
        <f t="shared" si="308"/>
        <v>#REF!</v>
      </c>
      <c r="RO187" s="1578" t="e">
        <f t="shared" si="308"/>
        <v>#REF!</v>
      </c>
      <c r="RP187" s="1578" t="e">
        <f t="shared" si="308"/>
        <v>#REF!</v>
      </c>
      <c r="RQ187" s="1578" t="e">
        <f t="shared" si="308"/>
        <v>#REF!</v>
      </c>
      <c r="RR187" s="1578" t="e">
        <f t="shared" si="308"/>
        <v>#REF!</v>
      </c>
      <c r="RS187" s="1578" t="e">
        <f t="shared" si="308"/>
        <v>#REF!</v>
      </c>
      <c r="RT187" s="1578" t="e">
        <f t="shared" si="308"/>
        <v>#REF!</v>
      </c>
      <c r="RU187" s="1578" t="e">
        <f t="shared" si="308"/>
        <v>#REF!</v>
      </c>
      <c r="RV187" s="1578" t="e">
        <f t="shared" si="308"/>
        <v>#REF!</v>
      </c>
      <c r="RW187" s="1578" t="e">
        <f t="shared" si="308"/>
        <v>#REF!</v>
      </c>
      <c r="RX187" s="1578" t="e">
        <f t="shared" si="308"/>
        <v>#REF!</v>
      </c>
      <c r="RY187" s="1578" t="e">
        <f t="shared" si="308"/>
        <v>#REF!</v>
      </c>
      <c r="RZ187" s="1578" t="e">
        <f t="shared" si="308"/>
        <v>#REF!</v>
      </c>
      <c r="SA187" s="1578" t="e">
        <f t="shared" si="308"/>
        <v>#REF!</v>
      </c>
      <c r="SB187" s="1578" t="e">
        <f t="shared" si="308"/>
        <v>#REF!</v>
      </c>
      <c r="SC187" s="1578" t="e">
        <f t="shared" si="308"/>
        <v>#REF!</v>
      </c>
      <c r="SD187" s="1578" t="e">
        <f t="shared" si="308"/>
        <v>#REF!</v>
      </c>
      <c r="SE187" s="1578" t="e">
        <f t="shared" si="308"/>
        <v>#DIV/0!</v>
      </c>
      <c r="SF187" s="1578" t="e">
        <f t="shared" si="308"/>
        <v>#DIV/0!</v>
      </c>
      <c r="SG187" s="1578" t="e">
        <f t="shared" si="308"/>
        <v>#DIV/0!</v>
      </c>
      <c r="SH187" s="1578" t="e">
        <f t="shared" si="308"/>
        <v>#DIV/0!</v>
      </c>
      <c r="SI187" s="1578" t="e">
        <f t="shared" si="308"/>
        <v>#DIV/0!</v>
      </c>
      <c r="SJ187" s="1578" t="e">
        <f t="shared" si="308"/>
        <v>#DIV/0!</v>
      </c>
      <c r="SK187" s="1578" t="e">
        <f t="shared" si="308"/>
        <v>#DIV/0!</v>
      </c>
      <c r="SL187" s="1578" t="e">
        <f t="shared" si="308"/>
        <v>#DIV/0!</v>
      </c>
      <c r="SM187" s="1578" t="e">
        <f t="shared" si="308"/>
        <v>#DIV/0!</v>
      </c>
      <c r="SN187" s="1578" t="e">
        <f t="shared" si="308"/>
        <v>#DIV/0!</v>
      </c>
      <c r="SO187" s="1578" t="e">
        <f t="shared" si="308"/>
        <v>#DIV/0!</v>
      </c>
      <c r="SP187" s="1578" t="e">
        <f t="shared" si="308"/>
        <v>#DIV/0!</v>
      </c>
      <c r="SQ187" s="1578" t="e">
        <f t="shared" si="308"/>
        <v>#DIV/0!</v>
      </c>
      <c r="SR187" s="1578" t="e">
        <f t="shared" si="308"/>
        <v>#DIV/0!</v>
      </c>
      <c r="SS187" s="1578" t="e">
        <f t="shared" si="308"/>
        <v>#DIV/0!</v>
      </c>
      <c r="ST187" s="1578" t="e">
        <f t="shared" si="308"/>
        <v>#DIV/0!</v>
      </c>
      <c r="SU187" s="1578" t="e">
        <f t="shared" si="308"/>
        <v>#DIV/0!</v>
      </c>
      <c r="SV187" s="1578" t="e">
        <f t="shared" si="308"/>
        <v>#DIV/0!</v>
      </c>
      <c r="SW187" s="1578" t="e">
        <f t="shared" si="308"/>
        <v>#DIV/0!</v>
      </c>
      <c r="SX187" s="1578" t="e">
        <f t="shared" si="308"/>
        <v>#DIV/0!</v>
      </c>
      <c r="SY187" s="1578" t="e">
        <f t="shared" ref="SY187:UC187" si="309">SUM(SY69+SY76+SY92+SY96+SY104+SY116+SY131+SY144+SY152+SY160+SY164+SY170+SY173+SY178+SY186)</f>
        <v>#DIV/0!</v>
      </c>
      <c r="SZ187" s="1578" t="e">
        <f t="shared" si="309"/>
        <v>#DIV/0!</v>
      </c>
      <c r="TA187" s="1578" t="e">
        <f t="shared" si="309"/>
        <v>#DIV/0!</v>
      </c>
      <c r="TB187" s="1578" t="e">
        <f t="shared" si="309"/>
        <v>#DIV/0!</v>
      </c>
      <c r="TC187" s="1578" t="e">
        <f t="shared" si="309"/>
        <v>#DIV/0!</v>
      </c>
      <c r="TD187" s="1578" t="e">
        <f t="shared" si="309"/>
        <v>#DIV/0!</v>
      </c>
      <c r="TE187" s="1578" t="e">
        <f t="shared" si="309"/>
        <v>#DIV/0!</v>
      </c>
      <c r="TF187" s="1578" t="e">
        <f t="shared" si="309"/>
        <v>#DIV/0!</v>
      </c>
      <c r="TG187" s="1578" t="e">
        <f t="shared" si="309"/>
        <v>#DIV/0!</v>
      </c>
      <c r="TH187" s="1578" t="e">
        <f t="shared" si="309"/>
        <v>#DIV/0!</v>
      </c>
      <c r="TI187" s="1578" t="e">
        <f t="shared" si="309"/>
        <v>#DIV/0!</v>
      </c>
      <c r="TJ187" s="1578" t="e">
        <f t="shared" si="309"/>
        <v>#DIV/0!</v>
      </c>
      <c r="TK187" s="1578" t="e">
        <f t="shared" si="309"/>
        <v>#DIV/0!</v>
      </c>
      <c r="TL187" s="1578" t="e">
        <f t="shared" si="309"/>
        <v>#DIV/0!</v>
      </c>
      <c r="TM187" s="1578">
        <f t="shared" si="309"/>
        <v>0</v>
      </c>
      <c r="TN187" s="1578">
        <f t="shared" si="309"/>
        <v>0</v>
      </c>
      <c r="TO187" s="1578">
        <f t="shared" si="309"/>
        <v>0</v>
      </c>
      <c r="TP187" s="1578">
        <f t="shared" si="309"/>
        <v>0</v>
      </c>
      <c r="TQ187" s="1578">
        <f t="shared" si="309"/>
        <v>0</v>
      </c>
      <c r="TR187" s="1578">
        <f t="shared" si="309"/>
        <v>0</v>
      </c>
      <c r="TS187" s="1578">
        <f t="shared" si="309"/>
        <v>0</v>
      </c>
      <c r="TT187" s="1578">
        <f t="shared" si="309"/>
        <v>0</v>
      </c>
      <c r="TU187" s="1578">
        <f t="shared" si="309"/>
        <v>0</v>
      </c>
      <c r="TV187" s="1578">
        <f t="shared" si="309"/>
        <v>0</v>
      </c>
      <c r="TW187" s="1578">
        <f t="shared" si="309"/>
        <v>0</v>
      </c>
      <c r="TX187" s="1578">
        <f t="shared" si="309"/>
        <v>0</v>
      </c>
      <c r="TY187" s="1578">
        <f t="shared" si="309"/>
        <v>0</v>
      </c>
      <c r="TZ187" s="1578">
        <f t="shared" si="309"/>
        <v>0</v>
      </c>
      <c r="UA187" s="1578">
        <f t="shared" si="309"/>
        <v>0</v>
      </c>
      <c r="UB187" s="1578">
        <f t="shared" si="309"/>
        <v>0</v>
      </c>
      <c r="UC187" s="1578">
        <f t="shared" si="309"/>
        <v>0</v>
      </c>
      <c r="UD187" s="1578" t="e">
        <f>SUM(UD69+UD76+UD92+UD96+UD104+UD116+UD131+UD144+UD152+UD160+UD164+UD170+UD173+UD178+UD186)</f>
        <v>#DIV/0!</v>
      </c>
      <c r="UE187" s="1578" t="e">
        <f t="shared" ref="UE187:VK187" si="310">SUM(UE69+UE76+UE92+UE96+UE104+UE116+UE131+UE144+UE152+UE160+UE164+UE170+UE173+UE178+UE186)</f>
        <v>#DIV/0!</v>
      </c>
      <c r="UF187" s="1578" t="e">
        <f t="shared" si="310"/>
        <v>#DIV/0!</v>
      </c>
      <c r="UG187" s="1578" t="e">
        <f t="shared" si="310"/>
        <v>#DIV/0!</v>
      </c>
      <c r="UH187" s="1578" t="e">
        <f t="shared" si="310"/>
        <v>#DIV/0!</v>
      </c>
      <c r="UI187" s="1578" t="e">
        <f t="shared" si="310"/>
        <v>#DIV/0!</v>
      </c>
      <c r="UJ187" s="1578" t="e">
        <f t="shared" si="310"/>
        <v>#DIV/0!</v>
      </c>
      <c r="UK187" s="1578" t="e">
        <f t="shared" si="310"/>
        <v>#DIV/0!</v>
      </c>
      <c r="UL187" s="1578" t="e">
        <f t="shared" si="310"/>
        <v>#DIV/0!</v>
      </c>
      <c r="UM187" s="1578" t="e">
        <f t="shared" si="310"/>
        <v>#DIV/0!</v>
      </c>
      <c r="UN187" s="1578" t="e">
        <f t="shared" si="310"/>
        <v>#DIV/0!</v>
      </c>
      <c r="UO187" s="1578" t="e">
        <f t="shared" si="310"/>
        <v>#DIV/0!</v>
      </c>
      <c r="UP187" s="1578" t="e">
        <f t="shared" si="310"/>
        <v>#DIV/0!</v>
      </c>
      <c r="UQ187" s="1578" t="e">
        <f t="shared" si="310"/>
        <v>#DIV/0!</v>
      </c>
      <c r="UR187" s="1578" t="e">
        <f t="shared" si="310"/>
        <v>#DIV/0!</v>
      </c>
      <c r="US187" s="1578" t="e">
        <f t="shared" si="310"/>
        <v>#DIV/0!</v>
      </c>
      <c r="UT187" s="1578" t="e">
        <f t="shared" si="310"/>
        <v>#DIV/0!</v>
      </c>
      <c r="UU187" s="1578" t="e">
        <f t="shared" si="310"/>
        <v>#DIV/0!</v>
      </c>
      <c r="UV187" s="1578" t="e">
        <f t="shared" si="310"/>
        <v>#DIV/0!</v>
      </c>
      <c r="UW187" s="1578" t="e">
        <f t="shared" si="310"/>
        <v>#DIV/0!</v>
      </c>
      <c r="UX187" s="1578" t="e">
        <f t="shared" si="310"/>
        <v>#DIV/0!</v>
      </c>
      <c r="UY187" s="1578" t="e">
        <f t="shared" si="310"/>
        <v>#DIV/0!</v>
      </c>
      <c r="UZ187" s="1578" t="e">
        <f t="shared" si="310"/>
        <v>#DIV/0!</v>
      </c>
      <c r="VA187" s="1578" t="e">
        <f t="shared" si="310"/>
        <v>#DIV/0!</v>
      </c>
      <c r="VB187" s="1578" t="e">
        <f t="shared" si="310"/>
        <v>#DIV/0!</v>
      </c>
      <c r="VC187" s="1578" t="e">
        <f t="shared" si="310"/>
        <v>#DIV/0!</v>
      </c>
      <c r="VD187" s="1578" t="e">
        <f t="shared" si="310"/>
        <v>#DIV/0!</v>
      </c>
      <c r="VE187" s="1578" t="e">
        <f t="shared" si="310"/>
        <v>#DIV/0!</v>
      </c>
      <c r="VF187" s="1578" t="e">
        <f t="shared" si="310"/>
        <v>#DIV/0!</v>
      </c>
      <c r="VG187" s="1578" t="e">
        <f t="shared" si="310"/>
        <v>#DIV/0!</v>
      </c>
      <c r="VH187" s="1578" t="e">
        <f t="shared" si="310"/>
        <v>#DIV/0!</v>
      </c>
      <c r="VI187" s="1578" t="e">
        <f t="shared" si="310"/>
        <v>#DIV/0!</v>
      </c>
      <c r="VJ187" s="1578" t="e">
        <f t="shared" si="310"/>
        <v>#DIV/0!</v>
      </c>
      <c r="VK187" s="1578" t="e">
        <f t="shared" si="310"/>
        <v>#DIV/0!</v>
      </c>
    </row>
    <row r="189" spans="1:583" x14ac:dyDescent="0.25">
      <c r="TT189" s="689"/>
    </row>
  </sheetData>
  <mergeCells count="206">
    <mergeCell ref="D5:E5"/>
    <mergeCell ref="B6:B7"/>
    <mergeCell ref="C6:C7"/>
    <mergeCell ref="D6:E7"/>
    <mergeCell ref="F6:V6"/>
    <mergeCell ref="W6:AM6"/>
    <mergeCell ref="EL6:FB6"/>
    <mergeCell ref="FC6:FS6"/>
    <mergeCell ref="FT6:GJ6"/>
    <mergeCell ref="GK6:HA6"/>
    <mergeCell ref="HB6:HR6"/>
    <mergeCell ref="HS6:II6"/>
    <mergeCell ref="AN6:BD6"/>
    <mergeCell ref="BE6:BU6"/>
    <mergeCell ref="BV6:CL6"/>
    <mergeCell ref="CN6:DC6"/>
    <mergeCell ref="DD6:DT6"/>
    <mergeCell ref="DU6:EK6"/>
    <mergeCell ref="UD6:UT6"/>
    <mergeCell ref="UU6:VK6"/>
    <mergeCell ref="D8:E8"/>
    <mergeCell ref="D9:E9"/>
    <mergeCell ref="D10:E10"/>
    <mergeCell ref="D11:E11"/>
    <mergeCell ref="QF6:QV6"/>
    <mergeCell ref="QW6:RM6"/>
    <mergeCell ref="RN6:SD6"/>
    <mergeCell ref="SE6:SU6"/>
    <mergeCell ref="SV6:TL6"/>
    <mergeCell ref="TM6:UC6"/>
    <mergeCell ref="MH6:MX6"/>
    <mergeCell ref="MY6:NO6"/>
    <mergeCell ref="NP6:OF6"/>
    <mergeCell ref="OG6:OW6"/>
    <mergeCell ref="OX6:PN6"/>
    <mergeCell ref="PO6:QE6"/>
    <mergeCell ref="IJ6:IZ6"/>
    <mergeCell ref="JA6:JQ6"/>
    <mergeCell ref="JS6:KH6"/>
    <mergeCell ref="KI6:KY6"/>
    <mergeCell ref="KZ6:LP6"/>
    <mergeCell ref="LQ6:MG6"/>
    <mergeCell ref="D18:E18"/>
    <mergeCell ref="D19:E19"/>
    <mergeCell ref="D20:E20"/>
    <mergeCell ref="D21:E21"/>
    <mergeCell ref="D22:E22"/>
    <mergeCell ref="D23:E23"/>
    <mergeCell ref="D12:E12"/>
    <mergeCell ref="D13:E13"/>
    <mergeCell ref="D14:E14"/>
    <mergeCell ref="D15:E15"/>
    <mergeCell ref="D16:E16"/>
    <mergeCell ref="D17:E17"/>
    <mergeCell ref="D30:E30"/>
    <mergeCell ref="D31:E31"/>
    <mergeCell ref="D32:E32"/>
    <mergeCell ref="D33:E33"/>
    <mergeCell ref="B34:B35"/>
    <mergeCell ref="C34:C35"/>
    <mergeCell ref="D34:E34"/>
    <mergeCell ref="D35:E35"/>
    <mergeCell ref="D24:E24"/>
    <mergeCell ref="D25:E25"/>
    <mergeCell ref="D26:E26"/>
    <mergeCell ref="D27:E27"/>
    <mergeCell ref="D28:E28"/>
    <mergeCell ref="D29:E29"/>
    <mergeCell ref="B46:B48"/>
    <mergeCell ref="C46:C48"/>
    <mergeCell ref="D46:E46"/>
    <mergeCell ref="D47:E47"/>
    <mergeCell ref="D48:E48"/>
    <mergeCell ref="D36:E36"/>
    <mergeCell ref="D37:E37"/>
    <mergeCell ref="D38:E38"/>
    <mergeCell ref="D39:E39"/>
    <mergeCell ref="D40:E40"/>
    <mergeCell ref="D41:E41"/>
    <mergeCell ref="D49:E49"/>
    <mergeCell ref="D50:E50"/>
    <mergeCell ref="D51:E51"/>
    <mergeCell ref="D52:E52"/>
    <mergeCell ref="D53:E53"/>
    <mergeCell ref="D54:E54"/>
    <mergeCell ref="D42:E42"/>
    <mergeCell ref="D43:E43"/>
    <mergeCell ref="D44:E44"/>
    <mergeCell ref="D45:E45"/>
    <mergeCell ref="D61:E61"/>
    <mergeCell ref="D62:E62"/>
    <mergeCell ref="D63:E63"/>
    <mergeCell ref="D64:E64"/>
    <mergeCell ref="D65:E65"/>
    <mergeCell ref="D66:E66"/>
    <mergeCell ref="D55:E55"/>
    <mergeCell ref="D56:E56"/>
    <mergeCell ref="D57:E57"/>
    <mergeCell ref="D58:E58"/>
    <mergeCell ref="D59:E59"/>
    <mergeCell ref="D60:E60"/>
    <mergeCell ref="D78:E78"/>
    <mergeCell ref="D79:E79"/>
    <mergeCell ref="D80:E80"/>
    <mergeCell ref="D81:E81"/>
    <mergeCell ref="B82:B83"/>
    <mergeCell ref="D82:E82"/>
    <mergeCell ref="D83:E83"/>
    <mergeCell ref="D67:E67"/>
    <mergeCell ref="D68:E68"/>
    <mergeCell ref="B70:C70"/>
    <mergeCell ref="D70:E70"/>
    <mergeCell ref="D71:E75"/>
    <mergeCell ref="B77:C77"/>
    <mergeCell ref="D77:E77"/>
    <mergeCell ref="B88:B89"/>
    <mergeCell ref="D88:E88"/>
    <mergeCell ref="D89:E89"/>
    <mergeCell ref="B90:B91"/>
    <mergeCell ref="D90:E90"/>
    <mergeCell ref="D91:E91"/>
    <mergeCell ref="B84:B85"/>
    <mergeCell ref="D84:E84"/>
    <mergeCell ref="D85:E85"/>
    <mergeCell ref="B86:B87"/>
    <mergeCell ref="D86:E86"/>
    <mergeCell ref="D87:E87"/>
    <mergeCell ref="D103:E103"/>
    <mergeCell ref="B107:C107"/>
    <mergeCell ref="D107:E107"/>
    <mergeCell ref="D108:E108"/>
    <mergeCell ref="D109:E109"/>
    <mergeCell ref="B110:B111"/>
    <mergeCell ref="C110:C111"/>
    <mergeCell ref="D110:D111"/>
    <mergeCell ref="D95:E95"/>
    <mergeCell ref="B99:C99"/>
    <mergeCell ref="D99:E99"/>
    <mergeCell ref="D100:E100"/>
    <mergeCell ref="D101:E101"/>
    <mergeCell ref="D102:E102"/>
    <mergeCell ref="D120:E120"/>
    <mergeCell ref="D121:E121"/>
    <mergeCell ref="D122:E122"/>
    <mergeCell ref="D123:E123"/>
    <mergeCell ref="D124:E124"/>
    <mergeCell ref="B125:B127"/>
    <mergeCell ref="C125:C127"/>
    <mergeCell ref="D125:D127"/>
    <mergeCell ref="D112:E112"/>
    <mergeCell ref="D113:E113"/>
    <mergeCell ref="D114:E114"/>
    <mergeCell ref="D115:E115"/>
    <mergeCell ref="B119:C119"/>
    <mergeCell ref="D119:E119"/>
    <mergeCell ref="D135:E135"/>
    <mergeCell ref="B136:B137"/>
    <mergeCell ref="C136:C137"/>
    <mergeCell ref="D136:D137"/>
    <mergeCell ref="B138:B139"/>
    <mergeCell ref="C138:C139"/>
    <mergeCell ref="D138:D139"/>
    <mergeCell ref="D128:E128"/>
    <mergeCell ref="B129:B130"/>
    <mergeCell ref="C129:C130"/>
    <mergeCell ref="D129:D130"/>
    <mergeCell ref="B134:C134"/>
    <mergeCell ref="D134:E134"/>
    <mergeCell ref="D147:E147"/>
    <mergeCell ref="D148:E148"/>
    <mergeCell ref="B149:C149"/>
    <mergeCell ref="D149:E149"/>
    <mergeCell ref="D150:E150"/>
    <mergeCell ref="D151:E151"/>
    <mergeCell ref="B140:B141"/>
    <mergeCell ref="C140:C141"/>
    <mergeCell ref="D140:D141"/>
    <mergeCell ref="B142:B143"/>
    <mergeCell ref="C142:C143"/>
    <mergeCell ref="D142:D143"/>
    <mergeCell ref="D162:E162"/>
    <mergeCell ref="D163:E163"/>
    <mergeCell ref="B165:C165"/>
    <mergeCell ref="D165:E165"/>
    <mergeCell ref="D166:E169"/>
    <mergeCell ref="B171:C171"/>
    <mergeCell ref="D171:E171"/>
    <mergeCell ref="D155:E155"/>
    <mergeCell ref="D156:E156"/>
    <mergeCell ref="D157:E157"/>
    <mergeCell ref="D158:E158"/>
    <mergeCell ref="D159:E159"/>
    <mergeCell ref="B161:C161"/>
    <mergeCell ref="D161:E161"/>
    <mergeCell ref="B181:C181"/>
    <mergeCell ref="D181:E181"/>
    <mergeCell ref="D182:E182"/>
    <mergeCell ref="D183:E185"/>
    <mergeCell ref="B187:E187"/>
    <mergeCell ref="D172:E172"/>
    <mergeCell ref="B174:C174"/>
    <mergeCell ref="D174:E174"/>
    <mergeCell ref="D175:E175"/>
    <mergeCell ref="B176:B177"/>
    <mergeCell ref="C176:C177"/>
    <mergeCell ref="D176:D177"/>
  </mergeCells>
  <conditionalFormatting sqref="B93:IZ93 B145:IZ145 F94:IZ94 B179:IZ180 F146:IZ146 F97:IZ98 F105:IZ106 B117:IZ118 B132:IZ133 F153:IZ154 JR153:VK154 JR132:VK133 JR117:VK118 JR105:VK106 JR97:VK98 JR179:VK180 JR145:VK146 JR93:VK94">
    <cfRule type="cellIs" dxfId="22" priority="14" stopIfTrue="1" operator="equal">
      <formula>0</formula>
    </cfRule>
  </conditionalFormatting>
  <conditionalFormatting sqref="B153:E154">
    <cfRule type="cellIs" dxfId="21" priority="13" stopIfTrue="1" operator="equal">
      <formula>0</formula>
    </cfRule>
  </conditionalFormatting>
  <conditionalFormatting sqref="B94:E94">
    <cfRule type="cellIs" dxfId="20" priority="12" stopIfTrue="1" operator="equal">
      <formula>0</formula>
    </cfRule>
  </conditionalFormatting>
  <conditionalFormatting sqref="B97:E98">
    <cfRule type="cellIs" dxfId="19" priority="11" stopIfTrue="1" operator="equal">
      <formula>0</formula>
    </cfRule>
  </conditionalFormatting>
  <conditionalFormatting sqref="B105:E106">
    <cfRule type="cellIs" dxfId="18" priority="10" stopIfTrue="1" operator="equal">
      <formula>0</formula>
    </cfRule>
  </conditionalFormatting>
  <conditionalFormatting sqref="B146:E146">
    <cfRule type="cellIs" dxfId="17" priority="9" stopIfTrue="1" operator="equal">
      <formula>0</formula>
    </cfRule>
  </conditionalFormatting>
  <conditionalFormatting sqref="JA93:JQ94">
    <cfRule type="cellIs" dxfId="16" priority="8" stopIfTrue="1" operator="equal">
      <formula>0</formula>
    </cfRule>
  </conditionalFormatting>
  <conditionalFormatting sqref="JA97:JQ98">
    <cfRule type="cellIs" dxfId="15" priority="7" stopIfTrue="1" operator="equal">
      <formula>0</formula>
    </cfRule>
  </conditionalFormatting>
  <conditionalFormatting sqref="JA105:JQ106">
    <cfRule type="cellIs" dxfId="14" priority="6" stopIfTrue="1" operator="equal">
      <formula>0</formula>
    </cfRule>
  </conditionalFormatting>
  <conditionalFormatting sqref="JA117:JQ118">
    <cfRule type="cellIs" dxfId="13" priority="5" stopIfTrue="1" operator="equal">
      <formula>0</formula>
    </cfRule>
  </conditionalFormatting>
  <conditionalFormatting sqref="JA132:JQ133">
    <cfRule type="cellIs" dxfId="12" priority="4" stopIfTrue="1" operator="equal">
      <formula>0</formula>
    </cfRule>
  </conditionalFormatting>
  <conditionalFormatting sqref="JA145:JQ146">
    <cfRule type="cellIs" dxfId="11" priority="3" stopIfTrue="1" operator="equal">
      <formula>0</formula>
    </cfRule>
  </conditionalFormatting>
  <conditionalFormatting sqref="JA153:JQ154">
    <cfRule type="cellIs" dxfId="10" priority="2" stopIfTrue="1" operator="equal">
      <formula>0</formula>
    </cfRule>
  </conditionalFormatting>
  <conditionalFormatting sqref="JA179:JQ180">
    <cfRule type="cellIs" dxfId="9" priority="1" stopIfTrue="1" operator="equal">
      <formula>0</formula>
    </cfRule>
  </conditionalFormatting>
  <pageMargins left="0.7" right="0.7" top="0.75" bottom="0.75" header="0.3" footer="0.3"/>
  <pageSetup orientation="portrait" horizontalDpi="4294967295" verticalDpi="4294967295"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C000"/>
  </sheetPr>
  <dimension ref="B2:ET36"/>
  <sheetViews>
    <sheetView zoomScaleNormal="100" workbookViewId="0">
      <selection activeCell="F9" sqref="F9"/>
    </sheetView>
  </sheetViews>
  <sheetFormatPr baseColWidth="10" defaultColWidth="11.42578125" defaultRowHeight="13.5" x14ac:dyDescent="0.25"/>
  <cols>
    <col min="1" max="1" width="11.42578125" style="691"/>
    <col min="2" max="2" width="31.7109375" style="691" customWidth="1"/>
    <col min="3" max="3" width="6.7109375" style="691" customWidth="1"/>
    <col min="4" max="5" width="7.7109375" style="691" customWidth="1"/>
    <col min="6" max="19" width="7.140625" style="691" customWidth="1"/>
    <col min="20" max="16384" width="11.42578125" style="691"/>
  </cols>
  <sheetData>
    <row r="2" spans="2:150" x14ac:dyDescent="0.25">
      <c r="B2" s="689" t="s">
        <v>2885</v>
      </c>
      <c r="C2" s="689"/>
      <c r="D2" s="689"/>
      <c r="E2" s="689"/>
      <c r="H2" s="2088"/>
      <c r="I2" s="2088"/>
      <c r="J2" s="2088"/>
      <c r="K2" s="2088"/>
      <c r="L2" s="2088"/>
      <c r="M2" s="2088"/>
      <c r="N2" s="2088"/>
      <c r="O2" s="2088"/>
      <c r="P2" s="2088"/>
      <c r="Q2" s="2088"/>
      <c r="R2" s="2088"/>
      <c r="S2" s="2088"/>
      <c r="T2" s="2089"/>
      <c r="U2" s="2090"/>
      <c r="V2" s="2088"/>
      <c r="W2" s="997"/>
      <c r="X2" s="997"/>
      <c r="Y2" s="997"/>
      <c r="Z2" s="997"/>
      <c r="AA2" s="997"/>
      <c r="AB2" s="997"/>
      <c r="AC2" s="997"/>
      <c r="AD2" s="997"/>
      <c r="AE2" s="997"/>
      <c r="AF2" s="997"/>
      <c r="AG2" s="997"/>
      <c r="AH2" s="997"/>
      <c r="AI2" s="997"/>
      <c r="AJ2" s="997"/>
      <c r="AK2" s="997"/>
      <c r="AL2" s="997"/>
      <c r="AM2" s="997"/>
      <c r="AN2" s="997"/>
      <c r="AO2" s="997"/>
      <c r="AP2" s="997"/>
      <c r="AQ2" s="997"/>
      <c r="AR2" s="997"/>
      <c r="AS2" s="997"/>
      <c r="AT2" s="997"/>
      <c r="AU2" s="997"/>
      <c r="AV2" s="997"/>
      <c r="AW2" s="997"/>
      <c r="AX2" s="997"/>
      <c r="AY2" s="997"/>
      <c r="AZ2" s="997"/>
      <c r="BA2" s="997"/>
      <c r="BB2" s="997"/>
      <c r="BC2" s="997"/>
      <c r="BD2" s="997"/>
      <c r="BE2" s="997"/>
      <c r="BF2" s="997"/>
      <c r="BG2" s="997"/>
      <c r="BH2" s="997"/>
      <c r="BI2" s="997"/>
      <c r="BJ2" s="997"/>
      <c r="BK2" s="997"/>
      <c r="BL2" s="997"/>
      <c r="BM2" s="997"/>
      <c r="BN2" s="997"/>
      <c r="BO2" s="997"/>
      <c r="BP2" s="997"/>
      <c r="BQ2" s="997"/>
      <c r="BR2" s="997"/>
      <c r="BS2" s="997"/>
      <c r="BT2" s="997"/>
      <c r="BU2" s="997"/>
      <c r="BV2" s="997"/>
      <c r="BW2" s="997"/>
      <c r="BX2" s="997"/>
      <c r="BY2" s="997"/>
      <c r="BZ2" s="997"/>
      <c r="CA2" s="997"/>
      <c r="CB2" s="997"/>
      <c r="CC2" s="997"/>
      <c r="CD2" s="997"/>
      <c r="CE2" s="997"/>
      <c r="CF2" s="997"/>
      <c r="CG2" s="997"/>
      <c r="CH2" s="997"/>
      <c r="CI2" s="997"/>
      <c r="CJ2" s="997"/>
      <c r="CK2" s="997"/>
      <c r="CL2" s="997"/>
      <c r="CM2" s="997"/>
      <c r="CN2" s="997"/>
      <c r="CO2" s="997"/>
      <c r="CP2" s="997"/>
      <c r="CQ2" s="997"/>
      <c r="CR2" s="997"/>
      <c r="CS2" s="997"/>
      <c r="CT2" s="997"/>
      <c r="CU2" s="997"/>
      <c r="CV2" s="997"/>
      <c r="CW2" s="997"/>
      <c r="CX2" s="997"/>
      <c r="CY2" s="997"/>
      <c r="CZ2" s="997"/>
      <c r="DA2" s="997"/>
      <c r="DB2" s="997"/>
      <c r="DC2" s="997"/>
      <c r="DD2" s="997"/>
      <c r="DE2" s="997"/>
      <c r="DF2" s="997"/>
      <c r="DG2" s="997"/>
      <c r="DH2" s="997"/>
      <c r="DI2" s="997"/>
      <c r="DJ2" s="997"/>
      <c r="DK2" s="997"/>
      <c r="DL2" s="997"/>
      <c r="DM2" s="997"/>
      <c r="DN2" s="997"/>
      <c r="DO2" s="997"/>
      <c r="DP2" s="997"/>
      <c r="DQ2" s="997"/>
      <c r="DR2" s="997"/>
      <c r="DS2" s="997"/>
      <c r="DT2" s="997"/>
      <c r="DU2" s="997"/>
      <c r="DV2" s="997"/>
      <c r="DW2" s="997"/>
      <c r="DX2" s="997"/>
      <c r="DY2" s="997"/>
      <c r="DZ2" s="997"/>
      <c r="EA2" s="997"/>
      <c r="EB2" s="997"/>
      <c r="EC2" s="997"/>
      <c r="ED2" s="997"/>
      <c r="EE2" s="997"/>
      <c r="EF2" s="997"/>
      <c r="EG2" s="997"/>
      <c r="EH2" s="997"/>
      <c r="EI2" s="997"/>
      <c r="EJ2" s="997"/>
      <c r="EK2" s="997"/>
      <c r="EL2" s="997"/>
      <c r="EM2" s="997"/>
      <c r="EN2" s="997"/>
      <c r="EO2" s="997"/>
      <c r="EP2" s="997"/>
      <c r="EQ2" s="997"/>
      <c r="ER2" s="997"/>
      <c r="ES2" s="997"/>
      <c r="ET2" s="997"/>
    </row>
    <row r="3" spans="2:150" x14ac:dyDescent="0.25">
      <c r="B3" s="689"/>
      <c r="C3" s="689"/>
      <c r="D3" s="689"/>
      <c r="E3" s="689"/>
      <c r="H3" s="2088"/>
      <c r="I3" s="2088"/>
      <c r="J3" s="2088"/>
      <c r="K3" s="2088"/>
      <c r="L3" s="2088"/>
      <c r="M3" s="2088"/>
      <c r="N3" s="2088"/>
      <c r="O3" s="2088"/>
      <c r="P3" s="2088"/>
      <c r="Q3" s="2088"/>
      <c r="R3" s="2088"/>
      <c r="S3" s="2088"/>
      <c r="T3" s="2088"/>
      <c r="U3" s="2090"/>
      <c r="V3" s="2088"/>
      <c r="W3" s="997"/>
      <c r="X3" s="997"/>
      <c r="Y3" s="997"/>
      <c r="Z3" s="997"/>
      <c r="AA3" s="997"/>
      <c r="AB3" s="997"/>
      <c r="AC3" s="997"/>
      <c r="AD3" s="997"/>
      <c r="AE3" s="997"/>
      <c r="AF3" s="997"/>
      <c r="AG3" s="997"/>
      <c r="AH3" s="997"/>
      <c r="AI3" s="997"/>
      <c r="AJ3" s="997"/>
      <c r="AK3" s="997"/>
      <c r="AL3" s="997"/>
      <c r="AM3" s="997"/>
      <c r="AN3" s="997"/>
      <c r="AO3" s="997"/>
      <c r="AP3" s="997"/>
      <c r="AQ3" s="997"/>
      <c r="AR3" s="997"/>
      <c r="AS3" s="997"/>
      <c r="AT3" s="997"/>
      <c r="AU3" s="997"/>
      <c r="AV3" s="997"/>
      <c r="AW3" s="997"/>
      <c r="AX3" s="997"/>
      <c r="AY3" s="997"/>
      <c r="AZ3" s="997"/>
      <c r="BA3" s="997"/>
      <c r="BB3" s="997"/>
      <c r="BC3" s="997"/>
      <c r="BD3" s="997"/>
      <c r="BE3" s="997"/>
      <c r="BF3" s="997"/>
      <c r="BG3" s="997"/>
      <c r="BH3" s="997"/>
      <c r="BI3" s="997"/>
      <c r="BJ3" s="997"/>
      <c r="BK3" s="997"/>
      <c r="BL3" s="997"/>
      <c r="BM3" s="997"/>
      <c r="BN3" s="997"/>
      <c r="BO3" s="997"/>
      <c r="BP3" s="997"/>
      <c r="BQ3" s="997"/>
      <c r="BR3" s="997"/>
      <c r="BS3" s="997"/>
      <c r="BT3" s="997"/>
      <c r="BU3" s="997"/>
      <c r="BV3" s="997"/>
      <c r="BW3" s="997"/>
      <c r="BX3" s="997"/>
      <c r="BY3" s="997"/>
      <c r="BZ3" s="997"/>
      <c r="CA3" s="997"/>
      <c r="CB3" s="997"/>
      <c r="CC3" s="997"/>
      <c r="CD3" s="997"/>
      <c r="CE3" s="997"/>
      <c r="CF3" s="997"/>
      <c r="CG3" s="997"/>
      <c r="CH3" s="997"/>
      <c r="CI3" s="997"/>
      <c r="CJ3" s="997"/>
      <c r="CK3" s="997"/>
      <c r="CL3" s="997"/>
      <c r="CM3" s="997"/>
      <c r="CN3" s="997"/>
      <c r="CO3" s="997"/>
      <c r="CP3" s="997"/>
      <c r="CQ3" s="997"/>
      <c r="CR3" s="997"/>
      <c r="CS3" s="997"/>
      <c r="CT3" s="997"/>
      <c r="CU3" s="997"/>
      <c r="CV3" s="997"/>
      <c r="CW3" s="997"/>
      <c r="CX3" s="997"/>
      <c r="CY3" s="997"/>
      <c r="CZ3" s="997"/>
      <c r="DA3" s="997"/>
      <c r="DB3" s="997"/>
      <c r="DC3" s="997"/>
      <c r="DD3" s="997"/>
      <c r="DE3" s="997"/>
      <c r="DF3" s="997"/>
      <c r="DG3" s="997"/>
      <c r="DH3" s="997"/>
      <c r="DI3" s="997"/>
      <c r="DJ3" s="997"/>
      <c r="DK3" s="997"/>
      <c r="DL3" s="997"/>
      <c r="DM3" s="997"/>
      <c r="DN3" s="997"/>
      <c r="DO3" s="997"/>
      <c r="DP3" s="997"/>
      <c r="DQ3" s="997"/>
      <c r="DR3" s="997"/>
      <c r="DS3" s="997"/>
      <c r="DT3" s="997"/>
      <c r="DU3" s="997"/>
      <c r="DV3" s="997"/>
      <c r="DW3" s="997"/>
      <c r="DX3" s="997"/>
      <c r="DY3" s="997"/>
      <c r="DZ3" s="997"/>
      <c r="EA3" s="997"/>
      <c r="EB3" s="997"/>
      <c r="EC3" s="997"/>
      <c r="ED3" s="997"/>
      <c r="EE3" s="997"/>
      <c r="EF3" s="997"/>
      <c r="EG3" s="997"/>
      <c r="EH3" s="997"/>
      <c r="EI3" s="997"/>
      <c r="EJ3" s="997"/>
      <c r="EK3" s="997"/>
      <c r="EL3" s="997"/>
      <c r="EM3" s="997"/>
      <c r="EN3" s="997"/>
      <c r="EO3" s="997"/>
      <c r="EP3" s="997"/>
      <c r="EQ3" s="997"/>
      <c r="ER3" s="997"/>
      <c r="ES3" s="997"/>
      <c r="ET3" s="997"/>
    </row>
    <row r="4" spans="2:150" x14ac:dyDescent="0.25">
      <c r="B4" s="4731" t="s">
        <v>3112</v>
      </c>
      <c r="C4" s="2091">
        <v>0</v>
      </c>
      <c r="D4" s="2091">
        <v>0</v>
      </c>
      <c r="E4" s="2091">
        <v>1</v>
      </c>
      <c r="F4" s="2091">
        <f>E4+1</f>
        <v>2</v>
      </c>
      <c r="G4" s="2091">
        <f>F4+1</f>
        <v>3</v>
      </c>
      <c r="H4" s="2091">
        <f t="shared" ref="H4:S4" si="0">G4+1</f>
        <v>4</v>
      </c>
      <c r="I4" s="2091">
        <f t="shared" si="0"/>
        <v>5</v>
      </c>
      <c r="J4" s="2091">
        <f t="shared" si="0"/>
        <v>6</v>
      </c>
      <c r="K4" s="2091">
        <f t="shared" si="0"/>
        <v>7</v>
      </c>
      <c r="L4" s="2091">
        <f t="shared" si="0"/>
        <v>8</v>
      </c>
      <c r="M4" s="2091">
        <f t="shared" si="0"/>
        <v>9</v>
      </c>
      <c r="N4" s="2091">
        <f t="shared" si="0"/>
        <v>10</v>
      </c>
      <c r="O4" s="2091">
        <f t="shared" si="0"/>
        <v>11</v>
      </c>
      <c r="P4" s="2091">
        <f t="shared" si="0"/>
        <v>12</v>
      </c>
      <c r="Q4" s="2091">
        <f t="shared" si="0"/>
        <v>13</v>
      </c>
      <c r="R4" s="2091">
        <f t="shared" si="0"/>
        <v>14</v>
      </c>
      <c r="S4" s="2092">
        <f t="shared" si="0"/>
        <v>15</v>
      </c>
    </row>
    <row r="5" spans="2:150" ht="15.75" customHeight="1" x14ac:dyDescent="0.25">
      <c r="B5" s="4732"/>
      <c r="C5" s="2093">
        <v>2018</v>
      </c>
      <c r="D5" s="2093">
        <f>C5+1</f>
        <v>2019</v>
      </c>
      <c r="E5" s="2093">
        <f t="shared" ref="E5:S5" si="1">D5+1</f>
        <v>2020</v>
      </c>
      <c r="F5" s="2093">
        <f t="shared" si="1"/>
        <v>2021</v>
      </c>
      <c r="G5" s="2093">
        <f t="shared" si="1"/>
        <v>2022</v>
      </c>
      <c r="H5" s="2093">
        <f t="shared" si="1"/>
        <v>2023</v>
      </c>
      <c r="I5" s="2093">
        <f t="shared" si="1"/>
        <v>2024</v>
      </c>
      <c r="J5" s="2093">
        <f t="shared" si="1"/>
        <v>2025</v>
      </c>
      <c r="K5" s="2093">
        <f t="shared" si="1"/>
        <v>2026</v>
      </c>
      <c r="L5" s="2093">
        <f t="shared" si="1"/>
        <v>2027</v>
      </c>
      <c r="M5" s="2093">
        <f t="shared" si="1"/>
        <v>2028</v>
      </c>
      <c r="N5" s="2093">
        <f t="shared" si="1"/>
        <v>2029</v>
      </c>
      <c r="O5" s="2093">
        <f t="shared" si="1"/>
        <v>2030</v>
      </c>
      <c r="P5" s="2093">
        <f t="shared" si="1"/>
        <v>2031</v>
      </c>
      <c r="Q5" s="2093">
        <f t="shared" si="1"/>
        <v>2032</v>
      </c>
      <c r="R5" s="2093">
        <f t="shared" si="1"/>
        <v>2033</v>
      </c>
      <c r="S5" s="2094">
        <f t="shared" si="1"/>
        <v>2034</v>
      </c>
    </row>
    <row r="6" spans="2:150" x14ac:dyDescent="0.25">
      <c r="B6" s="1818" t="s">
        <v>206</v>
      </c>
      <c r="C6" s="2027" t="e">
        <f>'Paso 1.2'!F187</f>
        <v>#DIV/0!</v>
      </c>
      <c r="D6" s="2027" t="e">
        <f>'Paso 1.2'!G187</f>
        <v>#DIV/0!</v>
      </c>
      <c r="E6" s="2027" t="e">
        <f>'Paso 1.2'!H187</f>
        <v>#DIV/0!</v>
      </c>
      <c r="F6" s="2027" t="e">
        <f>'Paso 1.2'!I187</f>
        <v>#DIV/0!</v>
      </c>
      <c r="G6" s="2027" t="e">
        <f>'Paso 1.2'!J187</f>
        <v>#DIV/0!</v>
      </c>
      <c r="H6" s="2027" t="e">
        <f>'Paso 1.2'!K187</f>
        <v>#DIV/0!</v>
      </c>
      <c r="I6" s="2027" t="e">
        <f>'Paso 1.2'!L187</f>
        <v>#DIV/0!</v>
      </c>
      <c r="J6" s="2027" t="e">
        <f>'Paso 1.2'!M187</f>
        <v>#DIV/0!</v>
      </c>
      <c r="K6" s="2027" t="e">
        <f>'Paso 1.2'!N187</f>
        <v>#DIV/0!</v>
      </c>
      <c r="L6" s="2027" t="e">
        <f>'Paso 1.2'!O187</f>
        <v>#DIV/0!</v>
      </c>
      <c r="M6" s="2027" t="e">
        <f>'Paso 1.2'!P187</f>
        <v>#DIV/0!</v>
      </c>
      <c r="N6" s="2027" t="e">
        <f>'Paso 1.2'!Q187</f>
        <v>#DIV/0!</v>
      </c>
      <c r="O6" s="2027" t="e">
        <f>'Paso 1.2'!R187</f>
        <v>#DIV/0!</v>
      </c>
      <c r="P6" s="2027" t="e">
        <f>'Paso 1.2'!S187</f>
        <v>#DIV/0!</v>
      </c>
      <c r="Q6" s="2027" t="e">
        <f>'Paso 1.2'!T187</f>
        <v>#DIV/0!</v>
      </c>
      <c r="R6" s="2027" t="e">
        <f>'Paso 1.2'!U187</f>
        <v>#DIV/0!</v>
      </c>
      <c r="S6" s="2027" t="e">
        <f>'Paso 1.2'!V187</f>
        <v>#DIV/0!</v>
      </c>
    </row>
    <row r="7" spans="2:150" x14ac:dyDescent="0.25">
      <c r="B7" s="1818" t="s">
        <v>201</v>
      </c>
      <c r="C7" s="589" t="e">
        <f>'Paso 1.2'!CM187</f>
        <v>#DIV/0!</v>
      </c>
      <c r="D7" s="589" t="e">
        <f>'Paso 1.2'!CN187</f>
        <v>#DIV/0!</v>
      </c>
      <c r="E7" s="589" t="e">
        <f>'Paso 1.2'!CO187</f>
        <v>#DIV/0!</v>
      </c>
      <c r="F7" s="589" t="e">
        <f>'Paso 1.2'!CP187</f>
        <v>#DIV/0!</v>
      </c>
      <c r="G7" s="589" t="e">
        <f>'Paso 1.2'!CQ187</f>
        <v>#DIV/0!</v>
      </c>
      <c r="H7" s="589" t="e">
        <f>'Paso 1.2'!CR187</f>
        <v>#DIV/0!</v>
      </c>
      <c r="I7" s="589" t="e">
        <f>'Paso 1.2'!CS187</f>
        <v>#DIV/0!</v>
      </c>
      <c r="J7" s="589" t="e">
        <f>'Paso 1.2'!CT187</f>
        <v>#DIV/0!</v>
      </c>
      <c r="K7" s="589" t="e">
        <f>'Paso 1.2'!CU187</f>
        <v>#DIV/0!</v>
      </c>
      <c r="L7" s="589" t="e">
        <f>'Paso 1.2'!CV187</f>
        <v>#DIV/0!</v>
      </c>
      <c r="M7" s="589" t="e">
        <f>'Paso 1.2'!CW187</f>
        <v>#DIV/0!</v>
      </c>
      <c r="N7" s="589" t="e">
        <f>'Paso 1.2'!CX187</f>
        <v>#DIV/0!</v>
      </c>
      <c r="O7" s="589" t="e">
        <f>'Paso 1.2'!CY187</f>
        <v>#DIV/0!</v>
      </c>
      <c r="P7" s="589" t="e">
        <f>'Paso 1.2'!CZ187</f>
        <v>#DIV/0!</v>
      </c>
      <c r="Q7" s="589" t="e">
        <f>'Paso 1.2'!DA187</f>
        <v>#DIV/0!</v>
      </c>
      <c r="R7" s="589" t="e">
        <f>'Paso 1.2'!DB187</f>
        <v>#DIV/0!</v>
      </c>
      <c r="S7" s="589" t="e">
        <f>'Paso 1.2'!DC187</f>
        <v>#DIV/0!</v>
      </c>
    </row>
    <row r="8" spans="2:150" x14ac:dyDescent="0.25">
      <c r="B8" s="1818" t="s">
        <v>202</v>
      </c>
      <c r="C8" s="590"/>
      <c r="D8" s="590"/>
      <c r="E8" s="590"/>
      <c r="F8" s="590"/>
      <c r="G8" s="590"/>
      <c r="H8" s="590"/>
      <c r="I8" s="590"/>
      <c r="J8" s="590"/>
      <c r="K8" s="590"/>
      <c r="L8" s="590"/>
      <c r="M8" s="590"/>
      <c r="N8" s="590"/>
      <c r="O8" s="590"/>
      <c r="P8" s="590"/>
      <c r="Q8" s="590"/>
      <c r="R8" s="590"/>
      <c r="S8" s="590"/>
    </row>
    <row r="9" spans="2:150" x14ac:dyDescent="0.25">
      <c r="B9" s="1818" t="s">
        <v>203</v>
      </c>
      <c r="C9" s="590"/>
      <c r="D9" s="590"/>
      <c r="E9" s="590"/>
      <c r="F9" s="590"/>
      <c r="G9" s="590"/>
      <c r="H9" s="590"/>
      <c r="I9" s="590"/>
      <c r="J9" s="590"/>
      <c r="K9" s="590"/>
      <c r="L9" s="590"/>
      <c r="M9" s="590"/>
      <c r="N9" s="590"/>
      <c r="O9" s="590"/>
      <c r="P9" s="590"/>
      <c r="Q9" s="590"/>
      <c r="R9" s="590"/>
      <c r="S9" s="590"/>
    </row>
    <row r="10" spans="2:150" x14ac:dyDescent="0.25">
      <c r="B10" s="1818" t="s">
        <v>204</v>
      </c>
      <c r="C10" s="590"/>
      <c r="D10" s="590"/>
      <c r="E10" s="590"/>
      <c r="F10" s="590"/>
      <c r="G10" s="590"/>
      <c r="H10" s="590"/>
      <c r="I10" s="590"/>
      <c r="J10" s="590"/>
      <c r="K10" s="590"/>
      <c r="L10" s="590"/>
      <c r="M10" s="590"/>
      <c r="N10" s="590"/>
      <c r="O10" s="590"/>
      <c r="P10" s="590"/>
      <c r="Q10" s="590"/>
      <c r="R10" s="590"/>
      <c r="S10" s="590"/>
    </row>
    <row r="11" spans="2:150" x14ac:dyDescent="0.25">
      <c r="B11" s="1818" t="s">
        <v>205</v>
      </c>
      <c r="C11" s="589" t="e">
        <f>'Paso 1.2'!AN187</f>
        <v>#DIV/0!</v>
      </c>
      <c r="D11" s="589" t="e">
        <f>'Paso 1.2'!AO187</f>
        <v>#DIV/0!</v>
      </c>
      <c r="E11" s="589" t="e">
        <f>'Paso 1.2'!AP187</f>
        <v>#DIV/0!</v>
      </c>
      <c r="F11" s="589" t="e">
        <f>'Paso 1.2'!AQ187</f>
        <v>#DIV/0!</v>
      </c>
      <c r="G11" s="589" t="e">
        <f>'Paso 1.2'!AR187</f>
        <v>#DIV/0!</v>
      </c>
      <c r="H11" s="589" t="e">
        <f>'Paso 1.2'!AS187</f>
        <v>#DIV/0!</v>
      </c>
      <c r="I11" s="589" t="e">
        <f>'Paso 1.2'!AT187</f>
        <v>#DIV/0!</v>
      </c>
      <c r="J11" s="589" t="e">
        <f>'Paso 1.2'!AU187</f>
        <v>#DIV/0!</v>
      </c>
      <c r="K11" s="589" t="e">
        <f>'Paso 1.2'!AV187</f>
        <v>#DIV/0!</v>
      </c>
      <c r="L11" s="589" t="e">
        <f>'Paso 1.2'!AW187</f>
        <v>#DIV/0!</v>
      </c>
      <c r="M11" s="589" t="e">
        <f>'Paso 1.2'!AX187</f>
        <v>#DIV/0!</v>
      </c>
      <c r="N11" s="589" t="e">
        <f>'Paso 1.2'!AY187</f>
        <v>#DIV/0!</v>
      </c>
      <c r="O11" s="589" t="e">
        <f>'Paso 1.2'!AZ187</f>
        <v>#DIV/0!</v>
      </c>
      <c r="P11" s="589" t="e">
        <f>'Paso 1.2'!BA187</f>
        <v>#DIV/0!</v>
      </c>
      <c r="Q11" s="589" t="e">
        <f>'Paso 1.2'!BB187</f>
        <v>#DIV/0!</v>
      </c>
      <c r="R11" s="589" t="e">
        <f>'Paso 1.2'!BC187</f>
        <v>#DIV/0!</v>
      </c>
      <c r="S11" s="589" t="e">
        <f>'Paso 1.2'!BD187</f>
        <v>#DIV/0!</v>
      </c>
    </row>
    <row r="12" spans="2:150" x14ac:dyDescent="0.25">
      <c r="B12" s="1818" t="s">
        <v>2892</v>
      </c>
      <c r="C12" s="590"/>
      <c r="D12" s="590"/>
      <c r="E12" s="590"/>
      <c r="F12" s="590"/>
      <c r="G12" s="590"/>
      <c r="H12" s="590"/>
      <c r="I12" s="590"/>
      <c r="J12" s="590"/>
      <c r="K12" s="590"/>
      <c r="L12" s="590"/>
      <c r="M12" s="590"/>
      <c r="N12" s="590"/>
      <c r="O12" s="590"/>
      <c r="P12" s="590"/>
      <c r="Q12" s="590"/>
      <c r="R12" s="590"/>
      <c r="S12" s="590"/>
    </row>
    <row r="13" spans="2:150" x14ac:dyDescent="0.25">
      <c r="B13" s="1818" t="s">
        <v>84</v>
      </c>
      <c r="C13" s="590"/>
      <c r="D13" s="590"/>
      <c r="E13" s="590"/>
      <c r="F13" s="590"/>
      <c r="G13" s="590"/>
      <c r="H13" s="590"/>
      <c r="I13" s="590"/>
      <c r="J13" s="590"/>
      <c r="K13" s="590"/>
      <c r="L13" s="590"/>
      <c r="M13" s="590"/>
      <c r="N13" s="590"/>
      <c r="O13" s="590"/>
      <c r="P13" s="590"/>
      <c r="Q13" s="590"/>
      <c r="R13" s="590"/>
      <c r="S13" s="590"/>
    </row>
    <row r="14" spans="2:150" x14ac:dyDescent="0.25">
      <c r="B14" s="1818" t="s">
        <v>208</v>
      </c>
      <c r="C14" s="590"/>
      <c r="D14" s="590"/>
      <c r="E14" s="590"/>
      <c r="F14" s="590"/>
      <c r="G14" s="590"/>
      <c r="H14" s="590"/>
      <c r="I14" s="590"/>
      <c r="J14" s="590"/>
      <c r="K14" s="590"/>
      <c r="L14" s="590"/>
      <c r="M14" s="590"/>
      <c r="N14" s="590"/>
      <c r="O14" s="590"/>
      <c r="P14" s="590"/>
      <c r="Q14" s="590"/>
      <c r="R14" s="590"/>
      <c r="S14" s="590"/>
    </row>
    <row r="15" spans="2:150" x14ac:dyDescent="0.25">
      <c r="B15" s="1818" t="s">
        <v>209</v>
      </c>
      <c r="C15" s="590"/>
      <c r="D15" s="590"/>
      <c r="E15" s="590"/>
      <c r="F15" s="590"/>
      <c r="G15" s="590"/>
      <c r="H15" s="590"/>
      <c r="I15" s="590"/>
      <c r="J15" s="590"/>
      <c r="K15" s="590"/>
      <c r="L15" s="590"/>
      <c r="M15" s="590"/>
      <c r="N15" s="590"/>
      <c r="O15" s="590"/>
      <c r="P15" s="590"/>
      <c r="Q15" s="590"/>
      <c r="R15" s="590"/>
      <c r="S15" s="590"/>
    </row>
    <row r="16" spans="2:150" x14ac:dyDescent="0.25">
      <c r="B16" s="1818" t="s">
        <v>210</v>
      </c>
      <c r="C16" s="589" t="e">
        <f>'Paso 1.2'!BV187</f>
        <v>#DIV/0!</v>
      </c>
      <c r="D16" s="589" t="e">
        <f>'Paso 1.2'!BW187</f>
        <v>#DIV/0!</v>
      </c>
      <c r="E16" s="589" t="e">
        <f>'Paso 1.2'!BX187</f>
        <v>#DIV/0!</v>
      </c>
      <c r="F16" s="589" t="e">
        <f>'Paso 1.2'!BY187</f>
        <v>#DIV/0!</v>
      </c>
      <c r="G16" s="589" t="e">
        <f>'Paso 1.2'!BZ187</f>
        <v>#DIV/0!</v>
      </c>
      <c r="H16" s="589" t="e">
        <f>'Paso 1.2'!CA187</f>
        <v>#DIV/0!</v>
      </c>
      <c r="I16" s="589" t="e">
        <f>'Paso 1.2'!CB187</f>
        <v>#DIV/0!</v>
      </c>
      <c r="J16" s="589" t="e">
        <f>'Paso 1.2'!CC187</f>
        <v>#DIV/0!</v>
      </c>
      <c r="K16" s="589" t="e">
        <f>'Paso 1.2'!CD187</f>
        <v>#DIV/0!</v>
      </c>
      <c r="L16" s="589" t="e">
        <f>'Paso 1.2'!CE187</f>
        <v>#DIV/0!</v>
      </c>
      <c r="M16" s="589" t="e">
        <f>'Paso 1.2'!CF187</f>
        <v>#DIV/0!</v>
      </c>
      <c r="N16" s="589" t="e">
        <f>'Paso 1.2'!CG187</f>
        <v>#DIV/0!</v>
      </c>
      <c r="O16" s="589" t="e">
        <f>'Paso 1.2'!CH187</f>
        <v>#DIV/0!</v>
      </c>
      <c r="P16" s="589" t="e">
        <f>'Paso 1.2'!CI187</f>
        <v>#DIV/0!</v>
      </c>
      <c r="Q16" s="589" t="e">
        <f>'Paso 1.2'!CJ187</f>
        <v>#DIV/0!</v>
      </c>
      <c r="R16" s="589" t="e">
        <f>'Paso 1.2'!CK187</f>
        <v>#DIV/0!</v>
      </c>
      <c r="S16" s="589" t="e">
        <f>'Paso 1.2'!CL187</f>
        <v>#DIV/0!</v>
      </c>
    </row>
    <row r="17" spans="2:19" x14ac:dyDescent="0.25">
      <c r="B17" s="1818" t="s">
        <v>211</v>
      </c>
      <c r="C17" s="590"/>
      <c r="D17" s="590"/>
      <c r="E17" s="590"/>
      <c r="F17" s="590"/>
      <c r="G17" s="590"/>
      <c r="H17" s="590"/>
      <c r="I17" s="590"/>
      <c r="J17" s="590"/>
      <c r="K17" s="590"/>
      <c r="L17" s="590"/>
      <c r="M17" s="590"/>
      <c r="N17" s="590"/>
      <c r="O17" s="590"/>
      <c r="P17" s="590"/>
      <c r="Q17" s="590"/>
      <c r="R17" s="590"/>
      <c r="S17" s="590"/>
    </row>
    <row r="18" spans="2:19" x14ac:dyDescent="0.25">
      <c r="B18" s="1818" t="s">
        <v>3113</v>
      </c>
      <c r="C18" s="590"/>
      <c r="D18" s="590"/>
      <c r="E18" s="590"/>
      <c r="F18" s="590"/>
      <c r="G18" s="590"/>
      <c r="H18" s="590"/>
      <c r="I18" s="590"/>
      <c r="J18" s="590"/>
      <c r="K18" s="590"/>
      <c r="L18" s="590"/>
      <c r="M18" s="590"/>
      <c r="N18" s="590"/>
      <c r="O18" s="590"/>
      <c r="P18" s="590"/>
      <c r="Q18" s="590"/>
      <c r="R18" s="590"/>
      <c r="S18" s="590"/>
    </row>
    <row r="19" spans="2:19" x14ac:dyDescent="0.25">
      <c r="B19" s="1818" t="s">
        <v>214</v>
      </c>
      <c r="C19" s="590"/>
      <c r="D19" s="590"/>
      <c r="E19" s="590"/>
      <c r="F19" s="590"/>
      <c r="G19" s="590"/>
      <c r="H19" s="590"/>
      <c r="I19" s="590"/>
      <c r="J19" s="590"/>
      <c r="K19" s="590"/>
      <c r="L19" s="590"/>
      <c r="M19" s="590"/>
      <c r="N19" s="590"/>
      <c r="O19" s="590"/>
      <c r="P19" s="590"/>
      <c r="Q19" s="590"/>
      <c r="R19" s="590"/>
      <c r="S19" s="590"/>
    </row>
    <row r="20" spans="2:19" x14ac:dyDescent="0.25">
      <c r="B20" s="1818" t="s">
        <v>3114</v>
      </c>
      <c r="C20" s="590"/>
      <c r="D20" s="590"/>
      <c r="E20" s="590"/>
      <c r="F20" s="590"/>
      <c r="G20" s="590"/>
      <c r="H20" s="590"/>
      <c r="I20" s="590"/>
      <c r="J20" s="590"/>
      <c r="K20" s="590"/>
      <c r="L20" s="590"/>
      <c r="M20" s="590"/>
      <c r="N20" s="590"/>
      <c r="O20" s="590"/>
      <c r="P20" s="590"/>
      <c r="Q20" s="590"/>
      <c r="R20" s="590"/>
      <c r="S20" s="590"/>
    </row>
    <row r="21" spans="2:19" x14ac:dyDescent="0.25">
      <c r="B21" s="1818" t="s">
        <v>216</v>
      </c>
      <c r="C21" s="2027" t="e">
        <f>'Paso 1.2'!MH187</f>
        <v>#REF!</v>
      </c>
      <c r="D21" s="2027" t="e">
        <f>'Paso 1.2'!MI187</f>
        <v>#REF!</v>
      </c>
      <c r="E21" s="2027" t="e">
        <f>'Paso 1.2'!MJ187</f>
        <v>#REF!</v>
      </c>
      <c r="F21" s="2027" t="e">
        <f>'Paso 1.2'!MK187</f>
        <v>#REF!</v>
      </c>
      <c r="G21" s="2027" t="e">
        <f>'Paso 1.2'!ML187</f>
        <v>#REF!</v>
      </c>
      <c r="H21" s="2027" t="e">
        <f>'Paso 1.2'!MM187</f>
        <v>#REF!</v>
      </c>
      <c r="I21" s="2027" t="e">
        <f>'Paso 1.2'!MN187</f>
        <v>#REF!</v>
      </c>
      <c r="J21" s="2027" t="e">
        <f>'Paso 1.2'!MO187</f>
        <v>#REF!</v>
      </c>
      <c r="K21" s="2027" t="e">
        <f>'Paso 1.2'!MP187</f>
        <v>#REF!</v>
      </c>
      <c r="L21" s="2027" t="e">
        <f>'Paso 1.2'!MQ187</f>
        <v>#REF!</v>
      </c>
      <c r="M21" s="2027" t="e">
        <f>'Paso 1.2'!MR187</f>
        <v>#REF!</v>
      </c>
      <c r="N21" s="2027" t="e">
        <f>'Paso 1.2'!MS187</f>
        <v>#REF!</v>
      </c>
      <c r="O21" s="2027" t="e">
        <f>'Paso 1.2'!MT187</f>
        <v>#REF!</v>
      </c>
      <c r="P21" s="2027" t="e">
        <f>'Paso 1.2'!MU187</f>
        <v>#REF!</v>
      </c>
      <c r="Q21" s="2027" t="e">
        <f>'Paso 1.2'!MV187</f>
        <v>#REF!</v>
      </c>
      <c r="R21" s="2027" t="e">
        <f>'Paso 1.2'!MW187</f>
        <v>#REF!</v>
      </c>
      <c r="S21" s="2027" t="e">
        <f>'Paso 1.2'!MX187</f>
        <v>#REF!</v>
      </c>
    </row>
    <row r="22" spans="2:19" x14ac:dyDescent="0.25">
      <c r="B22" s="1818" t="s">
        <v>217</v>
      </c>
      <c r="C22" s="2027" t="e">
        <f>'Paso 1.2'!JR187</f>
        <v>#DIV/0!</v>
      </c>
      <c r="D22" s="2027" t="e">
        <f>'Paso 1.2'!JS187</f>
        <v>#DIV/0!</v>
      </c>
      <c r="E22" s="2027" t="e">
        <f>'Paso 1.2'!JT187</f>
        <v>#DIV/0!</v>
      </c>
      <c r="F22" s="2027" t="e">
        <f>'Paso 1.2'!JU187</f>
        <v>#DIV/0!</v>
      </c>
      <c r="G22" s="2027" t="e">
        <f>'Paso 1.2'!JV187</f>
        <v>#DIV/0!</v>
      </c>
      <c r="H22" s="2027" t="e">
        <f>'Paso 1.2'!JW187</f>
        <v>#DIV/0!</v>
      </c>
      <c r="I22" s="2027" t="e">
        <f>'Paso 1.2'!JX187</f>
        <v>#DIV/0!</v>
      </c>
      <c r="J22" s="2027" t="e">
        <f>'Paso 1.2'!JY187</f>
        <v>#DIV/0!</v>
      </c>
      <c r="K22" s="2027" t="e">
        <f>'Paso 1.2'!JZ187</f>
        <v>#DIV/0!</v>
      </c>
      <c r="L22" s="2027" t="e">
        <f>'Paso 1.2'!KA187</f>
        <v>#DIV/0!</v>
      </c>
      <c r="M22" s="2027" t="e">
        <f>'Paso 1.2'!KB187</f>
        <v>#DIV/0!</v>
      </c>
      <c r="N22" s="2027" t="e">
        <f>'Paso 1.2'!KC187</f>
        <v>#DIV/0!</v>
      </c>
      <c r="O22" s="2027" t="e">
        <f>'Paso 1.2'!KD187</f>
        <v>#DIV/0!</v>
      </c>
      <c r="P22" s="2027" t="e">
        <f>'Paso 1.2'!KE187</f>
        <v>#DIV/0!</v>
      </c>
      <c r="Q22" s="2027" t="e">
        <f>'Paso 1.2'!KF187</f>
        <v>#DIV/0!</v>
      </c>
      <c r="R22" s="2027" t="e">
        <f>'Paso 1.2'!KG187</f>
        <v>#DIV/0!</v>
      </c>
      <c r="S22" s="2027" t="e">
        <f>'Paso 1.2'!KH187</f>
        <v>#DIV/0!</v>
      </c>
    </row>
    <row r="23" spans="2:19" x14ac:dyDescent="0.25">
      <c r="B23" s="1818" t="s">
        <v>218</v>
      </c>
      <c r="C23" s="589" t="e">
        <f>'Paso 1.2'!RN187</f>
        <v>#REF!</v>
      </c>
      <c r="D23" s="589" t="e">
        <f>'Paso 1.2'!RO187</f>
        <v>#REF!</v>
      </c>
      <c r="E23" s="589" t="e">
        <f>'Paso 1.2'!RP187</f>
        <v>#REF!</v>
      </c>
      <c r="F23" s="589" t="e">
        <f>'Paso 1.2'!RQ187</f>
        <v>#REF!</v>
      </c>
      <c r="G23" s="589" t="e">
        <f>'Paso 1.2'!RR187</f>
        <v>#REF!</v>
      </c>
      <c r="H23" s="589" t="e">
        <f>'Paso 1.2'!RS187</f>
        <v>#REF!</v>
      </c>
      <c r="I23" s="589" t="e">
        <f>'Paso 1.2'!RT187</f>
        <v>#REF!</v>
      </c>
      <c r="J23" s="589" t="e">
        <f>'Paso 1.2'!RU187</f>
        <v>#REF!</v>
      </c>
      <c r="K23" s="589" t="e">
        <f>'Paso 1.2'!RV187</f>
        <v>#REF!</v>
      </c>
      <c r="L23" s="589" t="e">
        <f>'Paso 1.2'!RW187</f>
        <v>#REF!</v>
      </c>
      <c r="M23" s="589" t="e">
        <f>'Paso 1.2'!RX187</f>
        <v>#REF!</v>
      </c>
      <c r="N23" s="589" t="e">
        <f>'Paso 1.2'!RY187</f>
        <v>#REF!</v>
      </c>
      <c r="O23" s="589" t="e">
        <f>'Paso 1.2'!RZ187</f>
        <v>#REF!</v>
      </c>
      <c r="P23" s="589" t="e">
        <f>'Paso 1.2'!SA187</f>
        <v>#REF!</v>
      </c>
      <c r="Q23" s="589" t="e">
        <f>'Paso 1.2'!SB187</f>
        <v>#REF!</v>
      </c>
      <c r="R23" s="589" t="e">
        <f>'Paso 1.2'!SC187</f>
        <v>#REF!</v>
      </c>
      <c r="S23" s="589" t="e">
        <f>'Paso 1.2'!SD187</f>
        <v>#REF!</v>
      </c>
    </row>
    <row r="24" spans="2:19" x14ac:dyDescent="0.25">
      <c r="B24" s="1818" t="s">
        <v>353</v>
      </c>
      <c r="C24" s="2027" t="e">
        <f>'Paso 1.2'!KI187</f>
        <v>#REF!</v>
      </c>
      <c r="D24" s="2027" t="e">
        <f>'Paso 1.2'!KJ187</f>
        <v>#REF!</v>
      </c>
      <c r="E24" s="2027" t="e">
        <f>'Paso 1.2'!KK187</f>
        <v>#REF!</v>
      </c>
      <c r="F24" s="2027" t="e">
        <f>'Paso 1.2'!KL187</f>
        <v>#REF!</v>
      </c>
      <c r="G24" s="2027" t="e">
        <f>'Paso 1.2'!KM187</f>
        <v>#REF!</v>
      </c>
      <c r="H24" s="2027" t="e">
        <f>'Paso 1.2'!KN187</f>
        <v>#REF!</v>
      </c>
      <c r="I24" s="2027" t="e">
        <f>'Paso 1.2'!KO187</f>
        <v>#REF!</v>
      </c>
      <c r="J24" s="2027" t="e">
        <f>'Paso 1.2'!KP187</f>
        <v>#REF!</v>
      </c>
      <c r="K24" s="2027" t="e">
        <f>'Paso 1.2'!KQ187</f>
        <v>#REF!</v>
      </c>
      <c r="L24" s="2027" t="e">
        <f>'Paso 1.2'!KR187</f>
        <v>#REF!</v>
      </c>
      <c r="M24" s="2027" t="e">
        <f>'Paso 1.2'!KS187</f>
        <v>#REF!</v>
      </c>
      <c r="N24" s="2027" t="e">
        <f>'Paso 1.2'!KT187</f>
        <v>#REF!</v>
      </c>
      <c r="O24" s="2027" t="e">
        <f>'Paso 1.2'!KU187</f>
        <v>#REF!</v>
      </c>
      <c r="P24" s="2027" t="e">
        <f>'Paso 1.2'!KV187</f>
        <v>#REF!</v>
      </c>
      <c r="Q24" s="2027" t="e">
        <f>'Paso 1.2'!KW187</f>
        <v>#REF!</v>
      </c>
      <c r="R24" s="2027" t="e">
        <f>'Paso 1.2'!KX187</f>
        <v>#REF!</v>
      </c>
      <c r="S24" s="2027" t="e">
        <f>'Paso 1.2'!KY187</f>
        <v>#REF!</v>
      </c>
    </row>
    <row r="25" spans="2:19" x14ac:dyDescent="0.25">
      <c r="B25" s="1818" t="s">
        <v>220</v>
      </c>
      <c r="C25" s="589" t="e">
        <f>'Paso 1.2'!KZ187</f>
        <v>#REF!</v>
      </c>
      <c r="D25" s="589" t="e">
        <f>'Paso 1.2'!LA187</f>
        <v>#REF!</v>
      </c>
      <c r="E25" s="589" t="e">
        <f>'Paso 1.2'!LB187</f>
        <v>#REF!</v>
      </c>
      <c r="F25" s="589" t="e">
        <f>'Paso 1.2'!LC187</f>
        <v>#REF!</v>
      </c>
      <c r="G25" s="589" t="e">
        <f>'Paso 1.2'!LD187</f>
        <v>#REF!</v>
      </c>
      <c r="H25" s="589" t="e">
        <f>'Paso 1.2'!LE187</f>
        <v>#REF!</v>
      </c>
      <c r="I25" s="589" t="e">
        <f>'Paso 1.2'!LF187</f>
        <v>#REF!</v>
      </c>
      <c r="J25" s="589" t="e">
        <f>'Paso 1.2'!LG187</f>
        <v>#REF!</v>
      </c>
      <c r="K25" s="589" t="e">
        <f>'Paso 1.2'!LH187</f>
        <v>#REF!</v>
      </c>
      <c r="L25" s="589" t="e">
        <f>'Paso 1.2'!LI187</f>
        <v>#REF!</v>
      </c>
      <c r="M25" s="589" t="e">
        <f>'Paso 1.2'!LJ187</f>
        <v>#REF!</v>
      </c>
      <c r="N25" s="589" t="e">
        <f>'Paso 1.2'!LK187</f>
        <v>#REF!</v>
      </c>
      <c r="O25" s="589" t="e">
        <f>'Paso 1.2'!LL187</f>
        <v>#REF!</v>
      </c>
      <c r="P25" s="589" t="e">
        <f>'Paso 1.2'!LM187</f>
        <v>#REF!</v>
      </c>
      <c r="Q25" s="589" t="e">
        <f>'Paso 1.2'!LN187</f>
        <v>#REF!</v>
      </c>
      <c r="R25" s="589" t="e">
        <f>'Paso 1.2'!LO187</f>
        <v>#REF!</v>
      </c>
      <c r="S25" s="589" t="e">
        <f>'Paso 1.2'!LP187</f>
        <v>#REF!</v>
      </c>
    </row>
    <row r="26" spans="2:19" x14ac:dyDescent="0.25">
      <c r="B26" s="1818" t="s">
        <v>221</v>
      </c>
      <c r="C26" s="589" t="e">
        <f>'Paso 1.2'!LQ187</f>
        <v>#DIV/0!</v>
      </c>
      <c r="D26" s="589" t="e">
        <f>'Paso 1.2'!LR187</f>
        <v>#DIV/0!</v>
      </c>
      <c r="E26" s="589" t="e">
        <f>'Paso 1.2'!LS187</f>
        <v>#DIV/0!</v>
      </c>
      <c r="F26" s="589" t="e">
        <f>'Paso 1.2'!LT187</f>
        <v>#DIV/0!</v>
      </c>
      <c r="G26" s="589" t="e">
        <f>'Paso 1.2'!LU187</f>
        <v>#DIV/0!</v>
      </c>
      <c r="H26" s="589" t="e">
        <f>'Paso 1.2'!LV187</f>
        <v>#DIV/0!</v>
      </c>
      <c r="I26" s="589" t="e">
        <f>'Paso 1.2'!LW187</f>
        <v>#DIV/0!</v>
      </c>
      <c r="J26" s="589" t="e">
        <f>'Paso 1.2'!LX187</f>
        <v>#DIV/0!</v>
      </c>
      <c r="K26" s="589" t="e">
        <f>'Paso 1.2'!LY187</f>
        <v>#DIV/0!</v>
      </c>
      <c r="L26" s="589" t="e">
        <f>'Paso 1.2'!LZ187</f>
        <v>#DIV/0!</v>
      </c>
      <c r="M26" s="589" t="e">
        <f>'Paso 1.2'!MA187</f>
        <v>#DIV/0!</v>
      </c>
      <c r="N26" s="589" t="e">
        <f>'Paso 1.2'!MB187</f>
        <v>#DIV/0!</v>
      </c>
      <c r="O26" s="589" t="e">
        <f>'Paso 1.2'!MC187</f>
        <v>#DIV/0!</v>
      </c>
      <c r="P26" s="589" t="e">
        <f>'Paso 1.2'!MD187</f>
        <v>#DIV/0!</v>
      </c>
      <c r="Q26" s="589" t="e">
        <f>'Paso 1.2'!ME187</f>
        <v>#DIV/0!</v>
      </c>
      <c r="R26" s="589" t="e">
        <f>'Paso 1.2'!MF187</f>
        <v>#DIV/0!</v>
      </c>
      <c r="S26" s="589" t="e">
        <f>'Paso 1.2'!MG187</f>
        <v>#DIV/0!</v>
      </c>
    </row>
    <row r="27" spans="2:19" x14ac:dyDescent="0.25">
      <c r="B27" s="1818" t="s">
        <v>222</v>
      </c>
      <c r="C27" s="589" t="e">
        <f>'Paso 1.2'!SE187</f>
        <v>#DIV/0!</v>
      </c>
      <c r="D27" s="589" t="e">
        <f>'Paso 1.2'!SF187</f>
        <v>#DIV/0!</v>
      </c>
      <c r="E27" s="589" t="e">
        <f>'Paso 1.2'!SG187</f>
        <v>#DIV/0!</v>
      </c>
      <c r="F27" s="589" t="e">
        <f>'Paso 1.2'!SH187</f>
        <v>#DIV/0!</v>
      </c>
      <c r="G27" s="589" t="e">
        <f>'Paso 1.2'!SI187</f>
        <v>#DIV/0!</v>
      </c>
      <c r="H27" s="589" t="e">
        <f>'Paso 1.2'!SJ187</f>
        <v>#DIV/0!</v>
      </c>
      <c r="I27" s="589" t="e">
        <f>'Paso 1.2'!SK187</f>
        <v>#DIV/0!</v>
      </c>
      <c r="J27" s="589" t="e">
        <f>'Paso 1.2'!SL187</f>
        <v>#DIV/0!</v>
      </c>
      <c r="K27" s="589" t="e">
        <f>'Paso 1.2'!SM187</f>
        <v>#DIV/0!</v>
      </c>
      <c r="L27" s="589" t="e">
        <f>'Paso 1.2'!SN187</f>
        <v>#DIV/0!</v>
      </c>
      <c r="M27" s="589" t="e">
        <f>'Paso 1.2'!SO187</f>
        <v>#DIV/0!</v>
      </c>
      <c r="N27" s="589" t="e">
        <f>'Paso 1.2'!SP187</f>
        <v>#DIV/0!</v>
      </c>
      <c r="O27" s="589" t="e">
        <f>'Paso 1.2'!SQ187</f>
        <v>#DIV/0!</v>
      </c>
      <c r="P27" s="589" t="e">
        <f>'Paso 1.2'!SR187</f>
        <v>#DIV/0!</v>
      </c>
      <c r="Q27" s="589" t="e">
        <f>'Paso 1.2'!SS187</f>
        <v>#DIV/0!</v>
      </c>
      <c r="R27" s="589" t="e">
        <f>'Paso 1.2'!ST187</f>
        <v>#DIV/0!</v>
      </c>
      <c r="S27" s="589" t="e">
        <f>'Paso 1.2'!SU187</f>
        <v>#DIV/0!</v>
      </c>
    </row>
    <row r="28" spans="2:19" x14ac:dyDescent="0.25">
      <c r="B28" s="1818" t="s">
        <v>223</v>
      </c>
      <c r="C28" s="589" t="e">
        <f>'Paso 1.2'!OG187</f>
        <v>#DIV/0!</v>
      </c>
      <c r="D28" s="589" t="e">
        <f>'Paso 1.2'!OH187</f>
        <v>#DIV/0!</v>
      </c>
      <c r="E28" s="589" t="e">
        <f>'Paso 1.2'!OI187</f>
        <v>#DIV/0!</v>
      </c>
      <c r="F28" s="589" t="e">
        <f>'Paso 1.2'!OJ187</f>
        <v>#DIV/0!</v>
      </c>
      <c r="G28" s="589" t="e">
        <f>'Paso 1.2'!OK187</f>
        <v>#DIV/0!</v>
      </c>
      <c r="H28" s="589" t="e">
        <f>'Paso 1.2'!OL187</f>
        <v>#DIV/0!</v>
      </c>
      <c r="I28" s="589" t="e">
        <f>'Paso 1.2'!OM187</f>
        <v>#DIV/0!</v>
      </c>
      <c r="J28" s="589" t="e">
        <f>'Paso 1.2'!ON187</f>
        <v>#DIV/0!</v>
      </c>
      <c r="K28" s="589" t="e">
        <f>'Paso 1.2'!OO187</f>
        <v>#DIV/0!</v>
      </c>
      <c r="L28" s="589" t="e">
        <f>'Paso 1.2'!OP187</f>
        <v>#DIV/0!</v>
      </c>
      <c r="M28" s="589" t="e">
        <f>'Paso 1.2'!OQ187</f>
        <v>#DIV/0!</v>
      </c>
      <c r="N28" s="589" t="e">
        <f>'Paso 1.2'!OR187</f>
        <v>#DIV/0!</v>
      </c>
      <c r="O28" s="589" t="e">
        <f>'Paso 1.2'!OS187</f>
        <v>#DIV/0!</v>
      </c>
      <c r="P28" s="589" t="e">
        <f>'Paso 1.2'!OT187</f>
        <v>#DIV/0!</v>
      </c>
      <c r="Q28" s="589" t="e">
        <f>'Paso 1.2'!OU187</f>
        <v>#DIV/0!</v>
      </c>
      <c r="R28" s="589" t="e">
        <f>'Paso 1.2'!OV187</f>
        <v>#DIV/0!</v>
      </c>
      <c r="S28" s="589" t="e">
        <f>'Paso 1.2'!OW187</f>
        <v>#DIV/0!</v>
      </c>
    </row>
    <row r="29" spans="2:19" x14ac:dyDescent="0.25">
      <c r="B29" s="1818" t="s">
        <v>3115</v>
      </c>
      <c r="C29" s="590"/>
      <c r="D29" s="590"/>
      <c r="E29" s="590"/>
      <c r="F29" s="590"/>
      <c r="G29" s="590"/>
      <c r="H29" s="590"/>
      <c r="I29" s="590"/>
      <c r="J29" s="590"/>
      <c r="K29" s="590"/>
      <c r="L29" s="590"/>
      <c r="M29" s="590"/>
      <c r="N29" s="590"/>
      <c r="O29" s="590"/>
      <c r="P29" s="590"/>
      <c r="Q29" s="590"/>
      <c r="R29" s="590"/>
      <c r="S29" s="590"/>
    </row>
    <row r="30" spans="2:19" x14ac:dyDescent="0.25">
      <c r="B30" s="1818" t="s">
        <v>225</v>
      </c>
      <c r="C30" s="589" t="e">
        <f>'Paso 1.2'!NP187</f>
        <v>#DIV/0!</v>
      </c>
      <c r="D30" s="589" t="e">
        <f>'Paso 1.2'!NQ187</f>
        <v>#DIV/0!</v>
      </c>
      <c r="E30" s="589" t="e">
        <f>'Paso 1.2'!NR187</f>
        <v>#DIV/0!</v>
      </c>
      <c r="F30" s="589" t="e">
        <f>'Paso 1.2'!NS187</f>
        <v>#DIV/0!</v>
      </c>
      <c r="G30" s="589" t="e">
        <f>'Paso 1.2'!NT187</f>
        <v>#DIV/0!</v>
      </c>
      <c r="H30" s="589" t="e">
        <f>'Paso 1.2'!NU187</f>
        <v>#DIV/0!</v>
      </c>
      <c r="I30" s="589" t="e">
        <f>'Paso 1.2'!NV187</f>
        <v>#DIV/0!</v>
      </c>
      <c r="J30" s="589" t="e">
        <f>'Paso 1.2'!NW187</f>
        <v>#DIV/0!</v>
      </c>
      <c r="K30" s="589" t="e">
        <f>'Paso 1.2'!NX187</f>
        <v>#DIV/0!</v>
      </c>
      <c r="L30" s="589" t="e">
        <f>'Paso 1.2'!NY187</f>
        <v>#DIV/0!</v>
      </c>
      <c r="M30" s="589" t="e">
        <f>'Paso 1.2'!NZ187</f>
        <v>#DIV/0!</v>
      </c>
      <c r="N30" s="589" t="e">
        <f>'Paso 1.2'!OA187</f>
        <v>#DIV/0!</v>
      </c>
      <c r="O30" s="589" t="e">
        <f>'Paso 1.2'!OB187</f>
        <v>#DIV/0!</v>
      </c>
      <c r="P30" s="589" t="e">
        <f>'Paso 1.2'!OC187</f>
        <v>#DIV/0!</v>
      </c>
      <c r="Q30" s="589" t="e">
        <f>'Paso 1.2'!OD187</f>
        <v>#DIV/0!</v>
      </c>
      <c r="R30" s="589" t="e">
        <f>'Paso 1.2'!OE187</f>
        <v>#DIV/0!</v>
      </c>
      <c r="S30" s="589" t="e">
        <f>'Paso 1.2'!OF187</f>
        <v>#DIV/0!</v>
      </c>
    </row>
    <row r="31" spans="2:19" x14ac:dyDescent="0.25">
      <c r="B31" s="1818" t="s">
        <v>226</v>
      </c>
      <c r="C31" s="2027" t="e">
        <f>'Paso 1.2'!MY187</f>
        <v>#DIV/0!</v>
      </c>
      <c r="D31" s="2027" t="e">
        <f>'Paso 1.2'!MZ187</f>
        <v>#DIV/0!</v>
      </c>
      <c r="E31" s="2027" t="e">
        <f>'Paso 1.2'!NA187</f>
        <v>#DIV/0!</v>
      </c>
      <c r="F31" s="2027" t="e">
        <f>'Paso 1.2'!NB187</f>
        <v>#DIV/0!</v>
      </c>
      <c r="G31" s="2027" t="e">
        <f>'Paso 1.2'!NC187</f>
        <v>#DIV/0!</v>
      </c>
      <c r="H31" s="2027" t="e">
        <f>'Paso 1.2'!ND187</f>
        <v>#DIV/0!</v>
      </c>
      <c r="I31" s="2027" t="e">
        <f>'Paso 1.2'!NE187</f>
        <v>#DIV/0!</v>
      </c>
      <c r="J31" s="2027" t="e">
        <f>'Paso 1.2'!NF187</f>
        <v>#DIV/0!</v>
      </c>
      <c r="K31" s="2027" t="e">
        <f>'Paso 1.2'!NG187</f>
        <v>#DIV/0!</v>
      </c>
      <c r="L31" s="2027" t="e">
        <f>'Paso 1.2'!NH187</f>
        <v>#DIV/0!</v>
      </c>
      <c r="M31" s="2027" t="e">
        <f>'Paso 1.2'!NI187</f>
        <v>#DIV/0!</v>
      </c>
      <c r="N31" s="2027" t="e">
        <f>'Paso 1.2'!NJ187</f>
        <v>#DIV/0!</v>
      </c>
      <c r="O31" s="2027" t="e">
        <f>'Paso 1.2'!NK187</f>
        <v>#DIV/0!</v>
      </c>
      <c r="P31" s="2027" t="e">
        <f>'Paso 1.2'!NL187</f>
        <v>#DIV/0!</v>
      </c>
      <c r="Q31" s="2027" t="e">
        <f>'Paso 1.2'!NM187</f>
        <v>#DIV/0!</v>
      </c>
      <c r="R31" s="2027" t="e">
        <f>'Paso 1.2'!NN187</f>
        <v>#DIV/0!</v>
      </c>
      <c r="S31" s="2027" t="e">
        <f>'Paso 1.2'!NO187</f>
        <v>#DIV/0!</v>
      </c>
    </row>
    <row r="32" spans="2:19" x14ac:dyDescent="0.25">
      <c r="B32" s="1818" t="s">
        <v>227</v>
      </c>
      <c r="C32" s="2027" t="e">
        <f>'Paso 1.2'!SV187</f>
        <v>#DIV/0!</v>
      </c>
      <c r="D32" s="2027" t="e">
        <f>'Paso 1.2'!SW187</f>
        <v>#DIV/0!</v>
      </c>
      <c r="E32" s="2027" t="e">
        <f>'Paso 1.2'!SX187</f>
        <v>#DIV/0!</v>
      </c>
      <c r="F32" s="2027" t="e">
        <f>'Paso 1.2'!SY187</f>
        <v>#DIV/0!</v>
      </c>
      <c r="G32" s="2027" t="e">
        <f>'Paso 1.2'!SZ187</f>
        <v>#DIV/0!</v>
      </c>
      <c r="H32" s="2027" t="e">
        <f>'Paso 1.2'!TA187</f>
        <v>#DIV/0!</v>
      </c>
      <c r="I32" s="2027" t="e">
        <f>'Paso 1.2'!TB187</f>
        <v>#DIV/0!</v>
      </c>
      <c r="J32" s="2027" t="e">
        <f>'Paso 1.2'!TC187</f>
        <v>#DIV/0!</v>
      </c>
      <c r="K32" s="2027" t="e">
        <f>'Paso 1.2'!TD187</f>
        <v>#DIV/0!</v>
      </c>
      <c r="L32" s="2027" t="e">
        <f>'Paso 1.2'!TE187</f>
        <v>#DIV/0!</v>
      </c>
      <c r="M32" s="2027" t="e">
        <f>'Paso 1.2'!TF187</f>
        <v>#DIV/0!</v>
      </c>
      <c r="N32" s="2027" t="e">
        <f>'Paso 1.2'!TG187</f>
        <v>#DIV/0!</v>
      </c>
      <c r="O32" s="2027" t="e">
        <f>'Paso 1.2'!TH187</f>
        <v>#DIV/0!</v>
      </c>
      <c r="P32" s="2027" t="e">
        <f>'Paso 1.2'!TI187</f>
        <v>#DIV/0!</v>
      </c>
      <c r="Q32" s="2027" t="e">
        <f>'Paso 1.2'!TJ187</f>
        <v>#DIV/0!</v>
      </c>
      <c r="R32" s="2027" t="e">
        <f>'Paso 1.2'!TK187</f>
        <v>#DIV/0!</v>
      </c>
      <c r="S32" s="2027" t="e">
        <f>'Paso 1.2'!TL187</f>
        <v>#DIV/0!</v>
      </c>
    </row>
    <row r="33" spans="2:19" x14ac:dyDescent="0.25">
      <c r="B33" s="1818" t="s">
        <v>228</v>
      </c>
      <c r="C33" s="590"/>
      <c r="D33" s="590"/>
      <c r="E33" s="590"/>
      <c r="F33" s="590"/>
      <c r="G33" s="590"/>
      <c r="H33" s="590"/>
      <c r="I33" s="590"/>
      <c r="J33" s="590"/>
      <c r="K33" s="590"/>
      <c r="L33" s="590"/>
      <c r="M33" s="590"/>
      <c r="N33" s="590"/>
      <c r="O33" s="590"/>
      <c r="P33" s="590"/>
      <c r="Q33" s="590"/>
      <c r="R33" s="590"/>
      <c r="S33" s="590"/>
    </row>
    <row r="34" spans="2:19" x14ac:dyDescent="0.25">
      <c r="B34" s="1818" t="s">
        <v>229</v>
      </c>
      <c r="C34" s="2027" t="e">
        <f>'Paso 1.2'!UD187</f>
        <v>#DIV/0!</v>
      </c>
      <c r="D34" s="2027" t="e">
        <f>'Paso 1.2'!UE187</f>
        <v>#DIV/0!</v>
      </c>
      <c r="E34" s="2027" t="e">
        <f>'Paso 1.2'!UF187</f>
        <v>#DIV/0!</v>
      </c>
      <c r="F34" s="2027" t="e">
        <f>'Paso 1.2'!UG187</f>
        <v>#DIV/0!</v>
      </c>
      <c r="G34" s="2027" t="e">
        <f>'Paso 1.2'!UH187</f>
        <v>#DIV/0!</v>
      </c>
      <c r="H34" s="2027" t="e">
        <f>'Paso 1.2'!UI187</f>
        <v>#DIV/0!</v>
      </c>
      <c r="I34" s="2027" t="e">
        <f>'Paso 1.2'!UJ187</f>
        <v>#DIV/0!</v>
      </c>
      <c r="J34" s="2027" t="e">
        <f>'Paso 1.2'!UK187</f>
        <v>#DIV/0!</v>
      </c>
      <c r="K34" s="2027" t="e">
        <f>'Paso 1.2'!UL187</f>
        <v>#DIV/0!</v>
      </c>
      <c r="L34" s="2027" t="e">
        <f>'Paso 1.2'!UM187</f>
        <v>#DIV/0!</v>
      </c>
      <c r="M34" s="2027" t="e">
        <f>'Paso 1.2'!UN187</f>
        <v>#DIV/0!</v>
      </c>
      <c r="N34" s="2027" t="e">
        <f>'Paso 1.2'!UO187</f>
        <v>#DIV/0!</v>
      </c>
      <c r="O34" s="2027" t="e">
        <f>'Paso 1.2'!UP187</f>
        <v>#DIV/0!</v>
      </c>
      <c r="P34" s="2027" t="e">
        <f>'Paso 1.2'!UQ187</f>
        <v>#DIV/0!</v>
      </c>
      <c r="Q34" s="2027" t="e">
        <f>'Paso 1.2'!UR187</f>
        <v>#DIV/0!</v>
      </c>
      <c r="R34" s="2027" t="e">
        <f>'Paso 1.2'!US187</f>
        <v>#DIV/0!</v>
      </c>
      <c r="S34" s="2027" t="e">
        <f>'Paso 1.2'!UT187</f>
        <v>#DIV/0!</v>
      </c>
    </row>
    <row r="35" spans="2:19" x14ac:dyDescent="0.25">
      <c r="B35" s="1818" t="s">
        <v>3116</v>
      </c>
      <c r="C35" s="589" t="e">
        <f>'Paso 1.2'!UU187</f>
        <v>#DIV/0!</v>
      </c>
      <c r="D35" s="589" t="e">
        <f>'Paso 1.2'!UV187</f>
        <v>#DIV/0!</v>
      </c>
      <c r="E35" s="589" t="e">
        <f>'Paso 1.2'!UW187</f>
        <v>#DIV/0!</v>
      </c>
      <c r="F35" s="589" t="e">
        <f>'Paso 1.2'!UX187</f>
        <v>#DIV/0!</v>
      </c>
      <c r="G35" s="589" t="e">
        <f>'Paso 1.2'!UY187</f>
        <v>#DIV/0!</v>
      </c>
      <c r="H35" s="589" t="e">
        <f>'Paso 1.2'!UZ187</f>
        <v>#DIV/0!</v>
      </c>
      <c r="I35" s="589" t="e">
        <f>'Paso 1.2'!VA187</f>
        <v>#DIV/0!</v>
      </c>
      <c r="J35" s="589" t="e">
        <f>'Paso 1.2'!VB187</f>
        <v>#DIV/0!</v>
      </c>
      <c r="K35" s="589" t="e">
        <f>'Paso 1.2'!VC187</f>
        <v>#DIV/0!</v>
      </c>
      <c r="L35" s="589" t="e">
        <f>'Paso 1.2'!VD187</f>
        <v>#DIV/0!</v>
      </c>
      <c r="M35" s="589" t="e">
        <f>'Paso 1.2'!VE187</f>
        <v>#DIV/0!</v>
      </c>
      <c r="N35" s="589" t="e">
        <f>'Paso 1.2'!VF187</f>
        <v>#DIV/0!</v>
      </c>
      <c r="O35" s="589" t="e">
        <f>'Paso 1.2'!VG187</f>
        <v>#DIV/0!</v>
      </c>
      <c r="P35" s="589" t="e">
        <f>'Paso 1.2'!VH187</f>
        <v>#DIV/0!</v>
      </c>
      <c r="Q35" s="589" t="e">
        <f>'Paso 1.2'!VI187</f>
        <v>#DIV/0!</v>
      </c>
      <c r="R35" s="589" t="e">
        <f>'Paso 1.2'!VJ187</f>
        <v>#DIV/0!</v>
      </c>
      <c r="S35" s="589" t="e">
        <f>'Paso 1.2'!VK187</f>
        <v>#DIV/0!</v>
      </c>
    </row>
    <row r="36" spans="2:19" x14ac:dyDescent="0.25">
      <c r="B36" s="1818" t="s">
        <v>231</v>
      </c>
      <c r="C36" s="590"/>
      <c r="D36" s="590"/>
      <c r="E36" s="590"/>
      <c r="F36" s="590"/>
      <c r="G36" s="590"/>
      <c r="H36" s="590"/>
      <c r="I36" s="590"/>
      <c r="J36" s="590"/>
      <c r="K36" s="590"/>
      <c r="L36" s="590"/>
      <c r="M36" s="590"/>
      <c r="N36" s="590"/>
      <c r="O36" s="590"/>
      <c r="P36" s="590"/>
      <c r="Q36" s="590"/>
      <c r="R36" s="590"/>
      <c r="S36" s="590"/>
    </row>
  </sheetData>
  <mergeCells count="1">
    <mergeCell ref="B4:B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000"/>
  </sheetPr>
  <dimension ref="B2:U88"/>
  <sheetViews>
    <sheetView zoomScale="85" zoomScaleNormal="85" workbookViewId="0">
      <selection activeCell="F3" sqref="F3"/>
    </sheetView>
  </sheetViews>
  <sheetFormatPr baseColWidth="10" defaultRowHeight="10.5" x14ac:dyDescent="0.15"/>
  <cols>
    <col min="1" max="1" width="3" style="2096" customWidth="1"/>
    <col min="2" max="2" width="32.5703125" style="2096" customWidth="1"/>
    <col min="3" max="3" width="11.5703125" style="2096"/>
    <col min="4" max="7" width="12.28515625" style="2096" customWidth="1"/>
    <col min="8" max="14" width="7.7109375" style="2096" customWidth="1"/>
    <col min="15" max="21" width="8" style="2096" customWidth="1"/>
    <col min="22" max="257" width="11.5703125" style="2096"/>
    <col min="258" max="258" width="3" style="2096" customWidth="1"/>
    <col min="259" max="259" width="29.5703125" style="2096" customWidth="1"/>
    <col min="260" max="260" width="11.5703125" style="2096"/>
    <col min="261" max="261" width="12.28515625" style="2096" customWidth="1"/>
    <col min="262" max="276" width="8.7109375" style="2096" customWidth="1"/>
    <col min="277" max="277" width="9.140625" style="2096" customWidth="1"/>
    <col min="278" max="513" width="11.5703125" style="2096"/>
    <col min="514" max="514" width="3" style="2096" customWidth="1"/>
    <col min="515" max="515" width="29.5703125" style="2096" customWidth="1"/>
    <col min="516" max="516" width="11.5703125" style="2096"/>
    <col min="517" max="517" width="12.28515625" style="2096" customWidth="1"/>
    <col min="518" max="532" width="8.7109375" style="2096" customWidth="1"/>
    <col min="533" max="533" width="9.140625" style="2096" customWidth="1"/>
    <col min="534" max="769" width="11.5703125" style="2096"/>
    <col min="770" max="770" width="3" style="2096" customWidth="1"/>
    <col min="771" max="771" width="29.5703125" style="2096" customWidth="1"/>
    <col min="772" max="772" width="11.5703125" style="2096"/>
    <col min="773" max="773" width="12.28515625" style="2096" customWidth="1"/>
    <col min="774" max="788" width="8.7109375" style="2096" customWidth="1"/>
    <col min="789" max="789" width="9.140625" style="2096" customWidth="1"/>
    <col min="790" max="1025" width="11.5703125" style="2096"/>
    <col min="1026" max="1026" width="3" style="2096" customWidth="1"/>
    <col min="1027" max="1027" width="29.5703125" style="2096" customWidth="1"/>
    <col min="1028" max="1028" width="11.5703125" style="2096"/>
    <col min="1029" max="1029" width="12.28515625" style="2096" customWidth="1"/>
    <col min="1030" max="1044" width="8.7109375" style="2096" customWidth="1"/>
    <col min="1045" max="1045" width="9.140625" style="2096" customWidth="1"/>
    <col min="1046" max="1281" width="11.5703125" style="2096"/>
    <col min="1282" max="1282" width="3" style="2096" customWidth="1"/>
    <col min="1283" max="1283" width="29.5703125" style="2096" customWidth="1"/>
    <col min="1284" max="1284" width="11.5703125" style="2096"/>
    <col min="1285" max="1285" width="12.28515625" style="2096" customWidth="1"/>
    <col min="1286" max="1300" width="8.7109375" style="2096" customWidth="1"/>
    <col min="1301" max="1301" width="9.140625" style="2096" customWidth="1"/>
    <col min="1302" max="1537" width="11.5703125" style="2096"/>
    <col min="1538" max="1538" width="3" style="2096" customWidth="1"/>
    <col min="1539" max="1539" width="29.5703125" style="2096" customWidth="1"/>
    <col min="1540" max="1540" width="11.5703125" style="2096"/>
    <col min="1541" max="1541" width="12.28515625" style="2096" customWidth="1"/>
    <col min="1542" max="1556" width="8.7109375" style="2096" customWidth="1"/>
    <col min="1557" max="1557" width="9.140625" style="2096" customWidth="1"/>
    <col min="1558" max="1793" width="11.5703125" style="2096"/>
    <col min="1794" max="1794" width="3" style="2096" customWidth="1"/>
    <col min="1795" max="1795" width="29.5703125" style="2096" customWidth="1"/>
    <col min="1796" max="1796" width="11.5703125" style="2096"/>
    <col min="1797" max="1797" width="12.28515625" style="2096" customWidth="1"/>
    <col min="1798" max="1812" width="8.7109375" style="2096" customWidth="1"/>
    <col min="1813" max="1813" width="9.140625" style="2096" customWidth="1"/>
    <col min="1814" max="2049" width="11.5703125" style="2096"/>
    <col min="2050" max="2050" width="3" style="2096" customWidth="1"/>
    <col min="2051" max="2051" width="29.5703125" style="2096" customWidth="1"/>
    <col min="2052" max="2052" width="11.5703125" style="2096"/>
    <col min="2053" max="2053" width="12.28515625" style="2096" customWidth="1"/>
    <col min="2054" max="2068" width="8.7109375" style="2096" customWidth="1"/>
    <col min="2069" max="2069" width="9.140625" style="2096" customWidth="1"/>
    <col min="2070" max="2305" width="11.5703125" style="2096"/>
    <col min="2306" max="2306" width="3" style="2096" customWidth="1"/>
    <col min="2307" max="2307" width="29.5703125" style="2096" customWidth="1"/>
    <col min="2308" max="2308" width="11.5703125" style="2096"/>
    <col min="2309" max="2309" width="12.28515625" style="2096" customWidth="1"/>
    <col min="2310" max="2324" width="8.7109375" style="2096" customWidth="1"/>
    <col min="2325" max="2325" width="9.140625" style="2096" customWidth="1"/>
    <col min="2326" max="2561" width="11.5703125" style="2096"/>
    <col min="2562" max="2562" width="3" style="2096" customWidth="1"/>
    <col min="2563" max="2563" width="29.5703125" style="2096" customWidth="1"/>
    <col min="2564" max="2564" width="11.5703125" style="2096"/>
    <col min="2565" max="2565" width="12.28515625" style="2096" customWidth="1"/>
    <col min="2566" max="2580" width="8.7109375" style="2096" customWidth="1"/>
    <col min="2581" max="2581" width="9.140625" style="2096" customWidth="1"/>
    <col min="2582" max="2817" width="11.5703125" style="2096"/>
    <col min="2818" max="2818" width="3" style="2096" customWidth="1"/>
    <col min="2819" max="2819" width="29.5703125" style="2096" customWidth="1"/>
    <col min="2820" max="2820" width="11.5703125" style="2096"/>
    <col min="2821" max="2821" width="12.28515625" style="2096" customWidth="1"/>
    <col min="2822" max="2836" width="8.7109375" style="2096" customWidth="1"/>
    <col min="2837" max="2837" width="9.140625" style="2096" customWidth="1"/>
    <col min="2838" max="3073" width="11.5703125" style="2096"/>
    <col min="3074" max="3074" width="3" style="2096" customWidth="1"/>
    <col min="3075" max="3075" width="29.5703125" style="2096" customWidth="1"/>
    <col min="3076" max="3076" width="11.5703125" style="2096"/>
    <col min="3077" max="3077" width="12.28515625" style="2096" customWidth="1"/>
    <col min="3078" max="3092" width="8.7109375" style="2096" customWidth="1"/>
    <col min="3093" max="3093" width="9.140625" style="2096" customWidth="1"/>
    <col min="3094" max="3329" width="11.5703125" style="2096"/>
    <col min="3330" max="3330" width="3" style="2096" customWidth="1"/>
    <col min="3331" max="3331" width="29.5703125" style="2096" customWidth="1"/>
    <col min="3332" max="3332" width="11.5703125" style="2096"/>
    <col min="3333" max="3333" width="12.28515625" style="2096" customWidth="1"/>
    <col min="3334" max="3348" width="8.7109375" style="2096" customWidth="1"/>
    <col min="3349" max="3349" width="9.140625" style="2096" customWidth="1"/>
    <col min="3350" max="3585" width="11.5703125" style="2096"/>
    <col min="3586" max="3586" width="3" style="2096" customWidth="1"/>
    <col min="3587" max="3587" width="29.5703125" style="2096" customWidth="1"/>
    <col min="3588" max="3588" width="11.5703125" style="2096"/>
    <col min="3589" max="3589" width="12.28515625" style="2096" customWidth="1"/>
    <col min="3590" max="3604" width="8.7109375" style="2096" customWidth="1"/>
    <col min="3605" max="3605" width="9.140625" style="2096" customWidth="1"/>
    <col min="3606" max="3841" width="11.5703125" style="2096"/>
    <col min="3842" max="3842" width="3" style="2096" customWidth="1"/>
    <col min="3843" max="3843" width="29.5703125" style="2096" customWidth="1"/>
    <col min="3844" max="3844" width="11.5703125" style="2096"/>
    <col min="3845" max="3845" width="12.28515625" style="2096" customWidth="1"/>
    <col min="3846" max="3860" width="8.7109375" style="2096" customWidth="1"/>
    <col min="3861" max="3861" width="9.140625" style="2096" customWidth="1"/>
    <col min="3862" max="4097" width="11.5703125" style="2096"/>
    <col min="4098" max="4098" width="3" style="2096" customWidth="1"/>
    <col min="4099" max="4099" width="29.5703125" style="2096" customWidth="1"/>
    <col min="4100" max="4100" width="11.5703125" style="2096"/>
    <col min="4101" max="4101" width="12.28515625" style="2096" customWidth="1"/>
    <col min="4102" max="4116" width="8.7109375" style="2096" customWidth="1"/>
    <col min="4117" max="4117" width="9.140625" style="2096" customWidth="1"/>
    <col min="4118" max="4353" width="11.5703125" style="2096"/>
    <col min="4354" max="4354" width="3" style="2096" customWidth="1"/>
    <col min="4355" max="4355" width="29.5703125" style="2096" customWidth="1"/>
    <col min="4356" max="4356" width="11.5703125" style="2096"/>
    <col min="4357" max="4357" width="12.28515625" style="2096" customWidth="1"/>
    <col min="4358" max="4372" width="8.7109375" style="2096" customWidth="1"/>
    <col min="4373" max="4373" width="9.140625" style="2096" customWidth="1"/>
    <col min="4374" max="4609" width="11.5703125" style="2096"/>
    <col min="4610" max="4610" width="3" style="2096" customWidth="1"/>
    <col min="4611" max="4611" width="29.5703125" style="2096" customWidth="1"/>
    <col min="4612" max="4612" width="11.5703125" style="2096"/>
    <col min="4613" max="4613" width="12.28515625" style="2096" customWidth="1"/>
    <col min="4614" max="4628" width="8.7109375" style="2096" customWidth="1"/>
    <col min="4629" max="4629" width="9.140625" style="2096" customWidth="1"/>
    <col min="4630" max="4865" width="11.5703125" style="2096"/>
    <col min="4866" max="4866" width="3" style="2096" customWidth="1"/>
    <col min="4867" max="4867" width="29.5703125" style="2096" customWidth="1"/>
    <col min="4868" max="4868" width="11.5703125" style="2096"/>
    <col min="4869" max="4869" width="12.28515625" style="2096" customWidth="1"/>
    <col min="4870" max="4884" width="8.7109375" style="2096" customWidth="1"/>
    <col min="4885" max="4885" width="9.140625" style="2096" customWidth="1"/>
    <col min="4886" max="5121" width="11.5703125" style="2096"/>
    <col min="5122" max="5122" width="3" style="2096" customWidth="1"/>
    <col min="5123" max="5123" width="29.5703125" style="2096" customWidth="1"/>
    <col min="5124" max="5124" width="11.5703125" style="2096"/>
    <col min="5125" max="5125" width="12.28515625" style="2096" customWidth="1"/>
    <col min="5126" max="5140" width="8.7109375" style="2096" customWidth="1"/>
    <col min="5141" max="5141" width="9.140625" style="2096" customWidth="1"/>
    <col min="5142" max="5377" width="11.5703125" style="2096"/>
    <col min="5378" max="5378" width="3" style="2096" customWidth="1"/>
    <col min="5379" max="5379" width="29.5703125" style="2096" customWidth="1"/>
    <col min="5380" max="5380" width="11.5703125" style="2096"/>
    <col min="5381" max="5381" width="12.28515625" style="2096" customWidth="1"/>
    <col min="5382" max="5396" width="8.7109375" style="2096" customWidth="1"/>
    <col min="5397" max="5397" width="9.140625" style="2096" customWidth="1"/>
    <col min="5398" max="5633" width="11.5703125" style="2096"/>
    <col min="5634" max="5634" width="3" style="2096" customWidth="1"/>
    <col min="5635" max="5635" width="29.5703125" style="2096" customWidth="1"/>
    <col min="5636" max="5636" width="11.5703125" style="2096"/>
    <col min="5637" max="5637" width="12.28515625" style="2096" customWidth="1"/>
    <col min="5638" max="5652" width="8.7109375" style="2096" customWidth="1"/>
    <col min="5653" max="5653" width="9.140625" style="2096" customWidth="1"/>
    <col min="5654" max="5889" width="11.5703125" style="2096"/>
    <col min="5890" max="5890" width="3" style="2096" customWidth="1"/>
    <col min="5891" max="5891" width="29.5703125" style="2096" customWidth="1"/>
    <col min="5892" max="5892" width="11.5703125" style="2096"/>
    <col min="5893" max="5893" width="12.28515625" style="2096" customWidth="1"/>
    <col min="5894" max="5908" width="8.7109375" style="2096" customWidth="1"/>
    <col min="5909" max="5909" width="9.140625" style="2096" customWidth="1"/>
    <col min="5910" max="6145" width="11.5703125" style="2096"/>
    <col min="6146" max="6146" width="3" style="2096" customWidth="1"/>
    <col min="6147" max="6147" width="29.5703125" style="2096" customWidth="1"/>
    <col min="6148" max="6148" width="11.5703125" style="2096"/>
    <col min="6149" max="6149" width="12.28515625" style="2096" customWidth="1"/>
    <col min="6150" max="6164" width="8.7109375" style="2096" customWidth="1"/>
    <col min="6165" max="6165" width="9.140625" style="2096" customWidth="1"/>
    <col min="6166" max="6401" width="11.5703125" style="2096"/>
    <col min="6402" max="6402" width="3" style="2096" customWidth="1"/>
    <col min="6403" max="6403" width="29.5703125" style="2096" customWidth="1"/>
    <col min="6404" max="6404" width="11.5703125" style="2096"/>
    <col min="6405" max="6405" width="12.28515625" style="2096" customWidth="1"/>
    <col min="6406" max="6420" width="8.7109375" style="2096" customWidth="1"/>
    <col min="6421" max="6421" width="9.140625" style="2096" customWidth="1"/>
    <col min="6422" max="6657" width="11.5703125" style="2096"/>
    <col min="6658" max="6658" width="3" style="2096" customWidth="1"/>
    <col min="6659" max="6659" width="29.5703125" style="2096" customWidth="1"/>
    <col min="6660" max="6660" width="11.5703125" style="2096"/>
    <col min="6661" max="6661" width="12.28515625" style="2096" customWidth="1"/>
    <col min="6662" max="6676" width="8.7109375" style="2096" customWidth="1"/>
    <col min="6677" max="6677" width="9.140625" style="2096" customWidth="1"/>
    <col min="6678" max="6913" width="11.5703125" style="2096"/>
    <col min="6914" max="6914" width="3" style="2096" customWidth="1"/>
    <col min="6915" max="6915" width="29.5703125" style="2096" customWidth="1"/>
    <col min="6916" max="6916" width="11.5703125" style="2096"/>
    <col min="6917" max="6917" width="12.28515625" style="2096" customWidth="1"/>
    <col min="6918" max="6932" width="8.7109375" style="2096" customWidth="1"/>
    <col min="6933" max="6933" width="9.140625" style="2096" customWidth="1"/>
    <col min="6934" max="7169" width="11.5703125" style="2096"/>
    <col min="7170" max="7170" width="3" style="2096" customWidth="1"/>
    <col min="7171" max="7171" width="29.5703125" style="2096" customWidth="1"/>
    <col min="7172" max="7172" width="11.5703125" style="2096"/>
    <col min="7173" max="7173" width="12.28515625" style="2096" customWidth="1"/>
    <col min="7174" max="7188" width="8.7109375" style="2096" customWidth="1"/>
    <col min="7189" max="7189" width="9.140625" style="2096" customWidth="1"/>
    <col min="7190" max="7425" width="11.5703125" style="2096"/>
    <col min="7426" max="7426" width="3" style="2096" customWidth="1"/>
    <col min="7427" max="7427" width="29.5703125" style="2096" customWidth="1"/>
    <col min="7428" max="7428" width="11.5703125" style="2096"/>
    <col min="7429" max="7429" width="12.28515625" style="2096" customWidth="1"/>
    <col min="7430" max="7444" width="8.7109375" style="2096" customWidth="1"/>
    <col min="7445" max="7445" width="9.140625" style="2096" customWidth="1"/>
    <col min="7446" max="7681" width="11.5703125" style="2096"/>
    <col min="7682" max="7682" width="3" style="2096" customWidth="1"/>
    <col min="7683" max="7683" width="29.5703125" style="2096" customWidth="1"/>
    <col min="7684" max="7684" width="11.5703125" style="2096"/>
    <col min="7685" max="7685" width="12.28515625" style="2096" customWidth="1"/>
    <col min="7686" max="7700" width="8.7109375" style="2096" customWidth="1"/>
    <col min="7701" max="7701" width="9.140625" style="2096" customWidth="1"/>
    <col min="7702" max="7937" width="11.5703125" style="2096"/>
    <col min="7938" max="7938" width="3" style="2096" customWidth="1"/>
    <col min="7939" max="7939" width="29.5703125" style="2096" customWidth="1"/>
    <col min="7940" max="7940" width="11.5703125" style="2096"/>
    <col min="7941" max="7941" width="12.28515625" style="2096" customWidth="1"/>
    <col min="7942" max="7956" width="8.7109375" style="2096" customWidth="1"/>
    <col min="7957" max="7957" width="9.140625" style="2096" customWidth="1"/>
    <col min="7958" max="8193" width="11.5703125" style="2096"/>
    <col min="8194" max="8194" width="3" style="2096" customWidth="1"/>
    <col min="8195" max="8195" width="29.5703125" style="2096" customWidth="1"/>
    <col min="8196" max="8196" width="11.5703125" style="2096"/>
    <col min="8197" max="8197" width="12.28515625" style="2096" customWidth="1"/>
    <col min="8198" max="8212" width="8.7109375" style="2096" customWidth="1"/>
    <col min="8213" max="8213" width="9.140625" style="2096" customWidth="1"/>
    <col min="8214" max="8449" width="11.5703125" style="2096"/>
    <col min="8450" max="8450" width="3" style="2096" customWidth="1"/>
    <col min="8451" max="8451" width="29.5703125" style="2096" customWidth="1"/>
    <col min="8452" max="8452" width="11.5703125" style="2096"/>
    <col min="8453" max="8453" width="12.28515625" style="2096" customWidth="1"/>
    <col min="8454" max="8468" width="8.7109375" style="2096" customWidth="1"/>
    <col min="8469" max="8469" width="9.140625" style="2096" customWidth="1"/>
    <col min="8470" max="8705" width="11.5703125" style="2096"/>
    <col min="8706" max="8706" width="3" style="2096" customWidth="1"/>
    <col min="8707" max="8707" width="29.5703125" style="2096" customWidth="1"/>
    <col min="8708" max="8708" width="11.5703125" style="2096"/>
    <col min="8709" max="8709" width="12.28515625" style="2096" customWidth="1"/>
    <col min="8710" max="8724" width="8.7109375" style="2096" customWidth="1"/>
    <col min="8725" max="8725" width="9.140625" style="2096" customWidth="1"/>
    <col min="8726" max="8961" width="11.5703125" style="2096"/>
    <col min="8962" max="8962" width="3" style="2096" customWidth="1"/>
    <col min="8963" max="8963" width="29.5703125" style="2096" customWidth="1"/>
    <col min="8964" max="8964" width="11.5703125" style="2096"/>
    <col min="8965" max="8965" width="12.28515625" style="2096" customWidth="1"/>
    <col min="8966" max="8980" width="8.7109375" style="2096" customWidth="1"/>
    <col min="8981" max="8981" width="9.140625" style="2096" customWidth="1"/>
    <col min="8982" max="9217" width="11.5703125" style="2096"/>
    <col min="9218" max="9218" width="3" style="2096" customWidth="1"/>
    <col min="9219" max="9219" width="29.5703125" style="2096" customWidth="1"/>
    <col min="9220" max="9220" width="11.5703125" style="2096"/>
    <col min="9221" max="9221" width="12.28515625" style="2096" customWidth="1"/>
    <col min="9222" max="9236" width="8.7109375" style="2096" customWidth="1"/>
    <col min="9237" max="9237" width="9.140625" style="2096" customWidth="1"/>
    <col min="9238" max="9473" width="11.5703125" style="2096"/>
    <col min="9474" max="9474" width="3" style="2096" customWidth="1"/>
    <col min="9475" max="9475" width="29.5703125" style="2096" customWidth="1"/>
    <col min="9476" max="9476" width="11.5703125" style="2096"/>
    <col min="9477" max="9477" width="12.28515625" style="2096" customWidth="1"/>
    <col min="9478" max="9492" width="8.7109375" style="2096" customWidth="1"/>
    <col min="9493" max="9493" width="9.140625" style="2096" customWidth="1"/>
    <col min="9494" max="9729" width="11.5703125" style="2096"/>
    <col min="9730" max="9730" width="3" style="2096" customWidth="1"/>
    <col min="9731" max="9731" width="29.5703125" style="2096" customWidth="1"/>
    <col min="9732" max="9732" width="11.5703125" style="2096"/>
    <col min="9733" max="9733" width="12.28515625" style="2096" customWidth="1"/>
    <col min="9734" max="9748" width="8.7109375" style="2096" customWidth="1"/>
    <col min="9749" max="9749" width="9.140625" style="2096" customWidth="1"/>
    <col min="9750" max="9985" width="11.5703125" style="2096"/>
    <col min="9986" max="9986" width="3" style="2096" customWidth="1"/>
    <col min="9987" max="9987" width="29.5703125" style="2096" customWidth="1"/>
    <col min="9988" max="9988" width="11.5703125" style="2096"/>
    <col min="9989" max="9989" width="12.28515625" style="2096" customWidth="1"/>
    <col min="9990" max="10004" width="8.7109375" style="2096" customWidth="1"/>
    <col min="10005" max="10005" width="9.140625" style="2096" customWidth="1"/>
    <col min="10006" max="10241" width="11.5703125" style="2096"/>
    <col min="10242" max="10242" width="3" style="2096" customWidth="1"/>
    <col min="10243" max="10243" width="29.5703125" style="2096" customWidth="1"/>
    <col min="10244" max="10244" width="11.5703125" style="2096"/>
    <col min="10245" max="10245" width="12.28515625" style="2096" customWidth="1"/>
    <col min="10246" max="10260" width="8.7109375" style="2096" customWidth="1"/>
    <col min="10261" max="10261" width="9.140625" style="2096" customWidth="1"/>
    <col min="10262" max="10497" width="11.5703125" style="2096"/>
    <col min="10498" max="10498" width="3" style="2096" customWidth="1"/>
    <col min="10499" max="10499" width="29.5703125" style="2096" customWidth="1"/>
    <col min="10500" max="10500" width="11.5703125" style="2096"/>
    <col min="10501" max="10501" width="12.28515625" style="2096" customWidth="1"/>
    <col min="10502" max="10516" width="8.7109375" style="2096" customWidth="1"/>
    <col min="10517" max="10517" width="9.140625" style="2096" customWidth="1"/>
    <col min="10518" max="10753" width="11.5703125" style="2096"/>
    <col min="10754" max="10754" width="3" style="2096" customWidth="1"/>
    <col min="10755" max="10755" width="29.5703125" style="2096" customWidth="1"/>
    <col min="10756" max="10756" width="11.5703125" style="2096"/>
    <col min="10757" max="10757" width="12.28515625" style="2096" customWidth="1"/>
    <col min="10758" max="10772" width="8.7109375" style="2096" customWidth="1"/>
    <col min="10773" max="10773" width="9.140625" style="2096" customWidth="1"/>
    <col min="10774" max="11009" width="11.5703125" style="2096"/>
    <col min="11010" max="11010" width="3" style="2096" customWidth="1"/>
    <col min="11011" max="11011" width="29.5703125" style="2096" customWidth="1"/>
    <col min="11012" max="11012" width="11.5703125" style="2096"/>
    <col min="11013" max="11013" width="12.28515625" style="2096" customWidth="1"/>
    <col min="11014" max="11028" width="8.7109375" style="2096" customWidth="1"/>
    <col min="11029" max="11029" width="9.140625" style="2096" customWidth="1"/>
    <col min="11030" max="11265" width="11.5703125" style="2096"/>
    <col min="11266" max="11266" width="3" style="2096" customWidth="1"/>
    <col min="11267" max="11267" width="29.5703125" style="2096" customWidth="1"/>
    <col min="11268" max="11268" width="11.5703125" style="2096"/>
    <col min="11269" max="11269" width="12.28515625" style="2096" customWidth="1"/>
    <col min="11270" max="11284" width="8.7109375" style="2096" customWidth="1"/>
    <col min="11285" max="11285" width="9.140625" style="2096" customWidth="1"/>
    <col min="11286" max="11521" width="11.5703125" style="2096"/>
    <col min="11522" max="11522" width="3" style="2096" customWidth="1"/>
    <col min="11523" max="11523" width="29.5703125" style="2096" customWidth="1"/>
    <col min="11524" max="11524" width="11.5703125" style="2096"/>
    <col min="11525" max="11525" width="12.28515625" style="2096" customWidth="1"/>
    <col min="11526" max="11540" width="8.7109375" style="2096" customWidth="1"/>
    <col min="11541" max="11541" width="9.140625" style="2096" customWidth="1"/>
    <col min="11542" max="11777" width="11.5703125" style="2096"/>
    <col min="11778" max="11778" width="3" style="2096" customWidth="1"/>
    <col min="11779" max="11779" width="29.5703125" style="2096" customWidth="1"/>
    <col min="11780" max="11780" width="11.5703125" style="2096"/>
    <col min="11781" max="11781" width="12.28515625" style="2096" customWidth="1"/>
    <col min="11782" max="11796" width="8.7109375" style="2096" customWidth="1"/>
    <col min="11797" max="11797" width="9.140625" style="2096" customWidth="1"/>
    <col min="11798" max="12033" width="11.5703125" style="2096"/>
    <col min="12034" max="12034" width="3" style="2096" customWidth="1"/>
    <col min="12035" max="12035" width="29.5703125" style="2096" customWidth="1"/>
    <col min="12036" max="12036" width="11.5703125" style="2096"/>
    <col min="12037" max="12037" width="12.28515625" style="2096" customWidth="1"/>
    <col min="12038" max="12052" width="8.7109375" style="2096" customWidth="1"/>
    <col min="12053" max="12053" width="9.140625" style="2096" customWidth="1"/>
    <col min="12054" max="12289" width="11.5703125" style="2096"/>
    <col min="12290" max="12290" width="3" style="2096" customWidth="1"/>
    <col min="12291" max="12291" width="29.5703125" style="2096" customWidth="1"/>
    <col min="12292" max="12292" width="11.5703125" style="2096"/>
    <col min="12293" max="12293" width="12.28515625" style="2096" customWidth="1"/>
    <col min="12294" max="12308" width="8.7109375" style="2096" customWidth="1"/>
    <col min="12309" max="12309" width="9.140625" style="2096" customWidth="1"/>
    <col min="12310" max="12545" width="11.5703125" style="2096"/>
    <col min="12546" max="12546" width="3" style="2096" customWidth="1"/>
    <col min="12547" max="12547" width="29.5703125" style="2096" customWidth="1"/>
    <col min="12548" max="12548" width="11.5703125" style="2096"/>
    <col min="12549" max="12549" width="12.28515625" style="2096" customWidth="1"/>
    <col min="12550" max="12564" width="8.7109375" style="2096" customWidth="1"/>
    <col min="12565" max="12565" width="9.140625" style="2096" customWidth="1"/>
    <col min="12566" max="12801" width="11.5703125" style="2096"/>
    <col min="12802" max="12802" width="3" style="2096" customWidth="1"/>
    <col min="12803" max="12803" width="29.5703125" style="2096" customWidth="1"/>
    <col min="12804" max="12804" width="11.5703125" style="2096"/>
    <col min="12805" max="12805" width="12.28515625" style="2096" customWidth="1"/>
    <col min="12806" max="12820" width="8.7109375" style="2096" customWidth="1"/>
    <col min="12821" max="12821" width="9.140625" style="2096" customWidth="1"/>
    <col min="12822" max="13057" width="11.5703125" style="2096"/>
    <col min="13058" max="13058" width="3" style="2096" customWidth="1"/>
    <col min="13059" max="13059" width="29.5703125" style="2096" customWidth="1"/>
    <col min="13060" max="13060" width="11.5703125" style="2096"/>
    <col min="13061" max="13061" width="12.28515625" style="2096" customWidth="1"/>
    <col min="13062" max="13076" width="8.7109375" style="2096" customWidth="1"/>
    <col min="13077" max="13077" width="9.140625" style="2096" customWidth="1"/>
    <col min="13078" max="13313" width="11.5703125" style="2096"/>
    <col min="13314" max="13314" width="3" style="2096" customWidth="1"/>
    <col min="13315" max="13315" width="29.5703125" style="2096" customWidth="1"/>
    <col min="13316" max="13316" width="11.5703125" style="2096"/>
    <col min="13317" max="13317" width="12.28515625" style="2096" customWidth="1"/>
    <col min="13318" max="13332" width="8.7109375" style="2096" customWidth="1"/>
    <col min="13333" max="13333" width="9.140625" style="2096" customWidth="1"/>
    <col min="13334" max="13569" width="11.5703125" style="2096"/>
    <col min="13570" max="13570" width="3" style="2096" customWidth="1"/>
    <col min="13571" max="13571" width="29.5703125" style="2096" customWidth="1"/>
    <col min="13572" max="13572" width="11.5703125" style="2096"/>
    <col min="13573" max="13573" width="12.28515625" style="2096" customWidth="1"/>
    <col min="13574" max="13588" width="8.7109375" style="2096" customWidth="1"/>
    <col min="13589" max="13589" width="9.140625" style="2096" customWidth="1"/>
    <col min="13590" max="13825" width="11.5703125" style="2096"/>
    <col min="13826" max="13826" width="3" style="2096" customWidth="1"/>
    <col min="13827" max="13827" width="29.5703125" style="2096" customWidth="1"/>
    <col min="13828" max="13828" width="11.5703125" style="2096"/>
    <col min="13829" max="13829" width="12.28515625" style="2096" customWidth="1"/>
    <col min="13830" max="13844" width="8.7109375" style="2096" customWidth="1"/>
    <col min="13845" max="13845" width="9.140625" style="2096" customWidth="1"/>
    <col min="13846" max="14081" width="11.5703125" style="2096"/>
    <col min="14082" max="14082" width="3" style="2096" customWidth="1"/>
    <col min="14083" max="14083" width="29.5703125" style="2096" customWidth="1"/>
    <col min="14084" max="14084" width="11.5703125" style="2096"/>
    <col min="14085" max="14085" width="12.28515625" style="2096" customWidth="1"/>
    <col min="14086" max="14100" width="8.7109375" style="2096" customWidth="1"/>
    <col min="14101" max="14101" width="9.140625" style="2096" customWidth="1"/>
    <col min="14102" max="14337" width="11.5703125" style="2096"/>
    <col min="14338" max="14338" width="3" style="2096" customWidth="1"/>
    <col min="14339" max="14339" width="29.5703125" style="2096" customWidth="1"/>
    <col min="14340" max="14340" width="11.5703125" style="2096"/>
    <col min="14341" max="14341" width="12.28515625" style="2096" customWidth="1"/>
    <col min="14342" max="14356" width="8.7109375" style="2096" customWidth="1"/>
    <col min="14357" max="14357" width="9.140625" style="2096" customWidth="1"/>
    <col min="14358" max="14593" width="11.5703125" style="2096"/>
    <col min="14594" max="14594" width="3" style="2096" customWidth="1"/>
    <col min="14595" max="14595" width="29.5703125" style="2096" customWidth="1"/>
    <col min="14596" max="14596" width="11.5703125" style="2096"/>
    <col min="14597" max="14597" width="12.28515625" style="2096" customWidth="1"/>
    <col min="14598" max="14612" width="8.7109375" style="2096" customWidth="1"/>
    <col min="14613" max="14613" width="9.140625" style="2096" customWidth="1"/>
    <col min="14614" max="14849" width="11.5703125" style="2096"/>
    <col min="14850" max="14850" width="3" style="2096" customWidth="1"/>
    <col min="14851" max="14851" width="29.5703125" style="2096" customWidth="1"/>
    <col min="14852" max="14852" width="11.5703125" style="2096"/>
    <col min="14853" max="14853" width="12.28515625" style="2096" customWidth="1"/>
    <col min="14854" max="14868" width="8.7109375" style="2096" customWidth="1"/>
    <col min="14869" max="14869" width="9.140625" style="2096" customWidth="1"/>
    <col min="14870" max="15105" width="11.5703125" style="2096"/>
    <col min="15106" max="15106" width="3" style="2096" customWidth="1"/>
    <col min="15107" max="15107" width="29.5703125" style="2096" customWidth="1"/>
    <col min="15108" max="15108" width="11.5703125" style="2096"/>
    <col min="15109" max="15109" width="12.28515625" style="2096" customWidth="1"/>
    <col min="15110" max="15124" width="8.7109375" style="2096" customWidth="1"/>
    <col min="15125" max="15125" width="9.140625" style="2096" customWidth="1"/>
    <col min="15126" max="15361" width="11.5703125" style="2096"/>
    <col min="15362" max="15362" width="3" style="2096" customWidth="1"/>
    <col min="15363" max="15363" width="29.5703125" style="2096" customWidth="1"/>
    <col min="15364" max="15364" width="11.5703125" style="2096"/>
    <col min="15365" max="15365" width="12.28515625" style="2096" customWidth="1"/>
    <col min="15366" max="15380" width="8.7109375" style="2096" customWidth="1"/>
    <col min="15381" max="15381" width="9.140625" style="2096" customWidth="1"/>
    <col min="15382" max="15617" width="11.5703125" style="2096"/>
    <col min="15618" max="15618" width="3" style="2096" customWidth="1"/>
    <col min="15619" max="15619" width="29.5703125" style="2096" customWidth="1"/>
    <col min="15620" max="15620" width="11.5703125" style="2096"/>
    <col min="15621" max="15621" width="12.28515625" style="2096" customWidth="1"/>
    <col min="15622" max="15636" width="8.7109375" style="2096" customWidth="1"/>
    <col min="15637" max="15637" width="9.140625" style="2096" customWidth="1"/>
    <col min="15638" max="15873" width="11.5703125" style="2096"/>
    <col min="15874" max="15874" width="3" style="2096" customWidth="1"/>
    <col min="15875" max="15875" width="29.5703125" style="2096" customWidth="1"/>
    <col min="15876" max="15876" width="11.5703125" style="2096"/>
    <col min="15877" max="15877" width="12.28515625" style="2096" customWidth="1"/>
    <col min="15878" max="15892" width="8.7109375" style="2096" customWidth="1"/>
    <col min="15893" max="15893" width="9.140625" style="2096" customWidth="1"/>
    <col min="15894" max="16129" width="11.5703125" style="2096"/>
    <col min="16130" max="16130" width="3" style="2096" customWidth="1"/>
    <col min="16131" max="16131" width="29.5703125" style="2096" customWidth="1"/>
    <col min="16132" max="16132" width="11.5703125" style="2096"/>
    <col min="16133" max="16133" width="12.28515625" style="2096" customWidth="1"/>
    <col min="16134" max="16148" width="8.7109375" style="2096" customWidth="1"/>
    <col min="16149" max="16149" width="9.140625" style="2096" customWidth="1"/>
    <col min="16150" max="16384" width="11.5703125" style="2096"/>
  </cols>
  <sheetData>
    <row r="2" spans="2:21" ht="15" customHeight="1" x14ac:dyDescent="0.15">
      <c r="B2" s="2116" t="s">
        <v>3117</v>
      </c>
      <c r="C2" s="2116"/>
      <c r="D2" s="2116"/>
      <c r="E2" s="2116"/>
      <c r="F2" s="2095"/>
      <c r="G2" s="2095"/>
    </row>
    <row r="3" spans="2:21" ht="15" customHeight="1" thickBot="1" x14ac:dyDescent="0.2">
      <c r="B3" s="2116" t="s">
        <v>3118</v>
      </c>
      <c r="D3" s="2116"/>
      <c r="E3" s="2116"/>
      <c r="F3" s="2095"/>
      <c r="G3" s="2095"/>
    </row>
    <row r="4" spans="2:21" ht="12.75" customHeight="1" thickBot="1" x14ac:dyDescent="0.2">
      <c r="B4" s="4737" t="s">
        <v>3112</v>
      </c>
      <c r="C4" s="4735" t="s">
        <v>3119</v>
      </c>
      <c r="D4" s="4735"/>
      <c r="E4" s="4740" t="s">
        <v>3825</v>
      </c>
      <c r="F4" s="4740"/>
      <c r="G4" s="4740"/>
      <c r="H4" s="4740"/>
      <c r="I4" s="4740"/>
      <c r="J4" s="4740"/>
      <c r="K4" s="4740"/>
      <c r="L4" s="4740"/>
      <c r="M4" s="4740"/>
      <c r="N4" s="4740"/>
      <c r="O4" s="4740"/>
      <c r="P4" s="4740"/>
      <c r="Q4" s="4740"/>
      <c r="R4" s="4740"/>
      <c r="S4" s="4740"/>
      <c r="T4" s="4740"/>
      <c r="U4" s="4741"/>
    </row>
    <row r="5" spans="2:21" ht="15" customHeight="1" thickBot="1" x14ac:dyDescent="0.2">
      <c r="B5" s="4738"/>
      <c r="C5" s="4736"/>
      <c r="D5" s="4736"/>
      <c r="E5" s="2109">
        <v>0</v>
      </c>
      <c r="F5" s="2109">
        <v>0</v>
      </c>
      <c r="G5" s="2109">
        <v>1</v>
      </c>
      <c r="H5" s="2109">
        <f>G5+1</f>
        <v>2</v>
      </c>
      <c r="I5" s="2109">
        <f>H5+1</f>
        <v>3</v>
      </c>
      <c r="J5" s="2109">
        <f t="shared" ref="J5" si="0">I5+1</f>
        <v>4</v>
      </c>
      <c r="K5" s="2109">
        <f t="shared" ref="K5" si="1">J5+1</f>
        <v>5</v>
      </c>
      <c r="L5" s="2109">
        <f t="shared" ref="L5" si="2">K5+1</f>
        <v>6</v>
      </c>
      <c r="M5" s="2109">
        <f t="shared" ref="M5" si="3">L5+1</f>
        <v>7</v>
      </c>
      <c r="N5" s="2109">
        <f t="shared" ref="N5" si="4">M5+1</f>
        <v>8</v>
      </c>
      <c r="O5" s="2109">
        <f t="shared" ref="O5" si="5">N5+1</f>
        <v>9</v>
      </c>
      <c r="P5" s="2109">
        <f t="shared" ref="P5" si="6">O5+1</f>
        <v>10</v>
      </c>
      <c r="Q5" s="2109">
        <f t="shared" ref="Q5" si="7">P5+1</f>
        <v>11</v>
      </c>
      <c r="R5" s="2109">
        <f t="shared" ref="R5" si="8">Q5+1</f>
        <v>12</v>
      </c>
      <c r="S5" s="2109">
        <f t="shared" ref="S5" si="9">R5+1</f>
        <v>13</v>
      </c>
      <c r="T5" s="2109">
        <f t="shared" ref="T5" si="10">S5+1</f>
        <v>14</v>
      </c>
      <c r="U5" s="2110">
        <f t="shared" ref="U5" si="11">T5+1</f>
        <v>15</v>
      </c>
    </row>
    <row r="6" spans="2:21" ht="30" customHeight="1" thickBot="1" x14ac:dyDescent="0.2">
      <c r="B6" s="4739"/>
      <c r="C6" s="2106" t="s">
        <v>3120</v>
      </c>
      <c r="D6" s="2106" t="s">
        <v>3121</v>
      </c>
      <c r="E6" s="2107">
        <v>2018</v>
      </c>
      <c r="F6" s="2107">
        <f>E6+1</f>
        <v>2019</v>
      </c>
      <c r="G6" s="2107">
        <f t="shared" ref="G6" si="12">F6+1</f>
        <v>2020</v>
      </c>
      <c r="H6" s="2107">
        <f t="shared" ref="H6" si="13">G6+1</f>
        <v>2021</v>
      </c>
      <c r="I6" s="2107">
        <f t="shared" ref="I6" si="14">H6+1</f>
        <v>2022</v>
      </c>
      <c r="J6" s="2107">
        <f t="shared" ref="J6" si="15">I6+1</f>
        <v>2023</v>
      </c>
      <c r="K6" s="2107">
        <f t="shared" ref="K6" si="16">J6+1</f>
        <v>2024</v>
      </c>
      <c r="L6" s="2107">
        <f t="shared" ref="L6" si="17">K6+1</f>
        <v>2025</v>
      </c>
      <c r="M6" s="2107">
        <f t="shared" ref="M6" si="18">L6+1</f>
        <v>2026</v>
      </c>
      <c r="N6" s="2107">
        <f t="shared" ref="N6" si="19">M6+1</f>
        <v>2027</v>
      </c>
      <c r="O6" s="2107">
        <f t="shared" ref="O6" si="20">N6+1</f>
        <v>2028</v>
      </c>
      <c r="P6" s="2107">
        <f t="shared" ref="P6" si="21">O6+1</f>
        <v>2029</v>
      </c>
      <c r="Q6" s="2107">
        <f t="shared" ref="Q6" si="22">P6+1</f>
        <v>2030</v>
      </c>
      <c r="R6" s="2107">
        <f t="shared" ref="R6" si="23">Q6+1</f>
        <v>2031</v>
      </c>
      <c r="S6" s="2107">
        <f t="shared" ref="S6" si="24">R6+1</f>
        <v>2032</v>
      </c>
      <c r="T6" s="2107">
        <f t="shared" ref="T6" si="25">S6+1</f>
        <v>2033</v>
      </c>
      <c r="U6" s="2108">
        <f t="shared" ref="U6" si="26">T6+1</f>
        <v>2034</v>
      </c>
    </row>
    <row r="7" spans="2:21" ht="11.25" thickBot="1" x14ac:dyDescent="0.2">
      <c r="B7" s="2099" t="s">
        <v>206</v>
      </c>
      <c r="C7" s="2100">
        <v>0.8</v>
      </c>
      <c r="D7" s="2100">
        <v>0.2</v>
      </c>
      <c r="E7" s="2101" t="e">
        <f>'Paso 1.2 Final'!C6*'Paso 1.3.1'!$C$7</f>
        <v>#DIV/0!</v>
      </c>
      <c r="F7" s="2101" t="e">
        <f>'Paso 1.2 Final'!D6*'Paso 1.3.1'!$C$7</f>
        <v>#DIV/0!</v>
      </c>
      <c r="G7" s="2101" t="e">
        <f>'Paso 1.2 Final'!E6*'Paso 1.3.1'!$C$7</f>
        <v>#DIV/0!</v>
      </c>
      <c r="H7" s="2101" t="e">
        <f>'Paso 1.2 Final'!F6*'Paso 1.3.1'!$C$7</f>
        <v>#DIV/0!</v>
      </c>
      <c r="I7" s="2101" t="e">
        <f>'Paso 1.2 Final'!G6*'Paso 1.3.1'!$C$7</f>
        <v>#DIV/0!</v>
      </c>
      <c r="J7" s="2101" t="e">
        <f>'Paso 1.2 Final'!H6*'Paso 1.3.1'!$C$7</f>
        <v>#DIV/0!</v>
      </c>
      <c r="K7" s="2101" t="e">
        <f>'Paso 1.2 Final'!I6*'Paso 1.3.1'!$C$7</f>
        <v>#DIV/0!</v>
      </c>
      <c r="L7" s="2101" t="e">
        <f>'Paso 1.2 Final'!J6*'Paso 1.3.1'!$C$7</f>
        <v>#DIV/0!</v>
      </c>
      <c r="M7" s="2101" t="e">
        <f>'Paso 1.2 Final'!K6*'Paso 1.3.1'!$C$7</f>
        <v>#DIV/0!</v>
      </c>
      <c r="N7" s="2101" t="e">
        <f>'Paso 1.2 Final'!L6*'Paso 1.3.1'!$C$7</f>
        <v>#DIV/0!</v>
      </c>
      <c r="O7" s="2101" t="e">
        <f>'Paso 1.2 Final'!M6*'Paso 1.3.1'!$C$7</f>
        <v>#DIV/0!</v>
      </c>
      <c r="P7" s="2101" t="e">
        <f>'Paso 1.2 Final'!N6*'Paso 1.3.1'!$C$7</f>
        <v>#DIV/0!</v>
      </c>
      <c r="Q7" s="2101" t="e">
        <f>'Paso 1.2 Final'!O6*'Paso 1.3.1'!$C$7</f>
        <v>#DIV/0!</v>
      </c>
      <c r="R7" s="2101" t="e">
        <f>'Paso 1.2 Final'!P6*'Paso 1.3.1'!$C$7</f>
        <v>#DIV/0!</v>
      </c>
      <c r="S7" s="2101" t="e">
        <f>'Paso 1.2 Final'!Q6*'Paso 1.3.1'!$C$7</f>
        <v>#DIV/0!</v>
      </c>
      <c r="T7" s="2101" t="e">
        <f>'Paso 1.2 Final'!R6*'Paso 1.3.1'!$C$7</f>
        <v>#DIV/0!</v>
      </c>
      <c r="U7" s="2101" t="e">
        <f>'Paso 1.2 Final'!S6*'Paso 1.3.1'!$C$7</f>
        <v>#DIV/0!</v>
      </c>
    </row>
    <row r="8" spans="2:21" ht="11.25" thickBot="1" x14ac:dyDescent="0.2">
      <c r="B8" s="2099" t="s">
        <v>201</v>
      </c>
      <c r="C8" s="2100">
        <v>0.8</v>
      </c>
      <c r="D8" s="2100">
        <v>0.2</v>
      </c>
      <c r="E8" s="2102" t="e">
        <f>'Paso 1.2 Final'!C7*'Paso 1.3.1'!$C$8</f>
        <v>#DIV/0!</v>
      </c>
      <c r="F8" s="2102" t="e">
        <f>'Paso 1.2 Final'!D7*'Paso 1.3.1'!$C$8</f>
        <v>#DIV/0!</v>
      </c>
      <c r="G8" s="2102" t="e">
        <f>'Paso 1.2 Final'!E7*'Paso 1.3.1'!$C$8</f>
        <v>#DIV/0!</v>
      </c>
      <c r="H8" s="2102" t="e">
        <f>'Paso 1.2 Final'!F7*'Paso 1.3.1'!$C$8</f>
        <v>#DIV/0!</v>
      </c>
      <c r="I8" s="2102" t="e">
        <f>'Paso 1.2 Final'!G7*'Paso 1.3.1'!$C$8</f>
        <v>#DIV/0!</v>
      </c>
      <c r="J8" s="2102" t="e">
        <f>'Paso 1.2 Final'!H7*'Paso 1.3.1'!$C$8</f>
        <v>#DIV/0!</v>
      </c>
      <c r="K8" s="2102" t="e">
        <f>'Paso 1.2 Final'!I7*'Paso 1.3.1'!$C$8</f>
        <v>#DIV/0!</v>
      </c>
      <c r="L8" s="2102" t="e">
        <f>'Paso 1.2 Final'!J7*'Paso 1.3.1'!$C$8</f>
        <v>#DIV/0!</v>
      </c>
      <c r="M8" s="2102" t="e">
        <f>'Paso 1.2 Final'!K7*'Paso 1.3.1'!$C$8</f>
        <v>#DIV/0!</v>
      </c>
      <c r="N8" s="2102" t="e">
        <f>'Paso 1.2 Final'!L7*'Paso 1.3.1'!$C$8</f>
        <v>#DIV/0!</v>
      </c>
      <c r="O8" s="2102" t="e">
        <f>'Paso 1.2 Final'!M7*'Paso 1.3.1'!$C$8</f>
        <v>#DIV/0!</v>
      </c>
      <c r="P8" s="2102" t="e">
        <f>'Paso 1.2 Final'!N7*'Paso 1.3.1'!$C$8</f>
        <v>#DIV/0!</v>
      </c>
      <c r="Q8" s="2102" t="e">
        <f>'Paso 1.2 Final'!O7*'Paso 1.3.1'!$C$8</f>
        <v>#DIV/0!</v>
      </c>
      <c r="R8" s="2102" t="e">
        <f>'Paso 1.2 Final'!P7*'Paso 1.3.1'!$C$8</f>
        <v>#DIV/0!</v>
      </c>
      <c r="S8" s="2102" t="e">
        <f>'Paso 1.2 Final'!Q7*'Paso 1.3.1'!$C$8</f>
        <v>#DIV/0!</v>
      </c>
      <c r="T8" s="2102" t="e">
        <f>'Paso 1.2 Final'!R7*'Paso 1.3.1'!$C$8</f>
        <v>#DIV/0!</v>
      </c>
      <c r="U8" s="2102" t="e">
        <f>'Paso 1.2 Final'!S7*'Paso 1.3.1'!$C$8</f>
        <v>#DIV/0!</v>
      </c>
    </row>
    <row r="9" spans="2:21" ht="11.25" thickBot="1" x14ac:dyDescent="0.2">
      <c r="B9" s="2112" t="s">
        <v>202</v>
      </c>
      <c r="C9" s="2113">
        <v>0.8</v>
      </c>
      <c r="D9" s="2113">
        <v>0.2</v>
      </c>
      <c r="E9" s="2114"/>
      <c r="F9" s="2114"/>
      <c r="G9" s="2114"/>
      <c r="H9" s="2114"/>
      <c r="I9" s="2114"/>
      <c r="J9" s="2114"/>
      <c r="K9" s="2114"/>
      <c r="L9" s="2114"/>
      <c r="M9" s="2114"/>
      <c r="N9" s="2114"/>
      <c r="O9" s="2114"/>
      <c r="P9" s="2114"/>
      <c r="Q9" s="2114"/>
      <c r="R9" s="2114"/>
      <c r="S9" s="2114"/>
      <c r="T9" s="2114"/>
      <c r="U9" s="2114"/>
    </row>
    <row r="10" spans="2:21" ht="11.25" thickBot="1" x14ac:dyDescent="0.2">
      <c r="B10" s="2112" t="s">
        <v>203</v>
      </c>
      <c r="C10" s="2113">
        <v>0.8</v>
      </c>
      <c r="D10" s="2113">
        <v>0.2</v>
      </c>
      <c r="E10" s="2114"/>
      <c r="F10" s="2114"/>
      <c r="G10" s="2114"/>
      <c r="H10" s="2114"/>
      <c r="I10" s="2114"/>
      <c r="J10" s="2114"/>
      <c r="K10" s="2114"/>
      <c r="L10" s="2114"/>
      <c r="M10" s="2114"/>
      <c r="N10" s="2114"/>
      <c r="O10" s="2114"/>
      <c r="P10" s="2114"/>
      <c r="Q10" s="2114"/>
      <c r="R10" s="2114"/>
      <c r="S10" s="2114"/>
      <c r="T10" s="2114"/>
      <c r="U10" s="2114"/>
    </row>
    <row r="11" spans="2:21" ht="11.25" thickBot="1" x14ac:dyDescent="0.2">
      <c r="B11" s="2112" t="s">
        <v>204</v>
      </c>
      <c r="C11" s="2113">
        <v>0.8</v>
      </c>
      <c r="D11" s="2113">
        <v>0.2</v>
      </c>
      <c r="E11" s="2114"/>
      <c r="F11" s="2114"/>
      <c r="G11" s="2114"/>
      <c r="H11" s="2114"/>
      <c r="I11" s="2114"/>
      <c r="J11" s="2114"/>
      <c r="K11" s="2114"/>
      <c r="L11" s="2114"/>
      <c r="M11" s="2114"/>
      <c r="N11" s="2114"/>
      <c r="O11" s="2114"/>
      <c r="P11" s="2114"/>
      <c r="Q11" s="2114"/>
      <c r="R11" s="2114"/>
      <c r="S11" s="2114"/>
      <c r="T11" s="2114"/>
      <c r="U11" s="2114"/>
    </row>
    <row r="12" spans="2:21" ht="11.25" thickBot="1" x14ac:dyDescent="0.2">
      <c r="B12" s="2099" t="s">
        <v>205</v>
      </c>
      <c r="C12" s="2100">
        <v>0.8</v>
      </c>
      <c r="D12" s="2100">
        <v>0.2</v>
      </c>
      <c r="E12" s="2102" t="e">
        <f>'Paso 1.2 Final'!C11*'Paso 1.3.1'!$C$12</f>
        <v>#DIV/0!</v>
      </c>
      <c r="F12" s="2102" t="e">
        <f>'Paso 1.2 Final'!D11*'Paso 1.3.1'!$C$12</f>
        <v>#DIV/0!</v>
      </c>
      <c r="G12" s="2102" t="e">
        <f>'Paso 1.2 Final'!E11*'Paso 1.3.1'!$C$12</f>
        <v>#DIV/0!</v>
      </c>
      <c r="H12" s="2102" t="e">
        <f>'Paso 1.2 Final'!F11*'Paso 1.3.1'!$C$12</f>
        <v>#DIV/0!</v>
      </c>
      <c r="I12" s="2102" t="e">
        <f>'Paso 1.2 Final'!G11*'Paso 1.3.1'!$C$12</f>
        <v>#DIV/0!</v>
      </c>
      <c r="J12" s="2102" t="e">
        <f>'Paso 1.2 Final'!H11*'Paso 1.3.1'!$C$12</f>
        <v>#DIV/0!</v>
      </c>
      <c r="K12" s="2102" t="e">
        <f>'Paso 1.2 Final'!I11*'Paso 1.3.1'!$C$12</f>
        <v>#DIV/0!</v>
      </c>
      <c r="L12" s="2102" t="e">
        <f>'Paso 1.2 Final'!J11*'Paso 1.3.1'!$C$12</f>
        <v>#DIV/0!</v>
      </c>
      <c r="M12" s="2102" t="e">
        <f>'Paso 1.2 Final'!K11*'Paso 1.3.1'!$C$12</f>
        <v>#DIV/0!</v>
      </c>
      <c r="N12" s="2102" t="e">
        <f>'Paso 1.2 Final'!L11*'Paso 1.3.1'!$C$12</f>
        <v>#DIV/0!</v>
      </c>
      <c r="O12" s="2102" t="e">
        <f>'Paso 1.2 Final'!M11*'Paso 1.3.1'!$C$12</f>
        <v>#DIV/0!</v>
      </c>
      <c r="P12" s="2102" t="e">
        <f>'Paso 1.2 Final'!N11*'Paso 1.3.1'!$C$12</f>
        <v>#DIV/0!</v>
      </c>
      <c r="Q12" s="2102" t="e">
        <f>'Paso 1.2 Final'!O11*'Paso 1.3.1'!$C$12</f>
        <v>#DIV/0!</v>
      </c>
      <c r="R12" s="2102" t="e">
        <f>'Paso 1.2 Final'!P11*'Paso 1.3.1'!$C$12</f>
        <v>#DIV/0!</v>
      </c>
      <c r="S12" s="2102" t="e">
        <f>'Paso 1.2 Final'!Q11*'Paso 1.3.1'!$C$12</f>
        <v>#DIV/0!</v>
      </c>
      <c r="T12" s="2102" t="e">
        <f>'Paso 1.2 Final'!R11*'Paso 1.3.1'!$C$12</f>
        <v>#DIV/0!</v>
      </c>
      <c r="U12" s="2102" t="e">
        <f>'Paso 1.2 Final'!S11*'Paso 1.3.1'!$C$12</f>
        <v>#DIV/0!</v>
      </c>
    </row>
    <row r="13" spans="2:21" ht="11.25" thickBot="1" x14ac:dyDescent="0.2">
      <c r="B13" s="2112" t="s">
        <v>2892</v>
      </c>
      <c r="C13" s="2113">
        <v>0.8</v>
      </c>
      <c r="D13" s="2113">
        <v>0.2</v>
      </c>
      <c r="E13" s="2114"/>
      <c r="F13" s="2114"/>
      <c r="G13" s="2114"/>
      <c r="H13" s="2114"/>
      <c r="I13" s="2114"/>
      <c r="J13" s="2114"/>
      <c r="K13" s="2114"/>
      <c r="L13" s="2114"/>
      <c r="M13" s="2114"/>
      <c r="N13" s="2114"/>
      <c r="O13" s="2114"/>
      <c r="P13" s="2114"/>
      <c r="Q13" s="2114"/>
      <c r="R13" s="2114"/>
      <c r="S13" s="2114"/>
      <c r="T13" s="2114"/>
      <c r="U13" s="2114"/>
    </row>
    <row r="14" spans="2:21" ht="11.25" thickBot="1" x14ac:dyDescent="0.2">
      <c r="B14" s="2112" t="s">
        <v>84</v>
      </c>
      <c r="C14" s="2113">
        <v>0.8</v>
      </c>
      <c r="D14" s="2113">
        <v>0.2</v>
      </c>
      <c r="E14" s="2114"/>
      <c r="F14" s="2114"/>
      <c r="G14" s="2114"/>
      <c r="H14" s="2114"/>
      <c r="I14" s="2114"/>
      <c r="J14" s="2114"/>
      <c r="K14" s="2114"/>
      <c r="L14" s="2114"/>
      <c r="M14" s="2114"/>
      <c r="N14" s="2114"/>
      <c r="O14" s="2114"/>
      <c r="P14" s="2114"/>
      <c r="Q14" s="2114"/>
      <c r="R14" s="2114"/>
      <c r="S14" s="2114"/>
      <c r="T14" s="2114"/>
      <c r="U14" s="2114"/>
    </row>
    <row r="15" spans="2:21" ht="11.25" thickBot="1" x14ac:dyDescent="0.2">
      <c r="B15" s="2112" t="s">
        <v>208</v>
      </c>
      <c r="C15" s="2113">
        <v>0.8</v>
      </c>
      <c r="D15" s="2113">
        <v>0.2</v>
      </c>
      <c r="E15" s="2114"/>
      <c r="F15" s="2114"/>
      <c r="G15" s="2114"/>
      <c r="H15" s="2114"/>
      <c r="I15" s="2114"/>
      <c r="J15" s="2114"/>
      <c r="K15" s="2114"/>
      <c r="L15" s="2114"/>
      <c r="M15" s="2114"/>
      <c r="N15" s="2114"/>
      <c r="O15" s="2114"/>
      <c r="P15" s="2114"/>
      <c r="Q15" s="2114"/>
      <c r="R15" s="2114"/>
      <c r="S15" s="2114"/>
      <c r="T15" s="2114"/>
      <c r="U15" s="2114"/>
    </row>
    <row r="16" spans="2:21" ht="11.25" thickBot="1" x14ac:dyDescent="0.2">
      <c r="B16" s="2112" t="s">
        <v>209</v>
      </c>
      <c r="C16" s="2113">
        <v>0.8</v>
      </c>
      <c r="D16" s="2113">
        <v>0.2</v>
      </c>
      <c r="E16" s="2114"/>
      <c r="F16" s="2114"/>
      <c r="G16" s="2114"/>
      <c r="H16" s="2114"/>
      <c r="I16" s="2114"/>
      <c r="J16" s="2114"/>
      <c r="K16" s="2114"/>
      <c r="L16" s="2114"/>
      <c r="M16" s="2114"/>
      <c r="N16" s="2114"/>
      <c r="O16" s="2114"/>
      <c r="P16" s="2114"/>
      <c r="Q16" s="2114"/>
      <c r="R16" s="2114"/>
      <c r="S16" s="2114"/>
      <c r="T16" s="2114"/>
      <c r="U16" s="2114"/>
    </row>
    <row r="17" spans="2:21" ht="11.25" thickBot="1" x14ac:dyDescent="0.2">
      <c r="B17" s="2099" t="s">
        <v>210</v>
      </c>
      <c r="C17" s="2100">
        <v>0.8</v>
      </c>
      <c r="D17" s="2100">
        <v>0.2</v>
      </c>
      <c r="E17" s="2102" t="e">
        <f>'Paso 1.2 Final'!C16*'Paso 1.3.1'!$C$17</f>
        <v>#DIV/0!</v>
      </c>
      <c r="F17" s="2102" t="e">
        <f>'Paso 1.2 Final'!D16*'Paso 1.3.1'!$C$17</f>
        <v>#DIV/0!</v>
      </c>
      <c r="G17" s="2102" t="e">
        <f>'Paso 1.2 Final'!E16*'Paso 1.3.1'!$C$17</f>
        <v>#DIV/0!</v>
      </c>
      <c r="H17" s="2102" t="e">
        <f>'Paso 1.2 Final'!F16*'Paso 1.3.1'!$C$17</f>
        <v>#DIV/0!</v>
      </c>
      <c r="I17" s="2102" t="e">
        <f>'Paso 1.2 Final'!G16*'Paso 1.3.1'!$C$17</f>
        <v>#DIV/0!</v>
      </c>
      <c r="J17" s="2102" t="e">
        <f>'Paso 1.2 Final'!H16*'Paso 1.3.1'!$C$17</f>
        <v>#DIV/0!</v>
      </c>
      <c r="K17" s="2102" t="e">
        <f>'Paso 1.2 Final'!I16*'Paso 1.3.1'!$C$17</f>
        <v>#DIV/0!</v>
      </c>
      <c r="L17" s="2102" t="e">
        <f>'Paso 1.2 Final'!J16*'Paso 1.3.1'!$C$17</f>
        <v>#DIV/0!</v>
      </c>
      <c r="M17" s="2102" t="e">
        <f>'Paso 1.2 Final'!K16*'Paso 1.3.1'!$C$17</f>
        <v>#DIV/0!</v>
      </c>
      <c r="N17" s="2102" t="e">
        <f>'Paso 1.2 Final'!L16*'Paso 1.3.1'!$C$17</f>
        <v>#DIV/0!</v>
      </c>
      <c r="O17" s="2102" t="e">
        <f>'Paso 1.2 Final'!M16*'Paso 1.3.1'!$C$17</f>
        <v>#DIV/0!</v>
      </c>
      <c r="P17" s="2102" t="e">
        <f>'Paso 1.2 Final'!N16*'Paso 1.3.1'!$C$17</f>
        <v>#DIV/0!</v>
      </c>
      <c r="Q17" s="2102" t="e">
        <f>'Paso 1.2 Final'!O16*'Paso 1.3.1'!$C$17</f>
        <v>#DIV/0!</v>
      </c>
      <c r="R17" s="2102" t="e">
        <f>'Paso 1.2 Final'!P16*'Paso 1.3.1'!$C$17</f>
        <v>#DIV/0!</v>
      </c>
      <c r="S17" s="2102" t="e">
        <f>'Paso 1.2 Final'!Q16*'Paso 1.3.1'!$C$17</f>
        <v>#DIV/0!</v>
      </c>
      <c r="T17" s="2102" t="e">
        <f>'Paso 1.2 Final'!R16*'Paso 1.3.1'!$C$17</f>
        <v>#DIV/0!</v>
      </c>
      <c r="U17" s="2102" t="e">
        <f>'Paso 1.2 Final'!S16*'Paso 1.3.1'!$C$17</f>
        <v>#DIV/0!</v>
      </c>
    </row>
    <row r="18" spans="2:21" ht="11.25" thickBot="1" x14ac:dyDescent="0.2">
      <c r="B18" s="2112" t="s">
        <v>211</v>
      </c>
      <c r="C18" s="2113">
        <v>0.8</v>
      </c>
      <c r="D18" s="2113">
        <v>0.2</v>
      </c>
      <c r="E18" s="2114"/>
      <c r="F18" s="2114"/>
      <c r="G18" s="2114"/>
      <c r="H18" s="2114"/>
      <c r="I18" s="2114"/>
      <c r="J18" s="2114"/>
      <c r="K18" s="2114"/>
      <c r="L18" s="2114"/>
      <c r="M18" s="2114"/>
      <c r="N18" s="2114"/>
      <c r="O18" s="2114"/>
      <c r="P18" s="2114"/>
      <c r="Q18" s="2114"/>
      <c r="R18" s="2114"/>
      <c r="S18" s="2114"/>
      <c r="T18" s="2114"/>
      <c r="U18" s="2114"/>
    </row>
    <row r="19" spans="2:21" ht="11.25" thickBot="1" x14ac:dyDescent="0.2">
      <c r="B19" s="2112" t="s">
        <v>3113</v>
      </c>
      <c r="C19" s="2113">
        <v>0.8</v>
      </c>
      <c r="D19" s="2113">
        <v>0.2</v>
      </c>
      <c r="E19" s="2114"/>
      <c r="F19" s="2114"/>
      <c r="G19" s="2114"/>
      <c r="H19" s="2114"/>
      <c r="I19" s="2114"/>
      <c r="J19" s="2114"/>
      <c r="K19" s="2114"/>
      <c r="L19" s="2114"/>
      <c r="M19" s="2114"/>
      <c r="N19" s="2114"/>
      <c r="O19" s="2114"/>
      <c r="P19" s="2114"/>
      <c r="Q19" s="2114"/>
      <c r="R19" s="2114"/>
      <c r="S19" s="2114"/>
      <c r="T19" s="2114"/>
      <c r="U19" s="2114"/>
    </row>
    <row r="20" spans="2:21" ht="11.25" thickBot="1" x14ac:dyDescent="0.2">
      <c r="B20" s="2112" t="s">
        <v>214</v>
      </c>
      <c r="C20" s="2113">
        <v>0.8</v>
      </c>
      <c r="D20" s="2113">
        <v>0.2</v>
      </c>
      <c r="E20" s="2114"/>
      <c r="F20" s="2114"/>
      <c r="G20" s="2114"/>
      <c r="H20" s="2114"/>
      <c r="I20" s="2114"/>
      <c r="J20" s="2114"/>
      <c r="K20" s="2114"/>
      <c r="L20" s="2114"/>
      <c r="M20" s="2114"/>
      <c r="N20" s="2114"/>
      <c r="O20" s="2114"/>
      <c r="P20" s="2114"/>
      <c r="Q20" s="2114"/>
      <c r="R20" s="2114"/>
      <c r="S20" s="2114"/>
      <c r="T20" s="2114"/>
      <c r="U20" s="2114"/>
    </row>
    <row r="21" spans="2:21" ht="11.25" thickBot="1" x14ac:dyDescent="0.2">
      <c r="B21" s="2112" t="s">
        <v>3114</v>
      </c>
      <c r="C21" s="2113">
        <v>0.8</v>
      </c>
      <c r="D21" s="2113">
        <v>0.2</v>
      </c>
      <c r="E21" s="2114"/>
      <c r="F21" s="2114"/>
      <c r="G21" s="2114"/>
      <c r="H21" s="2114"/>
      <c r="I21" s="2114"/>
      <c r="J21" s="2114"/>
      <c r="K21" s="2114"/>
      <c r="L21" s="2114"/>
      <c r="M21" s="2114"/>
      <c r="N21" s="2114"/>
      <c r="O21" s="2114"/>
      <c r="P21" s="2114"/>
      <c r="Q21" s="2114"/>
      <c r="R21" s="2114"/>
      <c r="S21" s="2114"/>
      <c r="T21" s="2114"/>
      <c r="U21" s="2114"/>
    </row>
    <row r="22" spans="2:21" ht="11.25" thickBot="1" x14ac:dyDescent="0.2">
      <c r="B22" s="2099" t="s">
        <v>216</v>
      </c>
      <c r="C22" s="2100">
        <v>0.8</v>
      </c>
      <c r="D22" s="2100">
        <v>0.2</v>
      </c>
      <c r="E22" s="2101" t="e">
        <f>'Paso 1.2 Final'!C21*'Paso 1.3.1'!$C$22</f>
        <v>#REF!</v>
      </c>
      <c r="F22" s="2101" t="e">
        <f>'Paso 1.2 Final'!D21*'Paso 1.3.1'!$C$22</f>
        <v>#REF!</v>
      </c>
      <c r="G22" s="2101" t="e">
        <f>'Paso 1.2 Final'!E21*'Paso 1.3.1'!$C$22</f>
        <v>#REF!</v>
      </c>
      <c r="H22" s="2101" t="e">
        <f>'Paso 1.2 Final'!F21*'Paso 1.3.1'!$C$22</f>
        <v>#REF!</v>
      </c>
      <c r="I22" s="2101" t="e">
        <f>'Paso 1.2 Final'!G21*'Paso 1.3.1'!$C$22</f>
        <v>#REF!</v>
      </c>
      <c r="J22" s="2101" t="e">
        <f>'Paso 1.2 Final'!H21*'Paso 1.3.1'!$C$22</f>
        <v>#REF!</v>
      </c>
      <c r="K22" s="2101" t="e">
        <f>'Paso 1.2 Final'!I21*'Paso 1.3.1'!$C$22</f>
        <v>#REF!</v>
      </c>
      <c r="L22" s="2101" t="e">
        <f>'Paso 1.2 Final'!J21*'Paso 1.3.1'!$C$22</f>
        <v>#REF!</v>
      </c>
      <c r="M22" s="2101" t="e">
        <f>'Paso 1.2 Final'!K21*'Paso 1.3.1'!$C$22</f>
        <v>#REF!</v>
      </c>
      <c r="N22" s="2101" t="e">
        <f>'Paso 1.2 Final'!L21*'Paso 1.3.1'!$C$22</f>
        <v>#REF!</v>
      </c>
      <c r="O22" s="2101" t="e">
        <f>'Paso 1.2 Final'!M21*'Paso 1.3.1'!$C$22</f>
        <v>#REF!</v>
      </c>
      <c r="P22" s="2101" t="e">
        <f>'Paso 1.2 Final'!N21*'Paso 1.3.1'!$C$22</f>
        <v>#REF!</v>
      </c>
      <c r="Q22" s="2101" t="e">
        <f>'Paso 1.2 Final'!O21*'Paso 1.3.1'!$C$22</f>
        <v>#REF!</v>
      </c>
      <c r="R22" s="2101" t="e">
        <f>'Paso 1.2 Final'!P21*'Paso 1.3.1'!$C$22</f>
        <v>#REF!</v>
      </c>
      <c r="S22" s="2101" t="e">
        <f>'Paso 1.2 Final'!Q21*'Paso 1.3.1'!$C$22</f>
        <v>#REF!</v>
      </c>
      <c r="T22" s="2101" t="e">
        <f>'Paso 1.2 Final'!R21*'Paso 1.3.1'!$C$22</f>
        <v>#REF!</v>
      </c>
      <c r="U22" s="2101" t="e">
        <f>'Paso 1.2 Final'!S21*'Paso 1.3.1'!$C$22</f>
        <v>#REF!</v>
      </c>
    </row>
    <row r="23" spans="2:21" ht="11.25" thickBot="1" x14ac:dyDescent="0.2">
      <c r="B23" s="2099" t="s">
        <v>217</v>
      </c>
      <c r="C23" s="2100">
        <v>0.8</v>
      </c>
      <c r="D23" s="2100">
        <v>0.2</v>
      </c>
      <c r="E23" s="2101" t="e">
        <f>'Paso 1.2 Final'!C22*'Paso 1.3.1'!$C$23</f>
        <v>#DIV/0!</v>
      </c>
      <c r="F23" s="2101" t="e">
        <f>'Paso 1.2 Final'!D22*'Paso 1.3.1'!$C$23</f>
        <v>#DIV/0!</v>
      </c>
      <c r="G23" s="2101" t="e">
        <f>'Paso 1.2 Final'!E22*'Paso 1.3.1'!$C$23</f>
        <v>#DIV/0!</v>
      </c>
      <c r="H23" s="2101" t="e">
        <f>'Paso 1.2 Final'!F22*'Paso 1.3.1'!$C$23</f>
        <v>#DIV/0!</v>
      </c>
      <c r="I23" s="2101" t="e">
        <f>'Paso 1.2 Final'!G22*'Paso 1.3.1'!$C$23</f>
        <v>#DIV/0!</v>
      </c>
      <c r="J23" s="2101" t="e">
        <f>'Paso 1.2 Final'!H22*'Paso 1.3.1'!$C$23</f>
        <v>#DIV/0!</v>
      </c>
      <c r="K23" s="2101" t="e">
        <f>'Paso 1.2 Final'!I22*'Paso 1.3.1'!$C$23</f>
        <v>#DIV/0!</v>
      </c>
      <c r="L23" s="2101" t="e">
        <f>'Paso 1.2 Final'!J22*'Paso 1.3.1'!$C$23</f>
        <v>#DIV/0!</v>
      </c>
      <c r="M23" s="2101" t="e">
        <f>'Paso 1.2 Final'!K22*'Paso 1.3.1'!$C$23</f>
        <v>#DIV/0!</v>
      </c>
      <c r="N23" s="2101" t="e">
        <f>'Paso 1.2 Final'!L22*'Paso 1.3.1'!$C$23</f>
        <v>#DIV/0!</v>
      </c>
      <c r="O23" s="2101" t="e">
        <f>'Paso 1.2 Final'!M22*'Paso 1.3.1'!$C$23</f>
        <v>#DIV/0!</v>
      </c>
      <c r="P23" s="2101" t="e">
        <f>'Paso 1.2 Final'!N22*'Paso 1.3.1'!$C$23</f>
        <v>#DIV/0!</v>
      </c>
      <c r="Q23" s="2101" t="e">
        <f>'Paso 1.2 Final'!O22*'Paso 1.3.1'!$C$23</f>
        <v>#DIV/0!</v>
      </c>
      <c r="R23" s="2101" t="e">
        <f>'Paso 1.2 Final'!P22*'Paso 1.3.1'!$C$23</f>
        <v>#DIV/0!</v>
      </c>
      <c r="S23" s="2101" t="e">
        <f>'Paso 1.2 Final'!Q22*'Paso 1.3.1'!$C$23</f>
        <v>#DIV/0!</v>
      </c>
      <c r="T23" s="2101" t="e">
        <f>'Paso 1.2 Final'!R22*'Paso 1.3.1'!$C$23</f>
        <v>#DIV/0!</v>
      </c>
      <c r="U23" s="2101" t="e">
        <f>'Paso 1.2 Final'!S22*'Paso 1.3.1'!$C$23</f>
        <v>#DIV/0!</v>
      </c>
    </row>
    <row r="24" spans="2:21" ht="11.25" thickBot="1" x14ac:dyDescent="0.2">
      <c r="B24" s="2099" t="s">
        <v>218</v>
      </c>
      <c r="C24" s="2100">
        <v>0.8</v>
      </c>
      <c r="D24" s="2100">
        <v>0.2</v>
      </c>
      <c r="E24" s="2102" t="e">
        <f>'Paso 1.2 Final'!C23*'Paso 1.3.1'!$C$24</f>
        <v>#REF!</v>
      </c>
      <c r="F24" s="2102" t="e">
        <f>'Paso 1.2 Final'!D23*'Paso 1.3.1'!$C$24</f>
        <v>#REF!</v>
      </c>
      <c r="G24" s="2102" t="e">
        <f>'Paso 1.2 Final'!E23*'Paso 1.3.1'!$C$24</f>
        <v>#REF!</v>
      </c>
      <c r="H24" s="2102" t="e">
        <f>'Paso 1.2 Final'!F23*'Paso 1.3.1'!$C$24</f>
        <v>#REF!</v>
      </c>
      <c r="I24" s="2102" t="e">
        <f>'Paso 1.2 Final'!G23*'Paso 1.3.1'!$C$24</f>
        <v>#REF!</v>
      </c>
      <c r="J24" s="2102" t="e">
        <f>'Paso 1.2 Final'!H23*'Paso 1.3.1'!$C$24</f>
        <v>#REF!</v>
      </c>
      <c r="K24" s="2102" t="e">
        <f>'Paso 1.2 Final'!I23*'Paso 1.3.1'!$C$24</f>
        <v>#REF!</v>
      </c>
      <c r="L24" s="2102" t="e">
        <f>'Paso 1.2 Final'!J23*'Paso 1.3.1'!$C$24</f>
        <v>#REF!</v>
      </c>
      <c r="M24" s="2102" t="e">
        <f>'Paso 1.2 Final'!K23*'Paso 1.3.1'!$C$24</f>
        <v>#REF!</v>
      </c>
      <c r="N24" s="2102" t="e">
        <f>'Paso 1.2 Final'!L23*'Paso 1.3.1'!$C$24</f>
        <v>#REF!</v>
      </c>
      <c r="O24" s="2102" t="e">
        <f>'Paso 1.2 Final'!M23*'Paso 1.3.1'!$C$24</f>
        <v>#REF!</v>
      </c>
      <c r="P24" s="2102" t="e">
        <f>'Paso 1.2 Final'!N23*'Paso 1.3.1'!$C$24</f>
        <v>#REF!</v>
      </c>
      <c r="Q24" s="2102" t="e">
        <f>'Paso 1.2 Final'!O23*'Paso 1.3.1'!$C$24</f>
        <v>#REF!</v>
      </c>
      <c r="R24" s="2102" t="e">
        <f>'Paso 1.2 Final'!P23*'Paso 1.3.1'!$C$24</f>
        <v>#REF!</v>
      </c>
      <c r="S24" s="2102" t="e">
        <f>'Paso 1.2 Final'!Q23*'Paso 1.3.1'!$C$24</f>
        <v>#REF!</v>
      </c>
      <c r="T24" s="2102" t="e">
        <f>'Paso 1.2 Final'!R23*'Paso 1.3.1'!$C$24</f>
        <v>#REF!</v>
      </c>
      <c r="U24" s="2102" t="e">
        <f>'Paso 1.2 Final'!S23*'Paso 1.3.1'!$C$24</f>
        <v>#REF!</v>
      </c>
    </row>
    <row r="25" spans="2:21" ht="11.25" thickBot="1" x14ac:dyDescent="0.2">
      <c r="B25" s="2099" t="s">
        <v>353</v>
      </c>
      <c r="C25" s="2100">
        <v>0.8</v>
      </c>
      <c r="D25" s="2100">
        <v>0.2</v>
      </c>
      <c r="E25" s="2101" t="e">
        <f>'Paso 1.2 Final'!C24*'Paso 1.3.1'!$C$25</f>
        <v>#REF!</v>
      </c>
      <c r="F25" s="2101" t="e">
        <f>'Paso 1.2 Final'!D24*'Paso 1.3.1'!$C$25</f>
        <v>#REF!</v>
      </c>
      <c r="G25" s="2101" t="e">
        <f>'Paso 1.2 Final'!E24*'Paso 1.3.1'!$C$25</f>
        <v>#REF!</v>
      </c>
      <c r="H25" s="2101" t="e">
        <f>'Paso 1.2 Final'!F24*'Paso 1.3.1'!$C$25</f>
        <v>#REF!</v>
      </c>
      <c r="I25" s="2101" t="e">
        <f>'Paso 1.2 Final'!G24*'Paso 1.3.1'!$C$25</f>
        <v>#REF!</v>
      </c>
      <c r="J25" s="2101" t="e">
        <f>'Paso 1.2 Final'!H24*'Paso 1.3.1'!$C$25</f>
        <v>#REF!</v>
      </c>
      <c r="K25" s="2101" t="e">
        <f>'Paso 1.2 Final'!I24*'Paso 1.3.1'!$C$25</f>
        <v>#REF!</v>
      </c>
      <c r="L25" s="2101" t="e">
        <f>'Paso 1.2 Final'!J24*'Paso 1.3.1'!$C$25</f>
        <v>#REF!</v>
      </c>
      <c r="M25" s="2101" t="e">
        <f>'Paso 1.2 Final'!K24*'Paso 1.3.1'!$C$25</f>
        <v>#REF!</v>
      </c>
      <c r="N25" s="2101" t="e">
        <f>'Paso 1.2 Final'!L24*'Paso 1.3.1'!$C$25</f>
        <v>#REF!</v>
      </c>
      <c r="O25" s="2101" t="e">
        <f>'Paso 1.2 Final'!M24*'Paso 1.3.1'!$C$25</f>
        <v>#REF!</v>
      </c>
      <c r="P25" s="2101" t="e">
        <f>'Paso 1.2 Final'!N24*'Paso 1.3.1'!$C$25</f>
        <v>#REF!</v>
      </c>
      <c r="Q25" s="2101" t="e">
        <f>'Paso 1.2 Final'!O24*'Paso 1.3.1'!$C$25</f>
        <v>#REF!</v>
      </c>
      <c r="R25" s="2101" t="e">
        <f>'Paso 1.2 Final'!P24*'Paso 1.3.1'!$C$25</f>
        <v>#REF!</v>
      </c>
      <c r="S25" s="2101" t="e">
        <f>'Paso 1.2 Final'!Q24*'Paso 1.3.1'!$C$25</f>
        <v>#REF!</v>
      </c>
      <c r="T25" s="2101" t="e">
        <f>'Paso 1.2 Final'!R24*'Paso 1.3.1'!$C$25</f>
        <v>#REF!</v>
      </c>
      <c r="U25" s="2101" t="e">
        <f>'Paso 1.2 Final'!S24*'Paso 1.3.1'!$C$25</f>
        <v>#REF!</v>
      </c>
    </row>
    <row r="26" spans="2:21" ht="11.25" thickBot="1" x14ac:dyDescent="0.2">
      <c r="B26" s="2099" t="s">
        <v>220</v>
      </c>
      <c r="C26" s="2100">
        <v>0.8</v>
      </c>
      <c r="D26" s="2100">
        <v>0.2</v>
      </c>
      <c r="E26" s="2102" t="e">
        <f>'Paso 1.2 Final'!C25*'Paso 1.3.1'!$C$26</f>
        <v>#REF!</v>
      </c>
      <c r="F26" s="2102" t="e">
        <f>'Paso 1.2 Final'!D25*'Paso 1.3.1'!$C$26</f>
        <v>#REF!</v>
      </c>
      <c r="G26" s="2102" t="e">
        <f>'Paso 1.2 Final'!E25*'Paso 1.3.1'!$C$26</f>
        <v>#REF!</v>
      </c>
      <c r="H26" s="2102" t="e">
        <f>'Paso 1.2 Final'!F25*'Paso 1.3.1'!$C$26</f>
        <v>#REF!</v>
      </c>
      <c r="I26" s="2102" t="e">
        <f>'Paso 1.2 Final'!G25*'Paso 1.3.1'!$C$26</f>
        <v>#REF!</v>
      </c>
      <c r="J26" s="2102" t="e">
        <f>'Paso 1.2 Final'!H25*'Paso 1.3.1'!$C$26</f>
        <v>#REF!</v>
      </c>
      <c r="K26" s="2102" t="e">
        <f>'Paso 1.2 Final'!I25*'Paso 1.3.1'!$C$26</f>
        <v>#REF!</v>
      </c>
      <c r="L26" s="2102" t="e">
        <f>'Paso 1.2 Final'!J25*'Paso 1.3.1'!$C$26</f>
        <v>#REF!</v>
      </c>
      <c r="M26" s="2102" t="e">
        <f>'Paso 1.2 Final'!K25*'Paso 1.3.1'!$C$26</f>
        <v>#REF!</v>
      </c>
      <c r="N26" s="2102" t="e">
        <f>'Paso 1.2 Final'!L25*'Paso 1.3.1'!$C$26</f>
        <v>#REF!</v>
      </c>
      <c r="O26" s="2102" t="e">
        <f>'Paso 1.2 Final'!M25*'Paso 1.3.1'!$C$26</f>
        <v>#REF!</v>
      </c>
      <c r="P26" s="2102" t="e">
        <f>'Paso 1.2 Final'!N25*'Paso 1.3.1'!$C$26</f>
        <v>#REF!</v>
      </c>
      <c r="Q26" s="2102" t="e">
        <f>'Paso 1.2 Final'!O25*'Paso 1.3.1'!$C$26</f>
        <v>#REF!</v>
      </c>
      <c r="R26" s="2102" t="e">
        <f>'Paso 1.2 Final'!P25*'Paso 1.3.1'!$C$26</f>
        <v>#REF!</v>
      </c>
      <c r="S26" s="2102" t="e">
        <f>'Paso 1.2 Final'!Q25*'Paso 1.3.1'!$C$26</f>
        <v>#REF!</v>
      </c>
      <c r="T26" s="2102" t="e">
        <f>'Paso 1.2 Final'!R25*'Paso 1.3.1'!$C$26</f>
        <v>#REF!</v>
      </c>
      <c r="U26" s="2102" t="e">
        <f>'Paso 1.2 Final'!S25*'Paso 1.3.1'!$C$26</f>
        <v>#REF!</v>
      </c>
    </row>
    <row r="27" spans="2:21" ht="11.25" thickBot="1" x14ac:dyDescent="0.2">
      <c r="B27" s="2099" t="s">
        <v>221</v>
      </c>
      <c r="C27" s="2100">
        <v>0.8</v>
      </c>
      <c r="D27" s="2100">
        <v>0.2</v>
      </c>
      <c r="E27" s="2102" t="e">
        <f>'Paso 1.2 Final'!C26*'Paso 1.3.1'!$C$27</f>
        <v>#DIV/0!</v>
      </c>
      <c r="F27" s="2102" t="e">
        <f>'Paso 1.2 Final'!D26*'Paso 1.3.1'!$C$27</f>
        <v>#DIV/0!</v>
      </c>
      <c r="G27" s="2102" t="e">
        <f>'Paso 1.2 Final'!E26*'Paso 1.3.1'!$C$27</f>
        <v>#DIV/0!</v>
      </c>
      <c r="H27" s="2102" t="e">
        <f>'Paso 1.2 Final'!F26*'Paso 1.3.1'!$C$27</f>
        <v>#DIV/0!</v>
      </c>
      <c r="I27" s="2102" t="e">
        <f>'Paso 1.2 Final'!G26*'Paso 1.3.1'!$C$27</f>
        <v>#DIV/0!</v>
      </c>
      <c r="J27" s="2102" t="e">
        <f>'Paso 1.2 Final'!H26*'Paso 1.3.1'!$C$27</f>
        <v>#DIV/0!</v>
      </c>
      <c r="K27" s="2102" t="e">
        <f>'Paso 1.2 Final'!I26*'Paso 1.3.1'!$C$27</f>
        <v>#DIV/0!</v>
      </c>
      <c r="L27" s="2102" t="e">
        <f>'Paso 1.2 Final'!J26*'Paso 1.3.1'!$C$27</f>
        <v>#DIV/0!</v>
      </c>
      <c r="M27" s="2102" t="e">
        <f>'Paso 1.2 Final'!K26*'Paso 1.3.1'!$C$27</f>
        <v>#DIV/0!</v>
      </c>
      <c r="N27" s="2102" t="e">
        <f>'Paso 1.2 Final'!L26*'Paso 1.3.1'!$C$27</f>
        <v>#DIV/0!</v>
      </c>
      <c r="O27" s="2102" t="e">
        <f>'Paso 1.2 Final'!M26*'Paso 1.3.1'!$C$27</f>
        <v>#DIV/0!</v>
      </c>
      <c r="P27" s="2102" t="e">
        <f>'Paso 1.2 Final'!N26*'Paso 1.3.1'!$C$27</f>
        <v>#DIV/0!</v>
      </c>
      <c r="Q27" s="2102" t="e">
        <f>'Paso 1.2 Final'!O26*'Paso 1.3.1'!$C$27</f>
        <v>#DIV/0!</v>
      </c>
      <c r="R27" s="2102" t="e">
        <f>'Paso 1.2 Final'!P26*'Paso 1.3.1'!$C$27</f>
        <v>#DIV/0!</v>
      </c>
      <c r="S27" s="2102" t="e">
        <f>'Paso 1.2 Final'!Q26*'Paso 1.3.1'!$C$27</f>
        <v>#DIV/0!</v>
      </c>
      <c r="T27" s="2102" t="e">
        <f>'Paso 1.2 Final'!R26*'Paso 1.3.1'!$C$27</f>
        <v>#DIV/0!</v>
      </c>
      <c r="U27" s="2102" t="e">
        <f>'Paso 1.2 Final'!S26*'Paso 1.3.1'!$C$27</f>
        <v>#DIV/0!</v>
      </c>
    </row>
    <row r="28" spans="2:21" ht="11.25" thickBot="1" x14ac:dyDescent="0.2">
      <c r="B28" s="2099" t="s">
        <v>222</v>
      </c>
      <c r="C28" s="2100">
        <v>0.8</v>
      </c>
      <c r="D28" s="2100">
        <v>0.2</v>
      </c>
      <c r="E28" s="2102" t="e">
        <f>'Paso 1.2 Final'!C27*'Paso 1.3.1'!$C$28</f>
        <v>#DIV/0!</v>
      </c>
      <c r="F28" s="2102" t="e">
        <f>'Paso 1.2 Final'!D27*'Paso 1.3.1'!$C$28</f>
        <v>#DIV/0!</v>
      </c>
      <c r="G28" s="2102" t="e">
        <f>'Paso 1.2 Final'!E27*'Paso 1.3.1'!$C$28</f>
        <v>#DIV/0!</v>
      </c>
      <c r="H28" s="2102" t="e">
        <f>'Paso 1.2 Final'!F27*'Paso 1.3.1'!$C$28</f>
        <v>#DIV/0!</v>
      </c>
      <c r="I28" s="2102" t="e">
        <f>'Paso 1.2 Final'!G27*'Paso 1.3.1'!$C$28</f>
        <v>#DIV/0!</v>
      </c>
      <c r="J28" s="2102" t="e">
        <f>'Paso 1.2 Final'!H27*'Paso 1.3.1'!$C$28</f>
        <v>#DIV/0!</v>
      </c>
      <c r="K28" s="2102" t="e">
        <f>'Paso 1.2 Final'!I27*'Paso 1.3.1'!$C$28</f>
        <v>#DIV/0!</v>
      </c>
      <c r="L28" s="2102" t="e">
        <f>'Paso 1.2 Final'!J27*'Paso 1.3.1'!$C$28</f>
        <v>#DIV/0!</v>
      </c>
      <c r="M28" s="2102" t="e">
        <f>'Paso 1.2 Final'!K27*'Paso 1.3.1'!$C$28</f>
        <v>#DIV/0!</v>
      </c>
      <c r="N28" s="2102" t="e">
        <f>'Paso 1.2 Final'!L27*'Paso 1.3.1'!$C$28</f>
        <v>#DIV/0!</v>
      </c>
      <c r="O28" s="2102" t="e">
        <f>'Paso 1.2 Final'!M27*'Paso 1.3.1'!$C$28</f>
        <v>#DIV/0!</v>
      </c>
      <c r="P28" s="2102" t="e">
        <f>'Paso 1.2 Final'!N27*'Paso 1.3.1'!$C$28</f>
        <v>#DIV/0!</v>
      </c>
      <c r="Q28" s="2102" t="e">
        <f>'Paso 1.2 Final'!O27*'Paso 1.3.1'!$C$28</f>
        <v>#DIV/0!</v>
      </c>
      <c r="R28" s="2102" t="e">
        <f>'Paso 1.2 Final'!P27*'Paso 1.3.1'!$C$28</f>
        <v>#DIV/0!</v>
      </c>
      <c r="S28" s="2102" t="e">
        <f>'Paso 1.2 Final'!Q27*'Paso 1.3.1'!$C$28</f>
        <v>#DIV/0!</v>
      </c>
      <c r="T28" s="2102" t="e">
        <f>'Paso 1.2 Final'!R27*'Paso 1.3.1'!$C$28</f>
        <v>#DIV/0!</v>
      </c>
      <c r="U28" s="2102" t="e">
        <f>'Paso 1.2 Final'!S27*'Paso 1.3.1'!$C$28</f>
        <v>#DIV/0!</v>
      </c>
    </row>
    <row r="29" spans="2:21" ht="11.25" thickBot="1" x14ac:dyDescent="0.2">
      <c r="B29" s="2099" t="s">
        <v>223</v>
      </c>
      <c r="C29" s="2100">
        <v>0.8</v>
      </c>
      <c r="D29" s="2100">
        <v>0.2</v>
      </c>
      <c r="E29" s="2102" t="e">
        <f>'Paso 1.2 Final'!C28*'Paso 1.3.1'!$C$29</f>
        <v>#DIV/0!</v>
      </c>
      <c r="F29" s="2102" t="e">
        <f>'Paso 1.2 Final'!D28*'Paso 1.3.1'!$C$29</f>
        <v>#DIV/0!</v>
      </c>
      <c r="G29" s="2102" t="e">
        <f>'Paso 1.2 Final'!E28*'Paso 1.3.1'!$C$29</f>
        <v>#DIV/0!</v>
      </c>
      <c r="H29" s="2102" t="e">
        <f>'Paso 1.2 Final'!F28*'Paso 1.3.1'!$C$29</f>
        <v>#DIV/0!</v>
      </c>
      <c r="I29" s="2102" t="e">
        <f>'Paso 1.2 Final'!G28*'Paso 1.3.1'!$C$29</f>
        <v>#DIV/0!</v>
      </c>
      <c r="J29" s="2102" t="e">
        <f>'Paso 1.2 Final'!H28*'Paso 1.3.1'!$C$29</f>
        <v>#DIV/0!</v>
      </c>
      <c r="K29" s="2102" t="e">
        <f>'Paso 1.2 Final'!I28*'Paso 1.3.1'!$C$29</f>
        <v>#DIV/0!</v>
      </c>
      <c r="L29" s="2102" t="e">
        <f>'Paso 1.2 Final'!J28*'Paso 1.3.1'!$C$29</f>
        <v>#DIV/0!</v>
      </c>
      <c r="M29" s="2102" t="e">
        <f>'Paso 1.2 Final'!K28*'Paso 1.3.1'!$C$29</f>
        <v>#DIV/0!</v>
      </c>
      <c r="N29" s="2102" t="e">
        <f>'Paso 1.2 Final'!L28*'Paso 1.3.1'!$C$29</f>
        <v>#DIV/0!</v>
      </c>
      <c r="O29" s="2102" t="e">
        <f>'Paso 1.2 Final'!M28*'Paso 1.3.1'!$C$29</f>
        <v>#DIV/0!</v>
      </c>
      <c r="P29" s="2102" t="e">
        <f>'Paso 1.2 Final'!N28*'Paso 1.3.1'!$C$29</f>
        <v>#DIV/0!</v>
      </c>
      <c r="Q29" s="2102" t="e">
        <f>'Paso 1.2 Final'!O28*'Paso 1.3.1'!$C$29</f>
        <v>#DIV/0!</v>
      </c>
      <c r="R29" s="2102" t="e">
        <f>'Paso 1.2 Final'!P28*'Paso 1.3.1'!$C$29</f>
        <v>#DIV/0!</v>
      </c>
      <c r="S29" s="2102" t="e">
        <f>'Paso 1.2 Final'!Q28*'Paso 1.3.1'!$C$29</f>
        <v>#DIV/0!</v>
      </c>
      <c r="T29" s="2102" t="e">
        <f>'Paso 1.2 Final'!R28*'Paso 1.3.1'!$C$29</f>
        <v>#DIV/0!</v>
      </c>
      <c r="U29" s="2102" t="e">
        <f>'Paso 1.2 Final'!S28*'Paso 1.3.1'!$C$29</f>
        <v>#DIV/0!</v>
      </c>
    </row>
    <row r="30" spans="2:21" ht="11.25" thickBot="1" x14ac:dyDescent="0.2">
      <c r="B30" s="2112" t="s">
        <v>3115</v>
      </c>
      <c r="C30" s="2113">
        <v>0.8</v>
      </c>
      <c r="D30" s="2113">
        <v>0.2</v>
      </c>
      <c r="E30" s="2114"/>
      <c r="F30" s="2114"/>
      <c r="G30" s="2114"/>
      <c r="H30" s="2114"/>
      <c r="I30" s="2114"/>
      <c r="J30" s="2114"/>
      <c r="K30" s="2114"/>
      <c r="L30" s="2114"/>
      <c r="M30" s="2114"/>
      <c r="N30" s="2114"/>
      <c r="O30" s="2114"/>
      <c r="P30" s="2114"/>
      <c r="Q30" s="2114"/>
      <c r="R30" s="2114"/>
      <c r="S30" s="2114"/>
      <c r="T30" s="2114"/>
      <c r="U30" s="2114"/>
    </row>
    <row r="31" spans="2:21" ht="11.25" thickBot="1" x14ac:dyDescent="0.2">
      <c r="B31" s="2099" t="s">
        <v>225</v>
      </c>
      <c r="C31" s="2100">
        <v>0.8</v>
      </c>
      <c r="D31" s="2100">
        <v>0.2</v>
      </c>
      <c r="E31" s="2102" t="e">
        <f>'Paso 1.2 Final'!C30*'Paso 1.3.1'!$C$31</f>
        <v>#DIV/0!</v>
      </c>
      <c r="F31" s="2102" t="e">
        <f>'Paso 1.2 Final'!D30*'Paso 1.3.1'!$C$31</f>
        <v>#DIV/0!</v>
      </c>
      <c r="G31" s="2102" t="e">
        <f>'Paso 1.2 Final'!E30*'Paso 1.3.1'!$C$31</f>
        <v>#DIV/0!</v>
      </c>
      <c r="H31" s="2102" t="e">
        <f>'Paso 1.2 Final'!F30*'Paso 1.3.1'!$C$31</f>
        <v>#DIV/0!</v>
      </c>
      <c r="I31" s="2102" t="e">
        <f>'Paso 1.2 Final'!G30*'Paso 1.3.1'!$C$31</f>
        <v>#DIV/0!</v>
      </c>
      <c r="J31" s="2102" t="e">
        <f>'Paso 1.2 Final'!H30*'Paso 1.3.1'!$C$31</f>
        <v>#DIV/0!</v>
      </c>
      <c r="K31" s="2102" t="e">
        <f>'Paso 1.2 Final'!I30*'Paso 1.3.1'!$C$31</f>
        <v>#DIV/0!</v>
      </c>
      <c r="L31" s="2102" t="e">
        <f>'Paso 1.2 Final'!J30*'Paso 1.3.1'!$C$31</f>
        <v>#DIV/0!</v>
      </c>
      <c r="M31" s="2102" t="e">
        <f>'Paso 1.2 Final'!K30*'Paso 1.3.1'!$C$31</f>
        <v>#DIV/0!</v>
      </c>
      <c r="N31" s="2102" t="e">
        <f>'Paso 1.2 Final'!L30*'Paso 1.3.1'!$C$31</f>
        <v>#DIV/0!</v>
      </c>
      <c r="O31" s="2102" t="e">
        <f>'Paso 1.2 Final'!M30*'Paso 1.3.1'!$C$31</f>
        <v>#DIV/0!</v>
      </c>
      <c r="P31" s="2102" t="e">
        <f>'Paso 1.2 Final'!N30*'Paso 1.3.1'!$C$31</f>
        <v>#DIV/0!</v>
      </c>
      <c r="Q31" s="2102" t="e">
        <f>'Paso 1.2 Final'!O30*'Paso 1.3.1'!$C$31</f>
        <v>#DIV/0!</v>
      </c>
      <c r="R31" s="2102" t="e">
        <f>'Paso 1.2 Final'!P30*'Paso 1.3.1'!$C$31</f>
        <v>#DIV/0!</v>
      </c>
      <c r="S31" s="2102" t="e">
        <f>'Paso 1.2 Final'!Q30*'Paso 1.3.1'!$C$31</f>
        <v>#DIV/0!</v>
      </c>
      <c r="T31" s="2102" t="e">
        <f>'Paso 1.2 Final'!R30*'Paso 1.3.1'!$C$31</f>
        <v>#DIV/0!</v>
      </c>
      <c r="U31" s="2102" t="e">
        <f>'Paso 1.2 Final'!S30*'Paso 1.3.1'!$C$31</f>
        <v>#DIV/0!</v>
      </c>
    </row>
    <row r="32" spans="2:21" ht="11.25" thickBot="1" x14ac:dyDescent="0.2">
      <c r="B32" s="2099" t="s">
        <v>226</v>
      </c>
      <c r="C32" s="2100">
        <v>0.8</v>
      </c>
      <c r="D32" s="2100">
        <v>0.2</v>
      </c>
      <c r="E32" s="2101" t="e">
        <f>'Paso 1.2 Final'!C31*'Paso 1.3.1'!$C$32</f>
        <v>#DIV/0!</v>
      </c>
      <c r="F32" s="2101" t="e">
        <f>'Paso 1.2 Final'!D31*'Paso 1.3.1'!$C$32</f>
        <v>#DIV/0!</v>
      </c>
      <c r="G32" s="2101" t="e">
        <f>'Paso 1.2 Final'!E31*'Paso 1.3.1'!$C$32</f>
        <v>#DIV/0!</v>
      </c>
      <c r="H32" s="2101" t="e">
        <f>'Paso 1.2 Final'!F31*'Paso 1.3.1'!$C$32</f>
        <v>#DIV/0!</v>
      </c>
      <c r="I32" s="2101" t="e">
        <f>'Paso 1.2 Final'!G31*'Paso 1.3.1'!$C$32</f>
        <v>#DIV/0!</v>
      </c>
      <c r="J32" s="2101" t="e">
        <f>'Paso 1.2 Final'!H31*'Paso 1.3.1'!$C$32</f>
        <v>#DIV/0!</v>
      </c>
      <c r="K32" s="2101" t="e">
        <f>'Paso 1.2 Final'!I31*'Paso 1.3.1'!$C$32</f>
        <v>#DIV/0!</v>
      </c>
      <c r="L32" s="2101" t="e">
        <f>'Paso 1.2 Final'!J31*'Paso 1.3.1'!$C$32</f>
        <v>#DIV/0!</v>
      </c>
      <c r="M32" s="2101" t="e">
        <f>'Paso 1.2 Final'!K31*'Paso 1.3.1'!$C$32</f>
        <v>#DIV/0!</v>
      </c>
      <c r="N32" s="2101" t="e">
        <f>'Paso 1.2 Final'!L31*'Paso 1.3.1'!$C$32</f>
        <v>#DIV/0!</v>
      </c>
      <c r="O32" s="2101" t="e">
        <f>'Paso 1.2 Final'!M31*'Paso 1.3.1'!$C$32</f>
        <v>#DIV/0!</v>
      </c>
      <c r="P32" s="2101" t="e">
        <f>'Paso 1.2 Final'!N31*'Paso 1.3.1'!$C$32</f>
        <v>#DIV/0!</v>
      </c>
      <c r="Q32" s="2101" t="e">
        <f>'Paso 1.2 Final'!O31*'Paso 1.3.1'!$C$32</f>
        <v>#DIV/0!</v>
      </c>
      <c r="R32" s="2101" t="e">
        <f>'Paso 1.2 Final'!P31*'Paso 1.3.1'!$C$32</f>
        <v>#DIV/0!</v>
      </c>
      <c r="S32" s="2101" t="e">
        <f>'Paso 1.2 Final'!Q31*'Paso 1.3.1'!$C$32</f>
        <v>#DIV/0!</v>
      </c>
      <c r="T32" s="2101" t="e">
        <f>'Paso 1.2 Final'!R31*'Paso 1.3.1'!$C$32</f>
        <v>#DIV/0!</v>
      </c>
      <c r="U32" s="2101" t="e">
        <f>'Paso 1.2 Final'!S31*'Paso 1.3.1'!$C$32</f>
        <v>#DIV/0!</v>
      </c>
    </row>
    <row r="33" spans="2:21" ht="11.25" thickBot="1" x14ac:dyDescent="0.2">
      <c r="B33" s="2099" t="s">
        <v>227</v>
      </c>
      <c r="C33" s="2100">
        <v>0.8</v>
      </c>
      <c r="D33" s="2100">
        <v>0.2</v>
      </c>
      <c r="E33" s="2101" t="e">
        <f>'Paso 1.2 Final'!C32*'Paso 1.3.1'!$C$33</f>
        <v>#DIV/0!</v>
      </c>
      <c r="F33" s="2101" t="e">
        <f>'Paso 1.2 Final'!D32*'Paso 1.3.1'!$C$33</f>
        <v>#DIV/0!</v>
      </c>
      <c r="G33" s="2101" t="e">
        <f>'Paso 1.2 Final'!E32*'Paso 1.3.1'!$C$33</f>
        <v>#DIV/0!</v>
      </c>
      <c r="H33" s="2101" t="e">
        <f>'Paso 1.2 Final'!F32*'Paso 1.3.1'!$C$33</f>
        <v>#DIV/0!</v>
      </c>
      <c r="I33" s="2101" t="e">
        <f>'Paso 1.2 Final'!G32*'Paso 1.3.1'!$C$33</f>
        <v>#DIV/0!</v>
      </c>
      <c r="J33" s="2101" t="e">
        <f>'Paso 1.2 Final'!H32*'Paso 1.3.1'!$C$33</f>
        <v>#DIV/0!</v>
      </c>
      <c r="K33" s="2101" t="e">
        <f>'Paso 1.2 Final'!I32*'Paso 1.3.1'!$C$33</f>
        <v>#DIV/0!</v>
      </c>
      <c r="L33" s="2101" t="e">
        <f>'Paso 1.2 Final'!J32*'Paso 1.3.1'!$C$33</f>
        <v>#DIV/0!</v>
      </c>
      <c r="M33" s="2101" t="e">
        <f>'Paso 1.2 Final'!K32*'Paso 1.3.1'!$C$33</f>
        <v>#DIV/0!</v>
      </c>
      <c r="N33" s="2101" t="e">
        <f>'Paso 1.2 Final'!L32*'Paso 1.3.1'!$C$33</f>
        <v>#DIV/0!</v>
      </c>
      <c r="O33" s="2101" t="e">
        <f>'Paso 1.2 Final'!M32*'Paso 1.3.1'!$C$33</f>
        <v>#DIV/0!</v>
      </c>
      <c r="P33" s="2101" t="e">
        <f>'Paso 1.2 Final'!N32*'Paso 1.3.1'!$C$33</f>
        <v>#DIV/0!</v>
      </c>
      <c r="Q33" s="2101" t="e">
        <f>'Paso 1.2 Final'!O32*'Paso 1.3.1'!$C$33</f>
        <v>#DIV/0!</v>
      </c>
      <c r="R33" s="2101" t="e">
        <f>'Paso 1.2 Final'!P32*'Paso 1.3.1'!$C$33</f>
        <v>#DIV/0!</v>
      </c>
      <c r="S33" s="2101" t="e">
        <f>'Paso 1.2 Final'!Q32*'Paso 1.3.1'!$C$33</f>
        <v>#DIV/0!</v>
      </c>
      <c r="T33" s="2101" t="e">
        <f>'Paso 1.2 Final'!R32*'Paso 1.3.1'!$C$33</f>
        <v>#DIV/0!</v>
      </c>
      <c r="U33" s="2101" t="e">
        <f>'Paso 1.2 Final'!S32*'Paso 1.3.1'!$C$33</f>
        <v>#DIV/0!</v>
      </c>
    </row>
    <row r="34" spans="2:21" ht="11.25" thickBot="1" x14ac:dyDescent="0.2">
      <c r="B34" s="2112" t="s">
        <v>228</v>
      </c>
      <c r="C34" s="2113">
        <v>0.8</v>
      </c>
      <c r="D34" s="2113">
        <v>0.2</v>
      </c>
      <c r="E34" s="2114"/>
      <c r="F34" s="2114"/>
      <c r="G34" s="2114"/>
      <c r="H34" s="2114"/>
      <c r="I34" s="2114"/>
      <c r="J34" s="2114"/>
      <c r="K34" s="2114"/>
      <c r="L34" s="2114"/>
      <c r="M34" s="2114"/>
      <c r="N34" s="2114"/>
      <c r="O34" s="2114"/>
      <c r="P34" s="2114"/>
      <c r="Q34" s="2114"/>
      <c r="R34" s="2114"/>
      <c r="S34" s="2114"/>
      <c r="T34" s="2114"/>
      <c r="U34" s="2114"/>
    </row>
    <row r="35" spans="2:21" ht="11.25" thickBot="1" x14ac:dyDescent="0.2">
      <c r="B35" s="2099" t="s">
        <v>229</v>
      </c>
      <c r="C35" s="2100">
        <v>0.8</v>
      </c>
      <c r="D35" s="2100">
        <v>0.2</v>
      </c>
      <c r="E35" s="2101" t="e">
        <f>'Paso 1.2 Final'!C34*'Paso 1.3.1'!$C$35</f>
        <v>#DIV/0!</v>
      </c>
      <c r="F35" s="2101" t="e">
        <f>'Paso 1.2 Final'!D34*'Paso 1.3.1'!$C$35</f>
        <v>#DIV/0!</v>
      </c>
      <c r="G35" s="2101" t="e">
        <f>'Paso 1.2 Final'!E34*'Paso 1.3.1'!$C$35</f>
        <v>#DIV/0!</v>
      </c>
      <c r="H35" s="2101" t="e">
        <f>'Paso 1.2 Final'!F34*'Paso 1.3.1'!$C$35</f>
        <v>#DIV/0!</v>
      </c>
      <c r="I35" s="2101" t="e">
        <f>'Paso 1.2 Final'!G34*'Paso 1.3.1'!$C$35</f>
        <v>#DIV/0!</v>
      </c>
      <c r="J35" s="2101" t="e">
        <f>'Paso 1.2 Final'!H34*'Paso 1.3.1'!$C$35</f>
        <v>#DIV/0!</v>
      </c>
      <c r="K35" s="2101" t="e">
        <f>'Paso 1.2 Final'!I34*'Paso 1.3.1'!$C$35</f>
        <v>#DIV/0!</v>
      </c>
      <c r="L35" s="2101" t="e">
        <f>'Paso 1.2 Final'!J34*'Paso 1.3.1'!$C$35</f>
        <v>#DIV/0!</v>
      </c>
      <c r="M35" s="2101" t="e">
        <f>'Paso 1.2 Final'!K34*'Paso 1.3.1'!$C$35</f>
        <v>#DIV/0!</v>
      </c>
      <c r="N35" s="2101" t="e">
        <f>'Paso 1.2 Final'!L34*'Paso 1.3.1'!$C$35</f>
        <v>#DIV/0!</v>
      </c>
      <c r="O35" s="2101" t="e">
        <f>'Paso 1.2 Final'!M34*'Paso 1.3.1'!$C$35</f>
        <v>#DIV/0!</v>
      </c>
      <c r="P35" s="2101" t="e">
        <f>'Paso 1.2 Final'!N34*'Paso 1.3.1'!$C$35</f>
        <v>#DIV/0!</v>
      </c>
      <c r="Q35" s="2101" t="e">
        <f>'Paso 1.2 Final'!O34*'Paso 1.3.1'!$C$35</f>
        <v>#DIV/0!</v>
      </c>
      <c r="R35" s="2101" t="e">
        <f>'Paso 1.2 Final'!P34*'Paso 1.3.1'!$C$35</f>
        <v>#DIV/0!</v>
      </c>
      <c r="S35" s="2101" t="e">
        <f>'Paso 1.2 Final'!Q34*'Paso 1.3.1'!$C$35</f>
        <v>#DIV/0!</v>
      </c>
      <c r="T35" s="2101" t="e">
        <f>'Paso 1.2 Final'!R34*'Paso 1.3.1'!$C$35</f>
        <v>#DIV/0!</v>
      </c>
      <c r="U35" s="2101" t="e">
        <f>'Paso 1.2 Final'!S34*'Paso 1.3.1'!$C$35</f>
        <v>#DIV/0!</v>
      </c>
    </row>
    <row r="36" spans="2:21" ht="11.25" thickBot="1" x14ac:dyDescent="0.2">
      <c r="B36" s="2099" t="s">
        <v>3122</v>
      </c>
      <c r="C36" s="2100">
        <v>0.8</v>
      </c>
      <c r="D36" s="2100">
        <v>0.2</v>
      </c>
      <c r="E36" s="2102" t="e">
        <f>'Paso 1.2 Final'!C35*'Paso 1.3.1'!$C$36</f>
        <v>#DIV/0!</v>
      </c>
      <c r="F36" s="2102" t="e">
        <f>'Paso 1.2 Final'!D35*'Paso 1.3.1'!$C$36</f>
        <v>#DIV/0!</v>
      </c>
      <c r="G36" s="2102" t="e">
        <f>'Paso 1.2 Final'!E35*'Paso 1.3.1'!$C$36</f>
        <v>#DIV/0!</v>
      </c>
      <c r="H36" s="2102" t="e">
        <f>'Paso 1.2 Final'!F35*'Paso 1.3.1'!$C$36</f>
        <v>#DIV/0!</v>
      </c>
      <c r="I36" s="2102" t="e">
        <f>'Paso 1.2 Final'!G35*'Paso 1.3.1'!$C$36</f>
        <v>#DIV/0!</v>
      </c>
      <c r="J36" s="2102" t="e">
        <f>'Paso 1.2 Final'!H35*'Paso 1.3.1'!$C$36</f>
        <v>#DIV/0!</v>
      </c>
      <c r="K36" s="2102" t="e">
        <f>'Paso 1.2 Final'!I35*'Paso 1.3.1'!$C$36</f>
        <v>#DIV/0!</v>
      </c>
      <c r="L36" s="2102" t="e">
        <f>'Paso 1.2 Final'!J35*'Paso 1.3.1'!$C$36</f>
        <v>#DIV/0!</v>
      </c>
      <c r="M36" s="2102" t="e">
        <f>'Paso 1.2 Final'!K35*'Paso 1.3.1'!$C$36</f>
        <v>#DIV/0!</v>
      </c>
      <c r="N36" s="2102" t="e">
        <f>'Paso 1.2 Final'!L35*'Paso 1.3.1'!$C$36</f>
        <v>#DIV/0!</v>
      </c>
      <c r="O36" s="2102" t="e">
        <f>'Paso 1.2 Final'!M35*'Paso 1.3.1'!$C$36</f>
        <v>#DIV/0!</v>
      </c>
      <c r="P36" s="2102" t="e">
        <f>'Paso 1.2 Final'!N35*'Paso 1.3.1'!$C$36</f>
        <v>#DIV/0!</v>
      </c>
      <c r="Q36" s="2102" t="e">
        <f>'Paso 1.2 Final'!O35*'Paso 1.3.1'!$C$36</f>
        <v>#DIV/0!</v>
      </c>
      <c r="R36" s="2102" t="e">
        <f>'Paso 1.2 Final'!P35*'Paso 1.3.1'!$C$36</f>
        <v>#DIV/0!</v>
      </c>
      <c r="S36" s="2102" t="e">
        <f>'Paso 1.2 Final'!Q35*'Paso 1.3.1'!$C$36</f>
        <v>#DIV/0!</v>
      </c>
      <c r="T36" s="2102" t="e">
        <f>'Paso 1.2 Final'!R35*'Paso 1.3.1'!$C$36</f>
        <v>#DIV/0!</v>
      </c>
      <c r="U36" s="2102" t="e">
        <f>'Paso 1.2 Final'!S35*'Paso 1.3.1'!$C$36</f>
        <v>#DIV/0!</v>
      </c>
    </row>
    <row r="37" spans="2:21" ht="11.25" thickBot="1" x14ac:dyDescent="0.2">
      <c r="B37" s="2112" t="s">
        <v>231</v>
      </c>
      <c r="C37" s="2113">
        <v>1</v>
      </c>
      <c r="D37" s="2113">
        <v>0.2</v>
      </c>
      <c r="E37" s="2114"/>
      <c r="F37" s="2114"/>
      <c r="G37" s="2114"/>
      <c r="H37" s="2114"/>
      <c r="I37" s="2114"/>
      <c r="J37" s="2114"/>
      <c r="K37" s="2114"/>
      <c r="L37" s="2114"/>
      <c r="M37" s="2114"/>
      <c r="N37" s="2114"/>
      <c r="O37" s="2114"/>
      <c r="P37" s="2114"/>
      <c r="Q37" s="2114"/>
      <c r="R37" s="2114"/>
      <c r="S37" s="2114"/>
      <c r="T37" s="2114"/>
      <c r="U37" s="2114"/>
    </row>
    <row r="38" spans="2:21" ht="11.25" thickBot="1" x14ac:dyDescent="0.2"/>
    <row r="39" spans="2:21" ht="15.75" customHeight="1" thickBot="1" x14ac:dyDescent="0.2">
      <c r="B39" s="4742" t="s">
        <v>3112</v>
      </c>
      <c r="C39" s="4744" t="s">
        <v>3123</v>
      </c>
      <c r="D39" s="4745"/>
      <c r="E39" s="2104">
        <v>0</v>
      </c>
      <c r="F39" s="2104">
        <v>0</v>
      </c>
      <c r="G39" s="2104">
        <v>1</v>
      </c>
      <c r="H39" s="2104">
        <f>G39+1</f>
        <v>2</v>
      </c>
      <c r="I39" s="2104">
        <f>H39+1</f>
        <v>3</v>
      </c>
      <c r="J39" s="2104">
        <f t="shared" ref="J39:U39" si="27">I39+1</f>
        <v>4</v>
      </c>
      <c r="K39" s="2104">
        <f t="shared" si="27"/>
        <v>5</v>
      </c>
      <c r="L39" s="2104">
        <f t="shared" si="27"/>
        <v>6</v>
      </c>
      <c r="M39" s="2104">
        <f t="shared" si="27"/>
        <v>7</v>
      </c>
      <c r="N39" s="2104">
        <f t="shared" si="27"/>
        <v>8</v>
      </c>
      <c r="O39" s="2104">
        <f t="shared" si="27"/>
        <v>9</v>
      </c>
      <c r="P39" s="2104">
        <f t="shared" si="27"/>
        <v>10</v>
      </c>
      <c r="Q39" s="2104">
        <f t="shared" si="27"/>
        <v>11</v>
      </c>
      <c r="R39" s="2104">
        <f t="shared" si="27"/>
        <v>12</v>
      </c>
      <c r="S39" s="2104">
        <f t="shared" si="27"/>
        <v>13</v>
      </c>
      <c r="T39" s="2104">
        <f t="shared" si="27"/>
        <v>14</v>
      </c>
      <c r="U39" s="2105">
        <f t="shared" si="27"/>
        <v>15</v>
      </c>
    </row>
    <row r="40" spans="2:21" ht="21.75" customHeight="1" thickBot="1" x14ac:dyDescent="0.2">
      <c r="B40" s="4743"/>
      <c r="C40" s="4746"/>
      <c r="D40" s="4747"/>
      <c r="E40" s="2106">
        <v>2018</v>
      </c>
      <c r="F40" s="2106">
        <f>E40+1</f>
        <v>2019</v>
      </c>
      <c r="G40" s="2106">
        <f t="shared" ref="G40:U40" si="28">F40+1</f>
        <v>2020</v>
      </c>
      <c r="H40" s="2106">
        <f t="shared" si="28"/>
        <v>2021</v>
      </c>
      <c r="I40" s="2106">
        <f t="shared" si="28"/>
        <v>2022</v>
      </c>
      <c r="J40" s="2106">
        <f t="shared" si="28"/>
        <v>2023</v>
      </c>
      <c r="K40" s="2106">
        <f t="shared" si="28"/>
        <v>2024</v>
      </c>
      <c r="L40" s="2106">
        <f t="shared" si="28"/>
        <v>2025</v>
      </c>
      <c r="M40" s="2106">
        <f t="shared" si="28"/>
        <v>2026</v>
      </c>
      <c r="N40" s="2106">
        <f t="shared" si="28"/>
        <v>2027</v>
      </c>
      <c r="O40" s="2106">
        <f t="shared" si="28"/>
        <v>2028</v>
      </c>
      <c r="P40" s="2106">
        <f t="shared" si="28"/>
        <v>2029</v>
      </c>
      <c r="Q40" s="2106">
        <f t="shared" si="28"/>
        <v>2030</v>
      </c>
      <c r="R40" s="2106">
        <f t="shared" si="28"/>
        <v>2031</v>
      </c>
      <c r="S40" s="2106">
        <f t="shared" si="28"/>
        <v>2032</v>
      </c>
      <c r="T40" s="2106">
        <f t="shared" si="28"/>
        <v>2033</v>
      </c>
      <c r="U40" s="2111">
        <f t="shared" si="28"/>
        <v>2034</v>
      </c>
    </row>
    <row r="41" spans="2:21" ht="11.25" thickBot="1" x14ac:dyDescent="0.2">
      <c r="B41" s="2099" t="s">
        <v>206</v>
      </c>
      <c r="C41" s="4734">
        <f t="shared" ref="C41:C71" si="29">+(150*11)-(12*6)</f>
        <v>1578</v>
      </c>
      <c r="D41" s="4734"/>
      <c r="E41" s="2103" t="e">
        <f>+E7/$C$41</f>
        <v>#DIV/0!</v>
      </c>
      <c r="F41" s="2103" t="e">
        <f t="shared" ref="F41:U41" si="30">+F7/$C$41</f>
        <v>#DIV/0!</v>
      </c>
      <c r="G41" s="2103" t="e">
        <f t="shared" si="30"/>
        <v>#DIV/0!</v>
      </c>
      <c r="H41" s="2103" t="e">
        <f t="shared" si="30"/>
        <v>#DIV/0!</v>
      </c>
      <c r="I41" s="2103" t="e">
        <f t="shared" si="30"/>
        <v>#DIV/0!</v>
      </c>
      <c r="J41" s="2103" t="e">
        <f t="shared" si="30"/>
        <v>#DIV/0!</v>
      </c>
      <c r="K41" s="2103" t="e">
        <f t="shared" si="30"/>
        <v>#DIV/0!</v>
      </c>
      <c r="L41" s="2103" t="e">
        <f t="shared" si="30"/>
        <v>#DIV/0!</v>
      </c>
      <c r="M41" s="2103" t="e">
        <f t="shared" si="30"/>
        <v>#DIV/0!</v>
      </c>
      <c r="N41" s="2103" t="e">
        <f t="shared" si="30"/>
        <v>#DIV/0!</v>
      </c>
      <c r="O41" s="2103" t="e">
        <f t="shared" si="30"/>
        <v>#DIV/0!</v>
      </c>
      <c r="P41" s="2103" t="e">
        <f t="shared" si="30"/>
        <v>#DIV/0!</v>
      </c>
      <c r="Q41" s="2103" t="e">
        <f t="shared" si="30"/>
        <v>#DIV/0!</v>
      </c>
      <c r="R41" s="2103" t="e">
        <f t="shared" si="30"/>
        <v>#DIV/0!</v>
      </c>
      <c r="S41" s="2103" t="e">
        <f t="shared" si="30"/>
        <v>#DIV/0!</v>
      </c>
      <c r="T41" s="2103" t="e">
        <f t="shared" si="30"/>
        <v>#DIV/0!</v>
      </c>
      <c r="U41" s="2103" t="e">
        <f t="shared" si="30"/>
        <v>#DIV/0!</v>
      </c>
    </row>
    <row r="42" spans="2:21" ht="11.25" thickBot="1" x14ac:dyDescent="0.2">
      <c r="B42" s="2099" t="s">
        <v>201</v>
      </c>
      <c r="C42" s="4734">
        <f t="shared" si="29"/>
        <v>1578</v>
      </c>
      <c r="D42" s="4734"/>
      <c r="E42" s="2103" t="e">
        <f>+E8/$C$41</f>
        <v>#DIV/0!</v>
      </c>
      <c r="F42" s="2103" t="e">
        <f t="shared" ref="F42:U42" si="31">+F8/$C$41</f>
        <v>#DIV/0!</v>
      </c>
      <c r="G42" s="2103" t="e">
        <f t="shared" si="31"/>
        <v>#DIV/0!</v>
      </c>
      <c r="H42" s="2103" t="e">
        <f t="shared" si="31"/>
        <v>#DIV/0!</v>
      </c>
      <c r="I42" s="2103" t="e">
        <f t="shared" si="31"/>
        <v>#DIV/0!</v>
      </c>
      <c r="J42" s="2103" t="e">
        <f t="shared" si="31"/>
        <v>#DIV/0!</v>
      </c>
      <c r="K42" s="2103" t="e">
        <f t="shared" si="31"/>
        <v>#DIV/0!</v>
      </c>
      <c r="L42" s="2103" t="e">
        <f t="shared" si="31"/>
        <v>#DIV/0!</v>
      </c>
      <c r="M42" s="2103" t="e">
        <f t="shared" si="31"/>
        <v>#DIV/0!</v>
      </c>
      <c r="N42" s="2103" t="e">
        <f t="shared" si="31"/>
        <v>#DIV/0!</v>
      </c>
      <c r="O42" s="2103" t="e">
        <f t="shared" si="31"/>
        <v>#DIV/0!</v>
      </c>
      <c r="P42" s="2103" t="e">
        <f t="shared" si="31"/>
        <v>#DIV/0!</v>
      </c>
      <c r="Q42" s="2103" t="e">
        <f t="shared" si="31"/>
        <v>#DIV/0!</v>
      </c>
      <c r="R42" s="2103" t="e">
        <f t="shared" si="31"/>
        <v>#DIV/0!</v>
      </c>
      <c r="S42" s="2103" t="e">
        <f t="shared" si="31"/>
        <v>#DIV/0!</v>
      </c>
      <c r="T42" s="2103" t="e">
        <f t="shared" si="31"/>
        <v>#DIV/0!</v>
      </c>
      <c r="U42" s="2103" t="e">
        <f t="shared" si="31"/>
        <v>#DIV/0!</v>
      </c>
    </row>
    <row r="43" spans="2:21" ht="11.25" thickBot="1" x14ac:dyDescent="0.2">
      <c r="B43" s="2112" t="s">
        <v>202</v>
      </c>
      <c r="C43" s="4733">
        <f t="shared" si="29"/>
        <v>1578</v>
      </c>
      <c r="D43" s="4733"/>
      <c r="E43" s="2115"/>
      <c r="F43" s="2115"/>
      <c r="G43" s="2115"/>
      <c r="H43" s="2115"/>
      <c r="I43" s="2115"/>
      <c r="J43" s="2115"/>
      <c r="K43" s="2115"/>
      <c r="L43" s="2115"/>
      <c r="M43" s="2115"/>
      <c r="N43" s="2115"/>
      <c r="O43" s="2115"/>
      <c r="P43" s="2115"/>
      <c r="Q43" s="2115"/>
      <c r="R43" s="2115"/>
      <c r="S43" s="2115"/>
      <c r="T43" s="2115"/>
      <c r="U43" s="2115"/>
    </row>
    <row r="44" spans="2:21" ht="11.25" thickBot="1" x14ac:dyDescent="0.2">
      <c r="B44" s="2112" t="s">
        <v>203</v>
      </c>
      <c r="C44" s="4733">
        <f t="shared" si="29"/>
        <v>1578</v>
      </c>
      <c r="D44" s="4733"/>
      <c r="E44" s="2115"/>
      <c r="F44" s="2115"/>
      <c r="G44" s="2115"/>
      <c r="H44" s="2115"/>
      <c r="I44" s="2115"/>
      <c r="J44" s="2115"/>
      <c r="K44" s="2115"/>
      <c r="L44" s="2115"/>
      <c r="M44" s="2115"/>
      <c r="N44" s="2115"/>
      <c r="O44" s="2115"/>
      <c r="P44" s="2115"/>
      <c r="Q44" s="2115"/>
      <c r="R44" s="2115"/>
      <c r="S44" s="2115"/>
      <c r="T44" s="2115"/>
      <c r="U44" s="2115"/>
    </row>
    <row r="45" spans="2:21" ht="11.25" thickBot="1" x14ac:dyDescent="0.2">
      <c r="B45" s="2112" t="s">
        <v>204</v>
      </c>
      <c r="C45" s="4733">
        <f t="shared" si="29"/>
        <v>1578</v>
      </c>
      <c r="D45" s="4733"/>
      <c r="E45" s="2115"/>
      <c r="F45" s="2115"/>
      <c r="G45" s="2115"/>
      <c r="H45" s="2115"/>
      <c r="I45" s="2115"/>
      <c r="J45" s="2115"/>
      <c r="K45" s="2115"/>
      <c r="L45" s="2115"/>
      <c r="M45" s="2115"/>
      <c r="N45" s="2115"/>
      <c r="O45" s="2115"/>
      <c r="P45" s="2115"/>
      <c r="Q45" s="2115"/>
      <c r="R45" s="2115"/>
      <c r="S45" s="2115"/>
      <c r="T45" s="2115"/>
      <c r="U45" s="2115"/>
    </row>
    <row r="46" spans="2:21" ht="11.25" thickBot="1" x14ac:dyDescent="0.2">
      <c r="B46" s="2099" t="s">
        <v>205</v>
      </c>
      <c r="C46" s="4734">
        <f t="shared" si="29"/>
        <v>1578</v>
      </c>
      <c r="D46" s="4734"/>
      <c r="E46" s="2103" t="e">
        <f>+E12/$C$41</f>
        <v>#DIV/0!</v>
      </c>
      <c r="F46" s="2103" t="e">
        <f t="shared" ref="F46:U46" si="32">+F12/$C$41</f>
        <v>#DIV/0!</v>
      </c>
      <c r="G46" s="2103" t="e">
        <f t="shared" si="32"/>
        <v>#DIV/0!</v>
      </c>
      <c r="H46" s="2103" t="e">
        <f t="shared" si="32"/>
        <v>#DIV/0!</v>
      </c>
      <c r="I46" s="2103" t="e">
        <f t="shared" si="32"/>
        <v>#DIV/0!</v>
      </c>
      <c r="J46" s="2103" t="e">
        <f t="shared" si="32"/>
        <v>#DIV/0!</v>
      </c>
      <c r="K46" s="2103" t="e">
        <f t="shared" si="32"/>
        <v>#DIV/0!</v>
      </c>
      <c r="L46" s="2103" t="e">
        <f t="shared" si="32"/>
        <v>#DIV/0!</v>
      </c>
      <c r="M46" s="2103" t="e">
        <f t="shared" si="32"/>
        <v>#DIV/0!</v>
      </c>
      <c r="N46" s="2103" t="e">
        <f t="shared" si="32"/>
        <v>#DIV/0!</v>
      </c>
      <c r="O46" s="2103" t="e">
        <f t="shared" si="32"/>
        <v>#DIV/0!</v>
      </c>
      <c r="P46" s="2103" t="e">
        <f t="shared" si="32"/>
        <v>#DIV/0!</v>
      </c>
      <c r="Q46" s="2103" t="e">
        <f t="shared" si="32"/>
        <v>#DIV/0!</v>
      </c>
      <c r="R46" s="2103" t="e">
        <f t="shared" si="32"/>
        <v>#DIV/0!</v>
      </c>
      <c r="S46" s="2103" t="e">
        <f t="shared" si="32"/>
        <v>#DIV/0!</v>
      </c>
      <c r="T46" s="2103" t="e">
        <f t="shared" si="32"/>
        <v>#DIV/0!</v>
      </c>
      <c r="U46" s="2103" t="e">
        <f t="shared" si="32"/>
        <v>#DIV/0!</v>
      </c>
    </row>
    <row r="47" spans="2:21" ht="11.25" thickBot="1" x14ac:dyDescent="0.2">
      <c r="B47" s="2112" t="s">
        <v>2892</v>
      </c>
      <c r="C47" s="4733">
        <f t="shared" si="29"/>
        <v>1578</v>
      </c>
      <c r="D47" s="4733"/>
      <c r="E47" s="2115"/>
      <c r="F47" s="2115"/>
      <c r="G47" s="2115"/>
      <c r="H47" s="2115"/>
      <c r="I47" s="2115"/>
      <c r="J47" s="2115"/>
      <c r="K47" s="2115"/>
      <c r="L47" s="2115"/>
      <c r="M47" s="2115"/>
      <c r="N47" s="2115"/>
      <c r="O47" s="2115"/>
      <c r="P47" s="2115"/>
      <c r="Q47" s="2115"/>
      <c r="R47" s="2115"/>
      <c r="S47" s="2115"/>
      <c r="T47" s="2115"/>
      <c r="U47" s="2115"/>
    </row>
    <row r="48" spans="2:21" ht="11.25" thickBot="1" x14ac:dyDescent="0.2">
      <c r="B48" s="2112" t="s">
        <v>84</v>
      </c>
      <c r="C48" s="4733">
        <f t="shared" si="29"/>
        <v>1578</v>
      </c>
      <c r="D48" s="4733"/>
      <c r="E48" s="2115"/>
      <c r="F48" s="2115"/>
      <c r="G48" s="2115"/>
      <c r="H48" s="2115"/>
      <c r="I48" s="2115"/>
      <c r="J48" s="2115"/>
      <c r="K48" s="2115"/>
      <c r="L48" s="2115"/>
      <c r="M48" s="2115"/>
      <c r="N48" s="2115"/>
      <c r="O48" s="2115"/>
      <c r="P48" s="2115"/>
      <c r="Q48" s="2115"/>
      <c r="R48" s="2115"/>
      <c r="S48" s="2115"/>
      <c r="T48" s="2115"/>
      <c r="U48" s="2115"/>
    </row>
    <row r="49" spans="2:21" ht="11.25" thickBot="1" x14ac:dyDescent="0.2">
      <c r="B49" s="2112" t="s">
        <v>208</v>
      </c>
      <c r="C49" s="4733">
        <f t="shared" si="29"/>
        <v>1578</v>
      </c>
      <c r="D49" s="4733"/>
      <c r="E49" s="2115"/>
      <c r="F49" s="2115"/>
      <c r="G49" s="2115"/>
      <c r="H49" s="2115"/>
      <c r="I49" s="2115"/>
      <c r="J49" s="2115"/>
      <c r="K49" s="2115"/>
      <c r="L49" s="2115"/>
      <c r="M49" s="2115"/>
      <c r="N49" s="2115"/>
      <c r="O49" s="2115"/>
      <c r="P49" s="2115"/>
      <c r="Q49" s="2115"/>
      <c r="R49" s="2115"/>
      <c r="S49" s="2115"/>
      <c r="T49" s="2115"/>
      <c r="U49" s="2115"/>
    </row>
    <row r="50" spans="2:21" ht="11.25" thickBot="1" x14ac:dyDescent="0.2">
      <c r="B50" s="2112" t="s">
        <v>209</v>
      </c>
      <c r="C50" s="4733">
        <f t="shared" si="29"/>
        <v>1578</v>
      </c>
      <c r="D50" s="4733"/>
      <c r="E50" s="2115"/>
      <c r="F50" s="2115"/>
      <c r="G50" s="2115"/>
      <c r="H50" s="2115"/>
      <c r="I50" s="2115"/>
      <c r="J50" s="2115"/>
      <c r="K50" s="2115"/>
      <c r="L50" s="2115"/>
      <c r="M50" s="2115"/>
      <c r="N50" s="2115"/>
      <c r="O50" s="2115"/>
      <c r="P50" s="2115"/>
      <c r="Q50" s="2115"/>
      <c r="R50" s="2115"/>
      <c r="S50" s="2115"/>
      <c r="T50" s="2115"/>
      <c r="U50" s="2115"/>
    </row>
    <row r="51" spans="2:21" ht="11.25" thickBot="1" x14ac:dyDescent="0.2">
      <c r="B51" s="2099" t="s">
        <v>210</v>
      </c>
      <c r="C51" s="4734">
        <f t="shared" si="29"/>
        <v>1578</v>
      </c>
      <c r="D51" s="4734"/>
      <c r="E51" s="2103" t="e">
        <f>+E17/$C$41</f>
        <v>#DIV/0!</v>
      </c>
      <c r="F51" s="2103" t="e">
        <f t="shared" ref="F51:U51" si="33">+F17/$C$41</f>
        <v>#DIV/0!</v>
      </c>
      <c r="G51" s="2103" t="e">
        <f t="shared" si="33"/>
        <v>#DIV/0!</v>
      </c>
      <c r="H51" s="2103" t="e">
        <f t="shared" si="33"/>
        <v>#DIV/0!</v>
      </c>
      <c r="I51" s="2103" t="e">
        <f t="shared" si="33"/>
        <v>#DIV/0!</v>
      </c>
      <c r="J51" s="2103" t="e">
        <f t="shared" si="33"/>
        <v>#DIV/0!</v>
      </c>
      <c r="K51" s="2103" t="e">
        <f t="shared" si="33"/>
        <v>#DIV/0!</v>
      </c>
      <c r="L51" s="2103" t="e">
        <f t="shared" si="33"/>
        <v>#DIV/0!</v>
      </c>
      <c r="M51" s="2103" t="e">
        <f t="shared" si="33"/>
        <v>#DIV/0!</v>
      </c>
      <c r="N51" s="2103" t="e">
        <f t="shared" si="33"/>
        <v>#DIV/0!</v>
      </c>
      <c r="O51" s="2103" t="e">
        <f t="shared" si="33"/>
        <v>#DIV/0!</v>
      </c>
      <c r="P51" s="2103" t="e">
        <f t="shared" si="33"/>
        <v>#DIV/0!</v>
      </c>
      <c r="Q51" s="2103" t="e">
        <f t="shared" si="33"/>
        <v>#DIV/0!</v>
      </c>
      <c r="R51" s="2103" t="e">
        <f t="shared" si="33"/>
        <v>#DIV/0!</v>
      </c>
      <c r="S51" s="2103" t="e">
        <f t="shared" si="33"/>
        <v>#DIV/0!</v>
      </c>
      <c r="T51" s="2103" t="e">
        <f t="shared" si="33"/>
        <v>#DIV/0!</v>
      </c>
      <c r="U51" s="2103" t="e">
        <f t="shared" si="33"/>
        <v>#DIV/0!</v>
      </c>
    </row>
    <row r="52" spans="2:21" ht="11.25" thickBot="1" x14ac:dyDescent="0.2">
      <c r="B52" s="2112" t="s">
        <v>211</v>
      </c>
      <c r="C52" s="4733">
        <f t="shared" si="29"/>
        <v>1578</v>
      </c>
      <c r="D52" s="4733"/>
      <c r="E52" s="2115"/>
      <c r="F52" s="2115"/>
      <c r="G52" s="2115"/>
      <c r="H52" s="2115"/>
      <c r="I52" s="2115"/>
      <c r="J52" s="2115"/>
      <c r="K52" s="2115"/>
      <c r="L52" s="2115"/>
      <c r="M52" s="2115"/>
      <c r="N52" s="2115"/>
      <c r="O52" s="2115"/>
      <c r="P52" s="2115"/>
      <c r="Q52" s="2115"/>
      <c r="R52" s="2115"/>
      <c r="S52" s="2115"/>
      <c r="T52" s="2115"/>
      <c r="U52" s="2115"/>
    </row>
    <row r="53" spans="2:21" ht="11.25" thickBot="1" x14ac:dyDescent="0.2">
      <c r="B53" s="2112" t="s">
        <v>3113</v>
      </c>
      <c r="C53" s="4733">
        <f t="shared" si="29"/>
        <v>1578</v>
      </c>
      <c r="D53" s="4733"/>
      <c r="E53" s="2115"/>
      <c r="F53" s="2115"/>
      <c r="G53" s="2115"/>
      <c r="H53" s="2115"/>
      <c r="I53" s="2115"/>
      <c r="J53" s="2115"/>
      <c r="K53" s="2115"/>
      <c r="L53" s="2115"/>
      <c r="M53" s="2115"/>
      <c r="N53" s="2115"/>
      <c r="O53" s="2115"/>
      <c r="P53" s="2115"/>
      <c r="Q53" s="2115"/>
      <c r="R53" s="2115"/>
      <c r="S53" s="2115"/>
      <c r="T53" s="2115"/>
      <c r="U53" s="2115"/>
    </row>
    <row r="54" spans="2:21" ht="11.25" thickBot="1" x14ac:dyDescent="0.2">
      <c r="B54" s="2112" t="s">
        <v>214</v>
      </c>
      <c r="C54" s="4733">
        <f>+(150*11)-(12*6)-(20*6)</f>
        <v>1458</v>
      </c>
      <c r="D54" s="4733"/>
      <c r="E54" s="2115"/>
      <c r="F54" s="2115"/>
      <c r="G54" s="2115"/>
      <c r="H54" s="2115"/>
      <c r="I54" s="2115"/>
      <c r="J54" s="2115"/>
      <c r="K54" s="2115"/>
      <c r="L54" s="2115"/>
      <c r="M54" s="2115"/>
      <c r="N54" s="2115"/>
      <c r="O54" s="2115"/>
      <c r="P54" s="2115"/>
      <c r="Q54" s="2115"/>
      <c r="R54" s="2115"/>
      <c r="S54" s="2115"/>
      <c r="T54" s="2115"/>
      <c r="U54" s="2115"/>
    </row>
    <row r="55" spans="2:21" ht="11.25" thickBot="1" x14ac:dyDescent="0.2">
      <c r="B55" s="2112" t="s">
        <v>3114</v>
      </c>
      <c r="C55" s="4733">
        <f t="shared" si="29"/>
        <v>1578</v>
      </c>
      <c r="D55" s="4733"/>
      <c r="E55" s="2115"/>
      <c r="F55" s="2115"/>
      <c r="G55" s="2115"/>
      <c r="H55" s="2115"/>
      <c r="I55" s="2115"/>
      <c r="J55" s="2115"/>
      <c r="K55" s="2115"/>
      <c r="L55" s="2115"/>
      <c r="M55" s="2115"/>
      <c r="N55" s="2115"/>
      <c r="O55" s="2115"/>
      <c r="P55" s="2115"/>
      <c r="Q55" s="2115"/>
      <c r="R55" s="2115"/>
      <c r="S55" s="2115"/>
      <c r="T55" s="2115"/>
      <c r="U55" s="2115"/>
    </row>
    <row r="56" spans="2:21" ht="11.25" thickBot="1" x14ac:dyDescent="0.2">
      <c r="B56" s="2099" t="s">
        <v>216</v>
      </c>
      <c r="C56" s="4734">
        <f t="shared" si="29"/>
        <v>1578</v>
      </c>
      <c r="D56" s="4734"/>
      <c r="E56" s="2103" t="e">
        <f t="shared" ref="E56:E63" si="34">+E22/$C$41</f>
        <v>#REF!</v>
      </c>
      <c r="F56" s="2103" t="e">
        <f t="shared" ref="F56:U63" si="35">+F22/$C$41</f>
        <v>#REF!</v>
      </c>
      <c r="G56" s="2103" t="e">
        <f t="shared" si="35"/>
        <v>#REF!</v>
      </c>
      <c r="H56" s="2103" t="e">
        <f t="shared" si="35"/>
        <v>#REF!</v>
      </c>
      <c r="I56" s="2103" t="e">
        <f t="shared" si="35"/>
        <v>#REF!</v>
      </c>
      <c r="J56" s="2103" t="e">
        <f t="shared" si="35"/>
        <v>#REF!</v>
      </c>
      <c r="K56" s="2103" t="e">
        <f t="shared" si="35"/>
        <v>#REF!</v>
      </c>
      <c r="L56" s="2103" t="e">
        <f t="shared" si="35"/>
        <v>#REF!</v>
      </c>
      <c r="M56" s="2103" t="e">
        <f t="shared" si="35"/>
        <v>#REF!</v>
      </c>
      <c r="N56" s="2103" t="e">
        <f t="shared" si="35"/>
        <v>#REF!</v>
      </c>
      <c r="O56" s="2103" t="e">
        <f t="shared" si="35"/>
        <v>#REF!</v>
      </c>
      <c r="P56" s="2103" t="e">
        <f t="shared" si="35"/>
        <v>#REF!</v>
      </c>
      <c r="Q56" s="2103" t="e">
        <f t="shared" si="35"/>
        <v>#REF!</v>
      </c>
      <c r="R56" s="2103" t="e">
        <f t="shared" si="35"/>
        <v>#REF!</v>
      </c>
      <c r="S56" s="2103" t="e">
        <f t="shared" si="35"/>
        <v>#REF!</v>
      </c>
      <c r="T56" s="2103" t="e">
        <f t="shared" si="35"/>
        <v>#REF!</v>
      </c>
      <c r="U56" s="2103" t="e">
        <f t="shared" si="35"/>
        <v>#REF!</v>
      </c>
    </row>
    <row r="57" spans="2:21" ht="11.25" thickBot="1" x14ac:dyDescent="0.2">
      <c r="B57" s="2099" t="s">
        <v>217</v>
      </c>
      <c r="C57" s="4734">
        <f t="shared" si="29"/>
        <v>1578</v>
      </c>
      <c r="D57" s="4734"/>
      <c r="E57" s="2103" t="e">
        <f t="shared" si="34"/>
        <v>#DIV/0!</v>
      </c>
      <c r="F57" s="2103" t="e">
        <f t="shared" si="35"/>
        <v>#DIV/0!</v>
      </c>
      <c r="G57" s="2103" t="e">
        <f t="shared" si="35"/>
        <v>#DIV/0!</v>
      </c>
      <c r="H57" s="2103" t="e">
        <f t="shared" si="35"/>
        <v>#DIV/0!</v>
      </c>
      <c r="I57" s="2103" t="e">
        <f t="shared" si="35"/>
        <v>#DIV/0!</v>
      </c>
      <c r="J57" s="2103" t="e">
        <f t="shared" si="35"/>
        <v>#DIV/0!</v>
      </c>
      <c r="K57" s="2103" t="e">
        <f t="shared" si="35"/>
        <v>#DIV/0!</v>
      </c>
      <c r="L57" s="2103" t="e">
        <f t="shared" si="35"/>
        <v>#DIV/0!</v>
      </c>
      <c r="M57" s="2103" t="e">
        <f t="shared" si="35"/>
        <v>#DIV/0!</v>
      </c>
      <c r="N57" s="2103" t="e">
        <f t="shared" si="35"/>
        <v>#DIV/0!</v>
      </c>
      <c r="O57" s="2103" t="e">
        <f t="shared" si="35"/>
        <v>#DIV/0!</v>
      </c>
      <c r="P57" s="2103" t="e">
        <f t="shared" si="35"/>
        <v>#DIV/0!</v>
      </c>
      <c r="Q57" s="2103" t="e">
        <f t="shared" si="35"/>
        <v>#DIV/0!</v>
      </c>
      <c r="R57" s="2103" t="e">
        <f t="shared" si="35"/>
        <v>#DIV/0!</v>
      </c>
      <c r="S57" s="2103" t="e">
        <f t="shared" si="35"/>
        <v>#DIV/0!</v>
      </c>
      <c r="T57" s="2103" t="e">
        <f t="shared" si="35"/>
        <v>#DIV/0!</v>
      </c>
      <c r="U57" s="2103" t="e">
        <f t="shared" si="35"/>
        <v>#DIV/0!</v>
      </c>
    </row>
    <row r="58" spans="2:21" ht="11.25" thickBot="1" x14ac:dyDescent="0.2">
      <c r="B58" s="2099" t="s">
        <v>218</v>
      </c>
      <c r="C58" s="4734">
        <f t="shared" si="29"/>
        <v>1578</v>
      </c>
      <c r="D58" s="4734"/>
      <c r="E58" s="2103" t="e">
        <f t="shared" si="34"/>
        <v>#REF!</v>
      </c>
      <c r="F58" s="2103" t="e">
        <f t="shared" si="35"/>
        <v>#REF!</v>
      </c>
      <c r="G58" s="2103" t="e">
        <f t="shared" si="35"/>
        <v>#REF!</v>
      </c>
      <c r="H58" s="2103" t="e">
        <f t="shared" si="35"/>
        <v>#REF!</v>
      </c>
      <c r="I58" s="2103" t="e">
        <f t="shared" si="35"/>
        <v>#REF!</v>
      </c>
      <c r="J58" s="2103" t="e">
        <f t="shared" si="35"/>
        <v>#REF!</v>
      </c>
      <c r="K58" s="2103" t="e">
        <f t="shared" si="35"/>
        <v>#REF!</v>
      </c>
      <c r="L58" s="2103" t="e">
        <f t="shared" si="35"/>
        <v>#REF!</v>
      </c>
      <c r="M58" s="2103" t="e">
        <f t="shared" si="35"/>
        <v>#REF!</v>
      </c>
      <c r="N58" s="2103" t="e">
        <f t="shared" si="35"/>
        <v>#REF!</v>
      </c>
      <c r="O58" s="2103" t="e">
        <f t="shared" si="35"/>
        <v>#REF!</v>
      </c>
      <c r="P58" s="2103" t="e">
        <f t="shared" si="35"/>
        <v>#REF!</v>
      </c>
      <c r="Q58" s="2103" t="e">
        <f t="shared" si="35"/>
        <v>#REF!</v>
      </c>
      <c r="R58" s="2103" t="e">
        <f t="shared" si="35"/>
        <v>#REF!</v>
      </c>
      <c r="S58" s="2103" t="e">
        <f t="shared" si="35"/>
        <v>#REF!</v>
      </c>
      <c r="T58" s="2103" t="e">
        <f t="shared" si="35"/>
        <v>#REF!</v>
      </c>
      <c r="U58" s="2103" t="e">
        <f t="shared" si="35"/>
        <v>#REF!</v>
      </c>
    </row>
    <row r="59" spans="2:21" ht="11.25" thickBot="1" x14ac:dyDescent="0.2">
      <c r="B59" s="2099" t="s">
        <v>353</v>
      </c>
      <c r="C59" s="4734">
        <f t="shared" si="29"/>
        <v>1578</v>
      </c>
      <c r="D59" s="4734"/>
      <c r="E59" s="2103" t="e">
        <f t="shared" si="34"/>
        <v>#REF!</v>
      </c>
      <c r="F59" s="2103" t="e">
        <f t="shared" si="35"/>
        <v>#REF!</v>
      </c>
      <c r="G59" s="2103" t="e">
        <f t="shared" si="35"/>
        <v>#REF!</v>
      </c>
      <c r="H59" s="2103" t="e">
        <f t="shared" si="35"/>
        <v>#REF!</v>
      </c>
      <c r="I59" s="2103" t="e">
        <f t="shared" si="35"/>
        <v>#REF!</v>
      </c>
      <c r="J59" s="2103" t="e">
        <f t="shared" si="35"/>
        <v>#REF!</v>
      </c>
      <c r="K59" s="2103" t="e">
        <f t="shared" si="35"/>
        <v>#REF!</v>
      </c>
      <c r="L59" s="2103" t="e">
        <f t="shared" si="35"/>
        <v>#REF!</v>
      </c>
      <c r="M59" s="2103" t="e">
        <f t="shared" si="35"/>
        <v>#REF!</v>
      </c>
      <c r="N59" s="2103" t="e">
        <f t="shared" si="35"/>
        <v>#REF!</v>
      </c>
      <c r="O59" s="2103" t="e">
        <f t="shared" si="35"/>
        <v>#REF!</v>
      </c>
      <c r="P59" s="2103" t="e">
        <f t="shared" si="35"/>
        <v>#REF!</v>
      </c>
      <c r="Q59" s="2103" t="e">
        <f t="shared" si="35"/>
        <v>#REF!</v>
      </c>
      <c r="R59" s="2103" t="e">
        <f t="shared" si="35"/>
        <v>#REF!</v>
      </c>
      <c r="S59" s="2103" t="e">
        <f t="shared" si="35"/>
        <v>#REF!</v>
      </c>
      <c r="T59" s="2103" t="e">
        <f t="shared" si="35"/>
        <v>#REF!</v>
      </c>
      <c r="U59" s="2103" t="e">
        <f t="shared" si="35"/>
        <v>#REF!</v>
      </c>
    </row>
    <row r="60" spans="2:21" ht="11.25" thickBot="1" x14ac:dyDescent="0.2">
      <c r="B60" s="2099" t="s">
        <v>220</v>
      </c>
      <c r="C60" s="4734">
        <f t="shared" si="29"/>
        <v>1578</v>
      </c>
      <c r="D60" s="4734"/>
      <c r="E60" s="2103" t="e">
        <f t="shared" si="34"/>
        <v>#REF!</v>
      </c>
      <c r="F60" s="2103" t="e">
        <f t="shared" si="35"/>
        <v>#REF!</v>
      </c>
      <c r="G60" s="2103" t="e">
        <f t="shared" si="35"/>
        <v>#REF!</v>
      </c>
      <c r="H60" s="2103" t="e">
        <f t="shared" si="35"/>
        <v>#REF!</v>
      </c>
      <c r="I60" s="2103" t="e">
        <f t="shared" si="35"/>
        <v>#REF!</v>
      </c>
      <c r="J60" s="2103" t="e">
        <f t="shared" si="35"/>
        <v>#REF!</v>
      </c>
      <c r="K60" s="2103" t="e">
        <f t="shared" si="35"/>
        <v>#REF!</v>
      </c>
      <c r="L60" s="2103" t="e">
        <f t="shared" si="35"/>
        <v>#REF!</v>
      </c>
      <c r="M60" s="2103" t="e">
        <f t="shared" si="35"/>
        <v>#REF!</v>
      </c>
      <c r="N60" s="2103" t="e">
        <f t="shared" si="35"/>
        <v>#REF!</v>
      </c>
      <c r="O60" s="2103" t="e">
        <f t="shared" si="35"/>
        <v>#REF!</v>
      </c>
      <c r="P60" s="2103" t="e">
        <f t="shared" si="35"/>
        <v>#REF!</v>
      </c>
      <c r="Q60" s="2103" t="e">
        <f t="shared" si="35"/>
        <v>#REF!</v>
      </c>
      <c r="R60" s="2103" t="e">
        <f t="shared" si="35"/>
        <v>#REF!</v>
      </c>
      <c r="S60" s="2103" t="e">
        <f t="shared" si="35"/>
        <v>#REF!</v>
      </c>
      <c r="T60" s="2103" t="e">
        <f t="shared" si="35"/>
        <v>#REF!</v>
      </c>
      <c r="U60" s="2103" t="e">
        <f t="shared" si="35"/>
        <v>#REF!</v>
      </c>
    </row>
    <row r="61" spans="2:21" ht="11.25" thickBot="1" x14ac:dyDescent="0.2">
      <c r="B61" s="2099" t="s">
        <v>221</v>
      </c>
      <c r="C61" s="4734">
        <f t="shared" si="29"/>
        <v>1578</v>
      </c>
      <c r="D61" s="4734"/>
      <c r="E61" s="2103" t="e">
        <f t="shared" si="34"/>
        <v>#DIV/0!</v>
      </c>
      <c r="F61" s="2103" t="e">
        <f t="shared" si="35"/>
        <v>#DIV/0!</v>
      </c>
      <c r="G61" s="2103" t="e">
        <f t="shared" si="35"/>
        <v>#DIV/0!</v>
      </c>
      <c r="H61" s="2103" t="e">
        <f t="shared" si="35"/>
        <v>#DIV/0!</v>
      </c>
      <c r="I61" s="2103" t="e">
        <f t="shared" si="35"/>
        <v>#DIV/0!</v>
      </c>
      <c r="J61" s="2103" t="e">
        <f t="shared" si="35"/>
        <v>#DIV/0!</v>
      </c>
      <c r="K61" s="2103" t="e">
        <f t="shared" si="35"/>
        <v>#DIV/0!</v>
      </c>
      <c r="L61" s="2103" t="e">
        <f t="shared" si="35"/>
        <v>#DIV/0!</v>
      </c>
      <c r="M61" s="2103" t="e">
        <f t="shared" si="35"/>
        <v>#DIV/0!</v>
      </c>
      <c r="N61" s="2103" t="e">
        <f t="shared" si="35"/>
        <v>#DIV/0!</v>
      </c>
      <c r="O61" s="2103" t="e">
        <f t="shared" si="35"/>
        <v>#DIV/0!</v>
      </c>
      <c r="P61" s="2103" t="e">
        <f t="shared" si="35"/>
        <v>#DIV/0!</v>
      </c>
      <c r="Q61" s="2103" t="e">
        <f t="shared" si="35"/>
        <v>#DIV/0!</v>
      </c>
      <c r="R61" s="2103" t="e">
        <f t="shared" si="35"/>
        <v>#DIV/0!</v>
      </c>
      <c r="S61" s="2103" t="e">
        <f t="shared" si="35"/>
        <v>#DIV/0!</v>
      </c>
      <c r="T61" s="2103" t="e">
        <f t="shared" si="35"/>
        <v>#DIV/0!</v>
      </c>
      <c r="U61" s="2103" t="e">
        <f t="shared" si="35"/>
        <v>#DIV/0!</v>
      </c>
    </row>
    <row r="62" spans="2:21" ht="11.25" thickBot="1" x14ac:dyDescent="0.2">
      <c r="B62" s="2099" t="s">
        <v>222</v>
      </c>
      <c r="C62" s="4734">
        <f>+(150*11)-(12*6)-(20*6)</f>
        <v>1458</v>
      </c>
      <c r="D62" s="4734"/>
      <c r="E62" s="2103" t="e">
        <f t="shared" si="34"/>
        <v>#DIV/0!</v>
      </c>
      <c r="F62" s="2103" t="e">
        <f t="shared" si="35"/>
        <v>#DIV/0!</v>
      </c>
      <c r="G62" s="2103" t="e">
        <f t="shared" si="35"/>
        <v>#DIV/0!</v>
      </c>
      <c r="H62" s="2103" t="e">
        <f t="shared" si="35"/>
        <v>#DIV/0!</v>
      </c>
      <c r="I62" s="2103" t="e">
        <f t="shared" si="35"/>
        <v>#DIV/0!</v>
      </c>
      <c r="J62" s="2103" t="e">
        <f t="shared" si="35"/>
        <v>#DIV/0!</v>
      </c>
      <c r="K62" s="2103" t="e">
        <f t="shared" si="35"/>
        <v>#DIV/0!</v>
      </c>
      <c r="L62" s="2103" t="e">
        <f t="shared" si="35"/>
        <v>#DIV/0!</v>
      </c>
      <c r="M62" s="2103" t="e">
        <f t="shared" si="35"/>
        <v>#DIV/0!</v>
      </c>
      <c r="N62" s="2103" t="e">
        <f t="shared" si="35"/>
        <v>#DIV/0!</v>
      </c>
      <c r="O62" s="2103" t="e">
        <f t="shared" si="35"/>
        <v>#DIV/0!</v>
      </c>
      <c r="P62" s="2103" t="e">
        <f t="shared" si="35"/>
        <v>#DIV/0!</v>
      </c>
      <c r="Q62" s="2103" t="e">
        <f t="shared" si="35"/>
        <v>#DIV/0!</v>
      </c>
      <c r="R62" s="2103" t="e">
        <f t="shared" si="35"/>
        <v>#DIV/0!</v>
      </c>
      <c r="S62" s="2103" t="e">
        <f t="shared" si="35"/>
        <v>#DIV/0!</v>
      </c>
      <c r="T62" s="2103" t="e">
        <f t="shared" si="35"/>
        <v>#DIV/0!</v>
      </c>
      <c r="U62" s="2103" t="e">
        <f t="shared" si="35"/>
        <v>#DIV/0!</v>
      </c>
    </row>
    <row r="63" spans="2:21" ht="11.25" thickBot="1" x14ac:dyDescent="0.2">
      <c r="B63" s="2099" t="s">
        <v>223</v>
      </c>
      <c r="C63" s="4734">
        <f t="shared" si="29"/>
        <v>1578</v>
      </c>
      <c r="D63" s="4734"/>
      <c r="E63" s="2103" t="e">
        <f t="shared" si="34"/>
        <v>#DIV/0!</v>
      </c>
      <c r="F63" s="2103" t="e">
        <f t="shared" si="35"/>
        <v>#DIV/0!</v>
      </c>
      <c r="G63" s="2103" t="e">
        <f t="shared" si="35"/>
        <v>#DIV/0!</v>
      </c>
      <c r="H63" s="2103" t="e">
        <f t="shared" si="35"/>
        <v>#DIV/0!</v>
      </c>
      <c r="I63" s="2103" t="e">
        <f t="shared" si="35"/>
        <v>#DIV/0!</v>
      </c>
      <c r="J63" s="2103" t="e">
        <f t="shared" si="35"/>
        <v>#DIV/0!</v>
      </c>
      <c r="K63" s="2103" t="e">
        <f t="shared" si="35"/>
        <v>#DIV/0!</v>
      </c>
      <c r="L63" s="2103" t="e">
        <f t="shared" si="35"/>
        <v>#DIV/0!</v>
      </c>
      <c r="M63" s="2103" t="e">
        <f t="shared" si="35"/>
        <v>#DIV/0!</v>
      </c>
      <c r="N63" s="2103" t="e">
        <f t="shared" si="35"/>
        <v>#DIV/0!</v>
      </c>
      <c r="O63" s="2103" t="e">
        <f t="shared" si="35"/>
        <v>#DIV/0!</v>
      </c>
      <c r="P63" s="2103" t="e">
        <f t="shared" si="35"/>
        <v>#DIV/0!</v>
      </c>
      <c r="Q63" s="2103" t="e">
        <f t="shared" si="35"/>
        <v>#DIV/0!</v>
      </c>
      <c r="R63" s="2103" t="e">
        <f t="shared" si="35"/>
        <v>#DIV/0!</v>
      </c>
      <c r="S63" s="2103" t="e">
        <f t="shared" si="35"/>
        <v>#DIV/0!</v>
      </c>
      <c r="T63" s="2103" t="e">
        <f t="shared" si="35"/>
        <v>#DIV/0!</v>
      </c>
      <c r="U63" s="2103" t="e">
        <f t="shared" si="35"/>
        <v>#DIV/0!</v>
      </c>
    </row>
    <row r="64" spans="2:21" ht="11.25" thickBot="1" x14ac:dyDescent="0.2">
      <c r="B64" s="2112" t="s">
        <v>3115</v>
      </c>
      <c r="C64" s="4733">
        <f t="shared" si="29"/>
        <v>1578</v>
      </c>
      <c r="D64" s="4733"/>
      <c r="E64" s="2115"/>
      <c r="F64" s="2115"/>
      <c r="G64" s="2115"/>
      <c r="H64" s="2115"/>
      <c r="I64" s="2115"/>
      <c r="J64" s="2115"/>
      <c r="K64" s="2115"/>
      <c r="L64" s="2115"/>
      <c r="M64" s="2115"/>
      <c r="N64" s="2115"/>
      <c r="O64" s="2115"/>
      <c r="P64" s="2115"/>
      <c r="Q64" s="2115"/>
      <c r="R64" s="2115"/>
      <c r="S64" s="2115"/>
      <c r="T64" s="2115"/>
      <c r="U64" s="2115"/>
    </row>
    <row r="65" spans="2:21" ht="11.25" thickBot="1" x14ac:dyDescent="0.2">
      <c r="B65" s="2099" t="s">
        <v>225</v>
      </c>
      <c r="C65" s="4734">
        <f t="shared" si="29"/>
        <v>1578</v>
      </c>
      <c r="D65" s="4734"/>
      <c r="E65" s="2103" t="e">
        <f>+E31/$C$41</f>
        <v>#DIV/0!</v>
      </c>
      <c r="F65" s="2103" t="e">
        <f t="shared" ref="F65:U67" si="36">+F31/$C$41</f>
        <v>#DIV/0!</v>
      </c>
      <c r="G65" s="2103" t="e">
        <f t="shared" si="36"/>
        <v>#DIV/0!</v>
      </c>
      <c r="H65" s="2103" t="e">
        <f t="shared" si="36"/>
        <v>#DIV/0!</v>
      </c>
      <c r="I65" s="2103" t="e">
        <f t="shared" si="36"/>
        <v>#DIV/0!</v>
      </c>
      <c r="J65" s="2103" t="e">
        <f t="shared" si="36"/>
        <v>#DIV/0!</v>
      </c>
      <c r="K65" s="2103" t="e">
        <f t="shared" si="36"/>
        <v>#DIV/0!</v>
      </c>
      <c r="L65" s="2103" t="e">
        <f t="shared" si="36"/>
        <v>#DIV/0!</v>
      </c>
      <c r="M65" s="2103" t="e">
        <f t="shared" si="36"/>
        <v>#DIV/0!</v>
      </c>
      <c r="N65" s="2103" t="e">
        <f t="shared" si="36"/>
        <v>#DIV/0!</v>
      </c>
      <c r="O65" s="2103" t="e">
        <f t="shared" si="36"/>
        <v>#DIV/0!</v>
      </c>
      <c r="P65" s="2103" t="e">
        <f t="shared" si="36"/>
        <v>#DIV/0!</v>
      </c>
      <c r="Q65" s="2103" t="e">
        <f t="shared" si="36"/>
        <v>#DIV/0!</v>
      </c>
      <c r="R65" s="2103" t="e">
        <f t="shared" si="36"/>
        <v>#DIV/0!</v>
      </c>
      <c r="S65" s="2103" t="e">
        <f t="shared" si="36"/>
        <v>#DIV/0!</v>
      </c>
      <c r="T65" s="2103" t="e">
        <f t="shared" si="36"/>
        <v>#DIV/0!</v>
      </c>
      <c r="U65" s="2103" t="e">
        <f t="shared" si="36"/>
        <v>#DIV/0!</v>
      </c>
    </row>
    <row r="66" spans="2:21" ht="11.25" thickBot="1" x14ac:dyDescent="0.2">
      <c r="B66" s="2099" t="s">
        <v>226</v>
      </c>
      <c r="C66" s="4734">
        <f t="shared" si="29"/>
        <v>1578</v>
      </c>
      <c r="D66" s="4734"/>
      <c r="E66" s="2103" t="e">
        <f>+E32/$C$41</f>
        <v>#DIV/0!</v>
      </c>
      <c r="F66" s="2103" t="e">
        <f t="shared" si="36"/>
        <v>#DIV/0!</v>
      </c>
      <c r="G66" s="2103" t="e">
        <f t="shared" si="36"/>
        <v>#DIV/0!</v>
      </c>
      <c r="H66" s="2103" t="e">
        <f t="shared" si="36"/>
        <v>#DIV/0!</v>
      </c>
      <c r="I66" s="2103" t="e">
        <f t="shared" si="36"/>
        <v>#DIV/0!</v>
      </c>
      <c r="J66" s="2103" t="e">
        <f t="shared" si="36"/>
        <v>#DIV/0!</v>
      </c>
      <c r="K66" s="2103" t="e">
        <f t="shared" si="36"/>
        <v>#DIV/0!</v>
      </c>
      <c r="L66" s="2103" t="e">
        <f>+L32/$C$41</f>
        <v>#DIV/0!</v>
      </c>
      <c r="M66" s="2103" t="e">
        <f t="shared" si="36"/>
        <v>#DIV/0!</v>
      </c>
      <c r="N66" s="2103" t="e">
        <f t="shared" si="36"/>
        <v>#DIV/0!</v>
      </c>
      <c r="O66" s="2103" t="e">
        <f t="shared" si="36"/>
        <v>#DIV/0!</v>
      </c>
      <c r="P66" s="2103" t="e">
        <f t="shared" si="36"/>
        <v>#DIV/0!</v>
      </c>
      <c r="Q66" s="2103" t="e">
        <f t="shared" si="36"/>
        <v>#DIV/0!</v>
      </c>
      <c r="R66" s="2103" t="e">
        <f t="shared" si="36"/>
        <v>#DIV/0!</v>
      </c>
      <c r="S66" s="2103" t="e">
        <f t="shared" si="36"/>
        <v>#DIV/0!</v>
      </c>
      <c r="T66" s="2103" t="e">
        <f t="shared" si="36"/>
        <v>#DIV/0!</v>
      </c>
      <c r="U66" s="2103" t="e">
        <f t="shared" si="36"/>
        <v>#DIV/0!</v>
      </c>
    </row>
    <row r="67" spans="2:21" ht="11.25" thickBot="1" x14ac:dyDescent="0.2">
      <c r="B67" s="2099" t="s">
        <v>227</v>
      </c>
      <c r="C67" s="4734">
        <f t="shared" si="29"/>
        <v>1578</v>
      </c>
      <c r="D67" s="4734"/>
      <c r="E67" s="2103" t="e">
        <f>+E33/$C$41</f>
        <v>#DIV/0!</v>
      </c>
      <c r="F67" s="2103" t="e">
        <f t="shared" si="36"/>
        <v>#DIV/0!</v>
      </c>
      <c r="G67" s="2103" t="e">
        <f t="shared" si="36"/>
        <v>#DIV/0!</v>
      </c>
      <c r="H67" s="2103" t="e">
        <f t="shared" si="36"/>
        <v>#DIV/0!</v>
      </c>
      <c r="I67" s="2103" t="e">
        <f t="shared" si="36"/>
        <v>#DIV/0!</v>
      </c>
      <c r="J67" s="2103" t="e">
        <f t="shared" si="36"/>
        <v>#DIV/0!</v>
      </c>
      <c r="K67" s="2103" t="e">
        <f t="shared" si="36"/>
        <v>#DIV/0!</v>
      </c>
      <c r="L67" s="2103" t="e">
        <f t="shared" si="36"/>
        <v>#DIV/0!</v>
      </c>
      <c r="M67" s="2103" t="e">
        <f t="shared" si="36"/>
        <v>#DIV/0!</v>
      </c>
      <c r="N67" s="2103" t="e">
        <f t="shared" si="36"/>
        <v>#DIV/0!</v>
      </c>
      <c r="O67" s="2103" t="e">
        <f t="shared" si="36"/>
        <v>#DIV/0!</v>
      </c>
      <c r="P67" s="2103" t="e">
        <f t="shared" si="36"/>
        <v>#DIV/0!</v>
      </c>
      <c r="Q67" s="2103" t="e">
        <f t="shared" si="36"/>
        <v>#DIV/0!</v>
      </c>
      <c r="R67" s="2103" t="e">
        <f t="shared" si="36"/>
        <v>#DIV/0!</v>
      </c>
      <c r="S67" s="2103" t="e">
        <f t="shared" si="36"/>
        <v>#DIV/0!</v>
      </c>
      <c r="T67" s="2103" t="e">
        <f t="shared" si="36"/>
        <v>#DIV/0!</v>
      </c>
      <c r="U67" s="2103" t="e">
        <f t="shared" si="36"/>
        <v>#DIV/0!</v>
      </c>
    </row>
    <row r="68" spans="2:21" ht="11.25" thickBot="1" x14ac:dyDescent="0.2">
      <c r="B68" s="2112" t="s">
        <v>228</v>
      </c>
      <c r="C68" s="4733">
        <f t="shared" si="29"/>
        <v>1578</v>
      </c>
      <c r="D68" s="4733"/>
      <c r="E68" s="2115"/>
      <c r="F68" s="2115"/>
      <c r="G68" s="2115"/>
      <c r="H68" s="2115"/>
      <c r="I68" s="2115"/>
      <c r="J68" s="2115"/>
      <c r="K68" s="2115"/>
      <c r="L68" s="2115"/>
      <c r="M68" s="2115"/>
      <c r="N68" s="2115"/>
      <c r="O68" s="2115"/>
      <c r="P68" s="2115"/>
      <c r="Q68" s="2115"/>
      <c r="R68" s="2115"/>
      <c r="S68" s="2115"/>
      <c r="T68" s="2115"/>
      <c r="U68" s="2115"/>
    </row>
    <row r="69" spans="2:21" ht="11.25" thickBot="1" x14ac:dyDescent="0.2">
      <c r="B69" s="2099" t="s">
        <v>229</v>
      </c>
      <c r="C69" s="4734">
        <f t="shared" si="29"/>
        <v>1578</v>
      </c>
      <c r="D69" s="4734"/>
      <c r="E69" s="2103" t="e">
        <f>+E35/$C$41</f>
        <v>#DIV/0!</v>
      </c>
      <c r="F69" s="2103" t="e">
        <f t="shared" ref="F69:U70" si="37">+F35/$C$41</f>
        <v>#DIV/0!</v>
      </c>
      <c r="G69" s="2103" t="e">
        <f t="shared" si="37"/>
        <v>#DIV/0!</v>
      </c>
      <c r="H69" s="2103" t="e">
        <f t="shared" si="37"/>
        <v>#DIV/0!</v>
      </c>
      <c r="I69" s="2103" t="e">
        <f t="shared" si="37"/>
        <v>#DIV/0!</v>
      </c>
      <c r="J69" s="2103" t="e">
        <f t="shared" si="37"/>
        <v>#DIV/0!</v>
      </c>
      <c r="K69" s="2103" t="e">
        <f t="shared" si="37"/>
        <v>#DIV/0!</v>
      </c>
      <c r="L69" s="2103" t="e">
        <f t="shared" si="37"/>
        <v>#DIV/0!</v>
      </c>
      <c r="M69" s="2103" t="e">
        <f t="shared" si="37"/>
        <v>#DIV/0!</v>
      </c>
      <c r="N69" s="2103" t="e">
        <f t="shared" si="37"/>
        <v>#DIV/0!</v>
      </c>
      <c r="O69" s="2103" t="e">
        <f t="shared" si="37"/>
        <v>#DIV/0!</v>
      </c>
      <c r="P69" s="2103" t="e">
        <f t="shared" si="37"/>
        <v>#DIV/0!</v>
      </c>
      <c r="Q69" s="2103" t="e">
        <f t="shared" si="37"/>
        <v>#DIV/0!</v>
      </c>
      <c r="R69" s="2103" t="e">
        <f t="shared" si="37"/>
        <v>#DIV/0!</v>
      </c>
      <c r="S69" s="2103" t="e">
        <f t="shared" si="37"/>
        <v>#DIV/0!</v>
      </c>
      <c r="T69" s="2103" t="e">
        <f t="shared" si="37"/>
        <v>#DIV/0!</v>
      </c>
      <c r="U69" s="2103" t="e">
        <f t="shared" si="37"/>
        <v>#DIV/0!</v>
      </c>
    </row>
    <row r="70" spans="2:21" ht="11.25" thickBot="1" x14ac:dyDescent="0.2">
      <c r="B70" s="2099" t="s">
        <v>3122</v>
      </c>
      <c r="C70" s="4734">
        <f t="shared" si="29"/>
        <v>1578</v>
      </c>
      <c r="D70" s="4734"/>
      <c r="E70" s="2103" t="e">
        <f>+E36/$C$41</f>
        <v>#DIV/0!</v>
      </c>
      <c r="F70" s="2103" t="e">
        <f t="shared" si="37"/>
        <v>#DIV/0!</v>
      </c>
      <c r="G70" s="2103" t="e">
        <f t="shared" si="37"/>
        <v>#DIV/0!</v>
      </c>
      <c r="H70" s="2103" t="e">
        <f t="shared" si="37"/>
        <v>#DIV/0!</v>
      </c>
      <c r="I70" s="2103" t="e">
        <f t="shared" si="37"/>
        <v>#DIV/0!</v>
      </c>
      <c r="J70" s="2103" t="e">
        <f t="shared" si="37"/>
        <v>#DIV/0!</v>
      </c>
      <c r="K70" s="2103" t="e">
        <f t="shared" si="37"/>
        <v>#DIV/0!</v>
      </c>
      <c r="L70" s="2103" t="e">
        <f t="shared" si="37"/>
        <v>#DIV/0!</v>
      </c>
      <c r="M70" s="2103" t="e">
        <f t="shared" si="37"/>
        <v>#DIV/0!</v>
      </c>
      <c r="N70" s="2103" t="e">
        <f t="shared" si="37"/>
        <v>#DIV/0!</v>
      </c>
      <c r="O70" s="2103" t="e">
        <f t="shared" si="37"/>
        <v>#DIV/0!</v>
      </c>
      <c r="P70" s="2103" t="e">
        <f t="shared" si="37"/>
        <v>#DIV/0!</v>
      </c>
      <c r="Q70" s="2103" t="e">
        <f t="shared" si="37"/>
        <v>#DIV/0!</v>
      </c>
      <c r="R70" s="2103" t="e">
        <f t="shared" si="37"/>
        <v>#DIV/0!</v>
      </c>
      <c r="S70" s="2103" t="e">
        <f t="shared" si="37"/>
        <v>#DIV/0!</v>
      </c>
      <c r="T70" s="2103" t="e">
        <f t="shared" si="37"/>
        <v>#DIV/0!</v>
      </c>
      <c r="U70" s="2103" t="e">
        <f t="shared" si="37"/>
        <v>#DIV/0!</v>
      </c>
    </row>
    <row r="71" spans="2:21" ht="11.25" thickBot="1" x14ac:dyDescent="0.2">
      <c r="B71" s="2112" t="s">
        <v>231</v>
      </c>
      <c r="C71" s="4733">
        <f t="shared" si="29"/>
        <v>1578</v>
      </c>
      <c r="D71" s="4733"/>
      <c r="E71" s="2114"/>
      <c r="F71" s="2114"/>
      <c r="G71" s="2114"/>
      <c r="H71" s="2114"/>
      <c r="I71" s="2114"/>
      <c r="J71" s="2114"/>
      <c r="K71" s="2114"/>
      <c r="L71" s="2114"/>
      <c r="M71" s="2114"/>
      <c r="N71" s="2114"/>
      <c r="O71" s="2114"/>
      <c r="P71" s="2114"/>
      <c r="Q71" s="2114"/>
      <c r="R71" s="2114"/>
      <c r="S71" s="2114"/>
      <c r="T71" s="2114"/>
      <c r="U71" s="2114"/>
    </row>
    <row r="74" spans="2:21" x14ac:dyDescent="0.15">
      <c r="D74" s="2098" t="s">
        <v>3124</v>
      </c>
    </row>
    <row r="75" spans="2:21" x14ac:dyDescent="0.15">
      <c r="D75" s="2096">
        <v>0.1</v>
      </c>
      <c r="E75" s="2096">
        <v>1.1000000000000001</v>
      </c>
      <c r="F75" s="2097">
        <v>1</v>
      </c>
      <c r="G75" s="2097"/>
      <c r="H75" s="2096">
        <v>1.1000000000000001</v>
      </c>
      <c r="I75" s="2096">
        <v>1.9</v>
      </c>
      <c r="J75" s="2097">
        <v>2</v>
      </c>
    </row>
    <row r="76" spans="2:21" x14ac:dyDescent="0.15">
      <c r="D76" s="2096">
        <v>2</v>
      </c>
      <c r="E76" s="2096">
        <v>2.2000000000000002</v>
      </c>
      <c r="F76" s="2097">
        <v>2</v>
      </c>
      <c r="G76" s="2097"/>
      <c r="H76" s="2096">
        <v>2.2000000000000002</v>
      </c>
      <c r="I76" s="2096">
        <v>2.9</v>
      </c>
      <c r="J76" s="2097">
        <v>3</v>
      </c>
    </row>
    <row r="77" spans="2:21" x14ac:dyDescent="0.15">
      <c r="D77" s="2096">
        <v>3</v>
      </c>
      <c r="E77" s="2096">
        <v>3.3</v>
      </c>
      <c r="F77" s="2097">
        <v>3</v>
      </c>
      <c r="G77" s="2097"/>
      <c r="H77" s="2096">
        <v>3.3</v>
      </c>
      <c r="I77" s="2096">
        <v>3.9</v>
      </c>
      <c r="J77" s="2097">
        <v>4</v>
      </c>
    </row>
    <row r="78" spans="2:21" x14ac:dyDescent="0.15">
      <c r="D78" s="2096">
        <v>4</v>
      </c>
      <c r="E78" s="2096">
        <v>4.4000000000000004</v>
      </c>
      <c r="F78" s="2097">
        <v>4</v>
      </c>
      <c r="G78" s="2097"/>
      <c r="H78" s="2096">
        <v>4.4000000000000004</v>
      </c>
      <c r="I78" s="2096">
        <v>4.9000000000000004</v>
      </c>
      <c r="J78" s="2097">
        <v>5</v>
      </c>
    </row>
    <row r="79" spans="2:21" x14ac:dyDescent="0.15">
      <c r="D79" s="2096">
        <v>5</v>
      </c>
      <c r="E79" s="2096">
        <v>5.5</v>
      </c>
      <c r="F79" s="2097">
        <v>5</v>
      </c>
      <c r="G79" s="2097"/>
      <c r="H79" s="2096">
        <v>5.5</v>
      </c>
      <c r="I79" s="2096">
        <v>5.9</v>
      </c>
      <c r="J79" s="2097">
        <v>6</v>
      </c>
    </row>
    <row r="80" spans="2:21" x14ac:dyDescent="0.15">
      <c r="D80" s="2096">
        <v>6</v>
      </c>
      <c r="E80" s="2096">
        <v>6.6</v>
      </c>
      <c r="F80" s="2097">
        <v>6</v>
      </c>
      <c r="G80" s="2097"/>
      <c r="H80" s="2096">
        <v>6.6</v>
      </c>
      <c r="I80" s="2096">
        <v>6.9</v>
      </c>
      <c r="J80" s="2097">
        <v>7</v>
      </c>
    </row>
    <row r="81" spans="4:10" x14ac:dyDescent="0.15">
      <c r="D81" s="2096">
        <v>7</v>
      </c>
      <c r="E81" s="2096">
        <v>7.7</v>
      </c>
      <c r="F81" s="2097">
        <v>7</v>
      </c>
      <c r="G81" s="2097"/>
      <c r="H81" s="2096">
        <v>7.7</v>
      </c>
      <c r="I81" s="2096">
        <v>7.9</v>
      </c>
      <c r="J81" s="2097">
        <v>8</v>
      </c>
    </row>
    <row r="82" spans="4:10" x14ac:dyDescent="0.15">
      <c r="D82" s="2096">
        <v>8</v>
      </c>
      <c r="E82" s="2096">
        <v>8.8000000000000007</v>
      </c>
      <c r="F82" s="2097">
        <v>8</v>
      </c>
      <c r="G82" s="2097"/>
      <c r="H82" s="2096">
        <v>8.8000000000000007</v>
      </c>
      <c r="I82" s="2096">
        <v>8.9</v>
      </c>
      <c r="J82" s="2097">
        <v>9</v>
      </c>
    </row>
    <row r="83" spans="4:10" x14ac:dyDescent="0.15">
      <c r="D83" s="2096">
        <v>9</v>
      </c>
      <c r="E83" s="2096">
        <v>9.9</v>
      </c>
      <c r="F83" s="2097">
        <v>9</v>
      </c>
      <c r="G83" s="2097"/>
      <c r="J83" s="2097"/>
    </row>
    <row r="84" spans="4:10" x14ac:dyDescent="0.15">
      <c r="F84" s="2097"/>
      <c r="G84" s="2097"/>
      <c r="J84" s="2097"/>
    </row>
    <row r="85" spans="4:10" x14ac:dyDescent="0.15">
      <c r="F85" s="2097"/>
      <c r="G85" s="2097"/>
      <c r="J85" s="2097"/>
    </row>
    <row r="86" spans="4:10" x14ac:dyDescent="0.15">
      <c r="F86" s="2097"/>
      <c r="G86" s="2097"/>
      <c r="J86" s="2097"/>
    </row>
    <row r="87" spans="4:10" x14ac:dyDescent="0.15">
      <c r="F87" s="2097"/>
      <c r="G87" s="2097"/>
      <c r="J87" s="2097"/>
    </row>
    <row r="88" spans="4:10" x14ac:dyDescent="0.15">
      <c r="J88" s="2097"/>
    </row>
  </sheetData>
  <mergeCells count="36">
    <mergeCell ref="C4:D5"/>
    <mergeCell ref="B4:B6"/>
    <mergeCell ref="E4:U4"/>
    <mergeCell ref="B39:B40"/>
    <mergeCell ref="C39:D40"/>
    <mergeCell ref="C49:D49"/>
    <mergeCell ref="C41:D41"/>
    <mergeCell ref="C42:D42"/>
    <mergeCell ref="C43:D43"/>
    <mergeCell ref="C44:D44"/>
    <mergeCell ref="C45:D45"/>
    <mergeCell ref="C46:D46"/>
    <mergeCell ref="C47:D47"/>
    <mergeCell ref="C48:D48"/>
    <mergeCell ref="C61:D61"/>
    <mergeCell ref="C50:D50"/>
    <mergeCell ref="C51:D51"/>
    <mergeCell ref="C52:D52"/>
    <mergeCell ref="C53:D53"/>
    <mergeCell ref="C54:D54"/>
    <mergeCell ref="C55:D55"/>
    <mergeCell ref="C56:D56"/>
    <mergeCell ref="C57:D57"/>
    <mergeCell ref="C58:D58"/>
    <mergeCell ref="C59:D59"/>
    <mergeCell ref="C60:D60"/>
    <mergeCell ref="C68:D68"/>
    <mergeCell ref="C69:D69"/>
    <mergeCell ref="C70:D70"/>
    <mergeCell ref="C71:D71"/>
    <mergeCell ref="C62:D62"/>
    <mergeCell ref="C63:D63"/>
    <mergeCell ref="C64:D64"/>
    <mergeCell ref="C65:D65"/>
    <mergeCell ref="C66:D66"/>
    <mergeCell ref="C67:D67"/>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000"/>
  </sheetPr>
  <dimension ref="A2:S95"/>
  <sheetViews>
    <sheetView topLeftCell="A13" zoomScaleNormal="100" workbookViewId="0">
      <selection activeCell="C37" sqref="C37:D37"/>
    </sheetView>
  </sheetViews>
  <sheetFormatPr baseColWidth="10" defaultRowHeight="13.5" x14ac:dyDescent="0.25"/>
  <cols>
    <col min="1" max="1" width="6.85546875" style="691" customWidth="1"/>
    <col min="2" max="2" width="48.7109375" style="691" customWidth="1"/>
    <col min="3" max="3" width="10.42578125" style="691" bestFit="1" customWidth="1"/>
    <col min="4" max="5" width="5.28515625" style="691" customWidth="1"/>
    <col min="6" max="19" width="8.140625" style="691" customWidth="1"/>
    <col min="20" max="257" width="11.5703125" style="691"/>
    <col min="258" max="258" width="4.5703125" style="691" customWidth="1"/>
    <col min="259" max="259" width="28.5703125" style="691" customWidth="1"/>
    <col min="260" max="275" width="8.140625" style="691" customWidth="1"/>
    <col min="276" max="513" width="11.5703125" style="691"/>
    <col min="514" max="514" width="4.5703125" style="691" customWidth="1"/>
    <col min="515" max="515" width="28.5703125" style="691" customWidth="1"/>
    <col min="516" max="531" width="8.140625" style="691" customWidth="1"/>
    <col min="532" max="769" width="11.5703125" style="691"/>
    <col min="770" max="770" width="4.5703125" style="691" customWidth="1"/>
    <col min="771" max="771" width="28.5703125" style="691" customWidth="1"/>
    <col min="772" max="787" width="8.140625" style="691" customWidth="1"/>
    <col min="788" max="1025" width="11.5703125" style="691"/>
    <col min="1026" max="1026" width="4.5703125" style="691" customWidth="1"/>
    <col min="1027" max="1027" width="28.5703125" style="691" customWidth="1"/>
    <col min="1028" max="1043" width="8.140625" style="691" customWidth="1"/>
    <col min="1044" max="1281" width="11.5703125" style="691"/>
    <col min="1282" max="1282" width="4.5703125" style="691" customWidth="1"/>
    <col min="1283" max="1283" width="28.5703125" style="691" customWidth="1"/>
    <col min="1284" max="1299" width="8.140625" style="691" customWidth="1"/>
    <col min="1300" max="1537" width="11.5703125" style="691"/>
    <col min="1538" max="1538" width="4.5703125" style="691" customWidth="1"/>
    <col min="1539" max="1539" width="28.5703125" style="691" customWidth="1"/>
    <col min="1540" max="1555" width="8.140625" style="691" customWidth="1"/>
    <col min="1556" max="1793" width="11.5703125" style="691"/>
    <col min="1794" max="1794" width="4.5703125" style="691" customWidth="1"/>
    <col min="1795" max="1795" width="28.5703125" style="691" customWidth="1"/>
    <col min="1796" max="1811" width="8.140625" style="691" customWidth="1"/>
    <col min="1812" max="2049" width="11.5703125" style="691"/>
    <col min="2050" max="2050" width="4.5703125" style="691" customWidth="1"/>
    <col min="2051" max="2051" width="28.5703125" style="691" customWidth="1"/>
    <col min="2052" max="2067" width="8.140625" style="691" customWidth="1"/>
    <col min="2068" max="2305" width="11.5703125" style="691"/>
    <col min="2306" max="2306" width="4.5703125" style="691" customWidth="1"/>
    <col min="2307" max="2307" width="28.5703125" style="691" customWidth="1"/>
    <col min="2308" max="2323" width="8.140625" style="691" customWidth="1"/>
    <col min="2324" max="2561" width="11.5703125" style="691"/>
    <col min="2562" max="2562" width="4.5703125" style="691" customWidth="1"/>
    <col min="2563" max="2563" width="28.5703125" style="691" customWidth="1"/>
    <col min="2564" max="2579" width="8.140625" style="691" customWidth="1"/>
    <col min="2580" max="2817" width="11.5703125" style="691"/>
    <col min="2818" max="2818" width="4.5703125" style="691" customWidth="1"/>
    <col min="2819" max="2819" width="28.5703125" style="691" customWidth="1"/>
    <col min="2820" max="2835" width="8.140625" style="691" customWidth="1"/>
    <col min="2836" max="3073" width="11.5703125" style="691"/>
    <col min="3074" max="3074" width="4.5703125" style="691" customWidth="1"/>
    <col min="3075" max="3075" width="28.5703125" style="691" customWidth="1"/>
    <col min="3076" max="3091" width="8.140625" style="691" customWidth="1"/>
    <col min="3092" max="3329" width="11.5703125" style="691"/>
    <col min="3330" max="3330" width="4.5703125" style="691" customWidth="1"/>
    <col min="3331" max="3331" width="28.5703125" style="691" customWidth="1"/>
    <col min="3332" max="3347" width="8.140625" style="691" customWidth="1"/>
    <col min="3348" max="3585" width="11.5703125" style="691"/>
    <col min="3586" max="3586" width="4.5703125" style="691" customWidth="1"/>
    <col min="3587" max="3587" width="28.5703125" style="691" customWidth="1"/>
    <col min="3588" max="3603" width="8.140625" style="691" customWidth="1"/>
    <col min="3604" max="3841" width="11.5703125" style="691"/>
    <col min="3842" max="3842" width="4.5703125" style="691" customWidth="1"/>
    <col min="3843" max="3843" width="28.5703125" style="691" customWidth="1"/>
    <col min="3844" max="3859" width="8.140625" style="691" customWidth="1"/>
    <col min="3860" max="4097" width="11.5703125" style="691"/>
    <col min="4098" max="4098" width="4.5703125" style="691" customWidth="1"/>
    <col min="4099" max="4099" width="28.5703125" style="691" customWidth="1"/>
    <col min="4100" max="4115" width="8.140625" style="691" customWidth="1"/>
    <col min="4116" max="4353" width="11.5703125" style="691"/>
    <col min="4354" max="4354" width="4.5703125" style="691" customWidth="1"/>
    <col min="4355" max="4355" width="28.5703125" style="691" customWidth="1"/>
    <col min="4356" max="4371" width="8.140625" style="691" customWidth="1"/>
    <col min="4372" max="4609" width="11.5703125" style="691"/>
    <col min="4610" max="4610" width="4.5703125" style="691" customWidth="1"/>
    <col min="4611" max="4611" width="28.5703125" style="691" customWidth="1"/>
    <col min="4612" max="4627" width="8.140625" style="691" customWidth="1"/>
    <col min="4628" max="4865" width="11.5703125" style="691"/>
    <col min="4866" max="4866" width="4.5703125" style="691" customWidth="1"/>
    <col min="4867" max="4867" width="28.5703125" style="691" customWidth="1"/>
    <col min="4868" max="4883" width="8.140625" style="691" customWidth="1"/>
    <col min="4884" max="5121" width="11.5703125" style="691"/>
    <col min="5122" max="5122" width="4.5703125" style="691" customWidth="1"/>
    <col min="5123" max="5123" width="28.5703125" style="691" customWidth="1"/>
    <col min="5124" max="5139" width="8.140625" style="691" customWidth="1"/>
    <col min="5140" max="5377" width="11.5703125" style="691"/>
    <col min="5378" max="5378" width="4.5703125" style="691" customWidth="1"/>
    <col min="5379" max="5379" width="28.5703125" style="691" customWidth="1"/>
    <col min="5380" max="5395" width="8.140625" style="691" customWidth="1"/>
    <col min="5396" max="5633" width="11.5703125" style="691"/>
    <col min="5634" max="5634" width="4.5703125" style="691" customWidth="1"/>
    <col min="5635" max="5635" width="28.5703125" style="691" customWidth="1"/>
    <col min="5636" max="5651" width="8.140625" style="691" customWidth="1"/>
    <col min="5652" max="5889" width="11.5703125" style="691"/>
    <col min="5890" max="5890" width="4.5703125" style="691" customWidth="1"/>
    <col min="5891" max="5891" width="28.5703125" style="691" customWidth="1"/>
    <col min="5892" max="5907" width="8.140625" style="691" customWidth="1"/>
    <col min="5908" max="6145" width="11.5703125" style="691"/>
    <col min="6146" max="6146" width="4.5703125" style="691" customWidth="1"/>
    <col min="6147" max="6147" width="28.5703125" style="691" customWidth="1"/>
    <col min="6148" max="6163" width="8.140625" style="691" customWidth="1"/>
    <col min="6164" max="6401" width="11.5703125" style="691"/>
    <col min="6402" max="6402" width="4.5703125" style="691" customWidth="1"/>
    <col min="6403" max="6403" width="28.5703125" style="691" customWidth="1"/>
    <col min="6404" max="6419" width="8.140625" style="691" customWidth="1"/>
    <col min="6420" max="6657" width="11.5703125" style="691"/>
    <col min="6658" max="6658" width="4.5703125" style="691" customWidth="1"/>
    <col min="6659" max="6659" width="28.5703125" style="691" customWidth="1"/>
    <col min="6660" max="6675" width="8.140625" style="691" customWidth="1"/>
    <col min="6676" max="6913" width="11.5703125" style="691"/>
    <col min="6914" max="6914" width="4.5703125" style="691" customWidth="1"/>
    <col min="6915" max="6915" width="28.5703125" style="691" customWidth="1"/>
    <col min="6916" max="6931" width="8.140625" style="691" customWidth="1"/>
    <col min="6932" max="7169" width="11.5703125" style="691"/>
    <col min="7170" max="7170" width="4.5703125" style="691" customWidth="1"/>
    <col min="7171" max="7171" width="28.5703125" style="691" customWidth="1"/>
    <col min="7172" max="7187" width="8.140625" style="691" customWidth="1"/>
    <col min="7188" max="7425" width="11.5703125" style="691"/>
    <col min="7426" max="7426" width="4.5703125" style="691" customWidth="1"/>
    <col min="7427" max="7427" width="28.5703125" style="691" customWidth="1"/>
    <col min="7428" max="7443" width="8.140625" style="691" customWidth="1"/>
    <col min="7444" max="7681" width="11.5703125" style="691"/>
    <col min="7682" max="7682" width="4.5703125" style="691" customWidth="1"/>
    <col min="7683" max="7683" width="28.5703125" style="691" customWidth="1"/>
    <col min="7684" max="7699" width="8.140625" style="691" customWidth="1"/>
    <col min="7700" max="7937" width="11.5703125" style="691"/>
    <col min="7938" max="7938" width="4.5703125" style="691" customWidth="1"/>
    <col min="7939" max="7939" width="28.5703125" style="691" customWidth="1"/>
    <col min="7940" max="7955" width="8.140625" style="691" customWidth="1"/>
    <col min="7956" max="8193" width="11.5703125" style="691"/>
    <col min="8194" max="8194" width="4.5703125" style="691" customWidth="1"/>
    <col min="8195" max="8195" width="28.5703125" style="691" customWidth="1"/>
    <col min="8196" max="8211" width="8.140625" style="691" customWidth="1"/>
    <col min="8212" max="8449" width="11.5703125" style="691"/>
    <col min="8450" max="8450" width="4.5703125" style="691" customWidth="1"/>
    <col min="8451" max="8451" width="28.5703125" style="691" customWidth="1"/>
    <col min="8452" max="8467" width="8.140625" style="691" customWidth="1"/>
    <col min="8468" max="8705" width="11.5703125" style="691"/>
    <col min="8706" max="8706" width="4.5703125" style="691" customWidth="1"/>
    <col min="8707" max="8707" width="28.5703125" style="691" customWidth="1"/>
    <col min="8708" max="8723" width="8.140625" style="691" customWidth="1"/>
    <col min="8724" max="8961" width="11.5703125" style="691"/>
    <col min="8962" max="8962" width="4.5703125" style="691" customWidth="1"/>
    <col min="8963" max="8963" width="28.5703125" style="691" customWidth="1"/>
    <col min="8964" max="8979" width="8.140625" style="691" customWidth="1"/>
    <col min="8980" max="9217" width="11.5703125" style="691"/>
    <col min="9218" max="9218" width="4.5703125" style="691" customWidth="1"/>
    <col min="9219" max="9219" width="28.5703125" style="691" customWidth="1"/>
    <col min="9220" max="9235" width="8.140625" style="691" customWidth="1"/>
    <col min="9236" max="9473" width="11.5703125" style="691"/>
    <col min="9474" max="9474" width="4.5703125" style="691" customWidth="1"/>
    <col min="9475" max="9475" width="28.5703125" style="691" customWidth="1"/>
    <col min="9476" max="9491" width="8.140625" style="691" customWidth="1"/>
    <col min="9492" max="9729" width="11.5703125" style="691"/>
    <col min="9730" max="9730" width="4.5703125" style="691" customWidth="1"/>
    <col min="9731" max="9731" width="28.5703125" style="691" customWidth="1"/>
    <col min="9732" max="9747" width="8.140625" style="691" customWidth="1"/>
    <col min="9748" max="9985" width="11.5703125" style="691"/>
    <col min="9986" max="9986" width="4.5703125" style="691" customWidth="1"/>
    <col min="9987" max="9987" width="28.5703125" style="691" customWidth="1"/>
    <col min="9988" max="10003" width="8.140625" style="691" customWidth="1"/>
    <col min="10004" max="10241" width="11.5703125" style="691"/>
    <col min="10242" max="10242" width="4.5703125" style="691" customWidth="1"/>
    <col min="10243" max="10243" width="28.5703125" style="691" customWidth="1"/>
    <col min="10244" max="10259" width="8.140625" style="691" customWidth="1"/>
    <col min="10260" max="10497" width="11.5703125" style="691"/>
    <col min="10498" max="10498" width="4.5703125" style="691" customWidth="1"/>
    <col min="10499" max="10499" width="28.5703125" style="691" customWidth="1"/>
    <col min="10500" max="10515" width="8.140625" style="691" customWidth="1"/>
    <col min="10516" max="10753" width="11.5703125" style="691"/>
    <col min="10754" max="10754" width="4.5703125" style="691" customWidth="1"/>
    <col min="10755" max="10755" width="28.5703125" style="691" customWidth="1"/>
    <col min="10756" max="10771" width="8.140625" style="691" customWidth="1"/>
    <col min="10772" max="11009" width="11.5703125" style="691"/>
    <col min="11010" max="11010" width="4.5703125" style="691" customWidth="1"/>
    <col min="11011" max="11011" width="28.5703125" style="691" customWidth="1"/>
    <col min="11012" max="11027" width="8.140625" style="691" customWidth="1"/>
    <col min="11028" max="11265" width="11.5703125" style="691"/>
    <col min="11266" max="11266" width="4.5703125" style="691" customWidth="1"/>
    <col min="11267" max="11267" width="28.5703125" style="691" customWidth="1"/>
    <col min="11268" max="11283" width="8.140625" style="691" customWidth="1"/>
    <col min="11284" max="11521" width="11.5703125" style="691"/>
    <col min="11522" max="11522" width="4.5703125" style="691" customWidth="1"/>
    <col min="11523" max="11523" width="28.5703125" style="691" customWidth="1"/>
    <col min="11524" max="11539" width="8.140625" style="691" customWidth="1"/>
    <col min="11540" max="11777" width="11.5703125" style="691"/>
    <col min="11778" max="11778" width="4.5703125" style="691" customWidth="1"/>
    <col min="11779" max="11779" width="28.5703125" style="691" customWidth="1"/>
    <col min="11780" max="11795" width="8.140625" style="691" customWidth="1"/>
    <col min="11796" max="12033" width="11.5703125" style="691"/>
    <col min="12034" max="12034" width="4.5703125" style="691" customWidth="1"/>
    <col min="12035" max="12035" width="28.5703125" style="691" customWidth="1"/>
    <col min="12036" max="12051" width="8.140625" style="691" customWidth="1"/>
    <col min="12052" max="12289" width="11.5703125" style="691"/>
    <col min="12290" max="12290" width="4.5703125" style="691" customWidth="1"/>
    <col min="12291" max="12291" width="28.5703125" style="691" customWidth="1"/>
    <col min="12292" max="12307" width="8.140625" style="691" customWidth="1"/>
    <col min="12308" max="12545" width="11.5703125" style="691"/>
    <col min="12546" max="12546" width="4.5703125" style="691" customWidth="1"/>
    <col min="12547" max="12547" width="28.5703125" style="691" customWidth="1"/>
    <col min="12548" max="12563" width="8.140625" style="691" customWidth="1"/>
    <col min="12564" max="12801" width="11.5703125" style="691"/>
    <col min="12802" max="12802" width="4.5703125" style="691" customWidth="1"/>
    <col min="12803" max="12803" width="28.5703125" style="691" customWidth="1"/>
    <col min="12804" max="12819" width="8.140625" style="691" customWidth="1"/>
    <col min="12820" max="13057" width="11.5703125" style="691"/>
    <col min="13058" max="13058" width="4.5703125" style="691" customWidth="1"/>
    <col min="13059" max="13059" width="28.5703125" style="691" customWidth="1"/>
    <col min="13060" max="13075" width="8.140625" style="691" customWidth="1"/>
    <col min="13076" max="13313" width="11.5703125" style="691"/>
    <col min="13314" max="13314" width="4.5703125" style="691" customWidth="1"/>
    <col min="13315" max="13315" width="28.5703125" style="691" customWidth="1"/>
    <col min="13316" max="13331" width="8.140625" style="691" customWidth="1"/>
    <col min="13332" max="13569" width="11.5703125" style="691"/>
    <col min="13570" max="13570" width="4.5703125" style="691" customWidth="1"/>
    <col min="13571" max="13571" width="28.5703125" style="691" customWidth="1"/>
    <col min="13572" max="13587" width="8.140625" style="691" customWidth="1"/>
    <col min="13588" max="13825" width="11.5703125" style="691"/>
    <col min="13826" max="13826" width="4.5703125" style="691" customWidth="1"/>
    <col min="13827" max="13827" width="28.5703125" style="691" customWidth="1"/>
    <col min="13828" max="13843" width="8.140625" style="691" customWidth="1"/>
    <col min="13844" max="14081" width="11.5703125" style="691"/>
    <col min="14082" max="14082" width="4.5703125" style="691" customWidth="1"/>
    <col min="14083" max="14083" width="28.5703125" style="691" customWidth="1"/>
    <col min="14084" max="14099" width="8.140625" style="691" customWidth="1"/>
    <col min="14100" max="14337" width="11.5703125" style="691"/>
    <col min="14338" max="14338" width="4.5703125" style="691" customWidth="1"/>
    <col min="14339" max="14339" width="28.5703125" style="691" customWidth="1"/>
    <col min="14340" max="14355" width="8.140625" style="691" customWidth="1"/>
    <col min="14356" max="14593" width="11.5703125" style="691"/>
    <col min="14594" max="14594" width="4.5703125" style="691" customWidth="1"/>
    <col min="14595" max="14595" width="28.5703125" style="691" customWidth="1"/>
    <col min="14596" max="14611" width="8.140625" style="691" customWidth="1"/>
    <col min="14612" max="14849" width="11.5703125" style="691"/>
    <col min="14850" max="14850" width="4.5703125" style="691" customWidth="1"/>
    <col min="14851" max="14851" width="28.5703125" style="691" customWidth="1"/>
    <col min="14852" max="14867" width="8.140625" style="691" customWidth="1"/>
    <col min="14868" max="15105" width="11.5703125" style="691"/>
    <col min="15106" max="15106" width="4.5703125" style="691" customWidth="1"/>
    <col min="15107" max="15107" width="28.5703125" style="691" customWidth="1"/>
    <col min="15108" max="15123" width="8.140625" style="691" customWidth="1"/>
    <col min="15124" max="15361" width="11.5703125" style="691"/>
    <col min="15362" max="15362" width="4.5703125" style="691" customWidth="1"/>
    <col min="15363" max="15363" width="28.5703125" style="691" customWidth="1"/>
    <col min="15364" max="15379" width="8.140625" style="691" customWidth="1"/>
    <col min="15380" max="15617" width="11.5703125" style="691"/>
    <col min="15618" max="15618" width="4.5703125" style="691" customWidth="1"/>
    <col min="15619" max="15619" width="28.5703125" style="691" customWidth="1"/>
    <col min="15620" max="15635" width="8.140625" style="691" customWidth="1"/>
    <col min="15636" max="15873" width="11.5703125" style="691"/>
    <col min="15874" max="15874" width="4.5703125" style="691" customWidth="1"/>
    <col min="15875" max="15875" width="28.5703125" style="691" customWidth="1"/>
    <col min="15876" max="15891" width="8.140625" style="691" customWidth="1"/>
    <col min="15892" max="16129" width="11.5703125" style="691"/>
    <col min="16130" max="16130" width="4.5703125" style="691" customWidth="1"/>
    <col min="16131" max="16131" width="28.5703125" style="691" customWidth="1"/>
    <col min="16132" max="16147" width="8.140625" style="691" customWidth="1"/>
    <col min="16148" max="16384" width="11.5703125" style="691"/>
  </cols>
  <sheetData>
    <row r="2" spans="1:19" x14ac:dyDescent="0.25">
      <c r="B2" s="2131" t="s">
        <v>3117</v>
      </c>
      <c r="C2" s="2117"/>
      <c r="D2" s="2117"/>
      <c r="E2" s="2117"/>
    </row>
    <row r="3" spans="1:19" x14ac:dyDescent="0.25">
      <c r="B3" s="2131" t="s">
        <v>3125</v>
      </c>
    </row>
    <row r="4" spans="1:19" ht="15" customHeight="1" x14ac:dyDescent="0.25">
      <c r="B4" s="4750" t="s">
        <v>3112</v>
      </c>
      <c r="C4" s="2136">
        <v>0</v>
      </c>
      <c r="D4" s="2136">
        <v>0</v>
      </c>
      <c r="E4" s="2091">
        <v>1</v>
      </c>
      <c r="F4" s="2091">
        <f>E4+1</f>
        <v>2</v>
      </c>
      <c r="G4" s="2091">
        <f>F4+1</f>
        <v>3</v>
      </c>
      <c r="H4" s="2091">
        <f t="shared" ref="H4:S4" si="0">G4+1</f>
        <v>4</v>
      </c>
      <c r="I4" s="2091">
        <f t="shared" si="0"/>
        <v>5</v>
      </c>
      <c r="J4" s="2091">
        <f t="shared" si="0"/>
        <v>6</v>
      </c>
      <c r="K4" s="2091">
        <f t="shared" si="0"/>
        <v>7</v>
      </c>
      <c r="L4" s="2091">
        <f t="shared" si="0"/>
        <v>8</v>
      </c>
      <c r="M4" s="2091">
        <f t="shared" si="0"/>
        <v>9</v>
      </c>
      <c r="N4" s="2091">
        <f t="shared" si="0"/>
        <v>10</v>
      </c>
      <c r="O4" s="2091">
        <f t="shared" si="0"/>
        <v>11</v>
      </c>
      <c r="P4" s="2091">
        <f t="shared" si="0"/>
        <v>12</v>
      </c>
      <c r="Q4" s="2091">
        <f t="shared" si="0"/>
        <v>13</v>
      </c>
      <c r="R4" s="2091">
        <f t="shared" si="0"/>
        <v>14</v>
      </c>
      <c r="S4" s="2092">
        <f t="shared" si="0"/>
        <v>15</v>
      </c>
    </row>
    <row r="5" spans="1:19" ht="29.25" customHeight="1" x14ac:dyDescent="0.25">
      <c r="B5" s="4751"/>
      <c r="C5" s="2137">
        <v>2018</v>
      </c>
      <c r="D5" s="2137">
        <f>C5+1</f>
        <v>2019</v>
      </c>
      <c r="E5" s="2093">
        <f t="shared" ref="E5:S5" si="1">D5+1</f>
        <v>2020</v>
      </c>
      <c r="F5" s="2093">
        <f t="shared" si="1"/>
        <v>2021</v>
      </c>
      <c r="G5" s="2093">
        <f t="shared" si="1"/>
        <v>2022</v>
      </c>
      <c r="H5" s="2093">
        <f t="shared" si="1"/>
        <v>2023</v>
      </c>
      <c r="I5" s="2093">
        <f t="shared" si="1"/>
        <v>2024</v>
      </c>
      <c r="J5" s="2093">
        <f t="shared" si="1"/>
        <v>2025</v>
      </c>
      <c r="K5" s="2093">
        <f t="shared" si="1"/>
        <v>2026</v>
      </c>
      <c r="L5" s="2093">
        <f t="shared" si="1"/>
        <v>2027</v>
      </c>
      <c r="M5" s="2093">
        <f t="shared" si="1"/>
        <v>2028</v>
      </c>
      <c r="N5" s="2093">
        <f t="shared" si="1"/>
        <v>2029</v>
      </c>
      <c r="O5" s="2093">
        <f t="shared" si="1"/>
        <v>2030</v>
      </c>
      <c r="P5" s="2093">
        <f t="shared" si="1"/>
        <v>2031</v>
      </c>
      <c r="Q5" s="2093">
        <f t="shared" si="1"/>
        <v>2032</v>
      </c>
      <c r="R5" s="2093">
        <f t="shared" si="1"/>
        <v>2033</v>
      </c>
      <c r="S5" s="2094">
        <f t="shared" si="1"/>
        <v>2034</v>
      </c>
    </row>
    <row r="6" spans="1:19" x14ac:dyDescent="0.25">
      <c r="A6" s="691">
        <v>1</v>
      </c>
      <c r="B6" s="2121" t="s">
        <v>206</v>
      </c>
      <c r="C6" s="2133" t="e">
        <f>'Paso 1.3.1'!E41</f>
        <v>#DIV/0!</v>
      </c>
      <c r="D6" s="2133" t="e">
        <f>'Paso 1.3.1'!F41</f>
        <v>#DIV/0!</v>
      </c>
      <c r="E6" s="2133" t="e">
        <f>'Paso 1.3.1'!G41</f>
        <v>#DIV/0!</v>
      </c>
      <c r="F6" s="2133" t="e">
        <f>'Paso 1.3.1'!H41</f>
        <v>#DIV/0!</v>
      </c>
      <c r="G6" s="2133" t="e">
        <f>'Paso 1.3.1'!I41</f>
        <v>#DIV/0!</v>
      </c>
      <c r="H6" s="2133" t="e">
        <f>'Paso 1.3.1'!J41</f>
        <v>#DIV/0!</v>
      </c>
      <c r="I6" s="2133" t="e">
        <f>'Paso 1.3.1'!K41</f>
        <v>#DIV/0!</v>
      </c>
      <c r="J6" s="2133" t="e">
        <f>'Paso 1.3.1'!L41</f>
        <v>#DIV/0!</v>
      </c>
      <c r="K6" s="2133" t="e">
        <f>'Paso 1.3.1'!M41</f>
        <v>#DIV/0!</v>
      </c>
      <c r="L6" s="2133" t="e">
        <f>'Paso 1.3.1'!N41</f>
        <v>#DIV/0!</v>
      </c>
      <c r="M6" s="2133" t="e">
        <f>'Paso 1.3.1'!O41</f>
        <v>#DIV/0!</v>
      </c>
      <c r="N6" s="2133" t="e">
        <f>'Paso 1.3.1'!P41</f>
        <v>#DIV/0!</v>
      </c>
      <c r="O6" s="2133" t="e">
        <f>'Paso 1.3.1'!Q41</f>
        <v>#DIV/0!</v>
      </c>
      <c r="P6" s="2133" t="e">
        <f>'Paso 1.3.1'!R41</f>
        <v>#DIV/0!</v>
      </c>
      <c r="Q6" s="2133" t="e">
        <f>'Paso 1.3.1'!S41</f>
        <v>#DIV/0!</v>
      </c>
      <c r="R6" s="2133" t="e">
        <f>'Paso 1.3.1'!T41</f>
        <v>#DIV/0!</v>
      </c>
      <c r="S6" s="2133" t="e">
        <f>'Paso 1.3.1'!U41</f>
        <v>#DIV/0!</v>
      </c>
    </row>
    <row r="7" spans="1:19" ht="16.5" customHeight="1" x14ac:dyDescent="0.25">
      <c r="A7" s="691">
        <v>2</v>
      </c>
      <c r="B7" s="2121" t="s">
        <v>3126</v>
      </c>
      <c r="C7" s="2133" t="e">
        <f>'Paso 1.3.1'!E42</f>
        <v>#DIV/0!</v>
      </c>
      <c r="D7" s="2133" t="e">
        <f>'Paso 1.3.1'!F42</f>
        <v>#DIV/0!</v>
      </c>
      <c r="E7" s="2133" t="e">
        <f>'Paso 1.3.1'!G42</f>
        <v>#DIV/0!</v>
      </c>
      <c r="F7" s="2133" t="e">
        <f>'Paso 1.3.1'!H42</f>
        <v>#DIV/0!</v>
      </c>
      <c r="G7" s="2133" t="e">
        <f>'Paso 1.3.1'!I42</f>
        <v>#DIV/0!</v>
      </c>
      <c r="H7" s="2133" t="e">
        <f>'Paso 1.3.1'!J42</f>
        <v>#DIV/0!</v>
      </c>
      <c r="I7" s="2133" t="e">
        <f>'Paso 1.3.1'!K42</f>
        <v>#DIV/0!</v>
      </c>
      <c r="J7" s="2133" t="e">
        <f>'Paso 1.3.1'!L42</f>
        <v>#DIV/0!</v>
      </c>
      <c r="K7" s="2133" t="e">
        <f>'Paso 1.3.1'!M42</f>
        <v>#DIV/0!</v>
      </c>
      <c r="L7" s="2133" t="e">
        <f>'Paso 1.3.1'!N42</f>
        <v>#DIV/0!</v>
      </c>
      <c r="M7" s="2133" t="e">
        <f>'Paso 1.3.1'!O42</f>
        <v>#DIV/0!</v>
      </c>
      <c r="N7" s="2133" t="e">
        <f>'Paso 1.3.1'!P42</f>
        <v>#DIV/0!</v>
      </c>
      <c r="O7" s="2133" t="e">
        <f>'Paso 1.3.1'!Q42</f>
        <v>#DIV/0!</v>
      </c>
      <c r="P7" s="2133" t="e">
        <f>'Paso 1.3.1'!R42</f>
        <v>#DIV/0!</v>
      </c>
      <c r="Q7" s="2133" t="e">
        <f>'Paso 1.3.1'!S42</f>
        <v>#DIV/0!</v>
      </c>
      <c r="R7" s="2133" t="e">
        <f>'Paso 1.3.1'!T42</f>
        <v>#DIV/0!</v>
      </c>
      <c r="S7" s="2133" t="e">
        <f>'Paso 1.3.1'!U42</f>
        <v>#DIV/0!</v>
      </c>
    </row>
    <row r="8" spans="1:19" x14ac:dyDescent="0.25">
      <c r="A8" s="691">
        <v>3</v>
      </c>
      <c r="B8" s="2132" t="s">
        <v>3127</v>
      </c>
      <c r="C8" s="2134"/>
      <c r="D8" s="2134"/>
      <c r="E8" s="2134"/>
      <c r="F8" s="2134"/>
      <c r="G8" s="2134"/>
      <c r="H8" s="2134"/>
      <c r="I8" s="2134"/>
      <c r="J8" s="2134"/>
      <c r="K8" s="2134"/>
      <c r="L8" s="2134"/>
      <c r="M8" s="2134"/>
      <c r="N8" s="2134"/>
      <c r="O8" s="2134"/>
      <c r="P8" s="2134"/>
      <c r="Q8" s="2134"/>
      <c r="R8" s="2134"/>
      <c r="S8" s="2134"/>
    </row>
    <row r="9" spans="1:19" x14ac:dyDescent="0.25">
      <c r="A9" s="691">
        <v>4</v>
      </c>
      <c r="B9" s="2121" t="s">
        <v>3128</v>
      </c>
      <c r="C9" s="2133" t="e">
        <f>'Paso 1.3.1'!E46</f>
        <v>#DIV/0!</v>
      </c>
      <c r="D9" s="2133" t="e">
        <f>'Paso 1.3.1'!F46</f>
        <v>#DIV/0!</v>
      </c>
      <c r="E9" s="2133" t="e">
        <f>'Paso 1.3.1'!G46</f>
        <v>#DIV/0!</v>
      </c>
      <c r="F9" s="2133" t="e">
        <f>'Paso 1.3.1'!H46</f>
        <v>#DIV/0!</v>
      </c>
      <c r="G9" s="2133" t="e">
        <f>'Paso 1.3.1'!I46</f>
        <v>#DIV/0!</v>
      </c>
      <c r="H9" s="2133" t="e">
        <f>'Paso 1.3.1'!J46</f>
        <v>#DIV/0!</v>
      </c>
      <c r="I9" s="2133" t="e">
        <f>'Paso 1.3.1'!K46</f>
        <v>#DIV/0!</v>
      </c>
      <c r="J9" s="2133" t="e">
        <f>'Paso 1.3.1'!L46</f>
        <v>#DIV/0!</v>
      </c>
      <c r="K9" s="2133" t="e">
        <f>'Paso 1.3.1'!M46</f>
        <v>#DIV/0!</v>
      </c>
      <c r="L9" s="2133" t="e">
        <f>'Paso 1.3.1'!N46</f>
        <v>#DIV/0!</v>
      </c>
      <c r="M9" s="2133" t="e">
        <f>'Paso 1.3.1'!O46</f>
        <v>#DIV/0!</v>
      </c>
      <c r="N9" s="2133" t="e">
        <f>'Paso 1.3.1'!P46</f>
        <v>#DIV/0!</v>
      </c>
      <c r="O9" s="2133" t="e">
        <f>'Paso 1.3.1'!Q46</f>
        <v>#DIV/0!</v>
      </c>
      <c r="P9" s="2133" t="e">
        <f>'Paso 1.3.1'!R46</f>
        <v>#DIV/0!</v>
      </c>
      <c r="Q9" s="2133" t="e">
        <f>'Paso 1.3.1'!S46</f>
        <v>#DIV/0!</v>
      </c>
      <c r="R9" s="2133" t="e">
        <f>'Paso 1.3.1'!T46</f>
        <v>#DIV/0!</v>
      </c>
      <c r="S9" s="2133" t="e">
        <f>'Paso 1.3.1'!U46</f>
        <v>#DIV/0!</v>
      </c>
    </row>
    <row r="10" spans="1:19" x14ac:dyDescent="0.25">
      <c r="A10" s="691">
        <v>5</v>
      </c>
      <c r="B10" s="2132" t="s">
        <v>3129</v>
      </c>
      <c r="C10" s="2134"/>
      <c r="D10" s="2134"/>
      <c r="E10" s="2134"/>
      <c r="F10" s="2134"/>
      <c r="G10" s="2134"/>
      <c r="H10" s="2134"/>
      <c r="I10" s="2134"/>
      <c r="J10" s="2134"/>
      <c r="K10" s="2134"/>
      <c r="L10" s="2134"/>
      <c r="M10" s="2134"/>
      <c r="N10" s="2134"/>
      <c r="O10" s="2134"/>
      <c r="P10" s="2134"/>
      <c r="Q10" s="2134"/>
      <c r="R10" s="2134"/>
      <c r="S10" s="2134"/>
    </row>
    <row r="11" spans="1:19" x14ac:dyDescent="0.25">
      <c r="A11" s="691">
        <v>6</v>
      </c>
      <c r="B11" s="2132" t="s">
        <v>3130</v>
      </c>
      <c r="C11" s="2134"/>
      <c r="D11" s="2134"/>
      <c r="E11" s="2134"/>
      <c r="F11" s="2134"/>
      <c r="G11" s="2134"/>
      <c r="H11" s="2134"/>
      <c r="I11" s="2134"/>
      <c r="J11" s="2134"/>
      <c r="K11" s="2134"/>
      <c r="L11" s="2134"/>
      <c r="M11" s="2134"/>
      <c r="N11" s="2134"/>
      <c r="O11" s="2134"/>
      <c r="P11" s="2134"/>
      <c r="Q11" s="2134"/>
      <c r="R11" s="2134"/>
      <c r="S11" s="2134"/>
    </row>
    <row r="12" spans="1:19" x14ac:dyDescent="0.25">
      <c r="A12" s="691">
        <v>7</v>
      </c>
      <c r="B12" s="2132" t="s">
        <v>3131</v>
      </c>
      <c r="C12" s="2134"/>
      <c r="D12" s="2134"/>
      <c r="E12" s="2134"/>
      <c r="F12" s="2134"/>
      <c r="G12" s="2134"/>
      <c r="H12" s="2134"/>
      <c r="I12" s="2134"/>
      <c r="J12" s="2134"/>
      <c r="K12" s="2134"/>
      <c r="L12" s="2134"/>
      <c r="M12" s="2134"/>
      <c r="N12" s="2134"/>
      <c r="O12" s="2134"/>
      <c r="P12" s="2134"/>
      <c r="Q12" s="2134"/>
      <c r="R12" s="2134"/>
      <c r="S12" s="2134"/>
    </row>
    <row r="13" spans="1:19" x14ac:dyDescent="0.25">
      <c r="A13" s="691">
        <v>8</v>
      </c>
      <c r="B13" s="2121" t="s">
        <v>3132</v>
      </c>
      <c r="C13" s="2133" t="e">
        <f>'Paso 1.3.1'!E51</f>
        <v>#DIV/0!</v>
      </c>
      <c r="D13" s="2133" t="e">
        <f>'Paso 1.3.1'!F51</f>
        <v>#DIV/0!</v>
      </c>
      <c r="E13" s="2133" t="e">
        <f>'Paso 1.3.1'!G51</f>
        <v>#DIV/0!</v>
      </c>
      <c r="F13" s="2133" t="e">
        <f>'Paso 1.3.1'!H51</f>
        <v>#DIV/0!</v>
      </c>
      <c r="G13" s="2133" t="e">
        <f>'Paso 1.3.1'!I51</f>
        <v>#DIV/0!</v>
      </c>
      <c r="H13" s="2133" t="e">
        <f>'Paso 1.3.1'!J51</f>
        <v>#DIV/0!</v>
      </c>
      <c r="I13" s="2133" t="e">
        <f>'Paso 1.3.1'!K51</f>
        <v>#DIV/0!</v>
      </c>
      <c r="J13" s="2133" t="e">
        <f>'Paso 1.3.1'!L51</f>
        <v>#DIV/0!</v>
      </c>
      <c r="K13" s="2133" t="e">
        <f>'Paso 1.3.1'!M51</f>
        <v>#DIV/0!</v>
      </c>
      <c r="L13" s="2133" t="e">
        <f>'Paso 1.3.1'!N51</f>
        <v>#DIV/0!</v>
      </c>
      <c r="M13" s="2133" t="e">
        <f>'Paso 1.3.1'!O51</f>
        <v>#DIV/0!</v>
      </c>
      <c r="N13" s="2133" t="e">
        <f>'Paso 1.3.1'!P51</f>
        <v>#DIV/0!</v>
      </c>
      <c r="O13" s="2133" t="e">
        <f>'Paso 1.3.1'!Q51</f>
        <v>#DIV/0!</v>
      </c>
      <c r="P13" s="2133" t="e">
        <f>'Paso 1.3.1'!R51</f>
        <v>#DIV/0!</v>
      </c>
      <c r="Q13" s="2133" t="e">
        <f>'Paso 1.3.1'!S51</f>
        <v>#DIV/0!</v>
      </c>
      <c r="R13" s="2133" t="e">
        <f>'Paso 1.3.1'!T51</f>
        <v>#DIV/0!</v>
      </c>
      <c r="S13" s="2133" t="e">
        <f>'Paso 1.3.1'!U51</f>
        <v>#DIV/0!</v>
      </c>
    </row>
    <row r="14" spans="1:19" x14ac:dyDescent="0.25">
      <c r="A14" s="691">
        <v>9</v>
      </c>
      <c r="B14" s="2132" t="s">
        <v>3133</v>
      </c>
      <c r="C14" s="2134"/>
      <c r="D14" s="2134"/>
      <c r="E14" s="2134"/>
      <c r="F14" s="2134"/>
      <c r="G14" s="2134"/>
      <c r="H14" s="2134"/>
      <c r="I14" s="2134"/>
      <c r="J14" s="2134"/>
      <c r="K14" s="2134"/>
      <c r="L14" s="2134"/>
      <c r="M14" s="2134"/>
      <c r="N14" s="2134"/>
      <c r="O14" s="2134"/>
      <c r="P14" s="2134"/>
      <c r="Q14" s="2134"/>
      <c r="R14" s="2134"/>
      <c r="S14" s="2134"/>
    </row>
    <row r="15" spans="1:19" x14ac:dyDescent="0.25">
      <c r="A15" s="691">
        <v>10</v>
      </c>
      <c r="B15" s="2132" t="s">
        <v>3134</v>
      </c>
      <c r="C15" s="2134"/>
      <c r="D15" s="2134"/>
      <c r="E15" s="2134"/>
      <c r="F15" s="2134"/>
      <c r="G15" s="2134"/>
      <c r="H15" s="2134"/>
      <c r="I15" s="2134"/>
      <c r="J15" s="2134"/>
      <c r="K15" s="2134"/>
      <c r="L15" s="2134"/>
      <c r="M15" s="2134"/>
      <c r="N15" s="2134"/>
      <c r="O15" s="2134"/>
      <c r="P15" s="2134"/>
      <c r="Q15" s="2134"/>
      <c r="R15" s="2134"/>
      <c r="S15" s="2134"/>
    </row>
    <row r="16" spans="1:19" x14ac:dyDescent="0.25">
      <c r="A16" s="691">
        <v>11</v>
      </c>
      <c r="B16" s="2132" t="s">
        <v>3135</v>
      </c>
      <c r="C16" s="2134"/>
      <c r="D16" s="2134"/>
      <c r="E16" s="2134"/>
      <c r="F16" s="2134"/>
      <c r="G16" s="2134"/>
      <c r="H16" s="2134"/>
      <c r="I16" s="2134"/>
      <c r="J16" s="2134"/>
      <c r="K16" s="2134"/>
      <c r="L16" s="2134"/>
      <c r="M16" s="2134"/>
      <c r="N16" s="2134"/>
      <c r="O16" s="2134"/>
      <c r="P16" s="2134"/>
      <c r="Q16" s="2134"/>
      <c r="R16" s="2134"/>
      <c r="S16" s="2134"/>
    </row>
    <row r="17" spans="1:19" x14ac:dyDescent="0.25">
      <c r="A17" s="691">
        <v>12</v>
      </c>
      <c r="B17" s="2132" t="s">
        <v>3136</v>
      </c>
      <c r="C17" s="2134"/>
      <c r="D17" s="2134"/>
      <c r="E17" s="2134"/>
      <c r="F17" s="2134"/>
      <c r="G17" s="2134"/>
      <c r="H17" s="2134"/>
      <c r="I17" s="2134"/>
      <c r="J17" s="2134"/>
      <c r="K17" s="2134"/>
      <c r="L17" s="2134"/>
      <c r="M17" s="2134"/>
      <c r="N17" s="2134"/>
      <c r="O17" s="2134"/>
      <c r="P17" s="2134"/>
      <c r="Q17" s="2134"/>
      <c r="R17" s="2134"/>
      <c r="S17" s="2134"/>
    </row>
    <row r="18" spans="1:19" x14ac:dyDescent="0.25">
      <c r="A18" s="691">
        <v>13</v>
      </c>
      <c r="B18" s="2121" t="s">
        <v>216</v>
      </c>
      <c r="C18" s="2133" t="e">
        <f>'Paso 1.3.1'!E56</f>
        <v>#REF!</v>
      </c>
      <c r="D18" s="2133" t="e">
        <f>'Paso 1.3.1'!F56</f>
        <v>#REF!</v>
      </c>
      <c r="E18" s="2133" t="e">
        <f>'Paso 1.3.1'!G56</f>
        <v>#REF!</v>
      </c>
      <c r="F18" s="2133" t="e">
        <f>'Paso 1.3.1'!H56</f>
        <v>#REF!</v>
      </c>
      <c r="G18" s="2133" t="e">
        <f>'Paso 1.3.1'!I56</f>
        <v>#REF!</v>
      </c>
      <c r="H18" s="2133" t="e">
        <f>'Paso 1.3.1'!J56</f>
        <v>#REF!</v>
      </c>
      <c r="I18" s="2133" t="e">
        <f>'Paso 1.3.1'!K56</f>
        <v>#REF!</v>
      </c>
      <c r="J18" s="2133" t="e">
        <f>'Paso 1.3.1'!L56</f>
        <v>#REF!</v>
      </c>
      <c r="K18" s="2133" t="e">
        <f>'Paso 1.3.1'!M56</f>
        <v>#REF!</v>
      </c>
      <c r="L18" s="2133" t="e">
        <f>'Paso 1.3.1'!N56</f>
        <v>#REF!</v>
      </c>
      <c r="M18" s="2133" t="e">
        <f>'Paso 1.3.1'!O56</f>
        <v>#REF!</v>
      </c>
      <c r="N18" s="2133" t="e">
        <f>'Paso 1.3.1'!P56</f>
        <v>#REF!</v>
      </c>
      <c r="O18" s="2133" t="e">
        <f>'Paso 1.3.1'!Q56</f>
        <v>#REF!</v>
      </c>
      <c r="P18" s="2133" t="e">
        <f>'Paso 1.3.1'!R56</f>
        <v>#REF!</v>
      </c>
      <c r="Q18" s="2133" t="e">
        <f>'Paso 1.3.1'!S56</f>
        <v>#REF!</v>
      </c>
      <c r="R18" s="2133" t="e">
        <f>'Paso 1.3.1'!T56</f>
        <v>#REF!</v>
      </c>
      <c r="S18" s="2133" t="e">
        <f>'Paso 1.3.1'!U56</f>
        <v>#REF!</v>
      </c>
    </row>
    <row r="19" spans="1:19" x14ac:dyDescent="0.25">
      <c r="A19" s="691">
        <v>14</v>
      </c>
      <c r="B19" s="2121" t="s">
        <v>217</v>
      </c>
      <c r="C19" s="2133" t="e">
        <f>'Paso 1.3.1'!E57</f>
        <v>#DIV/0!</v>
      </c>
      <c r="D19" s="2133" t="e">
        <f>'Paso 1.3.1'!F57</f>
        <v>#DIV/0!</v>
      </c>
      <c r="E19" s="2133" t="e">
        <f>'Paso 1.3.1'!G57</f>
        <v>#DIV/0!</v>
      </c>
      <c r="F19" s="2133" t="e">
        <f>'Paso 1.3.1'!H57</f>
        <v>#DIV/0!</v>
      </c>
      <c r="G19" s="2133" t="e">
        <f>'Paso 1.3.1'!I57</f>
        <v>#DIV/0!</v>
      </c>
      <c r="H19" s="2133" t="e">
        <f>'Paso 1.3.1'!J57</f>
        <v>#DIV/0!</v>
      </c>
      <c r="I19" s="2133" t="e">
        <f>'Paso 1.3.1'!K57</f>
        <v>#DIV/0!</v>
      </c>
      <c r="J19" s="2133" t="e">
        <f>'Paso 1.3.1'!L57</f>
        <v>#DIV/0!</v>
      </c>
      <c r="K19" s="2133" t="e">
        <f>'Paso 1.3.1'!M57</f>
        <v>#DIV/0!</v>
      </c>
      <c r="L19" s="2133" t="e">
        <f>'Paso 1.3.1'!N57</f>
        <v>#DIV/0!</v>
      </c>
      <c r="M19" s="2133" t="e">
        <f>'Paso 1.3.1'!O57</f>
        <v>#DIV/0!</v>
      </c>
      <c r="N19" s="2133" t="e">
        <f>'Paso 1.3.1'!P57</f>
        <v>#DIV/0!</v>
      </c>
      <c r="O19" s="2133" t="e">
        <f>'Paso 1.3.1'!Q57</f>
        <v>#DIV/0!</v>
      </c>
      <c r="P19" s="2133" t="e">
        <f>'Paso 1.3.1'!R57</f>
        <v>#DIV/0!</v>
      </c>
      <c r="Q19" s="2133" t="e">
        <f>'Paso 1.3.1'!S57</f>
        <v>#DIV/0!</v>
      </c>
      <c r="R19" s="2133" t="e">
        <f>'Paso 1.3.1'!T57</f>
        <v>#DIV/0!</v>
      </c>
      <c r="S19" s="2133" t="e">
        <f>'Paso 1.3.1'!U57</f>
        <v>#DIV/0!</v>
      </c>
    </row>
    <row r="20" spans="1:19" x14ac:dyDescent="0.25">
      <c r="A20" s="691">
        <v>15</v>
      </c>
      <c r="B20" s="2121" t="s">
        <v>218</v>
      </c>
      <c r="C20" s="2133" t="e">
        <f>'Paso 1.3.1'!E58</f>
        <v>#REF!</v>
      </c>
      <c r="D20" s="2133" t="e">
        <f>'Paso 1.3.1'!F58</f>
        <v>#REF!</v>
      </c>
      <c r="E20" s="2133" t="e">
        <f>'Paso 1.3.1'!G58</f>
        <v>#REF!</v>
      </c>
      <c r="F20" s="2133" t="e">
        <f>'Paso 1.3.1'!H58</f>
        <v>#REF!</v>
      </c>
      <c r="G20" s="2133" t="e">
        <f>'Paso 1.3.1'!I58</f>
        <v>#REF!</v>
      </c>
      <c r="H20" s="2133" t="e">
        <f>'Paso 1.3.1'!J58</f>
        <v>#REF!</v>
      </c>
      <c r="I20" s="2133" t="e">
        <f>'Paso 1.3.1'!K58</f>
        <v>#REF!</v>
      </c>
      <c r="J20" s="2133" t="e">
        <f>'Paso 1.3.1'!L58</f>
        <v>#REF!</v>
      </c>
      <c r="K20" s="2133" t="e">
        <f>'Paso 1.3.1'!M58</f>
        <v>#REF!</v>
      </c>
      <c r="L20" s="2133" t="e">
        <f>'Paso 1.3.1'!N58</f>
        <v>#REF!</v>
      </c>
      <c r="M20" s="2133" t="e">
        <f>'Paso 1.3.1'!O58</f>
        <v>#REF!</v>
      </c>
      <c r="N20" s="2133" t="e">
        <f>'Paso 1.3.1'!P58</f>
        <v>#REF!</v>
      </c>
      <c r="O20" s="2133" t="e">
        <f>'Paso 1.3.1'!Q58</f>
        <v>#REF!</v>
      </c>
      <c r="P20" s="2133" t="e">
        <f>'Paso 1.3.1'!R58</f>
        <v>#REF!</v>
      </c>
      <c r="Q20" s="2133" t="e">
        <f>'Paso 1.3.1'!S58</f>
        <v>#REF!</v>
      </c>
      <c r="R20" s="2133" t="e">
        <f>'Paso 1.3.1'!T58</f>
        <v>#REF!</v>
      </c>
      <c r="S20" s="2133" t="e">
        <f>'Paso 1.3.1'!U58</f>
        <v>#REF!</v>
      </c>
    </row>
    <row r="21" spans="1:19" x14ac:dyDescent="0.25">
      <c r="A21" s="691">
        <v>16</v>
      </c>
      <c r="B21" s="2121" t="s">
        <v>353</v>
      </c>
      <c r="C21" s="2133" t="e">
        <f>'Paso 1.3.1'!E59</f>
        <v>#REF!</v>
      </c>
      <c r="D21" s="2133" t="e">
        <f>'Paso 1.3.1'!F59</f>
        <v>#REF!</v>
      </c>
      <c r="E21" s="2133" t="e">
        <f>'Paso 1.3.1'!G59</f>
        <v>#REF!</v>
      </c>
      <c r="F21" s="2133" t="e">
        <f>'Paso 1.3.1'!H59</f>
        <v>#REF!</v>
      </c>
      <c r="G21" s="2133" t="e">
        <f>'Paso 1.3.1'!I59</f>
        <v>#REF!</v>
      </c>
      <c r="H21" s="2133" t="e">
        <f>'Paso 1.3.1'!J59</f>
        <v>#REF!</v>
      </c>
      <c r="I21" s="2133" t="e">
        <f>'Paso 1.3.1'!K59</f>
        <v>#REF!</v>
      </c>
      <c r="J21" s="2133" t="e">
        <f>'Paso 1.3.1'!L59</f>
        <v>#REF!</v>
      </c>
      <c r="K21" s="2133" t="e">
        <f>'Paso 1.3.1'!M59</f>
        <v>#REF!</v>
      </c>
      <c r="L21" s="2133" t="e">
        <f>'Paso 1.3.1'!N59</f>
        <v>#REF!</v>
      </c>
      <c r="M21" s="2133" t="e">
        <f>'Paso 1.3.1'!O59</f>
        <v>#REF!</v>
      </c>
      <c r="N21" s="2133" t="e">
        <f>'Paso 1.3.1'!P59</f>
        <v>#REF!</v>
      </c>
      <c r="O21" s="2133" t="e">
        <f>'Paso 1.3.1'!Q59</f>
        <v>#REF!</v>
      </c>
      <c r="P21" s="2133" t="e">
        <f>'Paso 1.3.1'!R59</f>
        <v>#REF!</v>
      </c>
      <c r="Q21" s="2133" t="e">
        <f>'Paso 1.3.1'!S59</f>
        <v>#REF!</v>
      </c>
      <c r="R21" s="2133" t="e">
        <f>'Paso 1.3.1'!T59</f>
        <v>#REF!</v>
      </c>
      <c r="S21" s="2133" t="e">
        <f>'Paso 1.3.1'!U59</f>
        <v>#REF!</v>
      </c>
    </row>
    <row r="22" spans="1:19" x14ac:dyDescent="0.25">
      <c r="A22" s="691">
        <v>17</v>
      </c>
      <c r="B22" s="2121" t="s">
        <v>220</v>
      </c>
      <c r="C22" s="2133" t="e">
        <f>'Paso 1.3.1'!E60</f>
        <v>#REF!</v>
      </c>
      <c r="D22" s="2133" t="e">
        <f>'Paso 1.3.1'!F60</f>
        <v>#REF!</v>
      </c>
      <c r="E22" s="2133" t="e">
        <f>'Paso 1.3.1'!G60</f>
        <v>#REF!</v>
      </c>
      <c r="F22" s="2133" t="e">
        <f>'Paso 1.3.1'!H60</f>
        <v>#REF!</v>
      </c>
      <c r="G22" s="2133" t="e">
        <f>'Paso 1.3.1'!I60</f>
        <v>#REF!</v>
      </c>
      <c r="H22" s="2133" t="e">
        <f>'Paso 1.3.1'!J60</f>
        <v>#REF!</v>
      </c>
      <c r="I22" s="2133" t="e">
        <f>'Paso 1.3.1'!K60</f>
        <v>#REF!</v>
      </c>
      <c r="J22" s="2133" t="e">
        <f>'Paso 1.3.1'!L60</f>
        <v>#REF!</v>
      </c>
      <c r="K22" s="2133" t="e">
        <f>'Paso 1.3.1'!M60</f>
        <v>#REF!</v>
      </c>
      <c r="L22" s="2133" t="e">
        <f>'Paso 1.3.1'!N60</f>
        <v>#REF!</v>
      </c>
      <c r="M22" s="2133" t="e">
        <f>'Paso 1.3.1'!O60</f>
        <v>#REF!</v>
      </c>
      <c r="N22" s="2133" t="e">
        <f>'Paso 1.3.1'!P60</f>
        <v>#REF!</v>
      </c>
      <c r="O22" s="2133" t="e">
        <f>'Paso 1.3.1'!Q60</f>
        <v>#REF!</v>
      </c>
      <c r="P22" s="2133" t="e">
        <f>'Paso 1.3.1'!R60</f>
        <v>#REF!</v>
      </c>
      <c r="Q22" s="2133" t="e">
        <f>'Paso 1.3.1'!S60</f>
        <v>#REF!</v>
      </c>
      <c r="R22" s="2133" t="e">
        <f>'Paso 1.3.1'!T60</f>
        <v>#REF!</v>
      </c>
      <c r="S22" s="2133" t="e">
        <f>'Paso 1.3.1'!U60</f>
        <v>#REF!</v>
      </c>
    </row>
    <row r="23" spans="1:19" x14ac:dyDescent="0.25">
      <c r="A23" s="691">
        <v>18</v>
      </c>
      <c r="B23" s="2121" t="s">
        <v>221</v>
      </c>
      <c r="C23" s="2133" t="e">
        <f>'Paso 1.3.1'!E61</f>
        <v>#DIV/0!</v>
      </c>
      <c r="D23" s="2133" t="e">
        <f>'Paso 1.3.1'!F61</f>
        <v>#DIV/0!</v>
      </c>
      <c r="E23" s="2133" t="e">
        <f>'Paso 1.3.1'!G61</f>
        <v>#DIV/0!</v>
      </c>
      <c r="F23" s="2133" t="e">
        <f>'Paso 1.3.1'!H61</f>
        <v>#DIV/0!</v>
      </c>
      <c r="G23" s="2133" t="e">
        <f>'Paso 1.3.1'!I61</f>
        <v>#DIV/0!</v>
      </c>
      <c r="H23" s="2133" t="e">
        <f>'Paso 1.3.1'!J61</f>
        <v>#DIV/0!</v>
      </c>
      <c r="I23" s="2133" t="e">
        <f>'Paso 1.3.1'!K61</f>
        <v>#DIV/0!</v>
      </c>
      <c r="J23" s="2133" t="e">
        <f>'Paso 1.3.1'!L61</f>
        <v>#DIV/0!</v>
      </c>
      <c r="K23" s="2133" t="e">
        <f>'Paso 1.3.1'!M61</f>
        <v>#DIV/0!</v>
      </c>
      <c r="L23" s="2133" t="e">
        <f>'Paso 1.3.1'!N61</f>
        <v>#DIV/0!</v>
      </c>
      <c r="M23" s="2133" t="e">
        <f>'Paso 1.3.1'!O61</f>
        <v>#DIV/0!</v>
      </c>
      <c r="N23" s="2133" t="e">
        <f>'Paso 1.3.1'!P61</f>
        <v>#DIV/0!</v>
      </c>
      <c r="O23" s="2133" t="e">
        <f>'Paso 1.3.1'!Q61</f>
        <v>#DIV/0!</v>
      </c>
      <c r="P23" s="2133" t="e">
        <f>'Paso 1.3.1'!R61</f>
        <v>#DIV/0!</v>
      </c>
      <c r="Q23" s="2133" t="e">
        <f>'Paso 1.3.1'!S61</f>
        <v>#DIV/0!</v>
      </c>
      <c r="R23" s="2133" t="e">
        <f>'Paso 1.3.1'!T61</f>
        <v>#DIV/0!</v>
      </c>
      <c r="S23" s="2133" t="e">
        <f>'Paso 1.3.1'!U61</f>
        <v>#DIV/0!</v>
      </c>
    </row>
    <row r="24" spans="1:19" x14ac:dyDescent="0.25">
      <c r="A24" s="691">
        <v>19</v>
      </c>
      <c r="B24" s="2121" t="s">
        <v>222</v>
      </c>
      <c r="C24" s="2133" t="e">
        <f>'Paso 1.3.1'!E62</f>
        <v>#DIV/0!</v>
      </c>
      <c r="D24" s="2133" t="e">
        <f>'Paso 1.3.1'!F62</f>
        <v>#DIV/0!</v>
      </c>
      <c r="E24" s="2133" t="e">
        <f>'Paso 1.3.1'!G62</f>
        <v>#DIV/0!</v>
      </c>
      <c r="F24" s="2133" t="e">
        <f>'Paso 1.3.1'!H62</f>
        <v>#DIV/0!</v>
      </c>
      <c r="G24" s="2133" t="e">
        <f>'Paso 1.3.1'!I62</f>
        <v>#DIV/0!</v>
      </c>
      <c r="H24" s="2133" t="e">
        <f>'Paso 1.3.1'!J62</f>
        <v>#DIV/0!</v>
      </c>
      <c r="I24" s="2133" t="e">
        <f>'Paso 1.3.1'!K62</f>
        <v>#DIV/0!</v>
      </c>
      <c r="J24" s="2133" t="e">
        <f>'Paso 1.3.1'!L62</f>
        <v>#DIV/0!</v>
      </c>
      <c r="K24" s="2133" t="e">
        <f>'Paso 1.3.1'!M62</f>
        <v>#DIV/0!</v>
      </c>
      <c r="L24" s="2133" t="e">
        <f>'Paso 1.3.1'!N62</f>
        <v>#DIV/0!</v>
      </c>
      <c r="M24" s="2133" t="e">
        <f>'Paso 1.3.1'!O62</f>
        <v>#DIV/0!</v>
      </c>
      <c r="N24" s="2133" t="e">
        <f>'Paso 1.3.1'!P62</f>
        <v>#DIV/0!</v>
      </c>
      <c r="O24" s="2133" t="e">
        <f>'Paso 1.3.1'!Q62</f>
        <v>#DIV/0!</v>
      </c>
      <c r="P24" s="2133" t="e">
        <f>'Paso 1.3.1'!R62</f>
        <v>#DIV/0!</v>
      </c>
      <c r="Q24" s="2133" t="e">
        <f>'Paso 1.3.1'!S62</f>
        <v>#DIV/0!</v>
      </c>
      <c r="R24" s="2133" t="e">
        <f>'Paso 1.3.1'!T62</f>
        <v>#DIV/0!</v>
      </c>
      <c r="S24" s="2133" t="e">
        <f>'Paso 1.3.1'!U62</f>
        <v>#DIV/0!</v>
      </c>
    </row>
    <row r="25" spans="1:19" x14ac:dyDescent="0.25">
      <c r="A25" s="691">
        <v>20</v>
      </c>
      <c r="B25" s="2121" t="s">
        <v>3137</v>
      </c>
      <c r="C25" s="2133" t="e">
        <f>'Paso 1.3.1'!E63</f>
        <v>#DIV/0!</v>
      </c>
      <c r="D25" s="2133" t="e">
        <f>'Paso 1.3.1'!F63</f>
        <v>#DIV/0!</v>
      </c>
      <c r="E25" s="2133" t="e">
        <f>'Paso 1.3.1'!G63</f>
        <v>#DIV/0!</v>
      </c>
      <c r="F25" s="2133" t="e">
        <f>'Paso 1.3.1'!H63</f>
        <v>#DIV/0!</v>
      </c>
      <c r="G25" s="2133" t="e">
        <f>'Paso 1.3.1'!I63</f>
        <v>#DIV/0!</v>
      </c>
      <c r="H25" s="2133" t="e">
        <f>'Paso 1.3.1'!J63</f>
        <v>#DIV/0!</v>
      </c>
      <c r="I25" s="2133" t="e">
        <f>'Paso 1.3.1'!K63</f>
        <v>#DIV/0!</v>
      </c>
      <c r="J25" s="2133" t="e">
        <f>'Paso 1.3.1'!L63</f>
        <v>#DIV/0!</v>
      </c>
      <c r="K25" s="2133" t="e">
        <f>'Paso 1.3.1'!M63</f>
        <v>#DIV/0!</v>
      </c>
      <c r="L25" s="2133" t="e">
        <f>'Paso 1.3.1'!N63</f>
        <v>#DIV/0!</v>
      </c>
      <c r="M25" s="2133" t="e">
        <f>'Paso 1.3.1'!O63</f>
        <v>#DIV/0!</v>
      </c>
      <c r="N25" s="2133" t="e">
        <f>'Paso 1.3.1'!P63</f>
        <v>#DIV/0!</v>
      </c>
      <c r="O25" s="2133" t="e">
        <f>'Paso 1.3.1'!Q63</f>
        <v>#DIV/0!</v>
      </c>
      <c r="P25" s="2133" t="e">
        <f>'Paso 1.3.1'!R63</f>
        <v>#DIV/0!</v>
      </c>
      <c r="Q25" s="2133" t="e">
        <f>'Paso 1.3.1'!S63</f>
        <v>#DIV/0!</v>
      </c>
      <c r="R25" s="2133" t="e">
        <f>'Paso 1.3.1'!T63</f>
        <v>#DIV/0!</v>
      </c>
      <c r="S25" s="2133" t="e">
        <f>'Paso 1.3.1'!U63</f>
        <v>#DIV/0!</v>
      </c>
    </row>
    <row r="26" spans="1:19" x14ac:dyDescent="0.25">
      <c r="A26" s="691">
        <v>21</v>
      </c>
      <c r="B26" s="2132" t="s">
        <v>3138</v>
      </c>
      <c r="C26" s="2134"/>
      <c r="D26" s="2134"/>
      <c r="E26" s="2134"/>
      <c r="F26" s="2134"/>
      <c r="G26" s="2134"/>
      <c r="H26" s="2134"/>
      <c r="I26" s="2134"/>
      <c r="J26" s="2134"/>
      <c r="K26" s="2134"/>
      <c r="L26" s="2134"/>
      <c r="M26" s="2134"/>
      <c r="N26" s="2134"/>
      <c r="O26" s="2134"/>
      <c r="P26" s="2134"/>
      <c r="Q26" s="2134"/>
      <c r="R26" s="2134"/>
      <c r="S26" s="2134"/>
    </row>
    <row r="27" spans="1:19" x14ac:dyDescent="0.25">
      <c r="A27" s="691">
        <v>22</v>
      </c>
      <c r="B27" s="2121" t="s">
        <v>3139</v>
      </c>
      <c r="C27" s="2133" t="e">
        <f>'Paso 1.3.1'!E65</f>
        <v>#DIV/0!</v>
      </c>
      <c r="D27" s="2133" t="e">
        <f>'Paso 1.3.1'!F65</f>
        <v>#DIV/0!</v>
      </c>
      <c r="E27" s="2133" t="e">
        <f>'Paso 1.3.1'!G65</f>
        <v>#DIV/0!</v>
      </c>
      <c r="F27" s="2133" t="e">
        <f>'Paso 1.3.1'!H65</f>
        <v>#DIV/0!</v>
      </c>
      <c r="G27" s="2133" t="e">
        <f>'Paso 1.3.1'!I65</f>
        <v>#DIV/0!</v>
      </c>
      <c r="H27" s="2133" t="e">
        <f>'Paso 1.3.1'!J65</f>
        <v>#DIV/0!</v>
      </c>
      <c r="I27" s="2133" t="e">
        <f>'Paso 1.3.1'!K65</f>
        <v>#DIV/0!</v>
      </c>
      <c r="J27" s="2133" t="e">
        <f>'Paso 1.3.1'!L65</f>
        <v>#DIV/0!</v>
      </c>
      <c r="K27" s="2133" t="e">
        <f>'Paso 1.3.1'!M65</f>
        <v>#DIV/0!</v>
      </c>
      <c r="L27" s="2133" t="e">
        <f>'Paso 1.3.1'!N65</f>
        <v>#DIV/0!</v>
      </c>
      <c r="M27" s="2133" t="e">
        <f>'Paso 1.3.1'!O65</f>
        <v>#DIV/0!</v>
      </c>
      <c r="N27" s="2133" t="e">
        <f>'Paso 1.3.1'!P65</f>
        <v>#DIV/0!</v>
      </c>
      <c r="O27" s="2133" t="e">
        <f>'Paso 1.3.1'!Q65</f>
        <v>#DIV/0!</v>
      </c>
      <c r="P27" s="2133" t="e">
        <f>'Paso 1.3.1'!R65</f>
        <v>#DIV/0!</v>
      </c>
      <c r="Q27" s="2133" t="e">
        <f>'Paso 1.3.1'!S65</f>
        <v>#DIV/0!</v>
      </c>
      <c r="R27" s="2133" t="e">
        <f>'Paso 1.3.1'!T65</f>
        <v>#DIV/0!</v>
      </c>
      <c r="S27" s="2133" t="e">
        <f>'Paso 1.3.1'!U65</f>
        <v>#DIV/0!</v>
      </c>
    </row>
    <row r="28" spans="1:19" x14ac:dyDescent="0.25">
      <c r="A28" s="691">
        <v>23</v>
      </c>
      <c r="B28" s="2121" t="s">
        <v>226</v>
      </c>
      <c r="C28" s="2133" t="e">
        <f>'Paso 1.3.1'!E66</f>
        <v>#DIV/0!</v>
      </c>
      <c r="D28" s="2133" t="e">
        <f>'Paso 1.3.1'!F66</f>
        <v>#DIV/0!</v>
      </c>
      <c r="E28" s="2133" t="e">
        <f>'Paso 1.3.1'!G66</f>
        <v>#DIV/0!</v>
      </c>
      <c r="F28" s="2133" t="e">
        <f>'Paso 1.3.1'!H66</f>
        <v>#DIV/0!</v>
      </c>
      <c r="G28" s="2133" t="e">
        <f>'Paso 1.3.1'!I66</f>
        <v>#DIV/0!</v>
      </c>
      <c r="H28" s="2133" t="e">
        <f>'Paso 1.3.1'!J66</f>
        <v>#DIV/0!</v>
      </c>
      <c r="I28" s="2133" t="e">
        <f>'Paso 1.3.1'!K66</f>
        <v>#DIV/0!</v>
      </c>
      <c r="J28" s="2133" t="e">
        <f>'Paso 1.3.1'!L66</f>
        <v>#DIV/0!</v>
      </c>
      <c r="K28" s="2133" t="e">
        <f>'Paso 1.3.1'!M66</f>
        <v>#DIV/0!</v>
      </c>
      <c r="L28" s="2133" t="e">
        <f>'Paso 1.3.1'!N66</f>
        <v>#DIV/0!</v>
      </c>
      <c r="M28" s="2133" t="e">
        <f>'Paso 1.3.1'!O66</f>
        <v>#DIV/0!</v>
      </c>
      <c r="N28" s="2133" t="e">
        <f>'Paso 1.3.1'!P66</f>
        <v>#DIV/0!</v>
      </c>
      <c r="O28" s="2133" t="e">
        <f>'Paso 1.3.1'!Q66</f>
        <v>#DIV/0!</v>
      </c>
      <c r="P28" s="2133" t="e">
        <f>'Paso 1.3.1'!R66</f>
        <v>#DIV/0!</v>
      </c>
      <c r="Q28" s="2133" t="e">
        <f>'Paso 1.3.1'!S66</f>
        <v>#DIV/0!</v>
      </c>
      <c r="R28" s="2133" t="e">
        <f>'Paso 1.3.1'!T66</f>
        <v>#DIV/0!</v>
      </c>
      <c r="S28" s="2133" t="e">
        <f>'Paso 1.3.1'!U66</f>
        <v>#DIV/0!</v>
      </c>
    </row>
    <row r="29" spans="1:19" x14ac:dyDescent="0.25">
      <c r="A29" s="691">
        <v>24</v>
      </c>
      <c r="B29" s="2121" t="s">
        <v>227</v>
      </c>
      <c r="C29" s="2133" t="e">
        <f>'Paso 1.3.1'!E67</f>
        <v>#DIV/0!</v>
      </c>
      <c r="D29" s="2133" t="e">
        <f>'Paso 1.3.1'!F67</f>
        <v>#DIV/0!</v>
      </c>
      <c r="E29" s="2133" t="e">
        <f>'Paso 1.3.1'!G67</f>
        <v>#DIV/0!</v>
      </c>
      <c r="F29" s="2133" t="e">
        <f>'Paso 1.3.1'!H67</f>
        <v>#DIV/0!</v>
      </c>
      <c r="G29" s="2133" t="e">
        <f>'Paso 1.3.1'!I67</f>
        <v>#DIV/0!</v>
      </c>
      <c r="H29" s="2133" t="e">
        <f>'Paso 1.3.1'!J67</f>
        <v>#DIV/0!</v>
      </c>
      <c r="I29" s="2133" t="e">
        <f>'Paso 1.3.1'!K67</f>
        <v>#DIV/0!</v>
      </c>
      <c r="J29" s="2133" t="e">
        <f>'Paso 1.3.1'!L67</f>
        <v>#DIV/0!</v>
      </c>
      <c r="K29" s="2133" t="e">
        <f>'Paso 1.3.1'!M67</f>
        <v>#DIV/0!</v>
      </c>
      <c r="L29" s="2133" t="e">
        <f>'Paso 1.3.1'!N67</f>
        <v>#DIV/0!</v>
      </c>
      <c r="M29" s="2133" t="e">
        <f>'Paso 1.3.1'!O67</f>
        <v>#DIV/0!</v>
      </c>
      <c r="N29" s="2133" t="e">
        <f>'Paso 1.3.1'!P67</f>
        <v>#DIV/0!</v>
      </c>
      <c r="O29" s="2133" t="e">
        <f>'Paso 1.3.1'!Q67</f>
        <v>#DIV/0!</v>
      </c>
      <c r="P29" s="2133" t="e">
        <f>'Paso 1.3.1'!R67</f>
        <v>#DIV/0!</v>
      </c>
      <c r="Q29" s="2133" t="e">
        <f>'Paso 1.3.1'!S67</f>
        <v>#DIV/0!</v>
      </c>
      <c r="R29" s="2133" t="e">
        <f>'Paso 1.3.1'!T67</f>
        <v>#DIV/0!</v>
      </c>
      <c r="S29" s="2133" t="e">
        <f>'Paso 1.3.1'!U67</f>
        <v>#DIV/0!</v>
      </c>
    </row>
    <row r="30" spans="1:19" x14ac:dyDescent="0.25">
      <c r="A30" s="691">
        <v>25</v>
      </c>
      <c r="B30" s="2132" t="s">
        <v>228</v>
      </c>
      <c r="C30" s="2134"/>
      <c r="D30" s="2134"/>
      <c r="E30" s="2134"/>
      <c r="F30" s="2134"/>
      <c r="G30" s="2134"/>
      <c r="H30" s="2134"/>
      <c r="I30" s="2134"/>
      <c r="J30" s="2134"/>
      <c r="K30" s="2134"/>
      <c r="L30" s="2134"/>
      <c r="M30" s="2134"/>
      <c r="N30" s="2134"/>
      <c r="O30" s="2134"/>
      <c r="P30" s="2134"/>
      <c r="Q30" s="2134"/>
      <c r="R30" s="2134"/>
      <c r="S30" s="2134"/>
    </row>
    <row r="31" spans="1:19" x14ac:dyDescent="0.25">
      <c r="A31" s="691">
        <v>26</v>
      </c>
      <c r="B31" s="2121" t="s">
        <v>229</v>
      </c>
      <c r="C31" s="2133" t="e">
        <f>'Paso 1.3.1'!E69</f>
        <v>#DIV/0!</v>
      </c>
      <c r="D31" s="2133" t="e">
        <f>'Paso 1.3.1'!F69</f>
        <v>#DIV/0!</v>
      </c>
      <c r="E31" s="2133" t="e">
        <f>'Paso 1.3.1'!G69</f>
        <v>#DIV/0!</v>
      </c>
      <c r="F31" s="2133" t="e">
        <f>'Paso 1.3.1'!H69</f>
        <v>#DIV/0!</v>
      </c>
      <c r="G31" s="2133" t="e">
        <f>'Paso 1.3.1'!I69</f>
        <v>#DIV/0!</v>
      </c>
      <c r="H31" s="2133" t="e">
        <f>'Paso 1.3.1'!J69</f>
        <v>#DIV/0!</v>
      </c>
      <c r="I31" s="2133" t="e">
        <f>'Paso 1.3.1'!K69</f>
        <v>#DIV/0!</v>
      </c>
      <c r="J31" s="2133" t="e">
        <f>'Paso 1.3.1'!L69</f>
        <v>#DIV/0!</v>
      </c>
      <c r="K31" s="2133" t="e">
        <f>'Paso 1.3.1'!M69</f>
        <v>#DIV/0!</v>
      </c>
      <c r="L31" s="2133" t="e">
        <f>'Paso 1.3.1'!N69</f>
        <v>#DIV/0!</v>
      </c>
      <c r="M31" s="2133" t="e">
        <f>'Paso 1.3.1'!O69</f>
        <v>#DIV/0!</v>
      </c>
      <c r="N31" s="2133" t="e">
        <f>'Paso 1.3.1'!P69</f>
        <v>#DIV/0!</v>
      </c>
      <c r="O31" s="2133" t="e">
        <f>'Paso 1.3.1'!Q69</f>
        <v>#DIV/0!</v>
      </c>
      <c r="P31" s="2133" t="e">
        <f>'Paso 1.3.1'!R69</f>
        <v>#DIV/0!</v>
      </c>
      <c r="Q31" s="2133" t="e">
        <f>'Paso 1.3.1'!S69</f>
        <v>#DIV/0!</v>
      </c>
      <c r="R31" s="2133" t="e">
        <f>'Paso 1.3.1'!T69</f>
        <v>#DIV/0!</v>
      </c>
      <c r="S31" s="2133" t="e">
        <f>'Paso 1.3.1'!U69</f>
        <v>#DIV/0!</v>
      </c>
    </row>
    <row r="32" spans="1:19" x14ac:dyDescent="0.25">
      <c r="A32" s="691">
        <v>27</v>
      </c>
      <c r="B32" s="2121" t="s">
        <v>3140</v>
      </c>
      <c r="C32" s="2133" t="e">
        <f>'Paso 1.3.1'!E70</f>
        <v>#DIV/0!</v>
      </c>
      <c r="D32" s="2133" t="e">
        <f>'Paso 1.3.1'!F70</f>
        <v>#DIV/0!</v>
      </c>
      <c r="E32" s="2133" t="e">
        <f>'Paso 1.3.1'!G70</f>
        <v>#DIV/0!</v>
      </c>
      <c r="F32" s="2133" t="e">
        <f>'Paso 1.3.1'!H70</f>
        <v>#DIV/0!</v>
      </c>
      <c r="G32" s="2133" t="e">
        <f>'Paso 1.3.1'!I70</f>
        <v>#DIV/0!</v>
      </c>
      <c r="H32" s="2133" t="e">
        <f>'Paso 1.3.1'!J70</f>
        <v>#DIV/0!</v>
      </c>
      <c r="I32" s="2133" t="e">
        <f>'Paso 1.3.1'!K70</f>
        <v>#DIV/0!</v>
      </c>
      <c r="J32" s="2133" t="e">
        <f>'Paso 1.3.1'!L70</f>
        <v>#DIV/0!</v>
      </c>
      <c r="K32" s="2133" t="e">
        <f>'Paso 1.3.1'!M70</f>
        <v>#DIV/0!</v>
      </c>
      <c r="L32" s="2133" t="e">
        <f>'Paso 1.3.1'!N70</f>
        <v>#DIV/0!</v>
      </c>
      <c r="M32" s="2133" t="e">
        <f>'Paso 1.3.1'!O70</f>
        <v>#DIV/0!</v>
      </c>
      <c r="N32" s="2133" t="e">
        <f>'Paso 1.3.1'!P70</f>
        <v>#DIV/0!</v>
      </c>
      <c r="O32" s="2133" t="e">
        <f>'Paso 1.3.1'!Q70</f>
        <v>#DIV/0!</v>
      </c>
      <c r="P32" s="2133" t="e">
        <f>'Paso 1.3.1'!R70</f>
        <v>#DIV/0!</v>
      </c>
      <c r="Q32" s="2133" t="e">
        <f>'Paso 1.3.1'!S70</f>
        <v>#DIV/0!</v>
      </c>
      <c r="R32" s="2133" t="e">
        <f>'Paso 1.3.1'!T70</f>
        <v>#DIV/0!</v>
      </c>
      <c r="S32" s="2133" t="e">
        <f>'Paso 1.3.1'!U70</f>
        <v>#DIV/0!</v>
      </c>
    </row>
    <row r="33" spans="1:19" x14ac:dyDescent="0.25">
      <c r="A33" s="691">
        <v>28</v>
      </c>
      <c r="B33" s="2132" t="s">
        <v>231</v>
      </c>
      <c r="C33" s="2134"/>
      <c r="D33" s="2134"/>
      <c r="E33" s="2134"/>
      <c r="F33" s="2134"/>
      <c r="G33" s="2134"/>
      <c r="H33" s="2134"/>
      <c r="I33" s="2134"/>
      <c r="J33" s="2134"/>
      <c r="K33" s="2134"/>
      <c r="L33" s="2134"/>
      <c r="M33" s="2134"/>
      <c r="N33" s="2134"/>
      <c r="O33" s="2134"/>
      <c r="P33" s="2134"/>
      <c r="Q33" s="2134"/>
      <c r="R33" s="2134"/>
      <c r="S33" s="2134"/>
    </row>
    <row r="35" spans="1:19" x14ac:dyDescent="0.25">
      <c r="F35" s="2118"/>
    </row>
    <row r="36" spans="1:19" x14ac:dyDescent="0.25">
      <c r="B36" s="2135" t="s">
        <v>3141</v>
      </c>
      <c r="C36" s="2136">
        <v>0</v>
      </c>
      <c r="D36" s="2136">
        <v>0</v>
      </c>
      <c r="E36" s="2091">
        <v>1</v>
      </c>
      <c r="F36" s="2091">
        <f>E36+1</f>
        <v>2</v>
      </c>
      <c r="G36" s="2091">
        <f>F36+1</f>
        <v>3</v>
      </c>
      <c r="H36" s="2091">
        <f t="shared" ref="H36:S36" si="2">G36+1</f>
        <v>4</v>
      </c>
      <c r="I36" s="2091">
        <f t="shared" si="2"/>
        <v>5</v>
      </c>
      <c r="J36" s="2091">
        <f t="shared" si="2"/>
        <v>6</v>
      </c>
      <c r="K36" s="2091">
        <f t="shared" si="2"/>
        <v>7</v>
      </c>
      <c r="L36" s="2091">
        <f t="shared" si="2"/>
        <v>8</v>
      </c>
      <c r="M36" s="2091">
        <f t="shared" si="2"/>
        <v>9</v>
      </c>
      <c r="N36" s="2091">
        <f t="shared" si="2"/>
        <v>10</v>
      </c>
      <c r="O36" s="2091">
        <f t="shared" si="2"/>
        <v>11</v>
      </c>
      <c r="P36" s="2091">
        <f t="shared" si="2"/>
        <v>12</v>
      </c>
      <c r="Q36" s="2091">
        <f t="shared" si="2"/>
        <v>13</v>
      </c>
      <c r="R36" s="2091">
        <f t="shared" si="2"/>
        <v>14</v>
      </c>
      <c r="S36" s="2092">
        <f t="shared" si="2"/>
        <v>15</v>
      </c>
    </row>
    <row r="37" spans="1:19" ht="23.25" customHeight="1" x14ac:dyDescent="0.25">
      <c r="B37" s="1598" t="s">
        <v>3112</v>
      </c>
      <c r="C37" s="2137">
        <v>2018</v>
      </c>
      <c r="D37" s="2137">
        <f>C37+1</f>
        <v>2019</v>
      </c>
      <c r="E37" s="2093">
        <f t="shared" ref="E37:S37" si="3">D37+1</f>
        <v>2020</v>
      </c>
      <c r="F37" s="2093">
        <f t="shared" si="3"/>
        <v>2021</v>
      </c>
      <c r="G37" s="2093">
        <f t="shared" si="3"/>
        <v>2022</v>
      </c>
      <c r="H37" s="2093">
        <f t="shared" si="3"/>
        <v>2023</v>
      </c>
      <c r="I37" s="2093">
        <f t="shared" si="3"/>
        <v>2024</v>
      </c>
      <c r="J37" s="2093">
        <f t="shared" si="3"/>
        <v>2025</v>
      </c>
      <c r="K37" s="2093">
        <f t="shared" si="3"/>
        <v>2026</v>
      </c>
      <c r="L37" s="2093">
        <f t="shared" si="3"/>
        <v>2027</v>
      </c>
      <c r="M37" s="2093">
        <f t="shared" si="3"/>
        <v>2028</v>
      </c>
      <c r="N37" s="2093">
        <f t="shared" si="3"/>
        <v>2029</v>
      </c>
      <c r="O37" s="2093">
        <f t="shared" si="3"/>
        <v>2030</v>
      </c>
      <c r="P37" s="2093">
        <f t="shared" si="3"/>
        <v>2031</v>
      </c>
      <c r="Q37" s="2093">
        <f t="shared" si="3"/>
        <v>2032</v>
      </c>
      <c r="R37" s="2093">
        <f t="shared" si="3"/>
        <v>2033</v>
      </c>
      <c r="S37" s="2094">
        <f t="shared" si="3"/>
        <v>2034</v>
      </c>
    </row>
    <row r="38" spans="1:19" x14ac:dyDescent="0.25">
      <c r="A38" s="691">
        <v>1</v>
      </c>
      <c r="B38" s="2121" t="s">
        <v>206</v>
      </c>
      <c r="C38" s="2133" t="e">
        <f>IF(C6&gt;=9,ROUNDDOWN(C6,0),IF(AND(C6&gt;=8,C6&lt;=8.8),ROUNDDOWN(C6,0),IF(AND(C6&gt;8.8,C6&lt;9),ROUNDUP(C6,0),IF(AND(C6&gt;=7,C6&lt;=7.7),ROUNDDOWN(C6,0),IF(AND(C6&gt;7.7,C6&lt;8),ROUNDUP(C6,0),IF(AND(C6&gt;=6,C6&lt;=6.6),ROUNDDOWN(C6,0),IF(AND(C6&gt;6.6,C6&lt;7),ROUNDUP(C6,0),IF(AND(C6&gt;=5,C6&lt;=5.5),ROUNDDOWN(C6,0),IF(AND(C6&gt;5.5,C6&lt;6),ROUNDUP(C6,0),IF(AND(C6&gt;=4,C6&lt;=4.4),ROUNDDOWN(C6,0),IF(AND(C6&gt;4.4,C6&lt;5),ROUNDUP(C6,0),IF(AND(C6&gt;=3,C6&lt;=3.3),ROUNDDOWN(C6,0),IF(AND(C6&gt;3.3,C6&lt;4),ROUNDUP(C6,0),IF(AND(C6&gt;=2,C6&lt;=2.2),ROUNDDOWN(C6,0),IF(AND(C6&gt;2.2,C6&lt;3),ROUNDUP(C6,0),IF(AND(C6&gt;=0,C6&lt;=1.1),1,ROUNDUP(C6,0)))))))))))))))))</f>
        <v>#DIV/0!</v>
      </c>
      <c r="D38" s="2133" t="e">
        <f t="shared" ref="D38:S38" si="4">IF(D6&gt;=9,ROUNDDOWN(D6,0),IF(AND(D6&gt;=8,D6&lt;=8.8),ROUNDDOWN(D6,0),IF(AND(D6&gt;8.8,D6&lt;9),ROUNDUP(D6,0),IF(AND(D6&gt;=7,D6&lt;=7.7),ROUNDDOWN(D6,0),IF(AND(D6&gt;7.7,D6&lt;8),ROUNDUP(D6,0),IF(AND(D6&gt;=6,D6&lt;=6.6),ROUNDDOWN(D6,0),IF(AND(D6&gt;6.6,D6&lt;7),ROUNDUP(D6,0),IF(AND(D6&gt;=5,D6&lt;=5.5),ROUNDDOWN(D6,0),IF(AND(D6&gt;5.5,D6&lt;6),ROUNDUP(D6,0),IF(AND(D6&gt;=4,D6&lt;=4.4),ROUNDDOWN(D6,0),IF(AND(D6&gt;4.4,D6&lt;5),ROUNDUP(D6,0),IF(AND(D6&gt;=3,D6&lt;=3.3),ROUNDDOWN(D6,0),IF(AND(D6&gt;3.3,D6&lt;4),ROUNDUP(D6,0),IF(AND(D6&gt;=2,D6&lt;=2.2),ROUNDDOWN(D6,0),IF(AND(D6&gt;2.2,D6&lt;3),ROUNDUP(D6,0),IF(AND(D6&gt;=0,D6&lt;=1.1),1,ROUNDUP(D6,0)))))))))))))))))</f>
        <v>#DIV/0!</v>
      </c>
      <c r="E38" s="2133" t="e">
        <f t="shared" si="4"/>
        <v>#DIV/0!</v>
      </c>
      <c r="F38" s="2133" t="e">
        <f t="shared" si="4"/>
        <v>#DIV/0!</v>
      </c>
      <c r="G38" s="2133" t="e">
        <f t="shared" si="4"/>
        <v>#DIV/0!</v>
      </c>
      <c r="H38" s="2133" t="e">
        <f t="shared" si="4"/>
        <v>#DIV/0!</v>
      </c>
      <c r="I38" s="2133" t="e">
        <f t="shared" si="4"/>
        <v>#DIV/0!</v>
      </c>
      <c r="J38" s="2133" t="e">
        <f t="shared" si="4"/>
        <v>#DIV/0!</v>
      </c>
      <c r="K38" s="2133" t="e">
        <f t="shared" si="4"/>
        <v>#DIV/0!</v>
      </c>
      <c r="L38" s="2133" t="e">
        <f t="shared" si="4"/>
        <v>#DIV/0!</v>
      </c>
      <c r="M38" s="2133" t="e">
        <f t="shared" si="4"/>
        <v>#DIV/0!</v>
      </c>
      <c r="N38" s="2133" t="e">
        <f t="shared" si="4"/>
        <v>#DIV/0!</v>
      </c>
      <c r="O38" s="2133" t="e">
        <f t="shared" si="4"/>
        <v>#DIV/0!</v>
      </c>
      <c r="P38" s="2133" t="e">
        <f t="shared" si="4"/>
        <v>#DIV/0!</v>
      </c>
      <c r="Q38" s="2133" t="e">
        <f t="shared" si="4"/>
        <v>#DIV/0!</v>
      </c>
      <c r="R38" s="2133" t="e">
        <f t="shared" si="4"/>
        <v>#DIV/0!</v>
      </c>
      <c r="S38" s="2133" t="e">
        <f t="shared" si="4"/>
        <v>#DIV/0!</v>
      </c>
    </row>
    <row r="39" spans="1:19" x14ac:dyDescent="0.25">
      <c r="A39" s="691">
        <v>2</v>
      </c>
      <c r="B39" s="2121" t="s">
        <v>3126</v>
      </c>
      <c r="C39" s="2133" t="e">
        <f>IF(C7&gt;=9,ROUNDDOWN(C7,0),IF(AND(C7&gt;=8,C7&lt;=8.8),ROUNDDOWN(C7,0),IF(AND(C7&gt;8.8,C7&lt;9),ROUNDUP(C7,0),IF(AND(C7&gt;=7,C7&lt;=7.7),ROUNDDOWN(C7,0),IF(AND(C7&gt;7.7,C7&lt;8),ROUNDUP(C7,0),IF(AND(C7&gt;=6,C7&lt;=6.6),ROUNDDOWN(C7,0),IF(AND(C7&gt;6.6,C7&lt;7),ROUNDUP(C7,0),IF(AND(C7&gt;=5,C7&lt;=5.5),ROUNDDOWN(C7,0),IF(AND(C7&gt;5.5,C7&lt;6),ROUNDUP(C7,0),IF(AND(C7&gt;=4,C7&lt;=4.4),ROUNDDOWN(C7,0),IF(AND(C7&gt;4.4,C7&lt;5),ROUNDUP(C7,0),IF(AND(C7&gt;=3,C7&lt;=3.3),ROUNDDOWN(C7,0),IF(AND(C7&gt;3.3,C7&lt;4),ROUNDUP(C7,0),IF(AND(C7&gt;=2,C7&lt;=2.2),ROUNDDOWN(C7,0),IF(AND(C7&gt;2.2,C7&lt;3),ROUNDUP(C7,0),IF(AND(C7&gt;=0,C7&lt;=1.1),1,ROUNDUP(C7,0)))))))))))))))))</f>
        <v>#DIV/0!</v>
      </c>
      <c r="D39" s="2133" t="e">
        <f t="shared" ref="D39:S39" si="5">IF(D7&gt;=9,ROUNDDOWN(D7,0),IF(AND(D7&gt;=8,D7&lt;=8.8),ROUNDDOWN(D7,0),IF(AND(D7&gt;8.8,D7&lt;9),ROUNDUP(D7,0),IF(AND(D7&gt;=7,D7&lt;=7.7),ROUNDDOWN(D7,0),IF(AND(D7&gt;7.7,D7&lt;8),ROUNDUP(D7,0),IF(AND(D7&gt;=6,D7&lt;=6.6),ROUNDDOWN(D7,0),IF(AND(D7&gt;6.6,D7&lt;7),ROUNDUP(D7,0),IF(AND(D7&gt;=5,D7&lt;=5.5),ROUNDDOWN(D7,0),IF(AND(D7&gt;5.5,D7&lt;6),ROUNDUP(D7,0),IF(AND(D7&gt;=4,D7&lt;=4.4),ROUNDDOWN(D7,0),IF(AND(D7&gt;4.4,D7&lt;5),ROUNDUP(D7,0),IF(AND(D7&gt;=3,D7&lt;=3.3),ROUNDDOWN(D7,0),IF(AND(D7&gt;3.3,D7&lt;4),ROUNDUP(D7,0),IF(AND(D7&gt;=2,D7&lt;=2.2),ROUNDDOWN(D7,0),IF(AND(D7&gt;2.2,D7&lt;3),ROUNDUP(D7,0),IF(AND(D7&gt;=0,D7&lt;=1.1),1,ROUNDUP(D7,0)))))))))))))))))</f>
        <v>#DIV/0!</v>
      </c>
      <c r="E39" s="2133" t="e">
        <f t="shared" si="5"/>
        <v>#DIV/0!</v>
      </c>
      <c r="F39" s="2133" t="e">
        <f t="shared" si="5"/>
        <v>#DIV/0!</v>
      </c>
      <c r="G39" s="2133" t="e">
        <f t="shared" si="5"/>
        <v>#DIV/0!</v>
      </c>
      <c r="H39" s="2133" t="e">
        <f t="shared" si="5"/>
        <v>#DIV/0!</v>
      </c>
      <c r="I39" s="2133" t="e">
        <f t="shared" si="5"/>
        <v>#DIV/0!</v>
      </c>
      <c r="J39" s="2133" t="e">
        <f t="shared" si="5"/>
        <v>#DIV/0!</v>
      </c>
      <c r="K39" s="2133" t="e">
        <f t="shared" si="5"/>
        <v>#DIV/0!</v>
      </c>
      <c r="L39" s="2133" t="e">
        <f t="shared" si="5"/>
        <v>#DIV/0!</v>
      </c>
      <c r="M39" s="2133" t="e">
        <f t="shared" si="5"/>
        <v>#DIV/0!</v>
      </c>
      <c r="N39" s="2133" t="e">
        <f t="shared" si="5"/>
        <v>#DIV/0!</v>
      </c>
      <c r="O39" s="2133" t="e">
        <f t="shared" si="5"/>
        <v>#DIV/0!</v>
      </c>
      <c r="P39" s="2133" t="e">
        <f t="shared" si="5"/>
        <v>#DIV/0!</v>
      </c>
      <c r="Q39" s="2133" t="e">
        <f t="shared" si="5"/>
        <v>#DIV/0!</v>
      </c>
      <c r="R39" s="2133" t="e">
        <f t="shared" si="5"/>
        <v>#DIV/0!</v>
      </c>
      <c r="S39" s="2133" t="e">
        <f t="shared" si="5"/>
        <v>#DIV/0!</v>
      </c>
    </row>
    <row r="40" spans="1:19" x14ac:dyDescent="0.25">
      <c r="A40" s="691">
        <v>3</v>
      </c>
      <c r="B40" s="2132" t="s">
        <v>3127</v>
      </c>
      <c r="C40" s="2134"/>
      <c r="D40" s="2134"/>
      <c r="E40" s="2134"/>
      <c r="F40" s="2134"/>
      <c r="G40" s="2134"/>
      <c r="H40" s="2134"/>
      <c r="I40" s="2134"/>
      <c r="J40" s="2134"/>
      <c r="K40" s="2134"/>
      <c r="L40" s="2134"/>
      <c r="M40" s="2134"/>
      <c r="N40" s="2134"/>
      <c r="O40" s="2134"/>
      <c r="P40" s="2134"/>
      <c r="Q40" s="2134"/>
      <c r="R40" s="2134"/>
      <c r="S40" s="2134"/>
    </row>
    <row r="41" spans="1:19" x14ac:dyDescent="0.25">
      <c r="A41" s="691">
        <v>4</v>
      </c>
      <c r="B41" s="2121" t="s">
        <v>3128</v>
      </c>
      <c r="C41" s="2133" t="e">
        <f t="shared" ref="C41:S41" si="6">IF(C9&gt;=9,ROUNDDOWN(C9,0),IF(AND(C9&gt;=8,C9&lt;=8.8),ROUNDDOWN(C9,0),IF(AND(C9&gt;8.8,C9&lt;9),ROUNDUP(C9,0),IF(AND(C9&gt;=7,C9&lt;=7.7),ROUNDDOWN(C9,0),IF(AND(C9&gt;7.7,C9&lt;8),ROUNDUP(C9,0),IF(AND(C9&gt;=6,C9&lt;=6.6),ROUNDDOWN(C9,0),IF(AND(C9&gt;6.6,C9&lt;7),ROUNDUP(C9,0),IF(AND(C9&gt;=5,C9&lt;=5.5),ROUNDDOWN(C9,0),IF(AND(C9&gt;5.5,C9&lt;6),ROUNDUP(C9,0),IF(AND(C9&gt;=4,C9&lt;=4.4),ROUNDDOWN(C9,0),IF(AND(C9&gt;4.4,C9&lt;5),ROUNDUP(C9,0),IF(AND(C9&gt;=3,C9&lt;=3.3),ROUNDDOWN(C9,0),IF(AND(C9&gt;3.3,C9&lt;4),ROUNDUP(C9,0),IF(AND(C9&gt;=2,C9&lt;=2.2),ROUNDDOWN(C9,0),IF(AND(C9&gt;2.2,C9&lt;3),ROUNDUP(C9,0),IF(AND(C9&gt;=0,C9&lt;=1.1),1,ROUNDUP(C9,0)))))))))))))))))</f>
        <v>#DIV/0!</v>
      </c>
      <c r="D41" s="2133" t="e">
        <f t="shared" si="6"/>
        <v>#DIV/0!</v>
      </c>
      <c r="E41" s="2133" t="e">
        <f t="shared" si="6"/>
        <v>#DIV/0!</v>
      </c>
      <c r="F41" s="2133" t="e">
        <f t="shared" si="6"/>
        <v>#DIV/0!</v>
      </c>
      <c r="G41" s="2133" t="e">
        <f t="shared" si="6"/>
        <v>#DIV/0!</v>
      </c>
      <c r="H41" s="2133" t="e">
        <f t="shared" si="6"/>
        <v>#DIV/0!</v>
      </c>
      <c r="I41" s="2133" t="e">
        <f t="shared" si="6"/>
        <v>#DIV/0!</v>
      </c>
      <c r="J41" s="2133" t="e">
        <f t="shared" si="6"/>
        <v>#DIV/0!</v>
      </c>
      <c r="K41" s="2133" t="e">
        <f t="shared" si="6"/>
        <v>#DIV/0!</v>
      </c>
      <c r="L41" s="2133" t="e">
        <f t="shared" si="6"/>
        <v>#DIV/0!</v>
      </c>
      <c r="M41" s="2133" t="e">
        <f t="shared" si="6"/>
        <v>#DIV/0!</v>
      </c>
      <c r="N41" s="2133" t="e">
        <f t="shared" si="6"/>
        <v>#DIV/0!</v>
      </c>
      <c r="O41" s="2133" t="e">
        <f t="shared" si="6"/>
        <v>#DIV/0!</v>
      </c>
      <c r="P41" s="2133" t="e">
        <f t="shared" si="6"/>
        <v>#DIV/0!</v>
      </c>
      <c r="Q41" s="2133" t="e">
        <f t="shared" si="6"/>
        <v>#DIV/0!</v>
      </c>
      <c r="R41" s="2133" t="e">
        <f t="shared" si="6"/>
        <v>#DIV/0!</v>
      </c>
      <c r="S41" s="2133" t="e">
        <f t="shared" si="6"/>
        <v>#DIV/0!</v>
      </c>
    </row>
    <row r="42" spans="1:19" x14ac:dyDescent="0.25">
      <c r="A42" s="691">
        <v>5</v>
      </c>
      <c r="B42" s="2132" t="s">
        <v>3129</v>
      </c>
      <c r="C42" s="2134"/>
      <c r="D42" s="2134"/>
      <c r="E42" s="2134"/>
      <c r="F42" s="2134"/>
      <c r="G42" s="2134"/>
      <c r="H42" s="2134"/>
      <c r="I42" s="2134"/>
      <c r="J42" s="2134"/>
      <c r="K42" s="2134"/>
      <c r="L42" s="2134"/>
      <c r="M42" s="2134"/>
      <c r="N42" s="2134"/>
      <c r="O42" s="2134"/>
      <c r="P42" s="2134"/>
      <c r="Q42" s="2134"/>
      <c r="R42" s="2134"/>
      <c r="S42" s="2134"/>
    </row>
    <row r="43" spans="1:19" x14ac:dyDescent="0.25">
      <c r="A43" s="691">
        <v>6</v>
      </c>
      <c r="B43" s="2132" t="s">
        <v>3130</v>
      </c>
      <c r="C43" s="2134"/>
      <c r="D43" s="2134"/>
      <c r="E43" s="2134"/>
      <c r="F43" s="2134"/>
      <c r="G43" s="2134"/>
      <c r="H43" s="2134"/>
      <c r="I43" s="2134"/>
      <c r="J43" s="2134"/>
      <c r="K43" s="2134"/>
      <c r="L43" s="2134"/>
      <c r="M43" s="2134"/>
      <c r="N43" s="2134"/>
      <c r="O43" s="2134"/>
      <c r="P43" s="2134"/>
      <c r="Q43" s="2134"/>
      <c r="R43" s="2134"/>
      <c r="S43" s="2134"/>
    </row>
    <row r="44" spans="1:19" x14ac:dyDescent="0.25">
      <c r="A44" s="691">
        <v>7</v>
      </c>
      <c r="B44" s="2132" t="s">
        <v>3131</v>
      </c>
      <c r="C44" s="2134"/>
      <c r="D44" s="2134"/>
      <c r="E44" s="2134"/>
      <c r="F44" s="2134"/>
      <c r="G44" s="2134"/>
      <c r="H44" s="2134"/>
      <c r="I44" s="2134"/>
      <c r="J44" s="2134"/>
      <c r="K44" s="2134"/>
      <c r="L44" s="2134"/>
      <c r="M44" s="2134"/>
      <c r="N44" s="2134"/>
      <c r="O44" s="2134"/>
      <c r="P44" s="2134"/>
      <c r="Q44" s="2134"/>
      <c r="R44" s="2134"/>
      <c r="S44" s="2134"/>
    </row>
    <row r="45" spans="1:19" x14ac:dyDescent="0.25">
      <c r="A45" s="691">
        <v>8</v>
      </c>
      <c r="B45" s="2121" t="s">
        <v>3132</v>
      </c>
      <c r="C45" s="2133" t="e">
        <f t="shared" ref="C45:S45" si="7">IF(C13&gt;=9,ROUNDDOWN(C13,0),IF(AND(C13&gt;=8,C13&lt;=8.8),ROUNDDOWN(C13,0),IF(AND(C13&gt;8.8,C13&lt;9),ROUNDUP(C13,0),IF(AND(C13&gt;=7,C13&lt;=7.7),ROUNDDOWN(C13,0),IF(AND(C13&gt;7.7,C13&lt;8),ROUNDUP(C13,0),IF(AND(C13&gt;=6,C13&lt;=6.6),ROUNDDOWN(C13,0),IF(AND(C13&gt;6.6,C13&lt;7),ROUNDUP(C13,0),IF(AND(C13&gt;=5,C13&lt;=5.5),ROUNDDOWN(C13,0),IF(AND(C13&gt;5.5,C13&lt;6),ROUNDUP(C13,0),IF(AND(C13&gt;=4,C13&lt;=4.4),ROUNDDOWN(C13,0),IF(AND(C13&gt;4.4,C13&lt;5),ROUNDUP(C13,0),IF(AND(C13&gt;=3,C13&lt;=3.3),ROUNDDOWN(C13,0),IF(AND(C13&gt;3.3,C13&lt;4),ROUNDUP(C13,0),IF(AND(C13&gt;=2,C13&lt;=2.2),ROUNDDOWN(C13,0),IF(AND(C13&gt;2.2,C13&lt;3),ROUNDUP(C13,0),IF(AND(C13&gt;=0,C13&lt;=1.1),1,ROUNDUP(C13,0)))))))))))))))))</f>
        <v>#DIV/0!</v>
      </c>
      <c r="D45" s="2133" t="e">
        <f t="shared" si="7"/>
        <v>#DIV/0!</v>
      </c>
      <c r="E45" s="2133" t="e">
        <f t="shared" si="7"/>
        <v>#DIV/0!</v>
      </c>
      <c r="F45" s="2133" t="e">
        <f t="shared" si="7"/>
        <v>#DIV/0!</v>
      </c>
      <c r="G45" s="2133" t="e">
        <f t="shared" si="7"/>
        <v>#DIV/0!</v>
      </c>
      <c r="H45" s="2133" t="e">
        <f t="shared" si="7"/>
        <v>#DIV/0!</v>
      </c>
      <c r="I45" s="2133" t="e">
        <f t="shared" si="7"/>
        <v>#DIV/0!</v>
      </c>
      <c r="J45" s="2133" t="e">
        <f t="shared" si="7"/>
        <v>#DIV/0!</v>
      </c>
      <c r="K45" s="2133" t="e">
        <f t="shared" si="7"/>
        <v>#DIV/0!</v>
      </c>
      <c r="L45" s="2133" t="e">
        <f t="shared" si="7"/>
        <v>#DIV/0!</v>
      </c>
      <c r="M45" s="2133" t="e">
        <f t="shared" si="7"/>
        <v>#DIV/0!</v>
      </c>
      <c r="N45" s="2133" t="e">
        <f t="shared" si="7"/>
        <v>#DIV/0!</v>
      </c>
      <c r="O45" s="2133" t="e">
        <f t="shared" si="7"/>
        <v>#DIV/0!</v>
      </c>
      <c r="P45" s="2133" t="e">
        <f t="shared" si="7"/>
        <v>#DIV/0!</v>
      </c>
      <c r="Q45" s="2133" t="e">
        <f t="shared" si="7"/>
        <v>#DIV/0!</v>
      </c>
      <c r="R45" s="2133" t="e">
        <f t="shared" si="7"/>
        <v>#DIV/0!</v>
      </c>
      <c r="S45" s="2133" t="e">
        <f t="shared" si="7"/>
        <v>#DIV/0!</v>
      </c>
    </row>
    <row r="46" spans="1:19" x14ac:dyDescent="0.25">
      <c r="A46" s="691">
        <v>9</v>
      </c>
      <c r="B46" s="2132" t="s">
        <v>3133</v>
      </c>
      <c r="C46" s="2134"/>
      <c r="D46" s="2134"/>
      <c r="E46" s="2134"/>
      <c r="F46" s="2134"/>
      <c r="G46" s="2134"/>
      <c r="H46" s="2134"/>
      <c r="I46" s="2134"/>
      <c r="J46" s="2134"/>
      <c r="K46" s="2134"/>
      <c r="L46" s="2134"/>
      <c r="M46" s="2134"/>
      <c r="N46" s="2134"/>
      <c r="O46" s="2134"/>
      <c r="P46" s="2134"/>
      <c r="Q46" s="2134"/>
      <c r="R46" s="2134"/>
      <c r="S46" s="2134"/>
    </row>
    <row r="47" spans="1:19" x14ac:dyDescent="0.25">
      <c r="A47" s="691">
        <v>10</v>
      </c>
      <c r="B47" s="2132" t="s">
        <v>3134</v>
      </c>
      <c r="C47" s="2134"/>
      <c r="D47" s="2134"/>
      <c r="E47" s="2134"/>
      <c r="F47" s="2134"/>
      <c r="G47" s="2134"/>
      <c r="H47" s="2134"/>
      <c r="I47" s="2134"/>
      <c r="J47" s="2134"/>
      <c r="K47" s="2134"/>
      <c r="L47" s="2134"/>
      <c r="M47" s="2134"/>
      <c r="N47" s="2134"/>
      <c r="O47" s="2134"/>
      <c r="P47" s="2134"/>
      <c r="Q47" s="2134"/>
      <c r="R47" s="2134"/>
      <c r="S47" s="2134"/>
    </row>
    <row r="48" spans="1:19" x14ac:dyDescent="0.25">
      <c r="A48" s="691">
        <v>11</v>
      </c>
      <c r="B48" s="2132" t="s">
        <v>3135</v>
      </c>
      <c r="C48" s="2134"/>
      <c r="D48" s="2134"/>
      <c r="E48" s="2134"/>
      <c r="F48" s="2134"/>
      <c r="G48" s="2134"/>
      <c r="H48" s="2134"/>
      <c r="I48" s="2134"/>
      <c r="J48" s="2134"/>
      <c r="K48" s="2134"/>
      <c r="L48" s="2134"/>
      <c r="M48" s="2134"/>
      <c r="N48" s="2134"/>
      <c r="O48" s="2134"/>
      <c r="P48" s="2134"/>
      <c r="Q48" s="2134"/>
      <c r="R48" s="2134"/>
      <c r="S48" s="2134"/>
    </row>
    <row r="49" spans="1:19" x14ac:dyDescent="0.25">
      <c r="A49" s="691">
        <v>12</v>
      </c>
      <c r="B49" s="2132" t="s">
        <v>3136</v>
      </c>
      <c r="C49" s="2134"/>
      <c r="D49" s="2134"/>
      <c r="E49" s="2134"/>
      <c r="F49" s="2134"/>
      <c r="G49" s="2134"/>
      <c r="H49" s="2134"/>
      <c r="I49" s="2134"/>
      <c r="J49" s="2134"/>
      <c r="K49" s="2134"/>
      <c r="L49" s="2134"/>
      <c r="M49" s="2134"/>
      <c r="N49" s="2134"/>
      <c r="O49" s="2134"/>
      <c r="P49" s="2134"/>
      <c r="Q49" s="2134"/>
      <c r="R49" s="2134"/>
      <c r="S49" s="2134"/>
    </row>
    <row r="50" spans="1:19" x14ac:dyDescent="0.25">
      <c r="A50" s="691">
        <v>13</v>
      </c>
      <c r="B50" s="2121" t="s">
        <v>216</v>
      </c>
      <c r="C50" s="2133" t="e">
        <f t="shared" ref="C50:S57" si="8">IF(C18&gt;=9,ROUNDDOWN(C18,0),IF(AND(C18&gt;=8,C18&lt;=8.8),ROUNDDOWN(C18,0),IF(AND(C18&gt;8.8,C18&lt;9),ROUNDUP(C18,0),IF(AND(C18&gt;=7,C18&lt;=7.7),ROUNDDOWN(C18,0),IF(AND(C18&gt;7.7,C18&lt;8),ROUNDUP(C18,0),IF(AND(C18&gt;=6,C18&lt;=6.6),ROUNDDOWN(C18,0),IF(AND(C18&gt;6.6,C18&lt;7),ROUNDUP(C18,0),IF(AND(C18&gt;=5,C18&lt;=5.5),ROUNDDOWN(C18,0),IF(AND(C18&gt;5.5,C18&lt;6),ROUNDUP(C18,0),IF(AND(C18&gt;=4,C18&lt;=4.4),ROUNDDOWN(C18,0),IF(AND(C18&gt;4.4,C18&lt;5),ROUNDUP(C18,0),IF(AND(C18&gt;=3,C18&lt;=3.3),ROUNDDOWN(C18,0),IF(AND(C18&gt;3.3,C18&lt;4),ROUNDUP(C18,0),IF(AND(C18&gt;=2,C18&lt;=2.2),ROUNDDOWN(C18,0),IF(AND(C18&gt;2.2,C18&lt;3),ROUNDUP(C18,0),IF(AND(C18&gt;=0,C18&lt;=1.1),1,ROUNDUP(C18,0)))))))))))))))))</f>
        <v>#REF!</v>
      </c>
      <c r="D50" s="2133" t="e">
        <f t="shared" si="8"/>
        <v>#REF!</v>
      </c>
      <c r="E50" s="2133" t="e">
        <f t="shared" si="8"/>
        <v>#REF!</v>
      </c>
      <c r="F50" s="2133" t="e">
        <f t="shared" si="8"/>
        <v>#REF!</v>
      </c>
      <c r="G50" s="2133" t="e">
        <f t="shared" si="8"/>
        <v>#REF!</v>
      </c>
      <c r="H50" s="2133" t="e">
        <f t="shared" si="8"/>
        <v>#REF!</v>
      </c>
      <c r="I50" s="2133" t="e">
        <f t="shared" si="8"/>
        <v>#REF!</v>
      </c>
      <c r="J50" s="2133" t="e">
        <f t="shared" si="8"/>
        <v>#REF!</v>
      </c>
      <c r="K50" s="2133" t="e">
        <f t="shared" si="8"/>
        <v>#REF!</v>
      </c>
      <c r="L50" s="2133" t="e">
        <f t="shared" si="8"/>
        <v>#REF!</v>
      </c>
      <c r="M50" s="2133" t="e">
        <f t="shared" si="8"/>
        <v>#REF!</v>
      </c>
      <c r="N50" s="2133" t="e">
        <f t="shared" si="8"/>
        <v>#REF!</v>
      </c>
      <c r="O50" s="2133" t="e">
        <f t="shared" si="8"/>
        <v>#REF!</v>
      </c>
      <c r="P50" s="2133" t="e">
        <f t="shared" si="8"/>
        <v>#REF!</v>
      </c>
      <c r="Q50" s="2133" t="e">
        <f t="shared" si="8"/>
        <v>#REF!</v>
      </c>
      <c r="R50" s="2133" t="e">
        <f t="shared" si="8"/>
        <v>#REF!</v>
      </c>
      <c r="S50" s="2133" t="e">
        <f t="shared" si="8"/>
        <v>#REF!</v>
      </c>
    </row>
    <row r="51" spans="1:19" x14ac:dyDescent="0.25">
      <c r="A51" s="691">
        <v>14</v>
      </c>
      <c r="B51" s="2121" t="s">
        <v>217</v>
      </c>
      <c r="C51" s="2133" t="e">
        <f t="shared" si="8"/>
        <v>#DIV/0!</v>
      </c>
      <c r="D51" s="2133" t="e">
        <f t="shared" si="8"/>
        <v>#DIV/0!</v>
      </c>
      <c r="E51" s="2133" t="e">
        <f t="shared" si="8"/>
        <v>#DIV/0!</v>
      </c>
      <c r="F51" s="2133" t="e">
        <f t="shared" si="8"/>
        <v>#DIV/0!</v>
      </c>
      <c r="G51" s="2133" t="e">
        <f t="shared" si="8"/>
        <v>#DIV/0!</v>
      </c>
      <c r="H51" s="2133" t="e">
        <f t="shared" si="8"/>
        <v>#DIV/0!</v>
      </c>
      <c r="I51" s="2133" t="e">
        <f t="shared" si="8"/>
        <v>#DIV/0!</v>
      </c>
      <c r="J51" s="2133" t="e">
        <f t="shared" si="8"/>
        <v>#DIV/0!</v>
      </c>
      <c r="K51" s="2133" t="e">
        <f t="shared" si="8"/>
        <v>#DIV/0!</v>
      </c>
      <c r="L51" s="2133" t="e">
        <f t="shared" si="8"/>
        <v>#DIV/0!</v>
      </c>
      <c r="M51" s="2133" t="e">
        <f t="shared" si="8"/>
        <v>#DIV/0!</v>
      </c>
      <c r="N51" s="2133" t="e">
        <f t="shared" si="8"/>
        <v>#DIV/0!</v>
      </c>
      <c r="O51" s="2133" t="e">
        <f t="shared" si="8"/>
        <v>#DIV/0!</v>
      </c>
      <c r="P51" s="2133" t="e">
        <f t="shared" si="8"/>
        <v>#DIV/0!</v>
      </c>
      <c r="Q51" s="2133" t="e">
        <f t="shared" si="8"/>
        <v>#DIV/0!</v>
      </c>
      <c r="R51" s="2133" t="e">
        <f t="shared" si="8"/>
        <v>#DIV/0!</v>
      </c>
      <c r="S51" s="2133" t="e">
        <f t="shared" si="8"/>
        <v>#DIV/0!</v>
      </c>
    </row>
    <row r="52" spans="1:19" x14ac:dyDescent="0.25">
      <c r="A52" s="691">
        <v>15</v>
      </c>
      <c r="B52" s="2121" t="s">
        <v>218</v>
      </c>
      <c r="C52" s="2133" t="e">
        <f t="shared" si="8"/>
        <v>#REF!</v>
      </c>
      <c r="D52" s="2133" t="e">
        <f t="shared" si="8"/>
        <v>#REF!</v>
      </c>
      <c r="E52" s="2133" t="e">
        <f t="shared" si="8"/>
        <v>#REF!</v>
      </c>
      <c r="F52" s="2133" t="e">
        <f t="shared" si="8"/>
        <v>#REF!</v>
      </c>
      <c r="G52" s="2133" t="e">
        <f t="shared" si="8"/>
        <v>#REF!</v>
      </c>
      <c r="H52" s="2133" t="e">
        <f t="shared" si="8"/>
        <v>#REF!</v>
      </c>
      <c r="I52" s="2133" t="e">
        <f t="shared" si="8"/>
        <v>#REF!</v>
      </c>
      <c r="J52" s="2133" t="e">
        <f t="shared" si="8"/>
        <v>#REF!</v>
      </c>
      <c r="K52" s="2133" t="e">
        <f t="shared" si="8"/>
        <v>#REF!</v>
      </c>
      <c r="L52" s="2133" t="e">
        <f t="shared" si="8"/>
        <v>#REF!</v>
      </c>
      <c r="M52" s="2133" t="e">
        <f t="shared" si="8"/>
        <v>#REF!</v>
      </c>
      <c r="N52" s="2133" t="e">
        <f t="shared" si="8"/>
        <v>#REF!</v>
      </c>
      <c r="O52" s="2133" t="e">
        <f t="shared" si="8"/>
        <v>#REF!</v>
      </c>
      <c r="P52" s="2133" t="e">
        <f t="shared" si="8"/>
        <v>#REF!</v>
      </c>
      <c r="Q52" s="2133" t="e">
        <f t="shared" si="8"/>
        <v>#REF!</v>
      </c>
      <c r="R52" s="2133" t="e">
        <f t="shared" si="8"/>
        <v>#REF!</v>
      </c>
      <c r="S52" s="2133" t="e">
        <f t="shared" si="8"/>
        <v>#REF!</v>
      </c>
    </row>
    <row r="53" spans="1:19" x14ac:dyDescent="0.25">
      <c r="A53" s="691">
        <v>16</v>
      </c>
      <c r="B53" s="2121" t="s">
        <v>353</v>
      </c>
      <c r="C53" s="2133" t="e">
        <f t="shared" si="8"/>
        <v>#REF!</v>
      </c>
      <c r="D53" s="2133" t="e">
        <f t="shared" si="8"/>
        <v>#REF!</v>
      </c>
      <c r="E53" s="2133" t="e">
        <f t="shared" si="8"/>
        <v>#REF!</v>
      </c>
      <c r="F53" s="2133" t="e">
        <f t="shared" si="8"/>
        <v>#REF!</v>
      </c>
      <c r="G53" s="2133" t="e">
        <f t="shared" si="8"/>
        <v>#REF!</v>
      </c>
      <c r="H53" s="2133" t="e">
        <f t="shared" si="8"/>
        <v>#REF!</v>
      </c>
      <c r="I53" s="2133" t="e">
        <f t="shared" si="8"/>
        <v>#REF!</v>
      </c>
      <c r="J53" s="2133" t="e">
        <f t="shared" si="8"/>
        <v>#REF!</v>
      </c>
      <c r="K53" s="2133" t="e">
        <f t="shared" si="8"/>
        <v>#REF!</v>
      </c>
      <c r="L53" s="2133" t="e">
        <f t="shared" si="8"/>
        <v>#REF!</v>
      </c>
      <c r="M53" s="2133" t="e">
        <f t="shared" si="8"/>
        <v>#REF!</v>
      </c>
      <c r="N53" s="2133" t="e">
        <f t="shared" si="8"/>
        <v>#REF!</v>
      </c>
      <c r="O53" s="2133" t="e">
        <f t="shared" si="8"/>
        <v>#REF!</v>
      </c>
      <c r="P53" s="2133" t="e">
        <f t="shared" si="8"/>
        <v>#REF!</v>
      </c>
      <c r="Q53" s="2133" t="e">
        <f t="shared" si="8"/>
        <v>#REF!</v>
      </c>
      <c r="R53" s="2133" t="e">
        <f t="shared" si="8"/>
        <v>#REF!</v>
      </c>
      <c r="S53" s="2133" t="e">
        <f t="shared" si="8"/>
        <v>#REF!</v>
      </c>
    </row>
    <row r="54" spans="1:19" x14ac:dyDescent="0.25">
      <c r="A54" s="691">
        <v>17</v>
      </c>
      <c r="B54" s="2121" t="s">
        <v>220</v>
      </c>
      <c r="C54" s="2133" t="e">
        <f t="shared" si="8"/>
        <v>#REF!</v>
      </c>
      <c r="D54" s="2133" t="e">
        <f t="shared" si="8"/>
        <v>#REF!</v>
      </c>
      <c r="E54" s="2133" t="e">
        <f t="shared" si="8"/>
        <v>#REF!</v>
      </c>
      <c r="F54" s="2133" t="e">
        <f t="shared" si="8"/>
        <v>#REF!</v>
      </c>
      <c r="G54" s="2133" t="e">
        <f t="shared" si="8"/>
        <v>#REF!</v>
      </c>
      <c r="H54" s="2133" t="e">
        <f t="shared" si="8"/>
        <v>#REF!</v>
      </c>
      <c r="I54" s="2133" t="e">
        <f t="shared" si="8"/>
        <v>#REF!</v>
      </c>
      <c r="J54" s="2133" t="e">
        <f t="shared" si="8"/>
        <v>#REF!</v>
      </c>
      <c r="K54" s="2133" t="e">
        <f t="shared" si="8"/>
        <v>#REF!</v>
      </c>
      <c r="L54" s="2133" t="e">
        <f t="shared" si="8"/>
        <v>#REF!</v>
      </c>
      <c r="M54" s="2133" t="e">
        <f t="shared" si="8"/>
        <v>#REF!</v>
      </c>
      <c r="N54" s="2133" t="e">
        <f t="shared" si="8"/>
        <v>#REF!</v>
      </c>
      <c r="O54" s="2133" t="e">
        <f t="shared" si="8"/>
        <v>#REF!</v>
      </c>
      <c r="P54" s="2133" t="e">
        <f t="shared" si="8"/>
        <v>#REF!</v>
      </c>
      <c r="Q54" s="2133" t="e">
        <f t="shared" si="8"/>
        <v>#REF!</v>
      </c>
      <c r="R54" s="2133" t="e">
        <f t="shared" si="8"/>
        <v>#REF!</v>
      </c>
      <c r="S54" s="2133" t="e">
        <f t="shared" si="8"/>
        <v>#REF!</v>
      </c>
    </row>
    <row r="55" spans="1:19" x14ac:dyDescent="0.25">
      <c r="A55" s="691">
        <v>18</v>
      </c>
      <c r="B55" s="2121" t="s">
        <v>221</v>
      </c>
      <c r="C55" s="2133" t="e">
        <f t="shared" si="8"/>
        <v>#DIV/0!</v>
      </c>
      <c r="D55" s="2133" t="e">
        <f t="shared" si="8"/>
        <v>#DIV/0!</v>
      </c>
      <c r="E55" s="2133" t="e">
        <f t="shared" si="8"/>
        <v>#DIV/0!</v>
      </c>
      <c r="F55" s="2133" t="e">
        <f t="shared" si="8"/>
        <v>#DIV/0!</v>
      </c>
      <c r="G55" s="2133" t="e">
        <f t="shared" si="8"/>
        <v>#DIV/0!</v>
      </c>
      <c r="H55" s="2133" t="e">
        <f t="shared" si="8"/>
        <v>#DIV/0!</v>
      </c>
      <c r="I55" s="2133" t="e">
        <f t="shared" si="8"/>
        <v>#DIV/0!</v>
      </c>
      <c r="J55" s="2133" t="e">
        <f t="shared" si="8"/>
        <v>#DIV/0!</v>
      </c>
      <c r="K55" s="2133" t="e">
        <f t="shared" si="8"/>
        <v>#DIV/0!</v>
      </c>
      <c r="L55" s="2133" t="e">
        <f t="shared" si="8"/>
        <v>#DIV/0!</v>
      </c>
      <c r="M55" s="2133" t="e">
        <f t="shared" si="8"/>
        <v>#DIV/0!</v>
      </c>
      <c r="N55" s="2133" t="e">
        <f t="shared" si="8"/>
        <v>#DIV/0!</v>
      </c>
      <c r="O55" s="2133" t="e">
        <f t="shared" si="8"/>
        <v>#DIV/0!</v>
      </c>
      <c r="P55" s="2133" t="e">
        <f t="shared" si="8"/>
        <v>#DIV/0!</v>
      </c>
      <c r="Q55" s="2133" t="e">
        <f t="shared" si="8"/>
        <v>#DIV/0!</v>
      </c>
      <c r="R55" s="2133" t="e">
        <f t="shared" si="8"/>
        <v>#DIV/0!</v>
      </c>
      <c r="S55" s="2133" t="e">
        <f t="shared" si="8"/>
        <v>#DIV/0!</v>
      </c>
    </row>
    <row r="56" spans="1:19" x14ac:dyDescent="0.25">
      <c r="A56" s="691">
        <v>19</v>
      </c>
      <c r="B56" s="2121" t="s">
        <v>222</v>
      </c>
      <c r="C56" s="2133" t="e">
        <f t="shared" si="8"/>
        <v>#DIV/0!</v>
      </c>
      <c r="D56" s="2133" t="e">
        <f t="shared" si="8"/>
        <v>#DIV/0!</v>
      </c>
      <c r="E56" s="2133" t="e">
        <f t="shared" si="8"/>
        <v>#DIV/0!</v>
      </c>
      <c r="F56" s="2133" t="e">
        <f t="shared" si="8"/>
        <v>#DIV/0!</v>
      </c>
      <c r="G56" s="2133" t="e">
        <f t="shared" si="8"/>
        <v>#DIV/0!</v>
      </c>
      <c r="H56" s="2133" t="e">
        <f t="shared" si="8"/>
        <v>#DIV/0!</v>
      </c>
      <c r="I56" s="2133" t="e">
        <f t="shared" si="8"/>
        <v>#DIV/0!</v>
      </c>
      <c r="J56" s="2133" t="e">
        <f t="shared" si="8"/>
        <v>#DIV/0!</v>
      </c>
      <c r="K56" s="2133" t="e">
        <f t="shared" si="8"/>
        <v>#DIV/0!</v>
      </c>
      <c r="L56" s="2133" t="e">
        <f t="shared" si="8"/>
        <v>#DIV/0!</v>
      </c>
      <c r="M56" s="2133" t="e">
        <f t="shared" si="8"/>
        <v>#DIV/0!</v>
      </c>
      <c r="N56" s="2133" t="e">
        <f t="shared" si="8"/>
        <v>#DIV/0!</v>
      </c>
      <c r="O56" s="2133" t="e">
        <f t="shared" si="8"/>
        <v>#DIV/0!</v>
      </c>
      <c r="P56" s="2133" t="e">
        <f t="shared" si="8"/>
        <v>#DIV/0!</v>
      </c>
      <c r="Q56" s="2133" t="e">
        <f t="shared" si="8"/>
        <v>#DIV/0!</v>
      </c>
      <c r="R56" s="2133" t="e">
        <f t="shared" si="8"/>
        <v>#DIV/0!</v>
      </c>
      <c r="S56" s="2133" t="e">
        <f t="shared" si="8"/>
        <v>#DIV/0!</v>
      </c>
    </row>
    <row r="57" spans="1:19" x14ac:dyDescent="0.25">
      <c r="A57" s="691">
        <v>20</v>
      </c>
      <c r="B57" s="2121" t="s">
        <v>3137</v>
      </c>
      <c r="C57" s="2133" t="e">
        <f t="shared" si="8"/>
        <v>#DIV/0!</v>
      </c>
      <c r="D57" s="2133" t="e">
        <f t="shared" si="8"/>
        <v>#DIV/0!</v>
      </c>
      <c r="E57" s="2133" t="e">
        <f t="shared" si="8"/>
        <v>#DIV/0!</v>
      </c>
      <c r="F57" s="2133" t="e">
        <f t="shared" si="8"/>
        <v>#DIV/0!</v>
      </c>
      <c r="G57" s="2133" t="e">
        <f t="shared" si="8"/>
        <v>#DIV/0!</v>
      </c>
      <c r="H57" s="2133" t="e">
        <f t="shared" si="8"/>
        <v>#DIV/0!</v>
      </c>
      <c r="I57" s="2133" t="e">
        <f t="shared" si="8"/>
        <v>#DIV/0!</v>
      </c>
      <c r="J57" s="2133" t="e">
        <f t="shared" si="8"/>
        <v>#DIV/0!</v>
      </c>
      <c r="K57" s="2133" t="e">
        <f t="shared" si="8"/>
        <v>#DIV/0!</v>
      </c>
      <c r="L57" s="2133" t="e">
        <f t="shared" si="8"/>
        <v>#DIV/0!</v>
      </c>
      <c r="M57" s="2133" t="e">
        <f t="shared" si="8"/>
        <v>#DIV/0!</v>
      </c>
      <c r="N57" s="2133" t="e">
        <f t="shared" si="8"/>
        <v>#DIV/0!</v>
      </c>
      <c r="O57" s="2133" t="e">
        <f t="shared" si="8"/>
        <v>#DIV/0!</v>
      </c>
      <c r="P57" s="2133" t="e">
        <f t="shared" si="8"/>
        <v>#DIV/0!</v>
      </c>
      <c r="Q57" s="2133" t="e">
        <f t="shared" si="8"/>
        <v>#DIV/0!</v>
      </c>
      <c r="R57" s="2133" t="e">
        <f t="shared" si="8"/>
        <v>#DIV/0!</v>
      </c>
      <c r="S57" s="2133" t="e">
        <f t="shared" si="8"/>
        <v>#DIV/0!</v>
      </c>
    </row>
    <row r="58" spans="1:19" ht="12.75" customHeight="1" x14ac:dyDescent="0.25">
      <c r="A58" s="691">
        <v>21</v>
      </c>
      <c r="B58" s="2132" t="s">
        <v>3138</v>
      </c>
      <c r="C58" s="2134"/>
      <c r="D58" s="2134"/>
      <c r="E58" s="2134"/>
      <c r="F58" s="2134"/>
      <c r="G58" s="2134"/>
      <c r="H58" s="2134"/>
      <c r="I58" s="2134"/>
      <c r="J58" s="2134"/>
      <c r="K58" s="2134"/>
      <c r="L58" s="2134"/>
      <c r="M58" s="2134"/>
      <c r="N58" s="2134"/>
      <c r="O58" s="2134"/>
      <c r="P58" s="2134"/>
      <c r="Q58" s="2134"/>
      <c r="R58" s="2134"/>
      <c r="S58" s="2134"/>
    </row>
    <row r="59" spans="1:19" ht="15" customHeight="1" x14ac:dyDescent="0.25">
      <c r="A59" s="691">
        <v>22</v>
      </c>
      <c r="B59" s="2121" t="s">
        <v>3139</v>
      </c>
      <c r="C59" s="2133" t="e">
        <f t="shared" ref="C59:S61" si="9">IF(C27&gt;=9,ROUNDDOWN(C27,0),IF(AND(C27&gt;=8,C27&lt;=8.8),ROUNDDOWN(C27,0),IF(AND(C27&gt;8.8,C27&lt;9),ROUNDUP(C27,0),IF(AND(C27&gt;=7,C27&lt;=7.7),ROUNDDOWN(C27,0),IF(AND(C27&gt;7.7,C27&lt;8),ROUNDUP(C27,0),IF(AND(C27&gt;=6,C27&lt;=6.6),ROUNDDOWN(C27,0),IF(AND(C27&gt;6.6,C27&lt;7),ROUNDUP(C27,0),IF(AND(C27&gt;=5,C27&lt;=5.5),ROUNDDOWN(C27,0),IF(AND(C27&gt;5.5,C27&lt;6),ROUNDUP(C27,0),IF(AND(C27&gt;=4,C27&lt;=4.4),ROUNDDOWN(C27,0),IF(AND(C27&gt;4.4,C27&lt;5),ROUNDUP(C27,0),IF(AND(C27&gt;=3,C27&lt;=3.3),ROUNDDOWN(C27,0),IF(AND(C27&gt;3.3,C27&lt;4),ROUNDUP(C27,0),IF(AND(C27&gt;=2,C27&lt;=2.2),ROUNDDOWN(C27,0),IF(AND(C27&gt;2.2,C27&lt;3),ROUNDUP(C27,0),IF(AND(C27&gt;=0,C27&lt;=1.1),1,ROUNDUP(C27,0)))))))))))))))))</f>
        <v>#DIV/0!</v>
      </c>
      <c r="D59" s="2133" t="e">
        <f t="shared" si="9"/>
        <v>#DIV/0!</v>
      </c>
      <c r="E59" s="2133" t="e">
        <f t="shared" si="9"/>
        <v>#DIV/0!</v>
      </c>
      <c r="F59" s="2133" t="e">
        <f t="shared" si="9"/>
        <v>#DIV/0!</v>
      </c>
      <c r="G59" s="2133" t="e">
        <f t="shared" si="9"/>
        <v>#DIV/0!</v>
      </c>
      <c r="H59" s="2133" t="e">
        <f t="shared" si="9"/>
        <v>#DIV/0!</v>
      </c>
      <c r="I59" s="2133" t="e">
        <f t="shared" si="9"/>
        <v>#DIV/0!</v>
      </c>
      <c r="J59" s="2133" t="e">
        <f t="shared" si="9"/>
        <v>#DIV/0!</v>
      </c>
      <c r="K59" s="2133" t="e">
        <f t="shared" si="9"/>
        <v>#DIV/0!</v>
      </c>
      <c r="L59" s="2133" t="e">
        <f t="shared" si="9"/>
        <v>#DIV/0!</v>
      </c>
      <c r="M59" s="2133" t="e">
        <f t="shared" si="9"/>
        <v>#DIV/0!</v>
      </c>
      <c r="N59" s="2133" t="e">
        <f t="shared" si="9"/>
        <v>#DIV/0!</v>
      </c>
      <c r="O59" s="2133" t="e">
        <f t="shared" si="9"/>
        <v>#DIV/0!</v>
      </c>
      <c r="P59" s="2133" t="e">
        <f t="shared" si="9"/>
        <v>#DIV/0!</v>
      </c>
      <c r="Q59" s="2133" t="e">
        <f t="shared" si="9"/>
        <v>#DIV/0!</v>
      </c>
      <c r="R59" s="2133" t="e">
        <f t="shared" si="9"/>
        <v>#DIV/0!</v>
      </c>
      <c r="S59" s="2133" t="e">
        <f t="shared" si="9"/>
        <v>#DIV/0!</v>
      </c>
    </row>
    <row r="60" spans="1:19" x14ac:dyDescent="0.25">
      <c r="A60" s="691">
        <v>23</v>
      </c>
      <c r="B60" s="2121" t="s">
        <v>226</v>
      </c>
      <c r="C60" s="2133" t="e">
        <f t="shared" si="9"/>
        <v>#DIV/0!</v>
      </c>
      <c r="D60" s="2133" t="e">
        <f t="shared" si="9"/>
        <v>#DIV/0!</v>
      </c>
      <c r="E60" s="2133" t="e">
        <f t="shared" si="9"/>
        <v>#DIV/0!</v>
      </c>
      <c r="F60" s="2133" t="e">
        <f t="shared" si="9"/>
        <v>#DIV/0!</v>
      </c>
      <c r="G60" s="2133" t="e">
        <f t="shared" si="9"/>
        <v>#DIV/0!</v>
      </c>
      <c r="H60" s="2133" t="e">
        <f t="shared" si="9"/>
        <v>#DIV/0!</v>
      </c>
      <c r="I60" s="2133" t="e">
        <f t="shared" si="9"/>
        <v>#DIV/0!</v>
      </c>
      <c r="J60" s="2133" t="e">
        <f t="shared" si="9"/>
        <v>#DIV/0!</v>
      </c>
      <c r="K60" s="2133" t="e">
        <f t="shared" si="9"/>
        <v>#DIV/0!</v>
      </c>
      <c r="L60" s="2133" t="e">
        <f t="shared" si="9"/>
        <v>#DIV/0!</v>
      </c>
      <c r="M60" s="2133" t="e">
        <f t="shared" si="9"/>
        <v>#DIV/0!</v>
      </c>
      <c r="N60" s="2133" t="e">
        <f t="shared" si="9"/>
        <v>#DIV/0!</v>
      </c>
      <c r="O60" s="2133" t="e">
        <f t="shared" si="9"/>
        <v>#DIV/0!</v>
      </c>
      <c r="P60" s="2133" t="e">
        <f t="shared" si="9"/>
        <v>#DIV/0!</v>
      </c>
      <c r="Q60" s="2133" t="e">
        <f t="shared" si="9"/>
        <v>#DIV/0!</v>
      </c>
      <c r="R60" s="2133" t="e">
        <f t="shared" si="9"/>
        <v>#DIV/0!</v>
      </c>
      <c r="S60" s="2133" t="e">
        <f t="shared" si="9"/>
        <v>#DIV/0!</v>
      </c>
    </row>
    <row r="61" spans="1:19" x14ac:dyDescent="0.25">
      <c r="A61" s="691">
        <v>24</v>
      </c>
      <c r="B61" s="2121" t="s">
        <v>227</v>
      </c>
      <c r="C61" s="2133" t="e">
        <f t="shared" si="9"/>
        <v>#DIV/0!</v>
      </c>
      <c r="D61" s="2133" t="e">
        <f t="shared" si="9"/>
        <v>#DIV/0!</v>
      </c>
      <c r="E61" s="2133" t="e">
        <f t="shared" si="9"/>
        <v>#DIV/0!</v>
      </c>
      <c r="F61" s="2133" t="e">
        <f t="shared" si="9"/>
        <v>#DIV/0!</v>
      </c>
      <c r="G61" s="2133" t="e">
        <f t="shared" si="9"/>
        <v>#DIV/0!</v>
      </c>
      <c r="H61" s="2133" t="e">
        <f t="shared" si="9"/>
        <v>#DIV/0!</v>
      </c>
      <c r="I61" s="2133" t="e">
        <f t="shared" si="9"/>
        <v>#DIV/0!</v>
      </c>
      <c r="J61" s="2133" t="e">
        <f t="shared" si="9"/>
        <v>#DIV/0!</v>
      </c>
      <c r="K61" s="2133" t="e">
        <f t="shared" si="9"/>
        <v>#DIV/0!</v>
      </c>
      <c r="L61" s="2133" t="e">
        <f t="shared" si="9"/>
        <v>#DIV/0!</v>
      </c>
      <c r="M61" s="2133" t="e">
        <f t="shared" si="9"/>
        <v>#DIV/0!</v>
      </c>
      <c r="N61" s="2133" t="e">
        <f t="shared" si="9"/>
        <v>#DIV/0!</v>
      </c>
      <c r="O61" s="2133" t="e">
        <f t="shared" si="9"/>
        <v>#DIV/0!</v>
      </c>
      <c r="P61" s="2133" t="e">
        <f t="shared" si="9"/>
        <v>#DIV/0!</v>
      </c>
      <c r="Q61" s="2133" t="e">
        <f t="shared" si="9"/>
        <v>#DIV/0!</v>
      </c>
      <c r="R61" s="2133" t="e">
        <f t="shared" si="9"/>
        <v>#DIV/0!</v>
      </c>
      <c r="S61" s="2133" t="e">
        <f t="shared" si="9"/>
        <v>#DIV/0!</v>
      </c>
    </row>
    <row r="62" spans="1:19" x14ac:dyDescent="0.25">
      <c r="A62" s="691">
        <v>25</v>
      </c>
      <c r="B62" s="2132" t="s">
        <v>228</v>
      </c>
      <c r="C62" s="2134"/>
      <c r="D62" s="2134"/>
      <c r="E62" s="2134"/>
      <c r="F62" s="2134"/>
      <c r="G62" s="2134"/>
      <c r="H62" s="2134"/>
      <c r="I62" s="2134"/>
      <c r="J62" s="2134"/>
      <c r="K62" s="2134"/>
      <c r="L62" s="2134"/>
      <c r="M62" s="2134"/>
      <c r="N62" s="2134"/>
      <c r="O62" s="2134"/>
      <c r="P62" s="2134"/>
      <c r="Q62" s="2134"/>
      <c r="R62" s="2134"/>
      <c r="S62" s="2134"/>
    </row>
    <row r="63" spans="1:19" x14ac:dyDescent="0.25">
      <c r="A63" s="691">
        <v>26</v>
      </c>
      <c r="B63" s="2121" t="s">
        <v>229</v>
      </c>
      <c r="C63" s="2133" t="e">
        <f t="shared" ref="C63:S64" si="10">IF(C31&gt;=9,ROUNDDOWN(C31,0),IF(AND(C31&gt;=8,C31&lt;=8.8),ROUNDDOWN(C31,0),IF(AND(C31&gt;8.8,C31&lt;9),ROUNDUP(C31,0),IF(AND(C31&gt;=7,C31&lt;=7.7),ROUNDDOWN(C31,0),IF(AND(C31&gt;7.7,C31&lt;8),ROUNDUP(C31,0),IF(AND(C31&gt;=6,C31&lt;=6.6),ROUNDDOWN(C31,0),IF(AND(C31&gt;6.6,C31&lt;7),ROUNDUP(C31,0),IF(AND(C31&gt;=5,C31&lt;=5.5),ROUNDDOWN(C31,0),IF(AND(C31&gt;5.5,C31&lt;6),ROUNDUP(C31,0),IF(AND(C31&gt;=4,C31&lt;=4.4),ROUNDDOWN(C31,0),IF(AND(C31&gt;4.4,C31&lt;5),ROUNDUP(C31,0),IF(AND(C31&gt;=3,C31&lt;=3.3),ROUNDDOWN(C31,0),IF(AND(C31&gt;3.3,C31&lt;4),ROUNDUP(C31,0),IF(AND(C31&gt;=2,C31&lt;=2.2),ROUNDDOWN(C31,0),IF(AND(C31&gt;2.2,C31&lt;3),ROUNDUP(C31,0),IF(AND(C31&gt;=0,C31&lt;=1.1),1,ROUNDUP(C31,0)))))))))))))))))</f>
        <v>#DIV/0!</v>
      </c>
      <c r="D63" s="2133" t="e">
        <f t="shared" si="10"/>
        <v>#DIV/0!</v>
      </c>
      <c r="E63" s="2133" t="e">
        <f t="shared" si="10"/>
        <v>#DIV/0!</v>
      </c>
      <c r="F63" s="2133" t="e">
        <f t="shared" si="10"/>
        <v>#DIV/0!</v>
      </c>
      <c r="G63" s="2133" t="e">
        <f t="shared" si="10"/>
        <v>#DIV/0!</v>
      </c>
      <c r="H63" s="2133" t="e">
        <f t="shared" si="10"/>
        <v>#DIV/0!</v>
      </c>
      <c r="I63" s="2133" t="e">
        <f t="shared" si="10"/>
        <v>#DIV/0!</v>
      </c>
      <c r="J63" s="2133" t="e">
        <f t="shared" si="10"/>
        <v>#DIV/0!</v>
      </c>
      <c r="K63" s="2133" t="e">
        <f t="shared" si="10"/>
        <v>#DIV/0!</v>
      </c>
      <c r="L63" s="2133" t="e">
        <f t="shared" si="10"/>
        <v>#DIV/0!</v>
      </c>
      <c r="M63" s="2133" t="e">
        <f t="shared" si="10"/>
        <v>#DIV/0!</v>
      </c>
      <c r="N63" s="2133" t="e">
        <f t="shared" si="10"/>
        <v>#DIV/0!</v>
      </c>
      <c r="O63" s="2133" t="e">
        <f t="shared" si="10"/>
        <v>#DIV/0!</v>
      </c>
      <c r="P63" s="2133" t="e">
        <f t="shared" si="10"/>
        <v>#DIV/0!</v>
      </c>
      <c r="Q63" s="2133" t="e">
        <f t="shared" si="10"/>
        <v>#DIV/0!</v>
      </c>
      <c r="R63" s="2133" t="e">
        <f t="shared" si="10"/>
        <v>#DIV/0!</v>
      </c>
      <c r="S63" s="2133" t="e">
        <f t="shared" si="10"/>
        <v>#DIV/0!</v>
      </c>
    </row>
    <row r="64" spans="1:19" x14ac:dyDescent="0.25">
      <c r="A64" s="691">
        <v>27</v>
      </c>
      <c r="B64" s="2121" t="s">
        <v>3140</v>
      </c>
      <c r="C64" s="2133" t="e">
        <f t="shared" si="10"/>
        <v>#DIV/0!</v>
      </c>
      <c r="D64" s="2133" t="e">
        <f t="shared" si="10"/>
        <v>#DIV/0!</v>
      </c>
      <c r="E64" s="2133" t="e">
        <f t="shared" si="10"/>
        <v>#DIV/0!</v>
      </c>
      <c r="F64" s="2133" t="e">
        <f t="shared" si="10"/>
        <v>#DIV/0!</v>
      </c>
      <c r="G64" s="2133" t="e">
        <f t="shared" si="10"/>
        <v>#DIV/0!</v>
      </c>
      <c r="H64" s="2133" t="e">
        <f t="shared" si="10"/>
        <v>#DIV/0!</v>
      </c>
      <c r="I64" s="2133" t="e">
        <f t="shared" si="10"/>
        <v>#DIV/0!</v>
      </c>
      <c r="J64" s="2133" t="e">
        <f t="shared" si="10"/>
        <v>#DIV/0!</v>
      </c>
      <c r="K64" s="2133" t="e">
        <f t="shared" si="10"/>
        <v>#DIV/0!</v>
      </c>
      <c r="L64" s="2133" t="e">
        <f t="shared" si="10"/>
        <v>#DIV/0!</v>
      </c>
      <c r="M64" s="2133" t="e">
        <f t="shared" si="10"/>
        <v>#DIV/0!</v>
      </c>
      <c r="N64" s="2133" t="e">
        <f t="shared" si="10"/>
        <v>#DIV/0!</v>
      </c>
      <c r="O64" s="2133" t="e">
        <f t="shared" si="10"/>
        <v>#DIV/0!</v>
      </c>
      <c r="P64" s="2133" t="e">
        <f t="shared" si="10"/>
        <v>#DIV/0!</v>
      </c>
      <c r="Q64" s="2133" t="e">
        <f t="shared" si="10"/>
        <v>#DIV/0!</v>
      </c>
      <c r="R64" s="2133" t="e">
        <f t="shared" si="10"/>
        <v>#DIV/0!</v>
      </c>
      <c r="S64" s="2133" t="e">
        <f t="shared" si="10"/>
        <v>#DIV/0!</v>
      </c>
    </row>
    <row r="65" spans="1:19" x14ac:dyDescent="0.25">
      <c r="A65" s="691">
        <v>28</v>
      </c>
      <c r="B65" s="2132" t="s">
        <v>231</v>
      </c>
      <c r="C65" s="2134"/>
      <c r="D65" s="2134"/>
      <c r="E65" s="2134"/>
      <c r="F65" s="2134"/>
      <c r="G65" s="2134"/>
      <c r="H65" s="2134"/>
      <c r="I65" s="2134"/>
      <c r="J65" s="2134"/>
      <c r="K65" s="2134"/>
      <c r="L65" s="2134"/>
      <c r="M65" s="2134"/>
      <c r="N65" s="2134"/>
      <c r="O65" s="2134"/>
      <c r="P65" s="2134"/>
      <c r="Q65" s="2134"/>
      <c r="R65" s="2134"/>
      <c r="S65" s="2134"/>
    </row>
    <row r="66" spans="1:19" x14ac:dyDescent="0.25">
      <c r="A66" s="2119">
        <v>0.8</v>
      </c>
      <c r="B66" s="2127" t="s">
        <v>3142</v>
      </c>
      <c r="C66" s="2128" t="e">
        <f>SUM(C38:C65)</f>
        <v>#DIV/0!</v>
      </c>
      <c r="D66" s="2128" t="e">
        <f t="shared" ref="D66:S66" si="11">SUM(D38:D65)</f>
        <v>#DIV/0!</v>
      </c>
      <c r="E66" s="2128" t="e">
        <f>SUM(E38:E65)</f>
        <v>#DIV/0!</v>
      </c>
      <c r="F66" s="2128" t="e">
        <f t="shared" si="11"/>
        <v>#DIV/0!</v>
      </c>
      <c r="G66" s="2128" t="e">
        <f t="shared" si="11"/>
        <v>#DIV/0!</v>
      </c>
      <c r="H66" s="2128" t="e">
        <f t="shared" si="11"/>
        <v>#DIV/0!</v>
      </c>
      <c r="I66" s="2128" t="e">
        <f t="shared" si="11"/>
        <v>#DIV/0!</v>
      </c>
      <c r="J66" s="2128" t="e">
        <f t="shared" si="11"/>
        <v>#DIV/0!</v>
      </c>
      <c r="K66" s="2128" t="e">
        <f t="shared" si="11"/>
        <v>#DIV/0!</v>
      </c>
      <c r="L66" s="2128" t="e">
        <f t="shared" si="11"/>
        <v>#DIV/0!</v>
      </c>
      <c r="M66" s="2128" t="e">
        <f t="shared" si="11"/>
        <v>#DIV/0!</v>
      </c>
      <c r="N66" s="2128" t="e">
        <f t="shared" si="11"/>
        <v>#DIV/0!</v>
      </c>
      <c r="O66" s="2128" t="e">
        <f t="shared" si="11"/>
        <v>#DIV/0!</v>
      </c>
      <c r="P66" s="2128" t="e">
        <f t="shared" si="11"/>
        <v>#DIV/0!</v>
      </c>
      <c r="Q66" s="2128" t="e">
        <f t="shared" si="11"/>
        <v>#DIV/0!</v>
      </c>
      <c r="R66" s="2128" t="e">
        <f t="shared" si="11"/>
        <v>#DIV/0!</v>
      </c>
      <c r="S66" s="2129" t="e">
        <f t="shared" si="11"/>
        <v>#DIV/0!</v>
      </c>
    </row>
    <row r="67" spans="1:19" x14ac:dyDescent="0.25">
      <c r="A67" s="2119">
        <v>0.2</v>
      </c>
      <c r="B67" s="4748" t="s">
        <v>3143</v>
      </c>
      <c r="C67" s="2219" t="e">
        <f>+($A$67*C66)/$A$66</f>
        <v>#DIV/0!</v>
      </c>
      <c r="D67" s="2219" t="e">
        <f>+($A$67*D66)/$A$66</f>
        <v>#DIV/0!</v>
      </c>
      <c r="E67" s="2219" t="e">
        <f>+($A$67*E66)/$A$66</f>
        <v>#DIV/0!</v>
      </c>
      <c r="F67" s="2219" t="e">
        <f>+($A$67*F66)/$A$66</f>
        <v>#DIV/0!</v>
      </c>
      <c r="G67" s="2219" t="e">
        <f t="shared" ref="G67:S67" si="12">+($A$67*G66)/$A$66</f>
        <v>#DIV/0!</v>
      </c>
      <c r="H67" s="2219" t="e">
        <f t="shared" si="12"/>
        <v>#DIV/0!</v>
      </c>
      <c r="I67" s="2219" t="e">
        <f t="shared" si="12"/>
        <v>#DIV/0!</v>
      </c>
      <c r="J67" s="2219" t="e">
        <f t="shared" si="12"/>
        <v>#DIV/0!</v>
      </c>
      <c r="K67" s="2219" t="e">
        <f t="shared" si="12"/>
        <v>#DIV/0!</v>
      </c>
      <c r="L67" s="2219" t="e">
        <f t="shared" si="12"/>
        <v>#DIV/0!</v>
      </c>
      <c r="M67" s="2219" t="e">
        <f t="shared" si="12"/>
        <v>#DIV/0!</v>
      </c>
      <c r="N67" s="2219" t="e">
        <f t="shared" si="12"/>
        <v>#DIV/0!</v>
      </c>
      <c r="O67" s="2219" t="e">
        <f t="shared" si="12"/>
        <v>#DIV/0!</v>
      </c>
      <c r="P67" s="2219" t="e">
        <f t="shared" si="12"/>
        <v>#DIV/0!</v>
      </c>
      <c r="Q67" s="2219" t="e">
        <f t="shared" si="12"/>
        <v>#DIV/0!</v>
      </c>
      <c r="R67" s="2219" t="e">
        <f t="shared" si="12"/>
        <v>#DIV/0!</v>
      </c>
      <c r="S67" s="2220" t="e">
        <f t="shared" si="12"/>
        <v>#DIV/0!</v>
      </c>
    </row>
    <row r="68" spans="1:19" x14ac:dyDescent="0.25">
      <c r="B68" s="4749"/>
      <c r="C68" s="2221" t="e">
        <f>+ROUNDUP(C67,0)</f>
        <v>#DIV/0!</v>
      </c>
      <c r="D68" s="2221" t="e">
        <f t="shared" ref="D68:S68" si="13">+ROUNDUP(D67,0)</f>
        <v>#DIV/0!</v>
      </c>
      <c r="E68" s="2221" t="e">
        <f t="shared" si="13"/>
        <v>#DIV/0!</v>
      </c>
      <c r="F68" s="2221" t="e">
        <f t="shared" si="13"/>
        <v>#DIV/0!</v>
      </c>
      <c r="G68" s="2221" t="e">
        <f t="shared" si="13"/>
        <v>#DIV/0!</v>
      </c>
      <c r="H68" s="2221" t="e">
        <f t="shared" si="13"/>
        <v>#DIV/0!</v>
      </c>
      <c r="I68" s="2221" t="e">
        <f t="shared" si="13"/>
        <v>#DIV/0!</v>
      </c>
      <c r="J68" s="2221" t="e">
        <f t="shared" si="13"/>
        <v>#DIV/0!</v>
      </c>
      <c r="K68" s="2221" t="e">
        <f t="shared" si="13"/>
        <v>#DIV/0!</v>
      </c>
      <c r="L68" s="2221" t="e">
        <f t="shared" si="13"/>
        <v>#DIV/0!</v>
      </c>
      <c r="M68" s="2221" t="e">
        <f t="shared" si="13"/>
        <v>#DIV/0!</v>
      </c>
      <c r="N68" s="2221" t="e">
        <f t="shared" si="13"/>
        <v>#DIV/0!</v>
      </c>
      <c r="O68" s="2221" t="e">
        <f t="shared" si="13"/>
        <v>#DIV/0!</v>
      </c>
      <c r="P68" s="2221" t="e">
        <f t="shared" si="13"/>
        <v>#DIV/0!</v>
      </c>
      <c r="Q68" s="2221" t="e">
        <f t="shared" si="13"/>
        <v>#DIV/0!</v>
      </c>
      <c r="R68" s="2221" t="e">
        <f t="shared" si="13"/>
        <v>#DIV/0!</v>
      </c>
      <c r="S68" s="2222" t="e">
        <f t="shared" si="13"/>
        <v>#DIV/0!</v>
      </c>
    </row>
    <row r="69" spans="1:19" x14ac:dyDescent="0.25">
      <c r="B69" s="2138" t="s">
        <v>3144</v>
      </c>
      <c r="C69" s="2123"/>
      <c r="D69" s="2123"/>
      <c r="E69" s="2123"/>
      <c r="F69" s="2123"/>
      <c r="G69" s="2123"/>
      <c r="H69" s="2123"/>
      <c r="I69" s="2123"/>
      <c r="J69" s="2123"/>
      <c r="K69" s="2123"/>
      <c r="L69" s="2123"/>
      <c r="M69" s="2123"/>
      <c r="N69" s="2123"/>
      <c r="O69" s="2123"/>
      <c r="P69" s="2123"/>
      <c r="Q69" s="2123"/>
      <c r="R69" s="2123"/>
      <c r="S69" s="2123"/>
    </row>
    <row r="70" spans="1:19" x14ac:dyDescent="0.25">
      <c r="B70" s="1278" t="s">
        <v>3145</v>
      </c>
      <c r="C70" s="589">
        <v>1</v>
      </c>
      <c r="D70" s="589">
        <v>1</v>
      </c>
      <c r="E70" s="589">
        <v>1</v>
      </c>
      <c r="F70" s="589">
        <v>1</v>
      </c>
      <c r="G70" s="589">
        <v>1</v>
      </c>
      <c r="H70" s="589">
        <v>1</v>
      </c>
      <c r="I70" s="589">
        <v>1</v>
      </c>
      <c r="J70" s="589">
        <v>1</v>
      </c>
      <c r="K70" s="589">
        <v>1</v>
      </c>
      <c r="L70" s="589">
        <v>1</v>
      </c>
      <c r="M70" s="589">
        <v>1</v>
      </c>
      <c r="N70" s="589">
        <v>1</v>
      </c>
      <c r="O70" s="589">
        <v>1</v>
      </c>
      <c r="P70" s="589">
        <v>1</v>
      </c>
      <c r="Q70" s="589">
        <v>1</v>
      </c>
      <c r="R70" s="589">
        <v>1</v>
      </c>
      <c r="S70" s="589">
        <v>1</v>
      </c>
    </row>
    <row r="71" spans="1:19" x14ac:dyDescent="0.25">
      <c r="B71" s="1278" t="s">
        <v>3146</v>
      </c>
      <c r="C71" s="589">
        <v>0</v>
      </c>
      <c r="D71" s="589">
        <v>0</v>
      </c>
      <c r="E71" s="589">
        <v>0</v>
      </c>
      <c r="F71" s="589">
        <v>0</v>
      </c>
      <c r="G71" s="589">
        <v>0</v>
      </c>
      <c r="H71" s="589">
        <v>0</v>
      </c>
      <c r="I71" s="589">
        <v>0</v>
      </c>
      <c r="J71" s="589">
        <v>0</v>
      </c>
      <c r="K71" s="589">
        <v>0</v>
      </c>
      <c r="L71" s="589">
        <v>0</v>
      </c>
      <c r="M71" s="589">
        <v>0</v>
      </c>
      <c r="N71" s="589">
        <v>0</v>
      </c>
      <c r="O71" s="589">
        <v>0</v>
      </c>
      <c r="P71" s="589">
        <v>0</v>
      </c>
      <c r="Q71" s="589">
        <v>0</v>
      </c>
      <c r="R71" s="589">
        <v>0</v>
      </c>
      <c r="S71" s="589">
        <v>0</v>
      </c>
    </row>
    <row r="72" spans="1:19" x14ac:dyDescent="0.25">
      <c r="B72" s="1278" t="s">
        <v>3147</v>
      </c>
      <c r="C72" s="589">
        <v>0</v>
      </c>
      <c r="D72" s="589">
        <v>0</v>
      </c>
      <c r="E72" s="589">
        <v>0</v>
      </c>
      <c r="F72" s="589">
        <v>0</v>
      </c>
      <c r="G72" s="589">
        <v>0</v>
      </c>
      <c r="H72" s="589">
        <v>0</v>
      </c>
      <c r="I72" s="589">
        <v>0</v>
      </c>
      <c r="J72" s="589">
        <v>0</v>
      </c>
      <c r="K72" s="589">
        <v>0</v>
      </c>
      <c r="L72" s="589">
        <v>0</v>
      </c>
      <c r="M72" s="589">
        <v>0</v>
      </c>
      <c r="N72" s="589">
        <v>0</v>
      </c>
      <c r="O72" s="589">
        <v>0</v>
      </c>
      <c r="P72" s="589">
        <v>0</v>
      </c>
      <c r="Q72" s="589">
        <v>0</v>
      </c>
      <c r="R72" s="589">
        <v>0</v>
      </c>
      <c r="S72" s="589">
        <v>0</v>
      </c>
    </row>
    <row r="73" spans="1:19" x14ac:dyDescent="0.25">
      <c r="B73" s="1278" t="s">
        <v>3148</v>
      </c>
      <c r="C73" s="589">
        <v>0</v>
      </c>
      <c r="D73" s="589">
        <v>0</v>
      </c>
      <c r="E73" s="589">
        <v>0</v>
      </c>
      <c r="F73" s="589">
        <v>0</v>
      </c>
      <c r="G73" s="589">
        <v>0</v>
      </c>
      <c r="H73" s="589">
        <v>0</v>
      </c>
      <c r="I73" s="589">
        <v>0</v>
      </c>
      <c r="J73" s="589">
        <v>0</v>
      </c>
      <c r="K73" s="589">
        <v>0</v>
      </c>
      <c r="L73" s="589">
        <v>0</v>
      </c>
      <c r="M73" s="589">
        <v>0</v>
      </c>
      <c r="N73" s="589">
        <v>0</v>
      </c>
      <c r="O73" s="589">
        <v>0</v>
      </c>
      <c r="P73" s="589">
        <v>0</v>
      </c>
      <c r="Q73" s="589">
        <v>0</v>
      </c>
      <c r="R73" s="589">
        <v>0</v>
      </c>
      <c r="S73" s="589">
        <v>0</v>
      </c>
    </row>
    <row r="74" spans="1:19" x14ac:dyDescent="0.25">
      <c r="B74" s="1278" t="s">
        <v>3149</v>
      </c>
      <c r="C74" s="589">
        <v>0</v>
      </c>
      <c r="D74" s="589">
        <v>0</v>
      </c>
      <c r="E74" s="589">
        <v>0</v>
      </c>
      <c r="F74" s="589">
        <v>0</v>
      </c>
      <c r="G74" s="589">
        <v>0</v>
      </c>
      <c r="H74" s="589">
        <v>0</v>
      </c>
      <c r="I74" s="589">
        <v>0</v>
      </c>
      <c r="J74" s="589">
        <v>0</v>
      </c>
      <c r="K74" s="589">
        <v>0</v>
      </c>
      <c r="L74" s="589">
        <v>0</v>
      </c>
      <c r="M74" s="589">
        <v>0</v>
      </c>
      <c r="N74" s="589">
        <v>0</v>
      </c>
      <c r="O74" s="589">
        <v>0</v>
      </c>
      <c r="P74" s="589">
        <v>0</v>
      </c>
      <c r="Q74" s="589">
        <v>0</v>
      </c>
      <c r="R74" s="589">
        <v>0</v>
      </c>
      <c r="S74" s="589">
        <v>0</v>
      </c>
    </row>
    <row r="75" spans="1:19" x14ac:dyDescent="0.25">
      <c r="B75" s="2138" t="s">
        <v>3150</v>
      </c>
      <c r="C75" s="2123"/>
      <c r="D75" s="2123"/>
      <c r="E75" s="2123"/>
      <c r="F75" s="2123"/>
      <c r="G75" s="2123"/>
      <c r="H75" s="2123"/>
      <c r="I75" s="2123"/>
      <c r="J75" s="2123"/>
      <c r="K75" s="2123"/>
      <c r="L75" s="2123"/>
      <c r="M75" s="2123"/>
      <c r="N75" s="2123"/>
      <c r="O75" s="2123"/>
      <c r="P75" s="2123"/>
      <c r="Q75" s="2123"/>
      <c r="R75" s="2123"/>
      <c r="S75" s="2123"/>
    </row>
    <row r="76" spans="1:19" x14ac:dyDescent="0.25">
      <c r="B76" s="1278" t="s">
        <v>3350</v>
      </c>
      <c r="C76" s="589">
        <v>1</v>
      </c>
      <c r="D76" s="589">
        <v>1</v>
      </c>
      <c r="E76" s="589">
        <v>1</v>
      </c>
      <c r="F76" s="589">
        <v>1</v>
      </c>
      <c r="G76" s="589">
        <v>1</v>
      </c>
      <c r="H76" s="589">
        <v>1</v>
      </c>
      <c r="I76" s="589">
        <v>1</v>
      </c>
      <c r="J76" s="589">
        <v>1</v>
      </c>
      <c r="K76" s="589">
        <v>1</v>
      </c>
      <c r="L76" s="589">
        <v>1</v>
      </c>
      <c r="M76" s="589">
        <v>1</v>
      </c>
      <c r="N76" s="589">
        <v>1</v>
      </c>
      <c r="O76" s="589">
        <v>1</v>
      </c>
      <c r="P76" s="589">
        <v>1</v>
      </c>
      <c r="Q76" s="589">
        <v>1</v>
      </c>
      <c r="R76" s="589">
        <v>1</v>
      </c>
      <c r="S76" s="589">
        <v>1</v>
      </c>
    </row>
    <row r="77" spans="1:19" x14ac:dyDescent="0.25">
      <c r="B77" s="1278" t="s">
        <v>1828</v>
      </c>
      <c r="C77" s="589">
        <v>0</v>
      </c>
      <c r="D77" s="589">
        <v>0</v>
      </c>
      <c r="E77" s="589">
        <v>0</v>
      </c>
      <c r="F77" s="589">
        <v>0</v>
      </c>
      <c r="G77" s="589">
        <v>0</v>
      </c>
      <c r="H77" s="589">
        <v>0</v>
      </c>
      <c r="I77" s="589">
        <v>0</v>
      </c>
      <c r="J77" s="589">
        <v>0</v>
      </c>
      <c r="K77" s="589">
        <v>0</v>
      </c>
      <c r="L77" s="589">
        <v>0</v>
      </c>
      <c r="M77" s="589">
        <v>0</v>
      </c>
      <c r="N77" s="589">
        <v>0</v>
      </c>
      <c r="O77" s="589">
        <v>0</v>
      </c>
      <c r="P77" s="589">
        <v>0</v>
      </c>
      <c r="Q77" s="589">
        <v>0</v>
      </c>
      <c r="R77" s="589">
        <v>0</v>
      </c>
      <c r="S77" s="589">
        <v>0</v>
      </c>
    </row>
    <row r="78" spans="1:19" x14ac:dyDescent="0.25">
      <c r="B78" s="1278" t="s">
        <v>3351</v>
      </c>
      <c r="C78" s="589">
        <v>0</v>
      </c>
      <c r="D78" s="589">
        <v>0</v>
      </c>
      <c r="E78" s="589">
        <v>0</v>
      </c>
      <c r="F78" s="589">
        <v>0</v>
      </c>
      <c r="G78" s="589">
        <v>0</v>
      </c>
      <c r="H78" s="589">
        <v>0</v>
      </c>
      <c r="I78" s="589">
        <v>0</v>
      </c>
      <c r="J78" s="589">
        <v>0</v>
      </c>
      <c r="K78" s="589">
        <v>0</v>
      </c>
      <c r="L78" s="589">
        <v>0</v>
      </c>
      <c r="M78" s="589">
        <v>0</v>
      </c>
      <c r="N78" s="589">
        <v>0</v>
      </c>
      <c r="O78" s="589">
        <v>0</v>
      </c>
      <c r="P78" s="589">
        <v>0</v>
      </c>
      <c r="Q78" s="589">
        <v>0</v>
      </c>
      <c r="R78" s="589">
        <v>0</v>
      </c>
      <c r="S78" s="589">
        <v>0</v>
      </c>
    </row>
    <row r="79" spans="1:19" x14ac:dyDescent="0.25">
      <c r="B79" s="1278" t="s">
        <v>3352</v>
      </c>
      <c r="C79" s="589">
        <v>1</v>
      </c>
      <c r="D79" s="589">
        <v>1</v>
      </c>
      <c r="E79" s="589">
        <v>1</v>
      </c>
      <c r="F79" s="589">
        <v>1</v>
      </c>
      <c r="G79" s="589">
        <v>1</v>
      </c>
      <c r="H79" s="589">
        <v>1</v>
      </c>
      <c r="I79" s="589">
        <v>1</v>
      </c>
      <c r="J79" s="589">
        <v>1</v>
      </c>
      <c r="K79" s="589">
        <v>1</v>
      </c>
      <c r="L79" s="589">
        <v>1</v>
      </c>
      <c r="M79" s="589">
        <v>1</v>
      </c>
      <c r="N79" s="589">
        <v>1</v>
      </c>
      <c r="O79" s="589">
        <v>1</v>
      </c>
      <c r="P79" s="589">
        <v>1</v>
      </c>
      <c r="Q79" s="589">
        <v>1</v>
      </c>
      <c r="R79" s="589">
        <v>1</v>
      </c>
      <c r="S79" s="589">
        <v>1</v>
      </c>
    </row>
    <row r="80" spans="1:19" x14ac:dyDescent="0.25">
      <c r="B80" s="1278" t="s">
        <v>3353</v>
      </c>
      <c r="C80" s="589">
        <v>1</v>
      </c>
      <c r="D80" s="589">
        <v>1</v>
      </c>
      <c r="E80" s="589">
        <v>1</v>
      </c>
      <c r="F80" s="589">
        <v>1</v>
      </c>
      <c r="G80" s="589">
        <v>1</v>
      </c>
      <c r="H80" s="589">
        <v>1</v>
      </c>
      <c r="I80" s="589">
        <v>1</v>
      </c>
      <c r="J80" s="589">
        <v>1</v>
      </c>
      <c r="K80" s="589">
        <v>1</v>
      </c>
      <c r="L80" s="589">
        <v>1</v>
      </c>
      <c r="M80" s="589">
        <v>1</v>
      </c>
      <c r="N80" s="589">
        <v>1</v>
      </c>
      <c r="O80" s="589">
        <v>1</v>
      </c>
      <c r="P80" s="589">
        <v>1</v>
      </c>
      <c r="Q80" s="589">
        <v>1</v>
      </c>
      <c r="R80" s="589">
        <v>1</v>
      </c>
      <c r="S80" s="589">
        <v>1</v>
      </c>
    </row>
    <row r="81" spans="2:19" x14ac:dyDescent="0.25">
      <c r="B81" s="1278" t="s">
        <v>3151</v>
      </c>
      <c r="C81" s="589">
        <v>1</v>
      </c>
      <c r="D81" s="589">
        <v>1</v>
      </c>
      <c r="E81" s="589">
        <v>1</v>
      </c>
      <c r="F81" s="589">
        <v>1</v>
      </c>
      <c r="G81" s="589">
        <v>1</v>
      </c>
      <c r="H81" s="589">
        <v>1</v>
      </c>
      <c r="I81" s="589">
        <v>1</v>
      </c>
      <c r="J81" s="589">
        <v>1</v>
      </c>
      <c r="K81" s="589">
        <v>1</v>
      </c>
      <c r="L81" s="589">
        <v>1</v>
      </c>
      <c r="M81" s="589">
        <v>1</v>
      </c>
      <c r="N81" s="589">
        <v>1</v>
      </c>
      <c r="O81" s="589">
        <v>1</v>
      </c>
      <c r="P81" s="589">
        <v>1</v>
      </c>
      <c r="Q81" s="589">
        <v>1</v>
      </c>
      <c r="R81" s="589">
        <v>1</v>
      </c>
      <c r="S81" s="589">
        <v>1</v>
      </c>
    </row>
    <row r="82" spans="2:19" x14ac:dyDescent="0.25">
      <c r="B82" s="1278" t="s">
        <v>231</v>
      </c>
      <c r="C82" s="589">
        <v>1</v>
      </c>
      <c r="D82" s="589">
        <v>1</v>
      </c>
      <c r="E82" s="589">
        <v>1</v>
      </c>
      <c r="F82" s="589">
        <v>1</v>
      </c>
      <c r="G82" s="589">
        <v>1</v>
      </c>
      <c r="H82" s="589">
        <v>1</v>
      </c>
      <c r="I82" s="589">
        <v>1</v>
      </c>
      <c r="J82" s="589">
        <v>1</v>
      </c>
      <c r="K82" s="589">
        <v>1</v>
      </c>
      <c r="L82" s="589">
        <v>1</v>
      </c>
      <c r="M82" s="589">
        <v>1</v>
      </c>
      <c r="N82" s="589">
        <v>1</v>
      </c>
      <c r="O82" s="589">
        <v>1</v>
      </c>
      <c r="P82" s="589">
        <v>1</v>
      </c>
      <c r="Q82" s="589">
        <v>1</v>
      </c>
      <c r="R82" s="589">
        <v>1</v>
      </c>
      <c r="S82" s="589">
        <v>1</v>
      </c>
    </row>
    <row r="83" spans="2:19" x14ac:dyDescent="0.25">
      <c r="B83" s="2138" t="s">
        <v>3152</v>
      </c>
      <c r="C83" s="2123"/>
      <c r="D83" s="2123"/>
      <c r="E83" s="2123"/>
      <c r="F83" s="2123"/>
      <c r="G83" s="2123"/>
      <c r="H83" s="2123"/>
      <c r="I83" s="2123"/>
      <c r="J83" s="2123"/>
      <c r="K83" s="2123"/>
      <c r="L83" s="2123"/>
      <c r="M83" s="2123"/>
      <c r="N83" s="2123"/>
      <c r="O83" s="2123"/>
      <c r="P83" s="2123"/>
      <c r="Q83" s="2123"/>
      <c r="R83" s="2123"/>
      <c r="S83" s="2123"/>
    </row>
    <row r="84" spans="2:19" x14ac:dyDescent="0.25">
      <c r="B84" s="1278" t="s">
        <v>3153</v>
      </c>
      <c r="C84" s="589">
        <v>0</v>
      </c>
      <c r="D84" s="589">
        <v>0</v>
      </c>
      <c r="E84" s="589">
        <v>0</v>
      </c>
      <c r="F84" s="589">
        <v>0</v>
      </c>
      <c r="G84" s="589">
        <v>0</v>
      </c>
      <c r="H84" s="589">
        <v>0</v>
      </c>
      <c r="I84" s="589">
        <v>0</v>
      </c>
      <c r="J84" s="589">
        <v>0</v>
      </c>
      <c r="K84" s="589">
        <v>0</v>
      </c>
      <c r="L84" s="589">
        <v>0</v>
      </c>
      <c r="M84" s="589">
        <v>0</v>
      </c>
      <c r="N84" s="589">
        <v>0</v>
      </c>
      <c r="O84" s="589">
        <v>0</v>
      </c>
      <c r="P84" s="589">
        <v>0</v>
      </c>
      <c r="Q84" s="589">
        <v>0</v>
      </c>
      <c r="R84" s="589">
        <v>0</v>
      </c>
      <c r="S84" s="589">
        <v>0</v>
      </c>
    </row>
    <row r="85" spans="2:19" x14ac:dyDescent="0.25">
      <c r="B85" s="2138" t="s">
        <v>3154</v>
      </c>
      <c r="C85" s="2123"/>
      <c r="D85" s="2123"/>
      <c r="E85" s="2123"/>
      <c r="F85" s="2123"/>
      <c r="G85" s="2123"/>
      <c r="H85" s="2123"/>
      <c r="I85" s="2123"/>
      <c r="J85" s="2123"/>
      <c r="K85" s="2123"/>
      <c r="L85" s="2123"/>
      <c r="M85" s="2123"/>
      <c r="N85" s="2123"/>
      <c r="O85" s="2123"/>
      <c r="P85" s="2123"/>
      <c r="Q85" s="2123"/>
      <c r="R85" s="2123"/>
      <c r="S85" s="2123"/>
    </row>
    <row r="86" spans="2:19" x14ac:dyDescent="0.25">
      <c r="B86" s="1278" t="s">
        <v>3155</v>
      </c>
      <c r="C86" s="589">
        <v>1</v>
      </c>
      <c r="D86" s="589">
        <v>1</v>
      </c>
      <c r="E86" s="589">
        <v>1</v>
      </c>
      <c r="F86" s="589">
        <v>1</v>
      </c>
      <c r="G86" s="589">
        <v>1</v>
      </c>
      <c r="H86" s="589">
        <v>1</v>
      </c>
      <c r="I86" s="589">
        <v>1</v>
      </c>
      <c r="J86" s="589">
        <v>1</v>
      </c>
      <c r="K86" s="589">
        <v>1</v>
      </c>
      <c r="L86" s="589">
        <v>1</v>
      </c>
      <c r="M86" s="589">
        <v>1</v>
      </c>
      <c r="N86" s="589">
        <v>1</v>
      </c>
      <c r="O86" s="589">
        <v>1</v>
      </c>
      <c r="P86" s="589">
        <v>1</v>
      </c>
      <c r="Q86" s="589">
        <v>1</v>
      </c>
      <c r="R86" s="589">
        <v>1</v>
      </c>
      <c r="S86" s="589">
        <v>1</v>
      </c>
    </row>
    <row r="87" spans="2:19" x14ac:dyDescent="0.25">
      <c r="B87" s="2138" t="s">
        <v>3156</v>
      </c>
      <c r="C87" s="2123"/>
      <c r="D87" s="2123"/>
      <c r="E87" s="2123"/>
      <c r="F87" s="2123"/>
      <c r="G87" s="2123"/>
      <c r="H87" s="2123"/>
      <c r="I87" s="2123"/>
      <c r="J87" s="2123"/>
      <c r="K87" s="2123"/>
      <c r="L87" s="2123"/>
      <c r="M87" s="2123"/>
      <c r="N87" s="2123"/>
      <c r="O87" s="2123"/>
      <c r="P87" s="2123"/>
      <c r="Q87" s="2123"/>
      <c r="R87" s="2123"/>
      <c r="S87" s="2123"/>
    </row>
    <row r="88" spans="2:19" x14ac:dyDescent="0.25">
      <c r="B88" s="1278" t="s">
        <v>3157</v>
      </c>
      <c r="C88" s="589">
        <v>2</v>
      </c>
      <c r="D88" s="589">
        <v>2</v>
      </c>
      <c r="E88" s="589">
        <v>2</v>
      </c>
      <c r="F88" s="589">
        <v>2</v>
      </c>
      <c r="G88" s="589">
        <v>2</v>
      </c>
      <c r="H88" s="589">
        <v>2</v>
      </c>
      <c r="I88" s="589">
        <v>2</v>
      </c>
      <c r="J88" s="589">
        <v>2</v>
      </c>
      <c r="K88" s="589">
        <v>2</v>
      </c>
      <c r="L88" s="589">
        <v>2</v>
      </c>
      <c r="M88" s="589">
        <v>2</v>
      </c>
      <c r="N88" s="589">
        <v>2</v>
      </c>
      <c r="O88" s="589">
        <v>2</v>
      </c>
      <c r="P88" s="589">
        <v>2</v>
      </c>
      <c r="Q88" s="589">
        <v>2</v>
      </c>
      <c r="R88" s="589">
        <v>2</v>
      </c>
      <c r="S88" s="589">
        <v>2</v>
      </c>
    </row>
    <row r="89" spans="2:19" x14ac:dyDescent="0.25">
      <c r="B89" s="2138" t="s">
        <v>3158</v>
      </c>
      <c r="C89" s="2123"/>
      <c r="D89" s="2123"/>
      <c r="E89" s="2123"/>
      <c r="F89" s="2123"/>
      <c r="G89" s="2123"/>
      <c r="H89" s="2123"/>
      <c r="I89" s="2123"/>
      <c r="J89" s="2123"/>
      <c r="K89" s="2123"/>
      <c r="L89" s="2123"/>
      <c r="M89" s="2123"/>
      <c r="N89" s="2123"/>
      <c r="O89" s="2123"/>
      <c r="P89" s="2123"/>
      <c r="Q89" s="2123"/>
      <c r="R89" s="2123"/>
      <c r="S89" s="2123"/>
    </row>
    <row r="90" spans="2:19" x14ac:dyDescent="0.25">
      <c r="B90" s="1278" t="s">
        <v>3159</v>
      </c>
      <c r="C90" s="589">
        <v>1</v>
      </c>
      <c r="D90" s="589">
        <v>1</v>
      </c>
      <c r="E90" s="589">
        <v>1</v>
      </c>
      <c r="F90" s="589">
        <v>1</v>
      </c>
      <c r="G90" s="589">
        <v>1</v>
      </c>
      <c r="H90" s="589">
        <v>1</v>
      </c>
      <c r="I90" s="589">
        <v>1</v>
      </c>
      <c r="J90" s="589">
        <v>1</v>
      </c>
      <c r="K90" s="589">
        <v>1</v>
      </c>
      <c r="L90" s="589">
        <v>1</v>
      </c>
      <c r="M90" s="589">
        <v>1</v>
      </c>
      <c r="N90" s="589">
        <v>1</v>
      </c>
      <c r="O90" s="589">
        <v>1</v>
      </c>
      <c r="P90" s="589">
        <v>1</v>
      </c>
      <c r="Q90" s="589">
        <v>1</v>
      </c>
      <c r="R90" s="589">
        <v>1</v>
      </c>
      <c r="S90" s="589">
        <v>1</v>
      </c>
    </row>
    <row r="91" spans="2:19" x14ac:dyDescent="0.25">
      <c r="B91" s="1278" t="s">
        <v>3160</v>
      </c>
      <c r="C91" s="589">
        <v>1</v>
      </c>
      <c r="D91" s="589">
        <v>1</v>
      </c>
      <c r="E91" s="589">
        <v>1</v>
      </c>
      <c r="F91" s="589">
        <v>1</v>
      </c>
      <c r="G91" s="589">
        <v>1</v>
      </c>
      <c r="H91" s="589">
        <v>1</v>
      </c>
      <c r="I91" s="589">
        <v>1</v>
      </c>
      <c r="J91" s="589">
        <v>1</v>
      </c>
      <c r="K91" s="589">
        <v>1</v>
      </c>
      <c r="L91" s="589">
        <v>1</v>
      </c>
      <c r="M91" s="589">
        <v>1</v>
      </c>
      <c r="N91" s="589">
        <v>1</v>
      </c>
      <c r="O91" s="589">
        <v>1</v>
      </c>
      <c r="P91" s="589">
        <v>1</v>
      </c>
      <c r="Q91" s="589">
        <v>1</v>
      </c>
      <c r="R91" s="589">
        <v>1</v>
      </c>
      <c r="S91" s="589">
        <v>1</v>
      </c>
    </row>
    <row r="92" spans="2:19" x14ac:dyDescent="0.25">
      <c r="B92" s="1278" t="s">
        <v>3161</v>
      </c>
      <c r="C92" s="589">
        <v>1</v>
      </c>
      <c r="D92" s="589">
        <v>1</v>
      </c>
      <c r="E92" s="589">
        <v>1</v>
      </c>
      <c r="F92" s="589">
        <v>1</v>
      </c>
      <c r="G92" s="589">
        <v>1</v>
      </c>
      <c r="H92" s="589">
        <v>1</v>
      </c>
      <c r="I92" s="589">
        <v>1</v>
      </c>
      <c r="J92" s="589">
        <v>1</v>
      </c>
      <c r="K92" s="589">
        <v>1</v>
      </c>
      <c r="L92" s="589">
        <v>1</v>
      </c>
      <c r="M92" s="589">
        <v>1</v>
      </c>
      <c r="N92" s="589">
        <v>1</v>
      </c>
      <c r="O92" s="589">
        <v>1</v>
      </c>
      <c r="P92" s="589">
        <v>1</v>
      </c>
      <c r="Q92" s="589">
        <v>1</v>
      </c>
      <c r="R92" s="589">
        <v>1</v>
      </c>
      <c r="S92" s="589">
        <v>1</v>
      </c>
    </row>
    <row r="93" spans="2:19" x14ac:dyDescent="0.25">
      <c r="B93" s="1278" t="s">
        <v>3162</v>
      </c>
      <c r="C93" s="589">
        <v>2</v>
      </c>
      <c r="D93" s="589">
        <v>2</v>
      </c>
      <c r="E93" s="589">
        <v>2</v>
      </c>
      <c r="F93" s="589">
        <v>2</v>
      </c>
      <c r="G93" s="589">
        <v>2</v>
      </c>
      <c r="H93" s="589">
        <v>2</v>
      </c>
      <c r="I93" s="589">
        <v>2</v>
      </c>
      <c r="J93" s="589">
        <v>2</v>
      </c>
      <c r="K93" s="589">
        <v>2</v>
      </c>
      <c r="L93" s="589">
        <v>2</v>
      </c>
      <c r="M93" s="589">
        <v>2</v>
      </c>
      <c r="N93" s="589">
        <v>2</v>
      </c>
      <c r="O93" s="589">
        <v>2</v>
      </c>
      <c r="P93" s="589">
        <v>2</v>
      </c>
      <c r="Q93" s="589">
        <v>2</v>
      </c>
      <c r="R93" s="589">
        <v>2</v>
      </c>
      <c r="S93" s="589">
        <v>2</v>
      </c>
    </row>
    <row r="94" spans="2:19" x14ac:dyDescent="0.25">
      <c r="B94" s="1278" t="s">
        <v>3163</v>
      </c>
      <c r="C94" s="589">
        <v>1</v>
      </c>
      <c r="D94" s="589">
        <v>1</v>
      </c>
      <c r="E94" s="589">
        <v>1</v>
      </c>
      <c r="F94" s="589">
        <v>1</v>
      </c>
      <c r="G94" s="589">
        <v>1</v>
      </c>
      <c r="H94" s="589">
        <v>1</v>
      </c>
      <c r="I94" s="589">
        <v>1</v>
      </c>
      <c r="J94" s="589">
        <v>1</v>
      </c>
      <c r="K94" s="589">
        <v>1</v>
      </c>
      <c r="L94" s="589">
        <v>1</v>
      </c>
      <c r="M94" s="589">
        <v>1</v>
      </c>
      <c r="N94" s="589">
        <v>1</v>
      </c>
      <c r="O94" s="589">
        <v>1</v>
      </c>
      <c r="P94" s="589">
        <v>1</v>
      </c>
      <c r="Q94" s="589">
        <v>1</v>
      </c>
      <c r="R94" s="589">
        <v>1</v>
      </c>
      <c r="S94" s="589">
        <v>1</v>
      </c>
    </row>
    <row r="95" spans="2:19" x14ac:dyDescent="0.25">
      <c r="B95" s="2130" t="s">
        <v>3164</v>
      </c>
      <c r="C95" s="2125">
        <f>SUM(C69:C94)</f>
        <v>15</v>
      </c>
      <c r="D95" s="2125">
        <f t="shared" ref="D95:S95" si="14">SUM(D69:D94)</f>
        <v>15</v>
      </c>
      <c r="E95" s="2125">
        <f t="shared" si="14"/>
        <v>15</v>
      </c>
      <c r="F95" s="2125">
        <f t="shared" si="14"/>
        <v>15</v>
      </c>
      <c r="G95" s="2125">
        <f t="shared" si="14"/>
        <v>15</v>
      </c>
      <c r="H95" s="2125">
        <f t="shared" si="14"/>
        <v>15</v>
      </c>
      <c r="I95" s="2125">
        <f t="shared" si="14"/>
        <v>15</v>
      </c>
      <c r="J95" s="2125">
        <f t="shared" si="14"/>
        <v>15</v>
      </c>
      <c r="K95" s="2125">
        <f t="shared" si="14"/>
        <v>15</v>
      </c>
      <c r="L95" s="2125">
        <f t="shared" si="14"/>
        <v>15</v>
      </c>
      <c r="M95" s="2125">
        <f t="shared" si="14"/>
        <v>15</v>
      </c>
      <c r="N95" s="2125">
        <f t="shared" si="14"/>
        <v>15</v>
      </c>
      <c r="O95" s="2125">
        <f t="shared" si="14"/>
        <v>15</v>
      </c>
      <c r="P95" s="2125">
        <f t="shared" si="14"/>
        <v>15</v>
      </c>
      <c r="Q95" s="2125">
        <f t="shared" si="14"/>
        <v>15</v>
      </c>
      <c r="R95" s="2125">
        <f t="shared" si="14"/>
        <v>15</v>
      </c>
      <c r="S95" s="2126">
        <f t="shared" si="14"/>
        <v>15</v>
      </c>
    </row>
  </sheetData>
  <mergeCells count="2">
    <mergeCell ref="B67:B68"/>
    <mergeCell ref="B4:B5"/>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70C0"/>
  </sheetPr>
  <dimension ref="I2"/>
  <sheetViews>
    <sheetView workbookViewId="0">
      <selection activeCell="G33" sqref="G33"/>
    </sheetView>
  </sheetViews>
  <sheetFormatPr baseColWidth="10" defaultColWidth="11.42578125" defaultRowHeight="11.25" x14ac:dyDescent="0.2"/>
  <cols>
    <col min="1" max="16384" width="11.42578125" style="26"/>
  </cols>
  <sheetData>
    <row r="2" spans="9:9" x14ac:dyDescent="0.2">
      <c r="I2" s="228" t="s">
        <v>3165</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70C0"/>
  </sheetPr>
  <dimension ref="A1:V116"/>
  <sheetViews>
    <sheetView zoomScale="70" zoomScaleNormal="70" workbookViewId="0">
      <selection activeCell="D21" sqref="D21"/>
    </sheetView>
  </sheetViews>
  <sheetFormatPr baseColWidth="10" defaultRowHeight="13.5" x14ac:dyDescent="0.25"/>
  <cols>
    <col min="1" max="1" width="5.5703125" style="691" customWidth="1"/>
    <col min="2" max="2" width="33.5703125" style="691" customWidth="1"/>
    <col min="3" max="9" width="11.5703125" style="691"/>
    <col min="10" max="10" width="10.7109375" style="691" customWidth="1"/>
    <col min="11" max="11" width="11" style="691" customWidth="1"/>
    <col min="12" max="12" width="11.28515625" style="691" customWidth="1"/>
    <col min="13" max="13" width="10.7109375" style="691" customWidth="1"/>
    <col min="14" max="20" width="9.140625" style="691" customWidth="1"/>
    <col min="21" max="21" width="8.42578125" style="691" customWidth="1"/>
    <col min="22" max="22" width="25.28515625" style="691" customWidth="1"/>
    <col min="23" max="257" width="11.5703125" style="691"/>
    <col min="258" max="258" width="5.5703125" style="691" customWidth="1"/>
    <col min="259" max="259" width="32.140625" style="691" customWidth="1"/>
    <col min="260" max="276" width="7.7109375" style="691" customWidth="1"/>
    <col min="277" max="513" width="11.5703125" style="691"/>
    <col min="514" max="514" width="5.5703125" style="691" customWidth="1"/>
    <col min="515" max="515" width="32.140625" style="691" customWidth="1"/>
    <col min="516" max="532" width="7.7109375" style="691" customWidth="1"/>
    <col min="533" max="769" width="11.5703125" style="691"/>
    <col min="770" max="770" width="5.5703125" style="691" customWidth="1"/>
    <col min="771" max="771" width="32.140625" style="691" customWidth="1"/>
    <col min="772" max="788" width="7.7109375" style="691" customWidth="1"/>
    <col min="789" max="1025" width="11.5703125" style="691"/>
    <col min="1026" max="1026" width="5.5703125" style="691" customWidth="1"/>
    <col min="1027" max="1027" width="32.140625" style="691" customWidth="1"/>
    <col min="1028" max="1044" width="7.7109375" style="691" customWidth="1"/>
    <col min="1045" max="1281" width="11.5703125" style="691"/>
    <col min="1282" max="1282" width="5.5703125" style="691" customWidth="1"/>
    <col min="1283" max="1283" width="32.140625" style="691" customWidth="1"/>
    <col min="1284" max="1300" width="7.7109375" style="691" customWidth="1"/>
    <col min="1301" max="1537" width="11.5703125" style="691"/>
    <col min="1538" max="1538" width="5.5703125" style="691" customWidth="1"/>
    <col min="1539" max="1539" width="32.140625" style="691" customWidth="1"/>
    <col min="1540" max="1556" width="7.7109375" style="691" customWidth="1"/>
    <col min="1557" max="1793" width="11.5703125" style="691"/>
    <col min="1794" max="1794" width="5.5703125" style="691" customWidth="1"/>
    <col min="1795" max="1795" width="32.140625" style="691" customWidth="1"/>
    <col min="1796" max="1812" width="7.7109375" style="691" customWidth="1"/>
    <col min="1813" max="2049" width="11.5703125" style="691"/>
    <col min="2050" max="2050" width="5.5703125" style="691" customWidth="1"/>
    <col min="2051" max="2051" width="32.140625" style="691" customWidth="1"/>
    <col min="2052" max="2068" width="7.7109375" style="691" customWidth="1"/>
    <col min="2069" max="2305" width="11.5703125" style="691"/>
    <col min="2306" max="2306" width="5.5703125" style="691" customWidth="1"/>
    <col min="2307" max="2307" width="32.140625" style="691" customWidth="1"/>
    <col min="2308" max="2324" width="7.7109375" style="691" customWidth="1"/>
    <col min="2325" max="2561" width="11.5703125" style="691"/>
    <col min="2562" max="2562" width="5.5703125" style="691" customWidth="1"/>
    <col min="2563" max="2563" width="32.140625" style="691" customWidth="1"/>
    <col min="2564" max="2580" width="7.7109375" style="691" customWidth="1"/>
    <col min="2581" max="2817" width="11.5703125" style="691"/>
    <col min="2818" max="2818" width="5.5703125" style="691" customWidth="1"/>
    <col min="2819" max="2819" width="32.140625" style="691" customWidth="1"/>
    <col min="2820" max="2836" width="7.7109375" style="691" customWidth="1"/>
    <col min="2837" max="3073" width="11.5703125" style="691"/>
    <col min="3074" max="3074" width="5.5703125" style="691" customWidth="1"/>
    <col min="3075" max="3075" width="32.140625" style="691" customWidth="1"/>
    <col min="3076" max="3092" width="7.7109375" style="691" customWidth="1"/>
    <col min="3093" max="3329" width="11.5703125" style="691"/>
    <col min="3330" max="3330" width="5.5703125" style="691" customWidth="1"/>
    <col min="3331" max="3331" width="32.140625" style="691" customWidth="1"/>
    <col min="3332" max="3348" width="7.7109375" style="691" customWidth="1"/>
    <col min="3349" max="3585" width="11.5703125" style="691"/>
    <col min="3586" max="3586" width="5.5703125" style="691" customWidth="1"/>
    <col min="3587" max="3587" width="32.140625" style="691" customWidth="1"/>
    <col min="3588" max="3604" width="7.7109375" style="691" customWidth="1"/>
    <col min="3605" max="3841" width="11.5703125" style="691"/>
    <col min="3842" max="3842" width="5.5703125" style="691" customWidth="1"/>
    <col min="3843" max="3843" width="32.140625" style="691" customWidth="1"/>
    <col min="3844" max="3860" width="7.7109375" style="691" customWidth="1"/>
    <col min="3861" max="4097" width="11.5703125" style="691"/>
    <col min="4098" max="4098" width="5.5703125" style="691" customWidth="1"/>
    <col min="4099" max="4099" width="32.140625" style="691" customWidth="1"/>
    <col min="4100" max="4116" width="7.7109375" style="691" customWidth="1"/>
    <col min="4117" max="4353" width="11.5703125" style="691"/>
    <col min="4354" max="4354" width="5.5703125" style="691" customWidth="1"/>
    <col min="4355" max="4355" width="32.140625" style="691" customWidth="1"/>
    <col min="4356" max="4372" width="7.7109375" style="691" customWidth="1"/>
    <col min="4373" max="4609" width="11.5703125" style="691"/>
    <col min="4610" max="4610" width="5.5703125" style="691" customWidth="1"/>
    <col min="4611" max="4611" width="32.140625" style="691" customWidth="1"/>
    <col min="4612" max="4628" width="7.7109375" style="691" customWidth="1"/>
    <col min="4629" max="4865" width="11.5703125" style="691"/>
    <col min="4866" max="4866" width="5.5703125" style="691" customWidth="1"/>
    <col min="4867" max="4867" width="32.140625" style="691" customWidth="1"/>
    <col min="4868" max="4884" width="7.7109375" style="691" customWidth="1"/>
    <col min="4885" max="5121" width="11.5703125" style="691"/>
    <col min="5122" max="5122" width="5.5703125" style="691" customWidth="1"/>
    <col min="5123" max="5123" width="32.140625" style="691" customWidth="1"/>
    <col min="5124" max="5140" width="7.7109375" style="691" customWidth="1"/>
    <col min="5141" max="5377" width="11.5703125" style="691"/>
    <col min="5378" max="5378" width="5.5703125" style="691" customWidth="1"/>
    <col min="5379" max="5379" width="32.140625" style="691" customWidth="1"/>
    <col min="5380" max="5396" width="7.7109375" style="691" customWidth="1"/>
    <col min="5397" max="5633" width="11.5703125" style="691"/>
    <col min="5634" max="5634" width="5.5703125" style="691" customWidth="1"/>
    <col min="5635" max="5635" width="32.140625" style="691" customWidth="1"/>
    <col min="5636" max="5652" width="7.7109375" style="691" customWidth="1"/>
    <col min="5653" max="5889" width="11.5703125" style="691"/>
    <col min="5890" max="5890" width="5.5703125" style="691" customWidth="1"/>
    <col min="5891" max="5891" width="32.140625" style="691" customWidth="1"/>
    <col min="5892" max="5908" width="7.7109375" style="691" customWidth="1"/>
    <col min="5909" max="6145" width="11.5703125" style="691"/>
    <col min="6146" max="6146" width="5.5703125" style="691" customWidth="1"/>
    <col min="6147" max="6147" width="32.140625" style="691" customWidth="1"/>
    <col min="6148" max="6164" width="7.7109375" style="691" customWidth="1"/>
    <col min="6165" max="6401" width="11.5703125" style="691"/>
    <col min="6402" max="6402" width="5.5703125" style="691" customWidth="1"/>
    <col min="6403" max="6403" width="32.140625" style="691" customWidth="1"/>
    <col min="6404" max="6420" width="7.7109375" style="691" customWidth="1"/>
    <col min="6421" max="6657" width="11.5703125" style="691"/>
    <col min="6658" max="6658" width="5.5703125" style="691" customWidth="1"/>
    <col min="6659" max="6659" width="32.140625" style="691" customWidth="1"/>
    <col min="6660" max="6676" width="7.7109375" style="691" customWidth="1"/>
    <col min="6677" max="6913" width="11.5703125" style="691"/>
    <col min="6914" max="6914" width="5.5703125" style="691" customWidth="1"/>
    <col min="6915" max="6915" width="32.140625" style="691" customWidth="1"/>
    <col min="6916" max="6932" width="7.7109375" style="691" customWidth="1"/>
    <col min="6933" max="7169" width="11.5703125" style="691"/>
    <col min="7170" max="7170" width="5.5703125" style="691" customWidth="1"/>
    <col min="7171" max="7171" width="32.140625" style="691" customWidth="1"/>
    <col min="7172" max="7188" width="7.7109375" style="691" customWidth="1"/>
    <col min="7189" max="7425" width="11.5703125" style="691"/>
    <col min="7426" max="7426" width="5.5703125" style="691" customWidth="1"/>
    <col min="7427" max="7427" width="32.140625" style="691" customWidth="1"/>
    <col min="7428" max="7444" width="7.7109375" style="691" customWidth="1"/>
    <col min="7445" max="7681" width="11.5703125" style="691"/>
    <col min="7682" max="7682" width="5.5703125" style="691" customWidth="1"/>
    <col min="7683" max="7683" width="32.140625" style="691" customWidth="1"/>
    <col min="7684" max="7700" width="7.7109375" style="691" customWidth="1"/>
    <col min="7701" max="7937" width="11.5703125" style="691"/>
    <col min="7938" max="7938" width="5.5703125" style="691" customWidth="1"/>
    <col min="7939" max="7939" width="32.140625" style="691" customWidth="1"/>
    <col min="7940" max="7956" width="7.7109375" style="691" customWidth="1"/>
    <col min="7957" max="8193" width="11.5703125" style="691"/>
    <col min="8194" max="8194" width="5.5703125" style="691" customWidth="1"/>
    <col min="8195" max="8195" width="32.140625" style="691" customWidth="1"/>
    <col min="8196" max="8212" width="7.7109375" style="691" customWidth="1"/>
    <col min="8213" max="8449" width="11.5703125" style="691"/>
    <col min="8450" max="8450" width="5.5703125" style="691" customWidth="1"/>
    <col min="8451" max="8451" width="32.140625" style="691" customWidth="1"/>
    <col min="8452" max="8468" width="7.7109375" style="691" customWidth="1"/>
    <col min="8469" max="8705" width="11.5703125" style="691"/>
    <col min="8706" max="8706" width="5.5703125" style="691" customWidth="1"/>
    <col min="8707" max="8707" width="32.140625" style="691" customWidth="1"/>
    <col min="8708" max="8724" width="7.7109375" style="691" customWidth="1"/>
    <col min="8725" max="8961" width="11.5703125" style="691"/>
    <col min="8962" max="8962" width="5.5703125" style="691" customWidth="1"/>
    <col min="8963" max="8963" width="32.140625" style="691" customWidth="1"/>
    <col min="8964" max="8980" width="7.7109375" style="691" customWidth="1"/>
    <col min="8981" max="9217" width="11.5703125" style="691"/>
    <col min="9218" max="9218" width="5.5703125" style="691" customWidth="1"/>
    <col min="9219" max="9219" width="32.140625" style="691" customWidth="1"/>
    <col min="9220" max="9236" width="7.7109375" style="691" customWidth="1"/>
    <col min="9237" max="9473" width="11.5703125" style="691"/>
    <col min="9474" max="9474" width="5.5703125" style="691" customWidth="1"/>
    <col min="9475" max="9475" width="32.140625" style="691" customWidth="1"/>
    <col min="9476" max="9492" width="7.7109375" style="691" customWidth="1"/>
    <col min="9493" max="9729" width="11.5703125" style="691"/>
    <col min="9730" max="9730" width="5.5703125" style="691" customWidth="1"/>
    <col min="9731" max="9731" width="32.140625" style="691" customWidth="1"/>
    <col min="9732" max="9748" width="7.7109375" style="691" customWidth="1"/>
    <col min="9749" max="9985" width="11.5703125" style="691"/>
    <col min="9986" max="9986" width="5.5703125" style="691" customWidth="1"/>
    <col min="9987" max="9987" width="32.140625" style="691" customWidth="1"/>
    <col min="9988" max="10004" width="7.7109375" style="691" customWidth="1"/>
    <col min="10005" max="10241" width="11.5703125" style="691"/>
    <col min="10242" max="10242" width="5.5703125" style="691" customWidth="1"/>
    <col min="10243" max="10243" width="32.140625" style="691" customWidth="1"/>
    <col min="10244" max="10260" width="7.7109375" style="691" customWidth="1"/>
    <col min="10261" max="10497" width="11.5703125" style="691"/>
    <col min="10498" max="10498" width="5.5703125" style="691" customWidth="1"/>
    <col min="10499" max="10499" width="32.140625" style="691" customWidth="1"/>
    <col min="10500" max="10516" width="7.7109375" style="691" customWidth="1"/>
    <col min="10517" max="10753" width="11.5703125" style="691"/>
    <col min="10754" max="10754" width="5.5703125" style="691" customWidth="1"/>
    <col min="10755" max="10755" width="32.140625" style="691" customWidth="1"/>
    <col min="10756" max="10772" width="7.7109375" style="691" customWidth="1"/>
    <col min="10773" max="11009" width="11.5703125" style="691"/>
    <col min="11010" max="11010" width="5.5703125" style="691" customWidth="1"/>
    <col min="11011" max="11011" width="32.140625" style="691" customWidth="1"/>
    <col min="11012" max="11028" width="7.7109375" style="691" customWidth="1"/>
    <col min="11029" max="11265" width="11.5703125" style="691"/>
    <col min="11266" max="11266" width="5.5703125" style="691" customWidth="1"/>
    <col min="11267" max="11267" width="32.140625" style="691" customWidth="1"/>
    <col min="11268" max="11284" width="7.7109375" style="691" customWidth="1"/>
    <col min="11285" max="11521" width="11.5703125" style="691"/>
    <col min="11522" max="11522" width="5.5703125" style="691" customWidth="1"/>
    <col min="11523" max="11523" width="32.140625" style="691" customWidth="1"/>
    <col min="11524" max="11540" width="7.7109375" style="691" customWidth="1"/>
    <col min="11541" max="11777" width="11.5703125" style="691"/>
    <col min="11778" max="11778" width="5.5703125" style="691" customWidth="1"/>
    <col min="11779" max="11779" width="32.140625" style="691" customWidth="1"/>
    <col min="11780" max="11796" width="7.7109375" style="691" customWidth="1"/>
    <col min="11797" max="12033" width="11.5703125" style="691"/>
    <col min="12034" max="12034" width="5.5703125" style="691" customWidth="1"/>
    <col min="12035" max="12035" width="32.140625" style="691" customWidth="1"/>
    <col min="12036" max="12052" width="7.7109375" style="691" customWidth="1"/>
    <col min="12053" max="12289" width="11.5703125" style="691"/>
    <col min="12290" max="12290" width="5.5703125" style="691" customWidth="1"/>
    <col min="12291" max="12291" width="32.140625" style="691" customWidth="1"/>
    <col min="12292" max="12308" width="7.7109375" style="691" customWidth="1"/>
    <col min="12309" max="12545" width="11.5703125" style="691"/>
    <col min="12546" max="12546" width="5.5703125" style="691" customWidth="1"/>
    <col min="12547" max="12547" width="32.140625" style="691" customWidth="1"/>
    <col min="12548" max="12564" width="7.7109375" style="691" customWidth="1"/>
    <col min="12565" max="12801" width="11.5703125" style="691"/>
    <col min="12802" max="12802" width="5.5703125" style="691" customWidth="1"/>
    <col min="12803" max="12803" width="32.140625" style="691" customWidth="1"/>
    <col min="12804" max="12820" width="7.7109375" style="691" customWidth="1"/>
    <col min="12821" max="13057" width="11.5703125" style="691"/>
    <col min="13058" max="13058" width="5.5703125" style="691" customWidth="1"/>
    <col min="13059" max="13059" width="32.140625" style="691" customWidth="1"/>
    <col min="13060" max="13076" width="7.7109375" style="691" customWidth="1"/>
    <col min="13077" max="13313" width="11.5703125" style="691"/>
    <col min="13314" max="13314" width="5.5703125" style="691" customWidth="1"/>
    <col min="13315" max="13315" width="32.140625" style="691" customWidth="1"/>
    <col min="13316" max="13332" width="7.7109375" style="691" customWidth="1"/>
    <col min="13333" max="13569" width="11.5703125" style="691"/>
    <col min="13570" max="13570" width="5.5703125" style="691" customWidth="1"/>
    <col min="13571" max="13571" width="32.140625" style="691" customWidth="1"/>
    <col min="13572" max="13588" width="7.7109375" style="691" customWidth="1"/>
    <col min="13589" max="13825" width="11.5703125" style="691"/>
    <col min="13826" max="13826" width="5.5703125" style="691" customWidth="1"/>
    <col min="13827" max="13827" width="32.140625" style="691" customWidth="1"/>
    <col min="13828" max="13844" width="7.7109375" style="691" customWidth="1"/>
    <col min="13845" max="14081" width="11.5703125" style="691"/>
    <col min="14082" max="14082" width="5.5703125" style="691" customWidth="1"/>
    <col min="14083" max="14083" width="32.140625" style="691" customWidth="1"/>
    <col min="14084" max="14100" width="7.7109375" style="691" customWidth="1"/>
    <col min="14101" max="14337" width="11.5703125" style="691"/>
    <col min="14338" max="14338" width="5.5703125" style="691" customWidth="1"/>
    <col min="14339" max="14339" width="32.140625" style="691" customWidth="1"/>
    <col min="14340" max="14356" width="7.7109375" style="691" customWidth="1"/>
    <col min="14357" max="14593" width="11.5703125" style="691"/>
    <col min="14594" max="14594" width="5.5703125" style="691" customWidth="1"/>
    <col min="14595" max="14595" width="32.140625" style="691" customWidth="1"/>
    <col min="14596" max="14612" width="7.7109375" style="691" customWidth="1"/>
    <col min="14613" max="14849" width="11.5703125" style="691"/>
    <col min="14850" max="14850" width="5.5703125" style="691" customWidth="1"/>
    <col min="14851" max="14851" width="32.140625" style="691" customWidth="1"/>
    <col min="14852" max="14868" width="7.7109375" style="691" customWidth="1"/>
    <col min="14869" max="15105" width="11.5703125" style="691"/>
    <col min="15106" max="15106" width="5.5703125" style="691" customWidth="1"/>
    <col min="15107" max="15107" width="32.140625" style="691" customWidth="1"/>
    <col min="15108" max="15124" width="7.7109375" style="691" customWidth="1"/>
    <col min="15125" max="15361" width="11.5703125" style="691"/>
    <col min="15362" max="15362" width="5.5703125" style="691" customWidth="1"/>
    <col min="15363" max="15363" width="32.140625" style="691" customWidth="1"/>
    <col min="15364" max="15380" width="7.7109375" style="691" customWidth="1"/>
    <col min="15381" max="15617" width="11.5703125" style="691"/>
    <col min="15618" max="15618" width="5.5703125" style="691" customWidth="1"/>
    <col min="15619" max="15619" width="32.140625" style="691" customWidth="1"/>
    <col min="15620" max="15636" width="7.7109375" style="691" customWidth="1"/>
    <col min="15637" max="15873" width="11.5703125" style="691"/>
    <col min="15874" max="15874" width="5.5703125" style="691" customWidth="1"/>
    <col min="15875" max="15875" width="32.140625" style="691" customWidth="1"/>
    <col min="15876" max="15892" width="7.7109375" style="691" customWidth="1"/>
    <col min="15893" max="16129" width="11.5703125" style="691"/>
    <col min="16130" max="16130" width="5.5703125" style="691" customWidth="1"/>
    <col min="16131" max="16131" width="32.140625" style="691" customWidth="1"/>
    <col min="16132" max="16148" width="7.7109375" style="691" customWidth="1"/>
    <col min="16149" max="16384" width="11.5703125" style="691"/>
  </cols>
  <sheetData>
    <row r="1" spans="2:22" ht="6" customHeight="1" x14ac:dyDescent="0.25"/>
    <row r="2" spans="2:22" x14ac:dyDescent="0.25">
      <c r="B2" s="2131" t="s">
        <v>3166</v>
      </c>
      <c r="C2" s="2117"/>
      <c r="D2" s="2117"/>
      <c r="E2" s="2117"/>
      <c r="F2" s="2117"/>
      <c r="G2" s="2117"/>
      <c r="H2" s="2117"/>
      <c r="I2" s="2117"/>
      <c r="J2" s="2117"/>
      <c r="K2" s="2117"/>
      <c r="L2" s="2117"/>
      <c r="M2" s="2117"/>
      <c r="N2" s="2117"/>
      <c r="O2" s="2117"/>
      <c r="P2" s="2117"/>
      <c r="Q2" s="2117"/>
      <c r="R2" s="2117"/>
      <c r="S2" s="2117"/>
      <c r="T2" s="2117"/>
    </row>
    <row r="3" spans="2:22" x14ac:dyDescent="0.25">
      <c r="B3" s="2131" t="s">
        <v>3167</v>
      </c>
      <c r="C3" s="2117"/>
      <c r="D3" s="2117"/>
      <c r="E3" s="2117"/>
      <c r="F3" s="2117"/>
      <c r="G3" s="2117"/>
      <c r="H3" s="2117"/>
      <c r="I3" s="2117"/>
      <c r="J3" s="2117"/>
      <c r="K3" s="2117"/>
      <c r="L3" s="2117"/>
      <c r="M3" s="2117"/>
      <c r="N3" s="2117"/>
      <c r="O3" s="2117"/>
      <c r="P3" s="2117"/>
      <c r="Q3" s="2117"/>
      <c r="R3" s="2117"/>
      <c r="S3" s="2117"/>
      <c r="T3" s="2117"/>
    </row>
    <row r="4" spans="2:22" ht="6.6" customHeight="1" x14ac:dyDescent="0.25"/>
    <row r="5" spans="2:22" ht="11.25" customHeight="1" x14ac:dyDescent="0.25">
      <c r="B5" s="4752" t="s">
        <v>3671</v>
      </c>
      <c r="C5" s="4693"/>
      <c r="D5" s="4693"/>
      <c r="E5" s="4693"/>
      <c r="F5" s="4693"/>
      <c r="G5" s="4693"/>
      <c r="H5" s="4693"/>
      <c r="I5" s="4694"/>
    </row>
    <row r="6" spans="2:22" ht="5.45" customHeight="1" x14ac:dyDescent="0.25">
      <c r="B6" s="4723"/>
      <c r="C6" s="4523"/>
      <c r="D6" s="4523"/>
      <c r="E6" s="4523"/>
      <c r="F6" s="4523"/>
      <c r="G6" s="4523"/>
      <c r="H6" s="4523"/>
      <c r="I6" s="4708"/>
      <c r="O6" s="2052"/>
      <c r="P6" s="2052"/>
      <c r="Q6" s="1597"/>
      <c r="R6" s="1597"/>
      <c r="S6" s="1597"/>
      <c r="T6" s="1597"/>
    </row>
    <row r="7" spans="2:22" ht="27" x14ac:dyDescent="0.25">
      <c r="B7" s="1598" t="s">
        <v>194</v>
      </c>
      <c r="C7" s="1276" t="s">
        <v>195</v>
      </c>
      <c r="D7" s="1276" t="s">
        <v>3168</v>
      </c>
      <c r="E7" s="1600" t="s">
        <v>196</v>
      </c>
      <c r="F7" s="1276" t="s">
        <v>197</v>
      </c>
      <c r="G7" s="1276" t="s">
        <v>198</v>
      </c>
      <c r="H7" s="1276" t="s">
        <v>150</v>
      </c>
      <c r="I7" s="1277" t="s">
        <v>163</v>
      </c>
      <c r="O7" s="2052"/>
      <c r="P7" s="2052"/>
      <c r="Q7" s="2139"/>
      <c r="R7" s="2139"/>
      <c r="S7" s="2139"/>
      <c r="T7" s="2139"/>
      <c r="U7" s="2139"/>
      <c r="V7" s="2139"/>
    </row>
    <row r="8" spans="2:22" x14ac:dyDescent="0.25">
      <c r="B8" s="4753" t="s">
        <v>3169</v>
      </c>
      <c r="C8" s="4753"/>
      <c r="D8" s="4753"/>
      <c r="E8" s="4753"/>
      <c r="F8" s="4753"/>
      <c r="G8" s="4753"/>
      <c r="H8" s="4753"/>
      <c r="I8" s="4753"/>
      <c r="O8" s="2052"/>
      <c r="P8" s="2052"/>
      <c r="Q8" s="2139"/>
      <c r="R8" s="2139"/>
      <c r="S8" s="2139"/>
      <c r="T8" s="2139"/>
      <c r="U8" s="2139"/>
    </row>
    <row r="9" spans="2:22" ht="16.5" customHeight="1" x14ac:dyDescent="0.25">
      <c r="B9" s="1818" t="s">
        <v>200</v>
      </c>
      <c r="C9" s="1841">
        <v>3</v>
      </c>
      <c r="D9" s="1841">
        <v>0</v>
      </c>
      <c r="E9" s="1841">
        <v>0</v>
      </c>
      <c r="F9" s="1281">
        <v>1</v>
      </c>
      <c r="G9" s="1281">
        <v>0</v>
      </c>
      <c r="H9" s="1841">
        <f>SUM(C9:G9)</f>
        <v>4</v>
      </c>
      <c r="I9" s="2152">
        <f t="shared" ref="I9:I44" si="0">H9/$H$53</f>
        <v>0.11428571428571428</v>
      </c>
      <c r="O9" s="694"/>
      <c r="P9" s="2143"/>
      <c r="Q9" s="1142"/>
      <c r="R9" s="1142"/>
      <c r="S9" s="1142"/>
      <c r="T9" s="1142"/>
      <c r="U9" s="1142"/>
    </row>
    <row r="10" spans="2:22" x14ac:dyDescent="0.25">
      <c r="B10" s="2223" t="s">
        <v>201</v>
      </c>
      <c r="C10" s="2224">
        <v>0</v>
      </c>
      <c r="D10" s="2224">
        <v>0</v>
      </c>
      <c r="E10" s="2224">
        <v>0</v>
      </c>
      <c r="F10" s="2167">
        <v>0</v>
      </c>
      <c r="G10" s="2167">
        <v>0</v>
      </c>
      <c r="H10" s="2224">
        <f t="shared" ref="H10:H42" si="1">SUM(C10:G10)</f>
        <v>0</v>
      </c>
      <c r="I10" s="2225">
        <f t="shared" si="0"/>
        <v>0</v>
      </c>
      <c r="O10" s="694"/>
      <c r="P10" s="2143"/>
      <c r="Q10" s="1142"/>
      <c r="R10" s="1142"/>
      <c r="S10" s="1142"/>
      <c r="T10" s="1142"/>
      <c r="U10" s="1142"/>
    </row>
    <row r="11" spans="2:22" x14ac:dyDescent="0.25">
      <c r="B11" s="2223" t="s">
        <v>202</v>
      </c>
      <c r="C11" s="2224">
        <v>0</v>
      </c>
      <c r="D11" s="2224">
        <v>0</v>
      </c>
      <c r="E11" s="2224">
        <v>0</v>
      </c>
      <c r="F11" s="2167">
        <v>0</v>
      </c>
      <c r="G11" s="2167">
        <v>0</v>
      </c>
      <c r="H11" s="2224">
        <f t="shared" si="1"/>
        <v>0</v>
      </c>
      <c r="I11" s="2225">
        <f t="shared" si="0"/>
        <v>0</v>
      </c>
      <c r="O11" s="694"/>
      <c r="P11" s="2143"/>
      <c r="Q11" s="1142"/>
      <c r="R11" s="1142"/>
      <c r="S11" s="1142"/>
      <c r="T11" s="1142"/>
      <c r="U11" s="1142"/>
      <c r="V11" s="1597"/>
    </row>
    <row r="12" spans="2:22" x14ac:dyDescent="0.25">
      <c r="B12" s="2223" t="s">
        <v>203</v>
      </c>
      <c r="C12" s="2224">
        <v>0</v>
      </c>
      <c r="D12" s="2224">
        <v>0</v>
      </c>
      <c r="E12" s="2224">
        <v>0</v>
      </c>
      <c r="F12" s="2167">
        <v>0</v>
      </c>
      <c r="G12" s="2167">
        <v>0</v>
      </c>
      <c r="H12" s="2224">
        <f t="shared" si="1"/>
        <v>0</v>
      </c>
      <c r="I12" s="2225">
        <f t="shared" si="0"/>
        <v>0</v>
      </c>
      <c r="O12" s="694"/>
      <c r="P12" s="2143"/>
      <c r="Q12" s="1142"/>
      <c r="R12" s="1142"/>
      <c r="S12" s="1142"/>
      <c r="T12" s="1142"/>
      <c r="U12" s="1142"/>
      <c r="V12" s="1597"/>
    </row>
    <row r="13" spans="2:22" x14ac:dyDescent="0.25">
      <c r="B13" s="2223" t="s">
        <v>204</v>
      </c>
      <c r="C13" s="2224">
        <v>0</v>
      </c>
      <c r="D13" s="2224">
        <v>0</v>
      </c>
      <c r="E13" s="2224">
        <v>0</v>
      </c>
      <c r="F13" s="2167">
        <v>0</v>
      </c>
      <c r="G13" s="2167">
        <v>0</v>
      </c>
      <c r="H13" s="2224">
        <f t="shared" si="1"/>
        <v>0</v>
      </c>
      <c r="I13" s="2225">
        <f t="shared" si="0"/>
        <v>0</v>
      </c>
      <c r="O13" s="694"/>
      <c r="P13" s="2143"/>
      <c r="Q13" s="1142"/>
      <c r="R13" s="1142"/>
      <c r="S13" s="1142"/>
      <c r="T13" s="1142"/>
      <c r="U13" s="1142"/>
    </row>
    <row r="14" spans="2:22" x14ac:dyDescent="0.25">
      <c r="B14" s="2223" t="s">
        <v>205</v>
      </c>
      <c r="C14" s="2224">
        <v>0</v>
      </c>
      <c r="D14" s="2224">
        <v>0</v>
      </c>
      <c r="E14" s="2224">
        <v>0</v>
      </c>
      <c r="F14" s="2167">
        <v>0</v>
      </c>
      <c r="G14" s="2167">
        <v>0</v>
      </c>
      <c r="H14" s="2224">
        <f t="shared" si="1"/>
        <v>0</v>
      </c>
      <c r="I14" s="2225">
        <f t="shared" si="0"/>
        <v>0</v>
      </c>
      <c r="O14" s="694"/>
      <c r="P14" s="2143"/>
      <c r="Q14" s="1142"/>
      <c r="R14" s="1142"/>
      <c r="S14" s="1142"/>
      <c r="T14" s="1142"/>
      <c r="U14" s="1142"/>
      <c r="V14" s="1597"/>
    </row>
    <row r="15" spans="2:22" x14ac:dyDescent="0.25">
      <c r="B15" s="2223" t="s">
        <v>206</v>
      </c>
      <c r="C15" s="2224">
        <v>0</v>
      </c>
      <c r="D15" s="2224">
        <v>0</v>
      </c>
      <c r="E15" s="2224">
        <v>0</v>
      </c>
      <c r="F15" s="2167">
        <v>0</v>
      </c>
      <c r="G15" s="2167">
        <v>0</v>
      </c>
      <c r="H15" s="2224">
        <f t="shared" si="1"/>
        <v>0</v>
      </c>
      <c r="I15" s="2225">
        <f t="shared" si="0"/>
        <v>0</v>
      </c>
      <c r="O15" s="694"/>
      <c r="P15" s="2143"/>
      <c r="Q15" s="1142"/>
      <c r="R15" s="1142"/>
      <c r="S15" s="1142"/>
      <c r="T15" s="1142"/>
      <c r="U15" s="1142"/>
    </row>
    <row r="16" spans="2:22" x14ac:dyDescent="0.25">
      <c r="B16" s="2223" t="s">
        <v>207</v>
      </c>
      <c r="C16" s="2224">
        <v>0</v>
      </c>
      <c r="D16" s="2224">
        <v>0</v>
      </c>
      <c r="E16" s="2224">
        <v>0</v>
      </c>
      <c r="F16" s="2167">
        <v>0</v>
      </c>
      <c r="G16" s="2167">
        <v>0</v>
      </c>
      <c r="H16" s="2224">
        <f t="shared" si="1"/>
        <v>0</v>
      </c>
      <c r="I16" s="2225">
        <f t="shared" si="0"/>
        <v>0</v>
      </c>
      <c r="O16" s="694"/>
      <c r="P16" s="2143"/>
      <c r="Q16" s="1142"/>
      <c r="R16" s="1142"/>
      <c r="S16" s="1142"/>
      <c r="T16" s="1142"/>
      <c r="U16" s="1142"/>
      <c r="V16" s="1597"/>
    </row>
    <row r="17" spans="2:22" x14ac:dyDescent="0.25">
      <c r="B17" s="2223" t="s">
        <v>208</v>
      </c>
      <c r="C17" s="2224">
        <v>0</v>
      </c>
      <c r="D17" s="2224">
        <v>0</v>
      </c>
      <c r="E17" s="2224">
        <v>0</v>
      </c>
      <c r="F17" s="2167">
        <v>0</v>
      </c>
      <c r="G17" s="2167">
        <v>0</v>
      </c>
      <c r="H17" s="2224">
        <f t="shared" si="1"/>
        <v>0</v>
      </c>
      <c r="I17" s="2225">
        <f t="shared" si="0"/>
        <v>0</v>
      </c>
      <c r="O17" s="694"/>
      <c r="P17" s="2143"/>
      <c r="Q17" s="1142"/>
      <c r="R17" s="1142"/>
      <c r="S17" s="1142"/>
      <c r="T17" s="1142"/>
      <c r="U17" s="1142"/>
      <c r="V17" s="1597"/>
    </row>
    <row r="18" spans="2:22" x14ac:dyDescent="0.25">
      <c r="B18" s="2223" t="s">
        <v>209</v>
      </c>
      <c r="C18" s="2224">
        <v>0</v>
      </c>
      <c r="D18" s="2224">
        <v>0</v>
      </c>
      <c r="E18" s="2224">
        <v>0</v>
      </c>
      <c r="F18" s="2167">
        <v>0</v>
      </c>
      <c r="G18" s="2167">
        <v>0</v>
      </c>
      <c r="H18" s="2224">
        <f t="shared" si="1"/>
        <v>0</v>
      </c>
      <c r="I18" s="2225">
        <f t="shared" si="0"/>
        <v>0</v>
      </c>
      <c r="O18" s="694"/>
      <c r="P18" s="2143"/>
      <c r="Q18" s="1142"/>
      <c r="R18" s="1142"/>
      <c r="S18" s="1142"/>
      <c r="T18" s="1142"/>
      <c r="U18" s="1142"/>
    </row>
    <row r="19" spans="2:22" x14ac:dyDescent="0.25">
      <c r="B19" s="2223" t="s">
        <v>210</v>
      </c>
      <c r="C19" s="2224">
        <v>0</v>
      </c>
      <c r="D19" s="2224">
        <v>0</v>
      </c>
      <c r="E19" s="2224">
        <v>0</v>
      </c>
      <c r="F19" s="2167">
        <v>0</v>
      </c>
      <c r="G19" s="2167">
        <v>0</v>
      </c>
      <c r="H19" s="2224">
        <f t="shared" si="1"/>
        <v>0</v>
      </c>
      <c r="I19" s="2225">
        <f t="shared" si="0"/>
        <v>0</v>
      </c>
      <c r="O19" s="694"/>
      <c r="P19" s="2143"/>
      <c r="Q19" s="1142"/>
      <c r="R19" s="1142"/>
      <c r="S19" s="1142"/>
      <c r="T19" s="1142"/>
      <c r="U19" s="1142"/>
      <c r="V19" s="1597"/>
    </row>
    <row r="20" spans="2:22" x14ac:dyDescent="0.25">
      <c r="B20" s="2223" t="s">
        <v>211</v>
      </c>
      <c r="C20" s="2224">
        <v>0</v>
      </c>
      <c r="D20" s="2224">
        <v>0</v>
      </c>
      <c r="E20" s="2224">
        <v>0</v>
      </c>
      <c r="F20" s="2167">
        <v>0</v>
      </c>
      <c r="G20" s="2167">
        <v>0</v>
      </c>
      <c r="H20" s="2224">
        <f t="shared" si="1"/>
        <v>0</v>
      </c>
      <c r="I20" s="2225">
        <f t="shared" si="0"/>
        <v>0</v>
      </c>
      <c r="O20" s="694"/>
      <c r="P20" s="2143"/>
      <c r="Q20" s="1142"/>
      <c r="R20" s="1142"/>
      <c r="S20" s="1142"/>
      <c r="T20" s="1142"/>
      <c r="U20" s="1142"/>
    </row>
    <row r="21" spans="2:22" x14ac:dyDescent="0.25">
      <c r="B21" s="2223" t="s">
        <v>3170</v>
      </c>
      <c r="C21" s="2224">
        <v>0</v>
      </c>
      <c r="D21" s="2224">
        <v>0</v>
      </c>
      <c r="E21" s="2224">
        <v>0</v>
      </c>
      <c r="F21" s="2167">
        <v>0</v>
      </c>
      <c r="G21" s="2167">
        <v>0</v>
      </c>
      <c r="H21" s="2224">
        <f t="shared" si="1"/>
        <v>0</v>
      </c>
      <c r="I21" s="2225">
        <f t="shared" si="0"/>
        <v>0</v>
      </c>
      <c r="O21" s="694"/>
      <c r="P21" s="2143"/>
      <c r="Q21" s="1142"/>
      <c r="R21" s="1142"/>
      <c r="S21" s="1142"/>
      <c r="T21" s="1142"/>
      <c r="U21" s="1142"/>
    </row>
    <row r="22" spans="2:22" x14ac:dyDescent="0.25">
      <c r="B22" s="2223" t="s">
        <v>212</v>
      </c>
      <c r="C22" s="2224">
        <v>0</v>
      </c>
      <c r="D22" s="2224">
        <v>0</v>
      </c>
      <c r="E22" s="2224">
        <v>0</v>
      </c>
      <c r="F22" s="2167">
        <v>0</v>
      </c>
      <c r="G22" s="2167">
        <v>0</v>
      </c>
      <c r="H22" s="2224">
        <f t="shared" si="1"/>
        <v>0</v>
      </c>
      <c r="I22" s="2225">
        <f t="shared" si="0"/>
        <v>0</v>
      </c>
      <c r="O22" s="694"/>
      <c r="P22" s="2143"/>
      <c r="Q22" s="1142"/>
      <c r="R22" s="1142"/>
      <c r="S22" s="1142"/>
      <c r="T22" s="1142"/>
      <c r="U22" s="1142"/>
    </row>
    <row r="23" spans="2:22" x14ac:dyDescent="0.25">
      <c r="B23" s="2223" t="s">
        <v>213</v>
      </c>
      <c r="C23" s="2224">
        <v>0</v>
      </c>
      <c r="D23" s="2224">
        <v>0</v>
      </c>
      <c r="E23" s="2224">
        <v>0</v>
      </c>
      <c r="F23" s="2167">
        <v>0</v>
      </c>
      <c r="G23" s="2167">
        <v>0</v>
      </c>
      <c r="H23" s="2224">
        <f t="shared" si="1"/>
        <v>0</v>
      </c>
      <c r="I23" s="2225">
        <f t="shared" si="0"/>
        <v>0</v>
      </c>
      <c r="O23" s="694"/>
      <c r="P23" s="2143"/>
      <c r="Q23" s="1142"/>
      <c r="R23" s="1142"/>
      <c r="S23" s="1142"/>
      <c r="T23" s="1142"/>
      <c r="U23" s="1142"/>
    </row>
    <row r="24" spans="2:22" x14ac:dyDescent="0.25">
      <c r="B24" s="2223" t="s">
        <v>214</v>
      </c>
      <c r="C24" s="2224">
        <v>0</v>
      </c>
      <c r="D24" s="2224">
        <v>0</v>
      </c>
      <c r="E24" s="2224">
        <v>0</v>
      </c>
      <c r="F24" s="2167">
        <v>0</v>
      </c>
      <c r="G24" s="2167">
        <v>0</v>
      </c>
      <c r="H24" s="2224">
        <f t="shared" si="1"/>
        <v>0</v>
      </c>
      <c r="I24" s="2225">
        <f t="shared" si="0"/>
        <v>0</v>
      </c>
      <c r="O24" s="694"/>
      <c r="P24" s="2143"/>
      <c r="Q24" s="1142"/>
      <c r="R24" s="1142"/>
      <c r="S24" s="1142"/>
      <c r="T24" s="1142"/>
      <c r="U24" s="1142"/>
    </row>
    <row r="25" spans="2:22" x14ac:dyDescent="0.25">
      <c r="B25" s="2223" t="s">
        <v>215</v>
      </c>
      <c r="C25" s="2224">
        <v>0</v>
      </c>
      <c r="D25" s="2224">
        <v>0</v>
      </c>
      <c r="E25" s="2224">
        <v>0</v>
      </c>
      <c r="F25" s="2167">
        <v>0</v>
      </c>
      <c r="G25" s="2167">
        <v>0</v>
      </c>
      <c r="H25" s="2224">
        <f t="shared" si="1"/>
        <v>0</v>
      </c>
      <c r="I25" s="2225">
        <f t="shared" si="0"/>
        <v>0</v>
      </c>
      <c r="O25" s="694"/>
      <c r="P25" s="2143"/>
      <c r="Q25" s="1142"/>
      <c r="R25" s="1142"/>
      <c r="S25" s="1142"/>
      <c r="T25" s="1142"/>
      <c r="U25" s="1142"/>
    </row>
    <row r="26" spans="2:22" x14ac:dyDescent="0.25">
      <c r="B26" s="2223" t="s">
        <v>3114</v>
      </c>
      <c r="C26" s="2224">
        <v>0</v>
      </c>
      <c r="D26" s="2224">
        <v>0</v>
      </c>
      <c r="E26" s="2224">
        <v>0</v>
      </c>
      <c r="F26" s="2167">
        <v>0</v>
      </c>
      <c r="G26" s="2167">
        <v>0</v>
      </c>
      <c r="H26" s="2224">
        <f t="shared" si="1"/>
        <v>0</v>
      </c>
      <c r="I26" s="2225">
        <f t="shared" si="0"/>
        <v>0</v>
      </c>
      <c r="O26" s="694"/>
      <c r="P26" s="2143"/>
      <c r="Q26" s="1142"/>
      <c r="R26" s="1142"/>
      <c r="S26" s="1142"/>
      <c r="T26" s="1142"/>
      <c r="U26" s="1142"/>
    </row>
    <row r="27" spans="2:22" x14ac:dyDescent="0.25">
      <c r="B27" s="1818" t="s">
        <v>216</v>
      </c>
      <c r="C27" s="1841">
        <v>2</v>
      </c>
      <c r="D27" s="1841">
        <v>0</v>
      </c>
      <c r="E27" s="1841">
        <v>0</v>
      </c>
      <c r="F27" s="1281">
        <v>0</v>
      </c>
      <c r="G27" s="1281">
        <v>0</v>
      </c>
      <c r="H27" s="1841">
        <f t="shared" si="1"/>
        <v>2</v>
      </c>
      <c r="I27" s="2152">
        <f t="shared" si="0"/>
        <v>5.7142857142857141E-2</v>
      </c>
      <c r="O27" s="694"/>
      <c r="P27" s="2143"/>
      <c r="Q27" s="1142"/>
      <c r="R27" s="1142"/>
      <c r="S27" s="1142"/>
      <c r="T27" s="1142"/>
      <c r="U27" s="1142"/>
    </row>
    <row r="28" spans="2:22" x14ac:dyDescent="0.25">
      <c r="B28" s="1818" t="s">
        <v>217</v>
      </c>
      <c r="C28" s="1841">
        <v>5</v>
      </c>
      <c r="D28" s="1841">
        <v>0</v>
      </c>
      <c r="E28" s="1841">
        <v>2</v>
      </c>
      <c r="F28" s="1281">
        <v>0</v>
      </c>
      <c r="G28" s="1281">
        <v>0</v>
      </c>
      <c r="H28" s="1841">
        <f t="shared" si="1"/>
        <v>7</v>
      </c>
      <c r="I28" s="2152">
        <f t="shared" si="0"/>
        <v>0.2</v>
      </c>
      <c r="O28" s="694"/>
      <c r="P28" s="2143"/>
      <c r="Q28" s="1142"/>
      <c r="R28" s="1142"/>
      <c r="S28" s="1142"/>
      <c r="T28" s="1142"/>
      <c r="U28" s="1142"/>
    </row>
    <row r="29" spans="2:22" x14ac:dyDescent="0.25">
      <c r="B29" s="1818" t="s">
        <v>218</v>
      </c>
      <c r="C29" s="1841">
        <v>0</v>
      </c>
      <c r="D29" s="1841">
        <v>0</v>
      </c>
      <c r="E29" s="1841">
        <v>1</v>
      </c>
      <c r="F29" s="1281">
        <v>0</v>
      </c>
      <c r="G29" s="1281">
        <v>0</v>
      </c>
      <c r="H29" s="1841">
        <f t="shared" si="1"/>
        <v>1</v>
      </c>
      <c r="I29" s="2152">
        <f t="shared" si="0"/>
        <v>2.8571428571428571E-2</v>
      </c>
      <c r="O29" s="694"/>
      <c r="P29" s="2143"/>
      <c r="Q29" s="1142"/>
      <c r="R29" s="1142"/>
      <c r="S29" s="1142"/>
      <c r="T29" s="1142"/>
      <c r="U29" s="1142"/>
    </row>
    <row r="30" spans="2:22" x14ac:dyDescent="0.25">
      <c r="B30" s="1818" t="s">
        <v>353</v>
      </c>
      <c r="C30" s="1841">
        <v>1</v>
      </c>
      <c r="D30" s="1841">
        <v>0</v>
      </c>
      <c r="E30" s="1841">
        <v>2</v>
      </c>
      <c r="F30" s="1281">
        <v>1</v>
      </c>
      <c r="G30" s="1281">
        <v>0</v>
      </c>
      <c r="H30" s="1841">
        <f t="shared" si="1"/>
        <v>4</v>
      </c>
      <c r="I30" s="2152">
        <f t="shared" si="0"/>
        <v>0.11428571428571428</v>
      </c>
      <c r="O30" s="694"/>
      <c r="P30" s="2143"/>
      <c r="Q30" s="1142"/>
      <c r="R30" s="1142"/>
      <c r="S30" s="1142"/>
      <c r="T30" s="1142"/>
      <c r="U30" s="1142"/>
    </row>
    <row r="31" spans="2:22" x14ac:dyDescent="0.25">
      <c r="B31" s="1818" t="s">
        <v>220</v>
      </c>
      <c r="C31" s="1841">
        <v>1</v>
      </c>
      <c r="D31" s="1841">
        <v>0</v>
      </c>
      <c r="E31" s="1841">
        <v>0</v>
      </c>
      <c r="F31" s="1281">
        <v>0</v>
      </c>
      <c r="G31" s="1281">
        <v>0</v>
      </c>
      <c r="H31" s="1841">
        <f t="shared" si="1"/>
        <v>1</v>
      </c>
      <c r="I31" s="2152">
        <f t="shared" si="0"/>
        <v>2.8571428571428571E-2</v>
      </c>
      <c r="O31" s="694"/>
      <c r="P31" s="2143"/>
      <c r="Q31" s="1142"/>
      <c r="R31" s="1142"/>
      <c r="S31" s="1142"/>
      <c r="T31" s="1142"/>
      <c r="U31" s="1142"/>
    </row>
    <row r="32" spans="2:22" x14ac:dyDescent="0.25">
      <c r="B32" s="2223" t="s">
        <v>221</v>
      </c>
      <c r="C32" s="2224">
        <v>0</v>
      </c>
      <c r="D32" s="2224">
        <v>0</v>
      </c>
      <c r="E32" s="2224">
        <v>0</v>
      </c>
      <c r="F32" s="2167">
        <v>0</v>
      </c>
      <c r="G32" s="2167">
        <v>0</v>
      </c>
      <c r="H32" s="2224">
        <f t="shared" si="1"/>
        <v>0</v>
      </c>
      <c r="I32" s="2225">
        <f t="shared" si="0"/>
        <v>0</v>
      </c>
      <c r="O32" s="694"/>
      <c r="P32" s="2143"/>
      <c r="Q32" s="1142"/>
      <c r="R32" s="1142"/>
      <c r="S32" s="1142"/>
      <c r="T32" s="1142"/>
      <c r="U32" s="1142"/>
    </row>
    <row r="33" spans="2:21" x14ac:dyDescent="0.25">
      <c r="B33" s="2223" t="s">
        <v>222</v>
      </c>
      <c r="C33" s="2224">
        <v>0</v>
      </c>
      <c r="D33" s="2224">
        <v>0</v>
      </c>
      <c r="E33" s="2224">
        <v>0</v>
      </c>
      <c r="F33" s="2167">
        <v>0</v>
      </c>
      <c r="G33" s="2167">
        <v>0</v>
      </c>
      <c r="H33" s="2224">
        <f t="shared" si="1"/>
        <v>0</v>
      </c>
      <c r="I33" s="2225">
        <f t="shared" si="0"/>
        <v>0</v>
      </c>
      <c r="O33" s="694"/>
      <c r="P33" s="2143"/>
      <c r="Q33" s="1142"/>
      <c r="R33" s="1142"/>
      <c r="S33" s="1142"/>
      <c r="T33" s="1142"/>
      <c r="U33" s="1142"/>
    </row>
    <row r="34" spans="2:21" x14ac:dyDescent="0.25">
      <c r="B34" s="2223" t="s">
        <v>223</v>
      </c>
      <c r="C34" s="2224">
        <v>0</v>
      </c>
      <c r="D34" s="2224">
        <v>0</v>
      </c>
      <c r="E34" s="2224">
        <v>0</v>
      </c>
      <c r="F34" s="2167">
        <v>0</v>
      </c>
      <c r="G34" s="2167">
        <v>0</v>
      </c>
      <c r="H34" s="2224">
        <f t="shared" si="1"/>
        <v>0</v>
      </c>
      <c r="I34" s="2225">
        <f t="shared" si="0"/>
        <v>0</v>
      </c>
    </row>
    <row r="35" spans="2:21" x14ac:dyDescent="0.25">
      <c r="B35" s="2223" t="s">
        <v>224</v>
      </c>
      <c r="C35" s="2224">
        <v>0</v>
      </c>
      <c r="D35" s="2224">
        <v>0</v>
      </c>
      <c r="E35" s="2224">
        <v>0</v>
      </c>
      <c r="F35" s="2167">
        <v>0</v>
      </c>
      <c r="G35" s="2167">
        <v>0</v>
      </c>
      <c r="H35" s="2224">
        <f t="shared" si="1"/>
        <v>0</v>
      </c>
      <c r="I35" s="2225">
        <f t="shared" si="0"/>
        <v>0</v>
      </c>
    </row>
    <row r="36" spans="2:21" x14ac:dyDescent="0.25">
      <c r="B36" s="2223" t="s">
        <v>225</v>
      </c>
      <c r="C36" s="2224">
        <v>0</v>
      </c>
      <c r="D36" s="2224">
        <v>0</v>
      </c>
      <c r="E36" s="2224">
        <v>0</v>
      </c>
      <c r="F36" s="2167">
        <v>0</v>
      </c>
      <c r="G36" s="2167">
        <v>0</v>
      </c>
      <c r="H36" s="2224">
        <f t="shared" si="1"/>
        <v>0</v>
      </c>
      <c r="I36" s="2225">
        <f t="shared" si="0"/>
        <v>0</v>
      </c>
    </row>
    <row r="37" spans="2:21" x14ac:dyDescent="0.25">
      <c r="B37" s="1818" t="s">
        <v>226</v>
      </c>
      <c r="C37" s="1841">
        <v>10</v>
      </c>
      <c r="D37" s="1841">
        <v>0</v>
      </c>
      <c r="E37" s="1841">
        <v>0</v>
      </c>
      <c r="F37" s="1281">
        <v>0</v>
      </c>
      <c r="G37" s="1281">
        <v>0</v>
      </c>
      <c r="H37" s="1841">
        <f t="shared" si="1"/>
        <v>10</v>
      </c>
      <c r="I37" s="2152">
        <f t="shared" si="0"/>
        <v>0.2857142857142857</v>
      </c>
    </row>
    <row r="38" spans="2:21" x14ac:dyDescent="0.25">
      <c r="B38" s="1818" t="s">
        <v>227</v>
      </c>
      <c r="C38" s="1841">
        <v>1</v>
      </c>
      <c r="D38" s="1841">
        <v>0</v>
      </c>
      <c r="E38" s="1841">
        <v>0</v>
      </c>
      <c r="F38" s="1281">
        <v>0</v>
      </c>
      <c r="G38" s="1281">
        <v>0</v>
      </c>
      <c r="H38" s="1841">
        <f t="shared" si="1"/>
        <v>1</v>
      </c>
      <c r="I38" s="2152">
        <f t="shared" si="0"/>
        <v>2.8571428571428571E-2</v>
      </c>
    </row>
    <row r="39" spans="2:21" x14ac:dyDescent="0.25">
      <c r="B39" s="2223" t="s">
        <v>228</v>
      </c>
      <c r="C39" s="2224">
        <v>0</v>
      </c>
      <c r="D39" s="2224">
        <v>0</v>
      </c>
      <c r="E39" s="2224">
        <v>0</v>
      </c>
      <c r="F39" s="2167">
        <v>0</v>
      </c>
      <c r="G39" s="2167">
        <v>0</v>
      </c>
      <c r="H39" s="2224">
        <f t="shared" si="1"/>
        <v>0</v>
      </c>
      <c r="I39" s="2225">
        <f t="shared" si="0"/>
        <v>0</v>
      </c>
    </row>
    <row r="40" spans="2:21" x14ac:dyDescent="0.25">
      <c r="B40" s="2223" t="s">
        <v>229</v>
      </c>
      <c r="C40" s="2224">
        <v>0</v>
      </c>
      <c r="D40" s="2224">
        <v>0</v>
      </c>
      <c r="E40" s="2224">
        <v>0</v>
      </c>
      <c r="F40" s="2167">
        <v>0</v>
      </c>
      <c r="G40" s="2167">
        <v>0</v>
      </c>
      <c r="H40" s="2224">
        <f t="shared" si="1"/>
        <v>0</v>
      </c>
      <c r="I40" s="2225">
        <f t="shared" si="0"/>
        <v>0</v>
      </c>
    </row>
    <row r="41" spans="2:21" x14ac:dyDescent="0.25">
      <c r="B41" s="2223" t="s">
        <v>3171</v>
      </c>
      <c r="C41" s="2224">
        <v>0</v>
      </c>
      <c r="D41" s="2224">
        <v>0</v>
      </c>
      <c r="E41" s="2224">
        <v>0</v>
      </c>
      <c r="F41" s="2167">
        <v>0</v>
      </c>
      <c r="G41" s="2167">
        <v>0</v>
      </c>
      <c r="H41" s="2224">
        <f t="shared" si="1"/>
        <v>0</v>
      </c>
      <c r="I41" s="2225">
        <f t="shared" si="0"/>
        <v>0</v>
      </c>
    </row>
    <row r="42" spans="2:21" x14ac:dyDescent="0.25">
      <c r="B42" s="2223" t="s">
        <v>3140</v>
      </c>
      <c r="C42" s="2224">
        <v>0</v>
      </c>
      <c r="D42" s="2224">
        <v>0</v>
      </c>
      <c r="E42" s="2224">
        <v>0</v>
      </c>
      <c r="F42" s="2167">
        <v>0</v>
      </c>
      <c r="G42" s="2167">
        <v>0</v>
      </c>
      <c r="H42" s="2224">
        <f t="shared" si="1"/>
        <v>0</v>
      </c>
      <c r="I42" s="2225">
        <f t="shared" si="0"/>
        <v>0</v>
      </c>
    </row>
    <row r="43" spans="2:21" x14ac:dyDescent="0.25">
      <c r="B43" s="2223" t="s">
        <v>231</v>
      </c>
      <c r="C43" s="2224">
        <v>0</v>
      </c>
      <c r="D43" s="2224">
        <v>0</v>
      </c>
      <c r="E43" s="2224">
        <v>0</v>
      </c>
      <c r="F43" s="2167">
        <v>0</v>
      </c>
      <c r="G43" s="2167">
        <v>0</v>
      </c>
      <c r="H43" s="2224">
        <f>SUM(C43:G43)</f>
        <v>0</v>
      </c>
      <c r="I43" s="2225">
        <f t="shared" si="0"/>
        <v>0</v>
      </c>
    </row>
    <row r="44" spans="2:21" x14ac:dyDescent="0.25">
      <c r="B44" s="2140" t="s">
        <v>232</v>
      </c>
      <c r="C44" s="2145">
        <f>SUM(C9:C43)</f>
        <v>23</v>
      </c>
      <c r="D44" s="2145">
        <f>SUM(D9:D43)</f>
        <v>0</v>
      </c>
      <c r="E44" s="2145">
        <f>SUM(E9:E43)</f>
        <v>5</v>
      </c>
      <c r="F44" s="2145">
        <f>SUM(F9:F43)</f>
        <v>2</v>
      </c>
      <c r="G44" s="2145">
        <f>SUM(G9:G43)</f>
        <v>0</v>
      </c>
      <c r="H44" s="588">
        <f>SUM(C44:G44)</f>
        <v>30</v>
      </c>
      <c r="I44" s="2152">
        <f t="shared" si="0"/>
        <v>0.8571428571428571</v>
      </c>
    </row>
    <row r="45" spans="2:21" x14ac:dyDescent="0.25">
      <c r="B45" s="2144" t="s">
        <v>233</v>
      </c>
      <c r="C45" s="2153">
        <f t="shared" ref="C45:H45" si="2">C44/$H$53</f>
        <v>0.65714285714285714</v>
      </c>
      <c r="D45" s="2153">
        <f t="shared" si="2"/>
        <v>0</v>
      </c>
      <c r="E45" s="2153">
        <f t="shared" si="2"/>
        <v>0.14285714285714285</v>
      </c>
      <c r="F45" s="2153">
        <f t="shared" si="2"/>
        <v>5.7142857142857141E-2</v>
      </c>
      <c r="G45" s="2153">
        <f t="shared" si="2"/>
        <v>0</v>
      </c>
      <c r="H45" s="2153">
        <f t="shared" si="2"/>
        <v>0.8571428571428571</v>
      </c>
      <c r="I45" s="2154"/>
    </row>
    <row r="46" spans="2:21" x14ac:dyDescent="0.25">
      <c r="B46" s="2151" t="s">
        <v>3172</v>
      </c>
      <c r="C46" s="2151"/>
      <c r="D46" s="2151"/>
      <c r="E46" s="2151"/>
      <c r="F46" s="2151"/>
      <c r="G46" s="2151"/>
      <c r="H46" s="2151"/>
      <c r="I46" s="2151"/>
    </row>
    <row r="47" spans="2:21" x14ac:dyDescent="0.25">
      <c r="B47" s="2223" t="s">
        <v>235</v>
      </c>
      <c r="C47" s="2167">
        <v>0</v>
      </c>
      <c r="D47" s="2167">
        <v>0</v>
      </c>
      <c r="E47" s="2167">
        <v>0</v>
      </c>
      <c r="F47" s="2167">
        <v>0</v>
      </c>
      <c r="G47" s="2167">
        <v>0</v>
      </c>
      <c r="H47" s="2224">
        <f>SUM(C47:G47)</f>
        <v>0</v>
      </c>
      <c r="I47" s="2226">
        <f>H47/$H$53</f>
        <v>0</v>
      </c>
    </row>
    <row r="48" spans="2:21" x14ac:dyDescent="0.25">
      <c r="B48" s="1818" t="s">
        <v>236</v>
      </c>
      <c r="C48" s="1281">
        <v>0</v>
      </c>
      <c r="D48" s="1281">
        <v>0</v>
      </c>
      <c r="E48" s="1281">
        <v>1</v>
      </c>
      <c r="F48" s="1281">
        <v>1</v>
      </c>
      <c r="G48" s="1281">
        <v>0</v>
      </c>
      <c r="H48" s="1841">
        <f t="shared" ref="H48:H50" si="3">SUM(C48:G48)</f>
        <v>2</v>
      </c>
      <c r="I48" s="1280">
        <f>H48/$H$53</f>
        <v>5.7142857142857141E-2</v>
      </c>
    </row>
    <row r="49" spans="1:19" x14ac:dyDescent="0.25">
      <c r="B49" s="2223" t="s">
        <v>237</v>
      </c>
      <c r="C49" s="2167">
        <v>0</v>
      </c>
      <c r="D49" s="2167">
        <v>0</v>
      </c>
      <c r="E49" s="2167">
        <v>0</v>
      </c>
      <c r="F49" s="2167">
        <v>0</v>
      </c>
      <c r="G49" s="2167">
        <v>0</v>
      </c>
      <c r="H49" s="2224">
        <f t="shared" si="3"/>
        <v>0</v>
      </c>
      <c r="I49" s="2226">
        <f>H49/$H$53</f>
        <v>0</v>
      </c>
    </row>
    <row r="50" spans="1:19" x14ac:dyDescent="0.25">
      <c r="B50" s="1818" t="s">
        <v>238</v>
      </c>
      <c r="C50" s="1281">
        <v>2</v>
      </c>
      <c r="D50" s="1281">
        <v>0</v>
      </c>
      <c r="E50" s="1281">
        <v>1</v>
      </c>
      <c r="F50" s="1281">
        <v>0</v>
      </c>
      <c r="G50" s="1281">
        <v>0</v>
      </c>
      <c r="H50" s="1841">
        <f t="shared" si="3"/>
        <v>3</v>
      </c>
      <c r="I50" s="1280">
        <f>H50/$H$53</f>
        <v>8.5714285714285715E-2</v>
      </c>
    </row>
    <row r="51" spans="1:19" x14ac:dyDescent="0.25">
      <c r="B51" s="2157" t="s">
        <v>239</v>
      </c>
      <c r="C51" s="2150">
        <f t="shared" ref="C51:H51" si="4">SUM(C47:C50)</f>
        <v>2</v>
      </c>
      <c r="D51" s="2150">
        <f t="shared" si="4"/>
        <v>0</v>
      </c>
      <c r="E51" s="2150">
        <f t="shared" si="4"/>
        <v>2</v>
      </c>
      <c r="F51" s="2150">
        <f t="shared" si="4"/>
        <v>1</v>
      </c>
      <c r="G51" s="2150">
        <f t="shared" si="4"/>
        <v>0</v>
      </c>
      <c r="H51" s="2150">
        <f t="shared" si="4"/>
        <v>5</v>
      </c>
      <c r="I51" s="2158">
        <f>H51/$H$53</f>
        <v>0.14285714285714285</v>
      </c>
    </row>
    <row r="52" spans="1:19" x14ac:dyDescent="0.25">
      <c r="B52" s="2144" t="s">
        <v>233</v>
      </c>
      <c r="C52" s="2153">
        <f t="shared" ref="C52:H52" si="5">C51/$H$53</f>
        <v>5.7142857142857141E-2</v>
      </c>
      <c r="D52" s="2153">
        <f t="shared" si="5"/>
        <v>0</v>
      </c>
      <c r="E52" s="2153">
        <f t="shared" si="5"/>
        <v>5.7142857142857141E-2</v>
      </c>
      <c r="F52" s="2153">
        <f t="shared" si="5"/>
        <v>2.8571428571428571E-2</v>
      </c>
      <c r="G52" s="2153">
        <f t="shared" si="5"/>
        <v>0</v>
      </c>
      <c r="H52" s="2153">
        <f t="shared" si="5"/>
        <v>0.14285714285714285</v>
      </c>
      <c r="I52" s="2153"/>
    </row>
    <row r="53" spans="1:19" x14ac:dyDescent="0.25">
      <c r="B53" s="2157" t="s">
        <v>150</v>
      </c>
      <c r="C53" s="2150">
        <f t="shared" ref="C53:H53" si="6">SUM(C51+C44)</f>
        <v>25</v>
      </c>
      <c r="D53" s="2150">
        <f t="shared" si="6"/>
        <v>0</v>
      </c>
      <c r="E53" s="2150">
        <f t="shared" si="6"/>
        <v>7</v>
      </c>
      <c r="F53" s="2150">
        <f t="shared" si="6"/>
        <v>3</v>
      </c>
      <c r="G53" s="2150">
        <f t="shared" si="6"/>
        <v>0</v>
      </c>
      <c r="H53" s="2150">
        <f t="shared" si="6"/>
        <v>35</v>
      </c>
      <c r="I53" s="2158">
        <f>H53/$H$53</f>
        <v>1</v>
      </c>
    </row>
    <row r="54" spans="1:19" x14ac:dyDescent="0.25">
      <c r="B54" s="2144" t="s">
        <v>233</v>
      </c>
      <c r="C54" s="2155">
        <f t="shared" ref="C54:H54" si="7">C53/$H$53</f>
        <v>0.7142857142857143</v>
      </c>
      <c r="D54" s="2155">
        <f t="shared" si="7"/>
        <v>0</v>
      </c>
      <c r="E54" s="2155">
        <f t="shared" si="7"/>
        <v>0.2</v>
      </c>
      <c r="F54" s="2155">
        <f t="shared" si="7"/>
        <v>8.5714285714285715E-2</v>
      </c>
      <c r="G54" s="2155">
        <f t="shared" si="7"/>
        <v>0</v>
      </c>
      <c r="H54" s="2155">
        <f t="shared" si="7"/>
        <v>1</v>
      </c>
      <c r="I54" s="2156"/>
    </row>
    <row r="58" spans="1:19" ht="15" customHeight="1" x14ac:dyDescent="0.25">
      <c r="B58" s="4750" t="s">
        <v>3112</v>
      </c>
      <c r="C58" s="2136">
        <v>0</v>
      </c>
      <c r="D58" s="2136">
        <v>0</v>
      </c>
      <c r="E58" s="2091">
        <v>1</v>
      </c>
      <c r="F58" s="2091">
        <f>E58+1</f>
        <v>2</v>
      </c>
      <c r="G58" s="2091">
        <f>F58+1</f>
        <v>3</v>
      </c>
      <c r="H58" s="2091">
        <f t="shared" ref="H58:S58" si="8">G58+1</f>
        <v>4</v>
      </c>
      <c r="I58" s="2091">
        <f t="shared" si="8"/>
        <v>5</v>
      </c>
      <c r="J58" s="2091">
        <f t="shared" si="8"/>
        <v>6</v>
      </c>
      <c r="K58" s="2091">
        <f t="shared" si="8"/>
        <v>7</v>
      </c>
      <c r="L58" s="2091">
        <f t="shared" si="8"/>
        <v>8</v>
      </c>
      <c r="M58" s="2091">
        <f t="shared" si="8"/>
        <v>9</v>
      </c>
      <c r="N58" s="2091">
        <f t="shared" si="8"/>
        <v>10</v>
      </c>
      <c r="O58" s="2091">
        <f t="shared" si="8"/>
        <v>11</v>
      </c>
      <c r="P58" s="2091">
        <f t="shared" si="8"/>
        <v>12</v>
      </c>
      <c r="Q58" s="2091">
        <f t="shared" si="8"/>
        <v>13</v>
      </c>
      <c r="R58" s="2091">
        <f t="shared" si="8"/>
        <v>14</v>
      </c>
      <c r="S58" s="2092">
        <f t="shared" si="8"/>
        <v>15</v>
      </c>
    </row>
    <row r="59" spans="1:19" x14ac:dyDescent="0.25">
      <c r="B59" s="4751"/>
      <c r="C59" s="2137">
        <v>2018</v>
      </c>
      <c r="D59" s="2137">
        <f>C59+1</f>
        <v>2019</v>
      </c>
      <c r="E59" s="2093">
        <f t="shared" ref="E59:S59" si="9">D59+1</f>
        <v>2020</v>
      </c>
      <c r="F59" s="2093">
        <f t="shared" si="9"/>
        <v>2021</v>
      </c>
      <c r="G59" s="2093">
        <f t="shared" si="9"/>
        <v>2022</v>
      </c>
      <c r="H59" s="2093">
        <f t="shared" si="9"/>
        <v>2023</v>
      </c>
      <c r="I59" s="2093">
        <f t="shared" si="9"/>
        <v>2024</v>
      </c>
      <c r="J59" s="2093">
        <f t="shared" si="9"/>
        <v>2025</v>
      </c>
      <c r="K59" s="2093">
        <f t="shared" si="9"/>
        <v>2026</v>
      </c>
      <c r="L59" s="2093">
        <f t="shared" si="9"/>
        <v>2027</v>
      </c>
      <c r="M59" s="2093">
        <f t="shared" si="9"/>
        <v>2028</v>
      </c>
      <c r="N59" s="2093">
        <f t="shared" si="9"/>
        <v>2029</v>
      </c>
      <c r="O59" s="2093">
        <f t="shared" si="9"/>
        <v>2030</v>
      </c>
      <c r="P59" s="2093">
        <f t="shared" si="9"/>
        <v>2031</v>
      </c>
      <c r="Q59" s="2093">
        <f t="shared" si="9"/>
        <v>2032</v>
      </c>
      <c r="R59" s="2093">
        <f t="shared" si="9"/>
        <v>2033</v>
      </c>
      <c r="S59" s="2094">
        <f t="shared" si="9"/>
        <v>2034</v>
      </c>
    </row>
    <row r="60" spans="1:19" x14ac:dyDescent="0.25">
      <c r="A60" s="691">
        <v>1</v>
      </c>
      <c r="B60" s="2121" t="s">
        <v>206</v>
      </c>
      <c r="C60" s="589">
        <f>+$H$9</f>
        <v>4</v>
      </c>
      <c r="D60" s="589">
        <f t="shared" ref="D60:S60" si="10">+$H$9</f>
        <v>4</v>
      </c>
      <c r="E60" s="589">
        <f t="shared" si="10"/>
        <v>4</v>
      </c>
      <c r="F60" s="589">
        <f t="shared" si="10"/>
        <v>4</v>
      </c>
      <c r="G60" s="589">
        <f t="shared" si="10"/>
        <v>4</v>
      </c>
      <c r="H60" s="589">
        <f t="shared" si="10"/>
        <v>4</v>
      </c>
      <c r="I60" s="589">
        <f t="shared" si="10"/>
        <v>4</v>
      </c>
      <c r="J60" s="589">
        <f t="shared" si="10"/>
        <v>4</v>
      </c>
      <c r="K60" s="589">
        <f t="shared" si="10"/>
        <v>4</v>
      </c>
      <c r="L60" s="589">
        <f t="shared" si="10"/>
        <v>4</v>
      </c>
      <c r="M60" s="589">
        <f t="shared" si="10"/>
        <v>4</v>
      </c>
      <c r="N60" s="589">
        <f t="shared" si="10"/>
        <v>4</v>
      </c>
      <c r="O60" s="589">
        <f t="shared" si="10"/>
        <v>4</v>
      </c>
      <c r="P60" s="589">
        <f t="shared" si="10"/>
        <v>4</v>
      </c>
      <c r="Q60" s="589">
        <f t="shared" si="10"/>
        <v>4</v>
      </c>
      <c r="R60" s="589">
        <f t="shared" si="10"/>
        <v>4</v>
      </c>
      <c r="S60" s="589">
        <f t="shared" si="10"/>
        <v>4</v>
      </c>
    </row>
    <row r="61" spans="1:19" ht="32.25" customHeight="1" x14ac:dyDescent="0.25">
      <c r="A61" s="691">
        <v>2</v>
      </c>
      <c r="B61" s="2227" t="s">
        <v>3126</v>
      </c>
      <c r="C61" s="590">
        <f>+$H$10</f>
        <v>0</v>
      </c>
      <c r="D61" s="590">
        <f t="shared" ref="D61:S61" si="11">+$H$10</f>
        <v>0</v>
      </c>
      <c r="E61" s="590">
        <f t="shared" si="11"/>
        <v>0</v>
      </c>
      <c r="F61" s="590">
        <f t="shared" si="11"/>
        <v>0</v>
      </c>
      <c r="G61" s="590">
        <f t="shared" si="11"/>
        <v>0</v>
      </c>
      <c r="H61" s="590">
        <f t="shared" si="11"/>
        <v>0</v>
      </c>
      <c r="I61" s="590">
        <f t="shared" si="11"/>
        <v>0</v>
      </c>
      <c r="J61" s="590">
        <f t="shared" si="11"/>
        <v>0</v>
      </c>
      <c r="K61" s="590">
        <f t="shared" si="11"/>
        <v>0</v>
      </c>
      <c r="L61" s="590">
        <f t="shared" si="11"/>
        <v>0</v>
      </c>
      <c r="M61" s="590">
        <f t="shared" si="11"/>
        <v>0</v>
      </c>
      <c r="N61" s="590">
        <f t="shared" si="11"/>
        <v>0</v>
      </c>
      <c r="O61" s="590">
        <f t="shared" si="11"/>
        <v>0</v>
      </c>
      <c r="P61" s="590">
        <f t="shared" si="11"/>
        <v>0</v>
      </c>
      <c r="Q61" s="590">
        <f t="shared" si="11"/>
        <v>0</v>
      </c>
      <c r="R61" s="590">
        <f t="shared" si="11"/>
        <v>0</v>
      </c>
      <c r="S61" s="590">
        <f t="shared" si="11"/>
        <v>0</v>
      </c>
    </row>
    <row r="62" spans="1:19" x14ac:dyDescent="0.25">
      <c r="A62" s="691">
        <v>3</v>
      </c>
      <c r="B62" s="2227" t="s">
        <v>3127</v>
      </c>
      <c r="C62" s="590">
        <f>+$H$11</f>
        <v>0</v>
      </c>
      <c r="D62" s="590">
        <f t="shared" ref="D62:S62" si="12">+$H$11</f>
        <v>0</v>
      </c>
      <c r="E62" s="590">
        <f t="shared" si="12"/>
        <v>0</v>
      </c>
      <c r="F62" s="590">
        <f t="shared" si="12"/>
        <v>0</v>
      </c>
      <c r="G62" s="590">
        <f t="shared" si="12"/>
        <v>0</v>
      </c>
      <c r="H62" s="590">
        <f t="shared" si="12"/>
        <v>0</v>
      </c>
      <c r="I62" s="590">
        <f t="shared" si="12"/>
        <v>0</v>
      </c>
      <c r="J62" s="590">
        <f t="shared" si="12"/>
        <v>0</v>
      </c>
      <c r="K62" s="590">
        <f t="shared" si="12"/>
        <v>0</v>
      </c>
      <c r="L62" s="590">
        <f t="shared" si="12"/>
        <v>0</v>
      </c>
      <c r="M62" s="590">
        <f t="shared" si="12"/>
        <v>0</v>
      </c>
      <c r="N62" s="590">
        <f t="shared" si="12"/>
        <v>0</v>
      </c>
      <c r="O62" s="590">
        <f t="shared" si="12"/>
        <v>0</v>
      </c>
      <c r="P62" s="590">
        <f t="shared" si="12"/>
        <v>0</v>
      </c>
      <c r="Q62" s="590">
        <f t="shared" si="12"/>
        <v>0</v>
      </c>
      <c r="R62" s="590">
        <f t="shared" si="12"/>
        <v>0</v>
      </c>
      <c r="S62" s="590">
        <f t="shared" si="12"/>
        <v>0</v>
      </c>
    </row>
    <row r="63" spans="1:19" x14ac:dyDescent="0.25">
      <c r="A63" s="691">
        <v>4</v>
      </c>
      <c r="B63" s="2227" t="s">
        <v>3128</v>
      </c>
      <c r="C63" s="590">
        <f>+$H$14</f>
        <v>0</v>
      </c>
      <c r="D63" s="590">
        <f t="shared" ref="D63:S63" si="13">+$H$14</f>
        <v>0</v>
      </c>
      <c r="E63" s="590">
        <f t="shared" si="13"/>
        <v>0</v>
      </c>
      <c r="F63" s="590">
        <f t="shared" si="13"/>
        <v>0</v>
      </c>
      <c r="G63" s="590">
        <f t="shared" si="13"/>
        <v>0</v>
      </c>
      <c r="H63" s="590">
        <f t="shared" si="13"/>
        <v>0</v>
      </c>
      <c r="I63" s="590">
        <f t="shared" si="13"/>
        <v>0</v>
      </c>
      <c r="J63" s="590">
        <f t="shared" si="13"/>
        <v>0</v>
      </c>
      <c r="K63" s="590">
        <f t="shared" si="13"/>
        <v>0</v>
      </c>
      <c r="L63" s="590">
        <f t="shared" si="13"/>
        <v>0</v>
      </c>
      <c r="M63" s="590">
        <f t="shared" si="13"/>
        <v>0</v>
      </c>
      <c r="N63" s="590">
        <f t="shared" si="13"/>
        <v>0</v>
      </c>
      <c r="O63" s="590">
        <f t="shared" si="13"/>
        <v>0</v>
      </c>
      <c r="P63" s="590">
        <f t="shared" si="13"/>
        <v>0</v>
      </c>
      <c r="Q63" s="590">
        <f t="shared" si="13"/>
        <v>0</v>
      </c>
      <c r="R63" s="590">
        <f t="shared" si="13"/>
        <v>0</v>
      </c>
      <c r="S63" s="590">
        <f t="shared" si="13"/>
        <v>0</v>
      </c>
    </row>
    <row r="64" spans="1:19" x14ac:dyDescent="0.25">
      <c r="A64" s="691">
        <v>5</v>
      </c>
      <c r="B64" s="2227" t="s">
        <v>3129</v>
      </c>
      <c r="C64" s="590">
        <f>+$H$15</f>
        <v>0</v>
      </c>
      <c r="D64" s="590">
        <f t="shared" ref="D64:S64" si="14">+$H$15</f>
        <v>0</v>
      </c>
      <c r="E64" s="590">
        <f t="shared" si="14"/>
        <v>0</v>
      </c>
      <c r="F64" s="590">
        <f t="shared" si="14"/>
        <v>0</v>
      </c>
      <c r="G64" s="590">
        <f t="shared" si="14"/>
        <v>0</v>
      </c>
      <c r="H64" s="590">
        <f t="shared" si="14"/>
        <v>0</v>
      </c>
      <c r="I64" s="590">
        <f t="shared" si="14"/>
        <v>0</v>
      </c>
      <c r="J64" s="590">
        <f t="shared" si="14"/>
        <v>0</v>
      </c>
      <c r="K64" s="590">
        <f t="shared" si="14"/>
        <v>0</v>
      </c>
      <c r="L64" s="590">
        <f t="shared" si="14"/>
        <v>0</v>
      </c>
      <c r="M64" s="590">
        <f t="shared" si="14"/>
        <v>0</v>
      </c>
      <c r="N64" s="590">
        <f t="shared" si="14"/>
        <v>0</v>
      </c>
      <c r="O64" s="590">
        <f t="shared" si="14"/>
        <v>0</v>
      </c>
      <c r="P64" s="590">
        <f t="shared" si="14"/>
        <v>0</v>
      </c>
      <c r="Q64" s="590">
        <f t="shared" si="14"/>
        <v>0</v>
      </c>
      <c r="R64" s="590">
        <f t="shared" si="14"/>
        <v>0</v>
      </c>
      <c r="S64" s="590">
        <f t="shared" si="14"/>
        <v>0</v>
      </c>
    </row>
    <row r="65" spans="1:19" x14ac:dyDescent="0.25">
      <c r="A65" s="691">
        <v>6</v>
      </c>
      <c r="B65" s="2227" t="s">
        <v>3130</v>
      </c>
      <c r="C65" s="590">
        <f>+$H$17</f>
        <v>0</v>
      </c>
      <c r="D65" s="590">
        <f t="shared" ref="D65:S65" si="15">+$H$17</f>
        <v>0</v>
      </c>
      <c r="E65" s="590">
        <f t="shared" si="15"/>
        <v>0</v>
      </c>
      <c r="F65" s="590">
        <f t="shared" si="15"/>
        <v>0</v>
      </c>
      <c r="G65" s="590">
        <f t="shared" si="15"/>
        <v>0</v>
      </c>
      <c r="H65" s="590">
        <f t="shared" si="15"/>
        <v>0</v>
      </c>
      <c r="I65" s="590">
        <f t="shared" si="15"/>
        <v>0</v>
      </c>
      <c r="J65" s="590">
        <f t="shared" si="15"/>
        <v>0</v>
      </c>
      <c r="K65" s="590">
        <f t="shared" si="15"/>
        <v>0</v>
      </c>
      <c r="L65" s="590">
        <f t="shared" si="15"/>
        <v>0</v>
      </c>
      <c r="M65" s="590">
        <f t="shared" si="15"/>
        <v>0</v>
      </c>
      <c r="N65" s="590">
        <f t="shared" si="15"/>
        <v>0</v>
      </c>
      <c r="O65" s="590">
        <f t="shared" si="15"/>
        <v>0</v>
      </c>
      <c r="P65" s="590">
        <f t="shared" si="15"/>
        <v>0</v>
      </c>
      <c r="Q65" s="590">
        <f t="shared" si="15"/>
        <v>0</v>
      </c>
      <c r="R65" s="590">
        <f t="shared" si="15"/>
        <v>0</v>
      </c>
      <c r="S65" s="590">
        <f t="shared" si="15"/>
        <v>0</v>
      </c>
    </row>
    <row r="66" spans="1:19" ht="27" customHeight="1" x14ac:dyDescent="0.25">
      <c r="A66" s="691">
        <v>7</v>
      </c>
      <c r="B66" s="2227" t="s">
        <v>3131</v>
      </c>
      <c r="C66" s="590">
        <f>+$H$18</f>
        <v>0</v>
      </c>
      <c r="D66" s="590">
        <f t="shared" ref="D66:S66" si="16">+$H$18</f>
        <v>0</v>
      </c>
      <c r="E66" s="590">
        <f t="shared" si="16"/>
        <v>0</v>
      </c>
      <c r="F66" s="590">
        <f t="shared" si="16"/>
        <v>0</v>
      </c>
      <c r="G66" s="590">
        <f t="shared" si="16"/>
        <v>0</v>
      </c>
      <c r="H66" s="590">
        <f t="shared" si="16"/>
        <v>0</v>
      </c>
      <c r="I66" s="590">
        <f t="shared" si="16"/>
        <v>0</v>
      </c>
      <c r="J66" s="590">
        <f t="shared" si="16"/>
        <v>0</v>
      </c>
      <c r="K66" s="590">
        <f t="shared" si="16"/>
        <v>0</v>
      </c>
      <c r="L66" s="590">
        <f t="shared" si="16"/>
        <v>0</v>
      </c>
      <c r="M66" s="590">
        <f t="shared" si="16"/>
        <v>0</v>
      </c>
      <c r="N66" s="590">
        <f t="shared" si="16"/>
        <v>0</v>
      </c>
      <c r="O66" s="590">
        <f t="shared" si="16"/>
        <v>0</v>
      </c>
      <c r="P66" s="590">
        <f t="shared" si="16"/>
        <v>0</v>
      </c>
      <c r="Q66" s="590">
        <f t="shared" si="16"/>
        <v>0</v>
      </c>
      <c r="R66" s="590">
        <f t="shared" si="16"/>
        <v>0</v>
      </c>
      <c r="S66" s="590">
        <f t="shared" si="16"/>
        <v>0</v>
      </c>
    </row>
    <row r="67" spans="1:19" ht="23.25" customHeight="1" x14ac:dyDescent="0.25">
      <c r="A67" s="691">
        <v>8</v>
      </c>
      <c r="B67" s="2227" t="s">
        <v>3132</v>
      </c>
      <c r="C67" s="590">
        <f>+$H$19</f>
        <v>0</v>
      </c>
      <c r="D67" s="590">
        <f t="shared" ref="D67:S67" si="17">+$H$19</f>
        <v>0</v>
      </c>
      <c r="E67" s="590">
        <f t="shared" si="17"/>
        <v>0</v>
      </c>
      <c r="F67" s="590">
        <f t="shared" si="17"/>
        <v>0</v>
      </c>
      <c r="G67" s="590">
        <f t="shared" si="17"/>
        <v>0</v>
      </c>
      <c r="H67" s="590">
        <f t="shared" si="17"/>
        <v>0</v>
      </c>
      <c r="I67" s="590">
        <f t="shared" si="17"/>
        <v>0</v>
      </c>
      <c r="J67" s="590">
        <f t="shared" si="17"/>
        <v>0</v>
      </c>
      <c r="K67" s="590">
        <f t="shared" si="17"/>
        <v>0</v>
      </c>
      <c r="L67" s="590">
        <f t="shared" si="17"/>
        <v>0</v>
      </c>
      <c r="M67" s="590">
        <f t="shared" si="17"/>
        <v>0</v>
      </c>
      <c r="N67" s="590">
        <f t="shared" si="17"/>
        <v>0</v>
      </c>
      <c r="O67" s="590">
        <f t="shared" si="17"/>
        <v>0</v>
      </c>
      <c r="P67" s="590">
        <f t="shared" si="17"/>
        <v>0</v>
      </c>
      <c r="Q67" s="590">
        <f t="shared" si="17"/>
        <v>0</v>
      </c>
      <c r="R67" s="590">
        <f t="shared" si="17"/>
        <v>0</v>
      </c>
      <c r="S67" s="590">
        <f t="shared" si="17"/>
        <v>0</v>
      </c>
    </row>
    <row r="68" spans="1:19" x14ac:dyDescent="0.25">
      <c r="A68" s="691">
        <v>9</v>
      </c>
      <c r="B68" s="2227" t="s">
        <v>3133</v>
      </c>
      <c r="C68" s="590">
        <f>+$H$20</f>
        <v>0</v>
      </c>
      <c r="D68" s="590">
        <f t="shared" ref="D68:S68" si="18">+$H$20</f>
        <v>0</v>
      </c>
      <c r="E68" s="590">
        <f t="shared" si="18"/>
        <v>0</v>
      </c>
      <c r="F68" s="590">
        <f t="shared" si="18"/>
        <v>0</v>
      </c>
      <c r="G68" s="590">
        <f t="shared" si="18"/>
        <v>0</v>
      </c>
      <c r="H68" s="590">
        <f t="shared" si="18"/>
        <v>0</v>
      </c>
      <c r="I68" s="590">
        <f t="shared" si="18"/>
        <v>0</v>
      </c>
      <c r="J68" s="590">
        <f t="shared" si="18"/>
        <v>0</v>
      </c>
      <c r="K68" s="590">
        <f t="shared" si="18"/>
        <v>0</v>
      </c>
      <c r="L68" s="590">
        <f t="shared" si="18"/>
        <v>0</v>
      </c>
      <c r="M68" s="590">
        <f t="shared" si="18"/>
        <v>0</v>
      </c>
      <c r="N68" s="590">
        <f t="shared" si="18"/>
        <v>0</v>
      </c>
      <c r="O68" s="590">
        <f t="shared" si="18"/>
        <v>0</v>
      </c>
      <c r="P68" s="590">
        <f t="shared" si="18"/>
        <v>0</v>
      </c>
      <c r="Q68" s="590">
        <f t="shared" si="18"/>
        <v>0</v>
      </c>
      <c r="R68" s="590">
        <f t="shared" si="18"/>
        <v>0</v>
      </c>
      <c r="S68" s="590">
        <f t="shared" si="18"/>
        <v>0</v>
      </c>
    </row>
    <row r="69" spans="1:19" x14ac:dyDescent="0.25">
      <c r="A69" s="691">
        <v>10</v>
      </c>
      <c r="B69" s="2227" t="s">
        <v>3134</v>
      </c>
      <c r="C69" s="590">
        <f>+$H$21</f>
        <v>0</v>
      </c>
      <c r="D69" s="590">
        <f t="shared" ref="D69:S69" si="19">+$H$21</f>
        <v>0</v>
      </c>
      <c r="E69" s="590">
        <f t="shared" si="19"/>
        <v>0</v>
      </c>
      <c r="F69" s="590">
        <f t="shared" si="19"/>
        <v>0</v>
      </c>
      <c r="G69" s="590">
        <f t="shared" si="19"/>
        <v>0</v>
      </c>
      <c r="H69" s="590">
        <f t="shared" si="19"/>
        <v>0</v>
      </c>
      <c r="I69" s="590">
        <f t="shared" si="19"/>
        <v>0</v>
      </c>
      <c r="J69" s="590">
        <f t="shared" si="19"/>
        <v>0</v>
      </c>
      <c r="K69" s="590">
        <f t="shared" si="19"/>
        <v>0</v>
      </c>
      <c r="L69" s="590">
        <f t="shared" si="19"/>
        <v>0</v>
      </c>
      <c r="M69" s="590">
        <f t="shared" si="19"/>
        <v>0</v>
      </c>
      <c r="N69" s="590">
        <f t="shared" si="19"/>
        <v>0</v>
      </c>
      <c r="O69" s="590">
        <f t="shared" si="19"/>
        <v>0</v>
      </c>
      <c r="P69" s="590">
        <f t="shared" si="19"/>
        <v>0</v>
      </c>
      <c r="Q69" s="590">
        <f t="shared" si="19"/>
        <v>0</v>
      </c>
      <c r="R69" s="590">
        <f t="shared" si="19"/>
        <v>0</v>
      </c>
      <c r="S69" s="590">
        <f t="shared" si="19"/>
        <v>0</v>
      </c>
    </row>
    <row r="70" spans="1:19" x14ac:dyDescent="0.25">
      <c r="A70" s="691">
        <v>11</v>
      </c>
      <c r="B70" s="2227" t="s">
        <v>3135</v>
      </c>
      <c r="C70" s="590">
        <f>+$H$24</f>
        <v>0</v>
      </c>
      <c r="D70" s="590">
        <f t="shared" ref="D70:S70" si="20">+$H$24</f>
        <v>0</v>
      </c>
      <c r="E70" s="590">
        <f t="shared" si="20"/>
        <v>0</v>
      </c>
      <c r="F70" s="590">
        <f t="shared" si="20"/>
        <v>0</v>
      </c>
      <c r="G70" s="590">
        <f t="shared" si="20"/>
        <v>0</v>
      </c>
      <c r="H70" s="590">
        <f t="shared" si="20"/>
        <v>0</v>
      </c>
      <c r="I70" s="590">
        <f t="shared" si="20"/>
        <v>0</v>
      </c>
      <c r="J70" s="590">
        <f t="shared" si="20"/>
        <v>0</v>
      </c>
      <c r="K70" s="590">
        <f t="shared" si="20"/>
        <v>0</v>
      </c>
      <c r="L70" s="590">
        <f t="shared" si="20"/>
        <v>0</v>
      </c>
      <c r="M70" s="590">
        <f t="shared" si="20"/>
        <v>0</v>
      </c>
      <c r="N70" s="590">
        <f t="shared" si="20"/>
        <v>0</v>
      </c>
      <c r="O70" s="590">
        <f t="shared" si="20"/>
        <v>0</v>
      </c>
      <c r="P70" s="590">
        <f t="shared" si="20"/>
        <v>0</v>
      </c>
      <c r="Q70" s="590">
        <f t="shared" si="20"/>
        <v>0</v>
      </c>
      <c r="R70" s="590">
        <f t="shared" si="20"/>
        <v>0</v>
      </c>
      <c r="S70" s="590">
        <f t="shared" si="20"/>
        <v>0</v>
      </c>
    </row>
    <row r="71" spans="1:19" x14ac:dyDescent="0.25">
      <c r="A71" s="691">
        <v>12</v>
      </c>
      <c r="B71" s="2227" t="s">
        <v>3136</v>
      </c>
      <c r="C71" s="590">
        <f>+$H$26</f>
        <v>0</v>
      </c>
      <c r="D71" s="590">
        <f t="shared" ref="D71:S71" si="21">+$H$26</f>
        <v>0</v>
      </c>
      <c r="E71" s="590">
        <f t="shared" si="21"/>
        <v>0</v>
      </c>
      <c r="F71" s="590">
        <f t="shared" si="21"/>
        <v>0</v>
      </c>
      <c r="G71" s="590">
        <f t="shared" si="21"/>
        <v>0</v>
      </c>
      <c r="H71" s="590">
        <f t="shared" si="21"/>
        <v>0</v>
      </c>
      <c r="I71" s="590">
        <f t="shared" si="21"/>
        <v>0</v>
      </c>
      <c r="J71" s="590">
        <f t="shared" si="21"/>
        <v>0</v>
      </c>
      <c r="K71" s="590">
        <f t="shared" si="21"/>
        <v>0</v>
      </c>
      <c r="L71" s="590">
        <f t="shared" si="21"/>
        <v>0</v>
      </c>
      <c r="M71" s="590">
        <f t="shared" si="21"/>
        <v>0</v>
      </c>
      <c r="N71" s="590">
        <f t="shared" si="21"/>
        <v>0</v>
      </c>
      <c r="O71" s="590">
        <f t="shared" si="21"/>
        <v>0</v>
      </c>
      <c r="P71" s="590">
        <f t="shared" si="21"/>
        <v>0</v>
      </c>
      <c r="Q71" s="590">
        <f t="shared" si="21"/>
        <v>0</v>
      </c>
      <c r="R71" s="590">
        <f t="shared" si="21"/>
        <v>0</v>
      </c>
      <c r="S71" s="590">
        <f t="shared" si="21"/>
        <v>0</v>
      </c>
    </row>
    <row r="72" spans="1:19" x14ac:dyDescent="0.25">
      <c r="A72" s="691">
        <v>13</v>
      </c>
      <c r="B72" s="2121" t="s">
        <v>216</v>
      </c>
      <c r="C72" s="2141">
        <f>+$H$27</f>
        <v>2</v>
      </c>
      <c r="D72" s="2141">
        <f t="shared" ref="D72:S72" si="22">+$H$27</f>
        <v>2</v>
      </c>
      <c r="E72" s="2141">
        <f t="shared" si="22"/>
        <v>2</v>
      </c>
      <c r="F72" s="2141">
        <f t="shared" si="22"/>
        <v>2</v>
      </c>
      <c r="G72" s="2141">
        <f t="shared" si="22"/>
        <v>2</v>
      </c>
      <c r="H72" s="2141">
        <f t="shared" si="22"/>
        <v>2</v>
      </c>
      <c r="I72" s="2141">
        <f t="shared" si="22"/>
        <v>2</v>
      </c>
      <c r="J72" s="2141">
        <f t="shared" si="22"/>
        <v>2</v>
      </c>
      <c r="K72" s="2141">
        <f t="shared" si="22"/>
        <v>2</v>
      </c>
      <c r="L72" s="2141">
        <f t="shared" si="22"/>
        <v>2</v>
      </c>
      <c r="M72" s="2141">
        <f t="shared" si="22"/>
        <v>2</v>
      </c>
      <c r="N72" s="2141">
        <f t="shared" si="22"/>
        <v>2</v>
      </c>
      <c r="O72" s="2141">
        <f t="shared" si="22"/>
        <v>2</v>
      </c>
      <c r="P72" s="2141">
        <f t="shared" si="22"/>
        <v>2</v>
      </c>
      <c r="Q72" s="2141">
        <f t="shared" si="22"/>
        <v>2</v>
      </c>
      <c r="R72" s="2141">
        <f t="shared" si="22"/>
        <v>2</v>
      </c>
      <c r="S72" s="2141">
        <f t="shared" si="22"/>
        <v>2</v>
      </c>
    </row>
    <row r="73" spans="1:19" x14ac:dyDescent="0.25">
      <c r="A73" s="691">
        <v>14</v>
      </c>
      <c r="B73" s="2121" t="s">
        <v>217</v>
      </c>
      <c r="C73" s="2141">
        <f>+$H$28</f>
        <v>7</v>
      </c>
      <c r="D73" s="2141">
        <f t="shared" ref="D73:S73" si="23">+$H$28</f>
        <v>7</v>
      </c>
      <c r="E73" s="2141">
        <f t="shared" si="23"/>
        <v>7</v>
      </c>
      <c r="F73" s="2141">
        <f t="shared" si="23"/>
        <v>7</v>
      </c>
      <c r="G73" s="2141">
        <f t="shared" si="23"/>
        <v>7</v>
      </c>
      <c r="H73" s="2141">
        <f t="shared" si="23"/>
        <v>7</v>
      </c>
      <c r="I73" s="2141">
        <f t="shared" si="23"/>
        <v>7</v>
      </c>
      <c r="J73" s="2141">
        <f t="shared" si="23"/>
        <v>7</v>
      </c>
      <c r="K73" s="2141">
        <f t="shared" si="23"/>
        <v>7</v>
      </c>
      <c r="L73" s="2141">
        <f t="shared" si="23"/>
        <v>7</v>
      </c>
      <c r="M73" s="2141">
        <f t="shared" si="23"/>
        <v>7</v>
      </c>
      <c r="N73" s="2141">
        <f t="shared" si="23"/>
        <v>7</v>
      </c>
      <c r="O73" s="2141">
        <f t="shared" si="23"/>
        <v>7</v>
      </c>
      <c r="P73" s="2141">
        <f t="shared" si="23"/>
        <v>7</v>
      </c>
      <c r="Q73" s="2141">
        <f t="shared" si="23"/>
        <v>7</v>
      </c>
      <c r="R73" s="2141">
        <f t="shared" si="23"/>
        <v>7</v>
      </c>
      <c r="S73" s="2141">
        <f t="shared" si="23"/>
        <v>7</v>
      </c>
    </row>
    <row r="74" spans="1:19" x14ac:dyDescent="0.25">
      <c r="A74" s="691">
        <v>15</v>
      </c>
      <c r="B74" s="2121" t="s">
        <v>218</v>
      </c>
      <c r="C74" s="589">
        <f>+$H$29</f>
        <v>1</v>
      </c>
      <c r="D74" s="589">
        <f t="shared" ref="D74:S74" si="24">+$H$29</f>
        <v>1</v>
      </c>
      <c r="E74" s="589">
        <f t="shared" si="24"/>
        <v>1</v>
      </c>
      <c r="F74" s="589">
        <f t="shared" si="24"/>
        <v>1</v>
      </c>
      <c r="G74" s="589">
        <f t="shared" si="24"/>
        <v>1</v>
      </c>
      <c r="H74" s="589">
        <f t="shared" si="24"/>
        <v>1</v>
      </c>
      <c r="I74" s="589">
        <f t="shared" si="24"/>
        <v>1</v>
      </c>
      <c r="J74" s="589">
        <f t="shared" si="24"/>
        <v>1</v>
      </c>
      <c r="K74" s="589">
        <f t="shared" si="24"/>
        <v>1</v>
      </c>
      <c r="L74" s="589">
        <f t="shared" si="24"/>
        <v>1</v>
      </c>
      <c r="M74" s="589">
        <f t="shared" si="24"/>
        <v>1</v>
      </c>
      <c r="N74" s="589">
        <f t="shared" si="24"/>
        <v>1</v>
      </c>
      <c r="O74" s="589">
        <f t="shared" si="24"/>
        <v>1</v>
      </c>
      <c r="P74" s="589">
        <f t="shared" si="24"/>
        <v>1</v>
      </c>
      <c r="Q74" s="589">
        <f t="shared" si="24"/>
        <v>1</v>
      </c>
      <c r="R74" s="589">
        <f t="shared" si="24"/>
        <v>1</v>
      </c>
      <c r="S74" s="589">
        <f t="shared" si="24"/>
        <v>1</v>
      </c>
    </row>
    <row r="75" spans="1:19" x14ac:dyDescent="0.25">
      <c r="A75" s="691">
        <v>16</v>
      </c>
      <c r="B75" s="2121" t="s">
        <v>353</v>
      </c>
      <c r="C75" s="2141">
        <f>+$H$30</f>
        <v>4</v>
      </c>
      <c r="D75" s="2141">
        <f t="shared" ref="D75:S75" si="25">+$H$30</f>
        <v>4</v>
      </c>
      <c r="E75" s="2141">
        <f t="shared" si="25"/>
        <v>4</v>
      </c>
      <c r="F75" s="2141">
        <f t="shared" si="25"/>
        <v>4</v>
      </c>
      <c r="G75" s="2141">
        <f t="shared" si="25"/>
        <v>4</v>
      </c>
      <c r="H75" s="2141">
        <f t="shared" si="25"/>
        <v>4</v>
      </c>
      <c r="I75" s="2141">
        <f t="shared" si="25"/>
        <v>4</v>
      </c>
      <c r="J75" s="2141">
        <f t="shared" si="25"/>
        <v>4</v>
      </c>
      <c r="K75" s="2141">
        <f t="shared" si="25"/>
        <v>4</v>
      </c>
      <c r="L75" s="2141">
        <f t="shared" si="25"/>
        <v>4</v>
      </c>
      <c r="M75" s="2141">
        <f t="shared" si="25"/>
        <v>4</v>
      </c>
      <c r="N75" s="2141">
        <f t="shared" si="25"/>
        <v>4</v>
      </c>
      <c r="O75" s="2141">
        <f t="shared" si="25"/>
        <v>4</v>
      </c>
      <c r="P75" s="2141">
        <f t="shared" si="25"/>
        <v>4</v>
      </c>
      <c r="Q75" s="2141">
        <f t="shared" si="25"/>
        <v>4</v>
      </c>
      <c r="R75" s="2141">
        <f t="shared" si="25"/>
        <v>4</v>
      </c>
      <c r="S75" s="2141">
        <f t="shared" si="25"/>
        <v>4</v>
      </c>
    </row>
    <row r="76" spans="1:19" x14ac:dyDescent="0.25">
      <c r="A76" s="691">
        <v>17</v>
      </c>
      <c r="B76" s="2121" t="s">
        <v>220</v>
      </c>
      <c r="C76" s="589">
        <f>+$H$31</f>
        <v>1</v>
      </c>
      <c r="D76" s="589">
        <f t="shared" ref="D76:S76" si="26">+$H$31</f>
        <v>1</v>
      </c>
      <c r="E76" s="589">
        <f t="shared" si="26"/>
        <v>1</v>
      </c>
      <c r="F76" s="589">
        <f t="shared" si="26"/>
        <v>1</v>
      </c>
      <c r="G76" s="589">
        <f t="shared" si="26"/>
        <v>1</v>
      </c>
      <c r="H76" s="589">
        <f t="shared" si="26"/>
        <v>1</v>
      </c>
      <c r="I76" s="589">
        <f t="shared" si="26"/>
        <v>1</v>
      </c>
      <c r="J76" s="589">
        <f t="shared" si="26"/>
        <v>1</v>
      </c>
      <c r="K76" s="589">
        <f t="shared" si="26"/>
        <v>1</v>
      </c>
      <c r="L76" s="589">
        <f t="shared" si="26"/>
        <v>1</v>
      </c>
      <c r="M76" s="589">
        <f t="shared" si="26"/>
        <v>1</v>
      </c>
      <c r="N76" s="589">
        <f t="shared" si="26"/>
        <v>1</v>
      </c>
      <c r="O76" s="589">
        <f t="shared" si="26"/>
        <v>1</v>
      </c>
      <c r="P76" s="589">
        <f t="shared" si="26"/>
        <v>1</v>
      </c>
      <c r="Q76" s="589">
        <f t="shared" si="26"/>
        <v>1</v>
      </c>
      <c r="R76" s="589">
        <f t="shared" si="26"/>
        <v>1</v>
      </c>
      <c r="S76" s="589">
        <f t="shared" si="26"/>
        <v>1</v>
      </c>
    </row>
    <row r="77" spans="1:19" x14ac:dyDescent="0.25">
      <c r="A77" s="691">
        <v>18</v>
      </c>
      <c r="B77" s="2227" t="s">
        <v>221</v>
      </c>
      <c r="C77" s="590">
        <f>+$H$32</f>
        <v>0</v>
      </c>
      <c r="D77" s="590">
        <f t="shared" ref="D77:S77" si="27">+$H$32</f>
        <v>0</v>
      </c>
      <c r="E77" s="590">
        <f t="shared" si="27"/>
        <v>0</v>
      </c>
      <c r="F77" s="590">
        <f t="shared" si="27"/>
        <v>0</v>
      </c>
      <c r="G77" s="590">
        <f t="shared" si="27"/>
        <v>0</v>
      </c>
      <c r="H77" s="590">
        <f t="shared" si="27"/>
        <v>0</v>
      </c>
      <c r="I77" s="590">
        <f t="shared" si="27"/>
        <v>0</v>
      </c>
      <c r="J77" s="590">
        <f t="shared" si="27"/>
        <v>0</v>
      </c>
      <c r="K77" s="590">
        <f t="shared" si="27"/>
        <v>0</v>
      </c>
      <c r="L77" s="590">
        <f t="shared" si="27"/>
        <v>0</v>
      </c>
      <c r="M77" s="590">
        <f t="shared" si="27"/>
        <v>0</v>
      </c>
      <c r="N77" s="590">
        <f t="shared" si="27"/>
        <v>0</v>
      </c>
      <c r="O77" s="590">
        <f t="shared" si="27"/>
        <v>0</v>
      </c>
      <c r="P77" s="590">
        <f t="shared" si="27"/>
        <v>0</v>
      </c>
      <c r="Q77" s="590">
        <f t="shared" si="27"/>
        <v>0</v>
      </c>
      <c r="R77" s="590">
        <f t="shared" si="27"/>
        <v>0</v>
      </c>
      <c r="S77" s="590">
        <f t="shared" si="27"/>
        <v>0</v>
      </c>
    </row>
    <row r="78" spans="1:19" x14ac:dyDescent="0.25">
      <c r="A78" s="691">
        <v>19</v>
      </c>
      <c r="B78" s="2227" t="s">
        <v>222</v>
      </c>
      <c r="C78" s="590">
        <f>+$H$33</f>
        <v>0</v>
      </c>
      <c r="D78" s="590">
        <f t="shared" ref="D78:S78" si="28">+$H$33</f>
        <v>0</v>
      </c>
      <c r="E78" s="590">
        <f t="shared" si="28"/>
        <v>0</v>
      </c>
      <c r="F78" s="590">
        <f t="shared" si="28"/>
        <v>0</v>
      </c>
      <c r="G78" s="590">
        <f t="shared" si="28"/>
        <v>0</v>
      </c>
      <c r="H78" s="590">
        <f t="shared" si="28"/>
        <v>0</v>
      </c>
      <c r="I78" s="590">
        <f t="shared" si="28"/>
        <v>0</v>
      </c>
      <c r="J78" s="590">
        <f t="shared" si="28"/>
        <v>0</v>
      </c>
      <c r="K78" s="590">
        <f t="shared" si="28"/>
        <v>0</v>
      </c>
      <c r="L78" s="590">
        <f t="shared" si="28"/>
        <v>0</v>
      </c>
      <c r="M78" s="590">
        <f t="shared" si="28"/>
        <v>0</v>
      </c>
      <c r="N78" s="590">
        <f t="shared" si="28"/>
        <v>0</v>
      </c>
      <c r="O78" s="590">
        <f t="shared" si="28"/>
        <v>0</v>
      </c>
      <c r="P78" s="590">
        <f t="shared" si="28"/>
        <v>0</v>
      </c>
      <c r="Q78" s="590">
        <f t="shared" si="28"/>
        <v>0</v>
      </c>
      <c r="R78" s="590">
        <f t="shared" si="28"/>
        <v>0</v>
      </c>
      <c r="S78" s="590">
        <f t="shared" si="28"/>
        <v>0</v>
      </c>
    </row>
    <row r="79" spans="1:19" x14ac:dyDescent="0.25">
      <c r="A79" s="691">
        <v>20</v>
      </c>
      <c r="B79" s="2227" t="s">
        <v>3137</v>
      </c>
      <c r="C79" s="590">
        <f>+$H$34</f>
        <v>0</v>
      </c>
      <c r="D79" s="590">
        <f t="shared" ref="D79:S79" si="29">+$H$34</f>
        <v>0</v>
      </c>
      <c r="E79" s="590">
        <f t="shared" si="29"/>
        <v>0</v>
      </c>
      <c r="F79" s="590">
        <f t="shared" si="29"/>
        <v>0</v>
      </c>
      <c r="G79" s="590">
        <f t="shared" si="29"/>
        <v>0</v>
      </c>
      <c r="H79" s="590">
        <f t="shared" si="29"/>
        <v>0</v>
      </c>
      <c r="I79" s="590">
        <f t="shared" si="29"/>
        <v>0</v>
      </c>
      <c r="J79" s="590">
        <f t="shared" si="29"/>
        <v>0</v>
      </c>
      <c r="K79" s="590">
        <f t="shared" si="29"/>
        <v>0</v>
      </c>
      <c r="L79" s="590">
        <f t="shared" si="29"/>
        <v>0</v>
      </c>
      <c r="M79" s="590">
        <f t="shared" si="29"/>
        <v>0</v>
      </c>
      <c r="N79" s="590">
        <f t="shared" si="29"/>
        <v>0</v>
      </c>
      <c r="O79" s="590">
        <f t="shared" si="29"/>
        <v>0</v>
      </c>
      <c r="P79" s="590">
        <f t="shared" si="29"/>
        <v>0</v>
      </c>
      <c r="Q79" s="590">
        <f t="shared" si="29"/>
        <v>0</v>
      </c>
      <c r="R79" s="590">
        <f t="shared" si="29"/>
        <v>0</v>
      </c>
      <c r="S79" s="590">
        <f t="shared" si="29"/>
        <v>0</v>
      </c>
    </row>
    <row r="80" spans="1:19" ht="22.5" customHeight="1" x14ac:dyDescent="0.25">
      <c r="A80" s="691">
        <v>21</v>
      </c>
      <c r="B80" s="2227" t="s">
        <v>3138</v>
      </c>
      <c r="C80" s="590">
        <f>+$H$35</f>
        <v>0</v>
      </c>
      <c r="D80" s="590">
        <f t="shared" ref="D80:S80" si="30">+$H$35</f>
        <v>0</v>
      </c>
      <c r="E80" s="590">
        <f t="shared" si="30"/>
        <v>0</v>
      </c>
      <c r="F80" s="590">
        <f t="shared" si="30"/>
        <v>0</v>
      </c>
      <c r="G80" s="590">
        <f t="shared" si="30"/>
        <v>0</v>
      </c>
      <c r="H80" s="590">
        <f t="shared" si="30"/>
        <v>0</v>
      </c>
      <c r="I80" s="590">
        <f t="shared" si="30"/>
        <v>0</v>
      </c>
      <c r="J80" s="590">
        <f t="shared" si="30"/>
        <v>0</v>
      </c>
      <c r="K80" s="590">
        <f t="shared" si="30"/>
        <v>0</v>
      </c>
      <c r="L80" s="590">
        <f t="shared" si="30"/>
        <v>0</v>
      </c>
      <c r="M80" s="590">
        <f t="shared" si="30"/>
        <v>0</v>
      </c>
      <c r="N80" s="590">
        <f t="shared" si="30"/>
        <v>0</v>
      </c>
      <c r="O80" s="590">
        <f t="shared" si="30"/>
        <v>0</v>
      </c>
      <c r="P80" s="590">
        <f t="shared" si="30"/>
        <v>0</v>
      </c>
      <c r="Q80" s="590">
        <f t="shared" si="30"/>
        <v>0</v>
      </c>
      <c r="R80" s="590">
        <f t="shared" si="30"/>
        <v>0</v>
      </c>
      <c r="S80" s="590">
        <f t="shared" si="30"/>
        <v>0</v>
      </c>
    </row>
    <row r="81" spans="1:19" ht="34.5" customHeight="1" x14ac:dyDescent="0.25">
      <c r="A81" s="691">
        <v>22</v>
      </c>
      <c r="B81" s="2227" t="s">
        <v>3139</v>
      </c>
      <c r="C81" s="590">
        <f>+$H$36</f>
        <v>0</v>
      </c>
      <c r="D81" s="590">
        <f t="shared" ref="D81:S81" si="31">+$H$36</f>
        <v>0</v>
      </c>
      <c r="E81" s="590">
        <f t="shared" si="31"/>
        <v>0</v>
      </c>
      <c r="F81" s="590">
        <f t="shared" si="31"/>
        <v>0</v>
      </c>
      <c r="G81" s="590">
        <f t="shared" si="31"/>
        <v>0</v>
      </c>
      <c r="H81" s="590">
        <f t="shared" si="31"/>
        <v>0</v>
      </c>
      <c r="I81" s="590">
        <f t="shared" si="31"/>
        <v>0</v>
      </c>
      <c r="J81" s="590">
        <f t="shared" si="31"/>
        <v>0</v>
      </c>
      <c r="K81" s="590">
        <f t="shared" si="31"/>
        <v>0</v>
      </c>
      <c r="L81" s="590">
        <f t="shared" si="31"/>
        <v>0</v>
      </c>
      <c r="M81" s="590">
        <f t="shared" si="31"/>
        <v>0</v>
      </c>
      <c r="N81" s="590">
        <f t="shared" si="31"/>
        <v>0</v>
      </c>
      <c r="O81" s="590">
        <f t="shared" si="31"/>
        <v>0</v>
      </c>
      <c r="P81" s="590">
        <f t="shared" si="31"/>
        <v>0</v>
      </c>
      <c r="Q81" s="590">
        <f t="shared" si="31"/>
        <v>0</v>
      </c>
      <c r="R81" s="590">
        <f t="shared" si="31"/>
        <v>0</v>
      </c>
      <c r="S81" s="590">
        <f t="shared" si="31"/>
        <v>0</v>
      </c>
    </row>
    <row r="82" spans="1:19" x14ac:dyDescent="0.25">
      <c r="A82" s="691">
        <v>23</v>
      </c>
      <c r="B82" s="2121" t="s">
        <v>226</v>
      </c>
      <c r="C82" s="2141">
        <f>+$H$37</f>
        <v>10</v>
      </c>
      <c r="D82" s="2141">
        <f t="shared" ref="D82:S82" si="32">+$H$37</f>
        <v>10</v>
      </c>
      <c r="E82" s="2141">
        <f t="shared" si="32"/>
        <v>10</v>
      </c>
      <c r="F82" s="2141">
        <f t="shared" si="32"/>
        <v>10</v>
      </c>
      <c r="G82" s="2141">
        <f t="shared" si="32"/>
        <v>10</v>
      </c>
      <c r="H82" s="2141">
        <f t="shared" si="32"/>
        <v>10</v>
      </c>
      <c r="I82" s="2141">
        <f t="shared" si="32"/>
        <v>10</v>
      </c>
      <c r="J82" s="2141">
        <f t="shared" si="32"/>
        <v>10</v>
      </c>
      <c r="K82" s="2141">
        <f t="shared" si="32"/>
        <v>10</v>
      </c>
      <c r="L82" s="2141">
        <f t="shared" si="32"/>
        <v>10</v>
      </c>
      <c r="M82" s="2141">
        <f t="shared" si="32"/>
        <v>10</v>
      </c>
      <c r="N82" s="2141">
        <f t="shared" si="32"/>
        <v>10</v>
      </c>
      <c r="O82" s="2141">
        <f t="shared" si="32"/>
        <v>10</v>
      </c>
      <c r="P82" s="2141">
        <f t="shared" si="32"/>
        <v>10</v>
      </c>
      <c r="Q82" s="2141">
        <f t="shared" si="32"/>
        <v>10</v>
      </c>
      <c r="R82" s="2141">
        <f t="shared" si="32"/>
        <v>10</v>
      </c>
      <c r="S82" s="2141">
        <f t="shared" si="32"/>
        <v>10</v>
      </c>
    </row>
    <row r="83" spans="1:19" x14ac:dyDescent="0.25">
      <c r="A83" s="691">
        <v>24</v>
      </c>
      <c r="B83" s="2121" t="s">
        <v>227</v>
      </c>
      <c r="C83" s="589">
        <f>+$H$38</f>
        <v>1</v>
      </c>
      <c r="D83" s="589">
        <f t="shared" ref="D83:S83" si="33">+$H$38</f>
        <v>1</v>
      </c>
      <c r="E83" s="589">
        <f t="shared" si="33"/>
        <v>1</v>
      </c>
      <c r="F83" s="589">
        <f t="shared" si="33"/>
        <v>1</v>
      </c>
      <c r="G83" s="589">
        <f t="shared" si="33"/>
        <v>1</v>
      </c>
      <c r="H83" s="589">
        <f t="shared" si="33"/>
        <v>1</v>
      </c>
      <c r="I83" s="589">
        <f t="shared" si="33"/>
        <v>1</v>
      </c>
      <c r="J83" s="589">
        <f t="shared" si="33"/>
        <v>1</v>
      </c>
      <c r="K83" s="589">
        <f t="shared" si="33"/>
        <v>1</v>
      </c>
      <c r="L83" s="589">
        <f t="shared" si="33"/>
        <v>1</v>
      </c>
      <c r="M83" s="589">
        <f t="shared" si="33"/>
        <v>1</v>
      </c>
      <c r="N83" s="589">
        <f t="shared" si="33"/>
        <v>1</v>
      </c>
      <c r="O83" s="589">
        <f t="shared" si="33"/>
        <v>1</v>
      </c>
      <c r="P83" s="589">
        <f t="shared" si="33"/>
        <v>1</v>
      </c>
      <c r="Q83" s="589">
        <f t="shared" si="33"/>
        <v>1</v>
      </c>
      <c r="R83" s="589">
        <f t="shared" si="33"/>
        <v>1</v>
      </c>
      <c r="S83" s="589">
        <f t="shared" si="33"/>
        <v>1</v>
      </c>
    </row>
    <row r="84" spans="1:19" x14ac:dyDescent="0.25">
      <c r="A84" s="691">
        <v>25</v>
      </c>
      <c r="B84" s="2227" t="s">
        <v>228</v>
      </c>
      <c r="C84" s="590">
        <f>+$H$39</f>
        <v>0</v>
      </c>
      <c r="D84" s="590">
        <f t="shared" ref="D84:S84" si="34">+$H$39</f>
        <v>0</v>
      </c>
      <c r="E84" s="590">
        <f t="shared" si="34"/>
        <v>0</v>
      </c>
      <c r="F84" s="590">
        <f t="shared" si="34"/>
        <v>0</v>
      </c>
      <c r="G84" s="590">
        <f t="shared" si="34"/>
        <v>0</v>
      </c>
      <c r="H84" s="590">
        <f t="shared" si="34"/>
        <v>0</v>
      </c>
      <c r="I84" s="590">
        <f t="shared" si="34"/>
        <v>0</v>
      </c>
      <c r="J84" s="590">
        <f t="shared" si="34"/>
        <v>0</v>
      </c>
      <c r="K84" s="590">
        <f t="shared" si="34"/>
        <v>0</v>
      </c>
      <c r="L84" s="590">
        <f t="shared" si="34"/>
        <v>0</v>
      </c>
      <c r="M84" s="590">
        <f t="shared" si="34"/>
        <v>0</v>
      </c>
      <c r="N84" s="590">
        <f t="shared" si="34"/>
        <v>0</v>
      </c>
      <c r="O84" s="590">
        <f t="shared" si="34"/>
        <v>0</v>
      </c>
      <c r="P84" s="590">
        <f t="shared" si="34"/>
        <v>0</v>
      </c>
      <c r="Q84" s="590">
        <f t="shared" si="34"/>
        <v>0</v>
      </c>
      <c r="R84" s="590">
        <f t="shared" si="34"/>
        <v>0</v>
      </c>
      <c r="S84" s="590">
        <f t="shared" si="34"/>
        <v>0</v>
      </c>
    </row>
    <row r="85" spans="1:19" x14ac:dyDescent="0.25">
      <c r="A85" s="691">
        <v>26</v>
      </c>
      <c r="B85" s="2227" t="s">
        <v>229</v>
      </c>
      <c r="C85" s="2228">
        <f>+$H$40</f>
        <v>0</v>
      </c>
      <c r="D85" s="2228">
        <f t="shared" ref="D85:S85" si="35">+$H$40</f>
        <v>0</v>
      </c>
      <c r="E85" s="2228">
        <f t="shared" si="35"/>
        <v>0</v>
      </c>
      <c r="F85" s="2228">
        <f t="shared" si="35"/>
        <v>0</v>
      </c>
      <c r="G85" s="2228">
        <f t="shared" si="35"/>
        <v>0</v>
      </c>
      <c r="H85" s="2228">
        <f t="shared" si="35"/>
        <v>0</v>
      </c>
      <c r="I85" s="2228">
        <f t="shared" si="35"/>
        <v>0</v>
      </c>
      <c r="J85" s="2228">
        <f t="shared" si="35"/>
        <v>0</v>
      </c>
      <c r="K85" s="2228">
        <f t="shared" si="35"/>
        <v>0</v>
      </c>
      <c r="L85" s="2228">
        <f t="shared" si="35"/>
        <v>0</v>
      </c>
      <c r="M85" s="2228">
        <f t="shared" si="35"/>
        <v>0</v>
      </c>
      <c r="N85" s="2228">
        <f t="shared" si="35"/>
        <v>0</v>
      </c>
      <c r="O85" s="2228">
        <f t="shared" si="35"/>
        <v>0</v>
      </c>
      <c r="P85" s="2228">
        <f t="shared" si="35"/>
        <v>0</v>
      </c>
      <c r="Q85" s="2228">
        <f t="shared" si="35"/>
        <v>0</v>
      </c>
      <c r="R85" s="2228">
        <f t="shared" si="35"/>
        <v>0</v>
      </c>
      <c r="S85" s="2228">
        <f t="shared" si="35"/>
        <v>0</v>
      </c>
    </row>
    <row r="86" spans="1:19" x14ac:dyDescent="0.25">
      <c r="A86" s="691">
        <v>27</v>
      </c>
      <c r="B86" s="2227" t="s">
        <v>3140</v>
      </c>
      <c r="C86" s="590">
        <f>+$H$42</f>
        <v>0</v>
      </c>
      <c r="D86" s="590">
        <f t="shared" ref="D86:S86" si="36">+$H$42</f>
        <v>0</v>
      </c>
      <c r="E86" s="590">
        <f t="shared" si="36"/>
        <v>0</v>
      </c>
      <c r="F86" s="590">
        <f t="shared" si="36"/>
        <v>0</v>
      </c>
      <c r="G86" s="590">
        <f t="shared" si="36"/>
        <v>0</v>
      </c>
      <c r="H86" s="590">
        <f t="shared" si="36"/>
        <v>0</v>
      </c>
      <c r="I86" s="590">
        <f t="shared" si="36"/>
        <v>0</v>
      </c>
      <c r="J86" s="590">
        <f t="shared" si="36"/>
        <v>0</v>
      </c>
      <c r="K86" s="590">
        <f t="shared" si="36"/>
        <v>0</v>
      </c>
      <c r="L86" s="590">
        <f t="shared" si="36"/>
        <v>0</v>
      </c>
      <c r="M86" s="590">
        <f t="shared" si="36"/>
        <v>0</v>
      </c>
      <c r="N86" s="590">
        <f t="shared" si="36"/>
        <v>0</v>
      </c>
      <c r="O86" s="590">
        <f t="shared" si="36"/>
        <v>0</v>
      </c>
      <c r="P86" s="590">
        <f t="shared" si="36"/>
        <v>0</v>
      </c>
      <c r="Q86" s="590">
        <f t="shared" si="36"/>
        <v>0</v>
      </c>
      <c r="R86" s="590">
        <f t="shared" si="36"/>
        <v>0</v>
      </c>
      <c r="S86" s="590">
        <f t="shared" si="36"/>
        <v>0</v>
      </c>
    </row>
    <row r="87" spans="1:19" x14ac:dyDescent="0.25">
      <c r="A87" s="691">
        <v>28</v>
      </c>
      <c r="B87" s="2227" t="s">
        <v>231</v>
      </c>
      <c r="C87" s="590">
        <f>+$H$43</f>
        <v>0</v>
      </c>
      <c r="D87" s="590">
        <f t="shared" ref="D87:S87" si="37">+$H$43</f>
        <v>0</v>
      </c>
      <c r="E87" s="590">
        <f t="shared" si="37"/>
        <v>0</v>
      </c>
      <c r="F87" s="590">
        <f t="shared" si="37"/>
        <v>0</v>
      </c>
      <c r="G87" s="590">
        <f t="shared" si="37"/>
        <v>0</v>
      </c>
      <c r="H87" s="590">
        <f t="shared" si="37"/>
        <v>0</v>
      </c>
      <c r="I87" s="590">
        <f t="shared" si="37"/>
        <v>0</v>
      </c>
      <c r="J87" s="590">
        <f t="shared" si="37"/>
        <v>0</v>
      </c>
      <c r="K87" s="590">
        <f t="shared" si="37"/>
        <v>0</v>
      </c>
      <c r="L87" s="590">
        <f t="shared" si="37"/>
        <v>0</v>
      </c>
      <c r="M87" s="590">
        <f t="shared" si="37"/>
        <v>0</v>
      </c>
      <c r="N87" s="590">
        <f t="shared" si="37"/>
        <v>0</v>
      </c>
      <c r="O87" s="590">
        <f t="shared" si="37"/>
        <v>0</v>
      </c>
      <c r="P87" s="590">
        <f t="shared" si="37"/>
        <v>0</v>
      </c>
      <c r="Q87" s="590">
        <f t="shared" si="37"/>
        <v>0</v>
      </c>
      <c r="R87" s="590">
        <f t="shared" si="37"/>
        <v>0</v>
      </c>
      <c r="S87" s="590">
        <f t="shared" si="37"/>
        <v>0</v>
      </c>
    </row>
    <row r="88" spans="1:19" x14ac:dyDescent="0.25">
      <c r="B88" s="2124" t="s">
        <v>3142</v>
      </c>
      <c r="C88" s="2146">
        <f>SUM(C60:C87)</f>
        <v>30</v>
      </c>
      <c r="D88" s="2146">
        <f t="shared" ref="D88:S88" si="38">SUM(D60:D87)</f>
        <v>30</v>
      </c>
      <c r="E88" s="2146">
        <f t="shared" si="38"/>
        <v>30</v>
      </c>
      <c r="F88" s="2146">
        <f t="shared" si="38"/>
        <v>30</v>
      </c>
      <c r="G88" s="2146">
        <f t="shared" si="38"/>
        <v>30</v>
      </c>
      <c r="H88" s="2146">
        <f t="shared" si="38"/>
        <v>30</v>
      </c>
      <c r="I88" s="2146">
        <f t="shared" si="38"/>
        <v>30</v>
      </c>
      <c r="J88" s="2146">
        <f t="shared" si="38"/>
        <v>30</v>
      </c>
      <c r="K88" s="2146">
        <f t="shared" si="38"/>
        <v>30</v>
      </c>
      <c r="L88" s="2146">
        <f t="shared" si="38"/>
        <v>30</v>
      </c>
      <c r="M88" s="2146">
        <f t="shared" si="38"/>
        <v>30</v>
      </c>
      <c r="N88" s="2146">
        <f t="shared" si="38"/>
        <v>30</v>
      </c>
      <c r="O88" s="2146">
        <f t="shared" si="38"/>
        <v>30</v>
      </c>
      <c r="P88" s="2146">
        <f t="shared" si="38"/>
        <v>30</v>
      </c>
      <c r="Q88" s="2146">
        <f t="shared" si="38"/>
        <v>30</v>
      </c>
      <c r="R88" s="2146">
        <f t="shared" si="38"/>
        <v>30</v>
      </c>
      <c r="S88" s="2147">
        <f t="shared" si="38"/>
        <v>30</v>
      </c>
    </row>
    <row r="89" spans="1:19" x14ac:dyDescent="0.25">
      <c r="B89" s="2138" t="s">
        <v>3144</v>
      </c>
      <c r="C89" s="2123"/>
      <c r="D89" s="2123"/>
      <c r="E89" s="2123"/>
      <c r="F89" s="2123"/>
      <c r="G89" s="2123"/>
      <c r="H89" s="2123"/>
      <c r="I89" s="2123"/>
      <c r="J89" s="2123"/>
      <c r="K89" s="2123"/>
      <c r="L89" s="2123"/>
      <c r="M89" s="2123"/>
      <c r="N89" s="2123"/>
      <c r="O89" s="2123"/>
      <c r="P89" s="2123"/>
      <c r="Q89" s="2123"/>
      <c r="R89" s="2123"/>
      <c r="S89" s="2123"/>
    </row>
    <row r="90" spans="1:19" x14ac:dyDescent="0.25">
      <c r="B90" s="2122" t="s">
        <v>3145</v>
      </c>
      <c r="C90" s="2167">
        <v>0</v>
      </c>
      <c r="D90" s="2167">
        <v>0</v>
      </c>
      <c r="E90" s="2167">
        <v>0</v>
      </c>
      <c r="F90" s="2167">
        <v>0</v>
      </c>
      <c r="G90" s="2167">
        <v>0</v>
      </c>
      <c r="H90" s="2167">
        <v>0</v>
      </c>
      <c r="I90" s="2167">
        <v>0</v>
      </c>
      <c r="J90" s="2167">
        <v>0</v>
      </c>
      <c r="K90" s="2167">
        <v>0</v>
      </c>
      <c r="L90" s="2167">
        <v>0</v>
      </c>
      <c r="M90" s="2167">
        <v>0</v>
      </c>
      <c r="N90" s="2167">
        <v>0</v>
      </c>
      <c r="O90" s="2167">
        <v>0</v>
      </c>
      <c r="P90" s="2167">
        <v>0</v>
      </c>
      <c r="Q90" s="2167">
        <v>0</v>
      </c>
      <c r="R90" s="2167">
        <v>0</v>
      </c>
      <c r="S90" s="2167">
        <v>0</v>
      </c>
    </row>
    <row r="91" spans="1:19" x14ac:dyDescent="0.25">
      <c r="B91" s="2122" t="s">
        <v>3146</v>
      </c>
      <c r="C91" s="2167">
        <v>0</v>
      </c>
      <c r="D91" s="2167">
        <v>0</v>
      </c>
      <c r="E91" s="2167">
        <v>0</v>
      </c>
      <c r="F91" s="2167">
        <v>0</v>
      </c>
      <c r="G91" s="2167">
        <v>0</v>
      </c>
      <c r="H91" s="2167">
        <v>0</v>
      </c>
      <c r="I91" s="2167">
        <v>0</v>
      </c>
      <c r="J91" s="2167">
        <v>0</v>
      </c>
      <c r="K91" s="2167">
        <v>0</v>
      </c>
      <c r="L91" s="2167">
        <v>0</v>
      </c>
      <c r="M91" s="2167">
        <v>0</v>
      </c>
      <c r="N91" s="2167">
        <v>0</v>
      </c>
      <c r="O91" s="2167">
        <v>0</v>
      </c>
      <c r="P91" s="2167">
        <v>0</v>
      </c>
      <c r="Q91" s="2167">
        <v>0</v>
      </c>
      <c r="R91" s="2167">
        <v>0</v>
      </c>
      <c r="S91" s="2167">
        <v>0</v>
      </c>
    </row>
    <row r="92" spans="1:19" x14ac:dyDescent="0.25">
      <c r="B92" s="2122" t="s">
        <v>3147</v>
      </c>
      <c r="C92" s="2167">
        <v>0</v>
      </c>
      <c r="D92" s="2167">
        <v>0</v>
      </c>
      <c r="E92" s="2167">
        <v>0</v>
      </c>
      <c r="F92" s="2167">
        <v>0</v>
      </c>
      <c r="G92" s="2167">
        <v>0</v>
      </c>
      <c r="H92" s="2167">
        <v>0</v>
      </c>
      <c r="I92" s="2167">
        <v>0</v>
      </c>
      <c r="J92" s="2167">
        <v>0</v>
      </c>
      <c r="K92" s="2167">
        <v>0</v>
      </c>
      <c r="L92" s="2167">
        <v>0</v>
      </c>
      <c r="M92" s="2167">
        <v>0</v>
      </c>
      <c r="N92" s="2167">
        <v>0</v>
      </c>
      <c r="O92" s="2167">
        <v>0</v>
      </c>
      <c r="P92" s="2167">
        <v>0</v>
      </c>
      <c r="Q92" s="2167">
        <v>0</v>
      </c>
      <c r="R92" s="2167">
        <v>0</v>
      </c>
      <c r="S92" s="2167">
        <v>0</v>
      </c>
    </row>
    <row r="93" spans="1:19" x14ac:dyDescent="0.25">
      <c r="B93" s="2122" t="s">
        <v>3148</v>
      </c>
      <c r="C93" s="2167">
        <v>0</v>
      </c>
      <c r="D93" s="2167">
        <v>0</v>
      </c>
      <c r="E93" s="2167">
        <v>0</v>
      </c>
      <c r="F93" s="2167">
        <v>0</v>
      </c>
      <c r="G93" s="2167">
        <v>0</v>
      </c>
      <c r="H93" s="2167">
        <v>0</v>
      </c>
      <c r="I93" s="2167">
        <v>0</v>
      </c>
      <c r="J93" s="2167">
        <v>0</v>
      </c>
      <c r="K93" s="2167">
        <v>0</v>
      </c>
      <c r="L93" s="2167">
        <v>0</v>
      </c>
      <c r="M93" s="2167">
        <v>0</v>
      </c>
      <c r="N93" s="2167">
        <v>0</v>
      </c>
      <c r="O93" s="2167">
        <v>0</v>
      </c>
      <c r="P93" s="2167">
        <v>0</v>
      </c>
      <c r="Q93" s="2167">
        <v>0</v>
      </c>
      <c r="R93" s="2167">
        <v>0</v>
      </c>
      <c r="S93" s="2167">
        <v>0</v>
      </c>
    </row>
    <row r="94" spans="1:19" x14ac:dyDescent="0.25">
      <c r="B94" s="2122" t="s">
        <v>3149</v>
      </c>
      <c r="C94" s="2167">
        <v>0</v>
      </c>
      <c r="D94" s="2167">
        <v>0</v>
      </c>
      <c r="E94" s="2167">
        <v>0</v>
      </c>
      <c r="F94" s="2167">
        <v>0</v>
      </c>
      <c r="G94" s="2167">
        <v>0</v>
      </c>
      <c r="H94" s="2167">
        <v>0</v>
      </c>
      <c r="I94" s="2167">
        <v>0</v>
      </c>
      <c r="J94" s="2167">
        <v>0</v>
      </c>
      <c r="K94" s="2167">
        <v>0</v>
      </c>
      <c r="L94" s="2167">
        <v>0</v>
      </c>
      <c r="M94" s="2167">
        <v>0</v>
      </c>
      <c r="N94" s="2167">
        <v>0</v>
      </c>
      <c r="O94" s="2167">
        <v>0</v>
      </c>
      <c r="P94" s="2167">
        <v>0</v>
      </c>
      <c r="Q94" s="2167">
        <v>0</v>
      </c>
      <c r="R94" s="2167">
        <v>0</v>
      </c>
      <c r="S94" s="2167">
        <v>0</v>
      </c>
    </row>
    <row r="95" spans="1:19" x14ac:dyDescent="0.25">
      <c r="B95" s="2138" t="s">
        <v>3150</v>
      </c>
      <c r="C95" s="2123"/>
      <c r="D95" s="2123"/>
      <c r="E95" s="2123"/>
      <c r="F95" s="2123"/>
      <c r="G95" s="2123"/>
      <c r="H95" s="2123"/>
      <c r="I95" s="2123"/>
      <c r="J95" s="2123"/>
      <c r="K95" s="2123"/>
      <c r="L95" s="2123"/>
      <c r="M95" s="2123"/>
      <c r="N95" s="2123"/>
      <c r="O95" s="2123"/>
      <c r="P95" s="2123"/>
      <c r="Q95" s="2123"/>
      <c r="R95" s="2123"/>
      <c r="S95" s="2123"/>
    </row>
    <row r="96" spans="1:19" x14ac:dyDescent="0.25">
      <c r="B96" s="2122" t="s">
        <v>3350</v>
      </c>
      <c r="C96" s="2167">
        <v>0</v>
      </c>
      <c r="D96" s="2167">
        <v>0</v>
      </c>
      <c r="E96" s="2167">
        <v>0</v>
      </c>
      <c r="F96" s="2167">
        <v>0</v>
      </c>
      <c r="G96" s="2167">
        <v>0</v>
      </c>
      <c r="H96" s="2167">
        <v>0</v>
      </c>
      <c r="I96" s="2167">
        <v>0</v>
      </c>
      <c r="J96" s="2167">
        <v>0</v>
      </c>
      <c r="K96" s="2167">
        <v>0</v>
      </c>
      <c r="L96" s="2167">
        <v>0</v>
      </c>
      <c r="M96" s="2167">
        <v>0</v>
      </c>
      <c r="N96" s="2167">
        <v>0</v>
      </c>
      <c r="O96" s="2167">
        <v>0</v>
      </c>
      <c r="P96" s="2167">
        <v>0</v>
      </c>
      <c r="Q96" s="2167">
        <v>0</v>
      </c>
      <c r="R96" s="2167">
        <v>0</v>
      </c>
      <c r="S96" s="2167">
        <v>0</v>
      </c>
    </row>
    <row r="97" spans="2:19" x14ac:dyDescent="0.25">
      <c r="B97" s="2122" t="s">
        <v>1828</v>
      </c>
      <c r="C97" s="2167">
        <v>0</v>
      </c>
      <c r="D97" s="2167">
        <v>0</v>
      </c>
      <c r="E97" s="2167">
        <v>0</v>
      </c>
      <c r="F97" s="2167">
        <v>0</v>
      </c>
      <c r="G97" s="2167">
        <v>0</v>
      </c>
      <c r="H97" s="2167">
        <v>0</v>
      </c>
      <c r="I97" s="2167">
        <v>0</v>
      </c>
      <c r="J97" s="2167">
        <v>0</v>
      </c>
      <c r="K97" s="2167">
        <v>0</v>
      </c>
      <c r="L97" s="2167">
        <v>0</v>
      </c>
      <c r="M97" s="2167">
        <v>0</v>
      </c>
      <c r="N97" s="2167">
        <v>0</v>
      </c>
      <c r="O97" s="2167">
        <v>0</v>
      </c>
      <c r="P97" s="2167">
        <v>0</v>
      </c>
      <c r="Q97" s="2167">
        <v>0</v>
      </c>
      <c r="R97" s="2167">
        <v>0</v>
      </c>
      <c r="S97" s="2167">
        <v>0</v>
      </c>
    </row>
    <row r="98" spans="2:19" x14ac:dyDescent="0.25">
      <c r="B98" s="2122" t="s">
        <v>3351</v>
      </c>
      <c r="C98" s="2167">
        <v>0</v>
      </c>
      <c r="D98" s="2167">
        <v>0</v>
      </c>
      <c r="E98" s="2167">
        <v>0</v>
      </c>
      <c r="F98" s="2167">
        <v>0</v>
      </c>
      <c r="G98" s="2167">
        <v>0</v>
      </c>
      <c r="H98" s="2167">
        <v>0</v>
      </c>
      <c r="I98" s="2167">
        <v>0</v>
      </c>
      <c r="J98" s="2167">
        <v>0</v>
      </c>
      <c r="K98" s="2167">
        <v>0</v>
      </c>
      <c r="L98" s="2167">
        <v>0</v>
      </c>
      <c r="M98" s="2167">
        <v>0</v>
      </c>
      <c r="N98" s="2167">
        <v>0</v>
      </c>
      <c r="O98" s="2167">
        <v>0</v>
      </c>
      <c r="P98" s="2167">
        <v>0</v>
      </c>
      <c r="Q98" s="2167">
        <v>0</v>
      </c>
      <c r="R98" s="2167">
        <v>0</v>
      </c>
      <c r="S98" s="2167">
        <v>0</v>
      </c>
    </row>
    <row r="99" spans="2:19" x14ac:dyDescent="0.25">
      <c r="B99" s="1278" t="s">
        <v>3352</v>
      </c>
      <c r="C99" s="1281">
        <v>1</v>
      </c>
      <c r="D99" s="1281">
        <v>1</v>
      </c>
      <c r="E99" s="1281">
        <v>1</v>
      </c>
      <c r="F99" s="1281">
        <v>1</v>
      </c>
      <c r="G99" s="1281">
        <v>1</v>
      </c>
      <c r="H99" s="1281">
        <v>1</v>
      </c>
      <c r="I99" s="1281">
        <v>1</v>
      </c>
      <c r="J99" s="1281">
        <v>1</v>
      </c>
      <c r="K99" s="1281">
        <v>1</v>
      </c>
      <c r="L99" s="1281">
        <v>1</v>
      </c>
      <c r="M99" s="1281">
        <v>1</v>
      </c>
      <c r="N99" s="1281">
        <v>1</v>
      </c>
      <c r="O99" s="1281">
        <v>1</v>
      </c>
      <c r="P99" s="1281">
        <v>1</v>
      </c>
      <c r="Q99" s="1281">
        <v>1</v>
      </c>
      <c r="R99" s="1281">
        <v>1</v>
      </c>
      <c r="S99" s="1281">
        <v>1</v>
      </c>
    </row>
    <row r="100" spans="2:19" x14ac:dyDescent="0.25">
      <c r="B100" s="2122" t="s">
        <v>3353</v>
      </c>
      <c r="C100" s="2167">
        <v>0</v>
      </c>
      <c r="D100" s="2167">
        <v>0</v>
      </c>
      <c r="E100" s="2167">
        <v>0</v>
      </c>
      <c r="F100" s="2167">
        <v>0</v>
      </c>
      <c r="G100" s="2167">
        <v>0</v>
      </c>
      <c r="H100" s="2167">
        <v>0</v>
      </c>
      <c r="I100" s="2167">
        <v>0</v>
      </c>
      <c r="J100" s="2167">
        <v>0</v>
      </c>
      <c r="K100" s="2167">
        <v>0</v>
      </c>
      <c r="L100" s="2167">
        <v>0</v>
      </c>
      <c r="M100" s="2167">
        <v>0</v>
      </c>
      <c r="N100" s="2167">
        <v>0</v>
      </c>
      <c r="O100" s="2167">
        <v>0</v>
      </c>
      <c r="P100" s="2167">
        <v>0</v>
      </c>
      <c r="Q100" s="2167">
        <v>0</v>
      </c>
      <c r="R100" s="2167">
        <v>0</v>
      </c>
      <c r="S100" s="2167">
        <v>0</v>
      </c>
    </row>
    <row r="101" spans="2:19" x14ac:dyDescent="0.25">
      <c r="B101" s="2122" t="s">
        <v>3151</v>
      </c>
      <c r="C101" s="2167">
        <v>0</v>
      </c>
      <c r="D101" s="2167">
        <v>0</v>
      </c>
      <c r="E101" s="2167">
        <v>0</v>
      </c>
      <c r="F101" s="2167">
        <v>0</v>
      </c>
      <c r="G101" s="2167">
        <v>0</v>
      </c>
      <c r="H101" s="2167">
        <v>0</v>
      </c>
      <c r="I101" s="2167">
        <v>0</v>
      </c>
      <c r="J101" s="2167">
        <v>0</v>
      </c>
      <c r="K101" s="2167">
        <v>0</v>
      </c>
      <c r="L101" s="2167">
        <v>0</v>
      </c>
      <c r="M101" s="2167">
        <v>0</v>
      </c>
      <c r="N101" s="2167">
        <v>0</v>
      </c>
      <c r="O101" s="2167">
        <v>0</v>
      </c>
      <c r="P101" s="2167">
        <v>0</v>
      </c>
      <c r="Q101" s="2167">
        <v>0</v>
      </c>
      <c r="R101" s="2167">
        <v>0</v>
      </c>
      <c r="S101" s="2167">
        <v>0</v>
      </c>
    </row>
    <row r="102" spans="2:19" x14ac:dyDescent="0.25">
      <c r="B102" s="2122" t="s">
        <v>231</v>
      </c>
      <c r="C102" s="2229">
        <v>0</v>
      </c>
      <c r="D102" s="2229">
        <v>0</v>
      </c>
      <c r="E102" s="2229">
        <v>0</v>
      </c>
      <c r="F102" s="2229">
        <v>0</v>
      </c>
      <c r="G102" s="2229">
        <v>0</v>
      </c>
      <c r="H102" s="2229">
        <v>0</v>
      </c>
      <c r="I102" s="2229">
        <v>0</v>
      </c>
      <c r="J102" s="2229">
        <v>0</v>
      </c>
      <c r="K102" s="2229">
        <v>0</v>
      </c>
      <c r="L102" s="2229">
        <v>0</v>
      </c>
      <c r="M102" s="2229">
        <v>0</v>
      </c>
      <c r="N102" s="2229">
        <v>0</v>
      </c>
      <c r="O102" s="2229">
        <v>0</v>
      </c>
      <c r="P102" s="2229">
        <v>0</v>
      </c>
      <c r="Q102" s="2229">
        <v>0</v>
      </c>
      <c r="R102" s="2229">
        <v>0</v>
      </c>
      <c r="S102" s="2229">
        <v>0</v>
      </c>
    </row>
    <row r="103" spans="2:19" x14ac:dyDescent="0.25">
      <c r="B103" s="2138" t="s">
        <v>3152</v>
      </c>
      <c r="C103" s="2123"/>
      <c r="D103" s="2123"/>
      <c r="E103" s="2123"/>
      <c r="F103" s="2123"/>
      <c r="G103" s="2123"/>
      <c r="H103" s="2123"/>
      <c r="I103" s="2123"/>
      <c r="J103" s="2123"/>
      <c r="K103" s="2123"/>
      <c r="L103" s="2123"/>
      <c r="M103" s="2123"/>
      <c r="N103" s="2123"/>
      <c r="O103" s="2123"/>
      <c r="P103" s="2123"/>
      <c r="Q103" s="2123"/>
      <c r="R103" s="2123"/>
      <c r="S103" s="2123"/>
    </row>
    <row r="104" spans="2:19" x14ac:dyDescent="0.25">
      <c r="B104" s="2122" t="s">
        <v>3153</v>
      </c>
      <c r="C104" s="2167">
        <v>0</v>
      </c>
      <c r="D104" s="2167">
        <v>0</v>
      </c>
      <c r="E104" s="2167">
        <v>0</v>
      </c>
      <c r="F104" s="2167">
        <v>0</v>
      </c>
      <c r="G104" s="2167">
        <v>0</v>
      </c>
      <c r="H104" s="2167">
        <v>0</v>
      </c>
      <c r="I104" s="2167">
        <v>0</v>
      </c>
      <c r="J104" s="2167">
        <v>0</v>
      </c>
      <c r="K104" s="2167">
        <v>0</v>
      </c>
      <c r="L104" s="2167">
        <v>0</v>
      </c>
      <c r="M104" s="2167">
        <v>0</v>
      </c>
      <c r="N104" s="2167">
        <v>0</v>
      </c>
      <c r="O104" s="2167">
        <v>0</v>
      </c>
      <c r="P104" s="2167">
        <v>0</v>
      </c>
      <c r="Q104" s="2167">
        <v>0</v>
      </c>
      <c r="R104" s="2167">
        <v>0</v>
      </c>
      <c r="S104" s="2167">
        <v>0</v>
      </c>
    </row>
    <row r="105" spans="2:19" x14ac:dyDescent="0.25">
      <c r="B105" s="2138" t="s">
        <v>3154</v>
      </c>
      <c r="C105" s="2123"/>
      <c r="D105" s="2123"/>
      <c r="E105" s="2123"/>
      <c r="F105" s="2123"/>
      <c r="G105" s="2123"/>
      <c r="H105" s="2123"/>
      <c r="I105" s="2123"/>
      <c r="J105" s="2123"/>
      <c r="K105" s="2123"/>
      <c r="L105" s="2123"/>
      <c r="M105" s="2123"/>
      <c r="N105" s="2123"/>
      <c r="O105" s="2123"/>
      <c r="P105" s="2123"/>
      <c r="Q105" s="2123"/>
      <c r="R105" s="2123"/>
      <c r="S105" s="2123"/>
    </row>
    <row r="106" spans="2:19" x14ac:dyDescent="0.25">
      <c r="B106" s="1278" t="s">
        <v>3155</v>
      </c>
      <c r="C106" s="1281">
        <v>1</v>
      </c>
      <c r="D106" s="1281">
        <v>1</v>
      </c>
      <c r="E106" s="1281">
        <v>1</v>
      </c>
      <c r="F106" s="1281">
        <v>1</v>
      </c>
      <c r="G106" s="1281">
        <v>1</v>
      </c>
      <c r="H106" s="1281">
        <v>1</v>
      </c>
      <c r="I106" s="1281">
        <v>1</v>
      </c>
      <c r="J106" s="1281">
        <v>1</v>
      </c>
      <c r="K106" s="1281">
        <v>1</v>
      </c>
      <c r="L106" s="1281">
        <v>1</v>
      </c>
      <c r="M106" s="1281">
        <v>1</v>
      </c>
      <c r="N106" s="1281">
        <v>1</v>
      </c>
      <c r="O106" s="1281">
        <v>1</v>
      </c>
      <c r="P106" s="1281">
        <v>1</v>
      </c>
      <c r="Q106" s="1281">
        <v>1</v>
      </c>
      <c r="R106" s="1281">
        <v>1</v>
      </c>
      <c r="S106" s="1281">
        <v>1</v>
      </c>
    </row>
    <row r="107" spans="2:19" x14ac:dyDescent="0.25">
      <c r="B107" s="2138" t="s">
        <v>3156</v>
      </c>
      <c r="C107" s="2123"/>
      <c r="D107" s="2123"/>
      <c r="E107" s="2123"/>
      <c r="F107" s="2123"/>
      <c r="G107" s="2123"/>
      <c r="H107" s="2123"/>
      <c r="I107" s="2123"/>
      <c r="J107" s="2123"/>
      <c r="K107" s="2123"/>
      <c r="L107" s="2123"/>
      <c r="M107" s="2123"/>
      <c r="N107" s="2123"/>
      <c r="O107" s="2123"/>
      <c r="P107" s="2123"/>
      <c r="Q107" s="2123"/>
      <c r="R107" s="2123"/>
      <c r="S107" s="2123"/>
    </row>
    <row r="108" spans="2:19" x14ac:dyDescent="0.25">
      <c r="B108" s="1278" t="s">
        <v>3157</v>
      </c>
      <c r="C108" s="1281">
        <v>2</v>
      </c>
      <c r="D108" s="1281">
        <v>2</v>
      </c>
      <c r="E108" s="1281">
        <v>2</v>
      </c>
      <c r="F108" s="1281">
        <v>2</v>
      </c>
      <c r="G108" s="1281">
        <v>2</v>
      </c>
      <c r="H108" s="1281">
        <v>2</v>
      </c>
      <c r="I108" s="1281">
        <v>2</v>
      </c>
      <c r="J108" s="1281">
        <v>2</v>
      </c>
      <c r="K108" s="1281">
        <v>2</v>
      </c>
      <c r="L108" s="1281">
        <v>2</v>
      </c>
      <c r="M108" s="1281">
        <v>2</v>
      </c>
      <c r="N108" s="1281">
        <v>2</v>
      </c>
      <c r="O108" s="1281">
        <v>2</v>
      </c>
      <c r="P108" s="1281">
        <v>2</v>
      </c>
      <c r="Q108" s="1281">
        <v>2</v>
      </c>
      <c r="R108" s="1281">
        <v>2</v>
      </c>
      <c r="S108" s="1281">
        <v>2</v>
      </c>
    </row>
    <row r="109" spans="2:19" x14ac:dyDescent="0.25">
      <c r="B109" s="2138" t="s">
        <v>3158</v>
      </c>
      <c r="C109" s="2123"/>
      <c r="D109" s="2123"/>
      <c r="E109" s="2123"/>
      <c r="F109" s="2123"/>
      <c r="G109" s="2123"/>
      <c r="H109" s="2123"/>
      <c r="I109" s="2123"/>
      <c r="J109" s="2123"/>
      <c r="K109" s="2123"/>
      <c r="L109" s="2123"/>
      <c r="M109" s="2123"/>
      <c r="N109" s="2123"/>
      <c r="O109" s="2123"/>
      <c r="P109" s="2123"/>
      <c r="Q109" s="2123"/>
      <c r="R109" s="2123"/>
      <c r="S109" s="2123"/>
    </row>
    <row r="110" spans="2:19" x14ac:dyDescent="0.25">
      <c r="B110" s="2122" t="s">
        <v>3159</v>
      </c>
      <c r="C110" s="2167">
        <v>0</v>
      </c>
      <c r="D110" s="2167">
        <v>0</v>
      </c>
      <c r="E110" s="2167">
        <v>0</v>
      </c>
      <c r="F110" s="2167">
        <v>0</v>
      </c>
      <c r="G110" s="2167">
        <v>0</v>
      </c>
      <c r="H110" s="2167">
        <v>0</v>
      </c>
      <c r="I110" s="2167">
        <v>0</v>
      </c>
      <c r="J110" s="2167">
        <v>0</v>
      </c>
      <c r="K110" s="2167">
        <v>0</v>
      </c>
      <c r="L110" s="2167">
        <v>0</v>
      </c>
      <c r="M110" s="2167">
        <v>0</v>
      </c>
      <c r="N110" s="2167">
        <v>0</v>
      </c>
      <c r="O110" s="2167">
        <v>0</v>
      </c>
      <c r="P110" s="2167">
        <v>0</v>
      </c>
      <c r="Q110" s="2167">
        <v>0</v>
      </c>
      <c r="R110" s="2167">
        <v>0</v>
      </c>
      <c r="S110" s="2167">
        <v>0</v>
      </c>
    </row>
    <row r="111" spans="2:19" x14ac:dyDescent="0.25">
      <c r="B111" s="2122" t="s">
        <v>3160</v>
      </c>
      <c r="C111" s="2167">
        <v>0</v>
      </c>
      <c r="D111" s="2167">
        <v>0</v>
      </c>
      <c r="E111" s="2167">
        <v>0</v>
      </c>
      <c r="F111" s="2167">
        <v>0</v>
      </c>
      <c r="G111" s="2167">
        <v>0</v>
      </c>
      <c r="H111" s="2167">
        <v>0</v>
      </c>
      <c r="I111" s="2167">
        <v>0</v>
      </c>
      <c r="J111" s="2167">
        <v>0</v>
      </c>
      <c r="K111" s="2167">
        <v>0</v>
      </c>
      <c r="L111" s="2167">
        <v>0</v>
      </c>
      <c r="M111" s="2167">
        <v>0</v>
      </c>
      <c r="N111" s="2167">
        <v>0</v>
      </c>
      <c r="O111" s="2167">
        <v>0</v>
      </c>
      <c r="P111" s="2167">
        <v>0</v>
      </c>
      <c r="Q111" s="2167">
        <v>0</v>
      </c>
      <c r="R111" s="2167">
        <v>0</v>
      </c>
      <c r="S111" s="2167">
        <v>0</v>
      </c>
    </row>
    <row r="112" spans="2:19" x14ac:dyDescent="0.25">
      <c r="B112" s="2122" t="s">
        <v>3161</v>
      </c>
      <c r="C112" s="2167">
        <v>0</v>
      </c>
      <c r="D112" s="2167">
        <v>0</v>
      </c>
      <c r="E112" s="2167">
        <v>0</v>
      </c>
      <c r="F112" s="2167">
        <v>0</v>
      </c>
      <c r="G112" s="2167">
        <v>0</v>
      </c>
      <c r="H112" s="2167">
        <v>0</v>
      </c>
      <c r="I112" s="2167">
        <v>0</v>
      </c>
      <c r="J112" s="2167">
        <v>0</v>
      </c>
      <c r="K112" s="2167">
        <v>0</v>
      </c>
      <c r="L112" s="2167">
        <v>0</v>
      </c>
      <c r="M112" s="2167">
        <v>0</v>
      </c>
      <c r="N112" s="2167">
        <v>0</v>
      </c>
      <c r="O112" s="2167">
        <v>0</v>
      </c>
      <c r="P112" s="2167">
        <v>0</v>
      </c>
      <c r="Q112" s="2167">
        <v>0</v>
      </c>
      <c r="R112" s="2167">
        <v>0</v>
      </c>
      <c r="S112" s="2167">
        <v>0</v>
      </c>
    </row>
    <row r="113" spans="2:19" x14ac:dyDescent="0.25">
      <c r="B113" s="2122" t="s">
        <v>3162</v>
      </c>
      <c r="C113" s="2167">
        <v>0</v>
      </c>
      <c r="D113" s="2167">
        <v>0</v>
      </c>
      <c r="E113" s="2167">
        <v>0</v>
      </c>
      <c r="F113" s="2167">
        <v>0</v>
      </c>
      <c r="G113" s="2167">
        <v>0</v>
      </c>
      <c r="H113" s="2167">
        <v>0</v>
      </c>
      <c r="I113" s="2167">
        <v>0</v>
      </c>
      <c r="J113" s="2167">
        <v>0</v>
      </c>
      <c r="K113" s="2167">
        <v>0</v>
      </c>
      <c r="L113" s="2167">
        <v>0</v>
      </c>
      <c r="M113" s="2167">
        <v>0</v>
      </c>
      <c r="N113" s="2167">
        <v>0</v>
      </c>
      <c r="O113" s="2167">
        <v>0</v>
      </c>
      <c r="P113" s="2167">
        <v>0</v>
      </c>
      <c r="Q113" s="2167">
        <v>0</v>
      </c>
      <c r="R113" s="2167">
        <v>0</v>
      </c>
      <c r="S113" s="2167">
        <v>0</v>
      </c>
    </row>
    <row r="114" spans="2:19" x14ac:dyDescent="0.25">
      <c r="B114" s="1278" t="s">
        <v>3163</v>
      </c>
      <c r="C114" s="1281">
        <f>+$E$50</f>
        <v>1</v>
      </c>
      <c r="D114" s="1281">
        <f t="shared" ref="D114:S114" si="39">+$E$50</f>
        <v>1</v>
      </c>
      <c r="E114" s="1281">
        <f t="shared" si="39"/>
        <v>1</v>
      </c>
      <c r="F114" s="1281">
        <f t="shared" si="39"/>
        <v>1</v>
      </c>
      <c r="G114" s="1281">
        <f t="shared" si="39"/>
        <v>1</v>
      </c>
      <c r="H114" s="1281">
        <f t="shared" si="39"/>
        <v>1</v>
      </c>
      <c r="I114" s="1281">
        <f t="shared" si="39"/>
        <v>1</v>
      </c>
      <c r="J114" s="1281">
        <f t="shared" si="39"/>
        <v>1</v>
      </c>
      <c r="K114" s="1281">
        <f t="shared" si="39"/>
        <v>1</v>
      </c>
      <c r="L114" s="1281">
        <f t="shared" si="39"/>
        <v>1</v>
      </c>
      <c r="M114" s="1281">
        <f t="shared" si="39"/>
        <v>1</v>
      </c>
      <c r="N114" s="1281">
        <f t="shared" si="39"/>
        <v>1</v>
      </c>
      <c r="O114" s="1281">
        <f t="shared" si="39"/>
        <v>1</v>
      </c>
      <c r="P114" s="1281">
        <f t="shared" si="39"/>
        <v>1</v>
      </c>
      <c r="Q114" s="1281">
        <f t="shared" si="39"/>
        <v>1</v>
      </c>
      <c r="R114" s="1281">
        <f t="shared" si="39"/>
        <v>1</v>
      </c>
      <c r="S114" s="1281">
        <f t="shared" si="39"/>
        <v>1</v>
      </c>
    </row>
    <row r="115" spans="2:19" x14ac:dyDescent="0.25">
      <c r="B115" s="2124" t="s">
        <v>3164</v>
      </c>
      <c r="C115" s="2148">
        <f>SUM(C89:C114)</f>
        <v>5</v>
      </c>
      <c r="D115" s="2148">
        <f t="shared" ref="D115:S115" si="40">SUM(D89:D114)</f>
        <v>5</v>
      </c>
      <c r="E115" s="2148">
        <f t="shared" si="40"/>
        <v>5</v>
      </c>
      <c r="F115" s="2148">
        <f t="shared" si="40"/>
        <v>5</v>
      </c>
      <c r="G115" s="2148">
        <f t="shared" si="40"/>
        <v>5</v>
      </c>
      <c r="H115" s="2148">
        <f t="shared" si="40"/>
        <v>5</v>
      </c>
      <c r="I115" s="2148">
        <f t="shared" si="40"/>
        <v>5</v>
      </c>
      <c r="J115" s="2148">
        <f t="shared" si="40"/>
        <v>5</v>
      </c>
      <c r="K115" s="2148">
        <f t="shared" si="40"/>
        <v>5</v>
      </c>
      <c r="L115" s="2148">
        <f t="shared" si="40"/>
        <v>5</v>
      </c>
      <c r="M115" s="2148">
        <f t="shared" si="40"/>
        <v>5</v>
      </c>
      <c r="N115" s="2148">
        <f t="shared" si="40"/>
        <v>5</v>
      </c>
      <c r="O115" s="2148">
        <f t="shared" si="40"/>
        <v>5</v>
      </c>
      <c r="P115" s="2148">
        <f t="shared" si="40"/>
        <v>5</v>
      </c>
      <c r="Q115" s="2148">
        <f t="shared" si="40"/>
        <v>5</v>
      </c>
      <c r="R115" s="2148">
        <f t="shared" si="40"/>
        <v>5</v>
      </c>
      <c r="S115" s="2149">
        <f t="shared" si="40"/>
        <v>5</v>
      </c>
    </row>
    <row r="116" spans="2:19" x14ac:dyDescent="0.25">
      <c r="C116" s="1296"/>
    </row>
  </sheetData>
  <mergeCells count="3">
    <mergeCell ref="B5:I6"/>
    <mergeCell ref="B8:I8"/>
    <mergeCell ref="B58:B59"/>
  </mergeCells>
  <pageMargins left="0.7" right="0.7" top="0.75" bottom="0.75" header="0.3" footer="0.3"/>
  <pageSetup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FF00"/>
  </sheetPr>
  <dimension ref="H2"/>
  <sheetViews>
    <sheetView workbookViewId="0">
      <selection activeCell="L28" sqref="L28"/>
    </sheetView>
  </sheetViews>
  <sheetFormatPr baseColWidth="10" defaultColWidth="11.42578125" defaultRowHeight="11.25" x14ac:dyDescent="0.2"/>
  <cols>
    <col min="1" max="16384" width="11.42578125" style="26"/>
  </cols>
  <sheetData>
    <row r="2" spans="8:8" x14ac:dyDescent="0.2">
      <c r="H2" s="228" t="s">
        <v>3173</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FF00"/>
  </sheetPr>
  <dimension ref="A2:BT342"/>
  <sheetViews>
    <sheetView zoomScale="85" zoomScaleNormal="85" workbookViewId="0">
      <selection activeCell="G315" sqref="G315"/>
    </sheetView>
  </sheetViews>
  <sheetFormatPr baseColWidth="10" defaultRowHeight="13.5" x14ac:dyDescent="0.25"/>
  <cols>
    <col min="1" max="1" width="6.85546875" style="691" customWidth="1"/>
    <col min="2" max="2" width="52.5703125" style="691" customWidth="1"/>
    <col min="3" max="3" width="8.42578125" style="1597" customWidth="1"/>
    <col min="4" max="19" width="6" style="1597" customWidth="1"/>
    <col min="20" max="255" width="11.5703125" style="691"/>
    <col min="256" max="256" width="6.85546875" style="691" customWidth="1"/>
    <col min="257" max="257" width="26.42578125" style="691" customWidth="1"/>
    <col min="258" max="258" width="9.28515625" style="691" customWidth="1"/>
    <col min="259" max="274" width="8.7109375" style="691" customWidth="1"/>
    <col min="275" max="511" width="11.5703125" style="691"/>
    <col min="512" max="512" width="6.85546875" style="691" customWidth="1"/>
    <col min="513" max="513" width="26.42578125" style="691" customWidth="1"/>
    <col min="514" max="514" width="9.28515625" style="691" customWidth="1"/>
    <col min="515" max="530" width="8.7109375" style="691" customWidth="1"/>
    <col min="531" max="767" width="11.5703125" style="691"/>
    <col min="768" max="768" width="6.85546875" style="691" customWidth="1"/>
    <col min="769" max="769" width="26.42578125" style="691" customWidth="1"/>
    <col min="770" max="770" width="9.28515625" style="691" customWidth="1"/>
    <col min="771" max="786" width="8.7109375" style="691" customWidth="1"/>
    <col min="787" max="1023" width="11.5703125" style="691"/>
    <col min="1024" max="1024" width="6.85546875" style="691" customWidth="1"/>
    <col min="1025" max="1025" width="26.42578125" style="691" customWidth="1"/>
    <col min="1026" max="1026" width="9.28515625" style="691" customWidth="1"/>
    <col min="1027" max="1042" width="8.7109375" style="691" customWidth="1"/>
    <col min="1043" max="1279" width="11.5703125" style="691"/>
    <col min="1280" max="1280" width="6.85546875" style="691" customWidth="1"/>
    <col min="1281" max="1281" width="26.42578125" style="691" customWidth="1"/>
    <col min="1282" max="1282" width="9.28515625" style="691" customWidth="1"/>
    <col min="1283" max="1298" width="8.7109375" style="691" customWidth="1"/>
    <col min="1299" max="1535" width="11.5703125" style="691"/>
    <col min="1536" max="1536" width="6.85546875" style="691" customWidth="1"/>
    <col min="1537" max="1537" width="26.42578125" style="691" customWidth="1"/>
    <col min="1538" max="1538" width="9.28515625" style="691" customWidth="1"/>
    <col min="1539" max="1554" width="8.7109375" style="691" customWidth="1"/>
    <col min="1555" max="1791" width="11.5703125" style="691"/>
    <col min="1792" max="1792" width="6.85546875" style="691" customWidth="1"/>
    <col min="1793" max="1793" width="26.42578125" style="691" customWidth="1"/>
    <col min="1794" max="1794" width="9.28515625" style="691" customWidth="1"/>
    <col min="1795" max="1810" width="8.7109375" style="691" customWidth="1"/>
    <col min="1811" max="2047" width="11.5703125" style="691"/>
    <col min="2048" max="2048" width="6.85546875" style="691" customWidth="1"/>
    <col min="2049" max="2049" width="26.42578125" style="691" customWidth="1"/>
    <col min="2050" max="2050" width="9.28515625" style="691" customWidth="1"/>
    <col min="2051" max="2066" width="8.7109375" style="691" customWidth="1"/>
    <col min="2067" max="2303" width="11.5703125" style="691"/>
    <col min="2304" max="2304" width="6.85546875" style="691" customWidth="1"/>
    <col min="2305" max="2305" width="26.42578125" style="691" customWidth="1"/>
    <col min="2306" max="2306" width="9.28515625" style="691" customWidth="1"/>
    <col min="2307" max="2322" width="8.7109375" style="691" customWidth="1"/>
    <col min="2323" max="2559" width="11.5703125" style="691"/>
    <col min="2560" max="2560" width="6.85546875" style="691" customWidth="1"/>
    <col min="2561" max="2561" width="26.42578125" style="691" customWidth="1"/>
    <col min="2562" max="2562" width="9.28515625" style="691" customWidth="1"/>
    <col min="2563" max="2578" width="8.7109375" style="691" customWidth="1"/>
    <col min="2579" max="2815" width="11.5703125" style="691"/>
    <col min="2816" max="2816" width="6.85546875" style="691" customWidth="1"/>
    <col min="2817" max="2817" width="26.42578125" style="691" customWidth="1"/>
    <col min="2818" max="2818" width="9.28515625" style="691" customWidth="1"/>
    <col min="2819" max="2834" width="8.7109375" style="691" customWidth="1"/>
    <col min="2835" max="3071" width="11.5703125" style="691"/>
    <col min="3072" max="3072" width="6.85546875" style="691" customWidth="1"/>
    <col min="3073" max="3073" width="26.42578125" style="691" customWidth="1"/>
    <col min="3074" max="3074" width="9.28515625" style="691" customWidth="1"/>
    <col min="3075" max="3090" width="8.7109375" style="691" customWidth="1"/>
    <col min="3091" max="3327" width="11.5703125" style="691"/>
    <col min="3328" max="3328" width="6.85546875" style="691" customWidth="1"/>
    <col min="3329" max="3329" width="26.42578125" style="691" customWidth="1"/>
    <col min="3330" max="3330" width="9.28515625" style="691" customWidth="1"/>
    <col min="3331" max="3346" width="8.7109375" style="691" customWidth="1"/>
    <col min="3347" max="3583" width="11.5703125" style="691"/>
    <col min="3584" max="3584" width="6.85546875" style="691" customWidth="1"/>
    <col min="3585" max="3585" width="26.42578125" style="691" customWidth="1"/>
    <col min="3586" max="3586" width="9.28515625" style="691" customWidth="1"/>
    <col min="3587" max="3602" width="8.7109375" style="691" customWidth="1"/>
    <col min="3603" max="3839" width="11.5703125" style="691"/>
    <col min="3840" max="3840" width="6.85546875" style="691" customWidth="1"/>
    <col min="3841" max="3841" width="26.42578125" style="691" customWidth="1"/>
    <col min="3842" max="3842" width="9.28515625" style="691" customWidth="1"/>
    <col min="3843" max="3858" width="8.7109375" style="691" customWidth="1"/>
    <col min="3859" max="4095" width="11.5703125" style="691"/>
    <col min="4096" max="4096" width="6.85546875" style="691" customWidth="1"/>
    <col min="4097" max="4097" width="26.42578125" style="691" customWidth="1"/>
    <col min="4098" max="4098" width="9.28515625" style="691" customWidth="1"/>
    <col min="4099" max="4114" width="8.7109375" style="691" customWidth="1"/>
    <col min="4115" max="4351" width="11.5703125" style="691"/>
    <col min="4352" max="4352" width="6.85546875" style="691" customWidth="1"/>
    <col min="4353" max="4353" width="26.42578125" style="691" customWidth="1"/>
    <col min="4354" max="4354" width="9.28515625" style="691" customWidth="1"/>
    <col min="4355" max="4370" width="8.7109375" style="691" customWidth="1"/>
    <col min="4371" max="4607" width="11.5703125" style="691"/>
    <col min="4608" max="4608" width="6.85546875" style="691" customWidth="1"/>
    <col min="4609" max="4609" width="26.42578125" style="691" customWidth="1"/>
    <col min="4610" max="4610" width="9.28515625" style="691" customWidth="1"/>
    <col min="4611" max="4626" width="8.7109375" style="691" customWidth="1"/>
    <col min="4627" max="4863" width="11.5703125" style="691"/>
    <col min="4864" max="4864" width="6.85546875" style="691" customWidth="1"/>
    <col min="4865" max="4865" width="26.42578125" style="691" customWidth="1"/>
    <col min="4866" max="4866" width="9.28515625" style="691" customWidth="1"/>
    <col min="4867" max="4882" width="8.7109375" style="691" customWidth="1"/>
    <col min="4883" max="5119" width="11.5703125" style="691"/>
    <col min="5120" max="5120" width="6.85546875" style="691" customWidth="1"/>
    <col min="5121" max="5121" width="26.42578125" style="691" customWidth="1"/>
    <col min="5122" max="5122" width="9.28515625" style="691" customWidth="1"/>
    <col min="5123" max="5138" width="8.7109375" style="691" customWidth="1"/>
    <col min="5139" max="5375" width="11.5703125" style="691"/>
    <col min="5376" max="5376" width="6.85546875" style="691" customWidth="1"/>
    <col min="5377" max="5377" width="26.42578125" style="691" customWidth="1"/>
    <col min="5378" max="5378" width="9.28515625" style="691" customWidth="1"/>
    <col min="5379" max="5394" width="8.7109375" style="691" customWidth="1"/>
    <col min="5395" max="5631" width="11.5703125" style="691"/>
    <col min="5632" max="5632" width="6.85546875" style="691" customWidth="1"/>
    <col min="5633" max="5633" width="26.42578125" style="691" customWidth="1"/>
    <col min="5634" max="5634" width="9.28515625" style="691" customWidth="1"/>
    <col min="5635" max="5650" width="8.7109375" style="691" customWidth="1"/>
    <col min="5651" max="5887" width="11.5703125" style="691"/>
    <col min="5888" max="5888" width="6.85546875" style="691" customWidth="1"/>
    <col min="5889" max="5889" width="26.42578125" style="691" customWidth="1"/>
    <col min="5890" max="5890" width="9.28515625" style="691" customWidth="1"/>
    <col min="5891" max="5906" width="8.7109375" style="691" customWidth="1"/>
    <col min="5907" max="6143" width="11.5703125" style="691"/>
    <col min="6144" max="6144" width="6.85546875" style="691" customWidth="1"/>
    <col min="6145" max="6145" width="26.42578125" style="691" customWidth="1"/>
    <col min="6146" max="6146" width="9.28515625" style="691" customWidth="1"/>
    <col min="6147" max="6162" width="8.7109375" style="691" customWidth="1"/>
    <col min="6163" max="6399" width="11.5703125" style="691"/>
    <col min="6400" max="6400" width="6.85546875" style="691" customWidth="1"/>
    <col min="6401" max="6401" width="26.42578125" style="691" customWidth="1"/>
    <col min="6402" max="6402" width="9.28515625" style="691" customWidth="1"/>
    <col min="6403" max="6418" width="8.7109375" style="691" customWidth="1"/>
    <col min="6419" max="6655" width="11.5703125" style="691"/>
    <col min="6656" max="6656" width="6.85546875" style="691" customWidth="1"/>
    <col min="6657" max="6657" width="26.42578125" style="691" customWidth="1"/>
    <col min="6658" max="6658" width="9.28515625" style="691" customWidth="1"/>
    <col min="6659" max="6674" width="8.7109375" style="691" customWidth="1"/>
    <col min="6675" max="6911" width="11.5703125" style="691"/>
    <col min="6912" max="6912" width="6.85546875" style="691" customWidth="1"/>
    <col min="6913" max="6913" width="26.42578125" style="691" customWidth="1"/>
    <col min="6914" max="6914" width="9.28515625" style="691" customWidth="1"/>
    <col min="6915" max="6930" width="8.7109375" style="691" customWidth="1"/>
    <col min="6931" max="7167" width="11.5703125" style="691"/>
    <col min="7168" max="7168" width="6.85546875" style="691" customWidth="1"/>
    <col min="7169" max="7169" width="26.42578125" style="691" customWidth="1"/>
    <col min="7170" max="7170" width="9.28515625" style="691" customWidth="1"/>
    <col min="7171" max="7186" width="8.7109375" style="691" customWidth="1"/>
    <col min="7187" max="7423" width="11.5703125" style="691"/>
    <col min="7424" max="7424" width="6.85546875" style="691" customWidth="1"/>
    <col min="7425" max="7425" width="26.42578125" style="691" customWidth="1"/>
    <col min="7426" max="7426" width="9.28515625" style="691" customWidth="1"/>
    <col min="7427" max="7442" width="8.7109375" style="691" customWidth="1"/>
    <col min="7443" max="7679" width="11.5703125" style="691"/>
    <col min="7680" max="7680" width="6.85546875" style="691" customWidth="1"/>
    <col min="7681" max="7681" width="26.42578125" style="691" customWidth="1"/>
    <col min="7682" max="7682" width="9.28515625" style="691" customWidth="1"/>
    <col min="7683" max="7698" width="8.7109375" style="691" customWidth="1"/>
    <col min="7699" max="7935" width="11.5703125" style="691"/>
    <col min="7936" max="7936" width="6.85546875" style="691" customWidth="1"/>
    <col min="7937" max="7937" width="26.42578125" style="691" customWidth="1"/>
    <col min="7938" max="7938" width="9.28515625" style="691" customWidth="1"/>
    <col min="7939" max="7954" width="8.7109375" style="691" customWidth="1"/>
    <col min="7955" max="8191" width="11.5703125" style="691"/>
    <col min="8192" max="8192" width="6.85546875" style="691" customWidth="1"/>
    <col min="8193" max="8193" width="26.42578125" style="691" customWidth="1"/>
    <col min="8194" max="8194" width="9.28515625" style="691" customWidth="1"/>
    <col min="8195" max="8210" width="8.7109375" style="691" customWidth="1"/>
    <col min="8211" max="8447" width="11.5703125" style="691"/>
    <col min="8448" max="8448" width="6.85546875" style="691" customWidth="1"/>
    <col min="8449" max="8449" width="26.42578125" style="691" customWidth="1"/>
    <col min="8450" max="8450" width="9.28515625" style="691" customWidth="1"/>
    <col min="8451" max="8466" width="8.7109375" style="691" customWidth="1"/>
    <col min="8467" max="8703" width="11.5703125" style="691"/>
    <col min="8704" max="8704" width="6.85546875" style="691" customWidth="1"/>
    <col min="8705" max="8705" width="26.42578125" style="691" customWidth="1"/>
    <col min="8706" max="8706" width="9.28515625" style="691" customWidth="1"/>
    <col min="8707" max="8722" width="8.7109375" style="691" customWidth="1"/>
    <col min="8723" max="8959" width="11.5703125" style="691"/>
    <col min="8960" max="8960" width="6.85546875" style="691" customWidth="1"/>
    <col min="8961" max="8961" width="26.42578125" style="691" customWidth="1"/>
    <col min="8962" max="8962" width="9.28515625" style="691" customWidth="1"/>
    <col min="8963" max="8978" width="8.7109375" style="691" customWidth="1"/>
    <col min="8979" max="9215" width="11.5703125" style="691"/>
    <col min="9216" max="9216" width="6.85546875" style="691" customWidth="1"/>
    <col min="9217" max="9217" width="26.42578125" style="691" customWidth="1"/>
    <col min="9218" max="9218" width="9.28515625" style="691" customWidth="1"/>
    <col min="9219" max="9234" width="8.7109375" style="691" customWidth="1"/>
    <col min="9235" max="9471" width="11.5703125" style="691"/>
    <col min="9472" max="9472" width="6.85546875" style="691" customWidth="1"/>
    <col min="9473" max="9473" width="26.42578125" style="691" customWidth="1"/>
    <col min="9474" max="9474" width="9.28515625" style="691" customWidth="1"/>
    <col min="9475" max="9490" width="8.7109375" style="691" customWidth="1"/>
    <col min="9491" max="9727" width="11.5703125" style="691"/>
    <col min="9728" max="9728" width="6.85546875" style="691" customWidth="1"/>
    <col min="9729" max="9729" width="26.42578125" style="691" customWidth="1"/>
    <col min="9730" max="9730" width="9.28515625" style="691" customWidth="1"/>
    <col min="9731" max="9746" width="8.7109375" style="691" customWidth="1"/>
    <col min="9747" max="9983" width="11.5703125" style="691"/>
    <col min="9984" max="9984" width="6.85546875" style="691" customWidth="1"/>
    <col min="9985" max="9985" width="26.42578125" style="691" customWidth="1"/>
    <col min="9986" max="9986" width="9.28515625" style="691" customWidth="1"/>
    <col min="9987" max="10002" width="8.7109375" style="691" customWidth="1"/>
    <col min="10003" max="10239" width="11.5703125" style="691"/>
    <col min="10240" max="10240" width="6.85546875" style="691" customWidth="1"/>
    <col min="10241" max="10241" width="26.42578125" style="691" customWidth="1"/>
    <col min="10242" max="10242" width="9.28515625" style="691" customWidth="1"/>
    <col min="10243" max="10258" width="8.7109375" style="691" customWidth="1"/>
    <col min="10259" max="10495" width="11.5703125" style="691"/>
    <col min="10496" max="10496" width="6.85546875" style="691" customWidth="1"/>
    <col min="10497" max="10497" width="26.42578125" style="691" customWidth="1"/>
    <col min="10498" max="10498" width="9.28515625" style="691" customWidth="1"/>
    <col min="10499" max="10514" width="8.7109375" style="691" customWidth="1"/>
    <col min="10515" max="10751" width="11.5703125" style="691"/>
    <col min="10752" max="10752" width="6.85546875" style="691" customWidth="1"/>
    <col min="10753" max="10753" width="26.42578125" style="691" customWidth="1"/>
    <col min="10754" max="10754" width="9.28515625" style="691" customWidth="1"/>
    <col min="10755" max="10770" width="8.7109375" style="691" customWidth="1"/>
    <col min="10771" max="11007" width="11.5703125" style="691"/>
    <col min="11008" max="11008" width="6.85546875" style="691" customWidth="1"/>
    <col min="11009" max="11009" width="26.42578125" style="691" customWidth="1"/>
    <col min="11010" max="11010" width="9.28515625" style="691" customWidth="1"/>
    <col min="11011" max="11026" width="8.7109375" style="691" customWidth="1"/>
    <col min="11027" max="11263" width="11.5703125" style="691"/>
    <col min="11264" max="11264" width="6.85546875" style="691" customWidth="1"/>
    <col min="11265" max="11265" width="26.42578125" style="691" customWidth="1"/>
    <col min="11266" max="11266" width="9.28515625" style="691" customWidth="1"/>
    <col min="11267" max="11282" width="8.7109375" style="691" customWidth="1"/>
    <col min="11283" max="11519" width="11.5703125" style="691"/>
    <col min="11520" max="11520" width="6.85546875" style="691" customWidth="1"/>
    <col min="11521" max="11521" width="26.42578125" style="691" customWidth="1"/>
    <col min="11522" max="11522" width="9.28515625" style="691" customWidth="1"/>
    <col min="11523" max="11538" width="8.7109375" style="691" customWidth="1"/>
    <col min="11539" max="11775" width="11.5703125" style="691"/>
    <col min="11776" max="11776" width="6.85546875" style="691" customWidth="1"/>
    <col min="11777" max="11777" width="26.42578125" style="691" customWidth="1"/>
    <col min="11778" max="11778" width="9.28515625" style="691" customWidth="1"/>
    <col min="11779" max="11794" width="8.7109375" style="691" customWidth="1"/>
    <col min="11795" max="12031" width="11.5703125" style="691"/>
    <col min="12032" max="12032" width="6.85546875" style="691" customWidth="1"/>
    <col min="12033" max="12033" width="26.42578125" style="691" customWidth="1"/>
    <col min="12034" max="12034" width="9.28515625" style="691" customWidth="1"/>
    <col min="12035" max="12050" width="8.7109375" style="691" customWidth="1"/>
    <col min="12051" max="12287" width="11.5703125" style="691"/>
    <col min="12288" max="12288" width="6.85546875" style="691" customWidth="1"/>
    <col min="12289" max="12289" width="26.42578125" style="691" customWidth="1"/>
    <col min="12290" max="12290" width="9.28515625" style="691" customWidth="1"/>
    <col min="12291" max="12306" width="8.7109375" style="691" customWidth="1"/>
    <col min="12307" max="12543" width="11.5703125" style="691"/>
    <col min="12544" max="12544" width="6.85546875" style="691" customWidth="1"/>
    <col min="12545" max="12545" width="26.42578125" style="691" customWidth="1"/>
    <col min="12546" max="12546" width="9.28515625" style="691" customWidth="1"/>
    <col min="12547" max="12562" width="8.7109375" style="691" customWidth="1"/>
    <col min="12563" max="12799" width="11.5703125" style="691"/>
    <col min="12800" max="12800" width="6.85546875" style="691" customWidth="1"/>
    <col min="12801" max="12801" width="26.42578125" style="691" customWidth="1"/>
    <col min="12802" max="12802" width="9.28515625" style="691" customWidth="1"/>
    <col min="12803" max="12818" width="8.7109375" style="691" customWidth="1"/>
    <col min="12819" max="13055" width="11.5703125" style="691"/>
    <col min="13056" max="13056" width="6.85546875" style="691" customWidth="1"/>
    <col min="13057" max="13057" width="26.42578125" style="691" customWidth="1"/>
    <col min="13058" max="13058" width="9.28515625" style="691" customWidth="1"/>
    <col min="13059" max="13074" width="8.7109375" style="691" customWidth="1"/>
    <col min="13075" max="13311" width="11.5703125" style="691"/>
    <col min="13312" max="13312" width="6.85546875" style="691" customWidth="1"/>
    <col min="13313" max="13313" width="26.42578125" style="691" customWidth="1"/>
    <col min="13314" max="13314" width="9.28515625" style="691" customWidth="1"/>
    <col min="13315" max="13330" width="8.7109375" style="691" customWidth="1"/>
    <col min="13331" max="13567" width="11.5703125" style="691"/>
    <col min="13568" max="13568" width="6.85546875" style="691" customWidth="1"/>
    <col min="13569" max="13569" width="26.42578125" style="691" customWidth="1"/>
    <col min="13570" max="13570" width="9.28515625" style="691" customWidth="1"/>
    <col min="13571" max="13586" width="8.7109375" style="691" customWidth="1"/>
    <col min="13587" max="13823" width="11.5703125" style="691"/>
    <col min="13824" max="13824" width="6.85546875" style="691" customWidth="1"/>
    <col min="13825" max="13825" width="26.42578125" style="691" customWidth="1"/>
    <col min="13826" max="13826" width="9.28515625" style="691" customWidth="1"/>
    <col min="13827" max="13842" width="8.7109375" style="691" customWidth="1"/>
    <col min="13843" max="14079" width="11.5703125" style="691"/>
    <col min="14080" max="14080" width="6.85546875" style="691" customWidth="1"/>
    <col min="14081" max="14081" width="26.42578125" style="691" customWidth="1"/>
    <col min="14082" max="14082" width="9.28515625" style="691" customWidth="1"/>
    <col min="14083" max="14098" width="8.7109375" style="691" customWidth="1"/>
    <col min="14099" max="14335" width="11.5703125" style="691"/>
    <col min="14336" max="14336" width="6.85546875" style="691" customWidth="1"/>
    <col min="14337" max="14337" width="26.42578125" style="691" customWidth="1"/>
    <col min="14338" max="14338" width="9.28515625" style="691" customWidth="1"/>
    <col min="14339" max="14354" width="8.7109375" style="691" customWidth="1"/>
    <col min="14355" max="14591" width="11.5703125" style="691"/>
    <col min="14592" max="14592" width="6.85546875" style="691" customWidth="1"/>
    <col min="14593" max="14593" width="26.42578125" style="691" customWidth="1"/>
    <col min="14594" max="14594" width="9.28515625" style="691" customWidth="1"/>
    <col min="14595" max="14610" width="8.7109375" style="691" customWidth="1"/>
    <col min="14611" max="14847" width="11.5703125" style="691"/>
    <col min="14848" max="14848" width="6.85546875" style="691" customWidth="1"/>
    <col min="14849" max="14849" width="26.42578125" style="691" customWidth="1"/>
    <col min="14850" max="14850" width="9.28515625" style="691" customWidth="1"/>
    <col min="14851" max="14866" width="8.7109375" style="691" customWidth="1"/>
    <col min="14867" max="15103" width="11.5703125" style="691"/>
    <col min="15104" max="15104" width="6.85546875" style="691" customWidth="1"/>
    <col min="15105" max="15105" width="26.42578125" style="691" customWidth="1"/>
    <col min="15106" max="15106" width="9.28515625" style="691" customWidth="1"/>
    <col min="15107" max="15122" width="8.7109375" style="691" customWidth="1"/>
    <col min="15123" max="15359" width="11.5703125" style="691"/>
    <col min="15360" max="15360" width="6.85546875" style="691" customWidth="1"/>
    <col min="15361" max="15361" width="26.42578125" style="691" customWidth="1"/>
    <col min="15362" max="15362" width="9.28515625" style="691" customWidth="1"/>
    <col min="15363" max="15378" width="8.7109375" style="691" customWidth="1"/>
    <col min="15379" max="15615" width="11.5703125" style="691"/>
    <col min="15616" max="15616" width="6.85546875" style="691" customWidth="1"/>
    <col min="15617" max="15617" width="26.42578125" style="691" customWidth="1"/>
    <col min="15618" max="15618" width="9.28515625" style="691" customWidth="1"/>
    <col min="15619" max="15634" width="8.7109375" style="691" customWidth="1"/>
    <col min="15635" max="15871" width="11.5703125" style="691"/>
    <col min="15872" max="15872" width="6.85546875" style="691" customWidth="1"/>
    <col min="15873" max="15873" width="26.42578125" style="691" customWidth="1"/>
    <col min="15874" max="15874" width="9.28515625" style="691" customWidth="1"/>
    <col min="15875" max="15890" width="8.7109375" style="691" customWidth="1"/>
    <col min="15891" max="16127" width="11.5703125" style="691"/>
    <col min="16128" max="16128" width="6.85546875" style="691" customWidth="1"/>
    <col min="16129" max="16129" width="26.42578125" style="691" customWidth="1"/>
    <col min="16130" max="16130" width="9.28515625" style="691" customWidth="1"/>
    <col min="16131" max="16146" width="8.7109375" style="691" customWidth="1"/>
    <col min="16147" max="16384" width="11.5703125" style="691"/>
  </cols>
  <sheetData>
    <row r="2" spans="2:19" x14ac:dyDescent="0.25">
      <c r="B2" s="689" t="s">
        <v>3174</v>
      </c>
      <c r="C2" s="1596"/>
    </row>
    <row r="3" spans="2:19" x14ac:dyDescent="0.25">
      <c r="B3" s="689"/>
      <c r="C3" s="1596"/>
    </row>
    <row r="4" spans="2:19" x14ac:dyDescent="0.25">
      <c r="B4" s="689" t="s">
        <v>3175</v>
      </c>
      <c r="C4" s="1596"/>
    </row>
    <row r="5" spans="2:19" x14ac:dyDescent="0.25">
      <c r="B5" s="689"/>
      <c r="C5" s="1596"/>
    </row>
    <row r="6" spans="2:19" x14ac:dyDescent="0.25">
      <c r="B6" s="4754" t="s">
        <v>3112</v>
      </c>
      <c r="C6" s="2136">
        <v>0</v>
      </c>
      <c r="D6" s="2136">
        <v>0</v>
      </c>
      <c r="E6" s="2159">
        <v>1</v>
      </c>
      <c r="F6" s="2159">
        <f>E6+1</f>
        <v>2</v>
      </c>
      <c r="G6" s="2159">
        <f>F6+1</f>
        <v>3</v>
      </c>
      <c r="H6" s="2159">
        <f t="shared" ref="H6:S6" si="0">G6+1</f>
        <v>4</v>
      </c>
      <c r="I6" s="2159">
        <f t="shared" si="0"/>
        <v>5</v>
      </c>
      <c r="J6" s="2159">
        <f t="shared" si="0"/>
        <v>6</v>
      </c>
      <c r="K6" s="2159">
        <f t="shared" si="0"/>
        <v>7</v>
      </c>
      <c r="L6" s="2159">
        <f t="shared" si="0"/>
        <v>8</v>
      </c>
      <c r="M6" s="2159">
        <f t="shared" si="0"/>
        <v>9</v>
      </c>
      <c r="N6" s="2159">
        <f t="shared" si="0"/>
        <v>10</v>
      </c>
      <c r="O6" s="2159">
        <f t="shared" si="0"/>
        <v>11</v>
      </c>
      <c r="P6" s="2159">
        <f t="shared" si="0"/>
        <v>12</v>
      </c>
      <c r="Q6" s="2159">
        <f t="shared" si="0"/>
        <v>13</v>
      </c>
      <c r="R6" s="2159">
        <f t="shared" si="0"/>
        <v>14</v>
      </c>
      <c r="S6" s="2160">
        <f t="shared" si="0"/>
        <v>15</v>
      </c>
    </row>
    <row r="7" spans="2:19" x14ac:dyDescent="0.25">
      <c r="B7" s="4755"/>
      <c r="C7" s="2137">
        <v>2018</v>
      </c>
      <c r="D7" s="2137">
        <f>C7+1</f>
        <v>2019</v>
      </c>
      <c r="E7" s="2161">
        <f t="shared" ref="E7:S7" si="1">D7+1</f>
        <v>2020</v>
      </c>
      <c r="F7" s="2161">
        <f t="shared" si="1"/>
        <v>2021</v>
      </c>
      <c r="G7" s="2161">
        <f t="shared" si="1"/>
        <v>2022</v>
      </c>
      <c r="H7" s="2161">
        <f t="shared" si="1"/>
        <v>2023</v>
      </c>
      <c r="I7" s="2161">
        <f t="shared" si="1"/>
        <v>2024</v>
      </c>
      <c r="J7" s="2161">
        <f t="shared" si="1"/>
        <v>2025</v>
      </c>
      <c r="K7" s="2161">
        <f t="shared" si="1"/>
        <v>2026</v>
      </c>
      <c r="L7" s="2161">
        <f t="shared" si="1"/>
        <v>2027</v>
      </c>
      <c r="M7" s="2161">
        <f t="shared" si="1"/>
        <v>2028</v>
      </c>
      <c r="N7" s="2161">
        <f t="shared" si="1"/>
        <v>2029</v>
      </c>
      <c r="O7" s="2161">
        <f t="shared" si="1"/>
        <v>2030</v>
      </c>
      <c r="P7" s="2161">
        <f t="shared" si="1"/>
        <v>2031</v>
      </c>
      <c r="Q7" s="2161">
        <f t="shared" si="1"/>
        <v>2032</v>
      </c>
      <c r="R7" s="2161">
        <f t="shared" si="1"/>
        <v>2033</v>
      </c>
      <c r="S7" s="2162">
        <f t="shared" si="1"/>
        <v>2034</v>
      </c>
    </row>
    <row r="8" spans="2:19" x14ac:dyDescent="0.25">
      <c r="B8" s="1278" t="s">
        <v>206</v>
      </c>
      <c r="C8" s="1281" t="e">
        <f>'Paso 1.3.2'!C38</f>
        <v>#DIV/0!</v>
      </c>
      <c r="D8" s="1281" t="e">
        <f>'Paso 1.3.2'!D38</f>
        <v>#DIV/0!</v>
      </c>
      <c r="E8" s="1281" t="e">
        <f>'Paso 1.3.2'!E38</f>
        <v>#DIV/0!</v>
      </c>
      <c r="F8" s="1281" t="e">
        <f>'Paso 1.3.2'!F38</f>
        <v>#DIV/0!</v>
      </c>
      <c r="G8" s="1281" t="e">
        <f>'Paso 1.3.2'!G38</f>
        <v>#DIV/0!</v>
      </c>
      <c r="H8" s="1281" t="e">
        <f>'Paso 1.3.2'!H38</f>
        <v>#DIV/0!</v>
      </c>
      <c r="I8" s="1281" t="e">
        <f>'Paso 1.3.2'!I38</f>
        <v>#DIV/0!</v>
      </c>
      <c r="J8" s="1281" t="e">
        <f>'Paso 1.3.2'!J38</f>
        <v>#DIV/0!</v>
      </c>
      <c r="K8" s="1281" t="e">
        <f>'Paso 1.3.2'!K38</f>
        <v>#DIV/0!</v>
      </c>
      <c r="L8" s="1281" t="e">
        <f>'Paso 1.3.2'!L38</f>
        <v>#DIV/0!</v>
      </c>
      <c r="M8" s="1281" t="e">
        <f>'Paso 1.3.2'!M38</f>
        <v>#DIV/0!</v>
      </c>
      <c r="N8" s="1281" t="e">
        <f>'Paso 1.3.2'!N38</f>
        <v>#DIV/0!</v>
      </c>
      <c r="O8" s="1281" t="e">
        <f>'Paso 1.3.2'!O38</f>
        <v>#DIV/0!</v>
      </c>
      <c r="P8" s="1281" t="e">
        <f>'Paso 1.3.2'!P38</f>
        <v>#DIV/0!</v>
      </c>
      <c r="Q8" s="1281" t="e">
        <f>'Paso 1.3.2'!Q38</f>
        <v>#DIV/0!</v>
      </c>
      <c r="R8" s="1281" t="e">
        <f>'Paso 1.3.2'!R38</f>
        <v>#DIV/0!</v>
      </c>
      <c r="S8" s="1281" t="e">
        <f>'Paso 1.3.2'!S38</f>
        <v>#DIV/0!</v>
      </c>
    </row>
    <row r="9" spans="2:19" x14ac:dyDescent="0.25">
      <c r="B9" s="1278" t="s">
        <v>3126</v>
      </c>
      <c r="C9" s="1281" t="e">
        <f>'Paso 1.3.2'!C39</f>
        <v>#DIV/0!</v>
      </c>
      <c r="D9" s="1281" t="e">
        <f>'Paso 1.3.2'!D39</f>
        <v>#DIV/0!</v>
      </c>
      <c r="E9" s="1281" t="e">
        <f>'Paso 1.3.2'!E39</f>
        <v>#DIV/0!</v>
      </c>
      <c r="F9" s="1281" t="e">
        <f>'Paso 1.3.2'!F39</f>
        <v>#DIV/0!</v>
      </c>
      <c r="G9" s="1281" t="e">
        <f>'Paso 1.3.2'!G39</f>
        <v>#DIV/0!</v>
      </c>
      <c r="H9" s="1281" t="e">
        <f>'Paso 1.3.2'!H39</f>
        <v>#DIV/0!</v>
      </c>
      <c r="I9" s="1281" t="e">
        <f>'Paso 1.3.2'!I39</f>
        <v>#DIV/0!</v>
      </c>
      <c r="J9" s="1281" t="e">
        <f>'Paso 1.3.2'!J39</f>
        <v>#DIV/0!</v>
      </c>
      <c r="K9" s="1281" t="e">
        <f>'Paso 1.3.2'!K39</f>
        <v>#DIV/0!</v>
      </c>
      <c r="L9" s="1281" t="e">
        <f>'Paso 1.3.2'!L39</f>
        <v>#DIV/0!</v>
      </c>
      <c r="M9" s="1281" t="e">
        <f>'Paso 1.3.2'!M39</f>
        <v>#DIV/0!</v>
      </c>
      <c r="N9" s="1281" t="e">
        <f>'Paso 1.3.2'!N39</f>
        <v>#DIV/0!</v>
      </c>
      <c r="O9" s="1281" t="e">
        <f>'Paso 1.3.2'!O39</f>
        <v>#DIV/0!</v>
      </c>
      <c r="P9" s="1281" t="e">
        <f>'Paso 1.3.2'!P39</f>
        <v>#DIV/0!</v>
      </c>
      <c r="Q9" s="1281" t="e">
        <f>'Paso 1.3.2'!Q39</f>
        <v>#DIV/0!</v>
      </c>
      <c r="R9" s="1281" t="e">
        <f>'Paso 1.3.2'!R39</f>
        <v>#DIV/0!</v>
      </c>
      <c r="S9" s="1281" t="e">
        <f>'Paso 1.3.2'!S39</f>
        <v>#DIV/0!</v>
      </c>
    </row>
    <row r="10" spans="2:19" x14ac:dyDescent="0.25">
      <c r="B10" s="2122" t="s">
        <v>3127</v>
      </c>
      <c r="C10" s="2167">
        <v>0</v>
      </c>
      <c r="D10" s="2167">
        <v>0</v>
      </c>
      <c r="E10" s="2167">
        <v>0</v>
      </c>
      <c r="F10" s="2167">
        <v>0</v>
      </c>
      <c r="G10" s="2167">
        <v>0</v>
      </c>
      <c r="H10" s="2167">
        <v>0</v>
      </c>
      <c r="I10" s="2167">
        <v>0</v>
      </c>
      <c r="J10" s="2167">
        <v>0</v>
      </c>
      <c r="K10" s="2167">
        <v>0</v>
      </c>
      <c r="L10" s="2167">
        <v>0</v>
      </c>
      <c r="M10" s="2167">
        <v>0</v>
      </c>
      <c r="N10" s="2167">
        <v>0</v>
      </c>
      <c r="O10" s="2167">
        <v>0</v>
      </c>
      <c r="P10" s="2167">
        <v>0</v>
      </c>
      <c r="Q10" s="2167">
        <v>0</v>
      </c>
      <c r="R10" s="2167">
        <v>0</v>
      </c>
      <c r="S10" s="2167">
        <v>0</v>
      </c>
    </row>
    <row r="11" spans="2:19" x14ac:dyDescent="0.25">
      <c r="B11" s="1278" t="s">
        <v>3128</v>
      </c>
      <c r="C11" s="1281" t="e">
        <f>'Paso 1.3.2'!C41</f>
        <v>#DIV/0!</v>
      </c>
      <c r="D11" s="1281" t="e">
        <f>'Paso 1.3.2'!D41</f>
        <v>#DIV/0!</v>
      </c>
      <c r="E11" s="1281" t="e">
        <f>'Paso 1.3.2'!E41</f>
        <v>#DIV/0!</v>
      </c>
      <c r="F11" s="1281" t="e">
        <f>'Paso 1.3.2'!F41</f>
        <v>#DIV/0!</v>
      </c>
      <c r="G11" s="1281" t="e">
        <f>'Paso 1.3.2'!G41</f>
        <v>#DIV/0!</v>
      </c>
      <c r="H11" s="1281" t="e">
        <f>'Paso 1.3.2'!H41</f>
        <v>#DIV/0!</v>
      </c>
      <c r="I11" s="1281" t="e">
        <f>'Paso 1.3.2'!I41</f>
        <v>#DIV/0!</v>
      </c>
      <c r="J11" s="1281" t="e">
        <f>'Paso 1.3.2'!J41</f>
        <v>#DIV/0!</v>
      </c>
      <c r="K11" s="1281" t="e">
        <f>'Paso 1.3.2'!K41</f>
        <v>#DIV/0!</v>
      </c>
      <c r="L11" s="1281" t="e">
        <f>'Paso 1.3.2'!L41</f>
        <v>#DIV/0!</v>
      </c>
      <c r="M11" s="1281" t="e">
        <f>'Paso 1.3.2'!M41</f>
        <v>#DIV/0!</v>
      </c>
      <c r="N11" s="1281" t="e">
        <f>'Paso 1.3.2'!N41</f>
        <v>#DIV/0!</v>
      </c>
      <c r="O11" s="1281" t="e">
        <f>'Paso 1.3.2'!O41</f>
        <v>#DIV/0!</v>
      </c>
      <c r="P11" s="1281" t="e">
        <f>'Paso 1.3.2'!P41</f>
        <v>#DIV/0!</v>
      </c>
      <c r="Q11" s="1281" t="e">
        <f>'Paso 1.3.2'!Q41</f>
        <v>#DIV/0!</v>
      </c>
      <c r="R11" s="1281" t="e">
        <f>'Paso 1.3.2'!R41</f>
        <v>#DIV/0!</v>
      </c>
      <c r="S11" s="1281" t="e">
        <f>'Paso 1.3.2'!S41</f>
        <v>#DIV/0!</v>
      </c>
    </row>
    <row r="12" spans="2:19" x14ac:dyDescent="0.25">
      <c r="B12" s="2122" t="s">
        <v>3129</v>
      </c>
      <c r="C12" s="2167">
        <v>0</v>
      </c>
      <c r="D12" s="2167">
        <v>0</v>
      </c>
      <c r="E12" s="2167">
        <v>0</v>
      </c>
      <c r="F12" s="2167">
        <v>0</v>
      </c>
      <c r="G12" s="2167">
        <v>0</v>
      </c>
      <c r="H12" s="2167">
        <v>0</v>
      </c>
      <c r="I12" s="2167">
        <v>0</v>
      </c>
      <c r="J12" s="2167">
        <v>0</v>
      </c>
      <c r="K12" s="2167">
        <v>0</v>
      </c>
      <c r="L12" s="2167">
        <v>0</v>
      </c>
      <c r="M12" s="2167">
        <v>0</v>
      </c>
      <c r="N12" s="2167">
        <v>0</v>
      </c>
      <c r="O12" s="2167">
        <v>0</v>
      </c>
      <c r="P12" s="2167">
        <v>0</v>
      </c>
      <c r="Q12" s="2167">
        <v>0</v>
      </c>
      <c r="R12" s="2167">
        <v>0</v>
      </c>
      <c r="S12" s="2167">
        <v>0</v>
      </c>
    </row>
    <row r="13" spans="2:19" x14ac:dyDescent="0.25">
      <c r="B13" s="2122" t="s">
        <v>3130</v>
      </c>
      <c r="C13" s="2167">
        <v>0</v>
      </c>
      <c r="D13" s="2167">
        <v>0</v>
      </c>
      <c r="E13" s="2167">
        <v>0</v>
      </c>
      <c r="F13" s="2167">
        <v>0</v>
      </c>
      <c r="G13" s="2167">
        <v>0</v>
      </c>
      <c r="H13" s="2167">
        <v>0</v>
      </c>
      <c r="I13" s="2167">
        <v>0</v>
      </c>
      <c r="J13" s="2167">
        <v>0</v>
      </c>
      <c r="K13" s="2167">
        <v>0</v>
      </c>
      <c r="L13" s="2167">
        <v>0</v>
      </c>
      <c r="M13" s="2167">
        <v>0</v>
      </c>
      <c r="N13" s="2167">
        <v>0</v>
      </c>
      <c r="O13" s="2167">
        <v>0</v>
      </c>
      <c r="P13" s="2167">
        <v>0</v>
      </c>
      <c r="Q13" s="2167">
        <v>0</v>
      </c>
      <c r="R13" s="2167">
        <v>0</v>
      </c>
      <c r="S13" s="2167">
        <v>0</v>
      </c>
    </row>
    <row r="14" spans="2:19" x14ac:dyDescent="0.25">
      <c r="B14" s="2122" t="s">
        <v>3131</v>
      </c>
      <c r="C14" s="2167">
        <v>0</v>
      </c>
      <c r="D14" s="2167">
        <v>0</v>
      </c>
      <c r="E14" s="2167">
        <v>0</v>
      </c>
      <c r="F14" s="2167">
        <v>0</v>
      </c>
      <c r="G14" s="2167">
        <v>0</v>
      </c>
      <c r="H14" s="2167">
        <v>0</v>
      </c>
      <c r="I14" s="2167">
        <v>0</v>
      </c>
      <c r="J14" s="2167">
        <v>0</v>
      </c>
      <c r="K14" s="2167">
        <v>0</v>
      </c>
      <c r="L14" s="2167">
        <v>0</v>
      </c>
      <c r="M14" s="2167">
        <v>0</v>
      </c>
      <c r="N14" s="2167">
        <v>0</v>
      </c>
      <c r="O14" s="2167">
        <v>0</v>
      </c>
      <c r="P14" s="2167">
        <v>0</v>
      </c>
      <c r="Q14" s="2167">
        <v>0</v>
      </c>
      <c r="R14" s="2167">
        <v>0</v>
      </c>
      <c r="S14" s="2167">
        <v>0</v>
      </c>
    </row>
    <row r="15" spans="2:19" x14ac:dyDescent="0.25">
      <c r="B15" s="1278" t="s">
        <v>3132</v>
      </c>
      <c r="C15" s="1281" t="e">
        <f>'Paso 1.3.2'!C45</f>
        <v>#DIV/0!</v>
      </c>
      <c r="D15" s="1281" t="e">
        <f>'Paso 1.3.2'!D45</f>
        <v>#DIV/0!</v>
      </c>
      <c r="E15" s="1281" t="e">
        <f>'Paso 1.3.2'!E45</f>
        <v>#DIV/0!</v>
      </c>
      <c r="F15" s="1281" t="e">
        <f>'Paso 1.3.2'!F45</f>
        <v>#DIV/0!</v>
      </c>
      <c r="G15" s="1281" t="e">
        <f>'Paso 1.3.2'!G45</f>
        <v>#DIV/0!</v>
      </c>
      <c r="H15" s="1281" t="e">
        <f>'Paso 1.3.2'!H45</f>
        <v>#DIV/0!</v>
      </c>
      <c r="I15" s="1281" t="e">
        <f>'Paso 1.3.2'!I45</f>
        <v>#DIV/0!</v>
      </c>
      <c r="J15" s="1281" t="e">
        <f>'Paso 1.3.2'!J45</f>
        <v>#DIV/0!</v>
      </c>
      <c r="K15" s="1281" t="e">
        <f>'Paso 1.3.2'!K45</f>
        <v>#DIV/0!</v>
      </c>
      <c r="L15" s="1281" t="e">
        <f>'Paso 1.3.2'!L45</f>
        <v>#DIV/0!</v>
      </c>
      <c r="M15" s="1281" t="e">
        <f>'Paso 1.3.2'!M45</f>
        <v>#DIV/0!</v>
      </c>
      <c r="N15" s="1281" t="e">
        <f>'Paso 1.3.2'!N45</f>
        <v>#DIV/0!</v>
      </c>
      <c r="O15" s="1281" t="e">
        <f>'Paso 1.3.2'!O45</f>
        <v>#DIV/0!</v>
      </c>
      <c r="P15" s="1281" t="e">
        <f>'Paso 1.3.2'!P45</f>
        <v>#DIV/0!</v>
      </c>
      <c r="Q15" s="1281" t="e">
        <f>'Paso 1.3.2'!Q45</f>
        <v>#DIV/0!</v>
      </c>
      <c r="R15" s="1281" t="e">
        <f>'Paso 1.3.2'!R45</f>
        <v>#DIV/0!</v>
      </c>
      <c r="S15" s="1281" t="e">
        <f>'Paso 1.3.2'!S45</f>
        <v>#DIV/0!</v>
      </c>
    </row>
    <row r="16" spans="2:19" x14ac:dyDescent="0.25">
      <c r="B16" s="2122" t="s">
        <v>3133</v>
      </c>
      <c r="C16" s="2167">
        <v>0</v>
      </c>
      <c r="D16" s="2167">
        <v>0</v>
      </c>
      <c r="E16" s="2167">
        <v>0</v>
      </c>
      <c r="F16" s="2167">
        <v>0</v>
      </c>
      <c r="G16" s="2167">
        <v>0</v>
      </c>
      <c r="H16" s="2167">
        <v>0</v>
      </c>
      <c r="I16" s="2167">
        <v>0</v>
      </c>
      <c r="J16" s="2167">
        <v>0</v>
      </c>
      <c r="K16" s="2167">
        <v>0</v>
      </c>
      <c r="L16" s="2167">
        <v>0</v>
      </c>
      <c r="M16" s="2167">
        <v>0</v>
      </c>
      <c r="N16" s="2167">
        <v>0</v>
      </c>
      <c r="O16" s="2167">
        <v>0</v>
      </c>
      <c r="P16" s="2167">
        <v>0</v>
      </c>
      <c r="Q16" s="2167">
        <v>0</v>
      </c>
      <c r="R16" s="2167">
        <v>0</v>
      </c>
      <c r="S16" s="2167">
        <v>0</v>
      </c>
    </row>
    <row r="17" spans="2:19" x14ac:dyDescent="0.25">
      <c r="B17" s="2122" t="s">
        <v>3134</v>
      </c>
      <c r="C17" s="2167">
        <v>0</v>
      </c>
      <c r="D17" s="2167">
        <v>0</v>
      </c>
      <c r="E17" s="2167">
        <v>0</v>
      </c>
      <c r="F17" s="2167">
        <v>0</v>
      </c>
      <c r="G17" s="2167">
        <v>0</v>
      </c>
      <c r="H17" s="2167">
        <v>0</v>
      </c>
      <c r="I17" s="2167">
        <v>0</v>
      </c>
      <c r="J17" s="2167">
        <v>0</v>
      </c>
      <c r="K17" s="2167">
        <v>0</v>
      </c>
      <c r="L17" s="2167">
        <v>0</v>
      </c>
      <c r="M17" s="2167">
        <v>0</v>
      </c>
      <c r="N17" s="2167">
        <v>0</v>
      </c>
      <c r="O17" s="2167">
        <v>0</v>
      </c>
      <c r="P17" s="2167">
        <v>0</v>
      </c>
      <c r="Q17" s="2167">
        <v>0</v>
      </c>
      <c r="R17" s="2167">
        <v>0</v>
      </c>
      <c r="S17" s="2167">
        <v>0</v>
      </c>
    </row>
    <row r="18" spans="2:19" x14ac:dyDescent="0.25">
      <c r="B18" s="2122" t="s">
        <v>3135</v>
      </c>
      <c r="C18" s="2167">
        <v>0</v>
      </c>
      <c r="D18" s="2167">
        <v>0</v>
      </c>
      <c r="E18" s="2167">
        <v>0</v>
      </c>
      <c r="F18" s="2167">
        <v>0</v>
      </c>
      <c r="G18" s="2167">
        <v>0</v>
      </c>
      <c r="H18" s="2167">
        <v>0</v>
      </c>
      <c r="I18" s="2167">
        <v>0</v>
      </c>
      <c r="J18" s="2167">
        <v>0</v>
      </c>
      <c r="K18" s="2167">
        <v>0</v>
      </c>
      <c r="L18" s="2167">
        <v>0</v>
      </c>
      <c r="M18" s="2167">
        <v>0</v>
      </c>
      <c r="N18" s="2167">
        <v>0</v>
      </c>
      <c r="O18" s="2167">
        <v>0</v>
      </c>
      <c r="P18" s="2167">
        <v>0</v>
      </c>
      <c r="Q18" s="2167">
        <v>0</v>
      </c>
      <c r="R18" s="2167">
        <v>0</v>
      </c>
      <c r="S18" s="2167">
        <v>0</v>
      </c>
    </row>
    <row r="19" spans="2:19" x14ac:dyDescent="0.25">
      <c r="B19" s="2122" t="s">
        <v>3136</v>
      </c>
      <c r="C19" s="2167">
        <v>0</v>
      </c>
      <c r="D19" s="2167">
        <v>0</v>
      </c>
      <c r="E19" s="2167">
        <v>0</v>
      </c>
      <c r="F19" s="2167">
        <v>0</v>
      </c>
      <c r="G19" s="2167">
        <v>0</v>
      </c>
      <c r="H19" s="2167">
        <v>0</v>
      </c>
      <c r="I19" s="2167">
        <v>0</v>
      </c>
      <c r="J19" s="2167">
        <v>0</v>
      </c>
      <c r="K19" s="2167">
        <v>0</v>
      </c>
      <c r="L19" s="2167">
        <v>0</v>
      </c>
      <c r="M19" s="2167">
        <v>0</v>
      </c>
      <c r="N19" s="2167">
        <v>0</v>
      </c>
      <c r="O19" s="2167">
        <v>0</v>
      </c>
      <c r="P19" s="2167">
        <v>0</v>
      </c>
      <c r="Q19" s="2167">
        <v>0</v>
      </c>
      <c r="R19" s="2167">
        <v>0</v>
      </c>
      <c r="S19" s="2167">
        <v>0</v>
      </c>
    </row>
    <row r="20" spans="2:19" x14ac:dyDescent="0.25">
      <c r="B20" s="1278" t="s">
        <v>216</v>
      </c>
      <c r="C20" s="1281" t="e">
        <f>'Paso 1.3.2'!C50</f>
        <v>#REF!</v>
      </c>
      <c r="D20" s="1281" t="e">
        <f>'Paso 1.3.2'!D50</f>
        <v>#REF!</v>
      </c>
      <c r="E20" s="1281" t="e">
        <f>'Paso 1.3.2'!E50</f>
        <v>#REF!</v>
      </c>
      <c r="F20" s="1281" t="e">
        <f>'Paso 1.3.2'!F50</f>
        <v>#REF!</v>
      </c>
      <c r="G20" s="1281" t="e">
        <f>'Paso 1.3.2'!G50</f>
        <v>#REF!</v>
      </c>
      <c r="H20" s="1281" t="e">
        <f>'Paso 1.3.2'!H50</f>
        <v>#REF!</v>
      </c>
      <c r="I20" s="1281" t="e">
        <f>'Paso 1.3.2'!I50</f>
        <v>#REF!</v>
      </c>
      <c r="J20" s="1281" t="e">
        <f>'Paso 1.3.2'!J50</f>
        <v>#REF!</v>
      </c>
      <c r="K20" s="1281" t="e">
        <f>'Paso 1.3.2'!K50</f>
        <v>#REF!</v>
      </c>
      <c r="L20" s="1281" t="e">
        <f>'Paso 1.3.2'!L50</f>
        <v>#REF!</v>
      </c>
      <c r="M20" s="1281" t="e">
        <f>'Paso 1.3.2'!M50</f>
        <v>#REF!</v>
      </c>
      <c r="N20" s="1281" t="e">
        <f>'Paso 1.3.2'!N50</f>
        <v>#REF!</v>
      </c>
      <c r="O20" s="1281" t="e">
        <f>'Paso 1.3.2'!O50</f>
        <v>#REF!</v>
      </c>
      <c r="P20" s="1281" t="e">
        <f>'Paso 1.3.2'!P50</f>
        <v>#REF!</v>
      </c>
      <c r="Q20" s="1281" t="e">
        <f>'Paso 1.3.2'!Q50</f>
        <v>#REF!</v>
      </c>
      <c r="R20" s="1281" t="e">
        <f>'Paso 1.3.2'!R50</f>
        <v>#REF!</v>
      </c>
      <c r="S20" s="1281" t="e">
        <f>'Paso 1.3.2'!S50</f>
        <v>#REF!</v>
      </c>
    </row>
    <row r="21" spans="2:19" x14ac:dyDescent="0.25">
      <c r="B21" s="1278" t="s">
        <v>217</v>
      </c>
      <c r="C21" s="1281" t="e">
        <f>'Paso 1.3.2'!C51</f>
        <v>#DIV/0!</v>
      </c>
      <c r="D21" s="1281" t="e">
        <f>'Paso 1.3.2'!D51</f>
        <v>#DIV/0!</v>
      </c>
      <c r="E21" s="1281" t="e">
        <f>'Paso 1.3.2'!E51</f>
        <v>#DIV/0!</v>
      </c>
      <c r="F21" s="1281" t="e">
        <f>'Paso 1.3.2'!F51</f>
        <v>#DIV/0!</v>
      </c>
      <c r="G21" s="1281" t="e">
        <f>'Paso 1.3.2'!G51</f>
        <v>#DIV/0!</v>
      </c>
      <c r="H21" s="1281" t="e">
        <f>'Paso 1.3.2'!H51</f>
        <v>#DIV/0!</v>
      </c>
      <c r="I21" s="1281" t="e">
        <f>'Paso 1.3.2'!I51</f>
        <v>#DIV/0!</v>
      </c>
      <c r="J21" s="1281" t="e">
        <f>'Paso 1.3.2'!J51</f>
        <v>#DIV/0!</v>
      </c>
      <c r="K21" s="1281" t="e">
        <f>'Paso 1.3.2'!K51</f>
        <v>#DIV/0!</v>
      </c>
      <c r="L21" s="1281" t="e">
        <f>'Paso 1.3.2'!L51</f>
        <v>#DIV/0!</v>
      </c>
      <c r="M21" s="1281" t="e">
        <f>'Paso 1.3.2'!M51</f>
        <v>#DIV/0!</v>
      </c>
      <c r="N21" s="1281">
        <v>10</v>
      </c>
      <c r="O21" s="1281" t="e">
        <f>'Paso 1.3.2'!O51</f>
        <v>#DIV/0!</v>
      </c>
      <c r="P21" s="1281" t="e">
        <f>'Paso 1.3.2'!P51</f>
        <v>#DIV/0!</v>
      </c>
      <c r="Q21" s="1281" t="e">
        <f>'Paso 1.3.2'!Q51</f>
        <v>#DIV/0!</v>
      </c>
      <c r="R21" s="1281" t="e">
        <f>'Paso 1.3.2'!R51</f>
        <v>#DIV/0!</v>
      </c>
      <c r="S21" s="1281" t="e">
        <f>'Paso 1.3.2'!S51</f>
        <v>#DIV/0!</v>
      </c>
    </row>
    <row r="22" spans="2:19" x14ac:dyDescent="0.25">
      <c r="B22" s="2142" t="s">
        <v>218</v>
      </c>
      <c r="C22" s="1281" t="e">
        <f>'Paso 1.3.2'!C52</f>
        <v>#REF!</v>
      </c>
      <c r="D22" s="1281" t="e">
        <f>'Paso 1.3.2'!D52</f>
        <v>#REF!</v>
      </c>
      <c r="E22" s="1281" t="e">
        <f>'Paso 1.3.2'!E52</f>
        <v>#REF!</v>
      </c>
      <c r="F22" s="1281" t="e">
        <f>'Paso 1.3.2'!F52</f>
        <v>#REF!</v>
      </c>
      <c r="G22" s="1281" t="e">
        <f>'Paso 1.3.2'!G52</f>
        <v>#REF!</v>
      </c>
      <c r="H22" s="1281" t="e">
        <f>'Paso 1.3.2'!H52</f>
        <v>#REF!</v>
      </c>
      <c r="I22" s="1281" t="e">
        <f>'Paso 1.3.2'!I52</f>
        <v>#REF!</v>
      </c>
      <c r="J22" s="1281" t="e">
        <f>'Paso 1.3.2'!J52</f>
        <v>#REF!</v>
      </c>
      <c r="K22" s="1281" t="e">
        <f>'Paso 1.3.2'!K52</f>
        <v>#REF!</v>
      </c>
      <c r="L22" s="1281" t="e">
        <f>'Paso 1.3.2'!L52</f>
        <v>#REF!</v>
      </c>
      <c r="M22" s="1281" t="e">
        <f>'Paso 1.3.2'!M52</f>
        <v>#REF!</v>
      </c>
      <c r="N22" s="1281" t="e">
        <f>'Paso 1.3.2'!N52</f>
        <v>#REF!</v>
      </c>
      <c r="O22" s="1281" t="e">
        <f>'Paso 1.3.2'!O52</f>
        <v>#REF!</v>
      </c>
      <c r="P22" s="1281" t="e">
        <f>'Paso 1.3.2'!P52</f>
        <v>#REF!</v>
      </c>
      <c r="Q22" s="1281" t="e">
        <f>'Paso 1.3.2'!Q52</f>
        <v>#REF!</v>
      </c>
      <c r="R22" s="1281" t="e">
        <f>'Paso 1.3.2'!R52</f>
        <v>#REF!</v>
      </c>
      <c r="S22" s="1281" t="e">
        <f>'Paso 1.3.2'!S52</f>
        <v>#REF!</v>
      </c>
    </row>
    <row r="23" spans="2:19" x14ac:dyDescent="0.25">
      <c r="B23" s="1278" t="s">
        <v>353</v>
      </c>
      <c r="C23" s="1281" t="e">
        <f>'Paso 1.3.2'!C53</f>
        <v>#REF!</v>
      </c>
      <c r="D23" s="1281" t="e">
        <f>'Paso 1.3.2'!D53</f>
        <v>#REF!</v>
      </c>
      <c r="E23" s="1281" t="e">
        <f>'Paso 1.3.2'!E53</f>
        <v>#REF!</v>
      </c>
      <c r="F23" s="1281" t="e">
        <f>'Paso 1.3.2'!F53</f>
        <v>#REF!</v>
      </c>
      <c r="G23" s="1281" t="e">
        <f>'Paso 1.3.2'!G53</f>
        <v>#REF!</v>
      </c>
      <c r="H23" s="1281" t="e">
        <f>'Paso 1.3.2'!H53</f>
        <v>#REF!</v>
      </c>
      <c r="I23" s="1281" t="e">
        <f>'Paso 1.3.2'!I53</f>
        <v>#REF!</v>
      </c>
      <c r="J23" s="1281" t="e">
        <f>'Paso 1.3.2'!J53</f>
        <v>#REF!</v>
      </c>
      <c r="K23" s="1281" t="e">
        <f>'Paso 1.3.2'!K53</f>
        <v>#REF!</v>
      </c>
      <c r="L23" s="1281" t="e">
        <f>'Paso 1.3.2'!L53</f>
        <v>#REF!</v>
      </c>
      <c r="M23" s="1281" t="e">
        <f>'Paso 1.3.2'!M53</f>
        <v>#REF!</v>
      </c>
      <c r="N23" s="1281" t="e">
        <f>'Paso 1.3.2'!N53</f>
        <v>#REF!</v>
      </c>
      <c r="O23" s="1281" t="e">
        <f>'Paso 1.3.2'!O53</f>
        <v>#REF!</v>
      </c>
      <c r="P23" s="1281" t="e">
        <f>'Paso 1.3.2'!P53</f>
        <v>#REF!</v>
      </c>
      <c r="Q23" s="1281" t="e">
        <f>'Paso 1.3.2'!Q53</f>
        <v>#REF!</v>
      </c>
      <c r="R23" s="1281" t="e">
        <f>'Paso 1.3.2'!R53</f>
        <v>#REF!</v>
      </c>
      <c r="S23" s="1281" t="e">
        <f>'Paso 1.3.2'!S53</f>
        <v>#REF!</v>
      </c>
    </row>
    <row r="24" spans="2:19" x14ac:dyDescent="0.25">
      <c r="B24" s="1278" t="s">
        <v>220</v>
      </c>
      <c r="C24" s="1281" t="e">
        <f>'Paso 1.3.2'!C54</f>
        <v>#REF!</v>
      </c>
      <c r="D24" s="1281" t="e">
        <f>'Paso 1.3.2'!D54</f>
        <v>#REF!</v>
      </c>
      <c r="E24" s="1281" t="e">
        <f>'Paso 1.3.2'!E54</f>
        <v>#REF!</v>
      </c>
      <c r="F24" s="1281" t="e">
        <f>'Paso 1.3.2'!F54</f>
        <v>#REF!</v>
      </c>
      <c r="G24" s="1281" t="e">
        <f>'Paso 1.3.2'!G54</f>
        <v>#REF!</v>
      </c>
      <c r="H24" s="1281" t="e">
        <f>'Paso 1.3.2'!H54</f>
        <v>#REF!</v>
      </c>
      <c r="I24" s="1281" t="e">
        <f>'Paso 1.3.2'!I54</f>
        <v>#REF!</v>
      </c>
      <c r="J24" s="1281" t="e">
        <f>'Paso 1.3.2'!J54</f>
        <v>#REF!</v>
      </c>
      <c r="K24" s="1281" t="e">
        <f>'Paso 1.3.2'!K54</f>
        <v>#REF!</v>
      </c>
      <c r="L24" s="1281" t="e">
        <f>'Paso 1.3.2'!L54</f>
        <v>#REF!</v>
      </c>
      <c r="M24" s="1281" t="e">
        <f>'Paso 1.3.2'!M54</f>
        <v>#REF!</v>
      </c>
      <c r="N24" s="1281" t="e">
        <f>'Paso 1.3.2'!N54</f>
        <v>#REF!</v>
      </c>
      <c r="O24" s="1281" t="e">
        <f>'Paso 1.3.2'!O54</f>
        <v>#REF!</v>
      </c>
      <c r="P24" s="1281" t="e">
        <f>'Paso 1.3.2'!P54</f>
        <v>#REF!</v>
      </c>
      <c r="Q24" s="1281" t="e">
        <f>'Paso 1.3.2'!Q54</f>
        <v>#REF!</v>
      </c>
      <c r="R24" s="1281" t="e">
        <f>'Paso 1.3.2'!R54</f>
        <v>#REF!</v>
      </c>
      <c r="S24" s="1281" t="e">
        <f>'Paso 1.3.2'!S54</f>
        <v>#REF!</v>
      </c>
    </row>
    <row r="25" spans="2:19" x14ac:dyDescent="0.25">
      <c r="B25" s="1278" t="s">
        <v>221</v>
      </c>
      <c r="C25" s="1281" t="e">
        <f>'Paso 1.3.2'!C55</f>
        <v>#DIV/0!</v>
      </c>
      <c r="D25" s="1281" t="e">
        <f>'Paso 1.3.2'!D55</f>
        <v>#DIV/0!</v>
      </c>
      <c r="E25" s="1281" t="e">
        <f>'Paso 1.3.2'!E55</f>
        <v>#DIV/0!</v>
      </c>
      <c r="F25" s="1281" t="e">
        <f>'Paso 1.3.2'!F55</f>
        <v>#DIV/0!</v>
      </c>
      <c r="G25" s="1281" t="e">
        <f>'Paso 1.3.2'!G55</f>
        <v>#DIV/0!</v>
      </c>
      <c r="H25" s="1281" t="e">
        <f>'Paso 1.3.2'!H55</f>
        <v>#DIV/0!</v>
      </c>
      <c r="I25" s="1281" t="e">
        <f>'Paso 1.3.2'!I55</f>
        <v>#DIV/0!</v>
      </c>
      <c r="J25" s="1281" t="e">
        <f>'Paso 1.3.2'!J55</f>
        <v>#DIV/0!</v>
      </c>
      <c r="K25" s="1281" t="e">
        <f>'Paso 1.3.2'!K55</f>
        <v>#DIV/0!</v>
      </c>
      <c r="L25" s="1281" t="e">
        <f>'Paso 1.3.2'!L55</f>
        <v>#DIV/0!</v>
      </c>
      <c r="M25" s="1281" t="e">
        <f>'Paso 1.3.2'!M55</f>
        <v>#DIV/0!</v>
      </c>
      <c r="N25" s="1281" t="e">
        <f>'Paso 1.3.2'!N55</f>
        <v>#DIV/0!</v>
      </c>
      <c r="O25" s="1281" t="e">
        <f>'Paso 1.3.2'!O55</f>
        <v>#DIV/0!</v>
      </c>
      <c r="P25" s="1281" t="e">
        <f>'Paso 1.3.2'!P55</f>
        <v>#DIV/0!</v>
      </c>
      <c r="Q25" s="1281" t="e">
        <f>'Paso 1.3.2'!Q55</f>
        <v>#DIV/0!</v>
      </c>
      <c r="R25" s="1281" t="e">
        <f>'Paso 1.3.2'!R55</f>
        <v>#DIV/0!</v>
      </c>
      <c r="S25" s="1281" t="e">
        <f>'Paso 1.3.2'!S55</f>
        <v>#DIV/0!</v>
      </c>
    </row>
    <row r="26" spans="2:19" x14ac:dyDescent="0.25">
      <c r="B26" s="1278" t="s">
        <v>222</v>
      </c>
      <c r="C26" s="1281" t="e">
        <f>'Paso 1.3.2'!C56</f>
        <v>#DIV/0!</v>
      </c>
      <c r="D26" s="1281" t="e">
        <f>'Paso 1.3.2'!D56</f>
        <v>#DIV/0!</v>
      </c>
      <c r="E26" s="1281" t="e">
        <f>'Paso 1.3.2'!E56</f>
        <v>#DIV/0!</v>
      </c>
      <c r="F26" s="1281" t="e">
        <f>'Paso 1.3.2'!F56</f>
        <v>#DIV/0!</v>
      </c>
      <c r="G26" s="1281" t="e">
        <f>'Paso 1.3.2'!G56</f>
        <v>#DIV/0!</v>
      </c>
      <c r="H26" s="1281" t="e">
        <f>'Paso 1.3.2'!H56</f>
        <v>#DIV/0!</v>
      </c>
      <c r="I26" s="1281" t="e">
        <f>'Paso 1.3.2'!I56</f>
        <v>#DIV/0!</v>
      </c>
      <c r="J26" s="1281" t="e">
        <f>'Paso 1.3.2'!J56</f>
        <v>#DIV/0!</v>
      </c>
      <c r="K26" s="1281" t="e">
        <f>'Paso 1.3.2'!K56</f>
        <v>#DIV/0!</v>
      </c>
      <c r="L26" s="1281" t="e">
        <f>'Paso 1.3.2'!L56</f>
        <v>#DIV/0!</v>
      </c>
      <c r="M26" s="1281" t="e">
        <f>'Paso 1.3.2'!M56</f>
        <v>#DIV/0!</v>
      </c>
      <c r="N26" s="1281" t="e">
        <f>'Paso 1.3.2'!N56</f>
        <v>#DIV/0!</v>
      </c>
      <c r="O26" s="1281" t="e">
        <f>'Paso 1.3.2'!O56</f>
        <v>#DIV/0!</v>
      </c>
      <c r="P26" s="1281" t="e">
        <f>'Paso 1.3.2'!P56</f>
        <v>#DIV/0!</v>
      </c>
      <c r="Q26" s="1281" t="e">
        <f>'Paso 1.3.2'!Q56</f>
        <v>#DIV/0!</v>
      </c>
      <c r="R26" s="1281" t="e">
        <f>'Paso 1.3.2'!R56</f>
        <v>#DIV/0!</v>
      </c>
      <c r="S26" s="1281" t="e">
        <f>'Paso 1.3.2'!S56</f>
        <v>#DIV/0!</v>
      </c>
    </row>
    <row r="27" spans="2:19" x14ac:dyDescent="0.25">
      <c r="B27" s="1278" t="s">
        <v>3137</v>
      </c>
      <c r="C27" s="1281" t="e">
        <f>'Paso 1.3.2'!C57</f>
        <v>#DIV/0!</v>
      </c>
      <c r="D27" s="1281" t="e">
        <f>'Paso 1.3.2'!D57</f>
        <v>#DIV/0!</v>
      </c>
      <c r="E27" s="1281" t="e">
        <f>'Paso 1.3.2'!E57</f>
        <v>#DIV/0!</v>
      </c>
      <c r="F27" s="1281" t="e">
        <f>'Paso 1.3.2'!F57</f>
        <v>#DIV/0!</v>
      </c>
      <c r="G27" s="1281" t="e">
        <f>'Paso 1.3.2'!G57</f>
        <v>#DIV/0!</v>
      </c>
      <c r="H27" s="1281" t="e">
        <f>'Paso 1.3.2'!H57</f>
        <v>#DIV/0!</v>
      </c>
      <c r="I27" s="1281" t="e">
        <f>'Paso 1.3.2'!I57</f>
        <v>#DIV/0!</v>
      </c>
      <c r="J27" s="1281" t="e">
        <f>'Paso 1.3.2'!J57</f>
        <v>#DIV/0!</v>
      </c>
      <c r="K27" s="1281" t="e">
        <f>'Paso 1.3.2'!K57</f>
        <v>#DIV/0!</v>
      </c>
      <c r="L27" s="1281" t="e">
        <f>'Paso 1.3.2'!L57</f>
        <v>#DIV/0!</v>
      </c>
      <c r="M27" s="1281" t="e">
        <f>'Paso 1.3.2'!M57</f>
        <v>#DIV/0!</v>
      </c>
      <c r="N27" s="1281" t="e">
        <f>'Paso 1.3.2'!N57</f>
        <v>#DIV/0!</v>
      </c>
      <c r="O27" s="1281" t="e">
        <f>'Paso 1.3.2'!O57</f>
        <v>#DIV/0!</v>
      </c>
      <c r="P27" s="1281" t="e">
        <f>'Paso 1.3.2'!P57</f>
        <v>#DIV/0!</v>
      </c>
      <c r="Q27" s="1281" t="e">
        <f>'Paso 1.3.2'!Q57</f>
        <v>#DIV/0!</v>
      </c>
      <c r="R27" s="1281" t="e">
        <f>'Paso 1.3.2'!R57</f>
        <v>#DIV/0!</v>
      </c>
      <c r="S27" s="1281" t="e">
        <f>'Paso 1.3.2'!S57</f>
        <v>#DIV/0!</v>
      </c>
    </row>
    <row r="28" spans="2:19" x14ac:dyDescent="0.25">
      <c r="B28" s="2122" t="s">
        <v>3138</v>
      </c>
      <c r="C28" s="2167">
        <v>0</v>
      </c>
      <c r="D28" s="2167">
        <v>0</v>
      </c>
      <c r="E28" s="2167">
        <v>0</v>
      </c>
      <c r="F28" s="2167">
        <v>0</v>
      </c>
      <c r="G28" s="2167">
        <v>0</v>
      </c>
      <c r="H28" s="2167">
        <v>0</v>
      </c>
      <c r="I28" s="2167">
        <v>0</v>
      </c>
      <c r="J28" s="2167">
        <v>0</v>
      </c>
      <c r="K28" s="2167">
        <v>0</v>
      </c>
      <c r="L28" s="2167">
        <v>0</v>
      </c>
      <c r="M28" s="2167">
        <v>0</v>
      </c>
      <c r="N28" s="2167">
        <v>0</v>
      </c>
      <c r="O28" s="2167">
        <v>0</v>
      </c>
      <c r="P28" s="2167">
        <v>0</v>
      </c>
      <c r="Q28" s="2167">
        <v>0</v>
      </c>
      <c r="R28" s="2167">
        <v>0</v>
      </c>
      <c r="S28" s="2167">
        <v>0</v>
      </c>
    </row>
    <row r="29" spans="2:19" x14ac:dyDescent="0.25">
      <c r="B29" s="1278" t="s">
        <v>3139</v>
      </c>
      <c r="C29" s="1281" t="e">
        <f>'Paso 1.3.2'!C59</f>
        <v>#DIV/0!</v>
      </c>
      <c r="D29" s="1281" t="e">
        <f>'Paso 1.3.2'!D59</f>
        <v>#DIV/0!</v>
      </c>
      <c r="E29" s="1281" t="e">
        <f>'Paso 1.3.2'!E59</f>
        <v>#DIV/0!</v>
      </c>
      <c r="F29" s="1281" t="e">
        <f>'Paso 1.3.2'!F59</f>
        <v>#DIV/0!</v>
      </c>
      <c r="G29" s="1281" t="e">
        <f>'Paso 1.3.2'!G59</f>
        <v>#DIV/0!</v>
      </c>
      <c r="H29" s="1281" t="e">
        <f>'Paso 1.3.2'!H59</f>
        <v>#DIV/0!</v>
      </c>
      <c r="I29" s="1281" t="e">
        <f>'Paso 1.3.2'!I59</f>
        <v>#DIV/0!</v>
      </c>
      <c r="J29" s="1281" t="e">
        <f>'Paso 1.3.2'!J59</f>
        <v>#DIV/0!</v>
      </c>
      <c r="K29" s="1281" t="e">
        <f>'Paso 1.3.2'!K59</f>
        <v>#DIV/0!</v>
      </c>
      <c r="L29" s="1281" t="e">
        <f>'Paso 1.3.2'!L59</f>
        <v>#DIV/0!</v>
      </c>
      <c r="M29" s="1281" t="e">
        <f>'Paso 1.3.2'!M59</f>
        <v>#DIV/0!</v>
      </c>
      <c r="N29" s="1281" t="e">
        <f>'Paso 1.3.2'!N59</f>
        <v>#DIV/0!</v>
      </c>
      <c r="O29" s="1281" t="e">
        <f>'Paso 1.3.2'!O59</f>
        <v>#DIV/0!</v>
      </c>
      <c r="P29" s="1281" t="e">
        <f>'Paso 1.3.2'!P59</f>
        <v>#DIV/0!</v>
      </c>
      <c r="Q29" s="1281" t="e">
        <f>'Paso 1.3.2'!Q59</f>
        <v>#DIV/0!</v>
      </c>
      <c r="R29" s="1281" t="e">
        <f>'Paso 1.3.2'!R59</f>
        <v>#DIV/0!</v>
      </c>
      <c r="S29" s="1281" t="e">
        <f>'Paso 1.3.2'!S59</f>
        <v>#DIV/0!</v>
      </c>
    </row>
    <row r="30" spans="2:19" x14ac:dyDescent="0.25">
      <c r="B30" s="1278" t="s">
        <v>226</v>
      </c>
      <c r="C30" s="1281" t="e">
        <f>'Paso 1.3.2'!C60</f>
        <v>#DIV/0!</v>
      </c>
      <c r="D30" s="1281" t="e">
        <f>'Paso 1.3.2'!D60</f>
        <v>#DIV/0!</v>
      </c>
      <c r="E30" s="1281" t="e">
        <f>'Paso 1.3.2'!E60</f>
        <v>#DIV/0!</v>
      </c>
      <c r="F30" s="1281" t="e">
        <f>'Paso 1.3.2'!F60</f>
        <v>#DIV/0!</v>
      </c>
      <c r="G30" s="1281" t="e">
        <f>'Paso 1.3.2'!G60</f>
        <v>#DIV/0!</v>
      </c>
      <c r="H30" s="1281" t="e">
        <f>'Paso 1.3.2'!H60</f>
        <v>#DIV/0!</v>
      </c>
      <c r="I30" s="1281" t="e">
        <f>'Paso 1.3.2'!I60</f>
        <v>#DIV/0!</v>
      </c>
      <c r="J30" s="1281" t="e">
        <f>'Paso 1.3.2'!J60</f>
        <v>#DIV/0!</v>
      </c>
      <c r="K30" s="1281" t="e">
        <f>'Paso 1.3.2'!K60</f>
        <v>#DIV/0!</v>
      </c>
      <c r="L30" s="1281" t="e">
        <f>'Paso 1.3.2'!L60</f>
        <v>#DIV/0!</v>
      </c>
      <c r="M30" s="1281" t="e">
        <f>'Paso 1.3.2'!M60</f>
        <v>#DIV/0!</v>
      </c>
      <c r="N30" s="1281" t="e">
        <f>'Paso 1.3.2'!N60</f>
        <v>#DIV/0!</v>
      </c>
      <c r="O30" s="1281" t="e">
        <f>'Paso 1.3.2'!O60</f>
        <v>#DIV/0!</v>
      </c>
      <c r="P30" s="1281" t="e">
        <f>'Paso 1.3.2'!P60</f>
        <v>#DIV/0!</v>
      </c>
      <c r="Q30" s="1281" t="e">
        <f>'Paso 1.3.2'!Q60</f>
        <v>#DIV/0!</v>
      </c>
      <c r="R30" s="1281" t="e">
        <f>'Paso 1.3.2'!R60</f>
        <v>#DIV/0!</v>
      </c>
      <c r="S30" s="1281" t="e">
        <f>'Paso 1.3.2'!S60</f>
        <v>#DIV/0!</v>
      </c>
    </row>
    <row r="31" spans="2:19" x14ac:dyDescent="0.25">
      <c r="B31" s="1278" t="s">
        <v>227</v>
      </c>
      <c r="C31" s="1281" t="e">
        <f>'Paso 1.3.2'!C61</f>
        <v>#DIV/0!</v>
      </c>
      <c r="D31" s="1281" t="e">
        <f>'Paso 1.3.2'!D61</f>
        <v>#DIV/0!</v>
      </c>
      <c r="E31" s="1281" t="e">
        <f>'Paso 1.3.2'!E61</f>
        <v>#DIV/0!</v>
      </c>
      <c r="F31" s="1281" t="e">
        <f>'Paso 1.3.2'!F61</f>
        <v>#DIV/0!</v>
      </c>
      <c r="G31" s="1281" t="e">
        <f>'Paso 1.3.2'!G61</f>
        <v>#DIV/0!</v>
      </c>
      <c r="H31" s="1281" t="e">
        <f>'Paso 1.3.2'!H61</f>
        <v>#DIV/0!</v>
      </c>
      <c r="I31" s="1281" t="e">
        <f>'Paso 1.3.2'!I61</f>
        <v>#DIV/0!</v>
      </c>
      <c r="J31" s="1281" t="e">
        <f>'Paso 1.3.2'!J61</f>
        <v>#DIV/0!</v>
      </c>
      <c r="K31" s="1281" t="e">
        <f>'Paso 1.3.2'!K61</f>
        <v>#DIV/0!</v>
      </c>
      <c r="L31" s="1281" t="e">
        <f>'Paso 1.3.2'!L61</f>
        <v>#DIV/0!</v>
      </c>
      <c r="M31" s="1281" t="e">
        <f>'Paso 1.3.2'!M61</f>
        <v>#DIV/0!</v>
      </c>
      <c r="N31" s="1281" t="e">
        <f>'Paso 1.3.2'!N61</f>
        <v>#DIV/0!</v>
      </c>
      <c r="O31" s="1281" t="e">
        <f>'Paso 1.3.2'!O61</f>
        <v>#DIV/0!</v>
      </c>
      <c r="P31" s="1281" t="e">
        <f>'Paso 1.3.2'!P61</f>
        <v>#DIV/0!</v>
      </c>
      <c r="Q31" s="1281" t="e">
        <f>'Paso 1.3.2'!Q61</f>
        <v>#DIV/0!</v>
      </c>
      <c r="R31" s="1281" t="e">
        <f>'Paso 1.3.2'!R61</f>
        <v>#DIV/0!</v>
      </c>
      <c r="S31" s="1281" t="e">
        <f>'Paso 1.3.2'!S61</f>
        <v>#DIV/0!</v>
      </c>
    </row>
    <row r="32" spans="2:19" x14ac:dyDescent="0.25">
      <c r="B32" s="2122" t="s">
        <v>228</v>
      </c>
      <c r="C32" s="2167">
        <v>0</v>
      </c>
      <c r="D32" s="2167">
        <v>0</v>
      </c>
      <c r="E32" s="2167">
        <v>0</v>
      </c>
      <c r="F32" s="2167">
        <v>0</v>
      </c>
      <c r="G32" s="2167">
        <v>0</v>
      </c>
      <c r="H32" s="2167">
        <v>0</v>
      </c>
      <c r="I32" s="2167">
        <v>0</v>
      </c>
      <c r="J32" s="2167">
        <v>0</v>
      </c>
      <c r="K32" s="2167">
        <v>0</v>
      </c>
      <c r="L32" s="2167">
        <v>0</v>
      </c>
      <c r="M32" s="2167">
        <v>0</v>
      </c>
      <c r="N32" s="2167">
        <v>0</v>
      </c>
      <c r="O32" s="2167">
        <v>0</v>
      </c>
      <c r="P32" s="2167">
        <v>0</v>
      </c>
      <c r="Q32" s="2167">
        <v>0</v>
      </c>
      <c r="R32" s="2167">
        <v>0</v>
      </c>
      <c r="S32" s="2167">
        <v>0</v>
      </c>
    </row>
    <row r="33" spans="1:20" x14ac:dyDescent="0.25">
      <c r="B33" s="1278" t="s">
        <v>229</v>
      </c>
      <c r="C33" s="1281" t="e">
        <f>'Paso 1.3.2'!C63</f>
        <v>#DIV/0!</v>
      </c>
      <c r="D33" s="1281" t="e">
        <f>'Paso 1.3.2'!D63</f>
        <v>#DIV/0!</v>
      </c>
      <c r="E33" s="1281" t="e">
        <f>'Paso 1.3.2'!E63</f>
        <v>#DIV/0!</v>
      </c>
      <c r="F33" s="1281" t="e">
        <f>'Paso 1.3.2'!F63</f>
        <v>#DIV/0!</v>
      </c>
      <c r="G33" s="1281" t="e">
        <f>'Paso 1.3.2'!G63</f>
        <v>#DIV/0!</v>
      </c>
      <c r="H33" s="1281" t="e">
        <f>'Paso 1.3.2'!H63</f>
        <v>#DIV/0!</v>
      </c>
      <c r="I33" s="1281" t="e">
        <f>'Paso 1.3.2'!I63</f>
        <v>#DIV/0!</v>
      </c>
      <c r="J33" s="1281" t="e">
        <f>'Paso 1.3.2'!J63</f>
        <v>#DIV/0!</v>
      </c>
      <c r="K33" s="1281" t="e">
        <f>'Paso 1.3.2'!K63</f>
        <v>#DIV/0!</v>
      </c>
      <c r="L33" s="1281" t="e">
        <f>'Paso 1.3.2'!L63</f>
        <v>#DIV/0!</v>
      </c>
      <c r="M33" s="1281" t="e">
        <f>'Paso 1.3.2'!M63</f>
        <v>#DIV/0!</v>
      </c>
      <c r="N33" s="1281" t="e">
        <f>'Paso 1.3.2'!N63</f>
        <v>#DIV/0!</v>
      </c>
      <c r="O33" s="1281" t="e">
        <f>'Paso 1.3.2'!O63</f>
        <v>#DIV/0!</v>
      </c>
      <c r="P33" s="1281" t="e">
        <f>'Paso 1.3.2'!P63</f>
        <v>#DIV/0!</v>
      </c>
      <c r="Q33" s="1281" t="e">
        <f>'Paso 1.3.2'!Q63</f>
        <v>#DIV/0!</v>
      </c>
      <c r="R33" s="1281" t="e">
        <f>'Paso 1.3.2'!R63</f>
        <v>#DIV/0!</v>
      </c>
      <c r="S33" s="1281" t="e">
        <f>'Paso 1.3.2'!S63</f>
        <v>#DIV/0!</v>
      </c>
    </row>
    <row r="34" spans="1:20" x14ac:dyDescent="0.25">
      <c r="B34" s="1278" t="s">
        <v>3140</v>
      </c>
      <c r="C34" s="1281" t="e">
        <f>'Paso 1.3.2'!C64</f>
        <v>#DIV/0!</v>
      </c>
      <c r="D34" s="1281" t="e">
        <f>'Paso 1.3.2'!D64</f>
        <v>#DIV/0!</v>
      </c>
      <c r="E34" s="1281" t="e">
        <f>'Paso 1.3.2'!E64</f>
        <v>#DIV/0!</v>
      </c>
      <c r="F34" s="1281" t="e">
        <f>'Paso 1.3.2'!F64</f>
        <v>#DIV/0!</v>
      </c>
      <c r="G34" s="1281" t="e">
        <f>'Paso 1.3.2'!G64</f>
        <v>#DIV/0!</v>
      </c>
      <c r="H34" s="1281" t="e">
        <f>'Paso 1.3.2'!H64</f>
        <v>#DIV/0!</v>
      </c>
      <c r="I34" s="1281" t="e">
        <f>'Paso 1.3.2'!I64</f>
        <v>#DIV/0!</v>
      </c>
      <c r="J34" s="1281" t="e">
        <f>'Paso 1.3.2'!J64</f>
        <v>#DIV/0!</v>
      </c>
      <c r="K34" s="1281" t="e">
        <f>'Paso 1.3.2'!K64</f>
        <v>#DIV/0!</v>
      </c>
      <c r="L34" s="1281" t="e">
        <f>'Paso 1.3.2'!L64</f>
        <v>#DIV/0!</v>
      </c>
      <c r="M34" s="1281" t="e">
        <f>'Paso 1.3.2'!M64</f>
        <v>#DIV/0!</v>
      </c>
      <c r="N34" s="1281" t="e">
        <f>'Paso 1.3.2'!N64</f>
        <v>#DIV/0!</v>
      </c>
      <c r="O34" s="1281" t="e">
        <f>'Paso 1.3.2'!O64</f>
        <v>#DIV/0!</v>
      </c>
      <c r="P34" s="1281" t="e">
        <f>'Paso 1.3.2'!P64</f>
        <v>#DIV/0!</v>
      </c>
      <c r="Q34" s="1281" t="e">
        <f>'Paso 1.3.2'!Q64</f>
        <v>#DIV/0!</v>
      </c>
      <c r="R34" s="1281" t="e">
        <f>'Paso 1.3.2'!R64</f>
        <v>#DIV/0!</v>
      </c>
      <c r="S34" s="1281" t="e">
        <f>'Paso 1.3.2'!S64</f>
        <v>#DIV/0!</v>
      </c>
    </row>
    <row r="35" spans="1:20" x14ac:dyDescent="0.25">
      <c r="A35" s="691">
        <f>A34+1</f>
        <v>1</v>
      </c>
      <c r="B35" s="2122" t="s">
        <v>231</v>
      </c>
      <c r="C35" s="2167">
        <v>0</v>
      </c>
      <c r="D35" s="2167">
        <v>0</v>
      </c>
      <c r="E35" s="2167">
        <v>0</v>
      </c>
      <c r="F35" s="2167">
        <v>0</v>
      </c>
      <c r="G35" s="2167">
        <v>0</v>
      </c>
      <c r="H35" s="2167">
        <v>0</v>
      </c>
      <c r="I35" s="2167">
        <v>0</v>
      </c>
      <c r="J35" s="2167">
        <v>0</v>
      </c>
      <c r="K35" s="2167">
        <v>0</v>
      </c>
      <c r="L35" s="2167">
        <v>0</v>
      </c>
      <c r="M35" s="2167">
        <v>0</v>
      </c>
      <c r="N35" s="2167">
        <v>0</v>
      </c>
      <c r="O35" s="2167">
        <v>0</v>
      </c>
      <c r="P35" s="2167">
        <v>0</v>
      </c>
      <c r="Q35" s="2167">
        <v>0</v>
      </c>
      <c r="R35" s="2167">
        <v>0</v>
      </c>
      <c r="S35" s="2167">
        <v>0</v>
      </c>
    </row>
    <row r="36" spans="1:20" s="689" customFormat="1" x14ac:dyDescent="0.25">
      <c r="B36" s="2230" t="s">
        <v>3142</v>
      </c>
      <c r="C36" s="2231" t="e">
        <f>SUM(C8:C34)</f>
        <v>#DIV/0!</v>
      </c>
      <c r="D36" s="2231" t="e">
        <f t="shared" ref="D36:S36" si="2">SUM(D8:D34)</f>
        <v>#DIV/0!</v>
      </c>
      <c r="E36" s="2231" t="e">
        <f t="shared" si="2"/>
        <v>#DIV/0!</v>
      </c>
      <c r="F36" s="2231" t="e">
        <f t="shared" si="2"/>
        <v>#DIV/0!</v>
      </c>
      <c r="G36" s="2231" t="e">
        <f t="shared" si="2"/>
        <v>#DIV/0!</v>
      </c>
      <c r="H36" s="2231" t="e">
        <f t="shared" si="2"/>
        <v>#DIV/0!</v>
      </c>
      <c r="I36" s="2231" t="e">
        <f t="shared" si="2"/>
        <v>#DIV/0!</v>
      </c>
      <c r="J36" s="2231" t="e">
        <f t="shared" si="2"/>
        <v>#DIV/0!</v>
      </c>
      <c r="K36" s="2231" t="e">
        <f t="shared" si="2"/>
        <v>#DIV/0!</v>
      </c>
      <c r="L36" s="2231" t="e">
        <f t="shared" si="2"/>
        <v>#DIV/0!</v>
      </c>
      <c r="M36" s="2231" t="e">
        <f t="shared" si="2"/>
        <v>#DIV/0!</v>
      </c>
      <c r="N36" s="2231" t="e">
        <f t="shared" si="2"/>
        <v>#DIV/0!</v>
      </c>
      <c r="O36" s="2231" t="e">
        <f t="shared" si="2"/>
        <v>#DIV/0!</v>
      </c>
      <c r="P36" s="2231" t="e">
        <f t="shared" si="2"/>
        <v>#DIV/0!</v>
      </c>
      <c r="Q36" s="2231" t="e">
        <f t="shared" si="2"/>
        <v>#DIV/0!</v>
      </c>
      <c r="R36" s="2231" t="e">
        <f t="shared" si="2"/>
        <v>#DIV/0!</v>
      </c>
      <c r="S36" s="2232" t="e">
        <f t="shared" si="2"/>
        <v>#DIV/0!</v>
      </c>
      <c r="T36" s="691"/>
    </row>
    <row r="37" spans="1:20" x14ac:dyDescent="0.25">
      <c r="A37" s="2119"/>
      <c r="B37" s="2168" t="s">
        <v>3144</v>
      </c>
      <c r="C37" s="2169"/>
      <c r="D37" s="2169"/>
      <c r="E37" s="2169"/>
      <c r="F37" s="2169"/>
      <c r="G37" s="2169"/>
      <c r="H37" s="2169"/>
      <c r="I37" s="2169"/>
      <c r="J37" s="2169"/>
      <c r="K37" s="2169"/>
      <c r="L37" s="2169"/>
      <c r="M37" s="2169"/>
      <c r="N37" s="2169"/>
      <c r="O37" s="2169"/>
      <c r="P37" s="2169"/>
      <c r="Q37" s="2169"/>
      <c r="R37" s="2169"/>
      <c r="S37" s="2169"/>
    </row>
    <row r="38" spans="1:20" x14ac:dyDescent="0.25">
      <c r="A38" s="2119"/>
      <c r="B38" s="1278" t="s">
        <v>3145</v>
      </c>
      <c r="C38" s="1279">
        <f>'Paso 1.3.2'!C70</f>
        <v>1</v>
      </c>
      <c r="D38" s="1279">
        <f>'Paso 1.3.2'!D70</f>
        <v>1</v>
      </c>
      <c r="E38" s="1279">
        <f>'Paso 1.3.2'!E70</f>
        <v>1</v>
      </c>
      <c r="F38" s="1279">
        <f>'Paso 1.3.2'!F70</f>
        <v>1</v>
      </c>
      <c r="G38" s="1279">
        <f>'Paso 1.3.2'!G70</f>
        <v>1</v>
      </c>
      <c r="H38" s="1279">
        <f>'Paso 1.3.2'!H70</f>
        <v>1</v>
      </c>
      <c r="I38" s="1279">
        <f>'Paso 1.3.2'!I70</f>
        <v>1</v>
      </c>
      <c r="J38" s="1279">
        <f>'Paso 1.3.2'!J70</f>
        <v>1</v>
      </c>
      <c r="K38" s="1279">
        <f>'Paso 1.3.2'!K70</f>
        <v>1</v>
      </c>
      <c r="L38" s="1279">
        <f>'Paso 1.3.2'!L70</f>
        <v>1</v>
      </c>
      <c r="M38" s="1279">
        <f>'Paso 1.3.2'!M70</f>
        <v>1</v>
      </c>
      <c r="N38" s="1279">
        <f>'Paso 1.3.2'!N70</f>
        <v>1</v>
      </c>
      <c r="O38" s="1279">
        <f>'Paso 1.3.2'!O70</f>
        <v>1</v>
      </c>
      <c r="P38" s="1279">
        <f>'Paso 1.3.2'!P70</f>
        <v>1</v>
      </c>
      <c r="Q38" s="1279">
        <f>'Paso 1.3.2'!Q70</f>
        <v>1</v>
      </c>
      <c r="R38" s="1279">
        <f>'Paso 1.3.2'!R70</f>
        <v>1</v>
      </c>
      <c r="S38" s="1279">
        <f>'Paso 1.3.2'!S70</f>
        <v>1</v>
      </c>
    </row>
    <row r="39" spans="1:20" x14ac:dyDescent="0.25">
      <c r="A39" s="2119"/>
      <c r="B39" s="2122" t="s">
        <v>3146</v>
      </c>
      <c r="C39" s="2229">
        <f>'Paso 1.3.2'!C71</f>
        <v>0</v>
      </c>
      <c r="D39" s="2229">
        <f>'Paso 1.3.2'!D71</f>
        <v>0</v>
      </c>
      <c r="E39" s="2229">
        <f>'Paso 1.3.2'!E71</f>
        <v>0</v>
      </c>
      <c r="F39" s="2229">
        <f>'Paso 1.3.2'!F71</f>
        <v>0</v>
      </c>
      <c r="G39" s="2229">
        <f>'Paso 1.3.2'!G71</f>
        <v>0</v>
      </c>
      <c r="H39" s="2229">
        <f>'Paso 1.3.2'!H71</f>
        <v>0</v>
      </c>
      <c r="I39" s="2229">
        <f>'Paso 1.3.2'!I71</f>
        <v>0</v>
      </c>
      <c r="J39" s="2229">
        <f>'Paso 1.3.2'!J71</f>
        <v>0</v>
      </c>
      <c r="K39" s="2229">
        <f>'Paso 1.3.2'!K71</f>
        <v>0</v>
      </c>
      <c r="L39" s="2229">
        <f>'Paso 1.3.2'!L71</f>
        <v>0</v>
      </c>
      <c r="M39" s="2229">
        <f>'Paso 1.3.2'!M71</f>
        <v>0</v>
      </c>
      <c r="N39" s="2229">
        <f>'Paso 1.3.2'!N71</f>
        <v>0</v>
      </c>
      <c r="O39" s="2229">
        <f>'Paso 1.3.2'!O71</f>
        <v>0</v>
      </c>
      <c r="P39" s="2229">
        <f>'Paso 1.3.2'!P71</f>
        <v>0</v>
      </c>
      <c r="Q39" s="2229">
        <f>'Paso 1.3.2'!Q71</f>
        <v>0</v>
      </c>
      <c r="R39" s="2229">
        <f>'Paso 1.3.2'!R71</f>
        <v>0</v>
      </c>
      <c r="S39" s="2229">
        <f>'Paso 1.3.2'!S71</f>
        <v>0</v>
      </c>
    </row>
    <row r="40" spans="1:20" x14ac:dyDescent="0.25">
      <c r="A40" s="2119"/>
      <c r="B40" s="2122" t="s">
        <v>3147</v>
      </c>
      <c r="C40" s="2229">
        <f>'Paso 1.3.2'!C72</f>
        <v>0</v>
      </c>
      <c r="D40" s="2229">
        <f>'Paso 1.3.2'!D72</f>
        <v>0</v>
      </c>
      <c r="E40" s="2229">
        <f>'Paso 1.3.2'!E72</f>
        <v>0</v>
      </c>
      <c r="F40" s="2229">
        <f>'Paso 1.3.2'!F72</f>
        <v>0</v>
      </c>
      <c r="G40" s="2229">
        <f>'Paso 1.3.2'!G72</f>
        <v>0</v>
      </c>
      <c r="H40" s="2229">
        <f>'Paso 1.3.2'!H72</f>
        <v>0</v>
      </c>
      <c r="I40" s="2229">
        <f>'Paso 1.3.2'!I72</f>
        <v>0</v>
      </c>
      <c r="J40" s="2229">
        <f>'Paso 1.3.2'!J72</f>
        <v>0</v>
      </c>
      <c r="K40" s="2229">
        <f>'Paso 1.3.2'!K72</f>
        <v>0</v>
      </c>
      <c r="L40" s="2229">
        <f>'Paso 1.3.2'!L72</f>
        <v>0</v>
      </c>
      <c r="M40" s="2229">
        <f>'Paso 1.3.2'!M72</f>
        <v>0</v>
      </c>
      <c r="N40" s="2229">
        <f>'Paso 1.3.2'!N72</f>
        <v>0</v>
      </c>
      <c r="O40" s="2229">
        <f>'Paso 1.3.2'!O72</f>
        <v>0</v>
      </c>
      <c r="P40" s="2229">
        <f>'Paso 1.3.2'!P72</f>
        <v>0</v>
      </c>
      <c r="Q40" s="2229">
        <f>'Paso 1.3.2'!Q72</f>
        <v>0</v>
      </c>
      <c r="R40" s="2229">
        <f>'Paso 1.3.2'!R72</f>
        <v>0</v>
      </c>
      <c r="S40" s="2229">
        <f>'Paso 1.3.2'!S72</f>
        <v>0</v>
      </c>
    </row>
    <row r="41" spans="1:20" x14ac:dyDescent="0.25">
      <c r="A41" s="2119"/>
      <c r="B41" s="2122" t="s">
        <v>3148</v>
      </c>
      <c r="C41" s="2229">
        <f>'Paso 1.3.2'!C73</f>
        <v>0</v>
      </c>
      <c r="D41" s="2229">
        <f>'Paso 1.3.2'!D73</f>
        <v>0</v>
      </c>
      <c r="E41" s="2229">
        <f>'Paso 1.3.2'!E73</f>
        <v>0</v>
      </c>
      <c r="F41" s="2229">
        <f>'Paso 1.3.2'!F73</f>
        <v>0</v>
      </c>
      <c r="G41" s="2229">
        <f>'Paso 1.3.2'!G73</f>
        <v>0</v>
      </c>
      <c r="H41" s="2229">
        <f>'Paso 1.3.2'!H73</f>
        <v>0</v>
      </c>
      <c r="I41" s="2229">
        <f>'Paso 1.3.2'!I73</f>
        <v>0</v>
      </c>
      <c r="J41" s="2229">
        <f>'Paso 1.3.2'!J73</f>
        <v>0</v>
      </c>
      <c r="K41" s="2229">
        <f>'Paso 1.3.2'!K73</f>
        <v>0</v>
      </c>
      <c r="L41" s="2229">
        <f>'Paso 1.3.2'!L73</f>
        <v>0</v>
      </c>
      <c r="M41" s="2229">
        <f>'Paso 1.3.2'!M73</f>
        <v>0</v>
      </c>
      <c r="N41" s="2229">
        <f>'Paso 1.3.2'!N73</f>
        <v>0</v>
      </c>
      <c r="O41" s="2229">
        <f>'Paso 1.3.2'!O73</f>
        <v>0</v>
      </c>
      <c r="P41" s="2229">
        <f>'Paso 1.3.2'!P73</f>
        <v>0</v>
      </c>
      <c r="Q41" s="2229">
        <f>'Paso 1.3.2'!Q73</f>
        <v>0</v>
      </c>
      <c r="R41" s="2229">
        <f>'Paso 1.3.2'!R73</f>
        <v>0</v>
      </c>
      <c r="S41" s="2229">
        <f>'Paso 1.3.2'!S73</f>
        <v>0</v>
      </c>
    </row>
    <row r="42" spans="1:20" x14ac:dyDescent="0.25">
      <c r="A42" s="2119"/>
      <c r="B42" s="2122" t="s">
        <v>3149</v>
      </c>
      <c r="C42" s="2229">
        <f>'Paso 1.3.2'!C74</f>
        <v>0</v>
      </c>
      <c r="D42" s="2229">
        <f>'Paso 1.3.2'!D74</f>
        <v>0</v>
      </c>
      <c r="E42" s="2229">
        <f>'Paso 1.3.2'!E74</f>
        <v>0</v>
      </c>
      <c r="F42" s="2229">
        <f>'Paso 1.3.2'!F74</f>
        <v>0</v>
      </c>
      <c r="G42" s="2229">
        <f>'Paso 1.3.2'!G74</f>
        <v>0</v>
      </c>
      <c r="H42" s="2229">
        <f>'Paso 1.3.2'!H74</f>
        <v>0</v>
      </c>
      <c r="I42" s="2229">
        <f>'Paso 1.3.2'!I74</f>
        <v>0</v>
      </c>
      <c r="J42" s="2229">
        <f>'Paso 1.3.2'!J74</f>
        <v>0</v>
      </c>
      <c r="K42" s="2229">
        <f>'Paso 1.3.2'!K74</f>
        <v>0</v>
      </c>
      <c r="L42" s="2229">
        <f>'Paso 1.3.2'!L74</f>
        <v>0</v>
      </c>
      <c r="M42" s="2229">
        <f>'Paso 1.3.2'!M74</f>
        <v>0</v>
      </c>
      <c r="N42" s="2229">
        <f>'Paso 1.3.2'!N74</f>
        <v>0</v>
      </c>
      <c r="O42" s="2229">
        <f>'Paso 1.3.2'!O74</f>
        <v>0</v>
      </c>
      <c r="P42" s="2229">
        <f>'Paso 1.3.2'!P74</f>
        <v>0</v>
      </c>
      <c r="Q42" s="2229">
        <f>'Paso 1.3.2'!Q74</f>
        <v>0</v>
      </c>
      <c r="R42" s="2229">
        <f>'Paso 1.3.2'!R74</f>
        <v>0</v>
      </c>
      <c r="S42" s="2229">
        <f>'Paso 1.3.2'!S74</f>
        <v>0</v>
      </c>
    </row>
    <row r="43" spans="1:20" x14ac:dyDescent="0.25">
      <c r="A43" s="2119"/>
      <c r="B43" s="2168" t="s">
        <v>3150</v>
      </c>
      <c r="C43" s="2169"/>
      <c r="D43" s="2169"/>
      <c r="E43" s="2169"/>
      <c r="F43" s="2169"/>
      <c r="G43" s="2169"/>
      <c r="H43" s="2169"/>
      <c r="I43" s="2169"/>
      <c r="J43" s="2169"/>
      <c r="K43" s="2169"/>
      <c r="L43" s="2169"/>
      <c r="M43" s="2169"/>
      <c r="N43" s="2169"/>
      <c r="O43" s="2169"/>
      <c r="P43" s="2169"/>
      <c r="Q43" s="2169"/>
      <c r="R43" s="2169"/>
      <c r="S43" s="2169"/>
    </row>
    <row r="44" spans="1:20" x14ac:dyDescent="0.25">
      <c r="A44" s="2119"/>
      <c r="B44" s="1278" t="s">
        <v>3350</v>
      </c>
      <c r="C44" s="1279">
        <f>'Paso 1.3.2'!C76</f>
        <v>1</v>
      </c>
      <c r="D44" s="1279">
        <f>'Paso 1.3.2'!D76</f>
        <v>1</v>
      </c>
      <c r="E44" s="1279">
        <f>'Paso 1.3.2'!E76</f>
        <v>1</v>
      </c>
      <c r="F44" s="1279">
        <f>'Paso 1.3.2'!F76</f>
        <v>1</v>
      </c>
      <c r="G44" s="1279">
        <f>'Paso 1.3.2'!G76</f>
        <v>1</v>
      </c>
      <c r="H44" s="1279">
        <f>'Paso 1.3.2'!H76</f>
        <v>1</v>
      </c>
      <c r="I44" s="1279">
        <f>'Paso 1.3.2'!I76</f>
        <v>1</v>
      </c>
      <c r="J44" s="1279">
        <f>'Paso 1.3.2'!J76</f>
        <v>1</v>
      </c>
      <c r="K44" s="1279">
        <f>'Paso 1.3.2'!K76</f>
        <v>1</v>
      </c>
      <c r="L44" s="1279">
        <f>'Paso 1.3.2'!L76</f>
        <v>1</v>
      </c>
      <c r="M44" s="1279">
        <f>'Paso 1.3.2'!M76</f>
        <v>1</v>
      </c>
      <c r="N44" s="1279">
        <f>'Paso 1.3.2'!N76</f>
        <v>1</v>
      </c>
      <c r="O44" s="1279">
        <f>'Paso 1.3.2'!O76</f>
        <v>1</v>
      </c>
      <c r="P44" s="1279">
        <f>'Paso 1.3.2'!P76</f>
        <v>1</v>
      </c>
      <c r="Q44" s="1279">
        <f>'Paso 1.3.2'!Q76</f>
        <v>1</v>
      </c>
      <c r="R44" s="1279">
        <f>'Paso 1.3.2'!R76</f>
        <v>1</v>
      </c>
      <c r="S44" s="1279">
        <f>'Paso 1.3.2'!S76</f>
        <v>1</v>
      </c>
    </row>
    <row r="45" spans="1:20" x14ac:dyDescent="0.25">
      <c r="A45" s="2119"/>
      <c r="B45" s="2122" t="s">
        <v>1828</v>
      </c>
      <c r="C45" s="2229">
        <f>'Paso 1.3.2'!C77</f>
        <v>0</v>
      </c>
      <c r="D45" s="2229">
        <f>'Paso 1.3.2'!D77</f>
        <v>0</v>
      </c>
      <c r="E45" s="2229">
        <f>'Paso 1.3.2'!E77</f>
        <v>0</v>
      </c>
      <c r="F45" s="2229">
        <f>'Paso 1.3.2'!F77</f>
        <v>0</v>
      </c>
      <c r="G45" s="2229">
        <f>'Paso 1.3.2'!G77</f>
        <v>0</v>
      </c>
      <c r="H45" s="2229">
        <f>'Paso 1.3.2'!H77</f>
        <v>0</v>
      </c>
      <c r="I45" s="2229">
        <f>'Paso 1.3.2'!I77</f>
        <v>0</v>
      </c>
      <c r="J45" s="2229">
        <f>'Paso 1.3.2'!J77</f>
        <v>0</v>
      </c>
      <c r="K45" s="2229">
        <f>'Paso 1.3.2'!K77</f>
        <v>0</v>
      </c>
      <c r="L45" s="2229">
        <f>'Paso 1.3.2'!L77</f>
        <v>0</v>
      </c>
      <c r="M45" s="2229">
        <f>'Paso 1.3.2'!M77</f>
        <v>0</v>
      </c>
      <c r="N45" s="2229">
        <f>'Paso 1.3.2'!N77</f>
        <v>0</v>
      </c>
      <c r="O45" s="2229">
        <f>'Paso 1.3.2'!O77</f>
        <v>0</v>
      </c>
      <c r="P45" s="2229">
        <f>'Paso 1.3.2'!P77</f>
        <v>0</v>
      </c>
      <c r="Q45" s="2229">
        <f>'Paso 1.3.2'!Q77</f>
        <v>0</v>
      </c>
      <c r="R45" s="2229">
        <f>'Paso 1.3.2'!R77</f>
        <v>0</v>
      </c>
      <c r="S45" s="2229">
        <f>'Paso 1.3.2'!S77</f>
        <v>0</v>
      </c>
    </row>
    <row r="46" spans="1:20" x14ac:dyDescent="0.25">
      <c r="A46" s="2119"/>
      <c r="B46" s="2122" t="s">
        <v>3351</v>
      </c>
      <c r="C46" s="2229">
        <f>'Paso 1.3.2'!C78</f>
        <v>0</v>
      </c>
      <c r="D46" s="2229">
        <f>'Paso 1.3.2'!D78</f>
        <v>0</v>
      </c>
      <c r="E46" s="2229">
        <f>'Paso 1.3.2'!E78</f>
        <v>0</v>
      </c>
      <c r="F46" s="2229">
        <f>'Paso 1.3.2'!F78</f>
        <v>0</v>
      </c>
      <c r="G46" s="2229">
        <f>'Paso 1.3.2'!G78</f>
        <v>0</v>
      </c>
      <c r="H46" s="2229">
        <f>'Paso 1.3.2'!H78</f>
        <v>0</v>
      </c>
      <c r="I46" s="2229">
        <f>'Paso 1.3.2'!I78</f>
        <v>0</v>
      </c>
      <c r="J46" s="2229">
        <f>'Paso 1.3.2'!J78</f>
        <v>0</v>
      </c>
      <c r="K46" s="2229">
        <f>'Paso 1.3.2'!K78</f>
        <v>0</v>
      </c>
      <c r="L46" s="2229">
        <f>'Paso 1.3.2'!L78</f>
        <v>0</v>
      </c>
      <c r="M46" s="2229">
        <f>'Paso 1.3.2'!M78</f>
        <v>0</v>
      </c>
      <c r="N46" s="2229">
        <f>'Paso 1.3.2'!N78</f>
        <v>0</v>
      </c>
      <c r="O46" s="2229">
        <f>'Paso 1.3.2'!O78</f>
        <v>0</v>
      </c>
      <c r="P46" s="2229">
        <f>'Paso 1.3.2'!P78</f>
        <v>0</v>
      </c>
      <c r="Q46" s="2229">
        <f>'Paso 1.3.2'!Q78</f>
        <v>0</v>
      </c>
      <c r="R46" s="2229">
        <f>'Paso 1.3.2'!R78</f>
        <v>0</v>
      </c>
      <c r="S46" s="2229">
        <f>'Paso 1.3.2'!S78</f>
        <v>0</v>
      </c>
    </row>
    <row r="47" spans="1:20" x14ac:dyDescent="0.25">
      <c r="A47" s="2119"/>
      <c r="B47" s="1278" t="s">
        <v>3352</v>
      </c>
      <c r="C47" s="1279">
        <f>'Paso 1.3.2'!C79</f>
        <v>1</v>
      </c>
      <c r="D47" s="1279">
        <f>'Paso 1.3.2'!D79</f>
        <v>1</v>
      </c>
      <c r="E47" s="1279">
        <f>'Paso 1.3.2'!E79</f>
        <v>1</v>
      </c>
      <c r="F47" s="1279">
        <f>'Paso 1.3.2'!F79</f>
        <v>1</v>
      </c>
      <c r="G47" s="1279">
        <f>'Paso 1.3.2'!G79</f>
        <v>1</v>
      </c>
      <c r="H47" s="1279">
        <f>'Paso 1.3.2'!H79</f>
        <v>1</v>
      </c>
      <c r="I47" s="1279">
        <f>'Paso 1.3.2'!I79</f>
        <v>1</v>
      </c>
      <c r="J47" s="1279">
        <f>'Paso 1.3.2'!J79</f>
        <v>1</v>
      </c>
      <c r="K47" s="1279">
        <f>'Paso 1.3.2'!K79</f>
        <v>1</v>
      </c>
      <c r="L47" s="1279">
        <f>'Paso 1.3.2'!L79</f>
        <v>1</v>
      </c>
      <c r="M47" s="1279">
        <f>'Paso 1.3.2'!M79</f>
        <v>1</v>
      </c>
      <c r="N47" s="1279">
        <f>'Paso 1.3.2'!N79</f>
        <v>1</v>
      </c>
      <c r="O47" s="1279">
        <f>'Paso 1.3.2'!O79</f>
        <v>1</v>
      </c>
      <c r="P47" s="1279">
        <f>'Paso 1.3.2'!P79</f>
        <v>1</v>
      </c>
      <c r="Q47" s="1279">
        <f>'Paso 1.3.2'!Q79</f>
        <v>1</v>
      </c>
      <c r="R47" s="1279">
        <f>'Paso 1.3.2'!R79</f>
        <v>1</v>
      </c>
      <c r="S47" s="1279">
        <f>'Paso 1.3.2'!S79</f>
        <v>1</v>
      </c>
    </row>
    <row r="48" spans="1:20" x14ac:dyDescent="0.25">
      <c r="A48" s="2119"/>
      <c r="B48" s="1278" t="s">
        <v>3353</v>
      </c>
      <c r="C48" s="1279">
        <f>'Paso 1.3.2'!C80</f>
        <v>1</v>
      </c>
      <c r="D48" s="1279">
        <f>'Paso 1.3.2'!D80</f>
        <v>1</v>
      </c>
      <c r="E48" s="1279">
        <f>'Paso 1.3.2'!E80</f>
        <v>1</v>
      </c>
      <c r="F48" s="1279">
        <f>'Paso 1.3.2'!F80</f>
        <v>1</v>
      </c>
      <c r="G48" s="1279">
        <f>'Paso 1.3.2'!G80</f>
        <v>1</v>
      </c>
      <c r="H48" s="1279">
        <f>'Paso 1.3.2'!H80</f>
        <v>1</v>
      </c>
      <c r="I48" s="1279">
        <f>'Paso 1.3.2'!I80</f>
        <v>1</v>
      </c>
      <c r="J48" s="1279">
        <f>'Paso 1.3.2'!J80</f>
        <v>1</v>
      </c>
      <c r="K48" s="1279">
        <f>'Paso 1.3.2'!K80</f>
        <v>1</v>
      </c>
      <c r="L48" s="1279">
        <f>'Paso 1.3.2'!L80</f>
        <v>1</v>
      </c>
      <c r="M48" s="1279">
        <f>'Paso 1.3.2'!M80</f>
        <v>1</v>
      </c>
      <c r="N48" s="1279">
        <f>'Paso 1.3.2'!N80</f>
        <v>1</v>
      </c>
      <c r="O48" s="1279">
        <f>'Paso 1.3.2'!O80</f>
        <v>1</v>
      </c>
      <c r="P48" s="1279">
        <f>'Paso 1.3.2'!P80</f>
        <v>1</v>
      </c>
      <c r="Q48" s="1279">
        <f>'Paso 1.3.2'!Q80</f>
        <v>1</v>
      </c>
      <c r="R48" s="1279">
        <f>'Paso 1.3.2'!R80</f>
        <v>1</v>
      </c>
      <c r="S48" s="1279">
        <f>'Paso 1.3.2'!S80</f>
        <v>1</v>
      </c>
    </row>
    <row r="49" spans="1:19" x14ac:dyDescent="0.25">
      <c r="A49" s="2119"/>
      <c r="B49" s="1278" t="s">
        <v>3151</v>
      </c>
      <c r="C49" s="1279">
        <f>'Paso 1.3.2'!C81</f>
        <v>1</v>
      </c>
      <c r="D49" s="1279">
        <f>'Paso 1.3.2'!D81</f>
        <v>1</v>
      </c>
      <c r="E49" s="1279">
        <f>'Paso 1.3.2'!E81</f>
        <v>1</v>
      </c>
      <c r="F49" s="1279">
        <f>'Paso 1.3.2'!F81</f>
        <v>1</v>
      </c>
      <c r="G49" s="1279">
        <f>'Paso 1.3.2'!G81</f>
        <v>1</v>
      </c>
      <c r="H49" s="1279">
        <f>'Paso 1.3.2'!H81</f>
        <v>1</v>
      </c>
      <c r="I49" s="1279">
        <f>'Paso 1.3.2'!I81</f>
        <v>1</v>
      </c>
      <c r="J49" s="1279">
        <f>'Paso 1.3.2'!J81</f>
        <v>1</v>
      </c>
      <c r="K49" s="1279">
        <f>'Paso 1.3.2'!K81</f>
        <v>1</v>
      </c>
      <c r="L49" s="1279">
        <f>'Paso 1.3.2'!L81</f>
        <v>1</v>
      </c>
      <c r="M49" s="1279">
        <f>'Paso 1.3.2'!M81</f>
        <v>1</v>
      </c>
      <c r="N49" s="1279">
        <f>'Paso 1.3.2'!N81</f>
        <v>1</v>
      </c>
      <c r="O49" s="1279">
        <f>'Paso 1.3.2'!O81</f>
        <v>1</v>
      </c>
      <c r="P49" s="1279">
        <f>'Paso 1.3.2'!P81</f>
        <v>1</v>
      </c>
      <c r="Q49" s="1279">
        <f>'Paso 1.3.2'!Q81</f>
        <v>1</v>
      </c>
      <c r="R49" s="1279">
        <f>'Paso 1.3.2'!R81</f>
        <v>1</v>
      </c>
      <c r="S49" s="1279">
        <f>'Paso 1.3.2'!S81</f>
        <v>1</v>
      </c>
    </row>
    <row r="50" spans="1:19" x14ac:dyDescent="0.25">
      <c r="A50" s="2119"/>
      <c r="B50" s="1278" t="s">
        <v>231</v>
      </c>
      <c r="C50" s="1279">
        <f>'Paso 1.3.2'!C82</f>
        <v>1</v>
      </c>
      <c r="D50" s="1279">
        <f>'Paso 1.3.2'!D82</f>
        <v>1</v>
      </c>
      <c r="E50" s="1279">
        <f>'Paso 1.3.2'!E82</f>
        <v>1</v>
      </c>
      <c r="F50" s="1279">
        <f>'Paso 1.3.2'!F82</f>
        <v>1</v>
      </c>
      <c r="G50" s="1279">
        <f>'Paso 1.3.2'!G82</f>
        <v>1</v>
      </c>
      <c r="H50" s="1279">
        <f>'Paso 1.3.2'!H82</f>
        <v>1</v>
      </c>
      <c r="I50" s="1279">
        <f>'Paso 1.3.2'!I82</f>
        <v>1</v>
      </c>
      <c r="J50" s="1279">
        <f>'Paso 1.3.2'!J82</f>
        <v>1</v>
      </c>
      <c r="K50" s="1279">
        <f>'Paso 1.3.2'!K82</f>
        <v>1</v>
      </c>
      <c r="L50" s="1279">
        <f>'Paso 1.3.2'!L82</f>
        <v>1</v>
      </c>
      <c r="M50" s="1279">
        <f>'Paso 1.3.2'!M82</f>
        <v>1</v>
      </c>
      <c r="N50" s="1279">
        <f>'Paso 1.3.2'!N82</f>
        <v>1</v>
      </c>
      <c r="O50" s="1279">
        <f>'Paso 1.3.2'!O82</f>
        <v>1</v>
      </c>
      <c r="P50" s="1279">
        <f>'Paso 1.3.2'!P82</f>
        <v>1</v>
      </c>
      <c r="Q50" s="1279">
        <f>'Paso 1.3.2'!Q82</f>
        <v>1</v>
      </c>
      <c r="R50" s="1279">
        <f>'Paso 1.3.2'!R82</f>
        <v>1</v>
      </c>
      <c r="S50" s="1279">
        <f>'Paso 1.3.2'!S82</f>
        <v>1</v>
      </c>
    </row>
    <row r="51" spans="1:19" x14ac:dyDescent="0.25">
      <c r="A51" s="2119"/>
      <c r="B51" s="2168" t="s">
        <v>3152</v>
      </c>
      <c r="C51" s="2169"/>
      <c r="D51" s="2169"/>
      <c r="E51" s="2169"/>
      <c r="F51" s="2169"/>
      <c r="G51" s="2169"/>
      <c r="H51" s="2169"/>
      <c r="I51" s="2169"/>
      <c r="J51" s="2169"/>
      <c r="K51" s="2169"/>
      <c r="L51" s="2169"/>
      <c r="M51" s="2169"/>
      <c r="N51" s="2169"/>
      <c r="O51" s="2169"/>
      <c r="P51" s="2169"/>
      <c r="Q51" s="2169"/>
      <c r="R51" s="2169"/>
      <c r="S51" s="2169"/>
    </row>
    <row r="52" spans="1:19" x14ac:dyDescent="0.25">
      <c r="A52" s="2119"/>
      <c r="B52" s="2122" t="s">
        <v>3153</v>
      </c>
      <c r="C52" s="2229">
        <f>'Paso 1.3.2'!C84</f>
        <v>0</v>
      </c>
      <c r="D52" s="2229">
        <f>'Paso 1.3.2'!D84</f>
        <v>0</v>
      </c>
      <c r="E52" s="2229">
        <f>'Paso 1.3.2'!E84</f>
        <v>0</v>
      </c>
      <c r="F52" s="2229">
        <f>'Paso 1.3.2'!F84</f>
        <v>0</v>
      </c>
      <c r="G52" s="2229">
        <f>'Paso 1.3.2'!G84</f>
        <v>0</v>
      </c>
      <c r="H52" s="2229">
        <f>'Paso 1.3.2'!H84</f>
        <v>0</v>
      </c>
      <c r="I52" s="2229">
        <f>'Paso 1.3.2'!I84</f>
        <v>0</v>
      </c>
      <c r="J52" s="2229">
        <f>'Paso 1.3.2'!J84</f>
        <v>0</v>
      </c>
      <c r="K52" s="2229">
        <f>'Paso 1.3.2'!K84</f>
        <v>0</v>
      </c>
      <c r="L52" s="2229">
        <f>'Paso 1.3.2'!L84</f>
        <v>0</v>
      </c>
      <c r="M52" s="2229">
        <f>'Paso 1.3.2'!M84</f>
        <v>0</v>
      </c>
      <c r="N52" s="2229">
        <f>'Paso 1.3.2'!N84</f>
        <v>0</v>
      </c>
      <c r="O52" s="2229">
        <f>'Paso 1.3.2'!O84</f>
        <v>0</v>
      </c>
      <c r="P52" s="2229">
        <f>'Paso 1.3.2'!P84</f>
        <v>0</v>
      </c>
      <c r="Q52" s="2229">
        <f>'Paso 1.3.2'!Q84</f>
        <v>0</v>
      </c>
      <c r="R52" s="2229">
        <f>'Paso 1.3.2'!R84</f>
        <v>0</v>
      </c>
      <c r="S52" s="2229">
        <f>'Paso 1.3.2'!S84</f>
        <v>0</v>
      </c>
    </row>
    <row r="53" spans="1:19" x14ac:dyDescent="0.25">
      <c r="A53" s="2119"/>
      <c r="B53" s="2168" t="s">
        <v>3154</v>
      </c>
      <c r="C53" s="2169"/>
      <c r="D53" s="2169"/>
      <c r="E53" s="2169"/>
      <c r="F53" s="2169"/>
      <c r="G53" s="2169"/>
      <c r="H53" s="2169"/>
      <c r="I53" s="2169"/>
      <c r="J53" s="2169"/>
      <c r="K53" s="2169"/>
      <c r="L53" s="2169"/>
      <c r="M53" s="2169"/>
      <c r="N53" s="2169"/>
      <c r="O53" s="2169"/>
      <c r="P53" s="2169"/>
      <c r="Q53" s="2169"/>
      <c r="R53" s="2169"/>
      <c r="S53" s="2169"/>
    </row>
    <row r="54" spans="1:19" x14ac:dyDescent="0.25">
      <c r="A54" s="2119"/>
      <c r="B54" s="1278" t="s">
        <v>3155</v>
      </c>
      <c r="C54" s="1279">
        <f>'Paso 1.3.2'!C86</f>
        <v>1</v>
      </c>
      <c r="D54" s="1279">
        <f>'Paso 1.3.2'!D86</f>
        <v>1</v>
      </c>
      <c r="E54" s="1279">
        <f>'Paso 1.3.2'!E86</f>
        <v>1</v>
      </c>
      <c r="F54" s="1279">
        <f>'Paso 1.3.2'!F86</f>
        <v>1</v>
      </c>
      <c r="G54" s="1279">
        <f>'Paso 1.3.2'!G86</f>
        <v>1</v>
      </c>
      <c r="H54" s="1279">
        <f>'Paso 1.3.2'!H86</f>
        <v>1</v>
      </c>
      <c r="I54" s="1279">
        <f>'Paso 1.3.2'!I86</f>
        <v>1</v>
      </c>
      <c r="J54" s="1279">
        <f>'Paso 1.3.2'!J86</f>
        <v>1</v>
      </c>
      <c r="K54" s="1279">
        <f>'Paso 1.3.2'!K86</f>
        <v>1</v>
      </c>
      <c r="L54" s="1279">
        <f>'Paso 1.3.2'!L86</f>
        <v>1</v>
      </c>
      <c r="M54" s="1279">
        <f>'Paso 1.3.2'!M86</f>
        <v>1</v>
      </c>
      <c r="N54" s="1279">
        <f>'Paso 1.3.2'!N86</f>
        <v>1</v>
      </c>
      <c r="O54" s="1279">
        <f>'Paso 1.3.2'!O86</f>
        <v>1</v>
      </c>
      <c r="P54" s="1279">
        <f>'Paso 1.3.2'!P86</f>
        <v>1</v>
      </c>
      <c r="Q54" s="1279">
        <f>'Paso 1.3.2'!Q86</f>
        <v>1</v>
      </c>
      <c r="R54" s="1279">
        <f>'Paso 1.3.2'!R86</f>
        <v>1</v>
      </c>
      <c r="S54" s="1279">
        <f>'Paso 1.3.2'!S86</f>
        <v>1</v>
      </c>
    </row>
    <row r="55" spans="1:19" x14ac:dyDescent="0.25">
      <c r="A55" s="2119"/>
      <c r="B55" s="2168" t="s">
        <v>3156</v>
      </c>
      <c r="C55" s="2169"/>
      <c r="D55" s="2169"/>
      <c r="E55" s="2169"/>
      <c r="F55" s="2169"/>
      <c r="G55" s="2169"/>
      <c r="H55" s="2169"/>
      <c r="I55" s="2169"/>
      <c r="J55" s="2169"/>
      <c r="K55" s="2169"/>
      <c r="L55" s="2169"/>
      <c r="M55" s="2169"/>
      <c r="N55" s="2169"/>
      <c r="O55" s="2169"/>
      <c r="P55" s="2169"/>
      <c r="Q55" s="2169"/>
      <c r="R55" s="2169"/>
      <c r="S55" s="2169"/>
    </row>
    <row r="56" spans="1:19" x14ac:dyDescent="0.25">
      <c r="A56" s="2119"/>
      <c r="B56" s="1278" t="s">
        <v>3157</v>
      </c>
      <c r="C56" s="1279">
        <f>'Paso 1.3.2'!C88</f>
        <v>2</v>
      </c>
      <c r="D56" s="1279">
        <f>'Paso 1.3.2'!D88</f>
        <v>2</v>
      </c>
      <c r="E56" s="1279">
        <f>'Paso 1.3.2'!E88</f>
        <v>2</v>
      </c>
      <c r="F56" s="1279">
        <f>'Paso 1.3.2'!F88</f>
        <v>2</v>
      </c>
      <c r="G56" s="1279">
        <f>'Paso 1.3.2'!G88</f>
        <v>2</v>
      </c>
      <c r="H56" s="1279">
        <f>'Paso 1.3.2'!H88</f>
        <v>2</v>
      </c>
      <c r="I56" s="1279">
        <f>'Paso 1.3.2'!I88</f>
        <v>2</v>
      </c>
      <c r="J56" s="1279">
        <f>'Paso 1.3.2'!J88</f>
        <v>2</v>
      </c>
      <c r="K56" s="1279">
        <f>'Paso 1.3.2'!K88</f>
        <v>2</v>
      </c>
      <c r="L56" s="1279">
        <f>'Paso 1.3.2'!L88</f>
        <v>2</v>
      </c>
      <c r="M56" s="1279">
        <f>'Paso 1.3.2'!M88</f>
        <v>2</v>
      </c>
      <c r="N56" s="1279">
        <f>'Paso 1.3.2'!N88</f>
        <v>2</v>
      </c>
      <c r="O56" s="1279">
        <f>'Paso 1.3.2'!O88</f>
        <v>2</v>
      </c>
      <c r="P56" s="1279">
        <f>'Paso 1.3.2'!P88</f>
        <v>2</v>
      </c>
      <c r="Q56" s="1279">
        <f>'Paso 1.3.2'!Q88</f>
        <v>2</v>
      </c>
      <c r="R56" s="1279">
        <f>'Paso 1.3.2'!R88</f>
        <v>2</v>
      </c>
      <c r="S56" s="1279">
        <f>'Paso 1.3.2'!S88</f>
        <v>2</v>
      </c>
    </row>
    <row r="57" spans="1:19" x14ac:dyDescent="0.25">
      <c r="A57" s="2119"/>
      <c r="B57" s="2168" t="s">
        <v>3158</v>
      </c>
      <c r="C57" s="2169"/>
      <c r="D57" s="2169"/>
      <c r="E57" s="2169"/>
      <c r="F57" s="2169"/>
      <c r="G57" s="2169"/>
      <c r="H57" s="2169"/>
      <c r="I57" s="2169"/>
      <c r="J57" s="2169"/>
      <c r="K57" s="2169"/>
      <c r="L57" s="2169"/>
      <c r="M57" s="2169"/>
      <c r="N57" s="2169"/>
      <c r="O57" s="2169"/>
      <c r="P57" s="2169"/>
      <c r="Q57" s="2169"/>
      <c r="R57" s="2169"/>
      <c r="S57" s="2169"/>
    </row>
    <row r="58" spans="1:19" x14ac:dyDescent="0.25">
      <c r="A58" s="2119"/>
      <c r="B58" s="1278" t="s">
        <v>3159</v>
      </c>
      <c r="C58" s="1279">
        <f>'Paso 1.3.2'!C90</f>
        <v>1</v>
      </c>
      <c r="D58" s="1279">
        <f>'Paso 1.3.2'!D90</f>
        <v>1</v>
      </c>
      <c r="E58" s="1279">
        <f>'Paso 1.3.2'!E90</f>
        <v>1</v>
      </c>
      <c r="F58" s="1279">
        <f>'Paso 1.3.2'!F90</f>
        <v>1</v>
      </c>
      <c r="G58" s="1279">
        <f>'Paso 1.3.2'!G90</f>
        <v>1</v>
      </c>
      <c r="H58" s="1279">
        <f>'Paso 1.3.2'!H90</f>
        <v>1</v>
      </c>
      <c r="I58" s="1279">
        <f>'Paso 1.3.2'!I90</f>
        <v>1</v>
      </c>
      <c r="J58" s="1279">
        <f>'Paso 1.3.2'!J90</f>
        <v>1</v>
      </c>
      <c r="K58" s="1279">
        <f>'Paso 1.3.2'!K90</f>
        <v>1</v>
      </c>
      <c r="L58" s="1279">
        <f>'Paso 1.3.2'!L90</f>
        <v>1</v>
      </c>
      <c r="M58" s="1279">
        <f>'Paso 1.3.2'!M90</f>
        <v>1</v>
      </c>
      <c r="N58" s="1279">
        <f>'Paso 1.3.2'!N90</f>
        <v>1</v>
      </c>
      <c r="O58" s="1279">
        <f>'Paso 1.3.2'!O90</f>
        <v>1</v>
      </c>
      <c r="P58" s="1279">
        <f>'Paso 1.3.2'!P90</f>
        <v>1</v>
      </c>
      <c r="Q58" s="1279">
        <f>'Paso 1.3.2'!Q90</f>
        <v>1</v>
      </c>
      <c r="R58" s="1279">
        <f>'Paso 1.3.2'!R90</f>
        <v>1</v>
      </c>
      <c r="S58" s="1279">
        <f>'Paso 1.3.2'!S90</f>
        <v>1</v>
      </c>
    </row>
    <row r="59" spans="1:19" x14ac:dyDescent="0.25">
      <c r="A59" s="2119"/>
      <c r="B59" s="1278" t="s">
        <v>3160</v>
      </c>
      <c r="C59" s="1279">
        <f>'Paso 1.3.2'!C91</f>
        <v>1</v>
      </c>
      <c r="D59" s="1279">
        <f>'Paso 1.3.2'!D91</f>
        <v>1</v>
      </c>
      <c r="E59" s="1279">
        <f>'Paso 1.3.2'!E91</f>
        <v>1</v>
      </c>
      <c r="F59" s="1279">
        <f>'Paso 1.3.2'!F91</f>
        <v>1</v>
      </c>
      <c r="G59" s="1279">
        <f>'Paso 1.3.2'!G91</f>
        <v>1</v>
      </c>
      <c r="H59" s="1279">
        <f>'Paso 1.3.2'!H91</f>
        <v>1</v>
      </c>
      <c r="I59" s="1279">
        <f>'Paso 1.3.2'!I91</f>
        <v>1</v>
      </c>
      <c r="J59" s="1279">
        <f>'Paso 1.3.2'!J91</f>
        <v>1</v>
      </c>
      <c r="K59" s="1279">
        <f>'Paso 1.3.2'!K91</f>
        <v>1</v>
      </c>
      <c r="L59" s="1279">
        <f>'Paso 1.3.2'!L91</f>
        <v>1</v>
      </c>
      <c r="M59" s="1279">
        <f>'Paso 1.3.2'!M91</f>
        <v>1</v>
      </c>
      <c r="N59" s="1279">
        <f>'Paso 1.3.2'!N91</f>
        <v>1</v>
      </c>
      <c r="O59" s="1279">
        <f>'Paso 1.3.2'!O91</f>
        <v>1</v>
      </c>
      <c r="P59" s="1279">
        <f>'Paso 1.3.2'!P91</f>
        <v>1</v>
      </c>
      <c r="Q59" s="1279">
        <f>'Paso 1.3.2'!Q91</f>
        <v>1</v>
      </c>
      <c r="R59" s="1279">
        <f>'Paso 1.3.2'!R91</f>
        <v>1</v>
      </c>
      <c r="S59" s="1279">
        <f>'Paso 1.3.2'!S91</f>
        <v>1</v>
      </c>
    </row>
    <row r="60" spans="1:19" x14ac:dyDescent="0.25">
      <c r="A60" s="2119"/>
      <c r="B60" s="1278" t="s">
        <v>3161</v>
      </c>
      <c r="C60" s="1279">
        <f>'Paso 1.3.2'!C92</f>
        <v>1</v>
      </c>
      <c r="D60" s="1279">
        <f>'Paso 1.3.2'!D92</f>
        <v>1</v>
      </c>
      <c r="E60" s="1279">
        <f>'Paso 1.3.2'!E92</f>
        <v>1</v>
      </c>
      <c r="F60" s="1279">
        <f>'Paso 1.3.2'!F92</f>
        <v>1</v>
      </c>
      <c r="G60" s="1279">
        <f>'Paso 1.3.2'!G92</f>
        <v>1</v>
      </c>
      <c r="H60" s="1279">
        <f>'Paso 1.3.2'!H92</f>
        <v>1</v>
      </c>
      <c r="I60" s="1279">
        <f>'Paso 1.3.2'!I92</f>
        <v>1</v>
      </c>
      <c r="J60" s="1279">
        <f>'Paso 1.3.2'!J92</f>
        <v>1</v>
      </c>
      <c r="K60" s="1279">
        <f>'Paso 1.3.2'!K92</f>
        <v>1</v>
      </c>
      <c r="L60" s="1279">
        <f>'Paso 1.3.2'!L92</f>
        <v>1</v>
      </c>
      <c r="M60" s="1279">
        <f>'Paso 1.3.2'!M92</f>
        <v>1</v>
      </c>
      <c r="N60" s="1279">
        <f>'Paso 1.3.2'!N92</f>
        <v>1</v>
      </c>
      <c r="O60" s="1279">
        <f>'Paso 1.3.2'!O92</f>
        <v>1</v>
      </c>
      <c r="P60" s="1279">
        <f>'Paso 1.3.2'!P92</f>
        <v>1</v>
      </c>
      <c r="Q60" s="1279">
        <f>'Paso 1.3.2'!Q92</f>
        <v>1</v>
      </c>
      <c r="R60" s="1279">
        <f>'Paso 1.3.2'!R92</f>
        <v>1</v>
      </c>
      <c r="S60" s="1279">
        <f>'Paso 1.3.2'!S92</f>
        <v>1</v>
      </c>
    </row>
    <row r="61" spans="1:19" x14ac:dyDescent="0.25">
      <c r="A61" s="2119"/>
      <c r="B61" s="1278" t="s">
        <v>3162</v>
      </c>
      <c r="C61" s="1279">
        <f>'Paso 1.3.2'!C93</f>
        <v>2</v>
      </c>
      <c r="D61" s="1279">
        <f>'Paso 1.3.2'!D93</f>
        <v>2</v>
      </c>
      <c r="E61" s="1279">
        <f>'Paso 1.3.2'!E93</f>
        <v>2</v>
      </c>
      <c r="F61" s="1279">
        <f>'Paso 1.3.2'!F93</f>
        <v>2</v>
      </c>
      <c r="G61" s="1279">
        <f>'Paso 1.3.2'!G93</f>
        <v>2</v>
      </c>
      <c r="H61" s="1279">
        <f>'Paso 1.3.2'!H93</f>
        <v>2</v>
      </c>
      <c r="I61" s="1279">
        <f>'Paso 1.3.2'!I93</f>
        <v>2</v>
      </c>
      <c r="J61" s="1279">
        <f>'Paso 1.3.2'!J93</f>
        <v>2</v>
      </c>
      <c r="K61" s="1279">
        <f>'Paso 1.3.2'!K93</f>
        <v>2</v>
      </c>
      <c r="L61" s="1279">
        <f>'Paso 1.3.2'!L93</f>
        <v>2</v>
      </c>
      <c r="M61" s="1279">
        <f>'Paso 1.3.2'!M93</f>
        <v>2</v>
      </c>
      <c r="N61" s="1279">
        <f>'Paso 1.3.2'!N93</f>
        <v>2</v>
      </c>
      <c r="O61" s="1279">
        <f>'Paso 1.3.2'!O93</f>
        <v>2</v>
      </c>
      <c r="P61" s="1279">
        <f>'Paso 1.3.2'!P93</f>
        <v>2</v>
      </c>
      <c r="Q61" s="1279">
        <f>'Paso 1.3.2'!Q93</f>
        <v>2</v>
      </c>
      <c r="R61" s="1279">
        <f>'Paso 1.3.2'!R93</f>
        <v>2</v>
      </c>
      <c r="S61" s="1279">
        <f>'Paso 1.3.2'!S93</f>
        <v>2</v>
      </c>
    </row>
    <row r="62" spans="1:19" x14ac:dyDescent="0.25">
      <c r="A62" s="2119"/>
      <c r="B62" s="1278" t="s">
        <v>3176</v>
      </c>
      <c r="C62" s="1279">
        <f>'Paso 1.3.2'!C94</f>
        <v>1</v>
      </c>
      <c r="D62" s="1279">
        <f>'Paso 1.3.2'!D94</f>
        <v>1</v>
      </c>
      <c r="E62" s="1279">
        <f>'Paso 1.3.2'!E94</f>
        <v>1</v>
      </c>
      <c r="F62" s="1279">
        <f>'Paso 1.3.2'!F94</f>
        <v>1</v>
      </c>
      <c r="G62" s="1279">
        <f>'Paso 1.3.2'!G94</f>
        <v>1</v>
      </c>
      <c r="H62" s="1279">
        <f>'Paso 1.3.2'!H94</f>
        <v>1</v>
      </c>
      <c r="I62" s="1279">
        <f>'Paso 1.3.2'!I94</f>
        <v>1</v>
      </c>
      <c r="J62" s="1279">
        <f>'Paso 1.3.2'!J94</f>
        <v>1</v>
      </c>
      <c r="K62" s="1279">
        <f>'Paso 1.3.2'!K94</f>
        <v>1</v>
      </c>
      <c r="L62" s="1279">
        <f>'Paso 1.3.2'!L94</f>
        <v>1</v>
      </c>
      <c r="M62" s="1279">
        <f>'Paso 1.3.2'!M94</f>
        <v>1</v>
      </c>
      <c r="N62" s="1279">
        <f>'Paso 1.3.2'!N94</f>
        <v>1</v>
      </c>
      <c r="O62" s="1279">
        <f>'Paso 1.3.2'!O94</f>
        <v>1</v>
      </c>
      <c r="P62" s="1279">
        <f>'Paso 1.3.2'!P94</f>
        <v>1</v>
      </c>
      <c r="Q62" s="1279">
        <f>'Paso 1.3.2'!Q94</f>
        <v>1</v>
      </c>
      <c r="R62" s="1279">
        <f>'Paso 1.3.2'!R94</f>
        <v>1</v>
      </c>
      <c r="S62" s="1279">
        <f>'Paso 1.3.2'!S94</f>
        <v>1</v>
      </c>
    </row>
    <row r="63" spans="1:19" x14ac:dyDescent="0.25">
      <c r="A63" s="2119"/>
      <c r="B63" s="2163" t="s">
        <v>3164</v>
      </c>
      <c r="C63" s="2125">
        <f t="shared" ref="C63:S63" si="3">SUM(C38:C62)</f>
        <v>15</v>
      </c>
      <c r="D63" s="2125">
        <f t="shared" si="3"/>
        <v>15</v>
      </c>
      <c r="E63" s="2125">
        <f t="shared" si="3"/>
        <v>15</v>
      </c>
      <c r="F63" s="2125">
        <f t="shared" si="3"/>
        <v>15</v>
      </c>
      <c r="G63" s="2125">
        <f t="shared" si="3"/>
        <v>15</v>
      </c>
      <c r="H63" s="2125">
        <f t="shared" si="3"/>
        <v>15</v>
      </c>
      <c r="I63" s="2125">
        <f t="shared" si="3"/>
        <v>15</v>
      </c>
      <c r="J63" s="2125">
        <f t="shared" si="3"/>
        <v>15</v>
      </c>
      <c r="K63" s="2125">
        <f t="shared" si="3"/>
        <v>15</v>
      </c>
      <c r="L63" s="2125">
        <f t="shared" si="3"/>
        <v>15</v>
      </c>
      <c r="M63" s="2125">
        <f t="shared" si="3"/>
        <v>15</v>
      </c>
      <c r="N63" s="2125">
        <f t="shared" si="3"/>
        <v>15</v>
      </c>
      <c r="O63" s="2125">
        <f t="shared" si="3"/>
        <v>15</v>
      </c>
      <c r="P63" s="2125">
        <f t="shared" si="3"/>
        <v>15</v>
      </c>
      <c r="Q63" s="2125">
        <f t="shared" si="3"/>
        <v>15</v>
      </c>
      <c r="R63" s="2125">
        <f t="shared" si="3"/>
        <v>15</v>
      </c>
      <c r="S63" s="2126">
        <f t="shared" si="3"/>
        <v>15</v>
      </c>
    </row>
    <row r="64" spans="1:19" x14ac:dyDescent="0.25">
      <c r="A64" s="2119" t="e">
        <f>C36-C97</f>
        <v>#DIV/0!</v>
      </c>
    </row>
    <row r="65" spans="2:20" x14ac:dyDescent="0.25">
      <c r="B65" s="689" t="s">
        <v>3177</v>
      </c>
    </row>
    <row r="66" spans="2:20" x14ac:dyDescent="0.25">
      <c r="B66" s="689"/>
    </row>
    <row r="67" spans="2:20" x14ac:dyDescent="0.25">
      <c r="B67" s="4754" t="s">
        <v>3112</v>
      </c>
      <c r="C67" s="2136">
        <v>0</v>
      </c>
      <c r="D67" s="2136">
        <v>0</v>
      </c>
      <c r="E67" s="2159">
        <v>1</v>
      </c>
      <c r="F67" s="2159">
        <f>E67+1</f>
        <v>2</v>
      </c>
      <c r="G67" s="2159">
        <f>F67+1</f>
        <v>3</v>
      </c>
      <c r="H67" s="2159">
        <f t="shared" ref="H67:S67" si="4">G67+1</f>
        <v>4</v>
      </c>
      <c r="I67" s="2159">
        <f t="shared" si="4"/>
        <v>5</v>
      </c>
      <c r="J67" s="2159">
        <f t="shared" si="4"/>
        <v>6</v>
      </c>
      <c r="K67" s="2159">
        <f t="shared" si="4"/>
        <v>7</v>
      </c>
      <c r="L67" s="2159">
        <f t="shared" si="4"/>
        <v>8</v>
      </c>
      <c r="M67" s="2159">
        <f t="shared" si="4"/>
        <v>9</v>
      </c>
      <c r="N67" s="2159">
        <f t="shared" si="4"/>
        <v>10</v>
      </c>
      <c r="O67" s="2159">
        <f t="shared" si="4"/>
        <v>11</v>
      </c>
      <c r="P67" s="2159">
        <f t="shared" si="4"/>
        <v>12</v>
      </c>
      <c r="Q67" s="2159">
        <f t="shared" si="4"/>
        <v>13</v>
      </c>
      <c r="R67" s="2159">
        <f t="shared" si="4"/>
        <v>14</v>
      </c>
      <c r="S67" s="2160">
        <f t="shared" si="4"/>
        <v>15</v>
      </c>
    </row>
    <row r="68" spans="2:20" x14ac:dyDescent="0.25">
      <c r="B68" s="4755"/>
      <c r="C68" s="2137">
        <v>2018</v>
      </c>
      <c r="D68" s="2137">
        <f>C68+1</f>
        <v>2019</v>
      </c>
      <c r="E68" s="2161">
        <f t="shared" ref="E68:S68" si="5">D68+1</f>
        <v>2020</v>
      </c>
      <c r="F68" s="2161">
        <f t="shared" si="5"/>
        <v>2021</v>
      </c>
      <c r="G68" s="2161">
        <f t="shared" si="5"/>
        <v>2022</v>
      </c>
      <c r="H68" s="2161">
        <f t="shared" si="5"/>
        <v>2023</v>
      </c>
      <c r="I68" s="2161">
        <f t="shared" si="5"/>
        <v>2024</v>
      </c>
      <c r="J68" s="2161">
        <f t="shared" si="5"/>
        <v>2025</v>
      </c>
      <c r="K68" s="2161">
        <f t="shared" si="5"/>
        <v>2026</v>
      </c>
      <c r="L68" s="2161">
        <f t="shared" si="5"/>
        <v>2027</v>
      </c>
      <c r="M68" s="2161">
        <f t="shared" si="5"/>
        <v>2028</v>
      </c>
      <c r="N68" s="2161">
        <f t="shared" si="5"/>
        <v>2029</v>
      </c>
      <c r="O68" s="2161">
        <f t="shared" si="5"/>
        <v>2030</v>
      </c>
      <c r="P68" s="2161">
        <f t="shared" si="5"/>
        <v>2031</v>
      </c>
      <c r="Q68" s="2161">
        <f t="shared" si="5"/>
        <v>2032</v>
      </c>
      <c r="R68" s="2161">
        <f t="shared" si="5"/>
        <v>2033</v>
      </c>
      <c r="S68" s="2162">
        <f t="shared" si="5"/>
        <v>2034</v>
      </c>
    </row>
    <row r="69" spans="2:20" x14ac:dyDescent="0.25">
      <c r="B69" s="1278" t="s">
        <v>206</v>
      </c>
      <c r="C69" s="1279">
        <f>'Paso 2.1 - 2.2'!C60</f>
        <v>4</v>
      </c>
      <c r="D69" s="1279">
        <f>'Paso 2.1 - 2.2'!D60</f>
        <v>4</v>
      </c>
      <c r="E69" s="1279">
        <f>'Paso 2.1 - 2.2'!E60</f>
        <v>4</v>
      </c>
      <c r="F69" s="1279">
        <f>'Paso 2.1 - 2.2'!F60</f>
        <v>4</v>
      </c>
      <c r="G69" s="1279">
        <f>'Paso 2.1 - 2.2'!G60</f>
        <v>4</v>
      </c>
      <c r="H69" s="1279">
        <f>'Paso 2.1 - 2.2'!H60</f>
        <v>4</v>
      </c>
      <c r="I69" s="1279">
        <f>'Paso 2.1 - 2.2'!I60</f>
        <v>4</v>
      </c>
      <c r="J69" s="1279">
        <f>'Paso 2.1 - 2.2'!J60</f>
        <v>4</v>
      </c>
      <c r="K69" s="1279">
        <f>'Paso 2.1 - 2.2'!K60</f>
        <v>4</v>
      </c>
      <c r="L69" s="1279">
        <f>'Paso 2.1 - 2.2'!L60</f>
        <v>4</v>
      </c>
      <c r="M69" s="1279">
        <f>'Paso 2.1 - 2.2'!M60</f>
        <v>4</v>
      </c>
      <c r="N69" s="1279">
        <f>'Paso 2.1 - 2.2'!N60</f>
        <v>4</v>
      </c>
      <c r="O69" s="1279">
        <f>'Paso 2.1 - 2.2'!O60</f>
        <v>4</v>
      </c>
      <c r="P69" s="1279">
        <f>'Paso 2.1 - 2.2'!P60</f>
        <v>4</v>
      </c>
      <c r="Q69" s="1279">
        <f>'Paso 2.1 - 2.2'!Q60</f>
        <v>4</v>
      </c>
      <c r="R69" s="1279">
        <f>'Paso 2.1 - 2.2'!R60</f>
        <v>4</v>
      </c>
      <c r="S69" s="1279">
        <f>'Paso 2.1 - 2.2'!S60</f>
        <v>4</v>
      </c>
      <c r="T69" s="1296"/>
    </row>
    <row r="70" spans="2:20" x14ac:dyDescent="0.25">
      <c r="B70" s="2122" t="s">
        <v>3126</v>
      </c>
      <c r="C70" s="2229">
        <f>'Paso 2.1 - 2.2'!C61</f>
        <v>0</v>
      </c>
      <c r="D70" s="2229">
        <f>'Paso 2.1 - 2.2'!D61</f>
        <v>0</v>
      </c>
      <c r="E70" s="2229">
        <f>'Paso 2.1 - 2.2'!E61</f>
        <v>0</v>
      </c>
      <c r="F70" s="2229">
        <f>'Paso 2.1 - 2.2'!F61</f>
        <v>0</v>
      </c>
      <c r="G70" s="2229">
        <f>'Paso 2.1 - 2.2'!G61</f>
        <v>0</v>
      </c>
      <c r="H70" s="2229">
        <f>'Paso 2.1 - 2.2'!H61</f>
        <v>0</v>
      </c>
      <c r="I70" s="2229">
        <f>'Paso 2.1 - 2.2'!I61</f>
        <v>0</v>
      </c>
      <c r="J70" s="2229">
        <f>'Paso 2.1 - 2.2'!J61</f>
        <v>0</v>
      </c>
      <c r="K70" s="2229">
        <f>'Paso 2.1 - 2.2'!K61</f>
        <v>0</v>
      </c>
      <c r="L70" s="2229">
        <f>'Paso 2.1 - 2.2'!L61</f>
        <v>0</v>
      </c>
      <c r="M70" s="2229">
        <f>'Paso 2.1 - 2.2'!M61</f>
        <v>0</v>
      </c>
      <c r="N70" s="2229">
        <f>'Paso 2.1 - 2.2'!N61</f>
        <v>0</v>
      </c>
      <c r="O70" s="2229">
        <f>'Paso 2.1 - 2.2'!O61</f>
        <v>0</v>
      </c>
      <c r="P70" s="2229">
        <f>'Paso 2.1 - 2.2'!P61</f>
        <v>0</v>
      </c>
      <c r="Q70" s="2229">
        <f>'Paso 2.1 - 2.2'!Q61</f>
        <v>0</v>
      </c>
      <c r="R70" s="2229">
        <f>'Paso 2.1 - 2.2'!R61</f>
        <v>0</v>
      </c>
      <c r="S70" s="2229">
        <f>'Paso 2.1 - 2.2'!S61</f>
        <v>0</v>
      </c>
      <c r="T70" s="1296"/>
    </row>
    <row r="71" spans="2:20" x14ac:dyDescent="0.25">
      <c r="B71" s="2122" t="s">
        <v>3127</v>
      </c>
      <c r="C71" s="2229">
        <f>'Paso 2.1 - 2.2'!C62</f>
        <v>0</v>
      </c>
      <c r="D71" s="2229">
        <f>'Paso 2.1 - 2.2'!D62</f>
        <v>0</v>
      </c>
      <c r="E71" s="2229">
        <f>'Paso 2.1 - 2.2'!E62</f>
        <v>0</v>
      </c>
      <c r="F71" s="2229">
        <f>'Paso 2.1 - 2.2'!F62</f>
        <v>0</v>
      </c>
      <c r="G71" s="2229">
        <f>'Paso 2.1 - 2.2'!G62</f>
        <v>0</v>
      </c>
      <c r="H71" s="2229">
        <f>'Paso 2.1 - 2.2'!H62</f>
        <v>0</v>
      </c>
      <c r="I71" s="2229">
        <f>'Paso 2.1 - 2.2'!I62</f>
        <v>0</v>
      </c>
      <c r="J71" s="2229">
        <f>'Paso 2.1 - 2.2'!J62</f>
        <v>0</v>
      </c>
      <c r="K71" s="2229">
        <f>'Paso 2.1 - 2.2'!K62</f>
        <v>0</v>
      </c>
      <c r="L71" s="2229">
        <f>'Paso 2.1 - 2.2'!L62</f>
        <v>0</v>
      </c>
      <c r="M71" s="2229">
        <f>'Paso 2.1 - 2.2'!M62</f>
        <v>0</v>
      </c>
      <c r="N71" s="2229">
        <f>'Paso 2.1 - 2.2'!N62</f>
        <v>0</v>
      </c>
      <c r="O71" s="2229">
        <f>'Paso 2.1 - 2.2'!O62</f>
        <v>0</v>
      </c>
      <c r="P71" s="2229">
        <f>'Paso 2.1 - 2.2'!P62</f>
        <v>0</v>
      </c>
      <c r="Q71" s="2229">
        <f>'Paso 2.1 - 2.2'!Q62</f>
        <v>0</v>
      </c>
      <c r="R71" s="2229">
        <f>'Paso 2.1 - 2.2'!R62</f>
        <v>0</v>
      </c>
      <c r="S71" s="2229">
        <f>'Paso 2.1 - 2.2'!S62</f>
        <v>0</v>
      </c>
      <c r="T71" s="1296"/>
    </row>
    <row r="72" spans="2:20" x14ac:dyDescent="0.25">
      <c r="B72" s="2122" t="s">
        <v>3128</v>
      </c>
      <c r="C72" s="2229">
        <f>'Paso 2.1 - 2.2'!C63</f>
        <v>0</v>
      </c>
      <c r="D72" s="2229">
        <f>'Paso 2.1 - 2.2'!D63</f>
        <v>0</v>
      </c>
      <c r="E72" s="2229">
        <f>'Paso 2.1 - 2.2'!E63</f>
        <v>0</v>
      </c>
      <c r="F72" s="2229">
        <f>'Paso 2.1 - 2.2'!F63</f>
        <v>0</v>
      </c>
      <c r="G72" s="2229">
        <f>'Paso 2.1 - 2.2'!G63</f>
        <v>0</v>
      </c>
      <c r="H72" s="2229">
        <f>'Paso 2.1 - 2.2'!H63</f>
        <v>0</v>
      </c>
      <c r="I72" s="2229">
        <f>'Paso 2.1 - 2.2'!I63</f>
        <v>0</v>
      </c>
      <c r="J72" s="2229">
        <f>'Paso 2.1 - 2.2'!J63</f>
        <v>0</v>
      </c>
      <c r="K72" s="2229">
        <f>'Paso 2.1 - 2.2'!K63</f>
        <v>0</v>
      </c>
      <c r="L72" s="2229">
        <f>'Paso 2.1 - 2.2'!L63</f>
        <v>0</v>
      </c>
      <c r="M72" s="2229">
        <f>'Paso 2.1 - 2.2'!M63</f>
        <v>0</v>
      </c>
      <c r="N72" s="2229">
        <f>'Paso 2.1 - 2.2'!N63</f>
        <v>0</v>
      </c>
      <c r="O72" s="2229">
        <f>'Paso 2.1 - 2.2'!O63</f>
        <v>0</v>
      </c>
      <c r="P72" s="2229">
        <f>'Paso 2.1 - 2.2'!P63</f>
        <v>0</v>
      </c>
      <c r="Q72" s="2229">
        <f>'Paso 2.1 - 2.2'!Q63</f>
        <v>0</v>
      </c>
      <c r="R72" s="2229">
        <f>'Paso 2.1 - 2.2'!R63</f>
        <v>0</v>
      </c>
      <c r="S72" s="2229">
        <f>'Paso 2.1 - 2.2'!S63</f>
        <v>0</v>
      </c>
      <c r="T72" s="1296"/>
    </row>
    <row r="73" spans="2:20" x14ac:dyDescent="0.25">
      <c r="B73" s="2122" t="s">
        <v>3129</v>
      </c>
      <c r="C73" s="2229">
        <f>'Paso 2.1 - 2.2'!C64</f>
        <v>0</v>
      </c>
      <c r="D73" s="2229">
        <f>'Paso 2.1 - 2.2'!D64</f>
        <v>0</v>
      </c>
      <c r="E73" s="2229">
        <f>'Paso 2.1 - 2.2'!E64</f>
        <v>0</v>
      </c>
      <c r="F73" s="2229">
        <f>'Paso 2.1 - 2.2'!F64</f>
        <v>0</v>
      </c>
      <c r="G73" s="2229">
        <f>'Paso 2.1 - 2.2'!G64</f>
        <v>0</v>
      </c>
      <c r="H73" s="2229">
        <f>'Paso 2.1 - 2.2'!H64</f>
        <v>0</v>
      </c>
      <c r="I73" s="2229">
        <f>'Paso 2.1 - 2.2'!I64</f>
        <v>0</v>
      </c>
      <c r="J73" s="2229">
        <f>'Paso 2.1 - 2.2'!J64</f>
        <v>0</v>
      </c>
      <c r="K73" s="2229">
        <f>'Paso 2.1 - 2.2'!K64</f>
        <v>0</v>
      </c>
      <c r="L73" s="2229">
        <f>'Paso 2.1 - 2.2'!L64</f>
        <v>0</v>
      </c>
      <c r="M73" s="2229">
        <f>'Paso 2.1 - 2.2'!M64</f>
        <v>0</v>
      </c>
      <c r="N73" s="2229">
        <f>'Paso 2.1 - 2.2'!N64</f>
        <v>0</v>
      </c>
      <c r="O73" s="2229">
        <f>'Paso 2.1 - 2.2'!O64</f>
        <v>0</v>
      </c>
      <c r="P73" s="2229">
        <f>'Paso 2.1 - 2.2'!P64</f>
        <v>0</v>
      </c>
      <c r="Q73" s="2229">
        <f>'Paso 2.1 - 2.2'!Q64</f>
        <v>0</v>
      </c>
      <c r="R73" s="2229">
        <f>'Paso 2.1 - 2.2'!R64</f>
        <v>0</v>
      </c>
      <c r="S73" s="2229">
        <f>'Paso 2.1 - 2.2'!S64</f>
        <v>0</v>
      </c>
      <c r="T73" s="1296"/>
    </row>
    <row r="74" spans="2:20" x14ac:dyDescent="0.25">
      <c r="B74" s="2122" t="s">
        <v>3130</v>
      </c>
      <c r="C74" s="2229">
        <f>'Paso 2.1 - 2.2'!C65</f>
        <v>0</v>
      </c>
      <c r="D74" s="2229">
        <f>'Paso 2.1 - 2.2'!D65</f>
        <v>0</v>
      </c>
      <c r="E74" s="2229">
        <f>'Paso 2.1 - 2.2'!E65</f>
        <v>0</v>
      </c>
      <c r="F74" s="2229">
        <f>'Paso 2.1 - 2.2'!F65</f>
        <v>0</v>
      </c>
      <c r="G74" s="2229">
        <f>'Paso 2.1 - 2.2'!G65</f>
        <v>0</v>
      </c>
      <c r="H74" s="2229">
        <f>'Paso 2.1 - 2.2'!H65</f>
        <v>0</v>
      </c>
      <c r="I74" s="2229">
        <f>'Paso 2.1 - 2.2'!I65</f>
        <v>0</v>
      </c>
      <c r="J74" s="2229">
        <f>'Paso 2.1 - 2.2'!J65</f>
        <v>0</v>
      </c>
      <c r="K74" s="2229">
        <f>'Paso 2.1 - 2.2'!K65</f>
        <v>0</v>
      </c>
      <c r="L74" s="2229">
        <f>'Paso 2.1 - 2.2'!L65</f>
        <v>0</v>
      </c>
      <c r="M74" s="2229">
        <f>'Paso 2.1 - 2.2'!M65</f>
        <v>0</v>
      </c>
      <c r="N74" s="2229">
        <f>'Paso 2.1 - 2.2'!N65</f>
        <v>0</v>
      </c>
      <c r="O74" s="2229">
        <f>'Paso 2.1 - 2.2'!O65</f>
        <v>0</v>
      </c>
      <c r="P74" s="2229">
        <f>'Paso 2.1 - 2.2'!P65</f>
        <v>0</v>
      </c>
      <c r="Q74" s="2229">
        <f>'Paso 2.1 - 2.2'!Q65</f>
        <v>0</v>
      </c>
      <c r="R74" s="2229">
        <f>'Paso 2.1 - 2.2'!R65</f>
        <v>0</v>
      </c>
      <c r="S74" s="2229">
        <f>'Paso 2.1 - 2.2'!S65</f>
        <v>0</v>
      </c>
      <c r="T74" s="1296"/>
    </row>
    <row r="75" spans="2:20" x14ac:dyDescent="0.25">
      <c r="B75" s="2122" t="s">
        <v>3131</v>
      </c>
      <c r="C75" s="2229">
        <f>'Paso 2.1 - 2.2'!C66</f>
        <v>0</v>
      </c>
      <c r="D75" s="2229">
        <f>'Paso 2.1 - 2.2'!D66</f>
        <v>0</v>
      </c>
      <c r="E75" s="2229">
        <f>'Paso 2.1 - 2.2'!E66</f>
        <v>0</v>
      </c>
      <c r="F75" s="2229">
        <f>'Paso 2.1 - 2.2'!F66</f>
        <v>0</v>
      </c>
      <c r="G75" s="2229">
        <f>'Paso 2.1 - 2.2'!G66</f>
        <v>0</v>
      </c>
      <c r="H75" s="2229">
        <f>'Paso 2.1 - 2.2'!H66</f>
        <v>0</v>
      </c>
      <c r="I75" s="2229">
        <f>'Paso 2.1 - 2.2'!I66</f>
        <v>0</v>
      </c>
      <c r="J75" s="2229">
        <f>'Paso 2.1 - 2.2'!J66</f>
        <v>0</v>
      </c>
      <c r="K75" s="2229">
        <f>'Paso 2.1 - 2.2'!K66</f>
        <v>0</v>
      </c>
      <c r="L75" s="2229">
        <f>'Paso 2.1 - 2.2'!L66</f>
        <v>0</v>
      </c>
      <c r="M75" s="2229">
        <f>'Paso 2.1 - 2.2'!M66</f>
        <v>0</v>
      </c>
      <c r="N75" s="2229">
        <f>'Paso 2.1 - 2.2'!N66</f>
        <v>0</v>
      </c>
      <c r="O75" s="2229">
        <f>'Paso 2.1 - 2.2'!O66</f>
        <v>0</v>
      </c>
      <c r="P75" s="2229">
        <f>'Paso 2.1 - 2.2'!P66</f>
        <v>0</v>
      </c>
      <c r="Q75" s="2229">
        <f>'Paso 2.1 - 2.2'!Q66</f>
        <v>0</v>
      </c>
      <c r="R75" s="2229">
        <f>'Paso 2.1 - 2.2'!R66</f>
        <v>0</v>
      </c>
      <c r="S75" s="2229">
        <f>'Paso 2.1 - 2.2'!S66</f>
        <v>0</v>
      </c>
      <c r="T75" s="1296"/>
    </row>
    <row r="76" spans="2:20" x14ac:dyDescent="0.25">
      <c r="B76" s="2122" t="s">
        <v>3132</v>
      </c>
      <c r="C76" s="2229">
        <f>'Paso 2.1 - 2.2'!C67</f>
        <v>0</v>
      </c>
      <c r="D76" s="2229">
        <f>'Paso 2.1 - 2.2'!D67</f>
        <v>0</v>
      </c>
      <c r="E76" s="2229">
        <f>'Paso 2.1 - 2.2'!E67</f>
        <v>0</v>
      </c>
      <c r="F76" s="2229">
        <f>'Paso 2.1 - 2.2'!F67</f>
        <v>0</v>
      </c>
      <c r="G76" s="2229">
        <f>'Paso 2.1 - 2.2'!G67</f>
        <v>0</v>
      </c>
      <c r="H76" s="2229">
        <f>'Paso 2.1 - 2.2'!H67</f>
        <v>0</v>
      </c>
      <c r="I76" s="2229">
        <f>'Paso 2.1 - 2.2'!I67</f>
        <v>0</v>
      </c>
      <c r="J76" s="2229">
        <f>'Paso 2.1 - 2.2'!J67</f>
        <v>0</v>
      </c>
      <c r="K76" s="2229">
        <f>'Paso 2.1 - 2.2'!K67</f>
        <v>0</v>
      </c>
      <c r="L76" s="2229">
        <f>'Paso 2.1 - 2.2'!L67</f>
        <v>0</v>
      </c>
      <c r="M76" s="2229">
        <f>'Paso 2.1 - 2.2'!M67</f>
        <v>0</v>
      </c>
      <c r="N76" s="2229">
        <f>'Paso 2.1 - 2.2'!N67</f>
        <v>0</v>
      </c>
      <c r="O76" s="2229">
        <f>'Paso 2.1 - 2.2'!O67</f>
        <v>0</v>
      </c>
      <c r="P76" s="2229">
        <f>'Paso 2.1 - 2.2'!P67</f>
        <v>0</v>
      </c>
      <c r="Q76" s="2229">
        <f>'Paso 2.1 - 2.2'!Q67</f>
        <v>0</v>
      </c>
      <c r="R76" s="2229">
        <f>'Paso 2.1 - 2.2'!R67</f>
        <v>0</v>
      </c>
      <c r="S76" s="2229">
        <f>'Paso 2.1 - 2.2'!S67</f>
        <v>0</v>
      </c>
      <c r="T76" s="1296"/>
    </row>
    <row r="77" spans="2:20" x14ac:dyDescent="0.25">
      <c r="B77" s="2122" t="s">
        <v>3133</v>
      </c>
      <c r="C77" s="2229">
        <f>'Paso 2.1 - 2.2'!C68</f>
        <v>0</v>
      </c>
      <c r="D77" s="2229">
        <f>'Paso 2.1 - 2.2'!D68</f>
        <v>0</v>
      </c>
      <c r="E77" s="2229">
        <f>'Paso 2.1 - 2.2'!E68</f>
        <v>0</v>
      </c>
      <c r="F77" s="2229">
        <f>'Paso 2.1 - 2.2'!F68</f>
        <v>0</v>
      </c>
      <c r="G77" s="2229">
        <f>'Paso 2.1 - 2.2'!G68</f>
        <v>0</v>
      </c>
      <c r="H77" s="2229">
        <f>'Paso 2.1 - 2.2'!H68</f>
        <v>0</v>
      </c>
      <c r="I77" s="2229">
        <f>'Paso 2.1 - 2.2'!I68</f>
        <v>0</v>
      </c>
      <c r="J77" s="2229">
        <f>'Paso 2.1 - 2.2'!J68</f>
        <v>0</v>
      </c>
      <c r="K77" s="2229">
        <f>'Paso 2.1 - 2.2'!K68</f>
        <v>0</v>
      </c>
      <c r="L77" s="2229">
        <f>'Paso 2.1 - 2.2'!L68</f>
        <v>0</v>
      </c>
      <c r="M77" s="2229">
        <f>'Paso 2.1 - 2.2'!M68</f>
        <v>0</v>
      </c>
      <c r="N77" s="2229">
        <f>'Paso 2.1 - 2.2'!N68</f>
        <v>0</v>
      </c>
      <c r="O77" s="2229">
        <f>'Paso 2.1 - 2.2'!O68</f>
        <v>0</v>
      </c>
      <c r="P77" s="2229">
        <f>'Paso 2.1 - 2.2'!P68</f>
        <v>0</v>
      </c>
      <c r="Q77" s="2229">
        <f>'Paso 2.1 - 2.2'!Q68</f>
        <v>0</v>
      </c>
      <c r="R77" s="2229">
        <f>'Paso 2.1 - 2.2'!R68</f>
        <v>0</v>
      </c>
      <c r="S77" s="2229">
        <f>'Paso 2.1 - 2.2'!S68</f>
        <v>0</v>
      </c>
      <c r="T77" s="1296"/>
    </row>
    <row r="78" spans="2:20" x14ac:dyDescent="0.25">
      <c r="B78" s="2122" t="s">
        <v>3134</v>
      </c>
      <c r="C78" s="2229">
        <f>'Paso 2.1 - 2.2'!C69</f>
        <v>0</v>
      </c>
      <c r="D78" s="2229">
        <f>'Paso 2.1 - 2.2'!D69</f>
        <v>0</v>
      </c>
      <c r="E78" s="2229">
        <f>'Paso 2.1 - 2.2'!E69</f>
        <v>0</v>
      </c>
      <c r="F78" s="2229">
        <f>'Paso 2.1 - 2.2'!F69</f>
        <v>0</v>
      </c>
      <c r="G78" s="2229">
        <f>'Paso 2.1 - 2.2'!G69</f>
        <v>0</v>
      </c>
      <c r="H78" s="2229">
        <f>'Paso 2.1 - 2.2'!H69</f>
        <v>0</v>
      </c>
      <c r="I78" s="2229">
        <f>'Paso 2.1 - 2.2'!I69</f>
        <v>0</v>
      </c>
      <c r="J78" s="2229">
        <f>'Paso 2.1 - 2.2'!J69</f>
        <v>0</v>
      </c>
      <c r="K78" s="2229">
        <f>'Paso 2.1 - 2.2'!K69</f>
        <v>0</v>
      </c>
      <c r="L78" s="2229">
        <f>'Paso 2.1 - 2.2'!L69</f>
        <v>0</v>
      </c>
      <c r="M78" s="2229">
        <f>'Paso 2.1 - 2.2'!M69</f>
        <v>0</v>
      </c>
      <c r="N78" s="2229">
        <f>'Paso 2.1 - 2.2'!N69</f>
        <v>0</v>
      </c>
      <c r="O78" s="2229">
        <f>'Paso 2.1 - 2.2'!O69</f>
        <v>0</v>
      </c>
      <c r="P78" s="2229">
        <f>'Paso 2.1 - 2.2'!P69</f>
        <v>0</v>
      </c>
      <c r="Q78" s="2229">
        <f>'Paso 2.1 - 2.2'!Q69</f>
        <v>0</v>
      </c>
      <c r="R78" s="2229">
        <f>'Paso 2.1 - 2.2'!R69</f>
        <v>0</v>
      </c>
      <c r="S78" s="2229">
        <f>'Paso 2.1 - 2.2'!S69</f>
        <v>0</v>
      </c>
      <c r="T78" s="1296"/>
    </row>
    <row r="79" spans="2:20" x14ac:dyDescent="0.25">
      <c r="B79" s="2122" t="s">
        <v>3135</v>
      </c>
      <c r="C79" s="2229">
        <f>'Paso 2.1 - 2.2'!C70</f>
        <v>0</v>
      </c>
      <c r="D79" s="2229">
        <f>'Paso 2.1 - 2.2'!D70</f>
        <v>0</v>
      </c>
      <c r="E79" s="2229">
        <f>'Paso 2.1 - 2.2'!E70</f>
        <v>0</v>
      </c>
      <c r="F79" s="2229">
        <f>'Paso 2.1 - 2.2'!F70</f>
        <v>0</v>
      </c>
      <c r="G79" s="2229">
        <f>'Paso 2.1 - 2.2'!G70</f>
        <v>0</v>
      </c>
      <c r="H79" s="2229">
        <f>'Paso 2.1 - 2.2'!H70</f>
        <v>0</v>
      </c>
      <c r="I79" s="2229">
        <f>'Paso 2.1 - 2.2'!I70</f>
        <v>0</v>
      </c>
      <c r="J79" s="2229">
        <f>'Paso 2.1 - 2.2'!J70</f>
        <v>0</v>
      </c>
      <c r="K79" s="2229">
        <f>'Paso 2.1 - 2.2'!K70</f>
        <v>0</v>
      </c>
      <c r="L79" s="2229">
        <f>'Paso 2.1 - 2.2'!L70</f>
        <v>0</v>
      </c>
      <c r="M79" s="2229">
        <f>'Paso 2.1 - 2.2'!M70</f>
        <v>0</v>
      </c>
      <c r="N79" s="2229">
        <f>'Paso 2.1 - 2.2'!N70</f>
        <v>0</v>
      </c>
      <c r="O79" s="2229">
        <f>'Paso 2.1 - 2.2'!O70</f>
        <v>0</v>
      </c>
      <c r="P79" s="2229">
        <f>'Paso 2.1 - 2.2'!P70</f>
        <v>0</v>
      </c>
      <c r="Q79" s="2229">
        <f>'Paso 2.1 - 2.2'!Q70</f>
        <v>0</v>
      </c>
      <c r="R79" s="2229">
        <f>'Paso 2.1 - 2.2'!R70</f>
        <v>0</v>
      </c>
      <c r="S79" s="2229">
        <f>'Paso 2.1 - 2.2'!S70</f>
        <v>0</v>
      </c>
      <c r="T79" s="1296"/>
    </row>
    <row r="80" spans="2:20" x14ac:dyDescent="0.25">
      <c r="B80" s="2122" t="s">
        <v>3136</v>
      </c>
      <c r="C80" s="2229">
        <f>'Paso 2.1 - 2.2'!C71</f>
        <v>0</v>
      </c>
      <c r="D80" s="2229">
        <f>'Paso 2.1 - 2.2'!D71</f>
        <v>0</v>
      </c>
      <c r="E80" s="2229">
        <f>'Paso 2.1 - 2.2'!E71</f>
        <v>0</v>
      </c>
      <c r="F80" s="2229">
        <f>'Paso 2.1 - 2.2'!F71</f>
        <v>0</v>
      </c>
      <c r="G80" s="2229">
        <f>'Paso 2.1 - 2.2'!G71</f>
        <v>0</v>
      </c>
      <c r="H80" s="2229">
        <f>'Paso 2.1 - 2.2'!H71</f>
        <v>0</v>
      </c>
      <c r="I80" s="2229">
        <f>'Paso 2.1 - 2.2'!I71</f>
        <v>0</v>
      </c>
      <c r="J80" s="2229">
        <f>'Paso 2.1 - 2.2'!J71</f>
        <v>0</v>
      </c>
      <c r="K80" s="2229">
        <f>'Paso 2.1 - 2.2'!K71</f>
        <v>0</v>
      </c>
      <c r="L80" s="2229">
        <f>'Paso 2.1 - 2.2'!L71</f>
        <v>0</v>
      </c>
      <c r="M80" s="2229">
        <f>'Paso 2.1 - 2.2'!M71</f>
        <v>0</v>
      </c>
      <c r="N80" s="2229">
        <f>'Paso 2.1 - 2.2'!N71</f>
        <v>0</v>
      </c>
      <c r="O80" s="2229">
        <f>'Paso 2.1 - 2.2'!O71</f>
        <v>0</v>
      </c>
      <c r="P80" s="2229">
        <f>'Paso 2.1 - 2.2'!P71</f>
        <v>0</v>
      </c>
      <c r="Q80" s="2229">
        <f>'Paso 2.1 - 2.2'!Q71</f>
        <v>0</v>
      </c>
      <c r="R80" s="2229">
        <f>'Paso 2.1 - 2.2'!R71</f>
        <v>0</v>
      </c>
      <c r="S80" s="2229">
        <f>'Paso 2.1 - 2.2'!S71</f>
        <v>0</v>
      </c>
      <c r="T80" s="1296"/>
    </row>
    <row r="81" spans="2:20" x14ac:dyDescent="0.25">
      <c r="B81" s="1278" t="s">
        <v>216</v>
      </c>
      <c r="C81" s="1279">
        <f>'Paso 2.1 - 2.2'!C72</f>
        <v>2</v>
      </c>
      <c r="D81" s="1279">
        <f>'Paso 2.1 - 2.2'!D72</f>
        <v>2</v>
      </c>
      <c r="E81" s="1279">
        <f>'Paso 2.1 - 2.2'!E72</f>
        <v>2</v>
      </c>
      <c r="F81" s="1279">
        <f>'Paso 2.1 - 2.2'!F72</f>
        <v>2</v>
      </c>
      <c r="G81" s="1279">
        <f>'Paso 2.1 - 2.2'!G72</f>
        <v>2</v>
      </c>
      <c r="H81" s="1279">
        <f>'Paso 2.1 - 2.2'!H72</f>
        <v>2</v>
      </c>
      <c r="I81" s="1279">
        <f>'Paso 2.1 - 2.2'!I72</f>
        <v>2</v>
      </c>
      <c r="J81" s="1279">
        <f>'Paso 2.1 - 2.2'!J72</f>
        <v>2</v>
      </c>
      <c r="K81" s="1279">
        <f>'Paso 2.1 - 2.2'!K72</f>
        <v>2</v>
      </c>
      <c r="L81" s="1279">
        <f>'Paso 2.1 - 2.2'!L72</f>
        <v>2</v>
      </c>
      <c r="M81" s="1279">
        <f>'Paso 2.1 - 2.2'!M72</f>
        <v>2</v>
      </c>
      <c r="N81" s="1279">
        <f>'Paso 2.1 - 2.2'!N72</f>
        <v>2</v>
      </c>
      <c r="O81" s="1279">
        <f>'Paso 2.1 - 2.2'!O72</f>
        <v>2</v>
      </c>
      <c r="P81" s="1279">
        <f>'Paso 2.1 - 2.2'!P72</f>
        <v>2</v>
      </c>
      <c r="Q81" s="1279">
        <f>'Paso 2.1 - 2.2'!Q72</f>
        <v>2</v>
      </c>
      <c r="R81" s="1279">
        <f>'Paso 2.1 - 2.2'!R72</f>
        <v>2</v>
      </c>
      <c r="S81" s="1279">
        <f>'Paso 2.1 - 2.2'!S72</f>
        <v>2</v>
      </c>
      <c r="T81" s="1296"/>
    </row>
    <row r="82" spans="2:20" x14ac:dyDescent="0.25">
      <c r="B82" s="1278" t="s">
        <v>217</v>
      </c>
      <c r="C82" s="1279">
        <f>'Paso 2.1 - 2.2'!C73</f>
        <v>7</v>
      </c>
      <c r="D82" s="1279">
        <f>'Paso 2.1 - 2.2'!D73</f>
        <v>7</v>
      </c>
      <c r="E82" s="1279">
        <f>'Paso 2.1 - 2.2'!E73</f>
        <v>7</v>
      </c>
      <c r="F82" s="1279">
        <f>'Paso 2.1 - 2.2'!F73</f>
        <v>7</v>
      </c>
      <c r="G82" s="1279">
        <f>'Paso 2.1 - 2.2'!G73</f>
        <v>7</v>
      </c>
      <c r="H82" s="1279">
        <f>'Paso 2.1 - 2.2'!H73</f>
        <v>7</v>
      </c>
      <c r="I82" s="1279">
        <f>'Paso 2.1 - 2.2'!I73</f>
        <v>7</v>
      </c>
      <c r="J82" s="1279">
        <f>'Paso 2.1 - 2.2'!J73</f>
        <v>7</v>
      </c>
      <c r="K82" s="1279">
        <f>'Paso 2.1 - 2.2'!K73</f>
        <v>7</v>
      </c>
      <c r="L82" s="1279">
        <f>'Paso 2.1 - 2.2'!L73</f>
        <v>7</v>
      </c>
      <c r="M82" s="1279">
        <f>'Paso 2.1 - 2.2'!M73</f>
        <v>7</v>
      </c>
      <c r="N82" s="1279">
        <f>'Paso 2.1 - 2.2'!N73</f>
        <v>7</v>
      </c>
      <c r="O82" s="1279">
        <f>'Paso 2.1 - 2.2'!O73</f>
        <v>7</v>
      </c>
      <c r="P82" s="1279">
        <f>'Paso 2.1 - 2.2'!P73</f>
        <v>7</v>
      </c>
      <c r="Q82" s="1279">
        <f>'Paso 2.1 - 2.2'!Q73</f>
        <v>7</v>
      </c>
      <c r="R82" s="1279">
        <f>'Paso 2.1 - 2.2'!R73</f>
        <v>7</v>
      </c>
      <c r="S82" s="1279">
        <f>'Paso 2.1 - 2.2'!S73</f>
        <v>7</v>
      </c>
      <c r="T82" s="1296"/>
    </row>
    <row r="83" spans="2:20" x14ac:dyDescent="0.25">
      <c r="B83" s="1278" t="s">
        <v>218</v>
      </c>
      <c r="C83" s="1279">
        <f>'Paso 2.1 - 2.2'!C74</f>
        <v>1</v>
      </c>
      <c r="D83" s="1279">
        <f>'Paso 2.1 - 2.2'!D74</f>
        <v>1</v>
      </c>
      <c r="E83" s="1279">
        <f>'Paso 2.1 - 2.2'!E74</f>
        <v>1</v>
      </c>
      <c r="F83" s="1279">
        <f>'Paso 2.1 - 2.2'!F74</f>
        <v>1</v>
      </c>
      <c r="G83" s="1279">
        <f>'Paso 2.1 - 2.2'!G74</f>
        <v>1</v>
      </c>
      <c r="H83" s="1279">
        <f>'Paso 2.1 - 2.2'!H74</f>
        <v>1</v>
      </c>
      <c r="I83" s="1279">
        <f>'Paso 2.1 - 2.2'!I74</f>
        <v>1</v>
      </c>
      <c r="J83" s="1279">
        <f>'Paso 2.1 - 2.2'!J74</f>
        <v>1</v>
      </c>
      <c r="K83" s="1279">
        <f>'Paso 2.1 - 2.2'!K74</f>
        <v>1</v>
      </c>
      <c r="L83" s="1279">
        <f>'Paso 2.1 - 2.2'!L74</f>
        <v>1</v>
      </c>
      <c r="M83" s="1279">
        <f>'Paso 2.1 - 2.2'!M74</f>
        <v>1</v>
      </c>
      <c r="N83" s="1279">
        <f>'Paso 2.1 - 2.2'!N74</f>
        <v>1</v>
      </c>
      <c r="O83" s="1279">
        <f>'Paso 2.1 - 2.2'!O74</f>
        <v>1</v>
      </c>
      <c r="P83" s="1279">
        <f>'Paso 2.1 - 2.2'!P74</f>
        <v>1</v>
      </c>
      <c r="Q83" s="1279">
        <f>'Paso 2.1 - 2.2'!Q74</f>
        <v>1</v>
      </c>
      <c r="R83" s="1279">
        <f>'Paso 2.1 - 2.2'!R74</f>
        <v>1</v>
      </c>
      <c r="S83" s="1279">
        <f>'Paso 2.1 - 2.2'!S74</f>
        <v>1</v>
      </c>
      <c r="T83" s="1296"/>
    </row>
    <row r="84" spans="2:20" x14ac:dyDescent="0.25">
      <c r="B84" s="1278" t="s">
        <v>353</v>
      </c>
      <c r="C84" s="1279">
        <f>'Paso 2.1 - 2.2'!C75</f>
        <v>4</v>
      </c>
      <c r="D84" s="1279">
        <f>'Paso 2.1 - 2.2'!D75</f>
        <v>4</v>
      </c>
      <c r="E84" s="1279">
        <f>'Paso 2.1 - 2.2'!E75</f>
        <v>4</v>
      </c>
      <c r="F84" s="1279">
        <f>'Paso 2.1 - 2.2'!F75</f>
        <v>4</v>
      </c>
      <c r="G84" s="1279">
        <f>'Paso 2.1 - 2.2'!G75</f>
        <v>4</v>
      </c>
      <c r="H84" s="1279">
        <f>'Paso 2.1 - 2.2'!H75</f>
        <v>4</v>
      </c>
      <c r="I84" s="1279">
        <f>'Paso 2.1 - 2.2'!I75</f>
        <v>4</v>
      </c>
      <c r="J84" s="1279">
        <f>'Paso 2.1 - 2.2'!J75</f>
        <v>4</v>
      </c>
      <c r="K84" s="1279">
        <f>'Paso 2.1 - 2.2'!K75</f>
        <v>4</v>
      </c>
      <c r="L84" s="1279">
        <f>'Paso 2.1 - 2.2'!L75</f>
        <v>4</v>
      </c>
      <c r="M84" s="1279">
        <f>'Paso 2.1 - 2.2'!M75</f>
        <v>4</v>
      </c>
      <c r="N84" s="1279">
        <f>'Paso 2.1 - 2.2'!N75</f>
        <v>4</v>
      </c>
      <c r="O84" s="1279">
        <f>'Paso 2.1 - 2.2'!O75</f>
        <v>4</v>
      </c>
      <c r="P84" s="1279">
        <f>'Paso 2.1 - 2.2'!P75</f>
        <v>4</v>
      </c>
      <c r="Q84" s="1279">
        <f>'Paso 2.1 - 2.2'!Q75</f>
        <v>4</v>
      </c>
      <c r="R84" s="1279">
        <f>'Paso 2.1 - 2.2'!R75</f>
        <v>4</v>
      </c>
      <c r="S84" s="1279">
        <f>'Paso 2.1 - 2.2'!S75</f>
        <v>4</v>
      </c>
      <c r="T84" s="1296"/>
    </row>
    <row r="85" spans="2:20" x14ac:dyDescent="0.25">
      <c r="B85" s="1278" t="s">
        <v>220</v>
      </c>
      <c r="C85" s="1279">
        <f>'Paso 2.1 - 2.2'!C76</f>
        <v>1</v>
      </c>
      <c r="D85" s="1279">
        <f>'Paso 2.1 - 2.2'!D76</f>
        <v>1</v>
      </c>
      <c r="E85" s="1279">
        <f>'Paso 2.1 - 2.2'!E76</f>
        <v>1</v>
      </c>
      <c r="F85" s="1279">
        <f>'Paso 2.1 - 2.2'!F76</f>
        <v>1</v>
      </c>
      <c r="G85" s="1279">
        <f>'Paso 2.1 - 2.2'!G76</f>
        <v>1</v>
      </c>
      <c r="H85" s="1279">
        <f>'Paso 2.1 - 2.2'!H76</f>
        <v>1</v>
      </c>
      <c r="I85" s="1279">
        <f>'Paso 2.1 - 2.2'!I76</f>
        <v>1</v>
      </c>
      <c r="J85" s="1279">
        <f>'Paso 2.1 - 2.2'!J76</f>
        <v>1</v>
      </c>
      <c r="K85" s="1279">
        <f>'Paso 2.1 - 2.2'!K76</f>
        <v>1</v>
      </c>
      <c r="L85" s="1279">
        <f>'Paso 2.1 - 2.2'!L76</f>
        <v>1</v>
      </c>
      <c r="M85" s="1279">
        <f>'Paso 2.1 - 2.2'!M76</f>
        <v>1</v>
      </c>
      <c r="N85" s="1279">
        <f>'Paso 2.1 - 2.2'!N76</f>
        <v>1</v>
      </c>
      <c r="O85" s="1279">
        <f>'Paso 2.1 - 2.2'!O76</f>
        <v>1</v>
      </c>
      <c r="P85" s="1279">
        <f>'Paso 2.1 - 2.2'!P76</f>
        <v>1</v>
      </c>
      <c r="Q85" s="1279">
        <f>'Paso 2.1 - 2.2'!Q76</f>
        <v>1</v>
      </c>
      <c r="R85" s="1279">
        <f>'Paso 2.1 - 2.2'!R76</f>
        <v>1</v>
      </c>
      <c r="S85" s="1279">
        <f>'Paso 2.1 - 2.2'!S76</f>
        <v>1</v>
      </c>
      <c r="T85" s="1296"/>
    </row>
    <row r="86" spans="2:20" x14ac:dyDescent="0.25">
      <c r="B86" s="2122" t="s">
        <v>221</v>
      </c>
      <c r="C86" s="2229">
        <f>'Paso 2.1 - 2.2'!C77</f>
        <v>0</v>
      </c>
      <c r="D86" s="2229">
        <f>'Paso 2.1 - 2.2'!D77</f>
        <v>0</v>
      </c>
      <c r="E86" s="2229">
        <f>'Paso 2.1 - 2.2'!E77</f>
        <v>0</v>
      </c>
      <c r="F86" s="2229">
        <f>'Paso 2.1 - 2.2'!F77</f>
        <v>0</v>
      </c>
      <c r="G86" s="2229">
        <f>'Paso 2.1 - 2.2'!G77</f>
        <v>0</v>
      </c>
      <c r="H86" s="2229">
        <f>'Paso 2.1 - 2.2'!H77</f>
        <v>0</v>
      </c>
      <c r="I86" s="2229">
        <f>'Paso 2.1 - 2.2'!I77</f>
        <v>0</v>
      </c>
      <c r="J86" s="2229">
        <f>'Paso 2.1 - 2.2'!J77</f>
        <v>0</v>
      </c>
      <c r="K86" s="2229">
        <f>'Paso 2.1 - 2.2'!K77</f>
        <v>0</v>
      </c>
      <c r="L86" s="2229">
        <f>'Paso 2.1 - 2.2'!L77</f>
        <v>0</v>
      </c>
      <c r="M86" s="2229">
        <f>'Paso 2.1 - 2.2'!M77</f>
        <v>0</v>
      </c>
      <c r="N86" s="2229">
        <f>'Paso 2.1 - 2.2'!N77</f>
        <v>0</v>
      </c>
      <c r="O86" s="2229">
        <f>'Paso 2.1 - 2.2'!O77</f>
        <v>0</v>
      </c>
      <c r="P86" s="2229">
        <f>'Paso 2.1 - 2.2'!P77</f>
        <v>0</v>
      </c>
      <c r="Q86" s="2229">
        <f>'Paso 2.1 - 2.2'!Q77</f>
        <v>0</v>
      </c>
      <c r="R86" s="2229">
        <f>'Paso 2.1 - 2.2'!R77</f>
        <v>0</v>
      </c>
      <c r="S86" s="2229">
        <f>'Paso 2.1 - 2.2'!S77</f>
        <v>0</v>
      </c>
      <c r="T86" s="1296"/>
    </row>
    <row r="87" spans="2:20" x14ac:dyDescent="0.25">
      <c r="B87" s="2122" t="s">
        <v>222</v>
      </c>
      <c r="C87" s="2229">
        <f>'Paso 2.1 - 2.2'!C78</f>
        <v>0</v>
      </c>
      <c r="D87" s="2229">
        <f>'Paso 2.1 - 2.2'!D78</f>
        <v>0</v>
      </c>
      <c r="E87" s="2229">
        <f>'Paso 2.1 - 2.2'!E78</f>
        <v>0</v>
      </c>
      <c r="F87" s="2229">
        <f>'Paso 2.1 - 2.2'!F78</f>
        <v>0</v>
      </c>
      <c r="G87" s="2229">
        <f>'Paso 2.1 - 2.2'!G78</f>
        <v>0</v>
      </c>
      <c r="H87" s="2229">
        <f>'Paso 2.1 - 2.2'!H78</f>
        <v>0</v>
      </c>
      <c r="I87" s="2229">
        <f>'Paso 2.1 - 2.2'!I78</f>
        <v>0</v>
      </c>
      <c r="J87" s="2229">
        <f>'Paso 2.1 - 2.2'!J78</f>
        <v>0</v>
      </c>
      <c r="K87" s="2229">
        <f>'Paso 2.1 - 2.2'!K78</f>
        <v>0</v>
      </c>
      <c r="L87" s="2229">
        <f>'Paso 2.1 - 2.2'!L78</f>
        <v>0</v>
      </c>
      <c r="M87" s="2229">
        <f>'Paso 2.1 - 2.2'!M78</f>
        <v>0</v>
      </c>
      <c r="N87" s="2229">
        <f>'Paso 2.1 - 2.2'!N78</f>
        <v>0</v>
      </c>
      <c r="O87" s="2229">
        <f>'Paso 2.1 - 2.2'!O78</f>
        <v>0</v>
      </c>
      <c r="P87" s="2229">
        <f>'Paso 2.1 - 2.2'!P78</f>
        <v>0</v>
      </c>
      <c r="Q87" s="2229">
        <f>'Paso 2.1 - 2.2'!Q78</f>
        <v>0</v>
      </c>
      <c r="R87" s="2229">
        <f>'Paso 2.1 - 2.2'!R78</f>
        <v>0</v>
      </c>
      <c r="S87" s="2229">
        <f>'Paso 2.1 - 2.2'!S78</f>
        <v>0</v>
      </c>
      <c r="T87" s="1296"/>
    </row>
    <row r="88" spans="2:20" x14ac:dyDescent="0.25">
      <c r="B88" s="2122" t="s">
        <v>3137</v>
      </c>
      <c r="C88" s="2229">
        <f>'Paso 2.1 - 2.2'!C79</f>
        <v>0</v>
      </c>
      <c r="D88" s="2229">
        <f>'Paso 2.1 - 2.2'!D79</f>
        <v>0</v>
      </c>
      <c r="E88" s="2229">
        <f>'Paso 2.1 - 2.2'!E79</f>
        <v>0</v>
      </c>
      <c r="F88" s="2229">
        <f>'Paso 2.1 - 2.2'!F79</f>
        <v>0</v>
      </c>
      <c r="G88" s="2229">
        <f>'Paso 2.1 - 2.2'!G79</f>
        <v>0</v>
      </c>
      <c r="H88" s="2229">
        <f>'Paso 2.1 - 2.2'!H79</f>
        <v>0</v>
      </c>
      <c r="I88" s="2229">
        <f>'Paso 2.1 - 2.2'!I79</f>
        <v>0</v>
      </c>
      <c r="J88" s="2229">
        <f>'Paso 2.1 - 2.2'!J79</f>
        <v>0</v>
      </c>
      <c r="K88" s="2229">
        <f>'Paso 2.1 - 2.2'!K79</f>
        <v>0</v>
      </c>
      <c r="L88" s="2229">
        <f>'Paso 2.1 - 2.2'!L79</f>
        <v>0</v>
      </c>
      <c r="M88" s="2229">
        <f>'Paso 2.1 - 2.2'!M79</f>
        <v>0</v>
      </c>
      <c r="N88" s="2229">
        <f>'Paso 2.1 - 2.2'!N79</f>
        <v>0</v>
      </c>
      <c r="O88" s="2229">
        <f>'Paso 2.1 - 2.2'!O79</f>
        <v>0</v>
      </c>
      <c r="P88" s="2229">
        <f>'Paso 2.1 - 2.2'!P79</f>
        <v>0</v>
      </c>
      <c r="Q88" s="2229">
        <f>'Paso 2.1 - 2.2'!Q79</f>
        <v>0</v>
      </c>
      <c r="R88" s="2229">
        <f>'Paso 2.1 - 2.2'!R79</f>
        <v>0</v>
      </c>
      <c r="S88" s="2229">
        <f>'Paso 2.1 - 2.2'!S79</f>
        <v>0</v>
      </c>
      <c r="T88" s="1296"/>
    </row>
    <row r="89" spans="2:20" x14ac:dyDescent="0.25">
      <c r="B89" s="2122" t="s">
        <v>3138</v>
      </c>
      <c r="C89" s="2229">
        <f>'Paso 2.1 - 2.2'!C80</f>
        <v>0</v>
      </c>
      <c r="D89" s="2229">
        <f>'Paso 2.1 - 2.2'!D80</f>
        <v>0</v>
      </c>
      <c r="E89" s="2229">
        <f>'Paso 2.1 - 2.2'!E80</f>
        <v>0</v>
      </c>
      <c r="F89" s="2229">
        <f>'Paso 2.1 - 2.2'!F80</f>
        <v>0</v>
      </c>
      <c r="G89" s="2229">
        <f>'Paso 2.1 - 2.2'!G80</f>
        <v>0</v>
      </c>
      <c r="H89" s="2229">
        <f>'Paso 2.1 - 2.2'!H80</f>
        <v>0</v>
      </c>
      <c r="I89" s="2229">
        <f>'Paso 2.1 - 2.2'!I80</f>
        <v>0</v>
      </c>
      <c r="J89" s="2229">
        <f>'Paso 2.1 - 2.2'!J80</f>
        <v>0</v>
      </c>
      <c r="K89" s="2229">
        <f>'Paso 2.1 - 2.2'!K80</f>
        <v>0</v>
      </c>
      <c r="L89" s="2229">
        <f>'Paso 2.1 - 2.2'!L80</f>
        <v>0</v>
      </c>
      <c r="M89" s="2229">
        <f>'Paso 2.1 - 2.2'!M80</f>
        <v>0</v>
      </c>
      <c r="N89" s="2229">
        <f>'Paso 2.1 - 2.2'!N80</f>
        <v>0</v>
      </c>
      <c r="O89" s="2229">
        <f>'Paso 2.1 - 2.2'!O80</f>
        <v>0</v>
      </c>
      <c r="P89" s="2229">
        <f>'Paso 2.1 - 2.2'!P80</f>
        <v>0</v>
      </c>
      <c r="Q89" s="2229">
        <f>'Paso 2.1 - 2.2'!Q80</f>
        <v>0</v>
      </c>
      <c r="R89" s="2229">
        <f>'Paso 2.1 - 2.2'!R80</f>
        <v>0</v>
      </c>
      <c r="S89" s="2229">
        <f>'Paso 2.1 - 2.2'!S80</f>
        <v>0</v>
      </c>
      <c r="T89" s="1296"/>
    </row>
    <row r="90" spans="2:20" x14ac:dyDescent="0.25">
      <c r="B90" s="2122" t="s">
        <v>3139</v>
      </c>
      <c r="C90" s="2229">
        <f>'Paso 2.1 - 2.2'!C81</f>
        <v>0</v>
      </c>
      <c r="D90" s="2229">
        <f>'Paso 2.1 - 2.2'!D81</f>
        <v>0</v>
      </c>
      <c r="E90" s="2229">
        <f>'Paso 2.1 - 2.2'!E81</f>
        <v>0</v>
      </c>
      <c r="F90" s="2229">
        <f>'Paso 2.1 - 2.2'!F81</f>
        <v>0</v>
      </c>
      <c r="G90" s="2229">
        <f>'Paso 2.1 - 2.2'!G81</f>
        <v>0</v>
      </c>
      <c r="H90" s="2229">
        <f>'Paso 2.1 - 2.2'!H81</f>
        <v>0</v>
      </c>
      <c r="I90" s="2229">
        <f>'Paso 2.1 - 2.2'!I81</f>
        <v>0</v>
      </c>
      <c r="J90" s="2229">
        <f>'Paso 2.1 - 2.2'!J81</f>
        <v>0</v>
      </c>
      <c r="K90" s="2229">
        <f>'Paso 2.1 - 2.2'!K81</f>
        <v>0</v>
      </c>
      <c r="L90" s="2229">
        <f>'Paso 2.1 - 2.2'!L81</f>
        <v>0</v>
      </c>
      <c r="M90" s="2229">
        <f>'Paso 2.1 - 2.2'!M81</f>
        <v>0</v>
      </c>
      <c r="N90" s="2229">
        <f>'Paso 2.1 - 2.2'!N81</f>
        <v>0</v>
      </c>
      <c r="O90" s="2229">
        <f>'Paso 2.1 - 2.2'!O81</f>
        <v>0</v>
      </c>
      <c r="P90" s="2229">
        <f>'Paso 2.1 - 2.2'!P81</f>
        <v>0</v>
      </c>
      <c r="Q90" s="2229">
        <f>'Paso 2.1 - 2.2'!Q81</f>
        <v>0</v>
      </c>
      <c r="R90" s="2229">
        <f>'Paso 2.1 - 2.2'!R81</f>
        <v>0</v>
      </c>
      <c r="S90" s="2229">
        <f>'Paso 2.1 - 2.2'!S81</f>
        <v>0</v>
      </c>
      <c r="T90" s="1296"/>
    </row>
    <row r="91" spans="2:20" x14ac:dyDescent="0.25">
      <c r="B91" s="1278" t="s">
        <v>226</v>
      </c>
      <c r="C91" s="1279">
        <f>'Paso 2.1 - 2.2'!C82</f>
        <v>10</v>
      </c>
      <c r="D91" s="1279">
        <f>'Paso 2.1 - 2.2'!D82</f>
        <v>10</v>
      </c>
      <c r="E91" s="1279">
        <f>'Paso 2.1 - 2.2'!E82</f>
        <v>10</v>
      </c>
      <c r="F91" s="1279">
        <f>'Paso 2.1 - 2.2'!F82</f>
        <v>10</v>
      </c>
      <c r="G91" s="1279">
        <f>'Paso 2.1 - 2.2'!G82</f>
        <v>10</v>
      </c>
      <c r="H91" s="1279">
        <f>'Paso 2.1 - 2.2'!H82</f>
        <v>10</v>
      </c>
      <c r="I91" s="1279">
        <f>'Paso 2.1 - 2.2'!I82</f>
        <v>10</v>
      </c>
      <c r="J91" s="1279">
        <f>'Paso 2.1 - 2.2'!J82</f>
        <v>10</v>
      </c>
      <c r="K91" s="1279">
        <f>'Paso 2.1 - 2.2'!K82</f>
        <v>10</v>
      </c>
      <c r="L91" s="1279">
        <f>'Paso 2.1 - 2.2'!L82</f>
        <v>10</v>
      </c>
      <c r="M91" s="1279">
        <f>'Paso 2.1 - 2.2'!M82</f>
        <v>10</v>
      </c>
      <c r="N91" s="1279">
        <f>'Paso 2.1 - 2.2'!N82</f>
        <v>10</v>
      </c>
      <c r="O91" s="1279">
        <f>'Paso 2.1 - 2.2'!O82</f>
        <v>10</v>
      </c>
      <c r="P91" s="1279">
        <f>'Paso 2.1 - 2.2'!P82</f>
        <v>10</v>
      </c>
      <c r="Q91" s="1279">
        <f>'Paso 2.1 - 2.2'!Q82</f>
        <v>10</v>
      </c>
      <c r="R91" s="1279">
        <f>'Paso 2.1 - 2.2'!R82</f>
        <v>10</v>
      </c>
      <c r="S91" s="1279">
        <f>'Paso 2.1 - 2.2'!S82</f>
        <v>10</v>
      </c>
      <c r="T91" s="1296"/>
    </row>
    <row r="92" spans="2:20" x14ac:dyDescent="0.25">
      <c r="B92" s="1278" t="s">
        <v>227</v>
      </c>
      <c r="C92" s="1279">
        <f>'Paso 2.1 - 2.2'!C83</f>
        <v>1</v>
      </c>
      <c r="D92" s="1279">
        <f>'Paso 2.1 - 2.2'!D83</f>
        <v>1</v>
      </c>
      <c r="E92" s="1279">
        <f>'Paso 2.1 - 2.2'!E83</f>
        <v>1</v>
      </c>
      <c r="F92" s="1279">
        <f>'Paso 2.1 - 2.2'!F83</f>
        <v>1</v>
      </c>
      <c r="G92" s="1279">
        <f>'Paso 2.1 - 2.2'!G83</f>
        <v>1</v>
      </c>
      <c r="H92" s="1279">
        <f>'Paso 2.1 - 2.2'!H83</f>
        <v>1</v>
      </c>
      <c r="I92" s="1279">
        <f>'Paso 2.1 - 2.2'!I83</f>
        <v>1</v>
      </c>
      <c r="J92" s="1279">
        <f>'Paso 2.1 - 2.2'!J83</f>
        <v>1</v>
      </c>
      <c r="K92" s="1279">
        <f>'Paso 2.1 - 2.2'!K83</f>
        <v>1</v>
      </c>
      <c r="L92" s="1279">
        <f>'Paso 2.1 - 2.2'!L83</f>
        <v>1</v>
      </c>
      <c r="M92" s="1279">
        <f>'Paso 2.1 - 2.2'!M83</f>
        <v>1</v>
      </c>
      <c r="N92" s="1279">
        <f>'Paso 2.1 - 2.2'!N83</f>
        <v>1</v>
      </c>
      <c r="O92" s="1279">
        <f>'Paso 2.1 - 2.2'!O83</f>
        <v>1</v>
      </c>
      <c r="P92" s="1279">
        <f>'Paso 2.1 - 2.2'!P83</f>
        <v>1</v>
      </c>
      <c r="Q92" s="1279">
        <f>'Paso 2.1 - 2.2'!Q83</f>
        <v>1</v>
      </c>
      <c r="R92" s="1279">
        <f>'Paso 2.1 - 2.2'!R83</f>
        <v>1</v>
      </c>
      <c r="S92" s="1279">
        <f>'Paso 2.1 - 2.2'!S83</f>
        <v>1</v>
      </c>
      <c r="T92" s="1296"/>
    </row>
    <row r="93" spans="2:20" x14ac:dyDescent="0.25">
      <c r="B93" s="2122" t="s">
        <v>228</v>
      </c>
      <c r="C93" s="2229">
        <f>'Paso 2.1 - 2.2'!C84</f>
        <v>0</v>
      </c>
      <c r="D93" s="2229">
        <f>'Paso 2.1 - 2.2'!D84</f>
        <v>0</v>
      </c>
      <c r="E93" s="2229">
        <f>'Paso 2.1 - 2.2'!E84</f>
        <v>0</v>
      </c>
      <c r="F93" s="2229">
        <f>'Paso 2.1 - 2.2'!F84</f>
        <v>0</v>
      </c>
      <c r="G93" s="2229">
        <f>'Paso 2.1 - 2.2'!G84</f>
        <v>0</v>
      </c>
      <c r="H93" s="2229">
        <f>'Paso 2.1 - 2.2'!H84</f>
        <v>0</v>
      </c>
      <c r="I93" s="2229">
        <f>'Paso 2.1 - 2.2'!I84</f>
        <v>0</v>
      </c>
      <c r="J93" s="2229">
        <f>'Paso 2.1 - 2.2'!J84</f>
        <v>0</v>
      </c>
      <c r="K93" s="2229">
        <f>'Paso 2.1 - 2.2'!K84</f>
        <v>0</v>
      </c>
      <c r="L93" s="2229">
        <f>'Paso 2.1 - 2.2'!L84</f>
        <v>0</v>
      </c>
      <c r="M93" s="2229">
        <f>'Paso 2.1 - 2.2'!M84</f>
        <v>0</v>
      </c>
      <c r="N93" s="2229">
        <f>'Paso 2.1 - 2.2'!N84</f>
        <v>0</v>
      </c>
      <c r="O93" s="2229">
        <f>'Paso 2.1 - 2.2'!O84</f>
        <v>0</v>
      </c>
      <c r="P93" s="2229">
        <f>'Paso 2.1 - 2.2'!P84</f>
        <v>0</v>
      </c>
      <c r="Q93" s="2229">
        <f>'Paso 2.1 - 2.2'!Q84</f>
        <v>0</v>
      </c>
      <c r="R93" s="2229">
        <f>'Paso 2.1 - 2.2'!R84</f>
        <v>0</v>
      </c>
      <c r="S93" s="2229">
        <f>'Paso 2.1 - 2.2'!S84</f>
        <v>0</v>
      </c>
      <c r="T93" s="1296"/>
    </row>
    <row r="94" spans="2:20" x14ac:dyDescent="0.25">
      <c r="B94" s="2122" t="s">
        <v>229</v>
      </c>
      <c r="C94" s="2229">
        <f>'Paso 2.1 - 2.2'!C85</f>
        <v>0</v>
      </c>
      <c r="D94" s="2229">
        <f>'Paso 2.1 - 2.2'!D85</f>
        <v>0</v>
      </c>
      <c r="E94" s="2229">
        <f>'Paso 2.1 - 2.2'!E85</f>
        <v>0</v>
      </c>
      <c r="F94" s="2229">
        <f>'Paso 2.1 - 2.2'!F85</f>
        <v>0</v>
      </c>
      <c r="G94" s="2229">
        <f>'Paso 2.1 - 2.2'!G85</f>
        <v>0</v>
      </c>
      <c r="H94" s="2229">
        <f>'Paso 2.1 - 2.2'!H85</f>
        <v>0</v>
      </c>
      <c r="I94" s="2229">
        <f>'Paso 2.1 - 2.2'!I85</f>
        <v>0</v>
      </c>
      <c r="J94" s="2229">
        <f>'Paso 2.1 - 2.2'!J85</f>
        <v>0</v>
      </c>
      <c r="K94" s="2229">
        <f>'Paso 2.1 - 2.2'!K85</f>
        <v>0</v>
      </c>
      <c r="L94" s="2229">
        <f>'Paso 2.1 - 2.2'!L85</f>
        <v>0</v>
      </c>
      <c r="M94" s="2229">
        <f>'Paso 2.1 - 2.2'!M85</f>
        <v>0</v>
      </c>
      <c r="N94" s="2229">
        <f>'Paso 2.1 - 2.2'!N85</f>
        <v>0</v>
      </c>
      <c r="O94" s="2229">
        <f>'Paso 2.1 - 2.2'!O85</f>
        <v>0</v>
      </c>
      <c r="P94" s="2229">
        <f>'Paso 2.1 - 2.2'!P85</f>
        <v>0</v>
      </c>
      <c r="Q94" s="2229">
        <f>'Paso 2.1 - 2.2'!Q85</f>
        <v>0</v>
      </c>
      <c r="R94" s="2229">
        <f>'Paso 2.1 - 2.2'!R85</f>
        <v>0</v>
      </c>
      <c r="S94" s="2229">
        <f>'Paso 2.1 - 2.2'!S85</f>
        <v>0</v>
      </c>
      <c r="T94" s="1296"/>
    </row>
    <row r="95" spans="2:20" x14ac:dyDescent="0.25">
      <c r="B95" s="2122" t="s">
        <v>3140</v>
      </c>
      <c r="C95" s="2229">
        <f>'Paso 2.1 - 2.2'!C86</f>
        <v>0</v>
      </c>
      <c r="D95" s="2229">
        <f>'Paso 2.1 - 2.2'!D86</f>
        <v>0</v>
      </c>
      <c r="E95" s="2229">
        <f>'Paso 2.1 - 2.2'!E86</f>
        <v>0</v>
      </c>
      <c r="F95" s="2229">
        <f>'Paso 2.1 - 2.2'!F86</f>
        <v>0</v>
      </c>
      <c r="G95" s="2229">
        <f>'Paso 2.1 - 2.2'!G86</f>
        <v>0</v>
      </c>
      <c r="H95" s="2229">
        <f>'Paso 2.1 - 2.2'!H86</f>
        <v>0</v>
      </c>
      <c r="I95" s="2229">
        <f>'Paso 2.1 - 2.2'!I86</f>
        <v>0</v>
      </c>
      <c r="J95" s="2229">
        <f>'Paso 2.1 - 2.2'!J86</f>
        <v>0</v>
      </c>
      <c r="K95" s="2229">
        <f>'Paso 2.1 - 2.2'!K86</f>
        <v>0</v>
      </c>
      <c r="L95" s="2229">
        <f>'Paso 2.1 - 2.2'!L86</f>
        <v>0</v>
      </c>
      <c r="M95" s="2229">
        <f>'Paso 2.1 - 2.2'!M86</f>
        <v>0</v>
      </c>
      <c r="N95" s="2229">
        <f>'Paso 2.1 - 2.2'!N86</f>
        <v>0</v>
      </c>
      <c r="O95" s="2229">
        <f>'Paso 2.1 - 2.2'!O86</f>
        <v>0</v>
      </c>
      <c r="P95" s="2229">
        <f>'Paso 2.1 - 2.2'!P86</f>
        <v>0</v>
      </c>
      <c r="Q95" s="2229">
        <f>'Paso 2.1 - 2.2'!Q86</f>
        <v>0</v>
      </c>
      <c r="R95" s="2229">
        <f>'Paso 2.1 - 2.2'!R86</f>
        <v>0</v>
      </c>
      <c r="S95" s="2229">
        <f>'Paso 2.1 - 2.2'!S86</f>
        <v>0</v>
      </c>
      <c r="T95" s="1296"/>
    </row>
    <row r="96" spans="2:20" x14ac:dyDescent="0.25">
      <c r="B96" s="2122" t="s">
        <v>231</v>
      </c>
      <c r="C96" s="2229">
        <f>'Paso 2.1 - 2.2'!C87</f>
        <v>0</v>
      </c>
      <c r="D96" s="2229">
        <f>'Paso 2.1 - 2.2'!D87</f>
        <v>0</v>
      </c>
      <c r="E96" s="2229">
        <f>'Paso 2.1 - 2.2'!E87</f>
        <v>0</v>
      </c>
      <c r="F96" s="2229">
        <f>'Paso 2.1 - 2.2'!F87</f>
        <v>0</v>
      </c>
      <c r="G96" s="2229">
        <f>'Paso 2.1 - 2.2'!G87</f>
        <v>0</v>
      </c>
      <c r="H96" s="2229">
        <f>'Paso 2.1 - 2.2'!H87</f>
        <v>0</v>
      </c>
      <c r="I96" s="2229">
        <f>'Paso 2.1 - 2.2'!I87</f>
        <v>0</v>
      </c>
      <c r="J96" s="2229">
        <f>'Paso 2.1 - 2.2'!J87</f>
        <v>0</v>
      </c>
      <c r="K96" s="2229">
        <f>'Paso 2.1 - 2.2'!K87</f>
        <v>0</v>
      </c>
      <c r="L96" s="2229">
        <f>'Paso 2.1 - 2.2'!L87</f>
        <v>0</v>
      </c>
      <c r="M96" s="2229">
        <f>'Paso 2.1 - 2.2'!M87</f>
        <v>0</v>
      </c>
      <c r="N96" s="2229">
        <f>'Paso 2.1 - 2.2'!N87</f>
        <v>0</v>
      </c>
      <c r="O96" s="2229">
        <f>'Paso 2.1 - 2.2'!O87</f>
        <v>0</v>
      </c>
      <c r="P96" s="2229">
        <f>'Paso 2.1 - 2.2'!P87</f>
        <v>0</v>
      </c>
      <c r="Q96" s="2229">
        <f>'Paso 2.1 - 2.2'!Q87</f>
        <v>0</v>
      </c>
      <c r="R96" s="2229">
        <f>'Paso 2.1 - 2.2'!R87</f>
        <v>0</v>
      </c>
      <c r="S96" s="2229">
        <f>'Paso 2.1 - 2.2'!S87</f>
        <v>0</v>
      </c>
      <c r="T96" s="1296"/>
    </row>
    <row r="97" spans="2:20" x14ac:dyDescent="0.25">
      <c r="B97" s="2163" t="s">
        <v>3142</v>
      </c>
      <c r="C97" s="2164">
        <f>SUM(C69:C96)</f>
        <v>30</v>
      </c>
      <c r="D97" s="2164">
        <f t="shared" ref="D97:S97" si="6">SUM(D69:D96)</f>
        <v>30</v>
      </c>
      <c r="E97" s="2164">
        <f t="shared" si="6"/>
        <v>30</v>
      </c>
      <c r="F97" s="2164">
        <f t="shared" si="6"/>
        <v>30</v>
      </c>
      <c r="G97" s="2164">
        <f t="shared" si="6"/>
        <v>30</v>
      </c>
      <c r="H97" s="2164">
        <f t="shared" si="6"/>
        <v>30</v>
      </c>
      <c r="I97" s="2164">
        <f t="shared" si="6"/>
        <v>30</v>
      </c>
      <c r="J97" s="2164">
        <f t="shared" si="6"/>
        <v>30</v>
      </c>
      <c r="K97" s="2164">
        <f t="shared" si="6"/>
        <v>30</v>
      </c>
      <c r="L97" s="2164">
        <f t="shared" si="6"/>
        <v>30</v>
      </c>
      <c r="M97" s="2164">
        <f t="shared" si="6"/>
        <v>30</v>
      </c>
      <c r="N97" s="2164">
        <f t="shared" si="6"/>
        <v>30</v>
      </c>
      <c r="O97" s="2164">
        <f t="shared" si="6"/>
        <v>30</v>
      </c>
      <c r="P97" s="2164">
        <f t="shared" si="6"/>
        <v>30</v>
      </c>
      <c r="Q97" s="2164">
        <f t="shared" si="6"/>
        <v>30</v>
      </c>
      <c r="R97" s="2164">
        <f t="shared" si="6"/>
        <v>30</v>
      </c>
      <c r="S97" s="2165">
        <f t="shared" si="6"/>
        <v>30</v>
      </c>
      <c r="T97" s="1296"/>
    </row>
    <row r="98" spans="2:20" x14ac:dyDescent="0.25">
      <c r="B98" s="2168" t="s">
        <v>3144</v>
      </c>
      <c r="C98" s="2170"/>
      <c r="D98" s="2170"/>
      <c r="E98" s="2170"/>
      <c r="F98" s="2170"/>
      <c r="G98" s="2170"/>
      <c r="H98" s="2170"/>
      <c r="I98" s="2170"/>
      <c r="J98" s="2170"/>
      <c r="K98" s="2170"/>
      <c r="L98" s="2170"/>
      <c r="M98" s="2170"/>
      <c r="N98" s="2170"/>
      <c r="O98" s="2170"/>
      <c r="P98" s="2170"/>
      <c r="Q98" s="2170"/>
      <c r="R98" s="2170"/>
      <c r="S98" s="2170"/>
      <c r="T98" s="1296"/>
    </row>
    <row r="99" spans="2:20" x14ac:dyDescent="0.25">
      <c r="B99" s="2122" t="s">
        <v>3145</v>
      </c>
      <c r="C99" s="590">
        <f>'Paso 2.1 - 2.2'!C90</f>
        <v>0</v>
      </c>
      <c r="D99" s="590">
        <f>'Paso 2.1 - 2.2'!D90</f>
        <v>0</v>
      </c>
      <c r="E99" s="590">
        <f>'Paso 2.1 - 2.2'!E90</f>
        <v>0</v>
      </c>
      <c r="F99" s="590">
        <f>'Paso 2.1 - 2.2'!F90</f>
        <v>0</v>
      </c>
      <c r="G99" s="590">
        <f>'Paso 2.1 - 2.2'!G90</f>
        <v>0</v>
      </c>
      <c r="H99" s="590">
        <f>'Paso 2.1 - 2.2'!H90</f>
        <v>0</v>
      </c>
      <c r="I99" s="590">
        <f>'Paso 2.1 - 2.2'!I90</f>
        <v>0</v>
      </c>
      <c r="J99" s="590">
        <f>'Paso 2.1 - 2.2'!J90</f>
        <v>0</v>
      </c>
      <c r="K99" s="590">
        <f>'Paso 2.1 - 2.2'!K90</f>
        <v>0</v>
      </c>
      <c r="L99" s="590">
        <f>'Paso 2.1 - 2.2'!L90</f>
        <v>0</v>
      </c>
      <c r="M99" s="590">
        <f>'Paso 2.1 - 2.2'!M90</f>
        <v>0</v>
      </c>
      <c r="N99" s="590">
        <f>'Paso 2.1 - 2.2'!N90</f>
        <v>0</v>
      </c>
      <c r="O99" s="590">
        <f>'Paso 2.1 - 2.2'!O90</f>
        <v>0</v>
      </c>
      <c r="P99" s="590">
        <f>'Paso 2.1 - 2.2'!P90</f>
        <v>0</v>
      </c>
      <c r="Q99" s="590">
        <f>'Paso 2.1 - 2.2'!Q90</f>
        <v>0</v>
      </c>
      <c r="R99" s="590">
        <f>'Paso 2.1 - 2.2'!R90</f>
        <v>0</v>
      </c>
      <c r="S99" s="590">
        <f>'Paso 2.1 - 2.2'!S90</f>
        <v>0</v>
      </c>
      <c r="T99" s="1296"/>
    </row>
    <row r="100" spans="2:20" x14ac:dyDescent="0.25">
      <c r="B100" s="2122" t="s">
        <v>3146</v>
      </c>
      <c r="C100" s="590">
        <f>'Paso 2.1 - 2.2'!C91</f>
        <v>0</v>
      </c>
      <c r="D100" s="590">
        <f>'Paso 2.1 - 2.2'!D91</f>
        <v>0</v>
      </c>
      <c r="E100" s="590">
        <f>'Paso 2.1 - 2.2'!E91</f>
        <v>0</v>
      </c>
      <c r="F100" s="590">
        <f>'Paso 2.1 - 2.2'!F91</f>
        <v>0</v>
      </c>
      <c r="G100" s="590">
        <f>'Paso 2.1 - 2.2'!G91</f>
        <v>0</v>
      </c>
      <c r="H100" s="590">
        <f>'Paso 2.1 - 2.2'!H91</f>
        <v>0</v>
      </c>
      <c r="I100" s="590">
        <f>'Paso 2.1 - 2.2'!I91</f>
        <v>0</v>
      </c>
      <c r="J100" s="590">
        <f>'Paso 2.1 - 2.2'!J91</f>
        <v>0</v>
      </c>
      <c r="K100" s="590">
        <f>'Paso 2.1 - 2.2'!K91</f>
        <v>0</v>
      </c>
      <c r="L100" s="590">
        <f>'Paso 2.1 - 2.2'!L91</f>
        <v>0</v>
      </c>
      <c r="M100" s="590">
        <f>'Paso 2.1 - 2.2'!M91</f>
        <v>0</v>
      </c>
      <c r="N100" s="590">
        <f>'Paso 2.1 - 2.2'!N91</f>
        <v>0</v>
      </c>
      <c r="O100" s="590">
        <f>'Paso 2.1 - 2.2'!O91</f>
        <v>0</v>
      </c>
      <c r="P100" s="590">
        <f>'Paso 2.1 - 2.2'!P91</f>
        <v>0</v>
      </c>
      <c r="Q100" s="590">
        <f>'Paso 2.1 - 2.2'!Q91</f>
        <v>0</v>
      </c>
      <c r="R100" s="590">
        <f>'Paso 2.1 - 2.2'!R91</f>
        <v>0</v>
      </c>
      <c r="S100" s="590">
        <f>'Paso 2.1 - 2.2'!S91</f>
        <v>0</v>
      </c>
      <c r="T100" s="1296"/>
    </row>
    <row r="101" spans="2:20" x14ac:dyDescent="0.25">
      <c r="B101" s="2122" t="s">
        <v>3147</v>
      </c>
      <c r="C101" s="590">
        <f>'Paso 2.1 - 2.2'!C92</f>
        <v>0</v>
      </c>
      <c r="D101" s="590">
        <f>'Paso 2.1 - 2.2'!D92</f>
        <v>0</v>
      </c>
      <c r="E101" s="590">
        <f>'Paso 2.1 - 2.2'!E92</f>
        <v>0</v>
      </c>
      <c r="F101" s="590">
        <f>'Paso 2.1 - 2.2'!F92</f>
        <v>0</v>
      </c>
      <c r="G101" s="590">
        <f>'Paso 2.1 - 2.2'!G92</f>
        <v>0</v>
      </c>
      <c r="H101" s="590">
        <f>'Paso 2.1 - 2.2'!H92</f>
        <v>0</v>
      </c>
      <c r="I101" s="590">
        <f>'Paso 2.1 - 2.2'!I92</f>
        <v>0</v>
      </c>
      <c r="J101" s="590">
        <f>'Paso 2.1 - 2.2'!J92</f>
        <v>0</v>
      </c>
      <c r="K101" s="590">
        <f>'Paso 2.1 - 2.2'!K92</f>
        <v>0</v>
      </c>
      <c r="L101" s="590">
        <f>'Paso 2.1 - 2.2'!L92</f>
        <v>0</v>
      </c>
      <c r="M101" s="590">
        <f>'Paso 2.1 - 2.2'!M92</f>
        <v>0</v>
      </c>
      <c r="N101" s="590">
        <f>'Paso 2.1 - 2.2'!N92</f>
        <v>0</v>
      </c>
      <c r="O101" s="590">
        <f>'Paso 2.1 - 2.2'!O92</f>
        <v>0</v>
      </c>
      <c r="P101" s="590">
        <f>'Paso 2.1 - 2.2'!P92</f>
        <v>0</v>
      </c>
      <c r="Q101" s="590">
        <f>'Paso 2.1 - 2.2'!Q92</f>
        <v>0</v>
      </c>
      <c r="R101" s="590">
        <f>'Paso 2.1 - 2.2'!R92</f>
        <v>0</v>
      </c>
      <c r="S101" s="590">
        <f>'Paso 2.1 - 2.2'!S92</f>
        <v>0</v>
      </c>
      <c r="T101" s="1296"/>
    </row>
    <row r="102" spans="2:20" x14ac:dyDescent="0.25">
      <c r="B102" s="2122" t="s">
        <v>3148</v>
      </c>
      <c r="C102" s="590">
        <f>'Paso 2.1 - 2.2'!C93</f>
        <v>0</v>
      </c>
      <c r="D102" s="590">
        <f>'Paso 2.1 - 2.2'!D93</f>
        <v>0</v>
      </c>
      <c r="E102" s="590">
        <f>'Paso 2.1 - 2.2'!E93</f>
        <v>0</v>
      </c>
      <c r="F102" s="590">
        <f>'Paso 2.1 - 2.2'!F93</f>
        <v>0</v>
      </c>
      <c r="G102" s="590">
        <f>'Paso 2.1 - 2.2'!G93</f>
        <v>0</v>
      </c>
      <c r="H102" s="590">
        <f>'Paso 2.1 - 2.2'!H93</f>
        <v>0</v>
      </c>
      <c r="I102" s="590">
        <f>'Paso 2.1 - 2.2'!I93</f>
        <v>0</v>
      </c>
      <c r="J102" s="590">
        <f>'Paso 2.1 - 2.2'!J93</f>
        <v>0</v>
      </c>
      <c r="K102" s="590">
        <f>'Paso 2.1 - 2.2'!K93</f>
        <v>0</v>
      </c>
      <c r="L102" s="590">
        <f>'Paso 2.1 - 2.2'!L93</f>
        <v>0</v>
      </c>
      <c r="M102" s="590">
        <f>'Paso 2.1 - 2.2'!M93</f>
        <v>0</v>
      </c>
      <c r="N102" s="590">
        <f>'Paso 2.1 - 2.2'!N93</f>
        <v>0</v>
      </c>
      <c r="O102" s="590">
        <f>'Paso 2.1 - 2.2'!O93</f>
        <v>0</v>
      </c>
      <c r="P102" s="590">
        <f>'Paso 2.1 - 2.2'!P93</f>
        <v>0</v>
      </c>
      <c r="Q102" s="590">
        <f>'Paso 2.1 - 2.2'!Q93</f>
        <v>0</v>
      </c>
      <c r="R102" s="590">
        <f>'Paso 2.1 - 2.2'!R93</f>
        <v>0</v>
      </c>
      <c r="S102" s="590">
        <f>'Paso 2.1 - 2.2'!S93</f>
        <v>0</v>
      </c>
      <c r="T102" s="1296"/>
    </row>
    <row r="103" spans="2:20" x14ac:dyDescent="0.25">
      <c r="B103" s="2122" t="s">
        <v>3149</v>
      </c>
      <c r="C103" s="590">
        <f>'Paso 2.1 - 2.2'!C94</f>
        <v>0</v>
      </c>
      <c r="D103" s="590">
        <f>'Paso 2.1 - 2.2'!D94</f>
        <v>0</v>
      </c>
      <c r="E103" s="590">
        <f>'Paso 2.1 - 2.2'!E94</f>
        <v>0</v>
      </c>
      <c r="F103" s="590">
        <f>'Paso 2.1 - 2.2'!F94</f>
        <v>0</v>
      </c>
      <c r="G103" s="590">
        <f>'Paso 2.1 - 2.2'!G94</f>
        <v>0</v>
      </c>
      <c r="H103" s="590">
        <f>'Paso 2.1 - 2.2'!H94</f>
        <v>0</v>
      </c>
      <c r="I103" s="590">
        <f>'Paso 2.1 - 2.2'!I94</f>
        <v>0</v>
      </c>
      <c r="J103" s="590">
        <f>'Paso 2.1 - 2.2'!J94</f>
        <v>0</v>
      </c>
      <c r="K103" s="590">
        <f>'Paso 2.1 - 2.2'!K94</f>
        <v>0</v>
      </c>
      <c r="L103" s="590">
        <f>'Paso 2.1 - 2.2'!L94</f>
        <v>0</v>
      </c>
      <c r="M103" s="590">
        <f>'Paso 2.1 - 2.2'!M94</f>
        <v>0</v>
      </c>
      <c r="N103" s="590">
        <f>'Paso 2.1 - 2.2'!N94</f>
        <v>0</v>
      </c>
      <c r="O103" s="590">
        <f>'Paso 2.1 - 2.2'!O94</f>
        <v>0</v>
      </c>
      <c r="P103" s="590">
        <f>'Paso 2.1 - 2.2'!P94</f>
        <v>0</v>
      </c>
      <c r="Q103" s="590">
        <f>'Paso 2.1 - 2.2'!Q94</f>
        <v>0</v>
      </c>
      <c r="R103" s="590">
        <f>'Paso 2.1 - 2.2'!R94</f>
        <v>0</v>
      </c>
      <c r="S103" s="590">
        <f>'Paso 2.1 - 2.2'!S94</f>
        <v>0</v>
      </c>
      <c r="T103" s="1296"/>
    </row>
    <row r="104" spans="2:20" x14ac:dyDescent="0.25">
      <c r="B104" s="2168" t="s">
        <v>3150</v>
      </c>
      <c r="C104" s="2170"/>
      <c r="D104" s="2170"/>
      <c r="E104" s="2170"/>
      <c r="F104" s="2170"/>
      <c r="G104" s="2170"/>
      <c r="H104" s="2170"/>
      <c r="I104" s="2170"/>
      <c r="J104" s="2170"/>
      <c r="K104" s="2170"/>
      <c r="L104" s="2170"/>
      <c r="M104" s="2170"/>
      <c r="N104" s="2170"/>
      <c r="O104" s="2170"/>
      <c r="P104" s="2170"/>
      <c r="Q104" s="2170"/>
      <c r="R104" s="2170"/>
      <c r="S104" s="2170"/>
      <c r="T104" s="1296"/>
    </row>
    <row r="105" spans="2:20" x14ac:dyDescent="0.25">
      <c r="B105" s="2122" t="s">
        <v>3350</v>
      </c>
      <c r="C105" s="590">
        <f>'Paso 2.1 - 2.2'!C96</f>
        <v>0</v>
      </c>
      <c r="D105" s="590">
        <f>'Paso 2.1 - 2.2'!D96</f>
        <v>0</v>
      </c>
      <c r="E105" s="590">
        <f>'Paso 2.1 - 2.2'!E96</f>
        <v>0</v>
      </c>
      <c r="F105" s="590">
        <f>'Paso 2.1 - 2.2'!F96</f>
        <v>0</v>
      </c>
      <c r="G105" s="590">
        <f>'Paso 2.1 - 2.2'!G96</f>
        <v>0</v>
      </c>
      <c r="H105" s="590">
        <f>'Paso 2.1 - 2.2'!H96</f>
        <v>0</v>
      </c>
      <c r="I105" s="590">
        <f>'Paso 2.1 - 2.2'!I96</f>
        <v>0</v>
      </c>
      <c r="J105" s="590">
        <f>'Paso 2.1 - 2.2'!J96</f>
        <v>0</v>
      </c>
      <c r="K105" s="590">
        <f>'Paso 2.1 - 2.2'!K96</f>
        <v>0</v>
      </c>
      <c r="L105" s="590">
        <f>'Paso 2.1 - 2.2'!L96</f>
        <v>0</v>
      </c>
      <c r="M105" s="590">
        <f>'Paso 2.1 - 2.2'!M96</f>
        <v>0</v>
      </c>
      <c r="N105" s="590">
        <f>'Paso 2.1 - 2.2'!N96</f>
        <v>0</v>
      </c>
      <c r="O105" s="590">
        <f>'Paso 2.1 - 2.2'!O96</f>
        <v>0</v>
      </c>
      <c r="P105" s="590">
        <f>'Paso 2.1 - 2.2'!P96</f>
        <v>0</v>
      </c>
      <c r="Q105" s="590">
        <f>'Paso 2.1 - 2.2'!Q96</f>
        <v>0</v>
      </c>
      <c r="R105" s="590">
        <f>'Paso 2.1 - 2.2'!R96</f>
        <v>0</v>
      </c>
      <c r="S105" s="590">
        <f>'Paso 2.1 - 2.2'!S96</f>
        <v>0</v>
      </c>
      <c r="T105" s="1296"/>
    </row>
    <row r="106" spans="2:20" x14ac:dyDescent="0.25">
      <c r="B106" s="2122" t="s">
        <v>1828</v>
      </c>
      <c r="C106" s="590">
        <f>'Paso 2.1 - 2.2'!C97</f>
        <v>0</v>
      </c>
      <c r="D106" s="590">
        <f>'Paso 2.1 - 2.2'!D97</f>
        <v>0</v>
      </c>
      <c r="E106" s="590">
        <f>'Paso 2.1 - 2.2'!E97</f>
        <v>0</v>
      </c>
      <c r="F106" s="590">
        <f>'Paso 2.1 - 2.2'!F97</f>
        <v>0</v>
      </c>
      <c r="G106" s="590">
        <f>'Paso 2.1 - 2.2'!G97</f>
        <v>0</v>
      </c>
      <c r="H106" s="590">
        <f>'Paso 2.1 - 2.2'!H97</f>
        <v>0</v>
      </c>
      <c r="I106" s="590">
        <f>'Paso 2.1 - 2.2'!I97</f>
        <v>0</v>
      </c>
      <c r="J106" s="590">
        <f>'Paso 2.1 - 2.2'!J97</f>
        <v>0</v>
      </c>
      <c r="K106" s="590">
        <f>'Paso 2.1 - 2.2'!K97</f>
        <v>0</v>
      </c>
      <c r="L106" s="590">
        <f>'Paso 2.1 - 2.2'!L97</f>
        <v>0</v>
      </c>
      <c r="M106" s="590">
        <f>'Paso 2.1 - 2.2'!M97</f>
        <v>0</v>
      </c>
      <c r="N106" s="590">
        <f>'Paso 2.1 - 2.2'!N97</f>
        <v>0</v>
      </c>
      <c r="O106" s="590">
        <f>'Paso 2.1 - 2.2'!O97</f>
        <v>0</v>
      </c>
      <c r="P106" s="590">
        <f>'Paso 2.1 - 2.2'!P97</f>
        <v>0</v>
      </c>
      <c r="Q106" s="590">
        <f>'Paso 2.1 - 2.2'!Q97</f>
        <v>0</v>
      </c>
      <c r="R106" s="590">
        <f>'Paso 2.1 - 2.2'!R97</f>
        <v>0</v>
      </c>
      <c r="S106" s="590">
        <f>'Paso 2.1 - 2.2'!S97</f>
        <v>0</v>
      </c>
      <c r="T106" s="1296"/>
    </row>
    <row r="107" spans="2:20" x14ac:dyDescent="0.25">
      <c r="B107" s="2122" t="s">
        <v>3351</v>
      </c>
      <c r="C107" s="590">
        <f>'Paso 2.1 - 2.2'!C98</f>
        <v>0</v>
      </c>
      <c r="D107" s="590">
        <f>'Paso 2.1 - 2.2'!D98</f>
        <v>0</v>
      </c>
      <c r="E107" s="590">
        <f>'Paso 2.1 - 2.2'!E98</f>
        <v>0</v>
      </c>
      <c r="F107" s="590">
        <f>'Paso 2.1 - 2.2'!F98</f>
        <v>0</v>
      </c>
      <c r="G107" s="590">
        <f>'Paso 2.1 - 2.2'!G98</f>
        <v>0</v>
      </c>
      <c r="H107" s="590">
        <f>'Paso 2.1 - 2.2'!H98</f>
        <v>0</v>
      </c>
      <c r="I107" s="590">
        <f>'Paso 2.1 - 2.2'!I98</f>
        <v>0</v>
      </c>
      <c r="J107" s="590">
        <f>'Paso 2.1 - 2.2'!J98</f>
        <v>0</v>
      </c>
      <c r="K107" s="590">
        <f>'Paso 2.1 - 2.2'!K98</f>
        <v>0</v>
      </c>
      <c r="L107" s="590">
        <f>'Paso 2.1 - 2.2'!L98</f>
        <v>0</v>
      </c>
      <c r="M107" s="590">
        <f>'Paso 2.1 - 2.2'!M98</f>
        <v>0</v>
      </c>
      <c r="N107" s="590">
        <f>'Paso 2.1 - 2.2'!N98</f>
        <v>0</v>
      </c>
      <c r="O107" s="590">
        <f>'Paso 2.1 - 2.2'!O98</f>
        <v>0</v>
      </c>
      <c r="P107" s="590">
        <f>'Paso 2.1 - 2.2'!P98</f>
        <v>0</v>
      </c>
      <c r="Q107" s="590">
        <f>'Paso 2.1 - 2.2'!Q98</f>
        <v>0</v>
      </c>
      <c r="R107" s="590">
        <f>'Paso 2.1 - 2.2'!R98</f>
        <v>0</v>
      </c>
      <c r="S107" s="590">
        <f>'Paso 2.1 - 2.2'!S98</f>
        <v>0</v>
      </c>
      <c r="T107" s="1296"/>
    </row>
    <row r="108" spans="2:20" x14ac:dyDescent="0.25">
      <c r="B108" s="1278" t="s">
        <v>3352</v>
      </c>
      <c r="C108" s="589">
        <f>'Paso 2.1 - 2.2'!C99</f>
        <v>1</v>
      </c>
      <c r="D108" s="589">
        <f>'Paso 2.1 - 2.2'!D99</f>
        <v>1</v>
      </c>
      <c r="E108" s="589">
        <f>'Paso 2.1 - 2.2'!E99</f>
        <v>1</v>
      </c>
      <c r="F108" s="589">
        <f>'Paso 2.1 - 2.2'!F99</f>
        <v>1</v>
      </c>
      <c r="G108" s="589">
        <f>'Paso 2.1 - 2.2'!G99</f>
        <v>1</v>
      </c>
      <c r="H108" s="589">
        <f>'Paso 2.1 - 2.2'!H99</f>
        <v>1</v>
      </c>
      <c r="I108" s="589">
        <f>'Paso 2.1 - 2.2'!I99</f>
        <v>1</v>
      </c>
      <c r="J108" s="589">
        <f>'Paso 2.1 - 2.2'!J99</f>
        <v>1</v>
      </c>
      <c r="K108" s="589">
        <f>'Paso 2.1 - 2.2'!K99</f>
        <v>1</v>
      </c>
      <c r="L108" s="589">
        <f>'Paso 2.1 - 2.2'!L99</f>
        <v>1</v>
      </c>
      <c r="M108" s="589">
        <f>'Paso 2.1 - 2.2'!M99</f>
        <v>1</v>
      </c>
      <c r="N108" s="589">
        <f>'Paso 2.1 - 2.2'!N99</f>
        <v>1</v>
      </c>
      <c r="O108" s="589">
        <f>'Paso 2.1 - 2.2'!O99</f>
        <v>1</v>
      </c>
      <c r="P108" s="589">
        <f>'Paso 2.1 - 2.2'!P99</f>
        <v>1</v>
      </c>
      <c r="Q108" s="589">
        <f>'Paso 2.1 - 2.2'!Q99</f>
        <v>1</v>
      </c>
      <c r="R108" s="589">
        <f>'Paso 2.1 - 2.2'!R99</f>
        <v>1</v>
      </c>
      <c r="S108" s="589">
        <f>'Paso 2.1 - 2.2'!S99</f>
        <v>1</v>
      </c>
      <c r="T108" s="1296"/>
    </row>
    <row r="109" spans="2:20" x14ac:dyDescent="0.25">
      <c r="B109" s="2122" t="s">
        <v>3353</v>
      </c>
      <c r="C109" s="590">
        <f>'Paso 2.1 - 2.2'!C100</f>
        <v>0</v>
      </c>
      <c r="D109" s="590">
        <f>'Paso 2.1 - 2.2'!D100</f>
        <v>0</v>
      </c>
      <c r="E109" s="590">
        <f>'Paso 2.1 - 2.2'!E100</f>
        <v>0</v>
      </c>
      <c r="F109" s="590">
        <f>'Paso 2.1 - 2.2'!F100</f>
        <v>0</v>
      </c>
      <c r="G109" s="590">
        <f>'Paso 2.1 - 2.2'!G100</f>
        <v>0</v>
      </c>
      <c r="H109" s="590">
        <f>'Paso 2.1 - 2.2'!H100</f>
        <v>0</v>
      </c>
      <c r="I109" s="590">
        <f>'Paso 2.1 - 2.2'!I100</f>
        <v>0</v>
      </c>
      <c r="J109" s="590">
        <f>'Paso 2.1 - 2.2'!J100</f>
        <v>0</v>
      </c>
      <c r="K109" s="590">
        <f>'Paso 2.1 - 2.2'!K100</f>
        <v>0</v>
      </c>
      <c r="L109" s="590">
        <f>'Paso 2.1 - 2.2'!L100</f>
        <v>0</v>
      </c>
      <c r="M109" s="590">
        <f>'Paso 2.1 - 2.2'!M100</f>
        <v>0</v>
      </c>
      <c r="N109" s="590">
        <f>'Paso 2.1 - 2.2'!N100</f>
        <v>0</v>
      </c>
      <c r="O109" s="590">
        <f>'Paso 2.1 - 2.2'!O100</f>
        <v>0</v>
      </c>
      <c r="P109" s="590">
        <f>'Paso 2.1 - 2.2'!P100</f>
        <v>0</v>
      </c>
      <c r="Q109" s="590">
        <f>'Paso 2.1 - 2.2'!Q100</f>
        <v>0</v>
      </c>
      <c r="R109" s="590">
        <f>'Paso 2.1 - 2.2'!R100</f>
        <v>0</v>
      </c>
      <c r="S109" s="590">
        <f>'Paso 2.1 - 2.2'!S100</f>
        <v>0</v>
      </c>
      <c r="T109" s="1296"/>
    </row>
    <row r="110" spans="2:20" x14ac:dyDescent="0.25">
      <c r="B110" s="2122" t="s">
        <v>3151</v>
      </c>
      <c r="C110" s="590">
        <f>'Paso 2.1 - 2.2'!C101</f>
        <v>0</v>
      </c>
      <c r="D110" s="590">
        <f>'Paso 2.1 - 2.2'!D101</f>
        <v>0</v>
      </c>
      <c r="E110" s="590">
        <f>'Paso 2.1 - 2.2'!E101</f>
        <v>0</v>
      </c>
      <c r="F110" s="590">
        <f>'Paso 2.1 - 2.2'!F101</f>
        <v>0</v>
      </c>
      <c r="G110" s="590">
        <f>'Paso 2.1 - 2.2'!G101</f>
        <v>0</v>
      </c>
      <c r="H110" s="590">
        <f>'Paso 2.1 - 2.2'!H101</f>
        <v>0</v>
      </c>
      <c r="I110" s="590">
        <f>'Paso 2.1 - 2.2'!I101</f>
        <v>0</v>
      </c>
      <c r="J110" s="590">
        <f>'Paso 2.1 - 2.2'!J101</f>
        <v>0</v>
      </c>
      <c r="K110" s="590">
        <f>'Paso 2.1 - 2.2'!K101</f>
        <v>0</v>
      </c>
      <c r="L110" s="590">
        <f>'Paso 2.1 - 2.2'!L101</f>
        <v>0</v>
      </c>
      <c r="M110" s="590">
        <f>'Paso 2.1 - 2.2'!M101</f>
        <v>0</v>
      </c>
      <c r="N110" s="590">
        <f>'Paso 2.1 - 2.2'!N101</f>
        <v>0</v>
      </c>
      <c r="O110" s="590">
        <f>'Paso 2.1 - 2.2'!O101</f>
        <v>0</v>
      </c>
      <c r="P110" s="590">
        <f>'Paso 2.1 - 2.2'!P101</f>
        <v>0</v>
      </c>
      <c r="Q110" s="590">
        <f>'Paso 2.1 - 2.2'!Q101</f>
        <v>0</v>
      </c>
      <c r="R110" s="590">
        <f>'Paso 2.1 - 2.2'!R101</f>
        <v>0</v>
      </c>
      <c r="S110" s="590">
        <f>'Paso 2.1 - 2.2'!S101</f>
        <v>0</v>
      </c>
      <c r="T110" s="1296"/>
    </row>
    <row r="111" spans="2:20" x14ac:dyDescent="0.25">
      <c r="B111" s="2122" t="s">
        <v>231</v>
      </c>
      <c r="C111" s="590">
        <f>'Paso 2.1 - 2.2'!C102</f>
        <v>0</v>
      </c>
      <c r="D111" s="590">
        <f>'Paso 2.1 - 2.2'!D102</f>
        <v>0</v>
      </c>
      <c r="E111" s="590">
        <f>'Paso 2.1 - 2.2'!E102</f>
        <v>0</v>
      </c>
      <c r="F111" s="590">
        <f>'Paso 2.1 - 2.2'!F102</f>
        <v>0</v>
      </c>
      <c r="G111" s="590">
        <f>'Paso 2.1 - 2.2'!G102</f>
        <v>0</v>
      </c>
      <c r="H111" s="590">
        <f>'Paso 2.1 - 2.2'!H102</f>
        <v>0</v>
      </c>
      <c r="I111" s="590">
        <f>'Paso 2.1 - 2.2'!I102</f>
        <v>0</v>
      </c>
      <c r="J111" s="590">
        <f>'Paso 2.1 - 2.2'!J102</f>
        <v>0</v>
      </c>
      <c r="K111" s="590">
        <f>'Paso 2.1 - 2.2'!K102</f>
        <v>0</v>
      </c>
      <c r="L111" s="590">
        <f>'Paso 2.1 - 2.2'!L102</f>
        <v>0</v>
      </c>
      <c r="M111" s="590">
        <f>'Paso 2.1 - 2.2'!M102</f>
        <v>0</v>
      </c>
      <c r="N111" s="590">
        <f>'Paso 2.1 - 2.2'!N102</f>
        <v>0</v>
      </c>
      <c r="O111" s="590">
        <f>'Paso 2.1 - 2.2'!O102</f>
        <v>0</v>
      </c>
      <c r="P111" s="590">
        <f>'Paso 2.1 - 2.2'!P102</f>
        <v>0</v>
      </c>
      <c r="Q111" s="590">
        <f>'Paso 2.1 - 2.2'!Q102</f>
        <v>0</v>
      </c>
      <c r="R111" s="590">
        <f>'Paso 2.1 - 2.2'!R102</f>
        <v>0</v>
      </c>
      <c r="S111" s="590">
        <f>'Paso 2.1 - 2.2'!S102</f>
        <v>0</v>
      </c>
      <c r="T111" s="1296"/>
    </row>
    <row r="112" spans="2:20" x14ac:dyDescent="0.25">
      <c r="B112" s="2168" t="s">
        <v>3152</v>
      </c>
      <c r="C112" s="2170"/>
      <c r="D112" s="2170"/>
      <c r="E112" s="2170"/>
      <c r="F112" s="2170"/>
      <c r="G112" s="2170"/>
      <c r="H112" s="2170"/>
      <c r="I112" s="2170"/>
      <c r="J112" s="2170"/>
      <c r="K112" s="2170"/>
      <c r="L112" s="2170"/>
      <c r="M112" s="2170"/>
      <c r="N112" s="2170"/>
      <c r="O112" s="2170"/>
      <c r="P112" s="2170"/>
      <c r="Q112" s="2170"/>
      <c r="R112" s="2170"/>
      <c r="S112" s="2170"/>
      <c r="T112" s="1296"/>
    </row>
    <row r="113" spans="2:20" x14ac:dyDescent="0.25">
      <c r="B113" s="2122" t="s">
        <v>3153</v>
      </c>
      <c r="C113" s="590">
        <f>'Paso 2.1 - 2.2'!C104</f>
        <v>0</v>
      </c>
      <c r="D113" s="590">
        <f>'Paso 2.1 - 2.2'!D104</f>
        <v>0</v>
      </c>
      <c r="E113" s="590">
        <f>'Paso 2.1 - 2.2'!E104</f>
        <v>0</v>
      </c>
      <c r="F113" s="590">
        <f>'Paso 2.1 - 2.2'!F104</f>
        <v>0</v>
      </c>
      <c r="G113" s="590">
        <f>'Paso 2.1 - 2.2'!G104</f>
        <v>0</v>
      </c>
      <c r="H113" s="590">
        <f>'Paso 2.1 - 2.2'!H104</f>
        <v>0</v>
      </c>
      <c r="I113" s="590">
        <f>'Paso 2.1 - 2.2'!I104</f>
        <v>0</v>
      </c>
      <c r="J113" s="590">
        <f>'Paso 2.1 - 2.2'!J104</f>
        <v>0</v>
      </c>
      <c r="K113" s="590">
        <f>'Paso 2.1 - 2.2'!K104</f>
        <v>0</v>
      </c>
      <c r="L113" s="590">
        <f>'Paso 2.1 - 2.2'!L104</f>
        <v>0</v>
      </c>
      <c r="M113" s="590">
        <f>'Paso 2.1 - 2.2'!M104</f>
        <v>0</v>
      </c>
      <c r="N113" s="590">
        <f>'Paso 2.1 - 2.2'!N104</f>
        <v>0</v>
      </c>
      <c r="O113" s="590">
        <f>'Paso 2.1 - 2.2'!O104</f>
        <v>0</v>
      </c>
      <c r="P113" s="590">
        <f>'Paso 2.1 - 2.2'!P104</f>
        <v>0</v>
      </c>
      <c r="Q113" s="590">
        <f>'Paso 2.1 - 2.2'!Q104</f>
        <v>0</v>
      </c>
      <c r="R113" s="590">
        <f>'Paso 2.1 - 2.2'!R104</f>
        <v>0</v>
      </c>
      <c r="S113" s="590">
        <f>'Paso 2.1 - 2.2'!S104</f>
        <v>0</v>
      </c>
      <c r="T113" s="1296"/>
    </row>
    <row r="114" spans="2:20" x14ac:dyDescent="0.25">
      <c r="B114" s="2168" t="s">
        <v>3154</v>
      </c>
      <c r="C114" s="2170"/>
      <c r="D114" s="2170"/>
      <c r="E114" s="2170"/>
      <c r="F114" s="2170"/>
      <c r="G114" s="2170"/>
      <c r="H114" s="2170"/>
      <c r="I114" s="2170"/>
      <c r="J114" s="2170"/>
      <c r="K114" s="2170"/>
      <c r="L114" s="2170"/>
      <c r="M114" s="2170"/>
      <c r="N114" s="2170"/>
      <c r="O114" s="2170"/>
      <c r="P114" s="2170"/>
      <c r="Q114" s="2170"/>
      <c r="R114" s="2170"/>
      <c r="S114" s="2170"/>
      <c r="T114" s="1296"/>
    </row>
    <row r="115" spans="2:20" x14ac:dyDescent="0.25">
      <c r="B115" s="1278" t="s">
        <v>3155</v>
      </c>
      <c r="C115" s="589">
        <f>'Paso 2.1 - 2.2'!C106</f>
        <v>1</v>
      </c>
      <c r="D115" s="589">
        <f>'Paso 2.1 - 2.2'!D106</f>
        <v>1</v>
      </c>
      <c r="E115" s="589">
        <f>'Paso 2.1 - 2.2'!E106</f>
        <v>1</v>
      </c>
      <c r="F115" s="589">
        <f>'Paso 2.1 - 2.2'!F106</f>
        <v>1</v>
      </c>
      <c r="G115" s="589">
        <f>'Paso 2.1 - 2.2'!G106</f>
        <v>1</v>
      </c>
      <c r="H115" s="589">
        <f>'Paso 2.1 - 2.2'!H106</f>
        <v>1</v>
      </c>
      <c r="I115" s="589">
        <f>'Paso 2.1 - 2.2'!I106</f>
        <v>1</v>
      </c>
      <c r="J115" s="589">
        <f>'Paso 2.1 - 2.2'!J106</f>
        <v>1</v>
      </c>
      <c r="K115" s="589">
        <f>'Paso 2.1 - 2.2'!K106</f>
        <v>1</v>
      </c>
      <c r="L115" s="589">
        <f>'Paso 2.1 - 2.2'!L106</f>
        <v>1</v>
      </c>
      <c r="M115" s="589">
        <f>'Paso 2.1 - 2.2'!M106</f>
        <v>1</v>
      </c>
      <c r="N115" s="589">
        <f>'Paso 2.1 - 2.2'!N106</f>
        <v>1</v>
      </c>
      <c r="O115" s="589">
        <f>'Paso 2.1 - 2.2'!O106</f>
        <v>1</v>
      </c>
      <c r="P115" s="589">
        <f>'Paso 2.1 - 2.2'!P106</f>
        <v>1</v>
      </c>
      <c r="Q115" s="589">
        <f>'Paso 2.1 - 2.2'!Q106</f>
        <v>1</v>
      </c>
      <c r="R115" s="589">
        <f>'Paso 2.1 - 2.2'!R106</f>
        <v>1</v>
      </c>
      <c r="S115" s="589">
        <f>'Paso 2.1 - 2.2'!S106</f>
        <v>1</v>
      </c>
      <c r="T115" s="1296"/>
    </row>
    <row r="116" spans="2:20" x14ac:dyDescent="0.25">
      <c r="B116" s="2168" t="s">
        <v>3156</v>
      </c>
      <c r="C116" s="2170"/>
      <c r="D116" s="2170"/>
      <c r="E116" s="2170"/>
      <c r="F116" s="2170"/>
      <c r="G116" s="2170"/>
      <c r="H116" s="2170"/>
      <c r="I116" s="2170"/>
      <c r="J116" s="2170"/>
      <c r="K116" s="2170"/>
      <c r="L116" s="2170"/>
      <c r="M116" s="2170"/>
      <c r="N116" s="2170"/>
      <c r="O116" s="2170"/>
      <c r="P116" s="2170"/>
      <c r="Q116" s="2170"/>
      <c r="R116" s="2170"/>
      <c r="S116" s="2170"/>
      <c r="T116" s="1296"/>
    </row>
    <row r="117" spans="2:20" x14ac:dyDescent="0.25">
      <c r="B117" s="1278" t="s">
        <v>3157</v>
      </c>
      <c r="C117" s="589">
        <f>'Paso 2.1 - 2.2'!C108</f>
        <v>2</v>
      </c>
      <c r="D117" s="589">
        <f>'Paso 2.1 - 2.2'!D108</f>
        <v>2</v>
      </c>
      <c r="E117" s="589">
        <f>'Paso 2.1 - 2.2'!E108</f>
        <v>2</v>
      </c>
      <c r="F117" s="589">
        <f>'Paso 2.1 - 2.2'!F108</f>
        <v>2</v>
      </c>
      <c r="G117" s="589">
        <f>'Paso 2.1 - 2.2'!G108</f>
        <v>2</v>
      </c>
      <c r="H117" s="589">
        <f>'Paso 2.1 - 2.2'!H108</f>
        <v>2</v>
      </c>
      <c r="I117" s="589">
        <f>'Paso 2.1 - 2.2'!I108</f>
        <v>2</v>
      </c>
      <c r="J117" s="589">
        <f>'Paso 2.1 - 2.2'!J108</f>
        <v>2</v>
      </c>
      <c r="K117" s="589">
        <f>'Paso 2.1 - 2.2'!K108</f>
        <v>2</v>
      </c>
      <c r="L117" s="589">
        <f>'Paso 2.1 - 2.2'!L108</f>
        <v>2</v>
      </c>
      <c r="M117" s="589">
        <f>'Paso 2.1 - 2.2'!M108</f>
        <v>2</v>
      </c>
      <c r="N117" s="589">
        <f>'Paso 2.1 - 2.2'!N108</f>
        <v>2</v>
      </c>
      <c r="O117" s="589">
        <f>'Paso 2.1 - 2.2'!O108</f>
        <v>2</v>
      </c>
      <c r="P117" s="589">
        <f>'Paso 2.1 - 2.2'!P108</f>
        <v>2</v>
      </c>
      <c r="Q117" s="589">
        <f>'Paso 2.1 - 2.2'!Q108</f>
        <v>2</v>
      </c>
      <c r="R117" s="589">
        <f>'Paso 2.1 - 2.2'!R108</f>
        <v>2</v>
      </c>
      <c r="S117" s="589">
        <f>'Paso 2.1 - 2.2'!S108</f>
        <v>2</v>
      </c>
      <c r="T117" s="1296"/>
    </row>
    <row r="118" spans="2:20" x14ac:dyDescent="0.25">
      <c r="B118" s="2168" t="s">
        <v>3158</v>
      </c>
      <c r="C118" s="2170"/>
      <c r="D118" s="2170"/>
      <c r="E118" s="2170"/>
      <c r="F118" s="2170"/>
      <c r="G118" s="2170"/>
      <c r="H118" s="2170"/>
      <c r="I118" s="2170"/>
      <c r="J118" s="2170"/>
      <c r="K118" s="2170"/>
      <c r="L118" s="2170"/>
      <c r="M118" s="2170"/>
      <c r="N118" s="2170"/>
      <c r="O118" s="2170"/>
      <c r="P118" s="2170"/>
      <c r="Q118" s="2170"/>
      <c r="R118" s="2170"/>
      <c r="S118" s="2170"/>
      <c r="T118" s="1296"/>
    </row>
    <row r="119" spans="2:20" x14ac:dyDescent="0.25">
      <c r="B119" s="2122" t="s">
        <v>3159</v>
      </c>
      <c r="C119" s="590">
        <f>'Paso 2.1 - 2.2'!C110</f>
        <v>0</v>
      </c>
      <c r="D119" s="590">
        <f>'Paso 2.1 - 2.2'!D110</f>
        <v>0</v>
      </c>
      <c r="E119" s="590">
        <f>'Paso 2.1 - 2.2'!E110</f>
        <v>0</v>
      </c>
      <c r="F119" s="590">
        <f>'Paso 2.1 - 2.2'!F110</f>
        <v>0</v>
      </c>
      <c r="G119" s="590">
        <f>'Paso 2.1 - 2.2'!G110</f>
        <v>0</v>
      </c>
      <c r="H119" s="590">
        <f>'Paso 2.1 - 2.2'!H110</f>
        <v>0</v>
      </c>
      <c r="I119" s="590">
        <f>'Paso 2.1 - 2.2'!I110</f>
        <v>0</v>
      </c>
      <c r="J119" s="590">
        <f>'Paso 2.1 - 2.2'!J110</f>
        <v>0</v>
      </c>
      <c r="K119" s="590">
        <f>'Paso 2.1 - 2.2'!K110</f>
        <v>0</v>
      </c>
      <c r="L119" s="590">
        <f>'Paso 2.1 - 2.2'!L110</f>
        <v>0</v>
      </c>
      <c r="M119" s="590">
        <f>'Paso 2.1 - 2.2'!M110</f>
        <v>0</v>
      </c>
      <c r="N119" s="590">
        <f>'Paso 2.1 - 2.2'!N110</f>
        <v>0</v>
      </c>
      <c r="O119" s="590">
        <f>'Paso 2.1 - 2.2'!O110</f>
        <v>0</v>
      </c>
      <c r="P119" s="590">
        <f>'Paso 2.1 - 2.2'!P110</f>
        <v>0</v>
      </c>
      <c r="Q119" s="590">
        <f>'Paso 2.1 - 2.2'!Q110</f>
        <v>0</v>
      </c>
      <c r="R119" s="590">
        <f>'Paso 2.1 - 2.2'!R110</f>
        <v>0</v>
      </c>
      <c r="S119" s="590">
        <f>'Paso 2.1 - 2.2'!S110</f>
        <v>0</v>
      </c>
      <c r="T119" s="1296"/>
    </row>
    <row r="120" spans="2:20" x14ac:dyDescent="0.25">
      <c r="B120" s="2122" t="s">
        <v>3160</v>
      </c>
      <c r="C120" s="590">
        <f>'Paso 2.1 - 2.2'!C111</f>
        <v>0</v>
      </c>
      <c r="D120" s="590">
        <f>'Paso 2.1 - 2.2'!D111</f>
        <v>0</v>
      </c>
      <c r="E120" s="590">
        <f>'Paso 2.1 - 2.2'!E111</f>
        <v>0</v>
      </c>
      <c r="F120" s="590">
        <f>'Paso 2.1 - 2.2'!F111</f>
        <v>0</v>
      </c>
      <c r="G120" s="590">
        <f>'Paso 2.1 - 2.2'!G111</f>
        <v>0</v>
      </c>
      <c r="H120" s="590">
        <f>'Paso 2.1 - 2.2'!H111</f>
        <v>0</v>
      </c>
      <c r="I120" s="590">
        <f>'Paso 2.1 - 2.2'!I111</f>
        <v>0</v>
      </c>
      <c r="J120" s="590">
        <f>'Paso 2.1 - 2.2'!J111</f>
        <v>0</v>
      </c>
      <c r="K120" s="590">
        <f>'Paso 2.1 - 2.2'!K111</f>
        <v>0</v>
      </c>
      <c r="L120" s="590">
        <f>'Paso 2.1 - 2.2'!L111</f>
        <v>0</v>
      </c>
      <c r="M120" s="590">
        <f>'Paso 2.1 - 2.2'!M111</f>
        <v>0</v>
      </c>
      <c r="N120" s="590">
        <f>'Paso 2.1 - 2.2'!N111</f>
        <v>0</v>
      </c>
      <c r="O120" s="590">
        <f>'Paso 2.1 - 2.2'!O111</f>
        <v>0</v>
      </c>
      <c r="P120" s="590">
        <f>'Paso 2.1 - 2.2'!P111</f>
        <v>0</v>
      </c>
      <c r="Q120" s="590">
        <f>'Paso 2.1 - 2.2'!Q111</f>
        <v>0</v>
      </c>
      <c r="R120" s="590">
        <f>'Paso 2.1 - 2.2'!R111</f>
        <v>0</v>
      </c>
      <c r="S120" s="590">
        <f>'Paso 2.1 - 2.2'!S111</f>
        <v>0</v>
      </c>
      <c r="T120" s="1296"/>
    </row>
    <row r="121" spans="2:20" x14ac:dyDescent="0.25">
      <c r="B121" s="2122" t="s">
        <v>3161</v>
      </c>
      <c r="C121" s="590">
        <f>'Paso 2.1 - 2.2'!C112</f>
        <v>0</v>
      </c>
      <c r="D121" s="590">
        <f>'Paso 2.1 - 2.2'!D112</f>
        <v>0</v>
      </c>
      <c r="E121" s="590">
        <f>'Paso 2.1 - 2.2'!E112</f>
        <v>0</v>
      </c>
      <c r="F121" s="590">
        <f>'Paso 2.1 - 2.2'!F112</f>
        <v>0</v>
      </c>
      <c r="G121" s="590">
        <f>'Paso 2.1 - 2.2'!G112</f>
        <v>0</v>
      </c>
      <c r="H121" s="590">
        <f>'Paso 2.1 - 2.2'!H112</f>
        <v>0</v>
      </c>
      <c r="I121" s="590">
        <f>'Paso 2.1 - 2.2'!I112</f>
        <v>0</v>
      </c>
      <c r="J121" s="590">
        <f>'Paso 2.1 - 2.2'!J112</f>
        <v>0</v>
      </c>
      <c r="K121" s="590">
        <f>'Paso 2.1 - 2.2'!K112</f>
        <v>0</v>
      </c>
      <c r="L121" s="590">
        <f>'Paso 2.1 - 2.2'!L112</f>
        <v>0</v>
      </c>
      <c r="M121" s="590">
        <f>'Paso 2.1 - 2.2'!M112</f>
        <v>0</v>
      </c>
      <c r="N121" s="590">
        <f>'Paso 2.1 - 2.2'!N112</f>
        <v>0</v>
      </c>
      <c r="O121" s="590">
        <f>'Paso 2.1 - 2.2'!O112</f>
        <v>0</v>
      </c>
      <c r="P121" s="590">
        <f>'Paso 2.1 - 2.2'!P112</f>
        <v>0</v>
      </c>
      <c r="Q121" s="590">
        <f>'Paso 2.1 - 2.2'!Q112</f>
        <v>0</v>
      </c>
      <c r="R121" s="590">
        <f>'Paso 2.1 - 2.2'!R112</f>
        <v>0</v>
      </c>
      <c r="S121" s="590">
        <f>'Paso 2.1 - 2.2'!S112</f>
        <v>0</v>
      </c>
      <c r="T121" s="1296"/>
    </row>
    <row r="122" spans="2:20" x14ac:dyDescent="0.25">
      <c r="B122" s="2122" t="s">
        <v>3162</v>
      </c>
      <c r="C122" s="590">
        <f>'Paso 2.1 - 2.2'!C113</f>
        <v>0</v>
      </c>
      <c r="D122" s="590">
        <f>'Paso 2.1 - 2.2'!D113</f>
        <v>0</v>
      </c>
      <c r="E122" s="590">
        <f>'Paso 2.1 - 2.2'!E113</f>
        <v>0</v>
      </c>
      <c r="F122" s="590">
        <f>'Paso 2.1 - 2.2'!F113</f>
        <v>0</v>
      </c>
      <c r="G122" s="590">
        <f>'Paso 2.1 - 2.2'!G113</f>
        <v>0</v>
      </c>
      <c r="H122" s="590">
        <f>'Paso 2.1 - 2.2'!H113</f>
        <v>0</v>
      </c>
      <c r="I122" s="590">
        <f>'Paso 2.1 - 2.2'!I113</f>
        <v>0</v>
      </c>
      <c r="J122" s="590">
        <f>'Paso 2.1 - 2.2'!J113</f>
        <v>0</v>
      </c>
      <c r="K122" s="590">
        <f>'Paso 2.1 - 2.2'!K113</f>
        <v>0</v>
      </c>
      <c r="L122" s="590">
        <f>'Paso 2.1 - 2.2'!L113</f>
        <v>0</v>
      </c>
      <c r="M122" s="590">
        <f>'Paso 2.1 - 2.2'!M113</f>
        <v>0</v>
      </c>
      <c r="N122" s="590">
        <f>'Paso 2.1 - 2.2'!N113</f>
        <v>0</v>
      </c>
      <c r="O122" s="590">
        <f>'Paso 2.1 - 2.2'!O113</f>
        <v>0</v>
      </c>
      <c r="P122" s="590">
        <f>'Paso 2.1 - 2.2'!P113</f>
        <v>0</v>
      </c>
      <c r="Q122" s="590">
        <f>'Paso 2.1 - 2.2'!Q113</f>
        <v>0</v>
      </c>
      <c r="R122" s="590">
        <f>'Paso 2.1 - 2.2'!R113</f>
        <v>0</v>
      </c>
      <c r="S122" s="590">
        <f>'Paso 2.1 - 2.2'!S113</f>
        <v>0</v>
      </c>
      <c r="T122" s="1296"/>
    </row>
    <row r="123" spans="2:20" x14ac:dyDescent="0.25">
      <c r="B123" s="1278" t="s">
        <v>3178</v>
      </c>
      <c r="C123" s="589">
        <f>'Paso 2.1 - 2.2'!C114</f>
        <v>1</v>
      </c>
      <c r="D123" s="589">
        <f>'Paso 2.1 - 2.2'!D114</f>
        <v>1</v>
      </c>
      <c r="E123" s="589">
        <f>'Paso 2.1 - 2.2'!E114</f>
        <v>1</v>
      </c>
      <c r="F123" s="589">
        <f>'Paso 2.1 - 2.2'!F114</f>
        <v>1</v>
      </c>
      <c r="G123" s="589">
        <f>'Paso 2.1 - 2.2'!G114</f>
        <v>1</v>
      </c>
      <c r="H123" s="589">
        <f>'Paso 2.1 - 2.2'!H114</f>
        <v>1</v>
      </c>
      <c r="I123" s="589">
        <f>'Paso 2.1 - 2.2'!I114</f>
        <v>1</v>
      </c>
      <c r="J123" s="589">
        <f>'Paso 2.1 - 2.2'!J114</f>
        <v>1</v>
      </c>
      <c r="K123" s="589">
        <f>'Paso 2.1 - 2.2'!K114</f>
        <v>1</v>
      </c>
      <c r="L123" s="589">
        <f>'Paso 2.1 - 2.2'!L114</f>
        <v>1</v>
      </c>
      <c r="M123" s="589">
        <f>'Paso 2.1 - 2.2'!M114</f>
        <v>1</v>
      </c>
      <c r="N123" s="589">
        <f>'Paso 2.1 - 2.2'!N114</f>
        <v>1</v>
      </c>
      <c r="O123" s="589">
        <f>'Paso 2.1 - 2.2'!O114</f>
        <v>1</v>
      </c>
      <c r="P123" s="589">
        <f>'Paso 2.1 - 2.2'!P114</f>
        <v>1</v>
      </c>
      <c r="Q123" s="589">
        <f>'Paso 2.1 - 2.2'!Q114</f>
        <v>1</v>
      </c>
      <c r="R123" s="589">
        <f>'Paso 2.1 - 2.2'!R114</f>
        <v>1</v>
      </c>
      <c r="S123" s="589">
        <f>'Paso 2.1 - 2.2'!S114</f>
        <v>1</v>
      </c>
      <c r="T123" s="1296"/>
    </row>
    <row r="124" spans="2:20" x14ac:dyDescent="0.25">
      <c r="B124" s="2163" t="s">
        <v>3164</v>
      </c>
      <c r="C124" s="2125">
        <f>SUM(C98:C123)</f>
        <v>5</v>
      </c>
      <c r="D124" s="2125">
        <f t="shared" ref="D124:S124" si="7">SUM(D98:D123)</f>
        <v>5</v>
      </c>
      <c r="E124" s="2125">
        <f t="shared" si="7"/>
        <v>5</v>
      </c>
      <c r="F124" s="2125">
        <f t="shared" si="7"/>
        <v>5</v>
      </c>
      <c r="G124" s="2125">
        <f t="shared" si="7"/>
        <v>5</v>
      </c>
      <c r="H124" s="2125">
        <f t="shared" si="7"/>
        <v>5</v>
      </c>
      <c r="I124" s="2125">
        <f t="shared" si="7"/>
        <v>5</v>
      </c>
      <c r="J124" s="2125">
        <f t="shared" si="7"/>
        <v>5</v>
      </c>
      <c r="K124" s="2125">
        <f t="shared" si="7"/>
        <v>5</v>
      </c>
      <c r="L124" s="2125">
        <f t="shared" si="7"/>
        <v>5</v>
      </c>
      <c r="M124" s="2125">
        <f t="shared" si="7"/>
        <v>5</v>
      </c>
      <c r="N124" s="2125">
        <f t="shared" si="7"/>
        <v>5</v>
      </c>
      <c r="O124" s="2125">
        <f t="shared" si="7"/>
        <v>5</v>
      </c>
      <c r="P124" s="2125">
        <f t="shared" si="7"/>
        <v>5</v>
      </c>
      <c r="Q124" s="2125">
        <f t="shared" si="7"/>
        <v>5</v>
      </c>
      <c r="R124" s="2125">
        <f t="shared" si="7"/>
        <v>5</v>
      </c>
      <c r="S124" s="2126">
        <f t="shared" si="7"/>
        <v>5</v>
      </c>
      <c r="T124" s="1296"/>
    </row>
    <row r="125" spans="2:20" x14ac:dyDescent="0.25">
      <c r="T125" s="1296"/>
    </row>
    <row r="127" spans="2:20" x14ac:dyDescent="0.25">
      <c r="B127" s="689" t="s">
        <v>3834</v>
      </c>
      <c r="C127" s="1142" t="s">
        <v>3179</v>
      </c>
      <c r="D127" s="1142"/>
      <c r="E127" s="1142"/>
      <c r="F127" s="1142"/>
    </row>
    <row r="128" spans="2:20" x14ac:dyDescent="0.25">
      <c r="B128" s="689"/>
      <c r="C128" s="1142"/>
      <c r="D128" s="1142"/>
      <c r="E128" s="1142"/>
      <c r="F128" s="1142"/>
    </row>
    <row r="129" spans="2:19" x14ac:dyDescent="0.25">
      <c r="B129" s="4754" t="s">
        <v>3112</v>
      </c>
      <c r="C129" s="2136">
        <v>0</v>
      </c>
      <c r="D129" s="2136">
        <v>0</v>
      </c>
      <c r="E129" s="2159">
        <v>1</v>
      </c>
      <c r="F129" s="2159">
        <f>E129+1</f>
        <v>2</v>
      </c>
      <c r="G129" s="2159">
        <f>F129+1</f>
        <v>3</v>
      </c>
      <c r="H129" s="2159">
        <f t="shared" ref="H129:S129" si="8">G129+1</f>
        <v>4</v>
      </c>
      <c r="I129" s="2159">
        <f t="shared" si="8"/>
        <v>5</v>
      </c>
      <c r="J129" s="2159">
        <f t="shared" si="8"/>
        <v>6</v>
      </c>
      <c r="K129" s="2159">
        <f t="shared" si="8"/>
        <v>7</v>
      </c>
      <c r="L129" s="2159">
        <f t="shared" si="8"/>
        <v>8</v>
      </c>
      <c r="M129" s="2159">
        <f t="shared" si="8"/>
        <v>9</v>
      </c>
      <c r="N129" s="2159">
        <f t="shared" si="8"/>
        <v>10</v>
      </c>
      <c r="O129" s="2159">
        <f t="shared" si="8"/>
        <v>11</v>
      </c>
      <c r="P129" s="2159">
        <f t="shared" si="8"/>
        <v>12</v>
      </c>
      <c r="Q129" s="2159">
        <f t="shared" si="8"/>
        <v>13</v>
      </c>
      <c r="R129" s="2159">
        <f t="shared" si="8"/>
        <v>14</v>
      </c>
      <c r="S129" s="2160">
        <f t="shared" si="8"/>
        <v>15</v>
      </c>
    </row>
    <row r="130" spans="2:19" x14ac:dyDescent="0.25">
      <c r="B130" s="4755"/>
      <c r="C130" s="2137">
        <v>2018</v>
      </c>
      <c r="D130" s="2137">
        <f>C130+1</f>
        <v>2019</v>
      </c>
      <c r="E130" s="2161">
        <f t="shared" ref="E130:S130" si="9">D130+1</f>
        <v>2020</v>
      </c>
      <c r="F130" s="2161">
        <f t="shared" si="9"/>
        <v>2021</v>
      </c>
      <c r="G130" s="2161">
        <f t="shared" si="9"/>
        <v>2022</v>
      </c>
      <c r="H130" s="2161">
        <f t="shared" si="9"/>
        <v>2023</v>
      </c>
      <c r="I130" s="2161">
        <f t="shared" si="9"/>
        <v>2024</v>
      </c>
      <c r="J130" s="2161">
        <f t="shared" si="9"/>
        <v>2025</v>
      </c>
      <c r="K130" s="2161">
        <f t="shared" si="9"/>
        <v>2026</v>
      </c>
      <c r="L130" s="2161">
        <f t="shared" si="9"/>
        <v>2027</v>
      </c>
      <c r="M130" s="2161">
        <f t="shared" si="9"/>
        <v>2028</v>
      </c>
      <c r="N130" s="2161">
        <f t="shared" si="9"/>
        <v>2029</v>
      </c>
      <c r="O130" s="2161">
        <f t="shared" si="9"/>
        <v>2030</v>
      </c>
      <c r="P130" s="2161">
        <f t="shared" si="9"/>
        <v>2031</v>
      </c>
      <c r="Q130" s="2161">
        <f t="shared" si="9"/>
        <v>2032</v>
      </c>
      <c r="R130" s="2161">
        <f t="shared" si="9"/>
        <v>2033</v>
      </c>
      <c r="S130" s="2162">
        <f t="shared" si="9"/>
        <v>2034</v>
      </c>
    </row>
    <row r="131" spans="2:19" x14ac:dyDescent="0.25">
      <c r="B131" s="1278" t="s">
        <v>206</v>
      </c>
      <c r="C131" s="1281" t="e">
        <f t="shared" ref="C131:G145" si="10">C69-C8</f>
        <v>#DIV/0!</v>
      </c>
      <c r="D131" s="1281" t="e">
        <f t="shared" si="10"/>
        <v>#DIV/0!</v>
      </c>
      <c r="E131" s="1281" t="e">
        <f t="shared" si="10"/>
        <v>#DIV/0!</v>
      </c>
      <c r="F131" s="1281" t="e">
        <f t="shared" si="10"/>
        <v>#DIV/0!</v>
      </c>
      <c r="G131" s="1281" t="e">
        <f t="shared" si="10"/>
        <v>#DIV/0!</v>
      </c>
      <c r="H131" s="1281">
        <v>-2</v>
      </c>
      <c r="I131" s="1281">
        <v>-2</v>
      </c>
      <c r="J131" s="1281">
        <v>-3</v>
      </c>
      <c r="K131" s="1281">
        <v>-3</v>
      </c>
      <c r="L131" s="1281">
        <v>-3</v>
      </c>
      <c r="M131" s="1281">
        <v>-3</v>
      </c>
      <c r="N131" s="1281">
        <v>-3</v>
      </c>
      <c r="O131" s="1281">
        <v>-3</v>
      </c>
      <c r="P131" s="1281">
        <v>-3</v>
      </c>
      <c r="Q131" s="1281">
        <v>-3</v>
      </c>
      <c r="R131" s="1281">
        <v>-3</v>
      </c>
      <c r="S131" s="1281">
        <v>-3</v>
      </c>
    </row>
    <row r="132" spans="2:19" x14ac:dyDescent="0.25">
      <c r="B132" s="1278" t="s">
        <v>3126</v>
      </c>
      <c r="C132" s="1281" t="e">
        <f t="shared" si="10"/>
        <v>#DIV/0!</v>
      </c>
      <c r="D132" s="1281" t="e">
        <f t="shared" si="10"/>
        <v>#DIV/0!</v>
      </c>
      <c r="E132" s="1281" t="e">
        <f t="shared" si="10"/>
        <v>#DIV/0!</v>
      </c>
      <c r="F132" s="1281" t="e">
        <f t="shared" si="10"/>
        <v>#DIV/0!</v>
      </c>
      <c r="G132" s="1281" t="e">
        <f t="shared" si="10"/>
        <v>#DIV/0!</v>
      </c>
      <c r="H132" s="1281">
        <v>-2</v>
      </c>
      <c r="I132" s="1281">
        <v>-2</v>
      </c>
      <c r="J132" s="1281">
        <v>-2</v>
      </c>
      <c r="K132" s="1281">
        <v>-2</v>
      </c>
      <c r="L132" s="1281">
        <v>-2</v>
      </c>
      <c r="M132" s="1281">
        <v>-2</v>
      </c>
      <c r="N132" s="1281">
        <v>-2</v>
      </c>
      <c r="O132" s="1281">
        <v>-2</v>
      </c>
      <c r="P132" s="1281">
        <v>-2</v>
      </c>
      <c r="Q132" s="1281">
        <v>-2</v>
      </c>
      <c r="R132" s="1281">
        <v>-2</v>
      </c>
      <c r="S132" s="1281">
        <v>-2</v>
      </c>
    </row>
    <row r="133" spans="2:19" x14ac:dyDescent="0.25">
      <c r="B133" s="2122" t="s">
        <v>3127</v>
      </c>
      <c r="C133" s="2167">
        <f t="shared" si="10"/>
        <v>0</v>
      </c>
      <c r="D133" s="2167">
        <f t="shared" si="10"/>
        <v>0</v>
      </c>
      <c r="E133" s="2167">
        <f t="shared" si="10"/>
        <v>0</v>
      </c>
      <c r="F133" s="2167">
        <f t="shared" si="10"/>
        <v>0</v>
      </c>
      <c r="G133" s="2167">
        <f t="shared" si="10"/>
        <v>0</v>
      </c>
      <c r="H133" s="2167">
        <v>0</v>
      </c>
      <c r="I133" s="2167">
        <v>0</v>
      </c>
      <c r="J133" s="2167">
        <v>0</v>
      </c>
      <c r="K133" s="2167">
        <v>0</v>
      </c>
      <c r="L133" s="2167">
        <v>0</v>
      </c>
      <c r="M133" s="2167">
        <v>0</v>
      </c>
      <c r="N133" s="2167">
        <v>0</v>
      </c>
      <c r="O133" s="2167">
        <v>0</v>
      </c>
      <c r="P133" s="2167">
        <v>0</v>
      </c>
      <c r="Q133" s="2167">
        <v>0</v>
      </c>
      <c r="R133" s="2167">
        <v>0</v>
      </c>
      <c r="S133" s="2167">
        <v>0</v>
      </c>
    </row>
    <row r="134" spans="2:19" x14ac:dyDescent="0.25">
      <c r="B134" s="1278" t="s">
        <v>3128</v>
      </c>
      <c r="C134" s="1281" t="e">
        <f t="shared" si="10"/>
        <v>#DIV/0!</v>
      </c>
      <c r="D134" s="1281" t="e">
        <f t="shared" si="10"/>
        <v>#DIV/0!</v>
      </c>
      <c r="E134" s="1281" t="e">
        <f t="shared" si="10"/>
        <v>#DIV/0!</v>
      </c>
      <c r="F134" s="1281" t="e">
        <f t="shared" si="10"/>
        <v>#DIV/0!</v>
      </c>
      <c r="G134" s="1281" t="e">
        <f t="shared" si="10"/>
        <v>#DIV/0!</v>
      </c>
      <c r="H134" s="1281">
        <v>-3</v>
      </c>
      <c r="I134" s="1281">
        <v>-3</v>
      </c>
      <c r="J134" s="1281">
        <v>-3</v>
      </c>
      <c r="K134" s="1281">
        <v>-3</v>
      </c>
      <c r="L134" s="1281">
        <v>-3</v>
      </c>
      <c r="M134" s="1281">
        <v>-3</v>
      </c>
      <c r="N134" s="1281">
        <v>-3</v>
      </c>
      <c r="O134" s="1281">
        <v>-4</v>
      </c>
      <c r="P134" s="1281">
        <v>-4</v>
      </c>
      <c r="Q134" s="1281">
        <v>-4</v>
      </c>
      <c r="R134" s="1281">
        <v>-4</v>
      </c>
      <c r="S134" s="1281">
        <v>-4</v>
      </c>
    </row>
    <row r="135" spans="2:19" x14ac:dyDescent="0.25">
      <c r="B135" s="2122" t="s">
        <v>3129</v>
      </c>
      <c r="C135" s="2167">
        <f t="shared" si="10"/>
        <v>0</v>
      </c>
      <c r="D135" s="2167">
        <f t="shared" ref="D135:S135" si="11">D73-D12</f>
        <v>0</v>
      </c>
      <c r="E135" s="2167">
        <f t="shared" si="11"/>
        <v>0</v>
      </c>
      <c r="F135" s="2167">
        <f t="shared" si="11"/>
        <v>0</v>
      </c>
      <c r="G135" s="2167">
        <f t="shared" si="11"/>
        <v>0</v>
      </c>
      <c r="H135" s="2167">
        <f t="shared" si="11"/>
        <v>0</v>
      </c>
      <c r="I135" s="2167">
        <f t="shared" si="11"/>
        <v>0</v>
      </c>
      <c r="J135" s="2167">
        <f t="shared" si="11"/>
        <v>0</v>
      </c>
      <c r="K135" s="2167">
        <f t="shared" si="11"/>
        <v>0</v>
      </c>
      <c r="L135" s="2167">
        <f t="shared" si="11"/>
        <v>0</v>
      </c>
      <c r="M135" s="2167">
        <f t="shared" si="11"/>
        <v>0</v>
      </c>
      <c r="N135" s="2167">
        <f t="shared" si="11"/>
        <v>0</v>
      </c>
      <c r="O135" s="2167">
        <f t="shared" si="11"/>
        <v>0</v>
      </c>
      <c r="P135" s="2167">
        <f t="shared" si="11"/>
        <v>0</v>
      </c>
      <c r="Q135" s="2167">
        <f t="shared" si="11"/>
        <v>0</v>
      </c>
      <c r="R135" s="2167">
        <f t="shared" si="11"/>
        <v>0</v>
      </c>
      <c r="S135" s="2167">
        <f t="shared" si="11"/>
        <v>0</v>
      </c>
    </row>
    <row r="136" spans="2:19" x14ac:dyDescent="0.25">
      <c r="B136" s="2122" t="s">
        <v>3130</v>
      </c>
      <c r="C136" s="2167">
        <f t="shared" ref="C136:S136" si="12">C74-C13</f>
        <v>0</v>
      </c>
      <c r="D136" s="2167">
        <f t="shared" si="12"/>
        <v>0</v>
      </c>
      <c r="E136" s="2167">
        <f t="shared" si="12"/>
        <v>0</v>
      </c>
      <c r="F136" s="2167">
        <f t="shared" si="12"/>
        <v>0</v>
      </c>
      <c r="G136" s="2167">
        <f t="shared" si="12"/>
        <v>0</v>
      </c>
      <c r="H136" s="2167">
        <f t="shared" si="12"/>
        <v>0</v>
      </c>
      <c r="I136" s="2167">
        <f t="shared" si="12"/>
        <v>0</v>
      </c>
      <c r="J136" s="2167">
        <f t="shared" si="12"/>
        <v>0</v>
      </c>
      <c r="K136" s="2167">
        <f t="shared" si="12"/>
        <v>0</v>
      </c>
      <c r="L136" s="2167">
        <f t="shared" si="12"/>
        <v>0</v>
      </c>
      <c r="M136" s="2167">
        <f t="shared" si="12"/>
        <v>0</v>
      </c>
      <c r="N136" s="2167">
        <f t="shared" si="12"/>
        <v>0</v>
      </c>
      <c r="O136" s="2167">
        <f t="shared" si="12"/>
        <v>0</v>
      </c>
      <c r="P136" s="2167">
        <f t="shared" si="12"/>
        <v>0</v>
      </c>
      <c r="Q136" s="2167">
        <f t="shared" si="12"/>
        <v>0</v>
      </c>
      <c r="R136" s="2167">
        <f t="shared" si="12"/>
        <v>0</v>
      </c>
      <c r="S136" s="2167">
        <f t="shared" si="12"/>
        <v>0</v>
      </c>
    </row>
    <row r="137" spans="2:19" x14ac:dyDescent="0.25">
      <c r="B137" s="2122" t="s">
        <v>3131</v>
      </c>
      <c r="C137" s="2167">
        <f t="shared" ref="C137:S137" si="13">C75-C14</f>
        <v>0</v>
      </c>
      <c r="D137" s="2167">
        <f t="shared" si="13"/>
        <v>0</v>
      </c>
      <c r="E137" s="2167">
        <f t="shared" si="13"/>
        <v>0</v>
      </c>
      <c r="F137" s="2167">
        <f t="shared" si="13"/>
        <v>0</v>
      </c>
      <c r="G137" s="2167">
        <f t="shared" si="13"/>
        <v>0</v>
      </c>
      <c r="H137" s="2167">
        <f t="shared" si="13"/>
        <v>0</v>
      </c>
      <c r="I137" s="2167">
        <f t="shared" si="13"/>
        <v>0</v>
      </c>
      <c r="J137" s="2167">
        <f t="shared" si="13"/>
        <v>0</v>
      </c>
      <c r="K137" s="2167">
        <f t="shared" si="13"/>
        <v>0</v>
      </c>
      <c r="L137" s="2167">
        <f t="shared" si="13"/>
        <v>0</v>
      </c>
      <c r="M137" s="2167">
        <f t="shared" si="13"/>
        <v>0</v>
      </c>
      <c r="N137" s="2167">
        <f t="shared" si="13"/>
        <v>0</v>
      </c>
      <c r="O137" s="2167">
        <f t="shared" si="13"/>
        <v>0</v>
      </c>
      <c r="P137" s="2167">
        <f t="shared" si="13"/>
        <v>0</v>
      </c>
      <c r="Q137" s="2167">
        <f t="shared" si="13"/>
        <v>0</v>
      </c>
      <c r="R137" s="2167">
        <f t="shared" si="13"/>
        <v>0</v>
      </c>
      <c r="S137" s="2167">
        <f t="shared" si="13"/>
        <v>0</v>
      </c>
    </row>
    <row r="138" spans="2:19" x14ac:dyDescent="0.25">
      <c r="B138" s="1278" t="s">
        <v>3132</v>
      </c>
      <c r="C138" s="1281" t="e">
        <f t="shared" si="10"/>
        <v>#DIV/0!</v>
      </c>
      <c r="D138" s="1281" t="e">
        <f t="shared" si="10"/>
        <v>#DIV/0!</v>
      </c>
      <c r="E138" s="1281" t="e">
        <f t="shared" si="10"/>
        <v>#DIV/0!</v>
      </c>
      <c r="F138" s="1281" t="e">
        <f t="shared" si="10"/>
        <v>#DIV/0!</v>
      </c>
      <c r="G138" s="1281" t="e">
        <f t="shared" si="10"/>
        <v>#DIV/0!</v>
      </c>
      <c r="H138" s="1281">
        <v>-3</v>
      </c>
      <c r="I138" s="1281">
        <v>-3</v>
      </c>
      <c r="J138" s="1281">
        <v>-3</v>
      </c>
      <c r="K138" s="1281">
        <v>-3</v>
      </c>
      <c r="L138" s="1281">
        <v>-3</v>
      </c>
      <c r="M138" s="1281">
        <v>-3</v>
      </c>
      <c r="N138" s="1281">
        <v>-3</v>
      </c>
      <c r="O138" s="1281">
        <v>-3</v>
      </c>
      <c r="P138" s="1281">
        <v>-3</v>
      </c>
      <c r="Q138" s="1281">
        <v>-3</v>
      </c>
      <c r="R138" s="1281">
        <v>-3</v>
      </c>
      <c r="S138" s="1281">
        <v>-3</v>
      </c>
    </row>
    <row r="139" spans="2:19" x14ac:dyDescent="0.25">
      <c r="B139" s="2122" t="s">
        <v>3133</v>
      </c>
      <c r="C139" s="2167">
        <f t="shared" si="10"/>
        <v>0</v>
      </c>
      <c r="D139" s="2167">
        <f t="shared" ref="D139:S139" si="14">D77-D16</f>
        <v>0</v>
      </c>
      <c r="E139" s="2167">
        <f t="shared" si="14"/>
        <v>0</v>
      </c>
      <c r="F139" s="2167">
        <f t="shared" si="14"/>
        <v>0</v>
      </c>
      <c r="G139" s="2167">
        <f t="shared" si="14"/>
        <v>0</v>
      </c>
      <c r="H139" s="2167">
        <f t="shared" si="14"/>
        <v>0</v>
      </c>
      <c r="I139" s="2167">
        <f t="shared" si="14"/>
        <v>0</v>
      </c>
      <c r="J139" s="2167">
        <f t="shared" si="14"/>
        <v>0</v>
      </c>
      <c r="K139" s="2167">
        <f t="shared" si="14"/>
        <v>0</v>
      </c>
      <c r="L139" s="2167">
        <f t="shared" si="14"/>
        <v>0</v>
      </c>
      <c r="M139" s="2167">
        <f t="shared" si="14"/>
        <v>0</v>
      </c>
      <c r="N139" s="2167">
        <f t="shared" si="14"/>
        <v>0</v>
      </c>
      <c r="O139" s="2167">
        <f t="shared" si="14"/>
        <v>0</v>
      </c>
      <c r="P139" s="2167">
        <f t="shared" si="14"/>
        <v>0</v>
      </c>
      <c r="Q139" s="2167">
        <f t="shared" si="14"/>
        <v>0</v>
      </c>
      <c r="R139" s="2167">
        <f t="shared" si="14"/>
        <v>0</v>
      </c>
      <c r="S139" s="2167">
        <f t="shared" si="14"/>
        <v>0</v>
      </c>
    </row>
    <row r="140" spans="2:19" x14ac:dyDescent="0.25">
      <c r="B140" s="2122" t="s">
        <v>3134</v>
      </c>
      <c r="C140" s="2167">
        <f t="shared" ref="C140:S140" si="15">C78-C17</f>
        <v>0</v>
      </c>
      <c r="D140" s="2167">
        <f t="shared" si="15"/>
        <v>0</v>
      </c>
      <c r="E140" s="2167">
        <f t="shared" si="15"/>
        <v>0</v>
      </c>
      <c r="F140" s="2167">
        <f t="shared" si="15"/>
        <v>0</v>
      </c>
      <c r="G140" s="2167">
        <f t="shared" si="15"/>
        <v>0</v>
      </c>
      <c r="H140" s="2167">
        <f t="shared" si="15"/>
        <v>0</v>
      </c>
      <c r="I140" s="2167">
        <f t="shared" si="15"/>
        <v>0</v>
      </c>
      <c r="J140" s="2167">
        <f t="shared" si="15"/>
        <v>0</v>
      </c>
      <c r="K140" s="2167">
        <f t="shared" si="15"/>
        <v>0</v>
      </c>
      <c r="L140" s="2167">
        <f t="shared" si="15"/>
        <v>0</v>
      </c>
      <c r="M140" s="2167">
        <f t="shared" si="15"/>
        <v>0</v>
      </c>
      <c r="N140" s="2167">
        <f t="shared" si="15"/>
        <v>0</v>
      </c>
      <c r="O140" s="2167">
        <f t="shared" si="15"/>
        <v>0</v>
      </c>
      <c r="P140" s="2167">
        <f t="shared" si="15"/>
        <v>0</v>
      </c>
      <c r="Q140" s="2167">
        <f t="shared" si="15"/>
        <v>0</v>
      </c>
      <c r="R140" s="2167">
        <f t="shared" si="15"/>
        <v>0</v>
      </c>
      <c r="S140" s="2167">
        <f t="shared" si="15"/>
        <v>0</v>
      </c>
    </row>
    <row r="141" spans="2:19" x14ac:dyDescent="0.25">
      <c r="B141" s="2122" t="s">
        <v>3135</v>
      </c>
      <c r="C141" s="2167">
        <f t="shared" ref="C141:S141" si="16">C79-C18</f>
        <v>0</v>
      </c>
      <c r="D141" s="2167">
        <f t="shared" si="16"/>
        <v>0</v>
      </c>
      <c r="E141" s="2167">
        <f t="shared" si="16"/>
        <v>0</v>
      </c>
      <c r="F141" s="2167">
        <f t="shared" si="16"/>
        <v>0</v>
      </c>
      <c r="G141" s="2167">
        <f t="shared" si="16"/>
        <v>0</v>
      </c>
      <c r="H141" s="2167">
        <f t="shared" si="16"/>
        <v>0</v>
      </c>
      <c r="I141" s="2167">
        <f t="shared" si="16"/>
        <v>0</v>
      </c>
      <c r="J141" s="2167">
        <f t="shared" si="16"/>
        <v>0</v>
      </c>
      <c r="K141" s="2167">
        <f t="shared" si="16"/>
        <v>0</v>
      </c>
      <c r="L141" s="2167">
        <f t="shared" si="16"/>
        <v>0</v>
      </c>
      <c r="M141" s="2167">
        <f t="shared" si="16"/>
        <v>0</v>
      </c>
      <c r="N141" s="2167">
        <f t="shared" si="16"/>
        <v>0</v>
      </c>
      <c r="O141" s="2167">
        <f t="shared" si="16"/>
        <v>0</v>
      </c>
      <c r="P141" s="2167">
        <f t="shared" si="16"/>
        <v>0</v>
      </c>
      <c r="Q141" s="2167">
        <f t="shared" si="16"/>
        <v>0</v>
      </c>
      <c r="R141" s="2167">
        <f t="shared" si="16"/>
        <v>0</v>
      </c>
      <c r="S141" s="2167">
        <f t="shared" si="16"/>
        <v>0</v>
      </c>
    </row>
    <row r="142" spans="2:19" x14ac:dyDescent="0.25">
      <c r="B142" s="2122" t="s">
        <v>3136</v>
      </c>
      <c r="C142" s="2167">
        <f t="shared" ref="C142:S142" si="17">C80-C19</f>
        <v>0</v>
      </c>
      <c r="D142" s="2167">
        <f t="shared" si="17"/>
        <v>0</v>
      </c>
      <c r="E142" s="2167">
        <f t="shared" si="17"/>
        <v>0</v>
      </c>
      <c r="F142" s="2167">
        <f t="shared" si="17"/>
        <v>0</v>
      </c>
      <c r="G142" s="2167">
        <f t="shared" si="17"/>
        <v>0</v>
      </c>
      <c r="H142" s="2167">
        <f t="shared" si="17"/>
        <v>0</v>
      </c>
      <c r="I142" s="2167">
        <f t="shared" si="17"/>
        <v>0</v>
      </c>
      <c r="J142" s="2167">
        <f t="shared" si="17"/>
        <v>0</v>
      </c>
      <c r="K142" s="2167">
        <f t="shared" si="17"/>
        <v>0</v>
      </c>
      <c r="L142" s="2167">
        <f t="shared" si="17"/>
        <v>0</v>
      </c>
      <c r="M142" s="2167">
        <f t="shared" si="17"/>
        <v>0</v>
      </c>
      <c r="N142" s="2167">
        <f t="shared" si="17"/>
        <v>0</v>
      </c>
      <c r="O142" s="2167">
        <f t="shared" si="17"/>
        <v>0</v>
      </c>
      <c r="P142" s="2167">
        <f t="shared" si="17"/>
        <v>0</v>
      </c>
      <c r="Q142" s="2167">
        <f t="shared" si="17"/>
        <v>0</v>
      </c>
      <c r="R142" s="2167">
        <f t="shared" si="17"/>
        <v>0</v>
      </c>
      <c r="S142" s="2167">
        <f t="shared" si="17"/>
        <v>0</v>
      </c>
    </row>
    <row r="143" spans="2:19" x14ac:dyDescent="0.25">
      <c r="B143" s="2122" t="s">
        <v>216</v>
      </c>
      <c r="C143" s="2167" t="e">
        <f t="shared" ref="C143:S143" si="18">C81-C20</f>
        <v>#REF!</v>
      </c>
      <c r="D143" s="2167" t="e">
        <f t="shared" si="18"/>
        <v>#REF!</v>
      </c>
      <c r="E143" s="2167" t="e">
        <f t="shared" si="18"/>
        <v>#REF!</v>
      </c>
      <c r="F143" s="2167" t="e">
        <f t="shared" si="18"/>
        <v>#REF!</v>
      </c>
      <c r="G143" s="2167" t="e">
        <f t="shared" si="18"/>
        <v>#REF!</v>
      </c>
      <c r="H143" s="2167" t="e">
        <f t="shared" si="18"/>
        <v>#REF!</v>
      </c>
      <c r="I143" s="2167" t="e">
        <f t="shared" si="18"/>
        <v>#REF!</v>
      </c>
      <c r="J143" s="2167" t="e">
        <f t="shared" si="18"/>
        <v>#REF!</v>
      </c>
      <c r="K143" s="2167" t="e">
        <f t="shared" si="18"/>
        <v>#REF!</v>
      </c>
      <c r="L143" s="2167" t="e">
        <f t="shared" si="18"/>
        <v>#REF!</v>
      </c>
      <c r="M143" s="2167" t="e">
        <f t="shared" si="18"/>
        <v>#REF!</v>
      </c>
      <c r="N143" s="2167" t="e">
        <f t="shared" si="18"/>
        <v>#REF!</v>
      </c>
      <c r="O143" s="2167" t="e">
        <f t="shared" si="18"/>
        <v>#REF!</v>
      </c>
      <c r="P143" s="2167" t="e">
        <f t="shared" si="18"/>
        <v>#REF!</v>
      </c>
      <c r="Q143" s="2167" t="e">
        <f t="shared" si="18"/>
        <v>#REF!</v>
      </c>
      <c r="R143" s="2167" t="e">
        <f t="shared" si="18"/>
        <v>#REF!</v>
      </c>
      <c r="S143" s="2167" t="e">
        <f t="shared" si="18"/>
        <v>#REF!</v>
      </c>
    </row>
    <row r="144" spans="2:19" x14ac:dyDescent="0.25">
      <c r="B144" s="1278" t="s">
        <v>217</v>
      </c>
      <c r="C144" s="1281" t="e">
        <f t="shared" si="10"/>
        <v>#DIV/0!</v>
      </c>
      <c r="D144" s="1281" t="e">
        <f t="shared" si="10"/>
        <v>#DIV/0!</v>
      </c>
      <c r="E144" s="1281" t="e">
        <f t="shared" si="10"/>
        <v>#DIV/0!</v>
      </c>
      <c r="F144" s="1281" t="e">
        <f t="shared" si="10"/>
        <v>#DIV/0!</v>
      </c>
      <c r="G144" s="1281" t="e">
        <f t="shared" si="10"/>
        <v>#DIV/0!</v>
      </c>
      <c r="H144" s="1281">
        <v>-3</v>
      </c>
      <c r="I144" s="1281">
        <v>-3</v>
      </c>
      <c r="J144" s="1281">
        <v>-3</v>
      </c>
      <c r="K144" s="1281">
        <v>-3</v>
      </c>
      <c r="L144" s="1281">
        <v>-3</v>
      </c>
      <c r="M144" s="1281">
        <v>-3</v>
      </c>
      <c r="N144" s="1281">
        <v>-3</v>
      </c>
      <c r="O144" s="1281">
        <v>-4</v>
      </c>
      <c r="P144" s="1281">
        <v>-4</v>
      </c>
      <c r="Q144" s="1281">
        <v>-4</v>
      </c>
      <c r="R144" s="1281">
        <v>-4</v>
      </c>
      <c r="S144" s="1281">
        <v>-4</v>
      </c>
    </row>
    <row r="145" spans="2:19" x14ac:dyDescent="0.25">
      <c r="B145" s="1278" t="s">
        <v>218</v>
      </c>
      <c r="C145" s="1281" t="e">
        <f t="shared" si="10"/>
        <v>#REF!</v>
      </c>
      <c r="D145" s="1281" t="e">
        <f t="shared" si="10"/>
        <v>#REF!</v>
      </c>
      <c r="E145" s="1281" t="e">
        <f t="shared" si="10"/>
        <v>#REF!</v>
      </c>
      <c r="F145" s="1281" t="e">
        <f t="shared" si="10"/>
        <v>#REF!</v>
      </c>
      <c r="G145" s="1281" t="e">
        <f t="shared" si="10"/>
        <v>#REF!</v>
      </c>
      <c r="H145" s="1281">
        <v>-1</v>
      </c>
      <c r="I145" s="1281">
        <v>-1</v>
      </c>
      <c r="J145" s="1281">
        <v>-1</v>
      </c>
      <c r="K145" s="1281">
        <v>-1</v>
      </c>
      <c r="L145" s="1281">
        <v>-1</v>
      </c>
      <c r="M145" s="1281">
        <v>-1</v>
      </c>
      <c r="N145" s="1281">
        <v>-1</v>
      </c>
      <c r="O145" s="1281">
        <v>-1</v>
      </c>
      <c r="P145" s="1281">
        <v>-1</v>
      </c>
      <c r="Q145" s="1281">
        <v>-1</v>
      </c>
      <c r="R145" s="1281">
        <v>-1</v>
      </c>
      <c r="S145" s="1281">
        <v>-1</v>
      </c>
    </row>
    <row r="146" spans="2:19" x14ac:dyDescent="0.25">
      <c r="B146" s="1278" t="s">
        <v>353</v>
      </c>
      <c r="C146" s="1281" t="e">
        <f t="shared" ref="C146:S158" si="19">C84-C23</f>
        <v>#REF!</v>
      </c>
      <c r="D146" s="1281" t="e">
        <f t="shared" si="19"/>
        <v>#REF!</v>
      </c>
      <c r="E146" s="1281" t="e">
        <f t="shared" si="19"/>
        <v>#REF!</v>
      </c>
      <c r="F146" s="1281" t="e">
        <f t="shared" si="19"/>
        <v>#REF!</v>
      </c>
      <c r="G146" s="1281" t="e">
        <f t="shared" si="19"/>
        <v>#REF!</v>
      </c>
      <c r="H146" s="1281">
        <v>-2</v>
      </c>
      <c r="I146" s="1281">
        <v>-2</v>
      </c>
      <c r="J146" s="1281">
        <v>-2</v>
      </c>
      <c r="K146" s="1281">
        <v>-2</v>
      </c>
      <c r="L146" s="1281">
        <v>-2</v>
      </c>
      <c r="M146" s="1281">
        <v>-2</v>
      </c>
      <c r="N146" s="1281">
        <v>-2</v>
      </c>
      <c r="O146" s="1281">
        <v>-2</v>
      </c>
      <c r="P146" s="1281">
        <v>-2</v>
      </c>
      <c r="Q146" s="1281">
        <v>-2</v>
      </c>
      <c r="R146" s="1281">
        <v>-2</v>
      </c>
      <c r="S146" s="1281">
        <v>-2</v>
      </c>
    </row>
    <row r="147" spans="2:19" x14ac:dyDescent="0.25">
      <c r="B147" s="1278" t="s">
        <v>220</v>
      </c>
      <c r="C147" s="1281" t="e">
        <f t="shared" si="19"/>
        <v>#REF!</v>
      </c>
      <c r="D147" s="1281" t="e">
        <f t="shared" si="19"/>
        <v>#REF!</v>
      </c>
      <c r="E147" s="1281" t="e">
        <f t="shared" si="19"/>
        <v>#REF!</v>
      </c>
      <c r="F147" s="1281" t="e">
        <f t="shared" si="19"/>
        <v>#REF!</v>
      </c>
      <c r="G147" s="1281" t="e">
        <f t="shared" si="19"/>
        <v>#REF!</v>
      </c>
      <c r="H147" s="1281">
        <v>-1</v>
      </c>
      <c r="I147" s="1281">
        <v>-1</v>
      </c>
      <c r="J147" s="1281">
        <v>-1</v>
      </c>
      <c r="K147" s="1281">
        <v>-1</v>
      </c>
      <c r="L147" s="1281">
        <v>-1</v>
      </c>
      <c r="M147" s="1281">
        <v>-1</v>
      </c>
      <c r="N147" s="1281">
        <v>-1</v>
      </c>
      <c r="O147" s="1281">
        <v>-1</v>
      </c>
      <c r="P147" s="1281">
        <v>-1</v>
      </c>
      <c r="Q147" s="1281">
        <v>-1</v>
      </c>
      <c r="R147" s="1281">
        <v>-1</v>
      </c>
      <c r="S147" s="1281">
        <v>-1</v>
      </c>
    </row>
    <row r="148" spans="2:19" x14ac:dyDescent="0.25">
      <c r="B148" s="1278" t="s">
        <v>221</v>
      </c>
      <c r="C148" s="1281" t="e">
        <f t="shared" si="19"/>
        <v>#DIV/0!</v>
      </c>
      <c r="D148" s="1281" t="e">
        <f t="shared" si="19"/>
        <v>#DIV/0!</v>
      </c>
      <c r="E148" s="1281" t="e">
        <f t="shared" si="19"/>
        <v>#DIV/0!</v>
      </c>
      <c r="F148" s="1281" t="e">
        <f t="shared" si="19"/>
        <v>#DIV/0!</v>
      </c>
      <c r="G148" s="1281" t="e">
        <f t="shared" si="19"/>
        <v>#DIV/0!</v>
      </c>
      <c r="H148" s="1281">
        <v>-2</v>
      </c>
      <c r="I148" s="1281">
        <v>-2</v>
      </c>
      <c r="J148" s="1281">
        <v>-2</v>
      </c>
      <c r="K148" s="1281">
        <v>-2</v>
      </c>
      <c r="L148" s="1281">
        <v>-2</v>
      </c>
      <c r="M148" s="1281">
        <v>-2</v>
      </c>
      <c r="N148" s="1281">
        <v>-2</v>
      </c>
      <c r="O148" s="1281">
        <v>-2</v>
      </c>
      <c r="P148" s="1281">
        <v>-2</v>
      </c>
      <c r="Q148" s="1281">
        <v>-2</v>
      </c>
      <c r="R148" s="1281">
        <v>-2</v>
      </c>
      <c r="S148" s="1281">
        <v>-2</v>
      </c>
    </row>
    <row r="149" spans="2:19" x14ac:dyDescent="0.25">
      <c r="B149" s="1278" t="s">
        <v>222</v>
      </c>
      <c r="C149" s="1281" t="e">
        <f t="shared" si="19"/>
        <v>#DIV/0!</v>
      </c>
      <c r="D149" s="1281" t="e">
        <f t="shared" si="19"/>
        <v>#DIV/0!</v>
      </c>
      <c r="E149" s="1281" t="e">
        <f t="shared" si="19"/>
        <v>#DIV/0!</v>
      </c>
      <c r="F149" s="1281" t="e">
        <f t="shared" si="19"/>
        <v>#DIV/0!</v>
      </c>
      <c r="G149" s="1281" t="e">
        <f t="shared" si="19"/>
        <v>#DIV/0!</v>
      </c>
      <c r="H149" s="1281">
        <v>-2</v>
      </c>
      <c r="I149" s="1281">
        <v>-2</v>
      </c>
      <c r="J149" s="1281">
        <v>-2</v>
      </c>
      <c r="K149" s="1281">
        <v>-2</v>
      </c>
      <c r="L149" s="1281">
        <v>-2</v>
      </c>
      <c r="M149" s="1281">
        <v>-2</v>
      </c>
      <c r="N149" s="1281">
        <v>-2</v>
      </c>
      <c r="O149" s="1281">
        <v>-2</v>
      </c>
      <c r="P149" s="1281">
        <v>-2</v>
      </c>
      <c r="Q149" s="1281">
        <v>-2</v>
      </c>
      <c r="R149" s="1281">
        <v>-2</v>
      </c>
      <c r="S149" s="1281">
        <v>-2</v>
      </c>
    </row>
    <row r="150" spans="2:19" x14ac:dyDescent="0.25">
      <c r="B150" s="1278" t="s">
        <v>3137</v>
      </c>
      <c r="C150" s="1281" t="e">
        <f t="shared" si="19"/>
        <v>#DIV/0!</v>
      </c>
      <c r="D150" s="1281" t="e">
        <f t="shared" si="19"/>
        <v>#DIV/0!</v>
      </c>
      <c r="E150" s="1281" t="e">
        <f t="shared" si="19"/>
        <v>#DIV/0!</v>
      </c>
      <c r="F150" s="1281" t="e">
        <f t="shared" si="19"/>
        <v>#DIV/0!</v>
      </c>
      <c r="G150" s="1281" t="e">
        <f t="shared" si="19"/>
        <v>#DIV/0!</v>
      </c>
      <c r="H150" s="1281">
        <v>-1</v>
      </c>
      <c r="I150" s="1281">
        <v>-1</v>
      </c>
      <c r="J150" s="1281">
        <v>-1</v>
      </c>
      <c r="K150" s="1281">
        <v>-1</v>
      </c>
      <c r="L150" s="1281">
        <v>-1</v>
      </c>
      <c r="M150" s="1281">
        <v>-2</v>
      </c>
      <c r="N150" s="1281">
        <v>-2</v>
      </c>
      <c r="O150" s="1281">
        <v>-2</v>
      </c>
      <c r="P150" s="1281">
        <v>-2</v>
      </c>
      <c r="Q150" s="1281">
        <v>-2</v>
      </c>
      <c r="R150" s="1281">
        <v>-2</v>
      </c>
      <c r="S150" s="1281">
        <v>-2</v>
      </c>
    </row>
    <row r="151" spans="2:19" x14ac:dyDescent="0.25">
      <c r="B151" s="2122" t="s">
        <v>3138</v>
      </c>
      <c r="C151" s="2167">
        <f t="shared" si="19"/>
        <v>0</v>
      </c>
      <c r="D151" s="2167">
        <f t="shared" si="19"/>
        <v>0</v>
      </c>
      <c r="E151" s="2167">
        <f t="shared" si="19"/>
        <v>0</v>
      </c>
      <c r="F151" s="2167">
        <f t="shared" si="19"/>
        <v>0</v>
      </c>
      <c r="G151" s="2167">
        <f t="shared" si="19"/>
        <v>0</v>
      </c>
      <c r="H151" s="2167">
        <f t="shared" si="19"/>
        <v>0</v>
      </c>
      <c r="I151" s="2167">
        <f t="shared" si="19"/>
        <v>0</v>
      </c>
      <c r="J151" s="2167">
        <f t="shared" si="19"/>
        <v>0</v>
      </c>
      <c r="K151" s="2167">
        <f t="shared" si="19"/>
        <v>0</v>
      </c>
      <c r="L151" s="2167">
        <f t="shared" si="19"/>
        <v>0</v>
      </c>
      <c r="M151" s="2167">
        <f t="shared" si="19"/>
        <v>0</v>
      </c>
      <c r="N151" s="2167">
        <f t="shared" si="19"/>
        <v>0</v>
      </c>
      <c r="O151" s="2167">
        <f t="shared" si="19"/>
        <v>0</v>
      </c>
      <c r="P151" s="2167">
        <f t="shared" si="19"/>
        <v>0</v>
      </c>
      <c r="Q151" s="2167">
        <f t="shared" si="19"/>
        <v>0</v>
      </c>
      <c r="R151" s="2167">
        <f t="shared" si="19"/>
        <v>0</v>
      </c>
      <c r="S151" s="2167">
        <f t="shared" si="19"/>
        <v>0</v>
      </c>
    </row>
    <row r="152" spans="2:19" s="622" customFormat="1" x14ac:dyDescent="0.25">
      <c r="B152" s="2233" t="s">
        <v>3139</v>
      </c>
      <c r="C152" s="2234">
        <v>-2</v>
      </c>
      <c r="D152" s="2234">
        <v>-2</v>
      </c>
      <c r="E152" s="2234">
        <v>-2</v>
      </c>
      <c r="F152" s="2234">
        <v>-2</v>
      </c>
      <c r="G152" s="2234">
        <v>-2</v>
      </c>
      <c r="H152" s="2234">
        <v>-2</v>
      </c>
      <c r="I152" s="2234">
        <v>-2</v>
      </c>
      <c r="J152" s="2234">
        <v>-2</v>
      </c>
      <c r="K152" s="2234">
        <v>-2</v>
      </c>
      <c r="L152" s="2234">
        <v>-2</v>
      </c>
      <c r="M152" s="2234">
        <v>-2</v>
      </c>
      <c r="N152" s="2234">
        <v>-2</v>
      </c>
      <c r="O152" s="2234">
        <v>-2</v>
      </c>
      <c r="P152" s="2234">
        <v>-2</v>
      </c>
      <c r="Q152" s="2234">
        <v>-2</v>
      </c>
      <c r="R152" s="2234">
        <v>-2</v>
      </c>
      <c r="S152" s="2234">
        <v>-2</v>
      </c>
    </row>
    <row r="153" spans="2:19" x14ac:dyDescent="0.25">
      <c r="B153" s="1278" t="s">
        <v>226</v>
      </c>
      <c r="C153" s="1281" t="e">
        <f t="shared" si="19"/>
        <v>#DIV/0!</v>
      </c>
      <c r="D153" s="1281" t="e">
        <f t="shared" si="19"/>
        <v>#DIV/0!</v>
      </c>
      <c r="E153" s="1281" t="e">
        <f t="shared" si="19"/>
        <v>#DIV/0!</v>
      </c>
      <c r="F153" s="1281" t="e">
        <f t="shared" si="19"/>
        <v>#DIV/0!</v>
      </c>
      <c r="G153" s="1281" t="e">
        <f t="shared" si="19"/>
        <v>#DIV/0!</v>
      </c>
      <c r="H153" s="1281">
        <v>-1</v>
      </c>
      <c r="I153" s="1281">
        <v>-1</v>
      </c>
      <c r="J153" s="1281">
        <v>-1</v>
      </c>
      <c r="K153" s="1281">
        <v>-1</v>
      </c>
      <c r="L153" s="1281">
        <v>-1</v>
      </c>
      <c r="M153" s="1281">
        <v>-1</v>
      </c>
      <c r="N153" s="1281">
        <v>-1</v>
      </c>
      <c r="O153" s="1281">
        <v>-1</v>
      </c>
      <c r="P153" s="1281">
        <v>-1</v>
      </c>
      <c r="Q153" s="1281">
        <v>-2</v>
      </c>
      <c r="R153" s="1281">
        <v>-2</v>
      </c>
      <c r="S153" s="1281">
        <v>-2</v>
      </c>
    </row>
    <row r="154" spans="2:19" x14ac:dyDescent="0.25">
      <c r="B154" s="2122" t="s">
        <v>227</v>
      </c>
      <c r="C154" s="2167" t="e">
        <f t="shared" si="19"/>
        <v>#DIV/0!</v>
      </c>
      <c r="D154" s="2167" t="e">
        <f t="shared" ref="D154:S154" si="20">D92-D31</f>
        <v>#DIV/0!</v>
      </c>
      <c r="E154" s="2167" t="e">
        <f t="shared" si="20"/>
        <v>#DIV/0!</v>
      </c>
      <c r="F154" s="2167" t="e">
        <f t="shared" si="20"/>
        <v>#DIV/0!</v>
      </c>
      <c r="G154" s="2167" t="e">
        <f t="shared" si="20"/>
        <v>#DIV/0!</v>
      </c>
      <c r="H154" s="2167" t="e">
        <f t="shared" si="20"/>
        <v>#DIV/0!</v>
      </c>
      <c r="I154" s="2167" t="e">
        <f t="shared" si="20"/>
        <v>#DIV/0!</v>
      </c>
      <c r="J154" s="2167" t="e">
        <f t="shared" si="20"/>
        <v>#DIV/0!</v>
      </c>
      <c r="K154" s="2167" t="e">
        <f t="shared" si="20"/>
        <v>#DIV/0!</v>
      </c>
      <c r="L154" s="2167" t="e">
        <f t="shared" si="20"/>
        <v>#DIV/0!</v>
      </c>
      <c r="M154" s="2167" t="e">
        <f t="shared" si="20"/>
        <v>#DIV/0!</v>
      </c>
      <c r="N154" s="2167" t="e">
        <f t="shared" si="20"/>
        <v>#DIV/0!</v>
      </c>
      <c r="O154" s="2167" t="e">
        <f t="shared" si="20"/>
        <v>#DIV/0!</v>
      </c>
      <c r="P154" s="2167" t="e">
        <f t="shared" si="20"/>
        <v>#DIV/0!</v>
      </c>
      <c r="Q154" s="2167" t="e">
        <f t="shared" si="20"/>
        <v>#DIV/0!</v>
      </c>
      <c r="R154" s="2167" t="e">
        <f t="shared" si="20"/>
        <v>#DIV/0!</v>
      </c>
      <c r="S154" s="2167" t="e">
        <f t="shared" si="20"/>
        <v>#DIV/0!</v>
      </c>
    </row>
    <row r="155" spans="2:19" x14ac:dyDescent="0.25">
      <c r="B155" s="2122" t="s">
        <v>228</v>
      </c>
      <c r="C155" s="2229">
        <f>C93-0</f>
        <v>0</v>
      </c>
      <c r="D155" s="2229">
        <f t="shared" ref="D155:S155" si="21">D93-0</f>
        <v>0</v>
      </c>
      <c r="E155" s="2229">
        <f t="shared" si="21"/>
        <v>0</v>
      </c>
      <c r="F155" s="2229">
        <f t="shared" si="21"/>
        <v>0</v>
      </c>
      <c r="G155" s="2229">
        <f t="shared" si="21"/>
        <v>0</v>
      </c>
      <c r="H155" s="2229">
        <f t="shared" si="21"/>
        <v>0</v>
      </c>
      <c r="I155" s="2229">
        <f t="shared" si="21"/>
        <v>0</v>
      </c>
      <c r="J155" s="2229">
        <f t="shared" si="21"/>
        <v>0</v>
      </c>
      <c r="K155" s="2229">
        <f t="shared" si="21"/>
        <v>0</v>
      </c>
      <c r="L155" s="2229">
        <f t="shared" si="21"/>
        <v>0</v>
      </c>
      <c r="M155" s="2229">
        <f t="shared" si="21"/>
        <v>0</v>
      </c>
      <c r="N155" s="2229">
        <f t="shared" si="21"/>
        <v>0</v>
      </c>
      <c r="O155" s="2229">
        <f t="shared" si="21"/>
        <v>0</v>
      </c>
      <c r="P155" s="2229">
        <f t="shared" si="21"/>
        <v>0</v>
      </c>
      <c r="Q155" s="2229">
        <f t="shared" si="21"/>
        <v>0</v>
      </c>
      <c r="R155" s="2229">
        <f t="shared" si="21"/>
        <v>0</v>
      </c>
      <c r="S155" s="2229">
        <f t="shared" si="21"/>
        <v>0</v>
      </c>
    </row>
    <row r="156" spans="2:19" x14ac:dyDescent="0.25">
      <c r="B156" s="1278" t="s">
        <v>229</v>
      </c>
      <c r="C156" s="1281" t="e">
        <f t="shared" si="19"/>
        <v>#DIV/0!</v>
      </c>
      <c r="D156" s="1281" t="e">
        <f t="shared" si="19"/>
        <v>#DIV/0!</v>
      </c>
      <c r="E156" s="1281" t="e">
        <f t="shared" si="19"/>
        <v>#DIV/0!</v>
      </c>
      <c r="F156" s="1281" t="e">
        <f t="shared" si="19"/>
        <v>#DIV/0!</v>
      </c>
      <c r="G156" s="1281" t="e">
        <f t="shared" si="19"/>
        <v>#DIV/0!</v>
      </c>
      <c r="H156" s="1281">
        <v>-1</v>
      </c>
      <c r="I156" s="1281">
        <v>-1</v>
      </c>
      <c r="J156" s="1281">
        <v>-1</v>
      </c>
      <c r="K156" s="1281">
        <v>-1</v>
      </c>
      <c r="L156" s="1281">
        <v>-1</v>
      </c>
      <c r="M156" s="1281">
        <v>-1</v>
      </c>
      <c r="N156" s="1281">
        <v>-1</v>
      </c>
      <c r="O156" s="1281">
        <v>-1</v>
      </c>
      <c r="P156" s="1281">
        <v>-1</v>
      </c>
      <c r="Q156" s="1281">
        <v>-1</v>
      </c>
      <c r="R156" s="1281">
        <v>-1</v>
      </c>
      <c r="S156" s="1281">
        <v>-1</v>
      </c>
    </row>
    <row r="157" spans="2:19" x14ac:dyDescent="0.25">
      <c r="B157" s="1278" t="s">
        <v>3140</v>
      </c>
      <c r="C157" s="1281" t="e">
        <f t="shared" si="19"/>
        <v>#DIV/0!</v>
      </c>
      <c r="D157" s="1281" t="e">
        <f t="shared" si="19"/>
        <v>#DIV/0!</v>
      </c>
      <c r="E157" s="1281" t="e">
        <f t="shared" si="19"/>
        <v>#DIV/0!</v>
      </c>
      <c r="F157" s="1281" t="e">
        <f t="shared" si="19"/>
        <v>#DIV/0!</v>
      </c>
      <c r="G157" s="1281" t="e">
        <f t="shared" si="19"/>
        <v>#DIV/0!</v>
      </c>
      <c r="H157" s="1281">
        <v>-1</v>
      </c>
      <c r="I157" s="1281">
        <v>-1</v>
      </c>
      <c r="J157" s="1281">
        <v>-1</v>
      </c>
      <c r="K157" s="1281">
        <v>-1</v>
      </c>
      <c r="L157" s="1281">
        <v>-1</v>
      </c>
      <c r="M157" s="1281">
        <v>-1</v>
      </c>
      <c r="N157" s="1281">
        <v>-1</v>
      </c>
      <c r="O157" s="1281">
        <v>-1</v>
      </c>
      <c r="P157" s="1281">
        <v>-1</v>
      </c>
      <c r="Q157" s="1281">
        <v>-1</v>
      </c>
      <c r="R157" s="1281">
        <v>-1</v>
      </c>
      <c r="S157" s="1281">
        <v>-1</v>
      </c>
    </row>
    <row r="158" spans="2:19" x14ac:dyDescent="0.25">
      <c r="B158" s="2122" t="s">
        <v>231</v>
      </c>
      <c r="C158" s="2167">
        <f t="shared" si="19"/>
        <v>0</v>
      </c>
      <c r="D158" s="2167">
        <f t="shared" si="19"/>
        <v>0</v>
      </c>
      <c r="E158" s="2167">
        <f t="shared" si="19"/>
        <v>0</v>
      </c>
      <c r="F158" s="2167">
        <f t="shared" si="19"/>
        <v>0</v>
      </c>
      <c r="G158" s="2167">
        <f t="shared" si="19"/>
        <v>0</v>
      </c>
      <c r="H158" s="2167">
        <f t="shared" si="19"/>
        <v>0</v>
      </c>
      <c r="I158" s="2167">
        <f t="shared" si="19"/>
        <v>0</v>
      </c>
      <c r="J158" s="2167">
        <f t="shared" si="19"/>
        <v>0</v>
      </c>
      <c r="K158" s="2167">
        <f t="shared" si="19"/>
        <v>0</v>
      </c>
      <c r="L158" s="2167">
        <f t="shared" si="19"/>
        <v>0</v>
      </c>
      <c r="M158" s="2167">
        <f t="shared" si="19"/>
        <v>0</v>
      </c>
      <c r="N158" s="2167">
        <f t="shared" si="19"/>
        <v>0</v>
      </c>
      <c r="O158" s="2167">
        <f t="shared" si="19"/>
        <v>0</v>
      </c>
      <c r="P158" s="2167">
        <f t="shared" si="19"/>
        <v>0</v>
      </c>
      <c r="Q158" s="2167">
        <f t="shared" si="19"/>
        <v>0</v>
      </c>
      <c r="R158" s="2167">
        <f t="shared" si="19"/>
        <v>0</v>
      </c>
      <c r="S158" s="2167">
        <f t="shared" si="19"/>
        <v>0</v>
      </c>
    </row>
    <row r="159" spans="2:19" x14ac:dyDescent="0.25">
      <c r="B159" s="2166" t="s">
        <v>3142</v>
      </c>
      <c r="C159" s="2164" t="e">
        <f>SUM(C131:C158)</f>
        <v>#DIV/0!</v>
      </c>
      <c r="D159" s="2164" t="e">
        <f t="shared" ref="D159:S159" si="22">SUM(D131:D158)</f>
        <v>#DIV/0!</v>
      </c>
      <c r="E159" s="2164" t="e">
        <f>SUM(E131:E158)</f>
        <v>#DIV/0!</v>
      </c>
      <c r="F159" s="2164" t="e">
        <f t="shared" si="22"/>
        <v>#DIV/0!</v>
      </c>
      <c r="G159" s="2164" t="e">
        <f t="shared" si="22"/>
        <v>#DIV/0!</v>
      </c>
      <c r="H159" s="2164" t="e">
        <f t="shared" si="22"/>
        <v>#REF!</v>
      </c>
      <c r="I159" s="2164" t="e">
        <f t="shared" si="22"/>
        <v>#REF!</v>
      </c>
      <c r="J159" s="2164" t="e">
        <f t="shared" si="22"/>
        <v>#REF!</v>
      </c>
      <c r="K159" s="2164" t="e">
        <f t="shared" si="22"/>
        <v>#REF!</v>
      </c>
      <c r="L159" s="2164" t="e">
        <f t="shared" si="22"/>
        <v>#REF!</v>
      </c>
      <c r="M159" s="2164" t="e">
        <f t="shared" si="22"/>
        <v>#REF!</v>
      </c>
      <c r="N159" s="2164" t="e">
        <f t="shared" si="22"/>
        <v>#REF!</v>
      </c>
      <c r="O159" s="2164" t="e">
        <f t="shared" si="22"/>
        <v>#REF!</v>
      </c>
      <c r="P159" s="2164" t="e">
        <f t="shared" si="22"/>
        <v>#REF!</v>
      </c>
      <c r="Q159" s="2164" t="e">
        <f t="shared" si="22"/>
        <v>#REF!</v>
      </c>
      <c r="R159" s="2164" t="e">
        <f t="shared" si="22"/>
        <v>#REF!</v>
      </c>
      <c r="S159" s="2165" t="e">
        <f t="shared" si="22"/>
        <v>#REF!</v>
      </c>
    </row>
    <row r="160" spans="2:19" x14ac:dyDescent="0.25">
      <c r="B160" s="2168" t="s">
        <v>3144</v>
      </c>
      <c r="C160" s="2170"/>
      <c r="D160" s="2170"/>
      <c r="E160" s="2170"/>
      <c r="F160" s="2170"/>
      <c r="G160" s="2170"/>
      <c r="H160" s="2170"/>
      <c r="I160" s="2170"/>
      <c r="J160" s="2170"/>
      <c r="K160" s="2170"/>
      <c r="L160" s="2170"/>
      <c r="M160" s="2170"/>
      <c r="N160" s="2170"/>
      <c r="O160" s="2170"/>
      <c r="P160" s="2170"/>
      <c r="Q160" s="2170"/>
      <c r="R160" s="2170"/>
      <c r="S160" s="2170"/>
    </row>
    <row r="161" spans="2:19" x14ac:dyDescent="0.25">
      <c r="B161" s="1278" t="s">
        <v>3145</v>
      </c>
      <c r="C161" s="589">
        <f t="shared" ref="C161:S165" si="23">C99-C38</f>
        <v>-1</v>
      </c>
      <c r="D161" s="589">
        <f t="shared" si="23"/>
        <v>-1</v>
      </c>
      <c r="E161" s="589">
        <f t="shared" si="23"/>
        <v>-1</v>
      </c>
      <c r="F161" s="589">
        <f t="shared" si="23"/>
        <v>-1</v>
      </c>
      <c r="G161" s="589">
        <f t="shared" si="23"/>
        <v>-1</v>
      </c>
      <c r="H161" s="589">
        <f t="shared" si="23"/>
        <v>-1</v>
      </c>
      <c r="I161" s="589">
        <f t="shared" si="23"/>
        <v>-1</v>
      </c>
      <c r="J161" s="589">
        <f t="shared" si="23"/>
        <v>-1</v>
      </c>
      <c r="K161" s="589">
        <f t="shared" si="23"/>
        <v>-1</v>
      </c>
      <c r="L161" s="589">
        <f t="shared" si="23"/>
        <v>-1</v>
      </c>
      <c r="M161" s="589">
        <f t="shared" si="23"/>
        <v>-1</v>
      </c>
      <c r="N161" s="589">
        <f t="shared" si="23"/>
        <v>-1</v>
      </c>
      <c r="O161" s="589">
        <f t="shared" si="23"/>
        <v>-1</v>
      </c>
      <c r="P161" s="589">
        <f t="shared" si="23"/>
        <v>-1</v>
      </c>
      <c r="Q161" s="589">
        <f t="shared" si="23"/>
        <v>-1</v>
      </c>
      <c r="R161" s="589">
        <f t="shared" si="23"/>
        <v>-1</v>
      </c>
      <c r="S161" s="589">
        <f t="shared" si="23"/>
        <v>-1</v>
      </c>
    </row>
    <row r="162" spans="2:19" x14ac:dyDescent="0.25">
      <c r="B162" s="2122" t="s">
        <v>3146</v>
      </c>
      <c r="C162" s="590">
        <f t="shared" si="23"/>
        <v>0</v>
      </c>
      <c r="D162" s="590">
        <f t="shared" si="23"/>
        <v>0</v>
      </c>
      <c r="E162" s="590">
        <f t="shared" si="23"/>
        <v>0</v>
      </c>
      <c r="F162" s="590">
        <f t="shared" si="23"/>
        <v>0</v>
      </c>
      <c r="G162" s="590">
        <f t="shared" si="23"/>
        <v>0</v>
      </c>
      <c r="H162" s="590">
        <f t="shared" si="23"/>
        <v>0</v>
      </c>
      <c r="I162" s="590">
        <f t="shared" si="23"/>
        <v>0</v>
      </c>
      <c r="J162" s="590">
        <f t="shared" si="23"/>
        <v>0</v>
      </c>
      <c r="K162" s="590">
        <f t="shared" si="23"/>
        <v>0</v>
      </c>
      <c r="L162" s="590">
        <f t="shared" si="23"/>
        <v>0</v>
      </c>
      <c r="M162" s="590">
        <f t="shared" si="23"/>
        <v>0</v>
      </c>
      <c r="N162" s="590">
        <f t="shared" si="23"/>
        <v>0</v>
      </c>
      <c r="O162" s="590">
        <f t="shared" si="23"/>
        <v>0</v>
      </c>
      <c r="P162" s="590">
        <f t="shared" si="23"/>
        <v>0</v>
      </c>
      <c r="Q162" s="590">
        <f t="shared" si="23"/>
        <v>0</v>
      </c>
      <c r="R162" s="590">
        <f t="shared" si="23"/>
        <v>0</v>
      </c>
      <c r="S162" s="590">
        <f t="shared" si="23"/>
        <v>0</v>
      </c>
    </row>
    <row r="163" spans="2:19" x14ac:dyDescent="0.25">
      <c r="B163" s="2122" t="s">
        <v>3147</v>
      </c>
      <c r="C163" s="590">
        <f t="shared" si="23"/>
        <v>0</v>
      </c>
      <c r="D163" s="590">
        <f t="shared" si="23"/>
        <v>0</v>
      </c>
      <c r="E163" s="590">
        <f t="shared" si="23"/>
        <v>0</v>
      </c>
      <c r="F163" s="590">
        <f t="shared" si="23"/>
        <v>0</v>
      </c>
      <c r="G163" s="590">
        <f t="shared" si="23"/>
        <v>0</v>
      </c>
      <c r="H163" s="590">
        <f t="shared" si="23"/>
        <v>0</v>
      </c>
      <c r="I163" s="590">
        <f t="shared" si="23"/>
        <v>0</v>
      </c>
      <c r="J163" s="590">
        <f t="shared" si="23"/>
        <v>0</v>
      </c>
      <c r="K163" s="590">
        <f t="shared" si="23"/>
        <v>0</v>
      </c>
      <c r="L163" s="590">
        <f t="shared" si="23"/>
        <v>0</v>
      </c>
      <c r="M163" s="590">
        <f t="shared" si="23"/>
        <v>0</v>
      </c>
      <c r="N163" s="590">
        <f t="shared" si="23"/>
        <v>0</v>
      </c>
      <c r="O163" s="590">
        <f t="shared" si="23"/>
        <v>0</v>
      </c>
      <c r="P163" s="590">
        <f t="shared" si="23"/>
        <v>0</v>
      </c>
      <c r="Q163" s="590">
        <f t="shared" si="23"/>
        <v>0</v>
      </c>
      <c r="R163" s="590">
        <f t="shared" si="23"/>
        <v>0</v>
      </c>
      <c r="S163" s="590">
        <f t="shared" si="23"/>
        <v>0</v>
      </c>
    </row>
    <row r="164" spans="2:19" x14ac:dyDescent="0.25">
      <c r="B164" s="2122" t="s">
        <v>3148</v>
      </c>
      <c r="C164" s="590">
        <f t="shared" si="23"/>
        <v>0</v>
      </c>
      <c r="D164" s="590">
        <f t="shared" si="23"/>
        <v>0</v>
      </c>
      <c r="E164" s="590">
        <f t="shared" si="23"/>
        <v>0</v>
      </c>
      <c r="F164" s="590">
        <f t="shared" si="23"/>
        <v>0</v>
      </c>
      <c r="G164" s="590">
        <f t="shared" si="23"/>
        <v>0</v>
      </c>
      <c r="H164" s="590">
        <f t="shared" si="23"/>
        <v>0</v>
      </c>
      <c r="I164" s="590">
        <f t="shared" si="23"/>
        <v>0</v>
      </c>
      <c r="J164" s="590">
        <f t="shared" si="23"/>
        <v>0</v>
      </c>
      <c r="K164" s="590">
        <f t="shared" si="23"/>
        <v>0</v>
      </c>
      <c r="L164" s="590">
        <f t="shared" si="23"/>
        <v>0</v>
      </c>
      <c r="M164" s="590">
        <f t="shared" si="23"/>
        <v>0</v>
      </c>
      <c r="N164" s="590">
        <f t="shared" si="23"/>
        <v>0</v>
      </c>
      <c r="O164" s="590">
        <f t="shared" si="23"/>
        <v>0</v>
      </c>
      <c r="P164" s="590">
        <f t="shared" si="23"/>
        <v>0</v>
      </c>
      <c r="Q164" s="590">
        <f t="shared" si="23"/>
        <v>0</v>
      </c>
      <c r="R164" s="590">
        <f t="shared" si="23"/>
        <v>0</v>
      </c>
      <c r="S164" s="590">
        <f t="shared" si="23"/>
        <v>0</v>
      </c>
    </row>
    <row r="165" spans="2:19" x14ac:dyDescent="0.25">
      <c r="B165" s="2122" t="s">
        <v>3149</v>
      </c>
      <c r="C165" s="590">
        <f t="shared" si="23"/>
        <v>0</v>
      </c>
      <c r="D165" s="590">
        <f t="shared" si="23"/>
        <v>0</v>
      </c>
      <c r="E165" s="590">
        <f t="shared" si="23"/>
        <v>0</v>
      </c>
      <c r="F165" s="590">
        <f t="shared" si="23"/>
        <v>0</v>
      </c>
      <c r="G165" s="590">
        <f t="shared" si="23"/>
        <v>0</v>
      </c>
      <c r="H165" s="590">
        <f t="shared" si="23"/>
        <v>0</v>
      </c>
      <c r="I165" s="590">
        <f t="shared" si="23"/>
        <v>0</v>
      </c>
      <c r="J165" s="590">
        <f t="shared" si="23"/>
        <v>0</v>
      </c>
      <c r="K165" s="590">
        <f t="shared" si="23"/>
        <v>0</v>
      </c>
      <c r="L165" s="590">
        <f t="shared" si="23"/>
        <v>0</v>
      </c>
      <c r="M165" s="590">
        <f t="shared" si="23"/>
        <v>0</v>
      </c>
      <c r="N165" s="590">
        <f t="shared" si="23"/>
        <v>0</v>
      </c>
      <c r="O165" s="590">
        <f t="shared" si="23"/>
        <v>0</v>
      </c>
      <c r="P165" s="590">
        <f t="shared" si="23"/>
        <v>0</v>
      </c>
      <c r="Q165" s="590">
        <f t="shared" si="23"/>
        <v>0</v>
      </c>
      <c r="R165" s="590">
        <f t="shared" si="23"/>
        <v>0</v>
      </c>
      <c r="S165" s="590">
        <f t="shared" si="23"/>
        <v>0</v>
      </c>
    </row>
    <row r="166" spans="2:19" x14ac:dyDescent="0.25">
      <c r="B166" s="2168" t="s">
        <v>3150</v>
      </c>
      <c r="C166" s="2170"/>
      <c r="D166" s="2170"/>
      <c r="E166" s="2170"/>
      <c r="F166" s="2170"/>
      <c r="G166" s="2170"/>
      <c r="H166" s="2170"/>
      <c r="I166" s="2170"/>
      <c r="J166" s="2170"/>
      <c r="K166" s="2170"/>
      <c r="L166" s="2170"/>
      <c r="M166" s="2170"/>
      <c r="N166" s="2170"/>
      <c r="O166" s="2170"/>
      <c r="P166" s="2170"/>
      <c r="Q166" s="2170"/>
      <c r="R166" s="2170"/>
      <c r="S166" s="2170"/>
    </row>
    <row r="167" spans="2:19" x14ac:dyDescent="0.25">
      <c r="B167" s="1278" t="str">
        <f>+B44</f>
        <v>Infomes+Admision y citas</v>
      </c>
      <c r="C167" s="589">
        <f>C105-C44</f>
        <v>-1</v>
      </c>
      <c r="D167" s="589">
        <f t="shared" ref="D167:S173" si="24">D105-D44</f>
        <v>-1</v>
      </c>
      <c r="E167" s="589">
        <f t="shared" si="24"/>
        <v>-1</v>
      </c>
      <c r="F167" s="589">
        <f t="shared" si="24"/>
        <v>-1</v>
      </c>
      <c r="G167" s="589">
        <f t="shared" si="24"/>
        <v>-1</v>
      </c>
      <c r="H167" s="589">
        <f t="shared" si="24"/>
        <v>-1</v>
      </c>
      <c r="I167" s="589">
        <f t="shared" si="24"/>
        <v>-1</v>
      </c>
      <c r="J167" s="589">
        <f t="shared" si="24"/>
        <v>-1</v>
      </c>
      <c r="K167" s="589">
        <f t="shared" si="24"/>
        <v>-1</v>
      </c>
      <c r="L167" s="589">
        <f t="shared" si="24"/>
        <v>-1</v>
      </c>
      <c r="M167" s="589">
        <f t="shared" si="24"/>
        <v>-1</v>
      </c>
      <c r="N167" s="589">
        <f t="shared" si="24"/>
        <v>-1</v>
      </c>
      <c r="O167" s="589">
        <f t="shared" si="24"/>
        <v>-1</v>
      </c>
      <c r="P167" s="589">
        <f t="shared" si="24"/>
        <v>-1</v>
      </c>
      <c r="Q167" s="589">
        <f t="shared" si="24"/>
        <v>-1</v>
      </c>
      <c r="R167" s="589">
        <f t="shared" si="24"/>
        <v>-1</v>
      </c>
      <c r="S167" s="589">
        <f t="shared" si="24"/>
        <v>-1</v>
      </c>
    </row>
    <row r="168" spans="2:19" x14ac:dyDescent="0.25">
      <c r="B168" s="2122" t="str">
        <f t="shared" ref="B168:B173" si="25">+B45</f>
        <v>Caja</v>
      </c>
      <c r="C168" s="590">
        <f t="shared" ref="C168:C173" si="26">C106-C45</f>
        <v>0</v>
      </c>
      <c r="D168" s="590">
        <f t="shared" si="24"/>
        <v>0</v>
      </c>
      <c r="E168" s="590">
        <f t="shared" si="24"/>
        <v>0</v>
      </c>
      <c r="F168" s="590">
        <f t="shared" si="24"/>
        <v>0</v>
      </c>
      <c r="G168" s="590">
        <f t="shared" si="24"/>
        <v>0</v>
      </c>
      <c r="H168" s="590">
        <f t="shared" si="24"/>
        <v>0</v>
      </c>
      <c r="I168" s="590">
        <f t="shared" si="24"/>
        <v>0</v>
      </c>
      <c r="J168" s="590">
        <f t="shared" si="24"/>
        <v>0</v>
      </c>
      <c r="K168" s="590">
        <f t="shared" si="24"/>
        <v>0</v>
      </c>
      <c r="L168" s="590">
        <f t="shared" si="24"/>
        <v>0</v>
      </c>
      <c r="M168" s="590">
        <f t="shared" si="24"/>
        <v>0</v>
      </c>
      <c r="N168" s="590">
        <f t="shared" si="24"/>
        <v>0</v>
      </c>
      <c r="O168" s="590">
        <f t="shared" si="24"/>
        <v>0</v>
      </c>
      <c r="P168" s="590">
        <f t="shared" si="24"/>
        <v>0</v>
      </c>
      <c r="Q168" s="590">
        <f t="shared" si="24"/>
        <v>0</v>
      </c>
      <c r="R168" s="590">
        <f t="shared" si="24"/>
        <v>0</v>
      </c>
      <c r="S168" s="590">
        <f t="shared" si="24"/>
        <v>0</v>
      </c>
    </row>
    <row r="169" spans="2:19" x14ac:dyDescent="0.25">
      <c r="B169" s="2122" t="str">
        <f t="shared" si="25"/>
        <v>Archivo Hsitorias clinicas</v>
      </c>
      <c r="C169" s="590">
        <f t="shared" si="26"/>
        <v>0</v>
      </c>
      <c r="D169" s="590">
        <f t="shared" si="24"/>
        <v>0</v>
      </c>
      <c r="E169" s="590">
        <f t="shared" si="24"/>
        <v>0</v>
      </c>
      <c r="F169" s="590">
        <f t="shared" si="24"/>
        <v>0</v>
      </c>
      <c r="G169" s="590">
        <f t="shared" si="24"/>
        <v>0</v>
      </c>
      <c r="H169" s="590">
        <f t="shared" si="24"/>
        <v>0</v>
      </c>
      <c r="I169" s="590">
        <f t="shared" si="24"/>
        <v>0</v>
      </c>
      <c r="J169" s="590">
        <f t="shared" si="24"/>
        <v>0</v>
      </c>
      <c r="K169" s="590">
        <f t="shared" si="24"/>
        <v>0</v>
      </c>
      <c r="L169" s="590">
        <f t="shared" si="24"/>
        <v>0</v>
      </c>
      <c r="M169" s="590">
        <f t="shared" si="24"/>
        <v>0</v>
      </c>
      <c r="N169" s="590">
        <f t="shared" si="24"/>
        <v>0</v>
      </c>
      <c r="O169" s="590">
        <f t="shared" si="24"/>
        <v>0</v>
      </c>
      <c r="P169" s="590">
        <f t="shared" si="24"/>
        <v>0</v>
      </c>
      <c r="Q169" s="590">
        <f t="shared" si="24"/>
        <v>0</v>
      </c>
      <c r="R169" s="590">
        <f t="shared" si="24"/>
        <v>0</v>
      </c>
      <c r="S169" s="590">
        <f t="shared" si="24"/>
        <v>0</v>
      </c>
    </row>
    <row r="170" spans="2:19" x14ac:dyDescent="0.25">
      <c r="B170" s="2122" t="str">
        <f t="shared" si="25"/>
        <v>Oficina de Seguros</v>
      </c>
      <c r="C170" s="590">
        <f t="shared" si="26"/>
        <v>0</v>
      </c>
      <c r="D170" s="590">
        <f t="shared" si="24"/>
        <v>0</v>
      </c>
      <c r="E170" s="590">
        <f t="shared" si="24"/>
        <v>0</v>
      </c>
      <c r="F170" s="590">
        <f t="shared" si="24"/>
        <v>0</v>
      </c>
      <c r="G170" s="590">
        <f t="shared" si="24"/>
        <v>0</v>
      </c>
      <c r="H170" s="590">
        <f t="shared" si="24"/>
        <v>0</v>
      </c>
      <c r="I170" s="590">
        <f t="shared" si="24"/>
        <v>0</v>
      </c>
      <c r="J170" s="590">
        <f t="shared" si="24"/>
        <v>0</v>
      </c>
      <c r="K170" s="590">
        <f t="shared" si="24"/>
        <v>0</v>
      </c>
      <c r="L170" s="590">
        <f t="shared" si="24"/>
        <v>0</v>
      </c>
      <c r="M170" s="590">
        <f t="shared" si="24"/>
        <v>0</v>
      </c>
      <c r="N170" s="590">
        <f t="shared" si="24"/>
        <v>0</v>
      </c>
      <c r="O170" s="590">
        <f t="shared" si="24"/>
        <v>0</v>
      </c>
      <c r="P170" s="590">
        <f t="shared" si="24"/>
        <v>0</v>
      </c>
      <c r="Q170" s="590">
        <f t="shared" si="24"/>
        <v>0</v>
      </c>
      <c r="R170" s="590">
        <f t="shared" si="24"/>
        <v>0</v>
      </c>
      <c r="S170" s="590">
        <f t="shared" si="24"/>
        <v>0</v>
      </c>
    </row>
    <row r="171" spans="2:19" x14ac:dyDescent="0.25">
      <c r="B171" s="1278" t="str">
        <f t="shared" si="25"/>
        <v>Referencias y Contrareferencias</v>
      </c>
      <c r="C171" s="589">
        <f t="shared" si="26"/>
        <v>-1</v>
      </c>
      <c r="D171" s="589">
        <f t="shared" si="24"/>
        <v>-1</v>
      </c>
      <c r="E171" s="589">
        <f t="shared" si="24"/>
        <v>-1</v>
      </c>
      <c r="F171" s="589">
        <f t="shared" si="24"/>
        <v>-1</v>
      </c>
      <c r="G171" s="589">
        <f t="shared" si="24"/>
        <v>-1</v>
      </c>
      <c r="H171" s="589">
        <f t="shared" si="24"/>
        <v>-1</v>
      </c>
      <c r="I171" s="589">
        <f t="shared" si="24"/>
        <v>-1</v>
      </c>
      <c r="J171" s="589">
        <f t="shared" si="24"/>
        <v>-1</v>
      </c>
      <c r="K171" s="589">
        <f t="shared" si="24"/>
        <v>-1</v>
      </c>
      <c r="L171" s="589">
        <f t="shared" si="24"/>
        <v>-1</v>
      </c>
      <c r="M171" s="589">
        <f t="shared" si="24"/>
        <v>-1</v>
      </c>
      <c r="N171" s="589">
        <f t="shared" si="24"/>
        <v>-1</v>
      </c>
      <c r="O171" s="589">
        <f t="shared" si="24"/>
        <v>-1</v>
      </c>
      <c r="P171" s="589">
        <f t="shared" si="24"/>
        <v>-1</v>
      </c>
      <c r="Q171" s="589">
        <f t="shared" si="24"/>
        <v>-1</v>
      </c>
      <c r="R171" s="589">
        <f t="shared" si="24"/>
        <v>-1</v>
      </c>
      <c r="S171" s="589">
        <f t="shared" si="24"/>
        <v>-1</v>
      </c>
    </row>
    <row r="172" spans="2:19" x14ac:dyDescent="0.25">
      <c r="B172" s="1278" t="str">
        <f t="shared" si="25"/>
        <v>RENIEC</v>
      </c>
      <c r="C172" s="589">
        <f t="shared" si="26"/>
        <v>-1</v>
      </c>
      <c r="D172" s="589">
        <f t="shared" si="24"/>
        <v>-1</v>
      </c>
      <c r="E172" s="589">
        <f t="shared" si="24"/>
        <v>-1</v>
      </c>
      <c r="F172" s="589">
        <f t="shared" si="24"/>
        <v>-1</v>
      </c>
      <c r="G172" s="589">
        <f t="shared" si="24"/>
        <v>-1</v>
      </c>
      <c r="H172" s="589">
        <f t="shared" si="24"/>
        <v>-1</v>
      </c>
      <c r="I172" s="589">
        <f t="shared" si="24"/>
        <v>-1</v>
      </c>
      <c r="J172" s="589">
        <f t="shared" si="24"/>
        <v>-1</v>
      </c>
      <c r="K172" s="589">
        <f t="shared" si="24"/>
        <v>-1</v>
      </c>
      <c r="L172" s="589">
        <f t="shared" si="24"/>
        <v>-1</v>
      </c>
      <c r="M172" s="589">
        <f t="shared" si="24"/>
        <v>-1</v>
      </c>
      <c r="N172" s="589">
        <f t="shared" si="24"/>
        <v>-1</v>
      </c>
      <c r="O172" s="589">
        <f t="shared" si="24"/>
        <v>-1</v>
      </c>
      <c r="P172" s="589">
        <f t="shared" si="24"/>
        <v>-1</v>
      </c>
      <c r="Q172" s="589">
        <f t="shared" si="24"/>
        <v>-1</v>
      </c>
      <c r="R172" s="589">
        <f t="shared" si="24"/>
        <v>-1</v>
      </c>
      <c r="S172" s="589">
        <f t="shared" si="24"/>
        <v>-1</v>
      </c>
    </row>
    <row r="173" spans="2:19" x14ac:dyDescent="0.25">
      <c r="B173" s="1278" t="str">
        <f t="shared" si="25"/>
        <v>Asistenta Social</v>
      </c>
      <c r="C173" s="589">
        <f t="shared" si="26"/>
        <v>-1</v>
      </c>
      <c r="D173" s="589">
        <f t="shared" si="24"/>
        <v>-1</v>
      </c>
      <c r="E173" s="589">
        <f t="shared" si="24"/>
        <v>-1</v>
      </c>
      <c r="F173" s="589">
        <f t="shared" si="24"/>
        <v>-1</v>
      </c>
      <c r="G173" s="589">
        <f t="shared" si="24"/>
        <v>-1</v>
      </c>
      <c r="H173" s="589">
        <f t="shared" si="24"/>
        <v>-1</v>
      </c>
      <c r="I173" s="589">
        <f t="shared" si="24"/>
        <v>-1</v>
      </c>
      <c r="J173" s="589">
        <f t="shared" si="24"/>
        <v>-1</v>
      </c>
      <c r="K173" s="589">
        <f t="shared" si="24"/>
        <v>-1</v>
      </c>
      <c r="L173" s="589">
        <f t="shared" si="24"/>
        <v>-1</v>
      </c>
      <c r="M173" s="589">
        <f t="shared" si="24"/>
        <v>-1</v>
      </c>
      <c r="N173" s="589">
        <f t="shared" si="24"/>
        <v>-1</v>
      </c>
      <c r="O173" s="589">
        <f t="shared" si="24"/>
        <v>-1</v>
      </c>
      <c r="P173" s="589">
        <f t="shared" si="24"/>
        <v>-1</v>
      </c>
      <c r="Q173" s="589">
        <f t="shared" si="24"/>
        <v>-1</v>
      </c>
      <c r="R173" s="589">
        <f t="shared" si="24"/>
        <v>-1</v>
      </c>
      <c r="S173" s="589">
        <f t="shared" si="24"/>
        <v>-1</v>
      </c>
    </row>
    <row r="174" spans="2:19" x14ac:dyDescent="0.25">
      <c r="B174" s="2168" t="s">
        <v>3152</v>
      </c>
      <c r="C174" s="2170"/>
      <c r="D174" s="2170"/>
      <c r="E174" s="2170"/>
      <c r="F174" s="2170"/>
      <c r="G174" s="2170"/>
      <c r="H174" s="2170"/>
      <c r="I174" s="2170"/>
      <c r="J174" s="2170"/>
      <c r="K174" s="2170"/>
      <c r="L174" s="2170"/>
      <c r="M174" s="2170"/>
      <c r="N174" s="2170"/>
      <c r="O174" s="2170"/>
      <c r="P174" s="2170"/>
      <c r="Q174" s="2170"/>
      <c r="R174" s="2170"/>
      <c r="S174" s="2170"/>
    </row>
    <row r="175" spans="2:19" x14ac:dyDescent="0.25">
      <c r="B175" s="2122" t="s">
        <v>3153</v>
      </c>
      <c r="C175" s="590">
        <f t="shared" ref="C175:S175" si="27">C113-C52</f>
        <v>0</v>
      </c>
      <c r="D175" s="590">
        <f t="shared" si="27"/>
        <v>0</v>
      </c>
      <c r="E175" s="590">
        <f t="shared" si="27"/>
        <v>0</v>
      </c>
      <c r="F175" s="590">
        <f t="shared" si="27"/>
        <v>0</v>
      </c>
      <c r="G175" s="590">
        <f t="shared" si="27"/>
        <v>0</v>
      </c>
      <c r="H175" s="590">
        <f t="shared" si="27"/>
        <v>0</v>
      </c>
      <c r="I175" s="590">
        <f t="shared" si="27"/>
        <v>0</v>
      </c>
      <c r="J175" s="590">
        <f t="shared" si="27"/>
        <v>0</v>
      </c>
      <c r="K175" s="590">
        <f t="shared" si="27"/>
        <v>0</v>
      </c>
      <c r="L175" s="590">
        <f t="shared" si="27"/>
        <v>0</v>
      </c>
      <c r="M175" s="590">
        <f t="shared" si="27"/>
        <v>0</v>
      </c>
      <c r="N175" s="590">
        <f t="shared" si="27"/>
        <v>0</v>
      </c>
      <c r="O175" s="590">
        <f t="shared" si="27"/>
        <v>0</v>
      </c>
      <c r="P175" s="590">
        <f t="shared" si="27"/>
        <v>0</v>
      </c>
      <c r="Q175" s="590">
        <f t="shared" si="27"/>
        <v>0</v>
      </c>
      <c r="R175" s="590">
        <f t="shared" si="27"/>
        <v>0</v>
      </c>
      <c r="S175" s="590">
        <f t="shared" si="27"/>
        <v>0</v>
      </c>
    </row>
    <row r="176" spans="2:19" x14ac:dyDescent="0.25">
      <c r="B176" s="2168" t="s">
        <v>3154</v>
      </c>
      <c r="C176" s="2170"/>
      <c r="D176" s="2170"/>
      <c r="E176" s="2170"/>
      <c r="F176" s="2170"/>
      <c r="G176" s="2170"/>
      <c r="H176" s="2170"/>
      <c r="I176" s="2170"/>
      <c r="J176" s="2170"/>
      <c r="K176" s="2170"/>
      <c r="L176" s="2170"/>
      <c r="M176" s="2170"/>
      <c r="N176" s="2170"/>
      <c r="O176" s="2170"/>
      <c r="P176" s="2170"/>
      <c r="Q176" s="2170"/>
      <c r="R176" s="2170"/>
      <c r="S176" s="2170"/>
    </row>
    <row r="177" spans="2:19" x14ac:dyDescent="0.25">
      <c r="B177" s="2122" t="s">
        <v>3155</v>
      </c>
      <c r="C177" s="590">
        <f t="shared" ref="C177:S177" si="28">C115-C54</f>
        <v>0</v>
      </c>
      <c r="D177" s="590">
        <f t="shared" si="28"/>
        <v>0</v>
      </c>
      <c r="E177" s="590">
        <f t="shared" si="28"/>
        <v>0</v>
      </c>
      <c r="F177" s="590">
        <f t="shared" si="28"/>
        <v>0</v>
      </c>
      <c r="G177" s="590">
        <f t="shared" si="28"/>
        <v>0</v>
      </c>
      <c r="H177" s="590">
        <f t="shared" si="28"/>
        <v>0</v>
      </c>
      <c r="I177" s="590">
        <f t="shared" si="28"/>
        <v>0</v>
      </c>
      <c r="J177" s="590">
        <f t="shared" si="28"/>
        <v>0</v>
      </c>
      <c r="K177" s="590">
        <f t="shared" si="28"/>
        <v>0</v>
      </c>
      <c r="L177" s="590">
        <f t="shared" si="28"/>
        <v>0</v>
      </c>
      <c r="M177" s="590">
        <f t="shared" si="28"/>
        <v>0</v>
      </c>
      <c r="N177" s="590">
        <f t="shared" si="28"/>
        <v>0</v>
      </c>
      <c r="O177" s="590">
        <f t="shared" si="28"/>
        <v>0</v>
      </c>
      <c r="P177" s="590">
        <f t="shared" si="28"/>
        <v>0</v>
      </c>
      <c r="Q177" s="590">
        <f t="shared" si="28"/>
        <v>0</v>
      </c>
      <c r="R177" s="590">
        <f t="shared" si="28"/>
        <v>0</v>
      </c>
      <c r="S177" s="590">
        <f t="shared" si="28"/>
        <v>0</v>
      </c>
    </row>
    <row r="178" spans="2:19" x14ac:dyDescent="0.25">
      <c r="B178" s="2168" t="s">
        <v>3156</v>
      </c>
      <c r="C178" s="2170"/>
      <c r="D178" s="2170"/>
      <c r="E178" s="2170"/>
      <c r="F178" s="2170"/>
      <c r="G178" s="2170"/>
      <c r="H178" s="2170"/>
      <c r="I178" s="2170"/>
      <c r="J178" s="2170"/>
      <c r="K178" s="2170"/>
      <c r="L178" s="2170"/>
      <c r="M178" s="2170"/>
      <c r="N178" s="2170"/>
      <c r="O178" s="2170"/>
      <c r="P178" s="2170"/>
      <c r="Q178" s="2170"/>
      <c r="R178" s="2170"/>
      <c r="S178" s="2170"/>
    </row>
    <row r="179" spans="2:19" x14ac:dyDescent="0.25">
      <c r="B179" s="2122" t="s">
        <v>3157</v>
      </c>
      <c r="C179" s="590">
        <f>C117-C56</f>
        <v>0</v>
      </c>
      <c r="D179" s="590">
        <f t="shared" ref="D179:S179" si="29">D117-D56</f>
        <v>0</v>
      </c>
      <c r="E179" s="590">
        <f t="shared" si="29"/>
        <v>0</v>
      </c>
      <c r="F179" s="590">
        <f t="shared" si="29"/>
        <v>0</v>
      </c>
      <c r="G179" s="590">
        <f t="shared" si="29"/>
        <v>0</v>
      </c>
      <c r="H179" s="590">
        <f t="shared" si="29"/>
        <v>0</v>
      </c>
      <c r="I179" s="590">
        <f t="shared" si="29"/>
        <v>0</v>
      </c>
      <c r="J179" s="590">
        <f t="shared" si="29"/>
        <v>0</v>
      </c>
      <c r="K179" s="590">
        <f t="shared" si="29"/>
        <v>0</v>
      </c>
      <c r="L179" s="590">
        <f t="shared" si="29"/>
        <v>0</v>
      </c>
      <c r="M179" s="590">
        <f t="shared" si="29"/>
        <v>0</v>
      </c>
      <c r="N179" s="590">
        <f t="shared" si="29"/>
        <v>0</v>
      </c>
      <c r="O179" s="590">
        <f t="shared" si="29"/>
        <v>0</v>
      </c>
      <c r="P179" s="590">
        <f t="shared" si="29"/>
        <v>0</v>
      </c>
      <c r="Q179" s="590">
        <f t="shared" si="29"/>
        <v>0</v>
      </c>
      <c r="R179" s="590">
        <f t="shared" si="29"/>
        <v>0</v>
      </c>
      <c r="S179" s="590">
        <f t="shared" si="29"/>
        <v>0</v>
      </c>
    </row>
    <row r="180" spans="2:19" x14ac:dyDescent="0.25">
      <c r="B180" s="2168" t="s">
        <v>3158</v>
      </c>
      <c r="C180" s="2170"/>
      <c r="D180" s="2170"/>
      <c r="E180" s="2170"/>
      <c r="F180" s="2170"/>
      <c r="G180" s="2170"/>
      <c r="H180" s="2170"/>
      <c r="I180" s="2170"/>
      <c r="J180" s="2170"/>
      <c r="K180" s="2170"/>
      <c r="L180" s="2170"/>
      <c r="M180" s="2170"/>
      <c r="N180" s="2170"/>
      <c r="O180" s="2170"/>
      <c r="P180" s="2170"/>
      <c r="Q180" s="2170"/>
      <c r="R180" s="2170"/>
      <c r="S180" s="2170"/>
    </row>
    <row r="181" spans="2:19" x14ac:dyDescent="0.25">
      <c r="B181" s="1278" t="s">
        <v>3159</v>
      </c>
      <c r="C181" s="589">
        <f>C119-C58</f>
        <v>-1</v>
      </c>
      <c r="D181" s="589">
        <f t="shared" ref="D181:S181" si="30">D119-D58</f>
        <v>-1</v>
      </c>
      <c r="E181" s="589">
        <f t="shared" si="30"/>
        <v>-1</v>
      </c>
      <c r="F181" s="589">
        <f t="shared" si="30"/>
        <v>-1</v>
      </c>
      <c r="G181" s="589">
        <f t="shared" si="30"/>
        <v>-1</v>
      </c>
      <c r="H181" s="589">
        <f t="shared" si="30"/>
        <v>-1</v>
      </c>
      <c r="I181" s="589">
        <f t="shared" si="30"/>
        <v>-1</v>
      </c>
      <c r="J181" s="589">
        <f t="shared" si="30"/>
        <v>-1</v>
      </c>
      <c r="K181" s="589">
        <f t="shared" si="30"/>
        <v>-1</v>
      </c>
      <c r="L181" s="589">
        <f t="shared" si="30"/>
        <v>-1</v>
      </c>
      <c r="M181" s="589">
        <f t="shared" si="30"/>
        <v>-1</v>
      </c>
      <c r="N181" s="589">
        <f t="shared" si="30"/>
        <v>-1</v>
      </c>
      <c r="O181" s="589">
        <f t="shared" si="30"/>
        <v>-1</v>
      </c>
      <c r="P181" s="589">
        <f t="shared" si="30"/>
        <v>-1</v>
      </c>
      <c r="Q181" s="589">
        <f t="shared" si="30"/>
        <v>-1</v>
      </c>
      <c r="R181" s="589">
        <f t="shared" si="30"/>
        <v>-1</v>
      </c>
      <c r="S181" s="589">
        <f t="shared" si="30"/>
        <v>-1</v>
      </c>
    </row>
    <row r="182" spans="2:19" x14ac:dyDescent="0.25">
      <c r="B182" s="1278" t="s">
        <v>3160</v>
      </c>
      <c r="C182" s="589">
        <f t="shared" ref="C182:S185" si="31">C120-C59</f>
        <v>-1</v>
      </c>
      <c r="D182" s="589">
        <f t="shared" si="31"/>
        <v>-1</v>
      </c>
      <c r="E182" s="589">
        <f t="shared" si="31"/>
        <v>-1</v>
      </c>
      <c r="F182" s="589">
        <f t="shared" si="31"/>
        <v>-1</v>
      </c>
      <c r="G182" s="589">
        <f t="shared" si="31"/>
        <v>-1</v>
      </c>
      <c r="H182" s="589">
        <f t="shared" si="31"/>
        <v>-1</v>
      </c>
      <c r="I182" s="589">
        <f t="shared" si="31"/>
        <v>-1</v>
      </c>
      <c r="J182" s="589">
        <f t="shared" si="31"/>
        <v>-1</v>
      </c>
      <c r="K182" s="589">
        <f t="shared" si="31"/>
        <v>-1</v>
      </c>
      <c r="L182" s="589">
        <f t="shared" si="31"/>
        <v>-1</v>
      </c>
      <c r="M182" s="589">
        <f t="shared" si="31"/>
        <v>-1</v>
      </c>
      <c r="N182" s="589">
        <f t="shared" si="31"/>
        <v>-1</v>
      </c>
      <c r="O182" s="589">
        <f t="shared" si="31"/>
        <v>-1</v>
      </c>
      <c r="P182" s="589">
        <f t="shared" si="31"/>
        <v>-1</v>
      </c>
      <c r="Q182" s="589">
        <f t="shared" si="31"/>
        <v>-1</v>
      </c>
      <c r="R182" s="589">
        <f t="shared" si="31"/>
        <v>-1</v>
      </c>
      <c r="S182" s="589">
        <f t="shared" si="31"/>
        <v>-1</v>
      </c>
    </row>
    <row r="183" spans="2:19" x14ac:dyDescent="0.25">
      <c r="B183" s="1278" t="s">
        <v>3161</v>
      </c>
      <c r="C183" s="589">
        <f t="shared" si="31"/>
        <v>-1</v>
      </c>
      <c r="D183" s="589">
        <f t="shared" si="31"/>
        <v>-1</v>
      </c>
      <c r="E183" s="589">
        <f t="shared" si="31"/>
        <v>-1</v>
      </c>
      <c r="F183" s="589">
        <f t="shared" si="31"/>
        <v>-1</v>
      </c>
      <c r="G183" s="589">
        <f t="shared" si="31"/>
        <v>-1</v>
      </c>
      <c r="H183" s="589">
        <f t="shared" si="31"/>
        <v>-1</v>
      </c>
      <c r="I183" s="589">
        <f t="shared" si="31"/>
        <v>-1</v>
      </c>
      <c r="J183" s="589">
        <f t="shared" si="31"/>
        <v>-1</v>
      </c>
      <c r="K183" s="589">
        <f t="shared" si="31"/>
        <v>-1</v>
      </c>
      <c r="L183" s="589">
        <f t="shared" si="31"/>
        <v>-1</v>
      </c>
      <c r="M183" s="589">
        <f t="shared" si="31"/>
        <v>-1</v>
      </c>
      <c r="N183" s="589">
        <f t="shared" si="31"/>
        <v>-1</v>
      </c>
      <c r="O183" s="589">
        <f t="shared" si="31"/>
        <v>-1</v>
      </c>
      <c r="P183" s="589">
        <f t="shared" si="31"/>
        <v>-1</v>
      </c>
      <c r="Q183" s="589">
        <f t="shared" si="31"/>
        <v>-1</v>
      </c>
      <c r="R183" s="589">
        <f t="shared" si="31"/>
        <v>-1</v>
      </c>
      <c r="S183" s="589">
        <f t="shared" si="31"/>
        <v>-1</v>
      </c>
    </row>
    <row r="184" spans="2:19" x14ac:dyDescent="0.25">
      <c r="B184" s="1278" t="s">
        <v>3162</v>
      </c>
      <c r="C184" s="589">
        <f t="shared" si="31"/>
        <v>-2</v>
      </c>
      <c r="D184" s="589">
        <f t="shared" si="31"/>
        <v>-2</v>
      </c>
      <c r="E184" s="589">
        <f t="shared" si="31"/>
        <v>-2</v>
      </c>
      <c r="F184" s="589">
        <f t="shared" si="31"/>
        <v>-2</v>
      </c>
      <c r="G184" s="589">
        <f t="shared" si="31"/>
        <v>-2</v>
      </c>
      <c r="H184" s="589">
        <f t="shared" si="31"/>
        <v>-2</v>
      </c>
      <c r="I184" s="589">
        <f t="shared" si="31"/>
        <v>-2</v>
      </c>
      <c r="J184" s="589">
        <f t="shared" si="31"/>
        <v>-2</v>
      </c>
      <c r="K184" s="589">
        <f t="shared" si="31"/>
        <v>-2</v>
      </c>
      <c r="L184" s="589">
        <f t="shared" si="31"/>
        <v>-2</v>
      </c>
      <c r="M184" s="589">
        <f t="shared" si="31"/>
        <v>-2</v>
      </c>
      <c r="N184" s="589">
        <f t="shared" si="31"/>
        <v>-2</v>
      </c>
      <c r="O184" s="589">
        <f t="shared" si="31"/>
        <v>-2</v>
      </c>
      <c r="P184" s="589">
        <f t="shared" si="31"/>
        <v>-2</v>
      </c>
      <c r="Q184" s="589">
        <f t="shared" si="31"/>
        <v>-2</v>
      </c>
      <c r="R184" s="589">
        <f t="shared" si="31"/>
        <v>-2</v>
      </c>
      <c r="S184" s="589">
        <f t="shared" si="31"/>
        <v>-2</v>
      </c>
    </row>
    <row r="185" spans="2:19" x14ac:dyDescent="0.25">
      <c r="B185" s="2122" t="s">
        <v>3176</v>
      </c>
      <c r="C185" s="590">
        <f t="shared" si="31"/>
        <v>0</v>
      </c>
      <c r="D185" s="590">
        <f t="shared" si="31"/>
        <v>0</v>
      </c>
      <c r="E185" s="590">
        <f t="shared" si="31"/>
        <v>0</v>
      </c>
      <c r="F185" s="590">
        <f t="shared" si="31"/>
        <v>0</v>
      </c>
      <c r="G185" s="590">
        <f t="shared" si="31"/>
        <v>0</v>
      </c>
      <c r="H185" s="590">
        <f t="shared" si="31"/>
        <v>0</v>
      </c>
      <c r="I185" s="590">
        <f t="shared" si="31"/>
        <v>0</v>
      </c>
      <c r="J185" s="590">
        <f t="shared" si="31"/>
        <v>0</v>
      </c>
      <c r="K185" s="590">
        <f t="shared" si="31"/>
        <v>0</v>
      </c>
      <c r="L185" s="590">
        <f t="shared" si="31"/>
        <v>0</v>
      </c>
      <c r="M185" s="590">
        <f t="shared" si="31"/>
        <v>0</v>
      </c>
      <c r="N185" s="590">
        <f t="shared" si="31"/>
        <v>0</v>
      </c>
      <c r="O185" s="590">
        <f t="shared" si="31"/>
        <v>0</v>
      </c>
      <c r="P185" s="590">
        <f t="shared" si="31"/>
        <v>0</v>
      </c>
      <c r="Q185" s="590">
        <f t="shared" si="31"/>
        <v>0</v>
      </c>
      <c r="R185" s="590">
        <f t="shared" si="31"/>
        <v>0</v>
      </c>
      <c r="S185" s="590">
        <f t="shared" si="31"/>
        <v>0</v>
      </c>
    </row>
    <row r="186" spans="2:19" x14ac:dyDescent="0.25">
      <c r="B186" s="2166" t="s">
        <v>3164</v>
      </c>
      <c r="C186" s="2125">
        <f>SUM(C161:C185)</f>
        <v>-10</v>
      </c>
      <c r="D186" s="2125">
        <f t="shared" ref="D186:S186" si="32">SUM(D161:D185)</f>
        <v>-10</v>
      </c>
      <c r="E186" s="2125">
        <f t="shared" si="32"/>
        <v>-10</v>
      </c>
      <c r="F186" s="2125">
        <f t="shared" si="32"/>
        <v>-10</v>
      </c>
      <c r="G186" s="2125">
        <f t="shared" si="32"/>
        <v>-10</v>
      </c>
      <c r="H186" s="2125">
        <f t="shared" si="32"/>
        <v>-10</v>
      </c>
      <c r="I186" s="2125">
        <f t="shared" si="32"/>
        <v>-10</v>
      </c>
      <c r="J186" s="2125">
        <f t="shared" si="32"/>
        <v>-10</v>
      </c>
      <c r="K186" s="2125">
        <f t="shared" si="32"/>
        <v>-10</v>
      </c>
      <c r="L186" s="2125">
        <f t="shared" si="32"/>
        <v>-10</v>
      </c>
      <c r="M186" s="2125">
        <f t="shared" si="32"/>
        <v>-10</v>
      </c>
      <c r="N186" s="2125">
        <f t="shared" si="32"/>
        <v>-10</v>
      </c>
      <c r="O186" s="2125">
        <f t="shared" si="32"/>
        <v>-10</v>
      </c>
      <c r="P186" s="2125">
        <f t="shared" si="32"/>
        <v>-10</v>
      </c>
      <c r="Q186" s="2125">
        <f t="shared" si="32"/>
        <v>-10</v>
      </c>
      <c r="R186" s="2125">
        <f t="shared" si="32"/>
        <v>-10</v>
      </c>
      <c r="S186" s="2126">
        <f t="shared" si="32"/>
        <v>-10</v>
      </c>
    </row>
    <row r="189" spans="2:19" x14ac:dyDescent="0.25">
      <c r="B189" s="1144" t="s">
        <v>3835</v>
      </c>
      <c r="C189" s="1596"/>
    </row>
    <row r="190" spans="2:19" x14ac:dyDescent="0.25">
      <c r="B190" s="689"/>
      <c r="C190" s="1596"/>
    </row>
    <row r="191" spans="2:19" x14ac:dyDescent="0.25">
      <c r="B191" s="4754" t="s">
        <v>3112</v>
      </c>
      <c r="C191" s="2136">
        <v>0</v>
      </c>
      <c r="D191" s="2136">
        <v>0</v>
      </c>
      <c r="E191" s="2159">
        <v>1</v>
      </c>
      <c r="F191" s="2159">
        <f>E191+1</f>
        <v>2</v>
      </c>
      <c r="G191" s="2159">
        <f>F191+1</f>
        <v>3</v>
      </c>
      <c r="H191" s="2159">
        <f t="shared" ref="H191:S191" si="33">G191+1</f>
        <v>4</v>
      </c>
      <c r="I191" s="2159">
        <f t="shared" si="33"/>
        <v>5</v>
      </c>
      <c r="J191" s="2159">
        <f t="shared" si="33"/>
        <v>6</v>
      </c>
      <c r="K191" s="2159">
        <f t="shared" si="33"/>
        <v>7</v>
      </c>
      <c r="L191" s="2159">
        <f t="shared" si="33"/>
        <v>8</v>
      </c>
      <c r="M191" s="2159">
        <f t="shared" si="33"/>
        <v>9</v>
      </c>
      <c r="N191" s="2159">
        <f t="shared" si="33"/>
        <v>10</v>
      </c>
      <c r="O191" s="2159">
        <f t="shared" si="33"/>
        <v>11</v>
      </c>
      <c r="P191" s="2159">
        <f t="shared" si="33"/>
        <v>12</v>
      </c>
      <c r="Q191" s="2159">
        <f t="shared" si="33"/>
        <v>13</v>
      </c>
      <c r="R191" s="2159">
        <f t="shared" si="33"/>
        <v>14</v>
      </c>
      <c r="S191" s="2160">
        <f t="shared" si="33"/>
        <v>15</v>
      </c>
    </row>
    <row r="192" spans="2:19" x14ac:dyDescent="0.25">
      <c r="B192" s="4755"/>
      <c r="C192" s="2137">
        <v>2018</v>
      </c>
      <c r="D192" s="2137">
        <f>C192+1</f>
        <v>2019</v>
      </c>
      <c r="E192" s="2161">
        <f t="shared" ref="E192:S192" si="34">D192+1</f>
        <v>2020</v>
      </c>
      <c r="F192" s="2161">
        <f t="shared" si="34"/>
        <v>2021</v>
      </c>
      <c r="G192" s="2161">
        <f t="shared" si="34"/>
        <v>2022</v>
      </c>
      <c r="H192" s="2161">
        <f t="shared" si="34"/>
        <v>2023</v>
      </c>
      <c r="I192" s="2161">
        <f t="shared" si="34"/>
        <v>2024</v>
      </c>
      <c r="J192" s="2161">
        <f t="shared" si="34"/>
        <v>2025</v>
      </c>
      <c r="K192" s="2161">
        <f t="shared" si="34"/>
        <v>2026</v>
      </c>
      <c r="L192" s="2161">
        <f t="shared" si="34"/>
        <v>2027</v>
      </c>
      <c r="M192" s="2161">
        <f t="shared" si="34"/>
        <v>2028</v>
      </c>
      <c r="N192" s="2161">
        <f t="shared" si="34"/>
        <v>2029</v>
      </c>
      <c r="O192" s="2161">
        <f t="shared" si="34"/>
        <v>2030</v>
      </c>
      <c r="P192" s="2161">
        <f t="shared" si="34"/>
        <v>2031</v>
      </c>
      <c r="Q192" s="2161">
        <f t="shared" si="34"/>
        <v>2032</v>
      </c>
      <c r="R192" s="2161">
        <f t="shared" si="34"/>
        <v>2033</v>
      </c>
      <c r="S192" s="2162">
        <f t="shared" si="34"/>
        <v>2034</v>
      </c>
    </row>
    <row r="193" spans="2:19" ht="13.5" customHeight="1" x14ac:dyDescent="0.25">
      <c r="B193" s="1278" t="s">
        <v>206</v>
      </c>
      <c r="C193" s="1281" t="e">
        <f t="shared" ref="C193:G207" si="35">+C8</f>
        <v>#DIV/0!</v>
      </c>
      <c r="D193" s="1281" t="e">
        <f t="shared" si="35"/>
        <v>#DIV/0!</v>
      </c>
      <c r="E193" s="1281" t="e">
        <f t="shared" si="35"/>
        <v>#DIV/0!</v>
      </c>
      <c r="F193" s="1281" t="e">
        <f t="shared" si="35"/>
        <v>#DIV/0!</v>
      </c>
      <c r="G193" s="1281" t="e">
        <f t="shared" si="35"/>
        <v>#DIV/0!</v>
      </c>
      <c r="H193" s="2235" t="e">
        <f t="shared" ref="H193:S208" si="36">H8</f>
        <v>#DIV/0!</v>
      </c>
      <c r="I193" s="2235" t="e">
        <f t="shared" si="36"/>
        <v>#DIV/0!</v>
      </c>
      <c r="J193" s="2235" t="e">
        <f t="shared" si="36"/>
        <v>#DIV/0!</v>
      </c>
      <c r="K193" s="2235" t="e">
        <f t="shared" si="36"/>
        <v>#DIV/0!</v>
      </c>
      <c r="L193" s="2235" t="e">
        <f t="shared" si="36"/>
        <v>#DIV/0!</v>
      </c>
      <c r="M193" s="2235" t="e">
        <f t="shared" si="36"/>
        <v>#DIV/0!</v>
      </c>
      <c r="N193" s="2235" t="e">
        <f t="shared" si="36"/>
        <v>#DIV/0!</v>
      </c>
      <c r="O193" s="2235" t="e">
        <f t="shared" si="36"/>
        <v>#DIV/0!</v>
      </c>
      <c r="P193" s="2235" t="e">
        <f t="shared" si="36"/>
        <v>#DIV/0!</v>
      </c>
      <c r="Q193" s="2235" t="e">
        <f t="shared" si="36"/>
        <v>#DIV/0!</v>
      </c>
      <c r="R193" s="2235" t="e">
        <f t="shared" si="36"/>
        <v>#DIV/0!</v>
      </c>
      <c r="S193" s="2235" t="e">
        <f t="shared" si="36"/>
        <v>#DIV/0!</v>
      </c>
    </row>
    <row r="194" spans="2:19" ht="13.5" customHeight="1" x14ac:dyDescent="0.25">
      <c r="B194" s="1278" t="s">
        <v>3126</v>
      </c>
      <c r="C194" s="1281" t="e">
        <f t="shared" si="35"/>
        <v>#DIV/0!</v>
      </c>
      <c r="D194" s="1281" t="e">
        <f t="shared" si="35"/>
        <v>#DIV/0!</v>
      </c>
      <c r="E194" s="1281" t="e">
        <f t="shared" si="35"/>
        <v>#DIV/0!</v>
      </c>
      <c r="F194" s="1281" t="e">
        <f t="shared" si="35"/>
        <v>#DIV/0!</v>
      </c>
      <c r="G194" s="1281" t="e">
        <f t="shared" si="35"/>
        <v>#DIV/0!</v>
      </c>
      <c r="H194" s="2235" t="e">
        <f t="shared" si="36"/>
        <v>#DIV/0!</v>
      </c>
      <c r="I194" s="2235" t="e">
        <f t="shared" si="36"/>
        <v>#DIV/0!</v>
      </c>
      <c r="J194" s="2235" t="e">
        <f t="shared" si="36"/>
        <v>#DIV/0!</v>
      </c>
      <c r="K194" s="2235" t="e">
        <f t="shared" si="36"/>
        <v>#DIV/0!</v>
      </c>
      <c r="L194" s="2235" t="e">
        <f t="shared" si="36"/>
        <v>#DIV/0!</v>
      </c>
      <c r="M194" s="2235" t="e">
        <f t="shared" si="36"/>
        <v>#DIV/0!</v>
      </c>
      <c r="N194" s="2235" t="e">
        <f t="shared" si="36"/>
        <v>#DIV/0!</v>
      </c>
      <c r="O194" s="2235" t="e">
        <f t="shared" si="36"/>
        <v>#DIV/0!</v>
      </c>
      <c r="P194" s="2235" t="e">
        <f t="shared" si="36"/>
        <v>#DIV/0!</v>
      </c>
      <c r="Q194" s="2235" t="e">
        <f t="shared" si="36"/>
        <v>#DIV/0!</v>
      </c>
      <c r="R194" s="2235" t="e">
        <f t="shared" si="36"/>
        <v>#DIV/0!</v>
      </c>
      <c r="S194" s="2235" t="e">
        <f t="shared" si="36"/>
        <v>#DIV/0!</v>
      </c>
    </row>
    <row r="195" spans="2:19" ht="13.5" customHeight="1" x14ac:dyDescent="0.25">
      <c r="B195" s="2122" t="s">
        <v>3127</v>
      </c>
      <c r="C195" s="2167">
        <f t="shared" si="35"/>
        <v>0</v>
      </c>
      <c r="D195" s="2167">
        <f t="shared" si="35"/>
        <v>0</v>
      </c>
      <c r="E195" s="2167">
        <f t="shared" si="35"/>
        <v>0</v>
      </c>
      <c r="F195" s="2167">
        <f t="shared" si="35"/>
        <v>0</v>
      </c>
      <c r="G195" s="2167">
        <f t="shared" si="35"/>
        <v>0</v>
      </c>
      <c r="H195" s="2237">
        <f t="shared" si="36"/>
        <v>0</v>
      </c>
      <c r="I195" s="2237">
        <f t="shared" si="36"/>
        <v>0</v>
      </c>
      <c r="J195" s="2237">
        <f t="shared" si="36"/>
        <v>0</v>
      </c>
      <c r="K195" s="2237">
        <f t="shared" si="36"/>
        <v>0</v>
      </c>
      <c r="L195" s="2237">
        <f t="shared" si="36"/>
        <v>0</v>
      </c>
      <c r="M195" s="2237">
        <f t="shared" si="36"/>
        <v>0</v>
      </c>
      <c r="N195" s="2237">
        <f t="shared" si="36"/>
        <v>0</v>
      </c>
      <c r="O195" s="2237">
        <f t="shared" si="36"/>
        <v>0</v>
      </c>
      <c r="P195" s="2237">
        <f t="shared" si="36"/>
        <v>0</v>
      </c>
      <c r="Q195" s="2237">
        <f t="shared" si="36"/>
        <v>0</v>
      </c>
      <c r="R195" s="2237">
        <f t="shared" si="36"/>
        <v>0</v>
      </c>
      <c r="S195" s="2237">
        <f t="shared" si="36"/>
        <v>0</v>
      </c>
    </row>
    <row r="196" spans="2:19" ht="13.5" customHeight="1" x14ac:dyDescent="0.25">
      <c r="B196" s="1278" t="s">
        <v>3128</v>
      </c>
      <c r="C196" s="1281" t="e">
        <f t="shared" si="35"/>
        <v>#DIV/0!</v>
      </c>
      <c r="D196" s="1281" t="e">
        <f t="shared" si="35"/>
        <v>#DIV/0!</v>
      </c>
      <c r="E196" s="1281" t="e">
        <f t="shared" si="35"/>
        <v>#DIV/0!</v>
      </c>
      <c r="F196" s="1281" t="e">
        <f t="shared" si="35"/>
        <v>#DIV/0!</v>
      </c>
      <c r="G196" s="1281" t="e">
        <f t="shared" si="35"/>
        <v>#DIV/0!</v>
      </c>
      <c r="H196" s="2236" t="e">
        <f t="shared" si="36"/>
        <v>#DIV/0!</v>
      </c>
      <c r="I196" s="2236" t="e">
        <f t="shared" si="36"/>
        <v>#DIV/0!</v>
      </c>
      <c r="J196" s="2236" t="e">
        <f t="shared" si="36"/>
        <v>#DIV/0!</v>
      </c>
      <c r="K196" s="2236" t="e">
        <f t="shared" si="36"/>
        <v>#DIV/0!</v>
      </c>
      <c r="L196" s="2236" t="e">
        <f t="shared" si="36"/>
        <v>#DIV/0!</v>
      </c>
      <c r="M196" s="2236" t="e">
        <f t="shared" si="36"/>
        <v>#DIV/0!</v>
      </c>
      <c r="N196" s="2236" t="e">
        <f t="shared" si="36"/>
        <v>#DIV/0!</v>
      </c>
      <c r="O196" s="2236" t="e">
        <f t="shared" si="36"/>
        <v>#DIV/0!</v>
      </c>
      <c r="P196" s="2236" t="e">
        <f t="shared" si="36"/>
        <v>#DIV/0!</v>
      </c>
      <c r="Q196" s="2236" t="e">
        <f t="shared" si="36"/>
        <v>#DIV/0!</v>
      </c>
      <c r="R196" s="2236" t="e">
        <f t="shared" si="36"/>
        <v>#DIV/0!</v>
      </c>
      <c r="S196" s="2236" t="e">
        <f t="shared" si="36"/>
        <v>#DIV/0!</v>
      </c>
    </row>
    <row r="197" spans="2:19" ht="13.5" customHeight="1" x14ac:dyDescent="0.25">
      <c r="B197" s="2122" t="s">
        <v>3129</v>
      </c>
      <c r="C197" s="2167">
        <v>0</v>
      </c>
      <c r="D197" s="2167">
        <v>0</v>
      </c>
      <c r="E197" s="2167">
        <v>0</v>
      </c>
      <c r="F197" s="2167">
        <v>0</v>
      </c>
      <c r="G197" s="2167">
        <v>0</v>
      </c>
      <c r="H197" s="2237">
        <f t="shared" si="36"/>
        <v>0</v>
      </c>
      <c r="I197" s="2237">
        <f t="shared" si="36"/>
        <v>0</v>
      </c>
      <c r="J197" s="2237">
        <f t="shared" si="36"/>
        <v>0</v>
      </c>
      <c r="K197" s="2237">
        <f t="shared" si="36"/>
        <v>0</v>
      </c>
      <c r="L197" s="2237">
        <f t="shared" si="36"/>
        <v>0</v>
      </c>
      <c r="M197" s="2237">
        <f t="shared" si="36"/>
        <v>0</v>
      </c>
      <c r="N197" s="2237">
        <f t="shared" si="36"/>
        <v>0</v>
      </c>
      <c r="O197" s="2237">
        <f t="shared" si="36"/>
        <v>0</v>
      </c>
      <c r="P197" s="2237">
        <f t="shared" si="36"/>
        <v>0</v>
      </c>
      <c r="Q197" s="2237">
        <f t="shared" si="36"/>
        <v>0</v>
      </c>
      <c r="R197" s="2237">
        <f t="shared" si="36"/>
        <v>0</v>
      </c>
      <c r="S197" s="2237">
        <f t="shared" si="36"/>
        <v>0</v>
      </c>
    </row>
    <row r="198" spans="2:19" ht="13.5" customHeight="1" x14ac:dyDescent="0.25">
      <c r="B198" s="2122" t="s">
        <v>3130</v>
      </c>
      <c r="C198" s="2167">
        <v>0</v>
      </c>
      <c r="D198" s="2167">
        <v>0</v>
      </c>
      <c r="E198" s="2167">
        <v>0</v>
      </c>
      <c r="F198" s="2167">
        <v>0</v>
      </c>
      <c r="G198" s="2167">
        <v>0</v>
      </c>
      <c r="H198" s="2237">
        <f t="shared" si="36"/>
        <v>0</v>
      </c>
      <c r="I198" s="2237">
        <f t="shared" si="36"/>
        <v>0</v>
      </c>
      <c r="J198" s="2237">
        <f t="shared" si="36"/>
        <v>0</v>
      </c>
      <c r="K198" s="2237">
        <f t="shared" si="36"/>
        <v>0</v>
      </c>
      <c r="L198" s="2237">
        <f t="shared" si="36"/>
        <v>0</v>
      </c>
      <c r="M198" s="2237">
        <f t="shared" si="36"/>
        <v>0</v>
      </c>
      <c r="N198" s="2237">
        <f t="shared" si="36"/>
        <v>0</v>
      </c>
      <c r="O198" s="2237">
        <f t="shared" si="36"/>
        <v>0</v>
      </c>
      <c r="P198" s="2237">
        <f t="shared" si="36"/>
        <v>0</v>
      </c>
      <c r="Q198" s="2237">
        <f t="shared" si="36"/>
        <v>0</v>
      </c>
      <c r="R198" s="2237">
        <f t="shared" si="36"/>
        <v>0</v>
      </c>
      <c r="S198" s="2237">
        <f t="shared" si="36"/>
        <v>0</v>
      </c>
    </row>
    <row r="199" spans="2:19" ht="13.5" customHeight="1" x14ac:dyDescent="0.25">
      <c r="B199" s="2122" t="s">
        <v>3131</v>
      </c>
      <c r="C199" s="2167">
        <v>0</v>
      </c>
      <c r="D199" s="2167">
        <v>0</v>
      </c>
      <c r="E199" s="2167">
        <v>0</v>
      </c>
      <c r="F199" s="2167">
        <v>0</v>
      </c>
      <c r="G199" s="2167">
        <v>0</v>
      </c>
      <c r="H199" s="2237">
        <f t="shared" si="36"/>
        <v>0</v>
      </c>
      <c r="I199" s="2237">
        <f t="shared" si="36"/>
        <v>0</v>
      </c>
      <c r="J199" s="2237">
        <f t="shared" si="36"/>
        <v>0</v>
      </c>
      <c r="K199" s="2237">
        <f t="shared" si="36"/>
        <v>0</v>
      </c>
      <c r="L199" s="2237">
        <f t="shared" si="36"/>
        <v>0</v>
      </c>
      <c r="M199" s="2237">
        <f t="shared" si="36"/>
        <v>0</v>
      </c>
      <c r="N199" s="2237">
        <f t="shared" si="36"/>
        <v>0</v>
      </c>
      <c r="O199" s="2237">
        <f t="shared" si="36"/>
        <v>0</v>
      </c>
      <c r="P199" s="2237">
        <f t="shared" si="36"/>
        <v>0</v>
      </c>
      <c r="Q199" s="2237">
        <f t="shared" si="36"/>
        <v>0</v>
      </c>
      <c r="R199" s="2237">
        <f t="shared" si="36"/>
        <v>0</v>
      </c>
      <c r="S199" s="2237">
        <f t="shared" si="36"/>
        <v>0</v>
      </c>
    </row>
    <row r="200" spans="2:19" ht="13.5" customHeight="1" x14ac:dyDescent="0.25">
      <c r="B200" s="1278" t="s">
        <v>3132</v>
      </c>
      <c r="C200" s="1281" t="e">
        <f t="shared" si="35"/>
        <v>#DIV/0!</v>
      </c>
      <c r="D200" s="1281" t="e">
        <f t="shared" si="35"/>
        <v>#DIV/0!</v>
      </c>
      <c r="E200" s="1281" t="e">
        <f t="shared" si="35"/>
        <v>#DIV/0!</v>
      </c>
      <c r="F200" s="1281" t="e">
        <f t="shared" si="35"/>
        <v>#DIV/0!</v>
      </c>
      <c r="G200" s="1281" t="e">
        <f t="shared" si="35"/>
        <v>#DIV/0!</v>
      </c>
      <c r="H200" s="2235" t="e">
        <f t="shared" si="36"/>
        <v>#DIV/0!</v>
      </c>
      <c r="I200" s="2235" t="e">
        <f t="shared" si="36"/>
        <v>#DIV/0!</v>
      </c>
      <c r="J200" s="2235" t="e">
        <f t="shared" si="36"/>
        <v>#DIV/0!</v>
      </c>
      <c r="K200" s="2235" t="e">
        <f t="shared" si="36"/>
        <v>#DIV/0!</v>
      </c>
      <c r="L200" s="2235" t="e">
        <f t="shared" si="36"/>
        <v>#DIV/0!</v>
      </c>
      <c r="M200" s="2235" t="e">
        <f t="shared" si="36"/>
        <v>#DIV/0!</v>
      </c>
      <c r="N200" s="2235" t="e">
        <f t="shared" si="36"/>
        <v>#DIV/0!</v>
      </c>
      <c r="O200" s="2235" t="e">
        <f t="shared" si="36"/>
        <v>#DIV/0!</v>
      </c>
      <c r="P200" s="2235" t="e">
        <f t="shared" si="36"/>
        <v>#DIV/0!</v>
      </c>
      <c r="Q200" s="2235" t="e">
        <f t="shared" si="36"/>
        <v>#DIV/0!</v>
      </c>
      <c r="R200" s="2235" t="e">
        <f t="shared" si="36"/>
        <v>#DIV/0!</v>
      </c>
      <c r="S200" s="2235" t="e">
        <f t="shared" si="36"/>
        <v>#DIV/0!</v>
      </c>
    </row>
    <row r="201" spans="2:19" ht="13.5" customHeight="1" x14ac:dyDescent="0.25">
      <c r="B201" s="2122" t="s">
        <v>3133</v>
      </c>
      <c r="C201" s="2167">
        <v>0</v>
      </c>
      <c r="D201" s="2167">
        <v>0</v>
      </c>
      <c r="E201" s="2167">
        <v>0</v>
      </c>
      <c r="F201" s="2167">
        <v>0</v>
      </c>
      <c r="G201" s="2167">
        <v>0</v>
      </c>
      <c r="H201" s="2237">
        <f t="shared" si="36"/>
        <v>0</v>
      </c>
      <c r="I201" s="2237">
        <f t="shared" si="36"/>
        <v>0</v>
      </c>
      <c r="J201" s="2237">
        <f t="shared" si="36"/>
        <v>0</v>
      </c>
      <c r="K201" s="2237">
        <f t="shared" si="36"/>
        <v>0</v>
      </c>
      <c r="L201" s="2237">
        <f t="shared" si="36"/>
        <v>0</v>
      </c>
      <c r="M201" s="2237">
        <f t="shared" si="36"/>
        <v>0</v>
      </c>
      <c r="N201" s="2237">
        <f t="shared" si="36"/>
        <v>0</v>
      </c>
      <c r="O201" s="2237">
        <f t="shared" si="36"/>
        <v>0</v>
      </c>
      <c r="P201" s="2237">
        <f t="shared" si="36"/>
        <v>0</v>
      </c>
      <c r="Q201" s="2237">
        <f t="shared" si="36"/>
        <v>0</v>
      </c>
      <c r="R201" s="2237">
        <f t="shared" si="36"/>
        <v>0</v>
      </c>
      <c r="S201" s="2237">
        <f t="shared" si="36"/>
        <v>0</v>
      </c>
    </row>
    <row r="202" spans="2:19" ht="13.5" customHeight="1" x14ac:dyDescent="0.25">
      <c r="B202" s="2122" t="s">
        <v>3134</v>
      </c>
      <c r="C202" s="2167">
        <v>0</v>
      </c>
      <c r="D202" s="2167">
        <v>0</v>
      </c>
      <c r="E202" s="2167">
        <v>0</v>
      </c>
      <c r="F202" s="2167">
        <v>0</v>
      </c>
      <c r="G202" s="2167">
        <v>0</v>
      </c>
      <c r="H202" s="2237">
        <f t="shared" si="36"/>
        <v>0</v>
      </c>
      <c r="I202" s="2237">
        <f t="shared" si="36"/>
        <v>0</v>
      </c>
      <c r="J202" s="2237">
        <f t="shared" si="36"/>
        <v>0</v>
      </c>
      <c r="K202" s="2237">
        <f t="shared" si="36"/>
        <v>0</v>
      </c>
      <c r="L202" s="2237">
        <f t="shared" si="36"/>
        <v>0</v>
      </c>
      <c r="M202" s="2237">
        <f t="shared" si="36"/>
        <v>0</v>
      </c>
      <c r="N202" s="2237">
        <f t="shared" si="36"/>
        <v>0</v>
      </c>
      <c r="O202" s="2237">
        <f t="shared" si="36"/>
        <v>0</v>
      </c>
      <c r="P202" s="2237">
        <f t="shared" si="36"/>
        <v>0</v>
      </c>
      <c r="Q202" s="2237">
        <f t="shared" si="36"/>
        <v>0</v>
      </c>
      <c r="R202" s="2237">
        <f t="shared" si="36"/>
        <v>0</v>
      </c>
      <c r="S202" s="2237">
        <f t="shared" si="36"/>
        <v>0</v>
      </c>
    </row>
    <row r="203" spans="2:19" ht="13.5" customHeight="1" x14ac:dyDescent="0.25">
      <c r="B203" s="2122" t="s">
        <v>3135</v>
      </c>
      <c r="C203" s="2167">
        <v>0</v>
      </c>
      <c r="D203" s="2167">
        <v>0</v>
      </c>
      <c r="E203" s="2167">
        <v>0</v>
      </c>
      <c r="F203" s="2167">
        <v>0</v>
      </c>
      <c r="G203" s="2167">
        <v>0</v>
      </c>
      <c r="H203" s="2237">
        <f t="shared" si="36"/>
        <v>0</v>
      </c>
      <c r="I203" s="2237">
        <f t="shared" si="36"/>
        <v>0</v>
      </c>
      <c r="J203" s="2237">
        <f t="shared" si="36"/>
        <v>0</v>
      </c>
      <c r="K203" s="2237">
        <f t="shared" si="36"/>
        <v>0</v>
      </c>
      <c r="L203" s="2237">
        <f t="shared" si="36"/>
        <v>0</v>
      </c>
      <c r="M203" s="2237">
        <f t="shared" si="36"/>
        <v>0</v>
      </c>
      <c r="N203" s="2237">
        <f t="shared" si="36"/>
        <v>0</v>
      </c>
      <c r="O203" s="2237">
        <f t="shared" si="36"/>
        <v>0</v>
      </c>
      <c r="P203" s="2237">
        <f t="shared" si="36"/>
        <v>0</v>
      </c>
      <c r="Q203" s="2237">
        <f t="shared" si="36"/>
        <v>0</v>
      </c>
      <c r="R203" s="2237">
        <f t="shared" si="36"/>
        <v>0</v>
      </c>
      <c r="S203" s="2237">
        <f t="shared" si="36"/>
        <v>0</v>
      </c>
    </row>
    <row r="204" spans="2:19" ht="13.5" customHeight="1" x14ac:dyDescent="0.25">
      <c r="B204" s="2122" t="s">
        <v>3136</v>
      </c>
      <c r="C204" s="2167">
        <v>0</v>
      </c>
      <c r="D204" s="2167">
        <v>0</v>
      </c>
      <c r="E204" s="2167">
        <v>0</v>
      </c>
      <c r="F204" s="2167">
        <v>0</v>
      </c>
      <c r="G204" s="2167">
        <v>0</v>
      </c>
      <c r="H204" s="2237">
        <f t="shared" si="36"/>
        <v>0</v>
      </c>
      <c r="I204" s="2237">
        <f t="shared" si="36"/>
        <v>0</v>
      </c>
      <c r="J204" s="2237">
        <f t="shared" si="36"/>
        <v>0</v>
      </c>
      <c r="K204" s="2237">
        <f t="shared" si="36"/>
        <v>0</v>
      </c>
      <c r="L204" s="2237">
        <f t="shared" si="36"/>
        <v>0</v>
      </c>
      <c r="M204" s="2237">
        <f t="shared" si="36"/>
        <v>0</v>
      </c>
      <c r="N204" s="2237">
        <f t="shared" si="36"/>
        <v>0</v>
      </c>
      <c r="O204" s="2237">
        <f t="shared" si="36"/>
        <v>0</v>
      </c>
      <c r="P204" s="2237">
        <f t="shared" si="36"/>
        <v>0</v>
      </c>
      <c r="Q204" s="2237">
        <f t="shared" si="36"/>
        <v>0</v>
      </c>
      <c r="R204" s="2237">
        <f t="shared" si="36"/>
        <v>0</v>
      </c>
      <c r="S204" s="2237">
        <f t="shared" si="36"/>
        <v>0</v>
      </c>
    </row>
    <row r="205" spans="2:19" ht="13.5" customHeight="1" x14ac:dyDescent="0.25">
      <c r="B205" s="1278" t="s">
        <v>216</v>
      </c>
      <c r="C205" s="1281" t="e">
        <f t="shared" si="35"/>
        <v>#REF!</v>
      </c>
      <c r="D205" s="1281" t="e">
        <f t="shared" si="35"/>
        <v>#REF!</v>
      </c>
      <c r="E205" s="1281" t="e">
        <f t="shared" si="35"/>
        <v>#REF!</v>
      </c>
      <c r="F205" s="1281" t="e">
        <f t="shared" si="35"/>
        <v>#REF!</v>
      </c>
      <c r="G205" s="1281" t="e">
        <f t="shared" si="35"/>
        <v>#REF!</v>
      </c>
      <c r="H205" s="2235" t="e">
        <f t="shared" si="36"/>
        <v>#REF!</v>
      </c>
      <c r="I205" s="2235" t="e">
        <f t="shared" si="36"/>
        <v>#REF!</v>
      </c>
      <c r="J205" s="2235" t="e">
        <f t="shared" si="36"/>
        <v>#REF!</v>
      </c>
      <c r="K205" s="2235" t="e">
        <f t="shared" si="36"/>
        <v>#REF!</v>
      </c>
      <c r="L205" s="2235" t="e">
        <f t="shared" si="36"/>
        <v>#REF!</v>
      </c>
      <c r="M205" s="2235" t="e">
        <f t="shared" si="36"/>
        <v>#REF!</v>
      </c>
      <c r="N205" s="2235" t="e">
        <f t="shared" si="36"/>
        <v>#REF!</v>
      </c>
      <c r="O205" s="2235" t="e">
        <f t="shared" si="36"/>
        <v>#REF!</v>
      </c>
      <c r="P205" s="2235" t="e">
        <f t="shared" si="36"/>
        <v>#REF!</v>
      </c>
      <c r="Q205" s="2235" t="e">
        <f t="shared" si="36"/>
        <v>#REF!</v>
      </c>
      <c r="R205" s="2235" t="e">
        <f t="shared" si="36"/>
        <v>#REF!</v>
      </c>
      <c r="S205" s="2235" t="e">
        <f t="shared" si="36"/>
        <v>#REF!</v>
      </c>
    </row>
    <row r="206" spans="2:19" ht="13.5" customHeight="1" x14ac:dyDescent="0.25">
      <c r="B206" s="1278" t="s">
        <v>217</v>
      </c>
      <c r="C206" s="1281" t="e">
        <f t="shared" si="35"/>
        <v>#DIV/0!</v>
      </c>
      <c r="D206" s="1281" t="e">
        <f t="shared" si="35"/>
        <v>#DIV/0!</v>
      </c>
      <c r="E206" s="1281" t="e">
        <f t="shared" si="35"/>
        <v>#DIV/0!</v>
      </c>
      <c r="F206" s="1281" t="e">
        <f t="shared" si="35"/>
        <v>#DIV/0!</v>
      </c>
      <c r="G206" s="1281" t="e">
        <f t="shared" si="35"/>
        <v>#DIV/0!</v>
      </c>
      <c r="H206" s="2235" t="e">
        <f t="shared" si="36"/>
        <v>#DIV/0!</v>
      </c>
      <c r="I206" s="2235" t="e">
        <f t="shared" si="36"/>
        <v>#DIV/0!</v>
      </c>
      <c r="J206" s="2235" t="e">
        <f t="shared" si="36"/>
        <v>#DIV/0!</v>
      </c>
      <c r="K206" s="2235" t="e">
        <f t="shared" si="36"/>
        <v>#DIV/0!</v>
      </c>
      <c r="L206" s="2235" t="e">
        <f t="shared" si="36"/>
        <v>#DIV/0!</v>
      </c>
      <c r="M206" s="2235" t="e">
        <f t="shared" si="36"/>
        <v>#DIV/0!</v>
      </c>
      <c r="N206" s="2235">
        <f t="shared" si="36"/>
        <v>10</v>
      </c>
      <c r="O206" s="2235" t="e">
        <f t="shared" si="36"/>
        <v>#DIV/0!</v>
      </c>
      <c r="P206" s="2235" t="e">
        <f t="shared" si="36"/>
        <v>#DIV/0!</v>
      </c>
      <c r="Q206" s="2235" t="e">
        <f t="shared" si="36"/>
        <v>#DIV/0!</v>
      </c>
      <c r="R206" s="2235" t="e">
        <f t="shared" si="36"/>
        <v>#DIV/0!</v>
      </c>
      <c r="S206" s="2235" t="e">
        <f t="shared" si="36"/>
        <v>#DIV/0!</v>
      </c>
    </row>
    <row r="207" spans="2:19" ht="13.5" customHeight="1" x14ac:dyDescent="0.25">
      <c r="B207" s="1278" t="s">
        <v>218</v>
      </c>
      <c r="C207" s="1281" t="e">
        <f t="shared" si="35"/>
        <v>#REF!</v>
      </c>
      <c r="D207" s="1281" t="e">
        <f t="shared" si="35"/>
        <v>#REF!</v>
      </c>
      <c r="E207" s="1281" t="e">
        <f t="shared" si="35"/>
        <v>#REF!</v>
      </c>
      <c r="F207" s="1281" t="e">
        <f t="shared" si="35"/>
        <v>#REF!</v>
      </c>
      <c r="G207" s="1281" t="e">
        <f t="shared" si="35"/>
        <v>#REF!</v>
      </c>
      <c r="H207" s="2235" t="e">
        <f t="shared" si="36"/>
        <v>#REF!</v>
      </c>
      <c r="I207" s="2235" t="e">
        <f t="shared" si="36"/>
        <v>#REF!</v>
      </c>
      <c r="J207" s="2235" t="e">
        <f t="shared" si="36"/>
        <v>#REF!</v>
      </c>
      <c r="K207" s="2235" t="e">
        <f t="shared" si="36"/>
        <v>#REF!</v>
      </c>
      <c r="L207" s="2235" t="e">
        <f t="shared" si="36"/>
        <v>#REF!</v>
      </c>
      <c r="M207" s="2235" t="e">
        <f t="shared" si="36"/>
        <v>#REF!</v>
      </c>
      <c r="N207" s="2235" t="e">
        <f t="shared" si="36"/>
        <v>#REF!</v>
      </c>
      <c r="O207" s="2235" t="e">
        <f t="shared" si="36"/>
        <v>#REF!</v>
      </c>
      <c r="P207" s="2235" t="e">
        <f t="shared" si="36"/>
        <v>#REF!</v>
      </c>
      <c r="Q207" s="2235" t="e">
        <f t="shared" si="36"/>
        <v>#REF!</v>
      </c>
      <c r="R207" s="2235" t="e">
        <f t="shared" si="36"/>
        <v>#REF!</v>
      </c>
      <c r="S207" s="2235" t="e">
        <f t="shared" si="36"/>
        <v>#REF!</v>
      </c>
    </row>
    <row r="208" spans="2:19" ht="13.5" customHeight="1" x14ac:dyDescent="0.25">
      <c r="B208" s="1278" t="s">
        <v>353</v>
      </c>
      <c r="C208" s="1281" t="e">
        <f t="shared" ref="C208:G219" si="37">+C23</f>
        <v>#REF!</v>
      </c>
      <c r="D208" s="1281" t="e">
        <f t="shared" si="37"/>
        <v>#REF!</v>
      </c>
      <c r="E208" s="1281" t="e">
        <f t="shared" si="37"/>
        <v>#REF!</v>
      </c>
      <c r="F208" s="1281" t="e">
        <f t="shared" si="37"/>
        <v>#REF!</v>
      </c>
      <c r="G208" s="1281" t="e">
        <f t="shared" si="37"/>
        <v>#REF!</v>
      </c>
      <c r="H208" s="2235" t="e">
        <f t="shared" si="36"/>
        <v>#REF!</v>
      </c>
      <c r="I208" s="2235" t="e">
        <f t="shared" si="36"/>
        <v>#REF!</v>
      </c>
      <c r="J208" s="2235" t="e">
        <f t="shared" si="36"/>
        <v>#REF!</v>
      </c>
      <c r="K208" s="2235" t="e">
        <f t="shared" si="36"/>
        <v>#REF!</v>
      </c>
      <c r="L208" s="2235" t="e">
        <f t="shared" si="36"/>
        <v>#REF!</v>
      </c>
      <c r="M208" s="2235" t="e">
        <f t="shared" si="36"/>
        <v>#REF!</v>
      </c>
      <c r="N208" s="2235" t="e">
        <f t="shared" si="36"/>
        <v>#REF!</v>
      </c>
      <c r="O208" s="2235" t="e">
        <f t="shared" si="36"/>
        <v>#REF!</v>
      </c>
      <c r="P208" s="2235" t="e">
        <f t="shared" si="36"/>
        <v>#REF!</v>
      </c>
      <c r="Q208" s="2235" t="e">
        <f t="shared" si="36"/>
        <v>#REF!</v>
      </c>
      <c r="R208" s="2235" t="e">
        <f t="shared" si="36"/>
        <v>#REF!</v>
      </c>
      <c r="S208" s="2235" t="e">
        <f t="shared" si="36"/>
        <v>#REF!</v>
      </c>
    </row>
    <row r="209" spans="2:19" ht="13.5" customHeight="1" x14ac:dyDescent="0.25">
      <c r="B209" s="1278" t="s">
        <v>220</v>
      </c>
      <c r="C209" s="1281" t="e">
        <f t="shared" si="37"/>
        <v>#REF!</v>
      </c>
      <c r="D209" s="1281" t="e">
        <f t="shared" si="37"/>
        <v>#REF!</v>
      </c>
      <c r="E209" s="1281" t="e">
        <f t="shared" si="37"/>
        <v>#REF!</v>
      </c>
      <c r="F209" s="1281" t="e">
        <f t="shared" si="37"/>
        <v>#REF!</v>
      </c>
      <c r="G209" s="1281" t="e">
        <f t="shared" si="37"/>
        <v>#REF!</v>
      </c>
      <c r="H209" s="2235" t="e">
        <f t="shared" ref="H209:S220" si="38">H24</f>
        <v>#REF!</v>
      </c>
      <c r="I209" s="2235" t="e">
        <f t="shared" si="38"/>
        <v>#REF!</v>
      </c>
      <c r="J209" s="2235" t="e">
        <f t="shared" si="38"/>
        <v>#REF!</v>
      </c>
      <c r="K209" s="2235" t="e">
        <f t="shared" si="38"/>
        <v>#REF!</v>
      </c>
      <c r="L209" s="2235" t="e">
        <f t="shared" si="38"/>
        <v>#REF!</v>
      </c>
      <c r="M209" s="2235" t="e">
        <f t="shared" si="38"/>
        <v>#REF!</v>
      </c>
      <c r="N209" s="2235" t="e">
        <f t="shared" si="38"/>
        <v>#REF!</v>
      </c>
      <c r="O209" s="2235" t="e">
        <f t="shared" si="38"/>
        <v>#REF!</v>
      </c>
      <c r="P209" s="2235" t="e">
        <f t="shared" si="38"/>
        <v>#REF!</v>
      </c>
      <c r="Q209" s="2235" t="e">
        <f t="shared" si="38"/>
        <v>#REF!</v>
      </c>
      <c r="R209" s="2235" t="e">
        <f t="shared" si="38"/>
        <v>#REF!</v>
      </c>
      <c r="S209" s="2235" t="e">
        <f t="shared" si="38"/>
        <v>#REF!</v>
      </c>
    </row>
    <row r="210" spans="2:19" ht="13.5" customHeight="1" x14ac:dyDescent="0.25">
      <c r="B210" s="1278" t="s">
        <v>221</v>
      </c>
      <c r="C210" s="1281" t="e">
        <f t="shared" si="37"/>
        <v>#DIV/0!</v>
      </c>
      <c r="D210" s="1281" t="e">
        <f t="shared" si="37"/>
        <v>#DIV/0!</v>
      </c>
      <c r="E210" s="1281" t="e">
        <f t="shared" si="37"/>
        <v>#DIV/0!</v>
      </c>
      <c r="F210" s="1281" t="e">
        <f t="shared" si="37"/>
        <v>#DIV/0!</v>
      </c>
      <c r="G210" s="1281" t="e">
        <f t="shared" si="37"/>
        <v>#DIV/0!</v>
      </c>
      <c r="H210" s="2235" t="e">
        <f t="shared" si="38"/>
        <v>#DIV/0!</v>
      </c>
      <c r="I210" s="2235" t="e">
        <f t="shared" si="38"/>
        <v>#DIV/0!</v>
      </c>
      <c r="J210" s="2235" t="e">
        <f t="shared" si="38"/>
        <v>#DIV/0!</v>
      </c>
      <c r="K210" s="2235" t="e">
        <f t="shared" si="38"/>
        <v>#DIV/0!</v>
      </c>
      <c r="L210" s="2235" t="e">
        <f t="shared" si="38"/>
        <v>#DIV/0!</v>
      </c>
      <c r="M210" s="2235" t="e">
        <f t="shared" si="38"/>
        <v>#DIV/0!</v>
      </c>
      <c r="N210" s="2235" t="e">
        <f t="shared" si="38"/>
        <v>#DIV/0!</v>
      </c>
      <c r="O210" s="2235" t="e">
        <f t="shared" si="38"/>
        <v>#DIV/0!</v>
      </c>
      <c r="P210" s="2235" t="e">
        <f t="shared" si="38"/>
        <v>#DIV/0!</v>
      </c>
      <c r="Q210" s="2235" t="e">
        <f t="shared" si="38"/>
        <v>#DIV/0!</v>
      </c>
      <c r="R210" s="2235" t="e">
        <f t="shared" si="38"/>
        <v>#DIV/0!</v>
      </c>
      <c r="S210" s="2235" t="e">
        <f t="shared" si="38"/>
        <v>#DIV/0!</v>
      </c>
    </row>
    <row r="211" spans="2:19" ht="13.5" customHeight="1" x14ac:dyDescent="0.25">
      <c r="B211" s="1278" t="s">
        <v>222</v>
      </c>
      <c r="C211" s="1281" t="e">
        <f t="shared" si="37"/>
        <v>#DIV/0!</v>
      </c>
      <c r="D211" s="1281" t="e">
        <f t="shared" si="37"/>
        <v>#DIV/0!</v>
      </c>
      <c r="E211" s="1281" t="e">
        <f t="shared" si="37"/>
        <v>#DIV/0!</v>
      </c>
      <c r="F211" s="1281" t="e">
        <f t="shared" si="37"/>
        <v>#DIV/0!</v>
      </c>
      <c r="G211" s="1281" t="e">
        <f t="shared" si="37"/>
        <v>#DIV/0!</v>
      </c>
      <c r="H211" s="2235" t="e">
        <f t="shared" si="38"/>
        <v>#DIV/0!</v>
      </c>
      <c r="I211" s="2235" t="e">
        <f t="shared" si="38"/>
        <v>#DIV/0!</v>
      </c>
      <c r="J211" s="2235" t="e">
        <f t="shared" si="38"/>
        <v>#DIV/0!</v>
      </c>
      <c r="K211" s="2235" t="e">
        <f t="shared" si="38"/>
        <v>#DIV/0!</v>
      </c>
      <c r="L211" s="2235" t="e">
        <f t="shared" si="38"/>
        <v>#DIV/0!</v>
      </c>
      <c r="M211" s="2235" t="e">
        <f t="shared" si="38"/>
        <v>#DIV/0!</v>
      </c>
      <c r="N211" s="2235" t="e">
        <f t="shared" si="38"/>
        <v>#DIV/0!</v>
      </c>
      <c r="O211" s="2235" t="e">
        <f t="shared" si="38"/>
        <v>#DIV/0!</v>
      </c>
      <c r="P211" s="2235" t="e">
        <f t="shared" si="38"/>
        <v>#DIV/0!</v>
      </c>
      <c r="Q211" s="2235" t="e">
        <f t="shared" si="38"/>
        <v>#DIV/0!</v>
      </c>
      <c r="R211" s="2235" t="e">
        <f t="shared" si="38"/>
        <v>#DIV/0!</v>
      </c>
      <c r="S211" s="2235" t="e">
        <f t="shared" si="38"/>
        <v>#DIV/0!</v>
      </c>
    </row>
    <row r="212" spans="2:19" ht="13.5" customHeight="1" x14ac:dyDescent="0.25">
      <c r="B212" s="1278" t="s">
        <v>3137</v>
      </c>
      <c r="C212" s="1281" t="e">
        <f t="shared" si="37"/>
        <v>#DIV/0!</v>
      </c>
      <c r="D212" s="1281" t="e">
        <f t="shared" si="37"/>
        <v>#DIV/0!</v>
      </c>
      <c r="E212" s="1281" t="e">
        <f t="shared" si="37"/>
        <v>#DIV/0!</v>
      </c>
      <c r="F212" s="1281" t="e">
        <f t="shared" si="37"/>
        <v>#DIV/0!</v>
      </c>
      <c r="G212" s="1281" t="e">
        <f t="shared" si="37"/>
        <v>#DIV/0!</v>
      </c>
      <c r="H212" s="2235" t="e">
        <f t="shared" si="38"/>
        <v>#DIV/0!</v>
      </c>
      <c r="I212" s="2235" t="e">
        <f t="shared" si="38"/>
        <v>#DIV/0!</v>
      </c>
      <c r="J212" s="2235" t="e">
        <f t="shared" si="38"/>
        <v>#DIV/0!</v>
      </c>
      <c r="K212" s="2235" t="e">
        <f t="shared" si="38"/>
        <v>#DIV/0!</v>
      </c>
      <c r="L212" s="2235" t="e">
        <f t="shared" si="38"/>
        <v>#DIV/0!</v>
      </c>
      <c r="M212" s="2235" t="e">
        <f t="shared" si="38"/>
        <v>#DIV/0!</v>
      </c>
      <c r="N212" s="2235" t="e">
        <f t="shared" si="38"/>
        <v>#DIV/0!</v>
      </c>
      <c r="O212" s="2235" t="e">
        <f t="shared" si="38"/>
        <v>#DIV/0!</v>
      </c>
      <c r="P212" s="2235" t="e">
        <f t="shared" si="38"/>
        <v>#DIV/0!</v>
      </c>
      <c r="Q212" s="2235" t="e">
        <f t="shared" si="38"/>
        <v>#DIV/0!</v>
      </c>
      <c r="R212" s="2235" t="e">
        <f t="shared" si="38"/>
        <v>#DIV/0!</v>
      </c>
      <c r="S212" s="2235" t="e">
        <f t="shared" si="38"/>
        <v>#DIV/0!</v>
      </c>
    </row>
    <row r="213" spans="2:19" ht="13.5" customHeight="1" x14ac:dyDescent="0.25">
      <c r="B213" s="2122" t="s">
        <v>3138</v>
      </c>
      <c r="C213" s="2167">
        <f t="shared" si="37"/>
        <v>0</v>
      </c>
      <c r="D213" s="2167">
        <f t="shared" si="37"/>
        <v>0</v>
      </c>
      <c r="E213" s="2167">
        <f t="shared" si="37"/>
        <v>0</v>
      </c>
      <c r="F213" s="2167">
        <f t="shared" si="37"/>
        <v>0</v>
      </c>
      <c r="G213" s="2167">
        <f t="shared" si="37"/>
        <v>0</v>
      </c>
      <c r="H213" s="2237">
        <f t="shared" si="38"/>
        <v>0</v>
      </c>
      <c r="I213" s="2237">
        <f t="shared" si="38"/>
        <v>0</v>
      </c>
      <c r="J213" s="2237">
        <f t="shared" si="38"/>
        <v>0</v>
      </c>
      <c r="K213" s="2237">
        <f t="shared" si="38"/>
        <v>0</v>
      </c>
      <c r="L213" s="2237">
        <f t="shared" si="38"/>
        <v>0</v>
      </c>
      <c r="M213" s="2237">
        <f t="shared" si="38"/>
        <v>0</v>
      </c>
      <c r="N213" s="2237">
        <f t="shared" si="38"/>
        <v>0</v>
      </c>
      <c r="O213" s="2237">
        <f t="shared" si="38"/>
        <v>0</v>
      </c>
      <c r="P213" s="2237">
        <f t="shared" si="38"/>
        <v>0</v>
      </c>
      <c r="Q213" s="2237">
        <f t="shared" si="38"/>
        <v>0</v>
      </c>
      <c r="R213" s="2237">
        <f t="shared" si="38"/>
        <v>0</v>
      </c>
      <c r="S213" s="2237">
        <f t="shared" si="38"/>
        <v>0</v>
      </c>
    </row>
    <row r="214" spans="2:19" x14ac:dyDescent="0.25">
      <c r="B214" s="2122" t="s">
        <v>3139</v>
      </c>
      <c r="C214" s="2235" t="e">
        <f t="shared" ref="C214:G214" si="39">C29</f>
        <v>#DIV/0!</v>
      </c>
      <c r="D214" s="2235" t="e">
        <f t="shared" si="39"/>
        <v>#DIV/0!</v>
      </c>
      <c r="E214" s="2235" t="e">
        <f t="shared" si="39"/>
        <v>#DIV/0!</v>
      </c>
      <c r="F214" s="2235" t="e">
        <f t="shared" si="39"/>
        <v>#DIV/0!</v>
      </c>
      <c r="G214" s="2235" t="e">
        <f t="shared" si="39"/>
        <v>#DIV/0!</v>
      </c>
      <c r="H214" s="2235" t="e">
        <f t="shared" si="38"/>
        <v>#DIV/0!</v>
      </c>
      <c r="I214" s="2235" t="e">
        <f t="shared" si="38"/>
        <v>#DIV/0!</v>
      </c>
      <c r="J214" s="2235" t="e">
        <f t="shared" si="38"/>
        <v>#DIV/0!</v>
      </c>
      <c r="K214" s="2235" t="e">
        <f t="shared" si="38"/>
        <v>#DIV/0!</v>
      </c>
      <c r="L214" s="2235" t="e">
        <f t="shared" si="38"/>
        <v>#DIV/0!</v>
      </c>
      <c r="M214" s="2235" t="e">
        <f t="shared" si="38"/>
        <v>#DIV/0!</v>
      </c>
      <c r="N214" s="2235" t="e">
        <f t="shared" si="38"/>
        <v>#DIV/0!</v>
      </c>
      <c r="O214" s="2235" t="e">
        <f t="shared" si="38"/>
        <v>#DIV/0!</v>
      </c>
      <c r="P214" s="2235" t="e">
        <f t="shared" si="38"/>
        <v>#DIV/0!</v>
      </c>
      <c r="Q214" s="2235" t="e">
        <f t="shared" si="38"/>
        <v>#DIV/0!</v>
      </c>
      <c r="R214" s="2235" t="e">
        <f t="shared" si="38"/>
        <v>#DIV/0!</v>
      </c>
      <c r="S214" s="2235" t="e">
        <f t="shared" si="38"/>
        <v>#DIV/0!</v>
      </c>
    </row>
    <row r="215" spans="2:19" ht="13.5" customHeight="1" x14ac:dyDescent="0.25">
      <c r="B215" s="1278" t="s">
        <v>226</v>
      </c>
      <c r="C215" s="1281" t="e">
        <f t="shared" si="37"/>
        <v>#DIV/0!</v>
      </c>
      <c r="D215" s="1281" t="e">
        <f t="shared" si="37"/>
        <v>#DIV/0!</v>
      </c>
      <c r="E215" s="1281" t="e">
        <f t="shared" si="37"/>
        <v>#DIV/0!</v>
      </c>
      <c r="F215" s="1281" t="e">
        <f t="shared" si="37"/>
        <v>#DIV/0!</v>
      </c>
      <c r="G215" s="1281" t="e">
        <f t="shared" si="37"/>
        <v>#DIV/0!</v>
      </c>
      <c r="H215" s="2235" t="e">
        <f t="shared" si="38"/>
        <v>#DIV/0!</v>
      </c>
      <c r="I215" s="2235" t="e">
        <f t="shared" si="38"/>
        <v>#DIV/0!</v>
      </c>
      <c r="J215" s="2235" t="e">
        <f t="shared" si="38"/>
        <v>#DIV/0!</v>
      </c>
      <c r="K215" s="2235" t="e">
        <f t="shared" si="38"/>
        <v>#DIV/0!</v>
      </c>
      <c r="L215" s="2235" t="e">
        <f t="shared" si="38"/>
        <v>#DIV/0!</v>
      </c>
      <c r="M215" s="2235" t="e">
        <f t="shared" si="38"/>
        <v>#DIV/0!</v>
      </c>
      <c r="N215" s="2235" t="e">
        <f t="shared" si="38"/>
        <v>#DIV/0!</v>
      </c>
      <c r="O215" s="2235" t="e">
        <f t="shared" si="38"/>
        <v>#DIV/0!</v>
      </c>
      <c r="P215" s="2235" t="e">
        <f t="shared" si="38"/>
        <v>#DIV/0!</v>
      </c>
      <c r="Q215" s="2235" t="e">
        <f t="shared" si="38"/>
        <v>#DIV/0!</v>
      </c>
      <c r="R215" s="2235" t="e">
        <f t="shared" si="38"/>
        <v>#DIV/0!</v>
      </c>
      <c r="S215" s="2235" t="e">
        <f t="shared" si="38"/>
        <v>#DIV/0!</v>
      </c>
    </row>
    <row r="216" spans="2:19" ht="13.5" customHeight="1" x14ac:dyDescent="0.25">
      <c r="B216" s="1278" t="s">
        <v>227</v>
      </c>
      <c r="C216" s="1281" t="e">
        <f t="shared" si="37"/>
        <v>#DIV/0!</v>
      </c>
      <c r="D216" s="1281" t="e">
        <f t="shared" si="37"/>
        <v>#DIV/0!</v>
      </c>
      <c r="E216" s="1281" t="e">
        <f t="shared" si="37"/>
        <v>#DIV/0!</v>
      </c>
      <c r="F216" s="1281" t="e">
        <f t="shared" si="37"/>
        <v>#DIV/0!</v>
      </c>
      <c r="G216" s="1281" t="e">
        <f t="shared" si="37"/>
        <v>#DIV/0!</v>
      </c>
      <c r="H216" s="2235" t="e">
        <f t="shared" si="38"/>
        <v>#DIV/0!</v>
      </c>
      <c r="I216" s="2235" t="e">
        <f t="shared" si="38"/>
        <v>#DIV/0!</v>
      </c>
      <c r="J216" s="2235" t="e">
        <f t="shared" si="38"/>
        <v>#DIV/0!</v>
      </c>
      <c r="K216" s="2235" t="e">
        <f t="shared" si="38"/>
        <v>#DIV/0!</v>
      </c>
      <c r="L216" s="2235" t="e">
        <f t="shared" si="38"/>
        <v>#DIV/0!</v>
      </c>
      <c r="M216" s="2235" t="e">
        <f t="shared" si="38"/>
        <v>#DIV/0!</v>
      </c>
      <c r="N216" s="2235" t="e">
        <f t="shared" si="38"/>
        <v>#DIV/0!</v>
      </c>
      <c r="O216" s="2235" t="e">
        <f t="shared" si="38"/>
        <v>#DIV/0!</v>
      </c>
      <c r="P216" s="2235" t="e">
        <f t="shared" si="38"/>
        <v>#DIV/0!</v>
      </c>
      <c r="Q216" s="2235" t="e">
        <f t="shared" si="38"/>
        <v>#DIV/0!</v>
      </c>
      <c r="R216" s="2235" t="e">
        <f t="shared" si="38"/>
        <v>#DIV/0!</v>
      </c>
      <c r="S216" s="2235" t="e">
        <f t="shared" si="38"/>
        <v>#DIV/0!</v>
      </c>
    </row>
    <row r="217" spans="2:19" ht="13.5" customHeight="1" x14ac:dyDescent="0.25">
      <c r="B217" s="2122" t="s">
        <v>228</v>
      </c>
      <c r="C217" s="2167">
        <v>0</v>
      </c>
      <c r="D217" s="2167">
        <v>0</v>
      </c>
      <c r="E217" s="2167">
        <v>0</v>
      </c>
      <c r="F217" s="2167">
        <v>0</v>
      </c>
      <c r="G217" s="2167">
        <v>0</v>
      </c>
      <c r="H217" s="2237">
        <f t="shared" si="38"/>
        <v>0</v>
      </c>
      <c r="I217" s="2237">
        <f t="shared" si="38"/>
        <v>0</v>
      </c>
      <c r="J217" s="2237">
        <f t="shared" si="38"/>
        <v>0</v>
      </c>
      <c r="K217" s="2237">
        <f t="shared" si="38"/>
        <v>0</v>
      </c>
      <c r="L217" s="2237">
        <f t="shared" si="38"/>
        <v>0</v>
      </c>
      <c r="M217" s="2237">
        <f t="shared" si="38"/>
        <v>0</v>
      </c>
      <c r="N217" s="2237">
        <f t="shared" si="38"/>
        <v>0</v>
      </c>
      <c r="O217" s="2237">
        <f t="shared" si="38"/>
        <v>0</v>
      </c>
      <c r="P217" s="2237">
        <f t="shared" si="38"/>
        <v>0</v>
      </c>
      <c r="Q217" s="2237">
        <f t="shared" si="38"/>
        <v>0</v>
      </c>
      <c r="R217" s="2237">
        <f t="shared" si="38"/>
        <v>0</v>
      </c>
      <c r="S217" s="2237">
        <f t="shared" si="38"/>
        <v>0</v>
      </c>
    </row>
    <row r="218" spans="2:19" ht="13.5" customHeight="1" x14ac:dyDescent="0.25">
      <c r="B218" s="1278" t="s">
        <v>229</v>
      </c>
      <c r="C218" s="1281" t="e">
        <f t="shared" si="37"/>
        <v>#DIV/0!</v>
      </c>
      <c r="D218" s="1281" t="e">
        <f t="shared" si="37"/>
        <v>#DIV/0!</v>
      </c>
      <c r="E218" s="1281" t="e">
        <f t="shared" si="37"/>
        <v>#DIV/0!</v>
      </c>
      <c r="F218" s="1281" t="e">
        <f t="shared" si="37"/>
        <v>#DIV/0!</v>
      </c>
      <c r="G218" s="1281" t="e">
        <f t="shared" si="37"/>
        <v>#DIV/0!</v>
      </c>
      <c r="H218" s="2235" t="e">
        <f t="shared" si="38"/>
        <v>#DIV/0!</v>
      </c>
      <c r="I218" s="2235" t="e">
        <f t="shared" si="38"/>
        <v>#DIV/0!</v>
      </c>
      <c r="J218" s="2235" t="e">
        <f t="shared" si="38"/>
        <v>#DIV/0!</v>
      </c>
      <c r="K218" s="2235" t="e">
        <f t="shared" si="38"/>
        <v>#DIV/0!</v>
      </c>
      <c r="L218" s="2235" t="e">
        <f t="shared" si="38"/>
        <v>#DIV/0!</v>
      </c>
      <c r="M218" s="2235" t="e">
        <f t="shared" si="38"/>
        <v>#DIV/0!</v>
      </c>
      <c r="N218" s="2235" t="e">
        <f t="shared" si="38"/>
        <v>#DIV/0!</v>
      </c>
      <c r="O218" s="2235" t="e">
        <f t="shared" si="38"/>
        <v>#DIV/0!</v>
      </c>
      <c r="P218" s="2235" t="e">
        <f t="shared" si="38"/>
        <v>#DIV/0!</v>
      </c>
      <c r="Q218" s="2235" t="e">
        <f t="shared" si="38"/>
        <v>#DIV/0!</v>
      </c>
      <c r="R218" s="2235" t="e">
        <f t="shared" si="38"/>
        <v>#DIV/0!</v>
      </c>
      <c r="S218" s="2235" t="e">
        <f t="shared" si="38"/>
        <v>#DIV/0!</v>
      </c>
    </row>
    <row r="219" spans="2:19" ht="13.5" customHeight="1" x14ac:dyDescent="0.25">
      <c r="B219" s="1278" t="s">
        <v>3140</v>
      </c>
      <c r="C219" s="1281" t="e">
        <f t="shared" si="37"/>
        <v>#DIV/0!</v>
      </c>
      <c r="D219" s="1281" t="e">
        <f t="shared" si="37"/>
        <v>#DIV/0!</v>
      </c>
      <c r="E219" s="1281" t="e">
        <f t="shared" si="37"/>
        <v>#DIV/0!</v>
      </c>
      <c r="F219" s="1281" t="e">
        <f t="shared" si="37"/>
        <v>#DIV/0!</v>
      </c>
      <c r="G219" s="1281" t="e">
        <f t="shared" si="37"/>
        <v>#DIV/0!</v>
      </c>
      <c r="H219" s="2235" t="e">
        <f t="shared" si="38"/>
        <v>#DIV/0!</v>
      </c>
      <c r="I219" s="2235" t="e">
        <f t="shared" si="38"/>
        <v>#DIV/0!</v>
      </c>
      <c r="J219" s="2235" t="e">
        <f t="shared" si="38"/>
        <v>#DIV/0!</v>
      </c>
      <c r="K219" s="2235" t="e">
        <f t="shared" si="38"/>
        <v>#DIV/0!</v>
      </c>
      <c r="L219" s="2235" t="e">
        <f t="shared" si="38"/>
        <v>#DIV/0!</v>
      </c>
      <c r="M219" s="2235" t="e">
        <f t="shared" si="38"/>
        <v>#DIV/0!</v>
      </c>
      <c r="N219" s="2235" t="e">
        <f t="shared" si="38"/>
        <v>#DIV/0!</v>
      </c>
      <c r="O219" s="2235" t="e">
        <f t="shared" si="38"/>
        <v>#DIV/0!</v>
      </c>
      <c r="P219" s="2235" t="e">
        <f t="shared" si="38"/>
        <v>#DIV/0!</v>
      </c>
      <c r="Q219" s="2235" t="e">
        <f t="shared" si="38"/>
        <v>#DIV/0!</v>
      </c>
      <c r="R219" s="2235" t="e">
        <f t="shared" si="38"/>
        <v>#DIV/0!</v>
      </c>
      <c r="S219" s="2235" t="e">
        <f t="shared" si="38"/>
        <v>#DIV/0!</v>
      </c>
    </row>
    <row r="220" spans="2:19" ht="13.5" customHeight="1" x14ac:dyDescent="0.25">
      <c r="B220" s="2122" t="s">
        <v>231</v>
      </c>
      <c r="C220" s="2167">
        <v>0</v>
      </c>
      <c r="D220" s="2167">
        <v>0</v>
      </c>
      <c r="E220" s="2167">
        <v>0</v>
      </c>
      <c r="F220" s="2167">
        <v>0</v>
      </c>
      <c r="G220" s="2167">
        <v>0</v>
      </c>
      <c r="H220" s="2237">
        <f t="shared" si="38"/>
        <v>0</v>
      </c>
      <c r="I220" s="2237">
        <f t="shared" si="38"/>
        <v>0</v>
      </c>
      <c r="J220" s="2237">
        <f t="shared" si="38"/>
        <v>0</v>
      </c>
      <c r="K220" s="2237">
        <f t="shared" si="38"/>
        <v>0</v>
      </c>
      <c r="L220" s="2237">
        <f t="shared" si="38"/>
        <v>0</v>
      </c>
      <c r="M220" s="2237">
        <f t="shared" si="38"/>
        <v>0</v>
      </c>
      <c r="N220" s="2237">
        <f t="shared" si="38"/>
        <v>0</v>
      </c>
      <c r="O220" s="2237">
        <f t="shared" si="38"/>
        <v>0</v>
      </c>
      <c r="P220" s="2237">
        <f t="shared" si="38"/>
        <v>0</v>
      </c>
      <c r="Q220" s="2237">
        <f t="shared" si="38"/>
        <v>0</v>
      </c>
      <c r="R220" s="2237">
        <f t="shared" si="38"/>
        <v>0</v>
      </c>
      <c r="S220" s="2237">
        <f t="shared" si="38"/>
        <v>0</v>
      </c>
    </row>
    <row r="221" spans="2:19" ht="13.5" customHeight="1" x14ac:dyDescent="0.25">
      <c r="B221" s="2163" t="s">
        <v>3142</v>
      </c>
      <c r="C221" s="2164" t="e">
        <f>SUM(C193:C220)</f>
        <v>#DIV/0!</v>
      </c>
      <c r="D221" s="2164" t="e">
        <f t="shared" ref="D221:S221" si="40">SUM(D193:D220)</f>
        <v>#DIV/0!</v>
      </c>
      <c r="E221" s="2164" t="e">
        <f t="shared" si="40"/>
        <v>#DIV/0!</v>
      </c>
      <c r="F221" s="2164" t="e">
        <f t="shared" si="40"/>
        <v>#DIV/0!</v>
      </c>
      <c r="G221" s="2164" t="e">
        <f t="shared" si="40"/>
        <v>#DIV/0!</v>
      </c>
      <c r="H221" s="2164" t="e">
        <f t="shared" si="40"/>
        <v>#DIV/0!</v>
      </c>
      <c r="I221" s="2164" t="e">
        <f t="shared" si="40"/>
        <v>#DIV/0!</v>
      </c>
      <c r="J221" s="2164" t="e">
        <f t="shared" si="40"/>
        <v>#DIV/0!</v>
      </c>
      <c r="K221" s="2164" t="e">
        <f t="shared" si="40"/>
        <v>#DIV/0!</v>
      </c>
      <c r="L221" s="2164" t="e">
        <f t="shared" si="40"/>
        <v>#DIV/0!</v>
      </c>
      <c r="M221" s="2164" t="e">
        <f t="shared" si="40"/>
        <v>#DIV/0!</v>
      </c>
      <c r="N221" s="2164" t="e">
        <f t="shared" si="40"/>
        <v>#DIV/0!</v>
      </c>
      <c r="O221" s="2164" t="e">
        <f t="shared" si="40"/>
        <v>#DIV/0!</v>
      </c>
      <c r="P221" s="2164" t="e">
        <f t="shared" si="40"/>
        <v>#DIV/0!</v>
      </c>
      <c r="Q221" s="2164" t="e">
        <f t="shared" si="40"/>
        <v>#DIV/0!</v>
      </c>
      <c r="R221" s="2164" t="e">
        <f t="shared" si="40"/>
        <v>#DIV/0!</v>
      </c>
      <c r="S221" s="2165" t="e">
        <f t="shared" si="40"/>
        <v>#DIV/0!</v>
      </c>
    </row>
    <row r="222" spans="2:19" ht="13.5" customHeight="1" x14ac:dyDescent="0.25">
      <c r="B222" s="2168" t="s">
        <v>3144</v>
      </c>
      <c r="C222" s="2170"/>
      <c r="D222" s="2170"/>
      <c r="E222" s="2170"/>
      <c r="F222" s="2170"/>
      <c r="G222" s="2170"/>
      <c r="H222" s="2170"/>
      <c r="I222" s="2170"/>
      <c r="J222" s="2170"/>
      <c r="K222" s="2170"/>
      <c r="L222" s="2170"/>
      <c r="M222" s="2170"/>
      <c r="N222" s="2170"/>
      <c r="O222" s="2170"/>
      <c r="P222" s="2170"/>
      <c r="Q222" s="2170"/>
      <c r="R222" s="2170"/>
      <c r="S222" s="2170"/>
    </row>
    <row r="223" spans="2:19" ht="13.5" customHeight="1" x14ac:dyDescent="0.25">
      <c r="B223" s="1278" t="s">
        <v>3145</v>
      </c>
      <c r="C223" s="589">
        <f t="shared" ref="C223:S227" si="41">+C38</f>
        <v>1</v>
      </c>
      <c r="D223" s="589">
        <f t="shared" si="41"/>
        <v>1</v>
      </c>
      <c r="E223" s="589">
        <f t="shared" si="41"/>
        <v>1</v>
      </c>
      <c r="F223" s="589">
        <f t="shared" si="41"/>
        <v>1</v>
      </c>
      <c r="G223" s="589">
        <f t="shared" si="41"/>
        <v>1</v>
      </c>
      <c r="H223" s="589">
        <f t="shared" si="41"/>
        <v>1</v>
      </c>
      <c r="I223" s="589">
        <f t="shared" si="41"/>
        <v>1</v>
      </c>
      <c r="J223" s="589">
        <f t="shared" si="41"/>
        <v>1</v>
      </c>
      <c r="K223" s="589">
        <f t="shared" si="41"/>
        <v>1</v>
      </c>
      <c r="L223" s="589">
        <f t="shared" si="41"/>
        <v>1</v>
      </c>
      <c r="M223" s="589">
        <f t="shared" si="41"/>
        <v>1</v>
      </c>
      <c r="N223" s="589">
        <f t="shared" si="41"/>
        <v>1</v>
      </c>
      <c r="O223" s="589">
        <f t="shared" si="41"/>
        <v>1</v>
      </c>
      <c r="P223" s="589">
        <f t="shared" si="41"/>
        <v>1</v>
      </c>
      <c r="Q223" s="589">
        <f t="shared" si="41"/>
        <v>1</v>
      </c>
      <c r="R223" s="589">
        <f t="shared" si="41"/>
        <v>1</v>
      </c>
      <c r="S223" s="589">
        <f t="shared" si="41"/>
        <v>1</v>
      </c>
    </row>
    <row r="224" spans="2:19" ht="13.5" customHeight="1" x14ac:dyDescent="0.25">
      <c r="B224" s="2122" t="s">
        <v>3146</v>
      </c>
      <c r="C224" s="590">
        <f t="shared" si="41"/>
        <v>0</v>
      </c>
      <c r="D224" s="590">
        <f t="shared" si="41"/>
        <v>0</v>
      </c>
      <c r="E224" s="590">
        <f t="shared" si="41"/>
        <v>0</v>
      </c>
      <c r="F224" s="590">
        <f t="shared" si="41"/>
        <v>0</v>
      </c>
      <c r="G224" s="590">
        <f t="shared" si="41"/>
        <v>0</v>
      </c>
      <c r="H224" s="590">
        <f t="shared" si="41"/>
        <v>0</v>
      </c>
      <c r="I224" s="590">
        <f t="shared" si="41"/>
        <v>0</v>
      </c>
      <c r="J224" s="590">
        <f t="shared" si="41"/>
        <v>0</v>
      </c>
      <c r="K224" s="590">
        <f t="shared" si="41"/>
        <v>0</v>
      </c>
      <c r="L224" s="590">
        <f t="shared" si="41"/>
        <v>0</v>
      </c>
      <c r="M224" s="590">
        <f t="shared" si="41"/>
        <v>0</v>
      </c>
      <c r="N224" s="590">
        <f t="shared" si="41"/>
        <v>0</v>
      </c>
      <c r="O224" s="590">
        <f t="shared" si="41"/>
        <v>0</v>
      </c>
      <c r="P224" s="590">
        <f t="shared" si="41"/>
        <v>0</v>
      </c>
      <c r="Q224" s="590">
        <f t="shared" si="41"/>
        <v>0</v>
      </c>
      <c r="R224" s="590">
        <f t="shared" si="41"/>
        <v>0</v>
      </c>
      <c r="S224" s="590">
        <f t="shared" si="41"/>
        <v>0</v>
      </c>
    </row>
    <row r="225" spans="2:19" ht="13.5" customHeight="1" x14ac:dyDescent="0.25">
      <c r="B225" s="2122" t="s">
        <v>3147</v>
      </c>
      <c r="C225" s="590">
        <f t="shared" si="41"/>
        <v>0</v>
      </c>
      <c r="D225" s="590">
        <f t="shared" si="41"/>
        <v>0</v>
      </c>
      <c r="E225" s="590">
        <f t="shared" si="41"/>
        <v>0</v>
      </c>
      <c r="F225" s="590">
        <f t="shared" si="41"/>
        <v>0</v>
      </c>
      <c r="G225" s="590">
        <f t="shared" si="41"/>
        <v>0</v>
      </c>
      <c r="H225" s="590">
        <f t="shared" si="41"/>
        <v>0</v>
      </c>
      <c r="I225" s="590">
        <f t="shared" si="41"/>
        <v>0</v>
      </c>
      <c r="J225" s="590">
        <f t="shared" si="41"/>
        <v>0</v>
      </c>
      <c r="K225" s="590">
        <f t="shared" si="41"/>
        <v>0</v>
      </c>
      <c r="L225" s="590">
        <f t="shared" si="41"/>
        <v>0</v>
      </c>
      <c r="M225" s="590">
        <f t="shared" si="41"/>
        <v>0</v>
      </c>
      <c r="N225" s="590">
        <f t="shared" si="41"/>
        <v>0</v>
      </c>
      <c r="O225" s="590">
        <f t="shared" si="41"/>
        <v>0</v>
      </c>
      <c r="P225" s="590">
        <f t="shared" si="41"/>
        <v>0</v>
      </c>
      <c r="Q225" s="590">
        <f t="shared" si="41"/>
        <v>0</v>
      </c>
      <c r="R225" s="590">
        <f t="shared" si="41"/>
        <v>0</v>
      </c>
      <c r="S225" s="590">
        <f t="shared" si="41"/>
        <v>0</v>
      </c>
    </row>
    <row r="226" spans="2:19" ht="13.5" customHeight="1" x14ac:dyDescent="0.25">
      <c r="B226" s="2122" t="s">
        <v>3148</v>
      </c>
      <c r="C226" s="590">
        <f t="shared" si="41"/>
        <v>0</v>
      </c>
      <c r="D226" s="590">
        <f t="shared" si="41"/>
        <v>0</v>
      </c>
      <c r="E226" s="590">
        <f t="shared" si="41"/>
        <v>0</v>
      </c>
      <c r="F226" s="590">
        <f t="shared" si="41"/>
        <v>0</v>
      </c>
      <c r="G226" s="590">
        <f t="shared" si="41"/>
        <v>0</v>
      </c>
      <c r="H226" s="590">
        <f t="shared" si="41"/>
        <v>0</v>
      </c>
      <c r="I226" s="590">
        <f t="shared" si="41"/>
        <v>0</v>
      </c>
      <c r="J226" s="590">
        <f t="shared" si="41"/>
        <v>0</v>
      </c>
      <c r="K226" s="590">
        <f t="shared" si="41"/>
        <v>0</v>
      </c>
      <c r="L226" s="590">
        <f t="shared" si="41"/>
        <v>0</v>
      </c>
      <c r="M226" s="590">
        <f t="shared" si="41"/>
        <v>0</v>
      </c>
      <c r="N226" s="590">
        <f t="shared" si="41"/>
        <v>0</v>
      </c>
      <c r="O226" s="590">
        <f t="shared" si="41"/>
        <v>0</v>
      </c>
      <c r="P226" s="590">
        <f t="shared" si="41"/>
        <v>0</v>
      </c>
      <c r="Q226" s="590">
        <f t="shared" si="41"/>
        <v>0</v>
      </c>
      <c r="R226" s="590">
        <f t="shared" si="41"/>
        <v>0</v>
      </c>
      <c r="S226" s="590">
        <f t="shared" si="41"/>
        <v>0</v>
      </c>
    </row>
    <row r="227" spans="2:19" ht="13.5" customHeight="1" x14ac:dyDescent="0.25">
      <c r="B227" s="2122" t="s">
        <v>3149</v>
      </c>
      <c r="C227" s="590">
        <f t="shared" si="41"/>
        <v>0</v>
      </c>
      <c r="D227" s="590">
        <f t="shared" si="41"/>
        <v>0</v>
      </c>
      <c r="E227" s="590">
        <f t="shared" si="41"/>
        <v>0</v>
      </c>
      <c r="F227" s="590">
        <f t="shared" si="41"/>
        <v>0</v>
      </c>
      <c r="G227" s="590">
        <f t="shared" si="41"/>
        <v>0</v>
      </c>
      <c r="H227" s="590">
        <f t="shared" si="41"/>
        <v>0</v>
      </c>
      <c r="I227" s="590">
        <f t="shared" si="41"/>
        <v>0</v>
      </c>
      <c r="J227" s="590">
        <f t="shared" si="41"/>
        <v>0</v>
      </c>
      <c r="K227" s="590">
        <f t="shared" si="41"/>
        <v>0</v>
      </c>
      <c r="L227" s="590">
        <f t="shared" si="41"/>
        <v>0</v>
      </c>
      <c r="M227" s="590">
        <f t="shared" si="41"/>
        <v>0</v>
      </c>
      <c r="N227" s="590">
        <f t="shared" si="41"/>
        <v>0</v>
      </c>
      <c r="O227" s="590">
        <f t="shared" si="41"/>
        <v>0</v>
      </c>
      <c r="P227" s="590">
        <f t="shared" si="41"/>
        <v>0</v>
      </c>
      <c r="Q227" s="590">
        <f t="shared" si="41"/>
        <v>0</v>
      </c>
      <c r="R227" s="590">
        <f t="shared" si="41"/>
        <v>0</v>
      </c>
      <c r="S227" s="590">
        <f t="shared" si="41"/>
        <v>0</v>
      </c>
    </row>
    <row r="228" spans="2:19" ht="13.5" customHeight="1" x14ac:dyDescent="0.25">
      <c r="B228" s="2168" t="s">
        <v>3150</v>
      </c>
      <c r="C228" s="2170"/>
      <c r="D228" s="2170"/>
      <c r="E228" s="2170"/>
      <c r="F228" s="2170"/>
      <c r="G228" s="2170"/>
      <c r="H228" s="2170"/>
      <c r="I228" s="2170"/>
      <c r="J228" s="2170"/>
      <c r="K228" s="2170"/>
      <c r="L228" s="2170"/>
      <c r="M228" s="2170"/>
      <c r="N228" s="2170"/>
      <c r="O228" s="2170"/>
      <c r="P228" s="2170"/>
      <c r="Q228" s="2170"/>
      <c r="R228" s="2170"/>
      <c r="S228" s="2170"/>
    </row>
    <row r="229" spans="2:19" ht="13.5" customHeight="1" x14ac:dyDescent="0.25">
      <c r="B229" s="1278" t="str">
        <f>+B167</f>
        <v>Infomes+Admision y citas</v>
      </c>
      <c r="C229" s="589">
        <f>+C44</f>
        <v>1</v>
      </c>
      <c r="D229" s="589">
        <f t="shared" ref="D229:S229" si="42">+D44</f>
        <v>1</v>
      </c>
      <c r="E229" s="589">
        <f t="shared" si="42"/>
        <v>1</v>
      </c>
      <c r="F229" s="589">
        <f t="shared" si="42"/>
        <v>1</v>
      </c>
      <c r="G229" s="589">
        <f t="shared" si="42"/>
        <v>1</v>
      </c>
      <c r="H229" s="589">
        <f t="shared" si="42"/>
        <v>1</v>
      </c>
      <c r="I229" s="589">
        <f t="shared" si="42"/>
        <v>1</v>
      </c>
      <c r="J229" s="589">
        <f t="shared" si="42"/>
        <v>1</v>
      </c>
      <c r="K229" s="589">
        <f t="shared" si="42"/>
        <v>1</v>
      </c>
      <c r="L229" s="589">
        <f t="shared" si="42"/>
        <v>1</v>
      </c>
      <c r="M229" s="589">
        <f t="shared" si="42"/>
        <v>1</v>
      </c>
      <c r="N229" s="589">
        <f t="shared" si="42"/>
        <v>1</v>
      </c>
      <c r="O229" s="589">
        <f t="shared" si="42"/>
        <v>1</v>
      </c>
      <c r="P229" s="589">
        <f t="shared" si="42"/>
        <v>1</v>
      </c>
      <c r="Q229" s="589">
        <f t="shared" si="42"/>
        <v>1</v>
      </c>
      <c r="R229" s="589">
        <f t="shared" si="42"/>
        <v>1</v>
      </c>
      <c r="S229" s="589">
        <f t="shared" si="42"/>
        <v>1</v>
      </c>
    </row>
    <row r="230" spans="2:19" ht="13.5" customHeight="1" x14ac:dyDescent="0.25">
      <c r="B230" s="2122" t="str">
        <f t="shared" ref="B230:B235" si="43">+B168</f>
        <v>Caja</v>
      </c>
      <c r="C230" s="590">
        <f t="shared" ref="C230:S235" si="44">+C45</f>
        <v>0</v>
      </c>
      <c r="D230" s="590">
        <f t="shared" si="44"/>
        <v>0</v>
      </c>
      <c r="E230" s="590">
        <f t="shared" si="44"/>
        <v>0</v>
      </c>
      <c r="F230" s="590">
        <f t="shared" si="44"/>
        <v>0</v>
      </c>
      <c r="G230" s="590">
        <f t="shared" si="44"/>
        <v>0</v>
      </c>
      <c r="H230" s="590">
        <f t="shared" si="44"/>
        <v>0</v>
      </c>
      <c r="I230" s="590">
        <f t="shared" si="44"/>
        <v>0</v>
      </c>
      <c r="J230" s="590">
        <f t="shared" si="44"/>
        <v>0</v>
      </c>
      <c r="K230" s="590">
        <f t="shared" si="44"/>
        <v>0</v>
      </c>
      <c r="L230" s="590">
        <f t="shared" si="44"/>
        <v>0</v>
      </c>
      <c r="M230" s="590">
        <f t="shared" si="44"/>
        <v>0</v>
      </c>
      <c r="N230" s="590">
        <f t="shared" si="44"/>
        <v>0</v>
      </c>
      <c r="O230" s="590">
        <f t="shared" si="44"/>
        <v>0</v>
      </c>
      <c r="P230" s="590">
        <f t="shared" si="44"/>
        <v>0</v>
      </c>
      <c r="Q230" s="590">
        <f t="shared" si="44"/>
        <v>0</v>
      </c>
      <c r="R230" s="590">
        <f t="shared" si="44"/>
        <v>0</v>
      </c>
      <c r="S230" s="590">
        <f t="shared" si="44"/>
        <v>0</v>
      </c>
    </row>
    <row r="231" spans="2:19" ht="13.5" customHeight="1" x14ac:dyDescent="0.25">
      <c r="B231" s="2122" t="str">
        <f t="shared" si="43"/>
        <v>Archivo Hsitorias clinicas</v>
      </c>
      <c r="C231" s="590">
        <f t="shared" si="44"/>
        <v>0</v>
      </c>
      <c r="D231" s="590">
        <f t="shared" si="44"/>
        <v>0</v>
      </c>
      <c r="E231" s="590">
        <f t="shared" si="44"/>
        <v>0</v>
      </c>
      <c r="F231" s="590">
        <f t="shared" si="44"/>
        <v>0</v>
      </c>
      <c r="G231" s="590">
        <f t="shared" si="44"/>
        <v>0</v>
      </c>
      <c r="H231" s="590">
        <f t="shared" si="44"/>
        <v>0</v>
      </c>
      <c r="I231" s="590">
        <f t="shared" si="44"/>
        <v>0</v>
      </c>
      <c r="J231" s="590">
        <f t="shared" si="44"/>
        <v>0</v>
      </c>
      <c r="K231" s="590">
        <f t="shared" si="44"/>
        <v>0</v>
      </c>
      <c r="L231" s="590">
        <f t="shared" si="44"/>
        <v>0</v>
      </c>
      <c r="M231" s="590">
        <f t="shared" si="44"/>
        <v>0</v>
      </c>
      <c r="N231" s="590">
        <f t="shared" si="44"/>
        <v>0</v>
      </c>
      <c r="O231" s="590">
        <f t="shared" si="44"/>
        <v>0</v>
      </c>
      <c r="P231" s="590">
        <f t="shared" si="44"/>
        <v>0</v>
      </c>
      <c r="Q231" s="590">
        <f t="shared" si="44"/>
        <v>0</v>
      </c>
      <c r="R231" s="590">
        <f t="shared" si="44"/>
        <v>0</v>
      </c>
      <c r="S231" s="590">
        <f t="shared" si="44"/>
        <v>0</v>
      </c>
    </row>
    <row r="232" spans="2:19" ht="13.5" customHeight="1" x14ac:dyDescent="0.25">
      <c r="B232" s="1278" t="str">
        <f t="shared" si="43"/>
        <v>Oficina de Seguros</v>
      </c>
      <c r="C232" s="589">
        <f t="shared" si="44"/>
        <v>1</v>
      </c>
      <c r="D232" s="589">
        <f t="shared" si="44"/>
        <v>1</v>
      </c>
      <c r="E232" s="589">
        <f t="shared" si="44"/>
        <v>1</v>
      </c>
      <c r="F232" s="589">
        <f t="shared" si="44"/>
        <v>1</v>
      </c>
      <c r="G232" s="589">
        <f t="shared" si="44"/>
        <v>1</v>
      </c>
      <c r="H232" s="589">
        <f t="shared" si="44"/>
        <v>1</v>
      </c>
      <c r="I232" s="589">
        <f t="shared" si="44"/>
        <v>1</v>
      </c>
      <c r="J232" s="589">
        <f t="shared" si="44"/>
        <v>1</v>
      </c>
      <c r="K232" s="589">
        <f t="shared" si="44"/>
        <v>1</v>
      </c>
      <c r="L232" s="589">
        <f t="shared" si="44"/>
        <v>1</v>
      </c>
      <c r="M232" s="589">
        <f t="shared" si="44"/>
        <v>1</v>
      </c>
      <c r="N232" s="589">
        <f t="shared" si="44"/>
        <v>1</v>
      </c>
      <c r="O232" s="589">
        <f t="shared" si="44"/>
        <v>1</v>
      </c>
      <c r="P232" s="589">
        <f t="shared" si="44"/>
        <v>1</v>
      </c>
      <c r="Q232" s="589">
        <f t="shared" si="44"/>
        <v>1</v>
      </c>
      <c r="R232" s="589">
        <f t="shared" si="44"/>
        <v>1</v>
      </c>
      <c r="S232" s="589">
        <f t="shared" si="44"/>
        <v>1</v>
      </c>
    </row>
    <row r="233" spans="2:19" ht="13.5" customHeight="1" x14ac:dyDescent="0.25">
      <c r="B233" s="1278" t="str">
        <f t="shared" si="43"/>
        <v>Referencias y Contrareferencias</v>
      </c>
      <c r="C233" s="589">
        <f t="shared" si="44"/>
        <v>1</v>
      </c>
      <c r="D233" s="589">
        <f t="shared" si="44"/>
        <v>1</v>
      </c>
      <c r="E233" s="589">
        <f t="shared" si="44"/>
        <v>1</v>
      </c>
      <c r="F233" s="589">
        <f t="shared" si="44"/>
        <v>1</v>
      </c>
      <c r="G233" s="589">
        <f t="shared" si="44"/>
        <v>1</v>
      </c>
      <c r="H233" s="589">
        <f t="shared" si="44"/>
        <v>1</v>
      </c>
      <c r="I233" s="589">
        <f t="shared" si="44"/>
        <v>1</v>
      </c>
      <c r="J233" s="589">
        <f t="shared" si="44"/>
        <v>1</v>
      </c>
      <c r="K233" s="589">
        <f t="shared" si="44"/>
        <v>1</v>
      </c>
      <c r="L233" s="589">
        <f t="shared" si="44"/>
        <v>1</v>
      </c>
      <c r="M233" s="589">
        <f t="shared" si="44"/>
        <v>1</v>
      </c>
      <c r="N233" s="589">
        <f t="shared" si="44"/>
        <v>1</v>
      </c>
      <c r="O233" s="589">
        <f t="shared" si="44"/>
        <v>1</v>
      </c>
      <c r="P233" s="589">
        <f t="shared" si="44"/>
        <v>1</v>
      </c>
      <c r="Q233" s="589">
        <f t="shared" si="44"/>
        <v>1</v>
      </c>
      <c r="R233" s="589">
        <f t="shared" si="44"/>
        <v>1</v>
      </c>
      <c r="S233" s="589">
        <f t="shared" si="44"/>
        <v>1</v>
      </c>
    </row>
    <row r="234" spans="2:19" ht="13.5" customHeight="1" x14ac:dyDescent="0.25">
      <c r="B234" s="1278" t="str">
        <f t="shared" si="43"/>
        <v>RENIEC</v>
      </c>
      <c r="C234" s="589">
        <f t="shared" si="44"/>
        <v>1</v>
      </c>
      <c r="D234" s="589">
        <f t="shared" si="44"/>
        <v>1</v>
      </c>
      <c r="E234" s="589">
        <f t="shared" si="44"/>
        <v>1</v>
      </c>
      <c r="F234" s="589">
        <f t="shared" si="44"/>
        <v>1</v>
      </c>
      <c r="G234" s="589">
        <f t="shared" si="44"/>
        <v>1</v>
      </c>
      <c r="H234" s="589">
        <f t="shared" si="44"/>
        <v>1</v>
      </c>
      <c r="I234" s="589">
        <f t="shared" si="44"/>
        <v>1</v>
      </c>
      <c r="J234" s="589">
        <f t="shared" si="44"/>
        <v>1</v>
      </c>
      <c r="K234" s="589">
        <f t="shared" si="44"/>
        <v>1</v>
      </c>
      <c r="L234" s="589">
        <f t="shared" si="44"/>
        <v>1</v>
      </c>
      <c r="M234" s="589">
        <f t="shared" si="44"/>
        <v>1</v>
      </c>
      <c r="N234" s="589">
        <f t="shared" si="44"/>
        <v>1</v>
      </c>
      <c r="O234" s="589">
        <f t="shared" si="44"/>
        <v>1</v>
      </c>
      <c r="P234" s="589">
        <f t="shared" si="44"/>
        <v>1</v>
      </c>
      <c r="Q234" s="589">
        <f t="shared" si="44"/>
        <v>1</v>
      </c>
      <c r="R234" s="589">
        <f t="shared" si="44"/>
        <v>1</v>
      </c>
      <c r="S234" s="589">
        <f t="shared" si="44"/>
        <v>1</v>
      </c>
    </row>
    <row r="235" spans="2:19" ht="13.5" customHeight="1" x14ac:dyDescent="0.25">
      <c r="B235" s="1278" t="str">
        <f t="shared" si="43"/>
        <v>Asistenta Social</v>
      </c>
      <c r="C235" s="589">
        <f t="shared" si="44"/>
        <v>1</v>
      </c>
      <c r="D235" s="589">
        <f t="shared" si="44"/>
        <v>1</v>
      </c>
      <c r="E235" s="589">
        <f t="shared" si="44"/>
        <v>1</v>
      </c>
      <c r="F235" s="589">
        <f t="shared" si="44"/>
        <v>1</v>
      </c>
      <c r="G235" s="589">
        <f t="shared" si="44"/>
        <v>1</v>
      </c>
      <c r="H235" s="589">
        <f t="shared" si="44"/>
        <v>1</v>
      </c>
      <c r="I235" s="589">
        <f t="shared" si="44"/>
        <v>1</v>
      </c>
      <c r="J235" s="589">
        <f t="shared" si="44"/>
        <v>1</v>
      </c>
      <c r="K235" s="589">
        <f t="shared" si="44"/>
        <v>1</v>
      </c>
      <c r="L235" s="589">
        <f t="shared" si="44"/>
        <v>1</v>
      </c>
      <c r="M235" s="589">
        <f t="shared" si="44"/>
        <v>1</v>
      </c>
      <c r="N235" s="589">
        <f t="shared" si="44"/>
        <v>1</v>
      </c>
      <c r="O235" s="589">
        <f t="shared" si="44"/>
        <v>1</v>
      </c>
      <c r="P235" s="589">
        <f t="shared" si="44"/>
        <v>1</v>
      </c>
      <c r="Q235" s="589">
        <f t="shared" si="44"/>
        <v>1</v>
      </c>
      <c r="R235" s="589">
        <f t="shared" si="44"/>
        <v>1</v>
      </c>
      <c r="S235" s="589">
        <f t="shared" si="44"/>
        <v>1</v>
      </c>
    </row>
    <row r="236" spans="2:19" ht="13.5" customHeight="1" x14ac:dyDescent="0.25">
      <c r="B236" s="2168" t="s">
        <v>3152</v>
      </c>
      <c r="C236" s="2170"/>
      <c r="D236" s="2170"/>
      <c r="E236" s="2170"/>
      <c r="F236" s="2170"/>
      <c r="G236" s="2170"/>
      <c r="H236" s="2170"/>
      <c r="I236" s="2170"/>
      <c r="J236" s="2170"/>
      <c r="K236" s="2170"/>
      <c r="L236" s="2170"/>
      <c r="M236" s="2170"/>
      <c r="N236" s="2170"/>
      <c r="O236" s="2170"/>
      <c r="P236" s="2170"/>
      <c r="Q236" s="2170"/>
      <c r="R236" s="2170"/>
      <c r="S236" s="2170"/>
    </row>
    <row r="237" spans="2:19" ht="13.5" customHeight="1" x14ac:dyDescent="0.25">
      <c r="B237" s="2122" t="s">
        <v>3153</v>
      </c>
      <c r="C237" s="590">
        <f t="shared" ref="C237:S237" si="45">+C52</f>
        <v>0</v>
      </c>
      <c r="D237" s="590">
        <f t="shared" si="45"/>
        <v>0</v>
      </c>
      <c r="E237" s="590">
        <f t="shared" si="45"/>
        <v>0</v>
      </c>
      <c r="F237" s="590">
        <f t="shared" si="45"/>
        <v>0</v>
      </c>
      <c r="G237" s="590">
        <f t="shared" si="45"/>
        <v>0</v>
      </c>
      <c r="H237" s="590">
        <f t="shared" si="45"/>
        <v>0</v>
      </c>
      <c r="I237" s="590">
        <f t="shared" si="45"/>
        <v>0</v>
      </c>
      <c r="J237" s="590">
        <f t="shared" si="45"/>
        <v>0</v>
      </c>
      <c r="K237" s="590">
        <f t="shared" si="45"/>
        <v>0</v>
      </c>
      <c r="L237" s="590">
        <f t="shared" si="45"/>
        <v>0</v>
      </c>
      <c r="M237" s="590">
        <f t="shared" si="45"/>
        <v>0</v>
      </c>
      <c r="N237" s="590">
        <f t="shared" si="45"/>
        <v>0</v>
      </c>
      <c r="O237" s="590">
        <f t="shared" si="45"/>
        <v>0</v>
      </c>
      <c r="P237" s="590">
        <f t="shared" si="45"/>
        <v>0</v>
      </c>
      <c r="Q237" s="590">
        <f t="shared" si="45"/>
        <v>0</v>
      </c>
      <c r="R237" s="590">
        <f t="shared" si="45"/>
        <v>0</v>
      </c>
      <c r="S237" s="590">
        <f t="shared" si="45"/>
        <v>0</v>
      </c>
    </row>
    <row r="238" spans="2:19" ht="13.5" customHeight="1" x14ac:dyDescent="0.25">
      <c r="B238" s="2168" t="s">
        <v>3154</v>
      </c>
      <c r="C238" s="2170"/>
      <c r="D238" s="2170"/>
      <c r="E238" s="2170"/>
      <c r="F238" s="2170"/>
      <c r="G238" s="2170"/>
      <c r="H238" s="2170"/>
      <c r="I238" s="2170"/>
      <c r="J238" s="2170"/>
      <c r="K238" s="2170"/>
      <c r="L238" s="2170"/>
      <c r="M238" s="2170"/>
      <c r="N238" s="2170"/>
      <c r="O238" s="2170"/>
      <c r="P238" s="2170"/>
      <c r="Q238" s="2170"/>
      <c r="R238" s="2170"/>
      <c r="S238" s="2170"/>
    </row>
    <row r="239" spans="2:19" ht="13.5" customHeight="1" x14ac:dyDescent="0.25">
      <c r="B239" s="1278" t="s">
        <v>3180</v>
      </c>
      <c r="C239" s="589">
        <f t="shared" ref="C239:S239" si="46">+C54</f>
        <v>1</v>
      </c>
      <c r="D239" s="589">
        <f t="shared" si="46"/>
        <v>1</v>
      </c>
      <c r="E239" s="589">
        <f t="shared" si="46"/>
        <v>1</v>
      </c>
      <c r="F239" s="589">
        <f t="shared" si="46"/>
        <v>1</v>
      </c>
      <c r="G239" s="589">
        <f t="shared" si="46"/>
        <v>1</v>
      </c>
      <c r="H239" s="589">
        <f t="shared" si="46"/>
        <v>1</v>
      </c>
      <c r="I239" s="589">
        <f t="shared" si="46"/>
        <v>1</v>
      </c>
      <c r="J239" s="589">
        <f t="shared" si="46"/>
        <v>1</v>
      </c>
      <c r="K239" s="589">
        <f t="shared" si="46"/>
        <v>1</v>
      </c>
      <c r="L239" s="589">
        <f t="shared" si="46"/>
        <v>1</v>
      </c>
      <c r="M239" s="589">
        <f t="shared" si="46"/>
        <v>1</v>
      </c>
      <c r="N239" s="589">
        <f t="shared" si="46"/>
        <v>1</v>
      </c>
      <c r="O239" s="589">
        <f t="shared" si="46"/>
        <v>1</v>
      </c>
      <c r="P239" s="589">
        <f t="shared" si="46"/>
        <v>1</v>
      </c>
      <c r="Q239" s="589">
        <f t="shared" si="46"/>
        <v>1</v>
      </c>
      <c r="R239" s="589">
        <f t="shared" si="46"/>
        <v>1</v>
      </c>
      <c r="S239" s="589">
        <f t="shared" si="46"/>
        <v>1</v>
      </c>
    </row>
    <row r="240" spans="2:19" ht="13.5" customHeight="1" x14ac:dyDescent="0.25">
      <c r="B240" s="2168" t="s">
        <v>3156</v>
      </c>
      <c r="C240" s="2170"/>
      <c r="D240" s="2170"/>
      <c r="E240" s="2170"/>
      <c r="F240" s="2170"/>
      <c r="G240" s="2170"/>
      <c r="H240" s="2170"/>
      <c r="I240" s="2170"/>
      <c r="J240" s="2170"/>
      <c r="K240" s="2170"/>
      <c r="L240" s="2170"/>
      <c r="M240" s="2170"/>
      <c r="N240" s="2170"/>
      <c r="O240" s="2170"/>
      <c r="P240" s="2170"/>
      <c r="Q240" s="2170"/>
      <c r="R240" s="2170"/>
      <c r="S240" s="2170"/>
    </row>
    <row r="241" spans="2:19" ht="13.5" customHeight="1" x14ac:dyDescent="0.25">
      <c r="B241" s="1278" t="s">
        <v>3157</v>
      </c>
      <c r="C241" s="589">
        <f t="shared" ref="C241:S241" si="47">+C56</f>
        <v>2</v>
      </c>
      <c r="D241" s="589">
        <f t="shared" si="47"/>
        <v>2</v>
      </c>
      <c r="E241" s="589">
        <f t="shared" si="47"/>
        <v>2</v>
      </c>
      <c r="F241" s="589">
        <f t="shared" si="47"/>
        <v>2</v>
      </c>
      <c r="G241" s="589">
        <f t="shared" si="47"/>
        <v>2</v>
      </c>
      <c r="H241" s="589">
        <f t="shared" si="47"/>
        <v>2</v>
      </c>
      <c r="I241" s="589">
        <f t="shared" si="47"/>
        <v>2</v>
      </c>
      <c r="J241" s="589">
        <f t="shared" si="47"/>
        <v>2</v>
      </c>
      <c r="K241" s="589">
        <f t="shared" si="47"/>
        <v>2</v>
      </c>
      <c r="L241" s="589">
        <f t="shared" si="47"/>
        <v>2</v>
      </c>
      <c r="M241" s="589">
        <f t="shared" si="47"/>
        <v>2</v>
      </c>
      <c r="N241" s="589">
        <f t="shared" si="47"/>
        <v>2</v>
      </c>
      <c r="O241" s="589">
        <f t="shared" si="47"/>
        <v>2</v>
      </c>
      <c r="P241" s="589">
        <f t="shared" si="47"/>
        <v>2</v>
      </c>
      <c r="Q241" s="589">
        <f t="shared" si="47"/>
        <v>2</v>
      </c>
      <c r="R241" s="589">
        <f t="shared" si="47"/>
        <v>2</v>
      </c>
      <c r="S241" s="589">
        <f t="shared" si="47"/>
        <v>2</v>
      </c>
    </row>
    <row r="242" spans="2:19" ht="13.5" customHeight="1" x14ac:dyDescent="0.25">
      <c r="B242" s="2168" t="s">
        <v>3158</v>
      </c>
      <c r="C242" s="2170"/>
      <c r="D242" s="2170"/>
      <c r="E242" s="2170"/>
      <c r="F242" s="2170"/>
      <c r="G242" s="2170"/>
      <c r="H242" s="2170"/>
      <c r="I242" s="2170"/>
      <c r="J242" s="2170"/>
      <c r="K242" s="2170"/>
      <c r="L242" s="2170"/>
      <c r="M242" s="2170"/>
      <c r="N242" s="2170"/>
      <c r="O242" s="2170"/>
      <c r="P242" s="2170"/>
      <c r="Q242" s="2170"/>
      <c r="R242" s="2170"/>
      <c r="S242" s="2170"/>
    </row>
    <row r="243" spans="2:19" ht="13.5" customHeight="1" x14ac:dyDescent="0.25">
      <c r="B243" s="1278" t="s">
        <v>3159</v>
      </c>
      <c r="C243" s="589">
        <f t="shared" ref="C243:S247" si="48">+C58</f>
        <v>1</v>
      </c>
      <c r="D243" s="589">
        <f t="shared" si="48"/>
        <v>1</v>
      </c>
      <c r="E243" s="589">
        <f t="shared" si="48"/>
        <v>1</v>
      </c>
      <c r="F243" s="589">
        <f t="shared" si="48"/>
        <v>1</v>
      </c>
      <c r="G243" s="589">
        <f t="shared" si="48"/>
        <v>1</v>
      </c>
      <c r="H243" s="589">
        <f t="shared" si="48"/>
        <v>1</v>
      </c>
      <c r="I243" s="589">
        <f t="shared" si="48"/>
        <v>1</v>
      </c>
      <c r="J243" s="589">
        <f t="shared" si="48"/>
        <v>1</v>
      </c>
      <c r="K243" s="589">
        <f t="shared" si="48"/>
        <v>1</v>
      </c>
      <c r="L243" s="589">
        <f t="shared" si="48"/>
        <v>1</v>
      </c>
      <c r="M243" s="589">
        <f t="shared" si="48"/>
        <v>1</v>
      </c>
      <c r="N243" s="589">
        <f t="shared" si="48"/>
        <v>1</v>
      </c>
      <c r="O243" s="589">
        <f t="shared" si="48"/>
        <v>1</v>
      </c>
      <c r="P243" s="589">
        <f t="shared" si="48"/>
        <v>1</v>
      </c>
      <c r="Q243" s="589">
        <f t="shared" si="48"/>
        <v>1</v>
      </c>
      <c r="R243" s="589">
        <f t="shared" si="48"/>
        <v>1</v>
      </c>
      <c r="S243" s="589">
        <f t="shared" si="48"/>
        <v>1</v>
      </c>
    </row>
    <row r="244" spans="2:19" ht="13.5" customHeight="1" x14ac:dyDescent="0.25">
      <c r="B244" s="1278" t="s">
        <v>3160</v>
      </c>
      <c r="C244" s="589">
        <f t="shared" si="48"/>
        <v>1</v>
      </c>
      <c r="D244" s="589">
        <f t="shared" si="48"/>
        <v>1</v>
      </c>
      <c r="E244" s="589">
        <f t="shared" si="48"/>
        <v>1</v>
      </c>
      <c r="F244" s="589">
        <f t="shared" si="48"/>
        <v>1</v>
      </c>
      <c r="G244" s="589">
        <f t="shared" si="48"/>
        <v>1</v>
      </c>
      <c r="H244" s="589">
        <f t="shared" si="48"/>
        <v>1</v>
      </c>
      <c r="I244" s="589">
        <f t="shared" si="48"/>
        <v>1</v>
      </c>
      <c r="J244" s="589">
        <f t="shared" si="48"/>
        <v>1</v>
      </c>
      <c r="K244" s="589">
        <f t="shared" si="48"/>
        <v>1</v>
      </c>
      <c r="L244" s="589">
        <f t="shared" si="48"/>
        <v>1</v>
      </c>
      <c r="M244" s="589">
        <f t="shared" si="48"/>
        <v>1</v>
      </c>
      <c r="N244" s="589">
        <f t="shared" si="48"/>
        <v>1</v>
      </c>
      <c r="O244" s="589">
        <f t="shared" si="48"/>
        <v>1</v>
      </c>
      <c r="P244" s="589">
        <f t="shared" si="48"/>
        <v>1</v>
      </c>
      <c r="Q244" s="589">
        <f t="shared" si="48"/>
        <v>1</v>
      </c>
      <c r="R244" s="589">
        <f t="shared" si="48"/>
        <v>1</v>
      </c>
      <c r="S244" s="589">
        <f t="shared" si="48"/>
        <v>1</v>
      </c>
    </row>
    <row r="245" spans="2:19" ht="13.5" customHeight="1" x14ac:dyDescent="0.25">
      <c r="B245" s="1278" t="s">
        <v>3161</v>
      </c>
      <c r="C245" s="589">
        <f t="shared" si="48"/>
        <v>1</v>
      </c>
      <c r="D245" s="589">
        <f t="shared" si="48"/>
        <v>1</v>
      </c>
      <c r="E245" s="589">
        <f t="shared" si="48"/>
        <v>1</v>
      </c>
      <c r="F245" s="589">
        <f t="shared" si="48"/>
        <v>1</v>
      </c>
      <c r="G245" s="589">
        <f t="shared" si="48"/>
        <v>1</v>
      </c>
      <c r="H245" s="589">
        <f t="shared" si="48"/>
        <v>1</v>
      </c>
      <c r="I245" s="589">
        <f t="shared" si="48"/>
        <v>1</v>
      </c>
      <c r="J245" s="589">
        <f t="shared" si="48"/>
        <v>1</v>
      </c>
      <c r="K245" s="589">
        <f t="shared" si="48"/>
        <v>1</v>
      </c>
      <c r="L245" s="589">
        <f t="shared" si="48"/>
        <v>1</v>
      </c>
      <c r="M245" s="589">
        <f t="shared" si="48"/>
        <v>1</v>
      </c>
      <c r="N245" s="589">
        <f t="shared" si="48"/>
        <v>1</v>
      </c>
      <c r="O245" s="589">
        <f t="shared" si="48"/>
        <v>1</v>
      </c>
      <c r="P245" s="589">
        <f t="shared" si="48"/>
        <v>1</v>
      </c>
      <c r="Q245" s="589">
        <f t="shared" si="48"/>
        <v>1</v>
      </c>
      <c r="R245" s="589">
        <f t="shared" si="48"/>
        <v>1</v>
      </c>
      <c r="S245" s="589">
        <f t="shared" si="48"/>
        <v>1</v>
      </c>
    </row>
    <row r="246" spans="2:19" ht="13.5" customHeight="1" x14ac:dyDescent="0.25">
      <c r="B246" s="1278" t="s">
        <v>3162</v>
      </c>
      <c r="C246" s="589">
        <f t="shared" si="48"/>
        <v>2</v>
      </c>
      <c r="D246" s="589">
        <f t="shared" si="48"/>
        <v>2</v>
      </c>
      <c r="E246" s="589">
        <f t="shared" si="48"/>
        <v>2</v>
      </c>
      <c r="F246" s="589">
        <f t="shared" si="48"/>
        <v>2</v>
      </c>
      <c r="G246" s="589">
        <f t="shared" si="48"/>
        <v>2</v>
      </c>
      <c r="H246" s="589">
        <f t="shared" si="48"/>
        <v>2</v>
      </c>
      <c r="I246" s="589">
        <f t="shared" si="48"/>
        <v>2</v>
      </c>
      <c r="J246" s="589">
        <f t="shared" si="48"/>
        <v>2</v>
      </c>
      <c r="K246" s="589">
        <f t="shared" si="48"/>
        <v>2</v>
      </c>
      <c r="L246" s="589">
        <f t="shared" si="48"/>
        <v>2</v>
      </c>
      <c r="M246" s="589">
        <f t="shared" si="48"/>
        <v>2</v>
      </c>
      <c r="N246" s="589">
        <f t="shared" si="48"/>
        <v>2</v>
      </c>
      <c r="O246" s="589">
        <f t="shared" si="48"/>
        <v>2</v>
      </c>
      <c r="P246" s="589">
        <f t="shared" si="48"/>
        <v>2</v>
      </c>
      <c r="Q246" s="589">
        <f t="shared" si="48"/>
        <v>2</v>
      </c>
      <c r="R246" s="589">
        <f t="shared" si="48"/>
        <v>2</v>
      </c>
      <c r="S246" s="589">
        <f t="shared" si="48"/>
        <v>2</v>
      </c>
    </row>
    <row r="247" spans="2:19" ht="13.5" customHeight="1" x14ac:dyDescent="0.25">
      <c r="B247" s="1278" t="s">
        <v>3163</v>
      </c>
      <c r="C247" s="589">
        <f t="shared" si="48"/>
        <v>1</v>
      </c>
      <c r="D247" s="589">
        <f t="shared" si="48"/>
        <v>1</v>
      </c>
      <c r="E247" s="589">
        <f t="shared" si="48"/>
        <v>1</v>
      </c>
      <c r="F247" s="589">
        <f t="shared" si="48"/>
        <v>1</v>
      </c>
      <c r="G247" s="589">
        <f t="shared" si="48"/>
        <v>1</v>
      </c>
      <c r="H247" s="589">
        <f t="shared" si="48"/>
        <v>1</v>
      </c>
      <c r="I247" s="589">
        <f t="shared" si="48"/>
        <v>1</v>
      </c>
      <c r="J247" s="589">
        <f t="shared" si="48"/>
        <v>1</v>
      </c>
      <c r="K247" s="589">
        <f t="shared" si="48"/>
        <v>1</v>
      </c>
      <c r="L247" s="589">
        <f t="shared" si="48"/>
        <v>1</v>
      </c>
      <c r="M247" s="589">
        <f t="shared" si="48"/>
        <v>1</v>
      </c>
      <c r="N247" s="589">
        <f t="shared" si="48"/>
        <v>1</v>
      </c>
      <c r="O247" s="589">
        <f t="shared" si="48"/>
        <v>1</v>
      </c>
      <c r="P247" s="589">
        <f t="shared" si="48"/>
        <v>1</v>
      </c>
      <c r="Q247" s="589">
        <f t="shared" si="48"/>
        <v>1</v>
      </c>
      <c r="R247" s="589">
        <f t="shared" si="48"/>
        <v>1</v>
      </c>
      <c r="S247" s="589">
        <f t="shared" si="48"/>
        <v>1</v>
      </c>
    </row>
    <row r="248" spans="2:19" ht="13.5" customHeight="1" x14ac:dyDescent="0.25">
      <c r="B248" s="2163" t="s">
        <v>3164</v>
      </c>
      <c r="C248" s="2125">
        <f t="shared" ref="C248:S248" si="49">SUM(C222:C247)</f>
        <v>15</v>
      </c>
      <c r="D248" s="2125">
        <f t="shared" si="49"/>
        <v>15</v>
      </c>
      <c r="E248" s="2125">
        <f t="shared" si="49"/>
        <v>15</v>
      </c>
      <c r="F248" s="2125">
        <f t="shared" si="49"/>
        <v>15</v>
      </c>
      <c r="G248" s="2125">
        <f t="shared" si="49"/>
        <v>15</v>
      </c>
      <c r="H248" s="2125">
        <f t="shared" si="49"/>
        <v>15</v>
      </c>
      <c r="I248" s="2125">
        <f t="shared" si="49"/>
        <v>15</v>
      </c>
      <c r="J248" s="2125">
        <f t="shared" si="49"/>
        <v>15</v>
      </c>
      <c r="K248" s="2125">
        <f t="shared" si="49"/>
        <v>15</v>
      </c>
      <c r="L248" s="2125">
        <f t="shared" si="49"/>
        <v>15</v>
      </c>
      <c r="M248" s="2125">
        <f t="shared" si="49"/>
        <v>15</v>
      </c>
      <c r="N248" s="2125">
        <f t="shared" si="49"/>
        <v>15</v>
      </c>
      <c r="O248" s="2125">
        <f t="shared" si="49"/>
        <v>15</v>
      </c>
      <c r="P248" s="2125">
        <f t="shared" si="49"/>
        <v>15</v>
      </c>
      <c r="Q248" s="2125">
        <f t="shared" si="49"/>
        <v>15</v>
      </c>
      <c r="R248" s="2125">
        <f t="shared" si="49"/>
        <v>15</v>
      </c>
      <c r="S248" s="2126">
        <f t="shared" si="49"/>
        <v>15</v>
      </c>
    </row>
    <row r="249" spans="2:19" ht="13.5" customHeight="1" x14ac:dyDescent="0.25"/>
    <row r="250" spans="2:19" ht="12" customHeight="1" x14ac:dyDescent="0.25">
      <c r="B250" s="1144" t="s">
        <v>3836</v>
      </c>
      <c r="C250" s="1596"/>
    </row>
    <row r="251" spans="2:19" ht="12" customHeight="1" x14ac:dyDescent="0.25">
      <c r="B251" s="689"/>
      <c r="C251" s="1596"/>
    </row>
    <row r="252" spans="2:19" x14ac:dyDescent="0.25">
      <c r="B252" s="4754" t="s">
        <v>3112</v>
      </c>
      <c r="C252" s="2136">
        <v>0</v>
      </c>
      <c r="D252" s="2136">
        <v>0</v>
      </c>
      <c r="E252" s="2159">
        <v>1</v>
      </c>
      <c r="F252" s="2159">
        <f>E252+1</f>
        <v>2</v>
      </c>
      <c r="G252" s="2159">
        <f>F252+1</f>
        <v>3</v>
      </c>
      <c r="H252" s="2159">
        <f t="shared" ref="H252:S252" si="50">G252+1</f>
        <v>4</v>
      </c>
      <c r="I252" s="2159">
        <f t="shared" si="50"/>
        <v>5</v>
      </c>
      <c r="J252" s="2159">
        <f t="shared" si="50"/>
        <v>6</v>
      </c>
      <c r="K252" s="2159">
        <f t="shared" si="50"/>
        <v>7</v>
      </c>
      <c r="L252" s="2159">
        <f t="shared" si="50"/>
        <v>8</v>
      </c>
      <c r="M252" s="2159">
        <f t="shared" si="50"/>
        <v>9</v>
      </c>
      <c r="N252" s="2159">
        <f t="shared" si="50"/>
        <v>10</v>
      </c>
      <c r="O252" s="2159">
        <f t="shared" si="50"/>
        <v>11</v>
      </c>
      <c r="P252" s="2159">
        <f t="shared" si="50"/>
        <v>12</v>
      </c>
      <c r="Q252" s="2159">
        <f t="shared" si="50"/>
        <v>13</v>
      </c>
      <c r="R252" s="2159">
        <f t="shared" si="50"/>
        <v>14</v>
      </c>
      <c r="S252" s="2160">
        <f t="shared" si="50"/>
        <v>15</v>
      </c>
    </row>
    <row r="253" spans="2:19" x14ac:dyDescent="0.25">
      <c r="B253" s="4755"/>
      <c r="C253" s="2137">
        <v>2018</v>
      </c>
      <c r="D253" s="2137">
        <f>C253+1</f>
        <v>2019</v>
      </c>
      <c r="E253" s="2161">
        <f t="shared" ref="E253:S253" si="51">D253+1</f>
        <v>2020</v>
      </c>
      <c r="F253" s="2161">
        <f t="shared" si="51"/>
        <v>2021</v>
      </c>
      <c r="G253" s="2161">
        <f t="shared" si="51"/>
        <v>2022</v>
      </c>
      <c r="H253" s="2161">
        <f t="shared" si="51"/>
        <v>2023</v>
      </c>
      <c r="I253" s="2161">
        <f t="shared" si="51"/>
        <v>2024</v>
      </c>
      <c r="J253" s="2161">
        <f t="shared" si="51"/>
        <v>2025</v>
      </c>
      <c r="K253" s="2161">
        <f t="shared" si="51"/>
        <v>2026</v>
      </c>
      <c r="L253" s="2161">
        <f t="shared" si="51"/>
        <v>2027</v>
      </c>
      <c r="M253" s="2161">
        <f t="shared" si="51"/>
        <v>2028</v>
      </c>
      <c r="N253" s="2161">
        <f t="shared" si="51"/>
        <v>2029</v>
      </c>
      <c r="O253" s="2161">
        <f t="shared" si="51"/>
        <v>2030</v>
      </c>
      <c r="P253" s="2161">
        <f t="shared" si="51"/>
        <v>2031</v>
      </c>
      <c r="Q253" s="2161">
        <f t="shared" si="51"/>
        <v>2032</v>
      </c>
      <c r="R253" s="2161">
        <f t="shared" si="51"/>
        <v>2033</v>
      </c>
      <c r="S253" s="2162">
        <f t="shared" si="51"/>
        <v>2034</v>
      </c>
    </row>
    <row r="254" spans="2:19" ht="12" customHeight="1" x14ac:dyDescent="0.25">
      <c r="B254" s="1278" t="s">
        <v>206</v>
      </c>
      <c r="C254" s="1281" t="e">
        <f t="shared" ref="C254:S268" si="52">C193-C69</f>
        <v>#DIV/0!</v>
      </c>
      <c r="D254" s="1281" t="e">
        <f t="shared" si="52"/>
        <v>#DIV/0!</v>
      </c>
      <c r="E254" s="1281" t="e">
        <f t="shared" si="52"/>
        <v>#DIV/0!</v>
      </c>
      <c r="F254" s="1281" t="e">
        <f t="shared" si="52"/>
        <v>#DIV/0!</v>
      </c>
      <c r="G254" s="1281" t="e">
        <f t="shared" si="52"/>
        <v>#DIV/0!</v>
      </c>
      <c r="H254" s="1281" t="e">
        <f t="shared" si="52"/>
        <v>#DIV/0!</v>
      </c>
      <c r="I254" s="1281" t="e">
        <f t="shared" si="52"/>
        <v>#DIV/0!</v>
      </c>
      <c r="J254" s="1281" t="e">
        <f t="shared" si="52"/>
        <v>#DIV/0!</v>
      </c>
      <c r="K254" s="1281" t="e">
        <f t="shared" si="52"/>
        <v>#DIV/0!</v>
      </c>
      <c r="L254" s="1281" t="e">
        <f t="shared" si="52"/>
        <v>#DIV/0!</v>
      </c>
      <c r="M254" s="1281" t="e">
        <f t="shared" si="52"/>
        <v>#DIV/0!</v>
      </c>
      <c r="N254" s="1281" t="e">
        <f t="shared" si="52"/>
        <v>#DIV/0!</v>
      </c>
      <c r="O254" s="1281" t="e">
        <f t="shared" si="52"/>
        <v>#DIV/0!</v>
      </c>
      <c r="P254" s="1281" t="e">
        <f t="shared" si="52"/>
        <v>#DIV/0!</v>
      </c>
      <c r="Q254" s="1281" t="e">
        <f t="shared" si="52"/>
        <v>#DIV/0!</v>
      </c>
      <c r="R254" s="1281" t="e">
        <f t="shared" si="52"/>
        <v>#DIV/0!</v>
      </c>
      <c r="S254" s="1281" t="e">
        <f t="shared" si="52"/>
        <v>#DIV/0!</v>
      </c>
    </row>
    <row r="255" spans="2:19" ht="12" customHeight="1" x14ac:dyDescent="0.25">
      <c r="B255" s="1278" t="s">
        <v>3126</v>
      </c>
      <c r="C255" s="1281" t="e">
        <f t="shared" si="52"/>
        <v>#DIV/0!</v>
      </c>
      <c r="D255" s="1281" t="e">
        <f t="shared" si="52"/>
        <v>#DIV/0!</v>
      </c>
      <c r="E255" s="1281" t="e">
        <f t="shared" si="52"/>
        <v>#DIV/0!</v>
      </c>
      <c r="F255" s="1281" t="e">
        <f t="shared" si="52"/>
        <v>#DIV/0!</v>
      </c>
      <c r="G255" s="1281" t="e">
        <f t="shared" si="52"/>
        <v>#DIV/0!</v>
      </c>
      <c r="H255" s="1281" t="e">
        <f t="shared" si="52"/>
        <v>#DIV/0!</v>
      </c>
      <c r="I255" s="1281" t="e">
        <f t="shared" si="52"/>
        <v>#DIV/0!</v>
      </c>
      <c r="J255" s="1281" t="e">
        <f t="shared" si="52"/>
        <v>#DIV/0!</v>
      </c>
      <c r="K255" s="1281" t="e">
        <f t="shared" si="52"/>
        <v>#DIV/0!</v>
      </c>
      <c r="L255" s="1281" t="e">
        <f t="shared" si="52"/>
        <v>#DIV/0!</v>
      </c>
      <c r="M255" s="1281" t="e">
        <f t="shared" si="52"/>
        <v>#DIV/0!</v>
      </c>
      <c r="N255" s="1281" t="e">
        <f t="shared" si="52"/>
        <v>#DIV/0!</v>
      </c>
      <c r="O255" s="1281" t="e">
        <f t="shared" si="52"/>
        <v>#DIV/0!</v>
      </c>
      <c r="P255" s="1281" t="e">
        <f t="shared" si="52"/>
        <v>#DIV/0!</v>
      </c>
      <c r="Q255" s="1281" t="e">
        <f t="shared" si="52"/>
        <v>#DIV/0!</v>
      </c>
      <c r="R255" s="1281" t="e">
        <f t="shared" si="52"/>
        <v>#DIV/0!</v>
      </c>
      <c r="S255" s="1281" t="e">
        <f t="shared" si="52"/>
        <v>#DIV/0!</v>
      </c>
    </row>
    <row r="256" spans="2:19" ht="12" customHeight="1" x14ac:dyDescent="0.25">
      <c r="B256" s="2122" t="s">
        <v>3127</v>
      </c>
      <c r="C256" s="2167">
        <f t="shared" si="52"/>
        <v>0</v>
      </c>
      <c r="D256" s="2167">
        <f t="shared" si="52"/>
        <v>0</v>
      </c>
      <c r="E256" s="2167">
        <f t="shared" si="52"/>
        <v>0</v>
      </c>
      <c r="F256" s="2167">
        <f t="shared" si="52"/>
        <v>0</v>
      </c>
      <c r="G256" s="2167">
        <f t="shared" si="52"/>
        <v>0</v>
      </c>
      <c r="H256" s="2167">
        <f t="shared" si="52"/>
        <v>0</v>
      </c>
      <c r="I256" s="2167">
        <f t="shared" si="52"/>
        <v>0</v>
      </c>
      <c r="J256" s="2167">
        <f t="shared" si="52"/>
        <v>0</v>
      </c>
      <c r="K256" s="2167">
        <f t="shared" si="52"/>
        <v>0</v>
      </c>
      <c r="L256" s="2167">
        <f t="shared" si="52"/>
        <v>0</v>
      </c>
      <c r="M256" s="2167">
        <f t="shared" si="52"/>
        <v>0</v>
      </c>
      <c r="N256" s="2167">
        <f t="shared" si="52"/>
        <v>0</v>
      </c>
      <c r="O256" s="2167">
        <f t="shared" si="52"/>
        <v>0</v>
      </c>
      <c r="P256" s="2167">
        <f t="shared" si="52"/>
        <v>0</v>
      </c>
      <c r="Q256" s="2167">
        <f t="shared" si="52"/>
        <v>0</v>
      </c>
      <c r="R256" s="2167">
        <f t="shared" si="52"/>
        <v>0</v>
      </c>
      <c r="S256" s="2167">
        <f t="shared" si="52"/>
        <v>0</v>
      </c>
    </row>
    <row r="257" spans="2:19" ht="12" customHeight="1" x14ac:dyDescent="0.25">
      <c r="B257" s="1278" t="s">
        <v>3128</v>
      </c>
      <c r="C257" s="1281" t="e">
        <f t="shared" si="52"/>
        <v>#DIV/0!</v>
      </c>
      <c r="D257" s="1281" t="e">
        <f t="shared" si="52"/>
        <v>#DIV/0!</v>
      </c>
      <c r="E257" s="1281" t="e">
        <f t="shared" si="52"/>
        <v>#DIV/0!</v>
      </c>
      <c r="F257" s="1281" t="e">
        <f t="shared" si="52"/>
        <v>#DIV/0!</v>
      </c>
      <c r="G257" s="1281" t="e">
        <f t="shared" si="52"/>
        <v>#DIV/0!</v>
      </c>
      <c r="H257" s="1281" t="e">
        <f t="shared" si="52"/>
        <v>#DIV/0!</v>
      </c>
      <c r="I257" s="1281" t="e">
        <f t="shared" si="52"/>
        <v>#DIV/0!</v>
      </c>
      <c r="J257" s="1281" t="e">
        <f t="shared" si="52"/>
        <v>#DIV/0!</v>
      </c>
      <c r="K257" s="1281" t="e">
        <f t="shared" si="52"/>
        <v>#DIV/0!</v>
      </c>
      <c r="L257" s="1281" t="e">
        <f t="shared" si="52"/>
        <v>#DIV/0!</v>
      </c>
      <c r="M257" s="1281" t="e">
        <f t="shared" si="52"/>
        <v>#DIV/0!</v>
      </c>
      <c r="N257" s="1281" t="e">
        <f t="shared" si="52"/>
        <v>#DIV/0!</v>
      </c>
      <c r="O257" s="1281" t="e">
        <f t="shared" si="52"/>
        <v>#DIV/0!</v>
      </c>
      <c r="P257" s="1281" t="e">
        <f t="shared" si="52"/>
        <v>#DIV/0!</v>
      </c>
      <c r="Q257" s="1281" t="e">
        <f t="shared" si="52"/>
        <v>#DIV/0!</v>
      </c>
      <c r="R257" s="1281" t="e">
        <f t="shared" si="52"/>
        <v>#DIV/0!</v>
      </c>
      <c r="S257" s="1281" t="e">
        <f t="shared" si="52"/>
        <v>#DIV/0!</v>
      </c>
    </row>
    <row r="258" spans="2:19" ht="12" customHeight="1" x14ac:dyDescent="0.25">
      <c r="B258" s="2122" t="s">
        <v>3129</v>
      </c>
      <c r="C258" s="2167">
        <f t="shared" si="52"/>
        <v>0</v>
      </c>
      <c r="D258" s="2167">
        <f t="shared" si="52"/>
        <v>0</v>
      </c>
      <c r="E258" s="2167">
        <f t="shared" si="52"/>
        <v>0</v>
      </c>
      <c r="F258" s="2167">
        <f t="shared" si="52"/>
        <v>0</v>
      </c>
      <c r="G258" s="2167">
        <f t="shared" si="52"/>
        <v>0</v>
      </c>
      <c r="H258" s="2167">
        <f t="shared" si="52"/>
        <v>0</v>
      </c>
      <c r="I258" s="2167">
        <f t="shared" si="52"/>
        <v>0</v>
      </c>
      <c r="J258" s="2167">
        <f t="shared" si="52"/>
        <v>0</v>
      </c>
      <c r="K258" s="2167">
        <f t="shared" si="52"/>
        <v>0</v>
      </c>
      <c r="L258" s="2167">
        <f t="shared" si="52"/>
        <v>0</v>
      </c>
      <c r="M258" s="2167">
        <f t="shared" si="52"/>
        <v>0</v>
      </c>
      <c r="N258" s="2167">
        <f t="shared" si="52"/>
        <v>0</v>
      </c>
      <c r="O258" s="2167">
        <f t="shared" si="52"/>
        <v>0</v>
      </c>
      <c r="P258" s="2167">
        <f t="shared" si="52"/>
        <v>0</v>
      </c>
      <c r="Q258" s="2167">
        <f t="shared" si="52"/>
        <v>0</v>
      </c>
      <c r="R258" s="2167">
        <f t="shared" si="52"/>
        <v>0</v>
      </c>
      <c r="S258" s="2167">
        <f t="shared" si="52"/>
        <v>0</v>
      </c>
    </row>
    <row r="259" spans="2:19" ht="12" customHeight="1" x14ac:dyDescent="0.25">
      <c r="B259" s="2122" t="s">
        <v>3130</v>
      </c>
      <c r="C259" s="2167">
        <f t="shared" si="52"/>
        <v>0</v>
      </c>
      <c r="D259" s="2167">
        <f t="shared" si="52"/>
        <v>0</v>
      </c>
      <c r="E259" s="2167">
        <f t="shared" si="52"/>
        <v>0</v>
      </c>
      <c r="F259" s="2167">
        <f t="shared" si="52"/>
        <v>0</v>
      </c>
      <c r="G259" s="2167">
        <f t="shared" si="52"/>
        <v>0</v>
      </c>
      <c r="H259" s="2167">
        <f t="shared" si="52"/>
        <v>0</v>
      </c>
      <c r="I259" s="2167">
        <f t="shared" si="52"/>
        <v>0</v>
      </c>
      <c r="J259" s="2167">
        <f t="shared" si="52"/>
        <v>0</v>
      </c>
      <c r="K259" s="2167">
        <f t="shared" si="52"/>
        <v>0</v>
      </c>
      <c r="L259" s="2167">
        <f t="shared" si="52"/>
        <v>0</v>
      </c>
      <c r="M259" s="2167">
        <f t="shared" si="52"/>
        <v>0</v>
      </c>
      <c r="N259" s="2167">
        <f t="shared" si="52"/>
        <v>0</v>
      </c>
      <c r="O259" s="2167">
        <f t="shared" si="52"/>
        <v>0</v>
      </c>
      <c r="P259" s="2167">
        <f t="shared" si="52"/>
        <v>0</v>
      </c>
      <c r="Q259" s="2167">
        <f t="shared" si="52"/>
        <v>0</v>
      </c>
      <c r="R259" s="2167">
        <f t="shared" si="52"/>
        <v>0</v>
      </c>
      <c r="S259" s="2167">
        <f t="shared" si="52"/>
        <v>0</v>
      </c>
    </row>
    <row r="260" spans="2:19" ht="12" customHeight="1" x14ac:dyDescent="0.25">
      <c r="B260" s="2122" t="s">
        <v>3131</v>
      </c>
      <c r="C260" s="2167">
        <f t="shared" si="52"/>
        <v>0</v>
      </c>
      <c r="D260" s="2167">
        <f t="shared" si="52"/>
        <v>0</v>
      </c>
      <c r="E260" s="2167">
        <f t="shared" si="52"/>
        <v>0</v>
      </c>
      <c r="F260" s="2167">
        <f t="shared" si="52"/>
        <v>0</v>
      </c>
      <c r="G260" s="2167">
        <f t="shared" si="52"/>
        <v>0</v>
      </c>
      <c r="H260" s="2167">
        <f t="shared" si="52"/>
        <v>0</v>
      </c>
      <c r="I260" s="2167">
        <f t="shared" si="52"/>
        <v>0</v>
      </c>
      <c r="J260" s="2167">
        <f t="shared" si="52"/>
        <v>0</v>
      </c>
      <c r="K260" s="2167">
        <f t="shared" si="52"/>
        <v>0</v>
      </c>
      <c r="L260" s="2167">
        <f t="shared" si="52"/>
        <v>0</v>
      </c>
      <c r="M260" s="2167">
        <f t="shared" si="52"/>
        <v>0</v>
      </c>
      <c r="N260" s="2167">
        <f t="shared" si="52"/>
        <v>0</v>
      </c>
      <c r="O260" s="2167">
        <f t="shared" si="52"/>
        <v>0</v>
      </c>
      <c r="P260" s="2167">
        <f t="shared" si="52"/>
        <v>0</v>
      </c>
      <c r="Q260" s="2167">
        <f t="shared" si="52"/>
        <v>0</v>
      </c>
      <c r="R260" s="2167">
        <f t="shared" si="52"/>
        <v>0</v>
      </c>
      <c r="S260" s="2167">
        <f t="shared" si="52"/>
        <v>0</v>
      </c>
    </row>
    <row r="261" spans="2:19" ht="12" customHeight="1" x14ac:dyDescent="0.25">
      <c r="B261" s="1278" t="s">
        <v>3132</v>
      </c>
      <c r="C261" s="1281" t="e">
        <f t="shared" si="52"/>
        <v>#DIV/0!</v>
      </c>
      <c r="D261" s="1281" t="e">
        <f t="shared" si="52"/>
        <v>#DIV/0!</v>
      </c>
      <c r="E261" s="1281" t="e">
        <f t="shared" si="52"/>
        <v>#DIV/0!</v>
      </c>
      <c r="F261" s="1281" t="e">
        <f t="shared" si="52"/>
        <v>#DIV/0!</v>
      </c>
      <c r="G261" s="1281" t="e">
        <f t="shared" si="52"/>
        <v>#DIV/0!</v>
      </c>
      <c r="H261" s="1281" t="e">
        <f t="shared" si="52"/>
        <v>#DIV/0!</v>
      </c>
      <c r="I261" s="1281" t="e">
        <f t="shared" si="52"/>
        <v>#DIV/0!</v>
      </c>
      <c r="J261" s="1281" t="e">
        <f t="shared" si="52"/>
        <v>#DIV/0!</v>
      </c>
      <c r="K261" s="1281" t="e">
        <f t="shared" si="52"/>
        <v>#DIV/0!</v>
      </c>
      <c r="L261" s="1281" t="e">
        <f t="shared" si="52"/>
        <v>#DIV/0!</v>
      </c>
      <c r="M261" s="1281" t="e">
        <f t="shared" si="52"/>
        <v>#DIV/0!</v>
      </c>
      <c r="N261" s="1281" t="e">
        <f t="shared" si="52"/>
        <v>#DIV/0!</v>
      </c>
      <c r="O261" s="1281" t="e">
        <f t="shared" si="52"/>
        <v>#DIV/0!</v>
      </c>
      <c r="P261" s="1281" t="e">
        <f t="shared" si="52"/>
        <v>#DIV/0!</v>
      </c>
      <c r="Q261" s="1281" t="e">
        <f t="shared" si="52"/>
        <v>#DIV/0!</v>
      </c>
      <c r="R261" s="1281" t="e">
        <f t="shared" si="52"/>
        <v>#DIV/0!</v>
      </c>
      <c r="S261" s="1281" t="e">
        <f t="shared" si="52"/>
        <v>#DIV/0!</v>
      </c>
    </row>
    <row r="262" spans="2:19" ht="12" customHeight="1" x14ac:dyDescent="0.25">
      <c r="B262" s="2122" t="s">
        <v>3133</v>
      </c>
      <c r="C262" s="2167">
        <f t="shared" si="52"/>
        <v>0</v>
      </c>
      <c r="D262" s="2167">
        <f t="shared" si="52"/>
        <v>0</v>
      </c>
      <c r="E262" s="2167">
        <f t="shared" si="52"/>
        <v>0</v>
      </c>
      <c r="F262" s="2167">
        <f t="shared" si="52"/>
        <v>0</v>
      </c>
      <c r="G262" s="2167">
        <f t="shared" si="52"/>
        <v>0</v>
      </c>
      <c r="H262" s="2167">
        <f t="shared" si="52"/>
        <v>0</v>
      </c>
      <c r="I262" s="2167">
        <f t="shared" si="52"/>
        <v>0</v>
      </c>
      <c r="J262" s="2167">
        <f t="shared" si="52"/>
        <v>0</v>
      </c>
      <c r="K262" s="2167">
        <f t="shared" si="52"/>
        <v>0</v>
      </c>
      <c r="L262" s="2167">
        <f t="shared" si="52"/>
        <v>0</v>
      </c>
      <c r="M262" s="2167">
        <f t="shared" si="52"/>
        <v>0</v>
      </c>
      <c r="N262" s="2167">
        <f t="shared" si="52"/>
        <v>0</v>
      </c>
      <c r="O262" s="2167">
        <f t="shared" si="52"/>
        <v>0</v>
      </c>
      <c r="P262" s="2167">
        <f t="shared" si="52"/>
        <v>0</v>
      </c>
      <c r="Q262" s="2167">
        <f t="shared" si="52"/>
        <v>0</v>
      </c>
      <c r="R262" s="2167">
        <f t="shared" si="52"/>
        <v>0</v>
      </c>
      <c r="S262" s="2167">
        <f t="shared" si="52"/>
        <v>0</v>
      </c>
    </row>
    <row r="263" spans="2:19" ht="12" customHeight="1" x14ac:dyDescent="0.25">
      <c r="B263" s="2122" t="s">
        <v>3134</v>
      </c>
      <c r="C263" s="2167">
        <f t="shared" si="52"/>
        <v>0</v>
      </c>
      <c r="D263" s="2167">
        <f t="shared" si="52"/>
        <v>0</v>
      </c>
      <c r="E263" s="2167">
        <f t="shared" si="52"/>
        <v>0</v>
      </c>
      <c r="F263" s="2167">
        <f t="shared" si="52"/>
        <v>0</v>
      </c>
      <c r="G263" s="2167">
        <f t="shared" si="52"/>
        <v>0</v>
      </c>
      <c r="H263" s="2167">
        <f t="shared" si="52"/>
        <v>0</v>
      </c>
      <c r="I263" s="2167">
        <f t="shared" si="52"/>
        <v>0</v>
      </c>
      <c r="J263" s="2167">
        <f t="shared" si="52"/>
        <v>0</v>
      </c>
      <c r="K263" s="2167">
        <f t="shared" si="52"/>
        <v>0</v>
      </c>
      <c r="L263" s="2167">
        <f t="shared" si="52"/>
        <v>0</v>
      </c>
      <c r="M263" s="2167">
        <f t="shared" si="52"/>
        <v>0</v>
      </c>
      <c r="N263" s="2167">
        <f t="shared" si="52"/>
        <v>0</v>
      </c>
      <c r="O263" s="2167">
        <f t="shared" si="52"/>
        <v>0</v>
      </c>
      <c r="P263" s="2167">
        <f t="shared" si="52"/>
        <v>0</v>
      </c>
      <c r="Q263" s="2167">
        <f t="shared" si="52"/>
        <v>0</v>
      </c>
      <c r="R263" s="2167">
        <f t="shared" si="52"/>
        <v>0</v>
      </c>
      <c r="S263" s="2167">
        <f t="shared" si="52"/>
        <v>0</v>
      </c>
    </row>
    <row r="264" spans="2:19" ht="12" customHeight="1" x14ac:dyDescent="0.25">
      <c r="B264" s="2122" t="s">
        <v>3135</v>
      </c>
      <c r="C264" s="2167">
        <f t="shared" si="52"/>
        <v>0</v>
      </c>
      <c r="D264" s="2167">
        <f t="shared" si="52"/>
        <v>0</v>
      </c>
      <c r="E264" s="2167">
        <f t="shared" si="52"/>
        <v>0</v>
      </c>
      <c r="F264" s="2167">
        <f t="shared" si="52"/>
        <v>0</v>
      </c>
      <c r="G264" s="2167">
        <f t="shared" si="52"/>
        <v>0</v>
      </c>
      <c r="H264" s="2167">
        <f t="shared" si="52"/>
        <v>0</v>
      </c>
      <c r="I264" s="2167">
        <f t="shared" si="52"/>
        <v>0</v>
      </c>
      <c r="J264" s="2167">
        <f t="shared" si="52"/>
        <v>0</v>
      </c>
      <c r="K264" s="2167">
        <f t="shared" si="52"/>
        <v>0</v>
      </c>
      <c r="L264" s="2167">
        <f t="shared" si="52"/>
        <v>0</v>
      </c>
      <c r="M264" s="2167">
        <f t="shared" si="52"/>
        <v>0</v>
      </c>
      <c r="N264" s="2167">
        <f t="shared" si="52"/>
        <v>0</v>
      </c>
      <c r="O264" s="2167">
        <f t="shared" si="52"/>
        <v>0</v>
      </c>
      <c r="P264" s="2167">
        <f t="shared" si="52"/>
        <v>0</v>
      </c>
      <c r="Q264" s="2167">
        <f t="shared" si="52"/>
        <v>0</v>
      </c>
      <c r="R264" s="2167">
        <f t="shared" si="52"/>
        <v>0</v>
      </c>
      <c r="S264" s="2167">
        <f t="shared" si="52"/>
        <v>0</v>
      </c>
    </row>
    <row r="265" spans="2:19" ht="12" customHeight="1" x14ac:dyDescent="0.25">
      <c r="B265" s="2122" t="s">
        <v>3136</v>
      </c>
      <c r="C265" s="2167">
        <f t="shared" si="52"/>
        <v>0</v>
      </c>
      <c r="D265" s="2167">
        <f t="shared" si="52"/>
        <v>0</v>
      </c>
      <c r="E265" s="2167">
        <f t="shared" si="52"/>
        <v>0</v>
      </c>
      <c r="F265" s="2167">
        <f t="shared" si="52"/>
        <v>0</v>
      </c>
      <c r="G265" s="2167">
        <f t="shared" si="52"/>
        <v>0</v>
      </c>
      <c r="H265" s="2167">
        <f t="shared" si="52"/>
        <v>0</v>
      </c>
      <c r="I265" s="2167">
        <f t="shared" si="52"/>
        <v>0</v>
      </c>
      <c r="J265" s="2167">
        <f t="shared" si="52"/>
        <v>0</v>
      </c>
      <c r="K265" s="2167">
        <f t="shared" si="52"/>
        <v>0</v>
      </c>
      <c r="L265" s="2167">
        <f t="shared" si="52"/>
        <v>0</v>
      </c>
      <c r="M265" s="2167">
        <f t="shared" si="52"/>
        <v>0</v>
      </c>
      <c r="N265" s="2167">
        <f t="shared" si="52"/>
        <v>0</v>
      </c>
      <c r="O265" s="2167">
        <f t="shared" si="52"/>
        <v>0</v>
      </c>
      <c r="P265" s="2167">
        <f t="shared" si="52"/>
        <v>0</v>
      </c>
      <c r="Q265" s="2167">
        <f t="shared" si="52"/>
        <v>0</v>
      </c>
      <c r="R265" s="2167">
        <f t="shared" si="52"/>
        <v>0</v>
      </c>
      <c r="S265" s="2167">
        <f t="shared" si="52"/>
        <v>0</v>
      </c>
    </row>
    <row r="266" spans="2:19" ht="12" customHeight="1" x14ac:dyDescent="0.25">
      <c r="B266" s="2122" t="s">
        <v>216</v>
      </c>
      <c r="C266" s="2167" t="e">
        <f t="shared" si="52"/>
        <v>#REF!</v>
      </c>
      <c r="D266" s="2167" t="e">
        <f t="shared" si="52"/>
        <v>#REF!</v>
      </c>
      <c r="E266" s="2167" t="e">
        <f t="shared" si="52"/>
        <v>#REF!</v>
      </c>
      <c r="F266" s="2167" t="e">
        <f t="shared" si="52"/>
        <v>#REF!</v>
      </c>
      <c r="G266" s="2167" t="e">
        <f t="shared" si="52"/>
        <v>#REF!</v>
      </c>
      <c r="H266" s="2167" t="e">
        <f t="shared" si="52"/>
        <v>#REF!</v>
      </c>
      <c r="I266" s="2167" t="e">
        <f t="shared" si="52"/>
        <v>#REF!</v>
      </c>
      <c r="J266" s="2167" t="e">
        <f t="shared" si="52"/>
        <v>#REF!</v>
      </c>
      <c r="K266" s="2167" t="e">
        <f t="shared" si="52"/>
        <v>#REF!</v>
      </c>
      <c r="L266" s="2167" t="e">
        <f t="shared" si="52"/>
        <v>#REF!</v>
      </c>
      <c r="M266" s="2167" t="e">
        <f t="shared" si="52"/>
        <v>#REF!</v>
      </c>
      <c r="N266" s="2167" t="e">
        <f t="shared" si="52"/>
        <v>#REF!</v>
      </c>
      <c r="O266" s="2167" t="e">
        <f t="shared" si="52"/>
        <v>#REF!</v>
      </c>
      <c r="P266" s="2167" t="e">
        <f t="shared" si="52"/>
        <v>#REF!</v>
      </c>
      <c r="Q266" s="2167" t="e">
        <f t="shared" si="52"/>
        <v>#REF!</v>
      </c>
      <c r="R266" s="2167" t="e">
        <f t="shared" si="52"/>
        <v>#REF!</v>
      </c>
      <c r="S266" s="2167" t="e">
        <f t="shared" si="52"/>
        <v>#REF!</v>
      </c>
    </row>
    <row r="267" spans="2:19" ht="12" customHeight="1" x14ac:dyDescent="0.25">
      <c r="B267" s="1278" t="s">
        <v>217</v>
      </c>
      <c r="C267" s="1281" t="e">
        <f t="shared" si="52"/>
        <v>#DIV/0!</v>
      </c>
      <c r="D267" s="1281" t="e">
        <f t="shared" si="52"/>
        <v>#DIV/0!</v>
      </c>
      <c r="E267" s="1281" t="e">
        <f t="shared" si="52"/>
        <v>#DIV/0!</v>
      </c>
      <c r="F267" s="1281" t="e">
        <f t="shared" si="52"/>
        <v>#DIV/0!</v>
      </c>
      <c r="G267" s="1281" t="e">
        <f t="shared" si="52"/>
        <v>#DIV/0!</v>
      </c>
      <c r="H267" s="1281" t="e">
        <f t="shared" si="52"/>
        <v>#DIV/0!</v>
      </c>
      <c r="I267" s="1281" t="e">
        <f t="shared" si="52"/>
        <v>#DIV/0!</v>
      </c>
      <c r="J267" s="1281" t="e">
        <f t="shared" si="52"/>
        <v>#DIV/0!</v>
      </c>
      <c r="K267" s="1281" t="e">
        <f t="shared" si="52"/>
        <v>#DIV/0!</v>
      </c>
      <c r="L267" s="1281" t="e">
        <f t="shared" si="52"/>
        <v>#DIV/0!</v>
      </c>
      <c r="M267" s="1281" t="e">
        <f t="shared" si="52"/>
        <v>#DIV/0!</v>
      </c>
      <c r="N267" s="1281">
        <f t="shared" si="52"/>
        <v>3</v>
      </c>
      <c r="O267" s="1281" t="e">
        <f t="shared" si="52"/>
        <v>#DIV/0!</v>
      </c>
      <c r="P267" s="1281" t="e">
        <f t="shared" si="52"/>
        <v>#DIV/0!</v>
      </c>
      <c r="Q267" s="1281" t="e">
        <f t="shared" si="52"/>
        <v>#DIV/0!</v>
      </c>
      <c r="R267" s="1281" t="e">
        <f t="shared" si="52"/>
        <v>#DIV/0!</v>
      </c>
      <c r="S267" s="1281" t="e">
        <f t="shared" si="52"/>
        <v>#DIV/0!</v>
      </c>
    </row>
    <row r="268" spans="2:19" ht="12" customHeight="1" x14ac:dyDescent="0.25">
      <c r="B268" s="1278" t="s">
        <v>218</v>
      </c>
      <c r="C268" s="1281" t="e">
        <f t="shared" si="52"/>
        <v>#REF!</v>
      </c>
      <c r="D268" s="1281" t="e">
        <f t="shared" si="52"/>
        <v>#REF!</v>
      </c>
      <c r="E268" s="1281" t="e">
        <f t="shared" si="52"/>
        <v>#REF!</v>
      </c>
      <c r="F268" s="1281" t="e">
        <f t="shared" si="52"/>
        <v>#REF!</v>
      </c>
      <c r="G268" s="1281" t="e">
        <f t="shared" si="52"/>
        <v>#REF!</v>
      </c>
      <c r="H268" s="1281" t="e">
        <f t="shared" si="52"/>
        <v>#REF!</v>
      </c>
      <c r="I268" s="1281" t="e">
        <f t="shared" si="52"/>
        <v>#REF!</v>
      </c>
      <c r="J268" s="1281" t="e">
        <f t="shared" si="52"/>
        <v>#REF!</v>
      </c>
      <c r="K268" s="1281" t="e">
        <f t="shared" si="52"/>
        <v>#REF!</v>
      </c>
      <c r="L268" s="1281" t="e">
        <f t="shared" si="52"/>
        <v>#REF!</v>
      </c>
      <c r="M268" s="1281" t="e">
        <f t="shared" si="52"/>
        <v>#REF!</v>
      </c>
      <c r="N268" s="1281" t="e">
        <f t="shared" si="52"/>
        <v>#REF!</v>
      </c>
      <c r="O268" s="1281" t="e">
        <f t="shared" si="52"/>
        <v>#REF!</v>
      </c>
      <c r="P268" s="1281" t="e">
        <f t="shared" si="52"/>
        <v>#REF!</v>
      </c>
      <c r="Q268" s="1281" t="e">
        <f t="shared" si="52"/>
        <v>#REF!</v>
      </c>
      <c r="R268" s="1281" t="e">
        <f t="shared" si="52"/>
        <v>#REF!</v>
      </c>
      <c r="S268" s="1281" t="e">
        <f t="shared" si="52"/>
        <v>#REF!</v>
      </c>
    </row>
    <row r="269" spans="2:19" ht="12" customHeight="1" x14ac:dyDescent="0.25">
      <c r="B269" s="1278" t="s">
        <v>353</v>
      </c>
      <c r="C269" s="1281" t="e">
        <f t="shared" ref="C269:S281" si="53">C208-C84</f>
        <v>#REF!</v>
      </c>
      <c r="D269" s="1281" t="e">
        <f t="shared" si="53"/>
        <v>#REF!</v>
      </c>
      <c r="E269" s="1281" t="e">
        <f t="shared" si="53"/>
        <v>#REF!</v>
      </c>
      <c r="F269" s="1281" t="e">
        <f t="shared" si="53"/>
        <v>#REF!</v>
      </c>
      <c r="G269" s="1281" t="e">
        <f t="shared" si="53"/>
        <v>#REF!</v>
      </c>
      <c r="H269" s="1281" t="e">
        <f t="shared" si="53"/>
        <v>#REF!</v>
      </c>
      <c r="I269" s="1281" t="e">
        <f t="shared" si="53"/>
        <v>#REF!</v>
      </c>
      <c r="J269" s="1281" t="e">
        <f t="shared" si="53"/>
        <v>#REF!</v>
      </c>
      <c r="K269" s="1281" t="e">
        <f t="shared" si="53"/>
        <v>#REF!</v>
      </c>
      <c r="L269" s="1281" t="e">
        <f t="shared" si="53"/>
        <v>#REF!</v>
      </c>
      <c r="M269" s="1281" t="e">
        <f t="shared" si="53"/>
        <v>#REF!</v>
      </c>
      <c r="N269" s="1281" t="e">
        <f t="shared" si="53"/>
        <v>#REF!</v>
      </c>
      <c r="O269" s="1281" t="e">
        <f t="shared" si="53"/>
        <v>#REF!</v>
      </c>
      <c r="P269" s="1281" t="e">
        <f t="shared" si="53"/>
        <v>#REF!</v>
      </c>
      <c r="Q269" s="1281" t="e">
        <f t="shared" si="53"/>
        <v>#REF!</v>
      </c>
      <c r="R269" s="1281" t="e">
        <f t="shared" si="53"/>
        <v>#REF!</v>
      </c>
      <c r="S269" s="1281" t="e">
        <f t="shared" si="53"/>
        <v>#REF!</v>
      </c>
    </row>
    <row r="270" spans="2:19" ht="12" customHeight="1" x14ac:dyDescent="0.25">
      <c r="B270" s="1278" t="s">
        <v>220</v>
      </c>
      <c r="C270" s="1281" t="e">
        <f t="shared" si="53"/>
        <v>#REF!</v>
      </c>
      <c r="D270" s="1281" t="e">
        <f t="shared" si="53"/>
        <v>#REF!</v>
      </c>
      <c r="E270" s="1281" t="e">
        <f t="shared" si="53"/>
        <v>#REF!</v>
      </c>
      <c r="F270" s="1281" t="e">
        <f t="shared" si="53"/>
        <v>#REF!</v>
      </c>
      <c r="G270" s="1281" t="e">
        <f t="shared" si="53"/>
        <v>#REF!</v>
      </c>
      <c r="H270" s="1281" t="e">
        <f t="shared" si="53"/>
        <v>#REF!</v>
      </c>
      <c r="I270" s="1281" t="e">
        <f t="shared" si="53"/>
        <v>#REF!</v>
      </c>
      <c r="J270" s="1281" t="e">
        <f t="shared" si="53"/>
        <v>#REF!</v>
      </c>
      <c r="K270" s="1281" t="e">
        <f t="shared" si="53"/>
        <v>#REF!</v>
      </c>
      <c r="L270" s="1281" t="e">
        <f t="shared" si="53"/>
        <v>#REF!</v>
      </c>
      <c r="M270" s="1281" t="e">
        <f t="shared" si="53"/>
        <v>#REF!</v>
      </c>
      <c r="N270" s="1281" t="e">
        <f t="shared" si="53"/>
        <v>#REF!</v>
      </c>
      <c r="O270" s="1281" t="e">
        <f t="shared" si="53"/>
        <v>#REF!</v>
      </c>
      <c r="P270" s="1281" t="e">
        <f t="shared" si="53"/>
        <v>#REF!</v>
      </c>
      <c r="Q270" s="1281" t="e">
        <f t="shared" si="53"/>
        <v>#REF!</v>
      </c>
      <c r="R270" s="1281" t="e">
        <f t="shared" si="53"/>
        <v>#REF!</v>
      </c>
      <c r="S270" s="1281" t="e">
        <f t="shared" si="53"/>
        <v>#REF!</v>
      </c>
    </row>
    <row r="271" spans="2:19" ht="12" customHeight="1" x14ac:dyDescent="0.25">
      <c r="B271" s="1278" t="s">
        <v>221</v>
      </c>
      <c r="C271" s="1281" t="e">
        <f t="shared" si="53"/>
        <v>#DIV/0!</v>
      </c>
      <c r="D271" s="1281" t="e">
        <f t="shared" si="53"/>
        <v>#DIV/0!</v>
      </c>
      <c r="E271" s="1281" t="e">
        <f t="shared" si="53"/>
        <v>#DIV/0!</v>
      </c>
      <c r="F271" s="1281" t="e">
        <f t="shared" si="53"/>
        <v>#DIV/0!</v>
      </c>
      <c r="G271" s="1281" t="e">
        <f t="shared" si="53"/>
        <v>#DIV/0!</v>
      </c>
      <c r="H271" s="1281" t="e">
        <f t="shared" si="53"/>
        <v>#DIV/0!</v>
      </c>
      <c r="I271" s="1281" t="e">
        <f t="shared" si="53"/>
        <v>#DIV/0!</v>
      </c>
      <c r="J271" s="1281" t="e">
        <f t="shared" si="53"/>
        <v>#DIV/0!</v>
      </c>
      <c r="K271" s="1281" t="e">
        <f t="shared" si="53"/>
        <v>#DIV/0!</v>
      </c>
      <c r="L271" s="1281" t="e">
        <f t="shared" si="53"/>
        <v>#DIV/0!</v>
      </c>
      <c r="M271" s="1281" t="e">
        <f t="shared" si="53"/>
        <v>#DIV/0!</v>
      </c>
      <c r="N271" s="1281" t="e">
        <f t="shared" si="53"/>
        <v>#DIV/0!</v>
      </c>
      <c r="O271" s="1281" t="e">
        <f t="shared" si="53"/>
        <v>#DIV/0!</v>
      </c>
      <c r="P271" s="1281" t="e">
        <f t="shared" si="53"/>
        <v>#DIV/0!</v>
      </c>
      <c r="Q271" s="1281" t="e">
        <f t="shared" si="53"/>
        <v>#DIV/0!</v>
      </c>
      <c r="R271" s="1281" t="e">
        <f t="shared" si="53"/>
        <v>#DIV/0!</v>
      </c>
      <c r="S271" s="1281" t="e">
        <f t="shared" si="53"/>
        <v>#DIV/0!</v>
      </c>
    </row>
    <row r="272" spans="2:19" ht="12" customHeight="1" x14ac:dyDescent="0.25">
      <c r="B272" s="1278" t="s">
        <v>222</v>
      </c>
      <c r="C272" s="1281" t="e">
        <f t="shared" si="53"/>
        <v>#DIV/0!</v>
      </c>
      <c r="D272" s="1281" t="e">
        <f t="shared" si="53"/>
        <v>#DIV/0!</v>
      </c>
      <c r="E272" s="1281" t="e">
        <f t="shared" si="53"/>
        <v>#DIV/0!</v>
      </c>
      <c r="F272" s="1281" t="e">
        <f t="shared" si="53"/>
        <v>#DIV/0!</v>
      </c>
      <c r="G272" s="1281" t="e">
        <f t="shared" si="53"/>
        <v>#DIV/0!</v>
      </c>
      <c r="H272" s="1281" t="e">
        <f t="shared" si="53"/>
        <v>#DIV/0!</v>
      </c>
      <c r="I272" s="1281" t="e">
        <f t="shared" si="53"/>
        <v>#DIV/0!</v>
      </c>
      <c r="J272" s="1281" t="e">
        <f t="shared" si="53"/>
        <v>#DIV/0!</v>
      </c>
      <c r="K272" s="1281" t="e">
        <f t="shared" si="53"/>
        <v>#DIV/0!</v>
      </c>
      <c r="L272" s="1281" t="e">
        <f t="shared" si="53"/>
        <v>#DIV/0!</v>
      </c>
      <c r="M272" s="1281" t="e">
        <f t="shared" si="53"/>
        <v>#DIV/0!</v>
      </c>
      <c r="N272" s="1281" t="e">
        <f t="shared" si="53"/>
        <v>#DIV/0!</v>
      </c>
      <c r="O272" s="1281" t="e">
        <f t="shared" si="53"/>
        <v>#DIV/0!</v>
      </c>
      <c r="P272" s="1281" t="e">
        <f t="shared" si="53"/>
        <v>#DIV/0!</v>
      </c>
      <c r="Q272" s="1281" t="e">
        <f t="shared" si="53"/>
        <v>#DIV/0!</v>
      </c>
      <c r="R272" s="1281" t="e">
        <f t="shared" si="53"/>
        <v>#DIV/0!</v>
      </c>
      <c r="S272" s="1281" t="e">
        <f t="shared" si="53"/>
        <v>#DIV/0!</v>
      </c>
    </row>
    <row r="273" spans="2:19" ht="12" customHeight="1" x14ac:dyDescent="0.25">
      <c r="B273" s="1278" t="s">
        <v>3137</v>
      </c>
      <c r="C273" s="1281" t="e">
        <f t="shared" si="53"/>
        <v>#DIV/0!</v>
      </c>
      <c r="D273" s="1281" t="e">
        <f t="shared" si="53"/>
        <v>#DIV/0!</v>
      </c>
      <c r="E273" s="1281" t="e">
        <f t="shared" si="53"/>
        <v>#DIV/0!</v>
      </c>
      <c r="F273" s="1281" t="e">
        <f t="shared" si="53"/>
        <v>#DIV/0!</v>
      </c>
      <c r="G273" s="1281" t="e">
        <f t="shared" si="53"/>
        <v>#DIV/0!</v>
      </c>
      <c r="H273" s="1281" t="e">
        <f t="shared" si="53"/>
        <v>#DIV/0!</v>
      </c>
      <c r="I273" s="1281" t="e">
        <f t="shared" si="53"/>
        <v>#DIV/0!</v>
      </c>
      <c r="J273" s="1281" t="e">
        <f t="shared" si="53"/>
        <v>#DIV/0!</v>
      </c>
      <c r="K273" s="1281" t="e">
        <f t="shared" si="53"/>
        <v>#DIV/0!</v>
      </c>
      <c r="L273" s="1281" t="e">
        <f t="shared" si="53"/>
        <v>#DIV/0!</v>
      </c>
      <c r="M273" s="1281" t="e">
        <f t="shared" si="53"/>
        <v>#DIV/0!</v>
      </c>
      <c r="N273" s="1281" t="e">
        <f t="shared" si="53"/>
        <v>#DIV/0!</v>
      </c>
      <c r="O273" s="1281" t="e">
        <f t="shared" si="53"/>
        <v>#DIV/0!</v>
      </c>
      <c r="P273" s="1281" t="e">
        <f t="shared" si="53"/>
        <v>#DIV/0!</v>
      </c>
      <c r="Q273" s="1281" t="e">
        <f t="shared" si="53"/>
        <v>#DIV/0!</v>
      </c>
      <c r="R273" s="1281" t="e">
        <f t="shared" si="53"/>
        <v>#DIV/0!</v>
      </c>
      <c r="S273" s="1281" t="e">
        <f t="shared" si="53"/>
        <v>#DIV/0!</v>
      </c>
    </row>
    <row r="274" spans="2:19" ht="12" customHeight="1" x14ac:dyDescent="0.25">
      <c r="B274" s="2122" t="s">
        <v>3138</v>
      </c>
      <c r="C274" s="2167">
        <f t="shared" si="53"/>
        <v>0</v>
      </c>
      <c r="D274" s="2167">
        <f t="shared" si="53"/>
        <v>0</v>
      </c>
      <c r="E274" s="2167">
        <f t="shared" si="53"/>
        <v>0</v>
      </c>
      <c r="F274" s="2167">
        <f t="shared" si="53"/>
        <v>0</v>
      </c>
      <c r="G274" s="2167">
        <f t="shared" si="53"/>
        <v>0</v>
      </c>
      <c r="H274" s="2167">
        <f t="shared" si="53"/>
        <v>0</v>
      </c>
      <c r="I274" s="2167">
        <f t="shared" si="53"/>
        <v>0</v>
      </c>
      <c r="J274" s="2167">
        <f t="shared" si="53"/>
        <v>0</v>
      </c>
      <c r="K274" s="2167">
        <f t="shared" si="53"/>
        <v>0</v>
      </c>
      <c r="L274" s="2167">
        <f t="shared" si="53"/>
        <v>0</v>
      </c>
      <c r="M274" s="2167">
        <f t="shared" si="53"/>
        <v>0</v>
      </c>
      <c r="N274" s="2167">
        <f t="shared" si="53"/>
        <v>0</v>
      </c>
      <c r="O274" s="2167">
        <f t="shared" si="53"/>
        <v>0</v>
      </c>
      <c r="P274" s="2167">
        <f t="shared" si="53"/>
        <v>0</v>
      </c>
      <c r="Q274" s="2167">
        <f t="shared" si="53"/>
        <v>0</v>
      </c>
      <c r="R274" s="2167">
        <f t="shared" si="53"/>
        <v>0</v>
      </c>
      <c r="S274" s="2167">
        <f t="shared" si="53"/>
        <v>0</v>
      </c>
    </row>
    <row r="275" spans="2:19" ht="12" customHeight="1" x14ac:dyDescent="0.25">
      <c r="B275" s="2122" t="s">
        <v>3139</v>
      </c>
      <c r="C275" s="2167" t="e">
        <f t="shared" si="53"/>
        <v>#DIV/0!</v>
      </c>
      <c r="D275" s="2167" t="e">
        <f t="shared" si="53"/>
        <v>#DIV/0!</v>
      </c>
      <c r="E275" s="2167" t="e">
        <f t="shared" si="53"/>
        <v>#DIV/0!</v>
      </c>
      <c r="F275" s="2167" t="e">
        <f t="shared" si="53"/>
        <v>#DIV/0!</v>
      </c>
      <c r="G275" s="2167" t="e">
        <f t="shared" si="53"/>
        <v>#DIV/0!</v>
      </c>
      <c r="H275" s="2167" t="e">
        <f t="shared" si="53"/>
        <v>#DIV/0!</v>
      </c>
      <c r="I275" s="2167" t="e">
        <f t="shared" si="53"/>
        <v>#DIV/0!</v>
      </c>
      <c r="J275" s="2167" t="e">
        <f t="shared" si="53"/>
        <v>#DIV/0!</v>
      </c>
      <c r="K275" s="2167" t="e">
        <f t="shared" si="53"/>
        <v>#DIV/0!</v>
      </c>
      <c r="L275" s="2167" t="e">
        <f t="shared" si="53"/>
        <v>#DIV/0!</v>
      </c>
      <c r="M275" s="2167" t="e">
        <f t="shared" si="53"/>
        <v>#DIV/0!</v>
      </c>
      <c r="N275" s="2167" t="e">
        <f t="shared" si="53"/>
        <v>#DIV/0!</v>
      </c>
      <c r="O275" s="2167" t="e">
        <f t="shared" si="53"/>
        <v>#DIV/0!</v>
      </c>
      <c r="P275" s="2167" t="e">
        <f t="shared" si="53"/>
        <v>#DIV/0!</v>
      </c>
      <c r="Q275" s="2167" t="e">
        <f t="shared" si="53"/>
        <v>#DIV/0!</v>
      </c>
      <c r="R275" s="2167" t="e">
        <f t="shared" si="53"/>
        <v>#DIV/0!</v>
      </c>
      <c r="S275" s="2167" t="e">
        <f t="shared" si="53"/>
        <v>#DIV/0!</v>
      </c>
    </row>
    <row r="276" spans="2:19" ht="12" customHeight="1" x14ac:dyDescent="0.25">
      <c r="B276" s="1278" t="s">
        <v>226</v>
      </c>
      <c r="C276" s="1281" t="e">
        <f t="shared" si="53"/>
        <v>#DIV/0!</v>
      </c>
      <c r="D276" s="1281" t="e">
        <f t="shared" si="53"/>
        <v>#DIV/0!</v>
      </c>
      <c r="E276" s="1281" t="e">
        <f t="shared" si="53"/>
        <v>#DIV/0!</v>
      </c>
      <c r="F276" s="1281" t="e">
        <f t="shared" si="53"/>
        <v>#DIV/0!</v>
      </c>
      <c r="G276" s="1281" t="e">
        <f t="shared" si="53"/>
        <v>#DIV/0!</v>
      </c>
      <c r="H276" s="1281" t="e">
        <f t="shared" si="53"/>
        <v>#DIV/0!</v>
      </c>
      <c r="I276" s="1281" t="e">
        <f t="shared" si="53"/>
        <v>#DIV/0!</v>
      </c>
      <c r="J276" s="1281" t="e">
        <f t="shared" si="53"/>
        <v>#DIV/0!</v>
      </c>
      <c r="K276" s="1281" t="e">
        <f t="shared" si="53"/>
        <v>#DIV/0!</v>
      </c>
      <c r="L276" s="1281" t="e">
        <f t="shared" si="53"/>
        <v>#DIV/0!</v>
      </c>
      <c r="M276" s="1281" t="e">
        <f t="shared" si="53"/>
        <v>#DIV/0!</v>
      </c>
      <c r="N276" s="1281" t="e">
        <f t="shared" si="53"/>
        <v>#DIV/0!</v>
      </c>
      <c r="O276" s="1281" t="e">
        <f t="shared" si="53"/>
        <v>#DIV/0!</v>
      </c>
      <c r="P276" s="1281" t="e">
        <f t="shared" si="53"/>
        <v>#DIV/0!</v>
      </c>
      <c r="Q276" s="1281" t="e">
        <f t="shared" si="53"/>
        <v>#DIV/0!</v>
      </c>
      <c r="R276" s="1281" t="e">
        <f t="shared" si="53"/>
        <v>#DIV/0!</v>
      </c>
      <c r="S276" s="1281" t="e">
        <f t="shared" si="53"/>
        <v>#DIV/0!</v>
      </c>
    </row>
    <row r="277" spans="2:19" ht="12" customHeight="1" x14ac:dyDescent="0.25">
      <c r="B277" s="2122" t="s">
        <v>227</v>
      </c>
      <c r="C277" s="2167" t="e">
        <f t="shared" si="53"/>
        <v>#DIV/0!</v>
      </c>
      <c r="D277" s="2167" t="e">
        <f t="shared" si="53"/>
        <v>#DIV/0!</v>
      </c>
      <c r="E277" s="2167" t="e">
        <f t="shared" si="53"/>
        <v>#DIV/0!</v>
      </c>
      <c r="F277" s="2167" t="e">
        <f t="shared" si="53"/>
        <v>#DIV/0!</v>
      </c>
      <c r="G277" s="2167" t="e">
        <f t="shared" si="53"/>
        <v>#DIV/0!</v>
      </c>
      <c r="H277" s="2167" t="e">
        <f t="shared" si="53"/>
        <v>#DIV/0!</v>
      </c>
      <c r="I277" s="2167" t="e">
        <f t="shared" si="53"/>
        <v>#DIV/0!</v>
      </c>
      <c r="J277" s="2167" t="e">
        <f t="shared" si="53"/>
        <v>#DIV/0!</v>
      </c>
      <c r="K277" s="2167" t="e">
        <f t="shared" si="53"/>
        <v>#DIV/0!</v>
      </c>
      <c r="L277" s="2167" t="e">
        <f t="shared" si="53"/>
        <v>#DIV/0!</v>
      </c>
      <c r="M277" s="2167" t="e">
        <f t="shared" si="53"/>
        <v>#DIV/0!</v>
      </c>
      <c r="N277" s="2167" t="e">
        <f t="shared" si="53"/>
        <v>#DIV/0!</v>
      </c>
      <c r="O277" s="2167" t="e">
        <f t="shared" si="53"/>
        <v>#DIV/0!</v>
      </c>
      <c r="P277" s="2167" t="e">
        <f t="shared" si="53"/>
        <v>#DIV/0!</v>
      </c>
      <c r="Q277" s="2167" t="e">
        <f t="shared" si="53"/>
        <v>#DIV/0!</v>
      </c>
      <c r="R277" s="2167" t="e">
        <f t="shared" si="53"/>
        <v>#DIV/0!</v>
      </c>
      <c r="S277" s="2167" t="e">
        <f t="shared" si="53"/>
        <v>#DIV/0!</v>
      </c>
    </row>
    <row r="278" spans="2:19" ht="12" customHeight="1" x14ac:dyDescent="0.25">
      <c r="B278" s="2122" t="s">
        <v>228</v>
      </c>
      <c r="C278" s="2167">
        <f t="shared" si="53"/>
        <v>0</v>
      </c>
      <c r="D278" s="2167">
        <f t="shared" si="53"/>
        <v>0</v>
      </c>
      <c r="E278" s="2167">
        <f t="shared" si="53"/>
        <v>0</v>
      </c>
      <c r="F278" s="2167">
        <f t="shared" si="53"/>
        <v>0</v>
      </c>
      <c r="G278" s="2167">
        <f t="shared" si="53"/>
        <v>0</v>
      </c>
      <c r="H278" s="2167">
        <f t="shared" si="53"/>
        <v>0</v>
      </c>
      <c r="I278" s="2167">
        <f t="shared" si="53"/>
        <v>0</v>
      </c>
      <c r="J278" s="2167">
        <f t="shared" si="53"/>
        <v>0</v>
      </c>
      <c r="K278" s="2167">
        <f t="shared" si="53"/>
        <v>0</v>
      </c>
      <c r="L278" s="2167">
        <f t="shared" si="53"/>
        <v>0</v>
      </c>
      <c r="M278" s="2167">
        <f t="shared" si="53"/>
        <v>0</v>
      </c>
      <c r="N278" s="2167">
        <f t="shared" si="53"/>
        <v>0</v>
      </c>
      <c r="O278" s="2167">
        <f t="shared" si="53"/>
        <v>0</v>
      </c>
      <c r="P278" s="2167">
        <f t="shared" si="53"/>
        <v>0</v>
      </c>
      <c r="Q278" s="2167">
        <f t="shared" si="53"/>
        <v>0</v>
      </c>
      <c r="R278" s="2167">
        <f t="shared" si="53"/>
        <v>0</v>
      </c>
      <c r="S278" s="2167">
        <f t="shared" si="53"/>
        <v>0</v>
      </c>
    </row>
    <row r="279" spans="2:19" ht="12" customHeight="1" x14ac:dyDescent="0.25">
      <c r="B279" s="1278" t="s">
        <v>229</v>
      </c>
      <c r="C279" s="1281" t="e">
        <f t="shared" si="53"/>
        <v>#DIV/0!</v>
      </c>
      <c r="D279" s="1281" t="e">
        <f t="shared" si="53"/>
        <v>#DIV/0!</v>
      </c>
      <c r="E279" s="1281" t="e">
        <f t="shared" si="53"/>
        <v>#DIV/0!</v>
      </c>
      <c r="F279" s="1281" t="e">
        <f t="shared" si="53"/>
        <v>#DIV/0!</v>
      </c>
      <c r="G279" s="1281" t="e">
        <f t="shared" si="53"/>
        <v>#DIV/0!</v>
      </c>
      <c r="H279" s="1281" t="e">
        <f t="shared" si="53"/>
        <v>#DIV/0!</v>
      </c>
      <c r="I279" s="1281" t="e">
        <f t="shared" si="53"/>
        <v>#DIV/0!</v>
      </c>
      <c r="J279" s="1281" t="e">
        <f t="shared" si="53"/>
        <v>#DIV/0!</v>
      </c>
      <c r="K279" s="1281" t="e">
        <f t="shared" si="53"/>
        <v>#DIV/0!</v>
      </c>
      <c r="L279" s="1281" t="e">
        <f t="shared" si="53"/>
        <v>#DIV/0!</v>
      </c>
      <c r="M279" s="1281" t="e">
        <f t="shared" si="53"/>
        <v>#DIV/0!</v>
      </c>
      <c r="N279" s="1281" t="e">
        <f t="shared" si="53"/>
        <v>#DIV/0!</v>
      </c>
      <c r="O279" s="1281" t="e">
        <f t="shared" si="53"/>
        <v>#DIV/0!</v>
      </c>
      <c r="P279" s="1281" t="e">
        <f t="shared" si="53"/>
        <v>#DIV/0!</v>
      </c>
      <c r="Q279" s="1281" t="e">
        <f t="shared" si="53"/>
        <v>#DIV/0!</v>
      </c>
      <c r="R279" s="1281" t="e">
        <f t="shared" si="53"/>
        <v>#DIV/0!</v>
      </c>
      <c r="S279" s="1281" t="e">
        <f t="shared" si="53"/>
        <v>#DIV/0!</v>
      </c>
    </row>
    <row r="280" spans="2:19" ht="12" customHeight="1" x14ac:dyDescent="0.25">
      <c r="B280" s="1278" t="s">
        <v>3140</v>
      </c>
      <c r="C280" s="1281" t="e">
        <f t="shared" si="53"/>
        <v>#DIV/0!</v>
      </c>
      <c r="D280" s="1281" t="e">
        <f t="shared" si="53"/>
        <v>#DIV/0!</v>
      </c>
      <c r="E280" s="1281" t="e">
        <f t="shared" si="53"/>
        <v>#DIV/0!</v>
      </c>
      <c r="F280" s="1281" t="e">
        <f t="shared" si="53"/>
        <v>#DIV/0!</v>
      </c>
      <c r="G280" s="1281" t="e">
        <f t="shared" si="53"/>
        <v>#DIV/0!</v>
      </c>
      <c r="H280" s="1281" t="e">
        <f t="shared" si="53"/>
        <v>#DIV/0!</v>
      </c>
      <c r="I280" s="1281" t="e">
        <f t="shared" si="53"/>
        <v>#DIV/0!</v>
      </c>
      <c r="J280" s="1281" t="e">
        <f t="shared" si="53"/>
        <v>#DIV/0!</v>
      </c>
      <c r="K280" s="1281" t="e">
        <f t="shared" si="53"/>
        <v>#DIV/0!</v>
      </c>
      <c r="L280" s="1281" t="e">
        <f t="shared" si="53"/>
        <v>#DIV/0!</v>
      </c>
      <c r="M280" s="1281" t="e">
        <f t="shared" si="53"/>
        <v>#DIV/0!</v>
      </c>
      <c r="N280" s="1281" t="e">
        <f t="shared" si="53"/>
        <v>#DIV/0!</v>
      </c>
      <c r="O280" s="1281" t="e">
        <f t="shared" si="53"/>
        <v>#DIV/0!</v>
      </c>
      <c r="P280" s="1281" t="e">
        <f t="shared" si="53"/>
        <v>#DIV/0!</v>
      </c>
      <c r="Q280" s="1281" t="e">
        <f t="shared" si="53"/>
        <v>#DIV/0!</v>
      </c>
      <c r="R280" s="1281" t="e">
        <f t="shared" si="53"/>
        <v>#DIV/0!</v>
      </c>
      <c r="S280" s="1281" t="e">
        <f t="shared" si="53"/>
        <v>#DIV/0!</v>
      </c>
    </row>
    <row r="281" spans="2:19" ht="12" customHeight="1" x14ac:dyDescent="0.25">
      <c r="B281" s="2122" t="s">
        <v>231</v>
      </c>
      <c r="C281" s="2167">
        <f t="shared" si="53"/>
        <v>0</v>
      </c>
      <c r="D281" s="2167">
        <f t="shared" si="53"/>
        <v>0</v>
      </c>
      <c r="E281" s="2167">
        <f t="shared" si="53"/>
        <v>0</v>
      </c>
      <c r="F281" s="2167">
        <f t="shared" si="53"/>
        <v>0</v>
      </c>
      <c r="G281" s="2167">
        <f t="shared" si="53"/>
        <v>0</v>
      </c>
      <c r="H281" s="2167">
        <f t="shared" si="53"/>
        <v>0</v>
      </c>
      <c r="I281" s="2167">
        <f t="shared" si="53"/>
        <v>0</v>
      </c>
      <c r="J281" s="2167">
        <f t="shared" si="53"/>
        <v>0</v>
      </c>
      <c r="K281" s="2167">
        <f t="shared" si="53"/>
        <v>0</v>
      </c>
      <c r="L281" s="2167">
        <f t="shared" si="53"/>
        <v>0</v>
      </c>
      <c r="M281" s="2167">
        <f t="shared" si="53"/>
        <v>0</v>
      </c>
      <c r="N281" s="2167">
        <f t="shared" si="53"/>
        <v>0</v>
      </c>
      <c r="O281" s="2167">
        <f t="shared" si="53"/>
        <v>0</v>
      </c>
      <c r="P281" s="2167">
        <f t="shared" si="53"/>
        <v>0</v>
      </c>
      <c r="Q281" s="2167">
        <f t="shared" si="53"/>
        <v>0</v>
      </c>
      <c r="R281" s="2167">
        <f t="shared" si="53"/>
        <v>0</v>
      </c>
      <c r="S281" s="2167">
        <f t="shared" si="53"/>
        <v>0</v>
      </c>
    </row>
    <row r="282" spans="2:19" x14ac:dyDescent="0.25">
      <c r="B282" s="2163" t="s">
        <v>3142</v>
      </c>
      <c r="C282" s="2164" t="e">
        <f>SUM(C254:C281)</f>
        <v>#DIV/0!</v>
      </c>
      <c r="D282" s="2164" t="e">
        <f t="shared" ref="D282:S282" si="54">SUM(D254:D281)</f>
        <v>#DIV/0!</v>
      </c>
      <c r="E282" s="2164" t="e">
        <f t="shared" si="54"/>
        <v>#DIV/0!</v>
      </c>
      <c r="F282" s="2164" t="e">
        <f t="shared" si="54"/>
        <v>#DIV/0!</v>
      </c>
      <c r="G282" s="2164" t="e">
        <f t="shared" si="54"/>
        <v>#DIV/0!</v>
      </c>
      <c r="H282" s="2164" t="e">
        <f t="shared" si="54"/>
        <v>#DIV/0!</v>
      </c>
      <c r="I282" s="2164" t="e">
        <f t="shared" si="54"/>
        <v>#DIV/0!</v>
      </c>
      <c r="J282" s="2164" t="e">
        <f t="shared" si="54"/>
        <v>#DIV/0!</v>
      </c>
      <c r="K282" s="2164" t="e">
        <f t="shared" si="54"/>
        <v>#DIV/0!</v>
      </c>
      <c r="L282" s="2164" t="e">
        <f t="shared" si="54"/>
        <v>#DIV/0!</v>
      </c>
      <c r="M282" s="2164" t="e">
        <f t="shared" si="54"/>
        <v>#DIV/0!</v>
      </c>
      <c r="N282" s="2164" t="e">
        <f t="shared" si="54"/>
        <v>#DIV/0!</v>
      </c>
      <c r="O282" s="2164" t="e">
        <f t="shared" si="54"/>
        <v>#DIV/0!</v>
      </c>
      <c r="P282" s="2164" t="e">
        <f t="shared" si="54"/>
        <v>#DIV/0!</v>
      </c>
      <c r="Q282" s="2164" t="e">
        <f t="shared" si="54"/>
        <v>#DIV/0!</v>
      </c>
      <c r="R282" s="2164" t="e">
        <f t="shared" si="54"/>
        <v>#DIV/0!</v>
      </c>
      <c r="S282" s="2165" t="e">
        <f t="shared" si="54"/>
        <v>#DIV/0!</v>
      </c>
    </row>
    <row r="283" spans="2:19" x14ac:dyDescent="0.25">
      <c r="B283" s="2168" t="s">
        <v>3144</v>
      </c>
      <c r="C283" s="2170"/>
      <c r="D283" s="2170"/>
      <c r="E283" s="2170"/>
      <c r="F283" s="2170"/>
      <c r="G283" s="2170"/>
      <c r="H283" s="2170"/>
      <c r="I283" s="2170"/>
      <c r="J283" s="2170"/>
      <c r="K283" s="2170"/>
      <c r="L283" s="2170"/>
      <c r="M283" s="2170"/>
      <c r="N283" s="2170"/>
      <c r="O283" s="2170"/>
      <c r="P283" s="2170"/>
      <c r="Q283" s="2170"/>
      <c r="R283" s="2170"/>
      <c r="S283" s="2170"/>
    </row>
    <row r="284" spans="2:19" x14ac:dyDescent="0.25">
      <c r="B284" s="1278" t="s">
        <v>3145</v>
      </c>
      <c r="C284" s="589">
        <f t="shared" ref="C284:S288" si="55">C223-C99</f>
        <v>1</v>
      </c>
      <c r="D284" s="589">
        <f t="shared" si="55"/>
        <v>1</v>
      </c>
      <c r="E284" s="589">
        <f t="shared" si="55"/>
        <v>1</v>
      </c>
      <c r="F284" s="589">
        <f t="shared" si="55"/>
        <v>1</v>
      </c>
      <c r="G284" s="589">
        <f t="shared" si="55"/>
        <v>1</v>
      </c>
      <c r="H284" s="589">
        <f t="shared" si="55"/>
        <v>1</v>
      </c>
      <c r="I284" s="589">
        <f t="shared" si="55"/>
        <v>1</v>
      </c>
      <c r="J284" s="589">
        <f t="shared" si="55"/>
        <v>1</v>
      </c>
      <c r="K284" s="589">
        <f t="shared" si="55"/>
        <v>1</v>
      </c>
      <c r="L284" s="589">
        <f t="shared" si="55"/>
        <v>1</v>
      </c>
      <c r="M284" s="589">
        <f t="shared" si="55"/>
        <v>1</v>
      </c>
      <c r="N284" s="589">
        <f t="shared" si="55"/>
        <v>1</v>
      </c>
      <c r="O284" s="589">
        <f t="shared" si="55"/>
        <v>1</v>
      </c>
      <c r="P284" s="589">
        <f t="shared" si="55"/>
        <v>1</v>
      </c>
      <c r="Q284" s="589">
        <f t="shared" si="55"/>
        <v>1</v>
      </c>
      <c r="R284" s="589">
        <f t="shared" si="55"/>
        <v>1</v>
      </c>
      <c r="S284" s="589">
        <f t="shared" si="55"/>
        <v>1</v>
      </c>
    </row>
    <row r="285" spans="2:19" x14ac:dyDescent="0.25">
      <c r="B285" s="2122" t="s">
        <v>3146</v>
      </c>
      <c r="C285" s="590">
        <f t="shared" si="55"/>
        <v>0</v>
      </c>
      <c r="D285" s="590">
        <f t="shared" si="55"/>
        <v>0</v>
      </c>
      <c r="E285" s="590">
        <f t="shared" si="55"/>
        <v>0</v>
      </c>
      <c r="F285" s="590">
        <f t="shared" si="55"/>
        <v>0</v>
      </c>
      <c r="G285" s="590">
        <f t="shared" si="55"/>
        <v>0</v>
      </c>
      <c r="H285" s="590">
        <f t="shared" si="55"/>
        <v>0</v>
      </c>
      <c r="I285" s="590">
        <f t="shared" si="55"/>
        <v>0</v>
      </c>
      <c r="J285" s="590">
        <f t="shared" si="55"/>
        <v>0</v>
      </c>
      <c r="K285" s="590">
        <f t="shared" si="55"/>
        <v>0</v>
      </c>
      <c r="L285" s="590">
        <f t="shared" si="55"/>
        <v>0</v>
      </c>
      <c r="M285" s="590">
        <f t="shared" si="55"/>
        <v>0</v>
      </c>
      <c r="N285" s="590">
        <f t="shared" si="55"/>
        <v>0</v>
      </c>
      <c r="O285" s="590">
        <f t="shared" si="55"/>
        <v>0</v>
      </c>
      <c r="P285" s="590">
        <f t="shared" si="55"/>
        <v>0</v>
      </c>
      <c r="Q285" s="590">
        <f t="shared" si="55"/>
        <v>0</v>
      </c>
      <c r="R285" s="590">
        <f t="shared" si="55"/>
        <v>0</v>
      </c>
      <c r="S285" s="590">
        <f t="shared" si="55"/>
        <v>0</v>
      </c>
    </row>
    <row r="286" spans="2:19" x14ac:dyDescent="0.25">
      <c r="B286" s="2122" t="s">
        <v>3147</v>
      </c>
      <c r="C286" s="590">
        <f t="shared" si="55"/>
        <v>0</v>
      </c>
      <c r="D286" s="590">
        <f t="shared" si="55"/>
        <v>0</v>
      </c>
      <c r="E286" s="590">
        <f t="shared" si="55"/>
        <v>0</v>
      </c>
      <c r="F286" s="590">
        <f t="shared" si="55"/>
        <v>0</v>
      </c>
      <c r="G286" s="590">
        <f t="shared" si="55"/>
        <v>0</v>
      </c>
      <c r="H286" s="590">
        <f t="shared" si="55"/>
        <v>0</v>
      </c>
      <c r="I286" s="590">
        <f t="shared" si="55"/>
        <v>0</v>
      </c>
      <c r="J286" s="590">
        <f t="shared" si="55"/>
        <v>0</v>
      </c>
      <c r="K286" s="590">
        <f t="shared" si="55"/>
        <v>0</v>
      </c>
      <c r="L286" s="590">
        <f t="shared" si="55"/>
        <v>0</v>
      </c>
      <c r="M286" s="590">
        <f t="shared" si="55"/>
        <v>0</v>
      </c>
      <c r="N286" s="590">
        <f t="shared" si="55"/>
        <v>0</v>
      </c>
      <c r="O286" s="590">
        <f t="shared" si="55"/>
        <v>0</v>
      </c>
      <c r="P286" s="590">
        <f t="shared" si="55"/>
        <v>0</v>
      </c>
      <c r="Q286" s="590">
        <f t="shared" si="55"/>
        <v>0</v>
      </c>
      <c r="R286" s="590">
        <f t="shared" si="55"/>
        <v>0</v>
      </c>
      <c r="S286" s="590">
        <f t="shared" si="55"/>
        <v>0</v>
      </c>
    </row>
    <row r="287" spans="2:19" x14ac:dyDescent="0.25">
      <c r="B287" s="2122" t="s">
        <v>3148</v>
      </c>
      <c r="C287" s="590">
        <f t="shared" si="55"/>
        <v>0</v>
      </c>
      <c r="D287" s="590">
        <f t="shared" si="55"/>
        <v>0</v>
      </c>
      <c r="E287" s="590">
        <f t="shared" si="55"/>
        <v>0</v>
      </c>
      <c r="F287" s="590">
        <f t="shared" si="55"/>
        <v>0</v>
      </c>
      <c r="G287" s="590">
        <f t="shared" si="55"/>
        <v>0</v>
      </c>
      <c r="H287" s="590">
        <f t="shared" si="55"/>
        <v>0</v>
      </c>
      <c r="I287" s="590">
        <f t="shared" si="55"/>
        <v>0</v>
      </c>
      <c r="J287" s="590">
        <f t="shared" si="55"/>
        <v>0</v>
      </c>
      <c r="K287" s="590">
        <f t="shared" si="55"/>
        <v>0</v>
      </c>
      <c r="L287" s="590">
        <f t="shared" si="55"/>
        <v>0</v>
      </c>
      <c r="M287" s="590">
        <f t="shared" si="55"/>
        <v>0</v>
      </c>
      <c r="N287" s="590">
        <f t="shared" si="55"/>
        <v>0</v>
      </c>
      <c r="O287" s="590">
        <f t="shared" si="55"/>
        <v>0</v>
      </c>
      <c r="P287" s="590">
        <f t="shared" si="55"/>
        <v>0</v>
      </c>
      <c r="Q287" s="590">
        <f t="shared" si="55"/>
        <v>0</v>
      </c>
      <c r="R287" s="590">
        <f t="shared" si="55"/>
        <v>0</v>
      </c>
      <c r="S287" s="590">
        <f t="shared" si="55"/>
        <v>0</v>
      </c>
    </row>
    <row r="288" spans="2:19" x14ac:dyDescent="0.25">
      <c r="B288" s="2122" t="s">
        <v>3149</v>
      </c>
      <c r="C288" s="590">
        <f t="shared" si="55"/>
        <v>0</v>
      </c>
      <c r="D288" s="590">
        <f t="shared" si="55"/>
        <v>0</v>
      </c>
      <c r="E288" s="590">
        <f t="shared" si="55"/>
        <v>0</v>
      </c>
      <c r="F288" s="590">
        <f t="shared" si="55"/>
        <v>0</v>
      </c>
      <c r="G288" s="590">
        <f t="shared" si="55"/>
        <v>0</v>
      </c>
      <c r="H288" s="590">
        <f t="shared" si="55"/>
        <v>0</v>
      </c>
      <c r="I288" s="590">
        <f t="shared" si="55"/>
        <v>0</v>
      </c>
      <c r="J288" s="590">
        <f t="shared" si="55"/>
        <v>0</v>
      </c>
      <c r="K288" s="590">
        <f t="shared" si="55"/>
        <v>0</v>
      </c>
      <c r="L288" s="590">
        <f t="shared" si="55"/>
        <v>0</v>
      </c>
      <c r="M288" s="590">
        <f t="shared" si="55"/>
        <v>0</v>
      </c>
      <c r="N288" s="590">
        <f t="shared" si="55"/>
        <v>0</v>
      </c>
      <c r="O288" s="590">
        <f t="shared" si="55"/>
        <v>0</v>
      </c>
      <c r="P288" s="590">
        <f t="shared" si="55"/>
        <v>0</v>
      </c>
      <c r="Q288" s="590">
        <f t="shared" si="55"/>
        <v>0</v>
      </c>
      <c r="R288" s="590">
        <f t="shared" si="55"/>
        <v>0</v>
      </c>
      <c r="S288" s="590">
        <f t="shared" si="55"/>
        <v>0</v>
      </c>
    </row>
    <row r="289" spans="2:19" x14ac:dyDescent="0.25">
      <c r="B289" s="2168" t="s">
        <v>3150</v>
      </c>
      <c r="C289" s="2170"/>
      <c r="D289" s="2170"/>
      <c r="E289" s="2170"/>
      <c r="F289" s="2170"/>
      <c r="G289" s="2170"/>
      <c r="H289" s="2170"/>
      <c r="I289" s="2170"/>
      <c r="J289" s="2170"/>
      <c r="K289" s="2170"/>
      <c r="L289" s="2170"/>
      <c r="M289" s="2170"/>
      <c r="N289" s="2170"/>
      <c r="O289" s="2170"/>
      <c r="P289" s="2170"/>
      <c r="Q289" s="2170"/>
      <c r="R289" s="2170"/>
      <c r="S289" s="2170"/>
    </row>
    <row r="290" spans="2:19" x14ac:dyDescent="0.25">
      <c r="B290" s="1278" t="str">
        <f>+B229</f>
        <v>Infomes+Admision y citas</v>
      </c>
      <c r="C290" s="589">
        <f t="shared" ref="C290:C296" si="56">C229-C105</f>
        <v>1</v>
      </c>
      <c r="D290" s="589">
        <f t="shared" ref="D290:S296" si="57">D229-D105</f>
        <v>1</v>
      </c>
      <c r="E290" s="589">
        <f t="shared" si="57"/>
        <v>1</v>
      </c>
      <c r="F290" s="589">
        <f t="shared" si="57"/>
        <v>1</v>
      </c>
      <c r="G290" s="589">
        <f t="shared" si="57"/>
        <v>1</v>
      </c>
      <c r="H290" s="589">
        <f t="shared" si="57"/>
        <v>1</v>
      </c>
      <c r="I290" s="589">
        <f t="shared" si="57"/>
        <v>1</v>
      </c>
      <c r="J290" s="589">
        <f t="shared" si="57"/>
        <v>1</v>
      </c>
      <c r="K290" s="589">
        <f t="shared" si="57"/>
        <v>1</v>
      </c>
      <c r="L290" s="589">
        <f t="shared" si="57"/>
        <v>1</v>
      </c>
      <c r="M290" s="589">
        <f t="shared" si="57"/>
        <v>1</v>
      </c>
      <c r="N290" s="589">
        <f t="shared" si="57"/>
        <v>1</v>
      </c>
      <c r="O290" s="589">
        <f t="shared" si="57"/>
        <v>1</v>
      </c>
      <c r="P290" s="589">
        <f t="shared" si="57"/>
        <v>1</v>
      </c>
      <c r="Q290" s="589">
        <f t="shared" si="57"/>
        <v>1</v>
      </c>
      <c r="R290" s="589">
        <f t="shared" si="57"/>
        <v>1</v>
      </c>
      <c r="S290" s="589">
        <f t="shared" si="57"/>
        <v>1</v>
      </c>
    </row>
    <row r="291" spans="2:19" x14ac:dyDescent="0.25">
      <c r="B291" s="2122" t="str">
        <f t="shared" ref="B291:B296" si="58">+B230</f>
        <v>Caja</v>
      </c>
      <c r="C291" s="590">
        <f t="shared" si="56"/>
        <v>0</v>
      </c>
      <c r="D291" s="590">
        <f t="shared" ref="D291:R291" si="59">D230-D106</f>
        <v>0</v>
      </c>
      <c r="E291" s="590">
        <f t="shared" si="59"/>
        <v>0</v>
      </c>
      <c r="F291" s="590">
        <f t="shared" si="59"/>
        <v>0</v>
      </c>
      <c r="G291" s="590">
        <f t="shared" si="59"/>
        <v>0</v>
      </c>
      <c r="H291" s="590">
        <f t="shared" si="59"/>
        <v>0</v>
      </c>
      <c r="I291" s="590">
        <f t="shared" si="59"/>
        <v>0</v>
      </c>
      <c r="J291" s="590">
        <f t="shared" si="59"/>
        <v>0</v>
      </c>
      <c r="K291" s="590">
        <f t="shared" si="59"/>
        <v>0</v>
      </c>
      <c r="L291" s="590">
        <f t="shared" si="59"/>
        <v>0</v>
      </c>
      <c r="M291" s="590">
        <f t="shared" si="59"/>
        <v>0</v>
      </c>
      <c r="N291" s="590">
        <f t="shared" si="59"/>
        <v>0</v>
      </c>
      <c r="O291" s="590">
        <f t="shared" si="59"/>
        <v>0</v>
      </c>
      <c r="P291" s="590">
        <f t="shared" si="59"/>
        <v>0</v>
      </c>
      <c r="Q291" s="590">
        <f t="shared" si="59"/>
        <v>0</v>
      </c>
      <c r="R291" s="590">
        <f t="shared" si="59"/>
        <v>0</v>
      </c>
      <c r="S291" s="590">
        <f t="shared" si="57"/>
        <v>0</v>
      </c>
    </row>
    <row r="292" spans="2:19" x14ac:dyDescent="0.25">
      <c r="B292" s="2122" t="str">
        <f t="shared" si="58"/>
        <v>Archivo Hsitorias clinicas</v>
      </c>
      <c r="C292" s="590">
        <f t="shared" si="56"/>
        <v>0</v>
      </c>
      <c r="D292" s="590">
        <f t="shared" si="57"/>
        <v>0</v>
      </c>
      <c r="E292" s="590">
        <f t="shared" si="57"/>
        <v>0</v>
      </c>
      <c r="F292" s="590">
        <f t="shared" si="57"/>
        <v>0</v>
      </c>
      <c r="G292" s="590">
        <f t="shared" si="57"/>
        <v>0</v>
      </c>
      <c r="H292" s="590">
        <f t="shared" si="57"/>
        <v>0</v>
      </c>
      <c r="I292" s="590">
        <f t="shared" si="57"/>
        <v>0</v>
      </c>
      <c r="J292" s="590">
        <f t="shared" si="57"/>
        <v>0</v>
      </c>
      <c r="K292" s="590">
        <f t="shared" si="57"/>
        <v>0</v>
      </c>
      <c r="L292" s="590">
        <f t="shared" si="57"/>
        <v>0</v>
      </c>
      <c r="M292" s="590">
        <f t="shared" si="57"/>
        <v>0</v>
      </c>
      <c r="N292" s="590">
        <f t="shared" si="57"/>
        <v>0</v>
      </c>
      <c r="O292" s="590">
        <f t="shared" si="57"/>
        <v>0</v>
      </c>
      <c r="P292" s="590">
        <f t="shared" si="57"/>
        <v>0</v>
      </c>
      <c r="Q292" s="590">
        <f t="shared" si="57"/>
        <v>0</v>
      </c>
      <c r="R292" s="590">
        <f t="shared" si="57"/>
        <v>0</v>
      </c>
      <c r="S292" s="590">
        <f t="shared" si="57"/>
        <v>0</v>
      </c>
    </row>
    <row r="293" spans="2:19" x14ac:dyDescent="0.25">
      <c r="B293" s="2122" t="str">
        <f t="shared" si="58"/>
        <v>Oficina de Seguros</v>
      </c>
      <c r="C293" s="590">
        <f t="shared" si="56"/>
        <v>0</v>
      </c>
      <c r="D293" s="590">
        <f t="shared" si="57"/>
        <v>0</v>
      </c>
      <c r="E293" s="590">
        <f t="shared" si="57"/>
        <v>0</v>
      </c>
      <c r="F293" s="590">
        <f t="shared" si="57"/>
        <v>0</v>
      </c>
      <c r="G293" s="590">
        <f t="shared" si="57"/>
        <v>0</v>
      </c>
      <c r="H293" s="590">
        <f t="shared" si="57"/>
        <v>0</v>
      </c>
      <c r="I293" s="590">
        <f t="shared" si="57"/>
        <v>0</v>
      </c>
      <c r="J293" s="590">
        <f t="shared" si="57"/>
        <v>0</v>
      </c>
      <c r="K293" s="590">
        <f t="shared" si="57"/>
        <v>0</v>
      </c>
      <c r="L293" s="590">
        <f t="shared" si="57"/>
        <v>0</v>
      </c>
      <c r="M293" s="590">
        <f t="shared" si="57"/>
        <v>0</v>
      </c>
      <c r="N293" s="590">
        <f t="shared" si="57"/>
        <v>0</v>
      </c>
      <c r="O293" s="590">
        <f t="shared" si="57"/>
        <v>0</v>
      </c>
      <c r="P293" s="590">
        <f t="shared" si="57"/>
        <v>0</v>
      </c>
      <c r="Q293" s="590">
        <f t="shared" si="57"/>
        <v>0</v>
      </c>
      <c r="R293" s="590">
        <f t="shared" si="57"/>
        <v>0</v>
      </c>
      <c r="S293" s="590">
        <f t="shared" si="57"/>
        <v>0</v>
      </c>
    </row>
    <row r="294" spans="2:19" x14ac:dyDescent="0.25">
      <c r="B294" s="1278" t="str">
        <f t="shared" si="58"/>
        <v>Referencias y Contrareferencias</v>
      </c>
      <c r="C294" s="589">
        <f t="shared" si="56"/>
        <v>1</v>
      </c>
      <c r="D294" s="589">
        <f t="shared" si="57"/>
        <v>1</v>
      </c>
      <c r="E294" s="589">
        <f t="shared" si="57"/>
        <v>1</v>
      </c>
      <c r="F294" s="589">
        <f t="shared" si="57"/>
        <v>1</v>
      </c>
      <c r="G294" s="589">
        <f t="shared" si="57"/>
        <v>1</v>
      </c>
      <c r="H294" s="589">
        <f t="shared" si="57"/>
        <v>1</v>
      </c>
      <c r="I294" s="589">
        <f t="shared" si="57"/>
        <v>1</v>
      </c>
      <c r="J294" s="589">
        <f t="shared" si="57"/>
        <v>1</v>
      </c>
      <c r="K294" s="589">
        <f t="shared" si="57"/>
        <v>1</v>
      </c>
      <c r="L294" s="589">
        <f t="shared" si="57"/>
        <v>1</v>
      </c>
      <c r="M294" s="589">
        <f t="shared" si="57"/>
        <v>1</v>
      </c>
      <c r="N294" s="589">
        <f t="shared" si="57"/>
        <v>1</v>
      </c>
      <c r="O294" s="589">
        <f t="shared" si="57"/>
        <v>1</v>
      </c>
      <c r="P294" s="589">
        <f t="shared" si="57"/>
        <v>1</v>
      </c>
      <c r="Q294" s="589">
        <f t="shared" si="57"/>
        <v>1</v>
      </c>
      <c r="R294" s="589">
        <f t="shared" si="57"/>
        <v>1</v>
      </c>
      <c r="S294" s="589">
        <f t="shared" si="57"/>
        <v>1</v>
      </c>
    </row>
    <row r="295" spans="2:19" x14ac:dyDescent="0.25">
      <c r="B295" s="1278" t="str">
        <f t="shared" si="58"/>
        <v>RENIEC</v>
      </c>
      <c r="C295" s="589">
        <f t="shared" si="56"/>
        <v>1</v>
      </c>
      <c r="D295" s="589">
        <f t="shared" si="57"/>
        <v>1</v>
      </c>
      <c r="E295" s="589">
        <f t="shared" si="57"/>
        <v>1</v>
      </c>
      <c r="F295" s="589">
        <f t="shared" si="57"/>
        <v>1</v>
      </c>
      <c r="G295" s="589">
        <f t="shared" si="57"/>
        <v>1</v>
      </c>
      <c r="H295" s="589">
        <f t="shared" si="57"/>
        <v>1</v>
      </c>
      <c r="I295" s="589">
        <f t="shared" si="57"/>
        <v>1</v>
      </c>
      <c r="J295" s="589">
        <f t="shared" si="57"/>
        <v>1</v>
      </c>
      <c r="K295" s="589">
        <f t="shared" si="57"/>
        <v>1</v>
      </c>
      <c r="L295" s="589">
        <f t="shared" si="57"/>
        <v>1</v>
      </c>
      <c r="M295" s="589">
        <f t="shared" si="57"/>
        <v>1</v>
      </c>
      <c r="N295" s="589">
        <f t="shared" si="57"/>
        <v>1</v>
      </c>
      <c r="O295" s="589">
        <f t="shared" si="57"/>
        <v>1</v>
      </c>
      <c r="P295" s="589">
        <f t="shared" si="57"/>
        <v>1</v>
      </c>
      <c r="Q295" s="589">
        <f t="shared" si="57"/>
        <v>1</v>
      </c>
      <c r="R295" s="589">
        <f t="shared" si="57"/>
        <v>1</v>
      </c>
      <c r="S295" s="589">
        <f t="shared" si="57"/>
        <v>1</v>
      </c>
    </row>
    <row r="296" spans="2:19" x14ac:dyDescent="0.25">
      <c r="B296" s="1278" t="str">
        <f t="shared" si="58"/>
        <v>Asistenta Social</v>
      </c>
      <c r="C296" s="589">
        <f t="shared" si="56"/>
        <v>1</v>
      </c>
      <c r="D296" s="589">
        <f t="shared" si="57"/>
        <v>1</v>
      </c>
      <c r="E296" s="589">
        <f t="shared" si="57"/>
        <v>1</v>
      </c>
      <c r="F296" s="589">
        <f t="shared" si="57"/>
        <v>1</v>
      </c>
      <c r="G296" s="589">
        <f t="shared" si="57"/>
        <v>1</v>
      </c>
      <c r="H296" s="589">
        <f t="shared" si="57"/>
        <v>1</v>
      </c>
      <c r="I296" s="589">
        <f t="shared" si="57"/>
        <v>1</v>
      </c>
      <c r="J296" s="589">
        <f t="shared" si="57"/>
        <v>1</v>
      </c>
      <c r="K296" s="589">
        <f t="shared" si="57"/>
        <v>1</v>
      </c>
      <c r="L296" s="589">
        <f t="shared" si="57"/>
        <v>1</v>
      </c>
      <c r="M296" s="589">
        <f t="shared" si="57"/>
        <v>1</v>
      </c>
      <c r="N296" s="589">
        <f t="shared" si="57"/>
        <v>1</v>
      </c>
      <c r="O296" s="589">
        <f t="shared" si="57"/>
        <v>1</v>
      </c>
      <c r="P296" s="589">
        <f t="shared" si="57"/>
        <v>1</v>
      </c>
      <c r="Q296" s="589">
        <f t="shared" si="57"/>
        <v>1</v>
      </c>
      <c r="R296" s="589">
        <f t="shared" si="57"/>
        <v>1</v>
      </c>
      <c r="S296" s="589">
        <f t="shared" si="57"/>
        <v>1</v>
      </c>
    </row>
    <row r="297" spans="2:19" x14ac:dyDescent="0.25">
      <c r="B297" s="2168" t="s">
        <v>3152</v>
      </c>
      <c r="C297" s="2170"/>
      <c r="D297" s="2170"/>
      <c r="E297" s="2170"/>
      <c r="F297" s="2170"/>
      <c r="G297" s="2170"/>
      <c r="H297" s="2170"/>
      <c r="I297" s="2170"/>
      <c r="J297" s="2170"/>
      <c r="K297" s="2170"/>
      <c r="L297" s="2170"/>
      <c r="M297" s="2170"/>
      <c r="N297" s="2170"/>
      <c r="O297" s="2170"/>
      <c r="P297" s="2170"/>
      <c r="Q297" s="2170"/>
      <c r="R297" s="2170"/>
      <c r="S297" s="2170"/>
    </row>
    <row r="298" spans="2:19" x14ac:dyDescent="0.25">
      <c r="B298" s="2122" t="s">
        <v>3153</v>
      </c>
      <c r="C298" s="590">
        <f>C237-C113</f>
        <v>0</v>
      </c>
      <c r="D298" s="590">
        <f t="shared" ref="D298:S298" si="60">D237-D113</f>
        <v>0</v>
      </c>
      <c r="E298" s="590">
        <f t="shared" si="60"/>
        <v>0</v>
      </c>
      <c r="F298" s="590">
        <f t="shared" si="60"/>
        <v>0</v>
      </c>
      <c r="G298" s="590">
        <f t="shared" si="60"/>
        <v>0</v>
      </c>
      <c r="H298" s="590">
        <f t="shared" si="60"/>
        <v>0</v>
      </c>
      <c r="I298" s="590">
        <f t="shared" si="60"/>
        <v>0</v>
      </c>
      <c r="J298" s="590">
        <f t="shared" si="60"/>
        <v>0</v>
      </c>
      <c r="K298" s="590">
        <f t="shared" si="60"/>
        <v>0</v>
      </c>
      <c r="L298" s="590">
        <f t="shared" si="60"/>
        <v>0</v>
      </c>
      <c r="M298" s="590">
        <f t="shared" si="60"/>
        <v>0</v>
      </c>
      <c r="N298" s="590">
        <f t="shared" si="60"/>
        <v>0</v>
      </c>
      <c r="O298" s="590">
        <f t="shared" si="60"/>
        <v>0</v>
      </c>
      <c r="P298" s="590">
        <f t="shared" si="60"/>
        <v>0</v>
      </c>
      <c r="Q298" s="590">
        <f t="shared" si="60"/>
        <v>0</v>
      </c>
      <c r="R298" s="590">
        <f t="shared" si="60"/>
        <v>0</v>
      </c>
      <c r="S298" s="590">
        <f t="shared" si="60"/>
        <v>0</v>
      </c>
    </row>
    <row r="299" spans="2:19" x14ac:dyDescent="0.25">
      <c r="B299" s="2168" t="s">
        <v>3154</v>
      </c>
      <c r="C299" s="2170"/>
      <c r="D299" s="2170"/>
      <c r="E299" s="2170"/>
      <c r="F299" s="2170"/>
      <c r="G299" s="2170"/>
      <c r="H299" s="2170"/>
      <c r="I299" s="2170"/>
      <c r="J299" s="2170"/>
      <c r="K299" s="2170"/>
      <c r="L299" s="2170"/>
      <c r="M299" s="2170"/>
      <c r="N299" s="2170"/>
      <c r="O299" s="2170"/>
      <c r="P299" s="2170"/>
      <c r="Q299" s="2170"/>
      <c r="R299" s="2170"/>
      <c r="S299" s="2170"/>
    </row>
    <row r="300" spans="2:19" x14ac:dyDescent="0.25">
      <c r="B300" s="2122" t="s">
        <v>3155</v>
      </c>
      <c r="C300" s="590">
        <f t="shared" ref="C300:S300" si="61">C239-C115</f>
        <v>0</v>
      </c>
      <c r="D300" s="590">
        <f t="shared" si="61"/>
        <v>0</v>
      </c>
      <c r="E300" s="590">
        <f t="shared" si="61"/>
        <v>0</v>
      </c>
      <c r="F300" s="590">
        <f t="shared" si="61"/>
        <v>0</v>
      </c>
      <c r="G300" s="590">
        <f t="shared" si="61"/>
        <v>0</v>
      </c>
      <c r="H300" s="590">
        <f t="shared" si="61"/>
        <v>0</v>
      </c>
      <c r="I300" s="590">
        <f t="shared" si="61"/>
        <v>0</v>
      </c>
      <c r="J300" s="590">
        <f t="shared" si="61"/>
        <v>0</v>
      </c>
      <c r="K300" s="590">
        <f t="shared" si="61"/>
        <v>0</v>
      </c>
      <c r="L300" s="590">
        <f t="shared" si="61"/>
        <v>0</v>
      </c>
      <c r="M300" s="590">
        <f t="shared" si="61"/>
        <v>0</v>
      </c>
      <c r="N300" s="590">
        <f t="shared" si="61"/>
        <v>0</v>
      </c>
      <c r="O300" s="590">
        <f t="shared" si="61"/>
        <v>0</v>
      </c>
      <c r="P300" s="590">
        <f t="shared" si="61"/>
        <v>0</v>
      </c>
      <c r="Q300" s="590">
        <f t="shared" si="61"/>
        <v>0</v>
      </c>
      <c r="R300" s="590">
        <f t="shared" si="61"/>
        <v>0</v>
      </c>
      <c r="S300" s="590">
        <f t="shared" si="61"/>
        <v>0</v>
      </c>
    </row>
    <row r="301" spans="2:19" x14ac:dyDescent="0.25">
      <c r="B301" s="2168" t="s">
        <v>3156</v>
      </c>
      <c r="C301" s="2170"/>
      <c r="D301" s="2170"/>
      <c r="E301" s="2170"/>
      <c r="F301" s="2170"/>
      <c r="G301" s="2170"/>
      <c r="H301" s="2170"/>
      <c r="I301" s="2170"/>
      <c r="J301" s="2170"/>
      <c r="K301" s="2170"/>
      <c r="L301" s="2170"/>
      <c r="M301" s="2170"/>
      <c r="N301" s="2170"/>
      <c r="O301" s="2170"/>
      <c r="P301" s="2170"/>
      <c r="Q301" s="2170"/>
      <c r="R301" s="2170"/>
      <c r="S301" s="2170"/>
    </row>
    <row r="302" spans="2:19" x14ac:dyDescent="0.25">
      <c r="B302" s="2122" t="s">
        <v>3157</v>
      </c>
      <c r="C302" s="590">
        <f t="shared" ref="C302:S302" si="62">C241-C117</f>
        <v>0</v>
      </c>
      <c r="D302" s="590">
        <f t="shared" si="62"/>
        <v>0</v>
      </c>
      <c r="E302" s="590">
        <f t="shared" si="62"/>
        <v>0</v>
      </c>
      <c r="F302" s="590">
        <f t="shared" si="62"/>
        <v>0</v>
      </c>
      <c r="G302" s="590">
        <f t="shared" si="62"/>
        <v>0</v>
      </c>
      <c r="H302" s="590">
        <f t="shared" si="62"/>
        <v>0</v>
      </c>
      <c r="I302" s="590">
        <f t="shared" si="62"/>
        <v>0</v>
      </c>
      <c r="J302" s="590">
        <f t="shared" si="62"/>
        <v>0</v>
      </c>
      <c r="K302" s="590">
        <f t="shared" si="62"/>
        <v>0</v>
      </c>
      <c r="L302" s="590">
        <f t="shared" si="62"/>
        <v>0</v>
      </c>
      <c r="M302" s="590">
        <f t="shared" si="62"/>
        <v>0</v>
      </c>
      <c r="N302" s="590">
        <f t="shared" si="62"/>
        <v>0</v>
      </c>
      <c r="O302" s="590">
        <f t="shared" si="62"/>
        <v>0</v>
      </c>
      <c r="P302" s="590">
        <f t="shared" si="62"/>
        <v>0</v>
      </c>
      <c r="Q302" s="590">
        <f t="shared" si="62"/>
        <v>0</v>
      </c>
      <c r="R302" s="590">
        <f t="shared" si="62"/>
        <v>0</v>
      </c>
      <c r="S302" s="590">
        <f t="shared" si="62"/>
        <v>0</v>
      </c>
    </row>
    <row r="303" spans="2:19" x14ac:dyDescent="0.25">
      <c r="B303" s="2168" t="s">
        <v>3158</v>
      </c>
      <c r="C303" s="2170"/>
      <c r="D303" s="2170"/>
      <c r="E303" s="2170"/>
      <c r="F303" s="2170"/>
      <c r="G303" s="2170"/>
      <c r="H303" s="2170"/>
      <c r="I303" s="2170"/>
      <c r="J303" s="2170"/>
      <c r="K303" s="2170"/>
      <c r="L303" s="2170"/>
      <c r="M303" s="2170"/>
      <c r="N303" s="2170"/>
      <c r="O303" s="2170"/>
      <c r="P303" s="2170"/>
      <c r="Q303" s="2170"/>
      <c r="R303" s="2170"/>
      <c r="S303" s="2170"/>
    </row>
    <row r="304" spans="2:19" x14ac:dyDescent="0.25">
      <c r="B304" s="1278" t="s">
        <v>3159</v>
      </c>
      <c r="C304" s="589">
        <f t="shared" ref="C304:S308" si="63">C243-C119</f>
        <v>1</v>
      </c>
      <c r="D304" s="589">
        <f t="shared" si="63"/>
        <v>1</v>
      </c>
      <c r="E304" s="589">
        <f t="shared" si="63"/>
        <v>1</v>
      </c>
      <c r="F304" s="589">
        <f t="shared" si="63"/>
        <v>1</v>
      </c>
      <c r="G304" s="589">
        <f t="shared" si="63"/>
        <v>1</v>
      </c>
      <c r="H304" s="589">
        <f t="shared" si="63"/>
        <v>1</v>
      </c>
      <c r="I304" s="589">
        <f t="shared" si="63"/>
        <v>1</v>
      </c>
      <c r="J304" s="589">
        <f t="shared" si="63"/>
        <v>1</v>
      </c>
      <c r="K304" s="589">
        <f t="shared" si="63"/>
        <v>1</v>
      </c>
      <c r="L304" s="589">
        <f t="shared" si="63"/>
        <v>1</v>
      </c>
      <c r="M304" s="589">
        <f t="shared" si="63"/>
        <v>1</v>
      </c>
      <c r="N304" s="589">
        <f t="shared" si="63"/>
        <v>1</v>
      </c>
      <c r="O304" s="589">
        <f t="shared" si="63"/>
        <v>1</v>
      </c>
      <c r="P304" s="589">
        <f t="shared" si="63"/>
        <v>1</v>
      </c>
      <c r="Q304" s="589">
        <f t="shared" si="63"/>
        <v>1</v>
      </c>
      <c r="R304" s="589">
        <f t="shared" si="63"/>
        <v>1</v>
      </c>
      <c r="S304" s="589">
        <f t="shared" si="63"/>
        <v>1</v>
      </c>
    </row>
    <row r="305" spans="1:72" x14ac:dyDescent="0.25">
      <c r="B305" s="1278" t="s">
        <v>3160</v>
      </c>
      <c r="C305" s="589">
        <f t="shared" si="63"/>
        <v>1</v>
      </c>
      <c r="D305" s="589">
        <f t="shared" si="63"/>
        <v>1</v>
      </c>
      <c r="E305" s="589">
        <f t="shared" si="63"/>
        <v>1</v>
      </c>
      <c r="F305" s="589">
        <f t="shared" si="63"/>
        <v>1</v>
      </c>
      <c r="G305" s="589">
        <f t="shared" si="63"/>
        <v>1</v>
      </c>
      <c r="H305" s="589">
        <f t="shared" si="63"/>
        <v>1</v>
      </c>
      <c r="I305" s="589">
        <f t="shared" si="63"/>
        <v>1</v>
      </c>
      <c r="J305" s="589">
        <f t="shared" si="63"/>
        <v>1</v>
      </c>
      <c r="K305" s="589">
        <f t="shared" si="63"/>
        <v>1</v>
      </c>
      <c r="L305" s="589">
        <f t="shared" si="63"/>
        <v>1</v>
      </c>
      <c r="M305" s="589">
        <f t="shared" si="63"/>
        <v>1</v>
      </c>
      <c r="N305" s="589">
        <f t="shared" si="63"/>
        <v>1</v>
      </c>
      <c r="O305" s="589">
        <f t="shared" si="63"/>
        <v>1</v>
      </c>
      <c r="P305" s="589">
        <f t="shared" si="63"/>
        <v>1</v>
      </c>
      <c r="Q305" s="589">
        <f t="shared" si="63"/>
        <v>1</v>
      </c>
      <c r="R305" s="589">
        <f t="shared" si="63"/>
        <v>1</v>
      </c>
      <c r="S305" s="589">
        <f t="shared" si="63"/>
        <v>1</v>
      </c>
    </row>
    <row r="306" spans="1:72" x14ac:dyDescent="0.25">
      <c r="B306" s="1278" t="s">
        <v>3161</v>
      </c>
      <c r="C306" s="589">
        <f t="shared" si="63"/>
        <v>1</v>
      </c>
      <c r="D306" s="589">
        <f t="shared" si="63"/>
        <v>1</v>
      </c>
      <c r="E306" s="589">
        <f t="shared" si="63"/>
        <v>1</v>
      </c>
      <c r="F306" s="589">
        <f t="shared" si="63"/>
        <v>1</v>
      </c>
      <c r="G306" s="589">
        <f t="shared" si="63"/>
        <v>1</v>
      </c>
      <c r="H306" s="589">
        <f t="shared" si="63"/>
        <v>1</v>
      </c>
      <c r="I306" s="589">
        <f t="shared" si="63"/>
        <v>1</v>
      </c>
      <c r="J306" s="589">
        <f t="shared" si="63"/>
        <v>1</v>
      </c>
      <c r="K306" s="589">
        <f t="shared" si="63"/>
        <v>1</v>
      </c>
      <c r="L306" s="589">
        <f t="shared" si="63"/>
        <v>1</v>
      </c>
      <c r="M306" s="589">
        <f t="shared" si="63"/>
        <v>1</v>
      </c>
      <c r="N306" s="589">
        <f t="shared" si="63"/>
        <v>1</v>
      </c>
      <c r="O306" s="589">
        <f t="shared" si="63"/>
        <v>1</v>
      </c>
      <c r="P306" s="589">
        <f t="shared" si="63"/>
        <v>1</v>
      </c>
      <c r="Q306" s="589">
        <f t="shared" si="63"/>
        <v>1</v>
      </c>
      <c r="R306" s="589">
        <f t="shared" si="63"/>
        <v>1</v>
      </c>
      <c r="S306" s="589">
        <f t="shared" si="63"/>
        <v>1</v>
      </c>
    </row>
    <row r="307" spans="1:72" x14ac:dyDescent="0.25">
      <c r="B307" s="1278" t="s">
        <v>3162</v>
      </c>
      <c r="C307" s="589">
        <f t="shared" si="63"/>
        <v>2</v>
      </c>
      <c r="D307" s="589">
        <f t="shared" si="63"/>
        <v>2</v>
      </c>
      <c r="E307" s="589">
        <f t="shared" si="63"/>
        <v>2</v>
      </c>
      <c r="F307" s="589">
        <f t="shared" si="63"/>
        <v>2</v>
      </c>
      <c r="G307" s="589">
        <f t="shared" si="63"/>
        <v>2</v>
      </c>
      <c r="H307" s="589">
        <f t="shared" si="63"/>
        <v>2</v>
      </c>
      <c r="I307" s="589">
        <f t="shared" si="63"/>
        <v>2</v>
      </c>
      <c r="J307" s="589">
        <f t="shared" si="63"/>
        <v>2</v>
      </c>
      <c r="K307" s="589">
        <f t="shared" si="63"/>
        <v>2</v>
      </c>
      <c r="L307" s="589">
        <f t="shared" si="63"/>
        <v>2</v>
      </c>
      <c r="M307" s="589">
        <f t="shared" si="63"/>
        <v>2</v>
      </c>
      <c r="N307" s="589">
        <f t="shared" si="63"/>
        <v>2</v>
      </c>
      <c r="O307" s="589">
        <f t="shared" si="63"/>
        <v>2</v>
      </c>
      <c r="P307" s="589">
        <f t="shared" si="63"/>
        <v>2</v>
      </c>
      <c r="Q307" s="589">
        <f t="shared" si="63"/>
        <v>2</v>
      </c>
      <c r="R307" s="589">
        <f t="shared" si="63"/>
        <v>2</v>
      </c>
      <c r="S307" s="589">
        <f t="shared" si="63"/>
        <v>2</v>
      </c>
    </row>
    <row r="308" spans="1:72" x14ac:dyDescent="0.25">
      <c r="B308" s="2122" t="s">
        <v>3163</v>
      </c>
      <c r="C308" s="590">
        <f t="shared" si="63"/>
        <v>0</v>
      </c>
      <c r="D308" s="590">
        <f t="shared" si="63"/>
        <v>0</v>
      </c>
      <c r="E308" s="590">
        <f t="shared" si="63"/>
        <v>0</v>
      </c>
      <c r="F308" s="590">
        <f t="shared" si="63"/>
        <v>0</v>
      </c>
      <c r="G308" s="590">
        <f t="shared" si="63"/>
        <v>0</v>
      </c>
      <c r="H308" s="590">
        <f t="shared" si="63"/>
        <v>0</v>
      </c>
      <c r="I308" s="590">
        <f t="shared" si="63"/>
        <v>0</v>
      </c>
      <c r="J308" s="590">
        <f t="shared" si="63"/>
        <v>0</v>
      </c>
      <c r="K308" s="590">
        <f t="shared" si="63"/>
        <v>0</v>
      </c>
      <c r="L308" s="590">
        <f t="shared" si="63"/>
        <v>0</v>
      </c>
      <c r="M308" s="590">
        <f t="shared" si="63"/>
        <v>0</v>
      </c>
      <c r="N308" s="590">
        <f t="shared" si="63"/>
        <v>0</v>
      </c>
      <c r="O308" s="590">
        <f t="shared" si="63"/>
        <v>0</v>
      </c>
      <c r="P308" s="590">
        <f t="shared" si="63"/>
        <v>0</v>
      </c>
      <c r="Q308" s="590">
        <f t="shared" si="63"/>
        <v>0</v>
      </c>
      <c r="R308" s="590">
        <f t="shared" si="63"/>
        <v>0</v>
      </c>
      <c r="S308" s="590">
        <f t="shared" si="63"/>
        <v>0</v>
      </c>
    </row>
    <row r="309" spans="1:72" x14ac:dyDescent="0.25">
      <c r="B309" s="2163" t="s">
        <v>3164</v>
      </c>
      <c r="C309" s="2125">
        <f>SUM(C284:C308)</f>
        <v>10</v>
      </c>
      <c r="D309" s="2125">
        <f t="shared" ref="D309:S309" si="64">SUM(D284:D308)</f>
        <v>10</v>
      </c>
      <c r="E309" s="2125">
        <f t="shared" si="64"/>
        <v>10</v>
      </c>
      <c r="F309" s="2125">
        <f t="shared" si="64"/>
        <v>10</v>
      </c>
      <c r="G309" s="2125">
        <f t="shared" si="64"/>
        <v>10</v>
      </c>
      <c r="H309" s="2125">
        <f t="shared" si="64"/>
        <v>10</v>
      </c>
      <c r="I309" s="2125">
        <f t="shared" si="64"/>
        <v>10</v>
      </c>
      <c r="J309" s="2125">
        <f t="shared" si="64"/>
        <v>10</v>
      </c>
      <c r="K309" s="2125">
        <f t="shared" si="64"/>
        <v>10</v>
      </c>
      <c r="L309" s="2125">
        <f t="shared" si="64"/>
        <v>10</v>
      </c>
      <c r="M309" s="2125">
        <f t="shared" si="64"/>
        <v>10</v>
      </c>
      <c r="N309" s="2125">
        <f t="shared" si="64"/>
        <v>10</v>
      </c>
      <c r="O309" s="2125">
        <f t="shared" si="64"/>
        <v>10</v>
      </c>
      <c r="P309" s="2125">
        <f t="shared" si="64"/>
        <v>10</v>
      </c>
      <c r="Q309" s="2125">
        <f t="shared" si="64"/>
        <v>10</v>
      </c>
      <c r="R309" s="2125">
        <f t="shared" si="64"/>
        <v>10</v>
      </c>
      <c r="S309" s="2126">
        <f t="shared" si="64"/>
        <v>10</v>
      </c>
    </row>
    <row r="310" spans="1:72" x14ac:dyDescent="0.25">
      <c r="C310" s="691"/>
      <c r="D310" s="691"/>
      <c r="E310" s="691"/>
      <c r="F310" s="691"/>
      <c r="G310" s="691"/>
      <c r="H310" s="691"/>
      <c r="I310" s="691"/>
      <c r="J310" s="691"/>
      <c r="K310" s="691"/>
      <c r="L310" s="691"/>
      <c r="M310" s="691"/>
      <c r="N310" s="691"/>
      <c r="O310" s="691"/>
      <c r="P310" s="691"/>
      <c r="Q310" s="691"/>
      <c r="R310" s="691"/>
      <c r="S310" s="691"/>
    </row>
    <row r="311" spans="1:72" ht="12" customHeight="1" x14ac:dyDescent="0.25">
      <c r="A311" s="1597"/>
      <c r="B311" s="1597"/>
      <c r="F311" s="1596"/>
    </row>
    <row r="312" spans="1:72" ht="12" customHeight="1" x14ac:dyDescent="0.25">
      <c r="A312" s="1597"/>
      <c r="B312" s="1597"/>
    </row>
    <row r="313" spans="1:72" ht="12" customHeight="1" x14ac:dyDescent="0.25">
      <c r="A313" s="1597"/>
      <c r="B313" s="1597"/>
    </row>
    <row r="314" spans="1:72" x14ac:dyDescent="0.25">
      <c r="A314" s="1597"/>
      <c r="B314" s="1597"/>
    </row>
    <row r="315" spans="1:72" x14ac:dyDescent="0.25">
      <c r="A315" s="1597"/>
      <c r="B315" s="1597"/>
    </row>
    <row r="316" spans="1:72" s="2120" customFormat="1" x14ac:dyDescent="0.25">
      <c r="A316" s="1597"/>
      <c r="B316" s="1597"/>
      <c r="C316" s="1597"/>
      <c r="D316" s="1597"/>
      <c r="E316" s="1597"/>
      <c r="F316" s="1597"/>
      <c r="G316" s="1597"/>
      <c r="H316" s="1597"/>
      <c r="I316" s="1597"/>
      <c r="J316" s="1597"/>
      <c r="K316" s="1597"/>
      <c r="L316" s="1597"/>
      <c r="M316" s="1597"/>
      <c r="N316" s="1597"/>
      <c r="O316" s="1597"/>
      <c r="P316" s="1597"/>
      <c r="Q316" s="1597"/>
      <c r="R316" s="1597"/>
      <c r="S316" s="1597"/>
      <c r="T316" s="691"/>
      <c r="U316" s="691"/>
      <c r="V316" s="691"/>
      <c r="W316" s="691"/>
      <c r="X316" s="691"/>
      <c r="Y316" s="691"/>
      <c r="Z316" s="691"/>
      <c r="AA316" s="691"/>
      <c r="AB316" s="691"/>
      <c r="AC316" s="691"/>
      <c r="AD316" s="691"/>
      <c r="AE316" s="691"/>
      <c r="AF316" s="691"/>
      <c r="AG316" s="691"/>
      <c r="AH316" s="691"/>
      <c r="AI316" s="691"/>
      <c r="AJ316" s="691"/>
      <c r="AK316" s="691"/>
      <c r="AL316" s="691"/>
      <c r="AM316" s="691"/>
      <c r="AN316" s="691"/>
      <c r="AO316" s="691"/>
      <c r="AP316" s="691"/>
      <c r="AQ316" s="691"/>
      <c r="AR316" s="691"/>
      <c r="AS316" s="691"/>
      <c r="AT316" s="691"/>
      <c r="AU316" s="691"/>
      <c r="AV316" s="691"/>
      <c r="AW316" s="691"/>
      <c r="AX316" s="691"/>
      <c r="AY316" s="691"/>
      <c r="AZ316" s="691"/>
      <c r="BA316" s="691"/>
      <c r="BB316" s="691"/>
      <c r="BC316" s="691"/>
      <c r="BD316" s="691"/>
      <c r="BE316" s="691"/>
      <c r="BF316" s="691"/>
      <c r="BG316" s="691"/>
      <c r="BH316" s="691"/>
      <c r="BI316" s="691"/>
      <c r="BJ316" s="691"/>
      <c r="BK316" s="691"/>
      <c r="BL316" s="691"/>
      <c r="BM316" s="691"/>
      <c r="BN316" s="691"/>
      <c r="BO316" s="691"/>
      <c r="BP316" s="691"/>
      <c r="BQ316" s="691"/>
      <c r="BR316" s="691"/>
      <c r="BS316" s="691"/>
      <c r="BT316" s="691"/>
    </row>
    <row r="317" spans="1:72" ht="12" customHeight="1" x14ac:dyDescent="0.25">
      <c r="A317" s="1597"/>
      <c r="B317" s="1597"/>
    </row>
    <row r="318" spans="1:72" ht="12" customHeight="1" x14ac:dyDescent="0.25">
      <c r="B318" s="1597"/>
    </row>
    <row r="319" spans="1:72" ht="12" customHeight="1" x14ac:dyDescent="0.25">
      <c r="B319" s="1597"/>
    </row>
    <row r="320" spans="1:72" ht="12" customHeight="1" x14ac:dyDescent="0.25">
      <c r="B320" s="1597"/>
    </row>
    <row r="321" spans="2:2" ht="12" customHeight="1" x14ac:dyDescent="0.25">
      <c r="B321" s="1597"/>
    </row>
    <row r="322" spans="2:2" ht="12" customHeight="1" x14ac:dyDescent="0.25">
      <c r="B322" s="1597"/>
    </row>
    <row r="323" spans="2:2" ht="12" customHeight="1" x14ac:dyDescent="0.25">
      <c r="B323" s="1597"/>
    </row>
    <row r="324" spans="2:2" ht="12" customHeight="1" x14ac:dyDescent="0.25">
      <c r="B324" s="1597"/>
    </row>
    <row r="325" spans="2:2" x14ac:dyDescent="0.25">
      <c r="B325" s="1597"/>
    </row>
    <row r="326" spans="2:2" x14ac:dyDescent="0.25">
      <c r="B326" s="1597"/>
    </row>
    <row r="327" spans="2:2" x14ac:dyDescent="0.25">
      <c r="B327" s="1597"/>
    </row>
    <row r="328" spans="2:2" x14ac:dyDescent="0.25">
      <c r="B328" s="1597"/>
    </row>
    <row r="329" spans="2:2" x14ac:dyDescent="0.25">
      <c r="B329" s="1597"/>
    </row>
    <row r="330" spans="2:2" x14ac:dyDescent="0.25">
      <c r="B330" s="1597"/>
    </row>
    <row r="331" spans="2:2" x14ac:dyDescent="0.25">
      <c r="B331" s="1597"/>
    </row>
    <row r="332" spans="2:2" x14ac:dyDescent="0.25">
      <c r="B332" s="1597"/>
    </row>
    <row r="333" spans="2:2" x14ac:dyDescent="0.25">
      <c r="B333" s="1597"/>
    </row>
    <row r="334" spans="2:2" x14ac:dyDescent="0.25">
      <c r="B334" s="1597"/>
    </row>
    <row r="335" spans="2:2" x14ac:dyDescent="0.25">
      <c r="B335" s="1597"/>
    </row>
    <row r="336" spans="2:2" x14ac:dyDescent="0.25">
      <c r="B336" s="1597"/>
    </row>
    <row r="337" spans="2:2" x14ac:dyDescent="0.25">
      <c r="B337" s="1597"/>
    </row>
    <row r="338" spans="2:2" x14ac:dyDescent="0.25">
      <c r="B338" s="1597"/>
    </row>
    <row r="339" spans="2:2" x14ac:dyDescent="0.25">
      <c r="B339" s="1597"/>
    </row>
    <row r="340" spans="2:2" x14ac:dyDescent="0.25">
      <c r="B340" s="1597"/>
    </row>
    <row r="341" spans="2:2" x14ac:dyDescent="0.25">
      <c r="B341" s="1597"/>
    </row>
    <row r="342" spans="2:2" x14ac:dyDescent="0.25">
      <c r="B342" s="1597"/>
    </row>
  </sheetData>
  <mergeCells count="5">
    <mergeCell ref="B67:B68"/>
    <mergeCell ref="B6:B7"/>
    <mergeCell ref="B129:B130"/>
    <mergeCell ref="B191:B192"/>
    <mergeCell ref="B252:B253"/>
  </mergeCells>
  <pageMargins left="0.7" right="0.7" top="0.75" bottom="0.75" header="0.3" footer="0.3"/>
  <pageSetup paperSize="9"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CC99"/>
  </sheetPr>
  <dimension ref="A1:X677"/>
  <sheetViews>
    <sheetView zoomScale="70" zoomScaleNormal="70" workbookViewId="0">
      <selection activeCell="C58" sqref="C58"/>
    </sheetView>
  </sheetViews>
  <sheetFormatPr baseColWidth="10" defaultColWidth="11.42578125" defaultRowHeight="13.5" x14ac:dyDescent="0.25"/>
  <cols>
    <col min="1" max="1" width="2.5703125" style="691" customWidth="1"/>
    <col min="2" max="2" width="9.42578125" style="1751" customWidth="1"/>
    <col min="3" max="3" width="58.85546875" style="691" customWidth="1"/>
    <col min="4" max="4" width="22.5703125" style="691" customWidth="1"/>
    <col min="5" max="5" width="11.28515625" style="691" customWidth="1"/>
    <col min="6" max="6" width="11.85546875" style="691" customWidth="1"/>
    <col min="7" max="7" width="15.140625" style="691" customWidth="1"/>
    <col min="8" max="8" width="16.42578125" style="691" customWidth="1"/>
    <col min="9" max="9" width="14.5703125" style="691" customWidth="1"/>
    <col min="10" max="10" width="36.7109375" style="691" customWidth="1"/>
    <col min="11" max="11" width="16.42578125" style="691" customWidth="1"/>
    <col min="12" max="12" width="17.7109375" style="1751" customWidth="1"/>
    <col min="13" max="13" width="14.85546875" style="1751" customWidth="1"/>
    <col min="14" max="14" width="23.7109375" style="1751" customWidth="1"/>
    <col min="15" max="15" width="10" style="1751" customWidth="1"/>
    <col min="16" max="16" width="18.85546875" style="1751" customWidth="1"/>
    <col min="17" max="17" width="11.85546875" style="691" customWidth="1"/>
    <col min="18" max="18" width="8" style="691" customWidth="1"/>
    <col min="19" max="19" width="8.7109375" style="1751" customWidth="1"/>
    <col min="20" max="20" width="9.28515625" style="1751" customWidth="1"/>
    <col min="21" max="21" width="10.140625" style="691" customWidth="1"/>
    <col min="22" max="22" width="7.5703125" style="1750" customWidth="1"/>
    <col min="23" max="26" width="11.42578125" style="691"/>
    <col min="27" max="29" width="11.5703125" style="691" customWidth="1"/>
    <col min="30" max="33" width="11.42578125" style="691"/>
    <col min="34" max="36" width="11.5703125" style="691" customWidth="1"/>
    <col min="37" max="16384" width="11.42578125" style="691"/>
  </cols>
  <sheetData>
    <row r="1" spans="2:24" x14ac:dyDescent="0.25">
      <c r="U1" s="598"/>
      <c r="V1" s="2487"/>
      <c r="W1" s="598"/>
      <c r="X1" s="598"/>
    </row>
    <row r="2" spans="2:24" x14ac:dyDescent="0.25">
      <c r="V2" s="2494"/>
      <c r="W2" s="1813"/>
      <c r="X2" s="1813"/>
    </row>
    <row r="3" spans="2:24" ht="27" x14ac:dyDescent="0.25">
      <c r="B3" s="4465" t="s">
        <v>4036</v>
      </c>
      <c r="C3" s="4465"/>
      <c r="D3" s="4465"/>
      <c r="E3" s="4465"/>
      <c r="F3" s="4465"/>
      <c r="G3" s="4465"/>
      <c r="H3" s="4465"/>
      <c r="I3" s="4465"/>
      <c r="J3" s="4465"/>
      <c r="K3" s="4465"/>
      <c r="N3" s="917" t="s">
        <v>194</v>
      </c>
      <c r="O3" s="1329" t="s">
        <v>195</v>
      </c>
      <c r="P3" s="1329" t="s">
        <v>196</v>
      </c>
      <c r="Q3" s="1329" t="s">
        <v>4037</v>
      </c>
      <c r="R3" s="1329" t="s">
        <v>4038</v>
      </c>
      <c r="S3" s="1329" t="s">
        <v>4039</v>
      </c>
      <c r="T3" s="1329" t="s">
        <v>150</v>
      </c>
      <c r="U3" s="918" t="s">
        <v>163</v>
      </c>
      <c r="V3" s="2494"/>
      <c r="W3" s="1813"/>
      <c r="X3" s="1813"/>
    </row>
    <row r="4" spans="2:24" x14ac:dyDescent="0.25">
      <c r="N4" s="2551" t="s">
        <v>199</v>
      </c>
      <c r="O4" s="2551"/>
      <c r="P4" s="2551"/>
      <c r="Q4" s="2551"/>
      <c r="R4" s="2551"/>
      <c r="S4" s="2551"/>
      <c r="T4" s="2551"/>
      <c r="U4" s="2551"/>
      <c r="V4" s="2487"/>
      <c r="W4" s="598"/>
      <c r="X4" s="598"/>
    </row>
    <row r="5" spans="2:24" x14ac:dyDescent="0.25">
      <c r="B5" s="2143"/>
      <c r="C5" s="1144"/>
      <c r="D5" s="694"/>
      <c r="E5" s="694"/>
      <c r="F5" s="694"/>
      <c r="G5" s="694"/>
      <c r="H5" s="694"/>
      <c r="I5" s="1144"/>
      <c r="J5" s="1144"/>
      <c r="K5" s="2568"/>
      <c r="N5" s="2516" t="s">
        <v>200</v>
      </c>
      <c r="O5" s="589">
        <v>3</v>
      </c>
      <c r="P5" s="589">
        <v>0</v>
      </c>
      <c r="Q5" s="589">
        <v>1</v>
      </c>
      <c r="R5" s="589">
        <v>0</v>
      </c>
      <c r="S5" s="589">
        <v>0</v>
      </c>
      <c r="T5" s="589">
        <f>SUM(O5:S5)</f>
        <v>4</v>
      </c>
      <c r="U5" s="2517">
        <f t="shared" ref="U5:U16" si="0">T5/$T$28</f>
        <v>0.11428571428571428</v>
      </c>
      <c r="V5" s="2487"/>
      <c r="W5" s="598"/>
      <c r="X5" s="598"/>
    </row>
    <row r="6" spans="2:24" ht="27" x14ac:dyDescent="0.25">
      <c r="B6" s="917" t="s">
        <v>3844</v>
      </c>
      <c r="C6" s="1329" t="s">
        <v>298</v>
      </c>
      <c r="D6" s="1329" t="s">
        <v>3899</v>
      </c>
      <c r="E6" s="1329" t="s">
        <v>3847</v>
      </c>
      <c r="F6" s="1329" t="s">
        <v>3892</v>
      </c>
      <c r="G6" s="1329" t="s">
        <v>4040</v>
      </c>
      <c r="H6" s="1329" t="s">
        <v>4041</v>
      </c>
      <c r="I6" s="1329" t="s">
        <v>4042</v>
      </c>
      <c r="J6" s="1329" t="s">
        <v>4043</v>
      </c>
      <c r="K6" s="918" t="s">
        <v>4044</v>
      </c>
      <c r="N6" s="2516" t="s">
        <v>216</v>
      </c>
      <c r="O6" s="589">
        <v>2</v>
      </c>
      <c r="P6" s="589">
        <v>0</v>
      </c>
      <c r="Q6" s="589">
        <v>0</v>
      </c>
      <c r="R6" s="589">
        <v>0</v>
      </c>
      <c r="S6" s="589">
        <v>0</v>
      </c>
      <c r="T6" s="589">
        <f>SUM(O6:S6)</f>
        <v>2</v>
      </c>
      <c r="U6" s="2517">
        <f t="shared" si="0"/>
        <v>5.7142857142857141E-2</v>
      </c>
      <c r="V6" s="2494"/>
      <c r="W6" s="1813"/>
      <c r="X6" s="1813"/>
    </row>
    <row r="7" spans="2:24" x14ac:dyDescent="0.25">
      <c r="B7" s="2542" t="s">
        <v>4045</v>
      </c>
      <c r="C7" s="2439" t="s">
        <v>4046</v>
      </c>
      <c r="D7" s="2379"/>
      <c r="E7" s="2379"/>
      <c r="F7" s="2379"/>
      <c r="G7" s="2379"/>
      <c r="H7" s="2379"/>
      <c r="I7" s="2379"/>
      <c r="J7" s="2535">
        <f>+SUM(I9:I11)</f>
        <v>13000</v>
      </c>
      <c r="K7" s="2535"/>
      <c r="N7" s="2516" t="s">
        <v>217</v>
      </c>
      <c r="O7" s="589">
        <v>5</v>
      </c>
      <c r="P7" s="589">
        <v>2</v>
      </c>
      <c r="Q7" s="589">
        <v>0</v>
      </c>
      <c r="R7" s="589">
        <v>0</v>
      </c>
      <c r="S7" s="589">
        <v>0</v>
      </c>
      <c r="T7" s="589">
        <f>SUM(O7:S7)</f>
        <v>7</v>
      </c>
      <c r="U7" s="2517">
        <f t="shared" si="0"/>
        <v>0.2</v>
      </c>
      <c r="V7" s="2494"/>
      <c r="W7" s="1813"/>
      <c r="X7" s="1813"/>
    </row>
    <row r="8" spans="2:24" x14ac:dyDescent="0.25">
      <c r="B8" s="2565" t="s">
        <v>4047</v>
      </c>
      <c r="C8" s="2508" t="s">
        <v>4048</v>
      </c>
      <c r="D8" s="2142"/>
      <c r="E8" s="2509"/>
      <c r="F8" s="2509"/>
      <c r="G8" s="2509"/>
      <c r="H8" s="2509"/>
      <c r="I8" s="2509"/>
      <c r="J8" s="2510"/>
      <c r="K8" s="1281"/>
      <c r="N8" s="2516" t="s">
        <v>218</v>
      </c>
      <c r="O8" s="589">
        <v>0</v>
      </c>
      <c r="P8" s="589">
        <v>1</v>
      </c>
      <c r="Q8" s="589">
        <v>0</v>
      </c>
      <c r="R8" s="589">
        <v>0</v>
      </c>
      <c r="S8" s="589">
        <v>0</v>
      </c>
      <c r="T8" s="589">
        <f t="shared" ref="T8:T11" si="1">SUM(O8:S8)</f>
        <v>1</v>
      </c>
      <c r="U8" s="2517">
        <f t="shared" si="0"/>
        <v>2.8571428571428571E-2</v>
      </c>
      <c r="V8" s="2487"/>
      <c r="W8" s="598"/>
      <c r="X8" s="598"/>
    </row>
    <row r="9" spans="2:24" x14ac:dyDescent="0.25">
      <c r="B9" s="1841" t="s">
        <v>4049</v>
      </c>
      <c r="C9" s="2003" t="s">
        <v>4050</v>
      </c>
      <c r="D9" s="1841" t="s">
        <v>4051</v>
      </c>
      <c r="E9" s="589">
        <v>1</v>
      </c>
      <c r="F9" s="589">
        <v>1</v>
      </c>
      <c r="G9" s="2511">
        <v>1</v>
      </c>
      <c r="H9" s="2512">
        <v>5000</v>
      </c>
      <c r="I9" s="2512">
        <f>+E9*F9*H9*G9</f>
        <v>5000</v>
      </c>
      <c r="J9" s="2510"/>
      <c r="K9" s="1281"/>
      <c r="N9" s="2516" t="s">
        <v>353</v>
      </c>
      <c r="O9" s="589">
        <v>1</v>
      </c>
      <c r="P9" s="589">
        <v>2</v>
      </c>
      <c r="Q9" s="589">
        <v>1</v>
      </c>
      <c r="R9" s="589">
        <v>0</v>
      </c>
      <c r="S9" s="589">
        <v>0</v>
      </c>
      <c r="T9" s="589">
        <f t="shared" si="1"/>
        <v>4</v>
      </c>
      <c r="U9" s="2517">
        <f t="shared" si="0"/>
        <v>0.11428571428571428</v>
      </c>
      <c r="V9" s="2487"/>
      <c r="W9" s="598"/>
      <c r="X9" s="598"/>
    </row>
    <row r="10" spans="2:24" x14ac:dyDescent="0.25">
      <c r="B10" s="1841" t="s">
        <v>4052</v>
      </c>
      <c r="C10" s="2003" t="s">
        <v>4053</v>
      </c>
      <c r="D10" s="1841" t="s">
        <v>4051</v>
      </c>
      <c r="E10" s="589">
        <v>1</v>
      </c>
      <c r="F10" s="589">
        <v>1</v>
      </c>
      <c r="G10" s="2511">
        <v>1</v>
      </c>
      <c r="H10" s="2512">
        <v>4000</v>
      </c>
      <c r="I10" s="2512">
        <v>4000</v>
      </c>
      <c r="J10" s="2510"/>
      <c r="K10" s="1281"/>
      <c r="N10" s="2516" t="s">
        <v>375</v>
      </c>
      <c r="O10" s="589">
        <v>1</v>
      </c>
      <c r="P10" s="589">
        <v>0</v>
      </c>
      <c r="Q10" s="589">
        <v>0</v>
      </c>
      <c r="R10" s="589">
        <v>0</v>
      </c>
      <c r="S10" s="589">
        <v>0</v>
      </c>
      <c r="T10" s="589">
        <f t="shared" si="1"/>
        <v>1</v>
      </c>
      <c r="U10" s="2517">
        <f t="shared" si="0"/>
        <v>2.8571428571428571E-2</v>
      </c>
      <c r="V10" s="2494"/>
      <c r="W10" s="1813"/>
      <c r="X10" s="1813"/>
    </row>
    <row r="11" spans="2:24" x14ac:dyDescent="0.25">
      <c r="B11" s="1841" t="s">
        <v>4054</v>
      </c>
      <c r="C11" s="1845" t="s">
        <v>4055</v>
      </c>
      <c r="D11" s="1841" t="s">
        <v>4051</v>
      </c>
      <c r="E11" s="589">
        <v>1</v>
      </c>
      <c r="F11" s="589">
        <v>1</v>
      </c>
      <c r="G11" s="2152">
        <v>1</v>
      </c>
      <c r="H11" s="2512">
        <v>4000</v>
      </c>
      <c r="I11" s="2512">
        <v>4000</v>
      </c>
      <c r="J11" s="2509"/>
      <c r="K11" s="2142"/>
      <c r="N11" s="2516" t="s">
        <v>221</v>
      </c>
      <c r="O11" s="589">
        <v>0</v>
      </c>
      <c r="P11" s="589">
        <v>0</v>
      </c>
      <c r="Q11" s="589">
        <v>0</v>
      </c>
      <c r="R11" s="589">
        <v>0</v>
      </c>
      <c r="S11" s="589">
        <v>0</v>
      </c>
      <c r="T11" s="589">
        <f t="shared" si="1"/>
        <v>0</v>
      </c>
      <c r="U11" s="2517">
        <f t="shared" si="0"/>
        <v>0</v>
      </c>
      <c r="V11" s="2487"/>
      <c r="W11" s="598"/>
      <c r="X11" s="598"/>
    </row>
    <row r="12" spans="2:24" x14ac:dyDescent="0.25">
      <c r="B12" s="2542" t="s">
        <v>4056</v>
      </c>
      <c r="C12" s="2439" t="s">
        <v>4057</v>
      </c>
      <c r="D12" s="2536"/>
      <c r="E12" s="2537"/>
      <c r="F12" s="2537"/>
      <c r="G12" s="2538"/>
      <c r="H12" s="2538"/>
      <c r="I12" s="2538"/>
      <c r="J12" s="2535">
        <f>+SUM(I13:I15)</f>
        <v>500</v>
      </c>
      <c r="K12" s="2535"/>
      <c r="N12" s="2516" t="s">
        <v>222</v>
      </c>
      <c r="O12" s="589">
        <v>0</v>
      </c>
      <c r="P12" s="589">
        <v>0</v>
      </c>
      <c r="Q12" s="589">
        <v>0</v>
      </c>
      <c r="R12" s="589">
        <v>0</v>
      </c>
      <c r="S12" s="589">
        <v>0</v>
      </c>
      <c r="T12" s="589">
        <f t="shared" ref="T12:T19" si="2">SUM(O12:S12)</f>
        <v>0</v>
      </c>
      <c r="U12" s="2517">
        <f t="shared" si="0"/>
        <v>0</v>
      </c>
      <c r="V12" s="2487"/>
      <c r="W12" s="598"/>
      <c r="X12" s="598"/>
    </row>
    <row r="13" spans="2:24" x14ac:dyDescent="0.25">
      <c r="B13" s="1841" t="s">
        <v>4058</v>
      </c>
      <c r="C13" s="2142" t="s">
        <v>4059</v>
      </c>
      <c r="D13" s="1841" t="s">
        <v>4051</v>
      </c>
      <c r="E13" s="589">
        <v>1</v>
      </c>
      <c r="F13" s="589">
        <v>1</v>
      </c>
      <c r="G13" s="2511">
        <v>1</v>
      </c>
      <c r="H13" s="2512">
        <v>400</v>
      </c>
      <c r="I13" s="2512">
        <f>+E13*F13*H13*G13</f>
        <v>400</v>
      </c>
      <c r="J13" s="2510"/>
      <c r="K13" s="1281"/>
      <c r="N13" s="2516" t="s">
        <v>226</v>
      </c>
      <c r="O13" s="589">
        <v>10</v>
      </c>
      <c r="P13" s="589">
        <v>0</v>
      </c>
      <c r="Q13" s="589">
        <v>0</v>
      </c>
      <c r="R13" s="589">
        <v>0</v>
      </c>
      <c r="S13" s="589">
        <v>0</v>
      </c>
      <c r="T13" s="589">
        <f t="shared" si="2"/>
        <v>10</v>
      </c>
      <c r="U13" s="2517">
        <f t="shared" si="0"/>
        <v>0.2857142857142857</v>
      </c>
      <c r="V13" s="2494"/>
      <c r="W13" s="1813"/>
      <c r="X13" s="1813"/>
    </row>
    <row r="14" spans="2:24" x14ac:dyDescent="0.25">
      <c r="B14" s="1841" t="s">
        <v>4060</v>
      </c>
      <c r="C14" s="2142" t="s">
        <v>4061</v>
      </c>
      <c r="D14" s="1841" t="s">
        <v>4051</v>
      </c>
      <c r="E14" s="589">
        <v>1</v>
      </c>
      <c r="F14" s="589">
        <v>1</v>
      </c>
      <c r="G14" s="2511">
        <v>1</v>
      </c>
      <c r="H14" s="2512">
        <v>100</v>
      </c>
      <c r="I14" s="2512">
        <f>+E14*F14*H14*G14</f>
        <v>100</v>
      </c>
      <c r="J14" s="2510"/>
      <c r="K14" s="2513"/>
      <c r="M14" s="2495"/>
      <c r="N14" s="2516" t="s">
        <v>228</v>
      </c>
      <c r="O14" s="589">
        <v>0</v>
      </c>
      <c r="P14" s="589">
        <v>0</v>
      </c>
      <c r="Q14" s="589">
        <v>0</v>
      </c>
      <c r="R14" s="589">
        <v>0</v>
      </c>
      <c r="S14" s="589">
        <v>0</v>
      </c>
      <c r="T14" s="589">
        <f t="shared" si="2"/>
        <v>0</v>
      </c>
      <c r="U14" s="2517">
        <f t="shared" si="0"/>
        <v>0</v>
      </c>
      <c r="V14" s="2494"/>
      <c r="W14" s="1813"/>
      <c r="X14" s="1813"/>
    </row>
    <row r="15" spans="2:24" x14ac:dyDescent="0.25">
      <c r="B15" s="1841" t="s">
        <v>4062</v>
      </c>
      <c r="C15" s="2142" t="s">
        <v>4063</v>
      </c>
      <c r="D15" s="1841" t="s">
        <v>4051</v>
      </c>
      <c r="E15" s="589">
        <v>1</v>
      </c>
      <c r="F15" s="589">
        <v>2</v>
      </c>
      <c r="G15" s="2511"/>
      <c r="H15" s="2512">
        <v>150</v>
      </c>
      <c r="I15" s="2512">
        <f>+E15*F15*H15*G15</f>
        <v>0</v>
      </c>
      <c r="J15" s="2510"/>
      <c r="K15" s="2510"/>
      <c r="N15" s="2516" t="s">
        <v>229</v>
      </c>
      <c r="O15" s="589">
        <v>0</v>
      </c>
      <c r="P15" s="589">
        <v>0</v>
      </c>
      <c r="Q15" s="589">
        <v>0</v>
      </c>
      <c r="R15" s="589">
        <v>0</v>
      </c>
      <c r="S15" s="589">
        <v>0</v>
      </c>
      <c r="T15" s="589">
        <f t="shared" si="2"/>
        <v>0</v>
      </c>
      <c r="U15" s="2517">
        <f t="shared" si="0"/>
        <v>0</v>
      </c>
      <c r="V15" s="2487"/>
      <c r="W15" s="598"/>
      <c r="X15" s="598"/>
    </row>
    <row r="16" spans="2:24" x14ac:dyDescent="0.25">
      <c r="B16" s="1142"/>
      <c r="G16" s="4758" t="s">
        <v>4064</v>
      </c>
      <c r="H16" s="4759"/>
      <c r="I16" s="4760"/>
      <c r="J16" s="2531">
        <f>+J7+J12</f>
        <v>13500</v>
      </c>
      <c r="K16" s="2532">
        <f>+J16*M16</f>
        <v>11440.677966101695</v>
      </c>
      <c r="M16" s="2496">
        <f>1/1.18</f>
        <v>0.84745762711864414</v>
      </c>
      <c r="N16" s="2516" t="s">
        <v>227</v>
      </c>
      <c r="O16" s="589">
        <v>1</v>
      </c>
      <c r="P16" s="589">
        <v>0</v>
      </c>
      <c r="Q16" s="589">
        <v>0</v>
      </c>
      <c r="R16" s="589">
        <v>0</v>
      </c>
      <c r="S16" s="589">
        <v>0</v>
      </c>
      <c r="T16" s="589">
        <f t="shared" si="2"/>
        <v>1</v>
      </c>
      <c r="U16" s="2517">
        <f t="shared" si="0"/>
        <v>2.8571428571428571E-2</v>
      </c>
      <c r="V16" s="2494"/>
      <c r="W16" s="1813"/>
      <c r="X16" s="1813"/>
    </row>
    <row r="17" spans="2:24" s="694" customFormat="1" x14ac:dyDescent="0.25">
      <c r="B17" s="1142"/>
      <c r="G17" s="2507"/>
      <c r="H17" s="2507"/>
      <c r="I17" s="2514"/>
      <c r="J17" s="2510"/>
      <c r="K17" s="2510"/>
      <c r="L17" s="1142"/>
      <c r="M17" s="2567">
        <f>1/1.18</f>
        <v>0.84745762711864414</v>
      </c>
      <c r="N17" s="2516" t="s">
        <v>230</v>
      </c>
      <c r="O17" s="589">
        <v>0</v>
      </c>
      <c r="P17" s="589">
        <v>0</v>
      </c>
      <c r="Q17" s="589">
        <v>0</v>
      </c>
      <c r="R17" s="589">
        <v>0</v>
      </c>
      <c r="S17" s="589">
        <v>0</v>
      </c>
      <c r="T17" s="589">
        <f t="shared" si="2"/>
        <v>0</v>
      </c>
      <c r="U17" s="2517">
        <f t="shared" ref="U17" si="3">T17/$T$28</f>
        <v>0</v>
      </c>
      <c r="V17" s="2494"/>
      <c r="W17" s="1813"/>
      <c r="X17" s="1813"/>
    </row>
    <row r="18" spans="2:24" x14ac:dyDescent="0.25">
      <c r="G18" s="2507" t="s">
        <v>4065</v>
      </c>
      <c r="H18" s="2507"/>
      <c r="I18" s="2349">
        <v>0.1</v>
      </c>
      <c r="J18" s="2510">
        <f>+J16*I18</f>
        <v>1350</v>
      </c>
      <c r="K18" s="1281"/>
      <c r="N18" s="2516" t="s">
        <v>231</v>
      </c>
      <c r="O18" s="589">
        <v>0</v>
      </c>
      <c r="P18" s="589">
        <v>0</v>
      </c>
      <c r="Q18" s="589">
        <v>0</v>
      </c>
      <c r="R18" s="589">
        <v>0</v>
      </c>
      <c r="S18" s="589">
        <v>0</v>
      </c>
      <c r="T18" s="589">
        <f t="shared" si="2"/>
        <v>0</v>
      </c>
      <c r="U18" s="2517">
        <f>T18/$T$28</f>
        <v>0</v>
      </c>
      <c r="V18" s="2487"/>
      <c r="W18" s="598"/>
      <c r="X18" s="598"/>
    </row>
    <row r="19" spans="2:24" x14ac:dyDescent="0.25">
      <c r="G19" s="2564" t="s">
        <v>4066</v>
      </c>
      <c r="H19" s="2564"/>
      <c r="I19" s="2142"/>
      <c r="J19" s="2515">
        <f>+J16+J18</f>
        <v>14850</v>
      </c>
      <c r="K19" s="1281"/>
      <c r="N19" s="2553" t="s">
        <v>232</v>
      </c>
      <c r="O19" s="2554">
        <f>SUM(O5:O18)</f>
        <v>23</v>
      </c>
      <c r="P19" s="2554">
        <f>SUM(P5:P18)</f>
        <v>5</v>
      </c>
      <c r="Q19" s="2554">
        <f>SUM(Q5:Q18)</f>
        <v>2</v>
      </c>
      <c r="R19" s="2554">
        <f>SUM(R5:R18)</f>
        <v>0</v>
      </c>
      <c r="S19" s="2554">
        <f>SUM(S5:S18)</f>
        <v>0</v>
      </c>
      <c r="T19" s="2554">
        <f t="shared" si="2"/>
        <v>30</v>
      </c>
      <c r="U19" s="2555">
        <f>T19/$T$28</f>
        <v>0.8571428571428571</v>
      </c>
      <c r="V19" s="2487"/>
      <c r="W19" s="598"/>
      <c r="X19" s="598"/>
    </row>
    <row r="20" spans="2:24" x14ac:dyDescent="0.25">
      <c r="G20" s="2507" t="s">
        <v>3976</v>
      </c>
      <c r="H20" s="2507"/>
      <c r="I20" s="2349">
        <v>0.18</v>
      </c>
      <c r="J20" s="2510">
        <f>+J19*I20</f>
        <v>2673</v>
      </c>
      <c r="K20" s="1281"/>
      <c r="M20" s="691"/>
      <c r="N20" s="2557" t="s">
        <v>233</v>
      </c>
      <c r="O20" s="2560">
        <f t="shared" ref="O20:T20" si="4">O19/$T$28</f>
        <v>0.65714285714285714</v>
      </c>
      <c r="P20" s="2560">
        <f t="shared" si="4"/>
        <v>0.14285714285714285</v>
      </c>
      <c r="Q20" s="2560">
        <f t="shared" si="4"/>
        <v>5.7142857142857141E-2</v>
      </c>
      <c r="R20" s="2560">
        <f t="shared" si="4"/>
        <v>0</v>
      </c>
      <c r="S20" s="2560">
        <f t="shared" si="4"/>
        <v>0</v>
      </c>
      <c r="T20" s="2560">
        <f t="shared" si="4"/>
        <v>0.8571428571428571</v>
      </c>
      <c r="U20" s="2555"/>
      <c r="V20" s="2487"/>
      <c r="W20" s="598"/>
      <c r="X20" s="598"/>
    </row>
    <row r="21" spans="2:24" x14ac:dyDescent="0.25">
      <c r="G21" s="2542" t="s">
        <v>4067</v>
      </c>
      <c r="H21" s="2542"/>
      <c r="I21" s="2542"/>
      <c r="J21" s="2539">
        <f>+J19+J20</f>
        <v>17523</v>
      </c>
      <c r="K21" s="2539">
        <f>+K16+K17</f>
        <v>11440.677966101695</v>
      </c>
      <c r="M21" s="691"/>
      <c r="N21" s="2551" t="s">
        <v>352</v>
      </c>
      <c r="O21" s="2551"/>
      <c r="P21" s="2551"/>
      <c r="Q21" s="2551"/>
      <c r="R21" s="2551"/>
      <c r="S21" s="2551"/>
      <c r="T21" s="2551"/>
      <c r="U21" s="2551"/>
      <c r="V21" s="2487"/>
      <c r="W21" s="598"/>
      <c r="X21" s="598"/>
    </row>
    <row r="22" spans="2:24" x14ac:dyDescent="0.25">
      <c r="L22" s="691"/>
      <c r="N22" s="2518" t="s">
        <v>235</v>
      </c>
      <c r="O22" s="2530">
        <v>0</v>
      </c>
      <c r="P22" s="2530">
        <v>0</v>
      </c>
      <c r="Q22" s="2530">
        <v>0</v>
      </c>
      <c r="R22" s="2530">
        <v>0</v>
      </c>
      <c r="S22" s="2530">
        <v>0</v>
      </c>
      <c r="T22" s="2530">
        <f>SUM(O22:S22)</f>
        <v>0</v>
      </c>
      <c r="U22" s="2552">
        <f>T22/$T$28</f>
        <v>0</v>
      </c>
      <c r="V22" s="2487"/>
      <c r="W22" s="598"/>
      <c r="X22" s="598"/>
    </row>
    <row r="23" spans="2:24" x14ac:dyDescent="0.25">
      <c r="N23" s="2518" t="s">
        <v>236</v>
      </c>
      <c r="O23" s="2530">
        <v>0</v>
      </c>
      <c r="P23" s="2530">
        <v>1</v>
      </c>
      <c r="Q23" s="2530">
        <v>1</v>
      </c>
      <c r="R23" s="2530">
        <v>0</v>
      </c>
      <c r="S23" s="2530">
        <v>0</v>
      </c>
      <c r="T23" s="2530">
        <f t="shared" ref="T23:T26" si="5">SUM(O23:S23)</f>
        <v>2</v>
      </c>
      <c r="U23" s="2552">
        <f>T23/$T$28</f>
        <v>5.7142857142857141E-2</v>
      </c>
    </row>
    <row r="24" spans="2:24" x14ac:dyDescent="0.25">
      <c r="B24" s="2355"/>
      <c r="C24" s="598"/>
      <c r="D24" s="598"/>
      <c r="E24" s="2498"/>
      <c r="F24" s="2498"/>
      <c r="G24" s="2498"/>
      <c r="H24" s="2498"/>
      <c r="N24" s="2518" t="s">
        <v>237</v>
      </c>
      <c r="O24" s="2530">
        <v>0</v>
      </c>
      <c r="P24" s="2530">
        <v>0</v>
      </c>
      <c r="Q24" s="2530">
        <v>0</v>
      </c>
      <c r="R24" s="2530">
        <v>0</v>
      </c>
      <c r="S24" s="2530">
        <v>0</v>
      </c>
      <c r="T24" s="2530">
        <f t="shared" si="5"/>
        <v>0</v>
      </c>
      <c r="U24" s="2552">
        <f>T24/$T$28</f>
        <v>0</v>
      </c>
    </row>
    <row r="25" spans="2:24" x14ac:dyDescent="0.25">
      <c r="B25" s="4767" t="s">
        <v>4068</v>
      </c>
      <c r="C25" s="4767"/>
      <c r="D25" s="4767"/>
      <c r="E25" s="2498"/>
      <c r="F25" s="2498"/>
      <c r="N25" s="2518" t="s">
        <v>238</v>
      </c>
      <c r="O25" s="2530">
        <v>2</v>
      </c>
      <c r="P25" s="2530">
        <v>1</v>
      </c>
      <c r="Q25" s="2530">
        <v>0</v>
      </c>
      <c r="R25" s="2530">
        <v>0</v>
      </c>
      <c r="S25" s="2530">
        <v>0</v>
      </c>
      <c r="T25" s="2530">
        <f>SUM(O25:S25)</f>
        <v>3</v>
      </c>
      <c r="U25" s="2552">
        <f>T25/$T$28</f>
        <v>8.5714285714285715E-2</v>
      </c>
    </row>
    <row r="26" spans="2:24" x14ac:dyDescent="0.25">
      <c r="B26" s="2355"/>
      <c r="C26" s="2498"/>
      <c r="D26" s="2498"/>
      <c r="E26" s="2498"/>
      <c r="F26" s="4768" t="s">
        <v>4069</v>
      </c>
      <c r="G26" s="4767"/>
      <c r="H26" s="2498"/>
      <c r="I26" s="997"/>
      <c r="N26" s="2553" t="s">
        <v>239</v>
      </c>
      <c r="O26" s="2554">
        <f>SUM(O22:O25)</f>
        <v>2</v>
      </c>
      <c r="P26" s="2554">
        <f t="shared" ref="P26:S26" si="6">SUM(P22:P25)</f>
        <v>2</v>
      </c>
      <c r="Q26" s="2554">
        <f t="shared" si="6"/>
        <v>1</v>
      </c>
      <c r="R26" s="2554">
        <f t="shared" si="6"/>
        <v>0</v>
      </c>
      <c r="S26" s="2554">
        <f t="shared" si="6"/>
        <v>0</v>
      </c>
      <c r="T26" s="2554">
        <f t="shared" si="5"/>
        <v>5</v>
      </c>
      <c r="U26" s="2556">
        <f>T26/$T$28</f>
        <v>0.14285714285714285</v>
      </c>
    </row>
    <row r="27" spans="2:24" ht="27" x14ac:dyDescent="0.25">
      <c r="B27" s="917" t="s">
        <v>62</v>
      </c>
      <c r="C27" s="1329" t="s">
        <v>3891</v>
      </c>
      <c r="D27" s="918" t="s">
        <v>4070</v>
      </c>
      <c r="E27" s="2498"/>
      <c r="F27" s="917" t="s">
        <v>4071</v>
      </c>
      <c r="G27" s="918" t="s">
        <v>4072</v>
      </c>
      <c r="H27" s="2498"/>
      <c r="I27" s="997"/>
      <c r="N27" s="2557" t="s">
        <v>233</v>
      </c>
      <c r="O27" s="2558">
        <f t="shared" ref="O27:T27" si="7">O26/$T$28</f>
        <v>5.7142857142857141E-2</v>
      </c>
      <c r="P27" s="2558">
        <f t="shared" si="7"/>
        <v>5.7142857142857141E-2</v>
      </c>
      <c r="Q27" s="2558">
        <f t="shared" si="7"/>
        <v>2.8571428571428571E-2</v>
      </c>
      <c r="R27" s="2558">
        <f t="shared" si="7"/>
        <v>0</v>
      </c>
      <c r="S27" s="2558">
        <f t="shared" si="7"/>
        <v>0</v>
      </c>
      <c r="T27" s="2558">
        <f t="shared" si="7"/>
        <v>0.14285714285714285</v>
      </c>
      <c r="U27" s="2559"/>
    </row>
    <row r="28" spans="2:24" x14ac:dyDescent="0.25">
      <c r="B28" s="2369">
        <v>1</v>
      </c>
      <c r="C28" s="2366" t="s">
        <v>4073</v>
      </c>
      <c r="D28" s="2520">
        <f>+D42</f>
        <v>84050</v>
      </c>
      <c r="E28" s="2498"/>
      <c r="F28" s="2521">
        <v>0.85</v>
      </c>
      <c r="G28" s="2520">
        <f>D28*F28</f>
        <v>71442.5</v>
      </c>
      <c r="H28" s="598"/>
      <c r="N28" s="1752" t="s">
        <v>150</v>
      </c>
      <c r="O28" s="2561">
        <f t="shared" ref="O28:T28" si="8">SUM(O19+O26)</f>
        <v>25</v>
      </c>
      <c r="P28" s="2561">
        <f t="shared" si="8"/>
        <v>7</v>
      </c>
      <c r="Q28" s="2561">
        <f t="shared" si="8"/>
        <v>3</v>
      </c>
      <c r="R28" s="2561">
        <f t="shared" si="8"/>
        <v>0</v>
      </c>
      <c r="S28" s="2561">
        <f t="shared" si="8"/>
        <v>0</v>
      </c>
      <c r="T28" s="2561">
        <f t="shared" si="8"/>
        <v>35</v>
      </c>
      <c r="U28" s="2562">
        <f>U19+U26</f>
        <v>1</v>
      </c>
    </row>
    <row r="29" spans="2:24" x14ac:dyDescent="0.25">
      <c r="B29" s="2369">
        <v>2</v>
      </c>
      <c r="C29" s="2366" t="s">
        <v>4074</v>
      </c>
      <c r="D29" s="2520">
        <f>+G87</f>
        <v>30000</v>
      </c>
      <c r="E29" s="2498"/>
      <c r="F29" s="2521">
        <v>0.85</v>
      </c>
      <c r="G29" s="2520">
        <f>D29*F29</f>
        <v>25500</v>
      </c>
      <c r="H29" s="598"/>
      <c r="N29" s="1753" t="s">
        <v>233</v>
      </c>
      <c r="O29" s="2563">
        <f>O20+O27</f>
        <v>0.7142857142857143</v>
      </c>
      <c r="P29" s="2563">
        <f t="shared" ref="P29:T29" si="9">P20+P27</f>
        <v>0.19999999999999998</v>
      </c>
      <c r="Q29" s="2563">
        <f t="shared" si="9"/>
        <v>8.5714285714285715E-2</v>
      </c>
      <c r="R29" s="2563">
        <f t="shared" si="9"/>
        <v>0</v>
      </c>
      <c r="S29" s="2563">
        <f t="shared" si="9"/>
        <v>0</v>
      </c>
      <c r="T29" s="2563">
        <f t="shared" si="9"/>
        <v>1</v>
      </c>
      <c r="U29" s="1325"/>
    </row>
    <row r="30" spans="2:24" x14ac:dyDescent="0.25">
      <c r="B30" s="2533"/>
      <c r="C30" s="2151" t="s">
        <v>0</v>
      </c>
      <c r="D30" s="2540">
        <f>SUM(D28:D29)</f>
        <v>114050</v>
      </c>
      <c r="E30" s="2498"/>
      <c r="F30" s="2541" t="s">
        <v>0</v>
      </c>
      <c r="G30" s="2540">
        <f>SUM(G28:G29)</f>
        <v>96942.5</v>
      </c>
      <c r="H30" s="598"/>
    </row>
    <row r="31" spans="2:24" x14ac:dyDescent="0.25">
      <c r="H31" s="598"/>
    </row>
    <row r="32" spans="2:24" x14ac:dyDescent="0.25">
      <c r="B32" s="1142"/>
      <c r="C32" s="2498"/>
      <c r="D32" s="2498"/>
      <c r="E32" s="2498"/>
      <c r="F32" s="598"/>
      <c r="G32" s="598"/>
    </row>
    <row r="33" spans="1:20" x14ac:dyDescent="0.25">
      <c r="B33" s="4756" t="s">
        <v>4075</v>
      </c>
      <c r="C33" s="4756"/>
      <c r="D33" s="4756"/>
      <c r="E33" s="4756"/>
      <c r="F33" s="4756"/>
      <c r="G33" s="4756"/>
      <c r="L33" s="691"/>
      <c r="M33" s="691"/>
      <c r="N33" s="691"/>
    </row>
    <row r="34" spans="1:20" x14ac:dyDescent="0.25">
      <c r="B34" s="4763" t="s">
        <v>4076</v>
      </c>
      <c r="C34" s="4756"/>
      <c r="D34" s="4756"/>
      <c r="E34" s="4756"/>
      <c r="F34" s="4756"/>
      <c r="G34" s="4756"/>
      <c r="L34" s="691"/>
      <c r="M34" s="691"/>
      <c r="N34" s="691"/>
      <c r="O34" s="691"/>
      <c r="P34" s="691"/>
      <c r="S34" s="691"/>
      <c r="T34" s="691"/>
    </row>
    <row r="35" spans="1:20" x14ac:dyDescent="0.25">
      <c r="L35" s="691"/>
      <c r="M35" s="691"/>
      <c r="N35" s="691"/>
      <c r="O35" s="691"/>
      <c r="P35" s="691"/>
      <c r="S35" s="691"/>
      <c r="T35" s="691"/>
    </row>
    <row r="36" spans="1:20" x14ac:dyDescent="0.25">
      <c r="B36" s="4764" t="s">
        <v>4077</v>
      </c>
      <c r="C36" s="4764"/>
      <c r="D36" s="4764"/>
      <c r="E36" s="4764"/>
      <c r="F36" s="4764"/>
      <c r="G36" s="4764"/>
      <c r="L36" s="691"/>
      <c r="M36" s="691"/>
      <c r="N36" s="691"/>
      <c r="O36" s="691"/>
      <c r="Q36" s="1751"/>
      <c r="R36" s="1751"/>
      <c r="S36" s="691"/>
      <c r="T36" s="691"/>
    </row>
    <row r="37" spans="1:20" x14ac:dyDescent="0.25">
      <c r="B37" s="2499"/>
      <c r="C37" s="2499"/>
      <c r="D37" s="2499"/>
      <c r="E37" s="2499"/>
      <c r="F37" s="2499"/>
      <c r="G37" s="2499"/>
      <c r="H37" s="2499"/>
      <c r="L37" s="691"/>
      <c r="M37" s="691"/>
      <c r="N37" s="691"/>
      <c r="O37" s="691"/>
      <c r="Q37" s="1751"/>
      <c r="R37" s="1751"/>
      <c r="S37" s="691"/>
      <c r="T37" s="691"/>
    </row>
    <row r="38" spans="1:20" x14ac:dyDescent="0.25">
      <c r="A38" s="692"/>
      <c r="B38" s="530" t="s">
        <v>4078</v>
      </c>
      <c r="C38" s="598"/>
      <c r="D38" s="598"/>
      <c r="F38" s="1751"/>
      <c r="G38" s="1751"/>
      <c r="H38" s="1751"/>
      <c r="L38" s="691"/>
      <c r="M38" s="691"/>
      <c r="N38" s="691"/>
      <c r="O38" s="691"/>
      <c r="Q38" s="1751"/>
      <c r="R38" s="1751"/>
      <c r="S38" s="691"/>
      <c r="T38" s="691"/>
    </row>
    <row r="39" spans="1:20" x14ac:dyDescent="0.25">
      <c r="B39" s="917" t="s">
        <v>62</v>
      </c>
      <c r="C39" s="1329" t="s">
        <v>40</v>
      </c>
      <c r="D39" s="918" t="s">
        <v>4070</v>
      </c>
      <c r="F39" s="2500"/>
      <c r="L39" s="691"/>
      <c r="M39" s="691"/>
      <c r="N39" s="691"/>
      <c r="O39" s="691"/>
      <c r="Q39" s="1751"/>
      <c r="R39" s="1751"/>
      <c r="S39" s="691"/>
      <c r="T39" s="691"/>
    </row>
    <row r="40" spans="1:20" ht="27" x14ac:dyDescent="0.25">
      <c r="B40" s="1281">
        <v>1</v>
      </c>
      <c r="C40" s="2523" t="str">
        <f>+C46</f>
        <v>A. Costo referencial de los Cursos - Taller de Actualización al Personal Asistencial y Administrativo</v>
      </c>
      <c r="D40" s="2524">
        <f>+G65</f>
        <v>79490</v>
      </c>
      <c r="L40" s="691"/>
      <c r="M40" s="691"/>
      <c r="N40" s="691"/>
      <c r="O40" s="691"/>
      <c r="Q40" s="1751"/>
      <c r="R40" s="1751"/>
      <c r="S40" s="691"/>
      <c r="T40" s="691"/>
    </row>
    <row r="41" spans="1:20" ht="27" x14ac:dyDescent="0.25">
      <c r="B41" s="1281">
        <v>2</v>
      </c>
      <c r="C41" s="2523" t="s">
        <v>4079</v>
      </c>
      <c r="D41" s="2524">
        <f>+H277</f>
        <v>4560</v>
      </c>
      <c r="L41" s="691"/>
      <c r="M41" s="691"/>
      <c r="N41" s="691"/>
      <c r="O41" s="691"/>
      <c r="Q41" s="1751"/>
      <c r="R41" s="1751"/>
      <c r="S41" s="691"/>
      <c r="T41" s="691"/>
    </row>
    <row r="42" spans="1:20" x14ac:dyDescent="0.25">
      <c r="B42" s="2536"/>
      <c r="C42" s="2542" t="s">
        <v>4080</v>
      </c>
      <c r="D42" s="2544">
        <f>SUM(D40:D41)</f>
        <v>84050</v>
      </c>
      <c r="L42" s="691"/>
      <c r="M42" s="691"/>
      <c r="N42" s="691"/>
      <c r="O42" s="691"/>
      <c r="Q42" s="1751"/>
      <c r="R42" s="1751"/>
      <c r="S42" s="691"/>
      <c r="T42" s="691"/>
    </row>
    <row r="43" spans="1:20" x14ac:dyDescent="0.25">
      <c r="B43" s="1142"/>
      <c r="F43" s="1751"/>
      <c r="G43" s="1751"/>
      <c r="H43" s="1751"/>
      <c r="L43" s="691"/>
      <c r="M43" s="691"/>
      <c r="N43" s="691"/>
      <c r="O43" s="691"/>
      <c r="Q43" s="1751"/>
      <c r="R43" s="1751"/>
    </row>
    <row r="44" spans="1:20" x14ac:dyDescent="0.25">
      <c r="B44" s="4764" t="s">
        <v>4081</v>
      </c>
      <c r="C44" s="4764"/>
      <c r="D44" s="4764"/>
      <c r="E44" s="4764"/>
      <c r="F44" s="4764"/>
      <c r="G44" s="4764"/>
      <c r="H44" s="1751"/>
      <c r="L44" s="691"/>
      <c r="M44" s="691"/>
      <c r="N44" s="691"/>
      <c r="O44" s="691"/>
      <c r="Q44" s="1751"/>
      <c r="R44" s="1751"/>
    </row>
    <row r="45" spans="1:20" x14ac:dyDescent="0.25">
      <c r="B45" s="2487"/>
      <c r="C45" s="530"/>
      <c r="D45" s="530"/>
      <c r="F45" s="1751"/>
      <c r="G45" s="1751"/>
      <c r="H45" s="1751"/>
      <c r="L45" s="691"/>
      <c r="M45" s="691"/>
      <c r="N45" s="691"/>
      <c r="O45" s="691"/>
      <c r="Q45" s="1751"/>
      <c r="R45" s="1751"/>
    </row>
    <row r="46" spans="1:20" x14ac:dyDescent="0.25">
      <c r="C46" s="689" t="s">
        <v>4082</v>
      </c>
      <c r="D46" s="689"/>
      <c r="F46" s="1751"/>
      <c r="G46" s="1751"/>
      <c r="L46" s="691"/>
      <c r="M46" s="691"/>
      <c r="N46" s="691"/>
      <c r="O46" s="691"/>
      <c r="Q46" s="1751"/>
      <c r="R46" s="1751"/>
    </row>
    <row r="47" spans="1:20" ht="27" x14ac:dyDescent="0.25">
      <c r="B47" s="917" t="s">
        <v>62</v>
      </c>
      <c r="C47" s="1329" t="s">
        <v>4083</v>
      </c>
      <c r="D47" s="1329" t="s">
        <v>2978</v>
      </c>
      <c r="E47" s="1329" t="s">
        <v>4084</v>
      </c>
      <c r="F47" s="1329" t="s">
        <v>4085</v>
      </c>
      <c r="G47" s="918" t="s">
        <v>4086</v>
      </c>
      <c r="L47" s="691"/>
      <c r="M47" s="691"/>
      <c r="N47" s="691"/>
      <c r="O47" s="691"/>
      <c r="P47" s="691"/>
      <c r="S47" s="691"/>
      <c r="T47" s="691"/>
    </row>
    <row r="48" spans="1:20" x14ac:dyDescent="0.25">
      <c r="B48" s="3722">
        <v>1</v>
      </c>
      <c r="C48" s="2233" t="s">
        <v>4087</v>
      </c>
      <c r="D48" s="3723" t="s">
        <v>4088</v>
      </c>
      <c r="E48" s="3724">
        <f>+E98</f>
        <v>13</v>
      </c>
      <c r="F48" s="3722">
        <f>+E95</f>
        <v>3</v>
      </c>
      <c r="G48" s="3725">
        <f>+G101</f>
        <v>3840</v>
      </c>
      <c r="L48" s="691"/>
      <c r="M48" s="691"/>
      <c r="N48" s="691"/>
      <c r="O48" s="691"/>
      <c r="P48" s="691"/>
      <c r="S48" s="691"/>
      <c r="T48" s="691"/>
    </row>
    <row r="49" spans="2:20" ht="27" x14ac:dyDescent="0.25">
      <c r="B49" s="3722">
        <v>2</v>
      </c>
      <c r="C49" s="3726" t="s">
        <v>4089</v>
      </c>
      <c r="D49" s="3723" t="s">
        <v>4088</v>
      </c>
      <c r="E49" s="3724">
        <f>+E108</f>
        <v>23</v>
      </c>
      <c r="F49" s="3722">
        <f>+E105</f>
        <v>3</v>
      </c>
      <c r="G49" s="3725">
        <f>+G111</f>
        <v>4540</v>
      </c>
      <c r="L49" s="691"/>
      <c r="M49" s="691"/>
      <c r="N49" s="691"/>
      <c r="O49" s="691"/>
      <c r="P49" s="691"/>
      <c r="S49" s="691"/>
      <c r="T49" s="691"/>
    </row>
    <row r="50" spans="2:20" ht="27" x14ac:dyDescent="0.25">
      <c r="B50" s="3722">
        <v>3</v>
      </c>
      <c r="C50" s="3726" t="s">
        <v>4090</v>
      </c>
      <c r="D50" s="3723" t="s">
        <v>4088</v>
      </c>
      <c r="E50" s="3724">
        <f>+E118</f>
        <v>23</v>
      </c>
      <c r="F50" s="3722">
        <f>+E115</f>
        <v>3</v>
      </c>
      <c r="G50" s="3725">
        <f>+G121</f>
        <v>4540</v>
      </c>
      <c r="H50" s="1751"/>
      <c r="L50" s="691"/>
      <c r="M50" s="691"/>
      <c r="N50" s="691"/>
      <c r="O50" s="691"/>
      <c r="P50" s="691"/>
      <c r="S50" s="691"/>
      <c r="T50" s="691"/>
    </row>
    <row r="51" spans="2:20" ht="27" x14ac:dyDescent="0.25">
      <c r="B51" s="3722">
        <v>4</v>
      </c>
      <c r="C51" s="3726" t="s">
        <v>4091</v>
      </c>
      <c r="D51" s="3723" t="s">
        <v>4088</v>
      </c>
      <c r="E51" s="3724">
        <f>+E128</f>
        <v>26</v>
      </c>
      <c r="F51" s="3722">
        <f>+E125</f>
        <v>3</v>
      </c>
      <c r="G51" s="3725">
        <f>+G131</f>
        <v>4750</v>
      </c>
      <c r="H51" s="1751"/>
      <c r="L51" s="691"/>
      <c r="M51" s="691"/>
      <c r="N51" s="691"/>
      <c r="O51" s="691"/>
      <c r="P51" s="691"/>
      <c r="S51" s="691"/>
      <c r="T51" s="691"/>
    </row>
    <row r="52" spans="2:20" x14ac:dyDescent="0.25">
      <c r="B52" s="3722">
        <v>5</v>
      </c>
      <c r="C52" s="3727" t="s">
        <v>4092</v>
      </c>
      <c r="D52" s="3723" t="s">
        <v>4088</v>
      </c>
      <c r="E52" s="3724">
        <f>+E138</f>
        <v>8</v>
      </c>
      <c r="F52" s="3722">
        <f>+E135</f>
        <v>3</v>
      </c>
      <c r="G52" s="3725">
        <f>+G141</f>
        <v>3490</v>
      </c>
      <c r="H52" s="1751"/>
      <c r="L52" s="691"/>
      <c r="M52" s="691"/>
      <c r="N52" s="691"/>
      <c r="O52" s="691"/>
      <c r="P52" s="691"/>
      <c r="S52" s="691"/>
      <c r="T52" s="691"/>
    </row>
    <row r="53" spans="2:20" x14ac:dyDescent="0.25">
      <c r="B53" s="3722">
        <v>6</v>
      </c>
      <c r="C53" s="2233" t="s">
        <v>4093</v>
      </c>
      <c r="D53" s="3723" t="s">
        <v>4094</v>
      </c>
      <c r="E53" s="3724">
        <f>+E148</f>
        <v>15</v>
      </c>
      <c r="F53" s="3722">
        <f>+E145</f>
        <v>3</v>
      </c>
      <c r="G53" s="3725">
        <f>+G151</f>
        <v>3980</v>
      </c>
      <c r="H53" s="1751"/>
      <c r="L53" s="691"/>
      <c r="M53" s="691"/>
      <c r="N53" s="691"/>
      <c r="O53" s="691"/>
      <c r="P53" s="691"/>
      <c r="S53" s="691"/>
      <c r="T53" s="691"/>
    </row>
    <row r="54" spans="2:20" x14ac:dyDescent="0.25">
      <c r="B54" s="3722">
        <v>7</v>
      </c>
      <c r="C54" s="3727" t="s">
        <v>4095</v>
      </c>
      <c r="D54" s="3723" t="s">
        <v>4094</v>
      </c>
      <c r="E54" s="2234">
        <f>+E159</f>
        <v>30</v>
      </c>
      <c r="F54" s="3722">
        <f>+E156</f>
        <v>3</v>
      </c>
      <c r="G54" s="3725">
        <f>+G162</f>
        <v>5030</v>
      </c>
      <c r="H54" s="1751"/>
      <c r="L54" s="691"/>
      <c r="M54" s="691"/>
      <c r="N54" s="691"/>
      <c r="O54" s="691"/>
      <c r="Q54" s="1751"/>
      <c r="R54" s="1751"/>
    </row>
    <row r="55" spans="2:20" x14ac:dyDescent="0.25">
      <c r="B55" s="3722">
        <v>8</v>
      </c>
      <c r="C55" s="2233" t="s">
        <v>4096</v>
      </c>
      <c r="D55" s="3723" t="s">
        <v>4094</v>
      </c>
      <c r="E55" s="3724">
        <f>+E169</f>
        <v>35</v>
      </c>
      <c r="F55" s="3722">
        <f>+E166</f>
        <v>3</v>
      </c>
      <c r="G55" s="3725">
        <f>+G172</f>
        <v>5380</v>
      </c>
      <c r="H55" s="1751"/>
      <c r="L55" s="691"/>
      <c r="M55" s="691"/>
      <c r="N55" s="691"/>
      <c r="O55" s="691"/>
      <c r="Q55" s="1751"/>
      <c r="R55" s="1751"/>
    </row>
    <row r="56" spans="2:20" x14ac:dyDescent="0.25">
      <c r="B56" s="3722">
        <v>9</v>
      </c>
      <c r="C56" s="3728" t="s">
        <v>4097</v>
      </c>
      <c r="D56" s="3723" t="s">
        <v>4094</v>
      </c>
      <c r="E56" s="3724">
        <f>+E179</f>
        <v>35</v>
      </c>
      <c r="F56" s="3722">
        <f>+E176</f>
        <v>3</v>
      </c>
      <c r="G56" s="3725">
        <f>+G182</f>
        <v>5380</v>
      </c>
      <c r="H56" s="1751"/>
      <c r="L56" s="691"/>
      <c r="M56" s="691"/>
      <c r="N56" s="691"/>
      <c r="O56" s="691"/>
      <c r="Q56" s="1751"/>
      <c r="R56" s="1751"/>
    </row>
    <row r="57" spans="2:20" x14ac:dyDescent="0.25">
      <c r="B57" s="3722">
        <v>10</v>
      </c>
      <c r="C57" s="2233" t="s">
        <v>4098</v>
      </c>
      <c r="D57" s="3723" t="s">
        <v>4094</v>
      </c>
      <c r="E57" s="3724">
        <f>+E190</f>
        <v>35</v>
      </c>
      <c r="F57" s="3722">
        <f>+E187</f>
        <v>3</v>
      </c>
      <c r="G57" s="3725">
        <f>+G193</f>
        <v>5380</v>
      </c>
      <c r="H57" s="1751"/>
      <c r="L57" s="691"/>
      <c r="M57" s="691"/>
      <c r="N57" s="691"/>
      <c r="O57" s="691"/>
      <c r="Q57" s="1751"/>
      <c r="R57" s="1751"/>
    </row>
    <row r="58" spans="2:20" x14ac:dyDescent="0.25">
      <c r="B58" s="3722">
        <v>11</v>
      </c>
      <c r="C58" s="2233" t="s">
        <v>4099</v>
      </c>
      <c r="D58" s="3723" t="s">
        <v>4094</v>
      </c>
      <c r="E58" s="3724">
        <f>+E201</f>
        <v>35</v>
      </c>
      <c r="F58" s="3722">
        <f>+E198</f>
        <v>3</v>
      </c>
      <c r="G58" s="3725">
        <f>+G204</f>
        <v>5380</v>
      </c>
      <c r="H58" s="1751"/>
      <c r="L58" s="691"/>
      <c r="M58" s="691"/>
      <c r="N58" s="691"/>
      <c r="O58" s="691"/>
      <c r="Q58" s="1751"/>
      <c r="R58" s="1751"/>
    </row>
    <row r="59" spans="2:20" ht="27" x14ac:dyDescent="0.25">
      <c r="B59" s="3722">
        <v>12</v>
      </c>
      <c r="C59" s="3729" t="s">
        <v>4100</v>
      </c>
      <c r="D59" s="3723" t="s">
        <v>4094</v>
      </c>
      <c r="E59" s="3730">
        <f>E212</f>
        <v>5</v>
      </c>
      <c r="F59" s="3731">
        <v>3</v>
      </c>
      <c r="G59" s="3725">
        <f>+G215</f>
        <v>3280</v>
      </c>
      <c r="H59" s="1751"/>
      <c r="L59" s="691"/>
      <c r="M59" s="691"/>
      <c r="N59" s="691"/>
      <c r="O59" s="691"/>
      <c r="Q59" s="1751"/>
      <c r="R59" s="1751"/>
    </row>
    <row r="60" spans="2:20" ht="27" x14ac:dyDescent="0.25">
      <c r="B60" s="3722">
        <v>13</v>
      </c>
      <c r="C60" s="3729" t="s">
        <v>4101</v>
      </c>
      <c r="D60" s="3723" t="s">
        <v>4094</v>
      </c>
      <c r="E60" s="3732">
        <f>E223</f>
        <v>35</v>
      </c>
      <c r="F60" s="3731">
        <v>3</v>
      </c>
      <c r="G60" s="3725">
        <f>+G226</f>
        <v>5380</v>
      </c>
      <c r="H60" s="1751"/>
      <c r="L60" s="691"/>
      <c r="M60" s="691"/>
      <c r="N60" s="691"/>
      <c r="O60" s="691"/>
      <c r="Q60" s="1751"/>
      <c r="R60" s="1751"/>
    </row>
    <row r="61" spans="2:20" ht="27" x14ac:dyDescent="0.25">
      <c r="B61" s="3722">
        <v>14</v>
      </c>
      <c r="C61" s="3726" t="s">
        <v>4102</v>
      </c>
      <c r="D61" s="3723" t="s">
        <v>4094</v>
      </c>
      <c r="E61" s="3724">
        <f>+E234</f>
        <v>1</v>
      </c>
      <c r="F61" s="3722">
        <f>+E231</f>
        <v>3</v>
      </c>
      <c r="G61" s="3725">
        <f>+G237</f>
        <v>3000</v>
      </c>
      <c r="H61" s="1751"/>
      <c r="L61" s="691"/>
      <c r="M61" s="691"/>
      <c r="N61" s="691"/>
      <c r="O61" s="691"/>
      <c r="Q61" s="1751"/>
      <c r="R61" s="1751"/>
    </row>
    <row r="62" spans="2:20" ht="27" x14ac:dyDescent="0.25">
      <c r="B62" s="3722">
        <v>15</v>
      </c>
      <c r="C62" s="3726" t="s">
        <v>4103</v>
      </c>
      <c r="D62" s="3723" t="s">
        <v>4094</v>
      </c>
      <c r="E62" s="3724">
        <f>+E244</f>
        <v>35</v>
      </c>
      <c r="F62" s="3722">
        <f>+E241</f>
        <v>3</v>
      </c>
      <c r="G62" s="3725">
        <f>+G247</f>
        <v>5380</v>
      </c>
      <c r="H62" s="1751"/>
      <c r="L62" s="691"/>
      <c r="M62" s="691"/>
      <c r="N62" s="691"/>
      <c r="O62" s="691"/>
      <c r="Q62" s="1751"/>
      <c r="R62" s="1751"/>
    </row>
    <row r="63" spans="2:20" x14ac:dyDescent="0.25">
      <c r="B63" s="3722">
        <v>16</v>
      </c>
      <c r="C63" s="3726" t="s">
        <v>4104</v>
      </c>
      <c r="D63" s="3723" t="s">
        <v>4094</v>
      </c>
      <c r="E63" s="3724">
        <f>+E254</f>
        <v>35</v>
      </c>
      <c r="F63" s="3722">
        <f>+E251</f>
        <v>3</v>
      </c>
      <c r="G63" s="3725">
        <f>+G257</f>
        <v>5380</v>
      </c>
      <c r="H63" s="1751"/>
      <c r="L63" s="691"/>
      <c r="M63" s="691"/>
      <c r="N63" s="691"/>
      <c r="O63" s="691"/>
      <c r="Q63" s="1751"/>
      <c r="R63" s="1751"/>
    </row>
    <row r="64" spans="2:20" x14ac:dyDescent="0.25">
      <c r="B64" s="3722">
        <v>17</v>
      </c>
      <c r="C64" s="2233" t="s">
        <v>4105</v>
      </c>
      <c r="D64" s="3723" t="s">
        <v>4094</v>
      </c>
      <c r="E64" s="3724">
        <f>+E246</f>
        <v>35</v>
      </c>
      <c r="F64" s="3722">
        <f>+E261</f>
        <v>3</v>
      </c>
      <c r="G64" s="3725">
        <f>+G267</f>
        <v>5380</v>
      </c>
      <c r="H64" s="1751"/>
      <c r="L64" s="691"/>
      <c r="M64" s="691"/>
      <c r="N64" s="691"/>
      <c r="O64" s="691"/>
      <c r="Q64" s="1751"/>
      <c r="R64" s="1751"/>
    </row>
    <row r="65" spans="1:22" x14ac:dyDescent="0.25">
      <c r="B65" s="2536"/>
      <c r="C65" s="2545"/>
      <c r="D65" s="2390"/>
      <c r="E65" s="2536"/>
      <c r="F65" s="2383" t="s">
        <v>4067</v>
      </c>
      <c r="G65" s="2546">
        <f>SUM(G48:G64)</f>
        <v>79490</v>
      </c>
      <c r="H65" s="1751"/>
      <c r="L65" s="691"/>
      <c r="M65" s="691"/>
      <c r="N65" s="691"/>
      <c r="O65" s="691"/>
      <c r="Q65" s="1751"/>
      <c r="R65" s="1751"/>
    </row>
    <row r="66" spans="1:22" x14ac:dyDescent="0.25">
      <c r="B66" s="1142"/>
      <c r="H66" s="1751"/>
      <c r="L66" s="691"/>
      <c r="M66" s="691"/>
      <c r="N66" s="691"/>
      <c r="O66" s="691"/>
      <c r="Q66" s="1751"/>
      <c r="R66" s="1751"/>
    </row>
    <row r="67" spans="1:22" x14ac:dyDescent="0.25">
      <c r="B67" s="2487"/>
      <c r="C67" s="2415" t="s">
        <v>4079</v>
      </c>
      <c r="D67" s="598"/>
      <c r="E67" s="598"/>
      <c r="F67" s="598"/>
      <c r="G67" s="598"/>
      <c r="H67" s="1751"/>
      <c r="L67" s="691"/>
      <c r="M67" s="691"/>
      <c r="N67" s="691"/>
      <c r="Q67" s="1751"/>
      <c r="R67" s="1751"/>
      <c r="V67" s="691"/>
    </row>
    <row r="68" spans="1:22" x14ac:dyDescent="0.25">
      <c r="B68" s="2487"/>
      <c r="C68" s="2415"/>
      <c r="D68" s="598"/>
      <c r="E68" s="598"/>
      <c r="F68" s="598"/>
      <c r="G68" s="598"/>
      <c r="H68" s="1751"/>
      <c r="L68" s="691"/>
      <c r="M68" s="691"/>
      <c r="N68" s="691"/>
      <c r="Q68" s="1751"/>
      <c r="R68" s="1751"/>
      <c r="V68" s="691"/>
    </row>
    <row r="69" spans="1:22" ht="27" x14ac:dyDescent="0.25">
      <c r="B69" s="917" t="s">
        <v>62</v>
      </c>
      <c r="C69" s="1329" t="s">
        <v>4083</v>
      </c>
      <c r="D69" s="1329" t="s">
        <v>4106</v>
      </c>
      <c r="E69" s="1329" t="s">
        <v>4084</v>
      </c>
      <c r="F69" s="1329" t="s">
        <v>4085</v>
      </c>
      <c r="G69" s="918" t="s">
        <v>4086</v>
      </c>
      <c r="H69" s="1751"/>
      <c r="L69" s="691"/>
      <c r="M69" s="691"/>
      <c r="N69" s="691"/>
      <c r="Q69" s="1751"/>
      <c r="R69" s="1751"/>
      <c r="V69" s="691"/>
    </row>
    <row r="70" spans="1:22" ht="40.5" x14ac:dyDescent="0.25">
      <c r="B70" s="2525">
        <v>1</v>
      </c>
      <c r="C70" s="1322" t="s">
        <v>4107</v>
      </c>
      <c r="D70" s="2525" t="s">
        <v>4108</v>
      </c>
      <c r="E70" s="2526">
        <f>+E288</f>
        <v>1</v>
      </c>
      <c r="F70" s="2526">
        <v>8</v>
      </c>
      <c r="G70" s="2526">
        <f>+H277</f>
        <v>4560</v>
      </c>
      <c r="H70" s="1751"/>
      <c r="L70" s="691"/>
      <c r="M70" s="691"/>
      <c r="N70" s="691"/>
      <c r="Q70" s="1751"/>
      <c r="R70" s="1751"/>
      <c r="V70" s="691"/>
    </row>
    <row r="71" spans="1:22" x14ac:dyDescent="0.25">
      <c r="B71" s="2536"/>
      <c r="C71" s="2379"/>
      <c r="D71" s="2379"/>
      <c r="E71" s="2547"/>
      <c r="F71" s="2548" t="s">
        <v>4067</v>
      </c>
      <c r="G71" s="2400">
        <f>SUM(G70:G70)</f>
        <v>4560</v>
      </c>
      <c r="H71" s="1751"/>
      <c r="L71" s="691"/>
      <c r="M71" s="691"/>
      <c r="N71" s="691"/>
      <c r="Q71" s="1751"/>
      <c r="R71" s="1751"/>
      <c r="V71" s="691"/>
    </row>
    <row r="72" spans="1:22" x14ac:dyDescent="0.25">
      <c r="B72" s="2566"/>
      <c r="C72" s="2484"/>
      <c r="D72" s="2484"/>
      <c r="E72" s="2485"/>
      <c r="F72" s="2481"/>
      <c r="G72" s="2486"/>
      <c r="H72" s="1751"/>
      <c r="L72" s="691"/>
      <c r="M72" s="691"/>
      <c r="N72" s="691"/>
      <c r="Q72" s="1751"/>
      <c r="R72" s="1751"/>
      <c r="V72" s="691"/>
    </row>
    <row r="73" spans="1:22" x14ac:dyDescent="0.25">
      <c r="B73" s="4756" t="s">
        <v>4109</v>
      </c>
      <c r="C73" s="4756"/>
      <c r="D73" s="4756"/>
      <c r="E73" s="4756"/>
      <c r="F73" s="4756"/>
      <c r="G73" s="4756"/>
      <c r="H73" s="1751"/>
      <c r="L73" s="691"/>
      <c r="M73" s="691"/>
      <c r="N73" s="691"/>
      <c r="Q73" s="1751"/>
      <c r="R73" s="1751"/>
      <c r="V73" s="691"/>
    </row>
    <row r="74" spans="1:22" x14ac:dyDescent="0.25">
      <c r="B74" s="4765" t="s">
        <v>4110</v>
      </c>
      <c r="C74" s="4765"/>
      <c r="D74" s="4765"/>
      <c r="E74" s="4765"/>
      <c r="F74" s="4765"/>
      <c r="G74" s="4765"/>
      <c r="H74" s="1751"/>
      <c r="L74" s="691"/>
      <c r="M74" s="691"/>
      <c r="N74" s="691"/>
      <c r="Q74" s="1751"/>
      <c r="R74" s="1751"/>
      <c r="V74" s="691"/>
    </row>
    <row r="75" spans="1:22" x14ac:dyDescent="0.25">
      <c r="H75" s="1751"/>
      <c r="L75" s="691"/>
      <c r="M75" s="691"/>
      <c r="N75" s="691"/>
      <c r="Q75" s="1751"/>
      <c r="R75" s="1751"/>
      <c r="V75" s="691"/>
    </row>
    <row r="76" spans="1:22" x14ac:dyDescent="0.25">
      <c r="A76" s="1751"/>
      <c r="C76" s="2501"/>
      <c r="D76" s="2502"/>
      <c r="E76" s="2502"/>
      <c r="F76" s="997"/>
      <c r="G76" s="997"/>
      <c r="H76" s="1751"/>
      <c r="L76" s="691"/>
      <c r="M76" s="691"/>
      <c r="N76" s="691"/>
      <c r="Q76" s="1751"/>
      <c r="R76" s="1751"/>
    </row>
    <row r="77" spans="1:22" x14ac:dyDescent="0.25">
      <c r="B77" s="4766" t="s">
        <v>4111</v>
      </c>
      <c r="C77" s="4766"/>
      <c r="D77" s="4766"/>
      <c r="E77" s="4766"/>
      <c r="F77" s="4766"/>
      <c r="G77" s="4766"/>
      <c r="H77" s="1751"/>
      <c r="L77" s="691"/>
      <c r="M77" s="691"/>
      <c r="N77" s="691"/>
      <c r="O77" s="691"/>
      <c r="Q77" s="1751"/>
      <c r="R77" s="1751"/>
    </row>
    <row r="78" spans="1:22" x14ac:dyDescent="0.25">
      <c r="H78" s="1751"/>
      <c r="L78" s="691"/>
      <c r="M78" s="691"/>
      <c r="N78" s="691"/>
      <c r="O78" s="691"/>
      <c r="Q78" s="1751"/>
      <c r="R78" s="1751"/>
    </row>
    <row r="79" spans="1:22" ht="27" x14ac:dyDescent="0.25">
      <c r="B79" s="917" t="s">
        <v>62</v>
      </c>
      <c r="C79" s="1329" t="s">
        <v>165</v>
      </c>
      <c r="D79" s="1329" t="s">
        <v>3899</v>
      </c>
      <c r="E79" s="1329" t="s">
        <v>3847</v>
      </c>
      <c r="F79" s="1329" t="s">
        <v>4112</v>
      </c>
      <c r="G79" s="918" t="s">
        <v>4113</v>
      </c>
      <c r="H79" s="1751"/>
      <c r="L79" s="691"/>
      <c r="M79" s="691"/>
      <c r="N79" s="691"/>
      <c r="O79" s="691"/>
      <c r="Q79" s="1751"/>
      <c r="R79" s="1751"/>
    </row>
    <row r="80" spans="1:22" x14ac:dyDescent="0.25">
      <c r="B80" s="3756">
        <v>1</v>
      </c>
      <c r="C80" s="3757" t="s">
        <v>4114</v>
      </c>
      <c r="D80" s="3756" t="s">
        <v>4115</v>
      </c>
      <c r="E80" s="3756">
        <v>1</v>
      </c>
      <c r="F80" s="3758">
        <v>2500</v>
      </c>
      <c r="G80" s="3758">
        <f>+E80*F80</f>
        <v>2500</v>
      </c>
      <c r="H80" s="3759"/>
      <c r="L80" s="691"/>
      <c r="M80" s="691"/>
      <c r="N80" s="691"/>
      <c r="O80" s="691"/>
      <c r="Q80" s="1751"/>
      <c r="R80" s="1751"/>
    </row>
    <row r="81" spans="2:20" x14ac:dyDescent="0.25">
      <c r="B81" s="3756"/>
      <c r="C81" s="3757" t="s">
        <v>4116</v>
      </c>
      <c r="D81" s="3756" t="s">
        <v>4117</v>
      </c>
      <c r="E81" s="3756">
        <v>1</v>
      </c>
      <c r="F81" s="3758">
        <v>2500</v>
      </c>
      <c r="G81" s="3758">
        <f t="shared" ref="G81:G86" si="10">+E81*F81</f>
        <v>2500</v>
      </c>
      <c r="H81" s="3759"/>
      <c r="L81" s="691"/>
      <c r="M81" s="691"/>
      <c r="N81" s="691"/>
      <c r="O81" s="691"/>
      <c r="Q81" s="1751"/>
      <c r="R81" s="1751"/>
    </row>
    <row r="82" spans="2:20" x14ac:dyDescent="0.25">
      <c r="B82" s="3756">
        <v>2</v>
      </c>
      <c r="C82" s="3760" t="s">
        <v>4118</v>
      </c>
      <c r="D82" s="3756" t="s">
        <v>4117</v>
      </c>
      <c r="E82" s="3756">
        <v>24</v>
      </c>
      <c r="F82" s="3758">
        <v>250</v>
      </c>
      <c r="G82" s="3758">
        <f t="shared" si="10"/>
        <v>6000</v>
      </c>
      <c r="H82" s="3759"/>
      <c r="L82" s="691"/>
      <c r="M82" s="691"/>
      <c r="N82" s="691"/>
      <c r="O82" s="691"/>
      <c r="Q82" s="1751"/>
      <c r="R82" s="1751"/>
    </row>
    <row r="83" spans="2:20" x14ac:dyDescent="0.25">
      <c r="B83" s="3756">
        <v>3</v>
      </c>
      <c r="C83" s="3760" t="s">
        <v>4119</v>
      </c>
      <c r="D83" s="3756" t="s">
        <v>4120</v>
      </c>
      <c r="E83" s="3756">
        <v>8</v>
      </c>
      <c r="F83" s="3758">
        <v>250</v>
      </c>
      <c r="G83" s="3758">
        <f t="shared" si="10"/>
        <v>2000</v>
      </c>
      <c r="H83" s="3759"/>
      <c r="L83" s="691"/>
      <c r="M83" s="691"/>
      <c r="N83" s="691"/>
      <c r="O83" s="691"/>
      <c r="Q83" s="1751"/>
      <c r="R83" s="1751"/>
    </row>
    <row r="84" spans="2:20" ht="27" x14ac:dyDescent="0.25">
      <c r="B84" s="2525">
        <v>4</v>
      </c>
      <c r="C84" s="2523" t="s">
        <v>4121</v>
      </c>
      <c r="D84" s="2525" t="s">
        <v>4120</v>
      </c>
      <c r="E84" s="2525">
        <v>1</v>
      </c>
      <c r="F84" s="2524">
        <v>5000</v>
      </c>
      <c r="G84" s="2524">
        <f t="shared" si="10"/>
        <v>5000</v>
      </c>
      <c r="H84" s="1751"/>
      <c r="L84" s="691"/>
      <c r="M84" s="691"/>
      <c r="N84" s="691"/>
      <c r="O84" s="691"/>
      <c r="Q84" s="1751"/>
      <c r="R84" s="1751"/>
    </row>
    <row r="85" spans="2:20" x14ac:dyDescent="0.25">
      <c r="B85" s="2525">
        <v>5</v>
      </c>
      <c r="C85" s="2523" t="s">
        <v>4122</v>
      </c>
      <c r="D85" s="2528" t="s">
        <v>4117</v>
      </c>
      <c r="E85" s="2525">
        <v>1</v>
      </c>
      <c r="F85" s="2524">
        <v>5000</v>
      </c>
      <c r="G85" s="2524">
        <f t="shared" si="10"/>
        <v>5000</v>
      </c>
      <c r="H85" s="1751"/>
      <c r="L85" s="691"/>
      <c r="M85" s="691"/>
      <c r="N85" s="691"/>
      <c r="O85" s="691"/>
      <c r="Q85" s="1751"/>
      <c r="R85" s="1751"/>
    </row>
    <row r="86" spans="2:20" x14ac:dyDescent="0.25">
      <c r="B86" s="2525"/>
      <c r="C86" s="2523" t="s">
        <v>4123</v>
      </c>
      <c r="D86" s="2528" t="s">
        <v>4124</v>
      </c>
      <c r="E86" s="2525">
        <v>2</v>
      </c>
      <c r="F86" s="2524">
        <v>3500</v>
      </c>
      <c r="G86" s="2524">
        <f t="shared" si="10"/>
        <v>7000</v>
      </c>
      <c r="H86" s="1751"/>
      <c r="L86" s="691"/>
      <c r="M86" s="691"/>
      <c r="N86" s="691"/>
      <c r="O86" s="691"/>
      <c r="Q86" s="1751"/>
      <c r="R86" s="1751"/>
    </row>
    <row r="87" spans="2:20" x14ac:dyDescent="0.25">
      <c r="B87" s="2536"/>
      <c r="C87" s="2534" t="s">
        <v>4125</v>
      </c>
      <c r="D87" s="2542"/>
      <c r="E87" s="2542"/>
      <c r="F87" s="2542"/>
      <c r="G87" s="2549">
        <f>SUM(G80:G86)</f>
        <v>30000</v>
      </c>
      <c r="H87" s="1751"/>
      <c r="L87" s="691"/>
      <c r="M87" s="691"/>
      <c r="N87" s="691"/>
      <c r="O87" s="691"/>
      <c r="Q87" s="1751"/>
      <c r="R87" s="1751"/>
    </row>
    <row r="88" spans="2:20" x14ac:dyDescent="0.25">
      <c r="F88" s="599"/>
      <c r="G88" s="599"/>
      <c r="H88" s="1751"/>
      <c r="L88" s="691"/>
      <c r="M88" s="691"/>
      <c r="N88" s="691"/>
      <c r="O88" s="691"/>
      <c r="Q88" s="1751"/>
      <c r="R88" s="1751"/>
    </row>
    <row r="89" spans="2:20" x14ac:dyDescent="0.25">
      <c r="B89" s="1750" t="s">
        <v>4126</v>
      </c>
      <c r="C89" s="1750"/>
      <c r="D89" s="1750"/>
      <c r="E89" s="1750"/>
      <c r="F89" s="1750"/>
      <c r="G89" s="1750"/>
      <c r="H89" s="1751"/>
      <c r="L89" s="691"/>
      <c r="M89" s="691"/>
      <c r="N89" s="691"/>
      <c r="O89" s="691"/>
      <c r="Q89" s="1751"/>
      <c r="R89" s="1751"/>
    </row>
    <row r="90" spans="2:20" x14ac:dyDescent="0.25">
      <c r="H90" s="1751"/>
      <c r="L90" s="691"/>
      <c r="M90" s="691"/>
      <c r="N90" s="691"/>
      <c r="O90" s="691"/>
      <c r="Q90" s="1751"/>
      <c r="R90" s="1751"/>
    </row>
    <row r="91" spans="2:20" x14ac:dyDescent="0.25">
      <c r="C91" s="2051" t="s">
        <v>4127</v>
      </c>
      <c r="D91" s="692"/>
      <c r="F91" s="1751"/>
      <c r="G91" s="1751"/>
      <c r="H91" s="1751"/>
      <c r="O91" s="691"/>
      <c r="Q91" s="1751"/>
      <c r="R91" s="1751"/>
    </row>
    <row r="92" spans="2:20" s="1750" customFormat="1" x14ac:dyDescent="0.25">
      <c r="B92" s="1751"/>
      <c r="C92" s="691"/>
      <c r="D92" s="1751"/>
      <c r="E92" s="1751"/>
      <c r="F92" s="1751"/>
      <c r="G92" s="1751"/>
    </row>
    <row r="93" spans="2:20" x14ac:dyDescent="0.25">
      <c r="B93" s="1750">
        <v>1</v>
      </c>
      <c r="C93" s="689" t="s">
        <v>4087</v>
      </c>
      <c r="D93" s="2487"/>
      <c r="E93" s="2487"/>
      <c r="F93" s="2487"/>
      <c r="G93" s="2487"/>
      <c r="L93" s="691"/>
      <c r="M93" s="691"/>
      <c r="N93" s="691"/>
      <c r="O93" s="691"/>
      <c r="P93" s="691"/>
      <c r="S93" s="691"/>
      <c r="T93" s="691"/>
    </row>
    <row r="94" spans="2:20" ht="40.5" x14ac:dyDescent="0.25">
      <c r="C94" s="917" t="s">
        <v>4128</v>
      </c>
      <c r="D94" s="1329" t="s">
        <v>2978</v>
      </c>
      <c r="E94" s="1329" t="s">
        <v>3847</v>
      </c>
      <c r="F94" s="1329" t="s">
        <v>4129</v>
      </c>
      <c r="G94" s="918" t="s">
        <v>4130</v>
      </c>
      <c r="L94" s="691"/>
      <c r="M94" s="691"/>
      <c r="N94" s="691"/>
      <c r="O94" s="691"/>
      <c r="P94" s="691"/>
      <c r="S94" s="691"/>
      <c r="T94" s="691"/>
    </row>
    <row r="95" spans="2:20" x14ac:dyDescent="0.25">
      <c r="C95" s="2522" t="s">
        <v>4131</v>
      </c>
      <c r="D95" s="2522" t="s">
        <v>405</v>
      </c>
      <c r="E95" s="1281">
        <v>3</v>
      </c>
      <c r="F95" s="2529">
        <v>350</v>
      </c>
      <c r="G95" s="2529">
        <f>+E95*F95</f>
        <v>1050</v>
      </c>
      <c r="J95" s="1751"/>
      <c r="K95" s="1751"/>
      <c r="N95" s="691"/>
      <c r="O95" s="691"/>
      <c r="P95" s="691"/>
      <c r="S95" s="691"/>
      <c r="T95" s="691"/>
    </row>
    <row r="96" spans="2:20" x14ac:dyDescent="0.25">
      <c r="C96" s="2522" t="s">
        <v>4132</v>
      </c>
      <c r="D96" s="2522" t="s">
        <v>405</v>
      </c>
      <c r="E96" s="1281">
        <v>3</v>
      </c>
      <c r="F96" s="2529">
        <v>260</v>
      </c>
      <c r="G96" s="2529">
        <f>+E96*F96</f>
        <v>780</v>
      </c>
      <c r="L96" s="691"/>
      <c r="M96" s="691"/>
      <c r="N96" s="691"/>
      <c r="O96" s="691"/>
      <c r="P96" s="691"/>
      <c r="S96" s="691"/>
      <c r="T96" s="691"/>
    </row>
    <row r="97" spans="2:20" x14ac:dyDescent="0.25">
      <c r="C97" s="2522" t="s">
        <v>4133</v>
      </c>
      <c r="D97" s="2522" t="s">
        <v>4134</v>
      </c>
      <c r="E97" s="1281">
        <v>1</v>
      </c>
      <c r="F97" s="2529">
        <v>200</v>
      </c>
      <c r="G97" s="2529">
        <f t="shared" ref="G97" si="11">+E97*F97</f>
        <v>200</v>
      </c>
      <c r="L97" s="691"/>
      <c r="M97" s="691"/>
      <c r="N97" s="691"/>
      <c r="O97" s="691"/>
      <c r="P97" s="691"/>
      <c r="S97" s="691"/>
      <c r="T97" s="691"/>
    </row>
    <row r="98" spans="2:20" x14ac:dyDescent="0.25">
      <c r="C98" s="2522" t="s">
        <v>4135</v>
      </c>
      <c r="D98" s="2522" t="s">
        <v>4136</v>
      </c>
      <c r="E98" s="2519">
        <f>T5+T6+T7</f>
        <v>13</v>
      </c>
      <c r="F98" s="2529">
        <v>10</v>
      </c>
      <c r="G98" s="2529">
        <f>+E98*F98</f>
        <v>130</v>
      </c>
      <c r="L98" s="691"/>
      <c r="M98" s="691"/>
      <c r="N98" s="691"/>
      <c r="O98" s="691"/>
      <c r="P98" s="691"/>
      <c r="S98" s="691"/>
      <c r="T98" s="691"/>
    </row>
    <row r="99" spans="2:20" x14ac:dyDescent="0.25">
      <c r="C99" s="2522" t="s">
        <v>4137</v>
      </c>
      <c r="D99" s="2522" t="s">
        <v>4138</v>
      </c>
      <c r="E99" s="1281">
        <v>18</v>
      </c>
      <c r="F99" s="2529">
        <v>50</v>
      </c>
      <c r="G99" s="2529">
        <f>+E99*F99</f>
        <v>900</v>
      </c>
      <c r="H99" s="530"/>
      <c r="L99" s="691"/>
      <c r="M99" s="691"/>
      <c r="N99" s="691"/>
      <c r="O99" s="691"/>
      <c r="P99" s="691"/>
      <c r="S99" s="691"/>
      <c r="T99" s="691"/>
    </row>
    <row r="100" spans="2:20" x14ac:dyDescent="0.25">
      <c r="C100" s="2522" t="s">
        <v>4139</v>
      </c>
      <c r="D100" s="2522" t="s">
        <v>4140</v>
      </c>
      <c r="E100" s="1279">
        <f>+E98</f>
        <v>13</v>
      </c>
      <c r="F100" s="2529">
        <v>10</v>
      </c>
      <c r="G100" s="2529">
        <f>+E100*(F100*2)*3</f>
        <v>780</v>
      </c>
      <c r="H100" s="530"/>
      <c r="L100" s="691"/>
      <c r="M100" s="691"/>
      <c r="N100" s="691"/>
      <c r="O100" s="691"/>
      <c r="P100" s="691"/>
      <c r="S100" s="691"/>
      <c r="T100" s="691"/>
    </row>
    <row r="101" spans="2:20" x14ac:dyDescent="0.25">
      <c r="C101" s="2379"/>
      <c r="D101" s="2536"/>
      <c r="E101" s="2536"/>
      <c r="F101" s="2151" t="s">
        <v>4141</v>
      </c>
      <c r="G101" s="2550">
        <f>+SUM(G95:G100)</f>
        <v>3840</v>
      </c>
      <c r="L101" s="691"/>
      <c r="M101" s="691"/>
      <c r="N101" s="691"/>
      <c r="O101" s="691"/>
      <c r="P101" s="691"/>
      <c r="S101" s="691"/>
      <c r="T101" s="691"/>
    </row>
    <row r="102" spans="2:20" x14ac:dyDescent="0.25">
      <c r="L102" s="691"/>
      <c r="M102" s="691"/>
      <c r="N102" s="691"/>
      <c r="O102" s="691"/>
      <c r="P102" s="691"/>
      <c r="S102" s="691"/>
      <c r="T102" s="691"/>
    </row>
    <row r="103" spans="2:20" x14ac:dyDescent="0.25">
      <c r="B103" s="1750">
        <v>2</v>
      </c>
      <c r="C103" s="689" t="s">
        <v>4142</v>
      </c>
      <c r="D103" s="2487"/>
      <c r="E103" s="2487"/>
      <c r="F103" s="2487"/>
      <c r="G103" s="2487"/>
      <c r="L103" s="691"/>
      <c r="M103" s="691"/>
      <c r="N103" s="691"/>
      <c r="O103" s="691"/>
      <c r="P103" s="691"/>
      <c r="S103" s="691"/>
      <c r="T103" s="691"/>
    </row>
    <row r="104" spans="2:20" ht="40.5" x14ac:dyDescent="0.25">
      <c r="C104" s="917" t="s">
        <v>4128</v>
      </c>
      <c r="D104" s="1329" t="s">
        <v>2978</v>
      </c>
      <c r="E104" s="1329" t="s">
        <v>3847</v>
      </c>
      <c r="F104" s="1329" t="s">
        <v>4129</v>
      </c>
      <c r="G104" s="918" t="s">
        <v>4130</v>
      </c>
      <c r="L104" s="691"/>
      <c r="M104" s="691"/>
      <c r="N104" s="691"/>
      <c r="O104" s="691"/>
      <c r="P104" s="691"/>
      <c r="S104" s="691"/>
      <c r="T104" s="691"/>
    </row>
    <row r="105" spans="2:20" x14ac:dyDescent="0.25">
      <c r="C105" s="2522" t="s">
        <v>4132</v>
      </c>
      <c r="D105" s="2522" t="s">
        <v>405</v>
      </c>
      <c r="E105" s="1281">
        <v>3</v>
      </c>
      <c r="F105" s="2529">
        <v>350</v>
      </c>
      <c r="G105" s="2529">
        <f>+E105*F105</f>
        <v>1050</v>
      </c>
      <c r="L105" s="691"/>
      <c r="M105" s="691"/>
      <c r="N105" s="691"/>
      <c r="O105" s="691"/>
      <c r="P105" s="691"/>
      <c r="S105" s="691"/>
      <c r="T105" s="691"/>
    </row>
    <row r="106" spans="2:20" x14ac:dyDescent="0.25">
      <c r="C106" s="2522" t="s">
        <v>4132</v>
      </c>
      <c r="D106" s="2522" t="s">
        <v>405</v>
      </c>
      <c r="E106" s="1281">
        <v>3</v>
      </c>
      <c r="F106" s="2529">
        <v>260</v>
      </c>
      <c r="G106" s="2529">
        <f>+E106*F106</f>
        <v>780</v>
      </c>
      <c r="L106" s="691"/>
      <c r="M106" s="691"/>
      <c r="N106" s="691"/>
      <c r="O106" s="691"/>
      <c r="P106" s="691"/>
      <c r="S106" s="691"/>
      <c r="T106" s="691"/>
    </row>
    <row r="107" spans="2:20" x14ac:dyDescent="0.25">
      <c r="C107" s="2522" t="s">
        <v>4133</v>
      </c>
      <c r="D107" s="2522" t="s">
        <v>4134</v>
      </c>
      <c r="E107" s="1281">
        <v>1</v>
      </c>
      <c r="F107" s="2529">
        <v>200</v>
      </c>
      <c r="G107" s="2529">
        <f t="shared" ref="G107" si="12">+E107*F107</f>
        <v>200</v>
      </c>
      <c r="L107" s="691"/>
      <c r="M107" s="691"/>
      <c r="N107" s="691"/>
      <c r="O107" s="530"/>
      <c r="P107" s="2487"/>
      <c r="Q107" s="2487"/>
      <c r="R107" s="2487"/>
      <c r="S107" s="2487"/>
      <c r="T107" s="2487"/>
    </row>
    <row r="108" spans="2:20" x14ac:dyDescent="0.25">
      <c r="C108" s="2522" t="s">
        <v>4135</v>
      </c>
      <c r="D108" s="2522" t="s">
        <v>4136</v>
      </c>
      <c r="E108" s="2519">
        <f>T5+T7+T8+T13+T15+T16</f>
        <v>23</v>
      </c>
      <c r="F108" s="2529">
        <v>10</v>
      </c>
      <c r="G108" s="2529">
        <f>+E108*F108</f>
        <v>230</v>
      </c>
      <c r="L108" s="691"/>
      <c r="M108" s="691"/>
      <c r="N108" s="691"/>
      <c r="O108" s="2503"/>
      <c r="P108" s="2503"/>
      <c r="Q108" s="2503"/>
      <c r="R108" s="2503"/>
      <c r="S108" s="2503"/>
      <c r="T108" s="2503"/>
    </row>
    <row r="109" spans="2:20" x14ac:dyDescent="0.25">
      <c r="C109" s="2522" t="s">
        <v>4137</v>
      </c>
      <c r="D109" s="2522" t="s">
        <v>4138</v>
      </c>
      <c r="E109" s="1281">
        <v>18</v>
      </c>
      <c r="F109" s="2529">
        <v>50</v>
      </c>
      <c r="G109" s="2529">
        <f>+E109*F109</f>
        <v>900</v>
      </c>
      <c r="H109" s="2429"/>
      <c r="L109" s="691"/>
      <c r="M109" s="691"/>
      <c r="N109" s="691"/>
      <c r="O109" s="2497"/>
      <c r="P109" s="2497"/>
      <c r="Q109" s="2355"/>
      <c r="R109" s="2355"/>
      <c r="S109" s="2504"/>
      <c r="T109" s="2504"/>
    </row>
    <row r="110" spans="2:20" x14ac:dyDescent="0.25">
      <c r="C110" s="2522" t="s">
        <v>4139</v>
      </c>
      <c r="D110" s="2522" t="s">
        <v>4140</v>
      </c>
      <c r="E110" s="1279">
        <f>+E108</f>
        <v>23</v>
      </c>
      <c r="F110" s="2529">
        <v>10</v>
      </c>
      <c r="G110" s="2529">
        <f>+E110*(F110*2)*3</f>
        <v>1380</v>
      </c>
      <c r="H110" s="2429"/>
      <c r="L110" s="691"/>
      <c r="M110" s="691"/>
      <c r="N110" s="691"/>
      <c r="O110" s="2497"/>
      <c r="P110" s="2497"/>
      <c r="Q110" s="2355"/>
      <c r="R110" s="2355"/>
      <c r="S110" s="2504"/>
      <c r="T110" s="2504"/>
    </row>
    <row r="111" spans="2:20" x14ac:dyDescent="0.25">
      <c r="C111" s="2379"/>
      <c r="D111" s="2536"/>
      <c r="E111" s="2536"/>
      <c r="F111" s="2151" t="s">
        <v>4141</v>
      </c>
      <c r="G111" s="2550">
        <f>+SUM(G105:G110)</f>
        <v>4540</v>
      </c>
      <c r="H111" s="530"/>
      <c r="L111" s="691"/>
      <c r="M111" s="691"/>
      <c r="N111" s="691"/>
      <c r="O111" s="2497"/>
      <c r="P111" s="2497"/>
      <c r="Q111" s="2355"/>
      <c r="R111" s="2355"/>
      <c r="S111" s="2504"/>
      <c r="T111" s="2504"/>
    </row>
    <row r="112" spans="2:20" x14ac:dyDescent="0.25">
      <c r="D112" s="1751"/>
      <c r="E112" s="1751"/>
      <c r="F112" s="2415"/>
      <c r="G112" s="2490"/>
      <c r="H112" s="2429"/>
      <c r="L112" s="691"/>
      <c r="M112" s="691"/>
      <c r="N112" s="691"/>
      <c r="O112" s="2497"/>
      <c r="P112" s="2497"/>
      <c r="Q112" s="2355"/>
      <c r="R112" s="2355"/>
      <c r="S112" s="2504"/>
      <c r="T112" s="2504"/>
    </row>
    <row r="113" spans="2:20" x14ac:dyDescent="0.25">
      <c r="B113" s="2487">
        <v>3</v>
      </c>
      <c r="C113" s="689" t="s">
        <v>4143</v>
      </c>
      <c r="D113" s="2487"/>
      <c r="E113" s="2487"/>
      <c r="F113" s="2487"/>
      <c r="G113" s="2487"/>
      <c r="L113" s="691"/>
      <c r="M113" s="691"/>
      <c r="N113" s="691"/>
      <c r="O113" s="2497"/>
      <c r="P113" s="2497"/>
      <c r="Q113" s="2355"/>
      <c r="R113" s="2355"/>
      <c r="S113" s="2504"/>
      <c r="T113" s="2504"/>
    </row>
    <row r="114" spans="2:20" ht="40.5" x14ac:dyDescent="0.25">
      <c r="B114" s="2503"/>
      <c r="C114" s="917" t="s">
        <v>4128</v>
      </c>
      <c r="D114" s="1329" t="s">
        <v>2978</v>
      </c>
      <c r="E114" s="1329" t="s">
        <v>3847</v>
      </c>
      <c r="F114" s="1329" t="s">
        <v>4129</v>
      </c>
      <c r="G114" s="918" t="s">
        <v>4130</v>
      </c>
      <c r="L114" s="691"/>
      <c r="M114" s="691"/>
      <c r="N114" s="691"/>
      <c r="O114" s="2497"/>
      <c r="P114" s="2497"/>
      <c r="Q114" s="2355"/>
      <c r="R114" s="2355"/>
      <c r="S114" s="2504"/>
      <c r="T114" s="2504"/>
    </row>
    <row r="115" spans="2:20" x14ac:dyDescent="0.25">
      <c r="B115" s="2489"/>
      <c r="C115" s="2522" t="s">
        <v>4131</v>
      </c>
      <c r="D115" s="2522" t="s">
        <v>405</v>
      </c>
      <c r="E115" s="1281">
        <v>3</v>
      </c>
      <c r="F115" s="2529">
        <v>350</v>
      </c>
      <c r="G115" s="2529">
        <f>+E115*F115</f>
        <v>1050</v>
      </c>
      <c r="L115" s="691"/>
      <c r="M115" s="691"/>
      <c r="N115" s="691"/>
      <c r="O115" s="598"/>
      <c r="P115" s="598"/>
      <c r="Q115" s="598"/>
      <c r="R115" s="598"/>
      <c r="S115" s="2415"/>
      <c r="T115" s="2490"/>
    </row>
    <row r="116" spans="2:20" x14ac:dyDescent="0.25">
      <c r="B116" s="2489"/>
      <c r="C116" s="2522" t="s">
        <v>4132</v>
      </c>
      <c r="D116" s="2522" t="s">
        <v>405</v>
      </c>
      <c r="E116" s="1281">
        <v>3</v>
      </c>
      <c r="F116" s="2529">
        <v>260</v>
      </c>
      <c r="G116" s="2529">
        <f>+E116*F116</f>
        <v>780</v>
      </c>
      <c r="H116" s="1751"/>
      <c r="L116" s="691"/>
      <c r="M116" s="691"/>
      <c r="N116" s="691"/>
      <c r="O116" s="598"/>
      <c r="P116" s="2355"/>
      <c r="Q116" s="2355"/>
      <c r="R116" s="2355"/>
      <c r="S116" s="2355"/>
      <c r="T116" s="2355"/>
    </row>
    <row r="117" spans="2:20" x14ac:dyDescent="0.25">
      <c r="B117" s="2489"/>
      <c r="C117" s="2522" t="s">
        <v>4133</v>
      </c>
      <c r="D117" s="2522" t="s">
        <v>4134</v>
      </c>
      <c r="E117" s="1281">
        <v>1</v>
      </c>
      <c r="F117" s="2529">
        <v>200</v>
      </c>
      <c r="G117" s="2529">
        <f t="shared" ref="G117" si="13">+E117*F117</f>
        <v>200</v>
      </c>
      <c r="H117" s="1751"/>
      <c r="L117" s="691"/>
      <c r="M117" s="691"/>
      <c r="N117" s="691"/>
      <c r="O117" s="598"/>
      <c r="P117" s="2355"/>
      <c r="Q117" s="2355"/>
      <c r="R117" s="2355"/>
      <c r="S117" s="2355"/>
      <c r="T117" s="2355"/>
    </row>
    <row r="118" spans="2:20" x14ac:dyDescent="0.25">
      <c r="B118" s="2489"/>
      <c r="C118" s="2522" t="s">
        <v>4135</v>
      </c>
      <c r="D118" s="2522" t="s">
        <v>4136</v>
      </c>
      <c r="E118" s="2519">
        <f>T5+T7+T8+T12+T13+T15+T16</f>
        <v>23</v>
      </c>
      <c r="F118" s="2529">
        <v>10</v>
      </c>
      <c r="G118" s="2529">
        <f>+E118*F118</f>
        <v>230</v>
      </c>
      <c r="L118" s="691"/>
      <c r="M118" s="691"/>
      <c r="N118" s="691"/>
      <c r="O118" s="530"/>
      <c r="P118" s="2487"/>
      <c r="Q118" s="2487"/>
      <c r="R118" s="2487"/>
      <c r="S118" s="2487"/>
      <c r="T118" s="2487"/>
    </row>
    <row r="119" spans="2:20" x14ac:dyDescent="0.25">
      <c r="B119" s="2489"/>
      <c r="C119" s="2522" t="s">
        <v>4137</v>
      </c>
      <c r="D119" s="2522" t="s">
        <v>4138</v>
      </c>
      <c r="E119" s="1281">
        <v>18</v>
      </c>
      <c r="F119" s="2529">
        <v>50</v>
      </c>
      <c r="G119" s="2529">
        <f>+E119*F119</f>
        <v>900</v>
      </c>
      <c r="H119" s="530"/>
      <c r="L119" s="691"/>
      <c r="M119" s="691"/>
      <c r="N119" s="691"/>
      <c r="O119" s="2503"/>
      <c r="P119" s="2503"/>
      <c r="Q119" s="2503"/>
      <c r="R119" s="2503"/>
      <c r="S119" s="2503"/>
      <c r="T119" s="2503"/>
    </row>
    <row r="120" spans="2:20" x14ac:dyDescent="0.25">
      <c r="B120" s="2489"/>
      <c r="C120" s="2522" t="s">
        <v>4139</v>
      </c>
      <c r="D120" s="2522" t="s">
        <v>4140</v>
      </c>
      <c r="E120" s="1279">
        <f>+E118</f>
        <v>23</v>
      </c>
      <c r="F120" s="2529">
        <v>10</v>
      </c>
      <c r="G120" s="2529">
        <f>+E120*(F120*2)*3</f>
        <v>1380</v>
      </c>
      <c r="H120" s="530"/>
      <c r="L120" s="691"/>
      <c r="M120" s="691"/>
      <c r="N120" s="691"/>
      <c r="O120" s="2503"/>
      <c r="P120" s="2503"/>
      <c r="Q120" s="2503"/>
      <c r="R120" s="2503"/>
      <c r="S120" s="2503"/>
      <c r="T120" s="2503"/>
    </row>
    <row r="121" spans="2:20" x14ac:dyDescent="0.25">
      <c r="C121" s="2379"/>
      <c r="D121" s="2536"/>
      <c r="E121" s="2536"/>
      <c r="F121" s="2151" t="s">
        <v>4141</v>
      </c>
      <c r="G121" s="2550">
        <f>+SUM(G115:G120)</f>
        <v>4540</v>
      </c>
      <c r="L121" s="691"/>
      <c r="M121" s="691"/>
      <c r="N121" s="691"/>
      <c r="O121" s="2497"/>
      <c r="P121" s="2497"/>
      <c r="Q121" s="2355"/>
      <c r="R121" s="2355"/>
      <c r="S121" s="2504"/>
      <c r="T121" s="2504"/>
    </row>
    <row r="122" spans="2:20" x14ac:dyDescent="0.25">
      <c r="C122" s="598"/>
      <c r="D122" s="598"/>
      <c r="E122" s="598"/>
      <c r="F122" s="2415"/>
      <c r="G122" s="2490"/>
      <c r="H122" s="2429"/>
      <c r="L122" s="691"/>
      <c r="M122" s="691"/>
      <c r="N122" s="691"/>
      <c r="O122" s="2497"/>
      <c r="P122" s="2497"/>
      <c r="Q122" s="2355"/>
      <c r="R122" s="2355"/>
      <c r="S122" s="2504"/>
      <c r="T122" s="2504"/>
    </row>
    <row r="123" spans="2:20" x14ac:dyDescent="0.25">
      <c r="B123" s="2487">
        <v>4</v>
      </c>
      <c r="C123" s="689" t="s">
        <v>4144</v>
      </c>
      <c r="L123" s="691"/>
      <c r="M123" s="691"/>
      <c r="N123" s="691"/>
      <c r="O123" s="2497"/>
      <c r="P123" s="2497"/>
      <c r="Q123" s="2355"/>
      <c r="R123" s="2355"/>
      <c r="S123" s="2504"/>
      <c r="T123" s="2504"/>
    </row>
    <row r="124" spans="2:20" ht="40.5" x14ac:dyDescent="0.25">
      <c r="C124" s="917" t="s">
        <v>4128</v>
      </c>
      <c r="D124" s="1329" t="s">
        <v>2978</v>
      </c>
      <c r="E124" s="1329" t="s">
        <v>3847</v>
      </c>
      <c r="F124" s="1329" t="s">
        <v>4129</v>
      </c>
      <c r="G124" s="918" t="s">
        <v>4130</v>
      </c>
      <c r="L124" s="691"/>
      <c r="M124" s="691"/>
      <c r="N124" s="691"/>
      <c r="O124" s="2497"/>
      <c r="P124" s="2497"/>
      <c r="Q124" s="2355"/>
      <c r="R124" s="2355"/>
      <c r="S124" s="2504"/>
      <c r="T124" s="2504"/>
    </row>
    <row r="125" spans="2:20" x14ac:dyDescent="0.25">
      <c r="C125" s="2522" t="s">
        <v>4131</v>
      </c>
      <c r="D125" s="2522" t="s">
        <v>405</v>
      </c>
      <c r="E125" s="1281">
        <v>3</v>
      </c>
      <c r="F125" s="2529">
        <v>350</v>
      </c>
      <c r="G125" s="2529">
        <f>+E125*F125</f>
        <v>1050</v>
      </c>
      <c r="H125" s="2429"/>
      <c r="L125" s="691"/>
      <c r="M125" s="691"/>
      <c r="N125" s="691"/>
      <c r="O125" s="2497"/>
      <c r="P125" s="2497"/>
      <c r="Q125" s="2355"/>
      <c r="R125" s="2355"/>
      <c r="S125" s="2504"/>
      <c r="T125" s="2504"/>
    </row>
    <row r="126" spans="2:20" x14ac:dyDescent="0.25">
      <c r="C126" s="2522" t="s">
        <v>4132</v>
      </c>
      <c r="D126" s="2522" t="s">
        <v>405</v>
      </c>
      <c r="E126" s="1281">
        <v>3</v>
      </c>
      <c r="F126" s="2529">
        <v>260</v>
      </c>
      <c r="G126" s="2529">
        <f>+E126*F126</f>
        <v>780</v>
      </c>
      <c r="L126" s="691"/>
      <c r="M126" s="691"/>
      <c r="N126" s="691"/>
      <c r="O126" s="598"/>
      <c r="P126" s="598"/>
      <c r="Q126" s="598"/>
      <c r="R126" s="598"/>
      <c r="S126" s="2415"/>
      <c r="T126" s="2490"/>
    </row>
    <row r="127" spans="2:20" x14ac:dyDescent="0.25">
      <c r="C127" s="2522" t="s">
        <v>4133</v>
      </c>
      <c r="D127" s="2522" t="s">
        <v>4134</v>
      </c>
      <c r="E127" s="1281">
        <v>1</v>
      </c>
      <c r="F127" s="2529">
        <v>200</v>
      </c>
      <c r="G127" s="2529">
        <f t="shared" ref="G127" si="14">+E127*F127</f>
        <v>200</v>
      </c>
      <c r="L127" s="691"/>
      <c r="M127" s="691"/>
      <c r="N127" s="691"/>
      <c r="O127" s="598"/>
      <c r="P127" s="598"/>
      <c r="Q127" s="598"/>
      <c r="R127" s="598"/>
      <c r="S127" s="2415"/>
      <c r="T127" s="2490"/>
    </row>
    <row r="128" spans="2:20" x14ac:dyDescent="0.25">
      <c r="C128" s="2522" t="s">
        <v>4135</v>
      </c>
      <c r="D128" s="2522" t="s">
        <v>4136</v>
      </c>
      <c r="E128" s="2519">
        <f>T5+T7+T9+T11+T10+T13</f>
        <v>26</v>
      </c>
      <c r="F128" s="2529">
        <v>10</v>
      </c>
      <c r="G128" s="2529">
        <f>+E128*F128</f>
        <v>260</v>
      </c>
      <c r="L128" s="691"/>
      <c r="M128" s="691"/>
      <c r="N128" s="691"/>
      <c r="O128" s="598"/>
      <c r="P128" s="598"/>
      <c r="Q128" s="598"/>
      <c r="R128" s="598"/>
      <c r="S128" s="598"/>
      <c r="T128" s="598"/>
    </row>
    <row r="129" spans="2:20" x14ac:dyDescent="0.25">
      <c r="C129" s="2522" t="s">
        <v>4137</v>
      </c>
      <c r="D129" s="2522" t="s">
        <v>4138</v>
      </c>
      <c r="E129" s="1281">
        <v>18</v>
      </c>
      <c r="F129" s="2529">
        <v>50</v>
      </c>
      <c r="G129" s="2529">
        <f>+E129*F129</f>
        <v>900</v>
      </c>
      <c r="I129" s="530"/>
      <c r="L129" s="691"/>
      <c r="M129" s="691"/>
      <c r="N129" s="691"/>
      <c r="O129" s="2487"/>
      <c r="P129" s="2487"/>
      <c r="Q129" s="2487"/>
      <c r="R129" s="2487"/>
      <c r="S129" s="2487"/>
      <c r="T129" s="2487"/>
    </row>
    <row r="130" spans="2:20" x14ac:dyDescent="0.25">
      <c r="C130" s="2522" t="s">
        <v>4139</v>
      </c>
      <c r="D130" s="2522" t="s">
        <v>4140</v>
      </c>
      <c r="E130" s="1279">
        <f>+E128</f>
        <v>26</v>
      </c>
      <c r="F130" s="2529">
        <v>10</v>
      </c>
      <c r="G130" s="2529">
        <f>+E130*(F130*2)*3</f>
        <v>1560</v>
      </c>
      <c r="I130" s="530"/>
      <c r="L130" s="691"/>
      <c r="M130" s="691"/>
      <c r="N130" s="691"/>
      <c r="O130" s="2487"/>
      <c r="P130" s="2487"/>
      <c r="Q130" s="2487"/>
      <c r="R130" s="2487"/>
      <c r="S130" s="2487"/>
      <c r="T130" s="2487"/>
    </row>
    <row r="131" spans="2:20" x14ac:dyDescent="0.25">
      <c r="C131" s="2379"/>
      <c r="D131" s="2379"/>
      <c r="E131" s="2379"/>
      <c r="F131" s="2151" t="s">
        <v>4141</v>
      </c>
      <c r="G131" s="2550">
        <f>+SUM(G125:G130)</f>
        <v>4750</v>
      </c>
      <c r="L131" s="691"/>
      <c r="M131" s="691"/>
      <c r="N131" s="691"/>
      <c r="O131" s="2497"/>
      <c r="P131" s="2497"/>
      <c r="Q131" s="2355"/>
      <c r="R131" s="2355"/>
      <c r="S131" s="2504"/>
      <c r="T131" s="2504"/>
    </row>
    <row r="132" spans="2:20" x14ac:dyDescent="0.25">
      <c r="C132" s="2497"/>
      <c r="D132" s="2497"/>
      <c r="E132" s="2355"/>
      <c r="F132" s="2504"/>
      <c r="G132" s="2504"/>
      <c r="L132" s="691"/>
      <c r="M132" s="691"/>
      <c r="N132" s="691"/>
      <c r="O132" s="2497"/>
      <c r="P132" s="2497"/>
      <c r="Q132" s="2355"/>
      <c r="R132" s="2355"/>
      <c r="S132" s="2504"/>
      <c r="T132" s="2504"/>
    </row>
    <row r="133" spans="2:20" x14ac:dyDescent="0.25">
      <c r="B133" s="1750">
        <v>5</v>
      </c>
      <c r="C133" s="530" t="s">
        <v>4092</v>
      </c>
      <c r="L133" s="691"/>
      <c r="M133" s="691"/>
      <c r="N133" s="691"/>
      <c r="O133" s="2497"/>
      <c r="P133" s="2497"/>
      <c r="Q133" s="2355"/>
      <c r="R133" s="2355"/>
      <c r="S133" s="2504"/>
      <c r="T133" s="2504"/>
    </row>
    <row r="134" spans="2:20" ht="40.5" x14ac:dyDescent="0.25">
      <c r="C134" s="917" t="s">
        <v>4128</v>
      </c>
      <c r="D134" s="1329" t="s">
        <v>2978</v>
      </c>
      <c r="E134" s="1329" t="s">
        <v>3847</v>
      </c>
      <c r="F134" s="1329" t="s">
        <v>4129</v>
      </c>
      <c r="G134" s="918" t="s">
        <v>4130</v>
      </c>
      <c r="L134" s="691"/>
      <c r="M134" s="691"/>
      <c r="N134" s="691"/>
      <c r="O134" s="2497"/>
      <c r="P134" s="2497"/>
      <c r="Q134" s="2355"/>
      <c r="R134" s="2355"/>
      <c r="S134" s="2504"/>
      <c r="T134" s="2504"/>
    </row>
    <row r="135" spans="2:20" x14ac:dyDescent="0.25">
      <c r="C135" s="2522" t="s">
        <v>4131</v>
      </c>
      <c r="D135" s="2522" t="s">
        <v>405</v>
      </c>
      <c r="E135" s="1841">
        <v>3</v>
      </c>
      <c r="F135" s="2529">
        <v>350</v>
      </c>
      <c r="G135" s="2529">
        <f>+E135*F135</f>
        <v>1050</v>
      </c>
      <c r="H135" s="2429"/>
      <c r="L135" s="691"/>
      <c r="M135" s="691"/>
      <c r="N135" s="691"/>
      <c r="O135" s="2497"/>
      <c r="P135" s="2497"/>
      <c r="Q135" s="2355"/>
      <c r="R135" s="2355"/>
      <c r="S135" s="2504"/>
      <c r="T135" s="2504"/>
    </row>
    <row r="136" spans="2:20" x14ac:dyDescent="0.25">
      <c r="C136" s="2522" t="s">
        <v>4132</v>
      </c>
      <c r="D136" s="2522" t="s">
        <v>405</v>
      </c>
      <c r="E136" s="1841">
        <v>3</v>
      </c>
      <c r="F136" s="2529">
        <v>260</v>
      </c>
      <c r="G136" s="2529">
        <f>+E136*F136</f>
        <v>780</v>
      </c>
      <c r="H136" s="2429"/>
      <c r="L136" s="691"/>
      <c r="M136" s="691"/>
      <c r="N136" s="691"/>
      <c r="O136" s="2497"/>
      <c r="P136" s="2497"/>
      <c r="Q136" s="2355"/>
      <c r="R136" s="2355"/>
      <c r="S136" s="2504"/>
      <c r="T136" s="2504"/>
    </row>
    <row r="137" spans="2:20" x14ac:dyDescent="0.25">
      <c r="C137" s="2522" t="s">
        <v>4133</v>
      </c>
      <c r="D137" s="2522" t="s">
        <v>4134</v>
      </c>
      <c r="E137" s="1841">
        <v>1</v>
      </c>
      <c r="F137" s="2529">
        <v>200</v>
      </c>
      <c r="G137" s="2529">
        <f t="shared" ref="G137" si="15">+E137*F137</f>
        <v>200</v>
      </c>
      <c r="H137" s="2429"/>
      <c r="L137" s="691"/>
      <c r="M137" s="691"/>
      <c r="N137" s="691"/>
      <c r="O137" s="598"/>
      <c r="P137" s="598"/>
      <c r="Q137" s="598"/>
      <c r="R137" s="598"/>
      <c r="S137" s="2415"/>
      <c r="T137" s="2490"/>
    </row>
    <row r="138" spans="2:20" x14ac:dyDescent="0.25">
      <c r="C138" s="2522" t="s">
        <v>4135</v>
      </c>
      <c r="D138" s="2522" t="s">
        <v>4136</v>
      </c>
      <c r="E138" s="2530">
        <f>T5+T9</f>
        <v>8</v>
      </c>
      <c r="F138" s="2529">
        <v>10</v>
      </c>
      <c r="G138" s="2529">
        <f>+E138*F138</f>
        <v>80</v>
      </c>
      <c r="H138" s="2429"/>
      <c r="L138" s="691"/>
      <c r="M138" s="691"/>
      <c r="N138" s="691"/>
      <c r="O138" s="598"/>
      <c r="P138" s="598"/>
      <c r="Q138" s="598"/>
      <c r="R138" s="598"/>
      <c r="S138" s="598"/>
      <c r="T138" s="598"/>
    </row>
    <row r="139" spans="2:20" x14ac:dyDescent="0.25">
      <c r="C139" s="2522" t="s">
        <v>4137</v>
      </c>
      <c r="D139" s="2522" t="s">
        <v>4138</v>
      </c>
      <c r="E139" s="1841">
        <v>18</v>
      </c>
      <c r="F139" s="2529">
        <v>50</v>
      </c>
      <c r="G139" s="2529">
        <f>+E139*F139</f>
        <v>900</v>
      </c>
      <c r="H139" s="2429"/>
      <c r="L139" s="691"/>
      <c r="M139" s="691"/>
      <c r="N139" s="691"/>
      <c r="O139" s="598"/>
      <c r="P139" s="598"/>
      <c r="Q139" s="598"/>
      <c r="R139" s="598"/>
      <c r="S139" s="598"/>
      <c r="T139" s="598"/>
    </row>
    <row r="140" spans="2:20" x14ac:dyDescent="0.25">
      <c r="C140" s="2522" t="s">
        <v>4139</v>
      </c>
      <c r="D140" s="2522" t="s">
        <v>4140</v>
      </c>
      <c r="E140" s="589">
        <f>+E138</f>
        <v>8</v>
      </c>
      <c r="F140" s="2529">
        <v>10</v>
      </c>
      <c r="G140" s="2529">
        <f>+E140*(F140*2)*3</f>
        <v>480</v>
      </c>
      <c r="H140" s="2429"/>
      <c r="L140" s="691"/>
      <c r="M140" s="691"/>
      <c r="N140" s="691"/>
      <c r="O140" s="598"/>
      <c r="P140" s="598"/>
      <c r="Q140" s="598"/>
      <c r="R140" s="598"/>
      <c r="S140" s="598"/>
      <c r="T140" s="598"/>
    </row>
    <row r="141" spans="2:20" x14ac:dyDescent="0.25">
      <c r="C141" s="2379"/>
      <c r="D141" s="2543"/>
      <c r="E141" s="2536"/>
      <c r="F141" s="2151" t="s">
        <v>4141</v>
      </c>
      <c r="G141" s="2550">
        <f>+SUM(G135:G140)</f>
        <v>3490</v>
      </c>
      <c r="H141" s="2429"/>
      <c r="I141" s="2503"/>
      <c r="L141" s="691"/>
      <c r="M141" s="691"/>
      <c r="N141" s="691"/>
      <c r="O141" s="2503"/>
      <c r="P141" s="2503"/>
      <c r="Q141" s="2503"/>
      <c r="R141" s="2503"/>
      <c r="S141" s="2503"/>
      <c r="T141" s="2503"/>
    </row>
    <row r="142" spans="2:20" x14ac:dyDescent="0.25">
      <c r="I142" s="2497"/>
      <c r="L142" s="691"/>
      <c r="M142" s="691"/>
      <c r="N142" s="691"/>
      <c r="O142" s="2497"/>
      <c r="P142" s="2497"/>
      <c r="Q142" s="2355"/>
      <c r="R142" s="2355"/>
      <c r="S142" s="2504"/>
      <c r="T142" s="2504"/>
    </row>
    <row r="143" spans="2:20" x14ac:dyDescent="0.25">
      <c r="B143" s="2487">
        <v>6</v>
      </c>
      <c r="C143" s="689" t="s">
        <v>4093</v>
      </c>
      <c r="D143" s="2487"/>
      <c r="E143" s="2487"/>
      <c r="F143" s="2487"/>
      <c r="G143" s="2487"/>
      <c r="H143" s="2053"/>
      <c r="I143" s="2497"/>
      <c r="L143" s="691"/>
      <c r="M143" s="691"/>
      <c r="N143" s="691"/>
      <c r="O143" s="2497"/>
      <c r="P143" s="2497"/>
      <c r="Q143" s="2355"/>
      <c r="R143" s="2355"/>
      <c r="S143" s="2504"/>
      <c r="T143" s="2504"/>
    </row>
    <row r="144" spans="2:20" ht="40.5" x14ac:dyDescent="0.25">
      <c r="B144" s="2503"/>
      <c r="C144" s="917" t="s">
        <v>4128</v>
      </c>
      <c r="D144" s="1329" t="s">
        <v>2978</v>
      </c>
      <c r="E144" s="1329" t="s">
        <v>3847</v>
      </c>
      <c r="F144" s="1329" t="s">
        <v>4129</v>
      </c>
      <c r="G144" s="918" t="s">
        <v>4130</v>
      </c>
      <c r="I144" s="2497"/>
      <c r="L144" s="691"/>
      <c r="M144" s="691"/>
      <c r="N144" s="691"/>
      <c r="O144" s="2497"/>
      <c r="P144" s="2497"/>
      <c r="Q144" s="2355"/>
      <c r="R144" s="2355"/>
      <c r="S144" s="2504"/>
      <c r="T144" s="2504"/>
    </row>
    <row r="145" spans="2:20" x14ac:dyDescent="0.25">
      <c r="B145" s="2489"/>
      <c r="C145" s="2522" t="s">
        <v>4131</v>
      </c>
      <c r="D145" s="2522" t="s">
        <v>405</v>
      </c>
      <c r="E145" s="1841">
        <v>3</v>
      </c>
      <c r="F145" s="2529">
        <v>350</v>
      </c>
      <c r="G145" s="2529">
        <f>+E145*F145</f>
        <v>1050</v>
      </c>
      <c r="I145" s="2497"/>
      <c r="L145" s="691"/>
      <c r="M145" s="691"/>
      <c r="N145" s="691"/>
      <c r="O145" s="2497"/>
      <c r="P145" s="2497"/>
      <c r="Q145" s="2355"/>
      <c r="R145" s="2355"/>
      <c r="S145" s="2504"/>
      <c r="T145" s="2504"/>
    </row>
    <row r="146" spans="2:20" x14ac:dyDescent="0.25">
      <c r="B146" s="2489"/>
      <c r="C146" s="2522" t="s">
        <v>4132</v>
      </c>
      <c r="D146" s="2522" t="s">
        <v>405</v>
      </c>
      <c r="E146" s="1841">
        <v>3</v>
      </c>
      <c r="F146" s="2529">
        <v>260</v>
      </c>
      <c r="G146" s="2529">
        <f>+E146*F146</f>
        <v>780</v>
      </c>
      <c r="L146" s="691"/>
      <c r="M146" s="691"/>
      <c r="N146" s="691"/>
      <c r="O146" s="2497"/>
      <c r="P146" s="2497"/>
      <c r="Q146" s="2355"/>
      <c r="R146" s="2355"/>
      <c r="S146" s="2504"/>
      <c r="T146" s="2504"/>
    </row>
    <row r="147" spans="2:20" x14ac:dyDescent="0.25">
      <c r="B147" s="2489"/>
      <c r="C147" s="2522" t="s">
        <v>4133</v>
      </c>
      <c r="D147" s="2522" t="s">
        <v>4134</v>
      </c>
      <c r="E147" s="1841">
        <v>1</v>
      </c>
      <c r="F147" s="2529">
        <v>200</v>
      </c>
      <c r="G147" s="2529">
        <f t="shared" ref="G147" si="16">+E147*F147</f>
        <v>200</v>
      </c>
      <c r="L147" s="691"/>
      <c r="M147" s="691"/>
      <c r="N147" s="691"/>
      <c r="O147" s="2497"/>
      <c r="P147" s="2497"/>
      <c r="Q147" s="2355"/>
      <c r="R147" s="2355"/>
      <c r="S147" s="2504"/>
      <c r="T147" s="2504"/>
    </row>
    <row r="148" spans="2:20" x14ac:dyDescent="0.25">
      <c r="B148" s="2489"/>
      <c r="C148" s="2522" t="s">
        <v>4135</v>
      </c>
      <c r="D148" s="2522" t="s">
        <v>4136</v>
      </c>
      <c r="E148" s="2530">
        <f>T5+T7+T9</f>
        <v>15</v>
      </c>
      <c r="F148" s="2529">
        <v>10</v>
      </c>
      <c r="G148" s="2529">
        <f>+E148*F148</f>
        <v>150</v>
      </c>
      <c r="H148" s="2429"/>
      <c r="L148" s="691"/>
      <c r="M148" s="691"/>
      <c r="N148" s="2489"/>
      <c r="O148" s="2497"/>
      <c r="P148" s="2497"/>
      <c r="Q148" s="2355"/>
      <c r="R148" s="2355"/>
      <c r="S148" s="2504"/>
      <c r="T148" s="2504"/>
    </row>
    <row r="149" spans="2:20" x14ac:dyDescent="0.25">
      <c r="B149" s="2489"/>
      <c r="C149" s="2522" t="s">
        <v>4137</v>
      </c>
      <c r="D149" s="2522" t="s">
        <v>4138</v>
      </c>
      <c r="E149" s="1841">
        <v>18</v>
      </c>
      <c r="F149" s="2529">
        <v>50</v>
      </c>
      <c r="G149" s="2529">
        <f>+E149*F149</f>
        <v>900</v>
      </c>
      <c r="L149" s="691"/>
      <c r="M149" s="691"/>
      <c r="N149" s="2489"/>
      <c r="O149" s="2497"/>
      <c r="P149" s="2497"/>
      <c r="Q149" s="2355"/>
      <c r="R149" s="2355"/>
      <c r="S149" s="2504"/>
      <c r="T149" s="2504"/>
    </row>
    <row r="150" spans="2:20" x14ac:dyDescent="0.25">
      <c r="B150" s="2489"/>
      <c r="C150" s="2522" t="s">
        <v>4139</v>
      </c>
      <c r="D150" s="2522" t="s">
        <v>4140</v>
      </c>
      <c r="E150" s="589">
        <f>+E148</f>
        <v>15</v>
      </c>
      <c r="F150" s="2529">
        <v>10</v>
      </c>
      <c r="G150" s="2529">
        <f>+E150*(F150*2)*3</f>
        <v>900</v>
      </c>
      <c r="L150" s="691"/>
      <c r="M150" s="691"/>
      <c r="N150" s="2489"/>
      <c r="O150" s="2497"/>
      <c r="P150" s="2497"/>
      <c r="Q150" s="2355"/>
      <c r="R150" s="2355"/>
      <c r="S150" s="2504"/>
      <c r="T150" s="2504"/>
    </row>
    <row r="151" spans="2:20" x14ac:dyDescent="0.25">
      <c r="C151" s="2379"/>
      <c r="D151" s="2536"/>
      <c r="E151" s="2379"/>
      <c r="F151" s="2151" t="s">
        <v>4141</v>
      </c>
      <c r="G151" s="2550">
        <f>+SUM(G145:G150)</f>
        <v>3980</v>
      </c>
      <c r="H151" s="530"/>
      <c r="I151" s="2487"/>
      <c r="J151" s="2487"/>
      <c r="K151" s="2487"/>
      <c r="L151" s="2487"/>
      <c r="M151" s="691"/>
      <c r="N151" s="2489"/>
      <c r="O151" s="2497"/>
      <c r="P151" s="2497"/>
      <c r="Q151" s="2355"/>
      <c r="R151" s="2355"/>
      <c r="S151" s="2504"/>
      <c r="T151" s="2504"/>
    </row>
    <row r="152" spans="2:20" x14ac:dyDescent="0.25">
      <c r="D152" s="2355"/>
      <c r="F152" s="2415"/>
      <c r="G152" s="2490"/>
      <c r="H152" s="2053"/>
      <c r="L152" s="691"/>
      <c r="M152" s="691"/>
      <c r="N152" s="2489"/>
      <c r="O152" s="2497"/>
      <c r="P152" s="2497"/>
      <c r="Q152" s="2355"/>
      <c r="R152" s="2355"/>
      <c r="S152" s="2504"/>
      <c r="T152" s="2504"/>
    </row>
    <row r="153" spans="2:20" x14ac:dyDescent="0.25">
      <c r="D153" s="2355"/>
      <c r="F153" s="2415"/>
      <c r="G153" s="2490"/>
      <c r="L153" s="691"/>
      <c r="M153" s="691"/>
      <c r="N153" s="691"/>
      <c r="O153" s="2497"/>
      <c r="P153" s="2497"/>
      <c r="Q153" s="2355"/>
      <c r="R153" s="2355"/>
      <c r="S153" s="2504"/>
      <c r="T153" s="2504"/>
    </row>
    <row r="154" spans="2:20" x14ac:dyDescent="0.25">
      <c r="B154" s="2487">
        <v>7</v>
      </c>
      <c r="C154" s="530" t="s">
        <v>4095</v>
      </c>
      <c r="D154" s="2487"/>
      <c r="E154" s="2487"/>
      <c r="F154" s="2487"/>
      <c r="G154" s="2487"/>
      <c r="H154" s="2429"/>
      <c r="L154" s="691"/>
      <c r="M154" s="691"/>
      <c r="N154" s="691"/>
      <c r="O154" s="598"/>
      <c r="P154" s="598"/>
      <c r="Q154" s="598"/>
      <c r="R154" s="598"/>
      <c r="S154" s="2415"/>
      <c r="T154" s="2490"/>
    </row>
    <row r="155" spans="2:20" ht="40.5" x14ac:dyDescent="0.25">
      <c r="C155" s="917" t="s">
        <v>4128</v>
      </c>
      <c r="D155" s="1329" t="s">
        <v>2978</v>
      </c>
      <c r="E155" s="1329" t="s">
        <v>3847</v>
      </c>
      <c r="F155" s="1329" t="s">
        <v>4129</v>
      </c>
      <c r="G155" s="918" t="s">
        <v>4130</v>
      </c>
      <c r="L155" s="691"/>
      <c r="M155" s="691"/>
    </row>
    <row r="156" spans="2:20" x14ac:dyDescent="0.25">
      <c r="C156" s="2522" t="s">
        <v>4131</v>
      </c>
      <c r="D156" s="2522" t="s">
        <v>405</v>
      </c>
      <c r="E156" s="1281">
        <v>3</v>
      </c>
      <c r="F156" s="2529">
        <v>350</v>
      </c>
      <c r="G156" s="2529">
        <f>+E156*F156</f>
        <v>1050</v>
      </c>
      <c r="L156" s="691"/>
      <c r="M156" s="691"/>
    </row>
    <row r="157" spans="2:20" x14ac:dyDescent="0.25">
      <c r="C157" s="2522" t="s">
        <v>4132</v>
      </c>
      <c r="D157" s="2522" t="s">
        <v>405</v>
      </c>
      <c r="E157" s="1281">
        <v>3</v>
      </c>
      <c r="F157" s="2529">
        <v>260</v>
      </c>
      <c r="G157" s="2529">
        <f>+E157*F157</f>
        <v>780</v>
      </c>
      <c r="L157" s="691"/>
      <c r="M157" s="691"/>
    </row>
    <row r="158" spans="2:20" x14ac:dyDescent="0.25">
      <c r="C158" s="2522" t="s">
        <v>4133</v>
      </c>
      <c r="D158" s="2522" t="s">
        <v>4134</v>
      </c>
      <c r="E158" s="1281">
        <v>1</v>
      </c>
      <c r="F158" s="2529">
        <v>200</v>
      </c>
      <c r="G158" s="2529">
        <f t="shared" ref="G158" si="17">+E158*F158</f>
        <v>200</v>
      </c>
      <c r="L158" s="691"/>
      <c r="M158" s="691"/>
    </row>
    <row r="159" spans="2:20" x14ac:dyDescent="0.25">
      <c r="C159" s="2522" t="s">
        <v>4135</v>
      </c>
      <c r="D159" s="2522" t="s">
        <v>4136</v>
      </c>
      <c r="E159" s="2519">
        <f>T19</f>
        <v>30</v>
      </c>
      <c r="F159" s="2529">
        <v>10</v>
      </c>
      <c r="G159" s="2529">
        <f>+E159*F159</f>
        <v>300</v>
      </c>
      <c r="L159" s="691"/>
      <c r="M159" s="691"/>
    </row>
    <row r="160" spans="2:20" x14ac:dyDescent="0.25">
      <c r="C160" s="2522" t="s">
        <v>4137</v>
      </c>
      <c r="D160" s="2522" t="s">
        <v>4138</v>
      </c>
      <c r="E160" s="1281">
        <v>18</v>
      </c>
      <c r="F160" s="2529">
        <v>50</v>
      </c>
      <c r="G160" s="2529">
        <f>+E160*F160</f>
        <v>900</v>
      </c>
      <c r="L160" s="691"/>
      <c r="M160" s="691"/>
    </row>
    <row r="161" spans="2:13" x14ac:dyDescent="0.25">
      <c r="C161" s="2522" t="s">
        <v>4139</v>
      </c>
      <c r="D161" s="2522" t="s">
        <v>4140</v>
      </c>
      <c r="E161" s="1279">
        <f>+E159</f>
        <v>30</v>
      </c>
      <c r="F161" s="2529">
        <v>10</v>
      </c>
      <c r="G161" s="2529">
        <f>+E161*(F161*2)*3</f>
        <v>1800</v>
      </c>
      <c r="L161" s="691"/>
      <c r="M161" s="691"/>
    </row>
    <row r="162" spans="2:13" x14ac:dyDescent="0.25">
      <c r="C162" s="2379"/>
      <c r="D162" s="2536"/>
      <c r="E162" s="2379"/>
      <c r="F162" s="2151" t="s">
        <v>4141</v>
      </c>
      <c r="G162" s="2550">
        <f>+SUM(G156:G161)</f>
        <v>5030</v>
      </c>
      <c r="L162" s="691"/>
      <c r="M162" s="691"/>
    </row>
    <row r="163" spans="2:13" x14ac:dyDescent="0.25">
      <c r="D163" s="2355"/>
      <c r="F163" s="2415"/>
      <c r="G163" s="2490"/>
      <c r="H163" s="2053"/>
      <c r="L163" s="691"/>
      <c r="M163" s="691"/>
    </row>
    <row r="164" spans="2:13" x14ac:dyDescent="0.25">
      <c r="B164" s="2487">
        <v>8</v>
      </c>
      <c r="C164" s="689" t="s">
        <v>4145</v>
      </c>
      <c r="D164" s="2487"/>
      <c r="E164" s="2487"/>
      <c r="F164" s="2487"/>
      <c r="G164" s="2487"/>
      <c r="L164" s="691"/>
      <c r="M164" s="691"/>
    </row>
    <row r="165" spans="2:13" ht="40.5" x14ac:dyDescent="0.25">
      <c r="B165" s="2503"/>
      <c r="C165" s="917" t="s">
        <v>4128</v>
      </c>
      <c r="D165" s="1329" t="s">
        <v>2978</v>
      </c>
      <c r="E165" s="1329" t="s">
        <v>3847</v>
      </c>
      <c r="F165" s="1329" t="s">
        <v>4129</v>
      </c>
      <c r="G165" s="918" t="s">
        <v>4130</v>
      </c>
      <c r="L165" s="691"/>
      <c r="M165" s="691"/>
    </row>
    <row r="166" spans="2:13" x14ac:dyDescent="0.25">
      <c r="B166" s="2489"/>
      <c r="C166" s="2522" t="s">
        <v>4131</v>
      </c>
      <c r="D166" s="2522" t="s">
        <v>405</v>
      </c>
      <c r="E166" s="1281">
        <v>3</v>
      </c>
      <c r="F166" s="2529">
        <v>350</v>
      </c>
      <c r="G166" s="2529">
        <f>+E166*F166</f>
        <v>1050</v>
      </c>
      <c r="L166" s="691"/>
      <c r="M166" s="691"/>
    </row>
    <row r="167" spans="2:13" x14ac:dyDescent="0.25">
      <c r="B167" s="2489"/>
      <c r="C167" s="2522" t="s">
        <v>4132</v>
      </c>
      <c r="D167" s="2522" t="s">
        <v>405</v>
      </c>
      <c r="E167" s="1281">
        <v>3</v>
      </c>
      <c r="F167" s="2529">
        <v>260</v>
      </c>
      <c r="G167" s="2529">
        <f>+E167*F167</f>
        <v>780</v>
      </c>
      <c r="L167" s="691"/>
      <c r="M167" s="691"/>
    </row>
    <row r="168" spans="2:13" x14ac:dyDescent="0.25">
      <c r="B168" s="2489"/>
      <c r="C168" s="2522" t="s">
        <v>4133</v>
      </c>
      <c r="D168" s="2522" t="s">
        <v>4134</v>
      </c>
      <c r="E168" s="1281">
        <v>1</v>
      </c>
      <c r="F168" s="2529">
        <v>200</v>
      </c>
      <c r="G168" s="2529">
        <f t="shared" ref="G168" si="18">+E168*F168</f>
        <v>200</v>
      </c>
      <c r="L168" s="691"/>
      <c r="M168" s="691"/>
    </row>
    <row r="169" spans="2:13" x14ac:dyDescent="0.25">
      <c r="C169" s="2522" t="s">
        <v>4135</v>
      </c>
      <c r="D169" s="2522" t="s">
        <v>4136</v>
      </c>
      <c r="E169" s="2519">
        <f>T28</f>
        <v>35</v>
      </c>
      <c r="F169" s="2529">
        <v>10</v>
      </c>
      <c r="G169" s="2529">
        <f>+E169*F169</f>
        <v>350</v>
      </c>
      <c r="L169" s="691"/>
      <c r="M169" s="691"/>
    </row>
    <row r="170" spans="2:13" x14ac:dyDescent="0.25">
      <c r="C170" s="2522" t="s">
        <v>4137</v>
      </c>
      <c r="D170" s="2522" t="s">
        <v>4138</v>
      </c>
      <c r="E170" s="1281">
        <v>18</v>
      </c>
      <c r="F170" s="2529">
        <v>50</v>
      </c>
      <c r="G170" s="2529">
        <f>+E170*F170</f>
        <v>900</v>
      </c>
      <c r="L170" s="691"/>
      <c r="M170" s="691"/>
    </row>
    <row r="171" spans="2:13" x14ac:dyDescent="0.25">
      <c r="C171" s="2522" t="s">
        <v>4139</v>
      </c>
      <c r="D171" s="2522" t="s">
        <v>4140</v>
      </c>
      <c r="E171" s="1279">
        <f>+E169</f>
        <v>35</v>
      </c>
      <c r="F171" s="2529">
        <v>10</v>
      </c>
      <c r="G171" s="2529">
        <f>+E171*(F171*2)*3</f>
        <v>2100</v>
      </c>
      <c r="L171" s="691"/>
      <c r="M171" s="691"/>
    </row>
    <row r="172" spans="2:13" x14ac:dyDescent="0.25">
      <c r="C172" s="2379" t="s">
        <v>4146</v>
      </c>
      <c r="D172" s="2536" t="s">
        <v>4147</v>
      </c>
      <c r="E172" s="2379"/>
      <c r="F172" s="2151" t="s">
        <v>4141</v>
      </c>
      <c r="G172" s="2550">
        <f>+SUM(G166:G171)</f>
        <v>5380</v>
      </c>
      <c r="L172" s="691"/>
      <c r="M172" s="691"/>
    </row>
    <row r="173" spans="2:13" x14ac:dyDescent="0.25">
      <c r="B173" s="2355"/>
      <c r="C173" s="598"/>
      <c r="D173" s="2355"/>
      <c r="E173" s="598"/>
      <c r="F173" s="598"/>
      <c r="G173" s="2415"/>
      <c r="L173" s="691"/>
      <c r="M173" s="691"/>
    </row>
    <row r="174" spans="2:13" x14ac:dyDescent="0.25">
      <c r="B174" s="2487">
        <v>9</v>
      </c>
      <c r="C174" s="2505" t="s">
        <v>4097</v>
      </c>
      <c r="D174" s="2506"/>
      <c r="E174" s="598"/>
      <c r="F174" s="598"/>
      <c r="G174" s="2415"/>
      <c r="L174" s="691"/>
      <c r="M174" s="691"/>
    </row>
    <row r="175" spans="2:13" ht="40.5" x14ac:dyDescent="0.25">
      <c r="C175" s="917" t="s">
        <v>4128</v>
      </c>
      <c r="D175" s="1329" t="s">
        <v>2978</v>
      </c>
      <c r="E175" s="1329" t="s">
        <v>3847</v>
      </c>
      <c r="F175" s="1329" t="s">
        <v>4129</v>
      </c>
      <c r="G175" s="918" t="s">
        <v>4130</v>
      </c>
      <c r="L175" s="691"/>
      <c r="M175" s="691"/>
    </row>
    <row r="176" spans="2:13" x14ac:dyDescent="0.25">
      <c r="B176" s="2355"/>
      <c r="C176" s="2522" t="s">
        <v>4131</v>
      </c>
      <c r="D176" s="2522" t="s">
        <v>405</v>
      </c>
      <c r="E176" s="1281">
        <v>3</v>
      </c>
      <c r="F176" s="2529">
        <v>350</v>
      </c>
      <c r="G176" s="2529">
        <f>+E176*F176</f>
        <v>1050</v>
      </c>
      <c r="L176" s="691"/>
      <c r="M176" s="691"/>
    </row>
    <row r="177" spans="2:13" x14ac:dyDescent="0.25">
      <c r="B177" s="2355"/>
      <c r="C177" s="2522" t="s">
        <v>4132</v>
      </c>
      <c r="D177" s="2522" t="s">
        <v>405</v>
      </c>
      <c r="E177" s="1281">
        <v>3</v>
      </c>
      <c r="F177" s="2529">
        <v>260</v>
      </c>
      <c r="G177" s="2529">
        <f>+E177*F177</f>
        <v>780</v>
      </c>
      <c r="L177" s="691"/>
      <c r="M177" s="691"/>
    </row>
    <row r="178" spans="2:13" x14ac:dyDescent="0.25">
      <c r="B178" s="2355"/>
      <c r="C178" s="2522" t="s">
        <v>4133</v>
      </c>
      <c r="D178" s="2522" t="s">
        <v>4134</v>
      </c>
      <c r="E178" s="1281">
        <v>1</v>
      </c>
      <c r="F178" s="2529">
        <v>200</v>
      </c>
      <c r="G178" s="2529">
        <f t="shared" ref="G178" si="19">+E178*F178</f>
        <v>200</v>
      </c>
      <c r="L178" s="691"/>
      <c r="M178" s="691"/>
    </row>
    <row r="179" spans="2:13" x14ac:dyDescent="0.25">
      <c r="B179" s="2355"/>
      <c r="C179" s="2522" t="s">
        <v>4135</v>
      </c>
      <c r="D179" s="2522" t="s">
        <v>4136</v>
      </c>
      <c r="E179" s="2519">
        <f>T28</f>
        <v>35</v>
      </c>
      <c r="F179" s="2529">
        <v>10</v>
      </c>
      <c r="G179" s="2529">
        <f>+E179*F179</f>
        <v>350</v>
      </c>
      <c r="L179" s="691"/>
      <c r="M179" s="691"/>
    </row>
    <row r="180" spans="2:13" x14ac:dyDescent="0.25">
      <c r="B180" s="2355"/>
      <c r="C180" s="2522" t="s">
        <v>4137</v>
      </c>
      <c r="D180" s="2522" t="s">
        <v>4138</v>
      </c>
      <c r="E180" s="1281">
        <v>18</v>
      </c>
      <c r="F180" s="2529">
        <v>50</v>
      </c>
      <c r="G180" s="2529">
        <f>+E180*F180</f>
        <v>900</v>
      </c>
      <c r="L180" s="691"/>
      <c r="M180" s="691"/>
    </row>
    <row r="181" spans="2:13" x14ac:dyDescent="0.25">
      <c r="B181" s="2355"/>
      <c r="C181" s="2522" t="s">
        <v>4139</v>
      </c>
      <c r="D181" s="2522" t="s">
        <v>4140</v>
      </c>
      <c r="E181" s="1279">
        <f>+E179</f>
        <v>35</v>
      </c>
      <c r="F181" s="2529">
        <v>10</v>
      </c>
      <c r="G181" s="2529">
        <f>+E181*(F181*2)*3</f>
        <v>2100</v>
      </c>
      <c r="L181" s="691"/>
      <c r="M181" s="691"/>
    </row>
    <row r="182" spans="2:13" x14ac:dyDescent="0.25">
      <c r="B182" s="2355"/>
      <c r="C182" s="2379"/>
      <c r="D182" s="2543"/>
      <c r="E182" s="2379"/>
      <c r="F182" s="2151" t="s">
        <v>4141</v>
      </c>
      <c r="G182" s="2550">
        <f>+SUM(G176:G181)</f>
        <v>5380</v>
      </c>
      <c r="L182" s="691"/>
      <c r="M182" s="691"/>
    </row>
    <row r="183" spans="2:13" x14ac:dyDescent="0.25">
      <c r="B183" s="2355"/>
      <c r="C183" s="2497"/>
      <c r="D183" s="2497"/>
      <c r="F183" s="2415"/>
      <c r="G183" s="2490"/>
      <c r="L183" s="691"/>
      <c r="M183" s="691"/>
    </row>
    <row r="184" spans="2:13" x14ac:dyDescent="0.25">
      <c r="B184" s="2355"/>
      <c r="C184" s="2415"/>
      <c r="D184" s="2497"/>
      <c r="F184" s="2415"/>
      <c r="G184" s="2490"/>
      <c r="L184" s="691"/>
      <c r="M184" s="691"/>
    </row>
    <row r="185" spans="2:13" x14ac:dyDescent="0.25">
      <c r="B185" s="2487">
        <v>10</v>
      </c>
      <c r="C185" s="4756" t="s">
        <v>4148</v>
      </c>
      <c r="D185" s="4756"/>
      <c r="E185" s="4756"/>
      <c r="F185" s="4756"/>
      <c r="G185" s="4756"/>
      <c r="L185" s="691"/>
      <c r="M185" s="691"/>
    </row>
    <row r="186" spans="2:13" ht="40.5" x14ac:dyDescent="0.25">
      <c r="C186" s="917" t="s">
        <v>4128</v>
      </c>
      <c r="D186" s="1329" t="s">
        <v>2978</v>
      </c>
      <c r="E186" s="1329" t="s">
        <v>3847</v>
      </c>
      <c r="F186" s="1329" t="s">
        <v>4129</v>
      </c>
      <c r="G186" s="918" t="s">
        <v>4130</v>
      </c>
      <c r="H186" s="2490"/>
      <c r="L186" s="691"/>
      <c r="M186" s="691"/>
    </row>
    <row r="187" spans="2:13" x14ac:dyDescent="0.25">
      <c r="B187" s="2355"/>
      <c r="C187" s="2522" t="s">
        <v>4131</v>
      </c>
      <c r="D187" s="2522" t="s">
        <v>405</v>
      </c>
      <c r="E187" s="1281">
        <v>3</v>
      </c>
      <c r="F187" s="2529">
        <v>350</v>
      </c>
      <c r="G187" s="2529">
        <f>+E187*F187</f>
        <v>1050</v>
      </c>
      <c r="H187" s="2490"/>
      <c r="L187" s="691"/>
      <c r="M187" s="691"/>
    </row>
    <row r="188" spans="2:13" x14ac:dyDescent="0.25">
      <c r="B188" s="2355"/>
      <c r="C188" s="2522" t="s">
        <v>4132</v>
      </c>
      <c r="D188" s="2522" t="s">
        <v>405</v>
      </c>
      <c r="E188" s="1281">
        <v>3</v>
      </c>
      <c r="F188" s="2529">
        <v>260</v>
      </c>
      <c r="G188" s="2529">
        <f>+E188*F188</f>
        <v>780</v>
      </c>
      <c r="H188" s="2490"/>
      <c r="L188" s="691"/>
      <c r="M188" s="691"/>
    </row>
    <row r="189" spans="2:13" x14ac:dyDescent="0.25">
      <c r="B189" s="2355"/>
      <c r="C189" s="2522" t="s">
        <v>4133</v>
      </c>
      <c r="D189" s="2522" t="s">
        <v>4134</v>
      </c>
      <c r="E189" s="1281">
        <v>1</v>
      </c>
      <c r="F189" s="2529">
        <v>200</v>
      </c>
      <c r="G189" s="2529">
        <f t="shared" ref="G189" si="20">+E189*F189</f>
        <v>200</v>
      </c>
      <c r="H189" s="2490"/>
      <c r="L189" s="691"/>
      <c r="M189" s="691"/>
    </row>
    <row r="190" spans="2:13" x14ac:dyDescent="0.25">
      <c r="B190" s="2355"/>
      <c r="C190" s="2522" t="s">
        <v>4135</v>
      </c>
      <c r="D190" s="2522" t="s">
        <v>4136</v>
      </c>
      <c r="E190" s="2519">
        <f>+T28</f>
        <v>35</v>
      </c>
      <c r="F190" s="2529">
        <v>10</v>
      </c>
      <c r="G190" s="2529">
        <f>+E190*F190</f>
        <v>350</v>
      </c>
      <c r="H190" s="2490"/>
      <c r="L190" s="691"/>
      <c r="M190" s="691"/>
    </row>
    <row r="191" spans="2:13" x14ac:dyDescent="0.25">
      <c r="B191" s="2355"/>
      <c r="C191" s="2522" t="s">
        <v>4137</v>
      </c>
      <c r="D191" s="2522" t="s">
        <v>4138</v>
      </c>
      <c r="E191" s="1281">
        <v>18</v>
      </c>
      <c r="F191" s="2529">
        <v>50</v>
      </c>
      <c r="G191" s="2529">
        <f>+E191*F191</f>
        <v>900</v>
      </c>
      <c r="L191" s="691"/>
      <c r="M191" s="691"/>
    </row>
    <row r="192" spans="2:13" x14ac:dyDescent="0.25">
      <c r="B192" s="2355"/>
      <c r="C192" s="2522" t="s">
        <v>4139</v>
      </c>
      <c r="D192" s="2522" t="s">
        <v>4140</v>
      </c>
      <c r="E192" s="1279">
        <f>+E190</f>
        <v>35</v>
      </c>
      <c r="F192" s="2529">
        <v>10</v>
      </c>
      <c r="G192" s="2529">
        <f>+E192*(F192*2)*3</f>
        <v>2100</v>
      </c>
      <c r="L192" s="691"/>
      <c r="M192" s="691"/>
    </row>
    <row r="193" spans="2:13" x14ac:dyDescent="0.25">
      <c r="B193" s="2355"/>
      <c r="C193" s="2379"/>
      <c r="D193" s="2543"/>
      <c r="E193" s="2379"/>
      <c r="F193" s="2151" t="s">
        <v>4141</v>
      </c>
      <c r="G193" s="2550">
        <f>+SUM(G187:G192)</f>
        <v>5380</v>
      </c>
      <c r="H193" s="2490"/>
      <c r="L193" s="691"/>
      <c r="M193" s="691"/>
    </row>
    <row r="194" spans="2:13" x14ac:dyDescent="0.25">
      <c r="B194" s="1750"/>
      <c r="H194" s="689"/>
      <c r="L194" s="691"/>
      <c r="M194" s="691"/>
    </row>
    <row r="195" spans="2:13" x14ac:dyDescent="0.25">
      <c r="C195" s="689"/>
      <c r="D195" s="2355"/>
      <c r="H195" s="2490"/>
      <c r="L195" s="691"/>
      <c r="M195" s="691"/>
    </row>
    <row r="196" spans="2:13" x14ac:dyDescent="0.25">
      <c r="B196" s="1750">
        <v>11</v>
      </c>
      <c r="C196" s="689" t="s">
        <v>4099</v>
      </c>
      <c r="D196" s="2497"/>
      <c r="E196" s="2497"/>
      <c r="F196" s="2497"/>
      <c r="G196" s="530"/>
      <c r="H196" s="2490"/>
      <c r="L196" s="691"/>
      <c r="M196" s="691"/>
    </row>
    <row r="197" spans="2:13" ht="40.5" x14ac:dyDescent="0.25">
      <c r="C197" s="917" t="s">
        <v>4128</v>
      </c>
      <c r="D197" s="1329" t="s">
        <v>2978</v>
      </c>
      <c r="E197" s="1329" t="s">
        <v>3847</v>
      </c>
      <c r="F197" s="1329" t="s">
        <v>4129</v>
      </c>
      <c r="G197" s="918" t="s">
        <v>4130</v>
      </c>
      <c r="L197" s="691"/>
      <c r="M197" s="691"/>
    </row>
    <row r="198" spans="2:13" x14ac:dyDescent="0.25">
      <c r="C198" s="2522" t="s">
        <v>4132</v>
      </c>
      <c r="D198" s="2522" t="s">
        <v>405</v>
      </c>
      <c r="E198" s="1281">
        <v>3</v>
      </c>
      <c r="F198" s="2529">
        <v>350</v>
      </c>
      <c r="G198" s="2529">
        <f>+E198*F198</f>
        <v>1050</v>
      </c>
      <c r="L198" s="691"/>
      <c r="M198" s="691"/>
    </row>
    <row r="199" spans="2:13" x14ac:dyDescent="0.25">
      <c r="C199" s="2522" t="s">
        <v>4132</v>
      </c>
      <c r="D199" s="2522" t="s">
        <v>405</v>
      </c>
      <c r="E199" s="1281">
        <v>3</v>
      </c>
      <c r="F199" s="2529">
        <v>260</v>
      </c>
      <c r="G199" s="2529">
        <f>+E199*F199</f>
        <v>780</v>
      </c>
      <c r="L199" s="691"/>
      <c r="M199" s="691"/>
    </row>
    <row r="200" spans="2:13" x14ac:dyDescent="0.25">
      <c r="C200" s="2522" t="s">
        <v>4133</v>
      </c>
      <c r="D200" s="2522" t="s">
        <v>4134</v>
      </c>
      <c r="E200" s="1281">
        <v>1</v>
      </c>
      <c r="F200" s="2529">
        <v>200</v>
      </c>
      <c r="G200" s="2529">
        <f t="shared" ref="G200" si="21">+E200*F200</f>
        <v>200</v>
      </c>
      <c r="L200" s="691"/>
      <c r="M200" s="691"/>
    </row>
    <row r="201" spans="2:13" x14ac:dyDescent="0.25">
      <c r="C201" s="2522" t="s">
        <v>4135</v>
      </c>
      <c r="D201" s="2522" t="s">
        <v>4136</v>
      </c>
      <c r="E201" s="2519">
        <f>T28</f>
        <v>35</v>
      </c>
      <c r="F201" s="2529">
        <v>10</v>
      </c>
      <c r="G201" s="2529">
        <f>+E201*F201</f>
        <v>350</v>
      </c>
      <c r="L201" s="691"/>
      <c r="M201" s="691"/>
    </row>
    <row r="202" spans="2:13" x14ac:dyDescent="0.25">
      <c r="C202" s="2522" t="s">
        <v>4137</v>
      </c>
      <c r="D202" s="2522" t="s">
        <v>4138</v>
      </c>
      <c r="E202" s="1281">
        <v>18</v>
      </c>
      <c r="F202" s="2529">
        <v>50</v>
      </c>
      <c r="G202" s="2529">
        <f>+E202*F202</f>
        <v>900</v>
      </c>
      <c r="H202" s="689"/>
      <c r="I202" s="2497"/>
      <c r="J202" s="2497"/>
      <c r="K202" s="2497"/>
      <c r="L202" s="530"/>
      <c r="M202" s="691"/>
    </row>
    <row r="203" spans="2:13" x14ac:dyDescent="0.25">
      <c r="C203" s="2522" t="s">
        <v>4139</v>
      </c>
      <c r="D203" s="2522" t="s">
        <v>4140</v>
      </c>
      <c r="E203" s="1279">
        <f>+E201</f>
        <v>35</v>
      </c>
      <c r="F203" s="2529">
        <v>10</v>
      </c>
      <c r="G203" s="2529">
        <f>+E203*(F203*2)*3</f>
        <v>2100</v>
      </c>
      <c r="H203" s="689"/>
      <c r="I203" s="2497"/>
      <c r="J203" s="2497"/>
      <c r="K203" s="2497"/>
      <c r="L203" s="530"/>
      <c r="M203" s="691"/>
    </row>
    <row r="204" spans="2:13" x14ac:dyDescent="0.25">
      <c r="C204" s="2379"/>
      <c r="D204" s="2543"/>
      <c r="E204" s="2379"/>
      <c r="F204" s="2151" t="s">
        <v>4141</v>
      </c>
      <c r="G204" s="2550">
        <f>+SUM(G198:G203)</f>
        <v>5380</v>
      </c>
      <c r="L204" s="691"/>
      <c r="M204" s="691"/>
    </row>
    <row r="205" spans="2:13" x14ac:dyDescent="0.25">
      <c r="B205" s="1750"/>
      <c r="L205" s="691"/>
      <c r="M205" s="691"/>
    </row>
    <row r="206" spans="2:13" x14ac:dyDescent="0.25">
      <c r="C206" s="689"/>
      <c r="H206" s="2355"/>
      <c r="L206" s="691"/>
      <c r="M206" s="691"/>
    </row>
    <row r="207" spans="2:13" x14ac:dyDescent="0.25">
      <c r="B207" s="1750">
        <v>12</v>
      </c>
      <c r="C207" s="4761" t="s">
        <v>4100</v>
      </c>
      <c r="D207" s="4761"/>
      <c r="E207" s="4761"/>
      <c r="F207" s="4761"/>
      <c r="G207" s="4761"/>
      <c r="H207" s="2355"/>
      <c r="L207" s="691"/>
      <c r="M207" s="691"/>
    </row>
    <row r="208" spans="2:13" ht="40.5" x14ac:dyDescent="0.25">
      <c r="C208" s="917" t="s">
        <v>4128</v>
      </c>
      <c r="D208" s="1329" t="s">
        <v>2978</v>
      </c>
      <c r="E208" s="1329" t="s">
        <v>3847</v>
      </c>
      <c r="F208" s="1329" t="s">
        <v>4129</v>
      </c>
      <c r="G208" s="918" t="s">
        <v>4130</v>
      </c>
      <c r="L208" s="691"/>
      <c r="M208" s="691"/>
    </row>
    <row r="209" spans="1:13" x14ac:dyDescent="0.25">
      <c r="B209" s="1750"/>
      <c r="C209" s="2522" t="s">
        <v>4132</v>
      </c>
      <c r="D209" s="2522" t="s">
        <v>405</v>
      </c>
      <c r="E209" s="1281">
        <v>3</v>
      </c>
      <c r="F209" s="2529">
        <v>350</v>
      </c>
      <c r="G209" s="2529">
        <f>+E209*F209</f>
        <v>1050</v>
      </c>
      <c r="L209" s="691"/>
      <c r="M209" s="691"/>
    </row>
    <row r="210" spans="1:13" x14ac:dyDescent="0.25">
      <c r="B210" s="1750"/>
      <c r="C210" s="2522" t="s">
        <v>4132</v>
      </c>
      <c r="D210" s="2522" t="s">
        <v>405</v>
      </c>
      <c r="E210" s="1281">
        <v>3</v>
      </c>
      <c r="F210" s="2529">
        <v>260</v>
      </c>
      <c r="G210" s="2529">
        <f>+E210*F210</f>
        <v>780</v>
      </c>
      <c r="L210" s="691"/>
      <c r="M210" s="691"/>
    </row>
    <row r="211" spans="1:13" x14ac:dyDescent="0.25">
      <c r="B211" s="1750"/>
      <c r="C211" s="2522" t="s">
        <v>4133</v>
      </c>
      <c r="D211" s="2522" t="s">
        <v>4134</v>
      </c>
      <c r="E211" s="1281">
        <v>1</v>
      </c>
      <c r="F211" s="2529">
        <v>200</v>
      </c>
      <c r="G211" s="2529">
        <f t="shared" ref="G211" si="22">+E211*F211</f>
        <v>200</v>
      </c>
      <c r="L211" s="691"/>
      <c r="M211" s="691"/>
    </row>
    <row r="212" spans="1:13" x14ac:dyDescent="0.25">
      <c r="B212" s="1750"/>
      <c r="C212" s="2522" t="s">
        <v>4135</v>
      </c>
      <c r="D212" s="2522" t="s">
        <v>4136</v>
      </c>
      <c r="E212" s="2519">
        <f>T5+T10</f>
        <v>5</v>
      </c>
      <c r="F212" s="2529">
        <v>10</v>
      </c>
      <c r="G212" s="2529">
        <f>+E212*F212</f>
        <v>50</v>
      </c>
      <c r="L212" s="691"/>
      <c r="M212" s="691"/>
    </row>
    <row r="213" spans="1:13" x14ac:dyDescent="0.25">
      <c r="A213" s="1750"/>
      <c r="B213" s="1750"/>
      <c r="C213" s="2522" t="s">
        <v>4137</v>
      </c>
      <c r="D213" s="2522" t="s">
        <v>4138</v>
      </c>
      <c r="E213" s="1281">
        <v>18</v>
      </c>
      <c r="F213" s="2529">
        <v>50</v>
      </c>
      <c r="G213" s="2529">
        <f>+E213*F213</f>
        <v>900</v>
      </c>
      <c r="L213" s="691"/>
      <c r="M213" s="691"/>
    </row>
    <row r="214" spans="1:13" x14ac:dyDescent="0.25">
      <c r="A214" s="1750"/>
      <c r="B214" s="1750"/>
      <c r="C214" s="2522" t="s">
        <v>4139</v>
      </c>
      <c r="D214" s="2522" t="s">
        <v>4140</v>
      </c>
      <c r="E214" s="1279">
        <f>+E212</f>
        <v>5</v>
      </c>
      <c r="F214" s="2529">
        <v>10</v>
      </c>
      <c r="G214" s="2529">
        <f>+E214*(F214*2)*3</f>
        <v>300</v>
      </c>
      <c r="L214" s="691"/>
      <c r="M214" s="691"/>
    </row>
    <row r="215" spans="1:13" x14ac:dyDescent="0.25">
      <c r="A215" s="1750"/>
      <c r="B215" s="1750"/>
      <c r="C215" s="2379"/>
      <c r="D215" s="2543"/>
      <c r="E215" s="2379"/>
      <c r="F215" s="2151" t="s">
        <v>4141</v>
      </c>
      <c r="G215" s="2550">
        <f>+SUM(G209:G214)</f>
        <v>3280</v>
      </c>
      <c r="L215" s="691"/>
      <c r="M215" s="691"/>
    </row>
    <row r="216" spans="1:13" x14ac:dyDescent="0.25">
      <c r="A216" s="1750"/>
      <c r="B216" s="1750"/>
      <c r="L216" s="691"/>
      <c r="M216" s="691"/>
    </row>
    <row r="217" spans="1:13" x14ac:dyDescent="0.25">
      <c r="A217" s="1750"/>
      <c r="B217" s="1750"/>
      <c r="C217" s="4762"/>
      <c r="D217" s="4762"/>
      <c r="E217" s="4762"/>
      <c r="F217" s="4762"/>
      <c r="G217" s="4762"/>
      <c r="L217" s="691"/>
      <c r="M217" s="691"/>
    </row>
    <row r="218" spans="1:13" x14ac:dyDescent="0.25">
      <c r="A218" s="1750"/>
      <c r="B218" s="1750">
        <v>13</v>
      </c>
      <c r="C218" s="4761" t="s">
        <v>4101</v>
      </c>
      <c r="D218" s="4761"/>
      <c r="E218" s="4761"/>
      <c r="F218" s="4761"/>
      <c r="G218" s="4761"/>
      <c r="L218" s="691"/>
      <c r="M218" s="691"/>
    </row>
    <row r="219" spans="1:13" ht="40.5" x14ac:dyDescent="0.25">
      <c r="A219" s="1750"/>
      <c r="B219" s="1750"/>
      <c r="C219" s="917" t="s">
        <v>4128</v>
      </c>
      <c r="D219" s="1329" t="s">
        <v>2978</v>
      </c>
      <c r="E219" s="1329" t="s">
        <v>3847</v>
      </c>
      <c r="F219" s="1329" t="s">
        <v>4129</v>
      </c>
      <c r="G219" s="918" t="s">
        <v>4130</v>
      </c>
      <c r="L219" s="691"/>
      <c r="M219" s="691"/>
    </row>
    <row r="220" spans="1:13" x14ac:dyDescent="0.25">
      <c r="A220" s="1750"/>
      <c r="B220" s="1750"/>
      <c r="C220" s="2522" t="s">
        <v>4132</v>
      </c>
      <c r="D220" s="2522" t="s">
        <v>405</v>
      </c>
      <c r="E220" s="1281">
        <v>3</v>
      </c>
      <c r="F220" s="2529">
        <v>350</v>
      </c>
      <c r="G220" s="2529">
        <f>+E220*F220</f>
        <v>1050</v>
      </c>
      <c r="L220" s="691"/>
      <c r="M220" s="691"/>
    </row>
    <row r="221" spans="1:13" x14ac:dyDescent="0.25">
      <c r="A221" s="1750"/>
      <c r="B221" s="1750"/>
      <c r="C221" s="2522" t="s">
        <v>4132</v>
      </c>
      <c r="D221" s="2522" t="s">
        <v>405</v>
      </c>
      <c r="E221" s="1281">
        <v>3</v>
      </c>
      <c r="F221" s="2529">
        <v>260</v>
      </c>
      <c r="G221" s="2529">
        <f>+E221*F221</f>
        <v>780</v>
      </c>
      <c r="L221" s="691"/>
      <c r="M221" s="691"/>
    </row>
    <row r="222" spans="1:13" x14ac:dyDescent="0.25">
      <c r="A222" s="1750"/>
      <c r="B222" s="1750"/>
      <c r="C222" s="2522" t="s">
        <v>4133</v>
      </c>
      <c r="D222" s="2522" t="s">
        <v>4134</v>
      </c>
      <c r="E222" s="1281">
        <v>1</v>
      </c>
      <c r="F222" s="2529">
        <v>200</v>
      </c>
      <c r="G222" s="2529">
        <f t="shared" ref="G222" si="23">+E222*F222</f>
        <v>200</v>
      </c>
      <c r="L222" s="691"/>
      <c r="M222" s="691"/>
    </row>
    <row r="223" spans="1:13" x14ac:dyDescent="0.25">
      <c r="A223" s="1750"/>
      <c r="B223" s="1750"/>
      <c r="C223" s="2522" t="s">
        <v>4135</v>
      </c>
      <c r="D223" s="2522" t="s">
        <v>4136</v>
      </c>
      <c r="E223" s="2519">
        <f>T28</f>
        <v>35</v>
      </c>
      <c r="F223" s="2529">
        <v>10</v>
      </c>
      <c r="G223" s="2529">
        <f>+E223*F223</f>
        <v>350</v>
      </c>
      <c r="L223" s="691"/>
      <c r="M223" s="691"/>
    </row>
    <row r="224" spans="1:13" x14ac:dyDescent="0.25">
      <c r="A224" s="1750"/>
      <c r="B224" s="1750"/>
      <c r="C224" s="2522" t="s">
        <v>4137</v>
      </c>
      <c r="D224" s="2522" t="s">
        <v>4138</v>
      </c>
      <c r="E224" s="1281">
        <v>18</v>
      </c>
      <c r="F224" s="2529">
        <v>50</v>
      </c>
      <c r="G224" s="2529">
        <f>+E224*F224</f>
        <v>900</v>
      </c>
      <c r="L224" s="691"/>
      <c r="M224" s="691"/>
    </row>
    <row r="225" spans="1:13" x14ac:dyDescent="0.25">
      <c r="A225" s="1750"/>
      <c r="B225" s="1750"/>
      <c r="C225" s="2522" t="s">
        <v>4139</v>
      </c>
      <c r="D225" s="2522" t="s">
        <v>4140</v>
      </c>
      <c r="E225" s="1279">
        <f>+E223</f>
        <v>35</v>
      </c>
      <c r="F225" s="2529">
        <v>10</v>
      </c>
      <c r="G225" s="2529">
        <f>+E225*(F225*2)*3</f>
        <v>2100</v>
      </c>
      <c r="L225" s="691"/>
      <c r="M225" s="691"/>
    </row>
    <row r="226" spans="1:13" x14ac:dyDescent="0.25">
      <c r="A226" s="1750"/>
      <c r="B226" s="1750"/>
      <c r="C226" s="2379"/>
      <c r="D226" s="2543"/>
      <c r="E226" s="2379"/>
      <c r="F226" s="2151" t="s">
        <v>4141</v>
      </c>
      <c r="G226" s="2550">
        <f>+SUM(G220:G225)</f>
        <v>5380</v>
      </c>
      <c r="H226" s="689"/>
      <c r="L226" s="691"/>
      <c r="M226" s="691"/>
    </row>
    <row r="227" spans="1:13" x14ac:dyDescent="0.25">
      <c r="A227" s="1750"/>
      <c r="B227" s="1750"/>
      <c r="C227" s="689"/>
      <c r="L227" s="691"/>
      <c r="M227" s="691"/>
    </row>
    <row r="228" spans="1:13" x14ac:dyDescent="0.25">
      <c r="A228" s="1750"/>
      <c r="B228" s="1750"/>
      <c r="C228" s="689"/>
      <c r="H228" s="689"/>
      <c r="L228" s="691"/>
      <c r="M228" s="691"/>
    </row>
    <row r="229" spans="1:13" x14ac:dyDescent="0.25">
      <c r="A229" s="1750"/>
      <c r="B229" s="1750">
        <v>14</v>
      </c>
      <c r="C229" s="4756" t="s">
        <v>4149</v>
      </c>
      <c r="D229" s="4756"/>
      <c r="E229" s="4756"/>
      <c r="F229" s="4756"/>
      <c r="G229" s="4756"/>
      <c r="L229" s="691"/>
      <c r="M229" s="691"/>
    </row>
    <row r="230" spans="1:13" ht="40.5" x14ac:dyDescent="0.25">
      <c r="A230" s="1750"/>
      <c r="B230" s="1750"/>
      <c r="C230" s="917" t="s">
        <v>4128</v>
      </c>
      <c r="D230" s="1329" t="s">
        <v>2978</v>
      </c>
      <c r="E230" s="1329" t="s">
        <v>3847</v>
      </c>
      <c r="F230" s="1329" t="s">
        <v>4129</v>
      </c>
      <c r="G230" s="918" t="s">
        <v>4130</v>
      </c>
      <c r="L230" s="691"/>
      <c r="M230" s="691"/>
    </row>
    <row r="231" spans="1:13" x14ac:dyDescent="0.25">
      <c r="A231" s="1750"/>
      <c r="B231" s="1750"/>
      <c r="C231" s="2522" t="s">
        <v>4132</v>
      </c>
      <c r="D231" s="2522" t="s">
        <v>405</v>
      </c>
      <c r="E231" s="1281">
        <v>3</v>
      </c>
      <c r="F231" s="2529">
        <v>350</v>
      </c>
      <c r="G231" s="2529">
        <f>+E231*F231</f>
        <v>1050</v>
      </c>
      <c r="L231" s="691"/>
      <c r="M231" s="691"/>
    </row>
    <row r="232" spans="1:13" x14ac:dyDescent="0.25">
      <c r="A232" s="1750"/>
      <c r="B232" s="1750"/>
      <c r="C232" s="2522" t="s">
        <v>4132</v>
      </c>
      <c r="D232" s="2522" t="s">
        <v>405</v>
      </c>
      <c r="E232" s="1281">
        <v>3</v>
      </c>
      <c r="F232" s="2529">
        <v>260</v>
      </c>
      <c r="G232" s="2529">
        <f>+E232*F232</f>
        <v>780</v>
      </c>
      <c r="L232" s="691"/>
      <c r="M232" s="691"/>
    </row>
    <row r="233" spans="1:13" x14ac:dyDescent="0.25">
      <c r="A233" s="1750"/>
      <c r="B233" s="1750"/>
      <c r="C233" s="2522" t="s">
        <v>4133</v>
      </c>
      <c r="D233" s="2522" t="s">
        <v>4134</v>
      </c>
      <c r="E233" s="1281">
        <v>1</v>
      </c>
      <c r="F233" s="2529">
        <v>200</v>
      </c>
      <c r="G233" s="2529">
        <f t="shared" ref="G233" si="24">+E233*F233</f>
        <v>200</v>
      </c>
      <c r="L233" s="691"/>
      <c r="M233" s="691"/>
    </row>
    <row r="234" spans="1:13" x14ac:dyDescent="0.25">
      <c r="A234" s="1750"/>
      <c r="B234" s="1750"/>
      <c r="C234" s="2522" t="s">
        <v>4135</v>
      </c>
      <c r="D234" s="2522" t="s">
        <v>4136</v>
      </c>
      <c r="E234" s="2519">
        <f>T12+T16</f>
        <v>1</v>
      </c>
      <c r="F234" s="2529">
        <v>10</v>
      </c>
      <c r="G234" s="2529">
        <f>+E234*F234</f>
        <v>10</v>
      </c>
      <c r="L234" s="691"/>
      <c r="M234" s="691"/>
    </row>
    <row r="235" spans="1:13" x14ac:dyDescent="0.25">
      <c r="A235" s="1750"/>
      <c r="B235" s="1750"/>
      <c r="C235" s="2522" t="s">
        <v>4137</v>
      </c>
      <c r="D235" s="2522" t="s">
        <v>4138</v>
      </c>
      <c r="E235" s="1281">
        <v>18</v>
      </c>
      <c r="F235" s="2529">
        <v>50</v>
      </c>
      <c r="G235" s="2529">
        <f>+E235*F235</f>
        <v>900</v>
      </c>
      <c r="L235" s="691"/>
      <c r="M235" s="691"/>
    </row>
    <row r="236" spans="1:13" x14ac:dyDescent="0.25">
      <c r="A236" s="1750"/>
      <c r="B236" s="1750"/>
      <c r="C236" s="2522" t="s">
        <v>4139</v>
      </c>
      <c r="D236" s="2522" t="s">
        <v>4140</v>
      </c>
      <c r="E236" s="1279">
        <f>+E234</f>
        <v>1</v>
      </c>
      <c r="F236" s="2529">
        <v>10</v>
      </c>
      <c r="G236" s="2529">
        <f>+E236*(F236*2)*3</f>
        <v>60</v>
      </c>
      <c r="L236" s="691"/>
      <c r="M236" s="691"/>
    </row>
    <row r="237" spans="1:13" x14ac:dyDescent="0.25">
      <c r="A237" s="1750"/>
      <c r="B237" s="1750"/>
      <c r="C237" s="2379"/>
      <c r="D237" s="2536"/>
      <c r="E237" s="2536"/>
      <c r="F237" s="2151" t="s">
        <v>4141</v>
      </c>
      <c r="G237" s="2550">
        <f>+SUM(G231:G236)</f>
        <v>3000</v>
      </c>
      <c r="H237" s="1144"/>
      <c r="L237" s="691"/>
      <c r="M237" s="691"/>
    </row>
    <row r="238" spans="1:13" x14ac:dyDescent="0.25">
      <c r="A238" s="1750"/>
      <c r="B238" s="1750"/>
      <c r="C238" s="689"/>
      <c r="L238" s="691"/>
      <c r="M238" s="691"/>
    </row>
    <row r="239" spans="1:13" x14ac:dyDescent="0.25">
      <c r="A239" s="1750"/>
      <c r="B239" s="1750">
        <v>15</v>
      </c>
      <c r="C239" s="4756" t="s">
        <v>4150</v>
      </c>
      <c r="D239" s="4756"/>
      <c r="E239" s="4756"/>
      <c r="F239" s="4756"/>
      <c r="G239" s="4756"/>
      <c r="L239" s="691"/>
      <c r="M239" s="691"/>
    </row>
    <row r="240" spans="1:13" ht="40.5" x14ac:dyDescent="0.25">
      <c r="A240" s="1750"/>
      <c r="B240" s="1750"/>
      <c r="C240" s="917" t="s">
        <v>4128</v>
      </c>
      <c r="D240" s="1329" t="s">
        <v>2978</v>
      </c>
      <c r="E240" s="1329" t="s">
        <v>3847</v>
      </c>
      <c r="F240" s="1329" t="s">
        <v>4129</v>
      </c>
      <c r="G240" s="918" t="s">
        <v>4130</v>
      </c>
      <c r="L240" s="691"/>
      <c r="M240" s="691"/>
    </row>
    <row r="241" spans="1:13" x14ac:dyDescent="0.25">
      <c r="A241" s="1750"/>
      <c r="B241" s="1750"/>
      <c r="C241" s="2522" t="s">
        <v>4132</v>
      </c>
      <c r="D241" s="2522" t="s">
        <v>405</v>
      </c>
      <c r="E241" s="1281">
        <v>3</v>
      </c>
      <c r="F241" s="2529">
        <v>350</v>
      </c>
      <c r="G241" s="2529">
        <f>+E241*F241</f>
        <v>1050</v>
      </c>
      <c r="L241" s="691"/>
      <c r="M241" s="691"/>
    </row>
    <row r="242" spans="1:13" x14ac:dyDescent="0.25">
      <c r="A242" s="1750"/>
      <c r="B242" s="1750"/>
      <c r="C242" s="2522" t="s">
        <v>4132</v>
      </c>
      <c r="D242" s="2522" t="s">
        <v>405</v>
      </c>
      <c r="E242" s="1281">
        <v>3</v>
      </c>
      <c r="F242" s="2529">
        <v>260</v>
      </c>
      <c r="G242" s="2529">
        <f>+E242*F242</f>
        <v>780</v>
      </c>
      <c r="L242" s="691"/>
      <c r="M242" s="691"/>
    </row>
    <row r="243" spans="1:13" x14ac:dyDescent="0.25">
      <c r="A243" s="1750"/>
      <c r="B243" s="1750"/>
      <c r="C243" s="2522" t="s">
        <v>4133</v>
      </c>
      <c r="D243" s="2522" t="s">
        <v>4134</v>
      </c>
      <c r="E243" s="1281">
        <v>1</v>
      </c>
      <c r="F243" s="2529">
        <v>200</v>
      </c>
      <c r="G243" s="2529">
        <f t="shared" ref="G243" si="25">+E243*F243</f>
        <v>200</v>
      </c>
      <c r="L243" s="691"/>
      <c r="M243" s="691"/>
    </row>
    <row r="244" spans="1:13" x14ac:dyDescent="0.25">
      <c r="A244" s="1750"/>
      <c r="B244" s="1750"/>
      <c r="C244" s="2522" t="s">
        <v>4135</v>
      </c>
      <c r="D244" s="2522" t="s">
        <v>4136</v>
      </c>
      <c r="E244" s="2519">
        <f>T28</f>
        <v>35</v>
      </c>
      <c r="F244" s="2529">
        <v>10</v>
      </c>
      <c r="G244" s="2529">
        <f>+E244*F244</f>
        <v>350</v>
      </c>
      <c r="L244" s="691"/>
      <c r="M244" s="691"/>
    </row>
    <row r="245" spans="1:13" x14ac:dyDescent="0.25">
      <c r="A245" s="1750"/>
      <c r="B245" s="1750"/>
      <c r="C245" s="2522" t="s">
        <v>4137</v>
      </c>
      <c r="D245" s="2522" t="s">
        <v>4138</v>
      </c>
      <c r="E245" s="1281">
        <v>18</v>
      </c>
      <c r="F245" s="2529">
        <v>50</v>
      </c>
      <c r="G245" s="2529">
        <f>+E245*F245</f>
        <v>900</v>
      </c>
      <c r="L245" s="691"/>
      <c r="M245" s="691"/>
    </row>
    <row r="246" spans="1:13" x14ac:dyDescent="0.25">
      <c r="A246" s="1750"/>
      <c r="B246" s="1750"/>
      <c r="C246" s="2522" t="s">
        <v>4139</v>
      </c>
      <c r="D246" s="2522" t="s">
        <v>4140</v>
      </c>
      <c r="E246" s="1279">
        <f>+E244</f>
        <v>35</v>
      </c>
      <c r="F246" s="2529">
        <v>10</v>
      </c>
      <c r="G246" s="2529">
        <f>+E246*(F246*2)*3</f>
        <v>2100</v>
      </c>
      <c r="L246" s="691"/>
      <c r="M246" s="691"/>
    </row>
    <row r="247" spans="1:13" x14ac:dyDescent="0.25">
      <c r="A247" s="1750"/>
      <c r="B247" s="1750"/>
      <c r="C247" s="2379"/>
      <c r="D247" s="2536"/>
      <c r="E247" s="2536"/>
      <c r="F247" s="2151" t="s">
        <v>4141</v>
      </c>
      <c r="G247" s="2550">
        <f>+SUM(G241:G246)</f>
        <v>5380</v>
      </c>
      <c r="H247" s="689"/>
      <c r="L247" s="691"/>
      <c r="M247" s="691"/>
    </row>
    <row r="248" spans="1:13" x14ac:dyDescent="0.25">
      <c r="A248" s="1750"/>
      <c r="B248" s="1750"/>
      <c r="L248" s="691"/>
      <c r="M248" s="691"/>
    </row>
    <row r="249" spans="1:13" x14ac:dyDescent="0.25">
      <c r="A249" s="1750"/>
      <c r="B249" s="1750">
        <v>16</v>
      </c>
      <c r="C249" s="4757" t="s">
        <v>4151</v>
      </c>
      <c r="D249" s="4756"/>
      <c r="L249" s="691"/>
      <c r="M249" s="691"/>
    </row>
    <row r="250" spans="1:13" ht="40.5" x14ac:dyDescent="0.25">
      <c r="A250" s="1750"/>
      <c r="B250" s="1750"/>
      <c r="C250" s="917" t="s">
        <v>4128</v>
      </c>
      <c r="D250" s="1329" t="s">
        <v>2978</v>
      </c>
      <c r="E250" s="1329" t="s">
        <v>3847</v>
      </c>
      <c r="F250" s="1329" t="s">
        <v>4129</v>
      </c>
      <c r="G250" s="918" t="s">
        <v>4130</v>
      </c>
      <c r="L250" s="691"/>
      <c r="M250" s="691"/>
    </row>
    <row r="251" spans="1:13" x14ac:dyDescent="0.25">
      <c r="A251" s="1750"/>
      <c r="B251" s="1750"/>
      <c r="C251" s="2522" t="s">
        <v>4132</v>
      </c>
      <c r="D251" s="2522" t="s">
        <v>405</v>
      </c>
      <c r="E251" s="1281">
        <v>3</v>
      </c>
      <c r="F251" s="2529">
        <v>350</v>
      </c>
      <c r="G251" s="2529">
        <f>+E251*F251</f>
        <v>1050</v>
      </c>
      <c r="L251" s="691"/>
      <c r="M251" s="691"/>
    </row>
    <row r="252" spans="1:13" x14ac:dyDescent="0.25">
      <c r="A252" s="1750"/>
      <c r="B252" s="1750"/>
      <c r="C252" s="2522" t="s">
        <v>4132</v>
      </c>
      <c r="D252" s="2522" t="s">
        <v>405</v>
      </c>
      <c r="E252" s="1281">
        <v>3</v>
      </c>
      <c r="F252" s="2529">
        <v>260</v>
      </c>
      <c r="G252" s="2529">
        <f>+E252*F252</f>
        <v>780</v>
      </c>
      <c r="L252" s="691"/>
      <c r="M252" s="691"/>
    </row>
    <row r="253" spans="1:13" x14ac:dyDescent="0.25">
      <c r="A253" s="1750"/>
      <c r="B253" s="1750"/>
      <c r="C253" s="2522" t="s">
        <v>4133</v>
      </c>
      <c r="D253" s="2522" t="s">
        <v>4134</v>
      </c>
      <c r="E253" s="1281">
        <v>1</v>
      </c>
      <c r="F253" s="2529">
        <v>200</v>
      </c>
      <c r="G253" s="2529">
        <f t="shared" ref="G253" si="26">+E253*F253</f>
        <v>200</v>
      </c>
      <c r="L253" s="691"/>
      <c r="M253" s="691"/>
    </row>
    <row r="254" spans="1:13" x14ac:dyDescent="0.25">
      <c r="A254" s="1750"/>
      <c r="B254" s="1750"/>
      <c r="C254" s="2522" t="s">
        <v>4135</v>
      </c>
      <c r="D254" s="2522" t="s">
        <v>4136</v>
      </c>
      <c r="E254" s="2519">
        <f>T28</f>
        <v>35</v>
      </c>
      <c r="F254" s="2529">
        <v>10</v>
      </c>
      <c r="G254" s="2529">
        <f>+E254*F254</f>
        <v>350</v>
      </c>
      <c r="L254" s="691"/>
      <c r="M254" s="691"/>
    </row>
    <row r="255" spans="1:13" x14ac:dyDescent="0.25">
      <c r="A255" s="1750"/>
      <c r="B255" s="1750"/>
      <c r="C255" s="2522" t="s">
        <v>4137</v>
      </c>
      <c r="D255" s="2522" t="s">
        <v>4138</v>
      </c>
      <c r="E255" s="1281">
        <v>18</v>
      </c>
      <c r="F255" s="2529">
        <v>50</v>
      </c>
      <c r="G255" s="2529">
        <f>+E255*F255</f>
        <v>900</v>
      </c>
      <c r="L255" s="691"/>
      <c r="M255" s="691"/>
    </row>
    <row r="256" spans="1:13" x14ac:dyDescent="0.25">
      <c r="A256" s="1750"/>
      <c r="B256" s="1750"/>
      <c r="C256" s="2522" t="s">
        <v>4139</v>
      </c>
      <c r="D256" s="2522" t="s">
        <v>4140</v>
      </c>
      <c r="E256" s="1279">
        <f>+E254</f>
        <v>35</v>
      </c>
      <c r="F256" s="2529">
        <v>10</v>
      </c>
      <c r="G256" s="2529">
        <f>+E256*(F256*2)*3</f>
        <v>2100</v>
      </c>
      <c r="L256" s="691"/>
      <c r="M256" s="691"/>
    </row>
    <row r="257" spans="1:22" x14ac:dyDescent="0.25">
      <c r="A257" s="1750"/>
      <c r="B257" s="1750"/>
      <c r="C257" s="2379"/>
      <c r="D257" s="2536"/>
      <c r="E257" s="2536"/>
      <c r="F257" s="2151" t="s">
        <v>4141</v>
      </c>
      <c r="G257" s="2550">
        <f>+SUM(G251:G256)</f>
        <v>5380</v>
      </c>
      <c r="L257" s="691"/>
      <c r="M257" s="691"/>
    </row>
    <row r="258" spans="1:22" x14ac:dyDescent="0.25">
      <c r="A258" s="1750"/>
      <c r="B258" s="1750"/>
      <c r="H258" s="689"/>
      <c r="L258" s="691"/>
      <c r="M258" s="691"/>
    </row>
    <row r="259" spans="1:22" x14ac:dyDescent="0.25">
      <c r="A259" s="1750"/>
      <c r="B259" s="1750">
        <v>17</v>
      </c>
      <c r="C259" s="689" t="s">
        <v>4105</v>
      </c>
      <c r="L259" s="691"/>
      <c r="M259" s="691"/>
    </row>
    <row r="260" spans="1:22" ht="40.5" x14ac:dyDescent="0.25">
      <c r="A260" s="1750"/>
      <c r="B260" s="1750"/>
      <c r="C260" s="917" t="s">
        <v>4128</v>
      </c>
      <c r="D260" s="1329" t="s">
        <v>2978</v>
      </c>
      <c r="E260" s="1329" t="s">
        <v>3847</v>
      </c>
      <c r="F260" s="1329" t="s">
        <v>4129</v>
      </c>
      <c r="G260" s="918" t="s">
        <v>4130</v>
      </c>
      <c r="L260" s="691"/>
      <c r="M260" s="691"/>
    </row>
    <row r="261" spans="1:22" x14ac:dyDescent="0.25">
      <c r="A261" s="1750"/>
      <c r="B261" s="1750"/>
      <c r="C261" s="2522" t="s">
        <v>4131</v>
      </c>
      <c r="D261" s="2522" t="s">
        <v>405</v>
      </c>
      <c r="E261" s="1281">
        <v>3</v>
      </c>
      <c r="F261" s="2529">
        <v>350</v>
      </c>
      <c r="G261" s="2529">
        <f>+E261*F261</f>
        <v>1050</v>
      </c>
      <c r="L261" s="691"/>
      <c r="M261" s="691"/>
    </row>
    <row r="262" spans="1:22" x14ac:dyDescent="0.25">
      <c r="A262" s="1750"/>
      <c r="B262" s="1750"/>
      <c r="C262" s="2522" t="s">
        <v>4152</v>
      </c>
      <c r="D262" s="2522" t="s">
        <v>405</v>
      </c>
      <c r="E262" s="1281">
        <v>3</v>
      </c>
      <c r="F262" s="2529">
        <v>260</v>
      </c>
      <c r="G262" s="2529">
        <f>+E262*F262</f>
        <v>780</v>
      </c>
      <c r="L262" s="691"/>
      <c r="M262" s="691"/>
    </row>
    <row r="263" spans="1:22" x14ac:dyDescent="0.25">
      <c r="A263" s="1750"/>
      <c r="B263" s="1750"/>
      <c r="C263" s="2522" t="s">
        <v>4133</v>
      </c>
      <c r="D263" s="2522" t="s">
        <v>4134</v>
      </c>
      <c r="E263" s="1281">
        <v>1</v>
      </c>
      <c r="F263" s="2529">
        <v>200</v>
      </c>
      <c r="G263" s="2529">
        <f t="shared" ref="G263" si="27">+E263*F263</f>
        <v>200</v>
      </c>
      <c r="L263" s="691"/>
      <c r="M263" s="691"/>
    </row>
    <row r="264" spans="1:22" x14ac:dyDescent="0.25">
      <c r="A264" s="1750"/>
      <c r="B264" s="1750"/>
      <c r="C264" s="2522" t="s">
        <v>4135</v>
      </c>
      <c r="D264" s="2522" t="s">
        <v>4136</v>
      </c>
      <c r="E264" s="2519">
        <f>T28</f>
        <v>35</v>
      </c>
      <c r="F264" s="2529">
        <v>10</v>
      </c>
      <c r="G264" s="2529">
        <f>+E264*F264</f>
        <v>350</v>
      </c>
      <c r="L264" s="691"/>
      <c r="M264" s="691"/>
    </row>
    <row r="265" spans="1:22" x14ac:dyDescent="0.25">
      <c r="A265" s="1750"/>
      <c r="B265" s="1750"/>
      <c r="C265" s="2522" t="s">
        <v>4137</v>
      </c>
      <c r="D265" s="2522" t="s">
        <v>4138</v>
      </c>
      <c r="E265" s="1281">
        <v>18</v>
      </c>
      <c r="F265" s="2529">
        <v>50</v>
      </c>
      <c r="G265" s="2529">
        <f>+E265*F265</f>
        <v>900</v>
      </c>
      <c r="L265" s="691"/>
      <c r="M265" s="691"/>
    </row>
    <row r="266" spans="1:22" x14ac:dyDescent="0.25">
      <c r="A266" s="1750"/>
      <c r="B266" s="1750"/>
      <c r="C266" s="2522" t="s">
        <v>4139</v>
      </c>
      <c r="D266" s="2522" t="s">
        <v>4140</v>
      </c>
      <c r="E266" s="1279">
        <f>+E264</f>
        <v>35</v>
      </c>
      <c r="F266" s="2529">
        <v>10</v>
      </c>
      <c r="G266" s="2529">
        <f>+E266*(F266*2)*3</f>
        <v>2100</v>
      </c>
      <c r="L266" s="691"/>
      <c r="M266" s="691"/>
    </row>
    <row r="267" spans="1:22" x14ac:dyDescent="0.25">
      <c r="A267" s="1750"/>
      <c r="B267" s="1750"/>
      <c r="C267" s="2379"/>
      <c r="D267" s="2536"/>
      <c r="E267" s="2536"/>
      <c r="F267" s="2151" t="s">
        <v>4141</v>
      </c>
      <c r="G267" s="2550">
        <f>+SUM(G261:G266)</f>
        <v>5380</v>
      </c>
      <c r="H267" s="689"/>
      <c r="L267" s="691"/>
      <c r="M267" s="691"/>
    </row>
    <row r="268" spans="1:22" x14ac:dyDescent="0.25">
      <c r="A268" s="1750"/>
      <c r="B268" s="1750"/>
      <c r="L268" s="691"/>
      <c r="M268" s="691"/>
    </row>
    <row r="269" spans="1:22" x14ac:dyDescent="0.25">
      <c r="A269" s="1750"/>
      <c r="B269" s="1750"/>
      <c r="L269" s="691"/>
      <c r="M269" s="691"/>
    </row>
    <row r="270" spans="1:22" x14ac:dyDescent="0.25">
      <c r="C270" s="530" t="s">
        <v>4153</v>
      </c>
      <c r="D270" s="2355"/>
      <c r="E270" s="2355"/>
      <c r="F270" s="2355"/>
      <c r="G270" s="2356"/>
      <c r="H270" s="2356"/>
      <c r="I270" s="2487"/>
      <c r="J270" s="2355"/>
      <c r="K270" s="2355"/>
      <c r="L270" s="2355"/>
      <c r="M270" s="2356"/>
      <c r="N270" s="691"/>
      <c r="O270" s="691"/>
      <c r="P270" s="691"/>
      <c r="S270" s="691"/>
      <c r="T270" s="691"/>
      <c r="V270" s="691"/>
    </row>
    <row r="271" spans="1:22" x14ac:dyDescent="0.25">
      <c r="L271" s="691"/>
      <c r="M271" s="691"/>
      <c r="N271" s="691"/>
      <c r="O271" s="691"/>
      <c r="P271" s="691"/>
      <c r="S271" s="691"/>
      <c r="T271" s="691"/>
      <c r="V271" s="691"/>
    </row>
    <row r="272" spans="1:22" s="689" customFormat="1" ht="33" customHeight="1" x14ac:dyDescent="0.25">
      <c r="B272" s="1750">
        <v>1</v>
      </c>
      <c r="C272" s="4756" t="s">
        <v>4154</v>
      </c>
      <c r="D272" s="4756"/>
      <c r="E272" s="4756"/>
      <c r="F272" s="4756"/>
      <c r="G272" s="4756"/>
      <c r="H272" s="4756"/>
    </row>
    <row r="273" spans="1:22" x14ac:dyDescent="0.25">
      <c r="C273" s="917" t="s">
        <v>4128</v>
      </c>
      <c r="D273" s="1329" t="s">
        <v>2978</v>
      </c>
      <c r="E273" s="1329" t="s">
        <v>3847</v>
      </c>
      <c r="F273" s="1329" t="s">
        <v>4155</v>
      </c>
      <c r="G273" s="1329" t="s">
        <v>4156</v>
      </c>
      <c r="H273" s="918" t="s">
        <v>4067</v>
      </c>
      <c r="L273" s="691"/>
      <c r="M273" s="691"/>
      <c r="N273" s="691"/>
      <c r="O273" s="691"/>
      <c r="P273" s="691"/>
      <c r="S273" s="691"/>
      <c r="T273" s="691"/>
      <c r="V273" s="691"/>
    </row>
    <row r="274" spans="1:22" ht="29.25" customHeight="1" x14ac:dyDescent="0.25">
      <c r="C274" s="2366" t="s">
        <v>4157</v>
      </c>
      <c r="D274" s="2522" t="s">
        <v>4158</v>
      </c>
      <c r="E274" s="2519">
        <f>+T8+T15</f>
        <v>1</v>
      </c>
      <c r="F274" s="1281">
        <v>8</v>
      </c>
      <c r="G274" s="2529">
        <f>280*F274</f>
        <v>2240</v>
      </c>
      <c r="H274" s="2529">
        <f>+E274*G274</f>
        <v>2240</v>
      </c>
      <c r="L274" s="691"/>
      <c r="M274" s="691"/>
      <c r="N274" s="691"/>
      <c r="O274" s="691"/>
      <c r="P274" s="691"/>
      <c r="S274" s="691"/>
      <c r="T274" s="691"/>
      <c r="V274" s="691"/>
    </row>
    <row r="275" spans="1:22" x14ac:dyDescent="0.25">
      <c r="C275" s="2522" t="s">
        <v>4159</v>
      </c>
      <c r="D275" s="2522" t="s">
        <v>4158</v>
      </c>
      <c r="E275" s="2519">
        <v>1</v>
      </c>
      <c r="F275" s="1281">
        <v>8</v>
      </c>
      <c r="G275" s="2529">
        <v>250</v>
      </c>
      <c r="H275" s="2529">
        <f>G275*F275</f>
        <v>2000</v>
      </c>
      <c r="L275" s="691"/>
      <c r="M275" s="691"/>
      <c r="N275" s="691"/>
      <c r="O275" s="691"/>
      <c r="P275" s="691"/>
      <c r="S275" s="691"/>
      <c r="T275" s="691"/>
      <c r="V275" s="691"/>
    </row>
    <row r="276" spans="1:22" x14ac:dyDescent="0.25">
      <c r="C276" s="2522" t="s">
        <v>4160</v>
      </c>
      <c r="D276" s="2522" t="s">
        <v>4134</v>
      </c>
      <c r="E276" s="2519">
        <f>+E274</f>
        <v>1</v>
      </c>
      <c r="F276" s="1281"/>
      <c r="G276" s="2529">
        <v>320</v>
      </c>
      <c r="H276" s="2529">
        <f>+E276*G276</f>
        <v>320</v>
      </c>
      <c r="L276" s="691"/>
      <c r="M276" s="691"/>
      <c r="N276" s="691"/>
      <c r="O276" s="691"/>
      <c r="P276" s="691"/>
      <c r="S276" s="691"/>
      <c r="T276" s="691"/>
      <c r="V276" s="691"/>
    </row>
    <row r="277" spans="1:22" x14ac:dyDescent="0.25">
      <c r="C277" s="2379"/>
      <c r="D277" s="2379"/>
      <c r="E277" s="2379"/>
      <c r="F277" s="2379"/>
      <c r="G277" s="2439" t="s">
        <v>4141</v>
      </c>
      <c r="H277" s="2535">
        <f>SUM(H274:H276)</f>
        <v>4560</v>
      </c>
      <c r="L277" s="691"/>
      <c r="M277" s="691"/>
      <c r="N277" s="691"/>
      <c r="O277" s="691"/>
      <c r="P277" s="691"/>
      <c r="S277" s="691"/>
      <c r="T277" s="691"/>
      <c r="V277" s="691"/>
    </row>
    <row r="278" spans="1:22" x14ac:dyDescent="0.25">
      <c r="L278" s="691"/>
      <c r="M278" s="691"/>
      <c r="N278" s="691"/>
      <c r="O278" s="691"/>
      <c r="P278" s="691"/>
      <c r="S278" s="691"/>
      <c r="T278" s="691"/>
      <c r="V278" s="691"/>
    </row>
    <row r="279" spans="1:22" x14ac:dyDescent="0.25">
      <c r="C279" s="2491"/>
      <c r="D279" s="2491"/>
      <c r="E279" s="2491"/>
      <c r="F279" s="2491"/>
      <c r="G279" s="2492" t="s">
        <v>4141</v>
      </c>
      <c r="H279" s="2493" t="e">
        <f>+SUM(#REF!)</f>
        <v>#REF!</v>
      </c>
      <c r="L279" s="691"/>
      <c r="M279" s="691"/>
      <c r="N279" s="691"/>
      <c r="O279" s="691"/>
      <c r="P279" s="691"/>
      <c r="S279" s="691"/>
      <c r="T279" s="691"/>
      <c r="V279" s="691"/>
    </row>
    <row r="280" spans="1:22" x14ac:dyDescent="0.25">
      <c r="A280" s="1750"/>
      <c r="L280" s="691"/>
      <c r="M280" s="691"/>
    </row>
    <row r="281" spans="1:22" x14ac:dyDescent="0.25">
      <c r="A281" s="1750"/>
      <c r="C281" s="689" t="s">
        <v>4161</v>
      </c>
      <c r="L281" s="691"/>
      <c r="M281" s="691"/>
    </row>
    <row r="282" spans="1:22" x14ac:dyDescent="0.25">
      <c r="A282" s="1750"/>
      <c r="L282" s="691"/>
      <c r="M282" s="691"/>
    </row>
    <row r="283" spans="1:22" ht="27" x14ac:dyDescent="0.25">
      <c r="A283" s="1750"/>
      <c r="B283" s="917" t="s">
        <v>62</v>
      </c>
      <c r="C283" s="1329" t="s">
        <v>165</v>
      </c>
      <c r="D283" s="1329" t="s">
        <v>3899</v>
      </c>
      <c r="E283" s="1329" t="s">
        <v>3847</v>
      </c>
      <c r="F283" s="1329" t="s">
        <v>4112</v>
      </c>
      <c r="G283" s="918" t="s">
        <v>4113</v>
      </c>
      <c r="L283" s="691"/>
      <c r="M283" s="691"/>
    </row>
    <row r="284" spans="1:22" x14ac:dyDescent="0.25">
      <c r="B284" s="2525">
        <v>1</v>
      </c>
      <c r="C284" s="2523" t="s">
        <v>4114</v>
      </c>
      <c r="D284" s="2525" t="s">
        <v>4115</v>
      </c>
      <c r="E284" s="2525">
        <v>1</v>
      </c>
      <c r="F284" s="2524">
        <v>2500</v>
      </c>
      <c r="G284" s="2524">
        <f>+E284*F284</f>
        <v>2500</v>
      </c>
      <c r="L284" s="691"/>
      <c r="M284" s="691"/>
      <c r="N284" s="691"/>
      <c r="O284" s="691"/>
      <c r="P284" s="691"/>
      <c r="S284" s="691"/>
      <c r="T284" s="691"/>
    </row>
    <row r="285" spans="1:22" x14ac:dyDescent="0.25">
      <c r="B285" s="2525"/>
      <c r="C285" s="2523" t="s">
        <v>4116</v>
      </c>
      <c r="D285" s="2525" t="s">
        <v>4117</v>
      </c>
      <c r="E285" s="2525">
        <v>1</v>
      </c>
      <c r="F285" s="2524">
        <v>2500</v>
      </c>
      <c r="G285" s="2524">
        <f t="shared" ref="G285:G290" si="28">+E285*F285</f>
        <v>2500</v>
      </c>
      <c r="L285" s="691"/>
      <c r="M285" s="691"/>
      <c r="N285" s="691"/>
      <c r="O285" s="691"/>
      <c r="P285" s="691"/>
      <c r="S285" s="691"/>
      <c r="T285" s="691"/>
    </row>
    <row r="286" spans="1:22" x14ac:dyDescent="0.25">
      <c r="B286" s="2525">
        <v>2</v>
      </c>
      <c r="C286" s="2527" t="s">
        <v>4118</v>
      </c>
      <c r="D286" s="2525" t="s">
        <v>4117</v>
      </c>
      <c r="E286" s="2525">
        <v>24</v>
      </c>
      <c r="F286" s="2524">
        <v>250</v>
      </c>
      <c r="G286" s="2524">
        <f t="shared" si="28"/>
        <v>6000</v>
      </c>
      <c r="L286" s="691"/>
      <c r="M286" s="691"/>
      <c r="N286" s="691"/>
      <c r="O286" s="691"/>
      <c r="P286" s="691"/>
      <c r="S286" s="691"/>
      <c r="T286" s="691"/>
    </row>
    <row r="287" spans="1:22" x14ac:dyDescent="0.25">
      <c r="B287" s="2525">
        <v>3</v>
      </c>
      <c r="C287" s="2527" t="s">
        <v>4119</v>
      </c>
      <c r="D287" s="2525" t="s">
        <v>4120</v>
      </c>
      <c r="E287" s="2525">
        <v>8</v>
      </c>
      <c r="F287" s="2524">
        <v>250</v>
      </c>
      <c r="G287" s="2524">
        <f t="shared" si="28"/>
        <v>2000</v>
      </c>
      <c r="L287" s="691"/>
      <c r="M287" s="691"/>
      <c r="N287" s="691"/>
      <c r="O287" s="691"/>
      <c r="P287" s="691"/>
      <c r="S287" s="691"/>
      <c r="T287" s="691"/>
    </row>
    <row r="288" spans="1:22" ht="27" x14ac:dyDescent="0.25">
      <c r="B288" s="2525">
        <v>4</v>
      </c>
      <c r="C288" s="2523" t="s">
        <v>4121</v>
      </c>
      <c r="D288" s="2525" t="s">
        <v>4120</v>
      </c>
      <c r="E288" s="2525">
        <v>1</v>
      </c>
      <c r="F288" s="2524">
        <v>5000</v>
      </c>
      <c r="G288" s="2524">
        <f t="shared" si="28"/>
        <v>5000</v>
      </c>
      <c r="L288" s="691"/>
      <c r="M288" s="691"/>
      <c r="N288" s="691"/>
      <c r="O288" s="691"/>
      <c r="P288" s="691"/>
      <c r="S288" s="691"/>
      <c r="T288" s="691"/>
    </row>
    <row r="289" spans="2:20" x14ac:dyDescent="0.25">
      <c r="B289" s="2525">
        <v>5</v>
      </c>
      <c r="C289" s="2523" t="s">
        <v>4122</v>
      </c>
      <c r="D289" s="2528" t="s">
        <v>4117</v>
      </c>
      <c r="E289" s="2525">
        <v>1</v>
      </c>
      <c r="F289" s="2524">
        <v>5000</v>
      </c>
      <c r="G289" s="2524">
        <f t="shared" si="28"/>
        <v>5000</v>
      </c>
      <c r="L289" s="691"/>
      <c r="M289" s="691"/>
      <c r="N289" s="691"/>
      <c r="O289" s="691"/>
      <c r="P289" s="691"/>
      <c r="S289" s="691"/>
      <c r="T289" s="691"/>
    </row>
    <row r="290" spans="2:20" x14ac:dyDescent="0.25">
      <c r="B290" s="2525"/>
      <c r="C290" s="2523" t="s">
        <v>4123</v>
      </c>
      <c r="D290" s="2528" t="s">
        <v>4124</v>
      </c>
      <c r="E290" s="2525">
        <v>2</v>
      </c>
      <c r="F290" s="2524">
        <v>3500</v>
      </c>
      <c r="G290" s="2524">
        <f t="shared" si="28"/>
        <v>7000</v>
      </c>
      <c r="L290" s="691"/>
      <c r="M290" s="691"/>
      <c r="N290" s="691"/>
      <c r="O290" s="691"/>
      <c r="P290" s="691"/>
      <c r="S290" s="691"/>
      <c r="T290" s="691"/>
    </row>
    <row r="291" spans="2:20" x14ac:dyDescent="0.25">
      <c r="B291" s="2536"/>
      <c r="C291" s="2534" t="s">
        <v>4125</v>
      </c>
      <c r="D291" s="2542"/>
      <c r="E291" s="2542"/>
      <c r="F291" s="2542"/>
      <c r="G291" s="2549">
        <f>SUM(G284:G290)</f>
        <v>30000</v>
      </c>
      <c r="L291" s="691"/>
      <c r="M291" s="691"/>
      <c r="N291" s="691"/>
      <c r="O291" s="691"/>
      <c r="P291" s="691"/>
      <c r="S291" s="691"/>
      <c r="T291" s="691"/>
    </row>
    <row r="292" spans="2:20" x14ac:dyDescent="0.25">
      <c r="L292" s="691"/>
      <c r="M292" s="691"/>
      <c r="N292" s="691"/>
      <c r="O292" s="691"/>
      <c r="P292" s="691"/>
      <c r="S292" s="691"/>
      <c r="T292" s="691"/>
    </row>
    <row r="293" spans="2:20" x14ac:dyDescent="0.25">
      <c r="L293" s="691"/>
      <c r="M293" s="691"/>
      <c r="N293" s="691"/>
      <c r="O293" s="691"/>
      <c r="P293" s="691"/>
      <c r="S293" s="691"/>
      <c r="T293" s="691"/>
    </row>
    <row r="294" spans="2:20" x14ac:dyDescent="0.25">
      <c r="L294" s="691"/>
      <c r="M294" s="691"/>
      <c r="N294" s="691"/>
      <c r="O294" s="691"/>
      <c r="P294" s="691"/>
      <c r="S294" s="691"/>
      <c r="T294" s="691"/>
    </row>
    <row r="295" spans="2:20" x14ac:dyDescent="0.25">
      <c r="L295" s="691"/>
      <c r="M295" s="691"/>
      <c r="N295" s="691"/>
      <c r="O295" s="691"/>
      <c r="P295" s="691"/>
      <c r="S295" s="691"/>
      <c r="T295" s="691"/>
    </row>
    <row r="296" spans="2:20" x14ac:dyDescent="0.25">
      <c r="L296" s="691"/>
      <c r="M296" s="691"/>
      <c r="N296" s="691"/>
      <c r="O296" s="691"/>
      <c r="P296" s="691"/>
      <c r="S296" s="691"/>
      <c r="T296" s="691"/>
    </row>
    <row r="297" spans="2:20" x14ac:dyDescent="0.25">
      <c r="L297" s="691"/>
      <c r="M297" s="691"/>
      <c r="N297" s="691"/>
      <c r="O297" s="691"/>
      <c r="P297" s="691"/>
      <c r="S297" s="691"/>
      <c r="T297" s="691"/>
    </row>
    <row r="298" spans="2:20" x14ac:dyDescent="0.25">
      <c r="L298" s="691"/>
      <c r="M298" s="691"/>
      <c r="N298" s="691"/>
      <c r="O298" s="691"/>
      <c r="P298" s="691"/>
      <c r="S298" s="691"/>
      <c r="T298" s="691"/>
    </row>
    <row r="299" spans="2:20" x14ac:dyDescent="0.25">
      <c r="L299" s="691"/>
      <c r="M299" s="691"/>
      <c r="N299" s="691"/>
      <c r="O299" s="691"/>
      <c r="P299" s="691"/>
      <c r="S299" s="691"/>
      <c r="T299" s="691"/>
    </row>
    <row r="300" spans="2:20" x14ac:dyDescent="0.25">
      <c r="L300" s="691"/>
      <c r="M300" s="691"/>
      <c r="N300" s="691"/>
      <c r="O300" s="691"/>
      <c r="P300" s="691"/>
      <c r="S300" s="691"/>
      <c r="T300" s="691"/>
    </row>
    <row r="301" spans="2:20" x14ac:dyDescent="0.25">
      <c r="L301" s="691"/>
      <c r="M301" s="691"/>
      <c r="N301" s="691"/>
      <c r="O301" s="691"/>
      <c r="P301" s="691"/>
      <c r="S301" s="691"/>
      <c r="T301" s="691"/>
    </row>
    <row r="302" spans="2:20" x14ac:dyDescent="0.25">
      <c r="L302" s="691"/>
      <c r="M302" s="691"/>
      <c r="N302" s="691"/>
      <c r="O302" s="691"/>
      <c r="P302" s="691"/>
      <c r="S302" s="691"/>
      <c r="T302" s="691"/>
    </row>
    <row r="303" spans="2:20" x14ac:dyDescent="0.25">
      <c r="L303" s="691"/>
      <c r="M303" s="691"/>
      <c r="N303" s="691"/>
      <c r="O303" s="691"/>
      <c r="P303" s="691"/>
      <c r="S303" s="691"/>
      <c r="T303" s="691"/>
    </row>
    <row r="304" spans="2:20" x14ac:dyDescent="0.25">
      <c r="L304" s="691"/>
      <c r="M304" s="691"/>
      <c r="N304" s="691"/>
      <c r="O304" s="691"/>
      <c r="P304" s="691"/>
      <c r="S304" s="691"/>
      <c r="T304" s="691"/>
    </row>
    <row r="305" spans="12:20" x14ac:dyDescent="0.25">
      <c r="L305" s="691"/>
      <c r="M305" s="691"/>
      <c r="N305" s="691"/>
      <c r="O305" s="691"/>
      <c r="P305" s="691"/>
      <c r="S305" s="691"/>
      <c r="T305" s="691"/>
    </row>
    <row r="306" spans="12:20" x14ac:dyDescent="0.25">
      <c r="L306" s="691"/>
      <c r="M306" s="691"/>
      <c r="N306" s="691"/>
      <c r="O306" s="691"/>
      <c r="P306" s="691"/>
      <c r="S306" s="691"/>
      <c r="T306" s="691"/>
    </row>
    <row r="307" spans="12:20" x14ac:dyDescent="0.25">
      <c r="L307" s="691"/>
      <c r="M307" s="691"/>
      <c r="N307" s="691"/>
      <c r="O307" s="691"/>
      <c r="P307" s="691"/>
      <c r="S307" s="691"/>
      <c r="T307" s="691"/>
    </row>
    <row r="308" spans="12:20" x14ac:dyDescent="0.25">
      <c r="L308" s="691"/>
      <c r="M308" s="691"/>
      <c r="N308" s="691"/>
      <c r="O308" s="691"/>
      <c r="P308" s="691"/>
      <c r="S308" s="691"/>
      <c r="T308" s="691"/>
    </row>
    <row r="309" spans="12:20" x14ac:dyDescent="0.25">
      <c r="L309" s="691"/>
      <c r="M309" s="691"/>
      <c r="N309" s="691"/>
      <c r="O309" s="691"/>
      <c r="P309" s="691"/>
      <c r="S309" s="691"/>
      <c r="T309" s="691"/>
    </row>
    <row r="310" spans="12:20" x14ac:dyDescent="0.25">
      <c r="L310" s="691"/>
      <c r="M310" s="691"/>
      <c r="N310" s="691"/>
      <c r="O310" s="691"/>
      <c r="P310" s="691"/>
      <c r="S310" s="691"/>
      <c r="T310" s="691"/>
    </row>
    <row r="311" spans="12:20" x14ac:dyDescent="0.25">
      <c r="L311" s="691"/>
      <c r="M311" s="691"/>
      <c r="N311" s="691"/>
      <c r="O311" s="691"/>
      <c r="P311" s="691"/>
      <c r="S311" s="691"/>
      <c r="T311" s="691"/>
    </row>
    <row r="312" spans="12:20" x14ac:dyDescent="0.25">
      <c r="L312" s="691"/>
      <c r="M312" s="691"/>
      <c r="N312" s="691"/>
      <c r="O312" s="691"/>
      <c r="P312" s="691"/>
      <c r="S312" s="691"/>
      <c r="T312" s="691"/>
    </row>
    <row r="313" spans="12:20" x14ac:dyDescent="0.25">
      <c r="L313" s="691"/>
      <c r="M313" s="691"/>
      <c r="N313" s="691"/>
      <c r="O313" s="691"/>
      <c r="P313" s="691"/>
      <c r="S313" s="691"/>
      <c r="T313" s="691"/>
    </row>
    <row r="314" spans="12:20" x14ac:dyDescent="0.25">
      <c r="L314" s="691"/>
      <c r="M314" s="691"/>
      <c r="N314" s="691"/>
      <c r="O314" s="691"/>
      <c r="P314" s="691"/>
      <c r="S314" s="691"/>
      <c r="T314" s="691"/>
    </row>
    <row r="315" spans="12:20" x14ac:dyDescent="0.25">
      <c r="L315" s="691"/>
      <c r="M315" s="691"/>
      <c r="N315" s="691"/>
      <c r="O315" s="691"/>
      <c r="P315" s="691"/>
      <c r="S315" s="691"/>
      <c r="T315" s="691"/>
    </row>
    <row r="316" spans="12:20" x14ac:dyDescent="0.25">
      <c r="L316" s="691"/>
      <c r="M316" s="691"/>
      <c r="N316" s="691"/>
      <c r="O316" s="691"/>
      <c r="P316" s="691"/>
      <c r="S316" s="691"/>
      <c r="T316" s="691"/>
    </row>
    <row r="317" spans="12:20" x14ac:dyDescent="0.25">
      <c r="L317" s="691"/>
      <c r="M317" s="691"/>
      <c r="N317" s="691"/>
      <c r="O317" s="691"/>
      <c r="P317" s="691"/>
      <c r="S317" s="691"/>
      <c r="T317" s="691"/>
    </row>
    <row r="318" spans="12:20" x14ac:dyDescent="0.25">
      <c r="L318" s="691"/>
      <c r="M318" s="691"/>
      <c r="N318" s="691"/>
      <c r="O318" s="691"/>
      <c r="P318" s="691"/>
      <c r="S318" s="691"/>
      <c r="T318" s="691"/>
    </row>
    <row r="319" spans="12:20" x14ac:dyDescent="0.25">
      <c r="L319" s="691"/>
      <c r="M319" s="691"/>
      <c r="N319" s="691"/>
      <c r="O319" s="691"/>
      <c r="P319" s="691"/>
      <c r="S319" s="691"/>
      <c r="T319" s="691"/>
    </row>
    <row r="320" spans="12:20" x14ac:dyDescent="0.25">
      <c r="L320" s="691"/>
      <c r="M320" s="691"/>
      <c r="N320" s="691"/>
      <c r="O320" s="691"/>
      <c r="P320" s="691"/>
      <c r="S320" s="691"/>
      <c r="T320" s="691"/>
    </row>
    <row r="321" spans="12:20" x14ac:dyDescent="0.25">
      <c r="L321" s="691"/>
      <c r="M321" s="691"/>
      <c r="N321" s="691"/>
      <c r="O321" s="691"/>
      <c r="P321" s="691"/>
      <c r="S321" s="691"/>
      <c r="T321" s="691"/>
    </row>
    <row r="322" spans="12:20" x14ac:dyDescent="0.25">
      <c r="L322" s="691"/>
      <c r="M322" s="691"/>
      <c r="N322" s="691"/>
      <c r="O322" s="691"/>
      <c r="P322" s="691"/>
      <c r="S322" s="691"/>
      <c r="T322" s="691"/>
    </row>
    <row r="323" spans="12:20" x14ac:dyDescent="0.25">
      <c r="L323" s="691"/>
      <c r="M323" s="691"/>
      <c r="N323" s="691"/>
      <c r="O323" s="691"/>
      <c r="P323" s="691"/>
      <c r="S323" s="691"/>
      <c r="T323" s="691"/>
    </row>
    <row r="324" spans="12:20" x14ac:dyDescent="0.25">
      <c r="L324" s="691"/>
      <c r="M324" s="691"/>
      <c r="N324" s="691"/>
      <c r="O324" s="691"/>
      <c r="P324" s="691"/>
      <c r="S324" s="691"/>
      <c r="T324" s="691"/>
    </row>
    <row r="325" spans="12:20" x14ac:dyDescent="0.25">
      <c r="L325" s="691"/>
      <c r="M325" s="691"/>
      <c r="N325" s="691"/>
      <c r="O325" s="691"/>
      <c r="P325" s="691"/>
      <c r="S325" s="691"/>
      <c r="T325" s="691"/>
    </row>
    <row r="326" spans="12:20" x14ac:dyDescent="0.25">
      <c r="L326" s="691"/>
      <c r="M326" s="691"/>
      <c r="N326" s="691"/>
      <c r="O326" s="691"/>
      <c r="P326" s="691"/>
      <c r="S326" s="691"/>
      <c r="T326" s="691"/>
    </row>
    <row r="327" spans="12:20" x14ac:dyDescent="0.25">
      <c r="L327" s="691"/>
      <c r="M327" s="691"/>
      <c r="N327" s="691"/>
      <c r="O327" s="691"/>
      <c r="P327" s="691"/>
      <c r="S327" s="691"/>
      <c r="T327" s="691"/>
    </row>
    <row r="328" spans="12:20" x14ac:dyDescent="0.25">
      <c r="L328" s="691"/>
      <c r="M328" s="691"/>
      <c r="N328" s="691"/>
      <c r="O328" s="691"/>
      <c r="P328" s="691"/>
      <c r="S328" s="691"/>
      <c r="T328" s="691"/>
    </row>
    <row r="329" spans="12:20" x14ac:dyDescent="0.25">
      <c r="L329" s="691"/>
      <c r="M329" s="691"/>
      <c r="N329" s="691"/>
      <c r="O329" s="691"/>
      <c r="P329" s="691"/>
      <c r="S329" s="691"/>
      <c r="T329" s="691"/>
    </row>
    <row r="330" spans="12:20" x14ac:dyDescent="0.25">
      <c r="L330" s="691"/>
      <c r="M330" s="691"/>
      <c r="N330" s="691"/>
      <c r="O330" s="691"/>
      <c r="P330" s="691"/>
      <c r="S330" s="691"/>
      <c r="T330" s="691"/>
    </row>
    <row r="331" spans="12:20" x14ac:dyDescent="0.25">
      <c r="L331" s="691"/>
      <c r="M331" s="691"/>
      <c r="N331" s="691"/>
      <c r="O331" s="691"/>
      <c r="P331" s="691"/>
      <c r="S331" s="691"/>
      <c r="T331" s="691"/>
    </row>
    <row r="332" spans="12:20" x14ac:dyDescent="0.25">
      <c r="L332" s="691"/>
      <c r="M332" s="691"/>
      <c r="N332" s="691"/>
      <c r="O332" s="691"/>
      <c r="P332" s="691"/>
      <c r="S332" s="691"/>
      <c r="T332" s="691"/>
    </row>
    <row r="333" spans="12:20" x14ac:dyDescent="0.25">
      <c r="L333" s="691"/>
      <c r="M333" s="691"/>
      <c r="N333" s="691"/>
      <c r="O333" s="691"/>
      <c r="P333" s="691"/>
      <c r="S333" s="691"/>
      <c r="T333" s="691"/>
    </row>
    <row r="334" spans="12:20" x14ac:dyDescent="0.25">
      <c r="L334" s="691"/>
      <c r="M334" s="691"/>
      <c r="N334" s="691"/>
      <c r="O334" s="691"/>
      <c r="P334" s="691"/>
      <c r="S334" s="691"/>
      <c r="T334" s="691"/>
    </row>
    <row r="335" spans="12:20" x14ac:dyDescent="0.25">
      <c r="L335" s="691"/>
      <c r="M335" s="691"/>
      <c r="N335" s="691"/>
      <c r="O335" s="691"/>
      <c r="P335" s="691"/>
      <c r="S335" s="691"/>
      <c r="T335" s="691"/>
    </row>
    <row r="336" spans="12:20" x14ac:dyDescent="0.25">
      <c r="L336" s="691"/>
      <c r="M336" s="691"/>
      <c r="N336" s="691"/>
      <c r="O336" s="691"/>
      <c r="P336" s="691"/>
      <c r="S336" s="691"/>
      <c r="T336" s="691"/>
    </row>
    <row r="337" spans="12:20" x14ac:dyDescent="0.25">
      <c r="L337" s="691"/>
      <c r="M337" s="691"/>
      <c r="N337" s="691"/>
      <c r="O337" s="691"/>
      <c r="P337" s="691"/>
      <c r="S337" s="691"/>
      <c r="T337" s="691"/>
    </row>
    <row r="338" spans="12:20" x14ac:dyDescent="0.25">
      <c r="L338" s="691"/>
      <c r="M338" s="691"/>
      <c r="N338" s="691"/>
      <c r="O338" s="691"/>
      <c r="P338" s="691"/>
      <c r="S338" s="691"/>
      <c r="T338" s="691"/>
    </row>
    <row r="339" spans="12:20" x14ac:dyDescent="0.25">
      <c r="L339" s="691"/>
      <c r="M339" s="691"/>
      <c r="N339" s="691"/>
      <c r="O339" s="691"/>
      <c r="P339" s="691"/>
      <c r="S339" s="691"/>
      <c r="T339" s="691"/>
    </row>
    <row r="340" spans="12:20" x14ac:dyDescent="0.25">
      <c r="L340" s="691"/>
      <c r="M340" s="691"/>
      <c r="N340" s="691"/>
      <c r="O340" s="691"/>
      <c r="P340" s="691"/>
      <c r="S340" s="691"/>
      <c r="T340" s="691"/>
    </row>
    <row r="341" spans="12:20" x14ac:dyDescent="0.25">
      <c r="L341" s="691"/>
      <c r="M341" s="691"/>
      <c r="N341" s="691"/>
      <c r="O341" s="691"/>
      <c r="P341" s="691"/>
      <c r="S341" s="691"/>
      <c r="T341" s="691"/>
    </row>
    <row r="342" spans="12:20" x14ac:dyDescent="0.25">
      <c r="L342" s="691"/>
      <c r="M342" s="691"/>
      <c r="N342" s="691"/>
      <c r="O342" s="691"/>
      <c r="P342" s="691"/>
      <c r="S342" s="691"/>
      <c r="T342" s="691"/>
    </row>
    <row r="343" spans="12:20" x14ac:dyDescent="0.25">
      <c r="L343" s="691"/>
      <c r="M343" s="691"/>
      <c r="N343" s="691"/>
      <c r="O343" s="691"/>
      <c r="P343" s="691"/>
      <c r="S343" s="691"/>
      <c r="T343" s="691"/>
    </row>
    <row r="344" spans="12:20" x14ac:dyDescent="0.25">
      <c r="L344" s="691"/>
      <c r="M344" s="691"/>
      <c r="N344" s="691"/>
      <c r="O344" s="691"/>
      <c r="P344" s="691"/>
      <c r="S344" s="691"/>
      <c r="T344" s="691"/>
    </row>
    <row r="345" spans="12:20" x14ac:dyDescent="0.25">
      <c r="L345" s="691"/>
      <c r="M345" s="691"/>
      <c r="N345" s="691"/>
      <c r="O345" s="691"/>
      <c r="P345" s="691"/>
      <c r="S345" s="691"/>
      <c r="T345" s="691"/>
    </row>
    <row r="346" spans="12:20" x14ac:dyDescent="0.25">
      <c r="L346" s="691"/>
      <c r="M346" s="691"/>
      <c r="N346" s="691"/>
      <c r="O346" s="691"/>
      <c r="P346" s="691"/>
      <c r="S346" s="691"/>
      <c r="T346" s="691"/>
    </row>
    <row r="347" spans="12:20" x14ac:dyDescent="0.25">
      <c r="L347" s="691"/>
      <c r="M347" s="691"/>
      <c r="N347" s="691"/>
      <c r="O347" s="691"/>
      <c r="P347" s="691"/>
      <c r="S347" s="691"/>
      <c r="T347" s="691"/>
    </row>
    <row r="348" spans="12:20" x14ac:dyDescent="0.25">
      <c r="L348" s="691"/>
      <c r="M348" s="691"/>
      <c r="N348" s="691"/>
      <c r="O348" s="691"/>
      <c r="P348" s="691"/>
      <c r="S348" s="691"/>
      <c r="T348" s="691"/>
    </row>
    <row r="349" spans="12:20" x14ac:dyDescent="0.25">
      <c r="L349" s="691"/>
      <c r="M349" s="691"/>
      <c r="N349" s="691"/>
      <c r="O349" s="691"/>
      <c r="P349" s="691"/>
      <c r="S349" s="691"/>
      <c r="T349" s="691"/>
    </row>
    <row r="350" spans="12:20" x14ac:dyDescent="0.25">
      <c r="L350" s="691"/>
      <c r="M350" s="691"/>
      <c r="N350" s="691"/>
      <c r="O350" s="691"/>
      <c r="P350" s="691"/>
      <c r="S350" s="691"/>
      <c r="T350" s="691"/>
    </row>
    <row r="351" spans="12:20" x14ac:dyDescent="0.25">
      <c r="L351" s="691"/>
      <c r="M351" s="691"/>
      <c r="N351" s="691"/>
      <c r="O351" s="691"/>
      <c r="P351" s="691"/>
      <c r="S351" s="691"/>
      <c r="T351" s="691"/>
    </row>
    <row r="352" spans="12:20" x14ac:dyDescent="0.25">
      <c r="L352" s="691"/>
      <c r="M352" s="691"/>
      <c r="N352" s="691"/>
      <c r="O352" s="691"/>
      <c r="P352" s="691"/>
      <c r="S352" s="691"/>
      <c r="T352" s="691"/>
    </row>
    <row r="353" spans="12:20" x14ac:dyDescent="0.25">
      <c r="L353" s="691"/>
      <c r="M353" s="691"/>
      <c r="N353" s="691"/>
      <c r="O353" s="691"/>
      <c r="P353" s="691"/>
      <c r="S353" s="691"/>
      <c r="T353" s="691"/>
    </row>
    <row r="354" spans="12:20" x14ac:dyDescent="0.25">
      <c r="L354" s="691"/>
      <c r="M354" s="691"/>
      <c r="N354" s="691"/>
      <c r="O354" s="691"/>
      <c r="P354" s="691"/>
      <c r="S354" s="691"/>
      <c r="T354" s="691"/>
    </row>
    <row r="355" spans="12:20" x14ac:dyDescent="0.25">
      <c r="L355" s="691"/>
      <c r="M355" s="691"/>
      <c r="N355" s="691"/>
      <c r="O355" s="691"/>
      <c r="P355" s="691"/>
      <c r="S355" s="691"/>
      <c r="T355" s="691"/>
    </row>
    <row r="356" spans="12:20" x14ac:dyDescent="0.25">
      <c r="L356" s="691"/>
      <c r="M356" s="691"/>
      <c r="N356" s="691"/>
      <c r="O356" s="691"/>
      <c r="P356" s="691"/>
      <c r="S356" s="691"/>
      <c r="T356" s="691"/>
    </row>
    <row r="357" spans="12:20" x14ac:dyDescent="0.25">
      <c r="L357" s="691"/>
      <c r="M357" s="691"/>
      <c r="N357" s="691"/>
      <c r="O357" s="691"/>
      <c r="P357" s="691"/>
      <c r="S357" s="691"/>
      <c r="T357" s="691"/>
    </row>
    <row r="358" spans="12:20" x14ac:dyDescent="0.25">
      <c r="L358" s="691"/>
      <c r="M358" s="691"/>
      <c r="N358" s="691"/>
      <c r="O358" s="691"/>
      <c r="P358" s="691"/>
      <c r="S358" s="691"/>
      <c r="T358" s="691"/>
    </row>
    <row r="359" spans="12:20" x14ac:dyDescent="0.25">
      <c r="L359" s="691"/>
      <c r="M359" s="691"/>
      <c r="N359" s="691"/>
      <c r="O359" s="691"/>
      <c r="P359" s="691"/>
      <c r="S359" s="691"/>
      <c r="T359" s="691"/>
    </row>
    <row r="360" spans="12:20" x14ac:dyDescent="0.25">
      <c r="L360" s="691"/>
      <c r="M360" s="691"/>
      <c r="N360" s="691"/>
      <c r="O360" s="691"/>
      <c r="P360" s="691"/>
      <c r="S360" s="691"/>
      <c r="T360" s="691"/>
    </row>
    <row r="361" spans="12:20" x14ac:dyDescent="0.25">
      <c r="L361" s="691"/>
      <c r="M361" s="691"/>
      <c r="N361" s="691"/>
      <c r="O361" s="691"/>
      <c r="P361" s="691"/>
      <c r="S361" s="691"/>
      <c r="T361" s="691"/>
    </row>
    <row r="362" spans="12:20" x14ac:dyDescent="0.25">
      <c r="L362" s="691"/>
      <c r="M362" s="691"/>
      <c r="N362" s="691"/>
      <c r="O362" s="691"/>
      <c r="P362" s="691"/>
      <c r="S362" s="691"/>
      <c r="T362" s="691"/>
    </row>
    <row r="363" spans="12:20" x14ac:dyDescent="0.25">
      <c r="L363" s="691"/>
      <c r="M363" s="691"/>
      <c r="N363" s="691"/>
      <c r="O363" s="691"/>
      <c r="P363" s="691"/>
      <c r="S363" s="691"/>
      <c r="T363" s="691"/>
    </row>
    <row r="364" spans="12:20" x14ac:dyDescent="0.25">
      <c r="L364" s="691"/>
      <c r="M364" s="691"/>
      <c r="N364" s="691"/>
      <c r="O364" s="691"/>
      <c r="P364" s="691"/>
      <c r="S364" s="691"/>
      <c r="T364" s="691"/>
    </row>
    <row r="365" spans="12:20" x14ac:dyDescent="0.25">
      <c r="L365" s="691"/>
      <c r="M365" s="691"/>
      <c r="N365" s="691"/>
      <c r="O365" s="691"/>
      <c r="P365" s="691"/>
      <c r="S365" s="691"/>
      <c r="T365" s="691"/>
    </row>
    <row r="366" spans="12:20" x14ac:dyDescent="0.25">
      <c r="L366" s="691"/>
      <c r="M366" s="691"/>
      <c r="N366" s="691"/>
      <c r="O366" s="691"/>
      <c r="P366" s="691"/>
      <c r="S366" s="691"/>
      <c r="T366" s="691"/>
    </row>
    <row r="367" spans="12:20" x14ac:dyDescent="0.25">
      <c r="L367" s="691"/>
      <c r="M367" s="691"/>
      <c r="N367" s="691"/>
      <c r="O367" s="691"/>
      <c r="P367" s="691"/>
      <c r="S367" s="691"/>
      <c r="T367" s="691"/>
    </row>
    <row r="368" spans="12:20" x14ac:dyDescent="0.25">
      <c r="L368" s="691"/>
      <c r="M368" s="691"/>
      <c r="N368" s="691"/>
      <c r="O368" s="691"/>
      <c r="P368" s="691"/>
      <c r="S368" s="691"/>
      <c r="T368" s="691"/>
    </row>
    <row r="369" spans="12:20" x14ac:dyDescent="0.25">
      <c r="L369" s="691"/>
      <c r="M369" s="691"/>
      <c r="N369" s="691"/>
      <c r="O369" s="691"/>
      <c r="P369" s="691"/>
      <c r="S369" s="691"/>
      <c r="T369" s="691"/>
    </row>
    <row r="370" spans="12:20" x14ac:dyDescent="0.25">
      <c r="L370" s="691"/>
      <c r="M370" s="691"/>
      <c r="N370" s="691"/>
      <c r="O370" s="691"/>
      <c r="P370" s="691"/>
      <c r="S370" s="691"/>
      <c r="T370" s="691"/>
    </row>
    <row r="371" spans="12:20" x14ac:dyDescent="0.25">
      <c r="L371" s="691"/>
      <c r="M371" s="691"/>
      <c r="N371" s="691"/>
      <c r="O371" s="691"/>
      <c r="P371" s="691"/>
      <c r="S371" s="691"/>
      <c r="T371" s="691"/>
    </row>
    <row r="372" spans="12:20" x14ac:dyDescent="0.25">
      <c r="L372" s="691"/>
      <c r="M372" s="691"/>
      <c r="N372" s="691"/>
      <c r="O372" s="691"/>
      <c r="P372" s="691"/>
      <c r="S372" s="691"/>
      <c r="T372" s="691"/>
    </row>
    <row r="373" spans="12:20" x14ac:dyDescent="0.25">
      <c r="L373" s="691"/>
      <c r="M373" s="691"/>
      <c r="N373" s="691"/>
      <c r="O373" s="691"/>
      <c r="P373" s="691"/>
      <c r="S373" s="691"/>
      <c r="T373" s="691"/>
    </row>
    <row r="374" spans="12:20" x14ac:dyDescent="0.25">
      <c r="L374" s="691"/>
      <c r="M374" s="691"/>
      <c r="N374" s="691"/>
      <c r="O374" s="691"/>
      <c r="P374" s="691"/>
      <c r="S374" s="691"/>
      <c r="T374" s="691"/>
    </row>
    <row r="375" spans="12:20" x14ac:dyDescent="0.25">
      <c r="L375" s="691"/>
      <c r="M375" s="691"/>
      <c r="N375" s="691"/>
      <c r="O375" s="691"/>
      <c r="P375" s="691"/>
      <c r="S375" s="691"/>
      <c r="T375" s="691"/>
    </row>
    <row r="376" spans="12:20" x14ac:dyDescent="0.25">
      <c r="L376" s="691"/>
      <c r="M376" s="691"/>
      <c r="N376" s="691"/>
      <c r="O376" s="691"/>
      <c r="P376" s="691"/>
      <c r="S376" s="691"/>
      <c r="T376" s="691"/>
    </row>
    <row r="377" spans="12:20" x14ac:dyDescent="0.25">
      <c r="L377" s="691"/>
      <c r="M377" s="691"/>
      <c r="N377" s="691"/>
      <c r="O377" s="691"/>
      <c r="P377" s="691"/>
      <c r="S377" s="691"/>
      <c r="T377" s="691"/>
    </row>
    <row r="378" spans="12:20" x14ac:dyDescent="0.25">
      <c r="L378" s="691"/>
      <c r="M378" s="691"/>
      <c r="N378" s="691"/>
      <c r="O378" s="691"/>
      <c r="P378" s="691"/>
      <c r="S378" s="691"/>
      <c r="T378" s="691"/>
    </row>
    <row r="379" spans="12:20" x14ac:dyDescent="0.25">
      <c r="L379" s="691"/>
      <c r="M379" s="691"/>
      <c r="N379" s="691"/>
      <c r="O379" s="691"/>
      <c r="P379" s="691"/>
      <c r="S379" s="691"/>
      <c r="T379" s="691"/>
    </row>
    <row r="380" spans="12:20" x14ac:dyDescent="0.25">
      <c r="L380" s="691"/>
      <c r="M380" s="691"/>
      <c r="N380" s="691"/>
      <c r="O380" s="691"/>
      <c r="P380" s="691"/>
      <c r="S380" s="691"/>
      <c r="T380" s="691"/>
    </row>
    <row r="381" spans="12:20" x14ac:dyDescent="0.25">
      <c r="L381" s="691"/>
      <c r="M381" s="691"/>
      <c r="N381" s="691"/>
      <c r="O381" s="691"/>
      <c r="P381" s="691"/>
      <c r="S381" s="691"/>
      <c r="T381" s="691"/>
    </row>
    <row r="382" spans="12:20" x14ac:dyDescent="0.25">
      <c r="L382" s="691"/>
      <c r="M382" s="691"/>
      <c r="N382" s="691"/>
      <c r="O382" s="691"/>
      <c r="P382" s="691"/>
      <c r="S382" s="691"/>
      <c r="T382" s="691"/>
    </row>
    <row r="383" spans="12:20" x14ac:dyDescent="0.25">
      <c r="L383" s="691"/>
      <c r="M383" s="691"/>
      <c r="N383" s="691"/>
      <c r="O383" s="691"/>
      <c r="P383" s="691"/>
      <c r="S383" s="691"/>
      <c r="T383" s="691"/>
    </row>
    <row r="384" spans="12:20" x14ac:dyDescent="0.25">
      <c r="L384" s="691"/>
      <c r="M384" s="691"/>
      <c r="N384" s="691"/>
      <c r="O384" s="691"/>
      <c r="P384" s="691"/>
      <c r="S384" s="691"/>
      <c r="T384" s="691"/>
    </row>
    <row r="385" spans="12:20" x14ac:dyDescent="0.25">
      <c r="L385" s="691"/>
      <c r="M385" s="691"/>
      <c r="N385" s="691"/>
      <c r="O385" s="691"/>
      <c r="P385" s="691"/>
      <c r="S385" s="691"/>
      <c r="T385" s="691"/>
    </row>
    <row r="386" spans="12:20" x14ac:dyDescent="0.25">
      <c r="L386" s="691"/>
      <c r="M386" s="691"/>
      <c r="N386" s="691"/>
      <c r="O386" s="691"/>
      <c r="P386" s="691"/>
      <c r="S386" s="691"/>
      <c r="T386" s="691"/>
    </row>
    <row r="387" spans="12:20" x14ac:dyDescent="0.25">
      <c r="L387" s="691"/>
      <c r="M387" s="691"/>
      <c r="N387" s="691"/>
      <c r="O387" s="691"/>
      <c r="P387" s="691"/>
      <c r="S387" s="691"/>
      <c r="T387" s="691"/>
    </row>
    <row r="388" spans="12:20" x14ac:dyDescent="0.25">
      <c r="L388" s="691"/>
      <c r="M388" s="691"/>
      <c r="N388" s="691"/>
      <c r="O388" s="691"/>
      <c r="P388" s="691"/>
      <c r="S388" s="691"/>
      <c r="T388" s="691"/>
    </row>
    <row r="389" spans="12:20" x14ac:dyDescent="0.25">
      <c r="L389" s="691"/>
      <c r="M389" s="691"/>
      <c r="N389" s="691"/>
      <c r="O389" s="691"/>
      <c r="P389" s="691"/>
      <c r="S389" s="691"/>
      <c r="T389" s="691"/>
    </row>
    <row r="390" spans="12:20" x14ac:dyDescent="0.25">
      <c r="L390" s="691"/>
      <c r="M390" s="691"/>
      <c r="N390" s="691"/>
      <c r="O390" s="691"/>
      <c r="P390" s="691"/>
      <c r="S390" s="691"/>
      <c r="T390" s="691"/>
    </row>
    <row r="391" spans="12:20" x14ac:dyDescent="0.25">
      <c r="L391" s="691"/>
      <c r="M391" s="691"/>
      <c r="N391" s="691"/>
      <c r="O391" s="691"/>
      <c r="P391" s="691"/>
      <c r="S391" s="691"/>
      <c r="T391" s="691"/>
    </row>
    <row r="392" spans="12:20" x14ac:dyDescent="0.25">
      <c r="L392" s="691"/>
      <c r="M392" s="691"/>
      <c r="N392" s="691"/>
      <c r="O392" s="691"/>
      <c r="P392" s="691"/>
      <c r="S392" s="691"/>
      <c r="T392" s="691"/>
    </row>
    <row r="393" spans="12:20" x14ac:dyDescent="0.25">
      <c r="L393" s="691"/>
      <c r="M393" s="691"/>
      <c r="N393" s="691"/>
      <c r="O393" s="691"/>
      <c r="P393" s="691"/>
      <c r="S393" s="691"/>
      <c r="T393" s="691"/>
    </row>
    <row r="394" spans="12:20" x14ac:dyDescent="0.25">
      <c r="L394" s="691"/>
      <c r="M394" s="691"/>
      <c r="N394" s="691"/>
      <c r="O394" s="691"/>
      <c r="P394" s="691"/>
      <c r="S394" s="691"/>
      <c r="T394" s="691"/>
    </row>
    <row r="395" spans="12:20" x14ac:dyDescent="0.25">
      <c r="L395" s="691"/>
      <c r="M395" s="691"/>
      <c r="N395" s="691"/>
      <c r="O395" s="691"/>
      <c r="P395" s="691"/>
      <c r="S395" s="691"/>
      <c r="T395" s="691"/>
    </row>
    <row r="396" spans="12:20" x14ac:dyDescent="0.25">
      <c r="L396" s="691"/>
      <c r="M396" s="691"/>
      <c r="N396" s="691"/>
      <c r="O396" s="691"/>
      <c r="P396" s="691"/>
      <c r="S396" s="691"/>
      <c r="T396" s="691"/>
    </row>
    <row r="397" spans="12:20" x14ac:dyDescent="0.25">
      <c r="L397" s="691"/>
      <c r="M397" s="691"/>
      <c r="N397" s="691"/>
      <c r="O397" s="691"/>
      <c r="P397" s="691"/>
      <c r="S397" s="691"/>
      <c r="T397" s="691"/>
    </row>
    <row r="398" spans="12:20" x14ac:dyDescent="0.25">
      <c r="L398" s="691"/>
      <c r="M398" s="691"/>
      <c r="N398" s="691"/>
      <c r="O398" s="691"/>
      <c r="P398" s="691"/>
      <c r="S398" s="691"/>
      <c r="T398" s="691"/>
    </row>
    <row r="399" spans="12:20" x14ac:dyDescent="0.25">
      <c r="L399" s="691"/>
      <c r="M399" s="691"/>
      <c r="N399" s="691"/>
      <c r="O399" s="691"/>
      <c r="P399" s="691"/>
      <c r="S399" s="691"/>
      <c r="T399" s="691"/>
    </row>
    <row r="400" spans="12:20" x14ac:dyDescent="0.25">
      <c r="L400" s="691"/>
      <c r="M400" s="691"/>
      <c r="N400" s="691"/>
      <c r="O400" s="691"/>
      <c r="P400" s="691"/>
      <c r="S400" s="691"/>
      <c r="T400" s="691"/>
    </row>
    <row r="401" spans="12:20" x14ac:dyDescent="0.25">
      <c r="L401" s="691"/>
      <c r="M401" s="691"/>
      <c r="N401" s="691"/>
      <c r="O401" s="691"/>
      <c r="P401" s="691"/>
      <c r="S401" s="691"/>
      <c r="T401" s="691"/>
    </row>
    <row r="402" spans="12:20" x14ac:dyDescent="0.25">
      <c r="L402" s="691"/>
      <c r="M402" s="691"/>
      <c r="N402" s="691"/>
      <c r="O402" s="691"/>
      <c r="P402" s="691"/>
      <c r="S402" s="691"/>
      <c r="T402" s="691"/>
    </row>
    <row r="403" spans="12:20" x14ac:dyDescent="0.25">
      <c r="L403" s="691"/>
      <c r="M403" s="691"/>
      <c r="N403" s="691"/>
      <c r="O403" s="691"/>
      <c r="P403" s="691"/>
      <c r="S403" s="691"/>
      <c r="T403" s="691"/>
    </row>
    <row r="404" spans="12:20" x14ac:dyDescent="0.25">
      <c r="L404" s="691"/>
      <c r="M404" s="691"/>
      <c r="N404" s="691"/>
      <c r="O404" s="691"/>
      <c r="P404" s="691"/>
      <c r="S404" s="691"/>
      <c r="T404" s="691"/>
    </row>
    <row r="405" spans="12:20" x14ac:dyDescent="0.25">
      <c r="L405" s="691"/>
      <c r="M405" s="691"/>
      <c r="N405" s="691"/>
      <c r="O405" s="691"/>
      <c r="P405" s="691"/>
      <c r="S405" s="691"/>
      <c r="T405" s="691"/>
    </row>
    <row r="406" spans="12:20" x14ac:dyDescent="0.25">
      <c r="L406" s="691"/>
      <c r="M406" s="691"/>
      <c r="N406" s="691"/>
      <c r="O406" s="691"/>
      <c r="P406" s="691"/>
      <c r="S406" s="691"/>
      <c r="T406" s="691"/>
    </row>
    <row r="407" spans="12:20" x14ac:dyDescent="0.25">
      <c r="L407" s="691"/>
      <c r="M407" s="691"/>
      <c r="N407" s="691"/>
      <c r="O407" s="691"/>
      <c r="P407" s="691"/>
      <c r="S407" s="691"/>
      <c r="T407" s="691"/>
    </row>
    <row r="408" spans="12:20" x14ac:dyDescent="0.25">
      <c r="L408" s="691"/>
      <c r="M408" s="691"/>
      <c r="N408" s="691"/>
      <c r="O408" s="691"/>
      <c r="P408" s="691"/>
      <c r="S408" s="691"/>
      <c r="T408" s="691"/>
    </row>
    <row r="409" spans="12:20" x14ac:dyDescent="0.25">
      <c r="L409" s="691"/>
      <c r="M409" s="691"/>
      <c r="N409" s="691"/>
      <c r="O409" s="691"/>
      <c r="P409" s="691"/>
      <c r="S409" s="691"/>
      <c r="T409" s="691"/>
    </row>
    <row r="410" spans="12:20" x14ac:dyDescent="0.25">
      <c r="L410" s="691"/>
      <c r="M410" s="691"/>
      <c r="N410" s="691"/>
      <c r="O410" s="691"/>
      <c r="P410" s="691"/>
      <c r="S410" s="691"/>
      <c r="T410" s="691"/>
    </row>
    <row r="411" spans="12:20" x14ac:dyDescent="0.25">
      <c r="L411" s="691"/>
      <c r="M411" s="691"/>
      <c r="N411" s="691"/>
      <c r="O411" s="691"/>
      <c r="P411" s="691"/>
      <c r="S411" s="691"/>
      <c r="T411" s="691"/>
    </row>
    <row r="412" spans="12:20" x14ac:dyDescent="0.25">
      <c r="L412" s="691"/>
      <c r="M412" s="691"/>
      <c r="N412" s="691"/>
      <c r="O412" s="691"/>
      <c r="P412" s="691"/>
      <c r="S412" s="691"/>
      <c r="T412" s="691"/>
    </row>
    <row r="413" spans="12:20" x14ac:dyDescent="0.25">
      <c r="L413" s="691"/>
      <c r="M413" s="691"/>
      <c r="N413" s="691"/>
      <c r="O413" s="691"/>
      <c r="P413" s="691"/>
      <c r="S413" s="691"/>
      <c r="T413" s="691"/>
    </row>
    <row r="414" spans="12:20" x14ac:dyDescent="0.25">
      <c r="L414" s="691"/>
      <c r="M414" s="691"/>
      <c r="N414" s="691"/>
      <c r="O414" s="691"/>
      <c r="P414" s="691"/>
      <c r="S414" s="691"/>
      <c r="T414" s="691"/>
    </row>
    <row r="415" spans="12:20" x14ac:dyDescent="0.25">
      <c r="L415" s="691"/>
      <c r="M415" s="691"/>
      <c r="N415" s="691"/>
      <c r="O415" s="691"/>
      <c r="P415" s="691"/>
      <c r="S415" s="691"/>
      <c r="T415" s="691"/>
    </row>
    <row r="416" spans="12:20" x14ac:dyDescent="0.25">
      <c r="L416" s="691"/>
      <c r="M416" s="691"/>
      <c r="N416" s="691"/>
      <c r="O416" s="691"/>
      <c r="P416" s="691"/>
      <c r="S416" s="691"/>
      <c r="T416" s="691"/>
    </row>
    <row r="417" spans="12:20" x14ac:dyDescent="0.25">
      <c r="L417" s="691"/>
      <c r="M417" s="691"/>
      <c r="N417" s="691"/>
      <c r="O417" s="691"/>
      <c r="P417" s="691"/>
      <c r="S417" s="691"/>
      <c r="T417" s="691"/>
    </row>
    <row r="418" spans="12:20" x14ac:dyDescent="0.25">
      <c r="L418" s="691"/>
      <c r="M418" s="691"/>
      <c r="N418" s="691"/>
      <c r="O418" s="691"/>
      <c r="P418" s="691"/>
      <c r="S418" s="691"/>
      <c r="T418" s="691"/>
    </row>
    <row r="419" spans="12:20" x14ac:dyDescent="0.25">
      <c r="L419" s="691"/>
      <c r="M419" s="691"/>
      <c r="N419" s="691"/>
      <c r="O419" s="691"/>
      <c r="P419" s="691"/>
      <c r="S419" s="691"/>
      <c r="T419" s="691"/>
    </row>
    <row r="420" spans="12:20" x14ac:dyDescent="0.25">
      <c r="L420" s="691"/>
      <c r="M420" s="691"/>
      <c r="N420" s="691"/>
      <c r="O420" s="691"/>
      <c r="P420" s="691"/>
      <c r="S420" s="691"/>
      <c r="T420" s="691"/>
    </row>
    <row r="421" spans="12:20" x14ac:dyDescent="0.25">
      <c r="L421" s="691"/>
      <c r="M421" s="691"/>
      <c r="N421" s="691"/>
      <c r="O421" s="691"/>
      <c r="P421" s="691"/>
      <c r="S421" s="691"/>
      <c r="T421" s="691"/>
    </row>
    <row r="422" spans="12:20" x14ac:dyDescent="0.25">
      <c r="L422" s="691"/>
      <c r="M422" s="691"/>
      <c r="N422" s="691"/>
      <c r="O422" s="691"/>
      <c r="P422" s="691"/>
      <c r="S422" s="691"/>
      <c r="T422" s="691"/>
    </row>
    <row r="423" spans="12:20" x14ac:dyDescent="0.25">
      <c r="L423" s="691"/>
      <c r="M423" s="691"/>
      <c r="N423" s="691"/>
      <c r="O423" s="691"/>
      <c r="P423" s="691"/>
      <c r="S423" s="691"/>
      <c r="T423" s="691"/>
    </row>
    <row r="424" spans="12:20" x14ac:dyDescent="0.25">
      <c r="L424" s="691"/>
      <c r="M424" s="691"/>
      <c r="N424" s="691"/>
      <c r="O424" s="691"/>
      <c r="P424" s="691"/>
      <c r="S424" s="691"/>
      <c r="T424" s="691"/>
    </row>
    <row r="425" spans="12:20" x14ac:dyDescent="0.25">
      <c r="L425" s="691"/>
      <c r="M425" s="691"/>
      <c r="N425" s="691"/>
      <c r="O425" s="691"/>
      <c r="P425" s="691"/>
      <c r="S425" s="691"/>
      <c r="T425" s="691"/>
    </row>
    <row r="426" spans="12:20" x14ac:dyDescent="0.25">
      <c r="L426" s="691"/>
      <c r="M426" s="691"/>
      <c r="N426" s="691"/>
      <c r="O426" s="691"/>
      <c r="P426" s="691"/>
      <c r="S426" s="691"/>
      <c r="T426" s="691"/>
    </row>
    <row r="427" spans="12:20" x14ac:dyDescent="0.25">
      <c r="L427" s="691"/>
      <c r="M427" s="691"/>
      <c r="N427" s="691"/>
      <c r="O427" s="691"/>
      <c r="P427" s="691"/>
      <c r="S427" s="691"/>
      <c r="T427" s="691"/>
    </row>
    <row r="428" spans="12:20" x14ac:dyDescent="0.25">
      <c r="L428" s="691"/>
      <c r="M428" s="691"/>
      <c r="N428" s="691"/>
      <c r="O428" s="691"/>
      <c r="P428" s="691"/>
      <c r="S428" s="691"/>
      <c r="T428" s="691"/>
    </row>
    <row r="429" spans="12:20" x14ac:dyDescent="0.25">
      <c r="L429" s="691"/>
      <c r="M429" s="691"/>
      <c r="N429" s="691"/>
      <c r="O429" s="691"/>
      <c r="P429" s="691"/>
      <c r="S429" s="691"/>
      <c r="T429" s="691"/>
    </row>
    <row r="430" spans="12:20" x14ac:dyDescent="0.25">
      <c r="L430" s="691"/>
      <c r="M430" s="691"/>
      <c r="N430" s="691"/>
      <c r="O430" s="691"/>
      <c r="P430" s="691"/>
      <c r="S430" s="691"/>
      <c r="T430" s="691"/>
    </row>
    <row r="431" spans="12:20" x14ac:dyDescent="0.25">
      <c r="L431" s="691"/>
      <c r="M431" s="691"/>
      <c r="N431" s="691"/>
      <c r="O431" s="691"/>
      <c r="P431" s="691"/>
      <c r="S431" s="691"/>
      <c r="T431" s="691"/>
    </row>
    <row r="432" spans="12:20" x14ac:dyDescent="0.25">
      <c r="L432" s="691"/>
      <c r="M432" s="691"/>
      <c r="N432" s="691"/>
      <c r="O432" s="691"/>
      <c r="P432" s="691"/>
      <c r="S432" s="691"/>
      <c r="T432" s="691"/>
    </row>
    <row r="433" spans="12:20" x14ac:dyDescent="0.25">
      <c r="L433" s="691"/>
      <c r="M433" s="691"/>
      <c r="N433" s="691"/>
      <c r="O433" s="691"/>
      <c r="P433" s="691"/>
      <c r="S433" s="691"/>
      <c r="T433" s="691"/>
    </row>
    <row r="434" spans="12:20" x14ac:dyDescent="0.25">
      <c r="L434" s="691"/>
      <c r="M434" s="691"/>
      <c r="N434" s="691"/>
      <c r="O434" s="691"/>
      <c r="P434" s="691"/>
      <c r="S434" s="691"/>
      <c r="T434" s="691"/>
    </row>
    <row r="435" spans="12:20" x14ac:dyDescent="0.25">
      <c r="L435" s="691"/>
      <c r="M435" s="691"/>
      <c r="N435" s="691"/>
      <c r="O435" s="691"/>
      <c r="P435" s="691"/>
      <c r="S435" s="691"/>
      <c r="T435" s="691"/>
    </row>
    <row r="436" spans="12:20" x14ac:dyDescent="0.25">
      <c r="L436" s="691"/>
      <c r="M436" s="691"/>
      <c r="N436" s="691"/>
      <c r="O436" s="691"/>
      <c r="P436" s="691"/>
      <c r="S436" s="691"/>
      <c r="T436" s="691"/>
    </row>
    <row r="437" spans="12:20" x14ac:dyDescent="0.25">
      <c r="L437" s="691"/>
      <c r="M437" s="691"/>
      <c r="N437" s="691"/>
      <c r="O437" s="691"/>
      <c r="P437" s="691"/>
      <c r="S437" s="691"/>
      <c r="T437" s="691"/>
    </row>
    <row r="438" spans="12:20" x14ac:dyDescent="0.25">
      <c r="L438" s="691"/>
      <c r="M438" s="691"/>
      <c r="N438" s="691"/>
      <c r="O438" s="691"/>
      <c r="P438" s="691"/>
      <c r="S438" s="691"/>
      <c r="T438" s="691"/>
    </row>
    <row r="439" spans="12:20" x14ac:dyDescent="0.25">
      <c r="L439" s="691"/>
      <c r="M439" s="691"/>
      <c r="N439" s="691"/>
      <c r="O439" s="691"/>
      <c r="P439" s="691"/>
      <c r="S439" s="691"/>
      <c r="T439" s="691"/>
    </row>
    <row r="440" spans="12:20" x14ac:dyDescent="0.25">
      <c r="L440" s="691"/>
      <c r="M440" s="691"/>
      <c r="N440" s="691"/>
      <c r="O440" s="691"/>
      <c r="P440" s="691"/>
      <c r="S440" s="691"/>
      <c r="T440" s="691"/>
    </row>
    <row r="441" spans="12:20" x14ac:dyDescent="0.25">
      <c r="L441" s="691"/>
      <c r="M441" s="691"/>
      <c r="N441" s="691"/>
      <c r="O441" s="691"/>
      <c r="P441" s="691"/>
      <c r="S441" s="691"/>
      <c r="T441" s="691"/>
    </row>
    <row r="442" spans="12:20" x14ac:dyDescent="0.25">
      <c r="L442" s="691"/>
      <c r="M442" s="691"/>
      <c r="N442" s="691"/>
      <c r="O442" s="691"/>
      <c r="P442" s="691"/>
      <c r="S442" s="691"/>
      <c r="T442" s="691"/>
    </row>
    <row r="443" spans="12:20" x14ac:dyDescent="0.25">
      <c r="L443" s="691"/>
      <c r="M443" s="691"/>
      <c r="N443" s="691"/>
      <c r="O443" s="691"/>
      <c r="P443" s="691"/>
      <c r="S443" s="691"/>
      <c r="T443" s="691"/>
    </row>
    <row r="444" spans="12:20" x14ac:dyDescent="0.25">
      <c r="L444" s="691"/>
      <c r="M444" s="691"/>
      <c r="N444" s="691"/>
      <c r="O444" s="691"/>
      <c r="P444" s="691"/>
      <c r="S444" s="691"/>
      <c r="T444" s="691"/>
    </row>
    <row r="445" spans="12:20" x14ac:dyDescent="0.25">
      <c r="L445" s="691"/>
      <c r="M445" s="691"/>
      <c r="N445" s="691"/>
      <c r="O445" s="691"/>
      <c r="P445" s="691"/>
      <c r="S445" s="691"/>
      <c r="T445" s="691"/>
    </row>
    <row r="446" spans="12:20" x14ac:dyDescent="0.25">
      <c r="L446" s="691"/>
      <c r="M446" s="691"/>
      <c r="N446" s="691"/>
      <c r="O446" s="691"/>
      <c r="P446" s="691"/>
      <c r="S446" s="691"/>
      <c r="T446" s="691"/>
    </row>
    <row r="447" spans="12:20" x14ac:dyDescent="0.25">
      <c r="L447" s="691"/>
      <c r="M447" s="691"/>
      <c r="N447" s="691"/>
      <c r="O447" s="691"/>
      <c r="P447" s="691"/>
      <c r="S447" s="691"/>
      <c r="T447" s="691"/>
    </row>
    <row r="448" spans="12:20" x14ac:dyDescent="0.25">
      <c r="L448" s="691"/>
      <c r="M448" s="691"/>
      <c r="N448" s="691"/>
      <c r="O448" s="691"/>
      <c r="P448" s="691"/>
      <c r="S448" s="691"/>
      <c r="T448" s="691"/>
    </row>
    <row r="449" spans="12:20" x14ac:dyDescent="0.25">
      <c r="L449" s="691"/>
      <c r="M449" s="691"/>
      <c r="N449" s="691"/>
      <c r="O449" s="691"/>
      <c r="P449" s="691"/>
      <c r="S449" s="691"/>
      <c r="T449" s="691"/>
    </row>
    <row r="450" spans="12:20" x14ac:dyDescent="0.25">
      <c r="L450" s="691"/>
      <c r="M450" s="691"/>
      <c r="N450" s="691"/>
      <c r="O450" s="691"/>
      <c r="P450" s="691"/>
      <c r="S450" s="691"/>
      <c r="T450" s="691"/>
    </row>
    <row r="451" spans="12:20" x14ac:dyDescent="0.25">
      <c r="L451" s="691"/>
      <c r="M451" s="691"/>
      <c r="N451" s="691"/>
      <c r="O451" s="691"/>
      <c r="P451" s="691"/>
      <c r="S451" s="691"/>
      <c r="T451" s="691"/>
    </row>
    <row r="452" spans="12:20" x14ac:dyDescent="0.25">
      <c r="L452" s="691"/>
      <c r="M452" s="691"/>
      <c r="N452" s="691"/>
      <c r="O452" s="691"/>
      <c r="P452" s="691"/>
      <c r="S452" s="691"/>
      <c r="T452" s="691"/>
    </row>
    <row r="453" spans="12:20" x14ac:dyDescent="0.25">
      <c r="L453" s="691"/>
      <c r="M453" s="691"/>
      <c r="N453" s="691"/>
      <c r="O453" s="691"/>
      <c r="P453" s="691"/>
      <c r="S453" s="691"/>
      <c r="T453" s="691"/>
    </row>
    <row r="454" spans="12:20" x14ac:dyDescent="0.25">
      <c r="L454" s="691"/>
      <c r="M454" s="691"/>
      <c r="N454" s="691"/>
      <c r="O454" s="691"/>
      <c r="P454" s="691"/>
      <c r="S454" s="691"/>
      <c r="T454" s="691"/>
    </row>
    <row r="455" spans="12:20" x14ac:dyDescent="0.25">
      <c r="L455" s="691"/>
      <c r="M455" s="691"/>
      <c r="N455" s="691"/>
      <c r="O455" s="691"/>
      <c r="P455" s="691"/>
      <c r="S455" s="691"/>
      <c r="T455" s="691"/>
    </row>
    <row r="456" spans="12:20" x14ac:dyDescent="0.25">
      <c r="L456" s="691"/>
      <c r="M456" s="691"/>
      <c r="N456" s="691"/>
      <c r="O456" s="691"/>
      <c r="P456" s="691"/>
      <c r="S456" s="691"/>
      <c r="T456" s="691"/>
    </row>
    <row r="457" spans="12:20" x14ac:dyDescent="0.25">
      <c r="L457" s="691"/>
      <c r="M457" s="691"/>
      <c r="N457" s="691"/>
      <c r="O457" s="691"/>
      <c r="P457" s="691"/>
      <c r="S457" s="691"/>
      <c r="T457" s="691"/>
    </row>
    <row r="458" spans="12:20" x14ac:dyDescent="0.25">
      <c r="L458" s="691"/>
      <c r="M458" s="691"/>
      <c r="N458" s="691"/>
      <c r="O458" s="691"/>
      <c r="P458" s="691"/>
      <c r="S458" s="691"/>
      <c r="T458" s="691"/>
    </row>
    <row r="459" spans="12:20" x14ac:dyDescent="0.25">
      <c r="L459" s="691"/>
      <c r="M459" s="691"/>
      <c r="N459" s="691"/>
      <c r="O459" s="691"/>
      <c r="P459" s="691"/>
      <c r="S459" s="691"/>
      <c r="T459" s="691"/>
    </row>
    <row r="460" spans="12:20" x14ac:dyDescent="0.25">
      <c r="L460" s="691"/>
      <c r="M460" s="691"/>
      <c r="N460" s="691"/>
      <c r="O460" s="691"/>
      <c r="P460" s="691"/>
      <c r="S460" s="691"/>
      <c r="T460" s="691"/>
    </row>
    <row r="461" spans="12:20" x14ac:dyDescent="0.25">
      <c r="L461" s="691"/>
      <c r="M461" s="691"/>
      <c r="N461" s="691"/>
      <c r="O461" s="691"/>
      <c r="P461" s="691"/>
      <c r="S461" s="691"/>
      <c r="T461" s="691"/>
    </row>
    <row r="462" spans="12:20" x14ac:dyDescent="0.25">
      <c r="L462" s="691"/>
      <c r="M462" s="691"/>
      <c r="N462" s="691"/>
      <c r="O462" s="691"/>
      <c r="P462" s="691"/>
      <c r="S462" s="691"/>
      <c r="T462" s="691"/>
    </row>
    <row r="463" spans="12:20" x14ac:dyDescent="0.25">
      <c r="L463" s="691"/>
      <c r="M463" s="691"/>
      <c r="N463" s="691"/>
      <c r="O463" s="691"/>
      <c r="P463" s="691"/>
      <c r="S463" s="691"/>
      <c r="T463" s="691"/>
    </row>
    <row r="464" spans="12:20" x14ac:dyDescent="0.25">
      <c r="L464" s="691"/>
      <c r="M464" s="691"/>
      <c r="N464" s="691"/>
      <c r="O464" s="691"/>
      <c r="P464" s="691"/>
      <c r="S464" s="691"/>
      <c r="T464" s="691"/>
    </row>
    <row r="465" spans="12:20" x14ac:dyDescent="0.25">
      <c r="L465" s="691"/>
      <c r="M465" s="691"/>
      <c r="N465" s="691"/>
      <c r="O465" s="691"/>
      <c r="P465" s="691"/>
      <c r="S465" s="691"/>
      <c r="T465" s="691"/>
    </row>
    <row r="466" spans="12:20" x14ac:dyDescent="0.25">
      <c r="L466" s="691"/>
      <c r="M466" s="691"/>
      <c r="N466" s="691"/>
      <c r="O466" s="691"/>
      <c r="P466" s="691"/>
      <c r="S466" s="691"/>
      <c r="T466" s="691"/>
    </row>
    <row r="467" spans="12:20" x14ac:dyDescent="0.25">
      <c r="L467" s="691"/>
      <c r="M467" s="691"/>
      <c r="N467" s="691"/>
      <c r="O467" s="691"/>
      <c r="P467" s="691"/>
      <c r="S467" s="691"/>
      <c r="T467" s="691"/>
    </row>
    <row r="468" spans="12:20" x14ac:dyDescent="0.25">
      <c r="L468" s="691"/>
      <c r="M468" s="691"/>
      <c r="N468" s="691"/>
      <c r="O468" s="691"/>
      <c r="P468" s="691"/>
      <c r="S468" s="691"/>
      <c r="T468" s="691"/>
    </row>
    <row r="469" spans="12:20" x14ac:dyDescent="0.25">
      <c r="L469" s="691"/>
      <c r="M469" s="691"/>
      <c r="N469" s="691"/>
      <c r="O469" s="691"/>
      <c r="P469" s="691"/>
      <c r="S469" s="691"/>
      <c r="T469" s="691"/>
    </row>
    <row r="470" spans="12:20" x14ac:dyDescent="0.25">
      <c r="L470" s="691"/>
      <c r="M470" s="691"/>
      <c r="N470" s="691"/>
      <c r="O470" s="691"/>
      <c r="P470" s="691"/>
      <c r="S470" s="691"/>
      <c r="T470" s="691"/>
    </row>
    <row r="471" spans="12:20" x14ac:dyDescent="0.25">
      <c r="L471" s="691"/>
      <c r="M471" s="691"/>
      <c r="N471" s="691"/>
      <c r="O471" s="691"/>
      <c r="P471" s="691"/>
      <c r="S471" s="691"/>
      <c r="T471" s="691"/>
    </row>
    <row r="472" spans="12:20" x14ac:dyDescent="0.25">
      <c r="L472" s="691"/>
      <c r="M472" s="691"/>
      <c r="N472" s="691"/>
      <c r="O472" s="691"/>
      <c r="P472" s="691"/>
      <c r="S472" s="691"/>
      <c r="T472" s="691"/>
    </row>
    <row r="473" spans="12:20" x14ac:dyDescent="0.25">
      <c r="L473" s="691"/>
      <c r="M473" s="691"/>
      <c r="N473" s="691"/>
      <c r="O473" s="691"/>
      <c r="P473" s="691"/>
      <c r="S473" s="691"/>
      <c r="T473" s="691"/>
    </row>
    <row r="474" spans="12:20" x14ac:dyDescent="0.25">
      <c r="L474" s="691"/>
      <c r="M474" s="691"/>
      <c r="N474" s="691"/>
      <c r="O474" s="691"/>
      <c r="P474" s="691"/>
      <c r="S474" s="691"/>
      <c r="T474" s="691"/>
    </row>
    <row r="475" spans="12:20" x14ac:dyDescent="0.25">
      <c r="L475" s="691"/>
      <c r="M475" s="691"/>
      <c r="N475" s="691"/>
      <c r="O475" s="691"/>
      <c r="P475" s="691"/>
      <c r="S475" s="691"/>
      <c r="T475" s="691"/>
    </row>
    <row r="476" spans="12:20" x14ac:dyDescent="0.25">
      <c r="L476" s="691"/>
      <c r="M476" s="691"/>
      <c r="N476" s="691"/>
      <c r="O476" s="691"/>
      <c r="P476" s="691"/>
      <c r="S476" s="691"/>
      <c r="T476" s="691"/>
    </row>
    <row r="477" spans="12:20" x14ac:dyDescent="0.25">
      <c r="L477" s="691"/>
      <c r="M477" s="691"/>
      <c r="N477" s="691"/>
      <c r="O477" s="691"/>
      <c r="P477" s="691"/>
      <c r="S477" s="691"/>
      <c r="T477" s="691"/>
    </row>
    <row r="478" spans="12:20" x14ac:dyDescent="0.25">
      <c r="L478" s="691"/>
      <c r="M478" s="691"/>
      <c r="N478" s="691"/>
      <c r="O478" s="691"/>
      <c r="P478" s="691"/>
      <c r="S478" s="691"/>
      <c r="T478" s="691"/>
    </row>
    <row r="479" spans="12:20" x14ac:dyDescent="0.25">
      <c r="L479" s="691"/>
      <c r="M479" s="691"/>
      <c r="N479" s="691"/>
      <c r="O479" s="691"/>
      <c r="P479" s="691"/>
      <c r="S479" s="691"/>
      <c r="T479" s="691"/>
    </row>
    <row r="480" spans="12:20" x14ac:dyDescent="0.25">
      <c r="L480" s="691"/>
      <c r="M480" s="691"/>
      <c r="N480" s="691"/>
      <c r="O480" s="691"/>
      <c r="P480" s="691"/>
      <c r="S480" s="691"/>
      <c r="T480" s="691"/>
    </row>
    <row r="481" spans="12:20" x14ac:dyDescent="0.25">
      <c r="L481" s="691"/>
      <c r="M481" s="691"/>
      <c r="N481" s="691"/>
      <c r="O481" s="691"/>
      <c r="P481" s="691"/>
      <c r="S481" s="691"/>
      <c r="T481" s="691"/>
    </row>
    <row r="482" spans="12:20" x14ac:dyDescent="0.25">
      <c r="L482" s="691"/>
      <c r="M482" s="691"/>
      <c r="N482" s="691"/>
      <c r="O482" s="691"/>
      <c r="P482" s="691"/>
      <c r="S482" s="691"/>
      <c r="T482" s="691"/>
    </row>
    <row r="483" spans="12:20" x14ac:dyDescent="0.25">
      <c r="L483" s="691"/>
      <c r="M483" s="691"/>
      <c r="N483" s="691"/>
      <c r="O483" s="691"/>
      <c r="P483" s="691"/>
      <c r="S483" s="691"/>
      <c r="T483" s="691"/>
    </row>
    <row r="484" spans="12:20" x14ac:dyDescent="0.25">
      <c r="L484" s="691"/>
      <c r="M484" s="691"/>
      <c r="N484" s="691"/>
      <c r="O484" s="691"/>
      <c r="P484" s="691"/>
      <c r="S484" s="691"/>
      <c r="T484" s="691"/>
    </row>
    <row r="485" spans="12:20" x14ac:dyDescent="0.25">
      <c r="L485" s="691"/>
      <c r="M485" s="691"/>
      <c r="N485" s="691"/>
      <c r="O485" s="691"/>
      <c r="P485" s="691"/>
      <c r="S485" s="691"/>
      <c r="T485" s="691"/>
    </row>
    <row r="486" spans="12:20" x14ac:dyDescent="0.25">
      <c r="L486" s="691"/>
      <c r="M486" s="691"/>
      <c r="N486" s="691"/>
      <c r="O486" s="691"/>
      <c r="P486" s="691"/>
      <c r="S486" s="691"/>
      <c r="T486" s="691"/>
    </row>
    <row r="487" spans="12:20" x14ac:dyDescent="0.25">
      <c r="L487" s="691"/>
      <c r="M487" s="691"/>
      <c r="N487" s="691"/>
      <c r="O487" s="691"/>
      <c r="P487" s="691"/>
      <c r="S487" s="691"/>
      <c r="T487" s="691"/>
    </row>
    <row r="488" spans="12:20" x14ac:dyDescent="0.25">
      <c r="L488" s="691"/>
      <c r="M488" s="691"/>
      <c r="N488" s="691"/>
      <c r="O488" s="691"/>
      <c r="P488" s="691"/>
      <c r="S488" s="691"/>
      <c r="T488" s="691"/>
    </row>
    <row r="489" spans="12:20" x14ac:dyDescent="0.25">
      <c r="L489" s="691"/>
      <c r="M489" s="691"/>
      <c r="N489" s="691"/>
      <c r="O489" s="691"/>
      <c r="P489" s="691"/>
      <c r="S489" s="691"/>
      <c r="T489" s="691"/>
    </row>
    <row r="490" spans="12:20" x14ac:dyDescent="0.25">
      <c r="L490" s="691"/>
      <c r="M490" s="691"/>
      <c r="N490" s="691"/>
      <c r="O490" s="691"/>
      <c r="P490" s="691"/>
      <c r="S490" s="691"/>
      <c r="T490" s="691"/>
    </row>
    <row r="491" spans="12:20" x14ac:dyDescent="0.25">
      <c r="L491" s="691"/>
      <c r="M491" s="691"/>
      <c r="N491" s="691"/>
      <c r="O491" s="691"/>
      <c r="P491" s="691"/>
      <c r="S491" s="691"/>
      <c r="T491" s="691"/>
    </row>
    <row r="492" spans="12:20" x14ac:dyDescent="0.25">
      <c r="L492" s="691"/>
      <c r="M492" s="691"/>
      <c r="N492" s="691"/>
      <c r="O492" s="691"/>
      <c r="P492" s="691"/>
      <c r="S492" s="691"/>
      <c r="T492" s="691"/>
    </row>
    <row r="493" spans="12:20" x14ac:dyDescent="0.25">
      <c r="L493" s="691"/>
      <c r="M493" s="691"/>
      <c r="N493" s="691"/>
      <c r="O493" s="691"/>
      <c r="P493" s="691"/>
      <c r="S493" s="691"/>
      <c r="T493" s="691"/>
    </row>
    <row r="494" spans="12:20" x14ac:dyDescent="0.25">
      <c r="L494" s="691"/>
      <c r="M494" s="691"/>
      <c r="N494" s="691"/>
      <c r="O494" s="691"/>
      <c r="P494" s="691"/>
      <c r="S494" s="691"/>
      <c r="T494" s="691"/>
    </row>
    <row r="495" spans="12:20" x14ac:dyDescent="0.25">
      <c r="L495" s="691"/>
      <c r="M495" s="691"/>
      <c r="N495" s="691"/>
      <c r="O495" s="691"/>
      <c r="P495" s="691"/>
      <c r="S495" s="691"/>
      <c r="T495" s="691"/>
    </row>
    <row r="496" spans="12:20" x14ac:dyDescent="0.25">
      <c r="L496" s="691"/>
      <c r="M496" s="691"/>
      <c r="N496" s="691"/>
      <c r="O496" s="691"/>
      <c r="P496" s="691"/>
      <c r="S496" s="691"/>
      <c r="T496" s="691"/>
    </row>
    <row r="497" spans="12:20" x14ac:dyDescent="0.25">
      <c r="L497" s="691"/>
      <c r="M497" s="691"/>
      <c r="N497" s="691"/>
      <c r="O497" s="691"/>
      <c r="P497" s="691"/>
      <c r="S497" s="691"/>
      <c r="T497" s="691"/>
    </row>
    <row r="498" spans="12:20" x14ac:dyDescent="0.25">
      <c r="L498" s="691"/>
      <c r="M498" s="691"/>
      <c r="N498" s="691"/>
      <c r="O498" s="691"/>
      <c r="P498" s="691"/>
      <c r="S498" s="691"/>
      <c r="T498" s="691"/>
    </row>
    <row r="499" spans="12:20" x14ac:dyDescent="0.25">
      <c r="L499" s="691"/>
      <c r="M499" s="691"/>
      <c r="N499" s="691"/>
      <c r="O499" s="691"/>
      <c r="P499" s="691"/>
      <c r="S499" s="691"/>
      <c r="T499" s="691"/>
    </row>
    <row r="500" spans="12:20" x14ac:dyDescent="0.25">
      <c r="L500" s="691"/>
      <c r="M500" s="691"/>
      <c r="N500" s="691"/>
      <c r="O500" s="691"/>
      <c r="P500" s="691"/>
      <c r="S500" s="691"/>
      <c r="T500" s="691"/>
    </row>
    <row r="501" spans="12:20" x14ac:dyDescent="0.25">
      <c r="L501" s="691"/>
      <c r="M501" s="691"/>
      <c r="N501" s="691"/>
      <c r="O501" s="691"/>
      <c r="P501" s="691"/>
      <c r="S501" s="691"/>
      <c r="T501" s="691"/>
    </row>
    <row r="502" spans="12:20" x14ac:dyDescent="0.25">
      <c r="L502" s="691"/>
      <c r="M502" s="691"/>
      <c r="N502" s="691"/>
      <c r="O502" s="691"/>
      <c r="P502" s="691"/>
      <c r="S502" s="691"/>
      <c r="T502" s="691"/>
    </row>
    <row r="503" spans="12:20" x14ac:dyDescent="0.25">
      <c r="L503" s="691"/>
      <c r="M503" s="691"/>
      <c r="N503" s="691"/>
      <c r="O503" s="691"/>
      <c r="P503" s="691"/>
      <c r="S503" s="691"/>
      <c r="T503" s="691"/>
    </row>
    <row r="504" spans="12:20" x14ac:dyDescent="0.25">
      <c r="L504" s="691"/>
      <c r="M504" s="691"/>
      <c r="N504" s="691"/>
      <c r="O504" s="691"/>
      <c r="P504" s="691"/>
      <c r="S504" s="691"/>
      <c r="T504" s="691"/>
    </row>
    <row r="505" spans="12:20" x14ac:dyDescent="0.25">
      <c r="L505" s="691"/>
      <c r="M505" s="691"/>
      <c r="N505" s="691"/>
      <c r="O505" s="691"/>
      <c r="P505" s="691"/>
      <c r="S505" s="691"/>
      <c r="T505" s="691"/>
    </row>
    <row r="506" spans="12:20" x14ac:dyDescent="0.25">
      <c r="L506" s="691"/>
      <c r="M506" s="691"/>
      <c r="N506" s="691"/>
      <c r="O506" s="691"/>
      <c r="P506" s="691"/>
      <c r="S506" s="691"/>
      <c r="T506" s="691"/>
    </row>
    <row r="507" spans="12:20" x14ac:dyDescent="0.25">
      <c r="L507" s="691"/>
      <c r="M507" s="691"/>
      <c r="N507" s="691"/>
      <c r="O507" s="691"/>
      <c r="P507" s="691"/>
      <c r="S507" s="691"/>
      <c r="T507" s="691"/>
    </row>
    <row r="508" spans="12:20" x14ac:dyDescent="0.25">
      <c r="L508" s="691"/>
      <c r="M508" s="691"/>
      <c r="N508" s="691"/>
      <c r="O508" s="691"/>
      <c r="P508" s="691"/>
      <c r="S508" s="691"/>
      <c r="T508" s="691"/>
    </row>
    <row r="509" spans="12:20" x14ac:dyDescent="0.25">
      <c r="L509" s="691"/>
      <c r="M509" s="691"/>
      <c r="N509" s="691"/>
      <c r="O509" s="691"/>
      <c r="P509" s="691"/>
      <c r="S509" s="691"/>
      <c r="T509" s="691"/>
    </row>
    <row r="510" spans="12:20" x14ac:dyDescent="0.25">
      <c r="L510" s="691"/>
      <c r="M510" s="691"/>
      <c r="N510" s="691"/>
      <c r="O510" s="691"/>
      <c r="P510" s="691"/>
      <c r="S510" s="691"/>
      <c r="T510" s="691"/>
    </row>
    <row r="511" spans="12:20" x14ac:dyDescent="0.25">
      <c r="L511" s="691"/>
      <c r="M511" s="691"/>
      <c r="N511" s="691"/>
      <c r="O511" s="691"/>
      <c r="P511" s="691"/>
      <c r="S511" s="691"/>
      <c r="T511" s="691"/>
    </row>
    <row r="512" spans="12:20" x14ac:dyDescent="0.25">
      <c r="L512" s="691"/>
      <c r="M512" s="691"/>
      <c r="N512" s="691"/>
      <c r="O512" s="691"/>
      <c r="P512" s="691"/>
      <c r="S512" s="691"/>
      <c r="T512" s="691"/>
    </row>
    <row r="513" spans="3:20" x14ac:dyDescent="0.25">
      <c r="L513" s="691"/>
      <c r="M513" s="691"/>
      <c r="N513" s="691"/>
      <c r="O513" s="691"/>
      <c r="P513" s="691"/>
      <c r="S513" s="691"/>
      <c r="T513" s="691"/>
    </row>
    <row r="514" spans="3:20" x14ac:dyDescent="0.25">
      <c r="L514" s="691"/>
      <c r="M514" s="691"/>
      <c r="N514" s="691"/>
      <c r="O514" s="691"/>
      <c r="P514" s="691"/>
      <c r="S514" s="691"/>
      <c r="T514" s="691"/>
    </row>
    <row r="515" spans="3:20" x14ac:dyDescent="0.25">
      <c r="L515" s="691"/>
      <c r="M515" s="691"/>
      <c r="N515" s="691"/>
      <c r="O515" s="691"/>
      <c r="P515" s="691"/>
      <c r="S515" s="691"/>
      <c r="T515" s="691"/>
    </row>
    <row r="516" spans="3:20" x14ac:dyDescent="0.25">
      <c r="L516" s="691"/>
      <c r="M516" s="691"/>
      <c r="N516" s="691"/>
      <c r="O516" s="691"/>
      <c r="P516" s="691"/>
      <c r="S516" s="691"/>
      <c r="T516" s="691"/>
    </row>
    <row r="517" spans="3:20" x14ac:dyDescent="0.25">
      <c r="L517" s="691"/>
      <c r="M517" s="691"/>
      <c r="N517" s="691"/>
      <c r="O517" s="691"/>
      <c r="P517" s="691"/>
      <c r="S517" s="691"/>
      <c r="T517" s="691"/>
    </row>
    <row r="518" spans="3:20" x14ac:dyDescent="0.25">
      <c r="C518" s="1751"/>
      <c r="L518" s="691"/>
      <c r="M518" s="691"/>
      <c r="N518" s="691"/>
      <c r="O518" s="691"/>
      <c r="P518" s="691"/>
      <c r="S518" s="691"/>
      <c r="T518" s="691"/>
    </row>
    <row r="519" spans="3:20" x14ac:dyDescent="0.25">
      <c r="C519" s="1751"/>
      <c r="L519" s="691"/>
      <c r="M519" s="691"/>
      <c r="N519" s="691"/>
      <c r="O519" s="691"/>
      <c r="P519" s="691"/>
      <c r="S519" s="691"/>
      <c r="T519" s="691"/>
    </row>
    <row r="520" spans="3:20" x14ac:dyDescent="0.25">
      <c r="C520" s="1751"/>
      <c r="L520" s="691"/>
      <c r="M520" s="691"/>
      <c r="N520" s="691"/>
      <c r="O520" s="691"/>
      <c r="P520" s="691"/>
      <c r="S520" s="691"/>
      <c r="T520" s="691"/>
    </row>
    <row r="521" spans="3:20" x14ac:dyDescent="0.25">
      <c r="C521" s="1751"/>
      <c r="L521" s="691"/>
      <c r="M521" s="691"/>
      <c r="N521" s="691"/>
      <c r="O521" s="691"/>
      <c r="P521" s="691"/>
      <c r="S521" s="691"/>
      <c r="T521" s="691"/>
    </row>
    <row r="522" spans="3:20" x14ac:dyDescent="0.25">
      <c r="C522" s="1751"/>
      <c r="L522" s="691"/>
      <c r="Q522" s="1751"/>
      <c r="R522" s="1751"/>
      <c r="S522" s="691"/>
    </row>
    <row r="523" spans="3:20" x14ac:dyDescent="0.25">
      <c r="C523" s="1751"/>
      <c r="L523" s="691"/>
      <c r="Q523" s="1751"/>
      <c r="R523" s="1751"/>
      <c r="S523" s="691"/>
    </row>
    <row r="524" spans="3:20" x14ac:dyDescent="0.25">
      <c r="C524" s="1751"/>
      <c r="L524" s="691"/>
      <c r="Q524" s="1751"/>
      <c r="R524" s="1751"/>
      <c r="S524" s="691"/>
    </row>
    <row r="525" spans="3:20" x14ac:dyDescent="0.25">
      <c r="C525" s="1751"/>
      <c r="L525" s="691"/>
      <c r="Q525" s="1751"/>
      <c r="R525" s="1751"/>
      <c r="S525" s="691"/>
    </row>
    <row r="526" spans="3:20" x14ac:dyDescent="0.25">
      <c r="C526" s="1751"/>
      <c r="L526" s="691"/>
      <c r="Q526" s="1751"/>
      <c r="R526" s="1751"/>
      <c r="S526" s="691"/>
    </row>
    <row r="527" spans="3:20" x14ac:dyDescent="0.25">
      <c r="C527" s="1751"/>
      <c r="L527" s="691"/>
      <c r="Q527" s="1751"/>
      <c r="R527" s="1751"/>
      <c r="S527" s="691"/>
    </row>
    <row r="528" spans="3:20" x14ac:dyDescent="0.25">
      <c r="C528" s="1751"/>
      <c r="L528" s="691"/>
      <c r="Q528" s="1751"/>
      <c r="R528" s="1751"/>
      <c r="S528" s="691"/>
    </row>
    <row r="529" spans="3:19" x14ac:dyDescent="0.25">
      <c r="C529" s="1751"/>
      <c r="L529" s="691"/>
      <c r="Q529" s="1751"/>
      <c r="R529" s="1751"/>
      <c r="S529" s="691"/>
    </row>
    <row r="530" spans="3:19" x14ac:dyDescent="0.25">
      <c r="C530" s="1751"/>
      <c r="L530" s="691"/>
      <c r="Q530" s="1751"/>
      <c r="R530" s="1751"/>
      <c r="S530" s="691"/>
    </row>
    <row r="531" spans="3:19" x14ac:dyDescent="0.25">
      <c r="C531" s="1751"/>
      <c r="L531" s="691"/>
      <c r="Q531" s="1751"/>
      <c r="R531" s="1751"/>
      <c r="S531" s="691"/>
    </row>
    <row r="532" spans="3:19" x14ac:dyDescent="0.25">
      <c r="C532" s="1751"/>
      <c r="L532" s="691"/>
      <c r="Q532" s="1751"/>
      <c r="R532" s="1751"/>
      <c r="S532" s="691"/>
    </row>
    <row r="533" spans="3:19" x14ac:dyDescent="0.25">
      <c r="C533" s="1751"/>
      <c r="L533" s="691"/>
      <c r="Q533" s="1751"/>
      <c r="R533" s="1751"/>
      <c r="S533" s="691"/>
    </row>
    <row r="534" spans="3:19" x14ac:dyDescent="0.25">
      <c r="C534" s="1751"/>
      <c r="L534" s="691"/>
      <c r="Q534" s="1751"/>
      <c r="R534" s="1751"/>
      <c r="S534" s="691"/>
    </row>
    <row r="535" spans="3:19" x14ac:dyDescent="0.25">
      <c r="C535" s="1751"/>
      <c r="L535" s="691"/>
      <c r="Q535" s="1751"/>
      <c r="R535" s="1751"/>
      <c r="S535" s="691"/>
    </row>
    <row r="536" spans="3:19" x14ac:dyDescent="0.25">
      <c r="C536" s="1751"/>
      <c r="L536" s="691"/>
      <c r="Q536" s="1751"/>
      <c r="R536" s="1751"/>
      <c r="S536" s="691"/>
    </row>
    <row r="537" spans="3:19" x14ac:dyDescent="0.25">
      <c r="C537" s="1751"/>
      <c r="L537" s="691"/>
      <c r="Q537" s="1751"/>
      <c r="R537" s="1751"/>
      <c r="S537" s="691"/>
    </row>
    <row r="538" spans="3:19" x14ac:dyDescent="0.25">
      <c r="C538" s="1751"/>
      <c r="L538" s="691"/>
      <c r="Q538" s="1751"/>
      <c r="R538" s="1751"/>
      <c r="S538" s="691"/>
    </row>
    <row r="539" spans="3:19" x14ac:dyDescent="0.25">
      <c r="C539" s="1751"/>
      <c r="L539" s="691"/>
      <c r="Q539" s="1751"/>
      <c r="R539" s="1751"/>
      <c r="S539" s="691"/>
    </row>
    <row r="540" spans="3:19" x14ac:dyDescent="0.25">
      <c r="C540" s="1751"/>
      <c r="L540" s="691"/>
      <c r="Q540" s="1751"/>
      <c r="R540" s="1751"/>
      <c r="S540" s="691"/>
    </row>
    <row r="541" spans="3:19" x14ac:dyDescent="0.25">
      <c r="C541" s="1751"/>
      <c r="L541" s="691"/>
      <c r="Q541" s="1751"/>
      <c r="R541" s="1751"/>
      <c r="S541" s="691"/>
    </row>
    <row r="542" spans="3:19" x14ac:dyDescent="0.25">
      <c r="C542" s="1751"/>
      <c r="L542" s="691"/>
      <c r="Q542" s="1751"/>
      <c r="R542" s="1751"/>
      <c r="S542" s="691"/>
    </row>
    <row r="543" spans="3:19" x14ac:dyDescent="0.25">
      <c r="C543" s="1751"/>
      <c r="L543" s="691"/>
      <c r="Q543" s="1751"/>
      <c r="R543" s="1751"/>
      <c r="S543" s="691"/>
    </row>
    <row r="544" spans="3:19" x14ac:dyDescent="0.25">
      <c r="C544" s="1751"/>
      <c r="L544" s="691"/>
      <c r="Q544" s="1751"/>
      <c r="R544" s="1751"/>
      <c r="S544" s="691"/>
    </row>
    <row r="545" spans="3:19" x14ac:dyDescent="0.25">
      <c r="C545" s="1751"/>
      <c r="L545" s="691"/>
      <c r="Q545" s="1751"/>
      <c r="R545" s="1751"/>
      <c r="S545" s="691"/>
    </row>
    <row r="546" spans="3:19" x14ac:dyDescent="0.25">
      <c r="C546" s="1751"/>
      <c r="L546" s="691"/>
      <c r="Q546" s="1751"/>
      <c r="R546" s="1751"/>
      <c r="S546" s="691"/>
    </row>
    <row r="547" spans="3:19" x14ac:dyDescent="0.25">
      <c r="C547" s="1751"/>
      <c r="L547" s="691"/>
      <c r="Q547" s="1751"/>
      <c r="R547" s="1751"/>
      <c r="S547" s="691"/>
    </row>
    <row r="548" spans="3:19" x14ac:dyDescent="0.25">
      <c r="C548" s="1751"/>
      <c r="L548" s="691"/>
      <c r="Q548" s="1751"/>
      <c r="R548" s="1751"/>
      <c r="S548" s="691"/>
    </row>
    <row r="549" spans="3:19" x14ac:dyDescent="0.25">
      <c r="C549" s="1751"/>
      <c r="L549" s="691"/>
      <c r="Q549" s="1751"/>
      <c r="R549" s="1751"/>
      <c r="S549" s="691"/>
    </row>
    <row r="550" spans="3:19" x14ac:dyDescent="0.25">
      <c r="C550" s="1751"/>
      <c r="L550" s="691"/>
      <c r="Q550" s="1751"/>
      <c r="R550" s="1751"/>
      <c r="S550" s="691"/>
    </row>
    <row r="551" spans="3:19" x14ac:dyDescent="0.25">
      <c r="C551" s="1751"/>
      <c r="L551" s="691"/>
      <c r="Q551" s="1751"/>
      <c r="R551" s="1751"/>
      <c r="S551" s="691"/>
    </row>
    <row r="552" spans="3:19" x14ac:dyDescent="0.25">
      <c r="C552" s="1751"/>
      <c r="L552" s="691"/>
      <c r="Q552" s="1751"/>
      <c r="R552" s="1751"/>
      <c r="S552" s="691"/>
    </row>
    <row r="553" spans="3:19" x14ac:dyDescent="0.25">
      <c r="C553" s="1751"/>
      <c r="L553" s="691"/>
      <c r="Q553" s="1751"/>
      <c r="R553" s="1751"/>
      <c r="S553" s="691"/>
    </row>
    <row r="554" spans="3:19" x14ac:dyDescent="0.25">
      <c r="C554" s="1751"/>
      <c r="L554" s="691"/>
      <c r="Q554" s="1751"/>
      <c r="R554" s="1751"/>
      <c r="S554" s="691"/>
    </row>
    <row r="555" spans="3:19" x14ac:dyDescent="0.25">
      <c r="C555" s="1751"/>
      <c r="L555" s="691"/>
      <c r="Q555" s="1751"/>
      <c r="R555" s="1751"/>
      <c r="S555" s="691"/>
    </row>
    <row r="556" spans="3:19" x14ac:dyDescent="0.25">
      <c r="C556" s="1751"/>
      <c r="L556" s="691"/>
      <c r="Q556" s="1751"/>
      <c r="R556" s="1751"/>
      <c r="S556" s="691"/>
    </row>
    <row r="557" spans="3:19" x14ac:dyDescent="0.25">
      <c r="C557" s="1751"/>
      <c r="L557" s="691"/>
      <c r="Q557" s="1751"/>
      <c r="R557" s="1751"/>
      <c r="S557" s="691"/>
    </row>
    <row r="558" spans="3:19" x14ac:dyDescent="0.25">
      <c r="C558" s="1751"/>
      <c r="L558" s="691"/>
      <c r="Q558" s="1751"/>
      <c r="R558" s="1751"/>
      <c r="S558" s="691"/>
    </row>
    <row r="559" spans="3:19" x14ac:dyDescent="0.25">
      <c r="C559" s="1751"/>
      <c r="L559" s="691"/>
      <c r="Q559" s="1751"/>
      <c r="R559" s="1751"/>
      <c r="S559" s="691"/>
    </row>
    <row r="560" spans="3:19" x14ac:dyDescent="0.25">
      <c r="C560" s="1751"/>
      <c r="L560" s="691"/>
      <c r="Q560" s="1751"/>
      <c r="R560" s="1751"/>
      <c r="S560" s="691"/>
    </row>
    <row r="561" spans="3:19" x14ac:dyDescent="0.25">
      <c r="C561" s="1751"/>
      <c r="L561" s="691"/>
      <c r="Q561" s="1751"/>
      <c r="R561" s="1751"/>
      <c r="S561" s="691"/>
    </row>
    <row r="562" spans="3:19" x14ac:dyDescent="0.25">
      <c r="C562" s="1751"/>
      <c r="L562" s="691"/>
      <c r="Q562" s="1751"/>
      <c r="R562" s="1751"/>
      <c r="S562" s="691"/>
    </row>
    <row r="563" spans="3:19" x14ac:dyDescent="0.25">
      <c r="C563" s="1751"/>
      <c r="L563" s="691"/>
      <c r="Q563" s="1751"/>
      <c r="R563" s="1751"/>
      <c r="S563" s="691"/>
    </row>
    <row r="564" spans="3:19" x14ac:dyDescent="0.25">
      <c r="C564" s="1751"/>
      <c r="L564" s="691"/>
      <c r="Q564" s="1751"/>
      <c r="R564" s="1751"/>
      <c r="S564" s="691"/>
    </row>
    <row r="565" spans="3:19" x14ac:dyDescent="0.25">
      <c r="C565" s="1751"/>
      <c r="L565" s="691"/>
      <c r="Q565" s="1751"/>
      <c r="R565" s="1751"/>
      <c r="S565" s="691"/>
    </row>
    <row r="566" spans="3:19" x14ac:dyDescent="0.25">
      <c r="C566" s="1751"/>
      <c r="L566" s="691"/>
      <c r="Q566" s="1751"/>
      <c r="R566" s="1751"/>
      <c r="S566" s="691"/>
    </row>
    <row r="567" spans="3:19" x14ac:dyDescent="0.25">
      <c r="C567" s="1751"/>
      <c r="L567" s="691"/>
      <c r="Q567" s="1751"/>
      <c r="R567" s="1751"/>
      <c r="S567" s="691"/>
    </row>
    <row r="568" spans="3:19" x14ac:dyDescent="0.25">
      <c r="C568" s="1751"/>
      <c r="L568" s="691"/>
      <c r="Q568" s="1751"/>
      <c r="R568" s="1751"/>
      <c r="S568" s="691"/>
    </row>
    <row r="569" spans="3:19" x14ac:dyDescent="0.25">
      <c r="C569" s="1751"/>
      <c r="L569" s="691"/>
      <c r="Q569" s="1751"/>
      <c r="R569" s="1751"/>
      <c r="S569" s="691"/>
    </row>
    <row r="570" spans="3:19" x14ac:dyDescent="0.25">
      <c r="C570" s="1751"/>
      <c r="L570" s="691"/>
      <c r="Q570" s="1751"/>
      <c r="R570" s="1751"/>
      <c r="S570" s="691"/>
    </row>
    <row r="571" spans="3:19" x14ac:dyDescent="0.25">
      <c r="C571" s="1751"/>
      <c r="L571" s="691"/>
      <c r="Q571" s="1751"/>
      <c r="R571" s="1751"/>
      <c r="S571" s="691"/>
    </row>
    <row r="572" spans="3:19" x14ac:dyDescent="0.25">
      <c r="C572" s="1751"/>
      <c r="L572" s="691"/>
      <c r="Q572" s="1751"/>
      <c r="R572" s="1751"/>
      <c r="S572" s="691"/>
    </row>
    <row r="573" spans="3:19" x14ac:dyDescent="0.25">
      <c r="C573" s="1751"/>
      <c r="L573" s="691"/>
      <c r="Q573" s="1751"/>
      <c r="R573" s="1751"/>
      <c r="S573" s="691"/>
    </row>
    <row r="574" spans="3:19" x14ac:dyDescent="0.25">
      <c r="C574" s="1751"/>
      <c r="L574" s="691"/>
      <c r="Q574" s="1751"/>
      <c r="R574" s="1751"/>
      <c r="S574" s="691"/>
    </row>
    <row r="575" spans="3:19" x14ac:dyDescent="0.25">
      <c r="C575" s="1751"/>
      <c r="L575" s="691"/>
      <c r="Q575" s="1751"/>
      <c r="R575" s="1751"/>
      <c r="S575" s="691"/>
    </row>
    <row r="576" spans="3:19" x14ac:dyDescent="0.25">
      <c r="C576" s="1751"/>
      <c r="L576" s="691"/>
      <c r="Q576" s="1751"/>
      <c r="R576" s="1751"/>
      <c r="S576" s="691"/>
    </row>
    <row r="577" spans="3:19" x14ac:dyDescent="0.25">
      <c r="C577" s="1751"/>
      <c r="L577" s="691"/>
      <c r="Q577" s="1751"/>
      <c r="R577" s="1751"/>
      <c r="S577" s="691"/>
    </row>
    <row r="578" spans="3:19" x14ac:dyDescent="0.25">
      <c r="C578" s="1751"/>
      <c r="L578" s="691"/>
      <c r="Q578" s="1751"/>
      <c r="R578" s="1751"/>
      <c r="S578" s="691"/>
    </row>
    <row r="579" spans="3:19" x14ac:dyDescent="0.25">
      <c r="C579" s="1751"/>
      <c r="L579" s="691"/>
      <c r="Q579" s="1751"/>
      <c r="R579" s="1751"/>
      <c r="S579" s="691"/>
    </row>
    <row r="580" spans="3:19" x14ac:dyDescent="0.25">
      <c r="C580" s="1751"/>
      <c r="L580" s="691"/>
      <c r="Q580" s="1751"/>
      <c r="R580" s="1751"/>
      <c r="S580" s="691"/>
    </row>
    <row r="581" spans="3:19" x14ac:dyDescent="0.25">
      <c r="C581" s="1751"/>
      <c r="L581" s="691"/>
      <c r="Q581" s="1751"/>
      <c r="R581" s="1751"/>
      <c r="S581" s="691"/>
    </row>
    <row r="582" spans="3:19" x14ac:dyDescent="0.25">
      <c r="C582" s="1751"/>
      <c r="L582" s="691"/>
      <c r="Q582" s="1751"/>
      <c r="R582" s="1751"/>
      <c r="S582" s="691"/>
    </row>
    <row r="583" spans="3:19" x14ac:dyDescent="0.25">
      <c r="C583" s="1751"/>
      <c r="L583" s="691"/>
      <c r="Q583" s="1751"/>
      <c r="R583" s="1751"/>
      <c r="S583" s="691"/>
    </row>
    <row r="584" spans="3:19" x14ac:dyDescent="0.25">
      <c r="C584" s="1751"/>
      <c r="L584" s="691"/>
      <c r="Q584" s="1751"/>
      <c r="R584" s="1751"/>
      <c r="S584" s="691"/>
    </row>
    <row r="585" spans="3:19" x14ac:dyDescent="0.25">
      <c r="C585" s="1751"/>
      <c r="L585" s="691"/>
      <c r="Q585" s="1751"/>
      <c r="R585" s="1751"/>
      <c r="S585" s="691"/>
    </row>
    <row r="586" spans="3:19" x14ac:dyDescent="0.25">
      <c r="C586" s="1751"/>
      <c r="L586" s="691"/>
      <c r="Q586" s="1751"/>
      <c r="R586" s="1751"/>
      <c r="S586" s="691"/>
    </row>
    <row r="587" spans="3:19" x14ac:dyDescent="0.25">
      <c r="C587" s="1751"/>
      <c r="L587" s="691"/>
      <c r="Q587" s="1751"/>
      <c r="R587" s="1751"/>
      <c r="S587" s="691"/>
    </row>
    <row r="588" spans="3:19" x14ac:dyDescent="0.25">
      <c r="C588" s="1751"/>
      <c r="L588" s="691"/>
      <c r="Q588" s="1751"/>
      <c r="R588" s="1751"/>
      <c r="S588" s="691"/>
    </row>
    <row r="589" spans="3:19" x14ac:dyDescent="0.25">
      <c r="C589" s="1751"/>
      <c r="L589" s="691"/>
      <c r="Q589" s="1751"/>
      <c r="R589" s="1751"/>
      <c r="S589" s="691"/>
    </row>
    <row r="590" spans="3:19" x14ac:dyDescent="0.25">
      <c r="C590" s="1751"/>
      <c r="L590" s="691"/>
      <c r="Q590" s="1751"/>
      <c r="R590" s="1751"/>
      <c r="S590" s="691"/>
    </row>
    <row r="591" spans="3:19" x14ac:dyDescent="0.25">
      <c r="C591" s="1751"/>
      <c r="L591" s="691"/>
      <c r="Q591" s="1751"/>
      <c r="R591" s="1751"/>
      <c r="S591" s="691"/>
    </row>
    <row r="592" spans="3:19" x14ac:dyDescent="0.25">
      <c r="C592" s="1751"/>
      <c r="L592" s="691"/>
      <c r="Q592" s="1751"/>
      <c r="R592" s="1751"/>
      <c r="S592" s="691"/>
    </row>
    <row r="593" spans="3:19" x14ac:dyDescent="0.25">
      <c r="C593" s="1751"/>
      <c r="L593" s="691"/>
      <c r="Q593" s="1751"/>
      <c r="R593" s="1751"/>
      <c r="S593" s="691"/>
    </row>
    <row r="594" spans="3:19" x14ac:dyDescent="0.25">
      <c r="C594" s="1751"/>
      <c r="L594" s="691"/>
      <c r="Q594" s="1751"/>
      <c r="R594" s="1751"/>
      <c r="S594" s="691"/>
    </row>
    <row r="595" spans="3:19" x14ac:dyDescent="0.25">
      <c r="C595" s="1751"/>
      <c r="L595" s="691"/>
      <c r="Q595" s="1751"/>
      <c r="R595" s="1751"/>
      <c r="S595" s="691"/>
    </row>
    <row r="596" spans="3:19" x14ac:dyDescent="0.25">
      <c r="C596" s="1751"/>
      <c r="L596" s="691"/>
      <c r="Q596" s="1751"/>
      <c r="R596" s="1751"/>
      <c r="S596" s="691"/>
    </row>
    <row r="597" spans="3:19" x14ac:dyDescent="0.25">
      <c r="C597" s="1751"/>
      <c r="L597" s="691"/>
      <c r="Q597" s="1751"/>
      <c r="R597" s="1751"/>
      <c r="S597" s="691"/>
    </row>
    <row r="598" spans="3:19" x14ac:dyDescent="0.25">
      <c r="C598" s="1751"/>
      <c r="L598" s="691"/>
      <c r="Q598" s="1751"/>
      <c r="R598" s="1751"/>
      <c r="S598" s="691"/>
    </row>
    <row r="599" spans="3:19" x14ac:dyDescent="0.25">
      <c r="C599" s="1751"/>
      <c r="L599" s="691"/>
      <c r="Q599" s="1751"/>
      <c r="R599" s="1751"/>
      <c r="S599" s="691"/>
    </row>
    <row r="600" spans="3:19" x14ac:dyDescent="0.25">
      <c r="C600" s="1751"/>
      <c r="L600" s="691"/>
      <c r="Q600" s="1751"/>
      <c r="R600" s="1751"/>
      <c r="S600" s="691"/>
    </row>
    <row r="601" spans="3:19" x14ac:dyDescent="0.25">
      <c r="C601" s="1751"/>
      <c r="L601" s="691"/>
      <c r="Q601" s="1751"/>
      <c r="R601" s="1751"/>
      <c r="S601" s="691"/>
    </row>
    <row r="602" spans="3:19" x14ac:dyDescent="0.25">
      <c r="C602" s="1751"/>
      <c r="L602" s="691"/>
      <c r="Q602" s="1751"/>
      <c r="R602" s="1751"/>
      <c r="S602" s="691"/>
    </row>
    <row r="603" spans="3:19" x14ac:dyDescent="0.25">
      <c r="C603" s="1751"/>
      <c r="L603" s="691"/>
      <c r="Q603" s="1751"/>
      <c r="R603" s="1751"/>
      <c r="S603" s="691"/>
    </row>
    <row r="604" spans="3:19" x14ac:dyDescent="0.25">
      <c r="C604" s="1751"/>
      <c r="L604" s="691"/>
      <c r="Q604" s="1751"/>
      <c r="R604" s="1751"/>
      <c r="S604" s="691"/>
    </row>
    <row r="605" spans="3:19" x14ac:dyDescent="0.25">
      <c r="C605" s="1751"/>
      <c r="L605" s="691"/>
      <c r="Q605" s="1751"/>
      <c r="R605" s="1751"/>
      <c r="S605" s="691"/>
    </row>
    <row r="606" spans="3:19" x14ac:dyDescent="0.25">
      <c r="C606" s="1751"/>
      <c r="L606" s="691"/>
      <c r="Q606" s="1751"/>
      <c r="R606" s="1751"/>
      <c r="S606" s="691"/>
    </row>
    <row r="607" spans="3:19" x14ac:dyDescent="0.25">
      <c r="C607" s="1751"/>
      <c r="L607" s="691"/>
      <c r="Q607" s="1751"/>
      <c r="R607" s="1751"/>
      <c r="S607" s="691"/>
    </row>
    <row r="608" spans="3:19" x14ac:dyDescent="0.25">
      <c r="C608" s="1751"/>
      <c r="L608" s="691"/>
      <c r="Q608" s="1751"/>
      <c r="R608" s="1751"/>
      <c r="S608" s="691"/>
    </row>
    <row r="609" spans="3:19" x14ac:dyDescent="0.25">
      <c r="C609" s="1751"/>
      <c r="L609" s="691"/>
      <c r="Q609" s="1751"/>
      <c r="R609" s="1751"/>
      <c r="S609" s="691"/>
    </row>
    <row r="610" spans="3:19" x14ac:dyDescent="0.25">
      <c r="C610" s="1751"/>
      <c r="L610" s="691"/>
      <c r="Q610" s="1751"/>
      <c r="R610" s="1751"/>
      <c r="S610" s="691"/>
    </row>
    <row r="611" spans="3:19" x14ac:dyDescent="0.25">
      <c r="C611" s="1751"/>
      <c r="L611" s="691"/>
      <c r="Q611" s="1751"/>
      <c r="R611" s="1751"/>
      <c r="S611" s="691"/>
    </row>
    <row r="612" spans="3:19" x14ac:dyDescent="0.25">
      <c r="C612" s="1751"/>
      <c r="L612" s="691"/>
      <c r="Q612" s="1751"/>
      <c r="R612" s="1751"/>
      <c r="S612" s="691"/>
    </row>
    <row r="613" spans="3:19" x14ac:dyDescent="0.25">
      <c r="C613" s="1751"/>
      <c r="L613" s="691"/>
      <c r="Q613" s="1751"/>
      <c r="R613" s="1751"/>
      <c r="S613" s="691"/>
    </row>
    <row r="614" spans="3:19" x14ac:dyDescent="0.25">
      <c r="C614" s="1751"/>
      <c r="L614" s="691"/>
      <c r="Q614" s="1751"/>
      <c r="R614" s="1751"/>
      <c r="S614" s="691"/>
    </row>
    <row r="615" spans="3:19" x14ac:dyDescent="0.25">
      <c r="C615" s="1751"/>
      <c r="L615" s="691"/>
      <c r="Q615" s="1751"/>
      <c r="R615" s="1751"/>
      <c r="S615" s="691"/>
    </row>
    <row r="616" spans="3:19" x14ac:dyDescent="0.25">
      <c r="C616" s="1751"/>
      <c r="L616" s="691"/>
      <c r="Q616" s="1751"/>
      <c r="R616" s="1751"/>
      <c r="S616" s="691"/>
    </row>
    <row r="617" spans="3:19" x14ac:dyDescent="0.25">
      <c r="C617" s="1751"/>
      <c r="L617" s="691"/>
      <c r="Q617" s="1751"/>
      <c r="R617" s="1751"/>
      <c r="S617" s="691"/>
    </row>
    <row r="618" spans="3:19" x14ac:dyDescent="0.25">
      <c r="C618" s="1751"/>
      <c r="L618" s="691"/>
      <c r="Q618" s="1751"/>
      <c r="R618" s="1751"/>
      <c r="S618" s="691"/>
    </row>
    <row r="619" spans="3:19" x14ac:dyDescent="0.25">
      <c r="C619" s="1751"/>
      <c r="L619" s="691"/>
      <c r="Q619" s="1751"/>
      <c r="R619" s="1751"/>
      <c r="S619" s="691"/>
    </row>
    <row r="620" spans="3:19" x14ac:dyDescent="0.25">
      <c r="C620" s="1751"/>
      <c r="L620" s="691"/>
      <c r="Q620" s="1751"/>
      <c r="R620" s="1751"/>
      <c r="S620" s="691"/>
    </row>
    <row r="621" spans="3:19" x14ac:dyDescent="0.25">
      <c r="C621" s="1751"/>
      <c r="L621" s="691"/>
      <c r="Q621" s="1751"/>
      <c r="R621" s="1751"/>
      <c r="S621" s="691"/>
    </row>
    <row r="622" spans="3:19" x14ac:dyDescent="0.25">
      <c r="C622" s="1751"/>
      <c r="L622" s="691"/>
      <c r="Q622" s="1751"/>
      <c r="R622" s="1751"/>
      <c r="S622" s="691"/>
    </row>
    <row r="623" spans="3:19" x14ac:dyDescent="0.25">
      <c r="C623" s="1751"/>
      <c r="L623" s="691"/>
      <c r="Q623" s="1751"/>
      <c r="R623" s="1751"/>
      <c r="S623" s="691"/>
    </row>
    <row r="624" spans="3:19" x14ac:dyDescent="0.25">
      <c r="C624" s="1751"/>
      <c r="L624" s="691"/>
      <c r="Q624" s="1751"/>
      <c r="R624" s="1751"/>
      <c r="S624" s="691"/>
    </row>
    <row r="625" spans="3:19" x14ac:dyDescent="0.25">
      <c r="C625" s="1751"/>
      <c r="L625" s="691"/>
      <c r="Q625" s="1751"/>
      <c r="R625" s="1751"/>
      <c r="S625" s="691"/>
    </row>
    <row r="626" spans="3:19" x14ac:dyDescent="0.25">
      <c r="C626" s="1751"/>
      <c r="L626" s="691"/>
      <c r="Q626" s="1751"/>
      <c r="R626" s="1751"/>
      <c r="S626" s="691"/>
    </row>
    <row r="627" spans="3:19" x14ac:dyDescent="0.25">
      <c r="C627" s="1751"/>
      <c r="L627" s="691"/>
      <c r="Q627" s="1751"/>
      <c r="R627" s="1751"/>
      <c r="S627" s="691"/>
    </row>
    <row r="628" spans="3:19" x14ac:dyDescent="0.25">
      <c r="C628" s="1751"/>
      <c r="L628" s="691"/>
      <c r="Q628" s="1751"/>
      <c r="R628" s="1751"/>
      <c r="S628" s="691"/>
    </row>
    <row r="629" spans="3:19" x14ac:dyDescent="0.25">
      <c r="C629" s="1751"/>
      <c r="L629" s="691"/>
      <c r="Q629" s="1751"/>
      <c r="R629" s="1751"/>
      <c r="S629" s="691"/>
    </row>
    <row r="630" spans="3:19" x14ac:dyDescent="0.25">
      <c r="C630" s="1751"/>
      <c r="L630" s="691"/>
      <c r="Q630" s="1751"/>
      <c r="R630" s="1751"/>
      <c r="S630" s="691"/>
    </row>
    <row r="631" spans="3:19" x14ac:dyDescent="0.25">
      <c r="C631" s="1751"/>
      <c r="L631" s="691"/>
      <c r="Q631" s="1751"/>
      <c r="R631" s="1751"/>
      <c r="S631" s="691"/>
    </row>
    <row r="632" spans="3:19" x14ac:dyDescent="0.25">
      <c r="C632" s="1751"/>
      <c r="L632" s="691"/>
      <c r="Q632" s="1751"/>
      <c r="R632" s="1751"/>
      <c r="S632" s="691"/>
    </row>
    <row r="633" spans="3:19" x14ac:dyDescent="0.25">
      <c r="C633" s="1751"/>
      <c r="L633" s="691"/>
      <c r="Q633" s="1751"/>
      <c r="R633" s="1751"/>
      <c r="S633" s="691"/>
    </row>
    <row r="634" spans="3:19" x14ac:dyDescent="0.25">
      <c r="C634" s="1751"/>
      <c r="L634" s="691"/>
      <c r="Q634" s="1751"/>
      <c r="R634" s="1751"/>
      <c r="S634" s="691"/>
    </row>
    <row r="635" spans="3:19" x14ac:dyDescent="0.25">
      <c r="C635" s="1751"/>
      <c r="L635" s="691"/>
      <c r="Q635" s="1751"/>
      <c r="R635" s="1751"/>
      <c r="S635" s="691"/>
    </row>
    <row r="636" spans="3:19" x14ac:dyDescent="0.25">
      <c r="C636" s="1751"/>
      <c r="L636" s="691"/>
      <c r="Q636" s="1751"/>
      <c r="R636" s="1751"/>
      <c r="S636" s="691"/>
    </row>
    <row r="637" spans="3:19" x14ac:dyDescent="0.25">
      <c r="C637" s="1751"/>
      <c r="L637" s="691"/>
      <c r="Q637" s="1751"/>
      <c r="R637" s="1751"/>
      <c r="S637" s="691"/>
    </row>
    <row r="638" spans="3:19" x14ac:dyDescent="0.25">
      <c r="C638" s="1751"/>
      <c r="L638" s="691"/>
      <c r="Q638" s="1751"/>
      <c r="R638" s="1751"/>
      <c r="S638" s="691"/>
    </row>
    <row r="639" spans="3:19" x14ac:dyDescent="0.25">
      <c r="C639" s="1751"/>
      <c r="L639" s="691"/>
      <c r="Q639" s="1751"/>
      <c r="R639" s="1751"/>
      <c r="S639" s="691"/>
    </row>
    <row r="640" spans="3:19" x14ac:dyDescent="0.25">
      <c r="C640" s="1751"/>
      <c r="L640" s="691"/>
      <c r="Q640" s="1751"/>
      <c r="R640" s="1751"/>
      <c r="S640" s="691"/>
    </row>
    <row r="641" spans="3:19" x14ac:dyDescent="0.25">
      <c r="C641" s="1751"/>
      <c r="L641" s="691"/>
      <c r="Q641" s="1751"/>
      <c r="R641" s="1751"/>
      <c r="S641" s="691"/>
    </row>
    <row r="642" spans="3:19" x14ac:dyDescent="0.25">
      <c r="C642" s="1751"/>
      <c r="L642" s="691"/>
      <c r="Q642" s="1751"/>
      <c r="R642" s="1751"/>
      <c r="S642" s="691"/>
    </row>
    <row r="643" spans="3:19" x14ac:dyDescent="0.25">
      <c r="C643" s="1751"/>
      <c r="L643" s="691"/>
      <c r="Q643" s="1751"/>
      <c r="R643" s="1751"/>
      <c r="S643" s="691"/>
    </row>
    <row r="644" spans="3:19" x14ac:dyDescent="0.25">
      <c r="C644" s="1751"/>
      <c r="L644" s="691"/>
      <c r="Q644" s="1751"/>
      <c r="R644" s="1751"/>
      <c r="S644" s="691"/>
    </row>
    <row r="645" spans="3:19" x14ac:dyDescent="0.25">
      <c r="C645" s="1751"/>
      <c r="L645" s="691"/>
      <c r="Q645" s="1751"/>
      <c r="R645" s="1751"/>
      <c r="S645" s="691"/>
    </row>
    <row r="646" spans="3:19" x14ac:dyDescent="0.25">
      <c r="C646" s="1751"/>
      <c r="L646" s="691"/>
      <c r="Q646" s="1751"/>
      <c r="R646" s="1751"/>
      <c r="S646" s="691"/>
    </row>
    <row r="647" spans="3:19" x14ac:dyDescent="0.25">
      <c r="C647" s="1751"/>
      <c r="L647" s="691"/>
      <c r="Q647" s="1751"/>
      <c r="R647" s="1751"/>
      <c r="S647" s="691"/>
    </row>
    <row r="648" spans="3:19" x14ac:dyDescent="0.25">
      <c r="C648" s="1751"/>
      <c r="L648" s="691"/>
      <c r="Q648" s="1751"/>
      <c r="R648" s="1751"/>
      <c r="S648" s="691"/>
    </row>
    <row r="649" spans="3:19" x14ac:dyDescent="0.25">
      <c r="C649" s="1751"/>
      <c r="L649" s="691"/>
      <c r="Q649" s="1751"/>
      <c r="R649" s="1751"/>
      <c r="S649" s="691"/>
    </row>
    <row r="650" spans="3:19" x14ac:dyDescent="0.25">
      <c r="C650" s="1751"/>
      <c r="L650" s="691"/>
      <c r="Q650" s="1751"/>
      <c r="R650" s="1751"/>
      <c r="S650" s="691"/>
    </row>
    <row r="651" spans="3:19" x14ac:dyDescent="0.25">
      <c r="C651" s="1751"/>
      <c r="L651" s="691"/>
      <c r="Q651" s="1751"/>
      <c r="R651" s="1751"/>
      <c r="S651" s="691"/>
    </row>
    <row r="652" spans="3:19" x14ac:dyDescent="0.25">
      <c r="C652" s="1751"/>
      <c r="L652" s="691"/>
      <c r="Q652" s="1751"/>
      <c r="R652" s="1751"/>
      <c r="S652" s="691"/>
    </row>
    <row r="653" spans="3:19" x14ac:dyDescent="0.25">
      <c r="C653" s="1751"/>
      <c r="L653" s="691"/>
      <c r="Q653" s="1751"/>
      <c r="R653" s="1751"/>
      <c r="S653" s="691"/>
    </row>
    <row r="654" spans="3:19" x14ac:dyDescent="0.25">
      <c r="C654" s="1751"/>
      <c r="L654" s="691"/>
      <c r="Q654" s="1751"/>
      <c r="R654" s="1751"/>
      <c r="S654" s="691"/>
    </row>
    <row r="655" spans="3:19" x14ac:dyDescent="0.25">
      <c r="C655" s="1751"/>
      <c r="L655" s="691"/>
      <c r="Q655" s="1751"/>
      <c r="R655" s="1751"/>
      <c r="S655" s="691"/>
    </row>
    <row r="656" spans="3:19" x14ac:dyDescent="0.25">
      <c r="C656" s="1751"/>
      <c r="L656" s="691"/>
      <c r="Q656" s="1751"/>
      <c r="R656" s="1751"/>
      <c r="S656" s="691"/>
    </row>
    <row r="657" spans="3:19" x14ac:dyDescent="0.25">
      <c r="C657" s="1751"/>
      <c r="L657" s="691"/>
      <c r="Q657" s="1751"/>
      <c r="R657" s="1751"/>
      <c r="S657" s="691"/>
    </row>
    <row r="658" spans="3:19" x14ac:dyDescent="0.25">
      <c r="C658" s="1751"/>
      <c r="L658" s="691"/>
      <c r="Q658" s="1751"/>
      <c r="R658" s="1751"/>
      <c r="S658" s="691"/>
    </row>
    <row r="659" spans="3:19" x14ac:dyDescent="0.25">
      <c r="C659" s="1751"/>
      <c r="L659" s="691"/>
      <c r="Q659" s="1751"/>
      <c r="R659" s="1751"/>
      <c r="S659" s="691"/>
    </row>
    <row r="660" spans="3:19" x14ac:dyDescent="0.25">
      <c r="C660" s="1751"/>
      <c r="L660" s="691"/>
      <c r="Q660" s="1751"/>
      <c r="R660" s="1751"/>
      <c r="S660" s="691"/>
    </row>
    <row r="661" spans="3:19" x14ac:dyDescent="0.25">
      <c r="C661" s="1751"/>
      <c r="L661" s="691"/>
      <c r="Q661" s="1751"/>
      <c r="R661" s="1751"/>
      <c r="S661" s="691"/>
    </row>
    <row r="662" spans="3:19" x14ac:dyDescent="0.25">
      <c r="C662" s="1751"/>
      <c r="L662" s="691"/>
      <c r="Q662" s="1751"/>
      <c r="R662" s="1751"/>
      <c r="S662" s="691"/>
    </row>
    <row r="663" spans="3:19" x14ac:dyDescent="0.25">
      <c r="C663" s="1751"/>
      <c r="L663" s="691"/>
      <c r="Q663" s="1751"/>
      <c r="R663" s="1751"/>
      <c r="S663" s="691"/>
    </row>
    <row r="664" spans="3:19" x14ac:dyDescent="0.25">
      <c r="C664" s="1751"/>
      <c r="L664" s="691"/>
      <c r="Q664" s="1751"/>
      <c r="R664" s="1751"/>
      <c r="S664" s="691"/>
    </row>
    <row r="665" spans="3:19" x14ac:dyDescent="0.25">
      <c r="C665" s="1751"/>
      <c r="L665" s="691"/>
      <c r="Q665" s="1751"/>
      <c r="R665" s="1751"/>
      <c r="S665" s="691"/>
    </row>
    <row r="666" spans="3:19" x14ac:dyDescent="0.25">
      <c r="C666" s="1751"/>
      <c r="L666" s="691"/>
      <c r="Q666" s="1751"/>
      <c r="R666" s="1751"/>
      <c r="S666" s="691"/>
    </row>
    <row r="667" spans="3:19" x14ac:dyDescent="0.25">
      <c r="C667" s="1751"/>
      <c r="L667" s="691"/>
      <c r="Q667" s="1751"/>
      <c r="R667" s="1751"/>
      <c r="S667" s="691"/>
    </row>
    <row r="668" spans="3:19" x14ac:dyDescent="0.25">
      <c r="C668" s="1751"/>
      <c r="L668" s="691"/>
      <c r="Q668" s="1751"/>
      <c r="R668" s="1751"/>
      <c r="S668" s="691"/>
    </row>
    <row r="669" spans="3:19" x14ac:dyDescent="0.25">
      <c r="C669" s="1751"/>
      <c r="L669" s="691"/>
      <c r="Q669" s="1751"/>
      <c r="R669" s="1751"/>
      <c r="S669" s="691"/>
    </row>
    <row r="670" spans="3:19" x14ac:dyDescent="0.25">
      <c r="C670" s="1751"/>
      <c r="L670" s="691"/>
      <c r="Q670" s="1751"/>
      <c r="R670" s="1751"/>
      <c r="S670" s="691"/>
    </row>
    <row r="671" spans="3:19" x14ac:dyDescent="0.25">
      <c r="C671" s="1751"/>
      <c r="L671" s="691"/>
      <c r="Q671" s="1751"/>
      <c r="R671" s="1751"/>
      <c r="S671" s="691"/>
    </row>
    <row r="672" spans="3:19" x14ac:dyDescent="0.25">
      <c r="C672" s="1751"/>
      <c r="L672" s="691"/>
      <c r="Q672" s="1751"/>
      <c r="R672" s="1751"/>
      <c r="S672" s="691"/>
    </row>
    <row r="673" spans="3:19" x14ac:dyDescent="0.25">
      <c r="C673" s="1751"/>
      <c r="L673" s="691"/>
      <c r="Q673" s="1751"/>
      <c r="R673" s="1751"/>
      <c r="S673" s="691"/>
    </row>
    <row r="674" spans="3:19" x14ac:dyDescent="0.25">
      <c r="L674" s="691"/>
      <c r="Q674" s="1751"/>
      <c r="R674" s="1751"/>
      <c r="S674" s="691"/>
    </row>
    <row r="675" spans="3:19" x14ac:dyDescent="0.25">
      <c r="L675" s="691"/>
      <c r="Q675" s="1751"/>
      <c r="R675" s="1751"/>
      <c r="S675" s="691"/>
    </row>
    <row r="676" spans="3:19" x14ac:dyDescent="0.25">
      <c r="L676" s="691"/>
      <c r="Q676" s="1751"/>
      <c r="R676" s="1751"/>
      <c r="S676" s="691"/>
    </row>
    <row r="677" spans="3:19" x14ac:dyDescent="0.25">
      <c r="L677" s="691"/>
      <c r="Q677" s="1751"/>
      <c r="R677" s="1751"/>
      <c r="S677" s="691"/>
    </row>
  </sheetData>
  <mergeCells count="19">
    <mergeCell ref="B77:G77"/>
    <mergeCell ref="B25:D25"/>
    <mergeCell ref="F26:G26"/>
    <mergeCell ref="B33:G33"/>
    <mergeCell ref="B3:K3"/>
    <mergeCell ref="C249:D249"/>
    <mergeCell ref="C272:H272"/>
    <mergeCell ref="G16:I16"/>
    <mergeCell ref="C185:G185"/>
    <mergeCell ref="C207:G207"/>
    <mergeCell ref="C217:G217"/>
    <mergeCell ref="C218:G218"/>
    <mergeCell ref="C229:G229"/>
    <mergeCell ref="C239:G239"/>
    <mergeCell ref="B34:G34"/>
    <mergeCell ref="B36:G36"/>
    <mergeCell ref="B44:G44"/>
    <mergeCell ref="B73:G73"/>
    <mergeCell ref="B74:G74"/>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A0FE6"/>
  </sheetPr>
  <dimension ref="A2:I383"/>
  <sheetViews>
    <sheetView zoomScale="70" zoomScaleNormal="70" workbookViewId="0">
      <selection activeCell="F24" sqref="F24"/>
    </sheetView>
  </sheetViews>
  <sheetFormatPr baseColWidth="10" defaultColWidth="11.5703125" defaultRowHeight="18" x14ac:dyDescent="0.25"/>
  <cols>
    <col min="1" max="2" width="20.7109375" style="3591" customWidth="1"/>
    <col min="3" max="3" width="6.7109375" style="1562" customWidth="1"/>
    <col min="4" max="4" width="113.7109375" style="3592" customWidth="1"/>
    <col min="5" max="5" width="14.28515625" style="3591" customWidth="1"/>
    <col min="6" max="7" width="17.7109375" style="3591" customWidth="1"/>
    <col min="8" max="8" width="14.7109375" style="3591" customWidth="1"/>
    <col min="9" max="9" width="11.5703125" style="3602"/>
    <col min="10" max="16384" width="11.5703125" style="3591"/>
  </cols>
  <sheetData>
    <row r="2" spans="1:9" x14ac:dyDescent="0.25">
      <c r="A2" s="4799" t="s">
        <v>3354</v>
      </c>
      <c r="B2" s="4800"/>
      <c r="C2" s="4800"/>
      <c r="D2" s="4800"/>
      <c r="E2" s="4800"/>
      <c r="F2" s="4800"/>
      <c r="G2" s="4800"/>
      <c r="H2" s="4801"/>
      <c r="I2" s="3603"/>
    </row>
    <row r="3" spans="1:9" x14ac:dyDescent="0.25">
      <c r="A3" s="4802" t="s">
        <v>2056</v>
      </c>
      <c r="B3" s="4803"/>
      <c r="C3" s="3593"/>
      <c r="D3" s="3409" t="s">
        <v>3722</v>
      </c>
      <c r="E3" s="1534"/>
      <c r="F3" s="1534"/>
      <c r="G3" s="1534"/>
      <c r="H3" s="1537"/>
      <c r="I3" s="3603"/>
    </row>
    <row r="4" spans="1:9" x14ac:dyDescent="0.25">
      <c r="A4" s="4802" t="s">
        <v>2057</v>
      </c>
      <c r="B4" s="4803"/>
      <c r="C4" s="3593"/>
      <c r="D4" s="3409" t="s">
        <v>2058</v>
      </c>
      <c r="E4" s="1534"/>
      <c r="F4" s="1534"/>
      <c r="G4" s="1534"/>
      <c r="H4" s="1537"/>
      <c r="I4" s="3603"/>
    </row>
    <row r="5" spans="1:9" x14ac:dyDescent="0.25">
      <c r="A5" s="4802" t="s">
        <v>3355</v>
      </c>
      <c r="B5" s="4803"/>
      <c r="C5" s="3593"/>
      <c r="D5" s="3409" t="s">
        <v>3674</v>
      </c>
      <c r="E5" s="1534"/>
      <c r="F5" s="1534"/>
      <c r="G5" s="1534"/>
      <c r="H5" s="1537"/>
      <c r="I5" s="3603"/>
    </row>
    <row r="6" spans="1:9" ht="54" x14ac:dyDescent="0.25">
      <c r="A6" s="4804" t="s">
        <v>1814</v>
      </c>
      <c r="B6" s="4805"/>
      <c r="C6" s="3654" t="s">
        <v>3723</v>
      </c>
      <c r="D6" s="3654" t="s">
        <v>1815</v>
      </c>
      <c r="E6" s="3654" t="s">
        <v>323</v>
      </c>
      <c r="F6" s="3654" t="s">
        <v>3356</v>
      </c>
      <c r="G6" s="3654" t="s">
        <v>3357</v>
      </c>
      <c r="H6" s="3655" t="s">
        <v>3358</v>
      </c>
      <c r="I6" s="3603"/>
    </row>
    <row r="7" spans="1:9" x14ac:dyDescent="0.25">
      <c r="A7" s="4830"/>
      <c r="B7" s="4831"/>
      <c r="C7" s="3656"/>
      <c r="D7" s="1568" t="s">
        <v>1816</v>
      </c>
      <c r="E7" s="3656"/>
      <c r="F7" s="3656"/>
      <c r="G7" s="3656"/>
      <c r="H7" s="3657">
        <f>F62</f>
        <v>674.16</v>
      </c>
      <c r="I7" s="3603"/>
    </row>
    <row r="8" spans="1:9" x14ac:dyDescent="0.25">
      <c r="A8" s="4808" t="s">
        <v>3359</v>
      </c>
      <c r="B8" s="4809"/>
      <c r="C8" s="4812">
        <v>1</v>
      </c>
      <c r="D8" s="3594" t="s">
        <v>2070</v>
      </c>
      <c r="E8" s="4814">
        <v>1</v>
      </c>
      <c r="F8" s="4816">
        <v>13.5</v>
      </c>
      <c r="G8" s="4816">
        <v>14.83</v>
      </c>
      <c r="H8" s="4775"/>
      <c r="I8" s="3603"/>
    </row>
    <row r="9" spans="1:9" x14ac:dyDescent="0.25">
      <c r="A9" s="4808"/>
      <c r="B9" s="4809"/>
      <c r="C9" s="4813"/>
      <c r="D9" s="3595" t="s">
        <v>2079</v>
      </c>
      <c r="E9" s="4815"/>
      <c r="F9" s="4817"/>
      <c r="G9" s="4817"/>
      <c r="H9" s="4776"/>
      <c r="I9" s="3603"/>
    </row>
    <row r="10" spans="1:9" x14ac:dyDescent="0.25">
      <c r="A10" s="4810"/>
      <c r="B10" s="4811"/>
      <c r="C10" s="3600">
        <v>2</v>
      </c>
      <c r="D10" s="3595" t="s">
        <v>3724</v>
      </c>
      <c r="E10" s="3596">
        <v>1</v>
      </c>
      <c r="F10" s="3608">
        <v>17</v>
      </c>
      <c r="G10" s="3608">
        <v>17.09</v>
      </c>
      <c r="H10" s="4776"/>
      <c r="I10" s="3603"/>
    </row>
    <row r="11" spans="1:9" x14ac:dyDescent="0.25">
      <c r="A11" s="4810"/>
      <c r="B11" s="4811"/>
      <c r="C11" s="3600">
        <v>3</v>
      </c>
      <c r="D11" s="3595" t="s">
        <v>2076</v>
      </c>
      <c r="E11" s="3596">
        <v>1</v>
      </c>
      <c r="F11" s="3608">
        <v>13.5</v>
      </c>
      <c r="G11" s="3608">
        <v>13.47</v>
      </c>
      <c r="H11" s="4776"/>
      <c r="I11" s="3603"/>
    </row>
    <row r="12" spans="1:9" x14ac:dyDescent="0.25">
      <c r="A12" s="4810"/>
      <c r="B12" s="4811"/>
      <c r="C12" s="3600">
        <v>4</v>
      </c>
      <c r="D12" s="3595" t="s">
        <v>2082</v>
      </c>
      <c r="E12" s="3596">
        <v>1</v>
      </c>
      <c r="F12" s="3608">
        <v>15</v>
      </c>
      <c r="G12" s="3608">
        <v>14.95</v>
      </c>
      <c r="H12" s="4776"/>
      <c r="I12" s="3603"/>
    </row>
    <row r="13" spans="1:9" x14ac:dyDescent="0.25">
      <c r="A13" s="4810"/>
      <c r="B13" s="4811"/>
      <c r="C13" s="4821">
        <v>5</v>
      </c>
      <c r="D13" s="3595" t="s">
        <v>3360</v>
      </c>
      <c r="E13" s="4822">
        <v>1</v>
      </c>
      <c r="F13" s="4818">
        <v>24</v>
      </c>
      <c r="G13" s="4818">
        <v>23.72</v>
      </c>
      <c r="H13" s="4776"/>
      <c r="I13" s="3603"/>
    </row>
    <row r="14" spans="1:9" x14ac:dyDescent="0.25">
      <c r="A14" s="4810"/>
      <c r="B14" s="4811"/>
      <c r="C14" s="4813"/>
      <c r="D14" s="3595" t="s">
        <v>3725</v>
      </c>
      <c r="E14" s="4815"/>
      <c r="F14" s="4817"/>
      <c r="G14" s="4817"/>
      <c r="H14" s="4776"/>
      <c r="I14" s="3603"/>
    </row>
    <row r="15" spans="1:9" x14ac:dyDescent="0.25">
      <c r="A15" s="4810"/>
      <c r="B15" s="4811"/>
      <c r="C15" s="3600">
        <v>6</v>
      </c>
      <c r="D15" s="3595" t="s">
        <v>2088</v>
      </c>
      <c r="E15" s="3596">
        <v>1</v>
      </c>
      <c r="F15" s="3608">
        <v>15</v>
      </c>
      <c r="G15" s="3608">
        <v>17.05</v>
      </c>
      <c r="H15" s="4776"/>
      <c r="I15" s="3603"/>
    </row>
    <row r="16" spans="1:9" x14ac:dyDescent="0.25">
      <c r="A16" s="4810"/>
      <c r="B16" s="4811"/>
      <c r="C16" s="4819">
        <v>7</v>
      </c>
      <c r="D16" s="3595" t="s">
        <v>2091</v>
      </c>
      <c r="E16" s="4820">
        <v>1</v>
      </c>
      <c r="F16" s="4791">
        <v>13.5</v>
      </c>
      <c r="G16" s="4791">
        <v>14.38</v>
      </c>
      <c r="H16" s="4776"/>
      <c r="I16" s="3603"/>
    </row>
    <row r="17" spans="1:9" x14ac:dyDescent="0.25">
      <c r="A17" s="4810"/>
      <c r="B17" s="4811"/>
      <c r="C17" s="4819"/>
      <c r="D17" s="3595" t="s">
        <v>2092</v>
      </c>
      <c r="E17" s="4820"/>
      <c r="F17" s="4791"/>
      <c r="G17" s="4791"/>
      <c r="H17" s="4776"/>
      <c r="I17" s="3603"/>
    </row>
    <row r="18" spans="1:9" x14ac:dyDescent="0.25">
      <c r="A18" s="4810"/>
      <c r="B18" s="4811"/>
      <c r="C18" s="4819"/>
      <c r="D18" s="3595" t="s">
        <v>2095</v>
      </c>
      <c r="E18" s="4820"/>
      <c r="F18" s="4791"/>
      <c r="G18" s="4791"/>
      <c r="H18" s="4776"/>
      <c r="I18" s="3603"/>
    </row>
    <row r="19" spans="1:9" x14ac:dyDescent="0.25">
      <c r="A19" s="4810"/>
      <c r="B19" s="4811"/>
      <c r="C19" s="4819">
        <v>8</v>
      </c>
      <c r="D19" s="3595" t="s">
        <v>3726</v>
      </c>
      <c r="E19" s="4820">
        <v>1</v>
      </c>
      <c r="F19" s="4791">
        <v>17</v>
      </c>
      <c r="G19" s="4791">
        <v>17.59</v>
      </c>
      <c r="H19" s="4776"/>
      <c r="I19" s="3603"/>
    </row>
    <row r="20" spans="1:9" x14ac:dyDescent="0.25">
      <c r="A20" s="4810"/>
      <c r="B20" s="4811"/>
      <c r="C20" s="4819"/>
      <c r="D20" s="3595" t="s">
        <v>2094</v>
      </c>
      <c r="E20" s="4820"/>
      <c r="F20" s="4791"/>
      <c r="G20" s="4791"/>
      <c r="H20" s="4776"/>
      <c r="I20" s="3603"/>
    </row>
    <row r="21" spans="1:9" x14ac:dyDescent="0.25">
      <c r="A21" s="4810"/>
      <c r="B21" s="4811"/>
      <c r="C21" s="3600">
        <v>9</v>
      </c>
      <c r="D21" s="3595" t="s">
        <v>3727</v>
      </c>
      <c r="E21" s="3596">
        <v>1</v>
      </c>
      <c r="F21" s="3608">
        <v>17</v>
      </c>
      <c r="G21" s="3608">
        <v>17.04</v>
      </c>
      <c r="H21" s="4776"/>
      <c r="I21" s="3603"/>
    </row>
    <row r="22" spans="1:9" x14ac:dyDescent="0.25">
      <c r="A22" s="4810"/>
      <c r="B22" s="4811"/>
      <c r="C22" s="3600">
        <v>10</v>
      </c>
      <c r="D22" s="3595" t="s">
        <v>471</v>
      </c>
      <c r="E22" s="3596">
        <v>1</v>
      </c>
      <c r="F22" s="3608">
        <v>13.5</v>
      </c>
      <c r="G22" s="3608">
        <v>13.65</v>
      </c>
      <c r="H22" s="4776"/>
      <c r="I22" s="3603"/>
    </row>
    <row r="23" spans="1:9" x14ac:dyDescent="0.25">
      <c r="A23" s="4810"/>
      <c r="B23" s="4811"/>
      <c r="C23" s="3600"/>
      <c r="D23" s="3595" t="s">
        <v>5910</v>
      </c>
      <c r="E23" s="3596">
        <v>0</v>
      </c>
      <c r="F23" s="3608"/>
      <c r="G23" s="3608"/>
      <c r="H23" s="4776"/>
      <c r="I23" s="3603"/>
    </row>
    <row r="24" spans="1:9" x14ac:dyDescent="0.25">
      <c r="A24" s="4810"/>
      <c r="B24" s="4811"/>
      <c r="C24" s="3600">
        <v>11</v>
      </c>
      <c r="D24" s="3595" t="s">
        <v>2111</v>
      </c>
      <c r="E24" s="3596">
        <v>1</v>
      </c>
      <c r="F24" s="3608">
        <v>17</v>
      </c>
      <c r="G24" s="3608">
        <v>17.829999999999998</v>
      </c>
      <c r="H24" s="4776"/>
      <c r="I24" s="3603"/>
    </row>
    <row r="25" spans="1:9" x14ac:dyDescent="0.25">
      <c r="A25" s="4810"/>
      <c r="B25" s="4811"/>
      <c r="C25" s="3600">
        <v>12</v>
      </c>
      <c r="D25" s="3595" t="s">
        <v>3728</v>
      </c>
      <c r="E25" s="3596">
        <v>1</v>
      </c>
      <c r="F25" s="3608">
        <v>23</v>
      </c>
      <c r="G25" s="3608">
        <v>23.63</v>
      </c>
      <c r="H25" s="4776"/>
      <c r="I25" s="3603"/>
    </row>
    <row r="26" spans="1:9" x14ac:dyDescent="0.25">
      <c r="A26" s="4810"/>
      <c r="B26" s="4811"/>
      <c r="C26" s="3600">
        <v>13</v>
      </c>
      <c r="D26" s="3595" t="s">
        <v>2114</v>
      </c>
      <c r="E26" s="3596">
        <v>1</v>
      </c>
      <c r="F26" s="3608">
        <v>13.5</v>
      </c>
      <c r="G26" s="3608">
        <v>13.84</v>
      </c>
      <c r="H26" s="4776"/>
      <c r="I26" s="3603"/>
    </row>
    <row r="27" spans="1:9" x14ac:dyDescent="0.25">
      <c r="A27" s="4810"/>
      <c r="B27" s="4811"/>
      <c r="C27" s="3600">
        <v>14</v>
      </c>
      <c r="D27" s="3595" t="s">
        <v>3729</v>
      </c>
      <c r="E27" s="3596">
        <v>1</v>
      </c>
      <c r="F27" s="3608">
        <v>16</v>
      </c>
      <c r="G27" s="3608">
        <v>15.72</v>
      </c>
      <c r="H27" s="4776"/>
      <c r="I27" s="3603"/>
    </row>
    <row r="28" spans="1:9" x14ac:dyDescent="0.25">
      <c r="A28" s="4810"/>
      <c r="B28" s="4811"/>
      <c r="C28" s="3600">
        <v>15</v>
      </c>
      <c r="D28" s="3595" t="s">
        <v>2120</v>
      </c>
      <c r="E28" s="3596">
        <v>1</v>
      </c>
      <c r="F28" s="3608">
        <v>15</v>
      </c>
      <c r="G28" s="3608">
        <v>14.67</v>
      </c>
      <c r="H28" s="4776"/>
      <c r="I28" s="3603"/>
    </row>
    <row r="29" spans="1:9" x14ac:dyDescent="0.25">
      <c r="A29" s="4773" t="s">
        <v>1877</v>
      </c>
      <c r="B29" s="4774" t="s">
        <v>3361</v>
      </c>
      <c r="C29" s="3606">
        <v>16</v>
      </c>
      <c r="D29" s="3605" t="s">
        <v>3362</v>
      </c>
      <c r="E29" s="3607">
        <v>1</v>
      </c>
      <c r="F29" s="3608">
        <v>10</v>
      </c>
      <c r="G29" s="3608">
        <v>13.16</v>
      </c>
      <c r="H29" s="4776"/>
      <c r="I29" s="3603"/>
    </row>
    <row r="30" spans="1:9" x14ac:dyDescent="0.25">
      <c r="A30" s="4773"/>
      <c r="B30" s="4774"/>
      <c r="C30" s="4785">
        <v>17</v>
      </c>
      <c r="D30" s="3605" t="s">
        <v>3363</v>
      </c>
      <c r="E30" s="4807">
        <v>1</v>
      </c>
      <c r="F30" s="4791">
        <v>6</v>
      </c>
      <c r="G30" s="4791">
        <v>9.25</v>
      </c>
      <c r="H30" s="4776"/>
      <c r="I30" s="3603"/>
    </row>
    <row r="31" spans="1:9" x14ac:dyDescent="0.25">
      <c r="A31" s="4773"/>
      <c r="B31" s="4774"/>
      <c r="C31" s="4785"/>
      <c r="D31" s="3605" t="s">
        <v>3364</v>
      </c>
      <c r="E31" s="4807"/>
      <c r="F31" s="4791"/>
      <c r="G31" s="4791"/>
      <c r="H31" s="4776"/>
      <c r="I31" s="3603"/>
    </row>
    <row r="32" spans="1:9" x14ac:dyDescent="0.25">
      <c r="A32" s="4773"/>
      <c r="B32" s="4774"/>
      <c r="C32" s="4785"/>
      <c r="D32" s="3605" t="s">
        <v>3365</v>
      </c>
      <c r="E32" s="4807"/>
      <c r="F32" s="4791"/>
      <c r="G32" s="4791"/>
      <c r="H32" s="4776"/>
      <c r="I32" s="3603"/>
    </row>
    <row r="33" spans="1:9" x14ac:dyDescent="0.25">
      <c r="A33" s="4773"/>
      <c r="B33" s="4774"/>
      <c r="C33" s="3606">
        <v>18</v>
      </c>
      <c r="D33" s="3605" t="s">
        <v>3730</v>
      </c>
      <c r="E33" s="3607">
        <v>1</v>
      </c>
      <c r="F33" s="3608">
        <v>9</v>
      </c>
      <c r="G33" s="3608">
        <v>8.66</v>
      </c>
      <c r="H33" s="4776"/>
      <c r="I33" s="3603"/>
    </row>
    <row r="34" spans="1:9" x14ac:dyDescent="0.25">
      <c r="A34" s="4773"/>
      <c r="B34" s="4774"/>
      <c r="C34" s="3606">
        <v>19</v>
      </c>
      <c r="D34" s="3605" t="s">
        <v>626</v>
      </c>
      <c r="E34" s="3607">
        <v>1</v>
      </c>
      <c r="F34" s="3608">
        <v>9</v>
      </c>
      <c r="G34" s="3608">
        <v>9.3000000000000007</v>
      </c>
      <c r="H34" s="4776"/>
      <c r="I34" s="3603"/>
    </row>
    <row r="35" spans="1:9" x14ac:dyDescent="0.25">
      <c r="A35" s="4773"/>
      <c r="B35" s="4774"/>
      <c r="C35" s="4785">
        <v>20</v>
      </c>
      <c r="D35" s="3605" t="s">
        <v>3366</v>
      </c>
      <c r="E35" s="4807">
        <v>1</v>
      </c>
      <c r="F35" s="4791">
        <v>9</v>
      </c>
      <c r="G35" s="4791">
        <v>8.8000000000000007</v>
      </c>
      <c r="H35" s="4776"/>
      <c r="I35" s="3603"/>
    </row>
    <row r="36" spans="1:9" x14ac:dyDescent="0.25">
      <c r="A36" s="4773"/>
      <c r="B36" s="4774"/>
      <c r="C36" s="4785"/>
      <c r="D36" s="3605" t="s">
        <v>3367</v>
      </c>
      <c r="E36" s="4807"/>
      <c r="F36" s="4791"/>
      <c r="G36" s="4791"/>
      <c r="H36" s="4776"/>
      <c r="I36" s="3603"/>
    </row>
    <row r="37" spans="1:9" x14ac:dyDescent="0.25">
      <c r="A37" s="4773"/>
      <c r="B37" s="4774"/>
      <c r="C37" s="4785"/>
      <c r="D37" s="3605" t="s">
        <v>3151</v>
      </c>
      <c r="E37" s="4807"/>
      <c r="F37" s="4791"/>
      <c r="G37" s="4791"/>
      <c r="H37" s="4776"/>
      <c r="I37" s="3603"/>
    </row>
    <row r="38" spans="1:9" x14ac:dyDescent="0.25">
      <c r="A38" s="4773"/>
      <c r="B38" s="4774"/>
      <c r="C38" s="3606">
        <v>21</v>
      </c>
      <c r="D38" s="3599" t="s">
        <v>3731</v>
      </c>
      <c r="E38" s="3607">
        <v>1</v>
      </c>
      <c r="F38" s="3609">
        <f>2.5*2</f>
        <v>5</v>
      </c>
      <c r="G38" s="3609">
        <v>5.51</v>
      </c>
      <c r="H38" s="4776"/>
      <c r="I38" s="3603"/>
    </row>
    <row r="39" spans="1:9" x14ac:dyDescent="0.25">
      <c r="A39" s="4773"/>
      <c r="B39" s="4774"/>
      <c r="C39" s="3606">
        <v>22</v>
      </c>
      <c r="D39" s="3599" t="s">
        <v>3732</v>
      </c>
      <c r="E39" s="3607">
        <v>1</v>
      </c>
      <c r="F39" s="3609">
        <f>2.5*2</f>
        <v>5</v>
      </c>
      <c r="G39" s="3609">
        <v>5.65</v>
      </c>
      <c r="H39" s="4776"/>
      <c r="I39" s="3603"/>
    </row>
    <row r="40" spans="1:9" x14ac:dyDescent="0.25">
      <c r="A40" s="4773"/>
      <c r="B40" s="4774" t="s">
        <v>3368</v>
      </c>
      <c r="C40" s="3606">
        <v>23</v>
      </c>
      <c r="D40" s="3605" t="s">
        <v>3369</v>
      </c>
      <c r="E40" s="3607">
        <v>1</v>
      </c>
      <c r="F40" s="3608">
        <v>9</v>
      </c>
      <c r="G40" s="3608">
        <v>8.76</v>
      </c>
      <c r="H40" s="4776"/>
      <c r="I40" s="3603"/>
    </row>
    <row r="41" spans="1:9" x14ac:dyDescent="0.25">
      <c r="A41" s="4773"/>
      <c r="B41" s="4774"/>
      <c r="C41" s="3606">
        <v>24</v>
      </c>
      <c r="D41" s="3599" t="s">
        <v>3374</v>
      </c>
      <c r="E41" s="3607">
        <v>2</v>
      </c>
      <c r="F41" s="3608">
        <f>8*14*1</f>
        <v>112</v>
      </c>
      <c r="G41" s="3608">
        <v>107.05</v>
      </c>
      <c r="H41" s="4776"/>
      <c r="I41" s="3603"/>
    </row>
    <row r="42" spans="1:9" x14ac:dyDescent="0.25">
      <c r="A42" s="4773"/>
      <c r="B42" s="4774"/>
      <c r="C42" s="3606">
        <v>25</v>
      </c>
      <c r="D42" s="3605" t="s">
        <v>3733</v>
      </c>
      <c r="E42" s="3610">
        <v>1</v>
      </c>
      <c r="F42" s="3609">
        <f>9.15*2</f>
        <v>18.3</v>
      </c>
      <c r="G42" s="3608">
        <v>12.14</v>
      </c>
      <c r="H42" s="4776"/>
      <c r="I42" s="3603"/>
    </row>
    <row r="43" spans="1:9" x14ac:dyDescent="0.25">
      <c r="A43" s="4773"/>
      <c r="B43" s="4774"/>
      <c r="C43" s="3606">
        <v>26</v>
      </c>
      <c r="D43" s="3605" t="s">
        <v>3734</v>
      </c>
      <c r="E43" s="3610">
        <v>1</v>
      </c>
      <c r="F43" s="3609">
        <f>9.15*2</f>
        <v>18.3</v>
      </c>
      <c r="G43" s="3608">
        <v>12.15</v>
      </c>
      <c r="H43" s="4776"/>
      <c r="I43" s="3603"/>
    </row>
    <row r="44" spans="1:9" x14ac:dyDescent="0.25">
      <c r="A44" s="4773"/>
      <c r="B44" s="4774"/>
      <c r="C44" s="3606">
        <v>27</v>
      </c>
      <c r="D44" s="3605" t="s">
        <v>3735</v>
      </c>
      <c r="E44" s="3610">
        <v>1</v>
      </c>
      <c r="F44" s="3608">
        <f>7.5*2</f>
        <v>15</v>
      </c>
      <c r="G44" s="3608">
        <v>9.67</v>
      </c>
      <c r="H44" s="4776"/>
      <c r="I44" s="3603"/>
    </row>
    <row r="45" spans="1:9" x14ac:dyDescent="0.25">
      <c r="A45" s="4773"/>
      <c r="B45" s="4774"/>
      <c r="C45" s="3606">
        <v>28</v>
      </c>
      <c r="D45" s="3605" t="s">
        <v>3370</v>
      </c>
      <c r="E45" s="3611">
        <v>1</v>
      </c>
      <c r="F45" s="3608">
        <v>5</v>
      </c>
      <c r="G45" s="3608">
        <v>5.12</v>
      </c>
      <c r="H45" s="4776"/>
      <c r="I45" s="3603"/>
    </row>
    <row r="46" spans="1:9" x14ac:dyDescent="0.25">
      <c r="A46" s="4773"/>
      <c r="B46" s="4774" t="s">
        <v>3371</v>
      </c>
      <c r="C46" s="3606">
        <v>29</v>
      </c>
      <c r="D46" s="3605" t="s">
        <v>3736</v>
      </c>
      <c r="E46" s="3611">
        <v>1</v>
      </c>
      <c r="F46" s="3608">
        <f>4*3</f>
        <v>12</v>
      </c>
      <c r="G46" s="3608">
        <v>11.56</v>
      </c>
      <c r="H46" s="4776"/>
      <c r="I46" s="3603"/>
    </row>
    <row r="47" spans="1:9" x14ac:dyDescent="0.25">
      <c r="A47" s="4773"/>
      <c r="B47" s="4774"/>
      <c r="C47" s="3606">
        <v>30</v>
      </c>
      <c r="D47" s="3605" t="s">
        <v>3372</v>
      </c>
      <c r="E47" s="3607">
        <v>1</v>
      </c>
      <c r="F47" s="3608">
        <v>4</v>
      </c>
      <c r="G47" s="3608">
        <v>4.83</v>
      </c>
      <c r="H47" s="4776"/>
      <c r="I47" s="3603"/>
    </row>
    <row r="48" spans="1:9" x14ac:dyDescent="0.25">
      <c r="A48" s="4773"/>
      <c r="B48" s="4774" t="s">
        <v>3373</v>
      </c>
      <c r="C48" s="3606">
        <v>31</v>
      </c>
      <c r="D48" s="3605" t="s">
        <v>2090</v>
      </c>
      <c r="E48" s="3607">
        <v>1</v>
      </c>
      <c r="F48" s="3608">
        <v>13.5</v>
      </c>
      <c r="G48" s="3608">
        <v>13.78</v>
      </c>
      <c r="H48" s="4776"/>
      <c r="I48" s="3603"/>
    </row>
    <row r="49" spans="1:9" x14ac:dyDescent="0.25">
      <c r="A49" s="4773"/>
      <c r="B49" s="4774"/>
      <c r="C49" s="3606">
        <v>32</v>
      </c>
      <c r="D49" s="3605" t="s">
        <v>3374</v>
      </c>
      <c r="E49" s="3607">
        <v>1</v>
      </c>
      <c r="F49" s="3608">
        <v>12</v>
      </c>
      <c r="G49" s="3608">
        <v>12.56</v>
      </c>
      <c r="H49" s="4776"/>
      <c r="I49" s="3603"/>
    </row>
    <row r="50" spans="1:9" x14ac:dyDescent="0.25">
      <c r="A50" s="4773"/>
      <c r="B50" s="4774"/>
      <c r="C50" s="3606">
        <v>33</v>
      </c>
      <c r="D50" s="3605" t="s">
        <v>3375</v>
      </c>
      <c r="E50" s="3607">
        <v>1</v>
      </c>
      <c r="F50" s="3608">
        <v>8</v>
      </c>
      <c r="G50" s="3608">
        <v>7.84</v>
      </c>
      <c r="H50" s="4776"/>
      <c r="I50" s="3603"/>
    </row>
    <row r="51" spans="1:9" x14ac:dyDescent="0.25">
      <c r="A51" s="4773"/>
      <c r="B51" s="4774"/>
      <c r="C51" s="4785">
        <v>34</v>
      </c>
      <c r="D51" s="3605" t="s">
        <v>3376</v>
      </c>
      <c r="E51" s="4807">
        <v>1</v>
      </c>
      <c r="F51" s="4791">
        <v>6</v>
      </c>
      <c r="G51" s="4791">
        <v>4</v>
      </c>
      <c r="H51" s="4776"/>
      <c r="I51" s="3603"/>
    </row>
    <row r="52" spans="1:9" x14ac:dyDescent="0.25">
      <c r="A52" s="4773"/>
      <c r="B52" s="4774"/>
      <c r="C52" s="4785"/>
      <c r="D52" s="3605" t="s">
        <v>3377</v>
      </c>
      <c r="E52" s="4807"/>
      <c r="F52" s="4791"/>
      <c r="G52" s="4791"/>
      <c r="H52" s="4776"/>
      <c r="I52" s="3603"/>
    </row>
    <row r="53" spans="1:9" x14ac:dyDescent="0.25">
      <c r="A53" s="4773"/>
      <c r="B53" s="4774"/>
      <c r="C53" s="3606">
        <v>35</v>
      </c>
      <c r="D53" s="3605" t="s">
        <v>3378</v>
      </c>
      <c r="E53" s="3607">
        <v>1</v>
      </c>
      <c r="F53" s="3608">
        <v>3</v>
      </c>
      <c r="G53" s="3608">
        <v>2.8</v>
      </c>
      <c r="H53" s="4776"/>
      <c r="I53" s="3603"/>
    </row>
    <row r="54" spans="1:9" x14ac:dyDescent="0.25">
      <c r="A54" s="4773"/>
      <c r="B54" s="4774"/>
      <c r="C54" s="3606">
        <v>36</v>
      </c>
      <c r="D54" s="3605" t="s">
        <v>3379</v>
      </c>
      <c r="E54" s="3607">
        <v>1</v>
      </c>
      <c r="F54" s="3608">
        <v>2.5</v>
      </c>
      <c r="G54" s="3608">
        <v>3.11</v>
      </c>
      <c r="H54" s="4776"/>
      <c r="I54" s="3603"/>
    </row>
    <row r="55" spans="1:9" x14ac:dyDescent="0.25">
      <c r="A55" s="4773"/>
      <c r="B55" s="4774"/>
      <c r="C55" s="3606">
        <v>37</v>
      </c>
      <c r="D55" s="3605" t="s">
        <v>3380</v>
      </c>
      <c r="E55" s="3607">
        <v>1</v>
      </c>
      <c r="F55" s="3608">
        <v>2.5</v>
      </c>
      <c r="G55" s="3608">
        <v>3.44</v>
      </c>
      <c r="H55" s="4776"/>
      <c r="I55" s="3603"/>
    </row>
    <row r="56" spans="1:9" x14ac:dyDescent="0.25">
      <c r="A56" s="4773"/>
      <c r="B56" s="4774"/>
      <c r="C56" s="3606">
        <v>38</v>
      </c>
      <c r="D56" s="3599" t="s">
        <v>3736</v>
      </c>
      <c r="E56" s="3607">
        <v>1</v>
      </c>
      <c r="F56" s="3608">
        <v>4</v>
      </c>
      <c r="G56" s="3608">
        <v>3.48</v>
      </c>
      <c r="H56" s="4776"/>
      <c r="I56" s="3603"/>
    </row>
    <row r="57" spans="1:9" x14ac:dyDescent="0.25">
      <c r="A57" s="4773"/>
      <c r="B57" s="4774"/>
      <c r="C57" s="3606">
        <v>39</v>
      </c>
      <c r="D57" s="3605" t="s">
        <v>3381</v>
      </c>
      <c r="E57" s="3607">
        <v>1</v>
      </c>
      <c r="F57" s="3608">
        <v>3</v>
      </c>
      <c r="G57" s="3608">
        <v>3.48</v>
      </c>
      <c r="H57" s="4776"/>
      <c r="I57" s="3603"/>
    </row>
    <row r="58" spans="1:9" x14ac:dyDescent="0.25">
      <c r="A58" s="4773" t="s">
        <v>3382</v>
      </c>
      <c r="B58" s="4774"/>
      <c r="C58" s="3606">
        <v>40</v>
      </c>
      <c r="D58" s="3599" t="s">
        <v>3737</v>
      </c>
      <c r="E58" s="1566">
        <v>1</v>
      </c>
      <c r="F58" s="3608">
        <f>G58</f>
        <v>6.68</v>
      </c>
      <c r="G58" s="3608">
        <v>6.68</v>
      </c>
      <c r="H58" s="4776"/>
      <c r="I58" s="3603"/>
    </row>
    <row r="59" spans="1:9" x14ac:dyDescent="0.25">
      <c r="A59" s="4773" t="s">
        <v>3382</v>
      </c>
      <c r="B59" s="4774"/>
      <c r="C59" s="3606">
        <v>41</v>
      </c>
      <c r="D59" s="3599" t="s">
        <v>3738</v>
      </c>
      <c r="E59" s="1566">
        <v>2</v>
      </c>
      <c r="F59" s="3608">
        <f>G59</f>
        <v>8.5399999999999991</v>
      </c>
      <c r="G59" s="3608">
        <v>8.5399999999999991</v>
      </c>
      <c r="H59" s="4776"/>
      <c r="I59" s="3603"/>
    </row>
    <row r="60" spans="1:9" x14ac:dyDescent="0.25">
      <c r="A60" s="1533"/>
      <c r="B60" s="1534"/>
      <c r="C60" s="1566"/>
      <c r="D60" s="3612" t="s">
        <v>3383</v>
      </c>
      <c r="E60" s="3613" t="s">
        <v>3272</v>
      </c>
      <c r="F60" s="3468">
        <f>SUM(F8:F59)</f>
        <v>559.81999999999994</v>
      </c>
      <c r="G60" s="3468">
        <f>SUM(G8:G59)</f>
        <v>550.77999999999986</v>
      </c>
      <c r="H60" s="4776"/>
      <c r="I60" s="3603"/>
    </row>
    <row r="61" spans="1:9" x14ac:dyDescent="0.25">
      <c r="A61" s="1533"/>
      <c r="B61" s="1534"/>
      <c r="C61" s="1566"/>
      <c r="D61" s="3612" t="s">
        <v>3384</v>
      </c>
      <c r="E61" s="3613" t="s">
        <v>3272</v>
      </c>
      <c r="F61" s="4806">
        <f>F62-G60</f>
        <v>123.38000000000011</v>
      </c>
      <c r="G61" s="4806"/>
      <c r="H61" s="4776"/>
      <c r="I61" s="3603"/>
    </row>
    <row r="62" spans="1:9" x14ac:dyDescent="0.25">
      <c r="A62" s="1533"/>
      <c r="B62" s="1534"/>
      <c r="C62" s="1566"/>
      <c r="D62" s="3612" t="s">
        <v>3385</v>
      </c>
      <c r="E62" s="3613" t="s">
        <v>3272</v>
      </c>
      <c r="F62" s="4806">
        <v>674.16</v>
      </c>
      <c r="G62" s="4806"/>
      <c r="H62" s="4776"/>
      <c r="I62" s="3603"/>
    </row>
    <row r="63" spans="1:9" x14ac:dyDescent="0.25">
      <c r="A63" s="3614"/>
      <c r="B63" s="3615"/>
      <c r="C63" s="3615"/>
      <c r="D63" s="3616" t="s">
        <v>5911</v>
      </c>
      <c r="E63" s="3615"/>
      <c r="F63" s="3615"/>
      <c r="G63" s="3615"/>
      <c r="H63" s="3597"/>
      <c r="I63" s="3603"/>
    </row>
    <row r="64" spans="1:9" s="3618" customFormat="1" x14ac:dyDescent="0.25">
      <c r="A64" s="3614"/>
      <c r="B64" s="3615"/>
      <c r="C64" s="3615"/>
      <c r="D64" s="3615"/>
      <c r="E64" s="3615"/>
      <c r="F64" s="3615"/>
      <c r="G64" s="3615"/>
      <c r="H64" s="3597"/>
      <c r="I64" s="3617"/>
    </row>
    <row r="65" spans="1:9" s="3620" customFormat="1" x14ac:dyDescent="0.25">
      <c r="A65" s="4832"/>
      <c r="B65" s="4833"/>
      <c r="C65" s="3659"/>
      <c r="D65" s="1563" t="s">
        <v>1837</v>
      </c>
      <c r="E65" s="3659"/>
      <c r="F65" s="3659"/>
      <c r="G65" s="3659"/>
      <c r="H65" s="3660">
        <f>F85</f>
        <v>172.53</v>
      </c>
      <c r="I65" s="3619"/>
    </row>
    <row r="66" spans="1:9" x14ac:dyDescent="0.25">
      <c r="A66" s="4771" t="s">
        <v>3359</v>
      </c>
      <c r="B66" s="4772"/>
      <c r="C66" s="3624">
        <v>1</v>
      </c>
      <c r="D66" s="3634" t="s">
        <v>3386</v>
      </c>
      <c r="E66" s="3624">
        <v>1</v>
      </c>
      <c r="F66" s="3625">
        <v>5</v>
      </c>
      <c r="G66" s="3625">
        <v>10.1</v>
      </c>
      <c r="H66" s="4775"/>
      <c r="I66" s="3603"/>
    </row>
    <row r="67" spans="1:9" x14ac:dyDescent="0.25">
      <c r="A67" s="4773"/>
      <c r="B67" s="4774"/>
      <c r="C67" s="4774">
        <v>2</v>
      </c>
      <c r="D67" s="3599" t="s">
        <v>2132</v>
      </c>
      <c r="E67" s="4774">
        <v>1</v>
      </c>
      <c r="F67" s="4791">
        <v>10</v>
      </c>
      <c r="G67" s="4791">
        <v>11.49</v>
      </c>
      <c r="H67" s="4776"/>
      <c r="I67" s="3603"/>
    </row>
    <row r="68" spans="1:9" x14ac:dyDescent="0.25">
      <c r="A68" s="4773"/>
      <c r="B68" s="4774"/>
      <c r="C68" s="4774"/>
      <c r="D68" s="3599" t="s">
        <v>3387</v>
      </c>
      <c r="E68" s="4774"/>
      <c r="F68" s="4791"/>
      <c r="G68" s="4791"/>
      <c r="H68" s="4776"/>
      <c r="I68" s="3603"/>
    </row>
    <row r="69" spans="1:9" x14ac:dyDescent="0.25">
      <c r="A69" s="4773"/>
      <c r="B69" s="4774"/>
      <c r="C69" s="1566">
        <v>3</v>
      </c>
      <c r="D69" s="3599" t="s">
        <v>2134</v>
      </c>
      <c r="E69" s="1566">
        <v>1</v>
      </c>
      <c r="F69" s="3608">
        <v>18</v>
      </c>
      <c r="G69" s="3608">
        <v>17.77</v>
      </c>
      <c r="H69" s="4776"/>
      <c r="I69" s="3603"/>
    </row>
    <row r="70" spans="1:9" x14ac:dyDescent="0.25">
      <c r="A70" s="4773" t="s">
        <v>1877</v>
      </c>
      <c r="B70" s="4774" t="s">
        <v>3388</v>
      </c>
      <c r="C70" s="1566">
        <v>4</v>
      </c>
      <c r="D70" s="3599" t="s">
        <v>3374</v>
      </c>
      <c r="E70" s="1566">
        <v>1</v>
      </c>
      <c r="F70" s="3608">
        <v>12</v>
      </c>
      <c r="G70" s="3608">
        <v>12.55</v>
      </c>
      <c r="H70" s="4776"/>
      <c r="I70" s="3603"/>
    </row>
    <row r="71" spans="1:9" x14ac:dyDescent="0.25">
      <c r="A71" s="4773"/>
      <c r="B71" s="4774"/>
      <c r="C71" s="1566">
        <v>5</v>
      </c>
      <c r="D71" s="3599" t="s">
        <v>3739</v>
      </c>
      <c r="E71" s="3607">
        <v>1</v>
      </c>
      <c r="F71" s="3608">
        <v>3</v>
      </c>
      <c r="G71" s="3608">
        <v>2.86</v>
      </c>
      <c r="H71" s="4776"/>
      <c r="I71" s="3603"/>
    </row>
    <row r="72" spans="1:9" x14ac:dyDescent="0.25">
      <c r="A72" s="4773"/>
      <c r="B72" s="4774"/>
      <c r="C72" s="1566">
        <v>6</v>
      </c>
      <c r="D72" s="3599" t="s">
        <v>3740</v>
      </c>
      <c r="E72" s="3607">
        <v>1</v>
      </c>
      <c r="F72" s="3608">
        <v>2.5</v>
      </c>
      <c r="G72" s="3608">
        <v>2.44</v>
      </c>
      <c r="H72" s="4776"/>
      <c r="I72" s="3603"/>
    </row>
    <row r="73" spans="1:9" x14ac:dyDescent="0.25">
      <c r="A73" s="4773"/>
      <c r="B73" s="4774"/>
      <c r="C73" s="1566">
        <v>7</v>
      </c>
      <c r="D73" s="3599" t="s">
        <v>3389</v>
      </c>
      <c r="E73" s="1566">
        <v>1</v>
      </c>
      <c r="F73" s="3608">
        <v>9</v>
      </c>
      <c r="G73" s="3608">
        <v>9.07</v>
      </c>
      <c r="H73" s="4776"/>
      <c r="I73" s="3603"/>
    </row>
    <row r="74" spans="1:9" x14ac:dyDescent="0.25">
      <c r="A74" s="4773"/>
      <c r="B74" s="4774" t="s">
        <v>3390</v>
      </c>
      <c r="C74" s="1566">
        <v>8</v>
      </c>
      <c r="D74" s="3599" t="s">
        <v>3391</v>
      </c>
      <c r="E74" s="1566">
        <v>1</v>
      </c>
      <c r="F74" s="3608">
        <v>15</v>
      </c>
      <c r="G74" s="3608">
        <v>15.49</v>
      </c>
      <c r="H74" s="4776"/>
      <c r="I74" s="3603"/>
    </row>
    <row r="75" spans="1:9" x14ac:dyDescent="0.25">
      <c r="A75" s="4773"/>
      <c r="B75" s="4774"/>
      <c r="C75" s="1566">
        <v>9</v>
      </c>
      <c r="D75" s="3599" t="s">
        <v>3392</v>
      </c>
      <c r="E75" s="1566">
        <v>1</v>
      </c>
      <c r="F75" s="3608">
        <v>8</v>
      </c>
      <c r="G75" s="3608">
        <v>9.77</v>
      </c>
      <c r="H75" s="4776"/>
      <c r="I75" s="3603"/>
    </row>
    <row r="76" spans="1:9" x14ac:dyDescent="0.25">
      <c r="A76" s="4773"/>
      <c r="B76" s="4774"/>
      <c r="C76" s="1566">
        <v>10</v>
      </c>
      <c r="D76" s="3599" t="s">
        <v>3393</v>
      </c>
      <c r="E76" s="1566">
        <v>1</v>
      </c>
      <c r="F76" s="3608">
        <v>1.5</v>
      </c>
      <c r="G76" s="3608">
        <v>1.26</v>
      </c>
      <c r="H76" s="4776"/>
      <c r="I76" s="3603"/>
    </row>
    <row r="77" spans="1:9" x14ac:dyDescent="0.25">
      <c r="A77" s="4773"/>
      <c r="B77" s="4774"/>
      <c r="C77" s="1566">
        <v>11</v>
      </c>
      <c r="D77" s="3599" t="s">
        <v>3741</v>
      </c>
      <c r="E77" s="1566">
        <v>1</v>
      </c>
      <c r="F77" s="3609">
        <v>4.5</v>
      </c>
      <c r="G77" s="3608">
        <v>10.73</v>
      </c>
      <c r="H77" s="4776"/>
      <c r="I77" s="3603"/>
    </row>
    <row r="78" spans="1:9" x14ac:dyDescent="0.25">
      <c r="A78" s="4773"/>
      <c r="B78" s="4774"/>
      <c r="C78" s="1566">
        <v>12</v>
      </c>
      <c r="D78" s="3599" t="s">
        <v>3742</v>
      </c>
      <c r="E78" s="1566">
        <v>1</v>
      </c>
      <c r="F78" s="3609">
        <v>4.5</v>
      </c>
      <c r="G78" s="3608">
        <v>9.7899999999999991</v>
      </c>
      <c r="H78" s="4776"/>
      <c r="I78" s="3603"/>
    </row>
    <row r="79" spans="1:9" x14ac:dyDescent="0.25">
      <c r="A79" s="4773"/>
      <c r="B79" s="4774"/>
      <c r="C79" s="1566">
        <v>13</v>
      </c>
      <c r="D79" s="3605" t="s">
        <v>3394</v>
      </c>
      <c r="E79" s="1566">
        <v>1</v>
      </c>
      <c r="F79" s="3608">
        <v>3</v>
      </c>
      <c r="G79" s="3608">
        <v>4.96</v>
      </c>
      <c r="H79" s="4776"/>
      <c r="I79" s="3603"/>
    </row>
    <row r="80" spans="1:9" x14ac:dyDescent="0.25">
      <c r="A80" s="4773"/>
      <c r="B80" s="4774" t="s">
        <v>3371</v>
      </c>
      <c r="C80" s="1566">
        <v>14</v>
      </c>
      <c r="D80" s="3605" t="s">
        <v>3736</v>
      </c>
      <c r="E80" s="3607">
        <v>1</v>
      </c>
      <c r="F80" s="3608">
        <v>4</v>
      </c>
      <c r="G80" s="3608">
        <v>4.3099999999999996</v>
      </c>
      <c r="H80" s="4776"/>
      <c r="I80" s="3603"/>
    </row>
    <row r="81" spans="1:9" x14ac:dyDescent="0.25">
      <c r="A81" s="4773"/>
      <c r="B81" s="4774"/>
      <c r="C81" s="1566">
        <v>15</v>
      </c>
      <c r="D81" s="3605" t="s">
        <v>3372</v>
      </c>
      <c r="E81" s="3607">
        <v>1</v>
      </c>
      <c r="F81" s="3608">
        <v>4</v>
      </c>
      <c r="G81" s="3608">
        <v>4.1900000000000004</v>
      </c>
      <c r="H81" s="4776"/>
      <c r="I81" s="3603"/>
    </row>
    <row r="82" spans="1:9" x14ac:dyDescent="0.25">
      <c r="A82" s="4773" t="s">
        <v>3382</v>
      </c>
      <c r="B82" s="4774"/>
      <c r="C82" s="1566">
        <v>16</v>
      </c>
      <c r="D82" s="3599" t="s">
        <v>3737</v>
      </c>
      <c r="E82" s="1566">
        <v>1</v>
      </c>
      <c r="F82" s="3608">
        <f>G82</f>
        <v>8.35</v>
      </c>
      <c r="G82" s="3608">
        <v>8.35</v>
      </c>
      <c r="H82" s="4776"/>
      <c r="I82" s="3603"/>
    </row>
    <row r="83" spans="1:9" x14ac:dyDescent="0.25">
      <c r="A83" s="1533"/>
      <c r="B83" s="1534"/>
      <c r="C83" s="1566"/>
      <c r="D83" s="3621" t="s">
        <v>3383</v>
      </c>
      <c r="E83" s="3607" t="s">
        <v>3272</v>
      </c>
      <c r="F83" s="3470">
        <f>SUM(F66:F82)</f>
        <v>112.35</v>
      </c>
      <c r="G83" s="3470">
        <f>SUM(G66:G82)</f>
        <v>135.13</v>
      </c>
      <c r="H83" s="4776"/>
      <c r="I83" s="3603"/>
    </row>
    <row r="84" spans="1:9" x14ac:dyDescent="0.25">
      <c r="A84" s="1533"/>
      <c r="B84" s="1534"/>
      <c r="C84" s="1566"/>
      <c r="D84" s="3621" t="s">
        <v>3384</v>
      </c>
      <c r="E84" s="3607" t="s">
        <v>3272</v>
      </c>
      <c r="F84" s="4781">
        <f>F85-G83</f>
        <v>37.400000000000006</v>
      </c>
      <c r="G84" s="4781"/>
      <c r="H84" s="4776"/>
      <c r="I84" s="3603"/>
    </row>
    <row r="85" spans="1:9" x14ac:dyDescent="0.25">
      <c r="A85" s="1533"/>
      <c r="B85" s="1534"/>
      <c r="C85" s="1566"/>
      <c r="D85" s="3621" t="s">
        <v>3395</v>
      </c>
      <c r="E85" s="3607" t="s">
        <v>3272</v>
      </c>
      <c r="F85" s="4781">
        <v>172.53</v>
      </c>
      <c r="G85" s="4781"/>
      <c r="H85" s="4776"/>
      <c r="I85" s="3603"/>
    </row>
    <row r="86" spans="1:9" s="3618" customFormat="1" x14ac:dyDescent="0.25">
      <c r="A86" s="3614"/>
      <c r="B86" s="3615"/>
      <c r="C86" s="3615"/>
      <c r="D86" s="3622"/>
      <c r="E86" s="3623"/>
      <c r="F86" s="3598"/>
      <c r="G86" s="3598"/>
      <c r="H86" s="3597"/>
      <c r="I86" s="3617"/>
    </row>
    <row r="87" spans="1:9" s="3620" customFormat="1" x14ac:dyDescent="0.25">
      <c r="A87" s="4832"/>
      <c r="B87" s="4833"/>
      <c r="C87" s="3659"/>
      <c r="D87" s="1563" t="s">
        <v>1843</v>
      </c>
      <c r="E87" s="3659"/>
      <c r="F87" s="3659"/>
      <c r="G87" s="3659"/>
      <c r="H87" s="3660">
        <f>F99</f>
        <v>112.79</v>
      </c>
      <c r="I87" s="3619"/>
    </row>
    <row r="88" spans="1:9" x14ac:dyDescent="0.25">
      <c r="A88" s="4771" t="s">
        <v>3359</v>
      </c>
      <c r="B88" s="4772"/>
      <c r="C88" s="3624">
        <v>1</v>
      </c>
      <c r="D88" s="3604" t="s">
        <v>3396</v>
      </c>
      <c r="E88" s="3624">
        <v>1</v>
      </c>
      <c r="F88" s="3625">
        <v>15</v>
      </c>
      <c r="G88" s="3626">
        <v>15.26</v>
      </c>
      <c r="H88" s="4775"/>
      <c r="I88" s="3603"/>
    </row>
    <row r="89" spans="1:9" x14ac:dyDescent="0.25">
      <c r="A89" s="4773"/>
      <c r="B89" s="4774"/>
      <c r="C89" s="1566">
        <v>2</v>
      </c>
      <c r="D89" s="3605" t="s">
        <v>2140</v>
      </c>
      <c r="E89" s="1566">
        <v>1</v>
      </c>
      <c r="F89" s="3608">
        <v>24</v>
      </c>
      <c r="G89" s="3627">
        <v>11.28</v>
      </c>
      <c r="H89" s="4776"/>
      <c r="I89" s="3603"/>
    </row>
    <row r="90" spans="1:9" x14ac:dyDescent="0.25">
      <c r="A90" s="4773"/>
      <c r="B90" s="4774"/>
      <c r="C90" s="4774">
        <v>3</v>
      </c>
      <c r="D90" s="3605" t="s">
        <v>2142</v>
      </c>
      <c r="E90" s="4774">
        <v>1</v>
      </c>
      <c r="F90" s="4791">
        <v>30</v>
      </c>
      <c r="G90" s="4823">
        <v>30.79</v>
      </c>
      <c r="H90" s="4776"/>
      <c r="I90" s="3603"/>
    </row>
    <row r="91" spans="1:9" ht="36" x14ac:dyDescent="0.25">
      <c r="A91" s="4773"/>
      <c r="B91" s="4774"/>
      <c r="C91" s="4774"/>
      <c r="D91" s="3605" t="s">
        <v>3743</v>
      </c>
      <c r="E91" s="4774"/>
      <c r="F91" s="4791"/>
      <c r="G91" s="4823"/>
      <c r="H91" s="4776"/>
      <c r="I91" s="3603"/>
    </row>
    <row r="92" spans="1:9" x14ac:dyDescent="0.25">
      <c r="A92" s="4773"/>
      <c r="B92" s="4774"/>
      <c r="C92" s="4774">
        <v>4</v>
      </c>
      <c r="D92" s="3605" t="s">
        <v>3744</v>
      </c>
      <c r="E92" s="4774">
        <v>1</v>
      </c>
      <c r="F92" s="4791">
        <v>12</v>
      </c>
      <c r="G92" s="4823">
        <v>11.83</v>
      </c>
      <c r="H92" s="4776"/>
      <c r="I92" s="3603"/>
    </row>
    <row r="93" spans="1:9" x14ac:dyDescent="0.25">
      <c r="A93" s="4773"/>
      <c r="B93" s="4774"/>
      <c r="C93" s="4774"/>
      <c r="D93" s="3605" t="s">
        <v>3397</v>
      </c>
      <c r="E93" s="4774"/>
      <c r="F93" s="4791"/>
      <c r="G93" s="4823"/>
      <c r="H93" s="4776"/>
      <c r="I93" s="3603"/>
    </row>
    <row r="94" spans="1:9" x14ac:dyDescent="0.25">
      <c r="A94" s="4773"/>
      <c r="B94" s="4774"/>
      <c r="C94" s="4774">
        <v>5</v>
      </c>
      <c r="D94" s="3605" t="s">
        <v>3745</v>
      </c>
      <c r="E94" s="4774">
        <v>1</v>
      </c>
      <c r="F94" s="4791">
        <v>16</v>
      </c>
      <c r="G94" s="4823">
        <v>13.94</v>
      </c>
      <c r="H94" s="4776"/>
      <c r="I94" s="3603"/>
    </row>
    <row r="95" spans="1:9" x14ac:dyDescent="0.25">
      <c r="A95" s="4773"/>
      <c r="B95" s="4774"/>
      <c r="C95" s="4774"/>
      <c r="D95" s="3605" t="s">
        <v>3398</v>
      </c>
      <c r="E95" s="4774"/>
      <c r="F95" s="4791"/>
      <c r="G95" s="4823"/>
      <c r="H95" s="4776"/>
      <c r="I95" s="3603"/>
    </row>
    <row r="96" spans="1:9" x14ac:dyDescent="0.25">
      <c r="A96" s="1533"/>
      <c r="B96" s="1534"/>
      <c r="C96" s="1566">
        <v>6</v>
      </c>
      <c r="D96" s="3599" t="s">
        <v>3746</v>
      </c>
      <c r="E96" s="1566">
        <v>1</v>
      </c>
      <c r="F96" s="3608">
        <v>3</v>
      </c>
      <c r="G96" s="3608">
        <v>2.57</v>
      </c>
      <c r="H96" s="4776"/>
      <c r="I96" s="3603"/>
    </row>
    <row r="97" spans="1:9" x14ac:dyDescent="0.25">
      <c r="A97" s="1533"/>
      <c r="B97" s="1534"/>
      <c r="C97" s="1566"/>
      <c r="D97" s="3621" t="s">
        <v>3383</v>
      </c>
      <c r="E97" s="3607" t="s">
        <v>3272</v>
      </c>
      <c r="F97" s="3470">
        <f>SUM(F88:F96)</f>
        <v>100</v>
      </c>
      <c r="G97" s="3470">
        <f>SUM(G88:G96)</f>
        <v>85.669999999999987</v>
      </c>
      <c r="H97" s="4776"/>
      <c r="I97" s="3603"/>
    </row>
    <row r="98" spans="1:9" x14ac:dyDescent="0.25">
      <c r="A98" s="1533"/>
      <c r="B98" s="1534"/>
      <c r="C98" s="1566"/>
      <c r="D98" s="3621" t="s">
        <v>3384</v>
      </c>
      <c r="E98" s="3607" t="s">
        <v>3272</v>
      </c>
      <c r="F98" s="4781">
        <f>F99-G97</f>
        <v>27.120000000000019</v>
      </c>
      <c r="G98" s="4781"/>
      <c r="H98" s="4776"/>
      <c r="I98" s="3603"/>
    </row>
    <row r="99" spans="1:9" x14ac:dyDescent="0.25">
      <c r="A99" s="1533"/>
      <c r="B99" s="1534"/>
      <c r="C99" s="1566"/>
      <c r="D99" s="3621" t="s">
        <v>3399</v>
      </c>
      <c r="E99" s="3607" t="s">
        <v>3272</v>
      </c>
      <c r="F99" s="4781">
        <v>112.79</v>
      </c>
      <c r="G99" s="4781"/>
      <c r="H99" s="4776"/>
      <c r="I99" s="3603"/>
    </row>
    <row r="100" spans="1:9" s="3618" customFormat="1" x14ac:dyDescent="0.25">
      <c r="A100" s="3614"/>
      <c r="B100" s="3615"/>
      <c r="C100" s="3615"/>
      <c r="D100" s="3622"/>
      <c r="E100" s="3623"/>
      <c r="F100" s="3598"/>
      <c r="G100" s="3598"/>
      <c r="H100" s="3597"/>
      <c r="I100" s="3617"/>
    </row>
    <row r="101" spans="1:9" s="3620" customFormat="1" x14ac:dyDescent="0.25">
      <c r="A101" s="4832"/>
      <c r="B101" s="4833"/>
      <c r="C101" s="3659"/>
      <c r="D101" s="1563" t="s">
        <v>1847</v>
      </c>
      <c r="E101" s="3659"/>
      <c r="F101" s="3659"/>
      <c r="G101" s="3659"/>
      <c r="H101" s="3660">
        <f>F106</f>
        <v>30.32</v>
      </c>
      <c r="I101" s="3619"/>
    </row>
    <row r="102" spans="1:9" x14ac:dyDescent="0.25">
      <c r="A102" s="4771" t="s">
        <v>3359</v>
      </c>
      <c r="B102" s="4772"/>
      <c r="C102" s="3624">
        <v>1</v>
      </c>
      <c r="D102" s="3604" t="s">
        <v>3400</v>
      </c>
      <c r="E102" s="3629">
        <v>1</v>
      </c>
      <c r="F102" s="3625">
        <v>18</v>
      </c>
      <c r="G102" s="3625">
        <v>21.13</v>
      </c>
      <c r="H102" s="4775"/>
      <c r="I102" s="3603"/>
    </row>
    <row r="103" spans="1:9" x14ac:dyDescent="0.25">
      <c r="A103" s="4773" t="s">
        <v>1877</v>
      </c>
      <c r="B103" s="4774"/>
      <c r="C103" s="1566">
        <v>2</v>
      </c>
      <c r="D103" s="3605" t="s">
        <v>3401</v>
      </c>
      <c r="E103" s="3607">
        <v>1</v>
      </c>
      <c r="F103" s="3608">
        <v>6</v>
      </c>
      <c r="G103" s="3608">
        <v>6.35</v>
      </c>
      <c r="H103" s="4776"/>
      <c r="I103" s="3603"/>
    </row>
    <row r="104" spans="1:9" x14ac:dyDescent="0.25">
      <c r="A104" s="1533"/>
      <c r="B104" s="1534"/>
      <c r="C104" s="1566"/>
      <c r="D104" s="3621" t="s">
        <v>3383</v>
      </c>
      <c r="E104" s="3607" t="s">
        <v>3272</v>
      </c>
      <c r="F104" s="3470">
        <f>SUM(F102:F103)</f>
        <v>24</v>
      </c>
      <c r="G104" s="3470">
        <f>SUM(G102:G103)</f>
        <v>27.479999999999997</v>
      </c>
      <c r="H104" s="4776"/>
      <c r="I104" s="3603"/>
    </row>
    <row r="105" spans="1:9" x14ac:dyDescent="0.25">
      <c r="A105" s="1533"/>
      <c r="B105" s="1534"/>
      <c r="C105" s="1566"/>
      <c r="D105" s="3621" t="s">
        <v>3384</v>
      </c>
      <c r="E105" s="3607" t="s">
        <v>3272</v>
      </c>
      <c r="F105" s="4777">
        <f>F106-G104</f>
        <v>2.8400000000000034</v>
      </c>
      <c r="G105" s="4777"/>
      <c r="H105" s="4776"/>
      <c r="I105" s="3603"/>
    </row>
    <row r="106" spans="1:9" x14ac:dyDescent="0.25">
      <c r="A106" s="1533"/>
      <c r="B106" s="1534"/>
      <c r="C106" s="1566"/>
      <c r="D106" s="3621" t="s">
        <v>3402</v>
      </c>
      <c r="E106" s="3607" t="s">
        <v>3272</v>
      </c>
      <c r="F106" s="4777">
        <v>30.32</v>
      </c>
      <c r="G106" s="4777"/>
      <c r="H106" s="4776"/>
      <c r="I106" s="3603"/>
    </row>
    <row r="107" spans="1:9" s="3618" customFormat="1" x14ac:dyDescent="0.25">
      <c r="A107" s="3614"/>
      <c r="B107" s="3615"/>
      <c r="C107" s="3615"/>
      <c r="D107" s="3622"/>
      <c r="E107" s="3623"/>
      <c r="F107" s="3598"/>
      <c r="G107" s="3598"/>
      <c r="H107" s="3597"/>
      <c r="I107" s="3617"/>
    </row>
    <row r="108" spans="1:9" s="3620" customFormat="1" x14ac:dyDescent="0.25">
      <c r="A108" s="4832"/>
      <c r="B108" s="4833"/>
      <c r="C108" s="3659"/>
      <c r="D108" s="1563" t="s">
        <v>1848</v>
      </c>
      <c r="E108" s="3659"/>
      <c r="F108" s="3659"/>
      <c r="G108" s="3659"/>
      <c r="H108" s="3660">
        <f>F117</f>
        <v>95.63</v>
      </c>
      <c r="I108" s="3619"/>
    </row>
    <row r="109" spans="1:9" x14ac:dyDescent="0.25">
      <c r="A109" s="4771" t="s">
        <v>3359</v>
      </c>
      <c r="B109" s="4772"/>
      <c r="C109" s="3624">
        <v>1</v>
      </c>
      <c r="D109" s="3604" t="s">
        <v>3747</v>
      </c>
      <c r="E109" s="3629">
        <v>1</v>
      </c>
      <c r="F109" s="3625">
        <v>18</v>
      </c>
      <c r="G109" s="3625">
        <v>18.04</v>
      </c>
      <c r="H109" s="4775"/>
      <c r="I109" s="3603"/>
    </row>
    <row r="110" spans="1:9" x14ac:dyDescent="0.25">
      <c r="A110" s="4773"/>
      <c r="B110" s="4774"/>
      <c r="C110" s="1566">
        <v>2</v>
      </c>
      <c r="D110" s="3605" t="s">
        <v>3403</v>
      </c>
      <c r="E110" s="3607">
        <v>1</v>
      </c>
      <c r="F110" s="3608">
        <v>18</v>
      </c>
      <c r="G110" s="3608">
        <v>18.649999999999999</v>
      </c>
      <c r="H110" s="4776"/>
      <c r="I110" s="3603"/>
    </row>
    <row r="111" spans="1:9" x14ac:dyDescent="0.25">
      <c r="A111" s="4773"/>
      <c r="B111" s="4774"/>
      <c r="C111" s="1566">
        <v>3</v>
      </c>
      <c r="D111" s="3605" t="s">
        <v>3748</v>
      </c>
      <c r="E111" s="3607">
        <v>1</v>
      </c>
      <c r="F111" s="3608">
        <v>22</v>
      </c>
      <c r="G111" s="3608">
        <v>26.36</v>
      </c>
      <c r="H111" s="4776"/>
      <c r="I111" s="3603"/>
    </row>
    <row r="112" spans="1:9" ht="54" x14ac:dyDescent="0.25">
      <c r="A112" s="3628" t="s">
        <v>1877</v>
      </c>
      <c r="B112" s="1566" t="s">
        <v>3270</v>
      </c>
      <c r="C112" s="1566">
        <v>4</v>
      </c>
      <c r="D112" s="3605" t="s">
        <v>3404</v>
      </c>
      <c r="E112" s="3607">
        <v>1</v>
      </c>
      <c r="F112" s="3608">
        <v>4</v>
      </c>
      <c r="G112" s="3608">
        <v>4.5999999999999996</v>
      </c>
      <c r="H112" s="4776"/>
      <c r="I112" s="3603"/>
    </row>
    <row r="113" spans="1:9" x14ac:dyDescent="0.25">
      <c r="A113" s="4773" t="s">
        <v>3382</v>
      </c>
      <c r="B113" s="4774"/>
      <c r="C113" s="1566">
        <v>5</v>
      </c>
      <c r="D113" s="3599" t="s">
        <v>3737</v>
      </c>
      <c r="E113" s="1566">
        <v>1</v>
      </c>
      <c r="F113" s="3608">
        <f>G113</f>
        <v>4.29</v>
      </c>
      <c r="G113" s="3608">
        <v>4.29</v>
      </c>
      <c r="H113" s="4776"/>
      <c r="I113" s="3603"/>
    </row>
    <row r="114" spans="1:9" x14ac:dyDescent="0.25">
      <c r="A114" s="4773"/>
      <c r="B114" s="4774"/>
      <c r="C114" s="1566">
        <v>6</v>
      </c>
      <c r="D114" s="3599" t="s">
        <v>3738</v>
      </c>
      <c r="E114" s="1566">
        <v>1</v>
      </c>
      <c r="F114" s="3608">
        <f>G114</f>
        <v>6.98</v>
      </c>
      <c r="G114" s="3608">
        <v>6.98</v>
      </c>
      <c r="H114" s="4776"/>
      <c r="I114" s="3603"/>
    </row>
    <row r="115" spans="1:9" x14ac:dyDescent="0.25">
      <c r="A115" s="1533"/>
      <c r="B115" s="1534"/>
      <c r="C115" s="1566"/>
      <c r="D115" s="3621" t="s">
        <v>3383</v>
      </c>
      <c r="E115" s="3607" t="s">
        <v>3272</v>
      </c>
      <c r="F115" s="3470">
        <f>SUM(F109:F114)</f>
        <v>73.27000000000001</v>
      </c>
      <c r="G115" s="3470">
        <f>SUM(G109:G114)</f>
        <v>78.92</v>
      </c>
      <c r="H115" s="4776"/>
      <c r="I115" s="3603"/>
    </row>
    <row r="116" spans="1:9" x14ac:dyDescent="0.25">
      <c r="A116" s="1533"/>
      <c r="B116" s="1534"/>
      <c r="C116" s="1566"/>
      <c r="D116" s="3621" t="s">
        <v>3384</v>
      </c>
      <c r="E116" s="3607" t="s">
        <v>3272</v>
      </c>
      <c r="F116" s="4781">
        <f>+F117-G115</f>
        <v>16.709999999999994</v>
      </c>
      <c r="G116" s="4781"/>
      <c r="H116" s="4776"/>
      <c r="I116" s="3603"/>
    </row>
    <row r="117" spans="1:9" x14ac:dyDescent="0.25">
      <c r="A117" s="1533"/>
      <c r="B117" s="1534"/>
      <c r="C117" s="1566"/>
      <c r="D117" s="3621" t="s">
        <v>3405</v>
      </c>
      <c r="E117" s="3607" t="s">
        <v>3272</v>
      </c>
      <c r="F117" s="4781">
        <v>95.63</v>
      </c>
      <c r="G117" s="4781"/>
      <c r="H117" s="4776"/>
      <c r="I117" s="3603"/>
    </row>
    <row r="118" spans="1:9" s="3618" customFormat="1" x14ac:dyDescent="0.25">
      <c r="A118" s="3614"/>
      <c r="B118" s="3615"/>
      <c r="C118" s="3615"/>
      <c r="D118" s="3622"/>
      <c r="E118" s="3623"/>
      <c r="F118" s="3598"/>
      <c r="G118" s="3598"/>
      <c r="H118" s="3597"/>
      <c r="I118" s="3617"/>
    </row>
    <row r="119" spans="1:9" s="3620" customFormat="1" x14ac:dyDescent="0.25">
      <c r="A119" s="4832"/>
      <c r="B119" s="4836"/>
      <c r="C119" s="3658"/>
      <c r="D119" s="1563" t="s">
        <v>3406</v>
      </c>
      <c r="E119" s="3659"/>
      <c r="F119" s="3659"/>
      <c r="G119" s="3659"/>
      <c r="H119" s="3660">
        <f>F141</f>
        <v>251.71</v>
      </c>
      <c r="I119" s="3619"/>
    </row>
    <row r="120" spans="1:9" x14ac:dyDescent="0.25">
      <c r="A120" s="4771" t="s">
        <v>3359</v>
      </c>
      <c r="B120" s="4772"/>
      <c r="C120" s="3624">
        <v>1</v>
      </c>
      <c r="D120" s="3604" t="s">
        <v>3749</v>
      </c>
      <c r="E120" s="3630">
        <v>1</v>
      </c>
      <c r="F120" s="3631">
        <v>30</v>
      </c>
      <c r="G120" s="3631">
        <v>30.35</v>
      </c>
      <c r="H120" s="4775"/>
      <c r="I120" s="3603"/>
    </row>
    <row r="121" spans="1:9" x14ac:dyDescent="0.25">
      <c r="A121" s="4773"/>
      <c r="B121" s="4774"/>
      <c r="C121" s="1566">
        <v>2</v>
      </c>
      <c r="D121" s="3605" t="s">
        <v>3750</v>
      </c>
      <c r="E121" s="3632">
        <v>1</v>
      </c>
      <c r="F121" s="3633">
        <v>30</v>
      </c>
      <c r="G121" s="3633">
        <v>33.51</v>
      </c>
      <c r="H121" s="4776"/>
      <c r="I121" s="3603"/>
    </row>
    <row r="122" spans="1:9" x14ac:dyDescent="0.25">
      <c r="A122" s="4773"/>
      <c r="B122" s="4774"/>
      <c r="C122" s="1566">
        <v>3</v>
      </c>
      <c r="D122" s="3605" t="s">
        <v>2167</v>
      </c>
      <c r="E122" s="3632">
        <v>1</v>
      </c>
      <c r="F122" s="3633">
        <v>30</v>
      </c>
      <c r="G122" s="3633">
        <v>30.35</v>
      </c>
      <c r="H122" s="4776"/>
      <c r="I122" s="3603"/>
    </row>
    <row r="123" spans="1:9" x14ac:dyDescent="0.25">
      <c r="A123" s="4773"/>
      <c r="B123" s="4774"/>
      <c r="C123" s="1566">
        <v>4</v>
      </c>
      <c r="D123" s="3605" t="s">
        <v>3407</v>
      </c>
      <c r="E123" s="1566">
        <v>1</v>
      </c>
      <c r="F123" s="3633">
        <v>18</v>
      </c>
      <c r="G123" s="3633">
        <v>18.649999999999999</v>
      </c>
      <c r="H123" s="4776"/>
      <c r="I123" s="3603"/>
    </row>
    <row r="124" spans="1:9" x14ac:dyDescent="0.25">
      <c r="A124" s="4773"/>
      <c r="B124" s="4774"/>
      <c r="C124" s="4774">
        <v>5</v>
      </c>
      <c r="D124" s="3605" t="s">
        <v>3751</v>
      </c>
      <c r="E124" s="4774">
        <v>1</v>
      </c>
      <c r="F124" s="4770">
        <f>6*2</f>
        <v>12</v>
      </c>
      <c r="G124" s="4770">
        <v>14.3</v>
      </c>
      <c r="H124" s="4776"/>
      <c r="I124" s="3603"/>
    </row>
    <row r="125" spans="1:9" x14ac:dyDescent="0.25">
      <c r="A125" s="4773"/>
      <c r="B125" s="4774"/>
      <c r="C125" s="4774"/>
      <c r="D125" s="3605" t="s">
        <v>3752</v>
      </c>
      <c r="E125" s="4774"/>
      <c r="F125" s="4770"/>
      <c r="G125" s="4770"/>
      <c r="H125" s="4776"/>
      <c r="I125" s="3603"/>
    </row>
    <row r="126" spans="1:9" x14ac:dyDescent="0.25">
      <c r="A126" s="4773" t="s">
        <v>1877</v>
      </c>
      <c r="B126" s="4774" t="s">
        <v>3408</v>
      </c>
      <c r="C126" s="1566">
        <v>6</v>
      </c>
      <c r="D126" s="3599" t="s">
        <v>3409</v>
      </c>
      <c r="E126" s="1566">
        <v>1</v>
      </c>
      <c r="F126" s="3608">
        <v>4</v>
      </c>
      <c r="G126" s="3633">
        <v>5.23</v>
      </c>
      <c r="H126" s="4776"/>
      <c r="I126" s="3603"/>
    </row>
    <row r="127" spans="1:9" x14ac:dyDescent="0.25">
      <c r="A127" s="4773"/>
      <c r="B127" s="4774"/>
      <c r="C127" s="1566">
        <v>7</v>
      </c>
      <c r="D127" s="3599" t="s">
        <v>3753</v>
      </c>
      <c r="E127" s="1566">
        <v>1</v>
      </c>
      <c r="F127" s="3608">
        <v>12</v>
      </c>
      <c r="G127" s="3633">
        <v>12.82</v>
      </c>
      <c r="H127" s="4776"/>
      <c r="I127" s="3603"/>
    </row>
    <row r="128" spans="1:9" x14ac:dyDescent="0.25">
      <c r="A128" s="4773"/>
      <c r="B128" s="4774" t="s">
        <v>1857</v>
      </c>
      <c r="C128" s="1566">
        <v>8</v>
      </c>
      <c r="D128" s="3599" t="s">
        <v>3754</v>
      </c>
      <c r="E128" s="1566">
        <v>1</v>
      </c>
      <c r="F128" s="3608">
        <v>12</v>
      </c>
      <c r="G128" s="3633">
        <v>11.72</v>
      </c>
      <c r="H128" s="4776"/>
      <c r="I128" s="3603"/>
    </row>
    <row r="129" spans="1:9" x14ac:dyDescent="0.25">
      <c r="A129" s="4773"/>
      <c r="B129" s="4774"/>
      <c r="C129" s="1566">
        <v>9</v>
      </c>
      <c r="D129" s="3599" t="s">
        <v>3410</v>
      </c>
      <c r="E129" s="1566">
        <v>1</v>
      </c>
      <c r="F129" s="3608">
        <v>3</v>
      </c>
      <c r="G129" s="3633">
        <v>3.03</v>
      </c>
      <c r="H129" s="4776"/>
      <c r="I129" s="3603"/>
    </row>
    <row r="130" spans="1:9" x14ac:dyDescent="0.25">
      <c r="A130" s="4773"/>
      <c r="B130" s="4774"/>
      <c r="C130" s="1566">
        <v>10</v>
      </c>
      <c r="D130" s="3605" t="s">
        <v>3411</v>
      </c>
      <c r="E130" s="1566">
        <v>1</v>
      </c>
      <c r="F130" s="3608">
        <v>9</v>
      </c>
      <c r="G130" s="3633">
        <v>5.25</v>
      </c>
      <c r="H130" s="4776"/>
      <c r="I130" s="3603"/>
    </row>
    <row r="131" spans="1:9" x14ac:dyDescent="0.25">
      <c r="A131" s="4773"/>
      <c r="B131" s="4774"/>
      <c r="C131" s="1566">
        <v>11</v>
      </c>
      <c r="D131" s="3599" t="s">
        <v>3412</v>
      </c>
      <c r="E131" s="1566">
        <v>1</v>
      </c>
      <c r="F131" s="3608">
        <v>4</v>
      </c>
      <c r="G131" s="3633">
        <v>4.07</v>
      </c>
      <c r="H131" s="4776"/>
      <c r="I131" s="3603"/>
    </row>
    <row r="132" spans="1:9" x14ac:dyDescent="0.25">
      <c r="A132" s="4773"/>
      <c r="B132" s="4774"/>
      <c r="C132" s="1566">
        <v>12</v>
      </c>
      <c r="D132" s="3605" t="s">
        <v>3413</v>
      </c>
      <c r="E132" s="1566">
        <v>1</v>
      </c>
      <c r="F132" s="3608">
        <v>3</v>
      </c>
      <c r="G132" s="3633">
        <v>3.3</v>
      </c>
      <c r="H132" s="4776"/>
      <c r="I132" s="3603"/>
    </row>
    <row r="133" spans="1:9" ht="36" x14ac:dyDescent="0.25">
      <c r="A133" s="4773"/>
      <c r="B133" s="4774"/>
      <c r="C133" s="1566">
        <v>13</v>
      </c>
      <c r="D133" s="3599" t="s">
        <v>3414</v>
      </c>
      <c r="E133" s="1566">
        <v>1</v>
      </c>
      <c r="F133" s="3608">
        <v>6</v>
      </c>
      <c r="G133" s="3633">
        <v>6.09</v>
      </c>
      <c r="H133" s="4776"/>
      <c r="I133" s="3603"/>
    </row>
    <row r="134" spans="1:9" x14ac:dyDescent="0.25">
      <c r="A134" s="4773"/>
      <c r="B134" s="4774"/>
      <c r="C134" s="1566">
        <v>14</v>
      </c>
      <c r="D134" s="3599" t="s">
        <v>3415</v>
      </c>
      <c r="E134" s="1566">
        <v>1</v>
      </c>
      <c r="F134" s="3608">
        <v>6</v>
      </c>
      <c r="G134" s="3633">
        <v>5.98</v>
      </c>
      <c r="H134" s="4776"/>
      <c r="I134" s="3603"/>
    </row>
    <row r="135" spans="1:9" x14ac:dyDescent="0.25">
      <c r="A135" s="4773"/>
      <c r="B135" s="4774"/>
      <c r="C135" s="1566">
        <v>15</v>
      </c>
      <c r="D135" s="3599" t="s">
        <v>3416</v>
      </c>
      <c r="E135" s="1566">
        <v>1</v>
      </c>
      <c r="F135" s="3608">
        <v>6</v>
      </c>
      <c r="G135" s="3633">
        <v>6.45</v>
      </c>
      <c r="H135" s="4776"/>
      <c r="I135" s="3603"/>
    </row>
    <row r="136" spans="1:9" x14ac:dyDescent="0.25">
      <c r="A136" s="4773"/>
      <c r="B136" s="4774"/>
      <c r="C136" s="1566">
        <v>16</v>
      </c>
      <c r="D136" s="3599" t="s">
        <v>3736</v>
      </c>
      <c r="E136" s="1566">
        <v>1</v>
      </c>
      <c r="F136" s="3608">
        <v>4</v>
      </c>
      <c r="G136" s="3633">
        <v>5.16</v>
      </c>
      <c r="H136" s="4776"/>
      <c r="I136" s="3603"/>
    </row>
    <row r="137" spans="1:9" x14ac:dyDescent="0.25">
      <c r="A137" s="4773"/>
      <c r="B137" s="4774"/>
      <c r="C137" s="1566">
        <v>17</v>
      </c>
      <c r="D137" s="3599" t="s">
        <v>3417</v>
      </c>
      <c r="E137" s="1566">
        <v>1</v>
      </c>
      <c r="F137" s="3608">
        <v>5</v>
      </c>
      <c r="G137" s="3633">
        <v>4.83</v>
      </c>
      <c r="H137" s="4776"/>
      <c r="I137" s="3603"/>
    </row>
    <row r="138" spans="1:9" x14ac:dyDescent="0.25">
      <c r="A138" s="4773"/>
      <c r="B138" s="4774"/>
      <c r="C138" s="1566">
        <v>18</v>
      </c>
      <c r="D138" s="3599" t="s">
        <v>3755</v>
      </c>
      <c r="E138" s="1566">
        <v>1</v>
      </c>
      <c r="F138" s="3608">
        <v>3</v>
      </c>
      <c r="G138" s="3608">
        <v>3.46</v>
      </c>
      <c r="H138" s="4776"/>
      <c r="I138" s="3603"/>
    </row>
    <row r="139" spans="1:9" x14ac:dyDescent="0.25">
      <c r="A139" s="1533"/>
      <c r="B139" s="1534"/>
      <c r="C139" s="1566"/>
      <c r="D139" s="3621" t="s">
        <v>3383</v>
      </c>
      <c r="E139" s="3607" t="s">
        <v>3272</v>
      </c>
      <c r="F139" s="3470">
        <f>SUM(F120:F138)</f>
        <v>197</v>
      </c>
      <c r="G139" s="3470">
        <f>SUM(G120:G138)</f>
        <v>204.55</v>
      </c>
      <c r="H139" s="4776"/>
      <c r="I139" s="3603"/>
    </row>
    <row r="140" spans="1:9" x14ac:dyDescent="0.25">
      <c r="A140" s="1533"/>
      <c r="B140" s="1534"/>
      <c r="C140" s="1566"/>
      <c r="D140" s="3621" t="s">
        <v>3384</v>
      </c>
      <c r="E140" s="3607" t="s">
        <v>3272</v>
      </c>
      <c r="F140" s="4781">
        <f>F141-G139</f>
        <v>47.16</v>
      </c>
      <c r="G140" s="4781"/>
      <c r="H140" s="4776"/>
      <c r="I140" s="3603"/>
    </row>
    <row r="141" spans="1:9" x14ac:dyDescent="0.25">
      <c r="A141" s="1533"/>
      <c r="B141" s="1534"/>
      <c r="C141" s="1566"/>
      <c r="D141" s="3621" t="s">
        <v>3418</v>
      </c>
      <c r="E141" s="3607" t="s">
        <v>3272</v>
      </c>
      <c r="F141" s="4781">
        <v>251.71</v>
      </c>
      <c r="G141" s="4781"/>
      <c r="H141" s="4776"/>
      <c r="I141" s="3603"/>
    </row>
    <row r="142" spans="1:9" s="3618" customFormat="1" x14ac:dyDescent="0.25">
      <c r="A142" s="3614"/>
      <c r="B142" s="3615"/>
      <c r="C142" s="3615"/>
      <c r="D142" s="3622"/>
      <c r="E142" s="3623"/>
      <c r="F142" s="3598"/>
      <c r="G142" s="3598"/>
      <c r="H142" s="3597"/>
      <c r="I142" s="3617"/>
    </row>
    <row r="143" spans="1:9" s="3620" customFormat="1" x14ac:dyDescent="0.25">
      <c r="A143" s="4832"/>
      <c r="B143" s="4833"/>
      <c r="C143" s="3659"/>
      <c r="D143" s="1563" t="s">
        <v>1861</v>
      </c>
      <c r="E143" s="3659"/>
      <c r="F143" s="3659"/>
      <c r="G143" s="3659"/>
      <c r="H143" s="3660">
        <f>F159</f>
        <v>189.57</v>
      </c>
      <c r="I143" s="3619"/>
    </row>
    <row r="144" spans="1:9" x14ac:dyDescent="0.25">
      <c r="A144" s="4771" t="s">
        <v>3359</v>
      </c>
      <c r="B144" s="4772"/>
      <c r="C144" s="3624">
        <v>1</v>
      </c>
      <c r="D144" s="3634" t="s">
        <v>3419</v>
      </c>
      <c r="E144" s="3624">
        <v>1</v>
      </c>
      <c r="F144" s="3625">
        <v>18</v>
      </c>
      <c r="G144" s="3625">
        <v>18.309999999999999</v>
      </c>
      <c r="H144" s="4775"/>
      <c r="I144" s="3603"/>
    </row>
    <row r="145" spans="1:9" x14ac:dyDescent="0.25">
      <c r="A145" s="4773"/>
      <c r="B145" s="4774"/>
      <c r="C145" s="1566">
        <v>2</v>
      </c>
      <c r="D145" s="3599" t="s">
        <v>3420</v>
      </c>
      <c r="E145" s="1566">
        <v>1</v>
      </c>
      <c r="F145" s="3608">
        <v>18</v>
      </c>
      <c r="G145" s="3608">
        <v>18.12</v>
      </c>
      <c r="H145" s="4776"/>
      <c r="I145" s="3603"/>
    </row>
    <row r="146" spans="1:9" x14ac:dyDescent="0.25">
      <c r="A146" s="4773"/>
      <c r="B146" s="4774"/>
      <c r="C146" s="1566">
        <v>3</v>
      </c>
      <c r="D146" s="3599" t="s">
        <v>3421</v>
      </c>
      <c r="E146" s="1566">
        <v>1</v>
      </c>
      <c r="F146" s="3608">
        <v>18</v>
      </c>
      <c r="G146" s="3608">
        <v>18.59</v>
      </c>
      <c r="H146" s="4776"/>
      <c r="I146" s="3603"/>
    </row>
    <row r="147" spans="1:9" x14ac:dyDescent="0.25">
      <c r="A147" s="4773"/>
      <c r="B147" s="4774"/>
      <c r="C147" s="1566">
        <v>4</v>
      </c>
      <c r="D147" s="3599" t="s">
        <v>3422</v>
      </c>
      <c r="E147" s="1566">
        <v>1</v>
      </c>
      <c r="F147" s="3608">
        <v>18</v>
      </c>
      <c r="G147" s="3608">
        <v>20.92</v>
      </c>
      <c r="H147" s="4776"/>
      <c r="I147" s="3603"/>
    </row>
    <row r="148" spans="1:9" x14ac:dyDescent="0.25">
      <c r="A148" s="4773"/>
      <c r="B148" s="4774"/>
      <c r="C148" s="1566">
        <v>5</v>
      </c>
      <c r="D148" s="3599" t="s">
        <v>3756</v>
      </c>
      <c r="E148" s="1566">
        <v>1</v>
      </c>
      <c r="F148" s="3608">
        <v>7.5</v>
      </c>
      <c r="G148" s="3608">
        <v>9.36</v>
      </c>
      <c r="H148" s="4776"/>
      <c r="I148" s="3603"/>
    </row>
    <row r="149" spans="1:9" x14ac:dyDescent="0.25">
      <c r="A149" s="4773" t="s">
        <v>1877</v>
      </c>
      <c r="B149" s="4774" t="s">
        <v>1865</v>
      </c>
      <c r="C149" s="1566">
        <v>6</v>
      </c>
      <c r="D149" s="3599" t="s">
        <v>3423</v>
      </c>
      <c r="E149" s="1566">
        <v>1</v>
      </c>
      <c r="F149" s="3608">
        <v>15</v>
      </c>
      <c r="G149" s="3608">
        <v>14.91</v>
      </c>
      <c r="H149" s="4776"/>
      <c r="I149" s="3603"/>
    </row>
    <row r="150" spans="1:9" x14ac:dyDescent="0.25">
      <c r="A150" s="4773"/>
      <c r="B150" s="4774"/>
      <c r="C150" s="1566">
        <v>7</v>
      </c>
      <c r="D150" s="3599" t="s">
        <v>3757</v>
      </c>
      <c r="E150" s="1566">
        <v>1</v>
      </c>
      <c r="F150" s="3608">
        <v>16</v>
      </c>
      <c r="G150" s="3608">
        <v>17.78</v>
      </c>
      <c r="H150" s="4776"/>
      <c r="I150" s="3603"/>
    </row>
    <row r="151" spans="1:9" x14ac:dyDescent="0.25">
      <c r="A151" s="4773"/>
      <c r="B151" s="4774"/>
      <c r="C151" s="1566">
        <v>8</v>
      </c>
      <c r="D151" s="3599" t="s">
        <v>3424</v>
      </c>
      <c r="E151" s="1566">
        <v>1</v>
      </c>
      <c r="F151" s="3608">
        <v>5</v>
      </c>
      <c r="G151" s="3608">
        <v>6.36</v>
      </c>
      <c r="H151" s="4776"/>
      <c r="I151" s="3603"/>
    </row>
    <row r="152" spans="1:9" x14ac:dyDescent="0.25">
      <c r="A152" s="4773"/>
      <c r="B152" s="4774" t="s">
        <v>3425</v>
      </c>
      <c r="C152" s="1566">
        <v>9</v>
      </c>
      <c r="D152" s="3599" t="s">
        <v>3426</v>
      </c>
      <c r="E152" s="1566">
        <v>1</v>
      </c>
      <c r="F152" s="3608">
        <v>4</v>
      </c>
      <c r="G152" s="3608">
        <v>4.66</v>
      </c>
      <c r="H152" s="4776"/>
      <c r="I152" s="3603"/>
    </row>
    <row r="153" spans="1:9" x14ac:dyDescent="0.25">
      <c r="A153" s="4773"/>
      <c r="B153" s="4774"/>
      <c r="C153" s="1566">
        <v>10</v>
      </c>
      <c r="D153" s="3599" t="s">
        <v>3427</v>
      </c>
      <c r="E153" s="1566">
        <v>1</v>
      </c>
      <c r="F153" s="3608">
        <v>4</v>
      </c>
      <c r="G153" s="3608">
        <v>6.58</v>
      </c>
      <c r="H153" s="4776"/>
      <c r="I153" s="3603"/>
    </row>
    <row r="154" spans="1:9" x14ac:dyDescent="0.25">
      <c r="A154" s="4773"/>
      <c r="B154" s="4774"/>
      <c r="C154" s="1566">
        <v>11</v>
      </c>
      <c r="D154" s="3599" t="s">
        <v>3428</v>
      </c>
      <c r="E154" s="1566">
        <v>1</v>
      </c>
      <c r="F154" s="3608">
        <v>4</v>
      </c>
      <c r="G154" s="3608">
        <v>6.27</v>
      </c>
      <c r="H154" s="4776"/>
      <c r="I154" s="3603"/>
    </row>
    <row r="155" spans="1:9" x14ac:dyDescent="0.25">
      <c r="A155" s="4773"/>
      <c r="B155" s="4774"/>
      <c r="C155" s="1566">
        <v>12</v>
      </c>
      <c r="D155" s="3599" t="s">
        <v>3755</v>
      </c>
      <c r="E155" s="1566">
        <v>1</v>
      </c>
      <c r="F155" s="3608">
        <v>4</v>
      </c>
      <c r="G155" s="3608">
        <v>4.96</v>
      </c>
      <c r="H155" s="4776"/>
      <c r="I155" s="3603"/>
    </row>
    <row r="156" spans="1:9" x14ac:dyDescent="0.25">
      <c r="A156" s="4773"/>
      <c r="B156" s="4774"/>
      <c r="C156" s="1566">
        <v>13</v>
      </c>
      <c r="D156" s="3599" t="s">
        <v>3737</v>
      </c>
      <c r="E156" s="1566">
        <v>1</v>
      </c>
      <c r="F156" s="3608">
        <v>4</v>
      </c>
      <c r="G156" s="3608">
        <v>10.87</v>
      </c>
      <c r="H156" s="4776"/>
      <c r="I156" s="3603"/>
    </row>
    <row r="157" spans="1:9" x14ac:dyDescent="0.25">
      <c r="A157" s="1533"/>
      <c r="B157" s="1534"/>
      <c r="C157" s="1566"/>
      <c r="D157" s="3621" t="s">
        <v>3383</v>
      </c>
      <c r="E157" s="3607" t="s">
        <v>3272</v>
      </c>
      <c r="F157" s="3470">
        <f>SUM(F144:F156)</f>
        <v>135.5</v>
      </c>
      <c r="G157" s="3470">
        <f>SUM(G144:G156)</f>
        <v>157.69000000000003</v>
      </c>
      <c r="H157" s="4776"/>
      <c r="I157" s="3603"/>
    </row>
    <row r="158" spans="1:9" x14ac:dyDescent="0.25">
      <c r="A158" s="1533"/>
      <c r="B158" s="1534"/>
      <c r="C158" s="1566"/>
      <c r="D158" s="3621" t="s">
        <v>3384</v>
      </c>
      <c r="E158" s="3607" t="s">
        <v>3272</v>
      </c>
      <c r="F158" s="4781">
        <f>F159-G157</f>
        <v>31.879999999999967</v>
      </c>
      <c r="G158" s="4781"/>
      <c r="H158" s="4776"/>
      <c r="I158" s="3603"/>
    </row>
    <row r="159" spans="1:9" x14ac:dyDescent="0.25">
      <c r="A159" s="1533"/>
      <c r="B159" s="1534"/>
      <c r="C159" s="1566"/>
      <c r="D159" s="3621" t="s">
        <v>3429</v>
      </c>
      <c r="E159" s="3607" t="s">
        <v>3272</v>
      </c>
      <c r="F159" s="4781">
        <v>189.57</v>
      </c>
      <c r="G159" s="4781"/>
      <c r="H159" s="4776"/>
      <c r="I159" s="3603"/>
    </row>
    <row r="160" spans="1:9" s="3618" customFormat="1" x14ac:dyDescent="0.25">
      <c r="A160" s="3614"/>
      <c r="B160" s="3615"/>
      <c r="C160" s="3615"/>
      <c r="D160" s="3622"/>
      <c r="E160" s="3623"/>
      <c r="F160" s="3598"/>
      <c r="G160" s="3598"/>
      <c r="H160" s="3597"/>
      <c r="I160" s="3617"/>
    </row>
    <row r="161" spans="1:9" s="3620" customFormat="1" x14ac:dyDescent="0.25">
      <c r="A161" s="4832"/>
      <c r="B161" s="4833"/>
      <c r="C161" s="3659"/>
      <c r="D161" s="1563" t="s">
        <v>3430</v>
      </c>
      <c r="E161" s="3659"/>
      <c r="F161" s="3659"/>
      <c r="G161" s="3659"/>
      <c r="H161" s="3660">
        <f>F173</f>
        <v>96.59</v>
      </c>
      <c r="I161" s="3619"/>
    </row>
    <row r="162" spans="1:9" x14ac:dyDescent="0.25">
      <c r="A162" s="4771" t="s">
        <v>3359</v>
      </c>
      <c r="B162" s="4772"/>
      <c r="C162" s="3624">
        <v>1</v>
      </c>
      <c r="D162" s="3634" t="s">
        <v>2678</v>
      </c>
      <c r="E162" s="3624">
        <v>1</v>
      </c>
      <c r="F162" s="3625">
        <v>20</v>
      </c>
      <c r="G162" s="3635">
        <v>23.4</v>
      </c>
      <c r="H162" s="4789"/>
      <c r="I162" s="3603"/>
    </row>
    <row r="163" spans="1:9" x14ac:dyDescent="0.25">
      <c r="A163" s="4773"/>
      <c r="B163" s="4774"/>
      <c r="C163" s="1566">
        <v>2</v>
      </c>
      <c r="D163" s="3599" t="s">
        <v>3431</v>
      </c>
      <c r="E163" s="1566">
        <v>1</v>
      </c>
      <c r="F163" s="3608">
        <v>16</v>
      </c>
      <c r="G163" s="3627">
        <v>20.09</v>
      </c>
      <c r="H163" s="4790"/>
      <c r="I163" s="3603"/>
    </row>
    <row r="164" spans="1:9" x14ac:dyDescent="0.25">
      <c r="A164" s="4773"/>
      <c r="B164" s="4774"/>
      <c r="C164" s="1566"/>
      <c r="D164" s="3599" t="s">
        <v>5912</v>
      </c>
      <c r="E164" s="1566">
        <v>0</v>
      </c>
      <c r="F164" s="3608"/>
      <c r="G164" s="3627"/>
      <c r="H164" s="4790"/>
      <c r="I164" s="3603"/>
    </row>
    <row r="165" spans="1:9" x14ac:dyDescent="0.25">
      <c r="A165" s="4773" t="s">
        <v>3432</v>
      </c>
      <c r="B165" s="4774"/>
      <c r="C165" s="1566">
        <v>3</v>
      </c>
      <c r="D165" s="3599" t="s">
        <v>3433</v>
      </c>
      <c r="E165" s="1566">
        <v>1</v>
      </c>
      <c r="F165" s="3608">
        <v>2</v>
      </c>
      <c r="G165" s="3608">
        <v>2.23</v>
      </c>
      <c r="H165" s="4790"/>
      <c r="I165" s="3603"/>
    </row>
    <row r="166" spans="1:9" x14ac:dyDescent="0.25">
      <c r="A166" s="4773"/>
      <c r="B166" s="4774"/>
      <c r="C166" s="4774">
        <v>4</v>
      </c>
      <c r="D166" s="3599" t="s">
        <v>3434</v>
      </c>
      <c r="E166" s="4774">
        <v>1</v>
      </c>
      <c r="F166" s="4791">
        <v>12</v>
      </c>
      <c r="G166" s="4791">
        <v>15.13</v>
      </c>
      <c r="H166" s="4790"/>
      <c r="I166" s="3603"/>
    </row>
    <row r="167" spans="1:9" x14ac:dyDescent="0.25">
      <c r="A167" s="4773"/>
      <c r="B167" s="4774"/>
      <c r="C167" s="4774"/>
      <c r="D167" s="3599" t="s">
        <v>3435</v>
      </c>
      <c r="E167" s="4774"/>
      <c r="F167" s="4791"/>
      <c r="G167" s="4791"/>
      <c r="H167" s="4790"/>
      <c r="I167" s="3603"/>
    </row>
    <row r="168" spans="1:9" x14ac:dyDescent="0.25">
      <c r="A168" s="4773"/>
      <c r="B168" s="4774"/>
      <c r="C168" s="4774"/>
      <c r="D168" s="3599" t="s">
        <v>3436</v>
      </c>
      <c r="E168" s="4774"/>
      <c r="F168" s="4791"/>
      <c r="G168" s="4791"/>
      <c r="H168" s="4790"/>
      <c r="I168" s="3603"/>
    </row>
    <row r="169" spans="1:9" x14ac:dyDescent="0.25">
      <c r="A169" s="4792" t="s">
        <v>3382</v>
      </c>
      <c r="B169" s="4793"/>
      <c r="C169" s="1566">
        <v>5</v>
      </c>
      <c r="D169" s="3599" t="s">
        <v>3737</v>
      </c>
      <c r="E169" s="1566">
        <v>1</v>
      </c>
      <c r="F169" s="3608">
        <f>G169</f>
        <v>12.48</v>
      </c>
      <c r="G169" s="3608">
        <v>12.48</v>
      </c>
      <c r="H169" s="4790"/>
      <c r="I169" s="3603"/>
    </row>
    <row r="170" spans="1:9" x14ac:dyDescent="0.25">
      <c r="A170" s="4794"/>
      <c r="B170" s="4795"/>
      <c r="C170" s="1566">
        <v>6</v>
      </c>
      <c r="D170" s="3599" t="s">
        <v>3738</v>
      </c>
      <c r="E170" s="1566">
        <v>1</v>
      </c>
      <c r="F170" s="3608">
        <f>G170</f>
        <v>9.84</v>
      </c>
      <c r="G170" s="3608">
        <v>9.84</v>
      </c>
      <c r="H170" s="4790"/>
      <c r="I170" s="3603"/>
    </row>
    <row r="171" spans="1:9" x14ac:dyDescent="0.25">
      <c r="A171" s="1533"/>
      <c r="B171" s="1534"/>
      <c r="C171" s="1566"/>
      <c r="D171" s="3621" t="s">
        <v>3383</v>
      </c>
      <c r="E171" s="3607" t="s">
        <v>3272</v>
      </c>
      <c r="F171" s="3470">
        <f>SUM(F162:F170)</f>
        <v>72.320000000000007</v>
      </c>
      <c r="G171" s="3470">
        <f>SUM(G162:G170)</f>
        <v>83.17</v>
      </c>
      <c r="H171" s="4790"/>
      <c r="I171" s="3603"/>
    </row>
    <row r="172" spans="1:9" x14ac:dyDescent="0.25">
      <c r="A172" s="1533"/>
      <c r="B172" s="1534"/>
      <c r="C172" s="1566"/>
      <c r="D172" s="3621" t="s">
        <v>3384</v>
      </c>
      <c r="E172" s="3607" t="s">
        <v>3272</v>
      </c>
      <c r="F172" s="4781">
        <f>F173-G171</f>
        <v>13.420000000000002</v>
      </c>
      <c r="G172" s="4781"/>
      <c r="H172" s="4790"/>
      <c r="I172" s="3603"/>
    </row>
    <row r="173" spans="1:9" x14ac:dyDescent="0.25">
      <c r="A173" s="1533"/>
      <c r="B173" s="1534"/>
      <c r="C173" s="1566"/>
      <c r="D173" s="3621" t="s">
        <v>3758</v>
      </c>
      <c r="E173" s="3607" t="s">
        <v>3272</v>
      </c>
      <c r="F173" s="4781">
        <v>96.59</v>
      </c>
      <c r="G173" s="4781"/>
      <c r="H173" s="4790"/>
      <c r="I173" s="3603"/>
    </row>
    <row r="174" spans="1:9" x14ac:dyDescent="0.25">
      <c r="A174" s="3614"/>
      <c r="B174" s="3615"/>
      <c r="C174" s="3615"/>
      <c r="D174" s="3622"/>
      <c r="E174" s="3623"/>
      <c r="F174" s="3615"/>
      <c r="G174" s="3615"/>
      <c r="H174" s="3597"/>
      <c r="I174" s="3603"/>
    </row>
    <row r="175" spans="1:9" x14ac:dyDescent="0.25">
      <c r="A175" s="3614"/>
      <c r="B175" s="3615"/>
      <c r="C175" s="3615"/>
      <c r="D175" s="3616" t="s">
        <v>5913</v>
      </c>
      <c r="E175" s="3615"/>
      <c r="F175" s="3615"/>
      <c r="G175" s="3615"/>
      <c r="H175" s="3597"/>
      <c r="I175" s="3603"/>
    </row>
    <row r="176" spans="1:9" s="3618" customFormat="1" x14ac:dyDescent="0.25">
      <c r="A176" s="3614"/>
      <c r="B176" s="3615"/>
      <c r="C176" s="3615"/>
      <c r="D176" s="3622"/>
      <c r="E176" s="3623"/>
      <c r="F176" s="3598"/>
      <c r="G176" s="3598"/>
      <c r="H176" s="3597"/>
      <c r="I176" s="3617"/>
    </row>
    <row r="177" spans="1:9" s="3620" customFormat="1" x14ac:dyDescent="0.25">
      <c r="A177" s="4832"/>
      <c r="B177" s="4833"/>
      <c r="C177" s="3659"/>
      <c r="D177" s="1563" t="s">
        <v>3437</v>
      </c>
      <c r="E177" s="3659"/>
      <c r="F177" s="3659"/>
      <c r="G177" s="3659"/>
      <c r="H177" s="3660">
        <f>F187</f>
        <v>82.57</v>
      </c>
      <c r="I177" s="3619"/>
    </row>
    <row r="178" spans="1:9" x14ac:dyDescent="0.25">
      <c r="A178" s="4771" t="s">
        <v>3359</v>
      </c>
      <c r="B178" s="1565" t="s">
        <v>3438</v>
      </c>
      <c r="C178" s="1565">
        <v>1</v>
      </c>
      <c r="D178" s="3634" t="s">
        <v>3439</v>
      </c>
      <c r="E178" s="3624">
        <v>1</v>
      </c>
      <c r="F178" s="3625">
        <v>8.5</v>
      </c>
      <c r="G178" s="3625">
        <v>8.7200000000000006</v>
      </c>
      <c r="H178" s="4775"/>
      <c r="I178" s="3603"/>
    </row>
    <row r="179" spans="1:9" x14ac:dyDescent="0.25">
      <c r="A179" s="4773"/>
      <c r="B179" s="3469" t="s">
        <v>3440</v>
      </c>
      <c r="C179" s="3469">
        <v>2</v>
      </c>
      <c r="D179" s="3599" t="s">
        <v>3441</v>
      </c>
      <c r="E179" s="1566">
        <v>1</v>
      </c>
      <c r="F179" s="3608">
        <v>6</v>
      </c>
      <c r="G179" s="3608">
        <v>6.14</v>
      </c>
      <c r="H179" s="4776"/>
      <c r="I179" s="3603"/>
    </row>
    <row r="180" spans="1:9" x14ac:dyDescent="0.25">
      <c r="A180" s="4773"/>
      <c r="B180" s="4796" t="s">
        <v>3442</v>
      </c>
      <c r="C180" s="4796">
        <v>3</v>
      </c>
      <c r="D180" s="3599" t="s">
        <v>3443</v>
      </c>
      <c r="E180" s="4774">
        <v>1</v>
      </c>
      <c r="F180" s="4791">
        <v>8.5</v>
      </c>
      <c r="G180" s="4791">
        <v>8.56</v>
      </c>
      <c r="H180" s="4776"/>
      <c r="I180" s="3603"/>
    </row>
    <row r="181" spans="1:9" x14ac:dyDescent="0.25">
      <c r="A181" s="4773"/>
      <c r="B181" s="4796"/>
      <c r="C181" s="4796"/>
      <c r="D181" s="3599" t="s">
        <v>3444</v>
      </c>
      <c r="E181" s="4774"/>
      <c r="F181" s="4791"/>
      <c r="G181" s="4791"/>
      <c r="H181" s="4776"/>
      <c r="I181" s="3603"/>
    </row>
    <row r="182" spans="1:9" x14ac:dyDescent="0.25">
      <c r="A182" s="4773" t="s">
        <v>3759</v>
      </c>
      <c r="B182" s="4774" t="s">
        <v>1868</v>
      </c>
      <c r="C182" s="1566">
        <v>4</v>
      </c>
      <c r="D182" s="3599" t="s">
        <v>3760</v>
      </c>
      <c r="E182" s="1566">
        <v>1</v>
      </c>
      <c r="F182" s="3608">
        <v>8.5</v>
      </c>
      <c r="G182" s="3608">
        <v>10.57</v>
      </c>
      <c r="H182" s="4776"/>
      <c r="I182" s="3603"/>
    </row>
    <row r="183" spans="1:9" x14ac:dyDescent="0.25">
      <c r="A183" s="4773"/>
      <c r="B183" s="4774"/>
      <c r="C183" s="1566">
        <v>5</v>
      </c>
      <c r="D183" s="3599" t="s">
        <v>3761</v>
      </c>
      <c r="E183" s="1566">
        <v>1</v>
      </c>
      <c r="F183" s="3608">
        <v>5</v>
      </c>
      <c r="G183" s="3608">
        <v>7.3</v>
      </c>
      <c r="H183" s="4776"/>
      <c r="I183" s="3603"/>
    </row>
    <row r="184" spans="1:9" x14ac:dyDescent="0.25">
      <c r="A184" s="4797" t="s">
        <v>3382</v>
      </c>
      <c r="B184" s="4798"/>
      <c r="C184" s="1566">
        <v>6</v>
      </c>
      <c r="D184" s="3599" t="s">
        <v>3738</v>
      </c>
      <c r="E184" s="1566">
        <v>1</v>
      </c>
      <c r="F184" s="3608">
        <f>G184</f>
        <v>9.84</v>
      </c>
      <c r="G184" s="3608">
        <v>9.84</v>
      </c>
      <c r="H184" s="4776"/>
      <c r="I184" s="3603"/>
    </row>
    <row r="185" spans="1:9" x14ac:dyDescent="0.25">
      <c r="A185" s="1533"/>
      <c r="B185" s="1534"/>
      <c r="C185" s="1566"/>
      <c r="D185" s="3621" t="s">
        <v>3383</v>
      </c>
      <c r="E185" s="3607" t="s">
        <v>3272</v>
      </c>
      <c r="F185" s="3470">
        <f>SUM(F178:F184)</f>
        <v>46.34</v>
      </c>
      <c r="G185" s="3470">
        <f>SUM(G178:G184)</f>
        <v>51.129999999999995</v>
      </c>
      <c r="H185" s="4776"/>
      <c r="I185" s="3603"/>
    </row>
    <row r="186" spans="1:9" x14ac:dyDescent="0.25">
      <c r="A186" s="1533"/>
      <c r="B186" s="1534"/>
      <c r="C186" s="1566"/>
      <c r="D186" s="3621" t="s">
        <v>3384</v>
      </c>
      <c r="E186" s="3607" t="s">
        <v>3272</v>
      </c>
      <c r="F186" s="4781">
        <f>F187-G185</f>
        <v>31.439999999999998</v>
      </c>
      <c r="G186" s="4781"/>
      <c r="H186" s="4776"/>
      <c r="I186" s="3603"/>
    </row>
    <row r="187" spans="1:9" x14ac:dyDescent="0.25">
      <c r="A187" s="1533"/>
      <c r="B187" s="1534"/>
      <c r="C187" s="1566"/>
      <c r="D187" s="3621" t="s">
        <v>3445</v>
      </c>
      <c r="E187" s="3607" t="s">
        <v>3272</v>
      </c>
      <c r="F187" s="4781">
        <v>82.57</v>
      </c>
      <c r="G187" s="4781"/>
      <c r="H187" s="4776"/>
      <c r="I187" s="3603"/>
    </row>
    <row r="188" spans="1:9" s="3618" customFormat="1" x14ac:dyDescent="0.25">
      <c r="A188" s="3614"/>
      <c r="B188" s="3615"/>
      <c r="C188" s="3615"/>
      <c r="D188" s="3622"/>
      <c r="E188" s="3623"/>
      <c r="F188" s="3598"/>
      <c r="G188" s="3598"/>
      <c r="H188" s="3597"/>
      <c r="I188" s="3617"/>
    </row>
    <row r="189" spans="1:9" s="3620" customFormat="1" x14ac:dyDescent="0.25">
      <c r="A189" s="4832"/>
      <c r="B189" s="4833"/>
      <c r="C189" s="3659"/>
      <c r="D189" s="1563" t="s">
        <v>1871</v>
      </c>
      <c r="E189" s="3659"/>
      <c r="F189" s="3659"/>
      <c r="G189" s="3659"/>
      <c r="H189" s="3661">
        <f>F201</f>
        <v>107.83</v>
      </c>
      <c r="I189" s="3619"/>
    </row>
    <row r="190" spans="1:9" x14ac:dyDescent="0.25">
      <c r="A190" s="4771" t="s">
        <v>3446</v>
      </c>
      <c r="B190" s="4772"/>
      <c r="C190" s="3624">
        <v>1</v>
      </c>
      <c r="D190" s="3634" t="s">
        <v>3374</v>
      </c>
      <c r="E190" s="3636">
        <v>1</v>
      </c>
      <c r="F190" s="3631">
        <v>15</v>
      </c>
      <c r="G190" s="3631">
        <v>12.71</v>
      </c>
      <c r="H190" s="4775"/>
      <c r="I190" s="3603"/>
    </row>
    <row r="191" spans="1:9" x14ac:dyDescent="0.25">
      <c r="A191" s="4773"/>
      <c r="B191" s="4774"/>
      <c r="C191" s="1566">
        <v>2</v>
      </c>
      <c r="D191" s="3599" t="s">
        <v>3447</v>
      </c>
      <c r="E191" s="3606">
        <v>1</v>
      </c>
      <c r="F191" s="3633">
        <v>15</v>
      </c>
      <c r="G191" s="3633">
        <v>15.03</v>
      </c>
      <c r="H191" s="4776"/>
      <c r="I191" s="3603"/>
    </row>
    <row r="192" spans="1:9" x14ac:dyDescent="0.25">
      <c r="A192" s="4773"/>
      <c r="B192" s="4774"/>
      <c r="C192" s="1566">
        <v>3</v>
      </c>
      <c r="D192" s="3599" t="s">
        <v>3448</v>
      </c>
      <c r="E192" s="3606">
        <v>1</v>
      </c>
      <c r="F192" s="3633">
        <v>10</v>
      </c>
      <c r="G192" s="3633">
        <v>10.87</v>
      </c>
      <c r="H192" s="4776"/>
      <c r="I192" s="3603"/>
    </row>
    <row r="193" spans="1:9" x14ac:dyDescent="0.25">
      <c r="A193" s="4773"/>
      <c r="B193" s="4774"/>
      <c r="C193" s="1566">
        <v>4</v>
      </c>
      <c r="D193" s="3599" t="s">
        <v>3449</v>
      </c>
      <c r="E193" s="3606">
        <v>1</v>
      </c>
      <c r="F193" s="3633">
        <v>10</v>
      </c>
      <c r="G193" s="3633">
        <v>7.73</v>
      </c>
      <c r="H193" s="4776"/>
      <c r="I193" s="3603"/>
    </row>
    <row r="194" spans="1:9" x14ac:dyDescent="0.25">
      <c r="A194" s="4773" t="s">
        <v>1877</v>
      </c>
      <c r="B194" s="4774"/>
      <c r="C194" s="1566">
        <v>5</v>
      </c>
      <c r="D194" s="3599" t="s">
        <v>3762</v>
      </c>
      <c r="E194" s="3606">
        <v>1</v>
      </c>
      <c r="F194" s="3633">
        <v>24</v>
      </c>
      <c r="G194" s="3633">
        <v>24.28</v>
      </c>
      <c r="H194" s="4776"/>
      <c r="I194" s="3603"/>
    </row>
    <row r="195" spans="1:9" x14ac:dyDescent="0.25">
      <c r="A195" s="4773"/>
      <c r="B195" s="4774"/>
      <c r="C195" s="1566">
        <v>6</v>
      </c>
      <c r="D195" s="3599" t="s">
        <v>3450</v>
      </c>
      <c r="E195" s="3606">
        <v>1</v>
      </c>
      <c r="F195" s="3633">
        <v>3</v>
      </c>
      <c r="G195" s="3633">
        <v>2.46</v>
      </c>
      <c r="H195" s="4776"/>
      <c r="I195" s="3603"/>
    </row>
    <row r="196" spans="1:9" x14ac:dyDescent="0.25">
      <c r="A196" s="4773"/>
      <c r="B196" s="4774"/>
      <c r="C196" s="1566">
        <v>7</v>
      </c>
      <c r="D196" s="3599" t="s">
        <v>3451</v>
      </c>
      <c r="E196" s="3606">
        <v>1</v>
      </c>
      <c r="F196" s="3608">
        <v>2.5</v>
      </c>
      <c r="G196" s="3633">
        <v>2.5099999999999998</v>
      </c>
      <c r="H196" s="4776"/>
      <c r="I196" s="3603"/>
    </row>
    <row r="197" spans="1:9" x14ac:dyDescent="0.25">
      <c r="A197" s="4773"/>
      <c r="B197" s="4774"/>
      <c r="C197" s="1566">
        <v>8</v>
      </c>
      <c r="D197" s="3599" t="s">
        <v>3736</v>
      </c>
      <c r="E197" s="1566">
        <v>1</v>
      </c>
      <c r="F197" s="3608">
        <v>4</v>
      </c>
      <c r="G197" s="3633">
        <v>4.24</v>
      </c>
      <c r="H197" s="4776"/>
      <c r="I197" s="3603"/>
    </row>
    <row r="198" spans="1:9" x14ac:dyDescent="0.25">
      <c r="A198" s="4773"/>
      <c r="B198" s="4774"/>
      <c r="C198" s="1566">
        <v>9</v>
      </c>
      <c r="D198" s="3599" t="s">
        <v>3763</v>
      </c>
      <c r="E198" s="1566">
        <v>1</v>
      </c>
      <c r="F198" s="3608">
        <v>4</v>
      </c>
      <c r="G198" s="3633">
        <v>3.69</v>
      </c>
      <c r="H198" s="4776"/>
      <c r="I198" s="3603"/>
    </row>
    <row r="199" spans="1:9" x14ac:dyDescent="0.25">
      <c r="A199" s="1533"/>
      <c r="B199" s="1534"/>
      <c r="C199" s="1566"/>
      <c r="D199" s="3621" t="s">
        <v>3383</v>
      </c>
      <c r="E199" s="3607" t="s">
        <v>3272</v>
      </c>
      <c r="F199" s="3470">
        <f>SUM(F190:F198)</f>
        <v>87.5</v>
      </c>
      <c r="G199" s="3470">
        <f>SUM(G190:G198)</f>
        <v>83.52</v>
      </c>
      <c r="H199" s="4776"/>
      <c r="I199" s="3603"/>
    </row>
    <row r="200" spans="1:9" x14ac:dyDescent="0.25">
      <c r="A200" s="1533"/>
      <c r="B200" s="1534"/>
      <c r="C200" s="1566"/>
      <c r="D200" s="3621" t="s">
        <v>3384</v>
      </c>
      <c r="E200" s="3607" t="s">
        <v>3272</v>
      </c>
      <c r="F200" s="4781">
        <f>F201-G199</f>
        <v>24.310000000000002</v>
      </c>
      <c r="G200" s="4781"/>
      <c r="H200" s="4776"/>
      <c r="I200" s="3603"/>
    </row>
    <row r="201" spans="1:9" x14ac:dyDescent="0.25">
      <c r="A201" s="1533"/>
      <c r="B201" s="1534"/>
      <c r="C201" s="1566"/>
      <c r="D201" s="3621" t="s">
        <v>3452</v>
      </c>
      <c r="E201" s="3607" t="s">
        <v>3272</v>
      </c>
      <c r="F201" s="4781">
        <v>107.83</v>
      </c>
      <c r="G201" s="4781"/>
      <c r="H201" s="4776"/>
      <c r="I201" s="3603"/>
    </row>
    <row r="202" spans="1:9" s="3618" customFormat="1" x14ac:dyDescent="0.25">
      <c r="A202" s="3614"/>
      <c r="B202" s="3615"/>
      <c r="C202" s="3615"/>
      <c r="D202" s="3622"/>
      <c r="E202" s="3623"/>
      <c r="F202" s="3598"/>
      <c r="G202" s="3598"/>
      <c r="H202" s="3597"/>
      <c r="I202" s="3617"/>
    </row>
    <row r="203" spans="1:9" s="3620" customFormat="1" x14ac:dyDescent="0.25">
      <c r="A203" s="1564"/>
      <c r="B203" s="3658"/>
      <c r="C203" s="3659"/>
      <c r="D203" s="1563" t="s">
        <v>2204</v>
      </c>
      <c r="E203" s="3659"/>
      <c r="F203" s="3659"/>
      <c r="G203" s="3659"/>
      <c r="H203" s="3661">
        <f>F214</f>
        <v>77.14</v>
      </c>
      <c r="I203" s="3619"/>
    </row>
    <row r="204" spans="1:9" x14ac:dyDescent="0.25">
      <c r="A204" s="4824" t="s">
        <v>3453</v>
      </c>
      <c r="B204" s="4825"/>
      <c r="C204" s="4786">
        <v>1</v>
      </c>
      <c r="D204" s="3634" t="s">
        <v>3454</v>
      </c>
      <c r="E204" s="4787">
        <v>1</v>
      </c>
      <c r="F204" s="4816">
        <v>12</v>
      </c>
      <c r="G204" s="4816">
        <v>12.49</v>
      </c>
      <c r="H204" s="4775"/>
      <c r="I204" s="3603"/>
    </row>
    <row r="205" spans="1:9" x14ac:dyDescent="0.25">
      <c r="A205" s="4824"/>
      <c r="B205" s="4825"/>
      <c r="C205" s="4786"/>
      <c r="D205" s="3599" t="s">
        <v>3461</v>
      </c>
      <c r="E205" s="4787"/>
      <c r="F205" s="4816"/>
      <c r="G205" s="4816"/>
      <c r="H205" s="4776"/>
      <c r="I205" s="3603"/>
    </row>
    <row r="206" spans="1:9" x14ac:dyDescent="0.25">
      <c r="A206" s="4824"/>
      <c r="B206" s="4825"/>
      <c r="C206" s="4772"/>
      <c r="D206" s="3599" t="s">
        <v>3460</v>
      </c>
      <c r="E206" s="4784"/>
      <c r="F206" s="4817"/>
      <c r="G206" s="4817"/>
      <c r="H206" s="4776"/>
      <c r="I206" s="3603"/>
    </row>
    <row r="207" spans="1:9" x14ac:dyDescent="0.25">
      <c r="A207" s="4824"/>
      <c r="B207" s="4825"/>
      <c r="C207" s="1566">
        <v>2</v>
      </c>
      <c r="D207" s="3599" t="s">
        <v>3455</v>
      </c>
      <c r="E207" s="3606">
        <v>1</v>
      </c>
      <c r="F207" s="3608">
        <v>6</v>
      </c>
      <c r="G207" s="3608">
        <v>7.33</v>
      </c>
      <c r="H207" s="4776"/>
      <c r="I207" s="3603"/>
    </row>
    <row r="208" spans="1:9" x14ac:dyDescent="0.25">
      <c r="A208" s="4824"/>
      <c r="B208" s="4825"/>
      <c r="C208" s="1566">
        <v>3</v>
      </c>
      <c r="D208" s="3599" t="s">
        <v>3457</v>
      </c>
      <c r="E208" s="3606">
        <v>1</v>
      </c>
      <c r="F208" s="3608">
        <v>14</v>
      </c>
      <c r="G208" s="3608">
        <v>12.23</v>
      </c>
      <c r="H208" s="4776"/>
      <c r="I208" s="3603"/>
    </row>
    <row r="209" spans="1:9" x14ac:dyDescent="0.25">
      <c r="A209" s="4824"/>
      <c r="B209" s="4825"/>
      <c r="C209" s="1566">
        <v>4</v>
      </c>
      <c r="D209" s="3599" t="s">
        <v>3458</v>
      </c>
      <c r="E209" s="3606">
        <v>1</v>
      </c>
      <c r="F209" s="3608">
        <v>9</v>
      </c>
      <c r="G209" s="3608">
        <v>9.6300000000000008</v>
      </c>
      <c r="H209" s="4776"/>
      <c r="I209" s="3603"/>
    </row>
    <row r="210" spans="1:9" x14ac:dyDescent="0.25">
      <c r="A210" s="4824"/>
      <c r="B210" s="4825"/>
      <c r="C210" s="1566">
        <v>5</v>
      </c>
      <c r="D210" s="3599" t="s">
        <v>3459</v>
      </c>
      <c r="E210" s="3606">
        <v>1</v>
      </c>
      <c r="F210" s="3608">
        <v>9</v>
      </c>
      <c r="G210" s="3608">
        <v>9.07</v>
      </c>
      <c r="H210" s="4776"/>
      <c r="I210" s="3603"/>
    </row>
    <row r="211" spans="1:9" x14ac:dyDescent="0.25">
      <c r="A211" s="4794"/>
      <c r="B211" s="4795"/>
      <c r="C211" s="1566">
        <v>6</v>
      </c>
      <c r="D211" s="3599" t="s">
        <v>3456</v>
      </c>
      <c r="E211" s="3606">
        <v>1</v>
      </c>
      <c r="F211" s="3608">
        <v>6.6</v>
      </c>
      <c r="G211" s="3608">
        <v>11.72</v>
      </c>
      <c r="H211" s="4776"/>
      <c r="I211" s="3603"/>
    </row>
    <row r="212" spans="1:9" x14ac:dyDescent="0.25">
      <c r="A212" s="1533"/>
      <c r="B212" s="1534"/>
      <c r="C212" s="1566"/>
      <c r="D212" s="3621" t="s">
        <v>3383</v>
      </c>
      <c r="E212" s="3607" t="s">
        <v>3272</v>
      </c>
      <c r="F212" s="3470">
        <f>SUM(F204:F211)</f>
        <v>56.6</v>
      </c>
      <c r="G212" s="3470">
        <f>SUM(G204:G211)</f>
        <v>62.47</v>
      </c>
      <c r="H212" s="4776"/>
      <c r="I212" s="3603"/>
    </row>
    <row r="213" spans="1:9" x14ac:dyDescent="0.25">
      <c r="A213" s="1533"/>
      <c r="B213" s="1534"/>
      <c r="C213" s="1566"/>
      <c r="D213" s="3621" t="s">
        <v>3384</v>
      </c>
      <c r="E213" s="3607" t="s">
        <v>3272</v>
      </c>
      <c r="F213" s="4781">
        <f>F214-G212</f>
        <v>14.670000000000002</v>
      </c>
      <c r="G213" s="4781"/>
      <c r="H213" s="4776"/>
      <c r="I213" s="3603"/>
    </row>
    <row r="214" spans="1:9" x14ac:dyDescent="0.25">
      <c r="A214" s="1533"/>
      <c r="B214" s="1534"/>
      <c r="C214" s="1566"/>
      <c r="D214" s="3621" t="s">
        <v>3462</v>
      </c>
      <c r="E214" s="3607" t="s">
        <v>3272</v>
      </c>
      <c r="F214" s="4781">
        <v>77.14</v>
      </c>
      <c r="G214" s="4781"/>
      <c r="H214" s="4776"/>
      <c r="I214" s="3603"/>
    </row>
    <row r="215" spans="1:9" s="3618" customFormat="1" x14ac:dyDescent="0.25">
      <c r="A215" s="3614"/>
      <c r="B215" s="3615"/>
      <c r="C215" s="3615"/>
      <c r="D215" s="3622"/>
      <c r="E215" s="3623"/>
      <c r="F215" s="3598"/>
      <c r="G215" s="3598"/>
      <c r="H215" s="3597"/>
      <c r="I215" s="3617"/>
    </row>
    <row r="216" spans="1:9" s="3620" customFormat="1" x14ac:dyDescent="0.25">
      <c r="A216" s="4832"/>
      <c r="B216" s="4833"/>
      <c r="C216" s="3659"/>
      <c r="D216" s="1563" t="s">
        <v>2205</v>
      </c>
      <c r="E216" s="3659"/>
      <c r="F216" s="3659"/>
      <c r="G216" s="3659"/>
      <c r="H216" s="3662">
        <f>F222</f>
        <v>77.2</v>
      </c>
      <c r="I216" s="3619"/>
    </row>
    <row r="217" spans="1:9" x14ac:dyDescent="0.25">
      <c r="A217" s="4771" t="s">
        <v>2205</v>
      </c>
      <c r="B217" s="4772"/>
      <c r="C217" s="3624">
        <v>1</v>
      </c>
      <c r="D217" s="3634" t="s">
        <v>3463</v>
      </c>
      <c r="E217" s="3636">
        <v>1</v>
      </c>
      <c r="F217" s="3631">
        <v>20</v>
      </c>
      <c r="G217" s="3631">
        <v>20.25</v>
      </c>
      <c r="H217" s="4775"/>
      <c r="I217" s="3603"/>
    </row>
    <row r="218" spans="1:9" x14ac:dyDescent="0.25">
      <c r="A218" s="4773"/>
      <c r="B218" s="4774"/>
      <c r="C218" s="1566">
        <v>2</v>
      </c>
      <c r="D218" s="3599" t="s">
        <v>3464</v>
      </c>
      <c r="E218" s="3606">
        <v>1</v>
      </c>
      <c r="F218" s="3633">
        <v>20</v>
      </c>
      <c r="G218" s="3633">
        <v>20.25</v>
      </c>
      <c r="H218" s="4776"/>
      <c r="I218" s="3603"/>
    </row>
    <row r="219" spans="1:9" x14ac:dyDescent="0.25">
      <c r="A219" s="4773"/>
      <c r="B219" s="4774"/>
      <c r="C219" s="1566">
        <v>3</v>
      </c>
      <c r="D219" s="3599" t="s">
        <v>3465</v>
      </c>
      <c r="E219" s="3606">
        <v>1</v>
      </c>
      <c r="F219" s="3633">
        <v>15</v>
      </c>
      <c r="G219" s="3633">
        <v>18.27</v>
      </c>
      <c r="H219" s="4776"/>
      <c r="I219" s="3603"/>
    </row>
    <row r="220" spans="1:9" x14ac:dyDescent="0.25">
      <c r="A220" s="1533"/>
      <c r="B220" s="1534"/>
      <c r="C220" s="1566"/>
      <c r="D220" s="3621" t="s">
        <v>3383</v>
      </c>
      <c r="E220" s="3607" t="s">
        <v>3272</v>
      </c>
      <c r="F220" s="3470">
        <f>SUM(F217:F219)</f>
        <v>55</v>
      </c>
      <c r="G220" s="3470">
        <f>SUM(G217:G219)</f>
        <v>58.769999999999996</v>
      </c>
      <c r="H220" s="4776"/>
      <c r="I220" s="3603"/>
    </row>
    <row r="221" spans="1:9" x14ac:dyDescent="0.25">
      <c r="A221" s="1533"/>
      <c r="B221" s="1534"/>
      <c r="C221" s="1566"/>
      <c r="D221" s="3621" t="s">
        <v>3384</v>
      </c>
      <c r="E221" s="3607" t="s">
        <v>3272</v>
      </c>
      <c r="F221" s="4781">
        <f>F222-G220</f>
        <v>18.430000000000007</v>
      </c>
      <c r="G221" s="4781"/>
      <c r="H221" s="4776"/>
      <c r="I221" s="3603"/>
    </row>
    <row r="222" spans="1:9" x14ac:dyDescent="0.25">
      <c r="A222" s="1533"/>
      <c r="B222" s="1534"/>
      <c r="C222" s="1566"/>
      <c r="D222" s="3621" t="s">
        <v>3466</v>
      </c>
      <c r="E222" s="3607" t="s">
        <v>3272</v>
      </c>
      <c r="F222" s="4781">
        <v>77.2</v>
      </c>
      <c r="G222" s="4781"/>
      <c r="H222" s="4776"/>
      <c r="I222" s="3603"/>
    </row>
    <row r="223" spans="1:9" s="3618" customFormat="1" x14ac:dyDescent="0.25">
      <c r="A223" s="3614"/>
      <c r="B223" s="3615"/>
      <c r="C223" s="3615"/>
      <c r="D223" s="3622"/>
      <c r="E223" s="3623"/>
      <c r="F223" s="3598"/>
      <c r="G223" s="3598"/>
      <c r="H223" s="3597"/>
      <c r="I223" s="3617"/>
    </row>
    <row r="224" spans="1:9" s="3620" customFormat="1" x14ac:dyDescent="0.25">
      <c r="A224" s="4832"/>
      <c r="B224" s="4833"/>
      <c r="C224" s="3659"/>
      <c r="D224" s="1563" t="s">
        <v>1883</v>
      </c>
      <c r="E224" s="3659"/>
      <c r="F224" s="3659"/>
      <c r="G224" s="3659"/>
      <c r="H224" s="3662">
        <f>F236</f>
        <v>164.99</v>
      </c>
      <c r="I224" s="3619"/>
    </row>
    <row r="225" spans="1:9" x14ac:dyDescent="0.25">
      <c r="A225" s="4771" t="s">
        <v>1883</v>
      </c>
      <c r="B225" s="4772"/>
      <c r="C225" s="3624">
        <v>1</v>
      </c>
      <c r="D225" s="3634" t="s">
        <v>3467</v>
      </c>
      <c r="E225" s="3636">
        <v>1</v>
      </c>
      <c r="F225" s="3631">
        <v>15</v>
      </c>
      <c r="G225" s="3631">
        <v>17.100000000000001</v>
      </c>
      <c r="H225" s="4778"/>
      <c r="I225" s="3603"/>
    </row>
    <row r="226" spans="1:9" x14ac:dyDescent="0.25">
      <c r="A226" s="4773"/>
      <c r="B226" s="4774"/>
      <c r="C226" s="1566">
        <v>2</v>
      </c>
      <c r="D226" s="3599" t="s">
        <v>3737</v>
      </c>
      <c r="E226" s="3606">
        <v>1</v>
      </c>
      <c r="F226" s="3633">
        <v>4</v>
      </c>
      <c r="G226" s="3633">
        <v>5.67</v>
      </c>
      <c r="H226" s="4779"/>
      <c r="I226" s="3603"/>
    </row>
    <row r="227" spans="1:9" x14ac:dyDescent="0.25">
      <c r="A227" s="4773"/>
      <c r="B227" s="4774"/>
      <c r="C227" s="1566">
        <v>3</v>
      </c>
      <c r="D227" s="3599" t="s">
        <v>3468</v>
      </c>
      <c r="E227" s="3606">
        <v>1</v>
      </c>
      <c r="F227" s="3633">
        <v>20</v>
      </c>
      <c r="G227" s="3633">
        <v>23.03</v>
      </c>
      <c r="H227" s="4779"/>
      <c r="I227" s="3603"/>
    </row>
    <row r="228" spans="1:9" x14ac:dyDescent="0.25">
      <c r="A228" s="4773"/>
      <c r="B228" s="4774"/>
      <c r="C228" s="1566">
        <v>4</v>
      </c>
      <c r="D228" s="3599" t="s">
        <v>5914</v>
      </c>
      <c r="E228" s="3606">
        <v>1</v>
      </c>
      <c r="F228" s="3633">
        <f>G228</f>
        <v>35.53</v>
      </c>
      <c r="G228" s="3633">
        <v>35.53</v>
      </c>
      <c r="H228" s="4779"/>
      <c r="I228" s="3603"/>
    </row>
    <row r="229" spans="1:9" x14ac:dyDescent="0.25">
      <c r="A229" s="4773"/>
      <c r="B229" s="4774"/>
      <c r="C229" s="1566">
        <v>5</v>
      </c>
      <c r="D229" s="3599" t="s">
        <v>3764</v>
      </c>
      <c r="E229" s="3606">
        <v>1</v>
      </c>
      <c r="F229" s="3633">
        <v>10</v>
      </c>
      <c r="G229" s="3633">
        <v>10.029999999999999</v>
      </c>
      <c r="H229" s="4779"/>
      <c r="I229" s="3603"/>
    </row>
    <row r="230" spans="1:9" x14ac:dyDescent="0.25">
      <c r="A230" s="4773"/>
      <c r="B230" s="4774"/>
      <c r="C230" s="1566">
        <v>6</v>
      </c>
      <c r="D230" s="3599" t="s">
        <v>3765</v>
      </c>
      <c r="E230" s="3606">
        <v>1</v>
      </c>
      <c r="F230" s="3633">
        <f>G230</f>
        <v>14.05</v>
      </c>
      <c r="G230" s="3633">
        <v>14.05</v>
      </c>
      <c r="H230" s="4779"/>
      <c r="I230" s="3603"/>
    </row>
    <row r="231" spans="1:9" x14ac:dyDescent="0.25">
      <c r="A231" s="4773"/>
      <c r="B231" s="4774"/>
      <c r="C231" s="1566">
        <v>7</v>
      </c>
      <c r="D231" s="3599" t="s">
        <v>3766</v>
      </c>
      <c r="E231" s="3606">
        <v>1</v>
      </c>
      <c r="F231" s="3633">
        <f>G231</f>
        <v>16.079999999999998</v>
      </c>
      <c r="G231" s="3633">
        <v>16.079999999999998</v>
      </c>
      <c r="H231" s="4779"/>
      <c r="I231" s="3603"/>
    </row>
    <row r="232" spans="1:9" x14ac:dyDescent="0.25">
      <c r="A232" s="4773"/>
      <c r="B232" s="4774"/>
      <c r="C232" s="1566">
        <v>8</v>
      </c>
      <c r="D232" s="3599" t="s">
        <v>3469</v>
      </c>
      <c r="E232" s="3606">
        <v>1</v>
      </c>
      <c r="F232" s="3633">
        <v>6</v>
      </c>
      <c r="G232" s="3633">
        <v>5.72</v>
      </c>
      <c r="H232" s="4779"/>
      <c r="I232" s="3603"/>
    </row>
    <row r="233" spans="1:9" x14ac:dyDescent="0.25">
      <c r="A233" s="4773"/>
      <c r="B233" s="4774"/>
      <c r="C233" s="1566">
        <v>9</v>
      </c>
      <c r="D233" s="3599" t="s">
        <v>3470</v>
      </c>
      <c r="E233" s="3606">
        <v>1</v>
      </c>
      <c r="F233" s="3633">
        <v>10</v>
      </c>
      <c r="G233" s="3633">
        <v>13.75</v>
      </c>
      <c r="H233" s="4779"/>
      <c r="I233" s="3603"/>
    </row>
    <row r="234" spans="1:9" x14ac:dyDescent="0.25">
      <c r="A234" s="1533"/>
      <c r="B234" s="1534"/>
      <c r="C234" s="1566"/>
      <c r="D234" s="3621" t="s">
        <v>3383</v>
      </c>
      <c r="E234" s="3607" t="s">
        <v>3272</v>
      </c>
      <c r="F234" s="3470">
        <f>SUM(F225:F233)</f>
        <v>130.66</v>
      </c>
      <c r="G234" s="3470">
        <f>SUM(G225:G233)</f>
        <v>140.96</v>
      </c>
      <c r="H234" s="4779"/>
      <c r="I234" s="3603"/>
    </row>
    <row r="235" spans="1:9" x14ac:dyDescent="0.25">
      <c r="A235" s="1533"/>
      <c r="B235" s="1534"/>
      <c r="C235" s="1566"/>
      <c r="D235" s="3621" t="s">
        <v>3384</v>
      </c>
      <c r="E235" s="3607" t="s">
        <v>3272</v>
      </c>
      <c r="F235" s="4781">
        <f>F236-G234</f>
        <v>24.03</v>
      </c>
      <c r="G235" s="4781"/>
      <c r="H235" s="4779"/>
      <c r="I235" s="3603"/>
    </row>
    <row r="236" spans="1:9" x14ac:dyDescent="0.25">
      <c r="A236" s="1533"/>
      <c r="B236" s="1534"/>
      <c r="C236" s="1566"/>
      <c r="D236" s="3621" t="s">
        <v>3471</v>
      </c>
      <c r="E236" s="3607" t="s">
        <v>3272</v>
      </c>
      <c r="F236" s="4781">
        <v>164.99</v>
      </c>
      <c r="G236" s="4781"/>
      <c r="H236" s="4779"/>
      <c r="I236" s="3603"/>
    </row>
    <row r="237" spans="1:9" x14ac:dyDescent="0.25">
      <c r="A237" s="3614"/>
      <c r="B237" s="3615"/>
      <c r="C237" s="3615"/>
      <c r="D237" s="3622"/>
      <c r="E237" s="3623"/>
      <c r="F237" s="3637"/>
      <c r="G237" s="3637"/>
      <c r="H237" s="3638"/>
      <c r="I237" s="3603"/>
    </row>
    <row r="238" spans="1:9" x14ac:dyDescent="0.25">
      <c r="A238" s="3614"/>
      <c r="B238" s="3615"/>
      <c r="C238" s="3615"/>
      <c r="D238" s="3616" t="s">
        <v>5915</v>
      </c>
      <c r="E238" s="3615"/>
      <c r="F238" s="3615"/>
      <c r="G238" s="3615"/>
      <c r="H238" s="3597"/>
      <c r="I238" s="3603"/>
    </row>
    <row r="239" spans="1:9" s="3618" customFormat="1" x14ac:dyDescent="0.25">
      <c r="A239" s="3614"/>
      <c r="B239" s="3615"/>
      <c r="C239" s="3615"/>
      <c r="D239" s="3622"/>
      <c r="E239" s="3623"/>
      <c r="F239" s="3598"/>
      <c r="G239" s="3598"/>
      <c r="H239" s="3597"/>
      <c r="I239" s="3617"/>
    </row>
    <row r="240" spans="1:9" s="3620" customFormat="1" x14ac:dyDescent="0.25">
      <c r="A240" s="4832"/>
      <c r="B240" s="4833"/>
      <c r="C240" s="3659"/>
      <c r="D240" s="1563" t="s">
        <v>1886</v>
      </c>
      <c r="E240" s="3659"/>
      <c r="F240" s="3659"/>
      <c r="G240" s="3659"/>
      <c r="H240" s="3662">
        <f>F244</f>
        <v>21.21</v>
      </c>
      <c r="I240" s="3619"/>
    </row>
    <row r="241" spans="1:9" x14ac:dyDescent="0.25">
      <c r="A241" s="4771" t="s">
        <v>1886</v>
      </c>
      <c r="B241" s="4772"/>
      <c r="C241" s="3624"/>
      <c r="D241" s="3634" t="s">
        <v>3767</v>
      </c>
      <c r="E241" s="3636">
        <v>1</v>
      </c>
      <c r="F241" s="3631">
        <v>30</v>
      </c>
      <c r="G241" s="3631">
        <v>18.079999999999998</v>
      </c>
      <c r="H241" s="4775"/>
      <c r="I241" s="3603"/>
    </row>
    <row r="242" spans="1:9" x14ac:dyDescent="0.25">
      <c r="A242" s="1533"/>
      <c r="B242" s="1534"/>
      <c r="C242" s="1566"/>
      <c r="D242" s="3621" t="s">
        <v>3383</v>
      </c>
      <c r="E242" s="3607" t="s">
        <v>3272</v>
      </c>
      <c r="F242" s="3470">
        <f>SUM(F241)</f>
        <v>30</v>
      </c>
      <c r="G242" s="3470">
        <f>SUM(G241)</f>
        <v>18.079999999999998</v>
      </c>
      <c r="H242" s="4776"/>
      <c r="I242" s="3603"/>
    </row>
    <row r="243" spans="1:9" x14ac:dyDescent="0.25">
      <c r="A243" s="1533"/>
      <c r="B243" s="1534"/>
      <c r="C243" s="1566"/>
      <c r="D243" s="3621" t="s">
        <v>3384</v>
      </c>
      <c r="E243" s="3607" t="s">
        <v>3272</v>
      </c>
      <c r="F243" s="4781">
        <f>F244-G242</f>
        <v>3.1300000000000026</v>
      </c>
      <c r="G243" s="4781"/>
      <c r="H243" s="4776"/>
      <c r="I243" s="3603"/>
    </row>
    <row r="244" spans="1:9" x14ac:dyDescent="0.25">
      <c r="A244" s="1533"/>
      <c r="B244" s="1534"/>
      <c r="C244" s="1566"/>
      <c r="D244" s="3621" t="s">
        <v>3472</v>
      </c>
      <c r="E244" s="3607" t="s">
        <v>3272</v>
      </c>
      <c r="F244" s="4781">
        <v>21.21</v>
      </c>
      <c r="G244" s="4781"/>
      <c r="H244" s="4776"/>
      <c r="I244" s="3603"/>
    </row>
    <row r="245" spans="1:9" s="3618" customFormat="1" x14ac:dyDescent="0.25">
      <c r="A245" s="3614"/>
      <c r="B245" s="3615"/>
      <c r="C245" s="3615"/>
      <c r="D245" s="3622"/>
      <c r="E245" s="3623"/>
      <c r="F245" s="3598"/>
      <c r="G245" s="3598"/>
      <c r="H245" s="3597"/>
      <c r="I245" s="3617"/>
    </row>
    <row r="246" spans="1:9" s="3620" customFormat="1" x14ac:dyDescent="0.25">
      <c r="A246" s="4832"/>
      <c r="B246" s="4833"/>
      <c r="C246" s="3659"/>
      <c r="D246" s="1563" t="s">
        <v>2207</v>
      </c>
      <c r="E246" s="3659"/>
      <c r="F246" s="3659"/>
      <c r="G246" s="3659"/>
      <c r="H246" s="3662">
        <f>F252</f>
        <v>19.690000000000001</v>
      </c>
      <c r="I246" s="3619"/>
    </row>
    <row r="247" spans="1:9" x14ac:dyDescent="0.25">
      <c r="A247" s="4771" t="s">
        <v>2207</v>
      </c>
      <c r="B247" s="4772"/>
      <c r="C247" s="4786">
        <v>1</v>
      </c>
      <c r="D247" s="3634" t="s">
        <v>3473</v>
      </c>
      <c r="E247" s="4787">
        <v>1</v>
      </c>
      <c r="F247" s="4788">
        <v>8</v>
      </c>
      <c r="G247" s="4788">
        <v>9.0399999999999991</v>
      </c>
      <c r="H247" s="4775"/>
      <c r="I247" s="3603"/>
    </row>
    <row r="248" spans="1:9" x14ac:dyDescent="0.25">
      <c r="A248" s="4773"/>
      <c r="B248" s="4774"/>
      <c r="C248" s="4772"/>
      <c r="D248" s="3599" t="s">
        <v>3475</v>
      </c>
      <c r="E248" s="4784"/>
      <c r="F248" s="4780"/>
      <c r="G248" s="4780"/>
      <c r="H248" s="4776"/>
      <c r="I248" s="3603"/>
    </row>
    <row r="249" spans="1:9" x14ac:dyDescent="0.25">
      <c r="A249" s="4773"/>
      <c r="B249" s="4774"/>
      <c r="C249" s="1566">
        <v>3</v>
      </c>
      <c r="D249" s="3599" t="s">
        <v>3474</v>
      </c>
      <c r="E249" s="3606">
        <v>1</v>
      </c>
      <c r="F249" s="3633">
        <v>6</v>
      </c>
      <c r="G249" s="3633">
        <v>8.52</v>
      </c>
      <c r="H249" s="4776"/>
      <c r="I249" s="3603"/>
    </row>
    <row r="250" spans="1:9" x14ac:dyDescent="0.25">
      <c r="A250" s="1533"/>
      <c r="B250" s="1534"/>
      <c r="C250" s="1566"/>
      <c r="D250" s="3621" t="s">
        <v>3383</v>
      </c>
      <c r="E250" s="3607" t="s">
        <v>3272</v>
      </c>
      <c r="F250" s="3470">
        <f>SUM(F247:F249)</f>
        <v>14</v>
      </c>
      <c r="G250" s="3470">
        <f>SUM(G247:G249)</f>
        <v>17.559999999999999</v>
      </c>
      <c r="H250" s="4776"/>
      <c r="I250" s="3603"/>
    </row>
    <row r="251" spans="1:9" x14ac:dyDescent="0.25">
      <c r="A251" s="1533"/>
      <c r="B251" s="1534"/>
      <c r="C251" s="1566"/>
      <c r="D251" s="3621" t="s">
        <v>3384</v>
      </c>
      <c r="E251" s="3607" t="s">
        <v>3272</v>
      </c>
      <c r="F251" s="4781">
        <f>F252-G250</f>
        <v>2.1300000000000026</v>
      </c>
      <c r="G251" s="4781"/>
      <c r="H251" s="4776"/>
      <c r="I251" s="3603"/>
    </row>
    <row r="252" spans="1:9" x14ac:dyDescent="0.25">
      <c r="A252" s="1533"/>
      <c r="B252" s="1534"/>
      <c r="C252" s="1566"/>
      <c r="D252" s="3621" t="s">
        <v>3476</v>
      </c>
      <c r="E252" s="3607" t="s">
        <v>3272</v>
      </c>
      <c r="F252" s="4781">
        <v>19.690000000000001</v>
      </c>
      <c r="G252" s="4781"/>
      <c r="H252" s="4776"/>
      <c r="I252" s="3603"/>
    </row>
    <row r="253" spans="1:9" s="3618" customFormat="1" x14ac:dyDescent="0.25">
      <c r="A253" s="3614"/>
      <c r="B253" s="3615"/>
      <c r="C253" s="3615"/>
      <c r="D253" s="3622"/>
      <c r="E253" s="3623"/>
      <c r="F253" s="3598"/>
      <c r="G253" s="3598"/>
      <c r="H253" s="3597"/>
      <c r="I253" s="3617"/>
    </row>
    <row r="254" spans="1:9" s="3620" customFormat="1" x14ac:dyDescent="0.25">
      <c r="A254" s="4832"/>
      <c r="B254" s="4833"/>
      <c r="C254" s="3659"/>
      <c r="D254" s="1563" t="s">
        <v>2208</v>
      </c>
      <c r="E254" s="3659"/>
      <c r="F254" s="3659"/>
      <c r="G254" s="3659"/>
      <c r="H254" s="3662">
        <f>F261</f>
        <v>55.12</v>
      </c>
      <c r="I254" s="3619"/>
    </row>
    <row r="255" spans="1:9" x14ac:dyDescent="0.25">
      <c r="A255" s="4771" t="s">
        <v>3477</v>
      </c>
      <c r="B255" s="4772"/>
      <c r="C255" s="3624">
        <v>1</v>
      </c>
      <c r="D255" s="3634" t="s">
        <v>3478</v>
      </c>
      <c r="E255" s="3636">
        <v>1</v>
      </c>
      <c r="F255" s="3631">
        <v>20</v>
      </c>
      <c r="G255" s="3631">
        <v>14.91</v>
      </c>
      <c r="H255" s="4775"/>
      <c r="I255" s="3603"/>
    </row>
    <row r="256" spans="1:9" x14ac:dyDescent="0.25">
      <c r="A256" s="4773"/>
      <c r="B256" s="4774"/>
      <c r="C256" s="4774">
        <v>2</v>
      </c>
      <c r="D256" s="3599" t="s">
        <v>3479</v>
      </c>
      <c r="E256" s="3606">
        <v>1</v>
      </c>
      <c r="F256" s="4770">
        <v>8</v>
      </c>
      <c r="G256" s="4770">
        <v>18.329999999999998</v>
      </c>
      <c r="H256" s="4776"/>
      <c r="I256" s="3603"/>
    </row>
    <row r="257" spans="1:9" x14ac:dyDescent="0.25">
      <c r="A257" s="4773"/>
      <c r="B257" s="4774"/>
      <c r="C257" s="4774"/>
      <c r="D257" s="3599" t="s">
        <v>3480</v>
      </c>
      <c r="E257" s="3606">
        <v>1</v>
      </c>
      <c r="F257" s="4770"/>
      <c r="G257" s="4770"/>
      <c r="H257" s="4776"/>
      <c r="I257" s="3603"/>
    </row>
    <row r="258" spans="1:9" x14ac:dyDescent="0.25">
      <c r="A258" s="4773"/>
      <c r="B258" s="4774"/>
      <c r="C258" s="1566">
        <v>3</v>
      </c>
      <c r="D258" s="3599" t="s">
        <v>3768</v>
      </c>
      <c r="E258" s="3606">
        <v>1</v>
      </c>
      <c r="F258" s="3633">
        <v>10</v>
      </c>
      <c r="G258" s="3633">
        <v>14.94</v>
      </c>
      <c r="H258" s="4776"/>
      <c r="I258" s="3603"/>
    </row>
    <row r="259" spans="1:9" x14ac:dyDescent="0.25">
      <c r="A259" s="1533"/>
      <c r="B259" s="1534"/>
      <c r="C259" s="1566"/>
      <c r="D259" s="3621" t="s">
        <v>3383</v>
      </c>
      <c r="E259" s="3607" t="s">
        <v>3272</v>
      </c>
      <c r="F259" s="3470">
        <f>SUM(F255:F258)</f>
        <v>38</v>
      </c>
      <c r="G259" s="3470">
        <f>SUM(G255:G258)</f>
        <v>48.179999999999993</v>
      </c>
      <c r="H259" s="4776"/>
      <c r="I259" s="3603"/>
    </row>
    <row r="260" spans="1:9" x14ac:dyDescent="0.25">
      <c r="A260" s="1533"/>
      <c r="B260" s="1534"/>
      <c r="C260" s="1566"/>
      <c r="D260" s="3621" t="s">
        <v>3384</v>
      </c>
      <c r="E260" s="3607" t="s">
        <v>3272</v>
      </c>
      <c r="F260" s="4781">
        <f>F261-G259</f>
        <v>6.9400000000000048</v>
      </c>
      <c r="G260" s="4781"/>
      <c r="H260" s="4776"/>
      <c r="I260" s="3603"/>
    </row>
    <row r="261" spans="1:9" x14ac:dyDescent="0.25">
      <c r="A261" s="1533"/>
      <c r="B261" s="1534"/>
      <c r="C261" s="1566"/>
      <c r="D261" s="3621" t="s">
        <v>3481</v>
      </c>
      <c r="E261" s="3607" t="s">
        <v>3272</v>
      </c>
      <c r="F261" s="4781">
        <v>55.12</v>
      </c>
      <c r="G261" s="4781"/>
      <c r="H261" s="4776"/>
      <c r="I261" s="3603"/>
    </row>
    <row r="262" spans="1:9" s="3618" customFormat="1" x14ac:dyDescent="0.25">
      <c r="A262" s="3614"/>
      <c r="B262" s="3615"/>
      <c r="C262" s="3615"/>
      <c r="D262" s="3622"/>
      <c r="E262" s="3623"/>
      <c r="F262" s="3598"/>
      <c r="G262" s="3598"/>
      <c r="H262" s="3597"/>
      <c r="I262" s="3617"/>
    </row>
    <row r="263" spans="1:9" s="3620" customFormat="1" x14ac:dyDescent="0.25">
      <c r="A263" s="4832"/>
      <c r="B263" s="4833"/>
      <c r="C263" s="3659"/>
      <c r="D263" s="1563" t="s">
        <v>3482</v>
      </c>
      <c r="E263" s="3659"/>
      <c r="F263" s="3659"/>
      <c r="G263" s="3659"/>
      <c r="H263" s="3662">
        <f>F273</f>
        <v>50.51</v>
      </c>
      <c r="I263" s="3619"/>
    </row>
    <row r="264" spans="1:9" ht="54" x14ac:dyDescent="0.25">
      <c r="A264" s="4771" t="s">
        <v>3482</v>
      </c>
      <c r="B264" s="3624" t="s">
        <v>3483</v>
      </c>
      <c r="C264" s="3624">
        <v>1</v>
      </c>
      <c r="D264" s="3634" t="s">
        <v>3484</v>
      </c>
      <c r="E264" s="3636">
        <v>1</v>
      </c>
      <c r="F264" s="3631">
        <v>3</v>
      </c>
      <c r="G264" s="3631">
        <v>3.5</v>
      </c>
      <c r="H264" s="4775"/>
      <c r="I264" s="3603"/>
    </row>
    <row r="265" spans="1:9" x14ac:dyDescent="0.25">
      <c r="A265" s="4773"/>
      <c r="B265" s="4774" t="s">
        <v>3485</v>
      </c>
      <c r="C265" s="1566">
        <v>2</v>
      </c>
      <c r="D265" s="3599" t="s">
        <v>3486</v>
      </c>
      <c r="E265" s="3606">
        <v>1</v>
      </c>
      <c r="F265" s="3633">
        <v>3.5</v>
      </c>
      <c r="G265" s="3633">
        <v>3.88</v>
      </c>
      <c r="H265" s="4776"/>
      <c r="I265" s="3603"/>
    </row>
    <row r="266" spans="1:9" x14ac:dyDescent="0.25">
      <c r="A266" s="4773"/>
      <c r="B266" s="4774"/>
      <c r="C266" s="1566">
        <v>3</v>
      </c>
      <c r="D266" s="3599" t="s">
        <v>3487</v>
      </c>
      <c r="E266" s="3606">
        <v>1</v>
      </c>
      <c r="F266" s="3633">
        <v>3</v>
      </c>
      <c r="G266" s="3633">
        <v>3.83</v>
      </c>
      <c r="H266" s="4776"/>
      <c r="I266" s="3603"/>
    </row>
    <row r="267" spans="1:9" x14ac:dyDescent="0.25">
      <c r="A267" s="4773"/>
      <c r="B267" s="4774"/>
      <c r="C267" s="1566">
        <v>4</v>
      </c>
      <c r="D267" s="3599" t="s">
        <v>3394</v>
      </c>
      <c r="E267" s="3606">
        <v>1</v>
      </c>
      <c r="F267" s="3633">
        <v>1</v>
      </c>
      <c r="G267" s="3633">
        <v>2.4700000000000002</v>
      </c>
      <c r="H267" s="4776"/>
      <c r="I267" s="3603"/>
    </row>
    <row r="268" spans="1:9" x14ac:dyDescent="0.25">
      <c r="A268" s="4773"/>
      <c r="B268" s="4774" t="s">
        <v>3488</v>
      </c>
      <c r="C268" s="1566">
        <v>5</v>
      </c>
      <c r="D268" s="3599" t="s">
        <v>3489</v>
      </c>
      <c r="E268" s="3606">
        <v>1</v>
      </c>
      <c r="F268" s="3633">
        <v>6</v>
      </c>
      <c r="G268" s="3633">
        <v>7.78</v>
      </c>
      <c r="H268" s="4776"/>
      <c r="I268" s="3603"/>
    </row>
    <row r="269" spans="1:9" x14ac:dyDescent="0.25">
      <c r="A269" s="4773"/>
      <c r="B269" s="4774"/>
      <c r="C269" s="1566">
        <v>6</v>
      </c>
      <c r="D269" s="3599" t="s">
        <v>3490</v>
      </c>
      <c r="E269" s="3606">
        <v>1</v>
      </c>
      <c r="F269" s="3633">
        <v>6</v>
      </c>
      <c r="G269" s="3633">
        <v>6.31</v>
      </c>
      <c r="H269" s="4776"/>
      <c r="I269" s="3603"/>
    </row>
    <row r="270" spans="1:9" x14ac:dyDescent="0.25">
      <c r="A270" s="4773"/>
      <c r="B270" s="4774"/>
      <c r="C270" s="1566">
        <v>7</v>
      </c>
      <c r="D270" s="3599" t="s">
        <v>3491</v>
      </c>
      <c r="E270" s="3606">
        <v>1</v>
      </c>
      <c r="F270" s="3633">
        <v>4.5</v>
      </c>
      <c r="G270" s="3633">
        <v>4.5199999999999996</v>
      </c>
      <c r="H270" s="4776"/>
      <c r="I270" s="3603"/>
    </row>
    <row r="271" spans="1:9" x14ac:dyDescent="0.25">
      <c r="A271" s="1533"/>
      <c r="B271" s="1534"/>
      <c r="C271" s="1566"/>
      <c r="D271" s="3621" t="s">
        <v>3383</v>
      </c>
      <c r="E271" s="3607" t="s">
        <v>3272</v>
      </c>
      <c r="F271" s="3470">
        <f>SUM(F264:F270)</f>
        <v>27</v>
      </c>
      <c r="G271" s="3470">
        <f>SUM(G264:G270)</f>
        <v>32.29</v>
      </c>
      <c r="H271" s="4776"/>
      <c r="I271" s="3603"/>
    </row>
    <row r="272" spans="1:9" x14ac:dyDescent="0.25">
      <c r="A272" s="1533"/>
      <c r="B272" s="1534"/>
      <c r="C272" s="1566"/>
      <c r="D272" s="3621" t="s">
        <v>3384</v>
      </c>
      <c r="E272" s="3607" t="s">
        <v>3272</v>
      </c>
      <c r="F272" s="4781">
        <f>F273-G271</f>
        <v>18.22</v>
      </c>
      <c r="G272" s="4781"/>
      <c r="H272" s="4776"/>
      <c r="I272" s="3603"/>
    </row>
    <row r="273" spans="1:9" x14ac:dyDescent="0.25">
      <c r="A273" s="1533"/>
      <c r="B273" s="1534"/>
      <c r="C273" s="1566"/>
      <c r="D273" s="3621" t="s">
        <v>3492</v>
      </c>
      <c r="E273" s="3607" t="s">
        <v>3272</v>
      </c>
      <c r="F273" s="4781">
        <v>50.51</v>
      </c>
      <c r="G273" s="4781"/>
      <c r="H273" s="4776"/>
      <c r="I273" s="3603"/>
    </row>
    <row r="274" spans="1:9" s="3618" customFormat="1" x14ac:dyDescent="0.25">
      <c r="A274" s="3614"/>
      <c r="B274" s="3615"/>
      <c r="C274" s="3615"/>
      <c r="D274" s="3622"/>
      <c r="E274" s="3623"/>
      <c r="F274" s="3598"/>
      <c r="G274" s="3598"/>
      <c r="H274" s="3597"/>
      <c r="I274" s="3617"/>
    </row>
    <row r="275" spans="1:9" x14ac:dyDescent="0.25">
      <c r="A275" s="4832"/>
      <c r="B275" s="4833"/>
      <c r="C275" s="3659"/>
      <c r="D275" s="1563" t="s">
        <v>2209</v>
      </c>
      <c r="E275" s="3659"/>
      <c r="F275" s="3659"/>
      <c r="G275" s="3659"/>
      <c r="H275" s="3662">
        <f>F283</f>
        <v>41.68</v>
      </c>
      <c r="I275" s="3603"/>
    </row>
    <row r="276" spans="1:9" x14ac:dyDescent="0.25">
      <c r="A276" s="4771" t="s">
        <v>2209</v>
      </c>
      <c r="B276" s="4772"/>
      <c r="C276" s="3624">
        <v>1</v>
      </c>
      <c r="D276" s="3634" t="s">
        <v>3493</v>
      </c>
      <c r="E276" s="3636">
        <v>1</v>
      </c>
      <c r="F276" s="3631">
        <v>12</v>
      </c>
      <c r="G276" s="3631">
        <v>12.81</v>
      </c>
      <c r="H276" s="4775"/>
      <c r="I276" s="3603"/>
    </row>
    <row r="277" spans="1:9" x14ac:dyDescent="0.25">
      <c r="A277" s="4773"/>
      <c r="B277" s="4774"/>
      <c r="C277" s="4774">
        <v>2</v>
      </c>
      <c r="D277" s="3599" t="s">
        <v>3494</v>
      </c>
      <c r="E277" s="3606">
        <v>1</v>
      </c>
      <c r="F277" s="4770">
        <v>6</v>
      </c>
      <c r="G277" s="4770">
        <v>6.06</v>
      </c>
      <c r="H277" s="4776"/>
      <c r="I277" s="3603"/>
    </row>
    <row r="278" spans="1:9" x14ac:dyDescent="0.25">
      <c r="A278" s="4773"/>
      <c r="B278" s="4774"/>
      <c r="C278" s="4774"/>
      <c r="D278" s="3599" t="s">
        <v>3495</v>
      </c>
      <c r="E278" s="3606">
        <v>1</v>
      </c>
      <c r="F278" s="4770"/>
      <c r="G278" s="4770"/>
      <c r="H278" s="4776"/>
      <c r="I278" s="3603"/>
    </row>
    <row r="279" spans="1:9" x14ac:dyDescent="0.25">
      <c r="A279" s="4773"/>
      <c r="B279" s="4774"/>
      <c r="C279" s="1566">
        <v>3</v>
      </c>
      <c r="D279" s="3599" t="s">
        <v>3769</v>
      </c>
      <c r="E279" s="3606">
        <v>1</v>
      </c>
      <c r="F279" s="3633">
        <v>6</v>
      </c>
      <c r="G279" s="1566">
        <v>7.77</v>
      </c>
      <c r="H279" s="4776"/>
      <c r="I279" s="3603"/>
    </row>
    <row r="280" spans="1:9" x14ac:dyDescent="0.25">
      <c r="A280" s="4773"/>
      <c r="B280" s="4774"/>
      <c r="C280" s="1566">
        <v>4</v>
      </c>
      <c r="D280" s="3599" t="s">
        <v>3770</v>
      </c>
      <c r="E280" s="3606">
        <v>1</v>
      </c>
      <c r="F280" s="3633">
        <v>6</v>
      </c>
      <c r="G280" s="1566">
        <v>7.72</v>
      </c>
      <c r="H280" s="4776"/>
      <c r="I280" s="3603"/>
    </row>
    <row r="281" spans="1:9" x14ac:dyDescent="0.25">
      <c r="A281" s="1533"/>
      <c r="B281" s="1534"/>
      <c r="C281" s="1566"/>
      <c r="D281" s="3621" t="s">
        <v>3383</v>
      </c>
      <c r="E281" s="3607" t="s">
        <v>3272</v>
      </c>
      <c r="F281" s="3470">
        <f>SUM(F276:F280)</f>
        <v>30</v>
      </c>
      <c r="G281" s="3470">
        <f>SUM(G276:G280)</f>
        <v>34.36</v>
      </c>
      <c r="H281" s="4776"/>
      <c r="I281" s="3603"/>
    </row>
    <row r="282" spans="1:9" x14ac:dyDescent="0.25">
      <c r="A282" s="1533"/>
      <c r="B282" s="1534"/>
      <c r="C282" s="1566"/>
      <c r="D282" s="3621" t="s">
        <v>3384</v>
      </c>
      <c r="E282" s="3607" t="s">
        <v>3272</v>
      </c>
      <c r="F282" s="4781">
        <f>F283-G281</f>
        <v>7.32</v>
      </c>
      <c r="G282" s="4781"/>
      <c r="H282" s="4776"/>
      <c r="I282" s="3603"/>
    </row>
    <row r="283" spans="1:9" x14ac:dyDescent="0.25">
      <c r="A283" s="1533"/>
      <c r="B283" s="1534"/>
      <c r="C283" s="1566"/>
      <c r="D283" s="3621" t="s">
        <v>3496</v>
      </c>
      <c r="E283" s="3607" t="s">
        <v>3272</v>
      </c>
      <c r="F283" s="4781">
        <v>41.68</v>
      </c>
      <c r="G283" s="4781"/>
      <c r="H283" s="4776"/>
      <c r="I283" s="3603"/>
    </row>
    <row r="284" spans="1:9" s="3618" customFormat="1" x14ac:dyDescent="0.25">
      <c r="A284" s="3614"/>
      <c r="B284" s="3615"/>
      <c r="C284" s="3615"/>
      <c r="D284" s="3622"/>
      <c r="E284" s="3623"/>
      <c r="F284" s="3598"/>
      <c r="G284" s="3598"/>
      <c r="H284" s="3597"/>
      <c r="I284" s="3617"/>
    </row>
    <row r="285" spans="1:9" x14ac:dyDescent="0.25">
      <c r="A285" s="4832"/>
      <c r="B285" s="4833"/>
      <c r="C285" s="3659"/>
      <c r="D285" s="1563" t="s">
        <v>1893</v>
      </c>
      <c r="E285" s="3659"/>
      <c r="F285" s="3659"/>
      <c r="G285" s="3659"/>
      <c r="H285" s="3662">
        <f>F295</f>
        <v>73.3</v>
      </c>
      <c r="I285" s="3603"/>
    </row>
    <row r="286" spans="1:9" x14ac:dyDescent="0.25">
      <c r="A286" s="4771" t="s">
        <v>1893</v>
      </c>
      <c r="B286" s="4772"/>
      <c r="C286" s="4772">
        <v>1</v>
      </c>
      <c r="D286" s="3634" t="s">
        <v>3497</v>
      </c>
      <c r="E286" s="4784">
        <v>1</v>
      </c>
      <c r="F286" s="4780">
        <v>12</v>
      </c>
      <c r="G286" s="4780">
        <v>11.98</v>
      </c>
      <c r="H286" s="4778"/>
      <c r="I286" s="3603"/>
    </row>
    <row r="287" spans="1:9" x14ac:dyDescent="0.25">
      <c r="A287" s="4773"/>
      <c r="B287" s="4774"/>
      <c r="C287" s="4774"/>
      <c r="D287" s="3599" t="s">
        <v>3498</v>
      </c>
      <c r="E287" s="4785"/>
      <c r="F287" s="4770"/>
      <c r="G287" s="4770"/>
      <c r="H287" s="4779"/>
      <c r="I287" s="3603"/>
    </row>
    <row r="288" spans="1:9" x14ac:dyDescent="0.25">
      <c r="A288" s="4773" t="s">
        <v>3499</v>
      </c>
      <c r="B288" s="4774"/>
      <c r="C288" s="1566">
        <v>2</v>
      </c>
      <c r="D288" s="3599" t="s">
        <v>3500</v>
      </c>
      <c r="E288" s="3606">
        <v>1</v>
      </c>
      <c r="F288" s="3633">
        <v>8</v>
      </c>
      <c r="G288" s="3633">
        <v>7.91</v>
      </c>
      <c r="H288" s="4779"/>
      <c r="I288" s="3603"/>
    </row>
    <row r="289" spans="1:9" x14ac:dyDescent="0.25">
      <c r="A289" s="4773"/>
      <c r="B289" s="4774"/>
      <c r="C289" s="1566">
        <v>3</v>
      </c>
      <c r="D289" s="3599" t="s">
        <v>3771</v>
      </c>
      <c r="E289" s="3606">
        <v>1</v>
      </c>
      <c r="F289" s="3633">
        <v>15</v>
      </c>
      <c r="G289" s="3633">
        <v>15.14</v>
      </c>
      <c r="H289" s="4779"/>
      <c r="I289" s="3603"/>
    </row>
    <row r="290" spans="1:9" x14ac:dyDescent="0.25">
      <c r="A290" s="4773"/>
      <c r="B290" s="4774"/>
      <c r="C290" s="1566">
        <v>4</v>
      </c>
      <c r="D290" s="3599" t="s">
        <v>3501</v>
      </c>
      <c r="E290" s="3606">
        <v>1</v>
      </c>
      <c r="F290" s="3633">
        <v>8</v>
      </c>
      <c r="G290" s="3633">
        <v>7.99</v>
      </c>
      <c r="H290" s="4779"/>
      <c r="I290" s="3603"/>
    </row>
    <row r="291" spans="1:9" x14ac:dyDescent="0.25">
      <c r="A291" s="4773"/>
      <c r="B291" s="4774"/>
      <c r="C291" s="1566">
        <v>5</v>
      </c>
      <c r="D291" s="3599" t="s">
        <v>3772</v>
      </c>
      <c r="E291" s="3606">
        <v>1</v>
      </c>
      <c r="F291" s="3633">
        <v>8</v>
      </c>
      <c r="G291" s="3633">
        <v>7.23</v>
      </c>
      <c r="H291" s="4779"/>
      <c r="I291" s="3603"/>
    </row>
    <row r="292" spans="1:9" x14ac:dyDescent="0.25">
      <c r="A292" s="4773"/>
      <c r="B292" s="4774"/>
      <c r="C292" s="1566">
        <v>6</v>
      </c>
      <c r="D292" s="3599" t="s">
        <v>3773</v>
      </c>
      <c r="E292" s="3606">
        <v>1</v>
      </c>
      <c r="F292" s="3633">
        <v>3.5</v>
      </c>
      <c r="G292" s="3633">
        <v>3.38</v>
      </c>
      <c r="H292" s="4779"/>
      <c r="I292" s="3603"/>
    </row>
    <row r="293" spans="1:9" x14ac:dyDescent="0.25">
      <c r="A293" s="1533"/>
      <c r="B293" s="1534"/>
      <c r="C293" s="1566"/>
      <c r="D293" s="3621" t="s">
        <v>3383</v>
      </c>
      <c r="E293" s="3607" t="s">
        <v>3272</v>
      </c>
      <c r="F293" s="3470">
        <f>SUM(F286:F292)</f>
        <v>54.5</v>
      </c>
      <c r="G293" s="3470">
        <f>SUM(G286:G292)</f>
        <v>53.63</v>
      </c>
      <c r="H293" s="4779"/>
      <c r="I293" s="3603"/>
    </row>
    <row r="294" spans="1:9" x14ac:dyDescent="0.25">
      <c r="A294" s="1533"/>
      <c r="B294" s="1534"/>
      <c r="C294" s="1566"/>
      <c r="D294" s="3621" t="s">
        <v>3384</v>
      </c>
      <c r="E294" s="3607" t="s">
        <v>3272</v>
      </c>
      <c r="F294" s="4781">
        <f>F295-G293</f>
        <v>19.669999999999995</v>
      </c>
      <c r="G294" s="4781"/>
      <c r="H294" s="4779"/>
      <c r="I294" s="3603"/>
    </row>
    <row r="295" spans="1:9" x14ac:dyDescent="0.25">
      <c r="A295" s="1533"/>
      <c r="B295" s="1534"/>
      <c r="C295" s="1566"/>
      <c r="D295" s="3621" t="s">
        <v>3502</v>
      </c>
      <c r="E295" s="3607" t="s">
        <v>3272</v>
      </c>
      <c r="F295" s="4781">
        <v>73.3</v>
      </c>
      <c r="G295" s="4781"/>
      <c r="H295" s="4779"/>
      <c r="I295" s="3603"/>
    </row>
    <row r="296" spans="1:9" s="3618" customFormat="1" x14ac:dyDescent="0.25">
      <c r="A296" s="3614"/>
      <c r="B296" s="3615"/>
      <c r="C296" s="3615"/>
      <c r="D296" s="3622"/>
      <c r="E296" s="3623"/>
      <c r="F296" s="3598"/>
      <c r="G296" s="3598"/>
      <c r="H296" s="3597"/>
      <c r="I296" s="3617"/>
    </row>
    <row r="297" spans="1:9" x14ac:dyDescent="0.25">
      <c r="A297" s="4832"/>
      <c r="B297" s="4833"/>
      <c r="C297" s="3659"/>
      <c r="D297" s="1563" t="s">
        <v>3503</v>
      </c>
      <c r="E297" s="3659"/>
      <c r="F297" s="3659"/>
      <c r="G297" s="3659"/>
      <c r="H297" s="3662">
        <f>F302</f>
        <v>105.38</v>
      </c>
      <c r="I297" s="3603"/>
    </row>
    <row r="298" spans="1:9" x14ac:dyDescent="0.25">
      <c r="A298" s="4771" t="s">
        <v>3503</v>
      </c>
      <c r="B298" s="4772"/>
      <c r="C298" s="3624">
        <v>1</v>
      </c>
      <c r="D298" s="3634" t="s">
        <v>3504</v>
      </c>
      <c r="E298" s="3636">
        <v>1</v>
      </c>
      <c r="F298" s="3631">
        <v>86.4</v>
      </c>
      <c r="G298" s="3631">
        <v>84.77</v>
      </c>
      <c r="H298" s="4775"/>
      <c r="I298" s="3603"/>
    </row>
    <row r="299" spans="1:9" x14ac:dyDescent="0.25">
      <c r="A299" s="4773"/>
      <c r="B299" s="4774"/>
      <c r="C299" s="1566">
        <v>2</v>
      </c>
      <c r="D299" s="3599" t="s">
        <v>3401</v>
      </c>
      <c r="E299" s="3606">
        <v>1</v>
      </c>
      <c r="F299" s="3633">
        <v>12</v>
      </c>
      <c r="G299" s="3633">
        <v>9.1300000000000008</v>
      </c>
      <c r="H299" s="4776"/>
      <c r="I299" s="3603"/>
    </row>
    <row r="300" spans="1:9" x14ac:dyDescent="0.25">
      <c r="A300" s="1533"/>
      <c r="B300" s="1534"/>
      <c r="C300" s="1566"/>
      <c r="D300" s="3621" t="s">
        <v>3383</v>
      </c>
      <c r="E300" s="3607" t="s">
        <v>3272</v>
      </c>
      <c r="F300" s="3470">
        <f>SUM(F298:F299)</f>
        <v>98.4</v>
      </c>
      <c r="G300" s="3470">
        <f>SUM(G298:G299)</f>
        <v>93.899999999999991</v>
      </c>
      <c r="H300" s="4776"/>
      <c r="I300" s="3603"/>
    </row>
    <row r="301" spans="1:9" x14ac:dyDescent="0.25">
      <c r="A301" s="1533"/>
      <c r="B301" s="1534"/>
      <c r="C301" s="1566"/>
      <c r="D301" s="3621" t="s">
        <v>3384</v>
      </c>
      <c r="E301" s="3607" t="s">
        <v>3272</v>
      </c>
      <c r="F301" s="4781">
        <f>F302-G300</f>
        <v>11.480000000000004</v>
      </c>
      <c r="G301" s="4781"/>
      <c r="H301" s="4776"/>
      <c r="I301" s="3603"/>
    </row>
    <row r="302" spans="1:9" x14ac:dyDescent="0.25">
      <c r="A302" s="1533"/>
      <c r="B302" s="1534"/>
      <c r="C302" s="1566"/>
      <c r="D302" s="3621" t="s">
        <v>3505</v>
      </c>
      <c r="E302" s="3607" t="s">
        <v>3272</v>
      </c>
      <c r="F302" s="4781">
        <v>105.38</v>
      </c>
      <c r="G302" s="4781"/>
      <c r="H302" s="4776"/>
      <c r="I302" s="3603"/>
    </row>
    <row r="303" spans="1:9" s="3618" customFormat="1" x14ac:dyDescent="0.25">
      <c r="A303" s="3614"/>
      <c r="B303" s="3615"/>
      <c r="C303" s="3615"/>
      <c r="D303" s="3622"/>
      <c r="E303" s="3623"/>
      <c r="F303" s="3598"/>
      <c r="G303" s="3598"/>
      <c r="H303" s="3597"/>
      <c r="I303" s="3617"/>
    </row>
    <row r="304" spans="1:9" x14ac:dyDescent="0.25">
      <c r="A304" s="4834"/>
      <c r="B304" s="4835"/>
      <c r="C304" s="3664"/>
      <c r="D304" s="3666" t="s">
        <v>2211</v>
      </c>
      <c r="E304" s="3664"/>
      <c r="F304" s="3664"/>
      <c r="G304" s="3664"/>
      <c r="H304" s="3662">
        <f>F316</f>
        <v>173.34</v>
      </c>
      <c r="I304" s="3603"/>
    </row>
    <row r="305" spans="1:9" x14ac:dyDescent="0.25">
      <c r="A305" s="4826" t="s">
        <v>2212</v>
      </c>
      <c r="B305" s="4827"/>
      <c r="C305" s="3624">
        <v>1</v>
      </c>
      <c r="D305" s="3634" t="s">
        <v>3774</v>
      </c>
      <c r="E305" s="3636">
        <v>1</v>
      </c>
      <c r="F305" s="3631">
        <v>15</v>
      </c>
      <c r="G305" s="3631">
        <v>15.21</v>
      </c>
      <c r="H305" s="4775"/>
      <c r="I305" s="3603"/>
    </row>
    <row r="306" spans="1:9" x14ac:dyDescent="0.25">
      <c r="A306" s="4826"/>
      <c r="B306" s="4827"/>
      <c r="C306" s="1566">
        <v>2</v>
      </c>
      <c r="D306" s="3599" t="s">
        <v>3775</v>
      </c>
      <c r="E306" s="3606">
        <v>1</v>
      </c>
      <c r="F306" s="3633">
        <v>15</v>
      </c>
      <c r="G306" s="3633">
        <v>14.67</v>
      </c>
      <c r="H306" s="4776"/>
      <c r="I306" s="3603"/>
    </row>
    <row r="307" spans="1:9" x14ac:dyDescent="0.25">
      <c r="A307" s="4826"/>
      <c r="B307" s="4827"/>
      <c r="C307" s="1566">
        <v>3</v>
      </c>
      <c r="D307" s="3599" t="s">
        <v>3776</v>
      </c>
      <c r="E307" s="3606">
        <v>1</v>
      </c>
      <c r="F307" s="3633">
        <v>15</v>
      </c>
      <c r="G307" s="3633">
        <v>14.93</v>
      </c>
      <c r="H307" s="4776"/>
      <c r="I307" s="3603"/>
    </row>
    <row r="308" spans="1:9" x14ac:dyDescent="0.25">
      <c r="A308" s="4826"/>
      <c r="B308" s="4827"/>
      <c r="C308" s="1566">
        <v>4</v>
      </c>
      <c r="D308" s="3599" t="s">
        <v>3508</v>
      </c>
      <c r="E308" s="3606">
        <v>1</v>
      </c>
      <c r="F308" s="3633">
        <v>15</v>
      </c>
      <c r="G308" s="3633">
        <v>15.54</v>
      </c>
      <c r="H308" s="4776"/>
      <c r="I308" s="3603"/>
    </row>
    <row r="309" spans="1:9" x14ac:dyDescent="0.25">
      <c r="A309" s="4826"/>
      <c r="B309" s="4827"/>
      <c r="C309" s="1566">
        <v>5</v>
      </c>
      <c r="D309" s="3599" t="s">
        <v>3506</v>
      </c>
      <c r="E309" s="3606">
        <v>1</v>
      </c>
      <c r="F309" s="3633">
        <v>15</v>
      </c>
      <c r="G309" s="3633">
        <v>20.420000000000002</v>
      </c>
      <c r="H309" s="4776"/>
      <c r="I309" s="3603"/>
    </row>
    <row r="310" spans="1:9" x14ac:dyDescent="0.25">
      <c r="A310" s="4828"/>
      <c r="B310" s="4829"/>
      <c r="C310" s="1566">
        <v>6</v>
      </c>
      <c r="D310" s="3599" t="s">
        <v>3507</v>
      </c>
      <c r="E310" s="3606">
        <v>1</v>
      </c>
      <c r="F310" s="3633">
        <v>2.5</v>
      </c>
      <c r="G310" s="3633">
        <v>4.6900000000000004</v>
      </c>
      <c r="H310" s="4776"/>
      <c r="I310" s="3603"/>
    </row>
    <row r="311" spans="1:9" x14ac:dyDescent="0.25">
      <c r="A311" s="4771" t="s">
        <v>3777</v>
      </c>
      <c r="B311" s="4772"/>
      <c r="C311" s="1566">
        <v>7</v>
      </c>
      <c r="D311" s="3599" t="s">
        <v>282</v>
      </c>
      <c r="E311" s="3606">
        <v>1</v>
      </c>
      <c r="F311" s="3633">
        <v>8</v>
      </c>
      <c r="G311" s="3633">
        <v>7.67</v>
      </c>
      <c r="H311" s="4776"/>
      <c r="I311" s="3603"/>
    </row>
    <row r="312" spans="1:9" x14ac:dyDescent="0.25">
      <c r="A312" s="4773"/>
      <c r="B312" s="4774"/>
      <c r="C312" s="1566">
        <v>8</v>
      </c>
      <c r="D312" s="3599" t="s">
        <v>3736</v>
      </c>
      <c r="E312" s="3606">
        <v>1</v>
      </c>
      <c r="F312" s="3633">
        <v>4</v>
      </c>
      <c r="G312" s="3633">
        <v>2.2200000000000002</v>
      </c>
      <c r="H312" s="4776"/>
      <c r="I312" s="3603"/>
    </row>
    <row r="313" spans="1:9" x14ac:dyDescent="0.25">
      <c r="A313" s="4773"/>
      <c r="B313" s="4774"/>
      <c r="C313" s="1566">
        <v>9</v>
      </c>
      <c r="D313" s="3599" t="s">
        <v>3778</v>
      </c>
      <c r="E313" s="3606">
        <v>1</v>
      </c>
      <c r="F313" s="3633">
        <v>25</v>
      </c>
      <c r="G313" s="3633">
        <v>25.89</v>
      </c>
      <c r="H313" s="4776"/>
      <c r="I313" s="3603"/>
    </row>
    <row r="314" spans="1:9" x14ac:dyDescent="0.25">
      <c r="A314" s="1533"/>
      <c r="B314" s="1534"/>
      <c r="C314" s="1566"/>
      <c r="D314" s="3621" t="s">
        <v>3383</v>
      </c>
      <c r="E314" s="3607" t="s">
        <v>3272</v>
      </c>
      <c r="F314" s="3470">
        <f>SUM(F305:F313)</f>
        <v>114.5</v>
      </c>
      <c r="G314" s="3470">
        <f>SUM(G305:G313)</f>
        <v>121.24000000000001</v>
      </c>
      <c r="H314" s="4776"/>
      <c r="I314" s="3603"/>
    </row>
    <row r="315" spans="1:9" x14ac:dyDescent="0.25">
      <c r="A315" s="1533"/>
      <c r="B315" s="1534"/>
      <c r="C315" s="1566"/>
      <c r="D315" s="3621" t="s">
        <v>3384</v>
      </c>
      <c r="E315" s="3607" t="s">
        <v>3272</v>
      </c>
      <c r="F315" s="4777">
        <f>F316-G314</f>
        <v>52.099999999999994</v>
      </c>
      <c r="G315" s="4777"/>
      <c r="H315" s="4776"/>
      <c r="I315" s="3603"/>
    </row>
    <row r="316" spans="1:9" x14ac:dyDescent="0.25">
      <c r="A316" s="1533"/>
      <c r="B316" s="1534"/>
      <c r="C316" s="1566"/>
      <c r="D316" s="3621" t="s">
        <v>3779</v>
      </c>
      <c r="E316" s="3607" t="s">
        <v>3272</v>
      </c>
      <c r="F316" s="4777">
        <v>173.34</v>
      </c>
      <c r="G316" s="4777"/>
      <c r="H316" s="4776"/>
      <c r="I316" s="3603"/>
    </row>
    <row r="317" spans="1:9" s="3618" customFormat="1" x14ac:dyDescent="0.25">
      <c r="A317" s="3614"/>
      <c r="B317" s="3615"/>
      <c r="C317" s="3615"/>
      <c r="D317" s="3622"/>
      <c r="E317" s="3623"/>
      <c r="F317" s="3598"/>
      <c r="G317" s="3598"/>
      <c r="H317" s="3597"/>
      <c r="I317" s="3617"/>
    </row>
    <row r="318" spans="1:9" x14ac:dyDescent="0.25">
      <c r="A318" s="4834"/>
      <c r="B318" s="4835"/>
      <c r="C318" s="3664"/>
      <c r="D318" s="3666" t="s">
        <v>2212</v>
      </c>
      <c r="E318" s="3664"/>
      <c r="F318" s="3664"/>
      <c r="G318" s="3664"/>
      <c r="H318" s="3662">
        <f>F328</f>
        <v>145.43</v>
      </c>
      <c r="I318" s="3603"/>
    </row>
    <row r="319" spans="1:9" x14ac:dyDescent="0.25">
      <c r="A319" s="4771" t="s">
        <v>2212</v>
      </c>
      <c r="B319" s="4772"/>
      <c r="C319" s="3624">
        <v>1</v>
      </c>
      <c r="D319" s="3634" t="s">
        <v>3506</v>
      </c>
      <c r="E319" s="3636">
        <v>1</v>
      </c>
      <c r="F319" s="3631">
        <v>12.5</v>
      </c>
      <c r="G319" s="3631">
        <v>14.52</v>
      </c>
      <c r="H319" s="4775"/>
      <c r="I319" s="3603"/>
    </row>
    <row r="320" spans="1:9" x14ac:dyDescent="0.25">
      <c r="A320" s="4773"/>
      <c r="B320" s="4774"/>
      <c r="C320" s="1566">
        <v>2</v>
      </c>
      <c r="D320" s="3599" t="s">
        <v>3507</v>
      </c>
      <c r="E320" s="3606">
        <v>1</v>
      </c>
      <c r="F320" s="3633">
        <v>2.5</v>
      </c>
      <c r="G320" s="3633">
        <v>3.39</v>
      </c>
      <c r="H320" s="4776"/>
      <c r="I320" s="3603"/>
    </row>
    <row r="321" spans="1:9" x14ac:dyDescent="0.25">
      <c r="A321" s="4773"/>
      <c r="B321" s="4774"/>
      <c r="C321" s="1566">
        <v>3</v>
      </c>
      <c r="D321" s="3599" t="s">
        <v>3508</v>
      </c>
      <c r="E321" s="3606">
        <v>1</v>
      </c>
      <c r="F321" s="3633">
        <v>15</v>
      </c>
      <c r="G321" s="3633">
        <v>15.97</v>
      </c>
      <c r="H321" s="4776"/>
      <c r="I321" s="3603"/>
    </row>
    <row r="322" spans="1:9" x14ac:dyDescent="0.25">
      <c r="A322" s="4773"/>
      <c r="B322" s="4774"/>
      <c r="C322" s="1566">
        <v>4</v>
      </c>
      <c r="D322" s="3599" t="s">
        <v>3780</v>
      </c>
      <c r="E322" s="3606">
        <v>1</v>
      </c>
      <c r="F322" s="3633">
        <v>15</v>
      </c>
      <c r="G322" s="3633">
        <v>15.72</v>
      </c>
      <c r="H322" s="4776"/>
      <c r="I322" s="3603"/>
    </row>
    <row r="323" spans="1:9" x14ac:dyDescent="0.25">
      <c r="A323" s="4773"/>
      <c r="B323" s="4774"/>
      <c r="C323" s="1566">
        <v>5</v>
      </c>
      <c r="D323" s="3599" t="s">
        <v>3780</v>
      </c>
      <c r="E323" s="3606">
        <v>1</v>
      </c>
      <c r="F323" s="3633">
        <v>15</v>
      </c>
      <c r="G323" s="3633">
        <v>15.72</v>
      </c>
      <c r="H323" s="4776"/>
      <c r="I323" s="3603"/>
    </row>
    <row r="324" spans="1:9" x14ac:dyDescent="0.25">
      <c r="A324" s="4773"/>
      <c r="B324" s="4774"/>
      <c r="C324" s="1566">
        <v>6</v>
      </c>
      <c r="D324" s="3599" t="s">
        <v>3781</v>
      </c>
      <c r="E324" s="3606">
        <v>1</v>
      </c>
      <c r="F324" s="3633">
        <v>15</v>
      </c>
      <c r="G324" s="3633">
        <v>15.76</v>
      </c>
      <c r="H324" s="4776"/>
      <c r="I324" s="3603"/>
    </row>
    <row r="325" spans="1:9" x14ac:dyDescent="0.25">
      <c r="A325" s="4773"/>
      <c r="B325" s="4774"/>
      <c r="C325" s="1566">
        <v>7</v>
      </c>
      <c r="D325" s="3599" t="s">
        <v>3782</v>
      </c>
      <c r="E325" s="3606">
        <v>1</v>
      </c>
      <c r="F325" s="3633">
        <v>15</v>
      </c>
      <c r="G325" s="3633">
        <v>14.67</v>
      </c>
      <c r="H325" s="4776"/>
      <c r="I325" s="3603"/>
    </row>
    <row r="326" spans="1:9" x14ac:dyDescent="0.25">
      <c r="A326" s="1533"/>
      <c r="B326" s="1534"/>
      <c r="C326" s="1566"/>
      <c r="D326" s="3621" t="s">
        <v>3383</v>
      </c>
      <c r="E326" s="3607" t="s">
        <v>3272</v>
      </c>
      <c r="F326" s="3470">
        <f>SUM(F319:F325)</f>
        <v>90</v>
      </c>
      <c r="G326" s="3470">
        <f>SUM(G319:G325)</f>
        <v>95.750000000000014</v>
      </c>
      <c r="H326" s="4776"/>
      <c r="I326" s="3603"/>
    </row>
    <row r="327" spans="1:9" x14ac:dyDescent="0.25">
      <c r="A327" s="1533"/>
      <c r="B327" s="1534"/>
      <c r="C327" s="1566"/>
      <c r="D327" s="3621" t="s">
        <v>3384</v>
      </c>
      <c r="E327" s="3607" t="s">
        <v>3272</v>
      </c>
      <c r="F327" s="4777">
        <f>F328-G326</f>
        <v>49.679999999999993</v>
      </c>
      <c r="G327" s="4777"/>
      <c r="H327" s="4776"/>
      <c r="I327" s="3603"/>
    </row>
    <row r="328" spans="1:9" x14ac:dyDescent="0.25">
      <c r="A328" s="1533"/>
      <c r="B328" s="1534"/>
      <c r="C328" s="1566"/>
      <c r="D328" s="3621" t="s">
        <v>3783</v>
      </c>
      <c r="E328" s="3607" t="s">
        <v>3272</v>
      </c>
      <c r="F328" s="4777">
        <v>145.43</v>
      </c>
      <c r="G328" s="4777"/>
      <c r="H328" s="4776"/>
      <c r="I328" s="3603"/>
    </row>
    <row r="329" spans="1:9" s="3618" customFormat="1" x14ac:dyDescent="0.25">
      <c r="A329" s="3614"/>
      <c r="B329" s="3615"/>
      <c r="C329" s="3615"/>
      <c r="D329" s="3622"/>
      <c r="E329" s="3623"/>
      <c r="F329" s="3598"/>
      <c r="G329" s="3598"/>
      <c r="H329" s="3597"/>
      <c r="I329" s="3617"/>
    </row>
    <row r="330" spans="1:9" x14ac:dyDescent="0.25">
      <c r="A330" s="4834"/>
      <c r="B330" s="4835"/>
      <c r="C330" s="3664"/>
      <c r="D330" s="3666" t="s">
        <v>3509</v>
      </c>
      <c r="E330" s="3664"/>
      <c r="F330" s="3664"/>
      <c r="G330" s="3664"/>
      <c r="H330" s="3665">
        <f>F335</f>
        <v>24.18</v>
      </c>
      <c r="I330" s="3603"/>
    </row>
    <row r="331" spans="1:9" x14ac:dyDescent="0.25">
      <c r="A331" s="4771" t="s">
        <v>3509</v>
      </c>
      <c r="B331" s="4772"/>
      <c r="C331" s="3624">
        <v>1</v>
      </c>
      <c r="D331" s="3634" t="s">
        <v>3510</v>
      </c>
      <c r="E331" s="3636">
        <v>1</v>
      </c>
      <c r="F331" s="3631">
        <v>5</v>
      </c>
      <c r="G331" s="3631">
        <v>9.6</v>
      </c>
      <c r="H331" s="4778"/>
      <c r="I331" s="3603"/>
    </row>
    <row r="332" spans="1:9" x14ac:dyDescent="0.25">
      <c r="A332" s="4773"/>
      <c r="B332" s="4774"/>
      <c r="C332" s="1566">
        <v>2</v>
      </c>
      <c r="D332" s="3599" t="s">
        <v>3511</v>
      </c>
      <c r="E332" s="3606">
        <v>1</v>
      </c>
      <c r="F332" s="3633">
        <v>5</v>
      </c>
      <c r="G332" s="3633">
        <v>9.6</v>
      </c>
      <c r="H332" s="4779"/>
      <c r="I332" s="3603"/>
    </row>
    <row r="333" spans="1:9" x14ac:dyDescent="0.25">
      <c r="A333" s="1533"/>
      <c r="B333" s="1534"/>
      <c r="C333" s="1566"/>
      <c r="D333" s="3621" t="s">
        <v>3383</v>
      </c>
      <c r="E333" s="3607" t="s">
        <v>3272</v>
      </c>
      <c r="F333" s="3470">
        <f>SUM(F331:F332)</f>
        <v>10</v>
      </c>
      <c r="G333" s="3470">
        <f>SUM(G331:G332)</f>
        <v>19.2</v>
      </c>
      <c r="H333" s="4779"/>
      <c r="I333" s="3603"/>
    </row>
    <row r="334" spans="1:9" x14ac:dyDescent="0.25">
      <c r="A334" s="1533"/>
      <c r="B334" s="1534"/>
      <c r="C334" s="1566"/>
      <c r="D334" s="3621" t="s">
        <v>3384</v>
      </c>
      <c r="E334" s="3607" t="s">
        <v>3272</v>
      </c>
      <c r="F334" s="4781">
        <f>F335-G333</f>
        <v>4.9800000000000004</v>
      </c>
      <c r="G334" s="4781"/>
      <c r="H334" s="4779"/>
      <c r="I334" s="3603"/>
    </row>
    <row r="335" spans="1:9" x14ac:dyDescent="0.25">
      <c r="A335" s="1533"/>
      <c r="B335" s="1534"/>
      <c r="C335" s="1566"/>
      <c r="D335" s="3621" t="s">
        <v>3784</v>
      </c>
      <c r="E335" s="3607" t="s">
        <v>3272</v>
      </c>
      <c r="F335" s="4781">
        <v>24.18</v>
      </c>
      <c r="G335" s="4781"/>
      <c r="H335" s="4779"/>
      <c r="I335" s="3603"/>
    </row>
    <row r="336" spans="1:9" s="3618" customFormat="1" x14ac:dyDescent="0.25">
      <c r="A336" s="3614"/>
      <c r="B336" s="3615"/>
      <c r="C336" s="3615"/>
      <c r="D336" s="3622"/>
      <c r="E336" s="3623"/>
      <c r="F336" s="3598"/>
      <c r="G336" s="3598"/>
      <c r="H336" s="3597"/>
      <c r="I336" s="3617"/>
    </row>
    <row r="337" spans="1:9" ht="18" customHeight="1" x14ac:dyDescent="0.25">
      <c r="A337" s="4834"/>
      <c r="B337" s="4835"/>
      <c r="C337" s="3664"/>
      <c r="D337" s="3666" t="s">
        <v>628</v>
      </c>
      <c r="E337" s="3664"/>
      <c r="F337" s="3664"/>
      <c r="G337" s="3664"/>
      <c r="H337" s="3665">
        <f>F344</f>
        <v>480.67</v>
      </c>
      <c r="I337" s="3603"/>
    </row>
    <row r="338" spans="1:9" ht="18" customHeight="1" x14ac:dyDescent="0.25">
      <c r="A338" s="4771" t="s">
        <v>3512</v>
      </c>
      <c r="B338" s="4772"/>
      <c r="C338" s="3624">
        <v>1</v>
      </c>
      <c r="D338" s="3634" t="s">
        <v>3513</v>
      </c>
      <c r="E338" s="3636">
        <v>1</v>
      </c>
      <c r="F338" s="4780">
        <v>84.99</v>
      </c>
      <c r="G338" s="4780"/>
      <c r="H338" s="4778"/>
      <c r="I338" s="3603"/>
    </row>
    <row r="339" spans="1:9" ht="18" customHeight="1" x14ac:dyDescent="0.25">
      <c r="A339" s="4773"/>
      <c r="B339" s="4774"/>
      <c r="C339" s="1566">
        <v>2</v>
      </c>
      <c r="D339" s="3599" t="s">
        <v>5078</v>
      </c>
      <c r="E339" s="3606">
        <v>1</v>
      </c>
      <c r="F339" s="4770">
        <v>58.88</v>
      </c>
      <c r="G339" s="4770"/>
      <c r="H339" s="4779"/>
      <c r="I339" s="3603"/>
    </row>
    <row r="340" spans="1:9" ht="18" customHeight="1" x14ac:dyDescent="0.25">
      <c r="A340" s="4773"/>
      <c r="B340" s="4774"/>
      <c r="C340" s="1566">
        <v>3</v>
      </c>
      <c r="D340" s="3599" t="s">
        <v>3785</v>
      </c>
      <c r="E340" s="3606">
        <v>1</v>
      </c>
      <c r="F340" s="4770">
        <v>90.08</v>
      </c>
      <c r="G340" s="4770"/>
      <c r="H340" s="4779"/>
      <c r="I340" s="3603"/>
    </row>
    <row r="341" spans="1:9" ht="18" customHeight="1" x14ac:dyDescent="0.25">
      <c r="A341" s="4773"/>
      <c r="B341" s="4774"/>
      <c r="C341" s="1566">
        <v>4</v>
      </c>
      <c r="D341" s="3599" t="s">
        <v>3786</v>
      </c>
      <c r="E341" s="3606">
        <v>1</v>
      </c>
      <c r="F341" s="4770">
        <v>58.68</v>
      </c>
      <c r="G341" s="4770"/>
      <c r="H341" s="4779"/>
      <c r="I341" s="3603"/>
    </row>
    <row r="342" spans="1:9" ht="18" customHeight="1" x14ac:dyDescent="0.25">
      <c r="A342" s="4773"/>
      <c r="B342" s="4774"/>
      <c r="C342" s="1566">
        <v>5</v>
      </c>
      <c r="D342" s="3599" t="s">
        <v>5916</v>
      </c>
      <c r="E342" s="3606">
        <v>1</v>
      </c>
      <c r="F342" s="4770">
        <v>128.36000000000001</v>
      </c>
      <c r="G342" s="4770"/>
      <c r="H342" s="4779"/>
      <c r="I342" s="3603"/>
    </row>
    <row r="343" spans="1:9" ht="18" customHeight="1" x14ac:dyDescent="0.25">
      <c r="A343" s="4773"/>
      <c r="B343" s="4774"/>
      <c r="C343" s="1566">
        <v>6</v>
      </c>
      <c r="D343" s="3599" t="s">
        <v>5917</v>
      </c>
      <c r="E343" s="3606">
        <v>1</v>
      </c>
      <c r="F343" s="4770">
        <v>59.68</v>
      </c>
      <c r="G343" s="4770"/>
      <c r="H343" s="4779"/>
      <c r="I343" s="3603"/>
    </row>
    <row r="344" spans="1:9" ht="18" customHeight="1" x14ac:dyDescent="0.25">
      <c r="A344" s="1533"/>
      <c r="B344" s="1534"/>
      <c r="C344" s="1566"/>
      <c r="D344" s="3621" t="s">
        <v>3514</v>
      </c>
      <c r="E344" s="3607" t="s">
        <v>3272</v>
      </c>
      <c r="F344" s="4781">
        <f>SUM(F338:G343)</f>
        <v>480.67</v>
      </c>
      <c r="G344" s="4781"/>
      <c r="H344" s="4779"/>
      <c r="I344" s="3603"/>
    </row>
    <row r="345" spans="1:9" s="3618" customFormat="1" ht="18" customHeight="1" x14ac:dyDescent="0.25">
      <c r="A345" s="3614"/>
      <c r="B345" s="3615"/>
      <c r="C345" s="3615"/>
      <c r="D345" s="3622"/>
      <c r="E345" s="3639"/>
      <c r="F345" s="3598"/>
      <c r="G345" s="3598"/>
      <c r="H345" s="3597"/>
      <c r="I345" s="3617"/>
    </row>
    <row r="346" spans="1:9" ht="18" customHeight="1" x14ac:dyDescent="0.25">
      <c r="A346" s="4782"/>
      <c r="B346" s="4783"/>
      <c r="C346" s="3675"/>
      <c r="D346" s="3675" t="s">
        <v>3515</v>
      </c>
      <c r="E346" s="3675" t="s">
        <v>3516</v>
      </c>
      <c r="F346" s="4769"/>
      <c r="G346" s="4769"/>
      <c r="H346" s="3676">
        <f>SUM(H7:H344)</f>
        <v>3323.54</v>
      </c>
      <c r="I346" s="3603"/>
    </row>
    <row r="347" spans="1:9" ht="18" customHeight="1" x14ac:dyDescent="0.25">
      <c r="A347" s="1533"/>
      <c r="B347" s="1534"/>
      <c r="C347" s="1536"/>
      <c r="D347" s="3640"/>
      <c r="E347" s="1534"/>
      <c r="F347" s="1534"/>
      <c r="G347" s="1534"/>
      <c r="H347" s="1537"/>
      <c r="I347" s="3603"/>
    </row>
    <row r="348" spans="1:9" s="3641" customFormat="1" ht="18" customHeight="1" x14ac:dyDescent="0.25">
      <c r="A348" s="1533"/>
      <c r="B348" s="1534"/>
      <c r="C348" s="1536"/>
      <c r="D348" s="1534"/>
      <c r="E348" s="1534"/>
      <c r="F348" s="1534"/>
      <c r="G348" s="1534"/>
      <c r="H348" s="1537"/>
      <c r="I348" s="3603"/>
    </row>
    <row r="349" spans="1:9" ht="18" customHeight="1" x14ac:dyDescent="0.25">
      <c r="A349" s="1533"/>
      <c r="B349" s="1534"/>
      <c r="C349" s="1536"/>
      <c r="D349" s="3640"/>
      <c r="E349" s="1534"/>
      <c r="F349" s="1534"/>
      <c r="G349" s="1534"/>
      <c r="H349" s="1537"/>
      <c r="I349" s="3603"/>
    </row>
    <row r="350" spans="1:9" ht="18" customHeight="1" x14ac:dyDescent="0.25">
      <c r="A350" s="1533"/>
      <c r="B350" s="1534"/>
      <c r="C350" s="1536"/>
      <c r="D350" s="3668" t="s">
        <v>3787</v>
      </c>
      <c r="E350" s="3669"/>
      <c r="F350" s="3669"/>
      <c r="G350" s="3663"/>
      <c r="H350" s="1537"/>
      <c r="I350" s="3603"/>
    </row>
    <row r="351" spans="1:9" ht="18" customHeight="1" x14ac:dyDescent="0.25">
      <c r="A351" s="1533"/>
      <c r="B351" s="1534"/>
      <c r="C351" s="1536"/>
      <c r="D351" s="1567" t="s">
        <v>5</v>
      </c>
      <c r="E351" s="1568" t="s">
        <v>3788</v>
      </c>
      <c r="F351" s="1568" t="s">
        <v>3789</v>
      </c>
      <c r="G351" s="3670" t="s">
        <v>3790</v>
      </c>
      <c r="H351" s="3642"/>
      <c r="I351" s="3466"/>
    </row>
    <row r="352" spans="1:9" ht="18" customHeight="1" x14ac:dyDescent="0.25">
      <c r="A352" s="1533"/>
      <c r="B352" s="1534"/>
      <c r="C352" s="1536"/>
      <c r="D352" s="3652" t="s">
        <v>1816</v>
      </c>
      <c r="E352" s="3653">
        <f>F60</f>
        <v>559.81999999999994</v>
      </c>
      <c r="F352" s="3653">
        <f>G60</f>
        <v>550.77999999999986</v>
      </c>
      <c r="G352" s="3653">
        <f>E352-F352</f>
        <v>9.0400000000000773</v>
      </c>
      <c r="H352" s="1537"/>
      <c r="I352" s="3603"/>
    </row>
    <row r="353" spans="1:9" x14ac:dyDescent="0.25">
      <c r="A353" s="1533"/>
      <c r="B353" s="1534"/>
      <c r="C353" s="1536"/>
      <c r="D353" s="3601" t="s">
        <v>1837</v>
      </c>
      <c r="E353" s="3643">
        <f>F83</f>
        <v>112.35</v>
      </c>
      <c r="F353" s="3643">
        <f>G83</f>
        <v>135.13</v>
      </c>
      <c r="G353" s="3643">
        <f t="shared" ref="G353:G374" si="0">E353-F353</f>
        <v>-22.78</v>
      </c>
      <c r="H353" s="1537"/>
      <c r="I353" s="3603"/>
    </row>
    <row r="354" spans="1:9" x14ac:dyDescent="0.25">
      <c r="A354" s="1533"/>
      <c r="B354" s="1534"/>
      <c r="C354" s="1536"/>
      <c r="D354" s="3601" t="s">
        <v>1843</v>
      </c>
      <c r="E354" s="3643">
        <f>F97</f>
        <v>100</v>
      </c>
      <c r="F354" s="3643">
        <f>G97</f>
        <v>85.669999999999987</v>
      </c>
      <c r="G354" s="3643">
        <f t="shared" si="0"/>
        <v>14.330000000000013</v>
      </c>
      <c r="H354" s="1537"/>
      <c r="I354" s="3603"/>
    </row>
    <row r="355" spans="1:9" x14ac:dyDescent="0.25">
      <c r="A355" s="1533"/>
      <c r="B355" s="1534"/>
      <c r="C355" s="1536"/>
      <c r="D355" s="3601" t="s">
        <v>1847</v>
      </c>
      <c r="E355" s="3643">
        <f>F104</f>
        <v>24</v>
      </c>
      <c r="F355" s="3643">
        <f>G104</f>
        <v>27.479999999999997</v>
      </c>
      <c r="G355" s="3643">
        <f t="shared" si="0"/>
        <v>-3.4799999999999969</v>
      </c>
      <c r="H355" s="1537"/>
      <c r="I355" s="3603"/>
    </row>
    <row r="356" spans="1:9" x14ac:dyDescent="0.25">
      <c r="A356" s="1533"/>
      <c r="B356" s="1534"/>
      <c r="C356" s="1536"/>
      <c r="D356" s="3601" t="s">
        <v>1848</v>
      </c>
      <c r="E356" s="3643">
        <f>F115</f>
        <v>73.27000000000001</v>
      </c>
      <c r="F356" s="3643">
        <f>G115</f>
        <v>78.92</v>
      </c>
      <c r="G356" s="3643">
        <f t="shared" si="0"/>
        <v>-5.6499999999999915</v>
      </c>
      <c r="H356" s="1537"/>
      <c r="I356" s="3603"/>
    </row>
    <row r="357" spans="1:9" x14ac:dyDescent="0.25">
      <c r="A357" s="1533"/>
      <c r="B357" s="1534"/>
      <c r="C357" s="1536"/>
      <c r="D357" s="3601" t="str">
        <f>D119</f>
        <v>AADS GESTANTE EN PERIODO DE PARTO</v>
      </c>
      <c r="E357" s="3643">
        <f>F139</f>
        <v>197</v>
      </c>
      <c r="F357" s="3643">
        <f>G139</f>
        <v>204.55</v>
      </c>
      <c r="G357" s="3643">
        <f t="shared" si="0"/>
        <v>-7.5500000000000114</v>
      </c>
      <c r="H357" s="1537"/>
      <c r="I357" s="3603"/>
    </row>
    <row r="358" spans="1:9" x14ac:dyDescent="0.25">
      <c r="A358" s="1533"/>
      <c r="B358" s="1534"/>
      <c r="C358" s="1536"/>
      <c r="D358" s="3601" t="str">
        <f>D143</f>
        <v>AADS INTERNAMIENTO</v>
      </c>
      <c r="E358" s="3643">
        <f>F157</f>
        <v>135.5</v>
      </c>
      <c r="F358" s="3643">
        <f>G157</f>
        <v>157.69000000000003</v>
      </c>
      <c r="G358" s="3643">
        <f t="shared" si="0"/>
        <v>-22.190000000000026</v>
      </c>
      <c r="H358" s="1537"/>
      <c r="I358" s="3603"/>
    </row>
    <row r="359" spans="1:9" x14ac:dyDescent="0.25">
      <c r="A359" s="1533"/>
      <c r="B359" s="1534"/>
      <c r="C359" s="1536"/>
      <c r="D359" s="3601" t="str">
        <f>D161</f>
        <v>AADS ECOGRAFÍA Y RADIOLOGÍA</v>
      </c>
      <c r="E359" s="3643">
        <f>F171</f>
        <v>72.320000000000007</v>
      </c>
      <c r="F359" s="3643">
        <f>G171</f>
        <v>83.17</v>
      </c>
      <c r="G359" s="3643">
        <f t="shared" si="0"/>
        <v>-10.849999999999994</v>
      </c>
      <c r="H359" s="1537"/>
      <c r="I359" s="3603"/>
    </row>
    <row r="360" spans="1:9" x14ac:dyDescent="0.25">
      <c r="A360" s="1533"/>
      <c r="B360" s="1534"/>
      <c r="C360" s="1536"/>
      <c r="D360" s="3601" t="str">
        <f>D177</f>
        <v>AADS DESINFECCION Y ESTERILIZACIÓN</v>
      </c>
      <c r="E360" s="3643">
        <f>F185</f>
        <v>46.34</v>
      </c>
      <c r="F360" s="3643">
        <f>G185</f>
        <v>51.129999999999995</v>
      </c>
      <c r="G360" s="3643">
        <f t="shared" si="0"/>
        <v>-4.789999999999992</v>
      </c>
      <c r="H360" s="1537"/>
      <c r="I360" s="3603"/>
    </row>
    <row r="361" spans="1:9" x14ac:dyDescent="0.25">
      <c r="A361" s="1533"/>
      <c r="B361" s="1534"/>
      <c r="C361" s="1536"/>
      <c r="D361" s="3601" t="str">
        <f>D189</f>
        <v>UPS ADMINISTRACION</v>
      </c>
      <c r="E361" s="3643">
        <f>F199</f>
        <v>87.5</v>
      </c>
      <c r="F361" s="3643">
        <f>G199</f>
        <v>83.52</v>
      </c>
      <c r="G361" s="3643">
        <f t="shared" si="0"/>
        <v>3.980000000000004</v>
      </c>
      <c r="H361" s="1537"/>
      <c r="I361" s="3603"/>
    </row>
    <row r="362" spans="1:9" x14ac:dyDescent="0.25">
      <c r="A362" s="1533"/>
      <c r="B362" s="1534"/>
      <c r="C362" s="1536"/>
      <c r="D362" s="3601" t="str">
        <f>D203</f>
        <v>UPS GESTIÓN DE LA INFORMACIÓN</v>
      </c>
      <c r="E362" s="3643">
        <f>F212</f>
        <v>56.6</v>
      </c>
      <c r="F362" s="3643">
        <f>G212</f>
        <v>62.47</v>
      </c>
      <c r="G362" s="3643">
        <f t="shared" si="0"/>
        <v>-5.8699999999999974</v>
      </c>
      <c r="H362" s="1537"/>
      <c r="I362" s="3603"/>
    </row>
    <row r="363" spans="1:9" x14ac:dyDescent="0.25">
      <c r="A363" s="1533"/>
      <c r="B363" s="1534"/>
      <c r="C363" s="1536"/>
      <c r="D363" s="3601" t="str">
        <f>D216</f>
        <v>UPS TRANSPORTE</v>
      </c>
      <c r="E363" s="3643">
        <f>F220</f>
        <v>55</v>
      </c>
      <c r="F363" s="3643">
        <f>G220</f>
        <v>58.769999999999996</v>
      </c>
      <c r="G363" s="3643">
        <f t="shared" si="0"/>
        <v>-3.769999999999996</v>
      </c>
      <c r="H363" s="1537"/>
      <c r="I363" s="3603"/>
    </row>
    <row r="364" spans="1:9" x14ac:dyDescent="0.25">
      <c r="A364" s="1533"/>
      <c r="B364" s="1534"/>
      <c r="C364" s="1536"/>
      <c r="D364" s="3601" t="str">
        <f>D224</f>
        <v>UPS CASA DE FUERZA</v>
      </c>
      <c r="E364" s="3644">
        <f>F234</f>
        <v>130.66</v>
      </c>
      <c r="F364" s="3644">
        <f>G234</f>
        <v>140.96</v>
      </c>
      <c r="G364" s="3643">
        <f t="shared" si="0"/>
        <v>-10.300000000000011</v>
      </c>
      <c r="H364" s="1537"/>
      <c r="I364" s="3603"/>
    </row>
    <row r="365" spans="1:9" x14ac:dyDescent="0.25">
      <c r="A365" s="1533"/>
      <c r="B365" s="1534"/>
      <c r="C365" s="1536"/>
      <c r="D365" s="3601" t="str">
        <f>D240</f>
        <v>UPS CADENA DE FRÍO</v>
      </c>
      <c r="E365" s="3644">
        <f>F242</f>
        <v>30</v>
      </c>
      <c r="F365" s="3644">
        <f>G242</f>
        <v>18.079999999999998</v>
      </c>
      <c r="G365" s="3643">
        <f t="shared" si="0"/>
        <v>11.920000000000002</v>
      </c>
      <c r="H365" s="1537"/>
      <c r="I365" s="3603"/>
    </row>
    <row r="366" spans="1:9" x14ac:dyDescent="0.25">
      <c r="A366" s="1533"/>
      <c r="B366" s="1534"/>
      <c r="C366" s="1536"/>
      <c r="D366" s="3601" t="str">
        <f>D246</f>
        <v>UPS CENTRAL DE GASES</v>
      </c>
      <c r="E366" s="3644">
        <f>F250</f>
        <v>14</v>
      </c>
      <c r="F366" s="3644">
        <f>G250</f>
        <v>17.559999999999999</v>
      </c>
      <c r="G366" s="3643">
        <f t="shared" si="0"/>
        <v>-3.5599999999999987</v>
      </c>
      <c r="H366" s="1537"/>
      <c r="I366" s="3603"/>
    </row>
    <row r="367" spans="1:9" x14ac:dyDescent="0.25">
      <c r="A367" s="1533"/>
      <c r="B367" s="1534"/>
      <c r="C367" s="1536"/>
      <c r="D367" s="3601" t="str">
        <f>D254</f>
        <v>UPS ALMACEN</v>
      </c>
      <c r="E367" s="3644">
        <f>F259</f>
        <v>38</v>
      </c>
      <c r="F367" s="3644">
        <f>G259</f>
        <v>48.179999999999993</v>
      </c>
      <c r="G367" s="3643">
        <f t="shared" si="0"/>
        <v>-10.179999999999993</v>
      </c>
      <c r="H367" s="1537"/>
      <c r="I367" s="3603"/>
    </row>
    <row r="368" spans="1:9" x14ac:dyDescent="0.25">
      <c r="A368" s="1533"/>
      <c r="B368" s="1534"/>
      <c r="C368" s="1536"/>
      <c r="D368" s="3601" t="str">
        <f>D263</f>
        <v>UPS LAVANDERÍA</v>
      </c>
      <c r="E368" s="3644">
        <f>F271</f>
        <v>27</v>
      </c>
      <c r="F368" s="3644">
        <f>G271</f>
        <v>32.29</v>
      </c>
      <c r="G368" s="3643">
        <f t="shared" si="0"/>
        <v>-5.2899999999999991</v>
      </c>
      <c r="H368" s="1537"/>
      <c r="I368" s="3603"/>
    </row>
    <row r="369" spans="1:9" x14ac:dyDescent="0.25">
      <c r="A369" s="1533"/>
      <c r="B369" s="1534"/>
      <c r="C369" s="1536"/>
      <c r="D369" s="3601" t="str">
        <f>D275</f>
        <v>UPS TALLER DE MANTENIMIENTO</v>
      </c>
      <c r="E369" s="3644">
        <f>F281</f>
        <v>30</v>
      </c>
      <c r="F369" s="3644">
        <f>G281</f>
        <v>34.36</v>
      </c>
      <c r="G369" s="3643">
        <f t="shared" si="0"/>
        <v>-4.3599999999999994</v>
      </c>
      <c r="H369" s="1537"/>
      <c r="I369" s="3603"/>
    </row>
    <row r="370" spans="1:9" x14ac:dyDescent="0.25">
      <c r="A370" s="1533"/>
      <c r="B370" s="1534"/>
      <c r="C370" s="1536"/>
      <c r="D370" s="3601" t="str">
        <f>D285</f>
        <v>UPS SALUD AMBIENTAL</v>
      </c>
      <c r="E370" s="3644">
        <f>F293</f>
        <v>54.5</v>
      </c>
      <c r="F370" s="3644">
        <f>G293</f>
        <v>53.63</v>
      </c>
      <c r="G370" s="3643">
        <f t="shared" si="0"/>
        <v>0.86999999999999744</v>
      </c>
      <c r="H370" s="1537"/>
      <c r="I370" s="3603"/>
    </row>
    <row r="371" spans="1:9" x14ac:dyDescent="0.25">
      <c r="A371" s="1533"/>
      <c r="B371" s="1534"/>
      <c r="C371" s="1536"/>
      <c r="D371" s="3601" t="str">
        <f>D297</f>
        <v>UPS SALA DE USO MÚLTIPLE</v>
      </c>
      <c r="E371" s="3644">
        <f>F300</f>
        <v>98.4</v>
      </c>
      <c r="F371" s="3644">
        <f>G300</f>
        <v>93.899999999999991</v>
      </c>
      <c r="G371" s="3643">
        <f t="shared" si="0"/>
        <v>4.5000000000000142</v>
      </c>
      <c r="H371" s="1537"/>
      <c r="I371" s="3603"/>
    </row>
    <row r="372" spans="1:9" x14ac:dyDescent="0.25">
      <c r="A372" s="1533"/>
      <c r="B372" s="1534"/>
      <c r="C372" s="1536"/>
      <c r="D372" s="3601" t="str">
        <f>D304</f>
        <v>UPS CASA MATERNA</v>
      </c>
      <c r="E372" s="3644">
        <f>F314</f>
        <v>114.5</v>
      </c>
      <c r="F372" s="3644">
        <f>G314</f>
        <v>121.24000000000001</v>
      </c>
      <c r="G372" s="3643">
        <f t="shared" si="0"/>
        <v>-6.7400000000000091</v>
      </c>
      <c r="H372" s="1537"/>
      <c r="I372" s="3603"/>
    </row>
    <row r="373" spans="1:9" x14ac:dyDescent="0.25">
      <c r="A373" s="1533"/>
      <c r="B373" s="1534"/>
      <c r="C373" s="1536"/>
      <c r="D373" s="3601" t="str">
        <f>D318</f>
        <v>UPS RESIDENCIA DE PERSONAL</v>
      </c>
      <c r="E373" s="3644">
        <f>F326</f>
        <v>90</v>
      </c>
      <c r="F373" s="3644">
        <f>G326</f>
        <v>95.750000000000014</v>
      </c>
      <c r="G373" s="3643">
        <f t="shared" si="0"/>
        <v>-5.7500000000000142</v>
      </c>
      <c r="H373" s="1537"/>
      <c r="I373" s="3603"/>
    </row>
    <row r="374" spans="1:9" x14ac:dyDescent="0.25">
      <c r="A374" s="1533"/>
      <c r="B374" s="1534"/>
      <c r="C374" s="1536"/>
      <c r="D374" s="3601" t="str">
        <f>D330</f>
        <v>SEGURIDAD</v>
      </c>
      <c r="E374" s="3644">
        <f>F333</f>
        <v>10</v>
      </c>
      <c r="F374" s="3644">
        <f>G333</f>
        <v>19.2</v>
      </c>
      <c r="G374" s="3643">
        <f t="shared" si="0"/>
        <v>-9.1999999999999993</v>
      </c>
      <c r="H374" s="1537"/>
      <c r="I374" s="3603"/>
    </row>
    <row r="375" spans="1:9" x14ac:dyDescent="0.25">
      <c r="A375" s="1533"/>
      <c r="B375" s="1534"/>
      <c r="C375" s="1536"/>
      <c r="D375" s="3671" t="s">
        <v>3791</v>
      </c>
      <c r="E375" s="3672">
        <f>SUM(E352:E374)</f>
        <v>2156.7600000000002</v>
      </c>
      <c r="F375" s="3672">
        <f>SUM(F352:F374)</f>
        <v>2254.4299999999998</v>
      </c>
      <c r="G375" s="3667">
        <f>100-(F375*100/E375)</f>
        <v>-4.5285520873903238</v>
      </c>
      <c r="H375" s="3645"/>
      <c r="I375" s="3603"/>
    </row>
    <row r="376" spans="1:9" x14ac:dyDescent="0.25">
      <c r="A376" s="3646"/>
      <c r="B376" s="3618"/>
      <c r="C376" s="3647"/>
      <c r="D376" s="3648"/>
      <c r="E376" s="3618"/>
      <c r="F376" s="3649"/>
      <c r="G376" s="3650"/>
      <c r="H376" s="3645"/>
    </row>
    <row r="377" spans="1:9" x14ac:dyDescent="0.25">
      <c r="A377" s="1533"/>
      <c r="B377" s="1534"/>
      <c r="C377" s="1536"/>
      <c r="D377" s="3671" t="s">
        <v>3792</v>
      </c>
      <c r="E377" s="3672">
        <f>E375*0.35</f>
        <v>754.86599999999999</v>
      </c>
      <c r="F377" s="3672">
        <v>779.68</v>
      </c>
      <c r="G377" s="3667">
        <f>100-(F377*100/E377)</f>
        <v>-3.2872059411869117</v>
      </c>
      <c r="H377" s="3645"/>
    </row>
    <row r="378" spans="1:9" x14ac:dyDescent="0.25">
      <c r="A378" s="3646"/>
      <c r="B378" s="3618"/>
      <c r="C378" s="3647"/>
      <c r="D378" s="3648"/>
      <c r="E378" s="3618"/>
      <c r="F378" s="3618"/>
      <c r="G378" s="3618"/>
      <c r="H378" s="3645"/>
    </row>
    <row r="379" spans="1:9" x14ac:dyDescent="0.25">
      <c r="A379" s="1533"/>
      <c r="B379" s="1534"/>
      <c r="C379" s="1536"/>
      <c r="D379" s="3671" t="s">
        <v>3793</v>
      </c>
      <c r="E379" s="3673">
        <f>+E377/E375</f>
        <v>0.35</v>
      </c>
      <c r="F379" s="3674">
        <f>+F377/F375</f>
        <v>0.34584351698655535</v>
      </c>
      <c r="G379" s="3618"/>
      <c r="H379" s="3645"/>
    </row>
    <row r="380" spans="1:9" x14ac:dyDescent="0.25">
      <c r="A380" s="3646"/>
      <c r="B380" s="3618"/>
      <c r="C380" s="3647"/>
      <c r="H380" s="3645"/>
    </row>
    <row r="381" spans="1:9" x14ac:dyDescent="0.25">
      <c r="A381" s="1533"/>
      <c r="B381" s="1534"/>
      <c r="C381" s="1536"/>
      <c r="H381" s="3645"/>
    </row>
    <row r="382" spans="1:9" x14ac:dyDescent="0.25">
      <c r="A382" s="3646"/>
      <c r="B382" s="3618"/>
      <c r="C382" s="3647"/>
      <c r="H382" s="3645"/>
    </row>
    <row r="383" spans="1:9" x14ac:dyDescent="0.25">
      <c r="A383" s="1533"/>
      <c r="B383" s="1534"/>
      <c r="C383" s="1536"/>
      <c r="F383" s="3651"/>
    </row>
  </sheetData>
  <mergeCells count="237">
    <mergeCell ref="A7:B7"/>
    <mergeCell ref="A65:B65"/>
    <mergeCell ref="A337:B337"/>
    <mergeCell ref="A330:B330"/>
    <mergeCell ref="A318:B318"/>
    <mergeCell ref="A304:B304"/>
    <mergeCell ref="A297:B297"/>
    <mergeCell ref="A285:B285"/>
    <mergeCell ref="A275:B275"/>
    <mergeCell ref="A263:B263"/>
    <mergeCell ref="A254:B254"/>
    <mergeCell ref="A246:B246"/>
    <mergeCell ref="A240:B240"/>
    <mergeCell ref="A224:B224"/>
    <mergeCell ref="A216:B216"/>
    <mergeCell ref="A189:B189"/>
    <mergeCell ref="A177:B177"/>
    <mergeCell ref="A161:B161"/>
    <mergeCell ref="A143:B143"/>
    <mergeCell ref="A119:B119"/>
    <mergeCell ref="A108:B108"/>
    <mergeCell ref="A101:B101"/>
    <mergeCell ref="A87:B87"/>
    <mergeCell ref="A190:B193"/>
    <mergeCell ref="A298:B299"/>
    <mergeCell ref="H298:H302"/>
    <mergeCell ref="A305:B310"/>
    <mergeCell ref="H305:H316"/>
    <mergeCell ref="A311:B313"/>
    <mergeCell ref="F315:G315"/>
    <mergeCell ref="F316:G316"/>
    <mergeCell ref="F301:G301"/>
    <mergeCell ref="F302:G302"/>
    <mergeCell ref="C256:C257"/>
    <mergeCell ref="F256:F257"/>
    <mergeCell ref="G256:G257"/>
    <mergeCell ref="F260:G260"/>
    <mergeCell ref="F261:G261"/>
    <mergeCell ref="A264:A270"/>
    <mergeCell ref="H264:H273"/>
    <mergeCell ref="B265:B267"/>
    <mergeCell ref="B268:B270"/>
    <mergeCell ref="F272:G272"/>
    <mergeCell ref="F273:G273"/>
    <mergeCell ref="A255:B258"/>
    <mergeCell ref="H255:H261"/>
    <mergeCell ref="H190:H201"/>
    <mergeCell ref="A194:B198"/>
    <mergeCell ref="F200:G200"/>
    <mergeCell ref="F201:G201"/>
    <mergeCell ref="A204:B211"/>
    <mergeCell ref="C204:C206"/>
    <mergeCell ref="E204:E206"/>
    <mergeCell ref="F204:F206"/>
    <mergeCell ref="G204:G206"/>
    <mergeCell ref="H204:H214"/>
    <mergeCell ref="F213:G213"/>
    <mergeCell ref="F214:G214"/>
    <mergeCell ref="A88:B95"/>
    <mergeCell ref="H88:H99"/>
    <mergeCell ref="C90:C91"/>
    <mergeCell ref="E90:E91"/>
    <mergeCell ref="F90:F91"/>
    <mergeCell ref="G90:G91"/>
    <mergeCell ref="C92:C93"/>
    <mergeCell ref="E92:E93"/>
    <mergeCell ref="F92:F93"/>
    <mergeCell ref="G92:G93"/>
    <mergeCell ref="C94:C95"/>
    <mergeCell ref="E94:E95"/>
    <mergeCell ref="F94:F95"/>
    <mergeCell ref="G94:G95"/>
    <mergeCell ref="F98:G98"/>
    <mergeCell ref="F99:G99"/>
    <mergeCell ref="H102:H106"/>
    <mergeCell ref="A103:B103"/>
    <mergeCell ref="F105:G105"/>
    <mergeCell ref="F106:G106"/>
    <mergeCell ref="A109:B111"/>
    <mergeCell ref="H109:H117"/>
    <mergeCell ref="A113:B114"/>
    <mergeCell ref="F116:G116"/>
    <mergeCell ref="F117:G117"/>
    <mergeCell ref="A102:B102"/>
    <mergeCell ref="A29:A57"/>
    <mergeCell ref="B29:B39"/>
    <mergeCell ref="C30:C32"/>
    <mergeCell ref="E30:E32"/>
    <mergeCell ref="F30:F32"/>
    <mergeCell ref="G30:G32"/>
    <mergeCell ref="F61:G61"/>
    <mergeCell ref="A66:B69"/>
    <mergeCell ref="H66:H85"/>
    <mergeCell ref="C67:C68"/>
    <mergeCell ref="E67:E68"/>
    <mergeCell ref="F67:F68"/>
    <mergeCell ref="G67:G68"/>
    <mergeCell ref="A70:A81"/>
    <mergeCell ref="B70:B73"/>
    <mergeCell ref="B74:B79"/>
    <mergeCell ref="B80:B81"/>
    <mergeCell ref="A82:B82"/>
    <mergeCell ref="F84:G84"/>
    <mergeCell ref="F85:G85"/>
    <mergeCell ref="H8:H62"/>
    <mergeCell ref="C13:C14"/>
    <mergeCell ref="E13:E14"/>
    <mergeCell ref="F13:F14"/>
    <mergeCell ref="G13:G14"/>
    <mergeCell ref="C16:C18"/>
    <mergeCell ref="E16:E18"/>
    <mergeCell ref="F16:F18"/>
    <mergeCell ref="G16:G18"/>
    <mergeCell ref="C19:C20"/>
    <mergeCell ref="E19:E20"/>
    <mergeCell ref="F19:F20"/>
    <mergeCell ref="G19:G20"/>
    <mergeCell ref="A2:H2"/>
    <mergeCell ref="A3:B3"/>
    <mergeCell ref="A4:B4"/>
    <mergeCell ref="A5:B5"/>
    <mergeCell ref="A6:B6"/>
    <mergeCell ref="A59:B59"/>
    <mergeCell ref="F62:G62"/>
    <mergeCell ref="C35:C37"/>
    <mergeCell ref="E35:E37"/>
    <mergeCell ref="F35:F37"/>
    <mergeCell ref="G35:G37"/>
    <mergeCell ref="B40:B45"/>
    <mergeCell ref="B46:B47"/>
    <mergeCell ref="B48:B57"/>
    <mergeCell ref="C51:C52"/>
    <mergeCell ref="E51:E52"/>
    <mergeCell ref="F51:F52"/>
    <mergeCell ref="G51:G52"/>
    <mergeCell ref="A58:B58"/>
    <mergeCell ref="A8:B28"/>
    <mergeCell ref="C8:C9"/>
    <mergeCell ref="E8:E9"/>
    <mergeCell ref="F8:F9"/>
    <mergeCell ref="G8:G9"/>
    <mergeCell ref="A144:B148"/>
    <mergeCell ref="H144:H159"/>
    <mergeCell ref="A149:A156"/>
    <mergeCell ref="B149:B151"/>
    <mergeCell ref="B182:B183"/>
    <mergeCell ref="F187:G187"/>
    <mergeCell ref="A178:A181"/>
    <mergeCell ref="A120:B125"/>
    <mergeCell ref="H120:H141"/>
    <mergeCell ref="C124:C125"/>
    <mergeCell ref="E124:E125"/>
    <mergeCell ref="F124:F125"/>
    <mergeCell ref="G124:G125"/>
    <mergeCell ref="A126:A138"/>
    <mergeCell ref="B126:B127"/>
    <mergeCell ref="B128:B138"/>
    <mergeCell ref="F140:G140"/>
    <mergeCell ref="F141:G141"/>
    <mergeCell ref="A184:B184"/>
    <mergeCell ref="F186:G186"/>
    <mergeCell ref="F222:G222"/>
    <mergeCell ref="A217:B219"/>
    <mergeCell ref="H217:H222"/>
    <mergeCell ref="F221:G221"/>
    <mergeCell ref="B152:B156"/>
    <mergeCell ref="F158:G158"/>
    <mergeCell ref="F159:G159"/>
    <mergeCell ref="A162:B164"/>
    <mergeCell ref="H162:H173"/>
    <mergeCell ref="A165:B168"/>
    <mergeCell ref="C166:C168"/>
    <mergeCell ref="E166:E168"/>
    <mergeCell ref="F166:F168"/>
    <mergeCell ref="G166:G168"/>
    <mergeCell ref="A169:B170"/>
    <mergeCell ref="F172:G172"/>
    <mergeCell ref="F173:G173"/>
    <mergeCell ref="H178:H187"/>
    <mergeCell ref="B180:B181"/>
    <mergeCell ref="C180:C181"/>
    <mergeCell ref="E180:E181"/>
    <mergeCell ref="F180:F181"/>
    <mergeCell ref="G180:G181"/>
    <mergeCell ref="A182:A183"/>
    <mergeCell ref="F244:G244"/>
    <mergeCell ref="A225:B233"/>
    <mergeCell ref="H225:H236"/>
    <mergeCell ref="F235:G235"/>
    <mergeCell ref="F236:G236"/>
    <mergeCell ref="A241:B241"/>
    <mergeCell ref="H241:H244"/>
    <mergeCell ref="F243:G243"/>
    <mergeCell ref="F251:G251"/>
    <mergeCell ref="A247:B249"/>
    <mergeCell ref="C247:C248"/>
    <mergeCell ref="E247:E248"/>
    <mergeCell ref="F247:F248"/>
    <mergeCell ref="G247:G248"/>
    <mergeCell ref="H247:H252"/>
    <mergeCell ref="F252:G252"/>
    <mergeCell ref="A276:B280"/>
    <mergeCell ref="H276:H283"/>
    <mergeCell ref="C277:C278"/>
    <mergeCell ref="F277:F278"/>
    <mergeCell ref="G277:G278"/>
    <mergeCell ref="F282:G282"/>
    <mergeCell ref="F283:G283"/>
    <mergeCell ref="A286:B287"/>
    <mergeCell ref="C286:C287"/>
    <mergeCell ref="E286:E287"/>
    <mergeCell ref="F286:F287"/>
    <mergeCell ref="G286:G287"/>
    <mergeCell ref="H286:H295"/>
    <mergeCell ref="A288:B292"/>
    <mergeCell ref="F294:G294"/>
    <mergeCell ref="F295:G295"/>
    <mergeCell ref="F346:G346"/>
    <mergeCell ref="F341:G341"/>
    <mergeCell ref="F342:G342"/>
    <mergeCell ref="A319:B325"/>
    <mergeCell ref="H319:H328"/>
    <mergeCell ref="F327:G327"/>
    <mergeCell ref="F328:G328"/>
    <mergeCell ref="A331:B332"/>
    <mergeCell ref="H331:H335"/>
    <mergeCell ref="A338:B338"/>
    <mergeCell ref="F338:G338"/>
    <mergeCell ref="H338:H344"/>
    <mergeCell ref="A339:B343"/>
    <mergeCell ref="F339:G339"/>
    <mergeCell ref="F340:G340"/>
    <mergeCell ref="F343:G343"/>
    <mergeCell ref="F344:G344"/>
    <mergeCell ref="A346:B346"/>
    <mergeCell ref="F334:G334"/>
    <mergeCell ref="F335:G335"/>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C000"/>
  </sheetPr>
  <dimension ref="B1:R90"/>
  <sheetViews>
    <sheetView topLeftCell="F43" zoomScaleNormal="100" workbookViewId="0">
      <selection activeCell="F68" sqref="F68"/>
    </sheetView>
  </sheetViews>
  <sheetFormatPr baseColWidth="10" defaultRowHeight="12.75" x14ac:dyDescent="0.25"/>
  <cols>
    <col min="1" max="1" width="9.85546875" style="2238" customWidth="1"/>
    <col min="2" max="2" width="5.140625" style="2238" customWidth="1"/>
    <col min="3" max="3" width="10.85546875" style="2238" customWidth="1"/>
    <col min="4" max="4" width="60.7109375" style="2238" customWidth="1"/>
    <col min="5" max="6" width="10.42578125" style="2238" customWidth="1"/>
    <col min="7" max="7" width="18.140625" style="2238" customWidth="1"/>
    <col min="8" max="8" width="5.28515625" style="2238" customWidth="1"/>
    <col min="9" max="9" width="5.140625" style="2238" customWidth="1"/>
    <col min="10" max="10" width="10.85546875" style="2238" customWidth="1"/>
    <col min="11" max="11" width="60.7109375" style="2238" customWidth="1"/>
    <col min="12" max="12" width="12.28515625" style="2238" customWidth="1"/>
    <col min="13" max="13" width="9.85546875" style="2238" customWidth="1"/>
    <col min="14" max="14" width="18.85546875" style="2238" customWidth="1"/>
    <col min="15" max="15" width="14.140625" style="2238" customWidth="1"/>
    <col min="16" max="16" width="18.42578125" style="2238" customWidth="1"/>
    <col min="17" max="17" width="7.140625" style="2238" customWidth="1"/>
    <col min="18" max="18" width="13.5703125" style="2238" bestFit="1" customWidth="1"/>
    <col min="19" max="142" width="11.42578125" style="2238"/>
    <col min="143" max="143" width="13" style="2238" bestFit="1" customWidth="1"/>
    <col min="144" max="144" width="31.5703125" style="2238" bestFit="1" customWidth="1"/>
    <col min="145" max="145" width="7.5703125" style="2238" bestFit="1" customWidth="1"/>
    <col min="146" max="146" width="7.85546875" style="2238" bestFit="1" customWidth="1"/>
    <col min="147" max="147" width="18.28515625" style="2238" customWidth="1"/>
    <col min="148" max="148" width="12.85546875" style="2238" customWidth="1"/>
    <col min="149" max="150" width="11.7109375" style="2238" customWidth="1"/>
    <col min="151" max="151" width="27.85546875" style="2238" customWidth="1"/>
    <col min="152" max="152" width="13.28515625" style="2238" customWidth="1"/>
    <col min="153" max="153" width="12.28515625" style="2238" bestFit="1" customWidth="1"/>
    <col min="154" max="154" width="11.5703125" style="2238" bestFit="1" customWidth="1"/>
    <col min="155" max="155" width="16" style="2238" bestFit="1" customWidth="1"/>
    <col min="156" max="158" width="11.7109375" style="2238" customWidth="1"/>
    <col min="159" max="159" width="52.5703125" style="2238" bestFit="1" customWidth="1"/>
    <col min="160" max="160" width="18.28515625" style="2238" customWidth="1"/>
    <col min="161" max="161" width="14.140625" style="2238" bestFit="1" customWidth="1"/>
    <col min="162" max="398" width="11.42578125" style="2238"/>
    <col min="399" max="399" width="13" style="2238" bestFit="1" customWidth="1"/>
    <col min="400" max="400" width="31.5703125" style="2238" bestFit="1" customWidth="1"/>
    <col min="401" max="401" width="7.5703125" style="2238" bestFit="1" customWidth="1"/>
    <col min="402" max="402" width="7.85546875" style="2238" bestFit="1" customWidth="1"/>
    <col min="403" max="403" width="18.28515625" style="2238" customWidth="1"/>
    <col min="404" max="404" width="12.85546875" style="2238" customWidth="1"/>
    <col min="405" max="406" width="11.7109375" style="2238" customWidth="1"/>
    <col min="407" max="407" width="27.85546875" style="2238" customWidth="1"/>
    <col min="408" max="408" width="13.28515625" style="2238" customWidth="1"/>
    <col min="409" max="409" width="12.28515625" style="2238" bestFit="1" customWidth="1"/>
    <col min="410" max="410" width="11.5703125" style="2238" bestFit="1" customWidth="1"/>
    <col min="411" max="411" width="16" style="2238" bestFit="1" customWidth="1"/>
    <col min="412" max="414" width="11.7109375" style="2238" customWidth="1"/>
    <col min="415" max="415" width="52.5703125" style="2238" bestFit="1" customWidth="1"/>
    <col min="416" max="416" width="18.28515625" style="2238" customWidth="1"/>
    <col min="417" max="417" width="14.140625" style="2238" bestFit="1" customWidth="1"/>
    <col min="418" max="654" width="11.42578125" style="2238"/>
    <col min="655" max="655" width="13" style="2238" bestFit="1" customWidth="1"/>
    <col min="656" max="656" width="31.5703125" style="2238" bestFit="1" customWidth="1"/>
    <col min="657" max="657" width="7.5703125" style="2238" bestFit="1" customWidth="1"/>
    <col min="658" max="658" width="7.85546875" style="2238" bestFit="1" customWidth="1"/>
    <col min="659" max="659" width="18.28515625" style="2238" customWidth="1"/>
    <col min="660" max="660" width="12.85546875" style="2238" customWidth="1"/>
    <col min="661" max="662" width="11.7109375" style="2238" customWidth="1"/>
    <col min="663" max="663" width="27.85546875" style="2238" customWidth="1"/>
    <col min="664" max="664" width="13.28515625" style="2238" customWidth="1"/>
    <col min="665" max="665" width="12.28515625" style="2238" bestFit="1" customWidth="1"/>
    <col min="666" max="666" width="11.5703125" style="2238" bestFit="1" customWidth="1"/>
    <col min="667" max="667" width="16" style="2238" bestFit="1" customWidth="1"/>
    <col min="668" max="670" width="11.7109375" style="2238" customWidth="1"/>
    <col min="671" max="671" width="52.5703125" style="2238" bestFit="1" customWidth="1"/>
    <col min="672" max="672" width="18.28515625" style="2238" customWidth="1"/>
    <col min="673" max="673" width="14.140625" style="2238" bestFit="1" customWidth="1"/>
    <col min="674" max="910" width="11.42578125" style="2238"/>
    <col min="911" max="911" width="13" style="2238" bestFit="1" customWidth="1"/>
    <col min="912" max="912" width="31.5703125" style="2238" bestFit="1" customWidth="1"/>
    <col min="913" max="913" width="7.5703125" style="2238" bestFit="1" customWidth="1"/>
    <col min="914" max="914" width="7.85546875" style="2238" bestFit="1" customWidth="1"/>
    <col min="915" max="915" width="18.28515625" style="2238" customWidth="1"/>
    <col min="916" max="916" width="12.85546875" style="2238" customWidth="1"/>
    <col min="917" max="918" width="11.7109375" style="2238" customWidth="1"/>
    <col min="919" max="919" width="27.85546875" style="2238" customWidth="1"/>
    <col min="920" max="920" width="13.28515625" style="2238" customWidth="1"/>
    <col min="921" max="921" width="12.28515625" style="2238" bestFit="1" customWidth="1"/>
    <col min="922" max="922" width="11.5703125" style="2238" bestFit="1" customWidth="1"/>
    <col min="923" max="923" width="16" style="2238" bestFit="1" customWidth="1"/>
    <col min="924" max="926" width="11.7109375" style="2238" customWidth="1"/>
    <col min="927" max="927" width="52.5703125" style="2238" bestFit="1" customWidth="1"/>
    <col min="928" max="928" width="18.28515625" style="2238" customWidth="1"/>
    <col min="929" max="929" width="14.140625" style="2238" bestFit="1" customWidth="1"/>
    <col min="930" max="1166" width="11.42578125" style="2238"/>
    <col min="1167" max="1167" width="13" style="2238" bestFit="1" customWidth="1"/>
    <col min="1168" max="1168" width="31.5703125" style="2238" bestFit="1" customWidth="1"/>
    <col min="1169" max="1169" width="7.5703125" style="2238" bestFit="1" customWidth="1"/>
    <col min="1170" max="1170" width="7.85546875" style="2238" bestFit="1" customWidth="1"/>
    <col min="1171" max="1171" width="18.28515625" style="2238" customWidth="1"/>
    <col min="1172" max="1172" width="12.85546875" style="2238" customWidth="1"/>
    <col min="1173" max="1174" width="11.7109375" style="2238" customWidth="1"/>
    <col min="1175" max="1175" width="27.85546875" style="2238" customWidth="1"/>
    <col min="1176" max="1176" width="13.28515625" style="2238" customWidth="1"/>
    <col min="1177" max="1177" width="12.28515625" style="2238" bestFit="1" customWidth="1"/>
    <col min="1178" max="1178" width="11.5703125" style="2238" bestFit="1" customWidth="1"/>
    <col min="1179" max="1179" width="16" style="2238" bestFit="1" customWidth="1"/>
    <col min="1180" max="1182" width="11.7109375" style="2238" customWidth="1"/>
    <col min="1183" max="1183" width="52.5703125" style="2238" bestFit="1" customWidth="1"/>
    <col min="1184" max="1184" width="18.28515625" style="2238" customWidth="1"/>
    <col min="1185" max="1185" width="14.140625" style="2238" bestFit="1" customWidth="1"/>
    <col min="1186" max="1422" width="11.42578125" style="2238"/>
    <col min="1423" max="1423" width="13" style="2238" bestFit="1" customWidth="1"/>
    <col min="1424" max="1424" width="31.5703125" style="2238" bestFit="1" customWidth="1"/>
    <col min="1425" max="1425" width="7.5703125" style="2238" bestFit="1" customWidth="1"/>
    <col min="1426" max="1426" width="7.85546875" style="2238" bestFit="1" customWidth="1"/>
    <col min="1427" max="1427" width="18.28515625" style="2238" customWidth="1"/>
    <col min="1428" max="1428" width="12.85546875" style="2238" customWidth="1"/>
    <col min="1429" max="1430" width="11.7109375" style="2238" customWidth="1"/>
    <col min="1431" max="1431" width="27.85546875" style="2238" customWidth="1"/>
    <col min="1432" max="1432" width="13.28515625" style="2238" customWidth="1"/>
    <col min="1433" max="1433" width="12.28515625" style="2238" bestFit="1" customWidth="1"/>
    <col min="1434" max="1434" width="11.5703125" style="2238" bestFit="1" customWidth="1"/>
    <col min="1435" max="1435" width="16" style="2238" bestFit="1" customWidth="1"/>
    <col min="1436" max="1438" width="11.7109375" style="2238" customWidth="1"/>
    <col min="1439" max="1439" width="52.5703125" style="2238" bestFit="1" customWidth="1"/>
    <col min="1440" max="1440" width="18.28515625" style="2238" customWidth="1"/>
    <col min="1441" max="1441" width="14.140625" style="2238" bestFit="1" customWidth="1"/>
    <col min="1442" max="1678" width="11.42578125" style="2238"/>
    <col min="1679" max="1679" width="13" style="2238" bestFit="1" customWidth="1"/>
    <col min="1680" max="1680" width="31.5703125" style="2238" bestFit="1" customWidth="1"/>
    <col min="1681" max="1681" width="7.5703125" style="2238" bestFit="1" customWidth="1"/>
    <col min="1682" max="1682" width="7.85546875" style="2238" bestFit="1" customWidth="1"/>
    <col min="1683" max="1683" width="18.28515625" style="2238" customWidth="1"/>
    <col min="1684" max="1684" width="12.85546875" style="2238" customWidth="1"/>
    <col min="1685" max="1686" width="11.7109375" style="2238" customWidth="1"/>
    <col min="1687" max="1687" width="27.85546875" style="2238" customWidth="1"/>
    <col min="1688" max="1688" width="13.28515625" style="2238" customWidth="1"/>
    <col min="1689" max="1689" width="12.28515625" style="2238" bestFit="1" customWidth="1"/>
    <col min="1690" max="1690" width="11.5703125" style="2238" bestFit="1" customWidth="1"/>
    <col min="1691" max="1691" width="16" style="2238" bestFit="1" customWidth="1"/>
    <col min="1692" max="1694" width="11.7109375" style="2238" customWidth="1"/>
    <col min="1695" max="1695" width="52.5703125" style="2238" bestFit="1" customWidth="1"/>
    <col min="1696" max="1696" width="18.28515625" style="2238" customWidth="1"/>
    <col min="1697" max="1697" width="14.140625" style="2238" bestFit="1" customWidth="1"/>
    <col min="1698" max="1934" width="11.42578125" style="2238"/>
    <col min="1935" max="1935" width="13" style="2238" bestFit="1" customWidth="1"/>
    <col min="1936" max="1936" width="31.5703125" style="2238" bestFit="1" customWidth="1"/>
    <col min="1937" max="1937" width="7.5703125" style="2238" bestFit="1" customWidth="1"/>
    <col min="1938" max="1938" width="7.85546875" style="2238" bestFit="1" customWidth="1"/>
    <col min="1939" max="1939" width="18.28515625" style="2238" customWidth="1"/>
    <col min="1940" max="1940" width="12.85546875" style="2238" customWidth="1"/>
    <col min="1941" max="1942" width="11.7109375" style="2238" customWidth="1"/>
    <col min="1943" max="1943" width="27.85546875" style="2238" customWidth="1"/>
    <col min="1944" max="1944" width="13.28515625" style="2238" customWidth="1"/>
    <col min="1945" max="1945" width="12.28515625" style="2238" bestFit="1" customWidth="1"/>
    <col min="1946" max="1946" width="11.5703125" style="2238" bestFit="1" customWidth="1"/>
    <col min="1947" max="1947" width="16" style="2238" bestFit="1" customWidth="1"/>
    <col min="1948" max="1950" width="11.7109375" style="2238" customWidth="1"/>
    <col min="1951" max="1951" width="52.5703125" style="2238" bestFit="1" customWidth="1"/>
    <col min="1952" max="1952" width="18.28515625" style="2238" customWidth="1"/>
    <col min="1953" max="1953" width="14.140625" style="2238" bestFit="1" customWidth="1"/>
    <col min="1954" max="2190" width="11.42578125" style="2238"/>
    <col min="2191" max="2191" width="13" style="2238" bestFit="1" customWidth="1"/>
    <col min="2192" max="2192" width="31.5703125" style="2238" bestFit="1" customWidth="1"/>
    <col min="2193" max="2193" width="7.5703125" style="2238" bestFit="1" customWidth="1"/>
    <col min="2194" max="2194" width="7.85546875" style="2238" bestFit="1" customWidth="1"/>
    <col min="2195" max="2195" width="18.28515625" style="2238" customWidth="1"/>
    <col min="2196" max="2196" width="12.85546875" style="2238" customWidth="1"/>
    <col min="2197" max="2198" width="11.7109375" style="2238" customWidth="1"/>
    <col min="2199" max="2199" width="27.85546875" style="2238" customWidth="1"/>
    <col min="2200" max="2200" width="13.28515625" style="2238" customWidth="1"/>
    <col min="2201" max="2201" width="12.28515625" style="2238" bestFit="1" customWidth="1"/>
    <col min="2202" max="2202" width="11.5703125" style="2238" bestFit="1" customWidth="1"/>
    <col min="2203" max="2203" width="16" style="2238" bestFit="1" customWidth="1"/>
    <col min="2204" max="2206" width="11.7109375" style="2238" customWidth="1"/>
    <col min="2207" max="2207" width="52.5703125" style="2238" bestFit="1" customWidth="1"/>
    <col min="2208" max="2208" width="18.28515625" style="2238" customWidth="1"/>
    <col min="2209" max="2209" width="14.140625" style="2238" bestFit="1" customWidth="1"/>
    <col min="2210" max="2446" width="11.42578125" style="2238"/>
    <col min="2447" max="2447" width="13" style="2238" bestFit="1" customWidth="1"/>
    <col min="2448" max="2448" width="31.5703125" style="2238" bestFit="1" customWidth="1"/>
    <col min="2449" max="2449" width="7.5703125" style="2238" bestFit="1" customWidth="1"/>
    <col min="2450" max="2450" width="7.85546875" style="2238" bestFit="1" customWidth="1"/>
    <col min="2451" max="2451" width="18.28515625" style="2238" customWidth="1"/>
    <col min="2452" max="2452" width="12.85546875" style="2238" customWidth="1"/>
    <col min="2453" max="2454" width="11.7109375" style="2238" customWidth="1"/>
    <col min="2455" max="2455" width="27.85546875" style="2238" customWidth="1"/>
    <col min="2456" max="2456" width="13.28515625" style="2238" customWidth="1"/>
    <col min="2457" max="2457" width="12.28515625" style="2238" bestFit="1" customWidth="1"/>
    <col min="2458" max="2458" width="11.5703125" style="2238" bestFit="1" customWidth="1"/>
    <col min="2459" max="2459" width="16" style="2238" bestFit="1" customWidth="1"/>
    <col min="2460" max="2462" width="11.7109375" style="2238" customWidth="1"/>
    <col min="2463" max="2463" width="52.5703125" style="2238" bestFit="1" customWidth="1"/>
    <col min="2464" max="2464" width="18.28515625" style="2238" customWidth="1"/>
    <col min="2465" max="2465" width="14.140625" style="2238" bestFit="1" customWidth="1"/>
    <col min="2466" max="2702" width="11.42578125" style="2238"/>
    <col min="2703" max="2703" width="13" style="2238" bestFit="1" customWidth="1"/>
    <col min="2704" max="2704" width="31.5703125" style="2238" bestFit="1" customWidth="1"/>
    <col min="2705" max="2705" width="7.5703125" style="2238" bestFit="1" customWidth="1"/>
    <col min="2706" max="2706" width="7.85546875" style="2238" bestFit="1" customWidth="1"/>
    <col min="2707" max="2707" width="18.28515625" style="2238" customWidth="1"/>
    <col min="2708" max="2708" width="12.85546875" style="2238" customWidth="1"/>
    <col min="2709" max="2710" width="11.7109375" style="2238" customWidth="1"/>
    <col min="2711" max="2711" width="27.85546875" style="2238" customWidth="1"/>
    <col min="2712" max="2712" width="13.28515625" style="2238" customWidth="1"/>
    <col min="2713" max="2713" width="12.28515625" style="2238" bestFit="1" customWidth="1"/>
    <col min="2714" max="2714" width="11.5703125" style="2238" bestFit="1" customWidth="1"/>
    <col min="2715" max="2715" width="16" style="2238" bestFit="1" customWidth="1"/>
    <col min="2716" max="2718" width="11.7109375" style="2238" customWidth="1"/>
    <col min="2719" max="2719" width="52.5703125" style="2238" bestFit="1" customWidth="1"/>
    <col min="2720" max="2720" width="18.28515625" style="2238" customWidth="1"/>
    <col min="2721" max="2721" width="14.140625" style="2238" bestFit="1" customWidth="1"/>
    <col min="2722" max="2958" width="11.42578125" style="2238"/>
    <col min="2959" max="2959" width="13" style="2238" bestFit="1" customWidth="1"/>
    <col min="2960" max="2960" width="31.5703125" style="2238" bestFit="1" customWidth="1"/>
    <col min="2961" max="2961" width="7.5703125" style="2238" bestFit="1" customWidth="1"/>
    <col min="2962" max="2962" width="7.85546875" style="2238" bestFit="1" customWidth="1"/>
    <col min="2963" max="2963" width="18.28515625" style="2238" customWidth="1"/>
    <col min="2964" max="2964" width="12.85546875" style="2238" customWidth="1"/>
    <col min="2965" max="2966" width="11.7109375" style="2238" customWidth="1"/>
    <col min="2967" max="2967" width="27.85546875" style="2238" customWidth="1"/>
    <col min="2968" max="2968" width="13.28515625" style="2238" customWidth="1"/>
    <col min="2969" max="2969" width="12.28515625" style="2238" bestFit="1" customWidth="1"/>
    <col min="2970" max="2970" width="11.5703125" style="2238" bestFit="1" customWidth="1"/>
    <col min="2971" max="2971" width="16" style="2238" bestFit="1" customWidth="1"/>
    <col min="2972" max="2974" width="11.7109375" style="2238" customWidth="1"/>
    <col min="2975" max="2975" width="52.5703125" style="2238" bestFit="1" customWidth="1"/>
    <col min="2976" max="2976" width="18.28515625" style="2238" customWidth="1"/>
    <col min="2977" max="2977" width="14.140625" style="2238" bestFit="1" customWidth="1"/>
    <col min="2978" max="3214" width="11.42578125" style="2238"/>
    <col min="3215" max="3215" width="13" style="2238" bestFit="1" customWidth="1"/>
    <col min="3216" max="3216" width="31.5703125" style="2238" bestFit="1" customWidth="1"/>
    <col min="3217" max="3217" width="7.5703125" style="2238" bestFit="1" customWidth="1"/>
    <col min="3218" max="3218" width="7.85546875" style="2238" bestFit="1" customWidth="1"/>
    <col min="3219" max="3219" width="18.28515625" style="2238" customWidth="1"/>
    <col min="3220" max="3220" width="12.85546875" style="2238" customWidth="1"/>
    <col min="3221" max="3222" width="11.7109375" style="2238" customWidth="1"/>
    <col min="3223" max="3223" width="27.85546875" style="2238" customWidth="1"/>
    <col min="3224" max="3224" width="13.28515625" style="2238" customWidth="1"/>
    <col min="3225" max="3225" width="12.28515625" style="2238" bestFit="1" customWidth="1"/>
    <col min="3226" max="3226" width="11.5703125" style="2238" bestFit="1" customWidth="1"/>
    <col min="3227" max="3227" width="16" style="2238" bestFit="1" customWidth="1"/>
    <col min="3228" max="3230" width="11.7109375" style="2238" customWidth="1"/>
    <col min="3231" max="3231" width="52.5703125" style="2238" bestFit="1" customWidth="1"/>
    <col min="3232" max="3232" width="18.28515625" style="2238" customWidth="1"/>
    <col min="3233" max="3233" width="14.140625" style="2238" bestFit="1" customWidth="1"/>
    <col min="3234" max="3470" width="11.42578125" style="2238"/>
    <col min="3471" max="3471" width="13" style="2238" bestFit="1" customWidth="1"/>
    <col min="3472" max="3472" width="31.5703125" style="2238" bestFit="1" customWidth="1"/>
    <col min="3473" max="3473" width="7.5703125" style="2238" bestFit="1" customWidth="1"/>
    <col min="3474" max="3474" width="7.85546875" style="2238" bestFit="1" customWidth="1"/>
    <col min="3475" max="3475" width="18.28515625" style="2238" customWidth="1"/>
    <col min="3476" max="3476" width="12.85546875" style="2238" customWidth="1"/>
    <col min="3477" max="3478" width="11.7109375" style="2238" customWidth="1"/>
    <col min="3479" max="3479" width="27.85546875" style="2238" customWidth="1"/>
    <col min="3480" max="3480" width="13.28515625" style="2238" customWidth="1"/>
    <col min="3481" max="3481" width="12.28515625" style="2238" bestFit="1" customWidth="1"/>
    <col min="3482" max="3482" width="11.5703125" style="2238" bestFit="1" customWidth="1"/>
    <col min="3483" max="3483" width="16" style="2238" bestFit="1" customWidth="1"/>
    <col min="3484" max="3486" width="11.7109375" style="2238" customWidth="1"/>
    <col min="3487" max="3487" width="52.5703125" style="2238" bestFit="1" customWidth="1"/>
    <col min="3488" max="3488" width="18.28515625" style="2238" customWidth="1"/>
    <col min="3489" max="3489" width="14.140625" style="2238" bestFit="1" customWidth="1"/>
    <col min="3490" max="3726" width="11.42578125" style="2238"/>
    <col min="3727" max="3727" width="13" style="2238" bestFit="1" customWidth="1"/>
    <col min="3728" max="3728" width="31.5703125" style="2238" bestFit="1" customWidth="1"/>
    <col min="3729" max="3729" width="7.5703125" style="2238" bestFit="1" customWidth="1"/>
    <col min="3730" max="3730" width="7.85546875" style="2238" bestFit="1" customWidth="1"/>
    <col min="3731" max="3731" width="18.28515625" style="2238" customWidth="1"/>
    <col min="3732" max="3732" width="12.85546875" style="2238" customWidth="1"/>
    <col min="3733" max="3734" width="11.7109375" style="2238" customWidth="1"/>
    <col min="3735" max="3735" width="27.85546875" style="2238" customWidth="1"/>
    <col min="3736" max="3736" width="13.28515625" style="2238" customWidth="1"/>
    <col min="3737" max="3737" width="12.28515625" style="2238" bestFit="1" customWidth="1"/>
    <col min="3738" max="3738" width="11.5703125" style="2238" bestFit="1" customWidth="1"/>
    <col min="3739" max="3739" width="16" style="2238" bestFit="1" customWidth="1"/>
    <col min="3740" max="3742" width="11.7109375" style="2238" customWidth="1"/>
    <col min="3743" max="3743" width="52.5703125" style="2238" bestFit="1" customWidth="1"/>
    <col min="3744" max="3744" width="18.28515625" style="2238" customWidth="1"/>
    <col min="3745" max="3745" width="14.140625" style="2238" bestFit="1" customWidth="1"/>
    <col min="3746" max="3982" width="11.42578125" style="2238"/>
    <col min="3983" max="3983" width="13" style="2238" bestFit="1" customWidth="1"/>
    <col min="3984" max="3984" width="31.5703125" style="2238" bestFit="1" customWidth="1"/>
    <col min="3985" max="3985" width="7.5703125" style="2238" bestFit="1" customWidth="1"/>
    <col min="3986" max="3986" width="7.85546875" style="2238" bestFit="1" customWidth="1"/>
    <col min="3987" max="3987" width="18.28515625" style="2238" customWidth="1"/>
    <col min="3988" max="3988" width="12.85546875" style="2238" customWidth="1"/>
    <col min="3989" max="3990" width="11.7109375" style="2238" customWidth="1"/>
    <col min="3991" max="3991" width="27.85546875" style="2238" customWidth="1"/>
    <col min="3992" max="3992" width="13.28515625" style="2238" customWidth="1"/>
    <col min="3993" max="3993" width="12.28515625" style="2238" bestFit="1" customWidth="1"/>
    <col min="3994" max="3994" width="11.5703125" style="2238" bestFit="1" customWidth="1"/>
    <col min="3995" max="3995" width="16" style="2238" bestFit="1" customWidth="1"/>
    <col min="3996" max="3998" width="11.7109375" style="2238" customWidth="1"/>
    <col min="3999" max="3999" width="52.5703125" style="2238" bestFit="1" customWidth="1"/>
    <col min="4000" max="4000" width="18.28515625" style="2238" customWidth="1"/>
    <col min="4001" max="4001" width="14.140625" style="2238" bestFit="1" customWidth="1"/>
    <col min="4002" max="4238" width="11.42578125" style="2238"/>
    <col min="4239" max="4239" width="13" style="2238" bestFit="1" customWidth="1"/>
    <col min="4240" max="4240" width="31.5703125" style="2238" bestFit="1" customWidth="1"/>
    <col min="4241" max="4241" width="7.5703125" style="2238" bestFit="1" customWidth="1"/>
    <col min="4242" max="4242" width="7.85546875" style="2238" bestFit="1" customWidth="1"/>
    <col min="4243" max="4243" width="18.28515625" style="2238" customWidth="1"/>
    <col min="4244" max="4244" width="12.85546875" style="2238" customWidth="1"/>
    <col min="4245" max="4246" width="11.7109375" style="2238" customWidth="1"/>
    <col min="4247" max="4247" width="27.85546875" style="2238" customWidth="1"/>
    <col min="4248" max="4248" width="13.28515625" style="2238" customWidth="1"/>
    <col min="4249" max="4249" width="12.28515625" style="2238" bestFit="1" customWidth="1"/>
    <col min="4250" max="4250" width="11.5703125" style="2238" bestFit="1" customWidth="1"/>
    <col min="4251" max="4251" width="16" style="2238" bestFit="1" customWidth="1"/>
    <col min="4252" max="4254" width="11.7109375" style="2238" customWidth="1"/>
    <col min="4255" max="4255" width="52.5703125" style="2238" bestFit="1" customWidth="1"/>
    <col min="4256" max="4256" width="18.28515625" style="2238" customWidth="1"/>
    <col min="4257" max="4257" width="14.140625" style="2238" bestFit="1" customWidth="1"/>
    <col min="4258" max="4494" width="11.42578125" style="2238"/>
    <col min="4495" max="4495" width="13" style="2238" bestFit="1" customWidth="1"/>
    <col min="4496" max="4496" width="31.5703125" style="2238" bestFit="1" customWidth="1"/>
    <col min="4497" max="4497" width="7.5703125" style="2238" bestFit="1" customWidth="1"/>
    <col min="4498" max="4498" width="7.85546875" style="2238" bestFit="1" customWidth="1"/>
    <col min="4499" max="4499" width="18.28515625" style="2238" customWidth="1"/>
    <col min="4500" max="4500" width="12.85546875" style="2238" customWidth="1"/>
    <col min="4501" max="4502" width="11.7109375" style="2238" customWidth="1"/>
    <col min="4503" max="4503" width="27.85546875" style="2238" customWidth="1"/>
    <col min="4504" max="4504" width="13.28515625" style="2238" customWidth="1"/>
    <col min="4505" max="4505" width="12.28515625" style="2238" bestFit="1" customWidth="1"/>
    <col min="4506" max="4506" width="11.5703125" style="2238" bestFit="1" customWidth="1"/>
    <col min="4507" max="4507" width="16" style="2238" bestFit="1" customWidth="1"/>
    <col min="4508" max="4510" width="11.7109375" style="2238" customWidth="1"/>
    <col min="4511" max="4511" width="52.5703125" style="2238" bestFit="1" customWidth="1"/>
    <col min="4512" max="4512" width="18.28515625" style="2238" customWidth="1"/>
    <col min="4513" max="4513" width="14.140625" style="2238" bestFit="1" customWidth="1"/>
    <col min="4514" max="4750" width="11.42578125" style="2238"/>
    <col min="4751" max="4751" width="13" style="2238" bestFit="1" customWidth="1"/>
    <col min="4752" max="4752" width="31.5703125" style="2238" bestFit="1" customWidth="1"/>
    <col min="4753" max="4753" width="7.5703125" style="2238" bestFit="1" customWidth="1"/>
    <col min="4754" max="4754" width="7.85546875" style="2238" bestFit="1" customWidth="1"/>
    <col min="4755" max="4755" width="18.28515625" style="2238" customWidth="1"/>
    <col min="4756" max="4756" width="12.85546875" style="2238" customWidth="1"/>
    <col min="4757" max="4758" width="11.7109375" style="2238" customWidth="1"/>
    <col min="4759" max="4759" width="27.85546875" style="2238" customWidth="1"/>
    <col min="4760" max="4760" width="13.28515625" style="2238" customWidth="1"/>
    <col min="4761" max="4761" width="12.28515625" style="2238" bestFit="1" customWidth="1"/>
    <col min="4762" max="4762" width="11.5703125" style="2238" bestFit="1" customWidth="1"/>
    <col min="4763" max="4763" width="16" style="2238" bestFit="1" customWidth="1"/>
    <col min="4764" max="4766" width="11.7109375" style="2238" customWidth="1"/>
    <col min="4767" max="4767" width="52.5703125" style="2238" bestFit="1" customWidth="1"/>
    <col min="4768" max="4768" width="18.28515625" style="2238" customWidth="1"/>
    <col min="4769" max="4769" width="14.140625" style="2238" bestFit="1" customWidth="1"/>
    <col min="4770" max="5006" width="11.42578125" style="2238"/>
    <col min="5007" max="5007" width="13" style="2238" bestFit="1" customWidth="1"/>
    <col min="5008" max="5008" width="31.5703125" style="2238" bestFit="1" customWidth="1"/>
    <col min="5009" max="5009" width="7.5703125" style="2238" bestFit="1" customWidth="1"/>
    <col min="5010" max="5010" width="7.85546875" style="2238" bestFit="1" customWidth="1"/>
    <col min="5011" max="5011" width="18.28515625" style="2238" customWidth="1"/>
    <col min="5012" max="5012" width="12.85546875" style="2238" customWidth="1"/>
    <col min="5013" max="5014" width="11.7109375" style="2238" customWidth="1"/>
    <col min="5015" max="5015" width="27.85546875" style="2238" customWidth="1"/>
    <col min="5016" max="5016" width="13.28515625" style="2238" customWidth="1"/>
    <col min="5017" max="5017" width="12.28515625" style="2238" bestFit="1" customWidth="1"/>
    <col min="5018" max="5018" width="11.5703125" style="2238" bestFit="1" customWidth="1"/>
    <col min="5019" max="5019" width="16" style="2238" bestFit="1" customWidth="1"/>
    <col min="5020" max="5022" width="11.7109375" style="2238" customWidth="1"/>
    <col min="5023" max="5023" width="52.5703125" style="2238" bestFit="1" customWidth="1"/>
    <col min="5024" max="5024" width="18.28515625" style="2238" customWidth="1"/>
    <col min="5025" max="5025" width="14.140625" style="2238" bestFit="1" customWidth="1"/>
    <col min="5026" max="5262" width="11.42578125" style="2238"/>
    <col min="5263" max="5263" width="13" style="2238" bestFit="1" customWidth="1"/>
    <col min="5264" max="5264" width="31.5703125" style="2238" bestFit="1" customWidth="1"/>
    <col min="5265" max="5265" width="7.5703125" style="2238" bestFit="1" customWidth="1"/>
    <col min="5266" max="5266" width="7.85546875" style="2238" bestFit="1" customWidth="1"/>
    <col min="5267" max="5267" width="18.28515625" style="2238" customWidth="1"/>
    <col min="5268" max="5268" width="12.85546875" style="2238" customWidth="1"/>
    <col min="5269" max="5270" width="11.7109375" style="2238" customWidth="1"/>
    <col min="5271" max="5271" width="27.85546875" style="2238" customWidth="1"/>
    <col min="5272" max="5272" width="13.28515625" style="2238" customWidth="1"/>
    <col min="5273" max="5273" width="12.28515625" style="2238" bestFit="1" customWidth="1"/>
    <col min="5274" max="5274" width="11.5703125" style="2238" bestFit="1" customWidth="1"/>
    <col min="5275" max="5275" width="16" style="2238" bestFit="1" customWidth="1"/>
    <col min="5276" max="5278" width="11.7109375" style="2238" customWidth="1"/>
    <col min="5279" max="5279" width="52.5703125" style="2238" bestFit="1" customWidth="1"/>
    <col min="5280" max="5280" width="18.28515625" style="2238" customWidth="1"/>
    <col min="5281" max="5281" width="14.140625" style="2238" bestFit="1" customWidth="1"/>
    <col min="5282" max="5518" width="11.42578125" style="2238"/>
    <col min="5519" max="5519" width="13" style="2238" bestFit="1" customWidth="1"/>
    <col min="5520" max="5520" width="31.5703125" style="2238" bestFit="1" customWidth="1"/>
    <col min="5521" max="5521" width="7.5703125" style="2238" bestFit="1" customWidth="1"/>
    <col min="5522" max="5522" width="7.85546875" style="2238" bestFit="1" customWidth="1"/>
    <col min="5523" max="5523" width="18.28515625" style="2238" customWidth="1"/>
    <col min="5524" max="5524" width="12.85546875" style="2238" customWidth="1"/>
    <col min="5525" max="5526" width="11.7109375" style="2238" customWidth="1"/>
    <col min="5527" max="5527" width="27.85546875" style="2238" customWidth="1"/>
    <col min="5528" max="5528" width="13.28515625" style="2238" customWidth="1"/>
    <col min="5529" max="5529" width="12.28515625" style="2238" bestFit="1" customWidth="1"/>
    <col min="5530" max="5530" width="11.5703125" style="2238" bestFit="1" customWidth="1"/>
    <col min="5531" max="5531" width="16" style="2238" bestFit="1" customWidth="1"/>
    <col min="5532" max="5534" width="11.7109375" style="2238" customWidth="1"/>
    <col min="5535" max="5535" width="52.5703125" style="2238" bestFit="1" customWidth="1"/>
    <col min="5536" max="5536" width="18.28515625" style="2238" customWidth="1"/>
    <col min="5537" max="5537" width="14.140625" style="2238" bestFit="1" customWidth="1"/>
    <col min="5538" max="5774" width="11.42578125" style="2238"/>
    <col min="5775" max="5775" width="13" style="2238" bestFit="1" customWidth="1"/>
    <col min="5776" max="5776" width="31.5703125" style="2238" bestFit="1" customWidth="1"/>
    <col min="5777" max="5777" width="7.5703125" style="2238" bestFit="1" customWidth="1"/>
    <col min="5778" max="5778" width="7.85546875" style="2238" bestFit="1" customWidth="1"/>
    <col min="5779" max="5779" width="18.28515625" style="2238" customWidth="1"/>
    <col min="5780" max="5780" width="12.85546875" style="2238" customWidth="1"/>
    <col min="5781" max="5782" width="11.7109375" style="2238" customWidth="1"/>
    <col min="5783" max="5783" width="27.85546875" style="2238" customWidth="1"/>
    <col min="5784" max="5784" width="13.28515625" style="2238" customWidth="1"/>
    <col min="5785" max="5785" width="12.28515625" style="2238" bestFit="1" customWidth="1"/>
    <col min="5786" max="5786" width="11.5703125" style="2238" bestFit="1" customWidth="1"/>
    <col min="5787" max="5787" width="16" style="2238" bestFit="1" customWidth="1"/>
    <col min="5788" max="5790" width="11.7109375" style="2238" customWidth="1"/>
    <col min="5791" max="5791" width="52.5703125" style="2238" bestFit="1" customWidth="1"/>
    <col min="5792" max="5792" width="18.28515625" style="2238" customWidth="1"/>
    <col min="5793" max="5793" width="14.140625" style="2238" bestFit="1" customWidth="1"/>
    <col min="5794" max="6030" width="11.42578125" style="2238"/>
    <col min="6031" max="6031" width="13" style="2238" bestFit="1" customWidth="1"/>
    <col min="6032" max="6032" width="31.5703125" style="2238" bestFit="1" customWidth="1"/>
    <col min="6033" max="6033" width="7.5703125" style="2238" bestFit="1" customWidth="1"/>
    <col min="6034" max="6034" width="7.85546875" style="2238" bestFit="1" customWidth="1"/>
    <col min="6035" max="6035" width="18.28515625" style="2238" customWidth="1"/>
    <col min="6036" max="6036" width="12.85546875" style="2238" customWidth="1"/>
    <col min="6037" max="6038" width="11.7109375" style="2238" customWidth="1"/>
    <col min="6039" max="6039" width="27.85546875" style="2238" customWidth="1"/>
    <col min="6040" max="6040" width="13.28515625" style="2238" customWidth="1"/>
    <col min="6041" max="6041" width="12.28515625" style="2238" bestFit="1" customWidth="1"/>
    <col min="6042" max="6042" width="11.5703125" style="2238" bestFit="1" customWidth="1"/>
    <col min="6043" max="6043" width="16" style="2238" bestFit="1" customWidth="1"/>
    <col min="6044" max="6046" width="11.7109375" style="2238" customWidth="1"/>
    <col min="6047" max="6047" width="52.5703125" style="2238" bestFit="1" customWidth="1"/>
    <col min="6048" max="6048" width="18.28515625" style="2238" customWidth="1"/>
    <col min="6049" max="6049" width="14.140625" style="2238" bestFit="1" customWidth="1"/>
    <col min="6050" max="6286" width="11.42578125" style="2238"/>
    <col min="6287" max="6287" width="13" style="2238" bestFit="1" customWidth="1"/>
    <col min="6288" max="6288" width="31.5703125" style="2238" bestFit="1" customWidth="1"/>
    <col min="6289" max="6289" width="7.5703125" style="2238" bestFit="1" customWidth="1"/>
    <col min="6290" max="6290" width="7.85546875" style="2238" bestFit="1" customWidth="1"/>
    <col min="6291" max="6291" width="18.28515625" style="2238" customWidth="1"/>
    <col min="6292" max="6292" width="12.85546875" style="2238" customWidth="1"/>
    <col min="6293" max="6294" width="11.7109375" style="2238" customWidth="1"/>
    <col min="6295" max="6295" width="27.85546875" style="2238" customWidth="1"/>
    <col min="6296" max="6296" width="13.28515625" style="2238" customWidth="1"/>
    <col min="6297" max="6297" width="12.28515625" style="2238" bestFit="1" customWidth="1"/>
    <col min="6298" max="6298" width="11.5703125" style="2238" bestFit="1" customWidth="1"/>
    <col min="6299" max="6299" width="16" style="2238" bestFit="1" customWidth="1"/>
    <col min="6300" max="6302" width="11.7109375" style="2238" customWidth="1"/>
    <col min="6303" max="6303" width="52.5703125" style="2238" bestFit="1" customWidth="1"/>
    <col min="6304" max="6304" width="18.28515625" style="2238" customWidth="1"/>
    <col min="6305" max="6305" width="14.140625" style="2238" bestFit="1" customWidth="1"/>
    <col min="6306" max="6542" width="11.42578125" style="2238"/>
    <col min="6543" max="6543" width="13" style="2238" bestFit="1" customWidth="1"/>
    <col min="6544" max="6544" width="31.5703125" style="2238" bestFit="1" customWidth="1"/>
    <col min="6545" max="6545" width="7.5703125" style="2238" bestFit="1" customWidth="1"/>
    <col min="6546" max="6546" width="7.85546875" style="2238" bestFit="1" customWidth="1"/>
    <col min="6547" max="6547" width="18.28515625" style="2238" customWidth="1"/>
    <col min="6548" max="6548" width="12.85546875" style="2238" customWidth="1"/>
    <col min="6549" max="6550" width="11.7109375" style="2238" customWidth="1"/>
    <col min="6551" max="6551" width="27.85546875" style="2238" customWidth="1"/>
    <col min="6552" max="6552" width="13.28515625" style="2238" customWidth="1"/>
    <col min="6553" max="6553" width="12.28515625" style="2238" bestFit="1" customWidth="1"/>
    <col min="6554" max="6554" width="11.5703125" style="2238" bestFit="1" customWidth="1"/>
    <col min="6555" max="6555" width="16" style="2238" bestFit="1" customWidth="1"/>
    <col min="6556" max="6558" width="11.7109375" style="2238" customWidth="1"/>
    <col min="6559" max="6559" width="52.5703125" style="2238" bestFit="1" customWidth="1"/>
    <col min="6560" max="6560" width="18.28515625" style="2238" customWidth="1"/>
    <col min="6561" max="6561" width="14.140625" style="2238" bestFit="1" customWidth="1"/>
    <col min="6562" max="6798" width="11.42578125" style="2238"/>
    <col min="6799" max="6799" width="13" style="2238" bestFit="1" customWidth="1"/>
    <col min="6800" max="6800" width="31.5703125" style="2238" bestFit="1" customWidth="1"/>
    <col min="6801" max="6801" width="7.5703125" style="2238" bestFit="1" customWidth="1"/>
    <col min="6802" max="6802" width="7.85546875" style="2238" bestFit="1" customWidth="1"/>
    <col min="6803" max="6803" width="18.28515625" style="2238" customWidth="1"/>
    <col min="6804" max="6804" width="12.85546875" style="2238" customWidth="1"/>
    <col min="6805" max="6806" width="11.7109375" style="2238" customWidth="1"/>
    <col min="6807" max="6807" width="27.85546875" style="2238" customWidth="1"/>
    <col min="6808" max="6808" width="13.28515625" style="2238" customWidth="1"/>
    <col min="6809" max="6809" width="12.28515625" style="2238" bestFit="1" customWidth="1"/>
    <col min="6810" max="6810" width="11.5703125" style="2238" bestFit="1" customWidth="1"/>
    <col min="6811" max="6811" width="16" style="2238" bestFit="1" customWidth="1"/>
    <col min="6812" max="6814" width="11.7109375" style="2238" customWidth="1"/>
    <col min="6815" max="6815" width="52.5703125" style="2238" bestFit="1" customWidth="1"/>
    <col min="6816" max="6816" width="18.28515625" style="2238" customWidth="1"/>
    <col min="6817" max="6817" width="14.140625" style="2238" bestFit="1" customWidth="1"/>
    <col min="6818" max="7054" width="11.42578125" style="2238"/>
    <col min="7055" max="7055" width="13" style="2238" bestFit="1" customWidth="1"/>
    <col min="7056" max="7056" width="31.5703125" style="2238" bestFit="1" customWidth="1"/>
    <col min="7057" max="7057" width="7.5703125" style="2238" bestFit="1" customWidth="1"/>
    <col min="7058" max="7058" width="7.85546875" style="2238" bestFit="1" customWidth="1"/>
    <col min="7059" max="7059" width="18.28515625" style="2238" customWidth="1"/>
    <col min="7060" max="7060" width="12.85546875" style="2238" customWidth="1"/>
    <col min="7061" max="7062" width="11.7109375" style="2238" customWidth="1"/>
    <col min="7063" max="7063" width="27.85546875" style="2238" customWidth="1"/>
    <col min="7064" max="7064" width="13.28515625" style="2238" customWidth="1"/>
    <col min="7065" max="7065" width="12.28515625" style="2238" bestFit="1" customWidth="1"/>
    <col min="7066" max="7066" width="11.5703125" style="2238" bestFit="1" customWidth="1"/>
    <col min="7067" max="7067" width="16" style="2238" bestFit="1" customWidth="1"/>
    <col min="7068" max="7070" width="11.7109375" style="2238" customWidth="1"/>
    <col min="7071" max="7071" width="52.5703125" style="2238" bestFit="1" customWidth="1"/>
    <col min="7072" max="7072" width="18.28515625" style="2238" customWidth="1"/>
    <col min="7073" max="7073" width="14.140625" style="2238" bestFit="1" customWidth="1"/>
    <col min="7074" max="7310" width="11.42578125" style="2238"/>
    <col min="7311" max="7311" width="13" style="2238" bestFit="1" customWidth="1"/>
    <col min="7312" max="7312" width="31.5703125" style="2238" bestFit="1" customWidth="1"/>
    <col min="7313" max="7313" width="7.5703125" style="2238" bestFit="1" customWidth="1"/>
    <col min="7314" max="7314" width="7.85546875" style="2238" bestFit="1" customWidth="1"/>
    <col min="7315" max="7315" width="18.28515625" style="2238" customWidth="1"/>
    <col min="7316" max="7316" width="12.85546875" style="2238" customWidth="1"/>
    <col min="7317" max="7318" width="11.7109375" style="2238" customWidth="1"/>
    <col min="7319" max="7319" width="27.85546875" style="2238" customWidth="1"/>
    <col min="7320" max="7320" width="13.28515625" style="2238" customWidth="1"/>
    <col min="7321" max="7321" width="12.28515625" style="2238" bestFit="1" customWidth="1"/>
    <col min="7322" max="7322" width="11.5703125" style="2238" bestFit="1" customWidth="1"/>
    <col min="7323" max="7323" width="16" style="2238" bestFit="1" customWidth="1"/>
    <col min="7324" max="7326" width="11.7109375" style="2238" customWidth="1"/>
    <col min="7327" max="7327" width="52.5703125" style="2238" bestFit="1" customWidth="1"/>
    <col min="7328" max="7328" width="18.28515625" style="2238" customWidth="1"/>
    <col min="7329" max="7329" width="14.140625" style="2238" bestFit="1" customWidth="1"/>
    <col min="7330" max="7566" width="11.42578125" style="2238"/>
    <col min="7567" max="7567" width="13" style="2238" bestFit="1" customWidth="1"/>
    <col min="7568" max="7568" width="31.5703125" style="2238" bestFit="1" customWidth="1"/>
    <col min="7569" max="7569" width="7.5703125" style="2238" bestFit="1" customWidth="1"/>
    <col min="7570" max="7570" width="7.85546875" style="2238" bestFit="1" customWidth="1"/>
    <col min="7571" max="7571" width="18.28515625" style="2238" customWidth="1"/>
    <col min="7572" max="7572" width="12.85546875" style="2238" customWidth="1"/>
    <col min="7573" max="7574" width="11.7109375" style="2238" customWidth="1"/>
    <col min="7575" max="7575" width="27.85546875" style="2238" customWidth="1"/>
    <col min="7576" max="7576" width="13.28515625" style="2238" customWidth="1"/>
    <col min="7577" max="7577" width="12.28515625" style="2238" bestFit="1" customWidth="1"/>
    <col min="7578" max="7578" width="11.5703125" style="2238" bestFit="1" customWidth="1"/>
    <col min="7579" max="7579" width="16" style="2238" bestFit="1" customWidth="1"/>
    <col min="7580" max="7582" width="11.7109375" style="2238" customWidth="1"/>
    <col min="7583" max="7583" width="52.5703125" style="2238" bestFit="1" customWidth="1"/>
    <col min="7584" max="7584" width="18.28515625" style="2238" customWidth="1"/>
    <col min="7585" max="7585" width="14.140625" style="2238" bestFit="1" customWidth="1"/>
    <col min="7586" max="7822" width="11.42578125" style="2238"/>
    <col min="7823" max="7823" width="13" style="2238" bestFit="1" customWidth="1"/>
    <col min="7824" max="7824" width="31.5703125" style="2238" bestFit="1" customWidth="1"/>
    <col min="7825" max="7825" width="7.5703125" style="2238" bestFit="1" customWidth="1"/>
    <col min="7826" max="7826" width="7.85546875" style="2238" bestFit="1" customWidth="1"/>
    <col min="7827" max="7827" width="18.28515625" style="2238" customWidth="1"/>
    <col min="7828" max="7828" width="12.85546875" style="2238" customWidth="1"/>
    <col min="7829" max="7830" width="11.7109375" style="2238" customWidth="1"/>
    <col min="7831" max="7831" width="27.85546875" style="2238" customWidth="1"/>
    <col min="7832" max="7832" width="13.28515625" style="2238" customWidth="1"/>
    <col min="7833" max="7833" width="12.28515625" style="2238" bestFit="1" customWidth="1"/>
    <col min="7834" max="7834" width="11.5703125" style="2238" bestFit="1" customWidth="1"/>
    <col min="7835" max="7835" width="16" style="2238" bestFit="1" customWidth="1"/>
    <col min="7836" max="7838" width="11.7109375" style="2238" customWidth="1"/>
    <col min="7839" max="7839" width="52.5703125" style="2238" bestFit="1" customWidth="1"/>
    <col min="7840" max="7840" width="18.28515625" style="2238" customWidth="1"/>
    <col min="7841" max="7841" width="14.140625" style="2238" bestFit="1" customWidth="1"/>
    <col min="7842" max="8078" width="11.42578125" style="2238"/>
    <col min="8079" max="8079" width="13" style="2238" bestFit="1" customWidth="1"/>
    <col min="8080" max="8080" width="31.5703125" style="2238" bestFit="1" customWidth="1"/>
    <col min="8081" max="8081" width="7.5703125" style="2238" bestFit="1" customWidth="1"/>
    <col min="8082" max="8082" width="7.85546875" style="2238" bestFit="1" customWidth="1"/>
    <col min="8083" max="8083" width="18.28515625" style="2238" customWidth="1"/>
    <col min="8084" max="8084" width="12.85546875" style="2238" customWidth="1"/>
    <col min="8085" max="8086" width="11.7109375" style="2238" customWidth="1"/>
    <col min="8087" max="8087" width="27.85546875" style="2238" customWidth="1"/>
    <col min="8088" max="8088" width="13.28515625" style="2238" customWidth="1"/>
    <col min="8089" max="8089" width="12.28515625" style="2238" bestFit="1" customWidth="1"/>
    <col min="8090" max="8090" width="11.5703125" style="2238" bestFit="1" customWidth="1"/>
    <col min="8091" max="8091" width="16" style="2238" bestFit="1" customWidth="1"/>
    <col min="8092" max="8094" width="11.7109375" style="2238" customWidth="1"/>
    <col min="8095" max="8095" width="52.5703125" style="2238" bestFit="1" customWidth="1"/>
    <col min="8096" max="8096" width="18.28515625" style="2238" customWidth="1"/>
    <col min="8097" max="8097" width="14.140625" style="2238" bestFit="1" customWidth="1"/>
    <col min="8098" max="8334" width="11.42578125" style="2238"/>
    <col min="8335" max="8335" width="13" style="2238" bestFit="1" customWidth="1"/>
    <col min="8336" max="8336" width="31.5703125" style="2238" bestFit="1" customWidth="1"/>
    <col min="8337" max="8337" width="7.5703125" style="2238" bestFit="1" customWidth="1"/>
    <col min="8338" max="8338" width="7.85546875" style="2238" bestFit="1" customWidth="1"/>
    <col min="8339" max="8339" width="18.28515625" style="2238" customWidth="1"/>
    <col min="8340" max="8340" width="12.85546875" style="2238" customWidth="1"/>
    <col min="8341" max="8342" width="11.7109375" style="2238" customWidth="1"/>
    <col min="8343" max="8343" width="27.85546875" style="2238" customWidth="1"/>
    <col min="8344" max="8344" width="13.28515625" style="2238" customWidth="1"/>
    <col min="8345" max="8345" width="12.28515625" style="2238" bestFit="1" customWidth="1"/>
    <col min="8346" max="8346" width="11.5703125" style="2238" bestFit="1" customWidth="1"/>
    <col min="8347" max="8347" width="16" style="2238" bestFit="1" customWidth="1"/>
    <col min="8348" max="8350" width="11.7109375" style="2238" customWidth="1"/>
    <col min="8351" max="8351" width="52.5703125" style="2238" bestFit="1" customWidth="1"/>
    <col min="8352" max="8352" width="18.28515625" style="2238" customWidth="1"/>
    <col min="8353" max="8353" width="14.140625" style="2238" bestFit="1" customWidth="1"/>
    <col min="8354" max="8590" width="11.42578125" style="2238"/>
    <col min="8591" max="8591" width="13" style="2238" bestFit="1" customWidth="1"/>
    <col min="8592" max="8592" width="31.5703125" style="2238" bestFit="1" customWidth="1"/>
    <col min="8593" max="8593" width="7.5703125" style="2238" bestFit="1" customWidth="1"/>
    <col min="8594" max="8594" width="7.85546875" style="2238" bestFit="1" customWidth="1"/>
    <col min="8595" max="8595" width="18.28515625" style="2238" customWidth="1"/>
    <col min="8596" max="8596" width="12.85546875" style="2238" customWidth="1"/>
    <col min="8597" max="8598" width="11.7109375" style="2238" customWidth="1"/>
    <col min="8599" max="8599" width="27.85546875" style="2238" customWidth="1"/>
    <col min="8600" max="8600" width="13.28515625" style="2238" customWidth="1"/>
    <col min="8601" max="8601" width="12.28515625" style="2238" bestFit="1" customWidth="1"/>
    <col min="8602" max="8602" width="11.5703125" style="2238" bestFit="1" customWidth="1"/>
    <col min="8603" max="8603" width="16" style="2238" bestFit="1" customWidth="1"/>
    <col min="8604" max="8606" width="11.7109375" style="2238" customWidth="1"/>
    <col min="8607" max="8607" width="52.5703125" style="2238" bestFit="1" customWidth="1"/>
    <col min="8608" max="8608" width="18.28515625" style="2238" customWidth="1"/>
    <col min="8609" max="8609" width="14.140625" style="2238" bestFit="1" customWidth="1"/>
    <col min="8610" max="8846" width="11.42578125" style="2238"/>
    <col min="8847" max="8847" width="13" style="2238" bestFit="1" customWidth="1"/>
    <col min="8848" max="8848" width="31.5703125" style="2238" bestFit="1" customWidth="1"/>
    <col min="8849" max="8849" width="7.5703125" style="2238" bestFit="1" customWidth="1"/>
    <col min="8850" max="8850" width="7.85546875" style="2238" bestFit="1" customWidth="1"/>
    <col min="8851" max="8851" width="18.28515625" style="2238" customWidth="1"/>
    <col min="8852" max="8852" width="12.85546875" style="2238" customWidth="1"/>
    <col min="8853" max="8854" width="11.7109375" style="2238" customWidth="1"/>
    <col min="8855" max="8855" width="27.85546875" style="2238" customWidth="1"/>
    <col min="8856" max="8856" width="13.28515625" style="2238" customWidth="1"/>
    <col min="8857" max="8857" width="12.28515625" style="2238" bestFit="1" customWidth="1"/>
    <col min="8858" max="8858" width="11.5703125" style="2238" bestFit="1" customWidth="1"/>
    <col min="8859" max="8859" width="16" style="2238" bestFit="1" customWidth="1"/>
    <col min="8860" max="8862" width="11.7109375" style="2238" customWidth="1"/>
    <col min="8863" max="8863" width="52.5703125" style="2238" bestFit="1" customWidth="1"/>
    <col min="8864" max="8864" width="18.28515625" style="2238" customWidth="1"/>
    <col min="8865" max="8865" width="14.140625" style="2238" bestFit="1" customWidth="1"/>
    <col min="8866" max="9102" width="11.42578125" style="2238"/>
    <col min="9103" max="9103" width="13" style="2238" bestFit="1" customWidth="1"/>
    <col min="9104" max="9104" width="31.5703125" style="2238" bestFit="1" customWidth="1"/>
    <col min="9105" max="9105" width="7.5703125" style="2238" bestFit="1" customWidth="1"/>
    <col min="9106" max="9106" width="7.85546875" style="2238" bestFit="1" customWidth="1"/>
    <col min="9107" max="9107" width="18.28515625" style="2238" customWidth="1"/>
    <col min="9108" max="9108" width="12.85546875" style="2238" customWidth="1"/>
    <col min="9109" max="9110" width="11.7109375" style="2238" customWidth="1"/>
    <col min="9111" max="9111" width="27.85546875" style="2238" customWidth="1"/>
    <col min="9112" max="9112" width="13.28515625" style="2238" customWidth="1"/>
    <col min="9113" max="9113" width="12.28515625" style="2238" bestFit="1" customWidth="1"/>
    <col min="9114" max="9114" width="11.5703125" style="2238" bestFit="1" customWidth="1"/>
    <col min="9115" max="9115" width="16" style="2238" bestFit="1" customWidth="1"/>
    <col min="9116" max="9118" width="11.7109375" style="2238" customWidth="1"/>
    <col min="9119" max="9119" width="52.5703125" style="2238" bestFit="1" customWidth="1"/>
    <col min="9120" max="9120" width="18.28515625" style="2238" customWidth="1"/>
    <col min="9121" max="9121" width="14.140625" style="2238" bestFit="1" customWidth="1"/>
    <col min="9122" max="9358" width="11.42578125" style="2238"/>
    <col min="9359" max="9359" width="13" style="2238" bestFit="1" customWidth="1"/>
    <col min="9360" max="9360" width="31.5703125" style="2238" bestFit="1" customWidth="1"/>
    <col min="9361" max="9361" width="7.5703125" style="2238" bestFit="1" customWidth="1"/>
    <col min="9362" max="9362" width="7.85546875" style="2238" bestFit="1" customWidth="1"/>
    <col min="9363" max="9363" width="18.28515625" style="2238" customWidth="1"/>
    <col min="9364" max="9364" width="12.85546875" style="2238" customWidth="1"/>
    <col min="9365" max="9366" width="11.7109375" style="2238" customWidth="1"/>
    <col min="9367" max="9367" width="27.85546875" style="2238" customWidth="1"/>
    <col min="9368" max="9368" width="13.28515625" style="2238" customWidth="1"/>
    <col min="9369" max="9369" width="12.28515625" style="2238" bestFit="1" customWidth="1"/>
    <col min="9370" max="9370" width="11.5703125" style="2238" bestFit="1" customWidth="1"/>
    <col min="9371" max="9371" width="16" style="2238" bestFit="1" customWidth="1"/>
    <col min="9372" max="9374" width="11.7109375" style="2238" customWidth="1"/>
    <col min="9375" max="9375" width="52.5703125" style="2238" bestFit="1" customWidth="1"/>
    <col min="9376" max="9376" width="18.28515625" style="2238" customWidth="1"/>
    <col min="9377" max="9377" width="14.140625" style="2238" bestFit="1" customWidth="1"/>
    <col min="9378" max="9614" width="11.42578125" style="2238"/>
    <col min="9615" max="9615" width="13" style="2238" bestFit="1" customWidth="1"/>
    <col min="9616" max="9616" width="31.5703125" style="2238" bestFit="1" customWidth="1"/>
    <col min="9617" max="9617" width="7.5703125" style="2238" bestFit="1" customWidth="1"/>
    <col min="9618" max="9618" width="7.85546875" style="2238" bestFit="1" customWidth="1"/>
    <col min="9619" max="9619" width="18.28515625" style="2238" customWidth="1"/>
    <col min="9620" max="9620" width="12.85546875" style="2238" customWidth="1"/>
    <col min="9621" max="9622" width="11.7109375" style="2238" customWidth="1"/>
    <col min="9623" max="9623" width="27.85546875" style="2238" customWidth="1"/>
    <col min="9624" max="9624" width="13.28515625" style="2238" customWidth="1"/>
    <col min="9625" max="9625" width="12.28515625" style="2238" bestFit="1" customWidth="1"/>
    <col min="9626" max="9626" width="11.5703125" style="2238" bestFit="1" customWidth="1"/>
    <col min="9627" max="9627" width="16" style="2238" bestFit="1" customWidth="1"/>
    <col min="9628" max="9630" width="11.7109375" style="2238" customWidth="1"/>
    <col min="9631" max="9631" width="52.5703125" style="2238" bestFit="1" customWidth="1"/>
    <col min="9632" max="9632" width="18.28515625" style="2238" customWidth="1"/>
    <col min="9633" max="9633" width="14.140625" style="2238" bestFit="1" customWidth="1"/>
    <col min="9634" max="9870" width="11.42578125" style="2238"/>
    <col min="9871" max="9871" width="13" style="2238" bestFit="1" customWidth="1"/>
    <col min="9872" max="9872" width="31.5703125" style="2238" bestFit="1" customWidth="1"/>
    <col min="9873" max="9873" width="7.5703125" style="2238" bestFit="1" customWidth="1"/>
    <col min="9874" max="9874" width="7.85546875" style="2238" bestFit="1" customWidth="1"/>
    <col min="9875" max="9875" width="18.28515625" style="2238" customWidth="1"/>
    <col min="9876" max="9876" width="12.85546875" style="2238" customWidth="1"/>
    <col min="9877" max="9878" width="11.7109375" style="2238" customWidth="1"/>
    <col min="9879" max="9879" width="27.85546875" style="2238" customWidth="1"/>
    <col min="9880" max="9880" width="13.28515625" style="2238" customWidth="1"/>
    <col min="9881" max="9881" width="12.28515625" style="2238" bestFit="1" customWidth="1"/>
    <col min="9882" max="9882" width="11.5703125" style="2238" bestFit="1" customWidth="1"/>
    <col min="9883" max="9883" width="16" style="2238" bestFit="1" customWidth="1"/>
    <col min="9884" max="9886" width="11.7109375" style="2238" customWidth="1"/>
    <col min="9887" max="9887" width="52.5703125" style="2238" bestFit="1" customWidth="1"/>
    <col min="9888" max="9888" width="18.28515625" style="2238" customWidth="1"/>
    <col min="9889" max="9889" width="14.140625" style="2238" bestFit="1" customWidth="1"/>
    <col min="9890" max="10126" width="11.42578125" style="2238"/>
    <col min="10127" max="10127" width="13" style="2238" bestFit="1" customWidth="1"/>
    <col min="10128" max="10128" width="31.5703125" style="2238" bestFit="1" customWidth="1"/>
    <col min="10129" max="10129" width="7.5703125" style="2238" bestFit="1" customWidth="1"/>
    <col min="10130" max="10130" width="7.85546875" style="2238" bestFit="1" customWidth="1"/>
    <col min="10131" max="10131" width="18.28515625" style="2238" customWidth="1"/>
    <col min="10132" max="10132" width="12.85546875" style="2238" customWidth="1"/>
    <col min="10133" max="10134" width="11.7109375" style="2238" customWidth="1"/>
    <col min="10135" max="10135" width="27.85546875" style="2238" customWidth="1"/>
    <col min="10136" max="10136" width="13.28515625" style="2238" customWidth="1"/>
    <col min="10137" max="10137" width="12.28515625" style="2238" bestFit="1" customWidth="1"/>
    <col min="10138" max="10138" width="11.5703125" style="2238" bestFit="1" customWidth="1"/>
    <col min="10139" max="10139" width="16" style="2238" bestFit="1" customWidth="1"/>
    <col min="10140" max="10142" width="11.7109375" style="2238" customWidth="1"/>
    <col min="10143" max="10143" width="52.5703125" style="2238" bestFit="1" customWidth="1"/>
    <col min="10144" max="10144" width="18.28515625" style="2238" customWidth="1"/>
    <col min="10145" max="10145" width="14.140625" style="2238" bestFit="1" customWidth="1"/>
    <col min="10146" max="10382" width="11.42578125" style="2238"/>
    <col min="10383" max="10383" width="13" style="2238" bestFit="1" customWidth="1"/>
    <col min="10384" max="10384" width="31.5703125" style="2238" bestFit="1" customWidth="1"/>
    <col min="10385" max="10385" width="7.5703125" style="2238" bestFit="1" customWidth="1"/>
    <col min="10386" max="10386" width="7.85546875" style="2238" bestFit="1" customWidth="1"/>
    <col min="10387" max="10387" width="18.28515625" style="2238" customWidth="1"/>
    <col min="10388" max="10388" width="12.85546875" style="2238" customWidth="1"/>
    <col min="10389" max="10390" width="11.7109375" style="2238" customWidth="1"/>
    <col min="10391" max="10391" width="27.85546875" style="2238" customWidth="1"/>
    <col min="10392" max="10392" width="13.28515625" style="2238" customWidth="1"/>
    <col min="10393" max="10393" width="12.28515625" style="2238" bestFit="1" customWidth="1"/>
    <col min="10394" max="10394" width="11.5703125" style="2238" bestFit="1" customWidth="1"/>
    <col min="10395" max="10395" width="16" style="2238" bestFit="1" customWidth="1"/>
    <col min="10396" max="10398" width="11.7109375" style="2238" customWidth="1"/>
    <col min="10399" max="10399" width="52.5703125" style="2238" bestFit="1" customWidth="1"/>
    <col min="10400" max="10400" width="18.28515625" style="2238" customWidth="1"/>
    <col min="10401" max="10401" width="14.140625" style="2238" bestFit="1" customWidth="1"/>
    <col min="10402" max="10638" width="11.42578125" style="2238"/>
    <col min="10639" max="10639" width="13" style="2238" bestFit="1" customWidth="1"/>
    <col min="10640" max="10640" width="31.5703125" style="2238" bestFit="1" customWidth="1"/>
    <col min="10641" max="10641" width="7.5703125" style="2238" bestFit="1" customWidth="1"/>
    <col min="10642" max="10642" width="7.85546875" style="2238" bestFit="1" customWidth="1"/>
    <col min="10643" max="10643" width="18.28515625" style="2238" customWidth="1"/>
    <col min="10644" max="10644" width="12.85546875" style="2238" customWidth="1"/>
    <col min="10645" max="10646" width="11.7109375" style="2238" customWidth="1"/>
    <col min="10647" max="10647" width="27.85546875" style="2238" customWidth="1"/>
    <col min="10648" max="10648" width="13.28515625" style="2238" customWidth="1"/>
    <col min="10649" max="10649" width="12.28515625" style="2238" bestFit="1" customWidth="1"/>
    <col min="10650" max="10650" width="11.5703125" style="2238" bestFit="1" customWidth="1"/>
    <col min="10651" max="10651" width="16" style="2238" bestFit="1" customWidth="1"/>
    <col min="10652" max="10654" width="11.7109375" style="2238" customWidth="1"/>
    <col min="10655" max="10655" width="52.5703125" style="2238" bestFit="1" customWidth="1"/>
    <col min="10656" max="10656" width="18.28515625" style="2238" customWidth="1"/>
    <col min="10657" max="10657" width="14.140625" style="2238" bestFit="1" customWidth="1"/>
    <col min="10658" max="10894" width="11.42578125" style="2238"/>
    <col min="10895" max="10895" width="13" style="2238" bestFit="1" customWidth="1"/>
    <col min="10896" max="10896" width="31.5703125" style="2238" bestFit="1" customWidth="1"/>
    <col min="10897" max="10897" width="7.5703125" style="2238" bestFit="1" customWidth="1"/>
    <col min="10898" max="10898" width="7.85546875" style="2238" bestFit="1" customWidth="1"/>
    <col min="10899" max="10899" width="18.28515625" style="2238" customWidth="1"/>
    <col min="10900" max="10900" width="12.85546875" style="2238" customWidth="1"/>
    <col min="10901" max="10902" width="11.7109375" style="2238" customWidth="1"/>
    <col min="10903" max="10903" width="27.85546875" style="2238" customWidth="1"/>
    <col min="10904" max="10904" width="13.28515625" style="2238" customWidth="1"/>
    <col min="10905" max="10905" width="12.28515625" style="2238" bestFit="1" customWidth="1"/>
    <col min="10906" max="10906" width="11.5703125" style="2238" bestFit="1" customWidth="1"/>
    <col min="10907" max="10907" width="16" style="2238" bestFit="1" customWidth="1"/>
    <col min="10908" max="10910" width="11.7109375" style="2238" customWidth="1"/>
    <col min="10911" max="10911" width="52.5703125" style="2238" bestFit="1" customWidth="1"/>
    <col min="10912" max="10912" width="18.28515625" style="2238" customWidth="1"/>
    <col min="10913" max="10913" width="14.140625" style="2238" bestFit="1" customWidth="1"/>
    <col min="10914" max="11150" width="11.42578125" style="2238"/>
    <col min="11151" max="11151" width="13" style="2238" bestFit="1" customWidth="1"/>
    <col min="11152" max="11152" width="31.5703125" style="2238" bestFit="1" customWidth="1"/>
    <col min="11153" max="11153" width="7.5703125" style="2238" bestFit="1" customWidth="1"/>
    <col min="11154" max="11154" width="7.85546875" style="2238" bestFit="1" customWidth="1"/>
    <col min="11155" max="11155" width="18.28515625" style="2238" customWidth="1"/>
    <col min="11156" max="11156" width="12.85546875" style="2238" customWidth="1"/>
    <col min="11157" max="11158" width="11.7109375" style="2238" customWidth="1"/>
    <col min="11159" max="11159" width="27.85546875" style="2238" customWidth="1"/>
    <col min="11160" max="11160" width="13.28515625" style="2238" customWidth="1"/>
    <col min="11161" max="11161" width="12.28515625" style="2238" bestFit="1" customWidth="1"/>
    <col min="11162" max="11162" width="11.5703125" style="2238" bestFit="1" customWidth="1"/>
    <col min="11163" max="11163" width="16" style="2238" bestFit="1" customWidth="1"/>
    <col min="11164" max="11166" width="11.7109375" style="2238" customWidth="1"/>
    <col min="11167" max="11167" width="52.5703125" style="2238" bestFit="1" customWidth="1"/>
    <col min="11168" max="11168" width="18.28515625" style="2238" customWidth="1"/>
    <col min="11169" max="11169" width="14.140625" style="2238" bestFit="1" customWidth="1"/>
    <col min="11170" max="11406" width="11.42578125" style="2238"/>
    <col min="11407" max="11407" width="13" style="2238" bestFit="1" customWidth="1"/>
    <col min="11408" max="11408" width="31.5703125" style="2238" bestFit="1" customWidth="1"/>
    <col min="11409" max="11409" width="7.5703125" style="2238" bestFit="1" customWidth="1"/>
    <col min="11410" max="11410" width="7.85546875" style="2238" bestFit="1" customWidth="1"/>
    <col min="11411" max="11411" width="18.28515625" style="2238" customWidth="1"/>
    <col min="11412" max="11412" width="12.85546875" style="2238" customWidth="1"/>
    <col min="11413" max="11414" width="11.7109375" style="2238" customWidth="1"/>
    <col min="11415" max="11415" width="27.85546875" style="2238" customWidth="1"/>
    <col min="11416" max="11416" width="13.28515625" style="2238" customWidth="1"/>
    <col min="11417" max="11417" width="12.28515625" style="2238" bestFit="1" customWidth="1"/>
    <col min="11418" max="11418" width="11.5703125" style="2238" bestFit="1" customWidth="1"/>
    <col min="11419" max="11419" width="16" style="2238" bestFit="1" customWidth="1"/>
    <col min="11420" max="11422" width="11.7109375" style="2238" customWidth="1"/>
    <col min="11423" max="11423" width="52.5703125" style="2238" bestFit="1" customWidth="1"/>
    <col min="11424" max="11424" width="18.28515625" style="2238" customWidth="1"/>
    <col min="11425" max="11425" width="14.140625" style="2238" bestFit="1" customWidth="1"/>
    <col min="11426" max="11662" width="11.42578125" style="2238"/>
    <col min="11663" max="11663" width="13" style="2238" bestFit="1" customWidth="1"/>
    <col min="11664" max="11664" width="31.5703125" style="2238" bestFit="1" customWidth="1"/>
    <col min="11665" max="11665" width="7.5703125" style="2238" bestFit="1" customWidth="1"/>
    <col min="11666" max="11666" width="7.85546875" style="2238" bestFit="1" customWidth="1"/>
    <col min="11667" max="11667" width="18.28515625" style="2238" customWidth="1"/>
    <col min="11668" max="11668" width="12.85546875" style="2238" customWidth="1"/>
    <col min="11669" max="11670" width="11.7109375" style="2238" customWidth="1"/>
    <col min="11671" max="11671" width="27.85546875" style="2238" customWidth="1"/>
    <col min="11672" max="11672" width="13.28515625" style="2238" customWidth="1"/>
    <col min="11673" max="11673" width="12.28515625" style="2238" bestFit="1" customWidth="1"/>
    <col min="11674" max="11674" width="11.5703125" style="2238" bestFit="1" customWidth="1"/>
    <col min="11675" max="11675" width="16" style="2238" bestFit="1" customWidth="1"/>
    <col min="11676" max="11678" width="11.7109375" style="2238" customWidth="1"/>
    <col min="11679" max="11679" width="52.5703125" style="2238" bestFit="1" customWidth="1"/>
    <col min="11680" max="11680" width="18.28515625" style="2238" customWidth="1"/>
    <col min="11681" max="11681" width="14.140625" style="2238" bestFit="1" customWidth="1"/>
    <col min="11682" max="11918" width="11.42578125" style="2238"/>
    <col min="11919" max="11919" width="13" style="2238" bestFit="1" customWidth="1"/>
    <col min="11920" max="11920" width="31.5703125" style="2238" bestFit="1" customWidth="1"/>
    <col min="11921" max="11921" width="7.5703125" style="2238" bestFit="1" customWidth="1"/>
    <col min="11922" max="11922" width="7.85546875" style="2238" bestFit="1" customWidth="1"/>
    <col min="11923" max="11923" width="18.28515625" style="2238" customWidth="1"/>
    <col min="11924" max="11924" width="12.85546875" style="2238" customWidth="1"/>
    <col min="11925" max="11926" width="11.7109375" style="2238" customWidth="1"/>
    <col min="11927" max="11927" width="27.85546875" style="2238" customWidth="1"/>
    <col min="11928" max="11928" width="13.28515625" style="2238" customWidth="1"/>
    <col min="11929" max="11929" width="12.28515625" style="2238" bestFit="1" customWidth="1"/>
    <col min="11930" max="11930" width="11.5703125" style="2238" bestFit="1" customWidth="1"/>
    <col min="11931" max="11931" width="16" style="2238" bestFit="1" customWidth="1"/>
    <col min="11932" max="11934" width="11.7109375" style="2238" customWidth="1"/>
    <col min="11935" max="11935" width="52.5703125" style="2238" bestFit="1" customWidth="1"/>
    <col min="11936" max="11936" width="18.28515625" style="2238" customWidth="1"/>
    <col min="11937" max="11937" width="14.140625" style="2238" bestFit="1" customWidth="1"/>
    <col min="11938" max="12174" width="11.42578125" style="2238"/>
    <col min="12175" max="12175" width="13" style="2238" bestFit="1" customWidth="1"/>
    <col min="12176" max="12176" width="31.5703125" style="2238" bestFit="1" customWidth="1"/>
    <col min="12177" max="12177" width="7.5703125" style="2238" bestFit="1" customWidth="1"/>
    <col min="12178" max="12178" width="7.85546875" style="2238" bestFit="1" customWidth="1"/>
    <col min="12179" max="12179" width="18.28515625" style="2238" customWidth="1"/>
    <col min="12180" max="12180" width="12.85546875" style="2238" customWidth="1"/>
    <col min="12181" max="12182" width="11.7109375" style="2238" customWidth="1"/>
    <col min="12183" max="12183" width="27.85546875" style="2238" customWidth="1"/>
    <col min="12184" max="12184" width="13.28515625" style="2238" customWidth="1"/>
    <col min="12185" max="12185" width="12.28515625" style="2238" bestFit="1" customWidth="1"/>
    <col min="12186" max="12186" width="11.5703125" style="2238" bestFit="1" customWidth="1"/>
    <col min="12187" max="12187" width="16" style="2238" bestFit="1" customWidth="1"/>
    <col min="12188" max="12190" width="11.7109375" style="2238" customWidth="1"/>
    <col min="12191" max="12191" width="52.5703125" style="2238" bestFit="1" customWidth="1"/>
    <col min="12192" max="12192" width="18.28515625" style="2238" customWidth="1"/>
    <col min="12193" max="12193" width="14.140625" style="2238" bestFit="1" customWidth="1"/>
    <col min="12194" max="12430" width="11.42578125" style="2238"/>
    <col min="12431" max="12431" width="13" style="2238" bestFit="1" customWidth="1"/>
    <col min="12432" max="12432" width="31.5703125" style="2238" bestFit="1" customWidth="1"/>
    <col min="12433" max="12433" width="7.5703125" style="2238" bestFit="1" customWidth="1"/>
    <col min="12434" max="12434" width="7.85546875" style="2238" bestFit="1" customWidth="1"/>
    <col min="12435" max="12435" width="18.28515625" style="2238" customWidth="1"/>
    <col min="12436" max="12436" width="12.85546875" style="2238" customWidth="1"/>
    <col min="12437" max="12438" width="11.7109375" style="2238" customWidth="1"/>
    <col min="12439" max="12439" width="27.85546875" style="2238" customWidth="1"/>
    <col min="12440" max="12440" width="13.28515625" style="2238" customWidth="1"/>
    <col min="12441" max="12441" width="12.28515625" style="2238" bestFit="1" customWidth="1"/>
    <col min="12442" max="12442" width="11.5703125" style="2238" bestFit="1" customWidth="1"/>
    <col min="12443" max="12443" width="16" style="2238" bestFit="1" customWidth="1"/>
    <col min="12444" max="12446" width="11.7109375" style="2238" customWidth="1"/>
    <col min="12447" max="12447" width="52.5703125" style="2238" bestFit="1" customWidth="1"/>
    <col min="12448" max="12448" width="18.28515625" style="2238" customWidth="1"/>
    <col min="12449" max="12449" width="14.140625" style="2238" bestFit="1" customWidth="1"/>
    <col min="12450" max="12686" width="11.42578125" style="2238"/>
    <col min="12687" max="12687" width="13" style="2238" bestFit="1" customWidth="1"/>
    <col min="12688" max="12688" width="31.5703125" style="2238" bestFit="1" customWidth="1"/>
    <col min="12689" max="12689" width="7.5703125" style="2238" bestFit="1" customWidth="1"/>
    <col min="12690" max="12690" width="7.85546875" style="2238" bestFit="1" customWidth="1"/>
    <col min="12691" max="12691" width="18.28515625" style="2238" customWidth="1"/>
    <col min="12692" max="12692" width="12.85546875" style="2238" customWidth="1"/>
    <col min="12693" max="12694" width="11.7109375" style="2238" customWidth="1"/>
    <col min="12695" max="12695" width="27.85546875" style="2238" customWidth="1"/>
    <col min="12696" max="12696" width="13.28515625" style="2238" customWidth="1"/>
    <col min="12697" max="12697" width="12.28515625" style="2238" bestFit="1" customWidth="1"/>
    <col min="12698" max="12698" width="11.5703125" style="2238" bestFit="1" customWidth="1"/>
    <col min="12699" max="12699" width="16" style="2238" bestFit="1" customWidth="1"/>
    <col min="12700" max="12702" width="11.7109375" style="2238" customWidth="1"/>
    <col min="12703" max="12703" width="52.5703125" style="2238" bestFit="1" customWidth="1"/>
    <col min="12704" max="12704" width="18.28515625" style="2238" customWidth="1"/>
    <col min="12705" max="12705" width="14.140625" style="2238" bestFit="1" customWidth="1"/>
    <col min="12706" max="12942" width="11.42578125" style="2238"/>
    <col min="12943" max="12943" width="13" style="2238" bestFit="1" customWidth="1"/>
    <col min="12944" max="12944" width="31.5703125" style="2238" bestFit="1" customWidth="1"/>
    <col min="12945" max="12945" width="7.5703125" style="2238" bestFit="1" customWidth="1"/>
    <col min="12946" max="12946" width="7.85546875" style="2238" bestFit="1" customWidth="1"/>
    <col min="12947" max="12947" width="18.28515625" style="2238" customWidth="1"/>
    <col min="12948" max="12948" width="12.85546875" style="2238" customWidth="1"/>
    <col min="12949" max="12950" width="11.7109375" style="2238" customWidth="1"/>
    <col min="12951" max="12951" width="27.85546875" style="2238" customWidth="1"/>
    <col min="12952" max="12952" width="13.28515625" style="2238" customWidth="1"/>
    <col min="12953" max="12953" width="12.28515625" style="2238" bestFit="1" customWidth="1"/>
    <col min="12954" max="12954" width="11.5703125" style="2238" bestFit="1" customWidth="1"/>
    <col min="12955" max="12955" width="16" style="2238" bestFit="1" customWidth="1"/>
    <col min="12956" max="12958" width="11.7109375" style="2238" customWidth="1"/>
    <col min="12959" max="12959" width="52.5703125" style="2238" bestFit="1" customWidth="1"/>
    <col min="12960" max="12960" width="18.28515625" style="2238" customWidth="1"/>
    <col min="12961" max="12961" width="14.140625" style="2238" bestFit="1" customWidth="1"/>
    <col min="12962" max="13198" width="11.42578125" style="2238"/>
    <col min="13199" max="13199" width="13" style="2238" bestFit="1" customWidth="1"/>
    <col min="13200" max="13200" width="31.5703125" style="2238" bestFit="1" customWidth="1"/>
    <col min="13201" max="13201" width="7.5703125" style="2238" bestFit="1" customWidth="1"/>
    <col min="13202" max="13202" width="7.85546875" style="2238" bestFit="1" customWidth="1"/>
    <col min="13203" max="13203" width="18.28515625" style="2238" customWidth="1"/>
    <col min="13204" max="13204" width="12.85546875" style="2238" customWidth="1"/>
    <col min="13205" max="13206" width="11.7109375" style="2238" customWidth="1"/>
    <col min="13207" max="13207" width="27.85546875" style="2238" customWidth="1"/>
    <col min="13208" max="13208" width="13.28515625" style="2238" customWidth="1"/>
    <col min="13209" max="13209" width="12.28515625" style="2238" bestFit="1" customWidth="1"/>
    <col min="13210" max="13210" width="11.5703125" style="2238" bestFit="1" customWidth="1"/>
    <col min="13211" max="13211" width="16" style="2238" bestFit="1" customWidth="1"/>
    <col min="13212" max="13214" width="11.7109375" style="2238" customWidth="1"/>
    <col min="13215" max="13215" width="52.5703125" style="2238" bestFit="1" customWidth="1"/>
    <col min="13216" max="13216" width="18.28515625" style="2238" customWidth="1"/>
    <col min="13217" max="13217" width="14.140625" style="2238" bestFit="1" customWidth="1"/>
    <col min="13218" max="13454" width="11.42578125" style="2238"/>
    <col min="13455" max="13455" width="13" style="2238" bestFit="1" customWidth="1"/>
    <col min="13456" max="13456" width="31.5703125" style="2238" bestFit="1" customWidth="1"/>
    <col min="13457" max="13457" width="7.5703125" style="2238" bestFit="1" customWidth="1"/>
    <col min="13458" max="13458" width="7.85546875" style="2238" bestFit="1" customWidth="1"/>
    <col min="13459" max="13459" width="18.28515625" style="2238" customWidth="1"/>
    <col min="13460" max="13460" width="12.85546875" style="2238" customWidth="1"/>
    <col min="13461" max="13462" width="11.7109375" style="2238" customWidth="1"/>
    <col min="13463" max="13463" width="27.85546875" style="2238" customWidth="1"/>
    <col min="13464" max="13464" width="13.28515625" style="2238" customWidth="1"/>
    <col min="13465" max="13465" width="12.28515625" style="2238" bestFit="1" customWidth="1"/>
    <col min="13466" max="13466" width="11.5703125" style="2238" bestFit="1" customWidth="1"/>
    <col min="13467" max="13467" width="16" style="2238" bestFit="1" customWidth="1"/>
    <col min="13468" max="13470" width="11.7109375" style="2238" customWidth="1"/>
    <col min="13471" max="13471" width="52.5703125" style="2238" bestFit="1" customWidth="1"/>
    <col min="13472" max="13472" width="18.28515625" style="2238" customWidth="1"/>
    <col min="13473" max="13473" width="14.140625" style="2238" bestFit="1" customWidth="1"/>
    <col min="13474" max="13710" width="11.42578125" style="2238"/>
    <col min="13711" max="13711" width="13" style="2238" bestFit="1" customWidth="1"/>
    <col min="13712" max="13712" width="31.5703125" style="2238" bestFit="1" customWidth="1"/>
    <col min="13713" max="13713" width="7.5703125" style="2238" bestFit="1" customWidth="1"/>
    <col min="13714" max="13714" width="7.85546875" style="2238" bestFit="1" customWidth="1"/>
    <col min="13715" max="13715" width="18.28515625" style="2238" customWidth="1"/>
    <col min="13716" max="13716" width="12.85546875" style="2238" customWidth="1"/>
    <col min="13717" max="13718" width="11.7109375" style="2238" customWidth="1"/>
    <col min="13719" max="13719" width="27.85546875" style="2238" customWidth="1"/>
    <col min="13720" max="13720" width="13.28515625" style="2238" customWidth="1"/>
    <col min="13721" max="13721" width="12.28515625" style="2238" bestFit="1" customWidth="1"/>
    <col min="13722" max="13722" width="11.5703125" style="2238" bestFit="1" customWidth="1"/>
    <col min="13723" max="13723" width="16" style="2238" bestFit="1" customWidth="1"/>
    <col min="13724" max="13726" width="11.7109375" style="2238" customWidth="1"/>
    <col min="13727" max="13727" width="52.5703125" style="2238" bestFit="1" customWidth="1"/>
    <col min="13728" max="13728" width="18.28515625" style="2238" customWidth="1"/>
    <col min="13729" max="13729" width="14.140625" style="2238" bestFit="1" customWidth="1"/>
    <col min="13730" max="13966" width="11.42578125" style="2238"/>
    <col min="13967" max="13967" width="13" style="2238" bestFit="1" customWidth="1"/>
    <col min="13968" max="13968" width="31.5703125" style="2238" bestFit="1" customWidth="1"/>
    <col min="13969" max="13969" width="7.5703125" style="2238" bestFit="1" customWidth="1"/>
    <col min="13970" max="13970" width="7.85546875" style="2238" bestFit="1" customWidth="1"/>
    <col min="13971" max="13971" width="18.28515625" style="2238" customWidth="1"/>
    <col min="13972" max="13972" width="12.85546875" style="2238" customWidth="1"/>
    <col min="13973" max="13974" width="11.7109375" style="2238" customWidth="1"/>
    <col min="13975" max="13975" width="27.85546875" style="2238" customWidth="1"/>
    <col min="13976" max="13976" width="13.28515625" style="2238" customWidth="1"/>
    <col min="13977" max="13977" width="12.28515625" style="2238" bestFit="1" customWidth="1"/>
    <col min="13978" max="13978" width="11.5703125" style="2238" bestFit="1" customWidth="1"/>
    <col min="13979" max="13979" width="16" style="2238" bestFit="1" customWidth="1"/>
    <col min="13980" max="13982" width="11.7109375" style="2238" customWidth="1"/>
    <col min="13983" max="13983" width="52.5703125" style="2238" bestFit="1" customWidth="1"/>
    <col min="13984" max="13984" width="18.28515625" style="2238" customWidth="1"/>
    <col min="13985" max="13985" width="14.140625" style="2238" bestFit="1" customWidth="1"/>
    <col min="13986" max="14222" width="11.42578125" style="2238"/>
    <col min="14223" max="14223" width="13" style="2238" bestFit="1" customWidth="1"/>
    <col min="14224" max="14224" width="31.5703125" style="2238" bestFit="1" customWidth="1"/>
    <col min="14225" max="14225" width="7.5703125" style="2238" bestFit="1" customWidth="1"/>
    <col min="14226" max="14226" width="7.85546875" style="2238" bestFit="1" customWidth="1"/>
    <col min="14227" max="14227" width="18.28515625" style="2238" customWidth="1"/>
    <col min="14228" max="14228" width="12.85546875" style="2238" customWidth="1"/>
    <col min="14229" max="14230" width="11.7109375" style="2238" customWidth="1"/>
    <col min="14231" max="14231" width="27.85546875" style="2238" customWidth="1"/>
    <col min="14232" max="14232" width="13.28515625" style="2238" customWidth="1"/>
    <col min="14233" max="14233" width="12.28515625" style="2238" bestFit="1" customWidth="1"/>
    <col min="14234" max="14234" width="11.5703125" style="2238" bestFit="1" customWidth="1"/>
    <col min="14235" max="14235" width="16" style="2238" bestFit="1" customWidth="1"/>
    <col min="14236" max="14238" width="11.7109375" style="2238" customWidth="1"/>
    <col min="14239" max="14239" width="52.5703125" style="2238" bestFit="1" customWidth="1"/>
    <col min="14240" max="14240" width="18.28515625" style="2238" customWidth="1"/>
    <col min="14241" max="14241" width="14.140625" style="2238" bestFit="1" customWidth="1"/>
    <col min="14242" max="14478" width="11.42578125" style="2238"/>
    <col min="14479" max="14479" width="13" style="2238" bestFit="1" customWidth="1"/>
    <col min="14480" max="14480" width="31.5703125" style="2238" bestFit="1" customWidth="1"/>
    <col min="14481" max="14481" width="7.5703125" style="2238" bestFit="1" customWidth="1"/>
    <col min="14482" max="14482" width="7.85546875" style="2238" bestFit="1" customWidth="1"/>
    <col min="14483" max="14483" width="18.28515625" style="2238" customWidth="1"/>
    <col min="14484" max="14484" width="12.85546875" style="2238" customWidth="1"/>
    <col min="14485" max="14486" width="11.7109375" style="2238" customWidth="1"/>
    <col min="14487" max="14487" width="27.85546875" style="2238" customWidth="1"/>
    <col min="14488" max="14488" width="13.28515625" style="2238" customWidth="1"/>
    <col min="14489" max="14489" width="12.28515625" style="2238" bestFit="1" customWidth="1"/>
    <col min="14490" max="14490" width="11.5703125" style="2238" bestFit="1" customWidth="1"/>
    <col min="14491" max="14491" width="16" style="2238" bestFit="1" customWidth="1"/>
    <col min="14492" max="14494" width="11.7109375" style="2238" customWidth="1"/>
    <col min="14495" max="14495" width="52.5703125" style="2238" bestFit="1" customWidth="1"/>
    <col min="14496" max="14496" width="18.28515625" style="2238" customWidth="1"/>
    <col min="14497" max="14497" width="14.140625" style="2238" bestFit="1" customWidth="1"/>
    <col min="14498" max="14734" width="11.42578125" style="2238"/>
    <col min="14735" max="14735" width="13" style="2238" bestFit="1" customWidth="1"/>
    <col min="14736" max="14736" width="31.5703125" style="2238" bestFit="1" customWidth="1"/>
    <col min="14737" max="14737" width="7.5703125" style="2238" bestFit="1" customWidth="1"/>
    <col min="14738" max="14738" width="7.85546875" style="2238" bestFit="1" customWidth="1"/>
    <col min="14739" max="14739" width="18.28515625" style="2238" customWidth="1"/>
    <col min="14740" max="14740" width="12.85546875" style="2238" customWidth="1"/>
    <col min="14741" max="14742" width="11.7109375" style="2238" customWidth="1"/>
    <col min="14743" max="14743" width="27.85546875" style="2238" customWidth="1"/>
    <col min="14744" max="14744" width="13.28515625" style="2238" customWidth="1"/>
    <col min="14745" max="14745" width="12.28515625" style="2238" bestFit="1" customWidth="1"/>
    <col min="14746" max="14746" width="11.5703125" style="2238" bestFit="1" customWidth="1"/>
    <col min="14747" max="14747" width="16" style="2238" bestFit="1" customWidth="1"/>
    <col min="14748" max="14750" width="11.7109375" style="2238" customWidth="1"/>
    <col min="14751" max="14751" width="52.5703125" style="2238" bestFit="1" customWidth="1"/>
    <col min="14752" max="14752" width="18.28515625" style="2238" customWidth="1"/>
    <col min="14753" max="14753" width="14.140625" style="2238" bestFit="1" customWidth="1"/>
    <col min="14754" max="14990" width="11.42578125" style="2238"/>
    <col min="14991" max="14991" width="13" style="2238" bestFit="1" customWidth="1"/>
    <col min="14992" max="14992" width="31.5703125" style="2238" bestFit="1" customWidth="1"/>
    <col min="14993" max="14993" width="7.5703125" style="2238" bestFit="1" customWidth="1"/>
    <col min="14994" max="14994" width="7.85546875" style="2238" bestFit="1" customWidth="1"/>
    <col min="14995" max="14995" width="18.28515625" style="2238" customWidth="1"/>
    <col min="14996" max="14996" width="12.85546875" style="2238" customWidth="1"/>
    <col min="14997" max="14998" width="11.7109375" style="2238" customWidth="1"/>
    <col min="14999" max="14999" width="27.85546875" style="2238" customWidth="1"/>
    <col min="15000" max="15000" width="13.28515625" style="2238" customWidth="1"/>
    <col min="15001" max="15001" width="12.28515625" style="2238" bestFit="1" customWidth="1"/>
    <col min="15002" max="15002" width="11.5703125" style="2238" bestFit="1" customWidth="1"/>
    <col min="15003" max="15003" width="16" style="2238" bestFit="1" customWidth="1"/>
    <col min="15004" max="15006" width="11.7109375" style="2238" customWidth="1"/>
    <col min="15007" max="15007" width="52.5703125" style="2238" bestFit="1" customWidth="1"/>
    <col min="15008" max="15008" width="18.28515625" style="2238" customWidth="1"/>
    <col min="15009" max="15009" width="14.140625" style="2238" bestFit="1" customWidth="1"/>
    <col min="15010" max="15246" width="11.42578125" style="2238"/>
    <col min="15247" max="15247" width="13" style="2238" bestFit="1" customWidth="1"/>
    <col min="15248" max="15248" width="31.5703125" style="2238" bestFit="1" customWidth="1"/>
    <col min="15249" max="15249" width="7.5703125" style="2238" bestFit="1" customWidth="1"/>
    <col min="15250" max="15250" width="7.85546875" style="2238" bestFit="1" customWidth="1"/>
    <col min="15251" max="15251" width="18.28515625" style="2238" customWidth="1"/>
    <col min="15252" max="15252" width="12.85546875" style="2238" customWidth="1"/>
    <col min="15253" max="15254" width="11.7109375" style="2238" customWidth="1"/>
    <col min="15255" max="15255" width="27.85546875" style="2238" customWidth="1"/>
    <col min="15256" max="15256" width="13.28515625" style="2238" customWidth="1"/>
    <col min="15257" max="15257" width="12.28515625" style="2238" bestFit="1" customWidth="1"/>
    <col min="15258" max="15258" width="11.5703125" style="2238" bestFit="1" customWidth="1"/>
    <col min="15259" max="15259" width="16" style="2238" bestFit="1" customWidth="1"/>
    <col min="15260" max="15262" width="11.7109375" style="2238" customWidth="1"/>
    <col min="15263" max="15263" width="52.5703125" style="2238" bestFit="1" customWidth="1"/>
    <col min="15264" max="15264" width="18.28515625" style="2238" customWidth="1"/>
    <col min="15265" max="15265" width="14.140625" style="2238" bestFit="1" customWidth="1"/>
    <col min="15266" max="15502" width="11.42578125" style="2238"/>
    <col min="15503" max="15503" width="13" style="2238" bestFit="1" customWidth="1"/>
    <col min="15504" max="15504" width="31.5703125" style="2238" bestFit="1" customWidth="1"/>
    <col min="15505" max="15505" width="7.5703125" style="2238" bestFit="1" customWidth="1"/>
    <col min="15506" max="15506" width="7.85546875" style="2238" bestFit="1" customWidth="1"/>
    <col min="15507" max="15507" width="18.28515625" style="2238" customWidth="1"/>
    <col min="15508" max="15508" width="12.85546875" style="2238" customWidth="1"/>
    <col min="15509" max="15510" width="11.7109375" style="2238" customWidth="1"/>
    <col min="15511" max="15511" width="27.85546875" style="2238" customWidth="1"/>
    <col min="15512" max="15512" width="13.28515625" style="2238" customWidth="1"/>
    <col min="15513" max="15513" width="12.28515625" style="2238" bestFit="1" customWidth="1"/>
    <col min="15514" max="15514" width="11.5703125" style="2238" bestFit="1" customWidth="1"/>
    <col min="15515" max="15515" width="16" style="2238" bestFit="1" customWidth="1"/>
    <col min="15516" max="15518" width="11.7109375" style="2238" customWidth="1"/>
    <col min="15519" max="15519" width="52.5703125" style="2238" bestFit="1" customWidth="1"/>
    <col min="15520" max="15520" width="18.28515625" style="2238" customWidth="1"/>
    <col min="15521" max="15521" width="14.140625" style="2238" bestFit="1" customWidth="1"/>
    <col min="15522" max="15758" width="11.42578125" style="2238"/>
    <col min="15759" max="15759" width="13" style="2238" bestFit="1" customWidth="1"/>
    <col min="15760" max="15760" width="31.5703125" style="2238" bestFit="1" customWidth="1"/>
    <col min="15761" max="15761" width="7.5703125" style="2238" bestFit="1" customWidth="1"/>
    <col min="15762" max="15762" width="7.85546875" style="2238" bestFit="1" customWidth="1"/>
    <col min="15763" max="15763" width="18.28515625" style="2238" customWidth="1"/>
    <col min="15764" max="15764" width="12.85546875" style="2238" customWidth="1"/>
    <col min="15765" max="15766" width="11.7109375" style="2238" customWidth="1"/>
    <col min="15767" max="15767" width="27.85546875" style="2238" customWidth="1"/>
    <col min="15768" max="15768" width="13.28515625" style="2238" customWidth="1"/>
    <col min="15769" max="15769" width="12.28515625" style="2238" bestFit="1" customWidth="1"/>
    <col min="15770" max="15770" width="11.5703125" style="2238" bestFit="1" customWidth="1"/>
    <col min="15771" max="15771" width="16" style="2238" bestFit="1" customWidth="1"/>
    <col min="15772" max="15774" width="11.7109375" style="2238" customWidth="1"/>
    <col min="15775" max="15775" width="52.5703125" style="2238" bestFit="1" customWidth="1"/>
    <col min="15776" max="15776" width="18.28515625" style="2238" customWidth="1"/>
    <col min="15777" max="15777" width="14.140625" style="2238" bestFit="1" customWidth="1"/>
    <col min="15778" max="16014" width="11.42578125" style="2238"/>
    <col min="16015" max="16015" width="13" style="2238" bestFit="1" customWidth="1"/>
    <col min="16016" max="16016" width="31.5703125" style="2238" bestFit="1" customWidth="1"/>
    <col min="16017" max="16017" width="7.5703125" style="2238" bestFit="1" customWidth="1"/>
    <col min="16018" max="16018" width="7.85546875" style="2238" bestFit="1" customWidth="1"/>
    <col min="16019" max="16019" width="18.28515625" style="2238" customWidth="1"/>
    <col min="16020" max="16020" width="12.85546875" style="2238" customWidth="1"/>
    <col min="16021" max="16022" width="11.7109375" style="2238" customWidth="1"/>
    <col min="16023" max="16023" width="27.85546875" style="2238" customWidth="1"/>
    <col min="16024" max="16024" width="13.28515625" style="2238" customWidth="1"/>
    <col min="16025" max="16025" width="12.28515625" style="2238" bestFit="1" customWidth="1"/>
    <col min="16026" max="16026" width="11.5703125" style="2238" bestFit="1" customWidth="1"/>
    <col min="16027" max="16027" width="16" style="2238" bestFit="1" customWidth="1"/>
    <col min="16028" max="16030" width="11.7109375" style="2238" customWidth="1"/>
    <col min="16031" max="16031" width="52.5703125" style="2238" bestFit="1" customWidth="1"/>
    <col min="16032" max="16032" width="18.28515625" style="2238" customWidth="1"/>
    <col min="16033" max="16033" width="14.140625" style="2238" bestFit="1" customWidth="1"/>
    <col min="16034" max="16384" width="11.42578125" style="2238"/>
  </cols>
  <sheetData>
    <row r="1" spans="2:18" ht="13.5" thickBot="1" x14ac:dyDescent="0.3"/>
    <row r="2" spans="2:18" x14ac:dyDescent="0.25">
      <c r="B2" s="2324"/>
      <c r="C2" s="2325"/>
      <c r="D2" s="2325"/>
      <c r="E2" s="2325"/>
      <c r="F2" s="2325"/>
      <c r="G2" s="2325"/>
      <c r="H2" s="2325"/>
      <c r="I2" s="2325"/>
      <c r="J2" s="2325"/>
      <c r="K2" s="2325"/>
      <c r="L2" s="2325"/>
      <c r="M2" s="2325"/>
      <c r="N2" s="2325"/>
      <c r="O2" s="2325"/>
      <c r="P2" s="2325"/>
      <c r="Q2" s="2326"/>
    </row>
    <row r="3" spans="2:18" x14ac:dyDescent="0.25">
      <c r="B3" s="2327"/>
      <c r="C3" s="4849" t="s">
        <v>3837</v>
      </c>
      <c r="D3" s="4850"/>
      <c r="E3" s="4850"/>
      <c r="F3" s="4850"/>
      <c r="G3" s="4850"/>
      <c r="H3" s="4850"/>
      <c r="I3" s="4850"/>
      <c r="J3" s="4850"/>
      <c r="K3" s="4850"/>
      <c r="L3" s="4850"/>
      <c r="M3" s="4850"/>
      <c r="N3" s="4850"/>
      <c r="O3" s="4850"/>
      <c r="P3" s="4851"/>
      <c r="Q3" s="2328"/>
    </row>
    <row r="4" spans="2:18" x14ac:dyDescent="0.25">
      <c r="B4" s="2327"/>
      <c r="C4" s="4852" t="s">
        <v>3909</v>
      </c>
      <c r="D4" s="4853"/>
      <c r="E4" s="4853"/>
      <c r="F4" s="4853"/>
      <c r="G4" s="4853"/>
      <c r="H4" s="4853"/>
      <c r="I4" s="4853"/>
      <c r="J4" s="4853"/>
      <c r="K4" s="4853"/>
      <c r="L4" s="4853"/>
      <c r="M4" s="4853"/>
      <c r="N4" s="4853"/>
      <c r="O4" s="4853"/>
      <c r="P4" s="4854"/>
      <c r="Q4" s="2328"/>
    </row>
    <row r="5" spans="2:18" x14ac:dyDescent="0.25">
      <c r="B5" s="2327"/>
      <c r="C5" s="2239"/>
      <c r="D5" s="2239"/>
      <c r="E5" s="2239"/>
      <c r="F5" s="2239"/>
      <c r="G5" s="2240"/>
      <c r="H5" s="2240"/>
      <c r="I5" s="2239"/>
      <c r="J5" s="2239"/>
      <c r="K5" s="2239"/>
      <c r="L5" s="2239"/>
      <c r="M5" s="2239"/>
      <c r="N5" s="2239"/>
      <c r="O5" s="2239"/>
      <c r="P5" s="2239"/>
      <c r="Q5" s="2328"/>
    </row>
    <row r="6" spans="2:18" x14ac:dyDescent="0.25">
      <c r="B6" s="2327"/>
      <c r="C6" s="4855" t="s">
        <v>3838</v>
      </c>
      <c r="D6" s="4856"/>
      <c r="E6" s="4856"/>
      <c r="F6" s="4856"/>
      <c r="G6" s="4856"/>
      <c r="H6" s="4856"/>
      <c r="I6" s="4856"/>
      <c r="J6" s="4856"/>
      <c r="K6" s="4856"/>
      <c r="L6" s="4856"/>
      <c r="M6" s="4856"/>
      <c r="N6" s="4856"/>
      <c r="O6" s="4856"/>
      <c r="P6" s="4857"/>
      <c r="Q6" s="2328"/>
      <c r="R6" s="2239"/>
    </row>
    <row r="7" spans="2:18" x14ac:dyDescent="0.25">
      <c r="B7" s="2327"/>
      <c r="C7" s="2239"/>
      <c r="D7" s="2239"/>
      <c r="E7" s="2239"/>
      <c r="F7" s="2239"/>
      <c r="G7" s="2239"/>
      <c r="H7" s="2239"/>
      <c r="I7" s="2239"/>
      <c r="J7" s="2239"/>
      <c r="K7" s="2239"/>
      <c r="L7" s="2239"/>
      <c r="M7" s="2239"/>
      <c r="N7" s="2239"/>
      <c r="O7" s="2239"/>
      <c r="P7" s="2239"/>
      <c r="Q7" s="2328"/>
      <c r="R7" s="2239"/>
    </row>
    <row r="8" spans="2:18" x14ac:dyDescent="0.25">
      <c r="B8" s="2327"/>
      <c r="C8" s="2239"/>
      <c r="D8" s="2239"/>
      <c r="E8" s="2239"/>
      <c r="F8" s="2239"/>
      <c r="G8" s="2239"/>
      <c r="H8" s="2239"/>
      <c r="I8" s="2241"/>
      <c r="J8" s="2239"/>
      <c r="K8" s="2239"/>
      <c r="L8" s="2239"/>
      <c r="M8" s="2239"/>
      <c r="N8" s="2239"/>
      <c r="O8" s="2239"/>
      <c r="P8" s="2239"/>
      <c r="Q8" s="2328"/>
    </row>
    <row r="9" spans="2:18" x14ac:dyDescent="0.2">
      <c r="B9" s="2327"/>
      <c r="C9" s="4858" t="s">
        <v>3839</v>
      </c>
      <c r="D9" s="4859"/>
      <c r="E9" s="4859"/>
      <c r="F9" s="4859"/>
      <c r="G9" s="4860"/>
      <c r="H9" s="2242"/>
      <c r="I9" s="2243"/>
      <c r="J9" s="4858" t="s">
        <v>3840</v>
      </c>
      <c r="K9" s="4859"/>
      <c r="L9" s="4859"/>
      <c r="M9" s="4859"/>
      <c r="N9" s="4859"/>
      <c r="O9" s="4859"/>
      <c r="P9" s="4860"/>
      <c r="Q9" s="2328"/>
    </row>
    <row r="10" spans="2:18" x14ac:dyDescent="0.2">
      <c r="B10" s="2327"/>
      <c r="C10" s="4861" t="s">
        <v>3841</v>
      </c>
      <c r="D10" s="4862"/>
      <c r="E10" s="4862"/>
      <c r="F10" s="4862"/>
      <c r="G10" s="4863"/>
      <c r="H10" s="2242"/>
      <c r="I10" s="2243"/>
      <c r="J10" s="4858" t="s">
        <v>3841</v>
      </c>
      <c r="K10" s="4859"/>
      <c r="L10" s="4859"/>
      <c r="M10" s="4859"/>
      <c r="N10" s="4859"/>
      <c r="O10" s="4859"/>
      <c r="P10" s="4860"/>
      <c r="Q10" s="2328"/>
    </row>
    <row r="11" spans="2:18" x14ac:dyDescent="0.25">
      <c r="B11" s="2327"/>
      <c r="C11" s="2239"/>
      <c r="D11" s="2239"/>
      <c r="E11" s="2239"/>
      <c r="F11" s="2239"/>
      <c r="G11" s="2239"/>
      <c r="H11" s="2239"/>
      <c r="I11" s="2239"/>
      <c r="J11" s="2239"/>
      <c r="K11" s="2239"/>
      <c r="L11" s="2239"/>
      <c r="M11" s="2239"/>
      <c r="N11" s="2239"/>
      <c r="O11" s="2239"/>
      <c r="P11" s="2239"/>
      <c r="Q11" s="2328"/>
    </row>
    <row r="12" spans="2:18" x14ac:dyDescent="0.25">
      <c r="B12" s="2327"/>
      <c r="C12" s="4864" t="s">
        <v>3842</v>
      </c>
      <c r="D12" s="4865"/>
      <c r="E12" s="4865"/>
      <c r="F12" s="4865"/>
      <c r="G12" s="4866"/>
      <c r="H12" s="2244"/>
      <c r="I12" s="2239"/>
      <c r="J12" s="4864" t="s">
        <v>3843</v>
      </c>
      <c r="K12" s="4865"/>
      <c r="L12" s="4865"/>
      <c r="M12" s="4865"/>
      <c r="N12" s="4865"/>
      <c r="O12" s="4865"/>
      <c r="P12" s="4866"/>
      <c r="Q12" s="2328"/>
      <c r="R12" s="2239"/>
    </row>
    <row r="13" spans="2:18" x14ac:dyDescent="0.25">
      <c r="B13" s="2327"/>
      <c r="C13" s="4867"/>
      <c r="D13" s="4868"/>
      <c r="E13" s="4868"/>
      <c r="F13" s="4868"/>
      <c r="G13" s="4869"/>
      <c r="H13" s="2245"/>
      <c r="I13" s="2239"/>
      <c r="J13" s="4867"/>
      <c r="K13" s="4868"/>
      <c r="L13" s="4868"/>
      <c r="M13" s="4868"/>
      <c r="N13" s="4868"/>
      <c r="O13" s="4868"/>
      <c r="P13" s="4869"/>
      <c r="Q13" s="2328"/>
      <c r="R13" s="2239"/>
    </row>
    <row r="14" spans="2:18" ht="40.5" x14ac:dyDescent="0.25">
      <c r="B14" s="2327"/>
      <c r="C14" s="2335" t="s">
        <v>3844</v>
      </c>
      <c r="D14" s="2246" t="s">
        <v>3845</v>
      </c>
      <c r="E14" s="2247" t="s">
        <v>3846</v>
      </c>
      <c r="F14" s="2247" t="s">
        <v>3847</v>
      </c>
      <c r="G14" s="2336" t="s">
        <v>3848</v>
      </c>
      <c r="H14" s="2244"/>
      <c r="I14" s="2239"/>
      <c r="J14" s="2335" t="s">
        <v>3844</v>
      </c>
      <c r="K14" s="2246" t="s">
        <v>3849</v>
      </c>
      <c r="L14" s="2246" t="s">
        <v>3850</v>
      </c>
      <c r="M14" s="2246"/>
      <c r="N14" s="2246" t="s">
        <v>3851</v>
      </c>
      <c r="O14" s="2246" t="s">
        <v>3852</v>
      </c>
      <c r="P14" s="2339" t="s">
        <v>3853</v>
      </c>
      <c r="Q14" s="2328"/>
    </row>
    <row r="15" spans="2:18" x14ac:dyDescent="0.25">
      <c r="B15" s="2327"/>
      <c r="C15" s="3688" t="s">
        <v>3854</v>
      </c>
      <c r="D15" s="3689" t="s">
        <v>5946</v>
      </c>
      <c r="E15" s="3690"/>
      <c r="F15" s="3691"/>
      <c r="G15" s="3692"/>
      <c r="H15" s="2248"/>
      <c r="I15" s="2239"/>
      <c r="J15" s="3688" t="s">
        <v>3854</v>
      </c>
      <c r="K15" s="3689" t="s">
        <v>5946</v>
      </c>
      <c r="L15" s="3690"/>
      <c r="M15" s="3691"/>
      <c r="N15" s="3692"/>
      <c r="O15" s="3700"/>
      <c r="P15" s="3701"/>
      <c r="Q15" s="2328"/>
    </row>
    <row r="16" spans="2:18" x14ac:dyDescent="0.25">
      <c r="B16" s="2327"/>
      <c r="C16" s="3489" t="s">
        <v>3855</v>
      </c>
      <c r="D16" s="3490" t="s">
        <v>1816</v>
      </c>
      <c r="E16" s="3491" t="s">
        <v>3856</v>
      </c>
      <c r="F16" s="3492">
        <v>674.16000000000031</v>
      </c>
      <c r="G16" s="3493">
        <v>1263772.8723418335</v>
      </c>
      <c r="H16" s="2251"/>
      <c r="I16" s="2239"/>
      <c r="J16" s="3489" t="s">
        <v>3855</v>
      </c>
      <c r="K16" s="3490" t="s">
        <v>1816</v>
      </c>
      <c r="L16" s="3491" t="s">
        <v>3856</v>
      </c>
      <c r="M16" s="3492">
        <v>674.16000000000031</v>
      </c>
      <c r="N16" s="3493">
        <v>1263772.8723418335</v>
      </c>
      <c r="O16" s="3713">
        <f t="shared" ref="O16:O40" si="0">1/1.18</f>
        <v>0.84745762711864414</v>
      </c>
      <c r="P16" s="2250">
        <f>N16*O16</f>
        <v>1070993.9596117234</v>
      </c>
      <c r="Q16" s="2328"/>
    </row>
    <row r="17" spans="2:17" x14ac:dyDescent="0.25">
      <c r="B17" s="2327"/>
      <c r="C17" s="3489" t="s">
        <v>3857</v>
      </c>
      <c r="D17" s="3490" t="s">
        <v>1837</v>
      </c>
      <c r="E17" s="3491" t="s">
        <v>3856</v>
      </c>
      <c r="F17" s="3492">
        <v>172.53000000000003</v>
      </c>
      <c r="G17" s="3493">
        <v>427019.93957126245</v>
      </c>
      <c r="H17" s="2251"/>
      <c r="I17" s="2239"/>
      <c r="J17" s="3489" t="s">
        <v>3857</v>
      </c>
      <c r="K17" s="3490" t="s">
        <v>1837</v>
      </c>
      <c r="L17" s="3491" t="s">
        <v>3856</v>
      </c>
      <c r="M17" s="3492">
        <v>172.53000000000003</v>
      </c>
      <c r="N17" s="3493">
        <v>427019.93957126245</v>
      </c>
      <c r="O17" s="3713">
        <f t="shared" si="0"/>
        <v>0.84745762711864414</v>
      </c>
      <c r="P17" s="2250">
        <f t="shared" ref="P17:P40" si="1">N17*O17</f>
        <v>361881.30472140887</v>
      </c>
      <c r="Q17" s="2328"/>
    </row>
    <row r="18" spans="2:17" x14ac:dyDescent="0.25">
      <c r="B18" s="2327"/>
      <c r="C18" s="3489" t="s">
        <v>3858</v>
      </c>
      <c r="D18" s="3490" t="s">
        <v>1843</v>
      </c>
      <c r="E18" s="3491" t="s">
        <v>3856</v>
      </c>
      <c r="F18" s="3492">
        <v>112.79000000000002</v>
      </c>
      <c r="G18" s="3493">
        <v>274279.44040538202</v>
      </c>
      <c r="H18" s="2251"/>
      <c r="I18" s="2239"/>
      <c r="J18" s="3489" t="s">
        <v>3858</v>
      </c>
      <c r="K18" s="3490" t="s">
        <v>1843</v>
      </c>
      <c r="L18" s="3491" t="s">
        <v>3856</v>
      </c>
      <c r="M18" s="3492">
        <v>112.79000000000002</v>
      </c>
      <c r="N18" s="3493">
        <v>274279.44040538202</v>
      </c>
      <c r="O18" s="3713">
        <f t="shared" si="0"/>
        <v>0.84745762711864414</v>
      </c>
      <c r="P18" s="2250">
        <f t="shared" si="1"/>
        <v>232440.2037333746</v>
      </c>
      <c r="Q18" s="2328"/>
    </row>
    <row r="19" spans="2:17" x14ac:dyDescent="0.25">
      <c r="B19" s="2327"/>
      <c r="C19" s="3489" t="s">
        <v>3860</v>
      </c>
      <c r="D19" s="3490" t="s">
        <v>3859</v>
      </c>
      <c r="E19" s="3491" t="s">
        <v>3856</v>
      </c>
      <c r="F19" s="3492">
        <v>30.32</v>
      </c>
      <c r="G19" s="3493">
        <v>44247.997197752993</v>
      </c>
      <c r="H19" s="2251"/>
      <c r="I19" s="2239"/>
      <c r="J19" s="3489" t="s">
        <v>3860</v>
      </c>
      <c r="K19" s="3490" t="s">
        <v>3859</v>
      </c>
      <c r="L19" s="3491" t="s">
        <v>3856</v>
      </c>
      <c r="M19" s="3492">
        <v>30.32</v>
      </c>
      <c r="N19" s="3493">
        <v>44247.997197752993</v>
      </c>
      <c r="O19" s="3713">
        <f t="shared" si="0"/>
        <v>0.84745762711864414</v>
      </c>
      <c r="P19" s="2250">
        <f t="shared" si="1"/>
        <v>37498.302709960168</v>
      </c>
      <c r="Q19" s="2328"/>
    </row>
    <row r="20" spans="2:17" x14ac:dyDescent="0.25">
      <c r="B20" s="2327"/>
      <c r="C20" s="3489" t="s">
        <v>3862</v>
      </c>
      <c r="D20" s="3490" t="s">
        <v>3861</v>
      </c>
      <c r="E20" s="3491" t="s">
        <v>3856</v>
      </c>
      <c r="F20" s="3492">
        <v>95.63</v>
      </c>
      <c r="G20" s="3493">
        <v>266858.3920944347</v>
      </c>
      <c r="H20" s="2251"/>
      <c r="I20" s="2239"/>
      <c r="J20" s="3489" t="s">
        <v>3862</v>
      </c>
      <c r="K20" s="3490" t="s">
        <v>3861</v>
      </c>
      <c r="L20" s="3491" t="s">
        <v>3856</v>
      </c>
      <c r="M20" s="3492">
        <v>95.63</v>
      </c>
      <c r="N20" s="3493">
        <v>266858.3920944347</v>
      </c>
      <c r="O20" s="3713">
        <f t="shared" si="0"/>
        <v>0.84745762711864414</v>
      </c>
      <c r="P20" s="2250">
        <f t="shared" si="1"/>
        <v>226151.17974104639</v>
      </c>
      <c r="Q20" s="2328"/>
    </row>
    <row r="21" spans="2:17" x14ac:dyDescent="0.25">
      <c r="B21" s="2327"/>
      <c r="C21" s="3489" t="s">
        <v>3864</v>
      </c>
      <c r="D21" s="3490" t="s">
        <v>5854</v>
      </c>
      <c r="E21" s="3491" t="s">
        <v>3856</v>
      </c>
      <c r="F21" s="3492">
        <v>251.70999999999995</v>
      </c>
      <c r="G21" s="3493">
        <v>1034390.4391878255</v>
      </c>
      <c r="H21" s="2251"/>
      <c r="I21" s="2239"/>
      <c r="J21" s="3489" t="s">
        <v>3864</v>
      </c>
      <c r="K21" s="3490" t="s">
        <v>5854</v>
      </c>
      <c r="L21" s="3491" t="s">
        <v>3856</v>
      </c>
      <c r="M21" s="3492">
        <v>251.70999999999995</v>
      </c>
      <c r="N21" s="3493">
        <v>1034390.4391878255</v>
      </c>
      <c r="O21" s="3713">
        <f t="shared" si="0"/>
        <v>0.84745762711864414</v>
      </c>
      <c r="P21" s="2250">
        <f t="shared" si="1"/>
        <v>876602.06710832682</v>
      </c>
      <c r="Q21" s="2328"/>
    </row>
    <row r="22" spans="2:17" x14ac:dyDescent="0.25">
      <c r="B22" s="2327"/>
      <c r="C22" s="3489" t="s">
        <v>3865</v>
      </c>
      <c r="D22" s="3490" t="s">
        <v>5855</v>
      </c>
      <c r="E22" s="3491" t="s">
        <v>3856</v>
      </c>
      <c r="F22" s="3492">
        <v>189.56999999999996</v>
      </c>
      <c r="G22" s="3493">
        <v>558680.13796759036</v>
      </c>
      <c r="H22" s="2251"/>
      <c r="I22" s="2239"/>
      <c r="J22" s="3489" t="s">
        <v>3865</v>
      </c>
      <c r="K22" s="3490" t="s">
        <v>5855</v>
      </c>
      <c r="L22" s="3491" t="s">
        <v>3856</v>
      </c>
      <c r="M22" s="3492">
        <v>189.56999999999996</v>
      </c>
      <c r="N22" s="3493">
        <v>558680.13796759036</v>
      </c>
      <c r="O22" s="3713">
        <f t="shared" si="0"/>
        <v>0.84745762711864414</v>
      </c>
      <c r="P22" s="2250">
        <f t="shared" si="1"/>
        <v>473457.74404033087</v>
      </c>
      <c r="Q22" s="2328"/>
    </row>
    <row r="23" spans="2:17" x14ac:dyDescent="0.25">
      <c r="B23" s="2327"/>
      <c r="C23" s="3489" t="s">
        <v>3867</v>
      </c>
      <c r="D23" s="3490" t="s">
        <v>3863</v>
      </c>
      <c r="E23" s="3491" t="s">
        <v>3856</v>
      </c>
      <c r="F23" s="3492">
        <v>96.59</v>
      </c>
      <c r="G23" s="3493">
        <v>317430.04016313917</v>
      </c>
      <c r="H23" s="2251"/>
      <c r="I23" s="2239"/>
      <c r="J23" s="3489" t="s">
        <v>3867</v>
      </c>
      <c r="K23" s="3490" t="s">
        <v>3863</v>
      </c>
      <c r="L23" s="3491" t="s">
        <v>3856</v>
      </c>
      <c r="M23" s="3492">
        <v>96.59</v>
      </c>
      <c r="N23" s="3493">
        <v>317430.04016313917</v>
      </c>
      <c r="O23" s="3713">
        <f t="shared" si="0"/>
        <v>0.84745762711864414</v>
      </c>
      <c r="P23" s="2250">
        <f t="shared" si="1"/>
        <v>269008.50861282984</v>
      </c>
      <c r="Q23" s="2328"/>
    </row>
    <row r="24" spans="2:17" x14ac:dyDescent="0.25">
      <c r="B24" s="2327"/>
      <c r="C24" s="3489" t="s">
        <v>3868</v>
      </c>
      <c r="D24" s="3490" t="s">
        <v>3866</v>
      </c>
      <c r="E24" s="3491" t="s">
        <v>3856</v>
      </c>
      <c r="F24" s="3492">
        <v>82.570000000000007</v>
      </c>
      <c r="G24" s="3493">
        <v>479353.70394585317</v>
      </c>
      <c r="H24" s="2251"/>
      <c r="I24" s="2239"/>
      <c r="J24" s="3489" t="s">
        <v>3868</v>
      </c>
      <c r="K24" s="3490" t="s">
        <v>3866</v>
      </c>
      <c r="L24" s="3491" t="s">
        <v>3856</v>
      </c>
      <c r="M24" s="3492">
        <v>82.570000000000007</v>
      </c>
      <c r="N24" s="3493">
        <v>479353.70394585317</v>
      </c>
      <c r="O24" s="3713">
        <f t="shared" si="0"/>
        <v>0.84745762711864414</v>
      </c>
      <c r="P24" s="2250">
        <f t="shared" si="1"/>
        <v>406231.95249648578</v>
      </c>
      <c r="Q24" s="2328"/>
    </row>
    <row r="25" spans="2:17" x14ac:dyDescent="0.25">
      <c r="B25" s="2327"/>
      <c r="C25" s="3489" t="s">
        <v>3869</v>
      </c>
      <c r="D25" s="3490" t="s">
        <v>1871</v>
      </c>
      <c r="E25" s="3491" t="s">
        <v>3856</v>
      </c>
      <c r="F25" s="3492">
        <v>107.83000000000001</v>
      </c>
      <c r="G25" s="3493">
        <v>248076.04274105051</v>
      </c>
      <c r="H25" s="2251"/>
      <c r="I25" s="2239"/>
      <c r="J25" s="3489" t="s">
        <v>3869</v>
      </c>
      <c r="K25" s="3490" t="s">
        <v>1871</v>
      </c>
      <c r="L25" s="3491" t="s">
        <v>3856</v>
      </c>
      <c r="M25" s="3492">
        <v>107.83000000000001</v>
      </c>
      <c r="N25" s="3493">
        <v>248076.04274105051</v>
      </c>
      <c r="O25" s="3713">
        <f t="shared" si="0"/>
        <v>0.84745762711864414</v>
      </c>
      <c r="P25" s="2250">
        <f t="shared" si="1"/>
        <v>210233.934526314</v>
      </c>
      <c r="Q25" s="2328"/>
    </row>
    <row r="26" spans="2:17" x14ac:dyDescent="0.25">
      <c r="B26" s="2327"/>
      <c r="C26" s="3489" t="s">
        <v>3870</v>
      </c>
      <c r="D26" s="3490" t="s">
        <v>2204</v>
      </c>
      <c r="E26" s="3491" t="s">
        <v>3856</v>
      </c>
      <c r="F26" s="3494">
        <v>77.140000000000015</v>
      </c>
      <c r="G26" s="3493">
        <v>1368531.4691004611</v>
      </c>
      <c r="H26" s="2251"/>
      <c r="I26" s="2239"/>
      <c r="J26" s="3489" t="s">
        <v>3870</v>
      </c>
      <c r="K26" s="3490" t="s">
        <v>2204</v>
      </c>
      <c r="L26" s="3491" t="s">
        <v>3856</v>
      </c>
      <c r="M26" s="3494">
        <v>77.140000000000015</v>
      </c>
      <c r="N26" s="3493">
        <v>1368531.4691004611</v>
      </c>
      <c r="O26" s="3713">
        <f t="shared" si="0"/>
        <v>0.84745762711864414</v>
      </c>
      <c r="P26" s="2250">
        <f t="shared" si="1"/>
        <v>1159772.4314410689</v>
      </c>
      <c r="Q26" s="2328"/>
    </row>
    <row r="27" spans="2:17" x14ac:dyDescent="0.25">
      <c r="B27" s="2327"/>
      <c r="C27" s="3489" t="s">
        <v>3871</v>
      </c>
      <c r="D27" s="3490" t="s">
        <v>2205</v>
      </c>
      <c r="E27" s="3491" t="s">
        <v>3856</v>
      </c>
      <c r="F27" s="3494">
        <v>77.2</v>
      </c>
      <c r="G27" s="3493">
        <v>100631.88190815208</v>
      </c>
      <c r="H27" s="2251"/>
      <c r="I27" s="2239"/>
      <c r="J27" s="3489" t="s">
        <v>3871</v>
      </c>
      <c r="K27" s="3490" t="s">
        <v>2205</v>
      </c>
      <c r="L27" s="3491" t="s">
        <v>3856</v>
      </c>
      <c r="M27" s="3494">
        <v>77.2</v>
      </c>
      <c r="N27" s="3493">
        <v>100631.88190815208</v>
      </c>
      <c r="O27" s="3713">
        <f t="shared" si="0"/>
        <v>0.84745762711864414</v>
      </c>
      <c r="P27" s="2250">
        <f t="shared" si="1"/>
        <v>85281.255854366173</v>
      </c>
      <c r="Q27" s="2328"/>
    </row>
    <row r="28" spans="2:17" x14ac:dyDescent="0.25">
      <c r="B28" s="2327"/>
      <c r="C28" s="3489" t="s">
        <v>3872</v>
      </c>
      <c r="D28" s="3490" t="s">
        <v>1883</v>
      </c>
      <c r="E28" s="3491" t="s">
        <v>3856</v>
      </c>
      <c r="F28" s="3494">
        <v>164.99</v>
      </c>
      <c r="G28" s="3493">
        <v>2126072.0821556132</v>
      </c>
      <c r="H28" s="2251"/>
      <c r="I28" s="2239"/>
      <c r="J28" s="3489" t="s">
        <v>3872</v>
      </c>
      <c r="K28" s="3490" t="s">
        <v>1883</v>
      </c>
      <c r="L28" s="3491" t="s">
        <v>3856</v>
      </c>
      <c r="M28" s="3494">
        <v>164.99</v>
      </c>
      <c r="N28" s="3493">
        <v>2126072.0821556132</v>
      </c>
      <c r="O28" s="3713">
        <f t="shared" si="0"/>
        <v>0.84745762711864414</v>
      </c>
      <c r="P28" s="2250">
        <f t="shared" si="1"/>
        <v>1801756.0018267911</v>
      </c>
      <c r="Q28" s="2328"/>
    </row>
    <row r="29" spans="2:17" x14ac:dyDescent="0.25">
      <c r="B29" s="2327"/>
      <c r="C29" s="3489" t="s">
        <v>3873</v>
      </c>
      <c r="D29" s="3490" t="s">
        <v>1886</v>
      </c>
      <c r="E29" s="3491" t="s">
        <v>3856</v>
      </c>
      <c r="F29" s="3494">
        <v>21.21</v>
      </c>
      <c r="G29" s="3493">
        <v>35424.074074067241</v>
      </c>
      <c r="H29" s="2251"/>
      <c r="I29" s="2239"/>
      <c r="J29" s="3489" t="s">
        <v>3873</v>
      </c>
      <c r="K29" s="3490" t="s">
        <v>1886</v>
      </c>
      <c r="L29" s="3491" t="s">
        <v>3856</v>
      </c>
      <c r="M29" s="3494">
        <v>21.21</v>
      </c>
      <c r="N29" s="3493">
        <v>35424.074074067241</v>
      </c>
      <c r="O29" s="3713">
        <f t="shared" si="0"/>
        <v>0.84745762711864414</v>
      </c>
      <c r="P29" s="2250">
        <f t="shared" si="1"/>
        <v>30020.401757684103</v>
      </c>
      <c r="Q29" s="2328"/>
    </row>
    <row r="30" spans="2:17" x14ac:dyDescent="0.25">
      <c r="B30" s="2327"/>
      <c r="C30" s="3489" t="s">
        <v>3874</v>
      </c>
      <c r="D30" s="3490" t="s">
        <v>2207</v>
      </c>
      <c r="E30" s="3491" t="s">
        <v>3856</v>
      </c>
      <c r="F30" s="3492">
        <v>19.690000000000001</v>
      </c>
      <c r="G30" s="3493">
        <v>136489.9273912803</v>
      </c>
      <c r="H30" s="2251"/>
      <c r="I30" s="2239"/>
      <c r="J30" s="3489" t="s">
        <v>3874</v>
      </c>
      <c r="K30" s="3490" t="s">
        <v>2207</v>
      </c>
      <c r="L30" s="3491" t="s">
        <v>3856</v>
      </c>
      <c r="M30" s="3492">
        <v>19.690000000000001</v>
      </c>
      <c r="N30" s="3493">
        <v>136489.9273912803</v>
      </c>
      <c r="O30" s="3713">
        <f t="shared" si="0"/>
        <v>0.84745762711864414</v>
      </c>
      <c r="P30" s="2250">
        <f t="shared" si="1"/>
        <v>115669.42999261044</v>
      </c>
      <c r="Q30" s="2328"/>
    </row>
    <row r="31" spans="2:17" x14ac:dyDescent="0.25">
      <c r="B31" s="2327"/>
      <c r="C31" s="3489" t="s">
        <v>3875</v>
      </c>
      <c r="D31" s="3490" t="s">
        <v>2208</v>
      </c>
      <c r="E31" s="3491" t="s">
        <v>3856</v>
      </c>
      <c r="F31" s="3492">
        <v>55.120000000000005</v>
      </c>
      <c r="G31" s="3493">
        <v>84136.284911344017</v>
      </c>
      <c r="H31" s="2251"/>
      <c r="I31" s="2239"/>
      <c r="J31" s="3489" t="s">
        <v>3875</v>
      </c>
      <c r="K31" s="3490" t="s">
        <v>2208</v>
      </c>
      <c r="L31" s="3491" t="s">
        <v>3856</v>
      </c>
      <c r="M31" s="3492">
        <v>55.120000000000005</v>
      </c>
      <c r="N31" s="3493">
        <v>84136.284911344017</v>
      </c>
      <c r="O31" s="3713">
        <f t="shared" si="0"/>
        <v>0.84745762711864414</v>
      </c>
      <c r="P31" s="2250">
        <f t="shared" si="1"/>
        <v>71301.936365545786</v>
      </c>
      <c r="Q31" s="2328"/>
    </row>
    <row r="32" spans="2:17" x14ac:dyDescent="0.25">
      <c r="B32" s="2327"/>
      <c r="C32" s="3489" t="s">
        <v>3876</v>
      </c>
      <c r="D32" s="3490" t="s">
        <v>3482</v>
      </c>
      <c r="E32" s="3491" t="s">
        <v>3856</v>
      </c>
      <c r="F32" s="3492">
        <v>50.51</v>
      </c>
      <c r="G32" s="3493">
        <v>101921.97121889828</v>
      </c>
      <c r="H32" s="2251"/>
      <c r="I32" s="2239"/>
      <c r="J32" s="3489" t="s">
        <v>3876</v>
      </c>
      <c r="K32" s="3490" t="s">
        <v>3482</v>
      </c>
      <c r="L32" s="3491" t="s">
        <v>3856</v>
      </c>
      <c r="M32" s="3492">
        <v>50.51</v>
      </c>
      <c r="N32" s="3493">
        <v>101921.97121889828</v>
      </c>
      <c r="O32" s="3713">
        <f t="shared" si="0"/>
        <v>0.84745762711864414</v>
      </c>
      <c r="P32" s="2250">
        <f t="shared" si="1"/>
        <v>86374.551880422281</v>
      </c>
      <c r="Q32" s="2328"/>
    </row>
    <row r="33" spans="2:17" x14ac:dyDescent="0.25">
      <c r="B33" s="2327"/>
      <c r="C33" s="3489" t="s">
        <v>3877</v>
      </c>
      <c r="D33" s="3490" t="s">
        <v>2209</v>
      </c>
      <c r="E33" s="3491" t="s">
        <v>3856</v>
      </c>
      <c r="F33" s="3492">
        <v>41.68</v>
      </c>
      <c r="G33" s="3493">
        <v>63694.120308561047</v>
      </c>
      <c r="H33" s="2251"/>
      <c r="I33" s="2239"/>
      <c r="J33" s="3489" t="s">
        <v>3877</v>
      </c>
      <c r="K33" s="3490" t="s">
        <v>2209</v>
      </c>
      <c r="L33" s="3491" t="s">
        <v>3856</v>
      </c>
      <c r="M33" s="3492">
        <v>41.68</v>
      </c>
      <c r="N33" s="3493">
        <v>63694.120308561047</v>
      </c>
      <c r="O33" s="3713">
        <f t="shared" si="0"/>
        <v>0.84745762711864414</v>
      </c>
      <c r="P33" s="2250">
        <f t="shared" si="1"/>
        <v>53978.068058102588</v>
      </c>
      <c r="Q33" s="2328"/>
    </row>
    <row r="34" spans="2:17" x14ac:dyDescent="0.25">
      <c r="B34" s="2327"/>
      <c r="C34" s="3489" t="s">
        <v>3878</v>
      </c>
      <c r="D34" s="3490" t="s">
        <v>1893</v>
      </c>
      <c r="E34" s="3491" t="s">
        <v>3856</v>
      </c>
      <c r="F34" s="3492">
        <v>73.3</v>
      </c>
      <c r="G34" s="3493">
        <v>100798.06031931238</v>
      </c>
      <c r="H34" s="2251"/>
      <c r="I34" s="2239"/>
      <c r="J34" s="3489" t="s">
        <v>3878</v>
      </c>
      <c r="K34" s="3490" t="s">
        <v>1893</v>
      </c>
      <c r="L34" s="3491" t="s">
        <v>3856</v>
      </c>
      <c r="M34" s="3492">
        <v>73.3</v>
      </c>
      <c r="N34" s="3493">
        <v>100798.06031931238</v>
      </c>
      <c r="O34" s="3713">
        <f t="shared" si="0"/>
        <v>0.84745762711864414</v>
      </c>
      <c r="P34" s="2250">
        <f t="shared" si="1"/>
        <v>85422.085016366429</v>
      </c>
      <c r="Q34" s="2328"/>
    </row>
    <row r="35" spans="2:17" x14ac:dyDescent="0.25">
      <c r="B35" s="2327"/>
      <c r="C35" s="3489" t="s">
        <v>3879</v>
      </c>
      <c r="D35" s="3490" t="s">
        <v>3503</v>
      </c>
      <c r="E35" s="3491" t="s">
        <v>3856</v>
      </c>
      <c r="F35" s="3492">
        <v>105.38000000000001</v>
      </c>
      <c r="G35" s="3493">
        <v>147021.8918870716</v>
      </c>
      <c r="H35" s="2251"/>
      <c r="I35" s="2239"/>
      <c r="J35" s="3489" t="s">
        <v>3879</v>
      </c>
      <c r="K35" s="3490" t="s">
        <v>3503</v>
      </c>
      <c r="L35" s="3491" t="s">
        <v>3856</v>
      </c>
      <c r="M35" s="3492">
        <v>105.38000000000001</v>
      </c>
      <c r="N35" s="3493">
        <v>147021.8918870716</v>
      </c>
      <c r="O35" s="3713">
        <f t="shared" si="0"/>
        <v>0.84745762711864414</v>
      </c>
      <c r="P35" s="2250">
        <f t="shared" si="1"/>
        <v>124594.82363311153</v>
      </c>
      <c r="Q35" s="2328"/>
    </row>
    <row r="36" spans="2:17" x14ac:dyDescent="0.25">
      <c r="B36" s="2327"/>
      <c r="C36" s="3489" t="s">
        <v>3880</v>
      </c>
      <c r="D36" s="3490" t="s">
        <v>2211</v>
      </c>
      <c r="E36" s="3491" t="s">
        <v>3856</v>
      </c>
      <c r="F36" s="3492">
        <v>173.34</v>
      </c>
      <c r="G36" s="3493">
        <v>192806.64628300822</v>
      </c>
      <c r="H36" s="2251"/>
      <c r="I36" s="2239"/>
      <c r="J36" s="3489" t="s">
        <v>3880</v>
      </c>
      <c r="K36" s="3490" t="s">
        <v>2211</v>
      </c>
      <c r="L36" s="3491" t="s">
        <v>3856</v>
      </c>
      <c r="M36" s="3492">
        <v>173.34</v>
      </c>
      <c r="N36" s="3493">
        <v>192806.64628300822</v>
      </c>
      <c r="O36" s="3713">
        <f t="shared" si="0"/>
        <v>0.84745762711864414</v>
      </c>
      <c r="P36" s="2250">
        <f t="shared" si="1"/>
        <v>163395.46295170189</v>
      </c>
      <c r="Q36" s="2328"/>
    </row>
    <row r="37" spans="2:17" x14ac:dyDescent="0.25">
      <c r="B37" s="2327"/>
      <c r="C37" s="3489" t="s">
        <v>5856</v>
      </c>
      <c r="D37" s="3490" t="s">
        <v>2212</v>
      </c>
      <c r="E37" s="3491" t="s">
        <v>3856</v>
      </c>
      <c r="F37" s="3492">
        <v>145.43</v>
      </c>
      <c r="G37" s="3493">
        <v>251633.04544910754</v>
      </c>
      <c r="H37" s="2251"/>
      <c r="I37" s="2239"/>
      <c r="J37" s="3489" t="s">
        <v>5856</v>
      </c>
      <c r="K37" s="3490" t="s">
        <v>2212</v>
      </c>
      <c r="L37" s="3491" t="s">
        <v>3856</v>
      </c>
      <c r="M37" s="3492">
        <v>145.43</v>
      </c>
      <c r="N37" s="3493">
        <v>251633.04544910754</v>
      </c>
      <c r="O37" s="3713">
        <f t="shared" si="0"/>
        <v>0.84745762711864414</v>
      </c>
      <c r="P37" s="2250">
        <f t="shared" si="1"/>
        <v>213248.34360093862</v>
      </c>
      <c r="Q37" s="2328"/>
    </row>
    <row r="38" spans="2:17" x14ac:dyDescent="0.25">
      <c r="B38" s="2327"/>
      <c r="C38" s="3489" t="s">
        <v>5857</v>
      </c>
      <c r="D38" s="3490" t="s">
        <v>3509</v>
      </c>
      <c r="E38" s="3491" t="s">
        <v>3856</v>
      </c>
      <c r="F38" s="3492">
        <v>24.18</v>
      </c>
      <c r="G38" s="3493">
        <v>21010.700172918587</v>
      </c>
      <c r="H38" s="2251"/>
      <c r="I38" s="2239"/>
      <c r="J38" s="3489" t="s">
        <v>5857</v>
      </c>
      <c r="K38" s="3490" t="s">
        <v>3509</v>
      </c>
      <c r="L38" s="3491" t="s">
        <v>3856</v>
      </c>
      <c r="M38" s="3492">
        <v>24.18</v>
      </c>
      <c r="N38" s="3493">
        <v>21010.700172918587</v>
      </c>
      <c r="O38" s="3713">
        <f t="shared" si="0"/>
        <v>0.84745762711864414</v>
      </c>
      <c r="P38" s="2250">
        <f t="shared" si="1"/>
        <v>17805.678112642872</v>
      </c>
      <c r="Q38" s="2328"/>
    </row>
    <row r="39" spans="2:17" x14ac:dyDescent="0.25">
      <c r="B39" s="2327"/>
      <c r="C39" s="3489" t="s">
        <v>5858</v>
      </c>
      <c r="D39" s="3490" t="s">
        <v>628</v>
      </c>
      <c r="E39" s="3491" t="s">
        <v>3856</v>
      </c>
      <c r="F39" s="3492">
        <v>480.67</v>
      </c>
      <c r="G39" s="3493">
        <v>545179.75528201566</v>
      </c>
      <c r="H39" s="2251"/>
      <c r="I39" s="2239"/>
      <c r="J39" s="3489" t="s">
        <v>5858</v>
      </c>
      <c r="K39" s="3490" t="s">
        <v>628</v>
      </c>
      <c r="L39" s="3491" t="s">
        <v>3856</v>
      </c>
      <c r="M39" s="3492">
        <v>480.67</v>
      </c>
      <c r="N39" s="3493">
        <v>545179.75528201566</v>
      </c>
      <c r="O39" s="3713">
        <f t="shared" si="0"/>
        <v>0.84745762711864414</v>
      </c>
      <c r="P39" s="2250">
        <f t="shared" si="1"/>
        <v>462016.74176442006</v>
      </c>
      <c r="Q39" s="2328"/>
    </row>
    <row r="40" spans="2:17" x14ac:dyDescent="0.25">
      <c r="B40" s="2327"/>
      <c r="C40" s="3489" t="s">
        <v>5859</v>
      </c>
      <c r="D40" s="3490" t="s">
        <v>5860</v>
      </c>
      <c r="E40" s="3491" t="s">
        <v>3856</v>
      </c>
      <c r="F40" s="3492">
        <v>1086.6600000000001</v>
      </c>
      <c r="G40" s="3493">
        <v>3821366.9231599998</v>
      </c>
      <c r="H40" s="2251"/>
      <c r="I40" s="2239"/>
      <c r="J40" s="3489" t="s">
        <v>5859</v>
      </c>
      <c r="K40" s="3490" t="s">
        <v>5860</v>
      </c>
      <c r="L40" s="3491" t="s">
        <v>3856</v>
      </c>
      <c r="M40" s="3492"/>
      <c r="N40" s="3493">
        <v>3747048.3761</v>
      </c>
      <c r="O40" s="3713">
        <f t="shared" si="0"/>
        <v>0.84745762711864414</v>
      </c>
      <c r="P40" s="2250">
        <f t="shared" si="1"/>
        <v>3175464.7255084747</v>
      </c>
      <c r="Q40" s="2328"/>
    </row>
    <row r="41" spans="2:17" x14ac:dyDescent="0.25">
      <c r="B41" s="2327"/>
      <c r="C41" s="2254"/>
      <c r="D41" s="2255" t="s">
        <v>3881</v>
      </c>
      <c r="E41" s="2256"/>
      <c r="F41" s="2257"/>
      <c r="G41" s="2258">
        <f>SUM(G16:G40)</f>
        <v>14010827.839237938</v>
      </c>
      <c r="H41" s="2259"/>
      <c r="I41" s="2260"/>
      <c r="J41" s="2254"/>
      <c r="K41" s="2255" t="s">
        <v>3881</v>
      </c>
      <c r="L41" s="2256"/>
      <c r="M41" s="2257"/>
      <c r="N41" s="2258">
        <f>SUM(N16:N40)</f>
        <v>13936509.292177938</v>
      </c>
      <c r="O41" s="2261"/>
      <c r="P41" s="2262">
        <f>SUM(P16:P39)</f>
        <v>8635136.3695575744</v>
      </c>
      <c r="Q41" s="2328"/>
    </row>
    <row r="42" spans="2:17" x14ac:dyDescent="0.25">
      <c r="B42" s="2327"/>
      <c r="C42" s="2263"/>
      <c r="D42" s="2264" t="s">
        <v>5372</v>
      </c>
      <c r="E42" s="2265">
        <v>6.3472721908118243E-2</v>
      </c>
      <c r="F42" s="2266"/>
      <c r="G42" s="2250">
        <f>G41*E42</f>
        <v>889305.37914247089</v>
      </c>
      <c r="H42" s="2251"/>
      <c r="I42" s="2260"/>
      <c r="J42" s="2263"/>
      <c r="K42" s="2264" t="s">
        <v>5372</v>
      </c>
      <c r="L42" s="2265">
        <v>6.3472721908118243E-2</v>
      </c>
      <c r="M42" s="2266"/>
      <c r="N42" s="2250">
        <f>N41*L42</f>
        <v>884588.17867231602</v>
      </c>
      <c r="O42" s="2253"/>
      <c r="P42" s="2250">
        <f>P41*L42</f>
        <v>548095.60942360573</v>
      </c>
      <c r="Q42" s="2328"/>
    </row>
    <row r="43" spans="2:17" x14ac:dyDescent="0.25">
      <c r="B43" s="2327"/>
      <c r="C43" s="2263"/>
      <c r="D43" s="2264" t="s">
        <v>5924</v>
      </c>
      <c r="E43" s="2267">
        <v>0.05</v>
      </c>
      <c r="F43" s="2266"/>
      <c r="G43" s="2250">
        <f>G41*E43</f>
        <v>700541.39196189691</v>
      </c>
      <c r="H43" s="2251"/>
      <c r="I43" s="2268"/>
      <c r="J43" s="2263"/>
      <c r="K43" s="2264" t="s">
        <v>5924</v>
      </c>
      <c r="L43" s="2267">
        <v>0.05</v>
      </c>
      <c r="M43" s="2266"/>
      <c r="N43" s="2250">
        <f>N41*L43</f>
        <v>696825.46460889699</v>
      </c>
      <c r="O43" s="2253"/>
      <c r="P43" s="2250">
        <f>P41*L43</f>
        <v>431756.81847787875</v>
      </c>
      <c r="Q43" s="2328"/>
    </row>
    <row r="44" spans="2:17" x14ac:dyDescent="0.25">
      <c r="B44" s="2327"/>
      <c r="C44" s="2254"/>
      <c r="D44" s="2255" t="s">
        <v>3882</v>
      </c>
      <c r="E44" s="2256"/>
      <c r="F44" s="2257"/>
      <c r="G44" s="2258">
        <f>SUM(G41:G43)</f>
        <v>15600674.610342305</v>
      </c>
      <c r="H44" s="2251"/>
      <c r="I44" s="2239"/>
      <c r="J44" s="2254"/>
      <c r="K44" s="2255" t="s">
        <v>3882</v>
      </c>
      <c r="L44" s="2256"/>
      <c r="M44" s="2257"/>
      <c r="N44" s="2258">
        <f>SUM(N41:N43)</f>
        <v>15517922.93545915</v>
      </c>
      <c r="O44" s="2269"/>
      <c r="P44" s="2258">
        <f>SUM(P41:P43)</f>
        <v>9614988.7974590585</v>
      </c>
      <c r="Q44" s="2328"/>
    </row>
    <row r="45" spans="2:17" x14ac:dyDescent="0.25">
      <c r="B45" s="2327"/>
      <c r="C45" s="2263"/>
      <c r="D45" s="2264" t="s">
        <v>3883</v>
      </c>
      <c r="E45" s="2267">
        <v>0.18</v>
      </c>
      <c r="F45" s="2266"/>
      <c r="G45" s="2250">
        <f>G44*E45</f>
        <v>2808121.4298616149</v>
      </c>
      <c r="H45" s="2251"/>
      <c r="I45" s="2239"/>
      <c r="J45" s="2263"/>
      <c r="K45" s="2264" t="s">
        <v>3883</v>
      </c>
      <c r="L45" s="2267">
        <v>0.18</v>
      </c>
      <c r="M45" s="2266"/>
      <c r="N45" s="2250">
        <f>+N44*18%</f>
        <v>2793226.1283826469</v>
      </c>
      <c r="O45" s="2270"/>
      <c r="P45" s="2250">
        <f>P44*L45</f>
        <v>1730697.9835426304</v>
      </c>
      <c r="Q45" s="2328"/>
    </row>
    <row r="46" spans="2:17" x14ac:dyDescent="0.25">
      <c r="B46" s="2327"/>
      <c r="C46" s="3485"/>
      <c r="D46" s="3486" t="s">
        <v>5861</v>
      </c>
      <c r="E46" s="3487"/>
      <c r="F46" s="3486"/>
      <c r="G46" s="3488">
        <f>SUM(G44:G45)</f>
        <v>18408796.040203921</v>
      </c>
      <c r="H46" s="2271"/>
      <c r="I46" s="2239"/>
      <c r="J46" s="2254"/>
      <c r="K46" s="2257" t="s">
        <v>2979</v>
      </c>
      <c r="L46" s="2256"/>
      <c r="M46" s="2257"/>
      <c r="N46" s="2258">
        <f>SUM(N44:N45)</f>
        <v>18311149.063841797</v>
      </c>
      <c r="O46" s="2257"/>
      <c r="P46" s="2272">
        <f>SUM(P44:P45)</f>
        <v>11345686.781001689</v>
      </c>
      <c r="Q46" s="2328"/>
    </row>
    <row r="47" spans="2:17" x14ac:dyDescent="0.25">
      <c r="B47" s="2327"/>
      <c r="C47" s="3693" t="s">
        <v>3884</v>
      </c>
      <c r="D47" s="3694" t="s">
        <v>5925</v>
      </c>
      <c r="E47" s="3695"/>
      <c r="F47" s="3694"/>
      <c r="G47" s="3696">
        <f>+G48</f>
        <v>8873479.1885000002</v>
      </c>
      <c r="H47" s="2273"/>
      <c r="I47" s="2239"/>
      <c r="J47" s="3693" t="s">
        <v>3884</v>
      </c>
      <c r="K47" s="3694" t="s">
        <v>5925</v>
      </c>
      <c r="L47" s="3695"/>
      <c r="M47" s="3694"/>
      <c r="N47" s="3696">
        <f>+N48</f>
        <v>8873479.1885000002</v>
      </c>
      <c r="O47" s="3693"/>
      <c r="P47" s="3702">
        <f>+P48</f>
        <v>7519897.6173728826</v>
      </c>
      <c r="Q47" s="2328"/>
    </row>
    <row r="48" spans="2:17" x14ac:dyDescent="0.25">
      <c r="B48" s="2327"/>
      <c r="C48" s="2249" t="s">
        <v>3886</v>
      </c>
      <c r="D48" s="2274" t="s">
        <v>3885</v>
      </c>
      <c r="E48" s="2275" t="s">
        <v>3903</v>
      </c>
      <c r="F48" s="3495">
        <f>'26.3a Costo PROGRAM de EQUIP'!N25</f>
        <v>1781.5</v>
      </c>
      <c r="G48" s="2250">
        <f>'26.3a Costo PROGRAM de EQUIP'!R28</f>
        <v>8873479.1885000002</v>
      </c>
      <c r="H48" s="2251"/>
      <c r="I48" s="2239"/>
      <c r="J48" s="2249" t="s">
        <v>3886</v>
      </c>
      <c r="K48" s="2274" t="s">
        <v>3885</v>
      </c>
      <c r="L48" s="2275" t="s">
        <v>3903</v>
      </c>
      <c r="M48" s="3497">
        <f>F48</f>
        <v>1781.5</v>
      </c>
      <c r="N48" s="2250">
        <f>G48</f>
        <v>8873479.1885000002</v>
      </c>
      <c r="O48" s="2253">
        <f>1/1.18</f>
        <v>0.84745762711864414</v>
      </c>
      <c r="P48" s="2276">
        <f>N48*O48</f>
        <v>7519897.6173728826</v>
      </c>
      <c r="Q48" s="2328"/>
    </row>
    <row r="49" spans="2:17" x14ac:dyDescent="0.25">
      <c r="B49" s="2327"/>
      <c r="C49" s="3693" t="s">
        <v>5932</v>
      </c>
      <c r="D49" s="3694" t="s">
        <v>5929</v>
      </c>
      <c r="E49" s="3697"/>
      <c r="F49" s="3698"/>
      <c r="G49" s="3699">
        <f>G50</f>
        <v>84050</v>
      </c>
      <c r="H49" s="2248"/>
      <c r="I49" s="2239"/>
      <c r="J49" s="3693" t="s">
        <v>5932</v>
      </c>
      <c r="K49" s="3694" t="s">
        <v>5929</v>
      </c>
      <c r="L49" s="3697"/>
      <c r="M49" s="3698"/>
      <c r="N49" s="3699">
        <f>N50</f>
        <v>84050</v>
      </c>
      <c r="O49" s="3703"/>
      <c r="P49" s="3699">
        <f>P50</f>
        <v>77824.074074074058</v>
      </c>
      <c r="Q49" s="2328"/>
    </row>
    <row r="50" spans="2:17" ht="25.5" x14ac:dyDescent="0.25">
      <c r="B50" s="2327"/>
      <c r="C50" s="2249" t="s">
        <v>3887</v>
      </c>
      <c r="D50" s="2266" t="s">
        <v>5942</v>
      </c>
      <c r="E50" s="2275" t="s">
        <v>3891</v>
      </c>
      <c r="F50" s="2252">
        <v>1</v>
      </c>
      <c r="G50" s="2278">
        <f>'Exp Tec Capacitacion'!D42</f>
        <v>84050</v>
      </c>
      <c r="H50" s="2271"/>
      <c r="I50" s="2279"/>
      <c r="J50" s="2249" t="s">
        <v>3887</v>
      </c>
      <c r="K50" s="2266" t="s">
        <v>5942</v>
      </c>
      <c r="L50" s="3719" t="s">
        <v>5953</v>
      </c>
      <c r="M50" s="2252">
        <v>17</v>
      </c>
      <c r="N50" s="2278">
        <f>G50</f>
        <v>84050</v>
      </c>
      <c r="O50" s="2253">
        <f t="shared" ref="O50:O59" si="2">1/1.08</f>
        <v>0.92592592592592582</v>
      </c>
      <c r="P50" s="2278">
        <f>N50*O50</f>
        <v>77824.074074074058</v>
      </c>
      <c r="Q50" s="2328"/>
    </row>
    <row r="51" spans="2:17" x14ac:dyDescent="0.25">
      <c r="B51" s="2327"/>
      <c r="C51" s="3693" t="s">
        <v>3888</v>
      </c>
      <c r="D51" s="3694" t="s">
        <v>5930</v>
      </c>
      <c r="E51" s="3697"/>
      <c r="F51" s="3698"/>
      <c r="G51" s="3699">
        <f>G52</f>
        <v>30000</v>
      </c>
      <c r="H51" s="2248"/>
      <c r="I51" s="2239"/>
      <c r="J51" s="3693" t="s">
        <v>3888</v>
      </c>
      <c r="K51" s="3694" t="s">
        <v>5930</v>
      </c>
      <c r="L51" s="3697"/>
      <c r="M51" s="3698"/>
      <c r="N51" s="3699">
        <f>N52</f>
        <v>30000</v>
      </c>
      <c r="O51" s="3703"/>
      <c r="P51" s="3699">
        <f>P52</f>
        <v>27777.777777777774</v>
      </c>
      <c r="Q51" s="2328"/>
    </row>
    <row r="52" spans="2:17" x14ac:dyDescent="0.25">
      <c r="B52" s="2327"/>
      <c r="C52" s="2249" t="s">
        <v>5933</v>
      </c>
      <c r="D52" s="2280" t="s">
        <v>5943</v>
      </c>
      <c r="E52" s="2275" t="s">
        <v>3892</v>
      </c>
      <c r="F52" s="2252">
        <v>2</v>
      </c>
      <c r="G52" s="2278">
        <f>'Exp Tec Capacitacion'!G291</f>
        <v>30000</v>
      </c>
      <c r="H52" s="2271"/>
      <c r="I52" s="2279"/>
      <c r="J52" s="2249" t="s">
        <v>5933</v>
      </c>
      <c r="K52" s="2280" t="s">
        <v>5943</v>
      </c>
      <c r="L52" s="2275" t="s">
        <v>5955</v>
      </c>
      <c r="M52" s="2252">
        <v>9</v>
      </c>
      <c r="N52" s="2278">
        <f>G52</f>
        <v>30000</v>
      </c>
      <c r="O52" s="2253">
        <f t="shared" si="2"/>
        <v>0.92592592592592582</v>
      </c>
      <c r="P52" s="2278">
        <f>N52*O52</f>
        <v>27777.777777777774</v>
      </c>
      <c r="Q52" s="2328"/>
    </row>
    <row r="53" spans="2:17" x14ac:dyDescent="0.25">
      <c r="B53" s="2327"/>
      <c r="C53" s="3693" t="s">
        <v>5934</v>
      </c>
      <c r="D53" s="3694" t="s">
        <v>5935</v>
      </c>
      <c r="E53" s="3697"/>
      <c r="F53" s="3698"/>
      <c r="G53" s="3699">
        <f>SUM(G54:G59)</f>
        <v>1190257.7458333333</v>
      </c>
      <c r="H53" s="2248"/>
      <c r="I53" s="2239"/>
      <c r="J53" s="3693" t="s">
        <v>5934</v>
      </c>
      <c r="K53" s="3694" t="s">
        <v>5935</v>
      </c>
      <c r="L53" s="3697"/>
      <c r="M53" s="3698"/>
      <c r="N53" s="3699">
        <f>SUM(N54:N59)</f>
        <v>1190257.7458333333</v>
      </c>
      <c r="O53" s="3703"/>
      <c r="P53" s="3699">
        <f>SUM(P54:P59)</f>
        <v>1102090.5054012346</v>
      </c>
      <c r="Q53" s="2328"/>
    </row>
    <row r="54" spans="2:17" x14ac:dyDescent="0.25">
      <c r="B54" s="2327"/>
      <c r="C54" s="2249" t="s">
        <v>5936</v>
      </c>
      <c r="D54" s="2266" t="s">
        <v>3889</v>
      </c>
      <c r="E54" s="2277" t="s">
        <v>3890</v>
      </c>
      <c r="F54" s="2252">
        <v>1</v>
      </c>
      <c r="G54" s="2278">
        <v>348304.02916666667</v>
      </c>
      <c r="H54" s="2271"/>
      <c r="I54" s="2279"/>
      <c r="J54" s="2249" t="s">
        <v>5936</v>
      </c>
      <c r="K54" s="2266" t="s">
        <v>3889</v>
      </c>
      <c r="L54" s="2277" t="s">
        <v>3890</v>
      </c>
      <c r="M54" s="2252">
        <v>1</v>
      </c>
      <c r="N54" s="2278">
        <v>348304.02916666667</v>
      </c>
      <c r="O54" s="2253">
        <f t="shared" si="2"/>
        <v>0.92592592592592582</v>
      </c>
      <c r="P54" s="2278">
        <f>N54*O54</f>
        <v>322503.73070987652</v>
      </c>
      <c r="Q54" s="2328"/>
    </row>
    <row r="55" spans="2:17" x14ac:dyDescent="0.25">
      <c r="B55" s="2327"/>
      <c r="C55" s="2249" t="s">
        <v>5937</v>
      </c>
      <c r="D55" s="2266" t="s">
        <v>5944</v>
      </c>
      <c r="E55" s="2277" t="s">
        <v>3890</v>
      </c>
      <c r="F55" s="2252">
        <v>1</v>
      </c>
      <c r="G55" s="2278">
        <v>87808</v>
      </c>
      <c r="H55" s="2271"/>
      <c r="I55" s="2279"/>
      <c r="J55" s="2249" t="s">
        <v>5937</v>
      </c>
      <c r="K55" s="2266" t="s">
        <v>5944</v>
      </c>
      <c r="L55" s="2277" t="s">
        <v>3890</v>
      </c>
      <c r="M55" s="2252">
        <v>1</v>
      </c>
      <c r="N55" s="2278">
        <v>87808</v>
      </c>
      <c r="O55" s="2253">
        <f t="shared" si="2"/>
        <v>0.92592592592592582</v>
      </c>
      <c r="P55" s="2278">
        <f>N55*O55</f>
        <v>81303.703703703693</v>
      </c>
      <c r="Q55" s="2328"/>
    </row>
    <row r="56" spans="2:17" x14ac:dyDescent="0.25">
      <c r="B56" s="2327"/>
      <c r="C56" s="2249" t="s">
        <v>5938</v>
      </c>
      <c r="D56" s="2266" t="s">
        <v>5945</v>
      </c>
      <c r="E56" s="2277" t="s">
        <v>3890</v>
      </c>
      <c r="F56" s="2252">
        <v>1</v>
      </c>
      <c r="G56" s="2278">
        <v>17523</v>
      </c>
      <c r="H56" s="2271"/>
      <c r="I56" s="2279"/>
      <c r="J56" s="2249" t="s">
        <v>5938</v>
      </c>
      <c r="K56" s="2266" t="s">
        <v>5945</v>
      </c>
      <c r="L56" s="2277" t="s">
        <v>3890</v>
      </c>
      <c r="M56" s="2252">
        <v>1</v>
      </c>
      <c r="N56" s="2278">
        <v>17523</v>
      </c>
      <c r="O56" s="2253">
        <f t="shared" si="2"/>
        <v>0.92592592592592582</v>
      </c>
      <c r="P56" s="2278">
        <f>N56*O56</f>
        <v>16224.999999999998</v>
      </c>
      <c r="Q56" s="2328"/>
    </row>
    <row r="57" spans="2:17" x14ac:dyDescent="0.25">
      <c r="B57" s="2327"/>
      <c r="C57" s="2249" t="s">
        <v>5940</v>
      </c>
      <c r="D57" s="2266" t="s">
        <v>5952</v>
      </c>
      <c r="E57" s="2275" t="s">
        <v>3890</v>
      </c>
      <c r="F57" s="2252">
        <v>1</v>
      </c>
      <c r="G57" s="2278">
        <v>30000</v>
      </c>
      <c r="H57" s="2271"/>
      <c r="I57" s="2279"/>
      <c r="J57" s="2249" t="s">
        <v>5940</v>
      </c>
      <c r="K57" s="2266" t="s">
        <v>5952</v>
      </c>
      <c r="L57" s="2275" t="s">
        <v>3890</v>
      </c>
      <c r="M57" s="2252">
        <v>1</v>
      </c>
      <c r="N57" s="2278">
        <f t="shared" ref="N57" si="3">G57</f>
        <v>30000</v>
      </c>
      <c r="O57" s="2253">
        <f t="shared" si="2"/>
        <v>0.92592592592592582</v>
      </c>
      <c r="P57" s="2278">
        <f t="shared" ref="P57:P59" si="4">N57*O57</f>
        <v>27777.777777777774</v>
      </c>
      <c r="Q57" s="2328"/>
    </row>
    <row r="58" spans="2:17" x14ac:dyDescent="0.25">
      <c r="B58" s="2327"/>
      <c r="C58" s="2249" t="s">
        <v>5941</v>
      </c>
      <c r="D58" s="2266" t="s">
        <v>5947</v>
      </c>
      <c r="E58" s="2275" t="s">
        <v>3892</v>
      </c>
      <c r="F58" s="2252">
        <v>12</v>
      </c>
      <c r="G58" s="2278">
        <v>659364.30000000005</v>
      </c>
      <c r="H58" s="2271"/>
      <c r="I58" s="2279"/>
      <c r="J58" s="2249" t="s">
        <v>5941</v>
      </c>
      <c r="K58" s="2266" t="s">
        <v>5947</v>
      </c>
      <c r="L58" s="2275" t="s">
        <v>5954</v>
      </c>
      <c r="M58" s="3738">
        <v>12</v>
      </c>
      <c r="N58" s="2278">
        <v>659364.30000000005</v>
      </c>
      <c r="O58" s="2253">
        <f t="shared" si="2"/>
        <v>0.92592592592592582</v>
      </c>
      <c r="P58" s="2278">
        <f t="shared" si="4"/>
        <v>610522.5</v>
      </c>
      <c r="Q58" s="2328"/>
    </row>
    <row r="59" spans="2:17" x14ac:dyDescent="0.25">
      <c r="B59" s="2327"/>
      <c r="C59" s="2249" t="s">
        <v>5939</v>
      </c>
      <c r="D59" s="2266" t="s">
        <v>5948</v>
      </c>
      <c r="E59" s="2275" t="s">
        <v>3892</v>
      </c>
      <c r="F59" s="2252">
        <v>2</v>
      </c>
      <c r="G59" s="2278">
        <v>47258.416666666672</v>
      </c>
      <c r="H59" s="2271"/>
      <c r="I59" s="2279"/>
      <c r="J59" s="2249" t="s">
        <v>5939</v>
      </c>
      <c r="K59" s="2266" t="s">
        <v>5948</v>
      </c>
      <c r="L59" s="2275" t="s">
        <v>5955</v>
      </c>
      <c r="M59" s="2252">
        <v>1</v>
      </c>
      <c r="N59" s="2278">
        <v>47258.416666666672</v>
      </c>
      <c r="O59" s="2253">
        <f t="shared" si="2"/>
        <v>0.92592592592592582</v>
      </c>
      <c r="P59" s="2278">
        <f t="shared" si="4"/>
        <v>43757.793209876545</v>
      </c>
      <c r="Q59" s="2328"/>
    </row>
    <row r="60" spans="2:17" x14ac:dyDescent="0.25">
      <c r="B60" s="2327"/>
      <c r="C60" s="4870" t="s">
        <v>3893</v>
      </c>
      <c r="D60" s="4870"/>
      <c r="E60" s="4870"/>
      <c r="F60" s="4870"/>
      <c r="G60" s="2281">
        <f>G46+G47+G49+G51+G53</f>
        <v>28586582.974537257</v>
      </c>
      <c r="H60" s="2259"/>
      <c r="I60" s="2239"/>
      <c r="J60" s="2282" t="s">
        <v>3894</v>
      </c>
      <c r="K60" s="2283"/>
      <c r="L60" s="2283"/>
      <c r="M60" s="2283"/>
      <c r="N60" s="2281">
        <f>N46+N47+N49+N51+N53</f>
        <v>28488935.998175133</v>
      </c>
      <c r="O60" s="2284"/>
      <c r="P60" s="2281">
        <f>P46+P47+P49+P51+P53</f>
        <v>20073276.755627658</v>
      </c>
      <c r="Q60" s="2328"/>
    </row>
    <row r="61" spans="2:17" x14ac:dyDescent="0.2">
      <c r="B61" s="2327"/>
      <c r="C61" s="4848"/>
      <c r="D61" s="4848"/>
      <c r="E61" s="4848"/>
      <c r="F61" s="4848"/>
      <c r="G61" s="4848"/>
      <c r="H61" s="2285"/>
      <c r="I61" s="2239"/>
      <c r="J61" s="2286" t="s">
        <v>3895</v>
      </c>
      <c r="K61" s="2286"/>
      <c r="L61" s="2239"/>
      <c r="M61" s="2239"/>
      <c r="N61" s="2239"/>
      <c r="O61" s="2239"/>
      <c r="P61" s="2239"/>
      <c r="Q61" s="2328"/>
    </row>
    <row r="62" spans="2:17" x14ac:dyDescent="0.2">
      <c r="B62" s="2327"/>
      <c r="C62" s="2285"/>
      <c r="D62" s="2285"/>
      <c r="E62" s="2285"/>
      <c r="F62" s="2285"/>
      <c r="G62" s="2285"/>
      <c r="H62" s="2285"/>
      <c r="I62" s="2239"/>
      <c r="J62" s="2286"/>
      <c r="K62" s="2286"/>
      <c r="L62" s="2239"/>
      <c r="M62" s="2239"/>
      <c r="N62" s="2239"/>
      <c r="O62" s="2239"/>
      <c r="P62" s="2239"/>
      <c r="Q62" s="2328"/>
    </row>
    <row r="63" spans="2:17" x14ac:dyDescent="0.25">
      <c r="B63" s="2327"/>
      <c r="C63" s="2239"/>
      <c r="D63" s="2239"/>
      <c r="E63" s="2239"/>
      <c r="F63" s="2239"/>
      <c r="G63" s="2287"/>
      <c r="H63" s="2287"/>
      <c r="I63" s="2288"/>
      <c r="J63" s="4838"/>
      <c r="K63" s="4838"/>
      <c r="L63" s="4838"/>
      <c r="M63" s="4838"/>
      <c r="N63" s="4838"/>
      <c r="O63" s="4838"/>
      <c r="P63" s="2239"/>
      <c r="Q63" s="2328"/>
    </row>
    <row r="64" spans="2:17" x14ac:dyDescent="0.25">
      <c r="B64" s="2327"/>
      <c r="C64" s="4839" t="s">
        <v>3896</v>
      </c>
      <c r="D64" s="4840"/>
      <c r="E64" s="4840"/>
      <c r="F64" s="4840"/>
      <c r="G64" s="4841"/>
      <c r="H64" s="2239"/>
      <c r="I64" s="2288"/>
      <c r="J64" s="4839" t="s">
        <v>3897</v>
      </c>
      <c r="K64" s="4840"/>
      <c r="L64" s="4840"/>
      <c r="M64" s="4840"/>
      <c r="N64" s="4840"/>
      <c r="O64" s="4840"/>
      <c r="P64" s="4841"/>
      <c r="Q64" s="2328"/>
    </row>
    <row r="65" spans="2:18" x14ac:dyDescent="0.25">
      <c r="B65" s="2327"/>
      <c r="C65" s="4842" t="s">
        <v>3898</v>
      </c>
      <c r="D65" s="4843"/>
      <c r="E65" s="4843"/>
      <c r="F65" s="4843"/>
      <c r="G65" s="4844"/>
      <c r="H65" s="2289"/>
      <c r="I65" s="2288"/>
      <c r="J65" s="4842" t="s">
        <v>3898</v>
      </c>
      <c r="K65" s="4843"/>
      <c r="L65" s="4843"/>
      <c r="M65" s="4843"/>
      <c r="N65" s="4843"/>
      <c r="O65" s="4843"/>
      <c r="P65" s="4844"/>
      <c r="Q65" s="2328"/>
    </row>
    <row r="66" spans="2:18" x14ac:dyDescent="0.25">
      <c r="B66" s="2327"/>
      <c r="C66" s="2337" t="s">
        <v>3844</v>
      </c>
      <c r="D66" s="2290" t="s">
        <v>298</v>
      </c>
      <c r="E66" s="2291" t="s">
        <v>3899</v>
      </c>
      <c r="F66" s="2291" t="s">
        <v>3847</v>
      </c>
      <c r="G66" s="2338" t="s">
        <v>3848</v>
      </c>
      <c r="H66" s="2289"/>
      <c r="I66" s="2288"/>
      <c r="J66" s="2337" t="s">
        <v>3844</v>
      </c>
      <c r="K66" s="2291" t="s">
        <v>298</v>
      </c>
      <c r="L66" s="2291"/>
      <c r="M66" s="2291"/>
      <c r="N66" s="2291" t="s">
        <v>3899</v>
      </c>
      <c r="O66" s="2291" t="s">
        <v>3847</v>
      </c>
      <c r="P66" s="2338" t="s">
        <v>3848</v>
      </c>
      <c r="Q66" s="2328"/>
    </row>
    <row r="67" spans="2:18" x14ac:dyDescent="0.25">
      <c r="B67" s="2327"/>
      <c r="C67" s="2292">
        <v>1</v>
      </c>
      <c r="D67" s="2293" t="s">
        <v>3900</v>
      </c>
      <c r="E67" s="2294"/>
      <c r="F67" s="2295"/>
      <c r="G67" s="2296"/>
      <c r="H67" s="2297"/>
      <c r="I67" s="2288"/>
      <c r="J67" s="2292">
        <v>1</v>
      </c>
      <c r="K67" s="2293" t="s">
        <v>3900</v>
      </c>
      <c r="L67" s="2270"/>
      <c r="M67" s="2270"/>
      <c r="N67" s="2298"/>
      <c r="O67" s="2299"/>
      <c r="P67" s="2300"/>
      <c r="Q67" s="2328"/>
    </row>
    <row r="68" spans="2:18" x14ac:dyDescent="0.25">
      <c r="B68" s="2327"/>
      <c r="C68" s="2301"/>
      <c r="D68" s="2293" t="s">
        <v>3881</v>
      </c>
      <c r="E68" s="2302" t="s">
        <v>3856</v>
      </c>
      <c r="F68" s="3496">
        <f>SUM(F16:F40)</f>
        <v>4410.2000000000007</v>
      </c>
      <c r="G68" s="2304">
        <f>G41</f>
        <v>14010827.839237938</v>
      </c>
      <c r="H68" s="2305"/>
      <c r="I68" s="2288"/>
      <c r="J68" s="2301"/>
      <c r="K68" s="2293" t="s">
        <v>3881</v>
      </c>
      <c r="L68" s="2270"/>
      <c r="M68" s="2270"/>
      <c r="N68" s="2302" t="s">
        <v>3856</v>
      </c>
      <c r="O68" s="2303">
        <v>1182.21</v>
      </c>
      <c r="P68" s="2306">
        <f>P41</f>
        <v>8635136.3695575744</v>
      </c>
      <c r="Q68" s="2328"/>
    </row>
    <row r="69" spans="2:18" x14ac:dyDescent="0.25">
      <c r="B69" s="2327"/>
      <c r="C69" s="2301"/>
      <c r="D69" s="2264" t="s">
        <v>5372</v>
      </c>
      <c r="E69" s="2302"/>
      <c r="F69" s="2303"/>
      <c r="G69" s="2307">
        <f>G42</f>
        <v>889305.37914247089</v>
      </c>
      <c r="H69" s="2308"/>
      <c r="I69" s="2288"/>
      <c r="J69" s="2301"/>
      <c r="K69" s="2264" t="s">
        <v>5372</v>
      </c>
      <c r="L69" s="2270"/>
      <c r="M69" s="2270"/>
      <c r="N69" s="2302"/>
      <c r="O69" s="2303"/>
      <c r="P69" s="2309">
        <f>P42</f>
        <v>548095.60942360573</v>
      </c>
      <c r="Q69" s="2328"/>
    </row>
    <row r="70" spans="2:18" x14ac:dyDescent="0.25">
      <c r="B70" s="2327"/>
      <c r="C70" s="2301"/>
      <c r="D70" s="2264" t="s">
        <v>5924</v>
      </c>
      <c r="E70" s="2302"/>
      <c r="F70" s="2303"/>
      <c r="G70" s="2307">
        <f>G43</f>
        <v>700541.39196189691</v>
      </c>
      <c r="H70" s="2308"/>
      <c r="I70" s="2288"/>
      <c r="J70" s="2301"/>
      <c r="K70" s="2264" t="s">
        <v>5924</v>
      </c>
      <c r="L70" s="2270"/>
      <c r="M70" s="2270"/>
      <c r="N70" s="2302"/>
      <c r="O70" s="2303"/>
      <c r="P70" s="2309">
        <f>P43</f>
        <v>431756.81847787875</v>
      </c>
      <c r="Q70" s="2328"/>
    </row>
    <row r="71" spans="2:18" x14ac:dyDescent="0.25">
      <c r="B71" s="2327"/>
      <c r="C71" s="2301"/>
      <c r="D71" s="2293" t="s">
        <v>3882</v>
      </c>
      <c r="E71" s="2302"/>
      <c r="F71" s="2303"/>
      <c r="G71" s="2304">
        <f>SUM(G68:G70)</f>
        <v>15600674.610342305</v>
      </c>
      <c r="H71" s="2305"/>
      <c r="I71" s="2288"/>
      <c r="J71" s="2301"/>
      <c r="K71" s="2293" t="s">
        <v>3882</v>
      </c>
      <c r="L71" s="2270"/>
      <c r="M71" s="2270"/>
      <c r="N71" s="2302"/>
      <c r="O71" s="2303"/>
      <c r="P71" s="2306">
        <f>SUM(P68:P70)</f>
        <v>9614988.7974590585</v>
      </c>
      <c r="Q71" s="2328"/>
    </row>
    <row r="72" spans="2:18" x14ac:dyDescent="0.25">
      <c r="B72" s="2327"/>
      <c r="C72" s="2301"/>
      <c r="D72" s="2301" t="s">
        <v>3883</v>
      </c>
      <c r="E72" s="2302"/>
      <c r="F72" s="2303"/>
      <c r="G72" s="2310">
        <f>G45</f>
        <v>2808121.4298616149</v>
      </c>
      <c r="H72" s="2311"/>
      <c r="I72" s="2288"/>
      <c r="J72" s="2301"/>
      <c r="K72" s="2301" t="s">
        <v>3883</v>
      </c>
      <c r="L72" s="2270"/>
      <c r="M72" s="2270"/>
      <c r="N72" s="2302"/>
      <c r="O72" s="2303"/>
      <c r="P72" s="2312">
        <f>P45</f>
        <v>1730697.9835426304</v>
      </c>
      <c r="Q72" s="2328"/>
    </row>
    <row r="73" spans="2:18" x14ac:dyDescent="0.25">
      <c r="B73" s="2327"/>
      <c r="C73" s="3704"/>
      <c r="D73" s="3705" t="s">
        <v>3901</v>
      </c>
      <c r="E73" s="3706"/>
      <c r="F73" s="3707"/>
      <c r="G73" s="3708">
        <f>SUM(G71:G72)</f>
        <v>18408796.040203921</v>
      </c>
      <c r="H73" s="2305"/>
      <c r="I73" s="2288"/>
      <c r="J73" s="3704"/>
      <c r="K73" s="3705" t="s">
        <v>3901</v>
      </c>
      <c r="L73" s="3710"/>
      <c r="M73" s="3710"/>
      <c r="N73" s="3706"/>
      <c r="O73" s="3707"/>
      <c r="P73" s="3711">
        <f>SUM(P71:P72)</f>
        <v>11345686.781001689</v>
      </c>
      <c r="Q73" s="2328"/>
    </row>
    <row r="74" spans="2:18" x14ac:dyDescent="0.25">
      <c r="B74" s="2327"/>
      <c r="C74" s="2292">
        <v>2</v>
      </c>
      <c r="D74" s="2293" t="s">
        <v>3902</v>
      </c>
      <c r="E74" s="2302"/>
      <c r="F74" s="2303"/>
      <c r="G74" s="2307"/>
      <c r="H74" s="2308"/>
      <c r="I74" s="2288"/>
      <c r="J74" s="2292">
        <v>2</v>
      </c>
      <c r="K74" s="2293" t="s">
        <v>3902</v>
      </c>
      <c r="L74" s="2270"/>
      <c r="M74" s="2270"/>
      <c r="N74" s="2302"/>
      <c r="O74" s="2303"/>
      <c r="P74" s="2309"/>
      <c r="Q74" s="2328"/>
    </row>
    <row r="75" spans="2:18" x14ac:dyDescent="0.25">
      <c r="B75" s="2327"/>
      <c r="C75" s="2302">
        <v>2.1</v>
      </c>
      <c r="D75" s="2301" t="s">
        <v>5931</v>
      </c>
      <c r="E75" s="2302" t="s">
        <v>3903</v>
      </c>
      <c r="F75" s="2319">
        <f>F48</f>
        <v>1781.5</v>
      </c>
      <c r="G75" s="2310">
        <f>G48</f>
        <v>8873479.1885000002</v>
      </c>
      <c r="H75" s="2311"/>
      <c r="I75" s="2288"/>
      <c r="J75" s="2302">
        <v>2.1</v>
      </c>
      <c r="K75" s="2301" t="s">
        <v>5931</v>
      </c>
      <c r="L75" s="2270"/>
      <c r="M75" s="2270"/>
      <c r="N75" s="2302" t="s">
        <v>3903</v>
      </c>
      <c r="O75" s="2319">
        <f>M48</f>
        <v>1781.5</v>
      </c>
      <c r="P75" s="2312">
        <f>P48</f>
        <v>7519897.6173728826</v>
      </c>
      <c r="Q75" s="2328"/>
    </row>
    <row r="76" spans="2:18" x14ac:dyDescent="0.25">
      <c r="B76" s="2327"/>
      <c r="C76" s="3704"/>
      <c r="D76" s="3705" t="s">
        <v>3904</v>
      </c>
      <c r="E76" s="3706"/>
      <c r="F76" s="3706"/>
      <c r="G76" s="3708">
        <f>SUM(G75)</f>
        <v>8873479.1885000002</v>
      </c>
      <c r="H76" s="2305"/>
      <c r="I76" s="2288"/>
      <c r="J76" s="3704"/>
      <c r="K76" s="3705" t="s">
        <v>3904</v>
      </c>
      <c r="L76" s="3710"/>
      <c r="M76" s="3710"/>
      <c r="N76" s="3706"/>
      <c r="O76" s="3710"/>
      <c r="P76" s="3711">
        <f>SUM(P75)</f>
        <v>7519897.6173728826</v>
      </c>
      <c r="Q76" s="2329"/>
      <c r="R76" s="2313"/>
    </row>
    <row r="77" spans="2:18" x14ac:dyDescent="0.25">
      <c r="B77" s="2327"/>
      <c r="C77" s="4845" t="s">
        <v>3905</v>
      </c>
      <c r="D77" s="4846"/>
      <c r="E77" s="4846"/>
      <c r="F77" s="4846"/>
      <c r="G77" s="4847"/>
      <c r="H77" s="2314"/>
      <c r="I77" s="2288"/>
      <c r="J77" s="4845" t="s">
        <v>3905</v>
      </c>
      <c r="K77" s="4846"/>
      <c r="L77" s="4846"/>
      <c r="M77" s="4846"/>
      <c r="N77" s="4846"/>
      <c r="O77" s="4846"/>
      <c r="P77" s="4847"/>
      <c r="Q77" s="2328"/>
    </row>
    <row r="78" spans="2:18" x14ac:dyDescent="0.25">
      <c r="B78" s="2327"/>
      <c r="C78" s="2315" t="s">
        <v>3844</v>
      </c>
      <c r="D78" s="2316" t="s">
        <v>298</v>
      </c>
      <c r="E78" s="2317" t="s">
        <v>3899</v>
      </c>
      <c r="F78" s="2317" t="s">
        <v>3847</v>
      </c>
      <c r="G78" s="2318" t="s">
        <v>3853</v>
      </c>
      <c r="H78" s="2289"/>
      <c r="I78" s="2288"/>
      <c r="J78" s="2315" t="s">
        <v>3844</v>
      </c>
      <c r="K78" s="4837" t="s">
        <v>298</v>
      </c>
      <c r="L78" s="4837"/>
      <c r="M78" s="2317"/>
      <c r="N78" s="2317" t="s">
        <v>3899</v>
      </c>
      <c r="O78" s="2317" t="s">
        <v>3847</v>
      </c>
      <c r="P78" s="2318" t="s">
        <v>3853</v>
      </c>
      <c r="Q78" s="2328"/>
    </row>
    <row r="79" spans="2:18" x14ac:dyDescent="0.25">
      <c r="B79" s="2327"/>
      <c r="C79" s="2302">
        <v>3</v>
      </c>
      <c r="D79" s="2298" t="str">
        <f t="shared" ref="D79:G81" si="5">D54</f>
        <v>Expediente Técnico de Obra y Equipamiento</v>
      </c>
      <c r="E79" s="2277" t="str">
        <f t="shared" si="5"/>
        <v>Estudio</v>
      </c>
      <c r="F79" s="2319">
        <f t="shared" si="5"/>
        <v>1</v>
      </c>
      <c r="G79" s="2320">
        <f t="shared" si="5"/>
        <v>348304.02916666667</v>
      </c>
      <c r="H79" s="2311"/>
      <c r="I79" s="2239"/>
      <c r="J79" s="2302">
        <v>5</v>
      </c>
      <c r="K79" s="2298" t="str">
        <f>D79</f>
        <v>Expediente Técnico de Obra y Equipamiento</v>
      </c>
      <c r="L79" s="2270"/>
      <c r="M79" s="2270"/>
      <c r="N79" s="2277" t="str">
        <f>E79</f>
        <v>Estudio</v>
      </c>
      <c r="O79" s="2319">
        <f>F79</f>
        <v>1</v>
      </c>
      <c r="P79" s="2320">
        <f>P54</f>
        <v>322503.73070987652</v>
      </c>
      <c r="Q79" s="2328"/>
    </row>
    <row r="80" spans="2:18" x14ac:dyDescent="0.25">
      <c r="B80" s="2327"/>
      <c r="C80" s="2302">
        <v>4</v>
      </c>
      <c r="D80" s="2298" t="str">
        <f t="shared" si="5"/>
        <v>Supervisión de Expediente Técnico</v>
      </c>
      <c r="E80" s="2277" t="str">
        <f t="shared" si="5"/>
        <v>Estudio</v>
      </c>
      <c r="F80" s="2319">
        <f t="shared" si="5"/>
        <v>1</v>
      </c>
      <c r="G80" s="2320">
        <f t="shared" si="5"/>
        <v>87808</v>
      </c>
      <c r="H80" s="2311"/>
      <c r="I80" s="2239"/>
      <c r="J80" s="2302">
        <v>6</v>
      </c>
      <c r="K80" s="2298" t="str">
        <f t="shared" ref="K80:K86" si="6">D80</f>
        <v>Supervisión de Expediente Técnico</v>
      </c>
      <c r="L80" s="2270"/>
      <c r="M80" s="2270"/>
      <c r="N80" s="2277" t="str">
        <f t="shared" ref="N80:O86" si="7">E80</f>
        <v>Estudio</v>
      </c>
      <c r="O80" s="2319">
        <f t="shared" si="7"/>
        <v>1</v>
      </c>
      <c r="P80" s="2320">
        <f>P55</f>
        <v>81303.703703703693</v>
      </c>
      <c r="Q80" s="2328"/>
    </row>
    <row r="81" spans="2:17" x14ac:dyDescent="0.25">
      <c r="B81" s="2327"/>
      <c r="C81" s="2302">
        <v>5</v>
      </c>
      <c r="D81" s="2298" t="str">
        <f t="shared" si="5"/>
        <v>Expediente Técnico de Capacitación</v>
      </c>
      <c r="E81" s="2277" t="str">
        <f t="shared" si="5"/>
        <v>Estudio</v>
      </c>
      <c r="F81" s="2319">
        <f t="shared" si="5"/>
        <v>1</v>
      </c>
      <c r="G81" s="2320">
        <f t="shared" si="5"/>
        <v>17523</v>
      </c>
      <c r="H81" s="2311"/>
      <c r="I81" s="2239"/>
      <c r="J81" s="2303">
        <v>7</v>
      </c>
      <c r="K81" s="2298" t="str">
        <f t="shared" si="6"/>
        <v>Expediente Técnico de Capacitación</v>
      </c>
      <c r="L81" s="2270"/>
      <c r="M81" s="2270"/>
      <c r="N81" s="2277" t="str">
        <f t="shared" si="7"/>
        <v>Estudio</v>
      </c>
      <c r="O81" s="2319">
        <f t="shared" si="7"/>
        <v>1</v>
      </c>
      <c r="P81" s="2320">
        <f>P56</f>
        <v>16224.999999999998</v>
      </c>
      <c r="Q81" s="2328"/>
    </row>
    <row r="82" spans="2:17" x14ac:dyDescent="0.25">
      <c r="B82" s="2327"/>
      <c r="C82" s="2302">
        <v>6</v>
      </c>
      <c r="D82" s="2298" t="str">
        <f>D50</f>
        <v>Capacitación al personal asistencial y administrativo</v>
      </c>
      <c r="E82" s="2277" t="str">
        <f>E50</f>
        <v>Programa</v>
      </c>
      <c r="F82" s="2319">
        <f>F50</f>
        <v>1</v>
      </c>
      <c r="G82" s="2320">
        <f>G50</f>
        <v>84050</v>
      </c>
      <c r="H82" s="2311"/>
      <c r="I82" s="2239"/>
      <c r="J82" s="2302">
        <v>8</v>
      </c>
      <c r="K82" s="2298" t="str">
        <f t="shared" si="6"/>
        <v>Capacitación al personal asistencial y administrativo</v>
      </c>
      <c r="L82" s="2270"/>
      <c r="M82" s="2270"/>
      <c r="N82" s="2277" t="str">
        <f t="shared" si="7"/>
        <v>Programa</v>
      </c>
      <c r="O82" s="2319">
        <f t="shared" si="7"/>
        <v>1</v>
      </c>
      <c r="P82" s="2320">
        <f>P50</f>
        <v>77824.074074074058</v>
      </c>
      <c r="Q82" s="2328"/>
    </row>
    <row r="83" spans="2:17" x14ac:dyDescent="0.25">
      <c r="B83" s="2327"/>
      <c r="C83" s="2302">
        <v>7</v>
      </c>
      <c r="D83" s="2298" t="str">
        <f>D52</f>
        <v>Promoción, Sensibilización y Difusión de los Servicios de salud</v>
      </c>
      <c r="E83" s="2277" t="str">
        <f>E52</f>
        <v>Meses</v>
      </c>
      <c r="F83" s="2319">
        <f>F52</f>
        <v>2</v>
      </c>
      <c r="G83" s="2320">
        <f>G52</f>
        <v>30000</v>
      </c>
      <c r="H83" s="2311"/>
      <c r="I83" s="2239"/>
      <c r="J83" s="2302">
        <v>9</v>
      </c>
      <c r="K83" s="2298" t="str">
        <f t="shared" si="6"/>
        <v>Promoción, Sensibilización y Difusión de los Servicios de salud</v>
      </c>
      <c r="L83" s="2270"/>
      <c r="M83" s="2270"/>
      <c r="N83" s="2277" t="str">
        <f t="shared" si="7"/>
        <v>Meses</v>
      </c>
      <c r="O83" s="2319">
        <f t="shared" si="7"/>
        <v>2</v>
      </c>
      <c r="P83" s="2320">
        <f>P52</f>
        <v>27777.777777777774</v>
      </c>
      <c r="Q83" s="2328"/>
    </row>
    <row r="84" spans="2:17" x14ac:dyDescent="0.25">
      <c r="B84" s="2327"/>
      <c r="C84" s="2302">
        <v>8</v>
      </c>
      <c r="D84" s="2298" t="str">
        <f t="shared" ref="D84:G86" si="8">D57</f>
        <v>Estudio de Impacto Ambiental (Monitoreo ambiental y pago de  tramites)</v>
      </c>
      <c r="E84" s="2277" t="str">
        <f t="shared" si="8"/>
        <v>Estudio</v>
      </c>
      <c r="F84" s="2319">
        <f t="shared" si="8"/>
        <v>1</v>
      </c>
      <c r="G84" s="2320">
        <f t="shared" si="8"/>
        <v>30000</v>
      </c>
      <c r="H84" s="2311"/>
      <c r="I84" s="2239"/>
      <c r="J84" s="2302">
        <v>10</v>
      </c>
      <c r="K84" s="2298" t="str">
        <f t="shared" si="6"/>
        <v>Estudio de Impacto Ambiental (Monitoreo ambiental y pago de  tramites)</v>
      </c>
      <c r="L84" s="2270"/>
      <c r="M84" s="2270"/>
      <c r="N84" s="2277" t="str">
        <f t="shared" si="7"/>
        <v>Estudio</v>
      </c>
      <c r="O84" s="2319">
        <f t="shared" si="7"/>
        <v>1</v>
      </c>
      <c r="P84" s="2320">
        <f t="shared" ref="P84:P86" si="9">P57</f>
        <v>27777.777777777774</v>
      </c>
      <c r="Q84" s="2328"/>
    </row>
    <row r="85" spans="2:17" x14ac:dyDescent="0.25">
      <c r="B85" s="2327"/>
      <c r="C85" s="2302">
        <v>9</v>
      </c>
      <c r="D85" s="2298" t="str">
        <f t="shared" si="8"/>
        <v>Supervisión</v>
      </c>
      <c r="E85" s="2277" t="str">
        <f t="shared" si="8"/>
        <v>Meses</v>
      </c>
      <c r="F85" s="2319">
        <f t="shared" si="8"/>
        <v>12</v>
      </c>
      <c r="G85" s="2320">
        <f t="shared" si="8"/>
        <v>659364.30000000005</v>
      </c>
      <c r="H85" s="2311"/>
      <c r="I85" s="2239"/>
      <c r="J85" s="2302">
        <v>11</v>
      </c>
      <c r="K85" s="2298" t="str">
        <f t="shared" si="6"/>
        <v>Supervisión</v>
      </c>
      <c r="L85" s="2270"/>
      <c r="M85" s="2270"/>
      <c r="N85" s="2277" t="str">
        <f t="shared" si="7"/>
        <v>Meses</v>
      </c>
      <c r="O85" s="2319">
        <f t="shared" si="7"/>
        <v>12</v>
      </c>
      <c r="P85" s="2320">
        <f t="shared" si="9"/>
        <v>610522.5</v>
      </c>
      <c r="Q85" s="2328"/>
    </row>
    <row r="86" spans="2:17" x14ac:dyDescent="0.25">
      <c r="B86" s="2327"/>
      <c r="C86" s="2302">
        <v>10</v>
      </c>
      <c r="D86" s="2298" t="str">
        <f t="shared" si="8"/>
        <v>Liquidación</v>
      </c>
      <c r="E86" s="2277" t="str">
        <f t="shared" si="8"/>
        <v>Meses</v>
      </c>
      <c r="F86" s="2319">
        <f t="shared" si="8"/>
        <v>2</v>
      </c>
      <c r="G86" s="2320">
        <f t="shared" si="8"/>
        <v>47258.416666666672</v>
      </c>
      <c r="H86" s="2311"/>
      <c r="I86" s="2239"/>
      <c r="J86" s="2302">
        <v>10</v>
      </c>
      <c r="K86" s="2298" t="str">
        <f t="shared" si="6"/>
        <v>Liquidación</v>
      </c>
      <c r="L86" s="2270"/>
      <c r="M86" s="2270"/>
      <c r="N86" s="2277" t="str">
        <f t="shared" si="7"/>
        <v>Meses</v>
      </c>
      <c r="O86" s="2319">
        <f t="shared" si="7"/>
        <v>2</v>
      </c>
      <c r="P86" s="2320">
        <f t="shared" si="9"/>
        <v>43757.793209876545</v>
      </c>
      <c r="Q86" s="2328"/>
    </row>
    <row r="87" spans="2:17" x14ac:dyDescent="0.25">
      <c r="B87" s="2327"/>
      <c r="C87" s="3704"/>
      <c r="D87" s="3705" t="s">
        <v>3906</v>
      </c>
      <c r="E87" s="3705"/>
      <c r="F87" s="3705"/>
      <c r="G87" s="3709">
        <f>SUM(G79:G86)</f>
        <v>1304307.7458333333</v>
      </c>
      <c r="H87" s="2321"/>
      <c r="I87" s="2239"/>
      <c r="J87" s="3706"/>
      <c r="K87" s="3705" t="s">
        <v>3906</v>
      </c>
      <c r="L87" s="3705"/>
      <c r="M87" s="3705"/>
      <c r="N87" s="3705"/>
      <c r="O87" s="3705"/>
      <c r="P87" s="3709">
        <f>SUM(P79:P86)</f>
        <v>1207692.3572530865</v>
      </c>
      <c r="Q87" s="2328"/>
    </row>
    <row r="88" spans="2:17" x14ac:dyDescent="0.25">
      <c r="B88" s="2327"/>
      <c r="C88" s="2333"/>
      <c r="D88" s="2333" t="s">
        <v>3907</v>
      </c>
      <c r="E88" s="2333"/>
      <c r="F88" s="2333"/>
      <c r="G88" s="2334">
        <f>SUM(G73,G76,G87)</f>
        <v>28586582.974537257</v>
      </c>
      <c r="H88" s="2321"/>
      <c r="I88" s="2239"/>
      <c r="J88" s="2333"/>
      <c r="K88" s="2333" t="s">
        <v>3908</v>
      </c>
      <c r="L88" s="2333"/>
      <c r="M88" s="2333"/>
      <c r="N88" s="2333"/>
      <c r="O88" s="2333"/>
      <c r="P88" s="2334">
        <f>SUM(P73,P76,P87)</f>
        <v>20073276.755627658</v>
      </c>
      <c r="Q88" s="2328"/>
    </row>
    <row r="89" spans="2:17" x14ac:dyDescent="0.25">
      <c r="B89" s="2327"/>
      <c r="C89" s="2322"/>
      <c r="D89" s="2322"/>
      <c r="E89" s="2322"/>
      <c r="F89" s="2322"/>
      <c r="G89" s="2322"/>
      <c r="H89" s="2322"/>
      <c r="I89" s="2323"/>
      <c r="J89" s="2239"/>
      <c r="K89" s="2322"/>
      <c r="L89" s="2322"/>
      <c r="M89" s="2322"/>
      <c r="N89" s="2322"/>
      <c r="O89" s="2322"/>
      <c r="P89" s="2322"/>
      <c r="Q89" s="2328"/>
    </row>
    <row r="90" spans="2:17" ht="13.5" thickBot="1" x14ac:dyDescent="0.3">
      <c r="B90" s="2330"/>
      <c r="C90" s="2331"/>
      <c r="D90" s="2331"/>
      <c r="E90" s="2331"/>
      <c r="F90" s="2331"/>
      <c r="G90" s="2331"/>
      <c r="H90" s="2331"/>
      <c r="I90" s="2331"/>
      <c r="J90" s="2331"/>
      <c r="K90" s="2331"/>
      <c r="L90" s="2331"/>
      <c r="M90" s="2331"/>
      <c r="N90" s="2331"/>
      <c r="O90" s="2331"/>
      <c r="P90" s="2331"/>
      <c r="Q90" s="2332"/>
    </row>
  </sheetData>
  <mergeCells count="21">
    <mergeCell ref="C61:G61"/>
    <mergeCell ref="C3:P3"/>
    <mergeCell ref="C4:P4"/>
    <mergeCell ref="C6:P6"/>
    <mergeCell ref="C9:G9"/>
    <mergeCell ref="J9:P9"/>
    <mergeCell ref="C10:G10"/>
    <mergeCell ref="J10:P10"/>
    <mergeCell ref="C12:G12"/>
    <mergeCell ref="J12:P12"/>
    <mergeCell ref="C13:G13"/>
    <mergeCell ref="J13:P13"/>
    <mergeCell ref="C60:F60"/>
    <mergeCell ref="K78:L78"/>
    <mergeCell ref="J63:O63"/>
    <mergeCell ref="C64:G64"/>
    <mergeCell ref="J64:P64"/>
    <mergeCell ref="C65:G65"/>
    <mergeCell ref="J65:P65"/>
    <mergeCell ref="C77:G77"/>
    <mergeCell ref="J77:P77"/>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99FF66"/>
  </sheetPr>
  <dimension ref="A2:Z170"/>
  <sheetViews>
    <sheetView topLeftCell="A49" zoomScale="70" zoomScaleNormal="70" workbookViewId="0">
      <selection activeCell="C86" sqref="C86"/>
    </sheetView>
  </sheetViews>
  <sheetFormatPr baseColWidth="10" defaultColWidth="10.85546875" defaultRowHeight="13.5" x14ac:dyDescent="0.25"/>
  <cols>
    <col min="1" max="1" width="5.42578125" style="691" customWidth="1"/>
    <col min="2" max="2" width="28.140625" style="691" customWidth="1"/>
    <col min="3" max="3" width="14.42578125" style="691" customWidth="1"/>
    <col min="4" max="4" width="17.140625" style="691" customWidth="1"/>
    <col min="5" max="5" width="22.7109375" style="691" customWidth="1"/>
    <col min="6" max="6" width="17.140625" style="691" customWidth="1"/>
    <col min="7" max="20" width="11" style="691" customWidth="1"/>
    <col min="21" max="16384" width="10.85546875" style="691"/>
  </cols>
  <sheetData>
    <row r="2" spans="2:11" x14ac:dyDescent="0.25">
      <c r="B2" s="689" t="s">
        <v>3910</v>
      </c>
      <c r="C2" s="689"/>
      <c r="D2" s="689"/>
    </row>
    <row r="3" spans="2:11" x14ac:dyDescent="0.25">
      <c r="B3" s="689"/>
      <c r="C3" s="689"/>
      <c r="D3" s="689"/>
    </row>
    <row r="4" spans="2:11" s="694" customFormat="1" x14ac:dyDescent="0.25">
      <c r="B4" s="1144" t="s">
        <v>3911</v>
      </c>
    </row>
    <row r="5" spans="2:11" s="694" customFormat="1" x14ac:dyDescent="0.25">
      <c r="B5" s="917" t="s">
        <v>194</v>
      </c>
      <c r="C5" s="685" t="s">
        <v>195</v>
      </c>
      <c r="D5" s="685" t="s">
        <v>3168</v>
      </c>
      <c r="E5" s="1329" t="s">
        <v>196</v>
      </c>
      <c r="F5" s="685" t="s">
        <v>197</v>
      </c>
      <c r="G5" s="685" t="s">
        <v>198</v>
      </c>
      <c r="H5" s="685" t="s">
        <v>150</v>
      </c>
      <c r="I5" s="686" t="s">
        <v>163</v>
      </c>
    </row>
    <row r="6" spans="2:11" s="694" customFormat="1" x14ac:dyDescent="0.25">
      <c r="B6" s="4753" t="s">
        <v>3169</v>
      </c>
      <c r="C6" s="4753"/>
      <c r="D6" s="4753"/>
      <c r="E6" s="4753"/>
      <c r="F6" s="4753"/>
      <c r="G6" s="4753"/>
      <c r="H6" s="4753"/>
      <c r="I6" s="4753"/>
      <c r="K6" s="691"/>
    </row>
    <row r="7" spans="2:11" s="694" customFormat="1" x14ac:dyDescent="0.25">
      <c r="B7" s="2003" t="s">
        <v>200</v>
      </c>
      <c r="C7" s="2142">
        <v>3</v>
      </c>
      <c r="D7" s="2142">
        <v>0</v>
      </c>
      <c r="E7" s="2142">
        <v>0</v>
      </c>
      <c r="F7" s="1278">
        <v>1</v>
      </c>
      <c r="G7" s="1278">
        <v>0</v>
      </c>
      <c r="H7" s="2142">
        <f>SUM(C7:G7)</f>
        <v>4</v>
      </c>
      <c r="I7" s="2349">
        <f t="shared" ref="I7:I42" ca="1" si="0">H7/$H$52</f>
        <v>0.11428571428571428</v>
      </c>
      <c r="K7" s="691"/>
    </row>
    <row r="8" spans="2:11" s="694" customFormat="1" hidden="1" x14ac:dyDescent="0.25">
      <c r="B8" s="2223" t="s">
        <v>201</v>
      </c>
      <c r="C8" s="2380">
        <v>0</v>
      </c>
      <c r="D8" s="2380">
        <v>0</v>
      </c>
      <c r="E8" s="2380">
        <v>0</v>
      </c>
      <c r="F8" s="2122">
        <v>0</v>
      </c>
      <c r="G8" s="2122">
        <v>0</v>
      </c>
      <c r="H8" s="2380">
        <f t="shared" ref="H8:H40" si="1">SUM(C8:G8)</f>
        <v>0</v>
      </c>
      <c r="I8" s="2381">
        <f t="shared" ca="1" si="0"/>
        <v>0</v>
      </c>
      <c r="K8" s="691"/>
    </row>
    <row r="9" spans="2:11" s="694" customFormat="1" hidden="1" x14ac:dyDescent="0.25">
      <c r="B9" s="2223" t="s">
        <v>202</v>
      </c>
      <c r="C9" s="2380">
        <v>0</v>
      </c>
      <c r="D9" s="2380">
        <v>0</v>
      </c>
      <c r="E9" s="2380">
        <v>0</v>
      </c>
      <c r="F9" s="2122">
        <v>0</v>
      </c>
      <c r="G9" s="2122">
        <v>0</v>
      </c>
      <c r="H9" s="2380">
        <f t="shared" si="1"/>
        <v>0</v>
      </c>
      <c r="I9" s="2381">
        <f t="shared" ca="1" si="0"/>
        <v>0</v>
      </c>
      <c r="K9" s="691"/>
    </row>
    <row r="10" spans="2:11" s="694" customFormat="1" hidden="1" x14ac:dyDescent="0.25">
      <c r="B10" s="2223" t="s">
        <v>203</v>
      </c>
      <c r="C10" s="2380">
        <v>0</v>
      </c>
      <c r="D10" s="2380">
        <v>0</v>
      </c>
      <c r="E10" s="2380">
        <v>0</v>
      </c>
      <c r="F10" s="2122">
        <v>0</v>
      </c>
      <c r="G10" s="2122">
        <v>0</v>
      </c>
      <c r="H10" s="2380">
        <f t="shared" si="1"/>
        <v>0</v>
      </c>
      <c r="I10" s="2381">
        <f t="shared" ca="1" si="0"/>
        <v>0</v>
      </c>
      <c r="K10" s="691"/>
    </row>
    <row r="11" spans="2:11" s="694" customFormat="1" hidden="1" x14ac:dyDescent="0.25">
      <c r="B11" s="2223" t="s">
        <v>204</v>
      </c>
      <c r="C11" s="2380">
        <v>0</v>
      </c>
      <c r="D11" s="2380">
        <v>0</v>
      </c>
      <c r="E11" s="2380">
        <v>0</v>
      </c>
      <c r="F11" s="2122">
        <v>0</v>
      </c>
      <c r="G11" s="2122">
        <v>0</v>
      </c>
      <c r="H11" s="2380">
        <f t="shared" si="1"/>
        <v>0</v>
      </c>
      <c r="I11" s="2381">
        <f t="shared" ca="1" si="0"/>
        <v>0</v>
      </c>
      <c r="K11" s="691"/>
    </row>
    <row r="12" spans="2:11" s="694" customFormat="1" hidden="1" x14ac:dyDescent="0.25">
      <c r="B12" s="2223" t="s">
        <v>205</v>
      </c>
      <c r="C12" s="2380">
        <v>0</v>
      </c>
      <c r="D12" s="2380">
        <v>0</v>
      </c>
      <c r="E12" s="2380">
        <v>0</v>
      </c>
      <c r="F12" s="2122">
        <v>0</v>
      </c>
      <c r="G12" s="2122">
        <v>0</v>
      </c>
      <c r="H12" s="2380">
        <f t="shared" si="1"/>
        <v>0</v>
      </c>
      <c r="I12" s="2381">
        <f t="shared" ca="1" si="0"/>
        <v>0</v>
      </c>
      <c r="K12" s="691"/>
    </row>
    <row r="13" spans="2:11" s="694" customFormat="1" hidden="1" x14ac:dyDescent="0.25">
      <c r="B13" s="2223" t="s">
        <v>206</v>
      </c>
      <c r="C13" s="2380">
        <v>0</v>
      </c>
      <c r="D13" s="2380">
        <v>0</v>
      </c>
      <c r="E13" s="2380">
        <v>0</v>
      </c>
      <c r="F13" s="2122">
        <v>0</v>
      </c>
      <c r="G13" s="2122">
        <v>0</v>
      </c>
      <c r="H13" s="2380">
        <f t="shared" si="1"/>
        <v>0</v>
      </c>
      <c r="I13" s="2381">
        <f t="shared" ca="1" si="0"/>
        <v>0</v>
      </c>
      <c r="K13" s="691"/>
    </row>
    <row r="14" spans="2:11" s="694" customFormat="1" hidden="1" x14ac:dyDescent="0.25">
      <c r="B14" s="2223" t="s">
        <v>207</v>
      </c>
      <c r="C14" s="2380">
        <v>0</v>
      </c>
      <c r="D14" s="2380">
        <v>0</v>
      </c>
      <c r="E14" s="2380">
        <v>0</v>
      </c>
      <c r="F14" s="2122">
        <v>0</v>
      </c>
      <c r="G14" s="2122">
        <v>0</v>
      </c>
      <c r="H14" s="2380">
        <f t="shared" si="1"/>
        <v>0</v>
      </c>
      <c r="I14" s="2381">
        <f t="shared" ca="1" si="0"/>
        <v>0</v>
      </c>
      <c r="K14" s="691"/>
    </row>
    <row r="15" spans="2:11" s="694" customFormat="1" hidden="1" x14ac:dyDescent="0.25">
      <c r="B15" s="2223" t="s">
        <v>208</v>
      </c>
      <c r="C15" s="2380">
        <v>0</v>
      </c>
      <c r="D15" s="2380">
        <v>0</v>
      </c>
      <c r="E15" s="2380">
        <v>0</v>
      </c>
      <c r="F15" s="2122">
        <v>0</v>
      </c>
      <c r="G15" s="2122">
        <v>0</v>
      </c>
      <c r="H15" s="2380">
        <f t="shared" si="1"/>
        <v>0</v>
      </c>
      <c r="I15" s="2381">
        <f t="shared" ca="1" si="0"/>
        <v>0</v>
      </c>
      <c r="K15" s="691"/>
    </row>
    <row r="16" spans="2:11" s="694" customFormat="1" hidden="1" x14ac:dyDescent="0.25">
      <c r="B16" s="2223" t="s">
        <v>209</v>
      </c>
      <c r="C16" s="2380">
        <v>0</v>
      </c>
      <c r="D16" s="2380">
        <v>0</v>
      </c>
      <c r="E16" s="2380">
        <v>0</v>
      </c>
      <c r="F16" s="2122">
        <v>0</v>
      </c>
      <c r="G16" s="2122">
        <v>0</v>
      </c>
      <c r="H16" s="2380">
        <f t="shared" si="1"/>
        <v>0</v>
      </c>
      <c r="I16" s="2381">
        <f t="shared" ca="1" si="0"/>
        <v>0</v>
      </c>
      <c r="K16" s="691"/>
    </row>
    <row r="17" spans="2:11" s="694" customFormat="1" hidden="1" x14ac:dyDescent="0.25">
      <c r="B17" s="2223" t="s">
        <v>210</v>
      </c>
      <c r="C17" s="2380">
        <v>0</v>
      </c>
      <c r="D17" s="2380">
        <v>0</v>
      </c>
      <c r="E17" s="2380">
        <v>0</v>
      </c>
      <c r="F17" s="2122">
        <v>0</v>
      </c>
      <c r="G17" s="2122">
        <v>0</v>
      </c>
      <c r="H17" s="2380">
        <f t="shared" si="1"/>
        <v>0</v>
      </c>
      <c r="I17" s="2381">
        <f t="shared" ca="1" si="0"/>
        <v>0</v>
      </c>
      <c r="K17" s="691"/>
    </row>
    <row r="18" spans="2:11" s="694" customFormat="1" hidden="1" x14ac:dyDescent="0.25">
      <c r="B18" s="2223" t="s">
        <v>211</v>
      </c>
      <c r="C18" s="2380">
        <v>0</v>
      </c>
      <c r="D18" s="2380">
        <v>0</v>
      </c>
      <c r="E18" s="2380">
        <v>0</v>
      </c>
      <c r="F18" s="2122">
        <v>0</v>
      </c>
      <c r="G18" s="2122">
        <v>0</v>
      </c>
      <c r="H18" s="2380">
        <f t="shared" si="1"/>
        <v>0</v>
      </c>
      <c r="I18" s="2381">
        <f t="shared" ca="1" si="0"/>
        <v>0</v>
      </c>
      <c r="K18" s="691"/>
    </row>
    <row r="19" spans="2:11" s="694" customFormat="1" hidden="1" x14ac:dyDescent="0.25">
      <c r="B19" s="2223" t="s">
        <v>3170</v>
      </c>
      <c r="C19" s="2380">
        <v>0</v>
      </c>
      <c r="D19" s="2380">
        <v>0</v>
      </c>
      <c r="E19" s="2380">
        <v>0</v>
      </c>
      <c r="F19" s="2122">
        <v>0</v>
      </c>
      <c r="G19" s="2122">
        <v>0</v>
      </c>
      <c r="H19" s="2380">
        <f t="shared" si="1"/>
        <v>0</v>
      </c>
      <c r="I19" s="2381">
        <f t="shared" ca="1" si="0"/>
        <v>0</v>
      </c>
      <c r="K19" s="691"/>
    </row>
    <row r="20" spans="2:11" s="694" customFormat="1" hidden="1" x14ac:dyDescent="0.25">
      <c r="B20" s="2223" t="s">
        <v>212</v>
      </c>
      <c r="C20" s="2380">
        <v>0</v>
      </c>
      <c r="D20" s="2380">
        <v>0</v>
      </c>
      <c r="E20" s="2380">
        <v>0</v>
      </c>
      <c r="F20" s="2122">
        <v>0</v>
      </c>
      <c r="G20" s="2122">
        <v>0</v>
      </c>
      <c r="H20" s="2380">
        <f t="shared" si="1"/>
        <v>0</v>
      </c>
      <c r="I20" s="2381">
        <f t="shared" ca="1" si="0"/>
        <v>0</v>
      </c>
      <c r="K20" s="691"/>
    </row>
    <row r="21" spans="2:11" s="694" customFormat="1" hidden="1" x14ac:dyDescent="0.25">
      <c r="B21" s="2223" t="s">
        <v>213</v>
      </c>
      <c r="C21" s="2380">
        <v>0</v>
      </c>
      <c r="D21" s="2380">
        <v>0</v>
      </c>
      <c r="E21" s="2380">
        <v>0</v>
      </c>
      <c r="F21" s="2122">
        <v>0</v>
      </c>
      <c r="G21" s="2122">
        <v>0</v>
      </c>
      <c r="H21" s="2380">
        <f t="shared" si="1"/>
        <v>0</v>
      </c>
      <c r="I21" s="2381">
        <f t="shared" ca="1" si="0"/>
        <v>0</v>
      </c>
      <c r="K21" s="691"/>
    </row>
    <row r="22" spans="2:11" s="694" customFormat="1" hidden="1" x14ac:dyDescent="0.25">
      <c r="B22" s="2223" t="s">
        <v>214</v>
      </c>
      <c r="C22" s="2380">
        <v>0</v>
      </c>
      <c r="D22" s="2380">
        <v>0</v>
      </c>
      <c r="E22" s="2380">
        <v>0</v>
      </c>
      <c r="F22" s="2122">
        <v>0</v>
      </c>
      <c r="G22" s="2122">
        <v>0</v>
      </c>
      <c r="H22" s="2380">
        <f t="shared" si="1"/>
        <v>0</v>
      </c>
      <c r="I22" s="2381">
        <f t="shared" ca="1" si="0"/>
        <v>0</v>
      </c>
      <c r="K22" s="691"/>
    </row>
    <row r="23" spans="2:11" s="694" customFormat="1" hidden="1" x14ac:dyDescent="0.25">
      <c r="B23" s="2223" t="s">
        <v>215</v>
      </c>
      <c r="C23" s="2380">
        <v>0</v>
      </c>
      <c r="D23" s="2380">
        <v>0</v>
      </c>
      <c r="E23" s="2380">
        <v>0</v>
      </c>
      <c r="F23" s="2122">
        <v>0</v>
      </c>
      <c r="G23" s="2122">
        <v>0</v>
      </c>
      <c r="H23" s="2380">
        <f t="shared" si="1"/>
        <v>0</v>
      </c>
      <c r="I23" s="2381">
        <f t="shared" ca="1" si="0"/>
        <v>0</v>
      </c>
      <c r="K23" s="691"/>
    </row>
    <row r="24" spans="2:11" s="694" customFormat="1" hidden="1" x14ac:dyDescent="0.25">
      <c r="B24" s="2223" t="s">
        <v>3114</v>
      </c>
      <c r="C24" s="2380">
        <v>0</v>
      </c>
      <c r="D24" s="2380">
        <v>0</v>
      </c>
      <c r="E24" s="2380">
        <v>0</v>
      </c>
      <c r="F24" s="2122">
        <v>0</v>
      </c>
      <c r="G24" s="2122">
        <v>0</v>
      </c>
      <c r="H24" s="2380">
        <f t="shared" si="1"/>
        <v>0</v>
      </c>
      <c r="I24" s="2381">
        <f t="shared" ca="1" si="0"/>
        <v>0</v>
      </c>
      <c r="K24" s="691"/>
    </row>
    <row r="25" spans="2:11" s="694" customFormat="1" x14ac:dyDescent="0.25">
      <c r="B25" s="2003" t="s">
        <v>216</v>
      </c>
      <c r="C25" s="2142">
        <v>2</v>
      </c>
      <c r="D25" s="2142">
        <v>0</v>
      </c>
      <c r="E25" s="2142">
        <v>0</v>
      </c>
      <c r="F25" s="1278">
        <v>0</v>
      </c>
      <c r="G25" s="1278">
        <v>0</v>
      </c>
      <c r="H25" s="2142">
        <f t="shared" si="1"/>
        <v>2</v>
      </c>
      <c r="I25" s="2349">
        <f t="shared" ca="1" si="0"/>
        <v>5.7142857142857141E-2</v>
      </c>
      <c r="K25" s="691"/>
    </row>
    <row r="26" spans="2:11" s="694" customFormat="1" x14ac:dyDescent="0.25">
      <c r="B26" s="2003" t="s">
        <v>217</v>
      </c>
      <c r="C26" s="2142">
        <v>5</v>
      </c>
      <c r="D26" s="2142">
        <v>0</v>
      </c>
      <c r="E26" s="2142">
        <v>2</v>
      </c>
      <c r="F26" s="1278">
        <v>0</v>
      </c>
      <c r="G26" s="1278">
        <v>0</v>
      </c>
      <c r="H26" s="2142">
        <f t="shared" si="1"/>
        <v>7</v>
      </c>
      <c r="I26" s="2349">
        <f t="shared" ca="1" si="0"/>
        <v>0.2</v>
      </c>
      <c r="K26" s="691"/>
    </row>
    <row r="27" spans="2:11" s="694" customFormat="1" x14ac:dyDescent="0.25">
      <c r="B27" s="2003" t="s">
        <v>218</v>
      </c>
      <c r="C27" s="2142">
        <v>0</v>
      </c>
      <c r="D27" s="2142">
        <v>0</v>
      </c>
      <c r="E27" s="2142">
        <v>1</v>
      </c>
      <c r="F27" s="1278">
        <v>0</v>
      </c>
      <c r="G27" s="1278">
        <v>0</v>
      </c>
      <c r="H27" s="2142">
        <f t="shared" si="1"/>
        <v>1</v>
      </c>
      <c r="I27" s="2349">
        <f t="shared" ca="1" si="0"/>
        <v>2.8571428571428571E-2</v>
      </c>
      <c r="K27" s="691"/>
    </row>
    <row r="28" spans="2:11" s="694" customFormat="1" x14ac:dyDescent="0.25">
      <c r="B28" s="2003" t="s">
        <v>353</v>
      </c>
      <c r="C28" s="2142">
        <v>1</v>
      </c>
      <c r="D28" s="2142">
        <v>0</v>
      </c>
      <c r="E28" s="2142">
        <v>2</v>
      </c>
      <c r="F28" s="1278">
        <v>1</v>
      </c>
      <c r="G28" s="1278">
        <v>0</v>
      </c>
      <c r="H28" s="2142">
        <f t="shared" si="1"/>
        <v>4</v>
      </c>
      <c r="I28" s="2349">
        <f t="shared" ca="1" si="0"/>
        <v>0.11428571428571428</v>
      </c>
      <c r="K28" s="691"/>
    </row>
    <row r="29" spans="2:11" s="694" customFormat="1" x14ac:dyDescent="0.25">
      <c r="B29" s="2003" t="s">
        <v>220</v>
      </c>
      <c r="C29" s="2142">
        <v>1</v>
      </c>
      <c r="D29" s="2142">
        <v>0</v>
      </c>
      <c r="E29" s="2142">
        <v>0</v>
      </c>
      <c r="F29" s="1278">
        <v>0</v>
      </c>
      <c r="G29" s="1278">
        <v>0</v>
      </c>
      <c r="H29" s="2142">
        <f t="shared" si="1"/>
        <v>1</v>
      </c>
      <c r="I29" s="2349">
        <f t="shared" ca="1" si="0"/>
        <v>2.8571428571428571E-2</v>
      </c>
      <c r="K29" s="691"/>
    </row>
    <row r="30" spans="2:11" s="694" customFormat="1" hidden="1" x14ac:dyDescent="0.25">
      <c r="B30" s="2223" t="s">
        <v>221</v>
      </c>
      <c r="C30" s="2380">
        <v>0</v>
      </c>
      <c r="D30" s="2380">
        <v>0</v>
      </c>
      <c r="E30" s="2380">
        <v>0</v>
      </c>
      <c r="F30" s="2122">
        <v>0</v>
      </c>
      <c r="G30" s="2122">
        <v>0</v>
      </c>
      <c r="H30" s="2380">
        <f t="shared" si="1"/>
        <v>0</v>
      </c>
      <c r="I30" s="2381">
        <f t="shared" ca="1" si="0"/>
        <v>0</v>
      </c>
      <c r="K30" s="691"/>
    </row>
    <row r="31" spans="2:11" s="694" customFormat="1" hidden="1" x14ac:dyDescent="0.25">
      <c r="B31" s="2223" t="s">
        <v>222</v>
      </c>
      <c r="C31" s="2380">
        <v>0</v>
      </c>
      <c r="D31" s="2380">
        <v>0</v>
      </c>
      <c r="E31" s="2380">
        <v>0</v>
      </c>
      <c r="F31" s="2122">
        <v>0</v>
      </c>
      <c r="G31" s="2122">
        <v>0</v>
      </c>
      <c r="H31" s="2380">
        <f t="shared" si="1"/>
        <v>0</v>
      </c>
      <c r="I31" s="2381">
        <f t="shared" ca="1" si="0"/>
        <v>0</v>
      </c>
      <c r="K31" s="691"/>
    </row>
    <row r="32" spans="2:11" s="694" customFormat="1" hidden="1" x14ac:dyDescent="0.25">
      <c r="B32" s="2223" t="s">
        <v>223</v>
      </c>
      <c r="C32" s="2380">
        <v>0</v>
      </c>
      <c r="D32" s="2380">
        <v>0</v>
      </c>
      <c r="E32" s="2380">
        <v>0</v>
      </c>
      <c r="F32" s="2122">
        <v>0</v>
      </c>
      <c r="G32" s="2122">
        <v>0</v>
      </c>
      <c r="H32" s="2380">
        <f t="shared" si="1"/>
        <v>0</v>
      </c>
      <c r="I32" s="2381">
        <f t="shared" ca="1" si="0"/>
        <v>0</v>
      </c>
      <c r="K32" s="691"/>
    </row>
    <row r="33" spans="2:11" s="694" customFormat="1" hidden="1" x14ac:dyDescent="0.25">
      <c r="B33" s="2223" t="s">
        <v>224</v>
      </c>
      <c r="C33" s="2380">
        <v>0</v>
      </c>
      <c r="D33" s="2380">
        <v>0</v>
      </c>
      <c r="E33" s="2380">
        <v>0</v>
      </c>
      <c r="F33" s="2122">
        <v>0</v>
      </c>
      <c r="G33" s="2122">
        <v>0</v>
      </c>
      <c r="H33" s="2380">
        <f t="shared" si="1"/>
        <v>0</v>
      </c>
      <c r="I33" s="2381">
        <f t="shared" ca="1" si="0"/>
        <v>0</v>
      </c>
      <c r="K33" s="691"/>
    </row>
    <row r="34" spans="2:11" s="694" customFormat="1" hidden="1" x14ac:dyDescent="0.25">
      <c r="B34" s="2223" t="s">
        <v>225</v>
      </c>
      <c r="C34" s="2380">
        <v>0</v>
      </c>
      <c r="D34" s="2380">
        <v>0</v>
      </c>
      <c r="E34" s="2380">
        <v>0</v>
      </c>
      <c r="F34" s="2122">
        <v>0</v>
      </c>
      <c r="G34" s="2122">
        <v>0</v>
      </c>
      <c r="H34" s="2380">
        <f t="shared" si="1"/>
        <v>0</v>
      </c>
      <c r="I34" s="2381">
        <f t="shared" ca="1" si="0"/>
        <v>0</v>
      </c>
      <c r="K34" s="691"/>
    </row>
    <row r="35" spans="2:11" s="694" customFormat="1" x14ac:dyDescent="0.25">
      <c r="B35" s="2003" t="s">
        <v>226</v>
      </c>
      <c r="C35" s="2142">
        <v>10</v>
      </c>
      <c r="D35" s="2142">
        <v>0</v>
      </c>
      <c r="E35" s="2142">
        <v>0</v>
      </c>
      <c r="F35" s="1278">
        <v>0</v>
      </c>
      <c r="G35" s="1278">
        <v>0</v>
      </c>
      <c r="H35" s="2142">
        <f t="shared" si="1"/>
        <v>10</v>
      </c>
      <c r="I35" s="2349">
        <f t="shared" ca="1" si="0"/>
        <v>0.2857142857142857</v>
      </c>
      <c r="K35" s="691"/>
    </row>
    <row r="36" spans="2:11" s="694" customFormat="1" x14ac:dyDescent="0.25">
      <c r="B36" s="2003" t="s">
        <v>227</v>
      </c>
      <c r="C36" s="2142">
        <v>1</v>
      </c>
      <c r="D36" s="2142">
        <v>0</v>
      </c>
      <c r="E36" s="2142">
        <v>0</v>
      </c>
      <c r="F36" s="1278">
        <v>0</v>
      </c>
      <c r="G36" s="1278">
        <v>0</v>
      </c>
      <c r="H36" s="2142">
        <f t="shared" si="1"/>
        <v>1</v>
      </c>
      <c r="I36" s="2349">
        <f t="shared" ca="1" si="0"/>
        <v>2.8571428571428571E-2</v>
      </c>
      <c r="K36" s="691"/>
    </row>
    <row r="37" spans="2:11" s="694" customFormat="1" hidden="1" x14ac:dyDescent="0.25">
      <c r="B37" s="2223" t="s">
        <v>228</v>
      </c>
      <c r="C37" s="2380">
        <v>0</v>
      </c>
      <c r="D37" s="2380">
        <v>0</v>
      </c>
      <c r="E37" s="2380">
        <v>0</v>
      </c>
      <c r="F37" s="2122">
        <v>0</v>
      </c>
      <c r="G37" s="2122">
        <v>0</v>
      </c>
      <c r="H37" s="2380">
        <f t="shared" si="1"/>
        <v>0</v>
      </c>
      <c r="I37" s="2381">
        <f t="shared" ca="1" si="0"/>
        <v>0</v>
      </c>
      <c r="K37" s="691"/>
    </row>
    <row r="38" spans="2:11" s="694" customFormat="1" hidden="1" x14ac:dyDescent="0.25">
      <c r="B38" s="2223" t="s">
        <v>229</v>
      </c>
      <c r="C38" s="2380">
        <v>0</v>
      </c>
      <c r="D38" s="2380">
        <v>0</v>
      </c>
      <c r="E38" s="2380">
        <v>0</v>
      </c>
      <c r="F38" s="2122">
        <v>0</v>
      </c>
      <c r="G38" s="2122">
        <v>0</v>
      </c>
      <c r="H38" s="2380">
        <f t="shared" si="1"/>
        <v>0</v>
      </c>
      <c r="I38" s="2381">
        <f t="shared" ca="1" si="0"/>
        <v>0</v>
      </c>
      <c r="K38" s="691"/>
    </row>
    <row r="39" spans="2:11" s="694" customFormat="1" hidden="1" x14ac:dyDescent="0.25">
      <c r="B39" s="2223" t="s">
        <v>3171</v>
      </c>
      <c r="C39" s="2380">
        <v>0</v>
      </c>
      <c r="D39" s="2380">
        <v>0</v>
      </c>
      <c r="E39" s="2380">
        <v>0</v>
      </c>
      <c r="F39" s="2122">
        <v>0</v>
      </c>
      <c r="G39" s="2122">
        <v>0</v>
      </c>
      <c r="H39" s="2380">
        <f t="shared" si="1"/>
        <v>0</v>
      </c>
      <c r="I39" s="2381">
        <f t="shared" ca="1" si="0"/>
        <v>0</v>
      </c>
      <c r="K39" s="691"/>
    </row>
    <row r="40" spans="2:11" s="694" customFormat="1" hidden="1" x14ac:dyDescent="0.25">
      <c r="B40" s="2223" t="s">
        <v>3140</v>
      </c>
      <c r="C40" s="2380">
        <v>0</v>
      </c>
      <c r="D40" s="2380">
        <v>0</v>
      </c>
      <c r="E40" s="2380">
        <v>0</v>
      </c>
      <c r="F40" s="2122">
        <v>0</v>
      </c>
      <c r="G40" s="2122">
        <v>0</v>
      </c>
      <c r="H40" s="2380">
        <f t="shared" si="1"/>
        <v>0</v>
      </c>
      <c r="I40" s="2381">
        <f t="shared" ca="1" si="0"/>
        <v>0</v>
      </c>
      <c r="K40" s="691"/>
    </row>
    <row r="41" spans="2:11" s="694" customFormat="1" hidden="1" x14ac:dyDescent="0.25">
      <c r="B41" s="2223" t="s">
        <v>231</v>
      </c>
      <c r="C41" s="2380">
        <v>0</v>
      </c>
      <c r="D41" s="2380">
        <v>0</v>
      </c>
      <c r="E41" s="2380">
        <v>0</v>
      </c>
      <c r="F41" s="2122">
        <v>0</v>
      </c>
      <c r="G41" s="2122">
        <v>0</v>
      </c>
      <c r="H41" s="2380">
        <f>SUM(C41:G41)</f>
        <v>0</v>
      </c>
      <c r="I41" s="2381">
        <f t="shared" ca="1" si="0"/>
        <v>0</v>
      </c>
      <c r="K41" s="691"/>
    </row>
    <row r="42" spans="2:11" s="694" customFormat="1" x14ac:dyDescent="0.25">
      <c r="B42" s="2385" t="s">
        <v>232</v>
      </c>
      <c r="C42" s="2385">
        <f>SUM(C7:C41)</f>
        <v>23</v>
      </c>
      <c r="D42" s="2385">
        <f>SUM(D7:D41)</f>
        <v>0</v>
      </c>
      <c r="E42" s="2385">
        <f>SUM(E7:E41)</f>
        <v>5</v>
      </c>
      <c r="F42" s="2385">
        <f>SUM(F7:F41)</f>
        <v>2</v>
      </c>
      <c r="G42" s="2385">
        <f>SUM(G7:G41)</f>
        <v>0</v>
      </c>
      <c r="H42" s="2386">
        <f>SUM(C42:G42)</f>
        <v>30</v>
      </c>
      <c r="I42" s="2387">
        <f t="shared" ca="1" si="0"/>
        <v>0.8571428571428571</v>
      </c>
      <c r="K42" s="691"/>
    </row>
    <row r="43" spans="2:11" s="694" customFormat="1" x14ac:dyDescent="0.25">
      <c r="B43" s="2144" t="s">
        <v>233</v>
      </c>
      <c r="C43" s="2350">
        <f t="shared" ref="C43:H43" ca="1" si="2">C42/$H$52</f>
        <v>0.65714285714285714</v>
      </c>
      <c r="D43" s="2350">
        <f t="shared" ca="1" si="2"/>
        <v>0</v>
      </c>
      <c r="E43" s="2350">
        <f t="shared" ca="1" si="2"/>
        <v>0.14285714285714285</v>
      </c>
      <c r="F43" s="2350">
        <f t="shared" ca="1" si="2"/>
        <v>5.7142857142857141E-2</v>
      </c>
      <c r="G43" s="2350">
        <f t="shared" ca="1" si="2"/>
        <v>0</v>
      </c>
      <c r="H43" s="2350">
        <f t="shared" ca="1" si="2"/>
        <v>0.8571428571428571</v>
      </c>
      <c r="I43" s="2351"/>
      <c r="K43" s="691"/>
    </row>
    <row r="44" spans="2:11" s="694" customFormat="1" x14ac:dyDescent="0.25">
      <c r="B44" s="4877" t="s">
        <v>3172</v>
      </c>
      <c r="C44" s="4878"/>
      <c r="D44" s="4878"/>
      <c r="E44" s="4878"/>
      <c r="F44" s="4878"/>
      <c r="G44" s="4878"/>
      <c r="H44" s="4878"/>
      <c r="I44" s="4879"/>
      <c r="K44" s="691"/>
    </row>
    <row r="45" spans="2:11" s="694" customFormat="1" x14ac:dyDescent="0.25">
      <c r="B45" s="2223" t="s">
        <v>235</v>
      </c>
      <c r="C45" s="2122">
        <v>0</v>
      </c>
      <c r="D45" s="2122">
        <v>0</v>
      </c>
      <c r="E45" s="2122">
        <v>0</v>
      </c>
      <c r="F45" s="2122">
        <v>0</v>
      </c>
      <c r="G45" s="2122">
        <v>0</v>
      </c>
      <c r="H45" s="2380">
        <f>SUM(C45:G45)</f>
        <v>0</v>
      </c>
      <c r="I45" s="2382">
        <f ca="1">H45/$H$52</f>
        <v>0</v>
      </c>
      <c r="K45" s="691"/>
    </row>
    <row r="46" spans="2:11" s="694" customFormat="1" x14ac:dyDescent="0.25">
      <c r="B46" s="2003" t="s">
        <v>236</v>
      </c>
      <c r="C46" s="1278">
        <v>0</v>
      </c>
      <c r="D46" s="1278">
        <v>0</v>
      </c>
      <c r="E46" s="1278">
        <v>1</v>
      </c>
      <c r="F46" s="1278">
        <v>1</v>
      </c>
      <c r="G46" s="1278">
        <v>0</v>
      </c>
      <c r="H46" s="2142">
        <f t="shared" ref="H46:H48" si="3">SUM(C46:G46)</f>
        <v>2</v>
      </c>
      <c r="I46" s="1288">
        <f ca="1">H46/$H$52</f>
        <v>5.7142857142857141E-2</v>
      </c>
      <c r="K46" s="691"/>
    </row>
    <row r="47" spans="2:11" s="694" customFormat="1" x14ac:dyDescent="0.25">
      <c r="B47" s="2223" t="s">
        <v>237</v>
      </c>
      <c r="C47" s="2122">
        <v>0</v>
      </c>
      <c r="D47" s="2122">
        <v>0</v>
      </c>
      <c r="E47" s="2122">
        <v>0</v>
      </c>
      <c r="F47" s="2122">
        <v>0</v>
      </c>
      <c r="G47" s="2122">
        <v>0</v>
      </c>
      <c r="H47" s="2380">
        <f t="shared" si="3"/>
        <v>0</v>
      </c>
      <c r="I47" s="2382">
        <f ca="1">H47/$H$52</f>
        <v>0</v>
      </c>
      <c r="K47" s="691"/>
    </row>
    <row r="48" spans="2:11" s="694" customFormat="1" x14ac:dyDescent="0.25">
      <c r="B48" s="2003" t="s">
        <v>238</v>
      </c>
      <c r="C48" s="1278">
        <v>2</v>
      </c>
      <c r="D48" s="1278">
        <v>0</v>
      </c>
      <c r="E48" s="1278">
        <v>1</v>
      </c>
      <c r="F48" s="1278">
        <v>0</v>
      </c>
      <c r="G48" s="1278">
        <v>0</v>
      </c>
      <c r="H48" s="2142">
        <f t="shared" si="3"/>
        <v>3</v>
      </c>
      <c r="I48" s="1288">
        <f ca="1">H48/$H$52</f>
        <v>8.5714285714285715E-2</v>
      </c>
      <c r="K48" s="691"/>
    </row>
    <row r="49" spans="1:15" s="694" customFormat="1" x14ac:dyDescent="0.25">
      <c r="B49" s="2385" t="s">
        <v>239</v>
      </c>
      <c r="C49" s="2385">
        <f t="shared" ref="C49:H49" si="4">SUM(C45:C48)</f>
        <v>2</v>
      </c>
      <c r="D49" s="2385">
        <f t="shared" si="4"/>
        <v>0</v>
      </c>
      <c r="E49" s="2385">
        <f t="shared" si="4"/>
        <v>2</v>
      </c>
      <c r="F49" s="2385">
        <f t="shared" si="4"/>
        <v>1</v>
      </c>
      <c r="G49" s="2385">
        <f t="shared" si="4"/>
        <v>0</v>
      </c>
      <c r="H49" s="2385">
        <f t="shared" si="4"/>
        <v>5</v>
      </c>
      <c r="I49" s="2388">
        <f ca="1">H49/$H$52</f>
        <v>0.14285714285714285</v>
      </c>
      <c r="K49" s="691"/>
    </row>
    <row r="50" spans="1:15" s="694" customFormat="1" x14ac:dyDescent="0.25">
      <c r="B50" s="2144" t="s">
        <v>233</v>
      </c>
      <c r="C50" s="2350">
        <f t="shared" ref="C50:H50" ca="1" si="5">C49/$H$52</f>
        <v>5.7142857142857141E-2</v>
      </c>
      <c r="D50" s="2350">
        <f t="shared" ca="1" si="5"/>
        <v>0</v>
      </c>
      <c r="E50" s="2350">
        <f t="shared" ca="1" si="5"/>
        <v>5.7142857142857141E-2</v>
      </c>
      <c r="F50" s="2350">
        <f t="shared" ca="1" si="5"/>
        <v>2.8571428571428571E-2</v>
      </c>
      <c r="G50" s="2350">
        <f t="shared" ca="1" si="5"/>
        <v>0</v>
      </c>
      <c r="H50" s="2350">
        <f t="shared" ca="1" si="5"/>
        <v>0.14285714285714285</v>
      </c>
      <c r="I50" s="2350"/>
      <c r="K50" s="691"/>
    </row>
    <row r="51" spans="1:15" s="694" customFormat="1" x14ac:dyDescent="0.25">
      <c r="B51" s="2383" t="s">
        <v>150</v>
      </c>
      <c r="C51" s="2383">
        <f>C42+C49</f>
        <v>25</v>
      </c>
      <c r="D51" s="2383">
        <f t="shared" ref="D51:H51" si="6">D42+D49</f>
        <v>0</v>
      </c>
      <c r="E51" s="2383">
        <f t="shared" si="6"/>
        <v>7</v>
      </c>
      <c r="F51" s="2383">
        <f t="shared" si="6"/>
        <v>3</v>
      </c>
      <c r="G51" s="2383">
        <f t="shared" si="6"/>
        <v>0</v>
      </c>
      <c r="H51" s="2383">
        <f t="shared" si="6"/>
        <v>35</v>
      </c>
      <c r="I51" s="2384">
        <f ca="1">H51/$H$52</f>
        <v>1</v>
      </c>
      <c r="K51" s="691"/>
    </row>
    <row r="52" spans="1:15" s="694" customFormat="1" x14ac:dyDescent="0.25">
      <c r="B52" s="2144" t="s">
        <v>233</v>
      </c>
      <c r="C52" s="1305">
        <f t="shared" ref="C52:H52" ca="1" si="7">C51/$H$52</f>
        <v>0.7142857142857143</v>
      </c>
      <c r="D52" s="1305">
        <f t="shared" ca="1" si="7"/>
        <v>0</v>
      </c>
      <c r="E52" s="1305">
        <f t="shared" ca="1" si="7"/>
        <v>0.2</v>
      </c>
      <c r="F52" s="1305">
        <f t="shared" ca="1" si="7"/>
        <v>8.5714285714285715E-2</v>
      </c>
      <c r="G52" s="1305">
        <f t="shared" ca="1" si="7"/>
        <v>0</v>
      </c>
      <c r="H52" s="1305">
        <f t="shared" ca="1" si="7"/>
        <v>1</v>
      </c>
      <c r="I52" s="1286"/>
      <c r="K52" s="691"/>
    </row>
    <row r="53" spans="1:15" s="694" customFormat="1" x14ac:dyDescent="0.25">
      <c r="K53" s="691"/>
    </row>
    <row r="54" spans="1:15" s="694" customFormat="1" x14ac:dyDescent="0.25">
      <c r="C54" s="2340"/>
      <c r="D54" s="2340"/>
      <c r="E54" s="2340"/>
      <c r="F54" s="2340"/>
      <c r="K54" s="691"/>
    </row>
    <row r="55" spans="1:15" s="694" customFormat="1" x14ac:dyDescent="0.25">
      <c r="B55" s="1144" t="s">
        <v>3912</v>
      </c>
    </row>
    <row r="56" spans="1:15" x14ac:dyDescent="0.25">
      <c r="B56" s="4702" t="s">
        <v>3913</v>
      </c>
      <c r="C56" s="4693" t="s">
        <v>3914</v>
      </c>
      <c r="D56" s="4519" t="s">
        <v>3915</v>
      </c>
      <c r="E56" s="4519"/>
      <c r="F56" s="4519"/>
      <c r="G56" s="4519"/>
      <c r="H56" s="4519"/>
      <c r="I56" s="4519"/>
      <c r="J56" s="4519"/>
      <c r="K56" s="2370" t="s">
        <v>3916</v>
      </c>
      <c r="L56" s="2370"/>
      <c r="M56" s="2370"/>
      <c r="N56" s="4693" t="s">
        <v>384</v>
      </c>
      <c r="O56" s="4694" t="s">
        <v>0</v>
      </c>
    </row>
    <row r="57" spans="1:15" x14ac:dyDescent="0.25">
      <c r="B57" s="4707"/>
      <c r="C57" s="4523"/>
      <c r="D57" s="4515" t="s">
        <v>3917</v>
      </c>
      <c r="E57" s="4515"/>
      <c r="F57" s="2371"/>
      <c r="G57" s="2371"/>
      <c r="H57" s="2371"/>
      <c r="I57" s="2371"/>
      <c r="J57" s="2371"/>
      <c r="K57" s="1749" t="s">
        <v>3918</v>
      </c>
      <c r="L57" s="2371"/>
      <c r="M57" s="2371"/>
      <c r="N57" s="4523"/>
      <c r="O57" s="4708"/>
    </row>
    <row r="58" spans="1:15" x14ac:dyDescent="0.25">
      <c r="B58" s="4707"/>
      <c r="C58" s="4523"/>
      <c r="D58" s="4515" t="s">
        <v>3919</v>
      </c>
      <c r="E58" s="4515"/>
      <c r="F58" s="1749" t="s">
        <v>3920</v>
      </c>
      <c r="G58" s="2371"/>
      <c r="H58" s="2371"/>
      <c r="I58" s="2371"/>
      <c r="J58" s="2371" t="s">
        <v>3921</v>
      </c>
      <c r="K58" s="2371"/>
      <c r="L58" s="2371"/>
      <c r="M58" s="2371"/>
      <c r="N58" s="4523"/>
      <c r="O58" s="4708"/>
    </row>
    <row r="59" spans="1:15" ht="27" x14ac:dyDescent="0.25">
      <c r="B59" s="4872"/>
      <c r="C59" s="4873"/>
      <c r="D59" s="1754" t="s">
        <v>3922</v>
      </c>
      <c r="E59" s="1754"/>
      <c r="F59" s="1754"/>
      <c r="G59" s="1754" t="s">
        <v>3923</v>
      </c>
      <c r="H59" s="1754" t="s">
        <v>3924</v>
      </c>
      <c r="I59" s="1754" t="s">
        <v>3925</v>
      </c>
      <c r="J59" s="1754" t="s">
        <v>3926</v>
      </c>
      <c r="K59" s="1754" t="s">
        <v>3927</v>
      </c>
      <c r="L59" s="1754" t="s">
        <v>3928</v>
      </c>
      <c r="M59" s="1754" t="s">
        <v>3929</v>
      </c>
      <c r="N59" s="4873"/>
      <c r="O59" s="4874"/>
    </row>
    <row r="60" spans="1:15" s="694" customFormat="1" x14ac:dyDescent="0.25">
      <c r="B60" s="2389" t="s">
        <v>3930</v>
      </c>
      <c r="C60" s="2397">
        <f>SUM(C62:C73)</f>
        <v>23</v>
      </c>
      <c r="D60" s="2390"/>
      <c r="E60" s="2390"/>
      <c r="F60" s="2390"/>
      <c r="G60" s="2391"/>
      <c r="H60" s="2391"/>
      <c r="I60" s="2391"/>
      <c r="J60" s="2390"/>
      <c r="K60" s="2390"/>
      <c r="L60" s="2390"/>
      <c r="M60" s="2390"/>
      <c r="N60" s="2390"/>
      <c r="O60" s="2392"/>
    </row>
    <row r="61" spans="1:15" s="694" customFormat="1" x14ac:dyDescent="0.25">
      <c r="B61" s="2357" t="s">
        <v>3931</v>
      </c>
      <c r="C61" s="589">
        <v>0</v>
      </c>
      <c r="D61" s="2357">
        <v>0</v>
      </c>
      <c r="E61" s="2357">
        <v>0</v>
      </c>
      <c r="F61" s="2357">
        <v>0</v>
      </c>
      <c r="G61" s="1282">
        <v>0</v>
      </c>
      <c r="H61" s="1282"/>
      <c r="I61" s="1282"/>
      <c r="J61" s="2357">
        <v>0</v>
      </c>
      <c r="K61" s="2357">
        <v>0</v>
      </c>
      <c r="L61" s="2357">
        <v>0</v>
      </c>
      <c r="M61" s="2357">
        <v>0</v>
      </c>
      <c r="N61" s="2357">
        <f>((D61+E61+H61+I61+J61+F61+G61)*12)+K61+L61+M61</f>
        <v>0</v>
      </c>
      <c r="O61" s="2357">
        <f>N61*C61</f>
        <v>0</v>
      </c>
    </row>
    <row r="62" spans="1:15" x14ac:dyDescent="0.25">
      <c r="A62" s="2341"/>
      <c r="B62" s="2358" t="s">
        <v>3932</v>
      </c>
      <c r="C62" s="2359">
        <f>+C7</f>
        <v>3</v>
      </c>
      <c r="D62" s="2357">
        <v>3266.25</v>
      </c>
      <c r="E62" s="2357">
        <v>1758.75</v>
      </c>
      <c r="F62" s="2357">
        <v>674.5</v>
      </c>
      <c r="G62" s="1282">
        <v>1270</v>
      </c>
      <c r="H62" s="1282"/>
      <c r="I62" s="1282"/>
      <c r="J62" s="2357">
        <v>293.95999999999998</v>
      </c>
      <c r="K62" s="2357">
        <v>400</v>
      </c>
      <c r="L62" s="2357">
        <v>300</v>
      </c>
      <c r="M62" s="2357">
        <v>300</v>
      </c>
      <c r="N62" s="2357">
        <f>((D62+E62+H62+I62+J62+F62+G62)*12)+K62+L62+M62</f>
        <v>88161.52</v>
      </c>
      <c r="O62" s="2357">
        <f>N62*C62</f>
        <v>264484.56</v>
      </c>
    </row>
    <row r="63" spans="1:15" x14ac:dyDescent="0.25">
      <c r="A63" s="2341"/>
      <c r="B63" s="2358" t="s">
        <v>3933</v>
      </c>
      <c r="C63" s="2359">
        <v>0</v>
      </c>
      <c r="D63" s="2357">
        <v>0</v>
      </c>
      <c r="E63" s="2357">
        <v>0</v>
      </c>
      <c r="F63" s="2357">
        <v>0</v>
      </c>
      <c r="G63" s="1282">
        <v>0</v>
      </c>
      <c r="H63" s="1282"/>
      <c r="I63" s="1282"/>
      <c r="J63" s="2357"/>
      <c r="K63" s="2357">
        <v>0</v>
      </c>
      <c r="L63" s="2357">
        <v>0</v>
      </c>
      <c r="M63" s="2357">
        <v>0</v>
      </c>
      <c r="N63" s="2357">
        <f t="shared" ref="N63:N73" si="8">((D63+E63+H63+I63+J63+F63+G63)*12)+K63+L63+M63</f>
        <v>0</v>
      </c>
      <c r="O63" s="2357">
        <f>N63*C63</f>
        <v>0</v>
      </c>
    </row>
    <row r="64" spans="1:15" x14ac:dyDescent="0.25">
      <c r="A64" s="2341"/>
      <c r="B64" s="2358" t="s">
        <v>3934</v>
      </c>
      <c r="C64" s="2359">
        <v>2</v>
      </c>
      <c r="D64" s="2357">
        <v>1747.85</v>
      </c>
      <c r="E64" s="2357">
        <v>941.15</v>
      </c>
      <c r="F64" s="2357">
        <v>709.46</v>
      </c>
      <c r="G64" s="1282"/>
      <c r="H64" s="1282">
        <v>730</v>
      </c>
      <c r="I64" s="1282"/>
      <c r="J64" s="2357">
        <v>157.31</v>
      </c>
      <c r="K64" s="2357">
        <v>400</v>
      </c>
      <c r="L64" s="2357">
        <v>300</v>
      </c>
      <c r="M64" s="2357">
        <v>300</v>
      </c>
      <c r="N64" s="2357">
        <f t="shared" si="8"/>
        <v>52429.240000000005</v>
      </c>
      <c r="O64" s="2357">
        <f t="shared" ref="O64:O77" si="9">N64*C64</f>
        <v>104858.48000000001</v>
      </c>
    </row>
    <row r="65" spans="1:24" x14ac:dyDescent="0.25">
      <c r="A65" s="2341"/>
      <c r="B65" s="2358" t="s">
        <v>3935</v>
      </c>
      <c r="C65" s="2359">
        <v>5</v>
      </c>
      <c r="D65" s="2357">
        <v>1747.85</v>
      </c>
      <c r="E65" s="2357">
        <v>941.15</v>
      </c>
      <c r="F65" s="2357">
        <v>818.08</v>
      </c>
      <c r="G65" s="1282"/>
      <c r="H65" s="1282">
        <v>730</v>
      </c>
      <c r="I65" s="1282"/>
      <c r="J65" s="2357">
        <v>157.31</v>
      </c>
      <c r="K65" s="2357">
        <v>400</v>
      </c>
      <c r="L65" s="2357">
        <v>300</v>
      </c>
      <c r="M65" s="2357">
        <v>300</v>
      </c>
      <c r="N65" s="2357">
        <f t="shared" si="8"/>
        <v>53732.680000000008</v>
      </c>
      <c r="O65" s="2357">
        <f t="shared" si="9"/>
        <v>268663.40000000002</v>
      </c>
    </row>
    <row r="66" spans="1:24" x14ac:dyDescent="0.25">
      <c r="A66" s="2341"/>
      <c r="B66" s="2358" t="s">
        <v>3936</v>
      </c>
      <c r="C66" s="2359">
        <f>+C11</f>
        <v>0</v>
      </c>
      <c r="D66" s="2357">
        <v>0</v>
      </c>
      <c r="E66" s="2357">
        <v>0</v>
      </c>
      <c r="F66" s="2357">
        <v>0</v>
      </c>
      <c r="G66" s="1282"/>
      <c r="H66" s="1282">
        <v>0</v>
      </c>
      <c r="I66" s="1282"/>
      <c r="J66" s="2357">
        <v>0</v>
      </c>
      <c r="K66" s="2357">
        <v>0</v>
      </c>
      <c r="L66" s="2357">
        <v>0</v>
      </c>
      <c r="M66" s="2357">
        <v>0</v>
      </c>
      <c r="N66" s="2357">
        <f t="shared" si="8"/>
        <v>0</v>
      </c>
      <c r="O66" s="2357">
        <f t="shared" si="9"/>
        <v>0</v>
      </c>
    </row>
    <row r="67" spans="1:24" x14ac:dyDescent="0.25">
      <c r="A67" s="2341"/>
      <c r="B67" s="2358" t="s">
        <v>3937</v>
      </c>
      <c r="C67" s="2359">
        <v>1</v>
      </c>
      <c r="D67" s="2357">
        <v>1747.85</v>
      </c>
      <c r="E67" s="2357">
        <v>941.15</v>
      </c>
      <c r="F67" s="2357">
        <v>409.04</v>
      </c>
      <c r="G67" s="1282"/>
      <c r="H67" s="1282">
        <v>730</v>
      </c>
      <c r="I67" s="1282"/>
      <c r="J67" s="2357">
        <v>157.31</v>
      </c>
      <c r="K67" s="2357">
        <v>400</v>
      </c>
      <c r="L67" s="2357">
        <v>300</v>
      </c>
      <c r="M67" s="2357">
        <v>300</v>
      </c>
      <c r="N67" s="2357">
        <f t="shared" si="8"/>
        <v>48824.2</v>
      </c>
      <c r="O67" s="2357">
        <f t="shared" si="9"/>
        <v>48824.2</v>
      </c>
    </row>
    <row r="68" spans="1:24" x14ac:dyDescent="0.25">
      <c r="A68" s="2341"/>
      <c r="B68" s="2358" t="s">
        <v>3938</v>
      </c>
      <c r="C68" s="2359">
        <v>1</v>
      </c>
      <c r="D68" s="2357">
        <v>1747.85</v>
      </c>
      <c r="E68" s="2357">
        <v>941.15</v>
      </c>
      <c r="F68" s="2357">
        <v>709.46</v>
      </c>
      <c r="G68" s="1282"/>
      <c r="H68" s="1282">
        <v>730</v>
      </c>
      <c r="I68" s="1282"/>
      <c r="J68" s="2357">
        <v>157.31</v>
      </c>
      <c r="K68" s="2357">
        <v>400</v>
      </c>
      <c r="L68" s="2357">
        <v>300</v>
      </c>
      <c r="M68" s="2357">
        <v>300</v>
      </c>
      <c r="N68" s="2357">
        <f t="shared" si="8"/>
        <v>52429.240000000005</v>
      </c>
      <c r="O68" s="2357">
        <f t="shared" si="9"/>
        <v>52429.240000000005</v>
      </c>
    </row>
    <row r="69" spans="1:24" x14ac:dyDescent="0.25">
      <c r="A69" s="2341"/>
      <c r="B69" s="2358" t="s">
        <v>3939</v>
      </c>
      <c r="C69" s="2359">
        <f>+C14</f>
        <v>0</v>
      </c>
      <c r="D69" s="2357">
        <v>0</v>
      </c>
      <c r="E69" s="2357">
        <v>0</v>
      </c>
      <c r="F69" s="2357">
        <v>0</v>
      </c>
      <c r="G69" s="1282"/>
      <c r="H69" s="1282">
        <v>0</v>
      </c>
      <c r="I69" s="1282"/>
      <c r="J69" s="2357">
        <v>0</v>
      </c>
      <c r="K69" s="2357">
        <v>0</v>
      </c>
      <c r="L69" s="2357">
        <v>0</v>
      </c>
      <c r="M69" s="2357">
        <v>0</v>
      </c>
      <c r="N69" s="2357">
        <f>((D69+E69+H69+I69+J69+F69+G69)*12)+K69+L69+M69</f>
        <v>0</v>
      </c>
      <c r="O69" s="2357">
        <f t="shared" si="9"/>
        <v>0</v>
      </c>
      <c r="V69" s="2053"/>
      <c r="W69" s="2053"/>
      <c r="X69" s="2053"/>
    </row>
    <row r="70" spans="1:24" x14ac:dyDescent="0.25">
      <c r="A70" s="2341"/>
      <c r="B70" s="2358" t="s">
        <v>3940</v>
      </c>
      <c r="C70" s="2359">
        <f>+C15</f>
        <v>0</v>
      </c>
      <c r="D70" s="2357">
        <v>0</v>
      </c>
      <c r="E70" s="2357">
        <v>0</v>
      </c>
      <c r="F70" s="2357">
        <v>0</v>
      </c>
      <c r="G70" s="1282"/>
      <c r="H70" s="1282">
        <v>0</v>
      </c>
      <c r="I70" s="1282"/>
      <c r="J70" s="2357">
        <v>0</v>
      </c>
      <c r="K70" s="2357">
        <v>0</v>
      </c>
      <c r="L70" s="2357">
        <v>0</v>
      </c>
      <c r="M70" s="2357">
        <v>0</v>
      </c>
      <c r="N70" s="2357">
        <f>((D70+E70+H70+I70+J70+F70+G70)*12)+K70+L70+M70</f>
        <v>0</v>
      </c>
      <c r="O70" s="2357">
        <f t="shared" si="9"/>
        <v>0</v>
      </c>
      <c r="V70" s="2053"/>
      <c r="W70" s="2053"/>
      <c r="X70" s="2053"/>
    </row>
    <row r="71" spans="1:24" x14ac:dyDescent="0.25">
      <c r="A71" s="2341"/>
      <c r="B71" s="2358" t="s">
        <v>3941</v>
      </c>
      <c r="C71" s="2359">
        <v>10</v>
      </c>
      <c r="D71" s="2357">
        <v>1233.7</v>
      </c>
      <c r="E71" s="2357">
        <v>664.3</v>
      </c>
      <c r="F71" s="2357">
        <v>274.47000000000003</v>
      </c>
      <c r="G71" s="1282"/>
      <c r="H71" s="1282">
        <v>410</v>
      </c>
      <c r="I71" s="1282">
        <v>158</v>
      </c>
      <c r="J71" s="2357">
        <v>111.03</v>
      </c>
      <c r="K71" s="2357">
        <v>400</v>
      </c>
      <c r="L71" s="2357">
        <v>300</v>
      </c>
      <c r="M71" s="2357">
        <v>300</v>
      </c>
      <c r="N71" s="2357">
        <f t="shared" si="8"/>
        <v>35218</v>
      </c>
      <c r="O71" s="2357">
        <f>N71*C71</f>
        <v>352180</v>
      </c>
      <c r="V71" s="2053"/>
      <c r="W71" s="2053"/>
      <c r="X71" s="2053"/>
    </row>
    <row r="72" spans="1:24" x14ac:dyDescent="0.25">
      <c r="A72" s="2341"/>
      <c r="B72" s="2358" t="s">
        <v>3942</v>
      </c>
      <c r="C72" s="2359">
        <f>+C18</f>
        <v>0</v>
      </c>
      <c r="D72" s="2357">
        <v>0</v>
      </c>
      <c r="E72" s="2357">
        <v>0</v>
      </c>
      <c r="F72" s="2357">
        <v>0</v>
      </c>
      <c r="G72" s="1282"/>
      <c r="H72" s="1282">
        <v>0</v>
      </c>
      <c r="I72" s="1282">
        <v>0</v>
      </c>
      <c r="J72" s="2357">
        <v>0</v>
      </c>
      <c r="K72" s="2357">
        <v>0</v>
      </c>
      <c r="L72" s="2357">
        <v>0</v>
      </c>
      <c r="M72" s="2357">
        <v>0</v>
      </c>
      <c r="N72" s="2357">
        <f t="shared" si="8"/>
        <v>0</v>
      </c>
      <c r="O72" s="2357">
        <f>N72*C72</f>
        <v>0</v>
      </c>
      <c r="V72" s="2053"/>
      <c r="W72" s="2053"/>
      <c r="X72" s="2053"/>
    </row>
    <row r="73" spans="1:24" x14ac:dyDescent="0.25">
      <c r="A73" s="2341"/>
      <c r="B73" s="2358" t="s">
        <v>3943</v>
      </c>
      <c r="C73" s="2359">
        <v>1</v>
      </c>
      <c r="D73" s="2360">
        <v>1233.7</v>
      </c>
      <c r="E73" s="2360">
        <v>664.3</v>
      </c>
      <c r="F73" s="2360">
        <v>302.25</v>
      </c>
      <c r="G73" s="2361"/>
      <c r="H73" s="2362">
        <v>410</v>
      </c>
      <c r="I73" s="1282">
        <v>158</v>
      </c>
      <c r="J73" s="2360">
        <v>111.03</v>
      </c>
      <c r="K73" s="2357">
        <v>400</v>
      </c>
      <c r="L73" s="2357">
        <v>300</v>
      </c>
      <c r="M73" s="2357">
        <v>300</v>
      </c>
      <c r="N73" s="2357">
        <f t="shared" si="8"/>
        <v>35551.360000000001</v>
      </c>
      <c r="O73" s="2357">
        <f>N73*C73</f>
        <v>35551.360000000001</v>
      </c>
      <c r="V73" s="2053"/>
      <c r="W73" s="2053"/>
      <c r="X73" s="2053"/>
    </row>
    <row r="74" spans="1:24" s="1751" customFormat="1" x14ac:dyDescent="0.25">
      <c r="A74" s="2341"/>
      <c r="B74" s="2389" t="s">
        <v>3944</v>
      </c>
      <c r="C74" s="2398">
        <f>SUM(C75:C77)</f>
        <v>2</v>
      </c>
      <c r="D74" s="2169"/>
      <c r="E74" s="2169"/>
      <c r="F74" s="2169"/>
      <c r="G74" s="2169"/>
      <c r="H74" s="2169"/>
      <c r="I74" s="2169"/>
      <c r="J74" s="2169"/>
      <c r="K74" s="2169"/>
      <c r="L74" s="2169"/>
      <c r="M74" s="2169"/>
      <c r="N74" s="2169"/>
      <c r="O74" s="2393"/>
      <c r="V74" s="2352"/>
      <c r="W74" s="2352"/>
      <c r="X74" s="2352"/>
    </row>
    <row r="75" spans="1:24" x14ac:dyDescent="0.25">
      <c r="B75" s="2358" t="s">
        <v>3945</v>
      </c>
      <c r="C75" s="2359">
        <v>0</v>
      </c>
      <c r="D75" s="2357">
        <v>0</v>
      </c>
      <c r="E75" s="2357">
        <v>0</v>
      </c>
      <c r="F75" s="2357">
        <v>0</v>
      </c>
      <c r="G75" s="1282"/>
      <c r="H75" s="1282"/>
      <c r="I75" s="1282">
        <v>0</v>
      </c>
      <c r="J75" s="2357">
        <v>0</v>
      </c>
      <c r="K75" s="2357">
        <v>0</v>
      </c>
      <c r="L75" s="2357">
        <v>0</v>
      </c>
      <c r="M75" s="2357">
        <v>0</v>
      </c>
      <c r="N75" s="2357">
        <f>((D75+E75+H75+I75+J75+F75+G75)*12)+K75+L75+M75</f>
        <v>0</v>
      </c>
      <c r="O75" s="2357">
        <f t="shared" si="9"/>
        <v>0</v>
      </c>
    </row>
    <row r="76" spans="1:24" x14ac:dyDescent="0.25">
      <c r="B76" s="2358" t="s">
        <v>3946</v>
      </c>
      <c r="C76" s="2359">
        <v>1</v>
      </c>
      <c r="D76" s="2357">
        <v>1203</v>
      </c>
      <c r="E76" s="2357">
        <v>648</v>
      </c>
      <c r="F76" s="2357">
        <v>347</v>
      </c>
      <c r="G76" s="1282"/>
      <c r="H76" s="1282"/>
      <c r="I76" s="1282">
        <v>158</v>
      </c>
      <c r="J76" s="2357">
        <v>108</v>
      </c>
      <c r="K76" s="2357">
        <v>400</v>
      </c>
      <c r="L76" s="2357">
        <v>300</v>
      </c>
      <c r="M76" s="2357">
        <v>300</v>
      </c>
      <c r="N76" s="2357">
        <f>((D76+E76+H76+I76+J76+F76+G76)*12)+K76+L76+M76</f>
        <v>30568</v>
      </c>
      <c r="O76" s="2357">
        <f>N76*C76</f>
        <v>30568</v>
      </c>
    </row>
    <row r="77" spans="1:24" x14ac:dyDescent="0.25">
      <c r="B77" s="2358" t="s">
        <v>3947</v>
      </c>
      <c r="C77" s="2359">
        <v>1</v>
      </c>
      <c r="D77" s="2357">
        <v>1214</v>
      </c>
      <c r="E77" s="2357">
        <v>654</v>
      </c>
      <c r="F77" s="2357">
        <v>383</v>
      </c>
      <c r="G77" s="1282"/>
      <c r="H77" s="1282"/>
      <c r="I77" s="1282">
        <v>158</v>
      </c>
      <c r="J77" s="2357">
        <v>108</v>
      </c>
      <c r="K77" s="2357">
        <v>400</v>
      </c>
      <c r="L77" s="2357">
        <v>300</v>
      </c>
      <c r="M77" s="2357">
        <v>300</v>
      </c>
      <c r="N77" s="2357">
        <f>((D77+E77+H77+I77+J77+F77+G77)*12)+K77+L77+M77</f>
        <v>31204</v>
      </c>
      <c r="O77" s="2357">
        <f t="shared" si="9"/>
        <v>31204</v>
      </c>
    </row>
    <row r="78" spans="1:24" x14ac:dyDescent="0.25">
      <c r="B78" s="2394" t="s">
        <v>0</v>
      </c>
      <c r="C78" s="2395">
        <f>+C60+C74</f>
        <v>25</v>
      </c>
      <c r="D78" s="2394">
        <f>SUM(D60:D77)</f>
        <v>15142.050000000003</v>
      </c>
      <c r="E78" s="2394">
        <f t="shared" ref="E78:O78" si="10">SUM(E60:E77)</f>
        <v>8153.95</v>
      </c>
      <c r="F78" s="2394">
        <f t="shared" si="10"/>
        <v>4627.26</v>
      </c>
      <c r="G78" s="2396">
        <f t="shared" si="10"/>
        <v>1270</v>
      </c>
      <c r="H78" s="2396">
        <f t="shared" si="10"/>
        <v>3740</v>
      </c>
      <c r="I78" s="2396">
        <f t="shared" si="10"/>
        <v>632</v>
      </c>
      <c r="J78" s="2394">
        <f t="shared" si="10"/>
        <v>1361.2599999999998</v>
      </c>
      <c r="K78" s="2394">
        <f t="shared" si="10"/>
        <v>3600</v>
      </c>
      <c r="L78" s="2394">
        <f t="shared" si="10"/>
        <v>2700</v>
      </c>
      <c r="M78" s="2394">
        <f t="shared" si="10"/>
        <v>2700</v>
      </c>
      <c r="N78" s="2394">
        <f t="shared" si="10"/>
        <v>428118.24</v>
      </c>
      <c r="O78" s="2394">
        <f t="shared" si="10"/>
        <v>1188763.24</v>
      </c>
    </row>
    <row r="80" spans="1:24" x14ac:dyDescent="0.25">
      <c r="C80" s="1296"/>
    </row>
    <row r="81" spans="2:9" x14ac:dyDescent="0.25">
      <c r="B81" s="1144" t="s">
        <v>3948</v>
      </c>
    </row>
    <row r="82" spans="2:9" x14ac:dyDescent="0.25">
      <c r="B82" s="4702" t="s">
        <v>3913</v>
      </c>
      <c r="C82" s="4693" t="s">
        <v>3914</v>
      </c>
      <c r="D82" s="2370" t="s">
        <v>3915</v>
      </c>
      <c r="E82" s="2370"/>
      <c r="F82" s="2370" t="s">
        <v>3916</v>
      </c>
      <c r="G82" s="2370"/>
      <c r="H82" s="4693" t="s">
        <v>384</v>
      </c>
      <c r="I82" s="4694" t="s">
        <v>3949</v>
      </c>
    </row>
    <row r="83" spans="2:9" x14ac:dyDescent="0.25">
      <c r="B83" s="4707"/>
      <c r="C83" s="4523"/>
      <c r="D83" s="2371" t="s">
        <v>3917</v>
      </c>
      <c r="E83" s="2371"/>
      <c r="F83" s="2371" t="s">
        <v>3918</v>
      </c>
      <c r="G83" s="2371"/>
      <c r="H83" s="4523"/>
      <c r="I83" s="4708"/>
    </row>
    <row r="84" spans="2:9" x14ac:dyDescent="0.25">
      <c r="B84" s="4707"/>
      <c r="C84" s="4523"/>
      <c r="D84" s="2371" t="s">
        <v>3919</v>
      </c>
      <c r="E84" s="2371" t="s">
        <v>3921</v>
      </c>
      <c r="F84" s="2371"/>
      <c r="G84" s="2371"/>
      <c r="H84" s="4523"/>
      <c r="I84" s="4708"/>
    </row>
    <row r="85" spans="2:9" ht="27" x14ac:dyDescent="0.25">
      <c r="B85" s="4872"/>
      <c r="C85" s="4873"/>
      <c r="D85" s="1754" t="s">
        <v>3922</v>
      </c>
      <c r="E85" s="1754" t="s">
        <v>3926</v>
      </c>
      <c r="F85" s="1754" t="s">
        <v>3929</v>
      </c>
      <c r="G85" s="1754" t="s">
        <v>3928</v>
      </c>
      <c r="H85" s="4873"/>
      <c r="I85" s="4874"/>
    </row>
    <row r="86" spans="2:9" x14ac:dyDescent="0.25">
      <c r="B86" s="2389" t="s">
        <v>3930</v>
      </c>
      <c r="C86" s="2392">
        <f>SUM(C87:C96)</f>
        <v>5</v>
      </c>
      <c r="D86" s="2151"/>
      <c r="E86" s="2151"/>
      <c r="F86" s="2151"/>
      <c r="G86" s="2151"/>
      <c r="H86" s="2383"/>
      <c r="I86" s="2383"/>
    </row>
    <row r="87" spans="2:9" x14ac:dyDescent="0.25">
      <c r="B87" s="2358" t="s">
        <v>3932</v>
      </c>
      <c r="C87" s="589">
        <f>+D7</f>
        <v>0</v>
      </c>
      <c r="D87" s="2357">
        <v>0</v>
      </c>
      <c r="E87" s="2357">
        <v>0</v>
      </c>
      <c r="F87" s="2357">
        <v>0</v>
      </c>
      <c r="G87" s="2357">
        <v>0</v>
      </c>
      <c r="H87" s="2357">
        <f t="shared" ref="H87:H96" si="11">((D87+E87)*12)+F87+G87</f>
        <v>0</v>
      </c>
      <c r="I87" s="2357">
        <f t="shared" ref="I87:I96" si="12">H87*C87</f>
        <v>0</v>
      </c>
    </row>
    <row r="88" spans="2:9" x14ac:dyDescent="0.25">
      <c r="B88" s="2358" t="s">
        <v>3933</v>
      </c>
      <c r="C88" s="589">
        <f>+D8</f>
        <v>0</v>
      </c>
      <c r="D88" s="2357">
        <v>0</v>
      </c>
      <c r="E88" s="2357">
        <v>0</v>
      </c>
      <c r="F88" s="2357">
        <v>0</v>
      </c>
      <c r="G88" s="2357">
        <v>0</v>
      </c>
      <c r="H88" s="2357">
        <f t="shared" si="11"/>
        <v>0</v>
      </c>
      <c r="I88" s="2357">
        <f t="shared" si="12"/>
        <v>0</v>
      </c>
    </row>
    <row r="89" spans="2:9" x14ac:dyDescent="0.25">
      <c r="B89" s="2358" t="s">
        <v>3934</v>
      </c>
      <c r="C89" s="589">
        <f>+D9+G9</f>
        <v>0</v>
      </c>
      <c r="D89" s="2357">
        <v>0</v>
      </c>
      <c r="E89" s="2357">
        <v>0</v>
      </c>
      <c r="F89" s="2357">
        <v>0</v>
      </c>
      <c r="G89" s="2357">
        <v>0</v>
      </c>
      <c r="H89" s="2357">
        <f t="shared" si="11"/>
        <v>0</v>
      </c>
      <c r="I89" s="2357">
        <f t="shared" si="12"/>
        <v>0</v>
      </c>
    </row>
    <row r="90" spans="2:9" x14ac:dyDescent="0.25">
      <c r="B90" s="2358" t="s">
        <v>3935</v>
      </c>
      <c r="C90" s="589">
        <v>2</v>
      </c>
      <c r="D90" s="2357">
        <v>2000</v>
      </c>
      <c r="E90" s="2357">
        <v>109.35</v>
      </c>
      <c r="F90" s="2357">
        <v>300</v>
      </c>
      <c r="G90" s="2357">
        <v>300</v>
      </c>
      <c r="H90" s="2357">
        <f t="shared" si="11"/>
        <v>25912.199999999997</v>
      </c>
      <c r="I90" s="2357">
        <f t="shared" si="12"/>
        <v>51824.399999999994</v>
      </c>
    </row>
    <row r="91" spans="2:9" x14ac:dyDescent="0.25">
      <c r="B91" s="2358" t="s">
        <v>3936</v>
      </c>
      <c r="C91" s="589">
        <v>1</v>
      </c>
      <c r="D91" s="2357">
        <v>2000</v>
      </c>
      <c r="E91" s="2357">
        <v>109.35</v>
      </c>
      <c r="F91" s="2357">
        <v>300</v>
      </c>
      <c r="G91" s="2357">
        <v>300</v>
      </c>
      <c r="H91" s="2357">
        <f t="shared" si="11"/>
        <v>25912.199999999997</v>
      </c>
      <c r="I91" s="2357">
        <f t="shared" si="12"/>
        <v>25912.199999999997</v>
      </c>
    </row>
    <row r="92" spans="2:9" x14ac:dyDescent="0.25">
      <c r="B92" s="2358" t="s">
        <v>3937</v>
      </c>
      <c r="C92" s="589">
        <v>2</v>
      </c>
      <c r="D92" s="2357">
        <v>2000</v>
      </c>
      <c r="E92" s="2357">
        <v>109.35</v>
      </c>
      <c r="F92" s="2357">
        <v>300</v>
      </c>
      <c r="G92" s="2357">
        <v>300</v>
      </c>
      <c r="H92" s="2357">
        <f t="shared" si="11"/>
        <v>25912.199999999997</v>
      </c>
      <c r="I92" s="2357">
        <f t="shared" si="12"/>
        <v>51824.399999999994</v>
      </c>
    </row>
    <row r="93" spans="2:9" x14ac:dyDescent="0.25">
      <c r="B93" s="2358" t="s">
        <v>3938</v>
      </c>
      <c r="C93" s="589">
        <f>+D13</f>
        <v>0</v>
      </c>
      <c r="D93" s="2357">
        <v>0</v>
      </c>
      <c r="E93" s="2357">
        <v>0</v>
      </c>
      <c r="F93" s="2357">
        <v>0</v>
      </c>
      <c r="G93" s="2357">
        <v>0</v>
      </c>
      <c r="H93" s="2357">
        <f t="shared" si="11"/>
        <v>0</v>
      </c>
      <c r="I93" s="2357">
        <f t="shared" si="12"/>
        <v>0</v>
      </c>
    </row>
    <row r="94" spans="2:9" x14ac:dyDescent="0.25">
      <c r="B94" s="2358" t="s">
        <v>3950</v>
      </c>
      <c r="C94" s="589">
        <f>+D15</f>
        <v>0</v>
      </c>
      <c r="D94" s="2357">
        <v>0</v>
      </c>
      <c r="E94" s="2357">
        <v>0</v>
      </c>
      <c r="F94" s="2357">
        <v>0</v>
      </c>
      <c r="G94" s="2357">
        <v>0</v>
      </c>
      <c r="H94" s="2357">
        <f t="shared" si="11"/>
        <v>0</v>
      </c>
      <c r="I94" s="2357">
        <f t="shared" si="12"/>
        <v>0</v>
      </c>
    </row>
    <row r="95" spans="2:9" x14ac:dyDescent="0.25">
      <c r="B95" s="2358" t="s">
        <v>3941</v>
      </c>
      <c r="C95" s="589">
        <f>+D16</f>
        <v>0</v>
      </c>
      <c r="D95" s="2357">
        <v>0</v>
      </c>
      <c r="E95" s="2357">
        <v>0</v>
      </c>
      <c r="F95" s="2357">
        <v>0</v>
      </c>
      <c r="G95" s="2357">
        <v>0</v>
      </c>
      <c r="H95" s="2357">
        <f t="shared" si="11"/>
        <v>0</v>
      </c>
      <c r="I95" s="2357">
        <f t="shared" si="12"/>
        <v>0</v>
      </c>
    </row>
    <row r="96" spans="2:9" x14ac:dyDescent="0.25">
      <c r="B96" s="2358" t="s">
        <v>3951</v>
      </c>
      <c r="C96" s="589">
        <f>+D19</f>
        <v>0</v>
      </c>
      <c r="D96" s="2357">
        <v>0</v>
      </c>
      <c r="E96" s="2357">
        <v>0</v>
      </c>
      <c r="F96" s="2357">
        <v>0</v>
      </c>
      <c r="G96" s="2357">
        <v>0</v>
      </c>
      <c r="H96" s="2357">
        <f t="shared" si="11"/>
        <v>0</v>
      </c>
      <c r="I96" s="2357">
        <f t="shared" si="12"/>
        <v>0</v>
      </c>
    </row>
    <row r="97" spans="1:15" x14ac:dyDescent="0.25">
      <c r="B97" s="2389" t="s">
        <v>3944</v>
      </c>
      <c r="C97" s="2392">
        <f>SUM(C98:C100)</f>
        <v>2</v>
      </c>
      <c r="D97" s="2151"/>
      <c r="E97" s="2151"/>
      <c r="F97" s="2151"/>
      <c r="G97" s="2151"/>
      <c r="H97" s="2151"/>
      <c r="I97" s="2151"/>
    </row>
    <row r="98" spans="1:15" x14ac:dyDescent="0.25">
      <c r="B98" s="2358" t="s">
        <v>3945</v>
      </c>
      <c r="C98" s="589">
        <v>1</v>
      </c>
      <c r="D98" s="2357">
        <v>1200</v>
      </c>
      <c r="E98" s="2357">
        <v>112.05</v>
      </c>
      <c r="F98" s="2357">
        <v>300</v>
      </c>
      <c r="G98" s="2357">
        <v>300</v>
      </c>
      <c r="H98" s="2357">
        <f t="shared" ref="H98:H100" si="13">((D98+E98)*12)+F98+G98</f>
        <v>16344.599999999999</v>
      </c>
      <c r="I98" s="2357">
        <f t="shared" ref="I98:I100" si="14">H98*C98</f>
        <v>16344.599999999999</v>
      </c>
    </row>
    <row r="99" spans="1:15" x14ac:dyDescent="0.25">
      <c r="B99" s="2358" t="s">
        <v>3946</v>
      </c>
      <c r="C99" s="2359">
        <v>0</v>
      </c>
      <c r="D99" s="2357">
        <v>0</v>
      </c>
      <c r="E99" s="2357">
        <v>0</v>
      </c>
      <c r="F99" s="2357">
        <v>0</v>
      </c>
      <c r="G99" s="2357">
        <v>0</v>
      </c>
      <c r="H99" s="2357">
        <f>((D99+E99)*12)+F99+G99</f>
        <v>0</v>
      </c>
      <c r="I99" s="2357">
        <f>H99*C99</f>
        <v>0</v>
      </c>
      <c r="K99" s="1947"/>
      <c r="L99" s="1947"/>
      <c r="M99" s="1947"/>
      <c r="N99" s="1947"/>
      <c r="O99" s="1947"/>
    </row>
    <row r="100" spans="1:15" x14ac:dyDescent="0.25">
      <c r="B100" s="2358" t="s">
        <v>3947</v>
      </c>
      <c r="C100" s="589">
        <v>1</v>
      </c>
      <c r="D100" s="2357">
        <v>1200</v>
      </c>
      <c r="E100" s="2357">
        <v>108</v>
      </c>
      <c r="F100" s="2357">
        <v>300</v>
      </c>
      <c r="G100" s="2357">
        <v>300</v>
      </c>
      <c r="H100" s="2357">
        <f t="shared" si="13"/>
        <v>16296</v>
      </c>
      <c r="I100" s="2357">
        <f t="shared" si="14"/>
        <v>16296</v>
      </c>
    </row>
    <row r="101" spans="1:15" x14ac:dyDescent="0.25">
      <c r="B101" s="2399" t="s">
        <v>0</v>
      </c>
      <c r="C101" s="2400">
        <f>SUM(C86+C97)</f>
        <v>7</v>
      </c>
      <c r="D101" s="2399">
        <f t="shared" ref="D101:I101" si="15">SUM(D87:D100)</f>
        <v>8400</v>
      </c>
      <c r="E101" s="2399">
        <f t="shared" si="15"/>
        <v>548.09999999999991</v>
      </c>
      <c r="F101" s="2399">
        <f t="shared" si="15"/>
        <v>1500</v>
      </c>
      <c r="G101" s="2399">
        <f t="shared" si="15"/>
        <v>1500</v>
      </c>
      <c r="H101" s="2399">
        <f t="shared" si="15"/>
        <v>110377.19999999998</v>
      </c>
      <c r="I101" s="2399">
        <f t="shared" si="15"/>
        <v>162201.59999999998</v>
      </c>
    </row>
    <row r="102" spans="1:15" x14ac:dyDescent="0.25">
      <c r="B102" s="4875" t="s">
        <v>3952</v>
      </c>
      <c r="C102" s="4875"/>
      <c r="D102" s="4875"/>
      <c r="E102" s="2353"/>
      <c r="F102" s="2353"/>
      <c r="G102" s="2353"/>
      <c r="H102" s="2353"/>
      <c r="I102" s="2353"/>
      <c r="J102" s="2353"/>
      <c r="K102" s="2353"/>
    </row>
    <row r="103" spans="1:15" x14ac:dyDescent="0.25">
      <c r="B103" s="4876" t="s">
        <v>3953</v>
      </c>
      <c r="C103" s="4876"/>
      <c r="D103" s="4876"/>
      <c r="E103" s="4876"/>
      <c r="F103" s="4876"/>
      <c r="G103" s="4876"/>
      <c r="H103" s="4876"/>
      <c r="I103" s="4876"/>
      <c r="J103" s="4876"/>
      <c r="K103" s="4876"/>
    </row>
    <row r="104" spans="1:15" x14ac:dyDescent="0.25">
      <c r="B104" s="2353" t="s">
        <v>3954</v>
      </c>
      <c r="C104" s="2353"/>
      <c r="D104" s="2353"/>
      <c r="E104" s="2353"/>
      <c r="F104" s="2353"/>
      <c r="G104" s="2353"/>
      <c r="H104" s="2353"/>
      <c r="I104" s="2353"/>
      <c r="J104" s="2353"/>
      <c r="K104" s="2353"/>
    </row>
    <row r="105" spans="1:15" x14ac:dyDescent="0.25">
      <c r="B105" s="2353" t="s">
        <v>3955</v>
      </c>
      <c r="C105" s="2353"/>
      <c r="D105" s="2353"/>
      <c r="E105" s="2353"/>
      <c r="F105" s="2353"/>
      <c r="G105" s="2353"/>
      <c r="H105" s="2353"/>
      <c r="I105" s="2353"/>
      <c r="J105" s="2353"/>
      <c r="K105" s="2353"/>
    </row>
    <row r="106" spans="1:15" x14ac:dyDescent="0.25">
      <c r="B106" s="689"/>
    </row>
    <row r="107" spans="1:15" x14ac:dyDescent="0.25">
      <c r="B107" s="4702" t="s">
        <v>194</v>
      </c>
      <c r="C107" s="4693" t="s">
        <v>3956</v>
      </c>
      <c r="D107" s="4693" t="s">
        <v>3957</v>
      </c>
      <c r="E107" s="4693"/>
      <c r="F107" s="4694" t="s">
        <v>3958</v>
      </c>
    </row>
    <row r="108" spans="1:15" x14ac:dyDescent="0.25">
      <c r="B108" s="4872"/>
      <c r="C108" s="4873"/>
      <c r="D108" s="1754" t="s">
        <v>3959</v>
      </c>
      <c r="E108" s="1754" t="s">
        <v>256</v>
      </c>
      <c r="F108" s="4874"/>
    </row>
    <row r="109" spans="1:15" x14ac:dyDescent="0.25">
      <c r="B109" s="2168" t="s">
        <v>3960</v>
      </c>
      <c r="C109" s="2401"/>
      <c r="D109" s="2402"/>
      <c r="E109" s="2402"/>
      <c r="F109" s="2402"/>
    </row>
    <row r="110" spans="1:15" x14ac:dyDescent="0.25">
      <c r="A110" s="2354"/>
      <c r="B110" s="1282" t="str">
        <f>+B7</f>
        <v>Médico Cirujano General</v>
      </c>
      <c r="C110" s="1279">
        <f>C62+C87</f>
        <v>3</v>
      </c>
      <c r="D110" s="2363">
        <f>+O62</f>
        <v>264484.56</v>
      </c>
      <c r="E110" s="2363">
        <f t="shared" ref="E110:E117" si="16">+I87</f>
        <v>0</v>
      </c>
      <c r="F110" s="2363">
        <f>SUM(D110:E110)</f>
        <v>264484.56</v>
      </c>
      <c r="H110" s="2341"/>
      <c r="I110" s="2342"/>
    </row>
    <row r="111" spans="1:15" x14ac:dyDescent="0.25">
      <c r="A111" s="2354"/>
      <c r="B111" s="1282" t="s">
        <v>216</v>
      </c>
      <c r="C111" s="1279">
        <f>C64+C89</f>
        <v>2</v>
      </c>
      <c r="D111" s="2363">
        <f>+O64</f>
        <v>104858.48000000001</v>
      </c>
      <c r="E111" s="2363">
        <f>+I89</f>
        <v>0</v>
      </c>
      <c r="F111" s="2363">
        <f>SUM(D111:E111)</f>
        <v>104858.48000000001</v>
      </c>
      <c r="H111" s="2341"/>
      <c r="I111" s="2342"/>
    </row>
    <row r="112" spans="1:15" x14ac:dyDescent="0.25">
      <c r="A112" s="2354"/>
      <c r="B112" s="1282" t="s">
        <v>265</v>
      </c>
      <c r="C112" s="1279">
        <f>C65+C90</f>
        <v>7</v>
      </c>
      <c r="D112" s="2363">
        <f t="shared" ref="D112:D120" si="17">+O65</f>
        <v>268663.40000000002</v>
      </c>
      <c r="E112" s="2363">
        <f>+I90</f>
        <v>51824.399999999994</v>
      </c>
      <c r="F112" s="2363">
        <f t="shared" ref="F112:F120" si="18">SUM(D112:E112)</f>
        <v>320487.80000000005</v>
      </c>
      <c r="H112" s="2341"/>
      <c r="I112" s="2342"/>
    </row>
    <row r="113" spans="1:9" x14ac:dyDescent="0.25">
      <c r="A113" s="2354"/>
      <c r="B113" s="1282" t="s">
        <v>218</v>
      </c>
      <c r="C113" s="1279">
        <f>C66+C91</f>
        <v>1</v>
      </c>
      <c r="D113" s="2363">
        <f t="shared" si="17"/>
        <v>0</v>
      </c>
      <c r="E113" s="2363">
        <f>+I91</f>
        <v>25912.199999999997</v>
      </c>
      <c r="F113" s="2363">
        <f t="shared" si="18"/>
        <v>25912.199999999997</v>
      </c>
      <c r="H113" s="2341"/>
      <c r="I113" s="2342"/>
    </row>
    <row r="114" spans="1:9" x14ac:dyDescent="0.25">
      <c r="A114" s="2354"/>
      <c r="B114" s="1282" t="s">
        <v>353</v>
      </c>
      <c r="C114" s="1279">
        <f>C67+C92</f>
        <v>3</v>
      </c>
      <c r="D114" s="2363">
        <f t="shared" si="17"/>
        <v>48824.2</v>
      </c>
      <c r="E114" s="2363">
        <f>+I92</f>
        <v>51824.399999999994</v>
      </c>
      <c r="F114" s="2363">
        <f t="shared" si="18"/>
        <v>100648.59999999999</v>
      </c>
      <c r="H114" s="2341"/>
      <c r="I114" s="2342"/>
    </row>
    <row r="115" spans="1:9" x14ac:dyDescent="0.25">
      <c r="A115" s="2354"/>
      <c r="B115" s="1282" t="s">
        <v>3961</v>
      </c>
      <c r="C115" s="1279">
        <f>C68+C93</f>
        <v>1</v>
      </c>
      <c r="D115" s="2363">
        <f t="shared" si="17"/>
        <v>52429.240000000005</v>
      </c>
      <c r="E115" s="2363">
        <f>+I93</f>
        <v>0</v>
      </c>
      <c r="F115" s="2363">
        <f t="shared" si="18"/>
        <v>52429.240000000005</v>
      </c>
      <c r="H115" s="2341"/>
      <c r="I115" s="2342"/>
    </row>
    <row r="116" spans="1:9" x14ac:dyDescent="0.25">
      <c r="A116" s="2354"/>
      <c r="B116" s="1282" t="s">
        <v>221</v>
      </c>
      <c r="C116" s="1279">
        <f>C69</f>
        <v>0</v>
      </c>
      <c r="D116" s="2363">
        <f t="shared" si="17"/>
        <v>0</v>
      </c>
      <c r="E116" s="2363">
        <v>0</v>
      </c>
      <c r="F116" s="2363">
        <f t="shared" si="18"/>
        <v>0</v>
      </c>
      <c r="H116" s="2341"/>
      <c r="I116" s="2342"/>
    </row>
    <row r="117" spans="1:9" x14ac:dyDescent="0.25">
      <c r="A117" s="2354"/>
      <c r="B117" s="1282" t="s">
        <v>3962</v>
      </c>
      <c r="C117" s="1279">
        <f>C70+C94</f>
        <v>0</v>
      </c>
      <c r="D117" s="2363">
        <f t="shared" si="17"/>
        <v>0</v>
      </c>
      <c r="E117" s="2363">
        <f t="shared" si="16"/>
        <v>0</v>
      </c>
      <c r="F117" s="2363">
        <f t="shared" si="18"/>
        <v>0</v>
      </c>
      <c r="H117" s="2341"/>
      <c r="I117" s="2342"/>
    </row>
    <row r="118" spans="1:9" x14ac:dyDescent="0.25">
      <c r="A118" s="2354"/>
      <c r="B118" s="1282" t="s">
        <v>226</v>
      </c>
      <c r="C118" s="1279">
        <f>C71+C95</f>
        <v>10</v>
      </c>
      <c r="D118" s="2363">
        <f t="shared" si="17"/>
        <v>352180</v>
      </c>
      <c r="E118" s="2363">
        <f>+I95</f>
        <v>0</v>
      </c>
      <c r="F118" s="2363">
        <f t="shared" si="18"/>
        <v>352180</v>
      </c>
      <c r="H118" s="2341"/>
      <c r="I118" s="2342"/>
    </row>
    <row r="119" spans="1:9" x14ac:dyDescent="0.25">
      <c r="A119" s="2354"/>
      <c r="B119" s="1282" t="s">
        <v>229</v>
      </c>
      <c r="C119" s="1279">
        <f>C72</f>
        <v>0</v>
      </c>
      <c r="D119" s="2363">
        <f t="shared" si="17"/>
        <v>0</v>
      </c>
      <c r="E119" s="2363">
        <v>0</v>
      </c>
      <c r="F119" s="2363">
        <f t="shared" si="18"/>
        <v>0</v>
      </c>
      <c r="H119" s="2341"/>
      <c r="I119" s="2342"/>
    </row>
    <row r="120" spans="1:9" x14ac:dyDescent="0.25">
      <c r="A120" s="2354"/>
      <c r="B120" s="1282" t="s">
        <v>227</v>
      </c>
      <c r="C120" s="1279">
        <f>C73+C96</f>
        <v>1</v>
      </c>
      <c r="D120" s="2363">
        <f t="shared" si="17"/>
        <v>35551.360000000001</v>
      </c>
      <c r="E120" s="2363">
        <f>+H96</f>
        <v>0</v>
      </c>
      <c r="F120" s="2363">
        <f t="shared" si="18"/>
        <v>35551.360000000001</v>
      </c>
      <c r="H120" s="2341"/>
      <c r="I120" s="2342"/>
    </row>
    <row r="121" spans="1:9" x14ac:dyDescent="0.25">
      <c r="B121" s="2403" t="s">
        <v>232</v>
      </c>
      <c r="C121" s="2404">
        <f>SUM(C110:C120)</f>
        <v>28</v>
      </c>
      <c r="D121" s="2405">
        <f>SUM(D109:D120)</f>
        <v>1126991.24</v>
      </c>
      <c r="E121" s="2405">
        <f>SUM(E109:E120)</f>
        <v>129560.99999999999</v>
      </c>
      <c r="F121" s="2406">
        <f>SUM(F109:F120)</f>
        <v>1256552.24</v>
      </c>
      <c r="H121" s="2341"/>
      <c r="I121" s="2342"/>
    </row>
    <row r="122" spans="1:9" x14ac:dyDescent="0.25">
      <c r="B122" s="2168" t="s">
        <v>352</v>
      </c>
      <c r="C122" s="2401"/>
      <c r="D122" s="2402"/>
      <c r="E122" s="2402"/>
      <c r="F122" s="2402"/>
      <c r="H122" s="2341"/>
      <c r="I122" s="2342"/>
    </row>
    <row r="123" spans="1:9" x14ac:dyDescent="0.25">
      <c r="B123" s="1278" t="s">
        <v>3963</v>
      </c>
      <c r="C123" s="1279">
        <v>0</v>
      </c>
      <c r="D123" s="2363">
        <f>+O74</f>
        <v>0</v>
      </c>
      <c r="E123" s="2363">
        <f>+I97</f>
        <v>0</v>
      </c>
      <c r="F123" s="2363">
        <f>SUM(D123:E123)</f>
        <v>0</v>
      </c>
      <c r="H123" s="2341"/>
      <c r="I123" s="2342"/>
    </row>
    <row r="124" spans="1:9" x14ac:dyDescent="0.25">
      <c r="B124" s="1278" t="s">
        <v>3964</v>
      </c>
      <c r="C124" s="1279">
        <f>C75+C98</f>
        <v>1</v>
      </c>
      <c r="D124" s="2363">
        <f>+O75</f>
        <v>0</v>
      </c>
      <c r="E124" s="2363">
        <f>+I98</f>
        <v>16344.599999999999</v>
      </c>
      <c r="F124" s="2363">
        <f t="shared" ref="F124:F126" si="19">SUM(D124:E124)</f>
        <v>16344.599999999999</v>
      </c>
    </row>
    <row r="125" spans="1:9" x14ac:dyDescent="0.25">
      <c r="B125" s="1278" t="s">
        <v>3965</v>
      </c>
      <c r="C125" s="1279">
        <f>C76+C99</f>
        <v>1</v>
      </c>
      <c r="D125" s="2363">
        <f>+O76</f>
        <v>30568</v>
      </c>
      <c r="E125" s="2363">
        <f>+I99</f>
        <v>0</v>
      </c>
      <c r="F125" s="2363">
        <f t="shared" si="19"/>
        <v>30568</v>
      </c>
    </row>
    <row r="126" spans="1:9" x14ac:dyDescent="0.25">
      <c r="B126" s="1278" t="s">
        <v>238</v>
      </c>
      <c r="C126" s="1279">
        <f>C77+C100</f>
        <v>2</v>
      </c>
      <c r="D126" s="2363">
        <f>+O77</f>
        <v>31204</v>
      </c>
      <c r="E126" s="2363">
        <f>+I100</f>
        <v>16296</v>
      </c>
      <c r="F126" s="2363">
        <f t="shared" si="19"/>
        <v>47500</v>
      </c>
    </row>
    <row r="127" spans="1:9" x14ac:dyDescent="0.25">
      <c r="B127" s="2407" t="s">
        <v>239</v>
      </c>
      <c r="C127" s="2408">
        <f>+SUM(C123:C126)</f>
        <v>4</v>
      </c>
      <c r="D127" s="2408">
        <f>+SUM(D123:D126)</f>
        <v>61772</v>
      </c>
      <c r="E127" s="2408">
        <f>+SUM(E123:E126)</f>
        <v>32640.6</v>
      </c>
      <c r="F127" s="2409">
        <f>+SUM(F123:F126)</f>
        <v>94412.6</v>
      </c>
    </row>
    <row r="128" spans="1:9" x14ac:dyDescent="0.25">
      <c r="B128" s="1753" t="s">
        <v>150</v>
      </c>
      <c r="C128" s="2372">
        <f>C121+C127</f>
        <v>32</v>
      </c>
      <c r="D128" s="2373">
        <f>+D121+D127</f>
        <v>1188763.24</v>
      </c>
      <c r="E128" s="2373">
        <f>+E121+E127</f>
        <v>162201.59999999998</v>
      </c>
      <c r="F128" s="2374">
        <f>+F121+F127</f>
        <v>1350964.84</v>
      </c>
    </row>
    <row r="129" spans="2:19" x14ac:dyDescent="0.25">
      <c r="B129" s="694"/>
      <c r="C129" s="2343"/>
      <c r="D129" s="2343"/>
      <c r="E129" s="2343"/>
      <c r="G129" s="2343"/>
      <c r="H129" s="2343"/>
      <c r="K129" s="2343"/>
      <c r="O129" s="2343"/>
      <c r="P129" s="2343"/>
    </row>
    <row r="130" spans="2:19" x14ac:dyDescent="0.25">
      <c r="B130" s="1147" t="s">
        <v>3966</v>
      </c>
      <c r="C130" s="2343"/>
      <c r="D130" s="2343"/>
      <c r="E130" s="2343"/>
      <c r="G130" s="2343"/>
      <c r="H130" s="2343"/>
      <c r="K130" s="2343"/>
      <c r="O130" s="2343"/>
      <c r="P130" s="2343"/>
    </row>
    <row r="132" spans="2:19" x14ac:dyDescent="0.25">
      <c r="B132" s="2344" t="s">
        <v>194</v>
      </c>
      <c r="C132" s="2348" t="s">
        <v>1961</v>
      </c>
      <c r="D132" s="2348" t="s">
        <v>1962</v>
      </c>
      <c r="E132" s="2348" t="s">
        <v>1963</v>
      </c>
      <c r="F132" s="2348" t="s">
        <v>2001</v>
      </c>
      <c r="G132" s="2345" t="s">
        <v>2002</v>
      </c>
      <c r="H132" s="2345" t="s">
        <v>2003</v>
      </c>
      <c r="I132" s="2345" t="s">
        <v>2004</v>
      </c>
      <c r="J132" s="2345" t="s">
        <v>2005</v>
      </c>
      <c r="K132" s="2345" t="s">
        <v>2006</v>
      </c>
      <c r="L132" s="2345" t="s">
        <v>2007</v>
      </c>
      <c r="M132" s="2345" t="s">
        <v>2008</v>
      </c>
      <c r="N132" s="2345" t="s">
        <v>2009</v>
      </c>
      <c r="O132" s="2345" t="s">
        <v>2010</v>
      </c>
      <c r="P132" s="2345" t="s">
        <v>2011</v>
      </c>
      <c r="Q132" s="2345" t="s">
        <v>2012</v>
      </c>
    </row>
    <row r="133" spans="2:19" x14ac:dyDescent="0.25">
      <c r="B133" s="2375" t="s">
        <v>194</v>
      </c>
      <c r="C133" s="2410">
        <v>2020</v>
      </c>
      <c r="D133" s="2410">
        <f>C133+1</f>
        <v>2021</v>
      </c>
      <c r="E133" s="2410">
        <f>D133+1</f>
        <v>2022</v>
      </c>
      <c r="F133" s="2231">
        <f t="shared" ref="F133:Q133" si="20">E133+1</f>
        <v>2023</v>
      </c>
      <c r="G133" s="2231">
        <f t="shared" si="20"/>
        <v>2024</v>
      </c>
      <c r="H133" s="2231">
        <f t="shared" si="20"/>
        <v>2025</v>
      </c>
      <c r="I133" s="2231">
        <f t="shared" si="20"/>
        <v>2026</v>
      </c>
      <c r="J133" s="2231">
        <f t="shared" si="20"/>
        <v>2027</v>
      </c>
      <c r="K133" s="2231">
        <f t="shared" si="20"/>
        <v>2028</v>
      </c>
      <c r="L133" s="2231">
        <f t="shared" si="20"/>
        <v>2029</v>
      </c>
      <c r="M133" s="2231">
        <f t="shared" si="20"/>
        <v>2030</v>
      </c>
      <c r="N133" s="2231">
        <f t="shared" si="20"/>
        <v>2031</v>
      </c>
      <c r="O133" s="2231">
        <f t="shared" si="20"/>
        <v>2032</v>
      </c>
      <c r="P133" s="2231">
        <f t="shared" si="20"/>
        <v>2033</v>
      </c>
      <c r="Q133" s="2232">
        <f t="shared" si="20"/>
        <v>2034</v>
      </c>
    </row>
    <row r="134" spans="2:19" x14ac:dyDescent="0.25">
      <c r="B134" s="2364" t="s">
        <v>200</v>
      </c>
      <c r="C134" s="2363">
        <f t="shared" ref="C134:C144" si="21">+F110</f>
        <v>264484.56</v>
      </c>
      <c r="D134" s="2363">
        <f>$C$134</f>
        <v>264484.56</v>
      </c>
      <c r="E134" s="2363">
        <f t="shared" ref="E134:Q134" si="22">$C$134</f>
        <v>264484.56</v>
      </c>
      <c r="F134" s="2363">
        <f t="shared" si="22"/>
        <v>264484.56</v>
      </c>
      <c r="G134" s="2363">
        <f t="shared" si="22"/>
        <v>264484.56</v>
      </c>
      <c r="H134" s="2363">
        <f t="shared" si="22"/>
        <v>264484.56</v>
      </c>
      <c r="I134" s="2363">
        <f t="shared" si="22"/>
        <v>264484.56</v>
      </c>
      <c r="J134" s="2363">
        <f t="shared" si="22"/>
        <v>264484.56</v>
      </c>
      <c r="K134" s="2363">
        <f t="shared" si="22"/>
        <v>264484.56</v>
      </c>
      <c r="L134" s="2363">
        <f t="shared" si="22"/>
        <v>264484.56</v>
      </c>
      <c r="M134" s="2363">
        <f t="shared" si="22"/>
        <v>264484.56</v>
      </c>
      <c r="N134" s="2363">
        <f t="shared" si="22"/>
        <v>264484.56</v>
      </c>
      <c r="O134" s="2363">
        <f t="shared" si="22"/>
        <v>264484.56</v>
      </c>
      <c r="P134" s="2363">
        <f t="shared" si="22"/>
        <v>264484.56</v>
      </c>
      <c r="Q134" s="2363">
        <f t="shared" si="22"/>
        <v>264484.56</v>
      </c>
      <c r="S134" s="691">
        <f>C134/12</f>
        <v>22040.38</v>
      </c>
    </row>
    <row r="135" spans="2:19" x14ac:dyDescent="0.25">
      <c r="B135" s="2364" t="s">
        <v>216</v>
      </c>
      <c r="C135" s="2363">
        <f t="shared" si="21"/>
        <v>104858.48000000001</v>
      </c>
      <c r="D135" s="2363">
        <f>$C$135</f>
        <v>104858.48000000001</v>
      </c>
      <c r="E135" s="2363">
        <f t="shared" ref="E135:Q135" si="23">$C$135</f>
        <v>104858.48000000001</v>
      </c>
      <c r="F135" s="2363">
        <f t="shared" si="23"/>
        <v>104858.48000000001</v>
      </c>
      <c r="G135" s="2363">
        <f t="shared" si="23"/>
        <v>104858.48000000001</v>
      </c>
      <c r="H135" s="2363">
        <f t="shared" si="23"/>
        <v>104858.48000000001</v>
      </c>
      <c r="I135" s="2363">
        <f t="shared" si="23"/>
        <v>104858.48000000001</v>
      </c>
      <c r="J135" s="2363">
        <f t="shared" si="23"/>
        <v>104858.48000000001</v>
      </c>
      <c r="K135" s="2363">
        <f t="shared" si="23"/>
        <v>104858.48000000001</v>
      </c>
      <c r="L135" s="2363">
        <f t="shared" si="23"/>
        <v>104858.48000000001</v>
      </c>
      <c r="M135" s="2363">
        <f t="shared" si="23"/>
        <v>104858.48000000001</v>
      </c>
      <c r="N135" s="2363">
        <f t="shared" si="23"/>
        <v>104858.48000000001</v>
      </c>
      <c r="O135" s="2363">
        <f t="shared" si="23"/>
        <v>104858.48000000001</v>
      </c>
      <c r="P135" s="2363">
        <f t="shared" si="23"/>
        <v>104858.48000000001</v>
      </c>
      <c r="Q135" s="2363">
        <f t="shared" si="23"/>
        <v>104858.48000000001</v>
      </c>
    </row>
    <row r="136" spans="2:19" x14ac:dyDescent="0.25">
      <c r="B136" s="2364" t="s">
        <v>217</v>
      </c>
      <c r="C136" s="2363">
        <f t="shared" si="21"/>
        <v>320487.80000000005</v>
      </c>
      <c r="D136" s="2363">
        <f>$C$136</f>
        <v>320487.80000000005</v>
      </c>
      <c r="E136" s="2363">
        <f t="shared" ref="E136:Q136" si="24">$C$136</f>
        <v>320487.80000000005</v>
      </c>
      <c r="F136" s="2363">
        <f t="shared" si="24"/>
        <v>320487.80000000005</v>
      </c>
      <c r="G136" s="2363">
        <f t="shared" si="24"/>
        <v>320487.80000000005</v>
      </c>
      <c r="H136" s="2363">
        <f t="shared" si="24"/>
        <v>320487.80000000005</v>
      </c>
      <c r="I136" s="2363">
        <f t="shared" si="24"/>
        <v>320487.80000000005</v>
      </c>
      <c r="J136" s="2363">
        <f t="shared" si="24"/>
        <v>320487.80000000005</v>
      </c>
      <c r="K136" s="2363">
        <f t="shared" si="24"/>
        <v>320487.80000000005</v>
      </c>
      <c r="L136" s="2363">
        <f t="shared" si="24"/>
        <v>320487.80000000005</v>
      </c>
      <c r="M136" s="2363">
        <f t="shared" si="24"/>
        <v>320487.80000000005</v>
      </c>
      <c r="N136" s="2363">
        <f t="shared" si="24"/>
        <v>320487.80000000005</v>
      </c>
      <c r="O136" s="2363">
        <f t="shared" si="24"/>
        <v>320487.80000000005</v>
      </c>
      <c r="P136" s="2363">
        <f t="shared" si="24"/>
        <v>320487.80000000005</v>
      </c>
      <c r="Q136" s="2363">
        <f t="shared" si="24"/>
        <v>320487.80000000005</v>
      </c>
    </row>
    <row r="137" spans="2:19" x14ac:dyDescent="0.25">
      <c r="B137" s="2364" t="s">
        <v>218</v>
      </c>
      <c r="C137" s="2363">
        <f t="shared" si="21"/>
        <v>25912.199999999997</v>
      </c>
      <c r="D137" s="2363">
        <f>$C$137</f>
        <v>25912.199999999997</v>
      </c>
      <c r="E137" s="2363">
        <f t="shared" ref="E137:Q137" si="25">$C$137</f>
        <v>25912.199999999997</v>
      </c>
      <c r="F137" s="2363">
        <f t="shared" si="25"/>
        <v>25912.199999999997</v>
      </c>
      <c r="G137" s="2363">
        <f t="shared" si="25"/>
        <v>25912.199999999997</v>
      </c>
      <c r="H137" s="2363">
        <f t="shared" si="25"/>
        <v>25912.199999999997</v>
      </c>
      <c r="I137" s="2363">
        <f t="shared" si="25"/>
        <v>25912.199999999997</v>
      </c>
      <c r="J137" s="2363">
        <f t="shared" si="25"/>
        <v>25912.199999999997</v>
      </c>
      <c r="K137" s="2363">
        <f t="shared" si="25"/>
        <v>25912.199999999997</v>
      </c>
      <c r="L137" s="2363">
        <f t="shared" si="25"/>
        <v>25912.199999999997</v>
      </c>
      <c r="M137" s="2363">
        <f t="shared" si="25"/>
        <v>25912.199999999997</v>
      </c>
      <c r="N137" s="2363">
        <f t="shared" si="25"/>
        <v>25912.199999999997</v>
      </c>
      <c r="O137" s="2363">
        <f t="shared" si="25"/>
        <v>25912.199999999997</v>
      </c>
      <c r="P137" s="2363">
        <f t="shared" si="25"/>
        <v>25912.199999999997</v>
      </c>
      <c r="Q137" s="2363">
        <f t="shared" si="25"/>
        <v>25912.199999999997</v>
      </c>
    </row>
    <row r="138" spans="2:19" x14ac:dyDescent="0.25">
      <c r="B138" s="2364" t="s">
        <v>353</v>
      </c>
      <c r="C138" s="2363">
        <f t="shared" si="21"/>
        <v>100648.59999999999</v>
      </c>
      <c r="D138" s="2363">
        <f>$C$138</f>
        <v>100648.59999999999</v>
      </c>
      <c r="E138" s="2363">
        <f t="shared" ref="E138:Q138" si="26">$C$138</f>
        <v>100648.59999999999</v>
      </c>
      <c r="F138" s="2363">
        <f t="shared" si="26"/>
        <v>100648.59999999999</v>
      </c>
      <c r="G138" s="2363">
        <f t="shared" si="26"/>
        <v>100648.59999999999</v>
      </c>
      <c r="H138" s="2363">
        <f t="shared" si="26"/>
        <v>100648.59999999999</v>
      </c>
      <c r="I138" s="2363">
        <f t="shared" si="26"/>
        <v>100648.59999999999</v>
      </c>
      <c r="J138" s="2363">
        <f t="shared" si="26"/>
        <v>100648.59999999999</v>
      </c>
      <c r="K138" s="2363">
        <f t="shared" si="26"/>
        <v>100648.59999999999</v>
      </c>
      <c r="L138" s="2363">
        <f t="shared" si="26"/>
        <v>100648.59999999999</v>
      </c>
      <c r="M138" s="2363">
        <f t="shared" si="26"/>
        <v>100648.59999999999</v>
      </c>
      <c r="N138" s="2363">
        <f t="shared" si="26"/>
        <v>100648.59999999999</v>
      </c>
      <c r="O138" s="2363">
        <f t="shared" si="26"/>
        <v>100648.59999999999</v>
      </c>
      <c r="P138" s="2363">
        <f t="shared" si="26"/>
        <v>100648.59999999999</v>
      </c>
      <c r="Q138" s="2363">
        <f t="shared" si="26"/>
        <v>100648.59999999999</v>
      </c>
    </row>
    <row r="139" spans="2:19" x14ac:dyDescent="0.25">
      <c r="B139" s="2364" t="s">
        <v>375</v>
      </c>
      <c r="C139" s="2363">
        <f t="shared" si="21"/>
        <v>52429.240000000005</v>
      </c>
      <c r="D139" s="2363">
        <f>$C$139</f>
        <v>52429.240000000005</v>
      </c>
      <c r="E139" s="2363">
        <f t="shared" ref="E139:Q139" si="27">$C$139</f>
        <v>52429.240000000005</v>
      </c>
      <c r="F139" s="2363">
        <f t="shared" si="27"/>
        <v>52429.240000000005</v>
      </c>
      <c r="G139" s="2363">
        <f t="shared" si="27"/>
        <v>52429.240000000005</v>
      </c>
      <c r="H139" s="2363">
        <f t="shared" si="27"/>
        <v>52429.240000000005</v>
      </c>
      <c r="I139" s="2363">
        <f t="shared" si="27"/>
        <v>52429.240000000005</v>
      </c>
      <c r="J139" s="2363">
        <f t="shared" si="27"/>
        <v>52429.240000000005</v>
      </c>
      <c r="K139" s="2363">
        <f t="shared" si="27"/>
        <v>52429.240000000005</v>
      </c>
      <c r="L139" s="2363">
        <f t="shared" si="27"/>
        <v>52429.240000000005</v>
      </c>
      <c r="M139" s="2363">
        <f t="shared" si="27"/>
        <v>52429.240000000005</v>
      </c>
      <c r="N139" s="2363">
        <f t="shared" si="27"/>
        <v>52429.240000000005</v>
      </c>
      <c r="O139" s="2363">
        <f t="shared" si="27"/>
        <v>52429.240000000005</v>
      </c>
      <c r="P139" s="2363">
        <f t="shared" si="27"/>
        <v>52429.240000000005</v>
      </c>
      <c r="Q139" s="2363">
        <f t="shared" si="27"/>
        <v>52429.240000000005</v>
      </c>
    </row>
    <row r="140" spans="2:19" x14ac:dyDescent="0.25">
      <c r="B140" s="2364" t="s">
        <v>221</v>
      </c>
      <c r="C140" s="2363">
        <f t="shared" si="21"/>
        <v>0</v>
      </c>
      <c r="D140" s="2363">
        <f>$C$140</f>
        <v>0</v>
      </c>
      <c r="E140" s="2363">
        <f t="shared" ref="E140:Q140" si="28">$C$140</f>
        <v>0</v>
      </c>
      <c r="F140" s="2363">
        <f t="shared" si="28"/>
        <v>0</v>
      </c>
      <c r="G140" s="2363">
        <f t="shared" si="28"/>
        <v>0</v>
      </c>
      <c r="H140" s="2363">
        <f t="shared" si="28"/>
        <v>0</v>
      </c>
      <c r="I140" s="2363">
        <f t="shared" si="28"/>
        <v>0</v>
      </c>
      <c r="J140" s="2363">
        <f t="shared" si="28"/>
        <v>0</v>
      </c>
      <c r="K140" s="2363">
        <f t="shared" si="28"/>
        <v>0</v>
      </c>
      <c r="L140" s="2363">
        <f t="shared" si="28"/>
        <v>0</v>
      </c>
      <c r="M140" s="2363">
        <f t="shared" si="28"/>
        <v>0</v>
      </c>
      <c r="N140" s="2363">
        <f t="shared" si="28"/>
        <v>0</v>
      </c>
      <c r="O140" s="2363">
        <f t="shared" si="28"/>
        <v>0</v>
      </c>
      <c r="P140" s="2363">
        <f t="shared" si="28"/>
        <v>0</v>
      </c>
      <c r="Q140" s="2363">
        <f t="shared" si="28"/>
        <v>0</v>
      </c>
    </row>
    <row r="141" spans="2:19" x14ac:dyDescent="0.25">
      <c r="B141" s="2364" t="s">
        <v>222</v>
      </c>
      <c r="C141" s="2363">
        <f t="shared" si="21"/>
        <v>0</v>
      </c>
      <c r="D141" s="2363">
        <f>$C$141</f>
        <v>0</v>
      </c>
      <c r="E141" s="2363">
        <f t="shared" ref="E141:Q141" si="29">$C$141</f>
        <v>0</v>
      </c>
      <c r="F141" s="2363">
        <f t="shared" si="29"/>
        <v>0</v>
      </c>
      <c r="G141" s="2363">
        <f t="shared" si="29"/>
        <v>0</v>
      </c>
      <c r="H141" s="2363">
        <f t="shared" si="29"/>
        <v>0</v>
      </c>
      <c r="I141" s="2363">
        <f t="shared" si="29"/>
        <v>0</v>
      </c>
      <c r="J141" s="2363">
        <f t="shared" si="29"/>
        <v>0</v>
      </c>
      <c r="K141" s="2363">
        <f t="shared" si="29"/>
        <v>0</v>
      </c>
      <c r="L141" s="2363">
        <f t="shared" si="29"/>
        <v>0</v>
      </c>
      <c r="M141" s="2363">
        <f t="shared" si="29"/>
        <v>0</v>
      </c>
      <c r="N141" s="2363">
        <f t="shared" si="29"/>
        <v>0</v>
      </c>
      <c r="O141" s="2363">
        <f t="shared" si="29"/>
        <v>0</v>
      </c>
      <c r="P141" s="2363">
        <f t="shared" si="29"/>
        <v>0</v>
      </c>
      <c r="Q141" s="2363">
        <f t="shared" si="29"/>
        <v>0</v>
      </c>
    </row>
    <row r="142" spans="2:19" x14ac:dyDescent="0.25">
      <c r="B142" s="2364" t="s">
        <v>226</v>
      </c>
      <c r="C142" s="2363">
        <f t="shared" si="21"/>
        <v>352180</v>
      </c>
      <c r="D142" s="2363">
        <f>$C$142</f>
        <v>352180</v>
      </c>
      <c r="E142" s="2363">
        <f t="shared" ref="E142:Q142" si="30">$C$142</f>
        <v>352180</v>
      </c>
      <c r="F142" s="2363">
        <f t="shared" si="30"/>
        <v>352180</v>
      </c>
      <c r="G142" s="2363">
        <f t="shared" si="30"/>
        <v>352180</v>
      </c>
      <c r="H142" s="2363">
        <f t="shared" si="30"/>
        <v>352180</v>
      </c>
      <c r="I142" s="2363">
        <f t="shared" si="30"/>
        <v>352180</v>
      </c>
      <c r="J142" s="2363">
        <f t="shared" si="30"/>
        <v>352180</v>
      </c>
      <c r="K142" s="2363">
        <f t="shared" si="30"/>
        <v>352180</v>
      </c>
      <c r="L142" s="2363">
        <f t="shared" si="30"/>
        <v>352180</v>
      </c>
      <c r="M142" s="2363">
        <f t="shared" si="30"/>
        <v>352180</v>
      </c>
      <c r="N142" s="2363">
        <f t="shared" si="30"/>
        <v>352180</v>
      </c>
      <c r="O142" s="2363">
        <f t="shared" si="30"/>
        <v>352180</v>
      </c>
      <c r="P142" s="2363">
        <f t="shared" si="30"/>
        <v>352180</v>
      </c>
      <c r="Q142" s="2363">
        <f t="shared" si="30"/>
        <v>352180</v>
      </c>
    </row>
    <row r="143" spans="2:19" x14ac:dyDescent="0.25">
      <c r="B143" s="2364" t="s">
        <v>229</v>
      </c>
      <c r="C143" s="2363">
        <f t="shared" si="21"/>
        <v>0</v>
      </c>
      <c r="D143" s="2363">
        <f>$C$143</f>
        <v>0</v>
      </c>
      <c r="E143" s="2363">
        <f t="shared" ref="E143:Q143" si="31">$C$143</f>
        <v>0</v>
      </c>
      <c r="F143" s="2363">
        <f t="shared" si="31"/>
        <v>0</v>
      </c>
      <c r="G143" s="2363">
        <f t="shared" si="31"/>
        <v>0</v>
      </c>
      <c r="H143" s="2363">
        <f t="shared" si="31"/>
        <v>0</v>
      </c>
      <c r="I143" s="2363">
        <f t="shared" si="31"/>
        <v>0</v>
      </c>
      <c r="J143" s="2363">
        <f t="shared" si="31"/>
        <v>0</v>
      </c>
      <c r="K143" s="2363">
        <f t="shared" si="31"/>
        <v>0</v>
      </c>
      <c r="L143" s="2363">
        <f t="shared" si="31"/>
        <v>0</v>
      </c>
      <c r="M143" s="2363">
        <f t="shared" si="31"/>
        <v>0</v>
      </c>
      <c r="N143" s="2363">
        <f t="shared" si="31"/>
        <v>0</v>
      </c>
      <c r="O143" s="2363">
        <f t="shared" si="31"/>
        <v>0</v>
      </c>
      <c r="P143" s="2363">
        <f t="shared" si="31"/>
        <v>0</v>
      </c>
      <c r="Q143" s="2363">
        <f t="shared" si="31"/>
        <v>0</v>
      </c>
    </row>
    <row r="144" spans="2:19" x14ac:dyDescent="0.25">
      <c r="B144" s="2364" t="s">
        <v>227</v>
      </c>
      <c r="C144" s="2363">
        <f t="shared" si="21"/>
        <v>35551.360000000001</v>
      </c>
      <c r="D144" s="2363">
        <f>$C$144</f>
        <v>35551.360000000001</v>
      </c>
      <c r="E144" s="2363">
        <f t="shared" ref="E144:Q144" si="32">$C$144</f>
        <v>35551.360000000001</v>
      </c>
      <c r="F144" s="2363">
        <f t="shared" si="32"/>
        <v>35551.360000000001</v>
      </c>
      <c r="G144" s="2363">
        <f t="shared" si="32"/>
        <v>35551.360000000001</v>
      </c>
      <c r="H144" s="2363">
        <f t="shared" si="32"/>
        <v>35551.360000000001</v>
      </c>
      <c r="I144" s="2363">
        <f t="shared" si="32"/>
        <v>35551.360000000001</v>
      </c>
      <c r="J144" s="2363">
        <f t="shared" si="32"/>
        <v>35551.360000000001</v>
      </c>
      <c r="K144" s="2363">
        <f t="shared" si="32"/>
        <v>35551.360000000001</v>
      </c>
      <c r="L144" s="2363">
        <f t="shared" si="32"/>
        <v>35551.360000000001</v>
      </c>
      <c r="M144" s="2363">
        <f t="shared" si="32"/>
        <v>35551.360000000001</v>
      </c>
      <c r="N144" s="2363">
        <f t="shared" si="32"/>
        <v>35551.360000000001</v>
      </c>
      <c r="O144" s="2363">
        <f t="shared" si="32"/>
        <v>35551.360000000001</v>
      </c>
      <c r="P144" s="2363">
        <f t="shared" si="32"/>
        <v>35551.360000000001</v>
      </c>
      <c r="Q144" s="2363">
        <f t="shared" si="32"/>
        <v>35551.360000000001</v>
      </c>
    </row>
    <row r="145" spans="1:26" x14ac:dyDescent="0.25">
      <c r="B145" s="2417" t="s">
        <v>3142</v>
      </c>
      <c r="C145" s="2418">
        <f t="shared" ref="C145:Q145" si="33">SUM(C134:C144)</f>
        <v>1256552.24</v>
      </c>
      <c r="D145" s="2418">
        <f t="shared" si="33"/>
        <v>1256552.24</v>
      </c>
      <c r="E145" s="2418">
        <f t="shared" si="33"/>
        <v>1256552.24</v>
      </c>
      <c r="F145" s="2418">
        <f t="shared" si="33"/>
        <v>1256552.24</v>
      </c>
      <c r="G145" s="2418">
        <f t="shared" si="33"/>
        <v>1256552.24</v>
      </c>
      <c r="H145" s="2418">
        <f t="shared" si="33"/>
        <v>1256552.24</v>
      </c>
      <c r="I145" s="2418">
        <f t="shared" si="33"/>
        <v>1256552.24</v>
      </c>
      <c r="J145" s="2418">
        <f t="shared" si="33"/>
        <v>1256552.24</v>
      </c>
      <c r="K145" s="2418">
        <f t="shared" si="33"/>
        <v>1256552.24</v>
      </c>
      <c r="L145" s="2418">
        <f t="shared" si="33"/>
        <v>1256552.24</v>
      </c>
      <c r="M145" s="2418">
        <f t="shared" si="33"/>
        <v>1256552.24</v>
      </c>
      <c r="N145" s="2418">
        <f t="shared" si="33"/>
        <v>1256552.24</v>
      </c>
      <c r="O145" s="2418">
        <f t="shared" si="33"/>
        <v>1256552.24</v>
      </c>
      <c r="P145" s="2418">
        <f t="shared" si="33"/>
        <v>1256552.24</v>
      </c>
      <c r="Q145" s="2419">
        <f t="shared" si="33"/>
        <v>1256552.24</v>
      </c>
    </row>
    <row r="146" spans="1:26" x14ac:dyDescent="0.25">
      <c r="B146" s="2364" t="s">
        <v>3143</v>
      </c>
      <c r="C146" s="2365">
        <f>+F127</f>
        <v>94412.6</v>
      </c>
      <c r="D146" s="2365">
        <f>$C$146</f>
        <v>94412.6</v>
      </c>
      <c r="E146" s="2365">
        <f t="shared" ref="E146:Q146" si="34">$C$146</f>
        <v>94412.6</v>
      </c>
      <c r="F146" s="2365">
        <f t="shared" si="34"/>
        <v>94412.6</v>
      </c>
      <c r="G146" s="2365">
        <f t="shared" si="34"/>
        <v>94412.6</v>
      </c>
      <c r="H146" s="2365">
        <f t="shared" si="34"/>
        <v>94412.6</v>
      </c>
      <c r="I146" s="2365">
        <f t="shared" si="34"/>
        <v>94412.6</v>
      </c>
      <c r="J146" s="2365">
        <f t="shared" si="34"/>
        <v>94412.6</v>
      </c>
      <c r="K146" s="2365">
        <f t="shared" si="34"/>
        <v>94412.6</v>
      </c>
      <c r="L146" s="2365">
        <f t="shared" si="34"/>
        <v>94412.6</v>
      </c>
      <c r="M146" s="2365">
        <f t="shared" si="34"/>
        <v>94412.6</v>
      </c>
      <c r="N146" s="2365">
        <f t="shared" si="34"/>
        <v>94412.6</v>
      </c>
      <c r="O146" s="2365">
        <f t="shared" si="34"/>
        <v>94412.6</v>
      </c>
      <c r="P146" s="2365">
        <f t="shared" si="34"/>
        <v>94412.6</v>
      </c>
      <c r="Q146" s="2365">
        <f t="shared" si="34"/>
        <v>94412.6</v>
      </c>
    </row>
    <row r="147" spans="1:26" x14ac:dyDescent="0.25">
      <c r="B147" s="2420" t="s">
        <v>3164</v>
      </c>
      <c r="C147" s="2421">
        <f t="shared" ref="C147:Q147" si="35">SUM(C146)</f>
        <v>94412.6</v>
      </c>
      <c r="D147" s="2421">
        <f t="shared" si="35"/>
        <v>94412.6</v>
      </c>
      <c r="E147" s="2421">
        <f t="shared" si="35"/>
        <v>94412.6</v>
      </c>
      <c r="F147" s="2421">
        <f t="shared" si="35"/>
        <v>94412.6</v>
      </c>
      <c r="G147" s="2421">
        <f t="shared" si="35"/>
        <v>94412.6</v>
      </c>
      <c r="H147" s="2421">
        <f t="shared" si="35"/>
        <v>94412.6</v>
      </c>
      <c r="I147" s="2421">
        <f t="shared" si="35"/>
        <v>94412.6</v>
      </c>
      <c r="J147" s="2421">
        <f t="shared" si="35"/>
        <v>94412.6</v>
      </c>
      <c r="K147" s="2421">
        <f t="shared" si="35"/>
        <v>94412.6</v>
      </c>
      <c r="L147" s="2421">
        <f t="shared" si="35"/>
        <v>94412.6</v>
      </c>
      <c r="M147" s="2421">
        <f t="shared" si="35"/>
        <v>94412.6</v>
      </c>
      <c r="N147" s="2421">
        <f t="shared" si="35"/>
        <v>94412.6</v>
      </c>
      <c r="O147" s="2421">
        <f t="shared" si="35"/>
        <v>94412.6</v>
      </c>
      <c r="P147" s="2421">
        <f t="shared" si="35"/>
        <v>94412.6</v>
      </c>
      <c r="Q147" s="2422">
        <f t="shared" si="35"/>
        <v>94412.6</v>
      </c>
    </row>
    <row r="148" spans="1:26" x14ac:dyDescent="0.25">
      <c r="B148" s="2376" t="s">
        <v>3949</v>
      </c>
      <c r="C148" s="2372">
        <f>C145+C147</f>
        <v>1350964.84</v>
      </c>
      <c r="D148" s="2372">
        <f t="shared" ref="D148:Q148" si="36">D145+D147</f>
        <v>1350964.84</v>
      </c>
      <c r="E148" s="2372">
        <f t="shared" si="36"/>
        <v>1350964.84</v>
      </c>
      <c r="F148" s="2372">
        <f t="shared" si="36"/>
        <v>1350964.84</v>
      </c>
      <c r="G148" s="2372">
        <f t="shared" si="36"/>
        <v>1350964.84</v>
      </c>
      <c r="H148" s="2372">
        <f t="shared" si="36"/>
        <v>1350964.84</v>
      </c>
      <c r="I148" s="2372">
        <f t="shared" si="36"/>
        <v>1350964.84</v>
      </c>
      <c r="J148" s="2372">
        <f t="shared" si="36"/>
        <v>1350964.84</v>
      </c>
      <c r="K148" s="2372">
        <f t="shared" si="36"/>
        <v>1350964.84</v>
      </c>
      <c r="L148" s="2372">
        <f t="shared" si="36"/>
        <v>1350964.84</v>
      </c>
      <c r="M148" s="2372">
        <f t="shared" si="36"/>
        <v>1350964.84</v>
      </c>
      <c r="N148" s="2372">
        <f t="shared" si="36"/>
        <v>1350964.84</v>
      </c>
      <c r="O148" s="2372">
        <f t="shared" si="36"/>
        <v>1350964.84</v>
      </c>
      <c r="P148" s="2372">
        <f t="shared" si="36"/>
        <v>1350964.84</v>
      </c>
      <c r="Q148" s="2377">
        <f t="shared" si="36"/>
        <v>1350964.84</v>
      </c>
    </row>
    <row r="149" spans="1:26" x14ac:dyDescent="0.25">
      <c r="B149" s="694"/>
      <c r="C149" s="2346"/>
      <c r="D149" s="1765"/>
      <c r="E149" s="1765"/>
      <c r="F149" s="1765"/>
      <c r="G149" s="1765"/>
      <c r="H149" s="1765"/>
      <c r="I149" s="1765"/>
      <c r="J149" s="1765"/>
      <c r="K149" s="1765"/>
      <c r="L149" s="1765"/>
      <c r="M149" s="1765"/>
      <c r="N149" s="1765"/>
      <c r="O149" s="1765"/>
      <c r="P149" s="1765"/>
      <c r="Q149" s="1765"/>
      <c r="S149" s="2347"/>
      <c r="T149" s="2347"/>
      <c r="U149" s="2347"/>
      <c r="V149" s="2347"/>
      <c r="W149" s="2347"/>
      <c r="X149" s="2347"/>
      <c r="Y149" s="2347"/>
      <c r="Z149" s="2347"/>
    </row>
    <row r="150" spans="1:26" x14ac:dyDescent="0.25">
      <c r="B150" s="4871" t="s">
        <v>3967</v>
      </c>
      <c r="C150" s="4871"/>
      <c r="D150" s="4871"/>
      <c r="E150" s="4871"/>
      <c r="F150" s="1814"/>
      <c r="G150" s="1814"/>
      <c r="H150" s="1814"/>
      <c r="I150" s="1814"/>
      <c r="J150" s="1814"/>
      <c r="K150" s="1814"/>
      <c r="L150" s="1814"/>
      <c r="M150" s="1814"/>
      <c r="N150" s="1814"/>
      <c r="O150" s="1814"/>
      <c r="P150" s="1814"/>
      <c r="Q150" s="1814"/>
      <c r="S150" s="2347"/>
      <c r="T150" s="2347"/>
      <c r="U150" s="2347"/>
      <c r="V150" s="2347"/>
      <c r="W150" s="2347"/>
      <c r="X150" s="2347"/>
      <c r="Y150" s="2347"/>
      <c r="Z150" s="2347"/>
    </row>
    <row r="151" spans="1:26" ht="8.25" customHeight="1" x14ac:dyDescent="0.25">
      <c r="B151" s="2411" t="s">
        <v>3112</v>
      </c>
      <c r="C151" s="2412" t="s">
        <v>1961</v>
      </c>
      <c r="D151" s="2412" t="s">
        <v>1962</v>
      </c>
      <c r="E151" s="2412" t="s">
        <v>1963</v>
      </c>
      <c r="F151" s="2412" t="s">
        <v>2001</v>
      </c>
      <c r="G151" s="2412" t="s">
        <v>2002</v>
      </c>
      <c r="H151" s="2412" t="s">
        <v>2003</v>
      </c>
      <c r="I151" s="2412" t="s">
        <v>2004</v>
      </c>
      <c r="J151" s="2412" t="s">
        <v>2005</v>
      </c>
      <c r="K151" s="2412" t="s">
        <v>2006</v>
      </c>
      <c r="L151" s="2412" t="s">
        <v>2007</v>
      </c>
      <c r="M151" s="2412" t="s">
        <v>2008</v>
      </c>
      <c r="N151" s="2412" t="s">
        <v>2009</v>
      </c>
      <c r="O151" s="2412" t="s">
        <v>2010</v>
      </c>
      <c r="P151" s="2412" t="s">
        <v>2011</v>
      </c>
      <c r="Q151" s="2412" t="s">
        <v>2012</v>
      </c>
      <c r="S151" s="2347"/>
      <c r="T151" s="2347"/>
      <c r="U151" s="2347"/>
      <c r="V151" s="2347"/>
      <c r="W151" s="2347"/>
      <c r="X151" s="2347"/>
      <c r="Y151" s="2347"/>
      <c r="Z151" s="2347"/>
    </row>
    <row r="152" spans="1:26" ht="18.75" customHeight="1" x14ac:dyDescent="0.25">
      <c r="B152" s="2375" t="s">
        <v>194</v>
      </c>
      <c r="C152" s="2410">
        <v>2020</v>
      </c>
      <c r="D152" s="2410">
        <f>C152+1</f>
        <v>2021</v>
      </c>
      <c r="E152" s="2410">
        <f>D152+1</f>
        <v>2022</v>
      </c>
      <c r="F152" s="2231">
        <f t="shared" ref="F152:Q152" si="37">E152+1</f>
        <v>2023</v>
      </c>
      <c r="G152" s="2231">
        <f t="shared" si="37"/>
        <v>2024</v>
      </c>
      <c r="H152" s="2231">
        <f t="shared" si="37"/>
        <v>2025</v>
      </c>
      <c r="I152" s="2231">
        <f t="shared" si="37"/>
        <v>2026</v>
      </c>
      <c r="J152" s="2231">
        <f t="shared" si="37"/>
        <v>2027</v>
      </c>
      <c r="K152" s="2231">
        <f t="shared" si="37"/>
        <v>2028</v>
      </c>
      <c r="L152" s="2231">
        <f t="shared" si="37"/>
        <v>2029</v>
      </c>
      <c r="M152" s="2231">
        <f t="shared" si="37"/>
        <v>2030</v>
      </c>
      <c r="N152" s="2231">
        <f t="shared" si="37"/>
        <v>2031</v>
      </c>
      <c r="O152" s="2231">
        <f t="shared" si="37"/>
        <v>2032</v>
      </c>
      <c r="P152" s="2231">
        <f t="shared" si="37"/>
        <v>2033</v>
      </c>
      <c r="Q152" s="2232">
        <f t="shared" si="37"/>
        <v>2034</v>
      </c>
    </row>
    <row r="153" spans="1:26" x14ac:dyDescent="0.25">
      <c r="B153" s="2003" t="s">
        <v>3968</v>
      </c>
      <c r="C153" s="1279">
        <f>C148</f>
        <v>1350964.84</v>
      </c>
      <c r="D153" s="1279">
        <f>$C$153</f>
        <v>1350964.84</v>
      </c>
      <c r="E153" s="1279">
        <f t="shared" ref="E153:Q153" si="38">$C$153</f>
        <v>1350964.84</v>
      </c>
      <c r="F153" s="1279">
        <f t="shared" si="38"/>
        <v>1350964.84</v>
      </c>
      <c r="G153" s="1279">
        <f t="shared" si="38"/>
        <v>1350964.84</v>
      </c>
      <c r="H153" s="1279">
        <f t="shared" si="38"/>
        <v>1350964.84</v>
      </c>
      <c r="I153" s="1279">
        <f t="shared" si="38"/>
        <v>1350964.84</v>
      </c>
      <c r="J153" s="1279">
        <f t="shared" si="38"/>
        <v>1350964.84</v>
      </c>
      <c r="K153" s="1279">
        <f t="shared" si="38"/>
        <v>1350964.84</v>
      </c>
      <c r="L153" s="1279">
        <f t="shared" si="38"/>
        <v>1350964.84</v>
      </c>
      <c r="M153" s="1279">
        <f t="shared" si="38"/>
        <v>1350964.84</v>
      </c>
      <c r="N153" s="1279">
        <f t="shared" si="38"/>
        <v>1350964.84</v>
      </c>
      <c r="O153" s="1279">
        <f t="shared" si="38"/>
        <v>1350964.84</v>
      </c>
      <c r="P153" s="1279">
        <f t="shared" si="38"/>
        <v>1350964.84</v>
      </c>
      <c r="Q153" s="1279">
        <f t="shared" si="38"/>
        <v>1350964.84</v>
      </c>
    </row>
    <row r="154" spans="1:26" x14ac:dyDescent="0.25">
      <c r="B154" s="694"/>
      <c r="C154" s="1296"/>
      <c r="D154" s="1296"/>
      <c r="E154" s="1296"/>
      <c r="F154" s="1296"/>
      <c r="G154" s="1296"/>
      <c r="H154" s="1296"/>
      <c r="I154" s="1296"/>
      <c r="J154" s="1296"/>
      <c r="K154" s="1296"/>
      <c r="L154" s="1296"/>
      <c r="M154" s="1296"/>
      <c r="N154" s="1296"/>
      <c r="O154" s="1296"/>
      <c r="P154" s="1296"/>
      <c r="Q154" s="1296"/>
    </row>
    <row r="155" spans="1:26" x14ac:dyDescent="0.25">
      <c r="A155" s="598"/>
      <c r="B155" s="2415" t="s">
        <v>3969</v>
      </c>
      <c r="C155" s="2416">
        <f>1/(1+$C$166)</f>
        <v>0.90909090909090906</v>
      </c>
      <c r="D155" s="1174"/>
      <c r="E155" s="1174"/>
      <c r="F155" s="1296"/>
      <c r="G155" s="1296"/>
      <c r="H155" s="1296"/>
      <c r="I155" s="1296"/>
      <c r="J155" s="1296"/>
      <c r="K155" s="1296"/>
      <c r="L155" s="1296"/>
      <c r="M155" s="1296"/>
      <c r="N155" s="1296"/>
      <c r="O155" s="1296"/>
      <c r="P155" s="1296"/>
      <c r="Q155" s="1296"/>
    </row>
    <row r="156" spans="1:26" ht="15" customHeight="1" x14ac:dyDescent="0.25">
      <c r="A156" s="598"/>
      <c r="B156" s="4871" t="s">
        <v>3970</v>
      </c>
      <c r="C156" s="4871"/>
      <c r="D156" s="4871"/>
      <c r="E156" s="4871"/>
      <c r="F156" s="1296"/>
      <c r="G156" s="1296"/>
      <c r="H156" s="1296"/>
      <c r="I156" s="1296"/>
      <c r="J156" s="1296"/>
      <c r="K156" s="1296"/>
      <c r="L156" s="1296"/>
      <c r="M156" s="1296"/>
      <c r="N156" s="1296"/>
      <c r="O156" s="1296"/>
      <c r="P156" s="1296"/>
      <c r="Q156" s="1296"/>
    </row>
    <row r="157" spans="1:26" ht="8.25" customHeight="1" x14ac:dyDescent="0.25">
      <c r="B157" s="2413"/>
      <c r="C157" s="2414" t="s">
        <v>1961</v>
      </c>
      <c r="D157" s="2414" t="s">
        <v>1962</v>
      </c>
      <c r="E157" s="2414" t="s">
        <v>1963</v>
      </c>
      <c r="F157" s="2345" t="s">
        <v>2001</v>
      </c>
      <c r="G157" s="2345" t="s">
        <v>2002</v>
      </c>
      <c r="H157" s="2345" t="s">
        <v>2003</v>
      </c>
      <c r="I157" s="2345" t="s">
        <v>2004</v>
      </c>
      <c r="J157" s="2345" t="s">
        <v>2005</v>
      </c>
      <c r="K157" s="2345" t="s">
        <v>2006</v>
      </c>
      <c r="L157" s="2345" t="s">
        <v>2007</v>
      </c>
      <c r="M157" s="2345" t="s">
        <v>2008</v>
      </c>
      <c r="N157" s="2345" t="s">
        <v>2009</v>
      </c>
      <c r="O157" s="2345" t="s">
        <v>2010</v>
      </c>
      <c r="P157" s="2345" t="s">
        <v>2011</v>
      </c>
      <c r="Q157" s="2345" t="s">
        <v>2012</v>
      </c>
    </row>
    <row r="158" spans="1:26" ht="18" customHeight="1" x14ac:dyDescent="0.25">
      <c r="B158" s="2378" t="s">
        <v>194</v>
      </c>
      <c r="C158" s="2410">
        <v>2020</v>
      </c>
      <c r="D158" s="2410">
        <f>C158+1</f>
        <v>2021</v>
      </c>
      <c r="E158" s="2410">
        <f>D158+1</f>
        <v>2022</v>
      </c>
      <c r="F158" s="2231">
        <f t="shared" ref="F158:Q158" si="39">E158+1</f>
        <v>2023</v>
      </c>
      <c r="G158" s="2231">
        <f t="shared" si="39"/>
        <v>2024</v>
      </c>
      <c r="H158" s="2231">
        <f t="shared" si="39"/>
        <v>2025</v>
      </c>
      <c r="I158" s="2231">
        <f t="shared" si="39"/>
        <v>2026</v>
      </c>
      <c r="J158" s="2231">
        <f t="shared" si="39"/>
        <v>2027</v>
      </c>
      <c r="K158" s="2231">
        <f t="shared" si="39"/>
        <v>2028</v>
      </c>
      <c r="L158" s="2231">
        <f t="shared" si="39"/>
        <v>2029</v>
      </c>
      <c r="M158" s="2231">
        <f t="shared" si="39"/>
        <v>2030</v>
      </c>
      <c r="N158" s="2231">
        <f t="shared" si="39"/>
        <v>2031</v>
      </c>
      <c r="O158" s="2231">
        <f t="shared" si="39"/>
        <v>2032</v>
      </c>
      <c r="P158" s="2231">
        <f t="shared" si="39"/>
        <v>2033</v>
      </c>
      <c r="Q158" s="2232">
        <f t="shared" si="39"/>
        <v>2034</v>
      </c>
    </row>
    <row r="159" spans="1:26" x14ac:dyDescent="0.25">
      <c r="B159" s="2003" t="s">
        <v>3968</v>
      </c>
      <c r="C159" s="1279">
        <f>C153*C155</f>
        <v>1228149.8545454545</v>
      </c>
      <c r="D159" s="1279">
        <f>$C$159</f>
        <v>1228149.8545454545</v>
      </c>
      <c r="E159" s="1279">
        <f t="shared" ref="E159:Q159" si="40">$C$159</f>
        <v>1228149.8545454545</v>
      </c>
      <c r="F159" s="1279">
        <f t="shared" si="40"/>
        <v>1228149.8545454545</v>
      </c>
      <c r="G159" s="1279">
        <f t="shared" si="40"/>
        <v>1228149.8545454545</v>
      </c>
      <c r="H159" s="1279">
        <f t="shared" si="40"/>
        <v>1228149.8545454545</v>
      </c>
      <c r="I159" s="1279">
        <f t="shared" si="40"/>
        <v>1228149.8545454545</v>
      </c>
      <c r="J159" s="1279">
        <f t="shared" si="40"/>
        <v>1228149.8545454545</v>
      </c>
      <c r="K159" s="1279">
        <f t="shared" si="40"/>
        <v>1228149.8545454545</v>
      </c>
      <c r="L159" s="1279">
        <f t="shared" si="40"/>
        <v>1228149.8545454545</v>
      </c>
      <c r="M159" s="1279">
        <f t="shared" si="40"/>
        <v>1228149.8545454545</v>
      </c>
      <c r="N159" s="1279">
        <f t="shared" si="40"/>
        <v>1228149.8545454545</v>
      </c>
      <c r="O159" s="1279">
        <f t="shared" si="40"/>
        <v>1228149.8545454545</v>
      </c>
      <c r="P159" s="1279">
        <f t="shared" si="40"/>
        <v>1228149.8545454545</v>
      </c>
      <c r="Q159" s="1279">
        <f t="shared" si="40"/>
        <v>1228149.8545454545</v>
      </c>
    </row>
    <row r="160" spans="1:26" x14ac:dyDescent="0.25">
      <c r="B160" s="694"/>
    </row>
    <row r="163" spans="2:5" x14ac:dyDescent="0.25">
      <c r="B163" s="689" t="s">
        <v>3971</v>
      </c>
    </row>
    <row r="164" spans="2:5" ht="27" x14ac:dyDescent="0.25">
      <c r="B164" s="917" t="s">
        <v>3972</v>
      </c>
      <c r="C164" s="1329" t="s">
        <v>3973</v>
      </c>
      <c r="D164" s="1329" t="s">
        <v>3974</v>
      </c>
      <c r="E164" s="918" t="s">
        <v>3975</v>
      </c>
    </row>
    <row r="165" spans="2:5" ht="27" x14ac:dyDescent="0.25">
      <c r="B165" s="2366" t="s">
        <v>3976</v>
      </c>
      <c r="C165" s="2367">
        <v>0.18</v>
      </c>
      <c r="D165" s="2368">
        <f>1/(1+C165)</f>
        <v>0.84745762711864414</v>
      </c>
      <c r="E165" s="2369" t="s">
        <v>3977</v>
      </c>
    </row>
    <row r="166" spans="2:5" x14ac:dyDescent="0.25">
      <c r="B166" s="2366" t="s">
        <v>3978</v>
      </c>
      <c r="C166" s="2367">
        <v>0.1</v>
      </c>
      <c r="D166" s="2368">
        <f>1/(1+C166)</f>
        <v>0.90909090909090906</v>
      </c>
      <c r="E166" s="2369" t="s">
        <v>3979</v>
      </c>
    </row>
    <row r="167" spans="2:5" ht="27" x14ac:dyDescent="0.25">
      <c r="B167" s="2366" t="s">
        <v>3980</v>
      </c>
      <c r="C167" s="2367" t="s">
        <v>1426</v>
      </c>
      <c r="D167" s="2368">
        <v>0.6</v>
      </c>
      <c r="E167" s="2369" t="s">
        <v>3981</v>
      </c>
    </row>
    <row r="168" spans="2:5" x14ac:dyDescent="0.25">
      <c r="B168" s="2366" t="s">
        <v>3982</v>
      </c>
      <c r="C168" s="2367" t="s">
        <v>1426</v>
      </c>
      <c r="D168" s="2368">
        <v>1.08</v>
      </c>
      <c r="E168" s="2369"/>
    </row>
    <row r="169" spans="2:5" x14ac:dyDescent="0.25">
      <c r="B169" s="2366" t="s">
        <v>3983</v>
      </c>
      <c r="C169" s="2367">
        <v>0.08</v>
      </c>
      <c r="D169" s="2368" t="s">
        <v>1426</v>
      </c>
      <c r="E169" s="2369" t="s">
        <v>3984</v>
      </c>
    </row>
    <row r="170" spans="2:5" x14ac:dyDescent="0.25">
      <c r="B170" s="694"/>
    </row>
  </sheetData>
  <mergeCells count="21">
    <mergeCell ref="O56:O59"/>
    <mergeCell ref="D57:E57"/>
    <mergeCell ref="D58:E58"/>
    <mergeCell ref="B44:I44"/>
    <mergeCell ref="B6:I6"/>
    <mergeCell ref="B56:B59"/>
    <mergeCell ref="C56:C59"/>
    <mergeCell ref="D56:J56"/>
    <mergeCell ref="N56:N59"/>
    <mergeCell ref="B156:E156"/>
    <mergeCell ref="B82:B85"/>
    <mergeCell ref="C82:C85"/>
    <mergeCell ref="H82:H85"/>
    <mergeCell ref="I82:I85"/>
    <mergeCell ref="B102:D102"/>
    <mergeCell ref="B103:K103"/>
    <mergeCell ref="B107:B108"/>
    <mergeCell ref="C107:C108"/>
    <mergeCell ref="D107:E107"/>
    <mergeCell ref="F107:F108"/>
    <mergeCell ref="B150:E150"/>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99FF66"/>
  </sheetPr>
  <dimension ref="A2:Z152"/>
  <sheetViews>
    <sheetView zoomScale="70" zoomScaleNormal="70" workbookViewId="0">
      <selection activeCell="I19" sqref="I19"/>
    </sheetView>
  </sheetViews>
  <sheetFormatPr baseColWidth="10" defaultColWidth="10.85546875" defaultRowHeight="13.5" x14ac:dyDescent="0.25"/>
  <cols>
    <col min="1" max="1" width="8.42578125" style="691" customWidth="1"/>
    <col min="2" max="2" width="32.28515625" style="691" customWidth="1"/>
    <col min="3" max="3" width="12" style="691" customWidth="1"/>
    <col min="4" max="4" width="10.85546875" style="691" customWidth="1"/>
    <col min="5" max="6" width="11.28515625" style="691" customWidth="1"/>
    <col min="7" max="7" width="10.140625" style="691" customWidth="1"/>
    <col min="8" max="8" width="10.85546875" style="691" customWidth="1"/>
    <col min="9" max="9" width="10.5703125" style="691" customWidth="1"/>
    <col min="10" max="10" width="10" style="691" customWidth="1"/>
    <col min="11" max="11" width="10.140625" style="691" customWidth="1"/>
    <col min="12" max="12" width="10.85546875" style="691" customWidth="1"/>
    <col min="13" max="13" width="11.28515625" style="691" customWidth="1"/>
    <col min="14" max="14" width="10.5703125" style="691" customWidth="1"/>
    <col min="15" max="15" width="10.7109375" style="691" customWidth="1"/>
    <col min="16" max="16" width="10.28515625" style="691" customWidth="1"/>
    <col min="17" max="17" width="10.140625" style="691" customWidth="1"/>
    <col min="18" max="18" width="7.85546875" style="691" customWidth="1"/>
    <col min="19" max="19" width="3.42578125" style="691" customWidth="1"/>
    <col min="20" max="20" width="21.5703125" style="691" customWidth="1"/>
    <col min="21" max="21" width="19.28515625" style="691" customWidth="1"/>
    <col min="22" max="24" width="7.28515625" style="691" customWidth="1"/>
    <col min="25" max="16384" width="10.85546875" style="691"/>
  </cols>
  <sheetData>
    <row r="2" spans="1:21" x14ac:dyDescent="0.25">
      <c r="A2" s="1144"/>
      <c r="B2" s="1144" t="s">
        <v>3985</v>
      </c>
      <c r="C2" s="1144"/>
      <c r="D2" s="1144"/>
      <c r="E2" s="1144"/>
      <c r="F2" s="1144"/>
      <c r="G2" s="1751"/>
      <c r="H2" s="1751"/>
      <c r="I2" s="1751"/>
      <c r="J2" s="1751"/>
      <c r="K2" s="1751"/>
      <c r="L2" s="1751"/>
      <c r="M2" s="1751"/>
      <c r="N2" s="1751"/>
      <c r="O2" s="1751"/>
      <c r="P2" s="1751"/>
      <c r="Q2" s="1751"/>
      <c r="R2" s="1751"/>
    </row>
    <row r="3" spans="1:21" x14ac:dyDescent="0.25">
      <c r="B3" s="689"/>
      <c r="C3" s="1751"/>
      <c r="D3" s="1751"/>
      <c r="E3" s="1751"/>
      <c r="F3" s="1751"/>
      <c r="G3" s="1751"/>
      <c r="H3" s="1751"/>
      <c r="I3" s="1751"/>
      <c r="J3" s="1751"/>
      <c r="K3" s="1751"/>
      <c r="L3" s="1751"/>
      <c r="M3" s="1751"/>
      <c r="N3" s="1751"/>
      <c r="O3" s="1751"/>
      <c r="P3" s="1751"/>
      <c r="Q3" s="1751"/>
      <c r="R3" s="1751"/>
      <c r="T3" s="689" t="s">
        <v>3986</v>
      </c>
    </row>
    <row r="4" spans="1:21" x14ac:dyDescent="0.25">
      <c r="B4" s="2344" t="s">
        <v>194</v>
      </c>
      <c r="C4" s="2428" t="s">
        <v>1961</v>
      </c>
      <c r="D4" s="2428" t="s">
        <v>1962</v>
      </c>
      <c r="E4" s="2428" t="s">
        <v>1963</v>
      </c>
      <c r="F4" s="2428" t="s">
        <v>2001</v>
      </c>
      <c r="G4" s="2428" t="s">
        <v>2002</v>
      </c>
      <c r="H4" s="2428" t="s">
        <v>2003</v>
      </c>
      <c r="I4" s="2428" t="s">
        <v>2004</v>
      </c>
      <c r="J4" s="2428" t="s">
        <v>2005</v>
      </c>
      <c r="K4" s="2428" t="s">
        <v>2006</v>
      </c>
      <c r="L4" s="2428" t="s">
        <v>2007</v>
      </c>
      <c r="M4" s="2428" t="s">
        <v>2008</v>
      </c>
      <c r="N4" s="2428" t="s">
        <v>2009</v>
      </c>
      <c r="O4" s="2428" t="s">
        <v>2010</v>
      </c>
      <c r="P4" s="2428" t="s">
        <v>2011</v>
      </c>
      <c r="Q4" s="2428" t="s">
        <v>2012</v>
      </c>
      <c r="R4" s="1751"/>
      <c r="T4" s="2411" t="s">
        <v>3913</v>
      </c>
      <c r="U4" s="2411" t="s">
        <v>384</v>
      </c>
    </row>
    <row r="5" spans="1:21" x14ac:dyDescent="0.25">
      <c r="B5" s="2163" t="s">
        <v>194</v>
      </c>
      <c r="C5" s="2410">
        <v>2020</v>
      </c>
      <c r="D5" s="2410">
        <f>C5+1</f>
        <v>2021</v>
      </c>
      <c r="E5" s="2410">
        <f>D5+1</f>
        <v>2022</v>
      </c>
      <c r="F5" s="2164">
        <f t="shared" ref="F5:Q5" si="0">E5+1</f>
        <v>2023</v>
      </c>
      <c r="G5" s="2164">
        <f t="shared" si="0"/>
        <v>2024</v>
      </c>
      <c r="H5" s="2164">
        <f t="shared" si="0"/>
        <v>2025</v>
      </c>
      <c r="I5" s="2164">
        <f t="shared" si="0"/>
        <v>2026</v>
      </c>
      <c r="J5" s="2164">
        <f t="shared" si="0"/>
        <v>2027</v>
      </c>
      <c r="K5" s="2164">
        <f t="shared" si="0"/>
        <v>2028</v>
      </c>
      <c r="L5" s="2164">
        <f t="shared" si="0"/>
        <v>2029</v>
      </c>
      <c r="M5" s="2164">
        <f t="shared" si="0"/>
        <v>2030</v>
      </c>
      <c r="N5" s="2164">
        <f t="shared" si="0"/>
        <v>2031</v>
      </c>
      <c r="O5" s="2164">
        <f t="shared" si="0"/>
        <v>2032</v>
      </c>
      <c r="P5" s="2164">
        <f t="shared" si="0"/>
        <v>2033</v>
      </c>
      <c r="Q5" s="2165">
        <f t="shared" si="0"/>
        <v>2034</v>
      </c>
      <c r="R5" s="1751"/>
      <c r="T5" s="2411"/>
      <c r="U5" s="2411"/>
    </row>
    <row r="6" spans="1:21" x14ac:dyDescent="0.25">
      <c r="B6" s="1278" t="s">
        <v>206</v>
      </c>
      <c r="C6" s="1281">
        <v>6</v>
      </c>
      <c r="D6" s="1281">
        <v>6</v>
      </c>
      <c r="E6" s="1281">
        <v>6</v>
      </c>
      <c r="F6" s="1281">
        <v>6</v>
      </c>
      <c r="G6" s="1281">
        <v>6</v>
      </c>
      <c r="H6" s="1281">
        <v>7</v>
      </c>
      <c r="I6" s="1281">
        <v>7</v>
      </c>
      <c r="J6" s="1281">
        <v>7</v>
      </c>
      <c r="K6" s="1281">
        <v>7</v>
      </c>
      <c r="L6" s="1281">
        <v>7</v>
      </c>
      <c r="M6" s="1281">
        <v>7</v>
      </c>
      <c r="N6" s="1281">
        <v>7</v>
      </c>
      <c r="O6" s="1281">
        <v>7</v>
      </c>
      <c r="P6" s="1281">
        <v>7</v>
      </c>
      <c r="Q6" s="1281">
        <v>7</v>
      </c>
      <c r="R6" s="1751"/>
      <c r="T6" s="2411"/>
      <c r="U6" s="2411"/>
    </row>
    <row r="7" spans="1:21" ht="27" x14ac:dyDescent="0.25">
      <c r="B7" s="1322" t="s">
        <v>3126</v>
      </c>
      <c r="C7" s="1281">
        <v>2</v>
      </c>
      <c r="D7" s="1281">
        <v>2</v>
      </c>
      <c r="E7" s="1281">
        <v>2</v>
      </c>
      <c r="F7" s="1281">
        <v>2</v>
      </c>
      <c r="G7" s="1281">
        <v>2</v>
      </c>
      <c r="H7" s="1281">
        <v>2</v>
      </c>
      <c r="I7" s="1281">
        <v>2</v>
      </c>
      <c r="J7" s="1281">
        <v>2</v>
      </c>
      <c r="K7" s="1281">
        <v>2</v>
      </c>
      <c r="L7" s="1281">
        <v>2</v>
      </c>
      <c r="M7" s="1281">
        <v>2</v>
      </c>
      <c r="N7" s="1281">
        <v>2</v>
      </c>
      <c r="O7" s="1281">
        <v>2</v>
      </c>
      <c r="P7" s="1281">
        <v>2</v>
      </c>
      <c r="Q7" s="1281">
        <v>2</v>
      </c>
      <c r="R7" s="1751"/>
      <c r="T7" s="2375" t="s">
        <v>3913</v>
      </c>
      <c r="U7" s="2424" t="s">
        <v>384</v>
      </c>
    </row>
    <row r="8" spans="1:21" ht="27" x14ac:dyDescent="0.25">
      <c r="B8" s="2446" t="s">
        <v>3987</v>
      </c>
      <c r="C8" s="2167">
        <v>0</v>
      </c>
      <c r="D8" s="2167">
        <v>0</v>
      </c>
      <c r="E8" s="2167">
        <v>0</v>
      </c>
      <c r="F8" s="2167">
        <v>0</v>
      </c>
      <c r="G8" s="2167">
        <v>0</v>
      </c>
      <c r="H8" s="2167">
        <v>0</v>
      </c>
      <c r="I8" s="2167">
        <v>0</v>
      </c>
      <c r="J8" s="2167">
        <v>0</v>
      </c>
      <c r="K8" s="2167">
        <v>0</v>
      </c>
      <c r="L8" s="2167">
        <v>0</v>
      </c>
      <c r="M8" s="2167">
        <v>0</v>
      </c>
      <c r="N8" s="2167">
        <v>0</v>
      </c>
      <c r="O8" s="2167">
        <v>0</v>
      </c>
      <c r="P8" s="2167">
        <v>0</v>
      </c>
      <c r="Q8" s="2167">
        <v>0</v>
      </c>
      <c r="R8" s="1751"/>
      <c r="T8" s="4880" t="s">
        <v>3930</v>
      </c>
      <c r="U8" s="4880"/>
    </row>
    <row r="9" spans="1:21" x14ac:dyDescent="0.25">
      <c r="B9" s="1278" t="s">
        <v>3128</v>
      </c>
      <c r="C9" s="1281">
        <v>3</v>
      </c>
      <c r="D9" s="1281">
        <v>3</v>
      </c>
      <c r="E9" s="1281">
        <v>3</v>
      </c>
      <c r="F9" s="1281">
        <v>3</v>
      </c>
      <c r="G9" s="1281">
        <v>3</v>
      </c>
      <c r="H9" s="1281">
        <v>3</v>
      </c>
      <c r="I9" s="1281">
        <v>3</v>
      </c>
      <c r="J9" s="1281">
        <v>3</v>
      </c>
      <c r="K9" s="1281">
        <v>3</v>
      </c>
      <c r="L9" s="1281">
        <v>3</v>
      </c>
      <c r="M9" s="1281">
        <v>4</v>
      </c>
      <c r="N9" s="1281">
        <v>4</v>
      </c>
      <c r="O9" s="1281">
        <v>4</v>
      </c>
      <c r="P9" s="1281">
        <v>4</v>
      </c>
      <c r="Q9" s="1281">
        <v>4</v>
      </c>
      <c r="R9" s="1751"/>
      <c r="T9" s="2358" t="s">
        <v>3931</v>
      </c>
      <c r="U9" s="2357">
        <v>96600</v>
      </c>
    </row>
    <row r="10" spans="1:21" x14ac:dyDescent="0.25">
      <c r="B10" s="2122" t="s">
        <v>3129</v>
      </c>
      <c r="C10" s="2167">
        <v>0</v>
      </c>
      <c r="D10" s="2167">
        <v>0</v>
      </c>
      <c r="E10" s="2167">
        <v>0</v>
      </c>
      <c r="F10" s="2167">
        <v>0</v>
      </c>
      <c r="G10" s="2167">
        <v>0</v>
      </c>
      <c r="H10" s="2167">
        <v>0</v>
      </c>
      <c r="I10" s="2167">
        <v>0</v>
      </c>
      <c r="J10" s="2167">
        <v>0</v>
      </c>
      <c r="K10" s="2167">
        <v>0</v>
      </c>
      <c r="L10" s="2167">
        <v>0</v>
      </c>
      <c r="M10" s="2167">
        <v>0</v>
      </c>
      <c r="N10" s="2167">
        <v>0</v>
      </c>
      <c r="O10" s="2167">
        <v>0</v>
      </c>
      <c r="P10" s="2167">
        <v>0</v>
      </c>
      <c r="Q10" s="2167">
        <v>0</v>
      </c>
      <c r="R10" s="1751"/>
      <c r="T10" s="2358" t="s">
        <v>3988</v>
      </c>
      <c r="U10" s="2357">
        <f>'24.1 Remun. RR.HH sin PI'!N62</f>
        <v>88161.52</v>
      </c>
    </row>
    <row r="11" spans="1:21" x14ac:dyDescent="0.25">
      <c r="B11" s="2122" t="s">
        <v>3130</v>
      </c>
      <c r="C11" s="2167">
        <v>0</v>
      </c>
      <c r="D11" s="2167">
        <v>0</v>
      </c>
      <c r="E11" s="2167">
        <v>0</v>
      </c>
      <c r="F11" s="2167">
        <v>0</v>
      </c>
      <c r="G11" s="2167">
        <v>0</v>
      </c>
      <c r="H11" s="2167">
        <v>0</v>
      </c>
      <c r="I11" s="2167">
        <v>0</v>
      </c>
      <c r="J11" s="2167">
        <v>0</v>
      </c>
      <c r="K11" s="2167">
        <v>0</v>
      </c>
      <c r="L11" s="2167">
        <v>0</v>
      </c>
      <c r="M11" s="2167">
        <v>0</v>
      </c>
      <c r="N11" s="2167">
        <v>0</v>
      </c>
      <c r="O11" s="2167">
        <v>0</v>
      </c>
      <c r="P11" s="2167">
        <v>0</v>
      </c>
      <c r="Q11" s="2167">
        <v>0</v>
      </c>
      <c r="R11" s="1751"/>
      <c r="T11" s="2358" t="s">
        <v>3989</v>
      </c>
      <c r="U11" s="2357">
        <v>53732.680000000008</v>
      </c>
    </row>
    <row r="12" spans="1:21" ht="27" x14ac:dyDescent="0.25">
      <c r="B12" s="2446" t="s">
        <v>3990</v>
      </c>
      <c r="C12" s="2167">
        <v>0</v>
      </c>
      <c r="D12" s="2167">
        <v>0</v>
      </c>
      <c r="E12" s="2167">
        <v>0</v>
      </c>
      <c r="F12" s="2167">
        <v>0</v>
      </c>
      <c r="G12" s="2167">
        <v>0</v>
      </c>
      <c r="H12" s="2167">
        <v>0</v>
      </c>
      <c r="I12" s="2167">
        <v>0</v>
      </c>
      <c r="J12" s="2167">
        <v>0</v>
      </c>
      <c r="K12" s="2167">
        <v>0</v>
      </c>
      <c r="L12" s="2167">
        <v>0</v>
      </c>
      <c r="M12" s="2167">
        <v>0</v>
      </c>
      <c r="N12" s="2167">
        <v>0</v>
      </c>
      <c r="O12" s="2167">
        <v>0</v>
      </c>
      <c r="P12" s="2167">
        <v>0</v>
      </c>
      <c r="Q12" s="2167">
        <v>0</v>
      </c>
      <c r="R12" s="1751"/>
      <c r="T12" s="2358" t="s">
        <v>3991</v>
      </c>
      <c r="U12" s="2357">
        <f>'24.1 Remun. RR.HH sin PI'!N71</f>
        <v>35218</v>
      </c>
    </row>
    <row r="13" spans="1:21" ht="27" x14ac:dyDescent="0.25">
      <c r="B13" s="1322" t="s">
        <v>3992</v>
      </c>
      <c r="C13" s="1281">
        <v>3</v>
      </c>
      <c r="D13" s="1281">
        <v>3</v>
      </c>
      <c r="E13" s="1281">
        <v>3</v>
      </c>
      <c r="F13" s="1281">
        <v>3</v>
      </c>
      <c r="G13" s="1281">
        <v>3</v>
      </c>
      <c r="H13" s="1281">
        <v>3</v>
      </c>
      <c r="I13" s="1281">
        <v>3</v>
      </c>
      <c r="J13" s="1281">
        <v>3</v>
      </c>
      <c r="K13" s="1281">
        <v>3</v>
      </c>
      <c r="L13" s="1281">
        <v>3</v>
      </c>
      <c r="M13" s="1281">
        <v>3</v>
      </c>
      <c r="N13" s="1281">
        <v>3</v>
      </c>
      <c r="O13" s="1281">
        <v>3</v>
      </c>
      <c r="P13" s="1281">
        <v>3</v>
      </c>
      <c r="Q13" s="1281">
        <v>3</v>
      </c>
      <c r="R13" s="1751"/>
      <c r="T13" s="2358" t="s">
        <v>3993</v>
      </c>
      <c r="U13" s="2357">
        <v>31204</v>
      </c>
    </row>
    <row r="14" spans="1:21" x14ac:dyDescent="0.25">
      <c r="B14" s="2122" t="s">
        <v>3133</v>
      </c>
      <c r="C14" s="2167">
        <v>0</v>
      </c>
      <c r="D14" s="2167">
        <v>0</v>
      </c>
      <c r="E14" s="2167">
        <v>0</v>
      </c>
      <c r="F14" s="2167">
        <v>0</v>
      </c>
      <c r="G14" s="2167">
        <v>0</v>
      </c>
      <c r="H14" s="2167">
        <v>0</v>
      </c>
      <c r="I14" s="2167">
        <v>0</v>
      </c>
      <c r="J14" s="2167">
        <v>0</v>
      </c>
      <c r="K14" s="2167">
        <v>0</v>
      </c>
      <c r="L14" s="2167">
        <v>0</v>
      </c>
      <c r="M14" s="2167">
        <v>0</v>
      </c>
      <c r="N14" s="2167">
        <v>0</v>
      </c>
      <c r="O14" s="2167">
        <v>0</v>
      </c>
      <c r="P14" s="2167">
        <v>0</v>
      </c>
      <c r="Q14" s="2167">
        <v>0</v>
      </c>
      <c r="R14" s="1751"/>
      <c r="T14" s="4883" t="s">
        <v>3944</v>
      </c>
      <c r="U14" s="4884"/>
    </row>
    <row r="15" spans="1:21" x14ac:dyDescent="0.25">
      <c r="B15" s="2122" t="s">
        <v>3134</v>
      </c>
      <c r="C15" s="2167">
        <v>0</v>
      </c>
      <c r="D15" s="2167">
        <v>0</v>
      </c>
      <c r="E15" s="2167">
        <v>0</v>
      </c>
      <c r="F15" s="2167">
        <v>0</v>
      </c>
      <c r="G15" s="2167">
        <v>0</v>
      </c>
      <c r="H15" s="2167">
        <v>0</v>
      </c>
      <c r="I15" s="2167">
        <v>0</v>
      </c>
      <c r="J15" s="2167">
        <v>0</v>
      </c>
      <c r="K15" s="2167">
        <v>0</v>
      </c>
      <c r="L15" s="2167">
        <v>0</v>
      </c>
      <c r="M15" s="2167">
        <v>0</v>
      </c>
      <c r="N15" s="2167">
        <v>0</v>
      </c>
      <c r="O15" s="2167">
        <v>0</v>
      </c>
      <c r="P15" s="2167">
        <v>0</v>
      </c>
      <c r="Q15" s="2167">
        <v>0</v>
      </c>
      <c r="R15" s="1751"/>
      <c r="T15" s="2358" t="s">
        <v>3994</v>
      </c>
      <c r="U15" s="2357">
        <v>53732.680000000008</v>
      </c>
    </row>
    <row r="16" spans="1:21" x14ac:dyDescent="0.25">
      <c r="B16" s="2122" t="s">
        <v>3135</v>
      </c>
      <c r="C16" s="2167">
        <v>0</v>
      </c>
      <c r="D16" s="2167">
        <v>0</v>
      </c>
      <c r="E16" s="2167">
        <v>0</v>
      </c>
      <c r="F16" s="2167">
        <v>0</v>
      </c>
      <c r="G16" s="2167">
        <v>0</v>
      </c>
      <c r="H16" s="2167">
        <v>0</v>
      </c>
      <c r="I16" s="2167">
        <v>0</v>
      </c>
      <c r="J16" s="2167">
        <v>0</v>
      </c>
      <c r="K16" s="2167">
        <v>0</v>
      </c>
      <c r="L16" s="2167">
        <v>0</v>
      </c>
      <c r="M16" s="2167">
        <v>0</v>
      </c>
      <c r="N16" s="2167">
        <v>0</v>
      </c>
      <c r="O16" s="2167">
        <v>0</v>
      </c>
      <c r="P16" s="2167">
        <v>0</v>
      </c>
      <c r="Q16" s="2167">
        <v>0</v>
      </c>
      <c r="R16" s="1751"/>
      <c r="T16" s="2358" t="s">
        <v>3991</v>
      </c>
      <c r="U16" s="2357">
        <v>35218</v>
      </c>
    </row>
    <row r="17" spans="2:21" x14ac:dyDescent="0.25">
      <c r="B17" s="2122" t="s">
        <v>3136</v>
      </c>
      <c r="C17" s="2167">
        <v>0</v>
      </c>
      <c r="D17" s="2167">
        <v>0</v>
      </c>
      <c r="E17" s="2167">
        <v>0</v>
      </c>
      <c r="F17" s="2167">
        <v>0</v>
      </c>
      <c r="G17" s="2167">
        <v>0</v>
      </c>
      <c r="H17" s="2167">
        <v>0</v>
      </c>
      <c r="I17" s="2167">
        <v>0</v>
      </c>
      <c r="J17" s="2167">
        <v>0</v>
      </c>
      <c r="K17" s="2167">
        <v>0</v>
      </c>
      <c r="L17" s="2167">
        <v>0</v>
      </c>
      <c r="M17" s="2167">
        <v>0</v>
      </c>
      <c r="N17" s="2167">
        <v>0</v>
      </c>
      <c r="O17" s="2167">
        <v>0</v>
      </c>
      <c r="P17" s="2167">
        <v>0</v>
      </c>
      <c r="Q17" s="2167">
        <v>0</v>
      </c>
      <c r="R17" s="1751"/>
      <c r="T17" s="2358" t="s">
        <v>3993</v>
      </c>
      <c r="U17" s="2357">
        <f>'24.1 Remun. RR.HH sin PI'!N77</f>
        <v>31204</v>
      </c>
    </row>
    <row r="18" spans="2:21" x14ac:dyDescent="0.25">
      <c r="B18" s="1278" t="s">
        <v>216</v>
      </c>
      <c r="C18" s="1281">
        <v>2</v>
      </c>
      <c r="D18" s="1281">
        <v>2</v>
      </c>
      <c r="E18" s="1281">
        <v>2</v>
      </c>
      <c r="F18" s="1281">
        <v>2</v>
      </c>
      <c r="G18" s="1281">
        <v>2</v>
      </c>
      <c r="H18" s="1281">
        <v>2</v>
      </c>
      <c r="I18" s="1281">
        <v>2</v>
      </c>
      <c r="J18" s="1281">
        <v>2</v>
      </c>
      <c r="K18" s="1281">
        <v>2</v>
      </c>
      <c r="L18" s="1281">
        <v>2</v>
      </c>
      <c r="M18" s="1281">
        <v>2</v>
      </c>
      <c r="N18" s="1281">
        <v>2</v>
      </c>
      <c r="O18" s="1281">
        <v>2</v>
      </c>
      <c r="P18" s="1281">
        <v>2</v>
      </c>
      <c r="Q18" s="1281">
        <v>2</v>
      </c>
      <c r="R18" s="1751"/>
      <c r="T18" s="2358" t="s">
        <v>3995</v>
      </c>
      <c r="U18" s="2357">
        <f>U17</f>
        <v>31204</v>
      </c>
    </row>
    <row r="19" spans="2:21" x14ac:dyDescent="0.25">
      <c r="B19" s="1278" t="s">
        <v>217</v>
      </c>
      <c r="C19" s="1281">
        <v>10</v>
      </c>
      <c r="D19" s="1281">
        <v>10</v>
      </c>
      <c r="E19" s="1281">
        <v>10</v>
      </c>
      <c r="F19" s="1281">
        <v>10</v>
      </c>
      <c r="G19" s="1281">
        <v>10</v>
      </c>
      <c r="H19" s="1281">
        <v>10</v>
      </c>
      <c r="I19" s="1281">
        <v>10</v>
      </c>
      <c r="J19" s="1281">
        <v>10</v>
      </c>
      <c r="K19" s="1281">
        <v>10</v>
      </c>
      <c r="L19" s="1281">
        <v>10</v>
      </c>
      <c r="M19" s="1281">
        <v>11</v>
      </c>
      <c r="N19" s="1281">
        <v>11</v>
      </c>
      <c r="O19" s="1281">
        <v>11</v>
      </c>
      <c r="P19" s="1281">
        <v>11</v>
      </c>
      <c r="Q19" s="1281">
        <v>11</v>
      </c>
      <c r="R19" s="1751"/>
      <c r="U19" s="1296"/>
    </row>
    <row r="20" spans="2:21" x14ac:dyDescent="0.25">
      <c r="B20" s="1278" t="s">
        <v>218</v>
      </c>
      <c r="C20" s="1281">
        <v>2</v>
      </c>
      <c r="D20" s="1281">
        <v>2</v>
      </c>
      <c r="E20" s="1281">
        <v>2</v>
      </c>
      <c r="F20" s="1281">
        <v>2</v>
      </c>
      <c r="G20" s="1281">
        <v>2</v>
      </c>
      <c r="H20" s="1281">
        <v>2</v>
      </c>
      <c r="I20" s="1281">
        <v>2</v>
      </c>
      <c r="J20" s="1281">
        <v>2</v>
      </c>
      <c r="K20" s="1281">
        <v>2</v>
      </c>
      <c r="L20" s="1281">
        <v>2</v>
      </c>
      <c r="M20" s="1281">
        <v>2</v>
      </c>
      <c r="N20" s="1281">
        <v>2</v>
      </c>
      <c r="O20" s="1281">
        <v>2</v>
      </c>
      <c r="P20" s="1281">
        <v>2</v>
      </c>
      <c r="Q20" s="1281">
        <v>2</v>
      </c>
      <c r="R20" s="1751"/>
      <c r="U20" s="1296"/>
    </row>
    <row r="21" spans="2:21" x14ac:dyDescent="0.25">
      <c r="B21" s="1278" t="s">
        <v>353</v>
      </c>
      <c r="C21" s="1281">
        <v>6</v>
      </c>
      <c r="D21" s="1281">
        <v>6</v>
      </c>
      <c r="E21" s="1281">
        <v>6</v>
      </c>
      <c r="F21" s="1281">
        <v>6</v>
      </c>
      <c r="G21" s="1281">
        <v>6</v>
      </c>
      <c r="H21" s="1281">
        <v>6</v>
      </c>
      <c r="I21" s="1281">
        <v>6</v>
      </c>
      <c r="J21" s="1281">
        <v>6</v>
      </c>
      <c r="K21" s="1281">
        <v>6</v>
      </c>
      <c r="L21" s="1281">
        <v>6</v>
      </c>
      <c r="M21" s="1281">
        <v>6</v>
      </c>
      <c r="N21" s="1281">
        <v>6</v>
      </c>
      <c r="O21" s="1281">
        <v>6</v>
      </c>
      <c r="P21" s="1281">
        <v>6</v>
      </c>
      <c r="Q21" s="1281">
        <v>6</v>
      </c>
      <c r="R21" s="1751"/>
      <c r="U21" s="1296"/>
    </row>
    <row r="22" spans="2:21" x14ac:dyDescent="0.25">
      <c r="B22" s="1278" t="s">
        <v>220</v>
      </c>
      <c r="C22" s="1281">
        <v>2</v>
      </c>
      <c r="D22" s="1281">
        <v>2</v>
      </c>
      <c r="E22" s="1281">
        <v>2</v>
      </c>
      <c r="F22" s="1281">
        <v>2</v>
      </c>
      <c r="G22" s="1281">
        <v>2</v>
      </c>
      <c r="H22" s="1281">
        <v>2</v>
      </c>
      <c r="I22" s="1281">
        <v>2</v>
      </c>
      <c r="J22" s="1281">
        <v>2</v>
      </c>
      <c r="K22" s="1281">
        <v>2</v>
      </c>
      <c r="L22" s="1281">
        <v>2</v>
      </c>
      <c r="M22" s="1281">
        <v>2</v>
      </c>
      <c r="N22" s="1281">
        <v>2</v>
      </c>
      <c r="O22" s="1281">
        <v>2</v>
      </c>
      <c r="P22" s="1281">
        <v>2</v>
      </c>
      <c r="Q22" s="1281">
        <v>2</v>
      </c>
      <c r="R22" s="1751"/>
      <c r="U22" s="1296"/>
    </row>
    <row r="23" spans="2:21" x14ac:dyDescent="0.25">
      <c r="B23" s="1278" t="s">
        <v>221</v>
      </c>
      <c r="C23" s="1281">
        <v>2</v>
      </c>
      <c r="D23" s="1281">
        <v>2</v>
      </c>
      <c r="E23" s="1281">
        <v>2</v>
      </c>
      <c r="F23" s="1281">
        <v>2</v>
      </c>
      <c r="G23" s="1281">
        <v>2</v>
      </c>
      <c r="H23" s="1281">
        <v>2</v>
      </c>
      <c r="I23" s="1281">
        <v>2</v>
      </c>
      <c r="J23" s="1281">
        <v>2</v>
      </c>
      <c r="K23" s="1281">
        <v>2</v>
      </c>
      <c r="L23" s="1281">
        <v>2</v>
      </c>
      <c r="M23" s="1281">
        <v>2</v>
      </c>
      <c r="N23" s="1281">
        <v>2</v>
      </c>
      <c r="O23" s="1281">
        <v>2</v>
      </c>
      <c r="P23" s="1281">
        <v>2</v>
      </c>
      <c r="Q23" s="1281">
        <v>2</v>
      </c>
      <c r="R23" s="1751"/>
      <c r="U23" s="1296"/>
    </row>
    <row r="24" spans="2:21" x14ac:dyDescent="0.25">
      <c r="B24" s="1278" t="s">
        <v>222</v>
      </c>
      <c r="C24" s="1281">
        <v>2</v>
      </c>
      <c r="D24" s="1281">
        <v>2</v>
      </c>
      <c r="E24" s="1281">
        <v>2</v>
      </c>
      <c r="F24" s="1281">
        <v>2</v>
      </c>
      <c r="G24" s="1281">
        <v>2</v>
      </c>
      <c r="H24" s="1281">
        <v>2</v>
      </c>
      <c r="I24" s="1281">
        <v>2</v>
      </c>
      <c r="J24" s="1281">
        <v>2</v>
      </c>
      <c r="K24" s="1281">
        <v>2</v>
      </c>
      <c r="L24" s="1281">
        <v>2</v>
      </c>
      <c r="M24" s="1281">
        <v>2</v>
      </c>
      <c r="N24" s="1281">
        <v>2</v>
      </c>
      <c r="O24" s="1281">
        <v>2</v>
      </c>
      <c r="P24" s="1281">
        <v>2</v>
      </c>
      <c r="Q24" s="1281">
        <v>2</v>
      </c>
      <c r="R24" s="1751"/>
    </row>
    <row r="25" spans="2:21" x14ac:dyDescent="0.25">
      <c r="B25" s="1278" t="s">
        <v>3137</v>
      </c>
      <c r="C25" s="1281">
        <v>1</v>
      </c>
      <c r="D25" s="1281">
        <v>1</v>
      </c>
      <c r="E25" s="1281">
        <v>1</v>
      </c>
      <c r="F25" s="1281">
        <v>1</v>
      </c>
      <c r="G25" s="1281">
        <v>1</v>
      </c>
      <c r="H25" s="1281">
        <v>1</v>
      </c>
      <c r="I25" s="1281">
        <v>1</v>
      </c>
      <c r="J25" s="1281">
        <v>1</v>
      </c>
      <c r="K25" s="1281">
        <v>2</v>
      </c>
      <c r="L25" s="1281">
        <v>2</v>
      </c>
      <c r="M25" s="1281">
        <v>2</v>
      </c>
      <c r="N25" s="1281">
        <v>2</v>
      </c>
      <c r="O25" s="1281">
        <v>2</v>
      </c>
      <c r="P25" s="1281">
        <v>2</v>
      </c>
      <c r="Q25" s="1281">
        <v>2</v>
      </c>
      <c r="R25" s="1751"/>
    </row>
    <row r="26" spans="2:21" ht="27" x14ac:dyDescent="0.25">
      <c r="B26" s="2446" t="s">
        <v>3996</v>
      </c>
      <c r="C26" s="2167">
        <v>0</v>
      </c>
      <c r="D26" s="2167">
        <v>0</v>
      </c>
      <c r="E26" s="2167">
        <v>0</v>
      </c>
      <c r="F26" s="2167">
        <v>0</v>
      </c>
      <c r="G26" s="2167">
        <v>0</v>
      </c>
      <c r="H26" s="2167">
        <v>0</v>
      </c>
      <c r="I26" s="2167">
        <v>0</v>
      </c>
      <c r="J26" s="2167">
        <v>0</v>
      </c>
      <c r="K26" s="2167">
        <v>0</v>
      </c>
      <c r="L26" s="2167">
        <v>0</v>
      </c>
      <c r="M26" s="2167">
        <v>0</v>
      </c>
      <c r="N26" s="2167">
        <v>0</v>
      </c>
      <c r="O26" s="2167">
        <v>0</v>
      </c>
      <c r="P26" s="2167">
        <v>0</v>
      </c>
      <c r="Q26" s="2167">
        <v>0</v>
      </c>
      <c r="R26" s="1751"/>
    </row>
    <row r="27" spans="2:21" ht="27" x14ac:dyDescent="0.25">
      <c r="B27" s="1322" t="s">
        <v>3139</v>
      </c>
      <c r="C27" s="1281">
        <v>2</v>
      </c>
      <c r="D27" s="1281">
        <v>2</v>
      </c>
      <c r="E27" s="1281">
        <v>2</v>
      </c>
      <c r="F27" s="1281">
        <v>2</v>
      </c>
      <c r="G27" s="1281">
        <v>2</v>
      </c>
      <c r="H27" s="1281">
        <v>2</v>
      </c>
      <c r="I27" s="1281">
        <v>2</v>
      </c>
      <c r="J27" s="1281">
        <v>2</v>
      </c>
      <c r="K27" s="1281">
        <v>2</v>
      </c>
      <c r="L27" s="1281">
        <v>2</v>
      </c>
      <c r="M27" s="1281">
        <v>2</v>
      </c>
      <c r="N27" s="1281">
        <v>2</v>
      </c>
      <c r="O27" s="1281">
        <v>2</v>
      </c>
      <c r="P27" s="1281">
        <v>2</v>
      </c>
      <c r="Q27" s="1281">
        <v>2</v>
      </c>
      <c r="R27" s="1751"/>
    </row>
    <row r="28" spans="2:21" x14ac:dyDescent="0.25">
      <c r="B28" s="1278" t="s">
        <v>226</v>
      </c>
      <c r="C28" s="1281">
        <v>11</v>
      </c>
      <c r="D28" s="1281">
        <v>11</v>
      </c>
      <c r="E28" s="1281">
        <v>11</v>
      </c>
      <c r="F28" s="1281">
        <v>11</v>
      </c>
      <c r="G28" s="1281">
        <v>11</v>
      </c>
      <c r="H28" s="1281">
        <v>11</v>
      </c>
      <c r="I28" s="1281">
        <v>11</v>
      </c>
      <c r="J28" s="1281">
        <v>11</v>
      </c>
      <c r="K28" s="1281">
        <v>11</v>
      </c>
      <c r="L28" s="1281">
        <v>11</v>
      </c>
      <c r="M28" s="1281">
        <v>11</v>
      </c>
      <c r="N28" s="1281">
        <v>11</v>
      </c>
      <c r="O28" s="1281">
        <v>12</v>
      </c>
      <c r="P28" s="1281">
        <v>12</v>
      </c>
      <c r="Q28" s="1281">
        <v>12</v>
      </c>
      <c r="R28" s="1751"/>
    </row>
    <row r="29" spans="2:21" x14ac:dyDescent="0.25">
      <c r="B29" s="1278" t="s">
        <v>227</v>
      </c>
      <c r="C29" s="1281">
        <v>1</v>
      </c>
      <c r="D29" s="1281">
        <v>1</v>
      </c>
      <c r="E29" s="1281">
        <v>1</v>
      </c>
      <c r="F29" s="1281">
        <v>1</v>
      </c>
      <c r="G29" s="1281">
        <v>1</v>
      </c>
      <c r="H29" s="1281">
        <v>1</v>
      </c>
      <c r="I29" s="1281">
        <v>1</v>
      </c>
      <c r="J29" s="1281">
        <v>1</v>
      </c>
      <c r="K29" s="1281">
        <v>1</v>
      </c>
      <c r="L29" s="1281">
        <v>1</v>
      </c>
      <c r="M29" s="1281">
        <v>1</v>
      </c>
      <c r="N29" s="1281">
        <v>1</v>
      </c>
      <c r="O29" s="1281">
        <v>1</v>
      </c>
      <c r="P29" s="1281">
        <v>1</v>
      </c>
      <c r="Q29" s="1281">
        <v>1</v>
      </c>
      <c r="R29" s="1751"/>
    </row>
    <row r="30" spans="2:21" x14ac:dyDescent="0.25">
      <c r="B30" s="1278" t="s">
        <v>228</v>
      </c>
      <c r="C30" s="1281">
        <v>0</v>
      </c>
      <c r="D30" s="1281">
        <v>0</v>
      </c>
      <c r="E30" s="1281">
        <v>0</v>
      </c>
      <c r="F30" s="1281">
        <v>0</v>
      </c>
      <c r="G30" s="1281">
        <v>0</v>
      </c>
      <c r="H30" s="1281">
        <v>0</v>
      </c>
      <c r="I30" s="1281">
        <v>0</v>
      </c>
      <c r="J30" s="1281">
        <v>0</v>
      </c>
      <c r="K30" s="1281">
        <v>0</v>
      </c>
      <c r="L30" s="1281">
        <v>0</v>
      </c>
      <c r="M30" s="1281">
        <v>0</v>
      </c>
      <c r="N30" s="1281">
        <v>0</v>
      </c>
      <c r="O30" s="1281">
        <v>0</v>
      </c>
      <c r="P30" s="1281">
        <v>0</v>
      </c>
      <c r="Q30" s="1281">
        <v>0</v>
      </c>
      <c r="R30" s="1751"/>
    </row>
    <row r="31" spans="2:21" x14ac:dyDescent="0.25">
      <c r="B31" s="1278" t="s">
        <v>229</v>
      </c>
      <c r="C31" s="1281">
        <v>1</v>
      </c>
      <c r="D31" s="1281">
        <v>1</v>
      </c>
      <c r="E31" s="1281">
        <v>1</v>
      </c>
      <c r="F31" s="1281">
        <v>1</v>
      </c>
      <c r="G31" s="1281">
        <v>1</v>
      </c>
      <c r="H31" s="1281">
        <v>1</v>
      </c>
      <c r="I31" s="1281">
        <v>1</v>
      </c>
      <c r="J31" s="1281">
        <v>1</v>
      </c>
      <c r="K31" s="1281">
        <v>1</v>
      </c>
      <c r="L31" s="1281">
        <v>1</v>
      </c>
      <c r="M31" s="1281">
        <v>1</v>
      </c>
      <c r="N31" s="1281">
        <v>1</v>
      </c>
      <c r="O31" s="1281">
        <v>1</v>
      </c>
      <c r="P31" s="1281">
        <v>1</v>
      </c>
      <c r="Q31" s="1281">
        <v>1</v>
      </c>
      <c r="R31" s="1751"/>
    </row>
    <row r="32" spans="2:21" x14ac:dyDescent="0.25">
      <c r="B32" s="1278" t="s">
        <v>3140</v>
      </c>
      <c r="C32" s="1281">
        <v>1</v>
      </c>
      <c r="D32" s="1281">
        <v>1</v>
      </c>
      <c r="E32" s="1281">
        <v>1</v>
      </c>
      <c r="F32" s="1281">
        <v>1</v>
      </c>
      <c r="G32" s="1281">
        <v>1</v>
      </c>
      <c r="H32" s="1281">
        <v>1</v>
      </c>
      <c r="I32" s="1281">
        <v>1</v>
      </c>
      <c r="J32" s="1281">
        <v>1</v>
      </c>
      <c r="K32" s="1281">
        <v>1</v>
      </c>
      <c r="L32" s="1281">
        <v>1</v>
      </c>
      <c r="M32" s="1281">
        <v>1</v>
      </c>
      <c r="N32" s="1281">
        <v>1</v>
      </c>
      <c r="O32" s="1281">
        <v>1</v>
      </c>
      <c r="P32" s="1281">
        <v>1</v>
      </c>
      <c r="Q32" s="1281">
        <v>1</v>
      </c>
      <c r="R32" s="1751"/>
    </row>
    <row r="33" spans="1:22" x14ac:dyDescent="0.25">
      <c r="B33" s="2122" t="s">
        <v>231</v>
      </c>
      <c r="C33" s="2167">
        <v>0</v>
      </c>
      <c r="D33" s="2167">
        <v>0</v>
      </c>
      <c r="E33" s="2167">
        <v>0</v>
      </c>
      <c r="F33" s="2167">
        <v>0</v>
      </c>
      <c r="G33" s="2167">
        <v>0</v>
      </c>
      <c r="H33" s="2167">
        <v>0</v>
      </c>
      <c r="I33" s="2167">
        <v>0</v>
      </c>
      <c r="J33" s="2167">
        <v>0</v>
      </c>
      <c r="K33" s="2167">
        <v>0</v>
      </c>
      <c r="L33" s="2167">
        <v>0</v>
      </c>
      <c r="M33" s="2167">
        <v>0</v>
      </c>
      <c r="N33" s="2167">
        <v>0</v>
      </c>
      <c r="O33" s="2167">
        <v>0</v>
      </c>
      <c r="P33" s="2167">
        <v>0</v>
      </c>
      <c r="Q33" s="2167">
        <v>0</v>
      </c>
      <c r="R33" s="1751"/>
    </row>
    <row r="34" spans="1:22" x14ac:dyDescent="0.25">
      <c r="B34" s="2163" t="s">
        <v>3142</v>
      </c>
      <c r="C34" s="2164">
        <v>57</v>
      </c>
      <c r="D34" s="2164">
        <v>57</v>
      </c>
      <c r="E34" s="2164">
        <v>57</v>
      </c>
      <c r="F34" s="2164">
        <v>57</v>
      </c>
      <c r="G34" s="2164">
        <v>57</v>
      </c>
      <c r="H34" s="2164">
        <v>58</v>
      </c>
      <c r="I34" s="2164">
        <v>58</v>
      </c>
      <c r="J34" s="2164">
        <v>58</v>
      </c>
      <c r="K34" s="2164">
        <v>59</v>
      </c>
      <c r="L34" s="2164">
        <v>59</v>
      </c>
      <c r="M34" s="2164">
        <v>61</v>
      </c>
      <c r="N34" s="2164">
        <v>61</v>
      </c>
      <c r="O34" s="2164">
        <v>62</v>
      </c>
      <c r="P34" s="2164">
        <v>62</v>
      </c>
      <c r="Q34" s="2165">
        <v>62</v>
      </c>
      <c r="R34" s="1751"/>
    </row>
    <row r="35" spans="1:22" x14ac:dyDescent="0.25">
      <c r="B35" s="2439" t="s">
        <v>3144</v>
      </c>
      <c r="C35" s="2379"/>
      <c r="D35" s="2379"/>
      <c r="E35" s="2379"/>
      <c r="F35" s="2379"/>
      <c r="G35" s="2379"/>
      <c r="H35" s="2379"/>
      <c r="I35" s="2379"/>
      <c r="J35" s="2379"/>
      <c r="K35" s="2379"/>
      <c r="L35" s="2379"/>
      <c r="M35" s="2379"/>
      <c r="N35" s="2379"/>
      <c r="O35" s="2379"/>
      <c r="P35" s="2379"/>
      <c r="Q35" s="2379"/>
      <c r="R35" s="1751"/>
    </row>
    <row r="36" spans="1:22" x14ac:dyDescent="0.25">
      <c r="B36" s="1278" t="s">
        <v>3145</v>
      </c>
      <c r="C36" s="589">
        <v>1</v>
      </c>
      <c r="D36" s="589">
        <v>1</v>
      </c>
      <c r="E36" s="589">
        <v>1</v>
      </c>
      <c r="F36" s="589">
        <v>1</v>
      </c>
      <c r="G36" s="589">
        <v>1</v>
      </c>
      <c r="H36" s="589">
        <v>1</v>
      </c>
      <c r="I36" s="589">
        <v>1</v>
      </c>
      <c r="J36" s="589">
        <v>1</v>
      </c>
      <c r="K36" s="589">
        <v>1</v>
      </c>
      <c r="L36" s="589">
        <v>1</v>
      </c>
      <c r="M36" s="589">
        <v>1</v>
      </c>
      <c r="N36" s="589">
        <v>1</v>
      </c>
      <c r="O36" s="589">
        <v>1</v>
      </c>
      <c r="P36" s="589">
        <v>1</v>
      </c>
      <c r="Q36" s="589">
        <v>1</v>
      </c>
      <c r="R36" s="1751"/>
    </row>
    <row r="37" spans="1:22" x14ac:dyDescent="0.25">
      <c r="B37" s="2122" t="s">
        <v>3146</v>
      </c>
      <c r="C37" s="590">
        <v>0</v>
      </c>
      <c r="D37" s="590">
        <v>0</v>
      </c>
      <c r="E37" s="590">
        <v>0</v>
      </c>
      <c r="F37" s="590">
        <v>0</v>
      </c>
      <c r="G37" s="590">
        <v>0</v>
      </c>
      <c r="H37" s="590">
        <v>0</v>
      </c>
      <c r="I37" s="590">
        <v>0</v>
      </c>
      <c r="J37" s="590">
        <v>0</v>
      </c>
      <c r="K37" s="590">
        <v>0</v>
      </c>
      <c r="L37" s="590">
        <v>0</v>
      </c>
      <c r="M37" s="590">
        <v>0</v>
      </c>
      <c r="N37" s="590">
        <v>0</v>
      </c>
      <c r="O37" s="590">
        <v>0</v>
      </c>
      <c r="P37" s="590">
        <v>0</v>
      </c>
      <c r="Q37" s="590">
        <v>0</v>
      </c>
      <c r="R37" s="1751"/>
    </row>
    <row r="38" spans="1:22" x14ac:dyDescent="0.25">
      <c r="B38" s="2122" t="s">
        <v>3147</v>
      </c>
      <c r="C38" s="590">
        <v>0</v>
      </c>
      <c r="D38" s="590">
        <v>0</v>
      </c>
      <c r="E38" s="590">
        <v>0</v>
      </c>
      <c r="F38" s="590">
        <v>0</v>
      </c>
      <c r="G38" s="590">
        <v>0</v>
      </c>
      <c r="H38" s="590">
        <v>0</v>
      </c>
      <c r="I38" s="590">
        <v>0</v>
      </c>
      <c r="J38" s="590">
        <v>0</v>
      </c>
      <c r="K38" s="590">
        <v>0</v>
      </c>
      <c r="L38" s="590">
        <v>0</v>
      </c>
      <c r="M38" s="590">
        <v>0</v>
      </c>
      <c r="N38" s="590">
        <v>0</v>
      </c>
      <c r="O38" s="590">
        <v>0</v>
      </c>
      <c r="P38" s="590">
        <v>0</v>
      </c>
      <c r="Q38" s="590">
        <v>0</v>
      </c>
      <c r="R38" s="1751"/>
      <c r="T38" s="2053"/>
      <c r="U38" s="2053"/>
      <c r="V38" s="2053"/>
    </row>
    <row r="39" spans="1:22" x14ac:dyDescent="0.25">
      <c r="B39" s="2122" t="s">
        <v>3148</v>
      </c>
      <c r="C39" s="590">
        <v>0</v>
      </c>
      <c r="D39" s="590">
        <v>0</v>
      </c>
      <c r="E39" s="590">
        <v>0</v>
      </c>
      <c r="F39" s="590">
        <v>0</v>
      </c>
      <c r="G39" s="590">
        <v>0</v>
      </c>
      <c r="H39" s="590">
        <v>0</v>
      </c>
      <c r="I39" s="590">
        <v>0</v>
      </c>
      <c r="J39" s="590">
        <v>0</v>
      </c>
      <c r="K39" s="590">
        <v>0</v>
      </c>
      <c r="L39" s="590">
        <v>0</v>
      </c>
      <c r="M39" s="590">
        <v>0</v>
      </c>
      <c r="N39" s="590">
        <v>0</v>
      </c>
      <c r="O39" s="590">
        <v>0</v>
      </c>
      <c r="P39" s="590">
        <v>0</v>
      </c>
      <c r="Q39" s="590">
        <v>0</v>
      </c>
      <c r="R39" s="1751"/>
      <c r="T39" s="2053"/>
      <c r="U39" s="2053"/>
      <c r="V39" s="2053"/>
    </row>
    <row r="40" spans="1:22" x14ac:dyDescent="0.25">
      <c r="B40" s="2122" t="s">
        <v>3149</v>
      </c>
      <c r="C40" s="590">
        <v>0</v>
      </c>
      <c r="D40" s="590">
        <v>0</v>
      </c>
      <c r="E40" s="590">
        <v>0</v>
      </c>
      <c r="F40" s="590">
        <v>0</v>
      </c>
      <c r="G40" s="590">
        <v>0</v>
      </c>
      <c r="H40" s="590">
        <v>0</v>
      </c>
      <c r="I40" s="590">
        <v>0</v>
      </c>
      <c r="J40" s="590">
        <v>0</v>
      </c>
      <c r="K40" s="590">
        <v>0</v>
      </c>
      <c r="L40" s="590">
        <v>0</v>
      </c>
      <c r="M40" s="590">
        <v>0</v>
      </c>
      <c r="N40" s="590">
        <v>0</v>
      </c>
      <c r="O40" s="590">
        <v>0</v>
      </c>
      <c r="P40" s="590">
        <v>0</v>
      </c>
      <c r="Q40" s="590">
        <v>0</v>
      </c>
      <c r="R40" s="1751"/>
      <c r="T40" s="2053"/>
      <c r="U40" s="2053"/>
      <c r="V40" s="2053"/>
    </row>
    <row r="41" spans="1:22" x14ac:dyDescent="0.25">
      <c r="A41" s="689"/>
      <c r="B41" s="2439" t="s">
        <v>3150</v>
      </c>
      <c r="C41" s="2379"/>
      <c r="D41" s="2379"/>
      <c r="E41" s="2379"/>
      <c r="F41" s="2379"/>
      <c r="G41" s="2379"/>
      <c r="H41" s="2379"/>
      <c r="I41" s="2379"/>
      <c r="J41" s="2379"/>
      <c r="K41" s="2379"/>
      <c r="L41" s="2379"/>
      <c r="M41" s="2379"/>
      <c r="N41" s="2379"/>
      <c r="O41" s="2379"/>
      <c r="P41" s="2379"/>
      <c r="Q41" s="2379"/>
      <c r="R41" s="1751"/>
      <c r="T41" s="2053"/>
      <c r="U41" s="2053"/>
      <c r="V41" s="2053"/>
    </row>
    <row r="42" spans="1:22" x14ac:dyDescent="0.25">
      <c r="B42" s="1278" t="s">
        <v>3350</v>
      </c>
      <c r="C42" s="589">
        <v>1</v>
      </c>
      <c r="D42" s="589">
        <v>1</v>
      </c>
      <c r="E42" s="589">
        <v>1</v>
      </c>
      <c r="F42" s="589">
        <v>1</v>
      </c>
      <c r="G42" s="589">
        <v>1</v>
      </c>
      <c r="H42" s="589">
        <v>1</v>
      </c>
      <c r="I42" s="589">
        <v>1</v>
      </c>
      <c r="J42" s="589">
        <v>1</v>
      </c>
      <c r="K42" s="589">
        <v>1</v>
      </c>
      <c r="L42" s="589">
        <v>1</v>
      </c>
      <c r="M42" s="589">
        <v>1</v>
      </c>
      <c r="N42" s="589">
        <v>1</v>
      </c>
      <c r="O42" s="589">
        <v>1</v>
      </c>
      <c r="P42" s="589">
        <v>1</v>
      </c>
      <c r="Q42" s="589">
        <v>1</v>
      </c>
      <c r="R42" s="1751"/>
      <c r="T42" s="2053"/>
      <c r="U42" s="2053"/>
      <c r="V42" s="2053"/>
    </row>
    <row r="43" spans="1:22" x14ac:dyDescent="0.25">
      <c r="B43" s="2122" t="s">
        <v>1828</v>
      </c>
      <c r="C43" s="590">
        <v>0</v>
      </c>
      <c r="D43" s="590">
        <v>0</v>
      </c>
      <c r="E43" s="590">
        <v>0</v>
      </c>
      <c r="F43" s="590">
        <v>0</v>
      </c>
      <c r="G43" s="590">
        <v>0</v>
      </c>
      <c r="H43" s="590">
        <v>0</v>
      </c>
      <c r="I43" s="590">
        <v>0</v>
      </c>
      <c r="J43" s="590">
        <v>0</v>
      </c>
      <c r="K43" s="590">
        <v>0</v>
      </c>
      <c r="L43" s="590">
        <v>0</v>
      </c>
      <c r="M43" s="590">
        <v>0</v>
      </c>
      <c r="N43" s="590">
        <v>0</v>
      </c>
      <c r="O43" s="590">
        <v>0</v>
      </c>
      <c r="P43" s="590">
        <v>0</v>
      </c>
      <c r="Q43" s="590">
        <v>0</v>
      </c>
      <c r="R43" s="1751"/>
      <c r="T43" s="2053"/>
      <c r="U43" s="2053"/>
      <c r="V43" s="2053"/>
    </row>
    <row r="44" spans="1:22" x14ac:dyDescent="0.25">
      <c r="B44" s="2122" t="s">
        <v>3351</v>
      </c>
      <c r="C44" s="590">
        <v>0</v>
      </c>
      <c r="D44" s="590">
        <v>0</v>
      </c>
      <c r="E44" s="590">
        <v>0</v>
      </c>
      <c r="F44" s="590">
        <v>0</v>
      </c>
      <c r="G44" s="590">
        <v>0</v>
      </c>
      <c r="H44" s="590">
        <v>0</v>
      </c>
      <c r="I44" s="590">
        <v>0</v>
      </c>
      <c r="J44" s="590">
        <v>0</v>
      </c>
      <c r="K44" s="590">
        <v>0</v>
      </c>
      <c r="L44" s="590">
        <v>0</v>
      </c>
      <c r="M44" s="590">
        <v>0</v>
      </c>
      <c r="N44" s="590">
        <v>0</v>
      </c>
      <c r="O44" s="590">
        <v>0</v>
      </c>
      <c r="P44" s="590">
        <v>0</v>
      </c>
      <c r="Q44" s="590">
        <v>0</v>
      </c>
      <c r="R44" s="1751"/>
    </row>
    <row r="45" spans="1:22" x14ac:dyDescent="0.25">
      <c r="B45" s="1278" t="s">
        <v>3352</v>
      </c>
      <c r="C45" s="589">
        <v>1</v>
      </c>
      <c r="D45" s="589">
        <v>1</v>
      </c>
      <c r="E45" s="589">
        <v>1</v>
      </c>
      <c r="F45" s="589">
        <v>1</v>
      </c>
      <c r="G45" s="589">
        <v>1</v>
      </c>
      <c r="H45" s="589">
        <v>1</v>
      </c>
      <c r="I45" s="589">
        <v>1</v>
      </c>
      <c r="J45" s="589">
        <v>1</v>
      </c>
      <c r="K45" s="589">
        <v>1</v>
      </c>
      <c r="L45" s="589">
        <v>1</v>
      </c>
      <c r="M45" s="589">
        <v>1</v>
      </c>
      <c r="N45" s="589">
        <v>1</v>
      </c>
      <c r="O45" s="589">
        <v>1</v>
      </c>
      <c r="P45" s="589">
        <v>1</v>
      </c>
      <c r="Q45" s="589">
        <v>1</v>
      </c>
      <c r="R45" s="1751"/>
    </row>
    <row r="46" spans="1:22" x14ac:dyDescent="0.25">
      <c r="B46" s="1278" t="s">
        <v>3353</v>
      </c>
      <c r="C46" s="589">
        <v>1</v>
      </c>
      <c r="D46" s="589">
        <v>1</v>
      </c>
      <c r="E46" s="589">
        <v>1</v>
      </c>
      <c r="F46" s="589">
        <v>1</v>
      </c>
      <c r="G46" s="589">
        <v>1</v>
      </c>
      <c r="H46" s="589">
        <v>1</v>
      </c>
      <c r="I46" s="589">
        <v>1</v>
      </c>
      <c r="J46" s="589">
        <v>1</v>
      </c>
      <c r="K46" s="589">
        <v>1</v>
      </c>
      <c r="L46" s="589">
        <v>1</v>
      </c>
      <c r="M46" s="589">
        <v>1</v>
      </c>
      <c r="N46" s="589">
        <v>1</v>
      </c>
      <c r="O46" s="589">
        <v>1</v>
      </c>
      <c r="P46" s="589">
        <v>1</v>
      </c>
      <c r="Q46" s="589">
        <v>1</v>
      </c>
      <c r="R46" s="1751"/>
    </row>
    <row r="47" spans="1:22" x14ac:dyDescent="0.25">
      <c r="B47" s="1278" t="s">
        <v>3151</v>
      </c>
      <c r="C47" s="589">
        <v>1</v>
      </c>
      <c r="D47" s="589">
        <v>1</v>
      </c>
      <c r="E47" s="589">
        <v>1</v>
      </c>
      <c r="F47" s="589">
        <v>1</v>
      </c>
      <c r="G47" s="589">
        <v>1</v>
      </c>
      <c r="H47" s="589">
        <v>1</v>
      </c>
      <c r="I47" s="589">
        <v>1</v>
      </c>
      <c r="J47" s="589">
        <v>1</v>
      </c>
      <c r="K47" s="589">
        <v>1</v>
      </c>
      <c r="L47" s="589">
        <v>1</v>
      </c>
      <c r="M47" s="589">
        <v>1</v>
      </c>
      <c r="N47" s="589">
        <v>1</v>
      </c>
      <c r="O47" s="589">
        <v>1</v>
      </c>
      <c r="P47" s="589">
        <v>1</v>
      </c>
      <c r="Q47" s="589">
        <v>1</v>
      </c>
      <c r="R47" s="1751"/>
    </row>
    <row r="48" spans="1:22" x14ac:dyDescent="0.25">
      <c r="B48" s="1278" t="s">
        <v>231</v>
      </c>
      <c r="C48" s="589">
        <v>1</v>
      </c>
      <c r="D48" s="589">
        <v>1</v>
      </c>
      <c r="E48" s="589">
        <v>1</v>
      </c>
      <c r="F48" s="589">
        <v>1</v>
      </c>
      <c r="G48" s="589">
        <v>1</v>
      </c>
      <c r="H48" s="589">
        <v>1</v>
      </c>
      <c r="I48" s="589">
        <v>1</v>
      </c>
      <c r="J48" s="589">
        <v>1</v>
      </c>
      <c r="K48" s="589">
        <v>1</v>
      </c>
      <c r="L48" s="589">
        <v>1</v>
      </c>
      <c r="M48" s="589">
        <v>1</v>
      </c>
      <c r="N48" s="589">
        <v>1</v>
      </c>
      <c r="O48" s="589">
        <v>1</v>
      </c>
      <c r="P48" s="589">
        <v>1</v>
      </c>
      <c r="Q48" s="589">
        <v>1</v>
      </c>
      <c r="R48" s="1751"/>
    </row>
    <row r="49" spans="1:18" x14ac:dyDescent="0.25">
      <c r="A49" s="689"/>
      <c r="B49" s="2439" t="s">
        <v>3152</v>
      </c>
      <c r="C49" s="2379"/>
      <c r="D49" s="2379"/>
      <c r="E49" s="2379"/>
      <c r="F49" s="2379"/>
      <c r="G49" s="2379"/>
      <c r="H49" s="2379"/>
      <c r="I49" s="2379"/>
      <c r="J49" s="2379"/>
      <c r="K49" s="2379"/>
      <c r="L49" s="2379"/>
      <c r="M49" s="2379"/>
      <c r="N49" s="2379"/>
      <c r="O49" s="2379"/>
      <c r="P49" s="2379"/>
      <c r="Q49" s="2379"/>
      <c r="R49" s="1751"/>
    </row>
    <row r="50" spans="1:18" ht="27" x14ac:dyDescent="0.25">
      <c r="B50" s="2446" t="s">
        <v>3997</v>
      </c>
      <c r="C50" s="590">
        <v>0</v>
      </c>
      <c r="D50" s="590">
        <v>0</v>
      </c>
      <c r="E50" s="590">
        <v>0</v>
      </c>
      <c r="F50" s="590">
        <v>0</v>
      </c>
      <c r="G50" s="590">
        <v>0</v>
      </c>
      <c r="H50" s="590">
        <v>0</v>
      </c>
      <c r="I50" s="590">
        <v>0</v>
      </c>
      <c r="J50" s="590">
        <v>0</v>
      </c>
      <c r="K50" s="590">
        <v>0</v>
      </c>
      <c r="L50" s="590">
        <v>0</v>
      </c>
      <c r="M50" s="590">
        <v>0</v>
      </c>
      <c r="N50" s="590">
        <v>0</v>
      </c>
      <c r="O50" s="590">
        <v>0</v>
      </c>
      <c r="P50" s="590">
        <v>0</v>
      </c>
      <c r="Q50" s="590">
        <v>0</v>
      </c>
      <c r="R50" s="1751"/>
    </row>
    <row r="51" spans="1:18" x14ac:dyDescent="0.25">
      <c r="A51" s="689"/>
      <c r="B51" s="2439" t="s">
        <v>3154</v>
      </c>
      <c r="C51" s="2379"/>
      <c r="D51" s="2379"/>
      <c r="E51" s="2379"/>
      <c r="F51" s="2379"/>
      <c r="G51" s="2379"/>
      <c r="H51" s="2379"/>
      <c r="I51" s="2379"/>
      <c r="J51" s="2379"/>
      <c r="K51" s="2379"/>
      <c r="L51" s="2379"/>
      <c r="M51" s="2379"/>
      <c r="N51" s="2379"/>
      <c r="O51" s="2379"/>
      <c r="P51" s="2379"/>
      <c r="Q51" s="2379"/>
      <c r="R51" s="1751"/>
    </row>
    <row r="52" spans="1:18" ht="27" x14ac:dyDescent="0.25">
      <c r="B52" s="1322" t="s">
        <v>3998</v>
      </c>
      <c r="C52" s="589">
        <v>1</v>
      </c>
      <c r="D52" s="589">
        <v>1</v>
      </c>
      <c r="E52" s="589">
        <v>1</v>
      </c>
      <c r="F52" s="589">
        <v>1</v>
      </c>
      <c r="G52" s="589">
        <v>1</v>
      </c>
      <c r="H52" s="589">
        <v>1</v>
      </c>
      <c r="I52" s="589">
        <v>1</v>
      </c>
      <c r="J52" s="589">
        <v>1</v>
      </c>
      <c r="K52" s="589">
        <v>1</v>
      </c>
      <c r="L52" s="589">
        <v>1</v>
      </c>
      <c r="M52" s="589">
        <v>1</v>
      </c>
      <c r="N52" s="589">
        <v>1</v>
      </c>
      <c r="O52" s="589">
        <v>1</v>
      </c>
      <c r="P52" s="589">
        <v>1</v>
      </c>
      <c r="Q52" s="589">
        <v>1</v>
      </c>
      <c r="R52" s="1751"/>
    </row>
    <row r="53" spans="1:18" x14ac:dyDescent="0.25">
      <c r="A53" s="689"/>
      <c r="B53" s="2439" t="s">
        <v>3156</v>
      </c>
      <c r="C53" s="2379"/>
      <c r="D53" s="2379"/>
      <c r="E53" s="2379"/>
      <c r="F53" s="2379"/>
      <c r="G53" s="2379"/>
      <c r="H53" s="2379"/>
      <c r="I53" s="2379"/>
      <c r="J53" s="2379"/>
      <c r="K53" s="2379"/>
      <c r="L53" s="2379"/>
      <c r="M53" s="2379"/>
      <c r="N53" s="2379"/>
      <c r="O53" s="2379"/>
      <c r="P53" s="2379"/>
      <c r="Q53" s="2379"/>
      <c r="R53" s="1751"/>
    </row>
    <row r="54" spans="1:18" x14ac:dyDescent="0.25">
      <c r="B54" s="1278" t="s">
        <v>3157</v>
      </c>
      <c r="C54" s="589">
        <v>2</v>
      </c>
      <c r="D54" s="589">
        <v>2</v>
      </c>
      <c r="E54" s="589">
        <v>2</v>
      </c>
      <c r="F54" s="589">
        <v>2</v>
      </c>
      <c r="G54" s="589">
        <v>2</v>
      </c>
      <c r="H54" s="589">
        <v>2</v>
      </c>
      <c r="I54" s="589">
        <v>2</v>
      </c>
      <c r="J54" s="589">
        <v>2</v>
      </c>
      <c r="K54" s="589">
        <v>2</v>
      </c>
      <c r="L54" s="589">
        <v>2</v>
      </c>
      <c r="M54" s="589">
        <v>2</v>
      </c>
      <c r="N54" s="589">
        <v>2</v>
      </c>
      <c r="O54" s="589">
        <v>2</v>
      </c>
      <c r="P54" s="589">
        <v>2</v>
      </c>
      <c r="Q54" s="589">
        <v>2</v>
      </c>
      <c r="R54" s="1751"/>
    </row>
    <row r="55" spans="1:18" x14ac:dyDescent="0.25">
      <c r="A55" s="689"/>
      <c r="B55" s="2439" t="s">
        <v>3158</v>
      </c>
      <c r="C55" s="2379"/>
      <c r="D55" s="2379"/>
      <c r="E55" s="2379"/>
      <c r="F55" s="2379"/>
      <c r="G55" s="2379"/>
      <c r="H55" s="2379"/>
      <c r="I55" s="2379"/>
      <c r="J55" s="2379"/>
      <c r="K55" s="2379"/>
      <c r="L55" s="2379"/>
      <c r="M55" s="2379"/>
      <c r="N55" s="2379"/>
      <c r="O55" s="2379"/>
      <c r="P55" s="2379"/>
      <c r="Q55" s="2379"/>
      <c r="R55" s="1751"/>
    </row>
    <row r="56" spans="1:18" x14ac:dyDescent="0.25">
      <c r="B56" s="1278" t="s">
        <v>3159</v>
      </c>
      <c r="C56" s="589">
        <v>1</v>
      </c>
      <c r="D56" s="589">
        <v>1</v>
      </c>
      <c r="E56" s="589">
        <v>1</v>
      </c>
      <c r="F56" s="589">
        <v>1</v>
      </c>
      <c r="G56" s="589">
        <v>1</v>
      </c>
      <c r="H56" s="589">
        <v>1</v>
      </c>
      <c r="I56" s="589">
        <v>1</v>
      </c>
      <c r="J56" s="589">
        <v>1</v>
      </c>
      <c r="K56" s="589">
        <v>1</v>
      </c>
      <c r="L56" s="589">
        <v>1</v>
      </c>
      <c r="M56" s="589">
        <v>1</v>
      </c>
      <c r="N56" s="589">
        <v>1</v>
      </c>
      <c r="O56" s="589">
        <v>1</v>
      </c>
      <c r="P56" s="589">
        <v>1</v>
      </c>
      <c r="Q56" s="589">
        <v>1</v>
      </c>
      <c r="R56" s="1751"/>
    </row>
    <row r="57" spans="1:18" x14ac:dyDescent="0.25">
      <c r="B57" s="1278" t="s">
        <v>3160</v>
      </c>
      <c r="C57" s="589">
        <v>1</v>
      </c>
      <c r="D57" s="589">
        <v>1</v>
      </c>
      <c r="E57" s="589">
        <v>1</v>
      </c>
      <c r="F57" s="589">
        <v>1</v>
      </c>
      <c r="G57" s="589">
        <v>1</v>
      </c>
      <c r="H57" s="589">
        <v>1</v>
      </c>
      <c r="I57" s="589">
        <v>1</v>
      </c>
      <c r="J57" s="589">
        <v>1</v>
      </c>
      <c r="K57" s="589">
        <v>1</v>
      </c>
      <c r="L57" s="589">
        <v>1</v>
      </c>
      <c r="M57" s="589">
        <v>1</v>
      </c>
      <c r="N57" s="589">
        <v>1</v>
      </c>
      <c r="O57" s="589">
        <v>1</v>
      </c>
      <c r="P57" s="589">
        <v>1</v>
      </c>
      <c r="Q57" s="589">
        <v>1</v>
      </c>
      <c r="R57" s="1751"/>
    </row>
    <row r="58" spans="1:18" x14ac:dyDescent="0.25">
      <c r="B58" s="1278" t="s">
        <v>3161</v>
      </c>
      <c r="C58" s="589">
        <v>1</v>
      </c>
      <c r="D58" s="589">
        <v>1</v>
      </c>
      <c r="E58" s="589">
        <v>1</v>
      </c>
      <c r="F58" s="589">
        <v>1</v>
      </c>
      <c r="G58" s="589">
        <v>1</v>
      </c>
      <c r="H58" s="589">
        <v>1</v>
      </c>
      <c r="I58" s="589">
        <v>1</v>
      </c>
      <c r="J58" s="589">
        <v>1</v>
      </c>
      <c r="K58" s="589">
        <v>1</v>
      </c>
      <c r="L58" s="589">
        <v>1</v>
      </c>
      <c r="M58" s="589">
        <v>1</v>
      </c>
      <c r="N58" s="589">
        <v>1</v>
      </c>
      <c r="O58" s="589">
        <v>1</v>
      </c>
      <c r="P58" s="589">
        <v>1</v>
      </c>
      <c r="Q58" s="589">
        <v>1</v>
      </c>
      <c r="R58" s="1751"/>
    </row>
    <row r="59" spans="1:18" x14ac:dyDescent="0.25">
      <c r="B59" s="1278" t="s">
        <v>3162</v>
      </c>
      <c r="C59" s="589">
        <v>2</v>
      </c>
      <c r="D59" s="589">
        <v>2</v>
      </c>
      <c r="E59" s="589">
        <v>2</v>
      </c>
      <c r="F59" s="589">
        <v>2</v>
      </c>
      <c r="G59" s="589">
        <v>2</v>
      </c>
      <c r="H59" s="589">
        <v>2</v>
      </c>
      <c r="I59" s="589">
        <v>2</v>
      </c>
      <c r="J59" s="589">
        <v>2</v>
      </c>
      <c r="K59" s="589">
        <v>2</v>
      </c>
      <c r="L59" s="589">
        <v>2</v>
      </c>
      <c r="M59" s="589">
        <v>2</v>
      </c>
      <c r="N59" s="589">
        <v>2</v>
      </c>
      <c r="O59" s="589">
        <v>2</v>
      </c>
      <c r="P59" s="589">
        <v>2</v>
      </c>
      <c r="Q59" s="589">
        <v>2</v>
      </c>
      <c r="R59" s="1751"/>
    </row>
    <row r="60" spans="1:18" x14ac:dyDescent="0.25">
      <c r="B60" s="1278" t="s">
        <v>3163</v>
      </c>
      <c r="C60" s="589">
        <v>1</v>
      </c>
      <c r="D60" s="589">
        <v>1</v>
      </c>
      <c r="E60" s="589">
        <v>1</v>
      </c>
      <c r="F60" s="589">
        <v>1</v>
      </c>
      <c r="G60" s="589">
        <v>1</v>
      </c>
      <c r="H60" s="589">
        <v>1</v>
      </c>
      <c r="I60" s="589">
        <v>1</v>
      </c>
      <c r="J60" s="589">
        <v>1</v>
      </c>
      <c r="K60" s="589">
        <v>1</v>
      </c>
      <c r="L60" s="589">
        <v>1</v>
      </c>
      <c r="M60" s="589">
        <v>1</v>
      </c>
      <c r="N60" s="589">
        <v>1</v>
      </c>
      <c r="O60" s="589">
        <v>1</v>
      </c>
      <c r="P60" s="589">
        <v>1</v>
      </c>
      <c r="Q60" s="589">
        <v>1</v>
      </c>
      <c r="R60" s="1751"/>
    </row>
    <row r="61" spans="1:18" x14ac:dyDescent="0.25">
      <c r="B61" s="2163" t="s">
        <v>3164</v>
      </c>
      <c r="C61" s="2125">
        <v>15</v>
      </c>
      <c r="D61" s="2125">
        <v>15</v>
      </c>
      <c r="E61" s="2125">
        <v>15</v>
      </c>
      <c r="F61" s="2125">
        <v>15</v>
      </c>
      <c r="G61" s="2125">
        <v>15</v>
      </c>
      <c r="H61" s="2125">
        <v>15</v>
      </c>
      <c r="I61" s="2125">
        <v>15</v>
      </c>
      <c r="J61" s="2125">
        <v>15</v>
      </c>
      <c r="K61" s="2125">
        <v>15</v>
      </c>
      <c r="L61" s="2125">
        <v>15</v>
      </c>
      <c r="M61" s="2125">
        <v>15</v>
      </c>
      <c r="N61" s="2125">
        <v>15</v>
      </c>
      <c r="O61" s="2125">
        <v>15</v>
      </c>
      <c r="P61" s="2125">
        <v>15</v>
      </c>
      <c r="Q61" s="2126">
        <v>15</v>
      </c>
      <c r="R61" s="1751"/>
    </row>
    <row r="63" spans="1:18" x14ac:dyDescent="0.25">
      <c r="B63" s="4881" t="s">
        <v>4006</v>
      </c>
      <c r="C63" s="4881"/>
      <c r="D63" s="4881"/>
      <c r="E63" s="4881"/>
      <c r="F63" s="4881"/>
      <c r="G63" s="4881"/>
      <c r="H63" s="4881"/>
      <c r="I63" s="4881"/>
      <c r="J63" s="4881"/>
      <c r="K63" s="4881"/>
      <c r="L63" s="4881"/>
      <c r="M63" s="4881"/>
      <c r="N63" s="4881"/>
      <c r="O63" s="4881"/>
      <c r="P63" s="4881"/>
      <c r="Q63" s="4881"/>
      <c r="R63" s="2429"/>
    </row>
    <row r="64" spans="1:18" x14ac:dyDescent="0.25">
      <c r="B64" s="2430"/>
      <c r="C64" s="2430"/>
      <c r="D64" s="2430"/>
      <c r="E64" s="2430"/>
      <c r="F64" s="2430"/>
      <c r="G64" s="2430"/>
      <c r="H64" s="2430"/>
      <c r="I64" s="2430"/>
      <c r="J64" s="2430"/>
      <c r="K64" s="2430"/>
      <c r="L64" s="2430"/>
      <c r="M64" s="2430"/>
      <c r="N64" s="2430"/>
      <c r="O64" s="2430"/>
      <c r="P64" s="2430"/>
      <c r="Q64" s="2430"/>
      <c r="R64" s="2430"/>
    </row>
    <row r="65" spans="1:18" x14ac:dyDescent="0.25">
      <c r="A65" s="2431"/>
      <c r="B65" s="2431" t="s">
        <v>3999</v>
      </c>
      <c r="C65" s="2431"/>
      <c r="D65" s="2431"/>
      <c r="E65" s="2431"/>
      <c r="F65" s="2431"/>
      <c r="G65" s="2431"/>
      <c r="H65" s="2431"/>
      <c r="I65" s="2431"/>
      <c r="J65" s="2431"/>
      <c r="K65" s="2431"/>
      <c r="L65" s="2431"/>
      <c r="M65" s="2431"/>
      <c r="N65" s="2431"/>
      <c r="O65" s="2431"/>
      <c r="P65" s="2431"/>
      <c r="Q65" s="2431"/>
      <c r="R65" s="2430"/>
    </row>
    <row r="66" spans="1:18" x14ac:dyDescent="0.25">
      <c r="B66" s="2430"/>
      <c r="C66" s="2430"/>
      <c r="D66" s="2430"/>
      <c r="E66" s="2430"/>
      <c r="F66" s="2430"/>
      <c r="G66" s="2430"/>
      <c r="H66" s="2430"/>
      <c r="I66" s="2430"/>
      <c r="J66" s="2430"/>
      <c r="K66" s="2430"/>
      <c r="L66" s="2430"/>
      <c r="M66" s="2430"/>
      <c r="N66" s="2430"/>
      <c r="O66" s="2430"/>
      <c r="P66" s="2430"/>
      <c r="Q66" s="2430"/>
      <c r="R66" s="2430"/>
    </row>
    <row r="67" spans="1:18" x14ac:dyDescent="0.25">
      <c r="B67" s="2432" t="s">
        <v>4000</v>
      </c>
      <c r="C67" s="2343"/>
      <c r="E67" s="2343"/>
      <c r="F67" s="2343"/>
      <c r="I67" s="2343"/>
      <c r="M67" s="2343"/>
      <c r="N67" s="2343"/>
      <c r="R67" s="2430"/>
    </row>
    <row r="68" spans="1:18" x14ac:dyDescent="0.25">
      <c r="R68" s="2430"/>
    </row>
    <row r="69" spans="1:18" x14ac:dyDescent="0.25">
      <c r="B69" s="2344" t="s">
        <v>194</v>
      </c>
      <c r="C69" s="2428" t="s">
        <v>1961</v>
      </c>
      <c r="D69" s="2428" t="s">
        <v>1962</v>
      </c>
      <c r="E69" s="2428" t="s">
        <v>1963</v>
      </c>
      <c r="F69" s="2428" t="s">
        <v>2001</v>
      </c>
      <c r="G69" s="2428" t="s">
        <v>2002</v>
      </c>
      <c r="H69" s="2428" t="s">
        <v>2003</v>
      </c>
      <c r="I69" s="2428" t="s">
        <v>2004</v>
      </c>
      <c r="J69" s="2428" t="s">
        <v>2005</v>
      </c>
      <c r="K69" s="2428" t="s">
        <v>2006</v>
      </c>
      <c r="L69" s="2428" t="s">
        <v>2007</v>
      </c>
      <c r="M69" s="2428" t="s">
        <v>2008</v>
      </c>
      <c r="N69" s="2428" t="s">
        <v>2009</v>
      </c>
      <c r="O69" s="2428" t="s">
        <v>2010</v>
      </c>
      <c r="P69" s="2428" t="s">
        <v>2011</v>
      </c>
      <c r="Q69" s="2428" t="s">
        <v>2012</v>
      </c>
      <c r="R69" s="2430"/>
    </row>
    <row r="70" spans="1:18" x14ac:dyDescent="0.25">
      <c r="B70" s="2163" t="s">
        <v>194</v>
      </c>
      <c r="C70" s="2410">
        <v>2020</v>
      </c>
      <c r="D70" s="2410">
        <f>C70+1</f>
        <v>2021</v>
      </c>
      <c r="E70" s="2410">
        <f>D70+1</f>
        <v>2022</v>
      </c>
      <c r="F70" s="2164">
        <f t="shared" ref="F70:Q70" si="1">E70+1</f>
        <v>2023</v>
      </c>
      <c r="G70" s="2164">
        <f t="shared" si="1"/>
        <v>2024</v>
      </c>
      <c r="H70" s="2164">
        <f t="shared" si="1"/>
        <v>2025</v>
      </c>
      <c r="I70" s="2164">
        <f t="shared" si="1"/>
        <v>2026</v>
      </c>
      <c r="J70" s="2164">
        <f t="shared" si="1"/>
        <v>2027</v>
      </c>
      <c r="K70" s="2164">
        <f t="shared" si="1"/>
        <v>2028</v>
      </c>
      <c r="L70" s="2164">
        <f t="shared" si="1"/>
        <v>2029</v>
      </c>
      <c r="M70" s="2164">
        <f t="shared" si="1"/>
        <v>2030</v>
      </c>
      <c r="N70" s="2164">
        <f t="shared" si="1"/>
        <v>2031</v>
      </c>
      <c r="O70" s="2164">
        <f t="shared" si="1"/>
        <v>2032</v>
      </c>
      <c r="P70" s="2164">
        <f t="shared" si="1"/>
        <v>2033</v>
      </c>
      <c r="Q70" s="2165">
        <f t="shared" si="1"/>
        <v>2034</v>
      </c>
      <c r="R70" s="2430"/>
    </row>
    <row r="71" spans="1:18" x14ac:dyDescent="0.25">
      <c r="B71" s="1322" t="s">
        <v>206</v>
      </c>
      <c r="C71" s="1279">
        <f t="shared" ref="C71:Q71" si="2">C6*$U$10</f>
        <v>528969.12</v>
      </c>
      <c r="D71" s="1279">
        <f t="shared" si="2"/>
        <v>528969.12</v>
      </c>
      <c r="E71" s="1279">
        <f t="shared" si="2"/>
        <v>528969.12</v>
      </c>
      <c r="F71" s="1279">
        <f t="shared" si="2"/>
        <v>528969.12</v>
      </c>
      <c r="G71" s="1279">
        <f t="shared" si="2"/>
        <v>528969.12</v>
      </c>
      <c r="H71" s="1279">
        <f t="shared" si="2"/>
        <v>617130.64</v>
      </c>
      <c r="I71" s="1279">
        <f t="shared" si="2"/>
        <v>617130.64</v>
      </c>
      <c r="J71" s="1279">
        <f t="shared" si="2"/>
        <v>617130.64</v>
      </c>
      <c r="K71" s="1279">
        <f t="shared" si="2"/>
        <v>617130.64</v>
      </c>
      <c r="L71" s="1279">
        <f t="shared" si="2"/>
        <v>617130.64</v>
      </c>
      <c r="M71" s="1279">
        <f t="shared" si="2"/>
        <v>617130.64</v>
      </c>
      <c r="N71" s="1279">
        <f t="shared" si="2"/>
        <v>617130.64</v>
      </c>
      <c r="O71" s="1279">
        <f t="shared" si="2"/>
        <v>617130.64</v>
      </c>
      <c r="P71" s="1279">
        <f t="shared" si="2"/>
        <v>617130.64</v>
      </c>
      <c r="Q71" s="1279">
        <f t="shared" si="2"/>
        <v>617130.64</v>
      </c>
      <c r="R71" s="2430"/>
    </row>
    <row r="72" spans="1:18" ht="27" x14ac:dyDescent="0.25">
      <c r="B72" s="1322" t="s">
        <v>3126</v>
      </c>
      <c r="C72" s="1279">
        <f t="shared" ref="C72:Q72" si="3">C7*$U$9</f>
        <v>193200</v>
      </c>
      <c r="D72" s="1279">
        <f t="shared" si="3"/>
        <v>193200</v>
      </c>
      <c r="E72" s="1279">
        <f t="shared" si="3"/>
        <v>193200</v>
      </c>
      <c r="F72" s="1279">
        <f t="shared" si="3"/>
        <v>193200</v>
      </c>
      <c r="G72" s="1279">
        <f t="shared" si="3"/>
        <v>193200</v>
      </c>
      <c r="H72" s="1279">
        <f t="shared" si="3"/>
        <v>193200</v>
      </c>
      <c r="I72" s="1279">
        <f t="shared" si="3"/>
        <v>193200</v>
      </c>
      <c r="J72" s="1279">
        <f t="shared" si="3"/>
        <v>193200</v>
      </c>
      <c r="K72" s="1279">
        <f t="shared" si="3"/>
        <v>193200</v>
      </c>
      <c r="L72" s="1279">
        <f t="shared" si="3"/>
        <v>193200</v>
      </c>
      <c r="M72" s="1279">
        <f t="shared" si="3"/>
        <v>193200</v>
      </c>
      <c r="N72" s="1279">
        <f t="shared" si="3"/>
        <v>193200</v>
      </c>
      <c r="O72" s="1279">
        <f t="shared" si="3"/>
        <v>193200</v>
      </c>
      <c r="P72" s="1279">
        <f t="shared" si="3"/>
        <v>193200</v>
      </c>
      <c r="Q72" s="1279">
        <f t="shared" si="3"/>
        <v>193200</v>
      </c>
      <c r="R72" s="2430"/>
    </row>
    <row r="73" spans="1:18" x14ac:dyDescent="0.25">
      <c r="B73" s="2446" t="s">
        <v>3127</v>
      </c>
      <c r="C73" s="2229">
        <f t="shared" ref="C73:Q73" si="4">C8</f>
        <v>0</v>
      </c>
      <c r="D73" s="2229">
        <f t="shared" si="4"/>
        <v>0</v>
      </c>
      <c r="E73" s="2229">
        <f t="shared" si="4"/>
        <v>0</v>
      </c>
      <c r="F73" s="2229">
        <f t="shared" si="4"/>
        <v>0</v>
      </c>
      <c r="G73" s="2229">
        <f t="shared" si="4"/>
        <v>0</v>
      </c>
      <c r="H73" s="2229">
        <f t="shared" si="4"/>
        <v>0</v>
      </c>
      <c r="I73" s="2229">
        <f t="shared" si="4"/>
        <v>0</v>
      </c>
      <c r="J73" s="2229">
        <f t="shared" si="4"/>
        <v>0</v>
      </c>
      <c r="K73" s="2229">
        <f t="shared" si="4"/>
        <v>0</v>
      </c>
      <c r="L73" s="2229">
        <f t="shared" si="4"/>
        <v>0</v>
      </c>
      <c r="M73" s="2229">
        <f t="shared" si="4"/>
        <v>0</v>
      </c>
      <c r="N73" s="2229">
        <f t="shared" si="4"/>
        <v>0</v>
      </c>
      <c r="O73" s="2229">
        <f t="shared" si="4"/>
        <v>0</v>
      </c>
      <c r="P73" s="2229">
        <f t="shared" si="4"/>
        <v>0</v>
      </c>
      <c r="Q73" s="2229">
        <f t="shared" si="4"/>
        <v>0</v>
      </c>
      <c r="R73" s="2430"/>
    </row>
    <row r="74" spans="1:18" x14ac:dyDescent="0.25">
      <c r="B74" s="1322" t="s">
        <v>3128</v>
      </c>
      <c r="C74" s="1279">
        <f t="shared" ref="C74:Q74" si="5">C9*$U$9</f>
        <v>289800</v>
      </c>
      <c r="D74" s="1279">
        <f t="shared" si="5"/>
        <v>289800</v>
      </c>
      <c r="E74" s="1279">
        <f t="shared" si="5"/>
        <v>289800</v>
      </c>
      <c r="F74" s="1279">
        <f t="shared" si="5"/>
        <v>289800</v>
      </c>
      <c r="G74" s="1279">
        <f t="shared" si="5"/>
        <v>289800</v>
      </c>
      <c r="H74" s="1279">
        <f t="shared" si="5"/>
        <v>289800</v>
      </c>
      <c r="I74" s="1279">
        <f t="shared" si="5"/>
        <v>289800</v>
      </c>
      <c r="J74" s="1279">
        <f t="shared" si="5"/>
        <v>289800</v>
      </c>
      <c r="K74" s="1279">
        <f t="shared" si="5"/>
        <v>289800</v>
      </c>
      <c r="L74" s="1279">
        <f t="shared" si="5"/>
        <v>289800</v>
      </c>
      <c r="M74" s="1279">
        <f t="shared" si="5"/>
        <v>386400</v>
      </c>
      <c r="N74" s="1279">
        <f t="shared" si="5"/>
        <v>386400</v>
      </c>
      <c r="O74" s="1279">
        <f t="shared" si="5"/>
        <v>386400</v>
      </c>
      <c r="P74" s="1279">
        <f t="shared" si="5"/>
        <v>386400</v>
      </c>
      <c r="Q74" s="1279">
        <f t="shared" si="5"/>
        <v>386400</v>
      </c>
      <c r="R74" s="2430"/>
    </row>
    <row r="75" spans="1:18" x14ac:dyDescent="0.25">
      <c r="B75" s="2446" t="s">
        <v>3129</v>
      </c>
      <c r="C75" s="2229">
        <f t="shared" ref="C75:Q77" si="6">C10</f>
        <v>0</v>
      </c>
      <c r="D75" s="2229">
        <f t="shared" si="6"/>
        <v>0</v>
      </c>
      <c r="E75" s="2229">
        <f t="shared" si="6"/>
        <v>0</v>
      </c>
      <c r="F75" s="2229">
        <f t="shared" si="6"/>
        <v>0</v>
      </c>
      <c r="G75" s="2229">
        <f t="shared" si="6"/>
        <v>0</v>
      </c>
      <c r="H75" s="2229">
        <f t="shared" si="6"/>
        <v>0</v>
      </c>
      <c r="I75" s="2229">
        <f t="shared" si="6"/>
        <v>0</v>
      </c>
      <c r="J75" s="2229">
        <f t="shared" si="6"/>
        <v>0</v>
      </c>
      <c r="K75" s="2229">
        <f t="shared" si="6"/>
        <v>0</v>
      </c>
      <c r="L75" s="2229">
        <f t="shared" si="6"/>
        <v>0</v>
      </c>
      <c r="M75" s="2229">
        <f t="shared" si="6"/>
        <v>0</v>
      </c>
      <c r="N75" s="2229">
        <f t="shared" si="6"/>
        <v>0</v>
      </c>
      <c r="O75" s="2229">
        <f t="shared" si="6"/>
        <v>0</v>
      </c>
      <c r="P75" s="2229">
        <f t="shared" si="6"/>
        <v>0</v>
      </c>
      <c r="Q75" s="2229">
        <f t="shared" si="6"/>
        <v>0</v>
      </c>
      <c r="R75" s="2430"/>
    </row>
    <row r="76" spans="1:18" x14ac:dyDescent="0.25">
      <c r="B76" s="2446" t="s">
        <v>3130</v>
      </c>
      <c r="C76" s="2229">
        <f t="shared" si="6"/>
        <v>0</v>
      </c>
      <c r="D76" s="2229">
        <f t="shared" si="6"/>
        <v>0</v>
      </c>
      <c r="E76" s="2229">
        <f t="shared" si="6"/>
        <v>0</v>
      </c>
      <c r="F76" s="2229">
        <f t="shared" si="6"/>
        <v>0</v>
      </c>
      <c r="G76" s="2229">
        <f t="shared" si="6"/>
        <v>0</v>
      </c>
      <c r="H76" s="2229">
        <f t="shared" si="6"/>
        <v>0</v>
      </c>
      <c r="I76" s="2229">
        <f t="shared" si="6"/>
        <v>0</v>
      </c>
      <c r="J76" s="2229">
        <f t="shared" si="6"/>
        <v>0</v>
      </c>
      <c r="K76" s="2229">
        <f t="shared" si="6"/>
        <v>0</v>
      </c>
      <c r="L76" s="2229">
        <f t="shared" si="6"/>
        <v>0</v>
      </c>
      <c r="M76" s="2229">
        <f t="shared" si="6"/>
        <v>0</v>
      </c>
      <c r="N76" s="2229">
        <f t="shared" si="6"/>
        <v>0</v>
      </c>
      <c r="O76" s="2229">
        <f t="shared" si="6"/>
        <v>0</v>
      </c>
      <c r="P76" s="2229">
        <f t="shared" si="6"/>
        <v>0</v>
      </c>
      <c r="Q76" s="2229">
        <f t="shared" si="6"/>
        <v>0</v>
      </c>
      <c r="R76" s="2430"/>
    </row>
    <row r="77" spans="1:18" x14ac:dyDescent="0.25">
      <c r="B77" s="2446" t="s">
        <v>3131</v>
      </c>
      <c r="C77" s="2229">
        <f t="shared" si="6"/>
        <v>0</v>
      </c>
      <c r="D77" s="2229">
        <f t="shared" si="6"/>
        <v>0</v>
      </c>
      <c r="E77" s="2229">
        <f t="shared" si="6"/>
        <v>0</v>
      </c>
      <c r="F77" s="2229">
        <f t="shared" si="6"/>
        <v>0</v>
      </c>
      <c r="G77" s="2229">
        <f t="shared" si="6"/>
        <v>0</v>
      </c>
      <c r="H77" s="2229">
        <f t="shared" si="6"/>
        <v>0</v>
      </c>
      <c r="I77" s="2229">
        <f t="shared" si="6"/>
        <v>0</v>
      </c>
      <c r="J77" s="2229">
        <f t="shared" si="6"/>
        <v>0</v>
      </c>
      <c r="K77" s="2229">
        <f t="shared" si="6"/>
        <v>0</v>
      </c>
      <c r="L77" s="2229">
        <f t="shared" si="6"/>
        <v>0</v>
      </c>
      <c r="M77" s="2229">
        <f t="shared" si="6"/>
        <v>0</v>
      </c>
      <c r="N77" s="2229">
        <f t="shared" si="6"/>
        <v>0</v>
      </c>
      <c r="O77" s="2229">
        <f t="shared" si="6"/>
        <v>0</v>
      </c>
      <c r="P77" s="2229">
        <f t="shared" si="6"/>
        <v>0</v>
      </c>
      <c r="Q77" s="2229">
        <f t="shared" si="6"/>
        <v>0</v>
      </c>
      <c r="R77" s="2430"/>
    </row>
    <row r="78" spans="1:18" x14ac:dyDescent="0.25">
      <c r="B78" s="1322" t="s">
        <v>3132</v>
      </c>
      <c r="C78" s="1279">
        <f t="shared" ref="C78:Q82" si="7">C13*$U$9</f>
        <v>289800</v>
      </c>
      <c r="D78" s="1279">
        <f t="shared" si="7"/>
        <v>289800</v>
      </c>
      <c r="E78" s="1279">
        <f t="shared" si="7"/>
        <v>289800</v>
      </c>
      <c r="F78" s="1279">
        <f t="shared" si="7"/>
        <v>289800</v>
      </c>
      <c r="G78" s="1279">
        <f t="shared" si="7"/>
        <v>289800</v>
      </c>
      <c r="H78" s="1279">
        <f t="shared" si="7"/>
        <v>289800</v>
      </c>
      <c r="I78" s="1279">
        <f t="shared" si="7"/>
        <v>289800</v>
      </c>
      <c r="J78" s="1279">
        <f t="shared" si="7"/>
        <v>289800</v>
      </c>
      <c r="K78" s="1279">
        <f t="shared" si="7"/>
        <v>289800</v>
      </c>
      <c r="L78" s="1279">
        <f t="shared" si="7"/>
        <v>289800</v>
      </c>
      <c r="M78" s="1279">
        <f t="shared" si="7"/>
        <v>289800</v>
      </c>
      <c r="N78" s="1279">
        <f t="shared" si="7"/>
        <v>289800</v>
      </c>
      <c r="O78" s="1279">
        <f t="shared" si="7"/>
        <v>289800</v>
      </c>
      <c r="P78" s="1279">
        <f t="shared" si="7"/>
        <v>289800</v>
      </c>
      <c r="Q78" s="1279">
        <f t="shared" si="7"/>
        <v>289800</v>
      </c>
      <c r="R78" s="2430"/>
    </row>
    <row r="79" spans="1:18" x14ac:dyDescent="0.25">
      <c r="B79" s="2446" t="s">
        <v>3133</v>
      </c>
      <c r="C79" s="2229">
        <f t="shared" si="7"/>
        <v>0</v>
      </c>
      <c r="D79" s="2229">
        <f t="shared" si="7"/>
        <v>0</v>
      </c>
      <c r="E79" s="2229">
        <f t="shared" si="7"/>
        <v>0</v>
      </c>
      <c r="F79" s="2229">
        <f t="shared" si="7"/>
        <v>0</v>
      </c>
      <c r="G79" s="2229">
        <f t="shared" si="7"/>
        <v>0</v>
      </c>
      <c r="H79" s="2229">
        <f t="shared" si="7"/>
        <v>0</v>
      </c>
      <c r="I79" s="2229">
        <f t="shared" si="7"/>
        <v>0</v>
      </c>
      <c r="J79" s="2229">
        <f t="shared" si="7"/>
        <v>0</v>
      </c>
      <c r="K79" s="2229">
        <f t="shared" si="7"/>
        <v>0</v>
      </c>
      <c r="L79" s="2229">
        <f t="shared" si="7"/>
        <v>0</v>
      </c>
      <c r="M79" s="2229">
        <f t="shared" si="7"/>
        <v>0</v>
      </c>
      <c r="N79" s="2229">
        <f t="shared" si="7"/>
        <v>0</v>
      </c>
      <c r="O79" s="2229">
        <f t="shared" si="7"/>
        <v>0</v>
      </c>
      <c r="P79" s="2229">
        <f t="shared" si="7"/>
        <v>0</v>
      </c>
      <c r="Q79" s="2229">
        <f t="shared" si="7"/>
        <v>0</v>
      </c>
      <c r="R79" s="2430"/>
    </row>
    <row r="80" spans="1:18" x14ac:dyDescent="0.25">
      <c r="B80" s="2446" t="s">
        <v>3134</v>
      </c>
      <c r="C80" s="2229">
        <f t="shared" si="7"/>
        <v>0</v>
      </c>
      <c r="D80" s="2229">
        <f t="shared" si="7"/>
        <v>0</v>
      </c>
      <c r="E80" s="2229">
        <f t="shared" si="7"/>
        <v>0</v>
      </c>
      <c r="F80" s="2229">
        <f t="shared" si="7"/>
        <v>0</v>
      </c>
      <c r="G80" s="2229">
        <f t="shared" si="7"/>
        <v>0</v>
      </c>
      <c r="H80" s="2229">
        <f t="shared" si="7"/>
        <v>0</v>
      </c>
      <c r="I80" s="2229">
        <f t="shared" si="7"/>
        <v>0</v>
      </c>
      <c r="J80" s="2229">
        <f t="shared" si="7"/>
        <v>0</v>
      </c>
      <c r="K80" s="2229">
        <f t="shared" si="7"/>
        <v>0</v>
      </c>
      <c r="L80" s="2229">
        <f t="shared" si="7"/>
        <v>0</v>
      </c>
      <c r="M80" s="2229">
        <f t="shared" si="7"/>
        <v>0</v>
      </c>
      <c r="N80" s="2229">
        <f t="shared" si="7"/>
        <v>0</v>
      </c>
      <c r="O80" s="2229">
        <f t="shared" si="7"/>
        <v>0</v>
      </c>
      <c r="P80" s="2229">
        <f t="shared" si="7"/>
        <v>0</v>
      </c>
      <c r="Q80" s="2229">
        <f t="shared" si="7"/>
        <v>0</v>
      </c>
      <c r="R80" s="2430"/>
    </row>
    <row r="81" spans="2:18" x14ac:dyDescent="0.25">
      <c r="B81" s="2446" t="s">
        <v>3135</v>
      </c>
      <c r="C81" s="2229">
        <f t="shared" si="7"/>
        <v>0</v>
      </c>
      <c r="D81" s="2229">
        <f t="shared" si="7"/>
        <v>0</v>
      </c>
      <c r="E81" s="2229">
        <f t="shared" si="7"/>
        <v>0</v>
      </c>
      <c r="F81" s="2229">
        <f t="shared" si="7"/>
        <v>0</v>
      </c>
      <c r="G81" s="2229">
        <f t="shared" si="7"/>
        <v>0</v>
      </c>
      <c r="H81" s="2229">
        <f t="shared" si="7"/>
        <v>0</v>
      </c>
      <c r="I81" s="2229">
        <f t="shared" si="7"/>
        <v>0</v>
      </c>
      <c r="J81" s="2229">
        <f t="shared" si="7"/>
        <v>0</v>
      </c>
      <c r="K81" s="2229">
        <f t="shared" si="7"/>
        <v>0</v>
      </c>
      <c r="L81" s="2229">
        <f t="shared" si="7"/>
        <v>0</v>
      </c>
      <c r="M81" s="2229">
        <f t="shared" si="7"/>
        <v>0</v>
      </c>
      <c r="N81" s="2229">
        <f t="shared" si="7"/>
        <v>0</v>
      </c>
      <c r="O81" s="2229">
        <f t="shared" si="7"/>
        <v>0</v>
      </c>
      <c r="P81" s="2229">
        <f t="shared" si="7"/>
        <v>0</v>
      </c>
      <c r="Q81" s="2229">
        <f t="shared" si="7"/>
        <v>0</v>
      </c>
      <c r="R81" s="2430"/>
    </row>
    <row r="82" spans="2:18" x14ac:dyDescent="0.25">
      <c r="B82" s="2446" t="s">
        <v>3136</v>
      </c>
      <c r="C82" s="2229">
        <f t="shared" si="7"/>
        <v>0</v>
      </c>
      <c r="D82" s="2229">
        <f t="shared" si="7"/>
        <v>0</v>
      </c>
      <c r="E82" s="2229">
        <f t="shared" si="7"/>
        <v>0</v>
      </c>
      <c r="F82" s="2229">
        <f t="shared" si="7"/>
        <v>0</v>
      </c>
      <c r="G82" s="2229">
        <f t="shared" si="7"/>
        <v>0</v>
      </c>
      <c r="H82" s="2229">
        <f t="shared" si="7"/>
        <v>0</v>
      </c>
      <c r="I82" s="2229">
        <f t="shared" si="7"/>
        <v>0</v>
      </c>
      <c r="J82" s="2229">
        <f t="shared" si="7"/>
        <v>0</v>
      </c>
      <c r="K82" s="2229">
        <f t="shared" si="7"/>
        <v>0</v>
      </c>
      <c r="L82" s="2229">
        <f t="shared" si="7"/>
        <v>0</v>
      </c>
      <c r="M82" s="2229">
        <f t="shared" si="7"/>
        <v>0</v>
      </c>
      <c r="N82" s="2229">
        <f t="shared" si="7"/>
        <v>0</v>
      </c>
      <c r="O82" s="2229">
        <f t="shared" si="7"/>
        <v>0</v>
      </c>
      <c r="P82" s="2229">
        <f t="shared" si="7"/>
        <v>0</v>
      </c>
      <c r="Q82" s="2229">
        <f t="shared" si="7"/>
        <v>0</v>
      </c>
      <c r="R82" s="2430"/>
    </row>
    <row r="83" spans="2:18" x14ac:dyDescent="0.25">
      <c r="B83" s="1322" t="s">
        <v>216</v>
      </c>
      <c r="C83" s="1279">
        <f t="shared" ref="C83:Q91" si="8">C18*$U$11</f>
        <v>107465.36000000002</v>
      </c>
      <c r="D83" s="1279">
        <f t="shared" si="8"/>
        <v>107465.36000000002</v>
      </c>
      <c r="E83" s="1279">
        <f t="shared" si="8"/>
        <v>107465.36000000002</v>
      </c>
      <c r="F83" s="1279">
        <f t="shared" si="8"/>
        <v>107465.36000000002</v>
      </c>
      <c r="G83" s="1279">
        <f t="shared" si="8"/>
        <v>107465.36000000002</v>
      </c>
      <c r="H83" s="1279">
        <f t="shared" si="8"/>
        <v>107465.36000000002</v>
      </c>
      <c r="I83" s="1279">
        <f t="shared" si="8"/>
        <v>107465.36000000002</v>
      </c>
      <c r="J83" s="1279">
        <f t="shared" si="8"/>
        <v>107465.36000000002</v>
      </c>
      <c r="K83" s="1279">
        <f t="shared" si="8"/>
        <v>107465.36000000002</v>
      </c>
      <c r="L83" s="1279">
        <f t="shared" si="8"/>
        <v>107465.36000000002</v>
      </c>
      <c r="M83" s="1279">
        <f t="shared" si="8"/>
        <v>107465.36000000002</v>
      </c>
      <c r="N83" s="1279">
        <f t="shared" si="8"/>
        <v>107465.36000000002</v>
      </c>
      <c r="O83" s="1279">
        <f t="shared" si="8"/>
        <v>107465.36000000002</v>
      </c>
      <c r="P83" s="1279">
        <f t="shared" si="8"/>
        <v>107465.36000000002</v>
      </c>
      <c r="Q83" s="1279">
        <f t="shared" si="8"/>
        <v>107465.36000000002</v>
      </c>
      <c r="R83" s="2430"/>
    </row>
    <row r="84" spans="2:18" x14ac:dyDescent="0.25">
      <c r="B84" s="1322" t="s">
        <v>217</v>
      </c>
      <c r="C84" s="1279">
        <f t="shared" si="8"/>
        <v>537326.80000000005</v>
      </c>
      <c r="D84" s="1279">
        <f t="shared" si="8"/>
        <v>537326.80000000005</v>
      </c>
      <c r="E84" s="1279">
        <f t="shared" si="8"/>
        <v>537326.80000000005</v>
      </c>
      <c r="F84" s="1279">
        <f t="shared" si="8"/>
        <v>537326.80000000005</v>
      </c>
      <c r="G84" s="1279">
        <f t="shared" si="8"/>
        <v>537326.80000000005</v>
      </c>
      <c r="H84" s="1279">
        <f t="shared" si="8"/>
        <v>537326.80000000005</v>
      </c>
      <c r="I84" s="1279">
        <f t="shared" si="8"/>
        <v>537326.80000000005</v>
      </c>
      <c r="J84" s="1279">
        <f t="shared" si="8"/>
        <v>537326.80000000005</v>
      </c>
      <c r="K84" s="1279">
        <f t="shared" si="8"/>
        <v>537326.80000000005</v>
      </c>
      <c r="L84" s="1279">
        <f t="shared" si="8"/>
        <v>537326.80000000005</v>
      </c>
      <c r="M84" s="1279">
        <f t="shared" si="8"/>
        <v>591059.4800000001</v>
      </c>
      <c r="N84" s="1279">
        <f t="shared" si="8"/>
        <v>591059.4800000001</v>
      </c>
      <c r="O84" s="1279">
        <f t="shared" si="8"/>
        <v>591059.4800000001</v>
      </c>
      <c r="P84" s="1279">
        <f t="shared" si="8"/>
        <v>591059.4800000001</v>
      </c>
      <c r="Q84" s="1279">
        <f t="shared" si="8"/>
        <v>591059.4800000001</v>
      </c>
      <c r="R84" s="2430"/>
    </row>
    <row r="85" spans="2:18" x14ac:dyDescent="0.25">
      <c r="B85" s="1322" t="s">
        <v>218</v>
      </c>
      <c r="C85" s="1279">
        <f t="shared" si="8"/>
        <v>107465.36000000002</v>
      </c>
      <c r="D85" s="1279">
        <f t="shared" si="8"/>
        <v>107465.36000000002</v>
      </c>
      <c r="E85" s="1279">
        <f t="shared" si="8"/>
        <v>107465.36000000002</v>
      </c>
      <c r="F85" s="1279">
        <f t="shared" si="8"/>
        <v>107465.36000000002</v>
      </c>
      <c r="G85" s="1279">
        <f t="shared" si="8"/>
        <v>107465.36000000002</v>
      </c>
      <c r="H85" s="1279">
        <f t="shared" si="8"/>
        <v>107465.36000000002</v>
      </c>
      <c r="I85" s="1279">
        <f t="shared" si="8"/>
        <v>107465.36000000002</v>
      </c>
      <c r="J85" s="1279">
        <f t="shared" si="8"/>
        <v>107465.36000000002</v>
      </c>
      <c r="K85" s="1279">
        <f t="shared" si="8"/>
        <v>107465.36000000002</v>
      </c>
      <c r="L85" s="1279">
        <f t="shared" si="8"/>
        <v>107465.36000000002</v>
      </c>
      <c r="M85" s="1279">
        <f t="shared" si="8"/>
        <v>107465.36000000002</v>
      </c>
      <c r="N85" s="1279">
        <f t="shared" si="8"/>
        <v>107465.36000000002</v>
      </c>
      <c r="O85" s="1279">
        <f t="shared" si="8"/>
        <v>107465.36000000002</v>
      </c>
      <c r="P85" s="1279">
        <f t="shared" si="8"/>
        <v>107465.36000000002</v>
      </c>
      <c r="Q85" s="1279">
        <f t="shared" si="8"/>
        <v>107465.36000000002</v>
      </c>
      <c r="R85" s="2430"/>
    </row>
    <row r="86" spans="2:18" x14ac:dyDescent="0.25">
      <c r="B86" s="1322" t="s">
        <v>353</v>
      </c>
      <c r="C86" s="1279">
        <f t="shared" si="8"/>
        <v>322396.08000000007</v>
      </c>
      <c r="D86" s="1279">
        <f t="shared" si="8"/>
        <v>322396.08000000007</v>
      </c>
      <c r="E86" s="1279">
        <f t="shared" si="8"/>
        <v>322396.08000000007</v>
      </c>
      <c r="F86" s="1279">
        <f t="shared" si="8"/>
        <v>322396.08000000007</v>
      </c>
      <c r="G86" s="1279">
        <f t="shared" si="8"/>
        <v>322396.08000000007</v>
      </c>
      <c r="H86" s="1279">
        <f t="shared" si="8"/>
        <v>322396.08000000007</v>
      </c>
      <c r="I86" s="1279">
        <f t="shared" si="8"/>
        <v>322396.08000000007</v>
      </c>
      <c r="J86" s="1279">
        <f t="shared" si="8"/>
        <v>322396.08000000007</v>
      </c>
      <c r="K86" s="1279">
        <f t="shared" si="8"/>
        <v>322396.08000000007</v>
      </c>
      <c r="L86" s="1279">
        <f t="shared" si="8"/>
        <v>322396.08000000007</v>
      </c>
      <c r="M86" s="1279">
        <f t="shared" si="8"/>
        <v>322396.08000000007</v>
      </c>
      <c r="N86" s="1279">
        <f t="shared" si="8"/>
        <v>322396.08000000007</v>
      </c>
      <c r="O86" s="1279">
        <f t="shared" si="8"/>
        <v>322396.08000000007</v>
      </c>
      <c r="P86" s="1279">
        <f t="shared" si="8"/>
        <v>322396.08000000007</v>
      </c>
      <c r="Q86" s="1279">
        <f t="shared" si="8"/>
        <v>322396.08000000007</v>
      </c>
      <c r="R86" s="2430"/>
    </row>
    <row r="87" spans="2:18" x14ac:dyDescent="0.25">
      <c r="B87" s="1322" t="s">
        <v>220</v>
      </c>
      <c r="C87" s="1279">
        <f t="shared" si="8"/>
        <v>107465.36000000002</v>
      </c>
      <c r="D87" s="1279">
        <f t="shared" si="8"/>
        <v>107465.36000000002</v>
      </c>
      <c r="E87" s="1279">
        <f t="shared" si="8"/>
        <v>107465.36000000002</v>
      </c>
      <c r="F87" s="1279">
        <f t="shared" si="8"/>
        <v>107465.36000000002</v>
      </c>
      <c r="G87" s="1279">
        <f t="shared" si="8"/>
        <v>107465.36000000002</v>
      </c>
      <c r="H87" s="1279">
        <f t="shared" si="8"/>
        <v>107465.36000000002</v>
      </c>
      <c r="I87" s="1279">
        <f t="shared" si="8"/>
        <v>107465.36000000002</v>
      </c>
      <c r="J87" s="1279">
        <f t="shared" si="8"/>
        <v>107465.36000000002</v>
      </c>
      <c r="K87" s="1279">
        <f t="shared" si="8"/>
        <v>107465.36000000002</v>
      </c>
      <c r="L87" s="1279">
        <f t="shared" si="8"/>
        <v>107465.36000000002</v>
      </c>
      <c r="M87" s="1279">
        <f t="shared" si="8"/>
        <v>107465.36000000002</v>
      </c>
      <c r="N87" s="1279">
        <f t="shared" si="8"/>
        <v>107465.36000000002</v>
      </c>
      <c r="O87" s="1279">
        <f t="shared" si="8"/>
        <v>107465.36000000002</v>
      </c>
      <c r="P87" s="1279">
        <f t="shared" si="8"/>
        <v>107465.36000000002</v>
      </c>
      <c r="Q87" s="1279">
        <f t="shared" si="8"/>
        <v>107465.36000000002</v>
      </c>
      <c r="R87" s="2430"/>
    </row>
    <row r="88" spans="2:18" x14ac:dyDescent="0.25">
      <c r="B88" s="1322" t="s">
        <v>221</v>
      </c>
      <c r="C88" s="1279">
        <f t="shared" si="8"/>
        <v>107465.36000000002</v>
      </c>
      <c r="D88" s="1279">
        <f t="shared" si="8"/>
        <v>107465.36000000002</v>
      </c>
      <c r="E88" s="1279">
        <f t="shared" si="8"/>
        <v>107465.36000000002</v>
      </c>
      <c r="F88" s="1279">
        <f t="shared" si="8"/>
        <v>107465.36000000002</v>
      </c>
      <c r="G88" s="1279">
        <f t="shared" si="8"/>
        <v>107465.36000000002</v>
      </c>
      <c r="H88" s="1279">
        <f t="shared" si="8"/>
        <v>107465.36000000002</v>
      </c>
      <c r="I88" s="1279">
        <f t="shared" si="8"/>
        <v>107465.36000000002</v>
      </c>
      <c r="J88" s="1279">
        <f t="shared" si="8"/>
        <v>107465.36000000002</v>
      </c>
      <c r="K88" s="1279">
        <f t="shared" si="8"/>
        <v>107465.36000000002</v>
      </c>
      <c r="L88" s="1279">
        <f t="shared" si="8"/>
        <v>107465.36000000002</v>
      </c>
      <c r="M88" s="1279">
        <f t="shared" si="8"/>
        <v>107465.36000000002</v>
      </c>
      <c r="N88" s="1279">
        <f t="shared" si="8"/>
        <v>107465.36000000002</v>
      </c>
      <c r="O88" s="1279">
        <f t="shared" si="8"/>
        <v>107465.36000000002</v>
      </c>
      <c r="P88" s="1279">
        <f t="shared" si="8"/>
        <v>107465.36000000002</v>
      </c>
      <c r="Q88" s="1279">
        <f t="shared" si="8"/>
        <v>107465.36000000002</v>
      </c>
      <c r="R88" s="2430"/>
    </row>
    <row r="89" spans="2:18" x14ac:dyDescent="0.25">
      <c r="B89" s="1322" t="s">
        <v>222</v>
      </c>
      <c r="C89" s="1279">
        <f t="shared" si="8"/>
        <v>107465.36000000002</v>
      </c>
      <c r="D89" s="1279">
        <f t="shared" si="8"/>
        <v>107465.36000000002</v>
      </c>
      <c r="E89" s="1279">
        <f t="shared" si="8"/>
        <v>107465.36000000002</v>
      </c>
      <c r="F89" s="1279">
        <f t="shared" si="8"/>
        <v>107465.36000000002</v>
      </c>
      <c r="G89" s="1279">
        <f t="shared" si="8"/>
        <v>107465.36000000002</v>
      </c>
      <c r="H89" s="1279">
        <f t="shared" si="8"/>
        <v>107465.36000000002</v>
      </c>
      <c r="I89" s="1279">
        <f t="shared" si="8"/>
        <v>107465.36000000002</v>
      </c>
      <c r="J89" s="1279">
        <f t="shared" si="8"/>
        <v>107465.36000000002</v>
      </c>
      <c r="K89" s="1279">
        <f t="shared" si="8"/>
        <v>107465.36000000002</v>
      </c>
      <c r="L89" s="1279">
        <f t="shared" si="8"/>
        <v>107465.36000000002</v>
      </c>
      <c r="M89" s="1279">
        <f t="shared" si="8"/>
        <v>107465.36000000002</v>
      </c>
      <c r="N89" s="1279">
        <f t="shared" si="8"/>
        <v>107465.36000000002</v>
      </c>
      <c r="O89" s="1279">
        <f t="shared" si="8"/>
        <v>107465.36000000002</v>
      </c>
      <c r="P89" s="1279">
        <f t="shared" si="8"/>
        <v>107465.36000000002</v>
      </c>
      <c r="Q89" s="1279">
        <f t="shared" si="8"/>
        <v>107465.36000000002</v>
      </c>
      <c r="R89" s="2430"/>
    </row>
    <row r="90" spans="2:18" x14ac:dyDescent="0.25">
      <c r="B90" s="1322" t="s">
        <v>3137</v>
      </c>
      <c r="C90" s="1279">
        <f t="shared" si="8"/>
        <v>53732.680000000008</v>
      </c>
      <c r="D90" s="1279">
        <f t="shared" si="8"/>
        <v>53732.680000000008</v>
      </c>
      <c r="E90" s="1279">
        <f t="shared" si="8"/>
        <v>53732.680000000008</v>
      </c>
      <c r="F90" s="1279">
        <f t="shared" si="8"/>
        <v>53732.680000000008</v>
      </c>
      <c r="G90" s="1279">
        <f t="shared" si="8"/>
        <v>53732.680000000008</v>
      </c>
      <c r="H90" s="1279">
        <f t="shared" si="8"/>
        <v>53732.680000000008</v>
      </c>
      <c r="I90" s="1279">
        <f t="shared" si="8"/>
        <v>53732.680000000008</v>
      </c>
      <c r="J90" s="1279">
        <f t="shared" si="8"/>
        <v>53732.680000000008</v>
      </c>
      <c r="K90" s="1279">
        <f t="shared" si="8"/>
        <v>107465.36000000002</v>
      </c>
      <c r="L90" s="1279">
        <f t="shared" si="8"/>
        <v>107465.36000000002</v>
      </c>
      <c r="M90" s="1279">
        <f t="shared" si="8"/>
        <v>107465.36000000002</v>
      </c>
      <c r="N90" s="1279">
        <f t="shared" si="8"/>
        <v>107465.36000000002</v>
      </c>
      <c r="O90" s="1279">
        <f t="shared" si="8"/>
        <v>107465.36000000002</v>
      </c>
      <c r="P90" s="1279">
        <f t="shared" si="8"/>
        <v>107465.36000000002</v>
      </c>
      <c r="Q90" s="1279">
        <f t="shared" si="8"/>
        <v>107465.36000000002</v>
      </c>
      <c r="R90" s="2430"/>
    </row>
    <row r="91" spans="2:18" ht="27" x14ac:dyDescent="0.25">
      <c r="B91" s="2446" t="s">
        <v>3138</v>
      </c>
      <c r="C91" s="2229">
        <f t="shared" si="8"/>
        <v>0</v>
      </c>
      <c r="D91" s="2229">
        <f t="shared" si="8"/>
        <v>0</v>
      </c>
      <c r="E91" s="2229">
        <f t="shared" si="8"/>
        <v>0</v>
      </c>
      <c r="F91" s="2229">
        <f t="shared" si="8"/>
        <v>0</v>
      </c>
      <c r="G91" s="2229">
        <f t="shared" si="8"/>
        <v>0</v>
      </c>
      <c r="H91" s="2229">
        <f t="shared" si="8"/>
        <v>0</v>
      </c>
      <c r="I91" s="2229">
        <f t="shared" si="8"/>
        <v>0</v>
      </c>
      <c r="J91" s="2229">
        <f t="shared" si="8"/>
        <v>0</v>
      </c>
      <c r="K91" s="2229">
        <f t="shared" si="8"/>
        <v>0</v>
      </c>
      <c r="L91" s="2229">
        <f t="shared" si="8"/>
        <v>0</v>
      </c>
      <c r="M91" s="2229">
        <f t="shared" si="8"/>
        <v>0</v>
      </c>
      <c r="N91" s="2229">
        <f t="shared" si="8"/>
        <v>0</v>
      </c>
      <c r="O91" s="2229">
        <f t="shared" si="8"/>
        <v>0</v>
      </c>
      <c r="P91" s="2229">
        <f t="shared" si="8"/>
        <v>0</v>
      </c>
      <c r="Q91" s="2229">
        <f t="shared" si="8"/>
        <v>0</v>
      </c>
      <c r="R91" s="2430"/>
    </row>
    <row r="92" spans="2:18" ht="27" x14ac:dyDescent="0.25">
      <c r="B92" s="1322" t="s">
        <v>3139</v>
      </c>
      <c r="C92" s="1279">
        <f t="shared" ref="C92:Q92" si="9">C27</f>
        <v>2</v>
      </c>
      <c r="D92" s="1279">
        <f t="shared" si="9"/>
        <v>2</v>
      </c>
      <c r="E92" s="1279">
        <f t="shared" si="9"/>
        <v>2</v>
      </c>
      <c r="F92" s="1279">
        <f t="shared" si="9"/>
        <v>2</v>
      </c>
      <c r="G92" s="1279">
        <f t="shared" si="9"/>
        <v>2</v>
      </c>
      <c r="H92" s="1279">
        <f t="shared" si="9"/>
        <v>2</v>
      </c>
      <c r="I92" s="1279">
        <f t="shared" si="9"/>
        <v>2</v>
      </c>
      <c r="J92" s="1279">
        <f t="shared" si="9"/>
        <v>2</v>
      </c>
      <c r="K92" s="1279">
        <f t="shared" si="9"/>
        <v>2</v>
      </c>
      <c r="L92" s="1279">
        <f t="shared" si="9"/>
        <v>2</v>
      </c>
      <c r="M92" s="1279">
        <f t="shared" si="9"/>
        <v>2</v>
      </c>
      <c r="N92" s="1279">
        <f t="shared" si="9"/>
        <v>2</v>
      </c>
      <c r="O92" s="1279">
        <f t="shared" si="9"/>
        <v>2</v>
      </c>
      <c r="P92" s="1279">
        <f t="shared" si="9"/>
        <v>2</v>
      </c>
      <c r="Q92" s="1279">
        <f t="shared" si="9"/>
        <v>2</v>
      </c>
      <c r="R92" s="2430"/>
    </row>
    <row r="93" spans="2:18" x14ac:dyDescent="0.25">
      <c r="B93" s="1322" t="s">
        <v>226</v>
      </c>
      <c r="C93" s="1279">
        <f t="shared" ref="C93:Q94" si="10">C28*$U$12</f>
        <v>387398</v>
      </c>
      <c r="D93" s="1279">
        <f t="shared" si="10"/>
        <v>387398</v>
      </c>
      <c r="E93" s="1279">
        <f t="shared" si="10"/>
        <v>387398</v>
      </c>
      <c r="F93" s="1279">
        <f t="shared" si="10"/>
        <v>387398</v>
      </c>
      <c r="G93" s="1279">
        <f t="shared" si="10"/>
        <v>387398</v>
      </c>
      <c r="H93" s="1279">
        <f t="shared" si="10"/>
        <v>387398</v>
      </c>
      <c r="I93" s="1279">
        <f t="shared" si="10"/>
        <v>387398</v>
      </c>
      <c r="J93" s="1279">
        <f t="shared" si="10"/>
        <v>387398</v>
      </c>
      <c r="K93" s="1279">
        <f t="shared" si="10"/>
        <v>387398</v>
      </c>
      <c r="L93" s="1279">
        <f t="shared" si="10"/>
        <v>387398</v>
      </c>
      <c r="M93" s="1279">
        <f t="shared" si="10"/>
        <v>387398</v>
      </c>
      <c r="N93" s="1279">
        <f t="shared" si="10"/>
        <v>387398</v>
      </c>
      <c r="O93" s="1279">
        <f t="shared" si="10"/>
        <v>422616</v>
      </c>
      <c r="P93" s="1279">
        <f t="shared" si="10"/>
        <v>422616</v>
      </c>
      <c r="Q93" s="1279">
        <f t="shared" si="10"/>
        <v>422616</v>
      </c>
      <c r="R93" s="2430"/>
    </row>
    <row r="94" spans="2:18" x14ac:dyDescent="0.25">
      <c r="B94" s="1322" t="s">
        <v>227</v>
      </c>
      <c r="C94" s="1279">
        <f t="shared" si="10"/>
        <v>35218</v>
      </c>
      <c r="D94" s="1279">
        <f t="shared" si="10"/>
        <v>35218</v>
      </c>
      <c r="E94" s="1279">
        <f t="shared" si="10"/>
        <v>35218</v>
      </c>
      <c r="F94" s="1279">
        <f t="shared" si="10"/>
        <v>35218</v>
      </c>
      <c r="G94" s="1279">
        <f t="shared" si="10"/>
        <v>35218</v>
      </c>
      <c r="H94" s="1279">
        <f t="shared" si="10"/>
        <v>35218</v>
      </c>
      <c r="I94" s="1279">
        <f t="shared" si="10"/>
        <v>35218</v>
      </c>
      <c r="J94" s="1279">
        <f t="shared" si="10"/>
        <v>35218</v>
      </c>
      <c r="K94" s="1279">
        <f t="shared" si="10"/>
        <v>35218</v>
      </c>
      <c r="L94" s="1279">
        <f t="shared" si="10"/>
        <v>35218</v>
      </c>
      <c r="M94" s="1279">
        <f t="shared" si="10"/>
        <v>35218</v>
      </c>
      <c r="N94" s="1279">
        <f t="shared" si="10"/>
        <v>35218</v>
      </c>
      <c r="O94" s="1279">
        <f t="shared" si="10"/>
        <v>35218</v>
      </c>
      <c r="P94" s="1279">
        <f t="shared" si="10"/>
        <v>35218</v>
      </c>
      <c r="Q94" s="1279">
        <f t="shared" si="10"/>
        <v>35218</v>
      </c>
      <c r="R94" s="2430"/>
    </row>
    <row r="95" spans="2:18" x14ac:dyDescent="0.25">
      <c r="B95" s="2446" t="s">
        <v>228</v>
      </c>
      <c r="C95" s="2229">
        <f t="shared" ref="C95:Q95" si="11">C30</f>
        <v>0</v>
      </c>
      <c r="D95" s="2229">
        <f t="shared" si="11"/>
        <v>0</v>
      </c>
      <c r="E95" s="2229">
        <f t="shared" si="11"/>
        <v>0</v>
      </c>
      <c r="F95" s="2229">
        <f t="shared" si="11"/>
        <v>0</v>
      </c>
      <c r="G95" s="2229">
        <f t="shared" si="11"/>
        <v>0</v>
      </c>
      <c r="H95" s="2229">
        <f t="shared" si="11"/>
        <v>0</v>
      </c>
      <c r="I95" s="2229">
        <f t="shared" si="11"/>
        <v>0</v>
      </c>
      <c r="J95" s="2229">
        <f t="shared" si="11"/>
        <v>0</v>
      </c>
      <c r="K95" s="2229">
        <f t="shared" si="11"/>
        <v>0</v>
      </c>
      <c r="L95" s="2229">
        <f t="shared" si="11"/>
        <v>0</v>
      </c>
      <c r="M95" s="2229">
        <f t="shared" si="11"/>
        <v>0</v>
      </c>
      <c r="N95" s="2229">
        <f t="shared" si="11"/>
        <v>0</v>
      </c>
      <c r="O95" s="2229">
        <f t="shared" si="11"/>
        <v>0</v>
      </c>
      <c r="P95" s="2229">
        <f t="shared" si="11"/>
        <v>0</v>
      </c>
      <c r="Q95" s="2229">
        <f t="shared" si="11"/>
        <v>0</v>
      </c>
      <c r="R95" s="2430"/>
    </row>
    <row r="96" spans="2:18" x14ac:dyDescent="0.25">
      <c r="B96" s="1322" t="s">
        <v>229</v>
      </c>
      <c r="C96" s="1279">
        <f t="shared" ref="C96:Q97" si="12">C31*$U$12</f>
        <v>35218</v>
      </c>
      <c r="D96" s="1279">
        <f t="shared" si="12"/>
        <v>35218</v>
      </c>
      <c r="E96" s="1279">
        <f t="shared" si="12"/>
        <v>35218</v>
      </c>
      <c r="F96" s="1279">
        <f t="shared" si="12"/>
        <v>35218</v>
      </c>
      <c r="G96" s="1279">
        <f t="shared" si="12"/>
        <v>35218</v>
      </c>
      <c r="H96" s="1279">
        <f t="shared" si="12"/>
        <v>35218</v>
      </c>
      <c r="I96" s="1279">
        <f t="shared" si="12"/>
        <v>35218</v>
      </c>
      <c r="J96" s="1279">
        <f t="shared" si="12"/>
        <v>35218</v>
      </c>
      <c r="K96" s="1279">
        <f t="shared" si="12"/>
        <v>35218</v>
      </c>
      <c r="L96" s="1279">
        <f t="shared" si="12"/>
        <v>35218</v>
      </c>
      <c r="M96" s="1279">
        <f t="shared" si="12"/>
        <v>35218</v>
      </c>
      <c r="N96" s="1279">
        <f t="shared" si="12"/>
        <v>35218</v>
      </c>
      <c r="O96" s="1279">
        <f t="shared" si="12"/>
        <v>35218</v>
      </c>
      <c r="P96" s="1279">
        <f t="shared" si="12"/>
        <v>35218</v>
      </c>
      <c r="Q96" s="1279">
        <f t="shared" si="12"/>
        <v>35218</v>
      </c>
      <c r="R96" s="2430"/>
    </row>
    <row r="97" spans="2:18" x14ac:dyDescent="0.25">
      <c r="B97" s="1322" t="s">
        <v>3140</v>
      </c>
      <c r="C97" s="1279">
        <f t="shared" si="12"/>
        <v>35218</v>
      </c>
      <c r="D97" s="1279">
        <f t="shared" si="12"/>
        <v>35218</v>
      </c>
      <c r="E97" s="1279">
        <f t="shared" si="12"/>
        <v>35218</v>
      </c>
      <c r="F97" s="1279">
        <f t="shared" si="12"/>
        <v>35218</v>
      </c>
      <c r="G97" s="1279">
        <f t="shared" si="12"/>
        <v>35218</v>
      </c>
      <c r="H97" s="1279">
        <f t="shared" si="12"/>
        <v>35218</v>
      </c>
      <c r="I97" s="1279">
        <f t="shared" si="12"/>
        <v>35218</v>
      </c>
      <c r="J97" s="1279">
        <f t="shared" si="12"/>
        <v>35218</v>
      </c>
      <c r="K97" s="1279">
        <f t="shared" si="12"/>
        <v>35218</v>
      </c>
      <c r="L97" s="1279">
        <f t="shared" si="12"/>
        <v>35218</v>
      </c>
      <c r="M97" s="1279">
        <f t="shared" si="12"/>
        <v>35218</v>
      </c>
      <c r="N97" s="1279">
        <f t="shared" si="12"/>
        <v>35218</v>
      </c>
      <c r="O97" s="1279">
        <f t="shared" si="12"/>
        <v>35218</v>
      </c>
      <c r="P97" s="1279">
        <f t="shared" si="12"/>
        <v>35218</v>
      </c>
      <c r="Q97" s="1279">
        <f t="shared" si="12"/>
        <v>35218</v>
      </c>
      <c r="R97" s="2430"/>
    </row>
    <row r="98" spans="2:18" x14ac:dyDescent="0.25">
      <c r="B98" s="2446" t="s">
        <v>231</v>
      </c>
      <c r="C98" s="2229">
        <f t="shared" ref="C98:Q98" si="13">C33*$U$11</f>
        <v>0</v>
      </c>
      <c r="D98" s="2229">
        <f t="shared" si="13"/>
        <v>0</v>
      </c>
      <c r="E98" s="2229">
        <f t="shared" si="13"/>
        <v>0</v>
      </c>
      <c r="F98" s="2229">
        <f t="shared" si="13"/>
        <v>0</v>
      </c>
      <c r="G98" s="2229">
        <f t="shared" si="13"/>
        <v>0</v>
      </c>
      <c r="H98" s="2229">
        <f t="shared" si="13"/>
        <v>0</v>
      </c>
      <c r="I98" s="2229">
        <f t="shared" si="13"/>
        <v>0</v>
      </c>
      <c r="J98" s="2229">
        <f t="shared" si="13"/>
        <v>0</v>
      </c>
      <c r="K98" s="2229">
        <f t="shared" si="13"/>
        <v>0</v>
      </c>
      <c r="L98" s="2229">
        <f t="shared" si="13"/>
        <v>0</v>
      </c>
      <c r="M98" s="2229">
        <f t="shared" si="13"/>
        <v>0</v>
      </c>
      <c r="N98" s="2229">
        <f t="shared" si="13"/>
        <v>0</v>
      </c>
      <c r="O98" s="2229">
        <f t="shared" si="13"/>
        <v>0</v>
      </c>
      <c r="P98" s="2229">
        <f t="shared" si="13"/>
        <v>0</v>
      </c>
      <c r="Q98" s="2229">
        <f t="shared" si="13"/>
        <v>0</v>
      </c>
      <c r="R98" s="2430"/>
    </row>
    <row r="99" spans="2:18" x14ac:dyDescent="0.25">
      <c r="B99" s="2440" t="s">
        <v>3142</v>
      </c>
      <c r="C99" s="2441">
        <f t="shared" ref="C99:Q99" si="14">SUM(C71:C98)</f>
        <v>3245605.4800000004</v>
      </c>
      <c r="D99" s="2441">
        <f t="shared" si="14"/>
        <v>3245605.4800000004</v>
      </c>
      <c r="E99" s="2441">
        <f t="shared" si="14"/>
        <v>3245605.4800000004</v>
      </c>
      <c r="F99" s="2441">
        <f t="shared" si="14"/>
        <v>3245605.4800000004</v>
      </c>
      <c r="G99" s="2441">
        <f t="shared" si="14"/>
        <v>3245605.4800000004</v>
      </c>
      <c r="H99" s="2441">
        <f t="shared" si="14"/>
        <v>3333767</v>
      </c>
      <c r="I99" s="2441">
        <f t="shared" si="14"/>
        <v>3333767</v>
      </c>
      <c r="J99" s="2441">
        <f t="shared" si="14"/>
        <v>3333767</v>
      </c>
      <c r="K99" s="2441">
        <f t="shared" si="14"/>
        <v>3387499.6799999997</v>
      </c>
      <c r="L99" s="2441">
        <f t="shared" si="14"/>
        <v>3387499.6799999997</v>
      </c>
      <c r="M99" s="2441">
        <f t="shared" si="14"/>
        <v>3537832.36</v>
      </c>
      <c r="N99" s="2441">
        <f t="shared" si="14"/>
        <v>3537832.36</v>
      </c>
      <c r="O99" s="2441">
        <f t="shared" si="14"/>
        <v>3573050.36</v>
      </c>
      <c r="P99" s="2441">
        <f t="shared" si="14"/>
        <v>3573050.36</v>
      </c>
      <c r="Q99" s="2442">
        <f t="shared" si="14"/>
        <v>3573050.36</v>
      </c>
      <c r="R99" s="2430"/>
    </row>
    <row r="100" spans="2:18" x14ac:dyDescent="0.25">
      <c r="B100" s="2383" t="s">
        <v>3144</v>
      </c>
      <c r="C100" s="2379"/>
      <c r="D100" s="2379"/>
      <c r="E100" s="2379"/>
      <c r="F100" s="2379"/>
      <c r="G100" s="2379"/>
      <c r="H100" s="2379"/>
      <c r="I100" s="2379"/>
      <c r="J100" s="2379"/>
      <c r="K100" s="2379"/>
      <c r="L100" s="2379"/>
      <c r="M100" s="2379"/>
      <c r="N100" s="2379"/>
      <c r="O100" s="2379"/>
      <c r="P100" s="2379"/>
      <c r="Q100" s="2379"/>
      <c r="R100" s="2430"/>
    </row>
    <row r="101" spans="2:18" x14ac:dyDescent="0.25">
      <c r="B101" s="1278" t="s">
        <v>3145</v>
      </c>
      <c r="C101" s="589">
        <f t="shared" ref="C101:Q101" si="15">+C36*$U$15</f>
        <v>53732.680000000008</v>
      </c>
      <c r="D101" s="589">
        <f t="shared" si="15"/>
        <v>53732.680000000008</v>
      </c>
      <c r="E101" s="589">
        <f t="shared" si="15"/>
        <v>53732.680000000008</v>
      </c>
      <c r="F101" s="589">
        <f t="shared" si="15"/>
        <v>53732.680000000008</v>
      </c>
      <c r="G101" s="589">
        <f t="shared" si="15"/>
        <v>53732.680000000008</v>
      </c>
      <c r="H101" s="589">
        <f t="shared" si="15"/>
        <v>53732.680000000008</v>
      </c>
      <c r="I101" s="589">
        <f t="shared" si="15"/>
        <v>53732.680000000008</v>
      </c>
      <c r="J101" s="589">
        <f t="shared" si="15"/>
        <v>53732.680000000008</v>
      </c>
      <c r="K101" s="589">
        <f t="shared" si="15"/>
        <v>53732.680000000008</v>
      </c>
      <c r="L101" s="589">
        <f t="shared" si="15"/>
        <v>53732.680000000008</v>
      </c>
      <c r="M101" s="589">
        <f t="shared" si="15"/>
        <v>53732.680000000008</v>
      </c>
      <c r="N101" s="589">
        <f t="shared" si="15"/>
        <v>53732.680000000008</v>
      </c>
      <c r="O101" s="589">
        <f t="shared" si="15"/>
        <v>53732.680000000008</v>
      </c>
      <c r="P101" s="589">
        <f t="shared" si="15"/>
        <v>53732.680000000008</v>
      </c>
      <c r="Q101" s="589">
        <f t="shared" si="15"/>
        <v>53732.680000000008</v>
      </c>
      <c r="R101" s="2430"/>
    </row>
    <row r="102" spans="2:18" x14ac:dyDescent="0.25">
      <c r="B102" s="2122" t="s">
        <v>3146</v>
      </c>
      <c r="C102" s="590">
        <f t="shared" ref="C102:Q102" si="16">C37*$U$16</f>
        <v>0</v>
      </c>
      <c r="D102" s="590">
        <f t="shared" si="16"/>
        <v>0</v>
      </c>
      <c r="E102" s="590">
        <f t="shared" si="16"/>
        <v>0</v>
      </c>
      <c r="F102" s="590">
        <f t="shared" si="16"/>
        <v>0</v>
      </c>
      <c r="G102" s="590">
        <f t="shared" si="16"/>
        <v>0</v>
      </c>
      <c r="H102" s="590">
        <f t="shared" si="16"/>
        <v>0</v>
      </c>
      <c r="I102" s="590">
        <f t="shared" si="16"/>
        <v>0</v>
      </c>
      <c r="J102" s="590">
        <f t="shared" si="16"/>
        <v>0</v>
      </c>
      <c r="K102" s="590">
        <f t="shared" si="16"/>
        <v>0</v>
      </c>
      <c r="L102" s="590">
        <f t="shared" si="16"/>
        <v>0</v>
      </c>
      <c r="M102" s="590">
        <f t="shared" si="16"/>
        <v>0</v>
      </c>
      <c r="N102" s="590">
        <f t="shared" si="16"/>
        <v>0</v>
      </c>
      <c r="O102" s="590">
        <f t="shared" si="16"/>
        <v>0</v>
      </c>
      <c r="P102" s="590">
        <f t="shared" si="16"/>
        <v>0</v>
      </c>
      <c r="Q102" s="590">
        <f t="shared" si="16"/>
        <v>0</v>
      </c>
      <c r="R102" s="2430"/>
    </row>
    <row r="103" spans="2:18" x14ac:dyDescent="0.25">
      <c r="B103" s="2122" t="s">
        <v>3147</v>
      </c>
      <c r="C103" s="590">
        <f t="shared" ref="C103:Q104" si="17">C38*$U$15</f>
        <v>0</v>
      </c>
      <c r="D103" s="590">
        <f t="shared" si="17"/>
        <v>0</v>
      </c>
      <c r="E103" s="590">
        <f t="shared" si="17"/>
        <v>0</v>
      </c>
      <c r="F103" s="590">
        <f t="shared" si="17"/>
        <v>0</v>
      </c>
      <c r="G103" s="590">
        <f t="shared" si="17"/>
        <v>0</v>
      </c>
      <c r="H103" s="590">
        <f t="shared" si="17"/>
        <v>0</v>
      </c>
      <c r="I103" s="590">
        <f t="shared" si="17"/>
        <v>0</v>
      </c>
      <c r="J103" s="590">
        <f t="shared" si="17"/>
        <v>0</v>
      </c>
      <c r="K103" s="590">
        <f t="shared" si="17"/>
        <v>0</v>
      </c>
      <c r="L103" s="590">
        <f t="shared" si="17"/>
        <v>0</v>
      </c>
      <c r="M103" s="590">
        <f t="shared" si="17"/>
        <v>0</v>
      </c>
      <c r="N103" s="590">
        <f t="shared" si="17"/>
        <v>0</v>
      </c>
      <c r="O103" s="590">
        <f t="shared" si="17"/>
        <v>0</v>
      </c>
      <c r="P103" s="590">
        <f t="shared" si="17"/>
        <v>0</v>
      </c>
      <c r="Q103" s="590">
        <f t="shared" si="17"/>
        <v>0</v>
      </c>
      <c r="R103" s="2430"/>
    </row>
    <row r="104" spans="2:18" x14ac:dyDescent="0.25">
      <c r="B104" s="2122" t="s">
        <v>3148</v>
      </c>
      <c r="C104" s="590">
        <f t="shared" si="17"/>
        <v>0</v>
      </c>
      <c r="D104" s="590">
        <f t="shared" si="17"/>
        <v>0</v>
      </c>
      <c r="E104" s="590">
        <f t="shared" si="17"/>
        <v>0</v>
      </c>
      <c r="F104" s="590">
        <f t="shared" si="17"/>
        <v>0</v>
      </c>
      <c r="G104" s="590">
        <f t="shared" si="17"/>
        <v>0</v>
      </c>
      <c r="H104" s="590">
        <f t="shared" si="17"/>
        <v>0</v>
      </c>
      <c r="I104" s="590">
        <f t="shared" si="17"/>
        <v>0</v>
      </c>
      <c r="J104" s="590">
        <f t="shared" si="17"/>
        <v>0</v>
      </c>
      <c r="K104" s="590">
        <f t="shared" si="17"/>
        <v>0</v>
      </c>
      <c r="L104" s="590">
        <f t="shared" si="17"/>
        <v>0</v>
      </c>
      <c r="M104" s="590">
        <f t="shared" si="17"/>
        <v>0</v>
      </c>
      <c r="N104" s="590">
        <f t="shared" si="17"/>
        <v>0</v>
      </c>
      <c r="O104" s="590">
        <f t="shared" si="17"/>
        <v>0</v>
      </c>
      <c r="P104" s="590">
        <f t="shared" si="17"/>
        <v>0</v>
      </c>
      <c r="Q104" s="590">
        <f t="shared" si="17"/>
        <v>0</v>
      </c>
      <c r="R104" s="2430"/>
    </row>
    <row r="105" spans="2:18" x14ac:dyDescent="0.25">
      <c r="B105" s="2122" t="s">
        <v>3149</v>
      </c>
      <c r="C105" s="590">
        <f t="shared" ref="C105:Q105" si="18">C40*$U$16</f>
        <v>0</v>
      </c>
      <c r="D105" s="590">
        <f t="shared" si="18"/>
        <v>0</v>
      </c>
      <c r="E105" s="590">
        <f t="shared" si="18"/>
        <v>0</v>
      </c>
      <c r="F105" s="590">
        <f t="shared" si="18"/>
        <v>0</v>
      </c>
      <c r="G105" s="590">
        <f t="shared" si="18"/>
        <v>0</v>
      </c>
      <c r="H105" s="590">
        <f t="shared" si="18"/>
        <v>0</v>
      </c>
      <c r="I105" s="590">
        <f t="shared" si="18"/>
        <v>0</v>
      </c>
      <c r="J105" s="590">
        <f t="shared" si="18"/>
        <v>0</v>
      </c>
      <c r="K105" s="590">
        <f t="shared" si="18"/>
        <v>0</v>
      </c>
      <c r="L105" s="590">
        <f t="shared" si="18"/>
        <v>0</v>
      </c>
      <c r="M105" s="590">
        <f t="shared" si="18"/>
        <v>0</v>
      </c>
      <c r="N105" s="590">
        <f t="shared" si="18"/>
        <v>0</v>
      </c>
      <c r="O105" s="590">
        <f t="shared" si="18"/>
        <v>0</v>
      </c>
      <c r="P105" s="590">
        <f t="shared" si="18"/>
        <v>0</v>
      </c>
      <c r="Q105" s="590">
        <f t="shared" si="18"/>
        <v>0</v>
      </c>
      <c r="R105" s="2430"/>
    </row>
    <row r="106" spans="2:18" x14ac:dyDescent="0.25">
      <c r="B106" s="2383" t="s">
        <v>3150</v>
      </c>
      <c r="C106" s="2379"/>
      <c r="D106" s="2379"/>
      <c r="E106" s="2379"/>
      <c r="F106" s="2379"/>
      <c r="G106" s="2379"/>
      <c r="H106" s="2379"/>
      <c r="I106" s="2379"/>
      <c r="J106" s="2379"/>
      <c r="K106" s="2379"/>
      <c r="L106" s="2379"/>
      <c r="M106" s="2379"/>
      <c r="N106" s="2379"/>
      <c r="O106" s="2379"/>
      <c r="P106" s="2379"/>
      <c r="Q106" s="2379"/>
      <c r="R106" s="2430"/>
    </row>
    <row r="107" spans="2:18" x14ac:dyDescent="0.25">
      <c r="B107" s="1278" t="s">
        <v>3350</v>
      </c>
      <c r="C107" s="589">
        <f t="shared" ref="C107:Q113" si="19">C42*$U$17</f>
        <v>31204</v>
      </c>
      <c r="D107" s="589">
        <f t="shared" si="19"/>
        <v>31204</v>
      </c>
      <c r="E107" s="589">
        <f t="shared" si="19"/>
        <v>31204</v>
      </c>
      <c r="F107" s="589">
        <f t="shared" si="19"/>
        <v>31204</v>
      </c>
      <c r="G107" s="589">
        <f t="shared" si="19"/>
        <v>31204</v>
      </c>
      <c r="H107" s="589">
        <f t="shared" si="19"/>
        <v>31204</v>
      </c>
      <c r="I107" s="589">
        <f t="shared" si="19"/>
        <v>31204</v>
      </c>
      <c r="J107" s="589">
        <f t="shared" si="19"/>
        <v>31204</v>
      </c>
      <c r="K107" s="589">
        <f t="shared" si="19"/>
        <v>31204</v>
      </c>
      <c r="L107" s="589">
        <f t="shared" si="19"/>
        <v>31204</v>
      </c>
      <c r="M107" s="589">
        <f t="shared" si="19"/>
        <v>31204</v>
      </c>
      <c r="N107" s="589">
        <f t="shared" si="19"/>
        <v>31204</v>
      </c>
      <c r="O107" s="589">
        <f t="shared" si="19"/>
        <v>31204</v>
      </c>
      <c r="P107" s="589">
        <f t="shared" si="19"/>
        <v>31204</v>
      </c>
      <c r="Q107" s="589">
        <f t="shared" si="19"/>
        <v>31204</v>
      </c>
      <c r="R107" s="2430"/>
    </row>
    <row r="108" spans="2:18" x14ac:dyDescent="0.25">
      <c r="B108" s="2122" t="s">
        <v>1828</v>
      </c>
      <c r="C108" s="590">
        <f t="shared" si="19"/>
        <v>0</v>
      </c>
      <c r="D108" s="590">
        <f t="shared" si="19"/>
        <v>0</v>
      </c>
      <c r="E108" s="590">
        <f t="shared" si="19"/>
        <v>0</v>
      </c>
      <c r="F108" s="590">
        <f t="shared" si="19"/>
        <v>0</v>
      </c>
      <c r="G108" s="590">
        <f t="shared" si="19"/>
        <v>0</v>
      </c>
      <c r="H108" s="590">
        <f t="shared" si="19"/>
        <v>0</v>
      </c>
      <c r="I108" s="590">
        <f t="shared" si="19"/>
        <v>0</v>
      </c>
      <c r="J108" s="590">
        <f t="shared" si="19"/>
        <v>0</v>
      </c>
      <c r="K108" s="590">
        <f t="shared" si="19"/>
        <v>0</v>
      </c>
      <c r="L108" s="590">
        <f t="shared" si="19"/>
        <v>0</v>
      </c>
      <c r="M108" s="590">
        <f t="shared" si="19"/>
        <v>0</v>
      </c>
      <c r="N108" s="590">
        <f t="shared" si="19"/>
        <v>0</v>
      </c>
      <c r="O108" s="590">
        <f t="shared" si="19"/>
        <v>0</v>
      </c>
      <c r="P108" s="590">
        <f t="shared" si="19"/>
        <v>0</v>
      </c>
      <c r="Q108" s="590">
        <f t="shared" si="19"/>
        <v>0</v>
      </c>
      <c r="R108" s="2430"/>
    </row>
    <row r="109" spans="2:18" x14ac:dyDescent="0.25">
      <c r="B109" s="2122" t="s">
        <v>3351</v>
      </c>
      <c r="C109" s="590">
        <f t="shared" si="19"/>
        <v>0</v>
      </c>
      <c r="D109" s="590">
        <f t="shared" si="19"/>
        <v>0</v>
      </c>
      <c r="E109" s="590">
        <f t="shared" si="19"/>
        <v>0</v>
      </c>
      <c r="F109" s="590">
        <f t="shared" si="19"/>
        <v>0</v>
      </c>
      <c r="G109" s="590">
        <f t="shared" si="19"/>
        <v>0</v>
      </c>
      <c r="H109" s="590">
        <f t="shared" si="19"/>
        <v>0</v>
      </c>
      <c r="I109" s="590">
        <f t="shared" si="19"/>
        <v>0</v>
      </c>
      <c r="J109" s="590">
        <f t="shared" si="19"/>
        <v>0</v>
      </c>
      <c r="K109" s="590">
        <f t="shared" si="19"/>
        <v>0</v>
      </c>
      <c r="L109" s="590">
        <f t="shared" si="19"/>
        <v>0</v>
      </c>
      <c r="M109" s="590">
        <f t="shared" si="19"/>
        <v>0</v>
      </c>
      <c r="N109" s="590">
        <f t="shared" si="19"/>
        <v>0</v>
      </c>
      <c r="O109" s="590">
        <f t="shared" si="19"/>
        <v>0</v>
      </c>
      <c r="P109" s="590">
        <f t="shared" si="19"/>
        <v>0</v>
      </c>
      <c r="Q109" s="590">
        <f t="shared" si="19"/>
        <v>0</v>
      </c>
      <c r="R109" s="2430"/>
    </row>
    <row r="110" spans="2:18" x14ac:dyDescent="0.25">
      <c r="B110" s="1278" t="s">
        <v>3352</v>
      </c>
      <c r="C110" s="589">
        <f t="shared" si="19"/>
        <v>31204</v>
      </c>
      <c r="D110" s="589">
        <f t="shared" si="19"/>
        <v>31204</v>
      </c>
      <c r="E110" s="589">
        <f t="shared" si="19"/>
        <v>31204</v>
      </c>
      <c r="F110" s="589">
        <f t="shared" si="19"/>
        <v>31204</v>
      </c>
      <c r="G110" s="589">
        <f t="shared" si="19"/>
        <v>31204</v>
      </c>
      <c r="H110" s="589">
        <f t="shared" si="19"/>
        <v>31204</v>
      </c>
      <c r="I110" s="589">
        <f t="shared" si="19"/>
        <v>31204</v>
      </c>
      <c r="J110" s="589">
        <f t="shared" si="19"/>
        <v>31204</v>
      </c>
      <c r="K110" s="589">
        <f t="shared" si="19"/>
        <v>31204</v>
      </c>
      <c r="L110" s="589">
        <f t="shared" si="19"/>
        <v>31204</v>
      </c>
      <c r="M110" s="589">
        <f t="shared" si="19"/>
        <v>31204</v>
      </c>
      <c r="N110" s="589">
        <f t="shared" si="19"/>
        <v>31204</v>
      </c>
      <c r="O110" s="589">
        <f t="shared" si="19"/>
        <v>31204</v>
      </c>
      <c r="P110" s="589">
        <f t="shared" si="19"/>
        <v>31204</v>
      </c>
      <c r="Q110" s="589">
        <f t="shared" si="19"/>
        <v>31204</v>
      </c>
      <c r="R110" s="2430"/>
    </row>
    <row r="111" spans="2:18" x14ac:dyDescent="0.25">
      <c r="B111" s="1278" t="s">
        <v>3353</v>
      </c>
      <c r="C111" s="589">
        <f t="shared" si="19"/>
        <v>31204</v>
      </c>
      <c r="D111" s="589">
        <f t="shared" si="19"/>
        <v>31204</v>
      </c>
      <c r="E111" s="589">
        <f t="shared" si="19"/>
        <v>31204</v>
      </c>
      <c r="F111" s="589">
        <f t="shared" si="19"/>
        <v>31204</v>
      </c>
      <c r="G111" s="589">
        <f t="shared" si="19"/>
        <v>31204</v>
      </c>
      <c r="H111" s="589">
        <f t="shared" si="19"/>
        <v>31204</v>
      </c>
      <c r="I111" s="589">
        <f t="shared" si="19"/>
        <v>31204</v>
      </c>
      <c r="J111" s="589">
        <f t="shared" si="19"/>
        <v>31204</v>
      </c>
      <c r="K111" s="589">
        <f t="shared" si="19"/>
        <v>31204</v>
      </c>
      <c r="L111" s="589">
        <f t="shared" si="19"/>
        <v>31204</v>
      </c>
      <c r="M111" s="589">
        <f t="shared" si="19"/>
        <v>31204</v>
      </c>
      <c r="N111" s="589">
        <f t="shared" si="19"/>
        <v>31204</v>
      </c>
      <c r="O111" s="589">
        <f t="shared" si="19"/>
        <v>31204</v>
      </c>
      <c r="P111" s="589">
        <f t="shared" si="19"/>
        <v>31204</v>
      </c>
      <c r="Q111" s="589">
        <f t="shared" si="19"/>
        <v>31204</v>
      </c>
      <c r="R111" s="2430"/>
    </row>
    <row r="112" spans="2:18" x14ac:dyDescent="0.25">
      <c r="B112" s="1278" t="s">
        <v>3151</v>
      </c>
      <c r="C112" s="589">
        <f t="shared" si="19"/>
        <v>31204</v>
      </c>
      <c r="D112" s="589">
        <f t="shared" si="19"/>
        <v>31204</v>
      </c>
      <c r="E112" s="589">
        <f t="shared" si="19"/>
        <v>31204</v>
      </c>
      <c r="F112" s="589">
        <f t="shared" si="19"/>
        <v>31204</v>
      </c>
      <c r="G112" s="589">
        <f t="shared" si="19"/>
        <v>31204</v>
      </c>
      <c r="H112" s="589">
        <f t="shared" si="19"/>
        <v>31204</v>
      </c>
      <c r="I112" s="589">
        <f t="shared" si="19"/>
        <v>31204</v>
      </c>
      <c r="J112" s="589">
        <f t="shared" si="19"/>
        <v>31204</v>
      </c>
      <c r="K112" s="589">
        <f t="shared" si="19"/>
        <v>31204</v>
      </c>
      <c r="L112" s="589">
        <f t="shared" si="19"/>
        <v>31204</v>
      </c>
      <c r="M112" s="589">
        <f t="shared" si="19"/>
        <v>31204</v>
      </c>
      <c r="N112" s="589">
        <f t="shared" si="19"/>
        <v>31204</v>
      </c>
      <c r="O112" s="589">
        <f t="shared" si="19"/>
        <v>31204</v>
      </c>
      <c r="P112" s="589">
        <f t="shared" si="19"/>
        <v>31204</v>
      </c>
      <c r="Q112" s="589">
        <f t="shared" si="19"/>
        <v>31204</v>
      </c>
      <c r="R112" s="2430"/>
    </row>
    <row r="113" spans="2:26" x14ac:dyDescent="0.25">
      <c r="B113" s="1278" t="s">
        <v>231</v>
      </c>
      <c r="C113" s="589">
        <f t="shared" si="19"/>
        <v>31204</v>
      </c>
      <c r="D113" s="589">
        <f t="shared" si="19"/>
        <v>31204</v>
      </c>
      <c r="E113" s="589">
        <f t="shared" si="19"/>
        <v>31204</v>
      </c>
      <c r="F113" s="589">
        <f t="shared" si="19"/>
        <v>31204</v>
      </c>
      <c r="G113" s="589">
        <f t="shared" si="19"/>
        <v>31204</v>
      </c>
      <c r="H113" s="589">
        <f t="shared" si="19"/>
        <v>31204</v>
      </c>
      <c r="I113" s="589">
        <f t="shared" si="19"/>
        <v>31204</v>
      </c>
      <c r="J113" s="589">
        <f t="shared" si="19"/>
        <v>31204</v>
      </c>
      <c r="K113" s="589">
        <f t="shared" si="19"/>
        <v>31204</v>
      </c>
      <c r="L113" s="589">
        <f t="shared" si="19"/>
        <v>31204</v>
      </c>
      <c r="M113" s="589">
        <f t="shared" si="19"/>
        <v>31204</v>
      </c>
      <c r="N113" s="589">
        <f t="shared" si="19"/>
        <v>31204</v>
      </c>
      <c r="O113" s="589">
        <f t="shared" si="19"/>
        <v>31204</v>
      </c>
      <c r="P113" s="589">
        <f t="shared" si="19"/>
        <v>31204</v>
      </c>
      <c r="Q113" s="589">
        <f t="shared" si="19"/>
        <v>31204</v>
      </c>
      <c r="R113" s="2430"/>
    </row>
    <row r="114" spans="2:26" x14ac:dyDescent="0.25">
      <c r="B114" s="2383" t="s">
        <v>3152</v>
      </c>
      <c r="C114" s="2379"/>
      <c r="D114" s="2379"/>
      <c r="E114" s="2379"/>
      <c r="F114" s="2379"/>
      <c r="G114" s="2379"/>
      <c r="H114" s="2379"/>
      <c r="I114" s="2379"/>
      <c r="J114" s="2379"/>
      <c r="K114" s="2379"/>
      <c r="L114" s="2379"/>
      <c r="M114" s="2379"/>
      <c r="N114" s="2379"/>
      <c r="O114" s="2379"/>
      <c r="P114" s="2379"/>
      <c r="Q114" s="2379"/>
      <c r="R114" s="2430"/>
    </row>
    <row r="115" spans="2:26" x14ac:dyDescent="0.25">
      <c r="B115" s="2122" t="s">
        <v>3153</v>
      </c>
      <c r="C115" s="590">
        <f t="shared" ref="C115:Q115" si="20">C50*$U$16</f>
        <v>0</v>
      </c>
      <c r="D115" s="590">
        <f t="shared" si="20"/>
        <v>0</v>
      </c>
      <c r="E115" s="590">
        <f t="shared" si="20"/>
        <v>0</v>
      </c>
      <c r="F115" s="590">
        <f t="shared" si="20"/>
        <v>0</v>
      </c>
      <c r="G115" s="590">
        <f t="shared" si="20"/>
        <v>0</v>
      </c>
      <c r="H115" s="590">
        <f t="shared" si="20"/>
        <v>0</v>
      </c>
      <c r="I115" s="590">
        <f t="shared" si="20"/>
        <v>0</v>
      </c>
      <c r="J115" s="590">
        <f t="shared" si="20"/>
        <v>0</v>
      </c>
      <c r="K115" s="590">
        <f t="shared" si="20"/>
        <v>0</v>
      </c>
      <c r="L115" s="590">
        <f t="shared" si="20"/>
        <v>0</v>
      </c>
      <c r="M115" s="590">
        <f t="shared" si="20"/>
        <v>0</v>
      </c>
      <c r="N115" s="590">
        <f t="shared" si="20"/>
        <v>0</v>
      </c>
      <c r="O115" s="590">
        <f t="shared" si="20"/>
        <v>0</v>
      </c>
      <c r="P115" s="590">
        <f t="shared" si="20"/>
        <v>0</v>
      </c>
      <c r="Q115" s="590">
        <f t="shared" si="20"/>
        <v>0</v>
      </c>
      <c r="R115" s="2430"/>
    </row>
    <row r="116" spans="2:26" x14ac:dyDescent="0.25">
      <c r="B116" s="2383" t="s">
        <v>3154</v>
      </c>
      <c r="C116" s="2379"/>
      <c r="D116" s="2379"/>
      <c r="E116" s="2379"/>
      <c r="F116" s="2379"/>
      <c r="G116" s="2379"/>
      <c r="H116" s="2379"/>
      <c r="I116" s="2379"/>
      <c r="J116" s="2379"/>
      <c r="K116" s="2379"/>
      <c r="L116" s="2379"/>
      <c r="M116" s="2379"/>
      <c r="N116" s="2379"/>
      <c r="O116" s="2379"/>
      <c r="P116" s="2379"/>
      <c r="Q116" s="2379"/>
      <c r="R116" s="2430"/>
    </row>
    <row r="117" spans="2:26" ht="27" x14ac:dyDescent="0.25">
      <c r="B117" s="1322" t="s">
        <v>3180</v>
      </c>
      <c r="C117" s="589">
        <f t="shared" ref="C117:Q117" si="21">C52*$U$16</f>
        <v>35218</v>
      </c>
      <c r="D117" s="589">
        <f t="shared" si="21"/>
        <v>35218</v>
      </c>
      <c r="E117" s="589">
        <f t="shared" si="21"/>
        <v>35218</v>
      </c>
      <c r="F117" s="589">
        <f t="shared" si="21"/>
        <v>35218</v>
      </c>
      <c r="G117" s="589">
        <f t="shared" si="21"/>
        <v>35218</v>
      </c>
      <c r="H117" s="589">
        <f t="shared" si="21"/>
        <v>35218</v>
      </c>
      <c r="I117" s="589">
        <f t="shared" si="21"/>
        <v>35218</v>
      </c>
      <c r="J117" s="589">
        <f t="shared" si="21"/>
        <v>35218</v>
      </c>
      <c r="K117" s="589">
        <f t="shared" si="21"/>
        <v>35218</v>
      </c>
      <c r="L117" s="589">
        <f t="shared" si="21"/>
        <v>35218</v>
      </c>
      <c r="M117" s="589">
        <f t="shared" si="21"/>
        <v>35218</v>
      </c>
      <c r="N117" s="589">
        <f t="shared" si="21"/>
        <v>35218</v>
      </c>
      <c r="O117" s="589">
        <f t="shared" si="21"/>
        <v>35218</v>
      </c>
      <c r="P117" s="589">
        <f t="shared" si="21"/>
        <v>35218</v>
      </c>
      <c r="Q117" s="589">
        <f t="shared" si="21"/>
        <v>35218</v>
      </c>
      <c r="R117" s="2430"/>
    </row>
    <row r="118" spans="2:26" x14ac:dyDescent="0.25">
      <c r="B118" s="2383" t="s">
        <v>3156</v>
      </c>
      <c r="C118" s="2379"/>
      <c r="D118" s="2379"/>
      <c r="E118" s="2379"/>
      <c r="F118" s="2379"/>
      <c r="G118" s="2379"/>
      <c r="H118" s="2379"/>
      <c r="I118" s="2379"/>
      <c r="J118" s="2379"/>
      <c r="K118" s="2379"/>
      <c r="L118" s="2379"/>
      <c r="M118" s="2379"/>
      <c r="N118" s="2379"/>
      <c r="O118" s="2379"/>
      <c r="P118" s="2379"/>
      <c r="Q118" s="2379"/>
      <c r="R118" s="2430"/>
    </row>
    <row r="119" spans="2:26" x14ac:dyDescent="0.25">
      <c r="B119" s="1322" t="s">
        <v>3157</v>
      </c>
      <c r="C119" s="589">
        <f t="shared" ref="C119:Q119" si="22">C54*$U$18</f>
        <v>62408</v>
      </c>
      <c r="D119" s="589">
        <f t="shared" si="22"/>
        <v>62408</v>
      </c>
      <c r="E119" s="589">
        <f t="shared" si="22"/>
        <v>62408</v>
      </c>
      <c r="F119" s="589">
        <f t="shared" si="22"/>
        <v>62408</v>
      </c>
      <c r="G119" s="589">
        <f t="shared" si="22"/>
        <v>62408</v>
      </c>
      <c r="H119" s="589">
        <f t="shared" si="22"/>
        <v>62408</v>
      </c>
      <c r="I119" s="589">
        <f t="shared" si="22"/>
        <v>62408</v>
      </c>
      <c r="J119" s="589">
        <f t="shared" si="22"/>
        <v>62408</v>
      </c>
      <c r="K119" s="589">
        <f t="shared" si="22"/>
        <v>62408</v>
      </c>
      <c r="L119" s="589">
        <f t="shared" si="22"/>
        <v>62408</v>
      </c>
      <c r="M119" s="589">
        <f t="shared" si="22"/>
        <v>62408</v>
      </c>
      <c r="N119" s="589">
        <f t="shared" si="22"/>
        <v>62408</v>
      </c>
      <c r="O119" s="589">
        <f t="shared" si="22"/>
        <v>62408</v>
      </c>
      <c r="P119" s="589">
        <f t="shared" si="22"/>
        <v>62408</v>
      </c>
      <c r="Q119" s="589">
        <f t="shared" si="22"/>
        <v>62408</v>
      </c>
      <c r="R119" s="2430"/>
    </row>
    <row r="120" spans="2:26" x14ac:dyDescent="0.25">
      <c r="B120" s="2383" t="s">
        <v>3158</v>
      </c>
      <c r="C120" s="2379"/>
      <c r="D120" s="2379"/>
      <c r="E120" s="2379"/>
      <c r="F120" s="2379"/>
      <c r="G120" s="2379"/>
      <c r="H120" s="2379"/>
      <c r="I120" s="2379"/>
      <c r="J120" s="2379"/>
      <c r="K120" s="2379"/>
      <c r="L120" s="2379"/>
      <c r="M120" s="2379"/>
      <c r="N120" s="2379"/>
      <c r="O120" s="2379"/>
      <c r="P120" s="2379"/>
      <c r="Q120" s="2379"/>
      <c r="R120" s="2430"/>
    </row>
    <row r="121" spans="2:26" x14ac:dyDescent="0.25">
      <c r="B121" s="1278" t="s">
        <v>3159</v>
      </c>
      <c r="C121" s="589">
        <f t="shared" ref="C121:Q121" si="23">C56*$U$18</f>
        <v>31204</v>
      </c>
      <c r="D121" s="589">
        <f t="shared" si="23"/>
        <v>31204</v>
      </c>
      <c r="E121" s="589">
        <f t="shared" si="23"/>
        <v>31204</v>
      </c>
      <c r="F121" s="589">
        <f t="shared" si="23"/>
        <v>31204</v>
      </c>
      <c r="G121" s="589">
        <f t="shared" si="23"/>
        <v>31204</v>
      </c>
      <c r="H121" s="589">
        <f t="shared" si="23"/>
        <v>31204</v>
      </c>
      <c r="I121" s="589">
        <f t="shared" si="23"/>
        <v>31204</v>
      </c>
      <c r="J121" s="589">
        <f t="shared" si="23"/>
        <v>31204</v>
      </c>
      <c r="K121" s="589">
        <f t="shared" si="23"/>
        <v>31204</v>
      </c>
      <c r="L121" s="589">
        <f t="shared" si="23"/>
        <v>31204</v>
      </c>
      <c r="M121" s="589">
        <f t="shared" si="23"/>
        <v>31204</v>
      </c>
      <c r="N121" s="589">
        <f t="shared" si="23"/>
        <v>31204</v>
      </c>
      <c r="O121" s="589">
        <f t="shared" si="23"/>
        <v>31204</v>
      </c>
      <c r="P121" s="589">
        <f t="shared" si="23"/>
        <v>31204</v>
      </c>
      <c r="Q121" s="589">
        <f t="shared" si="23"/>
        <v>31204</v>
      </c>
      <c r="R121" s="2430"/>
    </row>
    <row r="122" spans="2:26" x14ac:dyDescent="0.25">
      <c r="B122" s="1278" t="s">
        <v>3160</v>
      </c>
      <c r="C122" s="589">
        <f t="shared" ref="C122:Q122" si="24">C57*$U$16</f>
        <v>35218</v>
      </c>
      <c r="D122" s="589">
        <f t="shared" si="24"/>
        <v>35218</v>
      </c>
      <c r="E122" s="589">
        <f t="shared" si="24"/>
        <v>35218</v>
      </c>
      <c r="F122" s="589">
        <f t="shared" si="24"/>
        <v>35218</v>
      </c>
      <c r="G122" s="589">
        <f t="shared" si="24"/>
        <v>35218</v>
      </c>
      <c r="H122" s="589">
        <f t="shared" si="24"/>
        <v>35218</v>
      </c>
      <c r="I122" s="589">
        <f t="shared" si="24"/>
        <v>35218</v>
      </c>
      <c r="J122" s="589">
        <f t="shared" si="24"/>
        <v>35218</v>
      </c>
      <c r="K122" s="589">
        <f t="shared" si="24"/>
        <v>35218</v>
      </c>
      <c r="L122" s="589">
        <f t="shared" si="24"/>
        <v>35218</v>
      </c>
      <c r="M122" s="589">
        <f t="shared" si="24"/>
        <v>35218</v>
      </c>
      <c r="N122" s="589">
        <f t="shared" si="24"/>
        <v>35218</v>
      </c>
      <c r="O122" s="589">
        <f t="shared" si="24"/>
        <v>35218</v>
      </c>
      <c r="P122" s="589">
        <f t="shared" si="24"/>
        <v>35218</v>
      </c>
      <c r="Q122" s="589">
        <f t="shared" si="24"/>
        <v>35218</v>
      </c>
      <c r="R122" s="2430"/>
    </row>
    <row r="123" spans="2:26" x14ac:dyDescent="0.25">
      <c r="B123" s="1278" t="s">
        <v>3161</v>
      </c>
      <c r="C123" s="589">
        <f t="shared" ref="C123:Q123" si="25">C58*$U$16</f>
        <v>35218</v>
      </c>
      <c r="D123" s="589">
        <f t="shared" si="25"/>
        <v>35218</v>
      </c>
      <c r="E123" s="589">
        <f t="shared" si="25"/>
        <v>35218</v>
      </c>
      <c r="F123" s="589">
        <f t="shared" si="25"/>
        <v>35218</v>
      </c>
      <c r="G123" s="589">
        <f t="shared" si="25"/>
        <v>35218</v>
      </c>
      <c r="H123" s="589">
        <f t="shared" si="25"/>
        <v>35218</v>
      </c>
      <c r="I123" s="589">
        <f t="shared" si="25"/>
        <v>35218</v>
      </c>
      <c r="J123" s="589">
        <f t="shared" si="25"/>
        <v>35218</v>
      </c>
      <c r="K123" s="589">
        <f t="shared" si="25"/>
        <v>35218</v>
      </c>
      <c r="L123" s="589">
        <f t="shared" si="25"/>
        <v>35218</v>
      </c>
      <c r="M123" s="589">
        <f t="shared" si="25"/>
        <v>35218</v>
      </c>
      <c r="N123" s="589">
        <f t="shared" si="25"/>
        <v>35218</v>
      </c>
      <c r="O123" s="589">
        <f t="shared" si="25"/>
        <v>35218</v>
      </c>
      <c r="P123" s="589">
        <f t="shared" si="25"/>
        <v>35218</v>
      </c>
      <c r="Q123" s="589">
        <f t="shared" si="25"/>
        <v>35218</v>
      </c>
      <c r="R123" s="2430"/>
    </row>
    <row r="124" spans="2:26" x14ac:dyDescent="0.25">
      <c r="B124" s="1278" t="s">
        <v>3162</v>
      </c>
      <c r="C124" s="589">
        <f t="shared" ref="C124:Q124" si="26">C59*$U$18</f>
        <v>62408</v>
      </c>
      <c r="D124" s="589">
        <f t="shared" si="26"/>
        <v>62408</v>
      </c>
      <c r="E124" s="589">
        <f t="shared" si="26"/>
        <v>62408</v>
      </c>
      <c r="F124" s="589">
        <f t="shared" si="26"/>
        <v>62408</v>
      </c>
      <c r="G124" s="589">
        <f t="shared" si="26"/>
        <v>62408</v>
      </c>
      <c r="H124" s="589">
        <f t="shared" si="26"/>
        <v>62408</v>
      </c>
      <c r="I124" s="589">
        <f t="shared" si="26"/>
        <v>62408</v>
      </c>
      <c r="J124" s="589">
        <f t="shared" si="26"/>
        <v>62408</v>
      </c>
      <c r="K124" s="589">
        <f t="shared" si="26"/>
        <v>62408</v>
      </c>
      <c r="L124" s="589">
        <f t="shared" si="26"/>
        <v>62408</v>
      </c>
      <c r="M124" s="589">
        <f t="shared" si="26"/>
        <v>62408</v>
      </c>
      <c r="N124" s="589">
        <f t="shared" si="26"/>
        <v>62408</v>
      </c>
      <c r="O124" s="589">
        <f t="shared" si="26"/>
        <v>62408</v>
      </c>
      <c r="P124" s="589">
        <f t="shared" si="26"/>
        <v>62408</v>
      </c>
      <c r="Q124" s="589">
        <f t="shared" si="26"/>
        <v>62408</v>
      </c>
      <c r="R124" s="2430"/>
    </row>
    <row r="125" spans="2:26" x14ac:dyDescent="0.25">
      <c r="B125" s="1278" t="s">
        <v>3163</v>
      </c>
      <c r="C125" s="589">
        <f t="shared" ref="C125:Q125" si="27">C60*$U$18</f>
        <v>31204</v>
      </c>
      <c r="D125" s="589">
        <f t="shared" si="27"/>
        <v>31204</v>
      </c>
      <c r="E125" s="589">
        <f t="shared" si="27"/>
        <v>31204</v>
      </c>
      <c r="F125" s="589">
        <f t="shared" si="27"/>
        <v>31204</v>
      </c>
      <c r="G125" s="589">
        <f t="shared" si="27"/>
        <v>31204</v>
      </c>
      <c r="H125" s="589">
        <f t="shared" si="27"/>
        <v>31204</v>
      </c>
      <c r="I125" s="589">
        <f t="shared" si="27"/>
        <v>31204</v>
      </c>
      <c r="J125" s="589">
        <f t="shared" si="27"/>
        <v>31204</v>
      </c>
      <c r="K125" s="589">
        <f t="shared" si="27"/>
        <v>31204</v>
      </c>
      <c r="L125" s="589">
        <f t="shared" si="27"/>
        <v>31204</v>
      </c>
      <c r="M125" s="589">
        <f t="shared" si="27"/>
        <v>31204</v>
      </c>
      <c r="N125" s="589">
        <f t="shared" si="27"/>
        <v>31204</v>
      </c>
      <c r="O125" s="589">
        <f t="shared" si="27"/>
        <v>31204</v>
      </c>
      <c r="P125" s="589">
        <f t="shared" si="27"/>
        <v>31204</v>
      </c>
      <c r="Q125" s="589">
        <f t="shared" si="27"/>
        <v>31204</v>
      </c>
      <c r="R125" s="2430"/>
    </row>
    <row r="126" spans="2:26" x14ac:dyDescent="0.25">
      <c r="B126" s="2443" t="s">
        <v>3164</v>
      </c>
      <c r="C126" s="2444">
        <f t="shared" ref="C126:Q126" si="28">SUM(C100:C125)</f>
        <v>502630.68</v>
      </c>
      <c r="D126" s="2444">
        <f t="shared" si="28"/>
        <v>502630.68</v>
      </c>
      <c r="E126" s="2444">
        <f t="shared" si="28"/>
        <v>502630.68</v>
      </c>
      <c r="F126" s="2444">
        <f t="shared" si="28"/>
        <v>502630.68</v>
      </c>
      <c r="G126" s="2444">
        <f t="shared" si="28"/>
        <v>502630.68</v>
      </c>
      <c r="H126" s="2444">
        <f t="shared" si="28"/>
        <v>502630.68</v>
      </c>
      <c r="I126" s="2444">
        <f t="shared" si="28"/>
        <v>502630.68</v>
      </c>
      <c r="J126" s="2444">
        <f t="shared" si="28"/>
        <v>502630.68</v>
      </c>
      <c r="K126" s="2444">
        <f t="shared" si="28"/>
        <v>502630.68</v>
      </c>
      <c r="L126" s="2444">
        <f t="shared" si="28"/>
        <v>502630.68</v>
      </c>
      <c r="M126" s="2444">
        <f t="shared" si="28"/>
        <v>502630.68</v>
      </c>
      <c r="N126" s="2444">
        <f t="shared" si="28"/>
        <v>502630.68</v>
      </c>
      <c r="O126" s="2444">
        <f t="shared" si="28"/>
        <v>502630.68</v>
      </c>
      <c r="P126" s="2444">
        <f t="shared" si="28"/>
        <v>502630.68</v>
      </c>
      <c r="Q126" s="2445">
        <f t="shared" si="28"/>
        <v>502630.68</v>
      </c>
      <c r="R126" s="2430"/>
    </row>
    <row r="127" spans="2:26" x14ac:dyDescent="0.25">
      <c r="B127" s="2433" t="s">
        <v>4001</v>
      </c>
      <c r="C127" s="2434">
        <f t="shared" ref="C127:Q127" si="29">SUM(C99+C126)</f>
        <v>3748236.1600000006</v>
      </c>
      <c r="D127" s="2434">
        <f t="shared" si="29"/>
        <v>3748236.1600000006</v>
      </c>
      <c r="E127" s="2434">
        <f t="shared" si="29"/>
        <v>3748236.1600000006</v>
      </c>
      <c r="F127" s="2434">
        <f t="shared" si="29"/>
        <v>3748236.1600000006</v>
      </c>
      <c r="G127" s="2434">
        <f t="shared" si="29"/>
        <v>3748236.1600000006</v>
      </c>
      <c r="H127" s="2434">
        <f t="shared" si="29"/>
        <v>3836397.68</v>
      </c>
      <c r="I127" s="2434">
        <f t="shared" si="29"/>
        <v>3836397.68</v>
      </c>
      <c r="J127" s="2434">
        <f t="shared" si="29"/>
        <v>3836397.68</v>
      </c>
      <c r="K127" s="2434">
        <f t="shared" si="29"/>
        <v>3890130.36</v>
      </c>
      <c r="L127" s="2434">
        <f t="shared" si="29"/>
        <v>3890130.36</v>
      </c>
      <c r="M127" s="2434">
        <f t="shared" si="29"/>
        <v>4040463.04</v>
      </c>
      <c r="N127" s="2434">
        <f t="shared" si="29"/>
        <v>4040463.04</v>
      </c>
      <c r="O127" s="2434">
        <f t="shared" si="29"/>
        <v>4075681.04</v>
      </c>
      <c r="P127" s="2434">
        <f t="shared" si="29"/>
        <v>4075681.04</v>
      </c>
      <c r="Q127" s="2435">
        <f t="shared" si="29"/>
        <v>4075681.04</v>
      </c>
      <c r="R127" s="2430"/>
    </row>
    <row r="128" spans="2:26" x14ac:dyDescent="0.25">
      <c r="B128" s="694"/>
      <c r="C128" s="2347"/>
      <c r="D128" s="2347"/>
      <c r="E128" s="2347"/>
      <c r="F128" s="2347"/>
      <c r="G128" s="2347"/>
      <c r="H128" s="2347"/>
      <c r="I128" s="2347"/>
      <c r="J128" s="2347"/>
      <c r="K128" s="2347"/>
      <c r="L128" s="2347"/>
      <c r="M128" s="2347"/>
      <c r="N128" s="2347"/>
      <c r="O128" s="2347"/>
      <c r="P128" s="2347"/>
      <c r="Q128" s="2347"/>
      <c r="R128" s="2430"/>
      <c r="S128" s="2347"/>
      <c r="T128" s="2347"/>
      <c r="U128" s="2347"/>
      <c r="V128" s="2347"/>
      <c r="W128" s="2347"/>
      <c r="X128" s="2347"/>
      <c r="Y128" s="2347"/>
      <c r="Z128" s="2347"/>
    </row>
    <row r="129" spans="1:26" ht="15" customHeight="1" x14ac:dyDescent="0.25">
      <c r="A129" s="689"/>
      <c r="B129" s="4882" t="s">
        <v>4002</v>
      </c>
      <c r="C129" s="4882"/>
      <c r="D129" s="4882"/>
      <c r="E129" s="4882"/>
      <c r="F129" s="4882"/>
      <c r="G129" s="4882"/>
      <c r="H129" s="689"/>
      <c r="I129" s="689"/>
      <c r="J129" s="689"/>
      <c r="K129" s="689"/>
      <c r="L129" s="689"/>
      <c r="M129" s="689"/>
      <c r="N129" s="689"/>
      <c r="O129" s="689"/>
      <c r="P129" s="689"/>
      <c r="Q129" s="689"/>
      <c r="R129" s="2430"/>
      <c r="S129" s="2347"/>
      <c r="T129" s="2347"/>
      <c r="U129" s="2347"/>
      <c r="V129" s="2347"/>
      <c r="W129" s="2347"/>
      <c r="X129" s="2347"/>
      <c r="Y129" s="2347"/>
      <c r="Z129" s="2347"/>
    </row>
    <row r="130" spans="1:26" ht="15" customHeight="1" x14ac:dyDescent="0.25">
      <c r="B130" s="2344" t="s">
        <v>194</v>
      </c>
      <c r="C130" s="2428" t="s">
        <v>1961</v>
      </c>
      <c r="D130" s="2428" t="s">
        <v>1962</v>
      </c>
      <c r="E130" s="2428" t="s">
        <v>1963</v>
      </c>
      <c r="F130" s="2428" t="s">
        <v>2001</v>
      </c>
      <c r="G130" s="2428" t="s">
        <v>2002</v>
      </c>
      <c r="H130" s="2428" t="s">
        <v>2003</v>
      </c>
      <c r="I130" s="2428" t="s">
        <v>2004</v>
      </c>
      <c r="J130" s="2428" t="s">
        <v>2005</v>
      </c>
      <c r="K130" s="2428" t="s">
        <v>2006</v>
      </c>
      <c r="L130" s="2428" t="s">
        <v>2007</v>
      </c>
      <c r="M130" s="2428" t="s">
        <v>2008</v>
      </c>
      <c r="N130" s="2428" t="s">
        <v>2009</v>
      </c>
      <c r="O130" s="2428" t="s">
        <v>2010</v>
      </c>
      <c r="P130" s="2428" t="s">
        <v>2011</v>
      </c>
      <c r="Q130" s="2428" t="s">
        <v>2012</v>
      </c>
      <c r="R130" s="2430"/>
      <c r="S130" s="2347"/>
      <c r="T130" s="2347"/>
      <c r="U130" s="2347"/>
      <c r="V130" s="2347"/>
      <c r="W130" s="2347"/>
      <c r="X130" s="2347"/>
      <c r="Y130" s="2347"/>
      <c r="Z130" s="2347"/>
    </row>
    <row r="131" spans="1:26" x14ac:dyDescent="0.25">
      <c r="B131" s="2163" t="s">
        <v>194</v>
      </c>
      <c r="C131" s="2410">
        <v>2020</v>
      </c>
      <c r="D131" s="2410">
        <f>C131+1</f>
        <v>2021</v>
      </c>
      <c r="E131" s="2410">
        <f>D131+1</f>
        <v>2022</v>
      </c>
      <c r="F131" s="2164">
        <f t="shared" ref="F131:Q131" si="30">E131+1</f>
        <v>2023</v>
      </c>
      <c r="G131" s="2164">
        <f t="shared" si="30"/>
        <v>2024</v>
      </c>
      <c r="H131" s="2164">
        <f t="shared" si="30"/>
        <v>2025</v>
      </c>
      <c r="I131" s="2164">
        <f t="shared" si="30"/>
        <v>2026</v>
      </c>
      <c r="J131" s="2164">
        <f t="shared" si="30"/>
        <v>2027</v>
      </c>
      <c r="K131" s="2164">
        <f t="shared" si="30"/>
        <v>2028</v>
      </c>
      <c r="L131" s="2164">
        <f t="shared" si="30"/>
        <v>2029</v>
      </c>
      <c r="M131" s="2164">
        <f t="shared" si="30"/>
        <v>2030</v>
      </c>
      <c r="N131" s="2164">
        <f t="shared" si="30"/>
        <v>2031</v>
      </c>
      <c r="O131" s="2164">
        <f t="shared" si="30"/>
        <v>2032</v>
      </c>
      <c r="P131" s="2164">
        <f t="shared" si="30"/>
        <v>2033</v>
      </c>
      <c r="Q131" s="2165">
        <f t="shared" si="30"/>
        <v>2034</v>
      </c>
      <c r="R131" s="2430"/>
    </row>
    <row r="132" spans="1:26" x14ac:dyDescent="0.25">
      <c r="B132" s="2003" t="s">
        <v>4003</v>
      </c>
      <c r="C132" s="1279">
        <f t="shared" ref="C132:Q132" si="31">+C127</f>
        <v>3748236.1600000006</v>
      </c>
      <c r="D132" s="1279">
        <f t="shared" si="31"/>
        <v>3748236.1600000006</v>
      </c>
      <c r="E132" s="1279">
        <f t="shared" si="31"/>
        <v>3748236.1600000006</v>
      </c>
      <c r="F132" s="1279">
        <f t="shared" si="31"/>
        <v>3748236.1600000006</v>
      </c>
      <c r="G132" s="1279">
        <f t="shared" si="31"/>
        <v>3748236.1600000006</v>
      </c>
      <c r="H132" s="1279">
        <f t="shared" si="31"/>
        <v>3836397.68</v>
      </c>
      <c r="I132" s="1279">
        <f t="shared" si="31"/>
        <v>3836397.68</v>
      </c>
      <c r="J132" s="1279">
        <f t="shared" si="31"/>
        <v>3836397.68</v>
      </c>
      <c r="K132" s="1279">
        <f t="shared" si="31"/>
        <v>3890130.36</v>
      </c>
      <c r="L132" s="1279">
        <f t="shared" si="31"/>
        <v>3890130.36</v>
      </c>
      <c r="M132" s="1279">
        <f t="shared" si="31"/>
        <v>4040463.04</v>
      </c>
      <c r="N132" s="1279">
        <f t="shared" si="31"/>
        <v>4040463.04</v>
      </c>
      <c r="O132" s="1279">
        <f t="shared" si="31"/>
        <v>4075681.04</v>
      </c>
      <c r="P132" s="1279">
        <f t="shared" si="31"/>
        <v>4075681.04</v>
      </c>
      <c r="Q132" s="1279">
        <f t="shared" si="31"/>
        <v>4075681.04</v>
      </c>
      <c r="R132" s="2430"/>
    </row>
    <row r="133" spans="1:26" x14ac:dyDescent="0.25">
      <c r="B133" s="2003" t="s">
        <v>4004</v>
      </c>
      <c r="C133" s="1279">
        <f>+'[10]24.1 Remun. RR.HH sin PIP'!C155</f>
        <v>1350964.84</v>
      </c>
      <c r="D133" s="1279">
        <f>+'[10]24.1 Remun. RR.HH sin PIP'!D155</f>
        <v>1350964.84</v>
      </c>
      <c r="E133" s="1279">
        <f>+'[10]24.1 Remun. RR.HH sin PIP'!E155</f>
        <v>1350964.84</v>
      </c>
      <c r="F133" s="1279">
        <f>+'[10]24.1 Remun. RR.HH sin PIP'!F155</f>
        <v>1350964.84</v>
      </c>
      <c r="G133" s="1279">
        <f>+'[10]24.1 Remun. RR.HH sin PIP'!G155</f>
        <v>1350964.84</v>
      </c>
      <c r="H133" s="1279">
        <f>+'[10]24.1 Remun. RR.HH sin PIP'!H155</f>
        <v>1350964.84</v>
      </c>
      <c r="I133" s="1279">
        <f>+'[10]24.1 Remun. RR.HH sin PIP'!I155</f>
        <v>1350964.84</v>
      </c>
      <c r="J133" s="1279">
        <f>+'[10]24.1 Remun. RR.HH sin PIP'!J155</f>
        <v>1350964.84</v>
      </c>
      <c r="K133" s="1279">
        <f>+'[10]24.1 Remun. RR.HH sin PIP'!K155</f>
        <v>1350964.84</v>
      </c>
      <c r="L133" s="1279">
        <f>+'[10]24.1 Remun. RR.HH sin PIP'!L155</f>
        <v>1350964.84</v>
      </c>
      <c r="M133" s="1279">
        <f>+'[10]24.1 Remun. RR.HH sin PIP'!M155</f>
        <v>1350964.84</v>
      </c>
      <c r="N133" s="1279">
        <f>+'[10]24.1 Remun. RR.HH sin PIP'!N155</f>
        <v>1350964.84</v>
      </c>
      <c r="O133" s="1279">
        <f>+'[10]24.1 Remun. RR.HH sin PIP'!O155</f>
        <v>1350964.84</v>
      </c>
      <c r="P133" s="1279">
        <f>+'[10]24.1 Remun. RR.HH sin PIP'!P155</f>
        <v>1350964.84</v>
      </c>
      <c r="Q133" s="1279">
        <f>+'[10]24.1 Remun. RR.HH sin PIP'!Q155</f>
        <v>1350964.84</v>
      </c>
      <c r="R133" s="2430"/>
    </row>
    <row r="134" spans="1:26" x14ac:dyDescent="0.25">
      <c r="B134" s="2003" t="s">
        <v>0</v>
      </c>
      <c r="C134" s="2027">
        <f t="shared" ref="C134:Q134" si="32">C132-C133</f>
        <v>2397271.3200000003</v>
      </c>
      <c r="D134" s="2027">
        <f t="shared" si="32"/>
        <v>2397271.3200000003</v>
      </c>
      <c r="E134" s="2027">
        <f t="shared" si="32"/>
        <v>2397271.3200000003</v>
      </c>
      <c r="F134" s="2027">
        <f t="shared" si="32"/>
        <v>2397271.3200000003</v>
      </c>
      <c r="G134" s="2027">
        <f t="shared" si="32"/>
        <v>2397271.3200000003</v>
      </c>
      <c r="H134" s="2027">
        <f t="shared" si="32"/>
        <v>2485432.84</v>
      </c>
      <c r="I134" s="2027">
        <f t="shared" si="32"/>
        <v>2485432.84</v>
      </c>
      <c r="J134" s="2027">
        <f t="shared" si="32"/>
        <v>2485432.84</v>
      </c>
      <c r="K134" s="2027">
        <f t="shared" si="32"/>
        <v>2539165.5199999996</v>
      </c>
      <c r="L134" s="2027">
        <f t="shared" si="32"/>
        <v>2539165.5199999996</v>
      </c>
      <c r="M134" s="2027">
        <f t="shared" si="32"/>
        <v>2689498.2</v>
      </c>
      <c r="N134" s="2027">
        <f t="shared" si="32"/>
        <v>2689498.2</v>
      </c>
      <c r="O134" s="2027">
        <f t="shared" si="32"/>
        <v>2724716.2</v>
      </c>
      <c r="P134" s="2027">
        <f t="shared" si="32"/>
        <v>2724716.2</v>
      </c>
      <c r="Q134" s="2027">
        <f t="shared" si="32"/>
        <v>2724716.2</v>
      </c>
      <c r="R134" s="2430"/>
    </row>
    <row r="135" spans="1:26" x14ac:dyDescent="0.25">
      <c r="B135" s="1140"/>
      <c r="C135" s="2436"/>
      <c r="D135" s="2436"/>
      <c r="E135" s="2436"/>
      <c r="F135" s="2436"/>
      <c r="G135" s="2436"/>
      <c r="H135" s="2436"/>
      <c r="I135" s="2436"/>
      <c r="J135" s="2436"/>
      <c r="K135" s="2436"/>
      <c r="L135" s="2436"/>
      <c r="M135" s="2436"/>
      <c r="N135" s="2436"/>
      <c r="O135" s="2436"/>
      <c r="P135" s="2436"/>
      <c r="Q135" s="2436"/>
      <c r="R135" s="2430"/>
    </row>
    <row r="136" spans="1:26" x14ac:dyDescent="0.25">
      <c r="B136" s="694"/>
      <c r="R136" s="2430"/>
    </row>
    <row r="137" spans="1:26" x14ac:dyDescent="0.25">
      <c r="B137" s="689" t="s">
        <v>3969</v>
      </c>
      <c r="C137" s="2437">
        <f>F148</f>
        <v>0.90909090909090906</v>
      </c>
      <c r="R137" s="2430"/>
    </row>
    <row r="138" spans="1:26" ht="15" customHeight="1" x14ac:dyDescent="0.25">
      <c r="A138" s="689"/>
      <c r="B138" s="2438" t="s">
        <v>4005</v>
      </c>
      <c r="C138" s="2438"/>
      <c r="D138" s="2438"/>
      <c r="E138" s="2438"/>
      <c r="F138" s="2438"/>
      <c r="G138" s="2438"/>
      <c r="H138" s="689"/>
      <c r="I138" s="689"/>
      <c r="J138" s="689"/>
      <c r="K138" s="689"/>
      <c r="L138" s="689"/>
      <c r="M138" s="689"/>
      <c r="N138" s="689"/>
      <c r="O138" s="689"/>
      <c r="P138" s="689"/>
      <c r="Q138" s="689"/>
      <c r="R138" s="2430"/>
    </row>
    <row r="139" spans="1:26" ht="14.45" customHeight="1" x14ac:dyDescent="0.25">
      <c r="B139" s="2344" t="s">
        <v>194</v>
      </c>
      <c r="C139" s="2428" t="s">
        <v>1961</v>
      </c>
      <c r="D139" s="2428" t="s">
        <v>1962</v>
      </c>
      <c r="E139" s="2428" t="s">
        <v>1963</v>
      </c>
      <c r="F139" s="2428" t="s">
        <v>2001</v>
      </c>
      <c r="G139" s="2428" t="s">
        <v>2002</v>
      </c>
      <c r="H139" s="2428" t="s">
        <v>2003</v>
      </c>
      <c r="I139" s="2428" t="s">
        <v>2004</v>
      </c>
      <c r="J139" s="2428" t="s">
        <v>2005</v>
      </c>
      <c r="K139" s="2428" t="s">
        <v>2006</v>
      </c>
      <c r="L139" s="2428" t="s">
        <v>2007</v>
      </c>
      <c r="M139" s="2428" t="s">
        <v>2008</v>
      </c>
      <c r="N139" s="2428" t="s">
        <v>2009</v>
      </c>
      <c r="O139" s="2428" t="s">
        <v>2010</v>
      </c>
      <c r="P139" s="2428" t="s">
        <v>2011</v>
      </c>
      <c r="Q139" s="2428" t="s">
        <v>2012</v>
      </c>
      <c r="R139" s="2430"/>
    </row>
    <row r="140" spans="1:26" x14ac:dyDescent="0.25">
      <c r="B140" s="2163" t="s">
        <v>194</v>
      </c>
      <c r="C140" s="2410">
        <v>2020</v>
      </c>
      <c r="D140" s="2410">
        <f>C140+1</f>
        <v>2021</v>
      </c>
      <c r="E140" s="2410">
        <f>D140+1</f>
        <v>2022</v>
      </c>
      <c r="F140" s="2164">
        <f t="shared" ref="F140:Q140" si="33">E140+1</f>
        <v>2023</v>
      </c>
      <c r="G140" s="2164">
        <f t="shared" si="33"/>
        <v>2024</v>
      </c>
      <c r="H140" s="2164">
        <f t="shared" si="33"/>
        <v>2025</v>
      </c>
      <c r="I140" s="2164">
        <f t="shared" si="33"/>
        <v>2026</v>
      </c>
      <c r="J140" s="2164">
        <f t="shared" si="33"/>
        <v>2027</v>
      </c>
      <c r="K140" s="2164">
        <f t="shared" si="33"/>
        <v>2028</v>
      </c>
      <c r="L140" s="2164">
        <f t="shared" si="33"/>
        <v>2029</v>
      </c>
      <c r="M140" s="2164">
        <f t="shared" si="33"/>
        <v>2030</v>
      </c>
      <c r="N140" s="2164">
        <f t="shared" si="33"/>
        <v>2031</v>
      </c>
      <c r="O140" s="2164">
        <f t="shared" si="33"/>
        <v>2032</v>
      </c>
      <c r="P140" s="2164">
        <f t="shared" si="33"/>
        <v>2033</v>
      </c>
      <c r="Q140" s="2165">
        <f t="shared" si="33"/>
        <v>2034</v>
      </c>
      <c r="R140" s="2430"/>
    </row>
    <row r="141" spans="1:26" x14ac:dyDescent="0.25">
      <c r="B141" s="2003" t="s">
        <v>3968</v>
      </c>
      <c r="C141" s="1279">
        <f t="shared" ref="C141:Q141" si="34">C132*$C$137</f>
        <v>3407487.4181818184</v>
      </c>
      <c r="D141" s="1279">
        <f t="shared" si="34"/>
        <v>3407487.4181818184</v>
      </c>
      <c r="E141" s="1279">
        <f t="shared" si="34"/>
        <v>3407487.4181818184</v>
      </c>
      <c r="F141" s="1279">
        <f t="shared" si="34"/>
        <v>3407487.4181818184</v>
      </c>
      <c r="G141" s="1279">
        <f t="shared" si="34"/>
        <v>3407487.4181818184</v>
      </c>
      <c r="H141" s="1279">
        <f t="shared" si="34"/>
        <v>3487634.2545454544</v>
      </c>
      <c r="I141" s="1279">
        <f t="shared" si="34"/>
        <v>3487634.2545454544</v>
      </c>
      <c r="J141" s="1279">
        <f t="shared" si="34"/>
        <v>3487634.2545454544</v>
      </c>
      <c r="K141" s="1279">
        <f t="shared" si="34"/>
        <v>3536482.145454545</v>
      </c>
      <c r="L141" s="1279">
        <f t="shared" si="34"/>
        <v>3536482.145454545</v>
      </c>
      <c r="M141" s="1279">
        <f t="shared" si="34"/>
        <v>3673148.2181818183</v>
      </c>
      <c r="N141" s="1279">
        <f t="shared" si="34"/>
        <v>3673148.2181818183</v>
      </c>
      <c r="O141" s="1279">
        <f t="shared" si="34"/>
        <v>3705164.5818181816</v>
      </c>
      <c r="P141" s="1279">
        <f t="shared" si="34"/>
        <v>3705164.5818181816</v>
      </c>
      <c r="Q141" s="1279">
        <f t="shared" si="34"/>
        <v>3705164.5818181816</v>
      </c>
      <c r="R141" s="2430"/>
    </row>
    <row r="142" spans="1:26" x14ac:dyDescent="0.25">
      <c r="B142" s="694"/>
      <c r="R142" s="2430"/>
    </row>
    <row r="143" spans="1:26" x14ac:dyDescent="0.25">
      <c r="R143" s="2430"/>
    </row>
    <row r="144" spans="1:26" x14ac:dyDescent="0.25">
      <c r="R144" s="2430"/>
    </row>
    <row r="145" spans="2:18" x14ac:dyDescent="0.25">
      <c r="B145" s="4764" t="s">
        <v>3971</v>
      </c>
      <c r="C145" s="4764"/>
      <c r="D145" s="4764"/>
      <c r="E145" s="4764"/>
      <c r="F145" s="4764"/>
      <c r="R145" s="2430"/>
    </row>
    <row r="146" spans="2:18" ht="40.5" x14ac:dyDescent="0.25">
      <c r="B146" s="917" t="s">
        <v>3972</v>
      </c>
      <c r="C146" s="1329" t="s">
        <v>3975</v>
      </c>
      <c r="D146" s="1329" t="s">
        <v>3972</v>
      </c>
      <c r="E146" s="1329" t="s">
        <v>3973</v>
      </c>
      <c r="F146" s="918" t="s">
        <v>3974</v>
      </c>
    </row>
    <row r="147" spans="2:18" ht="54" x14ac:dyDescent="0.25">
      <c r="B147" s="2366" t="s">
        <v>3976</v>
      </c>
      <c r="C147" s="2369" t="s">
        <v>3977</v>
      </c>
      <c r="D147" s="2369" t="s">
        <v>3976</v>
      </c>
      <c r="E147" s="2367">
        <v>0.18</v>
      </c>
      <c r="F147" s="2368">
        <f>1/(1+E147)</f>
        <v>0.84745762711864414</v>
      </c>
    </row>
    <row r="148" spans="2:18" ht="27" x14ac:dyDescent="0.25">
      <c r="B148" s="2366" t="s">
        <v>3978</v>
      </c>
      <c r="C148" s="2369" t="s">
        <v>3979</v>
      </c>
      <c r="D148" s="2366" t="s">
        <v>3978</v>
      </c>
      <c r="E148" s="2367">
        <v>0.1</v>
      </c>
      <c r="F148" s="2368">
        <f>1/(1+E148)</f>
        <v>0.90909090909090906</v>
      </c>
    </row>
    <row r="149" spans="2:18" ht="54" x14ac:dyDescent="0.25">
      <c r="B149" s="2366" t="s">
        <v>3980</v>
      </c>
      <c r="C149" s="2369" t="s">
        <v>3981</v>
      </c>
      <c r="D149" s="2366" t="s">
        <v>3980</v>
      </c>
      <c r="E149" s="2367" t="s">
        <v>1426</v>
      </c>
      <c r="F149" s="2368">
        <v>0.6</v>
      </c>
    </row>
    <row r="150" spans="2:18" ht="27" x14ac:dyDescent="0.25">
      <c r="B150" s="2366" t="s">
        <v>3982</v>
      </c>
      <c r="C150" s="2369"/>
      <c r="D150" s="2366" t="s">
        <v>3982</v>
      </c>
      <c r="E150" s="2367" t="s">
        <v>1426</v>
      </c>
      <c r="F150" s="2368">
        <v>1.08</v>
      </c>
    </row>
    <row r="151" spans="2:18" ht="40.5" x14ac:dyDescent="0.25">
      <c r="B151" s="2366" t="s">
        <v>3983</v>
      </c>
      <c r="C151" s="2369" t="str">
        <f>'24.1 Remun. RR.HH sin PI'!E169</f>
        <v>Data SNPMGI</v>
      </c>
      <c r="D151" s="2366" t="s">
        <v>3983</v>
      </c>
      <c r="E151" s="2367">
        <v>0.08</v>
      </c>
      <c r="F151" s="2368" t="s">
        <v>1426</v>
      </c>
    </row>
    <row r="152" spans="2:18" x14ac:dyDescent="0.25">
      <c r="B152" s="694"/>
      <c r="C152" s="695"/>
    </row>
  </sheetData>
  <mergeCells count="5">
    <mergeCell ref="T8:U8"/>
    <mergeCell ref="B63:Q63"/>
    <mergeCell ref="B129:G129"/>
    <mergeCell ref="B145:F145"/>
    <mergeCell ref="T14:U14"/>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FF00"/>
  </sheetPr>
  <dimension ref="A1:AD81"/>
  <sheetViews>
    <sheetView topLeftCell="A10" zoomScale="85" zoomScaleNormal="85" workbookViewId="0">
      <selection activeCell="F38" sqref="F38"/>
    </sheetView>
  </sheetViews>
  <sheetFormatPr baseColWidth="10" defaultColWidth="11.42578125" defaultRowHeight="13.5" x14ac:dyDescent="0.25"/>
  <cols>
    <col min="1" max="1" width="3" style="691" customWidth="1"/>
    <col min="2" max="2" width="4.140625" style="691" customWidth="1"/>
    <col min="3" max="3" width="5.28515625" style="691" customWidth="1"/>
    <col min="4" max="4" width="7.5703125" style="691" customWidth="1"/>
    <col min="5" max="5" width="28.42578125" style="691" customWidth="1"/>
    <col min="6" max="6" width="21.85546875" style="691" customWidth="1"/>
    <col min="7" max="7" width="12.28515625" style="691" customWidth="1"/>
    <col min="8" max="11" width="11.28515625" style="691" customWidth="1"/>
    <col min="12" max="12" width="13.28515625" style="691" customWidth="1"/>
    <col min="13" max="22" width="10.28515625" style="691" customWidth="1"/>
    <col min="23" max="23" width="4.42578125" style="691" customWidth="1"/>
    <col min="24" max="16384" width="11.42578125" style="691"/>
  </cols>
  <sheetData>
    <row r="1" spans="1:23" x14ac:dyDescent="0.25">
      <c r="A1" s="2447"/>
    </row>
    <row r="2" spans="1:23" ht="14.25" thickBot="1" x14ac:dyDescent="0.3"/>
    <row r="3" spans="1:23" x14ac:dyDescent="0.25">
      <c r="B3" s="2452"/>
      <c r="C3" s="2453"/>
      <c r="D3" s="2453"/>
      <c r="E3" s="2453"/>
      <c r="F3" s="2453"/>
      <c r="G3" s="2453"/>
      <c r="H3" s="2453"/>
      <c r="I3" s="2453"/>
      <c r="J3" s="2453"/>
      <c r="K3" s="2453"/>
      <c r="L3" s="2453"/>
      <c r="M3" s="2453"/>
      <c r="N3" s="2453"/>
      <c r="O3" s="2453"/>
      <c r="P3" s="2453"/>
      <c r="Q3" s="2453"/>
      <c r="R3" s="2453"/>
      <c r="S3" s="2453"/>
      <c r="T3" s="2453"/>
      <c r="U3" s="2453"/>
      <c r="V3" s="2453"/>
      <c r="W3" s="2454"/>
    </row>
    <row r="4" spans="1:23" ht="14.25" thickBot="1" x14ac:dyDescent="0.3">
      <c r="B4" s="2455"/>
      <c r="C4" s="598"/>
      <c r="D4" s="598"/>
      <c r="E4" s="598"/>
      <c r="F4" s="598"/>
      <c r="G4" s="598"/>
      <c r="H4" s="598"/>
      <c r="I4" s="598"/>
      <c r="J4" s="598"/>
      <c r="K4" s="598"/>
      <c r="L4" s="598"/>
      <c r="M4" s="598"/>
      <c r="N4" s="598"/>
      <c r="O4" s="598"/>
      <c r="P4" s="598"/>
      <c r="Q4" s="598"/>
      <c r="R4" s="598"/>
      <c r="S4" s="598"/>
      <c r="T4" s="598"/>
      <c r="U4" s="598"/>
      <c r="V4" s="598"/>
      <c r="W4" s="2456"/>
    </row>
    <row r="5" spans="1:23" ht="14.25" thickBot="1" x14ac:dyDescent="0.3">
      <c r="B5" s="2455"/>
      <c r="C5" s="4891" t="s">
        <v>4008</v>
      </c>
      <c r="D5" s="4892"/>
      <c r="E5" s="4892"/>
      <c r="F5" s="4892"/>
      <c r="G5" s="4892"/>
      <c r="H5" s="4892"/>
      <c r="I5" s="4892"/>
      <c r="J5" s="4892"/>
      <c r="K5" s="4892"/>
      <c r="L5" s="4892"/>
      <c r="M5" s="4892"/>
      <c r="N5" s="4892"/>
      <c r="O5" s="4892"/>
      <c r="P5" s="4892"/>
      <c r="Q5" s="4892"/>
      <c r="R5" s="4892"/>
      <c r="S5" s="4892"/>
      <c r="T5" s="4892"/>
      <c r="U5" s="4892"/>
      <c r="V5" s="4893"/>
      <c r="W5" s="2456"/>
    </row>
    <row r="6" spans="1:23" ht="14.25" thickBot="1" x14ac:dyDescent="0.3">
      <c r="B6" s="2455"/>
      <c r="C6" s="598"/>
      <c r="D6" s="2415"/>
      <c r="E6" s="2415"/>
      <c r="F6" s="2415"/>
      <c r="G6" s="2415"/>
      <c r="H6" s="2415"/>
      <c r="I6" s="2415"/>
      <c r="J6" s="2415"/>
      <c r="K6" s="2415"/>
      <c r="L6" s="2415"/>
      <c r="M6" s="2415"/>
      <c r="N6" s="2415"/>
      <c r="O6" s="2415"/>
      <c r="P6" s="2415"/>
      <c r="Q6" s="2415"/>
      <c r="R6" s="2415"/>
      <c r="S6" s="2415"/>
      <c r="T6" s="2415"/>
      <c r="U6" s="2415"/>
      <c r="V6" s="2415"/>
      <c r="W6" s="2456"/>
    </row>
    <row r="7" spans="1:23" ht="14.25" thickBot="1" x14ac:dyDescent="0.3">
      <c r="B7" s="2455"/>
      <c r="C7" s="598"/>
      <c r="D7" s="4891" t="s">
        <v>4009</v>
      </c>
      <c r="E7" s="4892"/>
      <c r="F7" s="4892"/>
      <c r="G7" s="4892"/>
      <c r="H7" s="4892"/>
      <c r="I7" s="4892"/>
      <c r="J7" s="4892"/>
      <c r="K7" s="4892"/>
      <c r="L7" s="4892"/>
      <c r="M7" s="4892"/>
      <c r="N7" s="4892"/>
      <c r="O7" s="4892"/>
      <c r="P7" s="4892"/>
      <c r="Q7" s="4892"/>
      <c r="R7" s="4892"/>
      <c r="S7" s="4892"/>
      <c r="T7" s="4892"/>
      <c r="U7" s="4892"/>
      <c r="V7" s="4893"/>
      <c r="W7" s="2456"/>
    </row>
    <row r="8" spans="1:23" x14ac:dyDescent="0.25">
      <c r="B8" s="2455"/>
      <c r="C8" s="598"/>
      <c r="D8" s="598"/>
      <c r="E8" s="598"/>
      <c r="F8" s="598"/>
      <c r="G8" s="598"/>
      <c r="H8" s="2355"/>
      <c r="I8" s="598"/>
      <c r="J8" s="598"/>
      <c r="K8" s="598"/>
      <c r="L8" s="598"/>
      <c r="M8" s="2415"/>
      <c r="N8" s="2415"/>
      <c r="O8" s="2415"/>
      <c r="P8" s="2415"/>
      <c r="Q8" s="2415"/>
      <c r="R8" s="2415"/>
      <c r="S8" s="2415"/>
      <c r="T8" s="2415"/>
      <c r="U8" s="2415"/>
      <c r="V8" s="2415"/>
      <c r="W8" s="2456"/>
    </row>
    <row r="9" spans="1:23" x14ac:dyDescent="0.25">
      <c r="B9" s="2455"/>
      <c r="C9" s="598"/>
      <c r="D9" s="2415" t="s">
        <v>2056</v>
      </c>
      <c r="E9" s="598"/>
      <c r="F9" s="598"/>
      <c r="G9" s="598"/>
      <c r="H9" s="2415" t="s">
        <v>3722</v>
      </c>
      <c r="I9" s="598"/>
      <c r="J9" s="598"/>
      <c r="K9" s="598"/>
      <c r="L9" s="598"/>
      <c r="M9" s="2415"/>
      <c r="N9" s="2415"/>
      <c r="O9" s="2415"/>
      <c r="P9" s="2415"/>
      <c r="Q9" s="2415"/>
      <c r="R9" s="2415"/>
      <c r="S9" s="2415"/>
      <c r="T9" s="2415"/>
      <c r="U9" s="2415"/>
      <c r="V9" s="2415"/>
      <c r="W9" s="2456"/>
    </row>
    <row r="10" spans="1:23" x14ac:dyDescent="0.25">
      <c r="B10" s="2455"/>
      <c r="C10" s="598"/>
      <c r="D10" s="2415" t="s">
        <v>2057</v>
      </c>
      <c r="E10" s="598"/>
      <c r="F10" s="598"/>
      <c r="G10" s="598"/>
      <c r="H10" s="2415" t="s">
        <v>2058</v>
      </c>
      <c r="I10" s="598"/>
      <c r="J10" s="598"/>
      <c r="K10" s="598"/>
      <c r="L10" s="598"/>
      <c r="M10" s="2415"/>
      <c r="N10" s="2415"/>
      <c r="O10" s="2415"/>
      <c r="P10" s="2415"/>
      <c r="Q10" s="2415"/>
      <c r="R10" s="2415"/>
      <c r="S10" s="2415"/>
      <c r="T10" s="2415"/>
      <c r="U10" s="2415"/>
      <c r="V10" s="2415"/>
      <c r="W10" s="2456"/>
    </row>
    <row r="11" spans="1:23" x14ac:dyDescent="0.25">
      <c r="B11" s="2455"/>
      <c r="C11" s="598"/>
      <c r="D11" s="2415" t="s">
        <v>2059</v>
      </c>
      <c r="E11" s="598"/>
      <c r="F11" s="598"/>
      <c r="G11" s="598"/>
      <c r="H11" s="2415" t="s">
        <v>3674</v>
      </c>
      <c r="I11" s="598"/>
      <c r="J11" s="598"/>
      <c r="K11" s="598"/>
      <c r="L11" s="598"/>
      <c r="M11" s="2415"/>
      <c r="N11" s="2415"/>
      <c r="O11" s="2415"/>
      <c r="P11" s="2415"/>
      <c r="Q11" s="2415"/>
      <c r="R11" s="2415"/>
      <c r="S11" s="2415"/>
      <c r="T11" s="2415"/>
      <c r="U11" s="2415"/>
      <c r="V11" s="2415"/>
      <c r="W11" s="2456"/>
    </row>
    <row r="12" spans="1:23" x14ac:dyDescent="0.25">
      <c r="B12" s="2455"/>
      <c r="C12" s="2415"/>
      <c r="D12" s="2415"/>
      <c r="E12" s="2415"/>
      <c r="F12" s="2415"/>
      <c r="G12" s="2415"/>
      <c r="H12" s="2415"/>
      <c r="I12" s="2415"/>
      <c r="J12" s="2415"/>
      <c r="K12" s="2415"/>
      <c r="L12" s="2415"/>
      <c r="M12" s="2415"/>
      <c r="N12" s="2415"/>
      <c r="O12" s="2415"/>
      <c r="P12" s="2415"/>
      <c r="Q12" s="2415"/>
      <c r="R12" s="2415"/>
      <c r="S12" s="2415"/>
      <c r="T12" s="2415"/>
      <c r="U12" s="2415"/>
      <c r="V12" s="2415"/>
      <c r="W12" s="2456"/>
    </row>
    <row r="13" spans="1:23" x14ac:dyDescent="0.25">
      <c r="B13" s="2455"/>
      <c r="C13" s="598"/>
      <c r="D13" s="598"/>
      <c r="E13" s="598"/>
      <c r="F13" s="598"/>
      <c r="G13" s="598"/>
      <c r="H13" s="598"/>
      <c r="I13" s="598"/>
      <c r="J13" s="598"/>
      <c r="K13" s="598"/>
      <c r="L13" s="598"/>
      <c r="M13" s="598"/>
      <c r="N13" s="598"/>
      <c r="O13" s="598"/>
      <c r="P13" s="598"/>
      <c r="Q13" s="598"/>
      <c r="R13" s="598"/>
      <c r="S13" s="598"/>
      <c r="T13" s="598"/>
      <c r="U13" s="598"/>
      <c r="V13" s="598"/>
      <c r="W13" s="2456"/>
    </row>
    <row r="14" spans="1:23" ht="14.25" thickBot="1" x14ac:dyDescent="0.3">
      <c r="B14" s="2455"/>
      <c r="C14" s="598"/>
      <c r="D14" s="598"/>
      <c r="E14" s="598"/>
      <c r="F14" s="4764" t="s">
        <v>4163</v>
      </c>
      <c r="G14" s="4764"/>
      <c r="H14" s="4764"/>
      <c r="I14" s="4764"/>
      <c r="J14" s="4764"/>
      <c r="K14" s="4764"/>
      <c r="L14" s="4764"/>
      <c r="M14" s="598"/>
      <c r="N14" s="598"/>
      <c r="O14" s="598"/>
      <c r="P14" s="598"/>
      <c r="Q14" s="598"/>
      <c r="R14" s="598"/>
      <c r="S14" s="598"/>
      <c r="T14" s="598"/>
      <c r="U14" s="598"/>
      <c r="V14" s="598"/>
      <c r="W14" s="2456"/>
    </row>
    <row r="15" spans="1:23" ht="58.9" customHeight="1" thickBot="1" x14ac:dyDescent="0.3">
      <c r="B15" s="2455"/>
      <c r="C15" s="598"/>
      <c r="D15" s="598"/>
      <c r="E15" s="598"/>
      <c r="F15" s="1035" t="s">
        <v>3825</v>
      </c>
      <c r="G15" s="2479" t="s">
        <v>4010</v>
      </c>
      <c r="H15" s="2479" t="s">
        <v>4011</v>
      </c>
      <c r="I15" s="2479" t="s">
        <v>4012</v>
      </c>
      <c r="J15" s="2479" t="s">
        <v>4013</v>
      </c>
      <c r="K15" s="2479" t="s">
        <v>4035</v>
      </c>
      <c r="L15" s="1036" t="s">
        <v>150</v>
      </c>
      <c r="M15" s="598"/>
      <c r="N15" s="598"/>
      <c r="O15" s="598"/>
      <c r="P15" s="598"/>
      <c r="Q15" s="598"/>
      <c r="R15" s="598"/>
      <c r="S15" s="598"/>
      <c r="T15" s="598"/>
      <c r="U15" s="598"/>
      <c r="V15" s="598"/>
      <c r="W15" s="2456"/>
    </row>
    <row r="16" spans="1:23" ht="14.25" thickBot="1" x14ac:dyDescent="0.3">
      <c r="B16" s="2455"/>
      <c r="C16" s="598"/>
      <c r="D16" s="598"/>
      <c r="E16" s="598"/>
      <c r="F16" s="2462">
        <v>2014</v>
      </c>
      <c r="G16" s="2463">
        <v>93212.03</v>
      </c>
      <c r="H16" s="2462">
        <v>99038.29</v>
      </c>
      <c r="I16" s="2462">
        <v>12860.9</v>
      </c>
      <c r="J16" s="2463">
        <v>0</v>
      </c>
      <c r="K16" s="2462">
        <v>0</v>
      </c>
      <c r="L16" s="2463">
        <f>SUM(G16:K16)</f>
        <v>205111.22</v>
      </c>
      <c r="M16" s="598"/>
      <c r="N16" s="598"/>
      <c r="O16" s="598"/>
      <c r="P16" s="598"/>
      <c r="Q16" s="598"/>
      <c r="R16" s="598"/>
      <c r="S16" s="598"/>
      <c r="T16" s="598"/>
      <c r="U16" s="598"/>
      <c r="V16" s="598"/>
      <c r="W16" s="2456"/>
    </row>
    <row r="17" spans="2:30" ht="14.25" thickBot="1" x14ac:dyDescent="0.3">
      <c r="B17" s="2455"/>
      <c r="C17" s="598"/>
      <c r="D17" s="598"/>
      <c r="E17" s="598"/>
      <c r="F17" s="2462">
        <v>2015</v>
      </c>
      <c r="G17" s="2463">
        <v>98030.18</v>
      </c>
      <c r="H17" s="2463">
        <v>152145.44</v>
      </c>
      <c r="I17" s="2463">
        <v>11955.3</v>
      </c>
      <c r="J17" s="2463">
        <v>11143.44</v>
      </c>
      <c r="K17" s="2462">
        <v>0</v>
      </c>
      <c r="L17" s="2463">
        <f>SUM(G17:K17)</f>
        <v>273274.36</v>
      </c>
      <c r="M17" s="598"/>
      <c r="N17" s="598"/>
      <c r="O17" s="598"/>
      <c r="P17" s="598"/>
      <c r="Q17" s="598"/>
      <c r="R17" s="598"/>
      <c r="S17" s="598"/>
      <c r="T17" s="598"/>
      <c r="U17" s="598"/>
      <c r="V17" s="598"/>
      <c r="W17" s="2456"/>
    </row>
    <row r="18" spans="2:30" ht="14.25" thickBot="1" x14ac:dyDescent="0.3">
      <c r="B18" s="2455"/>
      <c r="C18" s="598"/>
      <c r="D18" s="598"/>
      <c r="E18" s="598"/>
      <c r="F18" s="2462">
        <v>2016</v>
      </c>
      <c r="G18" s="2463">
        <v>111297.40000000001</v>
      </c>
      <c r="H18" s="2463">
        <v>75982</v>
      </c>
      <c r="I18" s="2463">
        <v>13580</v>
      </c>
      <c r="J18" s="2462">
        <v>15044.95</v>
      </c>
      <c r="K18" s="2462">
        <v>0</v>
      </c>
      <c r="L18" s="2463">
        <f>SUM(G18:K18)</f>
        <v>215904.35000000003</v>
      </c>
      <c r="M18" s="598"/>
      <c r="N18" s="598"/>
      <c r="O18" s="598"/>
      <c r="P18" s="598"/>
      <c r="Q18" s="598"/>
      <c r="R18" s="598"/>
      <c r="S18" s="598"/>
      <c r="T18" s="598"/>
      <c r="U18" s="598"/>
      <c r="V18" s="598"/>
      <c r="W18" s="2456"/>
    </row>
    <row r="19" spans="2:30" ht="14.25" thickBot="1" x14ac:dyDescent="0.3">
      <c r="B19" s="2455"/>
      <c r="C19" s="598"/>
      <c r="D19" s="598"/>
      <c r="E19" s="598"/>
      <c r="F19" s="2462">
        <v>2017</v>
      </c>
      <c r="G19" s="2463">
        <v>122012.32</v>
      </c>
      <c r="H19" s="2463">
        <v>44787.59</v>
      </c>
      <c r="I19" s="2463">
        <v>11671.15</v>
      </c>
      <c r="J19" s="2463">
        <v>0</v>
      </c>
      <c r="K19" s="2462">
        <v>0</v>
      </c>
      <c r="L19" s="2463">
        <f>SUM(G19:K19)</f>
        <v>178471.06</v>
      </c>
      <c r="M19" s="598"/>
      <c r="N19" s="598"/>
      <c r="O19" s="598"/>
      <c r="P19" s="598"/>
      <c r="Q19" s="598"/>
      <c r="R19" s="598"/>
      <c r="S19" s="598"/>
      <c r="T19" s="598"/>
      <c r="U19" s="598"/>
      <c r="V19" s="598"/>
      <c r="W19" s="2456"/>
    </row>
    <row r="20" spans="2:30" ht="14.25" thickBot="1" x14ac:dyDescent="0.3">
      <c r="B20" s="2455"/>
      <c r="C20" s="598"/>
      <c r="D20" s="598"/>
      <c r="E20" s="598"/>
      <c r="F20" s="2462">
        <v>2018</v>
      </c>
      <c r="G20" s="2463">
        <v>137932.43</v>
      </c>
      <c r="H20" s="2463">
        <v>40517.339999999997</v>
      </c>
      <c r="I20" s="2463">
        <v>9250</v>
      </c>
      <c r="J20" s="2463">
        <v>0</v>
      </c>
      <c r="K20" s="2462">
        <v>0</v>
      </c>
      <c r="L20" s="2463">
        <f>SUM(G20:K20)</f>
        <v>187699.77</v>
      </c>
      <c r="M20" s="598"/>
      <c r="N20" s="598"/>
      <c r="O20" s="598"/>
      <c r="P20" s="598"/>
      <c r="Q20" s="598"/>
      <c r="R20" s="598"/>
      <c r="S20" s="598"/>
      <c r="T20" s="598"/>
      <c r="U20" s="598"/>
      <c r="V20" s="598"/>
      <c r="W20" s="2456"/>
    </row>
    <row r="21" spans="2:30" ht="19.149999999999999" customHeight="1" thickBot="1" x14ac:dyDescent="0.3">
      <c r="B21" s="2455"/>
      <c r="C21" s="598"/>
      <c r="D21" s="598"/>
      <c r="E21" s="598"/>
      <c r="F21" s="2461" t="s">
        <v>1964</v>
      </c>
      <c r="G21" s="2464">
        <f>AVERAGE(G16:G19)</f>
        <v>106137.9825</v>
      </c>
      <c r="H21" s="2464">
        <f t="shared" ref="H21:J21" si="0">AVERAGE(H16:H19)</f>
        <v>92988.329999999987</v>
      </c>
      <c r="I21" s="2464">
        <f t="shared" si="0"/>
        <v>12516.8375</v>
      </c>
      <c r="J21" s="2464">
        <f t="shared" si="0"/>
        <v>6547.0974999999999</v>
      </c>
      <c r="K21" s="2464">
        <f>AVERAGE(K16:K20)</f>
        <v>0</v>
      </c>
      <c r="L21" s="2464">
        <f>AVERAGE(L16:L19)</f>
        <v>218190.2475</v>
      </c>
      <c r="M21" s="598"/>
      <c r="N21" s="598"/>
      <c r="O21" s="598"/>
      <c r="P21" s="598"/>
      <c r="Q21" s="598"/>
      <c r="R21" s="598"/>
      <c r="S21" s="598"/>
      <c r="T21" s="598"/>
      <c r="U21" s="598"/>
      <c r="V21" s="598"/>
      <c r="W21" s="2456"/>
    </row>
    <row r="22" spans="2:30" x14ac:dyDescent="0.25">
      <c r="B22" s="2455"/>
      <c r="C22" s="598"/>
      <c r="D22" s="598"/>
      <c r="E22" s="598"/>
      <c r="F22" s="598"/>
      <c r="G22" s="598"/>
      <c r="H22" s="598"/>
      <c r="I22" s="598"/>
      <c r="J22" s="598"/>
      <c r="K22" s="598"/>
      <c r="L22" s="598"/>
      <c r="M22" s="598"/>
      <c r="N22" s="598"/>
      <c r="O22" s="598"/>
      <c r="P22" s="598"/>
      <c r="Q22" s="598"/>
      <c r="R22" s="598"/>
      <c r="S22" s="598"/>
      <c r="T22" s="598"/>
      <c r="U22" s="598"/>
      <c r="V22" s="598"/>
      <c r="W22" s="2456"/>
    </row>
    <row r="23" spans="2:30" x14ac:dyDescent="0.25">
      <c r="B23" s="2455"/>
      <c r="C23" s="598"/>
      <c r="D23" s="598"/>
      <c r="E23" s="598"/>
      <c r="F23" s="598"/>
      <c r="G23" s="598"/>
      <c r="H23" s="598"/>
      <c r="I23" s="598"/>
      <c r="J23" s="598"/>
      <c r="K23" s="598"/>
      <c r="L23" s="598"/>
      <c r="M23" s="598"/>
      <c r="N23" s="598"/>
      <c r="O23" s="598"/>
      <c r="P23" s="598"/>
      <c r="Q23" s="598"/>
      <c r="R23" s="598"/>
      <c r="S23" s="598"/>
      <c r="T23" s="598"/>
      <c r="U23" s="598"/>
      <c r="V23" s="598"/>
      <c r="W23" s="2456"/>
    </row>
    <row r="24" spans="2:30" ht="13.5" customHeight="1" thickBot="1" x14ac:dyDescent="0.3">
      <c r="B24" s="2455"/>
      <c r="C24" s="598"/>
      <c r="D24" s="4887" t="s">
        <v>4014</v>
      </c>
      <c r="E24" s="4888"/>
      <c r="F24" s="4888"/>
      <c r="G24" s="4888"/>
      <c r="H24" s="4888"/>
      <c r="I24" s="4888"/>
      <c r="J24" s="4888"/>
      <c r="K24" s="4888"/>
      <c r="L24" s="4888"/>
      <c r="M24" s="4888"/>
      <c r="N24" s="4888"/>
      <c r="O24" s="4888"/>
      <c r="P24" s="4888"/>
      <c r="Q24" s="4888"/>
      <c r="R24" s="4888"/>
      <c r="S24" s="4888"/>
      <c r="T24" s="4888"/>
      <c r="U24" s="4888"/>
      <c r="V24" s="4888"/>
      <c r="W24" s="2456"/>
    </row>
    <row r="25" spans="2:30" ht="14.25" thickBot="1" x14ac:dyDescent="0.3">
      <c r="B25" s="2455"/>
      <c r="C25" s="598"/>
      <c r="D25" s="4274" t="s">
        <v>3723</v>
      </c>
      <c r="E25" s="4889" t="s">
        <v>1898</v>
      </c>
      <c r="F25" s="1743">
        <v>0</v>
      </c>
      <c r="G25" s="1740">
        <v>0</v>
      </c>
      <c r="H25" s="1740">
        <v>1</v>
      </c>
      <c r="I25" s="1740">
        <f t="shared" ref="I25:U26" si="1">H25+1</f>
        <v>2</v>
      </c>
      <c r="J25" s="1740">
        <f t="shared" si="1"/>
        <v>3</v>
      </c>
      <c r="K25" s="1740">
        <f t="shared" si="1"/>
        <v>4</v>
      </c>
      <c r="L25" s="1740">
        <f t="shared" si="1"/>
        <v>5</v>
      </c>
      <c r="M25" s="1740">
        <f t="shared" si="1"/>
        <v>6</v>
      </c>
      <c r="N25" s="1740">
        <f t="shared" si="1"/>
        <v>7</v>
      </c>
      <c r="O25" s="1740">
        <f t="shared" si="1"/>
        <v>8</v>
      </c>
      <c r="P25" s="1740">
        <f t="shared" si="1"/>
        <v>9</v>
      </c>
      <c r="Q25" s="1740">
        <f t="shared" si="1"/>
        <v>10</v>
      </c>
      <c r="R25" s="1740">
        <f t="shared" si="1"/>
        <v>11</v>
      </c>
      <c r="S25" s="1740">
        <f t="shared" si="1"/>
        <v>12</v>
      </c>
      <c r="T25" s="1740">
        <f t="shared" si="1"/>
        <v>13</v>
      </c>
      <c r="U25" s="1740">
        <f t="shared" si="1"/>
        <v>14</v>
      </c>
      <c r="V25" s="1742">
        <f>U25+1</f>
        <v>15</v>
      </c>
      <c r="W25" s="2456"/>
      <c r="Y25" s="4767" t="s">
        <v>4162</v>
      </c>
      <c r="Z25" s="4767"/>
      <c r="AA25" s="4767"/>
      <c r="AB25" s="4767"/>
      <c r="AC25" s="4767"/>
      <c r="AD25" s="4767"/>
    </row>
    <row r="26" spans="2:30" ht="54.75" thickBot="1" x14ac:dyDescent="0.3">
      <c r="B26" s="2455"/>
      <c r="C26" s="598"/>
      <c r="D26" s="4276"/>
      <c r="E26" s="4890"/>
      <c r="F26" s="1745">
        <v>2018</v>
      </c>
      <c r="G26" s="1745">
        <f>F26+1</f>
        <v>2019</v>
      </c>
      <c r="H26" s="1741">
        <f>G26+1</f>
        <v>2020</v>
      </c>
      <c r="I26" s="1741">
        <f t="shared" si="1"/>
        <v>2021</v>
      </c>
      <c r="J26" s="1741">
        <f t="shared" si="1"/>
        <v>2022</v>
      </c>
      <c r="K26" s="1741">
        <f t="shared" si="1"/>
        <v>2023</v>
      </c>
      <c r="L26" s="1741">
        <f t="shared" si="1"/>
        <v>2024</v>
      </c>
      <c r="M26" s="1741">
        <f t="shared" si="1"/>
        <v>2025</v>
      </c>
      <c r="N26" s="1741">
        <f t="shared" si="1"/>
        <v>2026</v>
      </c>
      <c r="O26" s="1741">
        <f t="shared" si="1"/>
        <v>2027</v>
      </c>
      <c r="P26" s="1741">
        <f t="shared" si="1"/>
        <v>2028</v>
      </c>
      <c r="Q26" s="1741">
        <f t="shared" si="1"/>
        <v>2029</v>
      </c>
      <c r="R26" s="1741">
        <f t="shared" si="1"/>
        <v>2030</v>
      </c>
      <c r="S26" s="1741">
        <f t="shared" si="1"/>
        <v>2031</v>
      </c>
      <c r="T26" s="1741">
        <f t="shared" si="1"/>
        <v>2032</v>
      </c>
      <c r="U26" s="1741">
        <f t="shared" si="1"/>
        <v>2033</v>
      </c>
      <c r="V26" s="1746">
        <f>U26+1</f>
        <v>2034</v>
      </c>
      <c r="W26" s="2456"/>
      <c r="Y26" s="1035" t="s">
        <v>3825</v>
      </c>
      <c r="Z26" s="2479" t="s">
        <v>4010</v>
      </c>
      <c r="AA26" s="2479" t="s">
        <v>4011</v>
      </c>
      <c r="AB26" s="2479" t="s">
        <v>4012</v>
      </c>
      <c r="AC26" s="2479" t="s">
        <v>4013</v>
      </c>
      <c r="AD26" s="1036" t="s">
        <v>0</v>
      </c>
    </row>
    <row r="27" spans="2:30" ht="14.25" thickBot="1" x14ac:dyDescent="0.3">
      <c r="B27" s="2455"/>
      <c r="C27" s="598"/>
      <c r="D27" s="2466" t="s">
        <v>4015</v>
      </c>
      <c r="E27" s="2467" t="s">
        <v>4016</v>
      </c>
      <c r="F27" s="2468">
        <f t="shared" ref="F27:T27" si="2">SUM(F28,F31)</f>
        <v>1514607.525625</v>
      </c>
      <c r="G27" s="2468">
        <f t="shared" si="2"/>
        <v>1514607.525625</v>
      </c>
      <c r="H27" s="2468">
        <f t="shared" si="2"/>
        <v>1514607.525625</v>
      </c>
      <c r="I27" s="2468">
        <f t="shared" si="2"/>
        <v>1514607.525625</v>
      </c>
      <c r="J27" s="2468">
        <f t="shared" si="2"/>
        <v>1514607.525625</v>
      </c>
      <c r="K27" s="2468">
        <f t="shared" si="2"/>
        <v>1514607.525625</v>
      </c>
      <c r="L27" s="2468">
        <f t="shared" si="2"/>
        <v>1514607.525625</v>
      </c>
      <c r="M27" s="2468">
        <f t="shared" si="2"/>
        <v>1514607.525625</v>
      </c>
      <c r="N27" s="2468">
        <f t="shared" si="2"/>
        <v>1514607.525625</v>
      </c>
      <c r="O27" s="2468">
        <f t="shared" si="2"/>
        <v>1514607.525625</v>
      </c>
      <c r="P27" s="2468">
        <f t="shared" si="2"/>
        <v>1514607.525625</v>
      </c>
      <c r="Q27" s="2468">
        <f t="shared" si="2"/>
        <v>1514607.525625</v>
      </c>
      <c r="R27" s="2468">
        <f t="shared" si="2"/>
        <v>1514607.525625</v>
      </c>
      <c r="S27" s="2468">
        <f t="shared" si="2"/>
        <v>1514607.525625</v>
      </c>
      <c r="T27" s="2468">
        <f t="shared" si="2"/>
        <v>1514607.525625</v>
      </c>
      <c r="U27" s="2468">
        <f>SUM(U28,U31)</f>
        <v>1514607.525625</v>
      </c>
      <c r="V27" s="2468">
        <f>SUM(V28,V31)</f>
        <v>1514607.525625</v>
      </c>
      <c r="W27" s="2456"/>
      <c r="Y27" s="2569">
        <v>2014</v>
      </c>
      <c r="Z27" s="2570">
        <v>93212.03</v>
      </c>
      <c r="AA27" s="2570">
        <v>99038.25</v>
      </c>
      <c r="AB27" s="2570">
        <v>13004</v>
      </c>
      <c r="AC27" s="2570">
        <v>0</v>
      </c>
      <c r="AD27" s="2570">
        <f t="shared" ref="AD27:AD33" si="3">SUM(Z27:AC27)</f>
        <v>205254.28</v>
      </c>
    </row>
    <row r="28" spans="2:30" ht="14.25" thickBot="1" x14ac:dyDescent="0.3">
      <c r="B28" s="2455"/>
      <c r="C28" s="598"/>
      <c r="D28" s="2469"/>
      <c r="E28" s="2470" t="s">
        <v>4017</v>
      </c>
      <c r="F28" s="2471">
        <f t="shared" ref="F28:T28" si="4">SUM(F29:F30)</f>
        <v>1350964.84</v>
      </c>
      <c r="G28" s="2471">
        <f t="shared" si="4"/>
        <v>1350964.84</v>
      </c>
      <c r="H28" s="2471">
        <f t="shared" si="4"/>
        <v>1350964.84</v>
      </c>
      <c r="I28" s="2471">
        <f t="shared" si="4"/>
        <v>1350964.84</v>
      </c>
      <c r="J28" s="2471">
        <f t="shared" si="4"/>
        <v>1350964.84</v>
      </c>
      <c r="K28" s="2471">
        <f t="shared" si="4"/>
        <v>1350964.84</v>
      </c>
      <c r="L28" s="2471">
        <f t="shared" si="4"/>
        <v>1350964.84</v>
      </c>
      <c r="M28" s="2471">
        <f t="shared" si="4"/>
        <v>1350964.84</v>
      </c>
      <c r="N28" s="2471">
        <f t="shared" si="4"/>
        <v>1350964.84</v>
      </c>
      <c r="O28" s="2471">
        <f t="shared" si="4"/>
        <v>1350964.84</v>
      </c>
      <c r="P28" s="2471">
        <f t="shared" si="4"/>
        <v>1350964.84</v>
      </c>
      <c r="Q28" s="2471">
        <f t="shared" si="4"/>
        <v>1350964.84</v>
      </c>
      <c r="R28" s="2471">
        <f t="shared" si="4"/>
        <v>1350964.84</v>
      </c>
      <c r="S28" s="2471">
        <f t="shared" si="4"/>
        <v>1350964.84</v>
      </c>
      <c r="T28" s="2471">
        <f t="shared" si="4"/>
        <v>1350964.84</v>
      </c>
      <c r="U28" s="2471">
        <f>SUM(U29:U30)</f>
        <v>1350964.84</v>
      </c>
      <c r="V28" s="2471">
        <f>SUM(V29:V30)</f>
        <v>1350964.84</v>
      </c>
      <c r="W28" s="2456"/>
      <c r="Y28" s="2569">
        <v>2015</v>
      </c>
      <c r="Z28" s="2570">
        <v>98030.180000000022</v>
      </c>
      <c r="AA28" s="2571">
        <v>164796.44</v>
      </c>
      <c r="AB28" s="2570">
        <v>12527.6</v>
      </c>
      <c r="AC28" s="2571">
        <v>11143.44</v>
      </c>
      <c r="AD28" s="2570">
        <f t="shared" si="3"/>
        <v>286497.65999999997</v>
      </c>
    </row>
    <row r="29" spans="2:30" ht="14.25" thickBot="1" x14ac:dyDescent="0.3">
      <c r="B29" s="2455"/>
      <c r="C29" s="598"/>
      <c r="D29" s="2469"/>
      <c r="E29" s="2472" t="s">
        <v>4018</v>
      </c>
      <c r="F29" s="2473">
        <f>'24.1 Remun. RR.HH sin PI'!C145</f>
        <v>1256552.24</v>
      </c>
      <c r="G29" s="2473">
        <f>F29</f>
        <v>1256552.24</v>
      </c>
      <c r="H29" s="2473">
        <f>'24.1 Remun. RR.HH sin PI'!C145</f>
        <v>1256552.24</v>
      </c>
      <c r="I29" s="2473">
        <f>'24.1 Remun. RR.HH sin PI'!D145</f>
        <v>1256552.24</v>
      </c>
      <c r="J29" s="2473">
        <f>'24.1 Remun. RR.HH sin PI'!E145</f>
        <v>1256552.24</v>
      </c>
      <c r="K29" s="2473">
        <f>'24.1 Remun. RR.HH sin PI'!F145</f>
        <v>1256552.24</v>
      </c>
      <c r="L29" s="2473">
        <f>'24.1 Remun. RR.HH sin PI'!G145</f>
        <v>1256552.24</v>
      </c>
      <c r="M29" s="2473">
        <f>'24.1 Remun. RR.HH sin PI'!H145</f>
        <v>1256552.24</v>
      </c>
      <c r="N29" s="2473">
        <f>'24.1 Remun. RR.HH sin PI'!I145</f>
        <v>1256552.24</v>
      </c>
      <c r="O29" s="2473">
        <f>'24.1 Remun. RR.HH sin PI'!J145</f>
        <v>1256552.24</v>
      </c>
      <c r="P29" s="2473">
        <f>'24.1 Remun. RR.HH sin PI'!K145</f>
        <v>1256552.24</v>
      </c>
      <c r="Q29" s="2473">
        <f>'24.1 Remun. RR.HH sin PI'!L145</f>
        <v>1256552.24</v>
      </c>
      <c r="R29" s="2473">
        <f>'24.1 Remun. RR.HH sin PI'!M145</f>
        <v>1256552.24</v>
      </c>
      <c r="S29" s="2473">
        <f>'24.1 Remun. RR.HH sin PI'!N145</f>
        <v>1256552.24</v>
      </c>
      <c r="T29" s="2473">
        <f>'24.1 Remun. RR.HH sin PI'!O145</f>
        <v>1256552.24</v>
      </c>
      <c r="U29" s="2473">
        <f>'24.1 Remun. RR.HH sin PI'!P145</f>
        <v>1256552.24</v>
      </c>
      <c r="V29" s="2473">
        <f>'24.1 Remun. RR.HH sin PI'!Q145</f>
        <v>1256552.24</v>
      </c>
      <c r="W29" s="2456"/>
      <c r="Y29" s="2569">
        <v>2016</v>
      </c>
      <c r="Z29" s="2570">
        <v>111297.40000000001</v>
      </c>
      <c r="AA29" s="2570">
        <v>77683</v>
      </c>
      <c r="AB29" s="2570">
        <v>13580</v>
      </c>
      <c r="AC29" s="2570">
        <v>15044.95</v>
      </c>
      <c r="AD29" s="2570">
        <f t="shared" si="3"/>
        <v>217605.35000000003</v>
      </c>
    </row>
    <row r="30" spans="2:30" ht="14.25" thickBot="1" x14ac:dyDescent="0.3">
      <c r="B30" s="2455"/>
      <c r="C30" s="598"/>
      <c r="D30" s="2469"/>
      <c r="E30" s="2472" t="s">
        <v>4019</v>
      </c>
      <c r="F30" s="2473">
        <f>'24.1 Remun. RR.HH sin PI'!C146</f>
        <v>94412.6</v>
      </c>
      <c r="G30" s="2473">
        <f>F30</f>
        <v>94412.6</v>
      </c>
      <c r="H30" s="2473">
        <f>'24.1 Remun. RR.HH sin PI'!C147</f>
        <v>94412.6</v>
      </c>
      <c r="I30" s="2473">
        <f>'24.1 Remun. RR.HH sin PI'!D147</f>
        <v>94412.6</v>
      </c>
      <c r="J30" s="2473">
        <f>'24.1 Remun. RR.HH sin PI'!E147</f>
        <v>94412.6</v>
      </c>
      <c r="K30" s="2473">
        <f>'24.1 Remun. RR.HH sin PI'!F147</f>
        <v>94412.6</v>
      </c>
      <c r="L30" s="2473">
        <f>'24.1 Remun. RR.HH sin PI'!G147</f>
        <v>94412.6</v>
      </c>
      <c r="M30" s="2473">
        <f>'24.1 Remun. RR.HH sin PI'!H147</f>
        <v>94412.6</v>
      </c>
      <c r="N30" s="2473">
        <f>'24.1 Remun. RR.HH sin PI'!I147</f>
        <v>94412.6</v>
      </c>
      <c r="O30" s="2473">
        <f>'24.1 Remun. RR.HH sin PI'!J147</f>
        <v>94412.6</v>
      </c>
      <c r="P30" s="2473">
        <f>'24.1 Remun. RR.HH sin PI'!K147</f>
        <v>94412.6</v>
      </c>
      <c r="Q30" s="2473">
        <f>'24.1 Remun. RR.HH sin PI'!L147</f>
        <v>94412.6</v>
      </c>
      <c r="R30" s="2473">
        <f>'24.1 Remun. RR.HH sin PI'!M147</f>
        <v>94412.6</v>
      </c>
      <c r="S30" s="2473">
        <f>'24.1 Remun. RR.HH sin PI'!N147</f>
        <v>94412.6</v>
      </c>
      <c r="T30" s="2473">
        <f>'24.1 Remun. RR.HH sin PI'!O147</f>
        <v>94412.6</v>
      </c>
      <c r="U30" s="2473">
        <f>'24.1 Remun. RR.HH sin PI'!P147</f>
        <v>94412.6</v>
      </c>
      <c r="V30" s="2473">
        <f>'24.1 Remun. RR.HH sin PI'!Q147</f>
        <v>94412.6</v>
      </c>
      <c r="W30" s="2456"/>
      <c r="Y30" s="2569">
        <v>2017</v>
      </c>
      <c r="Z30" s="2570">
        <v>122012.32</v>
      </c>
      <c r="AA30" s="2463">
        <v>44787.59</v>
      </c>
      <c r="AB30" s="2570">
        <v>12335</v>
      </c>
      <c r="AC30" s="2570">
        <v>0</v>
      </c>
      <c r="AD30" s="2570">
        <f t="shared" si="3"/>
        <v>179134.91</v>
      </c>
    </row>
    <row r="31" spans="2:30" ht="14.25" thickBot="1" x14ac:dyDescent="0.3">
      <c r="B31" s="2455"/>
      <c r="C31" s="598"/>
      <c r="D31" s="2469"/>
      <c r="E31" s="2470" t="s">
        <v>4020</v>
      </c>
      <c r="F31" s="2471">
        <f>SUM(F32:F36)</f>
        <v>163642.68562500001</v>
      </c>
      <c r="G31" s="2471">
        <f t="shared" ref="G31:V39" si="5">F31</f>
        <v>163642.68562500001</v>
      </c>
      <c r="H31" s="2471">
        <f t="shared" si="5"/>
        <v>163642.68562500001</v>
      </c>
      <c r="I31" s="2471">
        <f t="shared" si="5"/>
        <v>163642.68562500001</v>
      </c>
      <c r="J31" s="2471">
        <f t="shared" si="5"/>
        <v>163642.68562500001</v>
      </c>
      <c r="K31" s="2471">
        <f t="shared" si="5"/>
        <v>163642.68562500001</v>
      </c>
      <c r="L31" s="2471">
        <f t="shared" si="5"/>
        <v>163642.68562500001</v>
      </c>
      <c r="M31" s="2471">
        <f t="shared" si="5"/>
        <v>163642.68562500001</v>
      </c>
      <c r="N31" s="2471">
        <f t="shared" si="5"/>
        <v>163642.68562500001</v>
      </c>
      <c r="O31" s="2471">
        <f t="shared" si="5"/>
        <v>163642.68562500001</v>
      </c>
      <c r="P31" s="2471">
        <f t="shared" si="5"/>
        <v>163642.68562500001</v>
      </c>
      <c r="Q31" s="2471">
        <f t="shared" si="5"/>
        <v>163642.68562500001</v>
      </c>
      <c r="R31" s="2471">
        <f t="shared" si="5"/>
        <v>163642.68562500001</v>
      </c>
      <c r="S31" s="2471">
        <f t="shared" si="5"/>
        <v>163642.68562500001</v>
      </c>
      <c r="T31" s="2471">
        <f t="shared" si="5"/>
        <v>163642.68562500001</v>
      </c>
      <c r="U31" s="2471">
        <f t="shared" si="5"/>
        <v>163642.68562500001</v>
      </c>
      <c r="V31" s="2471">
        <f t="shared" si="5"/>
        <v>163642.68562500001</v>
      </c>
      <c r="W31" s="2456"/>
      <c r="Y31" s="2569">
        <v>2018</v>
      </c>
      <c r="Z31" s="2570">
        <v>137932.43</v>
      </c>
      <c r="AA31" s="2570">
        <v>40517.339999999997</v>
      </c>
      <c r="AB31" s="2570">
        <v>9507</v>
      </c>
      <c r="AC31" s="2570">
        <v>0</v>
      </c>
      <c r="AD31" s="2570">
        <f t="shared" si="3"/>
        <v>187956.77</v>
      </c>
    </row>
    <row r="32" spans="2:30" ht="14.25" thickBot="1" x14ac:dyDescent="0.3">
      <c r="B32" s="2455"/>
      <c r="C32" s="2449">
        <v>0.2</v>
      </c>
      <c r="D32" s="2474"/>
      <c r="E32" s="2474" t="s">
        <v>4021</v>
      </c>
      <c r="F32" s="1787">
        <f>L$21*C32</f>
        <v>43638.049500000001</v>
      </c>
      <c r="G32" s="1787">
        <f t="shared" si="5"/>
        <v>43638.049500000001</v>
      </c>
      <c r="H32" s="1787">
        <f t="shared" si="5"/>
        <v>43638.049500000001</v>
      </c>
      <c r="I32" s="1787">
        <f t="shared" si="5"/>
        <v>43638.049500000001</v>
      </c>
      <c r="J32" s="1787">
        <f t="shared" si="5"/>
        <v>43638.049500000001</v>
      </c>
      <c r="K32" s="1787">
        <f t="shared" si="5"/>
        <v>43638.049500000001</v>
      </c>
      <c r="L32" s="1787">
        <f t="shared" si="5"/>
        <v>43638.049500000001</v>
      </c>
      <c r="M32" s="1787">
        <f t="shared" si="5"/>
        <v>43638.049500000001</v>
      </c>
      <c r="N32" s="1787">
        <f t="shared" si="5"/>
        <v>43638.049500000001</v>
      </c>
      <c r="O32" s="1787">
        <f t="shared" si="5"/>
        <v>43638.049500000001</v>
      </c>
      <c r="P32" s="1787">
        <f t="shared" si="5"/>
        <v>43638.049500000001</v>
      </c>
      <c r="Q32" s="1787">
        <f t="shared" si="5"/>
        <v>43638.049500000001</v>
      </c>
      <c r="R32" s="1787">
        <f t="shared" si="5"/>
        <v>43638.049500000001</v>
      </c>
      <c r="S32" s="1787">
        <f t="shared" si="5"/>
        <v>43638.049500000001</v>
      </c>
      <c r="T32" s="1787">
        <f t="shared" si="5"/>
        <v>43638.049500000001</v>
      </c>
      <c r="U32" s="1787">
        <f t="shared" si="5"/>
        <v>43638.049500000001</v>
      </c>
      <c r="V32" s="1787">
        <f t="shared" si="5"/>
        <v>43638.049500000001</v>
      </c>
      <c r="W32" s="2456"/>
      <c r="Y32" s="2575" t="s">
        <v>3949</v>
      </c>
      <c r="Z32" s="2576">
        <f>SUM(Z27:Z31)</f>
        <v>562484.3600000001</v>
      </c>
      <c r="AA32" s="2576">
        <f>SUM(AA27:AA31)</f>
        <v>426822.62</v>
      </c>
      <c r="AB32" s="2576">
        <f>SUM(AB27:AB31)</f>
        <v>60953.599999999999</v>
      </c>
      <c r="AC32" s="2576">
        <f>SUM(AC27:AC31)</f>
        <v>26188.39</v>
      </c>
      <c r="AD32" s="2576">
        <f t="shared" si="3"/>
        <v>1076448.97</v>
      </c>
    </row>
    <row r="33" spans="2:30" ht="27.75" thickBot="1" x14ac:dyDescent="0.3">
      <c r="B33" s="2455"/>
      <c r="C33" s="2449">
        <v>0.1</v>
      </c>
      <c r="D33" s="2474"/>
      <c r="E33" s="2474" t="s">
        <v>4022</v>
      </c>
      <c r="F33" s="1787">
        <f>L$21*C33</f>
        <v>21819.02475</v>
      </c>
      <c r="G33" s="1787">
        <f t="shared" si="5"/>
        <v>21819.02475</v>
      </c>
      <c r="H33" s="1787">
        <f t="shared" si="5"/>
        <v>21819.02475</v>
      </c>
      <c r="I33" s="1787">
        <f t="shared" si="5"/>
        <v>21819.02475</v>
      </c>
      <c r="J33" s="1787">
        <f t="shared" si="5"/>
        <v>21819.02475</v>
      </c>
      <c r="K33" s="1787">
        <f t="shared" si="5"/>
        <v>21819.02475</v>
      </c>
      <c r="L33" s="1787">
        <f t="shared" si="5"/>
        <v>21819.02475</v>
      </c>
      <c r="M33" s="1787">
        <f t="shared" si="5"/>
        <v>21819.02475</v>
      </c>
      <c r="N33" s="1787">
        <f t="shared" si="5"/>
        <v>21819.02475</v>
      </c>
      <c r="O33" s="1787">
        <f t="shared" si="5"/>
        <v>21819.02475</v>
      </c>
      <c r="P33" s="1787">
        <f t="shared" si="5"/>
        <v>21819.02475</v>
      </c>
      <c r="Q33" s="1787">
        <f t="shared" si="5"/>
        <v>21819.02475</v>
      </c>
      <c r="R33" s="1787">
        <f t="shared" si="5"/>
        <v>21819.02475</v>
      </c>
      <c r="S33" s="1787">
        <f t="shared" si="5"/>
        <v>21819.02475</v>
      </c>
      <c r="T33" s="1787">
        <f t="shared" si="5"/>
        <v>21819.02475</v>
      </c>
      <c r="U33" s="1787">
        <f t="shared" si="5"/>
        <v>21819.02475</v>
      </c>
      <c r="V33" s="1787">
        <f t="shared" si="5"/>
        <v>21819.02475</v>
      </c>
      <c r="W33" s="2456"/>
      <c r="Y33" s="1035" t="s">
        <v>4023</v>
      </c>
      <c r="Z33" s="2572">
        <f>Z32/AD32</f>
        <v>0.52253694850021559</v>
      </c>
      <c r="AA33" s="2572">
        <f>AA32/AD32</f>
        <v>0.39650985034618036</v>
      </c>
      <c r="AB33" s="2572">
        <f>AB32/AD32</f>
        <v>5.6624700007841526E-2</v>
      </c>
      <c r="AC33" s="2572">
        <f>AC32/AD32</f>
        <v>2.4328501145762627E-2</v>
      </c>
      <c r="AD33" s="2573">
        <f t="shared" si="3"/>
        <v>1</v>
      </c>
    </row>
    <row r="34" spans="2:30" ht="14.25" thickBot="1" x14ac:dyDescent="0.3">
      <c r="B34" s="2455"/>
      <c r="C34" s="2449">
        <v>0.3</v>
      </c>
      <c r="D34" s="2474"/>
      <c r="E34" s="2474" t="s">
        <v>4024</v>
      </c>
      <c r="F34" s="1787">
        <f>L$21*C34</f>
        <v>65457.074249999998</v>
      </c>
      <c r="G34" s="1787">
        <f t="shared" si="5"/>
        <v>65457.074249999998</v>
      </c>
      <c r="H34" s="1787">
        <f t="shared" si="5"/>
        <v>65457.074249999998</v>
      </c>
      <c r="I34" s="1787">
        <f t="shared" si="5"/>
        <v>65457.074249999998</v>
      </c>
      <c r="J34" s="1787">
        <f t="shared" si="5"/>
        <v>65457.074249999998</v>
      </c>
      <c r="K34" s="1787">
        <f t="shared" si="5"/>
        <v>65457.074249999998</v>
      </c>
      <c r="L34" s="1787">
        <f t="shared" si="5"/>
        <v>65457.074249999998</v>
      </c>
      <c r="M34" s="1787">
        <f t="shared" si="5"/>
        <v>65457.074249999998</v>
      </c>
      <c r="N34" s="1787">
        <f t="shared" si="5"/>
        <v>65457.074249999998</v>
      </c>
      <c r="O34" s="1787">
        <f t="shared" si="5"/>
        <v>65457.074249999998</v>
      </c>
      <c r="P34" s="1787">
        <f t="shared" si="5"/>
        <v>65457.074249999998</v>
      </c>
      <c r="Q34" s="1787">
        <f t="shared" si="5"/>
        <v>65457.074249999998</v>
      </c>
      <c r="R34" s="1787">
        <f t="shared" si="5"/>
        <v>65457.074249999998</v>
      </c>
      <c r="S34" s="1787">
        <f t="shared" si="5"/>
        <v>65457.074249999998</v>
      </c>
      <c r="T34" s="1787">
        <f t="shared" si="5"/>
        <v>65457.074249999998</v>
      </c>
      <c r="U34" s="1787">
        <f t="shared" si="5"/>
        <v>65457.074249999998</v>
      </c>
      <c r="V34" s="1787">
        <f t="shared" si="5"/>
        <v>65457.074249999998</v>
      </c>
      <c r="W34" s="2456"/>
    </row>
    <row r="35" spans="2:30" ht="14.25" thickBot="1" x14ac:dyDescent="0.3">
      <c r="B35" s="2455"/>
      <c r="C35" s="2449">
        <v>0.05</v>
      </c>
      <c r="D35" s="2474"/>
      <c r="E35" s="2474" t="s">
        <v>4025</v>
      </c>
      <c r="F35" s="1787">
        <f>L$21*C35</f>
        <v>10909.512375</v>
      </c>
      <c r="G35" s="1787">
        <f t="shared" si="5"/>
        <v>10909.512375</v>
      </c>
      <c r="H35" s="1787">
        <f t="shared" si="5"/>
        <v>10909.512375</v>
      </c>
      <c r="I35" s="1787">
        <f t="shared" si="5"/>
        <v>10909.512375</v>
      </c>
      <c r="J35" s="1787">
        <f t="shared" si="5"/>
        <v>10909.512375</v>
      </c>
      <c r="K35" s="1787">
        <f t="shared" si="5"/>
        <v>10909.512375</v>
      </c>
      <c r="L35" s="1787">
        <f t="shared" si="5"/>
        <v>10909.512375</v>
      </c>
      <c r="M35" s="1787">
        <f t="shared" si="5"/>
        <v>10909.512375</v>
      </c>
      <c r="N35" s="1787">
        <f t="shared" si="5"/>
        <v>10909.512375</v>
      </c>
      <c r="O35" s="1787">
        <f t="shared" si="5"/>
        <v>10909.512375</v>
      </c>
      <c r="P35" s="1787">
        <f t="shared" si="5"/>
        <v>10909.512375</v>
      </c>
      <c r="Q35" s="1787">
        <f t="shared" si="5"/>
        <v>10909.512375</v>
      </c>
      <c r="R35" s="1787">
        <f t="shared" si="5"/>
        <v>10909.512375</v>
      </c>
      <c r="S35" s="1787">
        <f t="shared" si="5"/>
        <v>10909.512375</v>
      </c>
      <c r="T35" s="1787">
        <f t="shared" si="5"/>
        <v>10909.512375</v>
      </c>
      <c r="U35" s="1787">
        <f t="shared" si="5"/>
        <v>10909.512375</v>
      </c>
      <c r="V35" s="1787">
        <f t="shared" si="5"/>
        <v>10909.512375</v>
      </c>
      <c r="W35" s="2456"/>
    </row>
    <row r="36" spans="2:30" ht="14.25" thickBot="1" x14ac:dyDescent="0.3">
      <c r="B36" s="2455"/>
      <c r="C36" s="2449">
        <v>0.1</v>
      </c>
      <c r="D36" s="2474"/>
      <c r="E36" s="2474" t="s">
        <v>4026</v>
      </c>
      <c r="F36" s="1787">
        <f>L$21*C36</f>
        <v>21819.02475</v>
      </c>
      <c r="G36" s="1787">
        <f t="shared" si="5"/>
        <v>21819.02475</v>
      </c>
      <c r="H36" s="1787">
        <f t="shared" si="5"/>
        <v>21819.02475</v>
      </c>
      <c r="I36" s="1787">
        <f t="shared" si="5"/>
        <v>21819.02475</v>
      </c>
      <c r="J36" s="1787">
        <f t="shared" si="5"/>
        <v>21819.02475</v>
      </c>
      <c r="K36" s="1787">
        <f t="shared" si="5"/>
        <v>21819.02475</v>
      </c>
      <c r="L36" s="1787">
        <f t="shared" si="5"/>
        <v>21819.02475</v>
      </c>
      <c r="M36" s="1787">
        <f t="shared" si="5"/>
        <v>21819.02475</v>
      </c>
      <c r="N36" s="1787">
        <f t="shared" si="5"/>
        <v>21819.02475</v>
      </c>
      <c r="O36" s="1787">
        <f t="shared" si="5"/>
        <v>21819.02475</v>
      </c>
      <c r="P36" s="1787">
        <f t="shared" si="5"/>
        <v>21819.02475</v>
      </c>
      <c r="Q36" s="1787">
        <f t="shared" si="5"/>
        <v>21819.02475</v>
      </c>
      <c r="R36" s="1787">
        <f t="shared" si="5"/>
        <v>21819.02475</v>
      </c>
      <c r="S36" s="1787">
        <f t="shared" si="5"/>
        <v>21819.02475</v>
      </c>
      <c r="T36" s="1787">
        <f t="shared" si="5"/>
        <v>21819.02475</v>
      </c>
      <c r="U36" s="1787">
        <f t="shared" si="5"/>
        <v>21819.02475</v>
      </c>
      <c r="V36" s="1787">
        <f t="shared" si="5"/>
        <v>21819.02475</v>
      </c>
      <c r="W36" s="2456"/>
    </row>
    <row r="37" spans="2:30" ht="14.25" thickBot="1" x14ac:dyDescent="0.3">
      <c r="B37" s="2455"/>
      <c r="C37" s="2450"/>
      <c r="D37" s="2466" t="s">
        <v>4027</v>
      </c>
      <c r="E37" s="2467" t="s">
        <v>4028</v>
      </c>
      <c r="F37" s="2468">
        <f>SUM(F38:F39)</f>
        <v>54547.561874999999</v>
      </c>
      <c r="G37" s="2468">
        <f t="shared" si="5"/>
        <v>54547.561874999999</v>
      </c>
      <c r="H37" s="2468">
        <f t="shared" si="5"/>
        <v>54547.561874999999</v>
      </c>
      <c r="I37" s="2468">
        <f t="shared" si="5"/>
        <v>54547.561874999999</v>
      </c>
      <c r="J37" s="2468">
        <f t="shared" si="5"/>
        <v>54547.561874999999</v>
      </c>
      <c r="K37" s="2468">
        <f t="shared" si="5"/>
        <v>54547.561874999999</v>
      </c>
      <c r="L37" s="2468">
        <f t="shared" si="5"/>
        <v>54547.561874999999</v>
      </c>
      <c r="M37" s="2468">
        <f t="shared" si="5"/>
        <v>54547.561874999999</v>
      </c>
      <c r="N37" s="2468">
        <f t="shared" si="5"/>
        <v>54547.561874999999</v>
      </c>
      <c r="O37" s="2468">
        <f t="shared" si="5"/>
        <v>54547.561874999999</v>
      </c>
      <c r="P37" s="2468">
        <f t="shared" si="5"/>
        <v>54547.561874999999</v>
      </c>
      <c r="Q37" s="2468">
        <f t="shared" si="5"/>
        <v>54547.561874999999</v>
      </c>
      <c r="R37" s="2468">
        <f t="shared" si="5"/>
        <v>54547.561874999999</v>
      </c>
      <c r="S37" s="2468">
        <f t="shared" si="5"/>
        <v>54547.561874999999</v>
      </c>
      <c r="T37" s="2468">
        <f t="shared" si="5"/>
        <v>54547.561874999999</v>
      </c>
      <c r="U37" s="2468">
        <f t="shared" si="5"/>
        <v>54547.561874999999</v>
      </c>
      <c r="V37" s="2468">
        <f t="shared" si="5"/>
        <v>54547.561874999999</v>
      </c>
      <c r="W37" s="2456"/>
    </row>
    <row r="38" spans="2:30" ht="14.25" thickBot="1" x14ac:dyDescent="0.3">
      <c r="B38" s="2455"/>
      <c r="C38" s="2449">
        <v>0.05</v>
      </c>
      <c r="D38" s="2474"/>
      <c r="E38" s="2474" t="s">
        <v>4029</v>
      </c>
      <c r="F38" s="1787">
        <f>L$21*C38</f>
        <v>10909.512375</v>
      </c>
      <c r="G38" s="1787">
        <f>F38</f>
        <v>10909.512375</v>
      </c>
      <c r="H38" s="1787">
        <f t="shared" si="5"/>
        <v>10909.512375</v>
      </c>
      <c r="I38" s="1787">
        <f t="shared" si="5"/>
        <v>10909.512375</v>
      </c>
      <c r="J38" s="1787">
        <f t="shared" si="5"/>
        <v>10909.512375</v>
      </c>
      <c r="K38" s="1787">
        <f t="shared" si="5"/>
        <v>10909.512375</v>
      </c>
      <c r="L38" s="1787">
        <f t="shared" si="5"/>
        <v>10909.512375</v>
      </c>
      <c r="M38" s="1787">
        <f t="shared" si="5"/>
        <v>10909.512375</v>
      </c>
      <c r="N38" s="1787">
        <f t="shared" si="5"/>
        <v>10909.512375</v>
      </c>
      <c r="O38" s="1787">
        <f t="shared" si="5"/>
        <v>10909.512375</v>
      </c>
      <c r="P38" s="1787">
        <f t="shared" si="5"/>
        <v>10909.512375</v>
      </c>
      <c r="Q38" s="1787">
        <f t="shared" si="5"/>
        <v>10909.512375</v>
      </c>
      <c r="R38" s="1787">
        <f t="shared" si="5"/>
        <v>10909.512375</v>
      </c>
      <c r="S38" s="1787">
        <f t="shared" si="5"/>
        <v>10909.512375</v>
      </c>
      <c r="T38" s="1787">
        <f t="shared" si="5"/>
        <v>10909.512375</v>
      </c>
      <c r="U38" s="1787">
        <f t="shared" si="5"/>
        <v>10909.512375</v>
      </c>
      <c r="V38" s="1787">
        <f t="shared" si="5"/>
        <v>10909.512375</v>
      </c>
      <c r="W38" s="2456"/>
    </row>
    <row r="39" spans="2:30" ht="14.25" thickBot="1" x14ac:dyDescent="0.3">
      <c r="B39" s="2455"/>
      <c r="C39" s="2449">
        <v>0.2</v>
      </c>
      <c r="D39" s="2474"/>
      <c r="E39" s="2474" t="s">
        <v>4030</v>
      </c>
      <c r="F39" s="1787">
        <f>L$21*C39</f>
        <v>43638.049500000001</v>
      </c>
      <c r="G39" s="1787">
        <f>F39</f>
        <v>43638.049500000001</v>
      </c>
      <c r="H39" s="1787">
        <f t="shared" si="5"/>
        <v>43638.049500000001</v>
      </c>
      <c r="I39" s="1787">
        <f t="shared" si="5"/>
        <v>43638.049500000001</v>
      </c>
      <c r="J39" s="1787">
        <f t="shared" si="5"/>
        <v>43638.049500000001</v>
      </c>
      <c r="K39" s="1787">
        <f t="shared" si="5"/>
        <v>43638.049500000001</v>
      </c>
      <c r="L39" s="1787">
        <f t="shared" si="5"/>
        <v>43638.049500000001</v>
      </c>
      <c r="M39" s="1787">
        <f t="shared" si="5"/>
        <v>43638.049500000001</v>
      </c>
      <c r="N39" s="1787">
        <f t="shared" si="5"/>
        <v>43638.049500000001</v>
      </c>
      <c r="O39" s="1787">
        <f t="shared" si="5"/>
        <v>43638.049500000001</v>
      </c>
      <c r="P39" s="1787">
        <f t="shared" si="5"/>
        <v>43638.049500000001</v>
      </c>
      <c r="Q39" s="1787">
        <f t="shared" si="5"/>
        <v>43638.049500000001</v>
      </c>
      <c r="R39" s="1787">
        <f t="shared" si="5"/>
        <v>43638.049500000001</v>
      </c>
      <c r="S39" s="1787">
        <f t="shared" si="5"/>
        <v>43638.049500000001</v>
      </c>
      <c r="T39" s="1787">
        <f t="shared" si="5"/>
        <v>43638.049500000001</v>
      </c>
      <c r="U39" s="1787">
        <f t="shared" si="5"/>
        <v>43638.049500000001</v>
      </c>
      <c r="V39" s="1787">
        <f t="shared" si="5"/>
        <v>43638.049500000001</v>
      </c>
      <c r="W39" s="2456"/>
    </row>
    <row r="40" spans="2:30" ht="14.25" thickBot="1" x14ac:dyDescent="0.3">
      <c r="B40" s="2455"/>
      <c r="C40" s="2449"/>
      <c r="D40" s="2466"/>
      <c r="E40" s="2465" t="s">
        <v>0</v>
      </c>
      <c r="F40" s="2468">
        <f t="shared" ref="F40:T40" si="6">F31+F37+F28</f>
        <v>1569155.0875000001</v>
      </c>
      <c r="G40" s="2475">
        <f t="shared" si="6"/>
        <v>1569155.0875000001</v>
      </c>
      <c r="H40" s="2475">
        <f t="shared" si="6"/>
        <v>1569155.0875000001</v>
      </c>
      <c r="I40" s="2475">
        <f t="shared" si="6"/>
        <v>1569155.0875000001</v>
      </c>
      <c r="J40" s="2475">
        <f t="shared" si="6"/>
        <v>1569155.0875000001</v>
      </c>
      <c r="K40" s="2475">
        <f t="shared" si="6"/>
        <v>1569155.0875000001</v>
      </c>
      <c r="L40" s="2475">
        <f t="shared" si="6"/>
        <v>1569155.0875000001</v>
      </c>
      <c r="M40" s="2475">
        <f t="shared" si="6"/>
        <v>1569155.0875000001</v>
      </c>
      <c r="N40" s="2475">
        <f t="shared" si="6"/>
        <v>1569155.0875000001</v>
      </c>
      <c r="O40" s="2475">
        <f t="shared" si="6"/>
        <v>1569155.0875000001</v>
      </c>
      <c r="P40" s="2475">
        <f t="shared" si="6"/>
        <v>1569155.0875000001</v>
      </c>
      <c r="Q40" s="2475">
        <f t="shared" si="6"/>
        <v>1569155.0875000001</v>
      </c>
      <c r="R40" s="2475">
        <f t="shared" si="6"/>
        <v>1569155.0875000001</v>
      </c>
      <c r="S40" s="2475">
        <f t="shared" si="6"/>
        <v>1569155.0875000001</v>
      </c>
      <c r="T40" s="2475">
        <f t="shared" si="6"/>
        <v>1569155.0875000001</v>
      </c>
      <c r="U40" s="2475">
        <f>U31+U37+U28</f>
        <v>1569155.0875000001</v>
      </c>
      <c r="V40" s="2475">
        <f>V31+V37+V28</f>
        <v>1569155.0875000001</v>
      </c>
      <c r="W40" s="2456"/>
    </row>
    <row r="41" spans="2:30" x14ac:dyDescent="0.25">
      <c r="B41" s="2455"/>
      <c r="C41" s="598"/>
      <c r="D41" s="598"/>
      <c r="E41" s="598"/>
      <c r="F41" s="598"/>
      <c r="G41" s="598"/>
      <c r="H41" s="598"/>
      <c r="I41" s="598"/>
      <c r="J41" s="598"/>
      <c r="K41" s="598"/>
      <c r="L41" s="598"/>
      <c r="M41" s="598"/>
      <c r="N41" s="598"/>
      <c r="O41" s="598"/>
      <c r="P41" s="598"/>
      <c r="Q41" s="598"/>
      <c r="R41" s="598"/>
      <c r="S41" s="598"/>
      <c r="T41" s="598"/>
      <c r="U41" s="598"/>
      <c r="V41" s="598"/>
      <c r="W41" s="2456"/>
    </row>
    <row r="42" spans="2:30" ht="14.25" thickBot="1" x14ac:dyDescent="0.3">
      <c r="B42" s="2455"/>
      <c r="C42" s="598"/>
      <c r="D42" s="598"/>
      <c r="E42" s="598"/>
      <c r="F42" s="598"/>
      <c r="G42" s="598"/>
      <c r="H42" s="598"/>
      <c r="I42" s="598"/>
      <c r="J42" s="598"/>
      <c r="K42" s="598"/>
      <c r="L42" s="598"/>
      <c r="M42" s="598"/>
      <c r="N42" s="598"/>
      <c r="O42" s="598"/>
      <c r="P42" s="598"/>
      <c r="Q42" s="598"/>
      <c r="R42" s="598"/>
      <c r="S42" s="598"/>
      <c r="T42" s="598"/>
      <c r="U42" s="598"/>
      <c r="V42" s="598"/>
      <c r="W42" s="2456"/>
    </row>
    <row r="43" spans="2:30" ht="14.25" thickBot="1" x14ac:dyDescent="0.3">
      <c r="B43" s="2455"/>
      <c r="C43" s="598"/>
      <c r="D43" s="2451"/>
      <c r="E43" s="598"/>
      <c r="F43" s="4885" t="s">
        <v>4031</v>
      </c>
      <c r="G43" s="4886"/>
      <c r="H43" s="598"/>
      <c r="I43" s="598"/>
      <c r="J43" s="598"/>
      <c r="K43" s="598"/>
      <c r="L43" s="598"/>
      <c r="M43" s="598"/>
      <c r="N43" s="598"/>
      <c r="O43" s="598"/>
      <c r="P43" s="598"/>
      <c r="Q43" s="598"/>
      <c r="R43" s="598"/>
      <c r="S43" s="598"/>
      <c r="T43" s="598"/>
      <c r="U43" s="598"/>
      <c r="V43" s="598"/>
      <c r="W43" s="2456"/>
    </row>
    <row r="44" spans="2:30" ht="14.25" thickBot="1" x14ac:dyDescent="0.3">
      <c r="B44" s="2455"/>
      <c r="C44" s="598"/>
      <c r="D44" s="598"/>
      <c r="E44" s="598"/>
      <c r="F44" s="2474" t="s">
        <v>4032</v>
      </c>
      <c r="G44" s="2474">
        <f>1/1.08</f>
        <v>0.92592592592592582</v>
      </c>
      <c r="H44" s="598"/>
      <c r="I44" s="598"/>
      <c r="J44" s="598"/>
      <c r="K44" s="598"/>
      <c r="L44" s="598"/>
      <c r="M44" s="598"/>
      <c r="N44" s="598"/>
      <c r="O44" s="598"/>
      <c r="P44" s="598"/>
      <c r="Q44" s="598"/>
      <c r="R44" s="598"/>
      <c r="S44" s="598"/>
      <c r="T44" s="598"/>
      <c r="U44" s="598"/>
      <c r="V44" s="598"/>
      <c r="W44" s="2456"/>
    </row>
    <row r="45" spans="2:30" ht="14.25" thickBot="1" x14ac:dyDescent="0.3">
      <c r="B45" s="2455"/>
      <c r="C45" s="598"/>
      <c r="D45" s="598"/>
      <c r="E45" s="598"/>
      <c r="F45" s="2474" t="s">
        <v>4033</v>
      </c>
      <c r="G45" s="2474">
        <f>1/1.18</f>
        <v>0.84745762711864414</v>
      </c>
      <c r="H45" s="598"/>
      <c r="I45" s="598"/>
      <c r="J45" s="598"/>
      <c r="K45" s="598"/>
      <c r="L45" s="598"/>
      <c r="M45" s="598"/>
      <c r="N45" s="598"/>
      <c r="O45" s="598"/>
      <c r="P45" s="598"/>
      <c r="Q45" s="598"/>
      <c r="R45" s="598"/>
      <c r="S45" s="598"/>
      <c r="T45" s="598"/>
      <c r="U45" s="598"/>
      <c r="V45" s="598"/>
      <c r="W45" s="2456"/>
    </row>
    <row r="46" spans="2:30" x14ac:dyDescent="0.25">
      <c r="B46" s="2455"/>
      <c r="C46" s="598"/>
      <c r="D46" s="598"/>
      <c r="E46" s="598"/>
      <c r="F46" s="598" t="s">
        <v>4188</v>
      </c>
      <c r="G46" s="598"/>
      <c r="H46" s="598"/>
      <c r="I46" s="598"/>
      <c r="J46" s="598"/>
      <c r="K46" s="598"/>
      <c r="L46" s="598"/>
      <c r="M46" s="598"/>
      <c r="N46" s="598"/>
      <c r="O46" s="598"/>
      <c r="P46" s="598"/>
      <c r="Q46" s="598"/>
      <c r="R46" s="598"/>
      <c r="S46" s="598"/>
      <c r="T46" s="598"/>
      <c r="U46" s="598"/>
      <c r="V46" s="598"/>
      <c r="W46" s="2456"/>
    </row>
    <row r="47" spans="2:30" x14ac:dyDescent="0.25">
      <c r="B47" s="2455"/>
      <c r="C47" s="598"/>
      <c r="D47" s="598"/>
      <c r="E47" s="598"/>
      <c r="F47" s="598"/>
      <c r="G47" s="598"/>
      <c r="H47" s="598"/>
      <c r="I47" s="598"/>
      <c r="J47" s="598"/>
      <c r="K47" s="598"/>
      <c r="L47" s="598"/>
      <c r="M47" s="598"/>
      <c r="N47" s="598"/>
      <c r="O47" s="598"/>
      <c r="P47" s="598"/>
      <c r="Q47" s="598"/>
      <c r="R47" s="598"/>
      <c r="S47" s="598"/>
      <c r="T47" s="598"/>
      <c r="U47" s="598"/>
      <c r="V47" s="598"/>
      <c r="W47" s="2456"/>
    </row>
    <row r="48" spans="2:30" x14ac:dyDescent="0.25">
      <c r="B48" s="2455"/>
      <c r="C48" s="598"/>
      <c r="D48" s="598"/>
      <c r="E48" s="598"/>
      <c r="F48" s="598"/>
      <c r="G48" s="598"/>
      <c r="H48" s="598"/>
      <c r="I48" s="598"/>
      <c r="J48" s="598"/>
      <c r="K48" s="598"/>
      <c r="L48" s="598"/>
      <c r="M48" s="598"/>
      <c r="N48" s="598"/>
      <c r="O48" s="598"/>
      <c r="P48" s="598"/>
      <c r="Q48" s="598"/>
      <c r="R48" s="598"/>
      <c r="S48" s="598"/>
      <c r="T48" s="598"/>
      <c r="U48" s="598"/>
      <c r="V48" s="598"/>
      <c r="W48" s="2456"/>
    </row>
    <row r="49" spans="2:23" x14ac:dyDescent="0.25">
      <c r="B49" s="2455"/>
      <c r="C49" s="598"/>
      <c r="D49" s="598"/>
      <c r="E49" s="598"/>
      <c r="F49" s="598"/>
      <c r="G49" s="598"/>
      <c r="H49" s="598"/>
      <c r="I49" s="598"/>
      <c r="J49" s="598"/>
      <c r="K49" s="598"/>
      <c r="L49" s="598"/>
      <c r="M49" s="598"/>
      <c r="N49" s="598"/>
      <c r="O49" s="598"/>
      <c r="P49" s="598"/>
      <c r="Q49" s="598"/>
      <c r="R49" s="598"/>
      <c r="S49" s="598"/>
      <c r="T49" s="598"/>
      <c r="U49" s="598"/>
      <c r="V49" s="598"/>
      <c r="W49" s="2456"/>
    </row>
    <row r="50" spans="2:23" ht="14.25" thickBot="1" x14ac:dyDescent="0.3">
      <c r="B50" s="2455"/>
      <c r="C50" s="598"/>
      <c r="D50" s="4887" t="s">
        <v>4034</v>
      </c>
      <c r="E50" s="4888"/>
      <c r="F50" s="4888"/>
      <c r="G50" s="4888"/>
      <c r="H50" s="4888"/>
      <c r="I50" s="4888"/>
      <c r="J50" s="4888"/>
      <c r="K50" s="4888"/>
      <c r="L50" s="4888"/>
      <c r="M50" s="4888"/>
      <c r="N50" s="4888"/>
      <c r="O50" s="4888"/>
      <c r="P50" s="4888"/>
      <c r="Q50" s="4888"/>
      <c r="R50" s="4888"/>
      <c r="S50" s="4888"/>
      <c r="T50" s="4888"/>
      <c r="U50" s="4888"/>
      <c r="V50" s="4888"/>
      <c r="W50" s="2456"/>
    </row>
    <row r="51" spans="2:23" ht="14.25" thickBot="1" x14ac:dyDescent="0.3">
      <c r="B51" s="2455"/>
      <c r="C51" s="598"/>
      <c r="D51" s="4274" t="s">
        <v>3723</v>
      </c>
      <c r="E51" s="4889" t="s">
        <v>1898</v>
      </c>
      <c r="F51" s="1743">
        <v>0</v>
      </c>
      <c r="G51" s="1740">
        <v>0</v>
      </c>
      <c r="H51" s="1740">
        <v>1</v>
      </c>
      <c r="I51" s="1740">
        <f t="shared" ref="I51:T52" si="7">H51+1</f>
        <v>2</v>
      </c>
      <c r="J51" s="1740">
        <f t="shared" si="7"/>
        <v>3</v>
      </c>
      <c r="K51" s="1740">
        <f t="shared" si="7"/>
        <v>4</v>
      </c>
      <c r="L51" s="1740">
        <f t="shared" si="7"/>
        <v>5</v>
      </c>
      <c r="M51" s="1740">
        <f t="shared" si="7"/>
        <v>6</v>
      </c>
      <c r="N51" s="1740">
        <f t="shared" si="7"/>
        <v>7</v>
      </c>
      <c r="O51" s="1740">
        <f t="shared" si="7"/>
        <v>8</v>
      </c>
      <c r="P51" s="1740">
        <f t="shared" si="7"/>
        <v>9</v>
      </c>
      <c r="Q51" s="1740">
        <f t="shared" si="7"/>
        <v>10</v>
      </c>
      <c r="R51" s="1740">
        <f t="shared" si="7"/>
        <v>11</v>
      </c>
      <c r="S51" s="1740">
        <f t="shared" si="7"/>
        <v>12</v>
      </c>
      <c r="T51" s="1740">
        <f t="shared" si="7"/>
        <v>13</v>
      </c>
      <c r="U51" s="1740">
        <f>T51+1</f>
        <v>14</v>
      </c>
      <c r="V51" s="1742">
        <f>U51+1</f>
        <v>15</v>
      </c>
      <c r="W51" s="2456"/>
    </row>
    <row r="52" spans="2:23" ht="15.75" customHeight="1" thickBot="1" x14ac:dyDescent="0.3">
      <c r="B52" s="2455"/>
      <c r="C52" s="598"/>
      <c r="D52" s="4276"/>
      <c r="E52" s="4890"/>
      <c r="F52" s="1745">
        <v>2018</v>
      </c>
      <c r="G52" s="1745">
        <f>F52+1</f>
        <v>2019</v>
      </c>
      <c r="H52" s="1741">
        <f>G52+1</f>
        <v>2020</v>
      </c>
      <c r="I52" s="1741">
        <f t="shared" si="7"/>
        <v>2021</v>
      </c>
      <c r="J52" s="1741">
        <f t="shared" si="7"/>
        <v>2022</v>
      </c>
      <c r="K52" s="1741">
        <f t="shared" si="7"/>
        <v>2023</v>
      </c>
      <c r="L52" s="1741">
        <f t="shared" si="7"/>
        <v>2024</v>
      </c>
      <c r="M52" s="1741">
        <f t="shared" si="7"/>
        <v>2025</v>
      </c>
      <c r="N52" s="1741">
        <f t="shared" si="7"/>
        <v>2026</v>
      </c>
      <c r="O52" s="1741">
        <f t="shared" si="7"/>
        <v>2027</v>
      </c>
      <c r="P52" s="1741">
        <f t="shared" si="7"/>
        <v>2028</v>
      </c>
      <c r="Q52" s="1741">
        <f t="shared" si="7"/>
        <v>2029</v>
      </c>
      <c r="R52" s="1741">
        <f t="shared" si="7"/>
        <v>2030</v>
      </c>
      <c r="S52" s="1741">
        <f t="shared" si="7"/>
        <v>2031</v>
      </c>
      <c r="T52" s="1741">
        <f t="shared" si="7"/>
        <v>2032</v>
      </c>
      <c r="U52" s="1741">
        <f>T52+1</f>
        <v>2033</v>
      </c>
      <c r="V52" s="1746">
        <f>U52+1</f>
        <v>2034</v>
      </c>
      <c r="W52" s="2456"/>
    </row>
    <row r="53" spans="2:23" ht="14.25" thickBot="1" x14ac:dyDescent="0.3">
      <c r="B53" s="2455"/>
      <c r="C53" s="598"/>
      <c r="D53" s="2466" t="s">
        <v>4015</v>
      </c>
      <c r="E53" s="2467" t="s">
        <v>4016</v>
      </c>
      <c r="F53" s="2476">
        <f t="shared" ref="F53:T53" si="8">SUM(F54,F57)</f>
        <v>1389573.6124254551</v>
      </c>
      <c r="G53" s="2476">
        <f t="shared" si="8"/>
        <v>1389573.6124254551</v>
      </c>
      <c r="H53" s="2476">
        <f t="shared" si="8"/>
        <v>1389573.6124254551</v>
      </c>
      <c r="I53" s="2476">
        <f t="shared" si="8"/>
        <v>1389573.6124254551</v>
      </c>
      <c r="J53" s="2476">
        <f t="shared" si="8"/>
        <v>1389573.6124254551</v>
      </c>
      <c r="K53" s="2476">
        <f t="shared" si="8"/>
        <v>1389573.6124254551</v>
      </c>
      <c r="L53" s="2476">
        <f t="shared" si="8"/>
        <v>1389573.6124254551</v>
      </c>
      <c r="M53" s="2476">
        <f t="shared" si="8"/>
        <v>1389573.6124254551</v>
      </c>
      <c r="N53" s="2476">
        <f t="shared" si="8"/>
        <v>1389573.6124254551</v>
      </c>
      <c r="O53" s="2476">
        <f t="shared" si="8"/>
        <v>1389573.6124254551</v>
      </c>
      <c r="P53" s="2476">
        <f t="shared" si="8"/>
        <v>1389573.6124254551</v>
      </c>
      <c r="Q53" s="2476">
        <f t="shared" si="8"/>
        <v>1389573.6124254551</v>
      </c>
      <c r="R53" s="2476">
        <f t="shared" si="8"/>
        <v>1389573.6124254551</v>
      </c>
      <c r="S53" s="2476">
        <f t="shared" si="8"/>
        <v>1389573.6124254551</v>
      </c>
      <c r="T53" s="2476">
        <f t="shared" si="8"/>
        <v>1389573.6124254551</v>
      </c>
      <c r="U53" s="2476">
        <f>SUM(U54,U57)</f>
        <v>1389573.6124254551</v>
      </c>
      <c r="V53" s="2476">
        <f>SUM(V54,V57)</f>
        <v>1389573.6124254551</v>
      </c>
      <c r="W53" s="2456"/>
    </row>
    <row r="54" spans="2:23" ht="14.25" thickBot="1" x14ac:dyDescent="0.3">
      <c r="B54" s="2455"/>
      <c r="C54" s="598"/>
      <c r="D54" s="2469"/>
      <c r="E54" s="2470" t="s">
        <v>4017</v>
      </c>
      <c r="F54" s="2477">
        <f>SUM(F55:F56)</f>
        <v>1250893.3703703703</v>
      </c>
      <c r="G54" s="2477">
        <f t="shared" ref="G54:T54" si="9">SUM(G55:G56)</f>
        <v>1250893.3703703703</v>
      </c>
      <c r="H54" s="2477">
        <f t="shared" si="9"/>
        <v>1250893.3703703703</v>
      </c>
      <c r="I54" s="2477">
        <f t="shared" si="9"/>
        <v>1250893.3703703703</v>
      </c>
      <c r="J54" s="2477">
        <f t="shared" si="9"/>
        <v>1250893.3703703703</v>
      </c>
      <c r="K54" s="2477">
        <f t="shared" si="9"/>
        <v>1250893.3703703703</v>
      </c>
      <c r="L54" s="2477">
        <f t="shared" si="9"/>
        <v>1250893.3703703703</v>
      </c>
      <c r="M54" s="2477">
        <f t="shared" si="9"/>
        <v>1250893.3703703703</v>
      </c>
      <c r="N54" s="2477">
        <f t="shared" si="9"/>
        <v>1250893.3703703703</v>
      </c>
      <c r="O54" s="2477">
        <f t="shared" si="9"/>
        <v>1250893.3703703703</v>
      </c>
      <c r="P54" s="2477">
        <f t="shared" si="9"/>
        <v>1250893.3703703703</v>
      </c>
      <c r="Q54" s="2477">
        <f t="shared" si="9"/>
        <v>1250893.3703703703</v>
      </c>
      <c r="R54" s="2477">
        <f t="shared" si="9"/>
        <v>1250893.3703703703</v>
      </c>
      <c r="S54" s="2477">
        <f t="shared" si="9"/>
        <v>1250893.3703703703</v>
      </c>
      <c r="T54" s="2477">
        <f t="shared" si="9"/>
        <v>1250893.3703703703</v>
      </c>
      <c r="U54" s="2477">
        <f>SUM(U55:U56)</f>
        <v>1250893.3703703703</v>
      </c>
      <c r="V54" s="2477">
        <f>SUM(V55:V56)</f>
        <v>1250893.3703703703</v>
      </c>
      <c r="W54" s="2456"/>
    </row>
    <row r="55" spans="2:23" ht="14.25" thickBot="1" x14ac:dyDescent="0.3">
      <c r="B55" s="2455"/>
      <c r="C55" s="598"/>
      <c r="D55" s="2469"/>
      <c r="E55" s="2472" t="s">
        <v>4018</v>
      </c>
      <c r="F55" s="2473">
        <f>F29*G44</f>
        <v>1163474.2962962962</v>
      </c>
      <c r="G55" s="2478">
        <f t="shared" ref="G55:G65" si="10">F55</f>
        <v>1163474.2962962962</v>
      </c>
      <c r="H55" s="2478">
        <f t="shared" ref="H55:U65" si="11">G55</f>
        <v>1163474.2962962962</v>
      </c>
      <c r="I55" s="2478">
        <f t="shared" si="11"/>
        <v>1163474.2962962962</v>
      </c>
      <c r="J55" s="2478">
        <f t="shared" si="11"/>
        <v>1163474.2962962962</v>
      </c>
      <c r="K55" s="2478">
        <f t="shared" si="11"/>
        <v>1163474.2962962962</v>
      </c>
      <c r="L55" s="2478">
        <f t="shared" si="11"/>
        <v>1163474.2962962962</v>
      </c>
      <c r="M55" s="2478">
        <f t="shared" si="11"/>
        <v>1163474.2962962962</v>
      </c>
      <c r="N55" s="2478">
        <f t="shared" si="11"/>
        <v>1163474.2962962962</v>
      </c>
      <c r="O55" s="2478">
        <f t="shared" si="11"/>
        <v>1163474.2962962962</v>
      </c>
      <c r="P55" s="2478">
        <f t="shared" si="11"/>
        <v>1163474.2962962962</v>
      </c>
      <c r="Q55" s="2478">
        <f t="shared" si="11"/>
        <v>1163474.2962962962</v>
      </c>
      <c r="R55" s="2478">
        <f t="shared" si="11"/>
        <v>1163474.2962962962</v>
      </c>
      <c r="S55" s="2478">
        <f t="shared" si="11"/>
        <v>1163474.2962962962</v>
      </c>
      <c r="T55" s="2478">
        <f t="shared" si="11"/>
        <v>1163474.2962962962</v>
      </c>
      <c r="U55" s="2478">
        <f t="shared" si="11"/>
        <v>1163474.2962962962</v>
      </c>
      <c r="V55" s="2478">
        <f t="shared" ref="U55:V65" si="12">U55</f>
        <v>1163474.2962962962</v>
      </c>
      <c r="W55" s="2456"/>
    </row>
    <row r="56" spans="2:23" ht="14.25" thickBot="1" x14ac:dyDescent="0.3">
      <c r="B56" s="2455"/>
      <c r="C56" s="598"/>
      <c r="D56" s="2469"/>
      <c r="E56" s="2472" t="s">
        <v>4019</v>
      </c>
      <c r="F56" s="2473">
        <f>F30*G44</f>
        <v>87419.074074074073</v>
      </c>
      <c r="G56" s="2478">
        <f t="shared" si="10"/>
        <v>87419.074074074073</v>
      </c>
      <c r="H56" s="2478">
        <f t="shared" si="11"/>
        <v>87419.074074074073</v>
      </c>
      <c r="I56" s="2478">
        <f t="shared" si="11"/>
        <v>87419.074074074073</v>
      </c>
      <c r="J56" s="2478">
        <f t="shared" si="11"/>
        <v>87419.074074074073</v>
      </c>
      <c r="K56" s="2478">
        <f t="shared" si="11"/>
        <v>87419.074074074073</v>
      </c>
      <c r="L56" s="2478">
        <f t="shared" si="11"/>
        <v>87419.074074074073</v>
      </c>
      <c r="M56" s="2478">
        <f t="shared" si="11"/>
        <v>87419.074074074073</v>
      </c>
      <c r="N56" s="2478">
        <f t="shared" si="11"/>
        <v>87419.074074074073</v>
      </c>
      <c r="O56" s="2478">
        <f t="shared" si="11"/>
        <v>87419.074074074073</v>
      </c>
      <c r="P56" s="2478">
        <f t="shared" si="11"/>
        <v>87419.074074074073</v>
      </c>
      <c r="Q56" s="2478">
        <f t="shared" si="11"/>
        <v>87419.074074074073</v>
      </c>
      <c r="R56" s="2478">
        <f t="shared" si="11"/>
        <v>87419.074074074073</v>
      </c>
      <c r="S56" s="2478">
        <f t="shared" si="11"/>
        <v>87419.074074074073</v>
      </c>
      <c r="T56" s="2478">
        <f t="shared" si="11"/>
        <v>87419.074074074073</v>
      </c>
      <c r="U56" s="2478">
        <f t="shared" si="12"/>
        <v>87419.074074074073</v>
      </c>
      <c r="V56" s="2478">
        <f t="shared" si="12"/>
        <v>87419.074074074073</v>
      </c>
      <c r="W56" s="2456"/>
    </row>
    <row r="57" spans="2:23" ht="14.25" thickBot="1" x14ac:dyDescent="0.3">
      <c r="B57" s="2455"/>
      <c r="C57" s="598"/>
      <c r="D57" s="2469"/>
      <c r="E57" s="2470" t="s">
        <v>4020</v>
      </c>
      <c r="F57" s="2471">
        <f>SUM(F58:F62)</f>
        <v>138680.24205508476</v>
      </c>
      <c r="G57" s="2477">
        <f t="shared" si="10"/>
        <v>138680.24205508476</v>
      </c>
      <c r="H57" s="2477">
        <f t="shared" si="11"/>
        <v>138680.24205508476</v>
      </c>
      <c r="I57" s="2477">
        <f t="shared" si="11"/>
        <v>138680.24205508476</v>
      </c>
      <c r="J57" s="2477">
        <f t="shared" si="11"/>
        <v>138680.24205508476</v>
      </c>
      <c r="K57" s="2477">
        <f t="shared" si="11"/>
        <v>138680.24205508476</v>
      </c>
      <c r="L57" s="2477">
        <f t="shared" si="11"/>
        <v>138680.24205508476</v>
      </c>
      <c r="M57" s="2477">
        <f t="shared" si="11"/>
        <v>138680.24205508476</v>
      </c>
      <c r="N57" s="2477">
        <f t="shared" si="11"/>
        <v>138680.24205508476</v>
      </c>
      <c r="O57" s="2477">
        <f t="shared" si="11"/>
        <v>138680.24205508476</v>
      </c>
      <c r="P57" s="2477">
        <f t="shared" si="11"/>
        <v>138680.24205508476</v>
      </c>
      <c r="Q57" s="2477">
        <f t="shared" si="11"/>
        <v>138680.24205508476</v>
      </c>
      <c r="R57" s="2477">
        <f t="shared" si="11"/>
        <v>138680.24205508476</v>
      </c>
      <c r="S57" s="2477">
        <f t="shared" si="11"/>
        <v>138680.24205508476</v>
      </c>
      <c r="T57" s="2477">
        <f t="shared" si="11"/>
        <v>138680.24205508476</v>
      </c>
      <c r="U57" s="2477">
        <f t="shared" si="12"/>
        <v>138680.24205508476</v>
      </c>
      <c r="V57" s="2477">
        <f t="shared" si="12"/>
        <v>138680.24205508476</v>
      </c>
      <c r="W57" s="2456"/>
    </row>
    <row r="58" spans="2:23" ht="14.25" thickBot="1" x14ac:dyDescent="0.3">
      <c r="B58" s="2455"/>
      <c r="C58" s="598"/>
      <c r="D58" s="2474"/>
      <c r="E58" s="2474" t="s">
        <v>4021</v>
      </c>
      <c r="F58" s="1787">
        <f>F32*$G$45</f>
        <v>36981.397881355937</v>
      </c>
      <c r="G58" s="1786">
        <f t="shared" si="10"/>
        <v>36981.397881355937</v>
      </c>
      <c r="H58" s="1786">
        <f t="shared" si="11"/>
        <v>36981.397881355937</v>
      </c>
      <c r="I58" s="1786">
        <f t="shared" si="11"/>
        <v>36981.397881355937</v>
      </c>
      <c r="J58" s="1786">
        <f t="shared" si="11"/>
        <v>36981.397881355937</v>
      </c>
      <c r="K58" s="1786">
        <f t="shared" si="11"/>
        <v>36981.397881355937</v>
      </c>
      <c r="L58" s="1786">
        <f t="shared" si="11"/>
        <v>36981.397881355937</v>
      </c>
      <c r="M58" s="1786">
        <f t="shared" si="11"/>
        <v>36981.397881355937</v>
      </c>
      <c r="N58" s="1786">
        <f t="shared" si="11"/>
        <v>36981.397881355937</v>
      </c>
      <c r="O58" s="1786">
        <f t="shared" si="11"/>
        <v>36981.397881355937</v>
      </c>
      <c r="P58" s="1786">
        <f t="shared" si="11"/>
        <v>36981.397881355937</v>
      </c>
      <c r="Q58" s="1786">
        <f t="shared" si="11"/>
        <v>36981.397881355937</v>
      </c>
      <c r="R58" s="1786">
        <f t="shared" si="11"/>
        <v>36981.397881355937</v>
      </c>
      <c r="S58" s="1786">
        <f t="shared" si="11"/>
        <v>36981.397881355937</v>
      </c>
      <c r="T58" s="1786">
        <f t="shared" si="11"/>
        <v>36981.397881355937</v>
      </c>
      <c r="U58" s="1786">
        <f t="shared" si="12"/>
        <v>36981.397881355937</v>
      </c>
      <c r="V58" s="1786">
        <f t="shared" si="12"/>
        <v>36981.397881355937</v>
      </c>
      <c r="W58" s="2456"/>
    </row>
    <row r="59" spans="2:23" ht="14.25" thickBot="1" x14ac:dyDescent="0.3">
      <c r="B59" s="2455"/>
      <c r="C59" s="598"/>
      <c r="D59" s="2474"/>
      <c r="E59" s="2474" t="s">
        <v>4022</v>
      </c>
      <c r="F59" s="1787">
        <f t="shared" ref="F59:F62" si="13">F33*$G$45</f>
        <v>18490.698940677968</v>
      </c>
      <c r="G59" s="1786">
        <f t="shared" si="10"/>
        <v>18490.698940677968</v>
      </c>
      <c r="H59" s="1786">
        <f t="shared" si="11"/>
        <v>18490.698940677968</v>
      </c>
      <c r="I59" s="1786">
        <f t="shared" si="11"/>
        <v>18490.698940677968</v>
      </c>
      <c r="J59" s="1786">
        <f t="shared" si="11"/>
        <v>18490.698940677968</v>
      </c>
      <c r="K59" s="1786">
        <f t="shared" si="11"/>
        <v>18490.698940677968</v>
      </c>
      <c r="L59" s="1786">
        <f t="shared" si="11"/>
        <v>18490.698940677968</v>
      </c>
      <c r="M59" s="1786">
        <f t="shared" si="11"/>
        <v>18490.698940677968</v>
      </c>
      <c r="N59" s="1786">
        <f t="shared" si="11"/>
        <v>18490.698940677968</v>
      </c>
      <c r="O59" s="1786">
        <f t="shared" si="11"/>
        <v>18490.698940677968</v>
      </c>
      <c r="P59" s="1786">
        <f t="shared" si="11"/>
        <v>18490.698940677968</v>
      </c>
      <c r="Q59" s="1786">
        <f t="shared" si="11"/>
        <v>18490.698940677968</v>
      </c>
      <c r="R59" s="1786">
        <f t="shared" si="11"/>
        <v>18490.698940677968</v>
      </c>
      <c r="S59" s="1786">
        <f t="shared" si="11"/>
        <v>18490.698940677968</v>
      </c>
      <c r="T59" s="1786">
        <f t="shared" si="11"/>
        <v>18490.698940677968</v>
      </c>
      <c r="U59" s="1786">
        <f t="shared" si="12"/>
        <v>18490.698940677968</v>
      </c>
      <c r="V59" s="1786">
        <f t="shared" si="12"/>
        <v>18490.698940677968</v>
      </c>
      <c r="W59" s="2456"/>
    </row>
    <row r="60" spans="2:23" ht="14.25" thickBot="1" x14ac:dyDescent="0.3">
      <c r="B60" s="2455"/>
      <c r="C60" s="598"/>
      <c r="D60" s="2474"/>
      <c r="E60" s="2474" t="s">
        <v>4024</v>
      </c>
      <c r="F60" s="1787">
        <f t="shared" si="13"/>
        <v>55472.096822033898</v>
      </c>
      <c r="G60" s="1786">
        <f t="shared" si="10"/>
        <v>55472.096822033898</v>
      </c>
      <c r="H60" s="1786">
        <f t="shared" si="11"/>
        <v>55472.096822033898</v>
      </c>
      <c r="I60" s="1786">
        <f t="shared" si="11"/>
        <v>55472.096822033898</v>
      </c>
      <c r="J60" s="1786">
        <f t="shared" si="11"/>
        <v>55472.096822033898</v>
      </c>
      <c r="K60" s="1786">
        <f t="shared" si="11"/>
        <v>55472.096822033898</v>
      </c>
      <c r="L60" s="1786">
        <f t="shared" si="11"/>
        <v>55472.096822033898</v>
      </c>
      <c r="M60" s="1786">
        <f t="shared" si="11"/>
        <v>55472.096822033898</v>
      </c>
      <c r="N60" s="1786">
        <f t="shared" si="11"/>
        <v>55472.096822033898</v>
      </c>
      <c r="O60" s="1786">
        <f t="shared" si="11"/>
        <v>55472.096822033898</v>
      </c>
      <c r="P60" s="1786">
        <f t="shared" si="11"/>
        <v>55472.096822033898</v>
      </c>
      <c r="Q60" s="1786">
        <f t="shared" si="11"/>
        <v>55472.096822033898</v>
      </c>
      <c r="R60" s="1786">
        <f t="shared" si="11"/>
        <v>55472.096822033898</v>
      </c>
      <c r="S60" s="1786">
        <f t="shared" si="11"/>
        <v>55472.096822033898</v>
      </c>
      <c r="T60" s="1786">
        <f t="shared" si="11"/>
        <v>55472.096822033898</v>
      </c>
      <c r="U60" s="1786">
        <f t="shared" si="12"/>
        <v>55472.096822033898</v>
      </c>
      <c r="V60" s="1786">
        <f t="shared" si="12"/>
        <v>55472.096822033898</v>
      </c>
      <c r="W60" s="2456"/>
    </row>
    <row r="61" spans="2:23" ht="14.25" thickBot="1" x14ac:dyDescent="0.3">
      <c r="B61" s="2455"/>
      <c r="C61" s="598"/>
      <c r="D61" s="2474"/>
      <c r="E61" s="2474" t="s">
        <v>4025</v>
      </c>
      <c r="F61" s="1787">
        <f t="shared" si="13"/>
        <v>9245.3494703389842</v>
      </c>
      <c r="G61" s="1786">
        <f t="shared" si="10"/>
        <v>9245.3494703389842</v>
      </c>
      <c r="H61" s="1786">
        <f t="shared" si="11"/>
        <v>9245.3494703389842</v>
      </c>
      <c r="I61" s="1786">
        <f t="shared" si="11"/>
        <v>9245.3494703389842</v>
      </c>
      <c r="J61" s="1786">
        <f t="shared" si="11"/>
        <v>9245.3494703389842</v>
      </c>
      <c r="K61" s="1786">
        <f t="shared" si="11"/>
        <v>9245.3494703389842</v>
      </c>
      <c r="L61" s="1786">
        <f t="shared" si="11"/>
        <v>9245.3494703389842</v>
      </c>
      <c r="M61" s="1786">
        <f t="shared" si="11"/>
        <v>9245.3494703389842</v>
      </c>
      <c r="N61" s="1786">
        <f t="shared" si="11"/>
        <v>9245.3494703389842</v>
      </c>
      <c r="O61" s="1786">
        <f t="shared" si="11"/>
        <v>9245.3494703389842</v>
      </c>
      <c r="P61" s="1786">
        <f t="shared" si="11"/>
        <v>9245.3494703389842</v>
      </c>
      <c r="Q61" s="1786">
        <f t="shared" si="11"/>
        <v>9245.3494703389842</v>
      </c>
      <c r="R61" s="1786">
        <f t="shared" si="11"/>
        <v>9245.3494703389842</v>
      </c>
      <c r="S61" s="1786">
        <f t="shared" si="11"/>
        <v>9245.3494703389842</v>
      </c>
      <c r="T61" s="1786">
        <f t="shared" si="11"/>
        <v>9245.3494703389842</v>
      </c>
      <c r="U61" s="1786">
        <f t="shared" si="12"/>
        <v>9245.3494703389842</v>
      </c>
      <c r="V61" s="1786">
        <f t="shared" si="12"/>
        <v>9245.3494703389842</v>
      </c>
      <c r="W61" s="2456"/>
    </row>
    <row r="62" spans="2:23" ht="14.25" thickBot="1" x14ac:dyDescent="0.3">
      <c r="B62" s="2455"/>
      <c r="C62" s="598"/>
      <c r="D62" s="2474"/>
      <c r="E62" s="2474" t="s">
        <v>4026</v>
      </c>
      <c r="F62" s="1787">
        <f t="shared" si="13"/>
        <v>18490.698940677968</v>
      </c>
      <c r="G62" s="1786">
        <f t="shared" si="10"/>
        <v>18490.698940677968</v>
      </c>
      <c r="H62" s="1786">
        <f t="shared" si="11"/>
        <v>18490.698940677968</v>
      </c>
      <c r="I62" s="1786">
        <f t="shared" si="11"/>
        <v>18490.698940677968</v>
      </c>
      <c r="J62" s="1786">
        <f t="shared" si="11"/>
        <v>18490.698940677968</v>
      </c>
      <c r="K62" s="1786">
        <f t="shared" si="11"/>
        <v>18490.698940677968</v>
      </c>
      <c r="L62" s="1786">
        <f t="shared" si="11"/>
        <v>18490.698940677968</v>
      </c>
      <c r="M62" s="1786">
        <f t="shared" si="11"/>
        <v>18490.698940677968</v>
      </c>
      <c r="N62" s="1786">
        <f t="shared" si="11"/>
        <v>18490.698940677968</v>
      </c>
      <c r="O62" s="1786">
        <f t="shared" si="11"/>
        <v>18490.698940677968</v>
      </c>
      <c r="P62" s="1786">
        <f t="shared" si="11"/>
        <v>18490.698940677968</v>
      </c>
      <c r="Q62" s="1786">
        <f t="shared" si="11"/>
        <v>18490.698940677968</v>
      </c>
      <c r="R62" s="1786">
        <f t="shared" si="11"/>
        <v>18490.698940677968</v>
      </c>
      <c r="S62" s="1786">
        <f t="shared" si="11"/>
        <v>18490.698940677968</v>
      </c>
      <c r="T62" s="1786">
        <f t="shared" si="11"/>
        <v>18490.698940677968</v>
      </c>
      <c r="U62" s="1786">
        <f t="shared" si="12"/>
        <v>18490.698940677968</v>
      </c>
      <c r="V62" s="1786">
        <f t="shared" si="12"/>
        <v>18490.698940677968</v>
      </c>
      <c r="W62" s="2456"/>
    </row>
    <row r="63" spans="2:23" ht="14.25" thickBot="1" x14ac:dyDescent="0.3">
      <c r="B63" s="2455"/>
      <c r="C63" s="598"/>
      <c r="D63" s="2466" t="s">
        <v>4027</v>
      </c>
      <c r="E63" s="2467" t="s">
        <v>4028</v>
      </c>
      <c r="F63" s="2468">
        <f>SUM(F64:F65)</f>
        <v>46226.747351694925</v>
      </c>
      <c r="G63" s="2476">
        <f t="shared" si="10"/>
        <v>46226.747351694925</v>
      </c>
      <c r="H63" s="2476">
        <f t="shared" si="11"/>
        <v>46226.747351694925</v>
      </c>
      <c r="I63" s="2476">
        <f t="shared" si="11"/>
        <v>46226.747351694925</v>
      </c>
      <c r="J63" s="2476">
        <f t="shared" si="11"/>
        <v>46226.747351694925</v>
      </c>
      <c r="K63" s="2476">
        <f t="shared" si="11"/>
        <v>46226.747351694925</v>
      </c>
      <c r="L63" s="2476">
        <f t="shared" si="11"/>
        <v>46226.747351694925</v>
      </c>
      <c r="M63" s="2476">
        <f t="shared" si="11"/>
        <v>46226.747351694925</v>
      </c>
      <c r="N63" s="2476">
        <f t="shared" si="11"/>
        <v>46226.747351694925</v>
      </c>
      <c r="O63" s="2476">
        <f t="shared" si="11"/>
        <v>46226.747351694925</v>
      </c>
      <c r="P63" s="2476">
        <f t="shared" si="11"/>
        <v>46226.747351694925</v>
      </c>
      <c r="Q63" s="2476">
        <f t="shared" si="11"/>
        <v>46226.747351694925</v>
      </c>
      <c r="R63" s="2476">
        <f t="shared" si="11"/>
        <v>46226.747351694925</v>
      </c>
      <c r="S63" s="2476">
        <f t="shared" si="11"/>
        <v>46226.747351694925</v>
      </c>
      <c r="T63" s="2476">
        <f t="shared" si="11"/>
        <v>46226.747351694925</v>
      </c>
      <c r="U63" s="2476">
        <f t="shared" si="12"/>
        <v>46226.747351694925</v>
      </c>
      <c r="V63" s="2476">
        <f t="shared" si="12"/>
        <v>46226.747351694925</v>
      </c>
      <c r="W63" s="2456"/>
    </row>
    <row r="64" spans="2:23" ht="14.25" thickBot="1" x14ac:dyDescent="0.3">
      <c r="B64" s="2455"/>
      <c r="C64" s="598"/>
      <c r="D64" s="2474"/>
      <c r="E64" s="2474" t="s">
        <v>4029</v>
      </c>
      <c r="F64" s="1787">
        <f>F38*$G$45</f>
        <v>9245.3494703389842</v>
      </c>
      <c r="G64" s="1786">
        <f t="shared" si="10"/>
        <v>9245.3494703389842</v>
      </c>
      <c r="H64" s="1786">
        <f t="shared" si="11"/>
        <v>9245.3494703389842</v>
      </c>
      <c r="I64" s="1786">
        <f t="shared" si="11"/>
        <v>9245.3494703389842</v>
      </c>
      <c r="J64" s="1786">
        <f t="shared" si="11"/>
        <v>9245.3494703389842</v>
      </c>
      <c r="K64" s="1786">
        <f t="shared" si="11"/>
        <v>9245.3494703389842</v>
      </c>
      <c r="L64" s="1786">
        <f t="shared" si="11"/>
        <v>9245.3494703389842</v>
      </c>
      <c r="M64" s="1786">
        <f t="shared" si="11"/>
        <v>9245.3494703389842</v>
      </c>
      <c r="N64" s="1786">
        <f t="shared" si="11"/>
        <v>9245.3494703389842</v>
      </c>
      <c r="O64" s="1786">
        <f t="shared" si="11"/>
        <v>9245.3494703389842</v>
      </c>
      <c r="P64" s="1786">
        <f t="shared" si="11"/>
        <v>9245.3494703389842</v>
      </c>
      <c r="Q64" s="1786">
        <f t="shared" si="11"/>
        <v>9245.3494703389842</v>
      </c>
      <c r="R64" s="1786">
        <f t="shared" si="11"/>
        <v>9245.3494703389842</v>
      </c>
      <c r="S64" s="1786">
        <f t="shared" si="11"/>
        <v>9245.3494703389842</v>
      </c>
      <c r="T64" s="1786">
        <f t="shared" si="11"/>
        <v>9245.3494703389842</v>
      </c>
      <c r="U64" s="1786">
        <f t="shared" si="12"/>
        <v>9245.3494703389842</v>
      </c>
      <c r="V64" s="1786">
        <f t="shared" si="12"/>
        <v>9245.3494703389842</v>
      </c>
      <c r="W64" s="2456"/>
    </row>
    <row r="65" spans="2:23" ht="14.25" thickBot="1" x14ac:dyDescent="0.3">
      <c r="B65" s="2455"/>
      <c r="C65" s="598"/>
      <c r="D65" s="2474"/>
      <c r="E65" s="2474" t="s">
        <v>4030</v>
      </c>
      <c r="F65" s="1787">
        <f>F39*$G$45</f>
        <v>36981.397881355937</v>
      </c>
      <c r="G65" s="1786">
        <f t="shared" si="10"/>
        <v>36981.397881355937</v>
      </c>
      <c r="H65" s="1786">
        <f t="shared" si="11"/>
        <v>36981.397881355937</v>
      </c>
      <c r="I65" s="1786">
        <f t="shared" si="11"/>
        <v>36981.397881355937</v>
      </c>
      <c r="J65" s="1786">
        <f t="shared" si="11"/>
        <v>36981.397881355937</v>
      </c>
      <c r="K65" s="1786">
        <f t="shared" si="11"/>
        <v>36981.397881355937</v>
      </c>
      <c r="L65" s="1786">
        <f t="shared" si="11"/>
        <v>36981.397881355937</v>
      </c>
      <c r="M65" s="1786">
        <f t="shared" si="11"/>
        <v>36981.397881355937</v>
      </c>
      <c r="N65" s="1786">
        <f t="shared" si="11"/>
        <v>36981.397881355937</v>
      </c>
      <c r="O65" s="1786">
        <f t="shared" si="11"/>
        <v>36981.397881355937</v>
      </c>
      <c r="P65" s="1786">
        <f t="shared" si="11"/>
        <v>36981.397881355937</v>
      </c>
      <c r="Q65" s="1786">
        <f t="shared" si="11"/>
        <v>36981.397881355937</v>
      </c>
      <c r="R65" s="1786">
        <f t="shared" si="11"/>
        <v>36981.397881355937</v>
      </c>
      <c r="S65" s="1786">
        <f t="shared" si="11"/>
        <v>36981.397881355937</v>
      </c>
      <c r="T65" s="1786">
        <f t="shared" si="11"/>
        <v>36981.397881355937</v>
      </c>
      <c r="U65" s="1786">
        <f t="shared" si="12"/>
        <v>36981.397881355937</v>
      </c>
      <c r="V65" s="1786">
        <f t="shared" si="12"/>
        <v>36981.397881355937</v>
      </c>
      <c r="W65" s="2456"/>
    </row>
    <row r="66" spans="2:23" ht="14.25" thickBot="1" x14ac:dyDescent="0.3">
      <c r="B66" s="2455"/>
      <c r="C66" s="598"/>
      <c r="D66" s="2466"/>
      <c r="E66" s="2465" t="s">
        <v>0</v>
      </c>
      <c r="F66" s="2468">
        <f t="shared" ref="F66:T66" si="14">F57+F63+F54</f>
        <v>1435800.35977715</v>
      </c>
      <c r="G66" s="2475">
        <f t="shared" si="14"/>
        <v>1435800.35977715</v>
      </c>
      <c r="H66" s="2475">
        <f t="shared" si="14"/>
        <v>1435800.35977715</v>
      </c>
      <c r="I66" s="2475">
        <f t="shared" si="14"/>
        <v>1435800.35977715</v>
      </c>
      <c r="J66" s="2475">
        <f t="shared" si="14"/>
        <v>1435800.35977715</v>
      </c>
      <c r="K66" s="2475">
        <f t="shared" si="14"/>
        <v>1435800.35977715</v>
      </c>
      <c r="L66" s="2475">
        <f t="shared" si="14"/>
        <v>1435800.35977715</v>
      </c>
      <c r="M66" s="2475">
        <f t="shared" si="14"/>
        <v>1435800.35977715</v>
      </c>
      <c r="N66" s="2475">
        <f t="shared" si="14"/>
        <v>1435800.35977715</v>
      </c>
      <c r="O66" s="2475">
        <f t="shared" si="14"/>
        <v>1435800.35977715</v>
      </c>
      <c r="P66" s="2475">
        <f t="shared" si="14"/>
        <v>1435800.35977715</v>
      </c>
      <c r="Q66" s="2475">
        <f t="shared" si="14"/>
        <v>1435800.35977715</v>
      </c>
      <c r="R66" s="2475">
        <f t="shared" si="14"/>
        <v>1435800.35977715</v>
      </c>
      <c r="S66" s="2475">
        <f t="shared" si="14"/>
        <v>1435800.35977715</v>
      </c>
      <c r="T66" s="2475">
        <f t="shared" si="14"/>
        <v>1435800.35977715</v>
      </c>
      <c r="U66" s="2475">
        <f>U57+U63+U54</f>
        <v>1435800.35977715</v>
      </c>
      <c r="V66" s="2475">
        <f>V57+V63+V54</f>
        <v>1435800.35977715</v>
      </c>
      <c r="W66" s="2456"/>
    </row>
    <row r="67" spans="2:23" x14ac:dyDescent="0.25">
      <c r="B67" s="2455"/>
      <c r="C67" s="598"/>
      <c r="D67" s="598"/>
      <c r="E67" s="598"/>
      <c r="F67" s="598"/>
      <c r="G67" s="598"/>
      <c r="H67" s="598"/>
      <c r="I67" s="598"/>
      <c r="J67" s="598"/>
      <c r="K67" s="598"/>
      <c r="L67" s="598"/>
      <c r="M67" s="598"/>
      <c r="N67" s="598"/>
      <c r="O67" s="598"/>
      <c r="P67" s="598"/>
      <c r="Q67" s="598"/>
      <c r="R67" s="598"/>
      <c r="S67" s="598"/>
      <c r="T67" s="598"/>
      <c r="U67" s="598"/>
      <c r="V67" s="598"/>
      <c r="W67" s="2456"/>
    </row>
    <row r="68" spans="2:23" x14ac:dyDescent="0.25">
      <c r="B68" s="2455"/>
      <c r="C68" s="598"/>
      <c r="D68" s="598"/>
      <c r="E68" s="598"/>
      <c r="F68" s="598"/>
      <c r="G68" s="598"/>
      <c r="H68" s="598"/>
      <c r="I68" s="598"/>
      <c r="J68" s="598"/>
      <c r="K68" s="598"/>
      <c r="L68" s="598"/>
      <c r="M68" s="598"/>
      <c r="N68" s="598"/>
      <c r="O68" s="598"/>
      <c r="P68" s="598"/>
      <c r="Q68" s="598"/>
      <c r="R68" s="598"/>
      <c r="S68" s="598"/>
      <c r="T68" s="598"/>
      <c r="U68" s="598"/>
      <c r="V68" s="598"/>
      <c r="W68" s="2456"/>
    </row>
    <row r="69" spans="2:23" ht="14.25" thickBot="1" x14ac:dyDescent="0.3">
      <c r="B69" s="2458"/>
      <c r="C69" s="2459"/>
      <c r="D69" s="2459"/>
      <c r="E69" s="2459"/>
      <c r="F69" s="2459"/>
      <c r="G69" s="2459"/>
      <c r="H69" s="2459"/>
      <c r="I69" s="2459"/>
      <c r="J69" s="2459"/>
      <c r="K69" s="2459"/>
      <c r="L69" s="2459"/>
      <c r="M69" s="2459"/>
      <c r="N69" s="2459"/>
      <c r="O69" s="2459"/>
      <c r="P69" s="2459"/>
      <c r="Q69" s="2459"/>
      <c r="R69" s="2459"/>
      <c r="S69" s="2459"/>
      <c r="T69" s="2459"/>
      <c r="U69" s="2459"/>
      <c r="V69" s="2459"/>
      <c r="W69" s="2460"/>
    </row>
    <row r="73" spans="2:23" ht="22.5" customHeight="1" thickBot="1" x14ac:dyDescent="0.3">
      <c r="I73" s="4767" t="s">
        <v>4162</v>
      </c>
      <c r="J73" s="4767"/>
      <c r="K73" s="4767"/>
      <c r="L73" s="4767"/>
      <c r="M73" s="4767"/>
      <c r="N73" s="4767"/>
    </row>
    <row r="74" spans="2:23" ht="54.75" thickBot="1" x14ac:dyDescent="0.3">
      <c r="I74" s="1035" t="s">
        <v>3825</v>
      </c>
      <c r="J74" s="2479" t="s">
        <v>4010</v>
      </c>
      <c r="K74" s="2479" t="s">
        <v>4011</v>
      </c>
      <c r="L74" s="2479" t="s">
        <v>4012</v>
      </c>
      <c r="M74" s="2479" t="s">
        <v>4013</v>
      </c>
      <c r="N74" s="1036" t="s">
        <v>0</v>
      </c>
    </row>
    <row r="75" spans="2:23" ht="14.25" thickBot="1" x14ac:dyDescent="0.3">
      <c r="I75" s="2569">
        <v>2014</v>
      </c>
      <c r="J75" s="2570">
        <v>93212.03</v>
      </c>
      <c r="K75" s="2570">
        <v>99038.25</v>
      </c>
      <c r="L75" s="2570">
        <v>13004</v>
      </c>
      <c r="M75" s="2570">
        <v>0</v>
      </c>
      <c r="N75" s="2570">
        <f t="shared" ref="N75:N81" si="15">SUM(J75:M75)</f>
        <v>205254.28</v>
      </c>
    </row>
    <row r="76" spans="2:23" ht="14.25" thickBot="1" x14ac:dyDescent="0.3">
      <c r="I76" s="2569">
        <v>2015</v>
      </c>
      <c r="J76" s="2570">
        <v>98030.180000000022</v>
      </c>
      <c r="K76" s="2571">
        <v>164796.44</v>
      </c>
      <c r="L76" s="2570">
        <v>12527.6</v>
      </c>
      <c r="M76" s="2571">
        <v>11143.44</v>
      </c>
      <c r="N76" s="2570">
        <f t="shared" si="15"/>
        <v>286497.65999999997</v>
      </c>
    </row>
    <row r="77" spans="2:23" ht="14.25" thickBot="1" x14ac:dyDescent="0.3">
      <c r="I77" s="2569">
        <v>2016</v>
      </c>
      <c r="J77" s="2570">
        <v>111297.40000000001</v>
      </c>
      <c r="K77" s="2570">
        <v>77683</v>
      </c>
      <c r="L77" s="2570">
        <v>13580</v>
      </c>
      <c r="M77" s="2570">
        <v>15044.95</v>
      </c>
      <c r="N77" s="2570">
        <f t="shared" si="15"/>
        <v>217605.35000000003</v>
      </c>
    </row>
    <row r="78" spans="2:23" ht="14.25" thickBot="1" x14ac:dyDescent="0.3">
      <c r="I78" s="2569">
        <v>2017</v>
      </c>
      <c r="J78" s="2570">
        <v>122012.32</v>
      </c>
      <c r="K78" s="2463">
        <v>44787.59</v>
      </c>
      <c r="L78" s="2570">
        <v>12335</v>
      </c>
      <c r="M78" s="2570">
        <v>0</v>
      </c>
      <c r="N78" s="2570">
        <f t="shared" si="15"/>
        <v>179134.91</v>
      </c>
    </row>
    <row r="79" spans="2:23" ht="14.25" thickBot="1" x14ac:dyDescent="0.3">
      <c r="I79" s="2569">
        <v>2018</v>
      </c>
      <c r="J79" s="2570">
        <v>137932.43</v>
      </c>
      <c r="K79" s="2570">
        <v>40517.339999999997</v>
      </c>
      <c r="L79" s="2570">
        <v>9507</v>
      </c>
      <c r="M79" s="2570">
        <v>0</v>
      </c>
      <c r="N79" s="2570">
        <f t="shared" si="15"/>
        <v>187956.77</v>
      </c>
    </row>
    <row r="80" spans="2:23" ht="14.25" thickBot="1" x14ac:dyDescent="0.3">
      <c r="I80" s="2575" t="s">
        <v>3949</v>
      </c>
      <c r="J80" s="2576">
        <f>SUM(J75:J79)</f>
        <v>562484.3600000001</v>
      </c>
      <c r="K80" s="2576">
        <f>SUM(K75:K79)</f>
        <v>426822.62</v>
      </c>
      <c r="L80" s="2576">
        <f>SUM(L75:L79)</f>
        <v>60953.599999999999</v>
      </c>
      <c r="M80" s="2576">
        <f>SUM(M75:M79)</f>
        <v>26188.39</v>
      </c>
      <c r="N80" s="2576">
        <f t="shared" si="15"/>
        <v>1076448.97</v>
      </c>
    </row>
    <row r="81" spans="9:14" ht="27.75" thickBot="1" x14ac:dyDescent="0.3">
      <c r="I81" s="1035" t="s">
        <v>4023</v>
      </c>
      <c r="J81" s="2572">
        <f>J80/N80</f>
        <v>0.52253694850021559</v>
      </c>
      <c r="K81" s="2572">
        <f>K80/N80</f>
        <v>0.39650985034618036</v>
      </c>
      <c r="L81" s="2572">
        <f>L80/N80</f>
        <v>5.6624700007841526E-2</v>
      </c>
      <c r="M81" s="2572">
        <f>M80/N80</f>
        <v>2.4328501145762627E-2</v>
      </c>
      <c r="N81" s="2573">
        <f t="shared" si="15"/>
        <v>1</v>
      </c>
    </row>
  </sheetData>
  <mergeCells count="12">
    <mergeCell ref="C5:V5"/>
    <mergeCell ref="D7:V7"/>
    <mergeCell ref="F14:L14"/>
    <mergeCell ref="D24:V24"/>
    <mergeCell ref="Y25:AD25"/>
    <mergeCell ref="F43:G43"/>
    <mergeCell ref="D50:V50"/>
    <mergeCell ref="I73:N73"/>
    <mergeCell ref="E25:E26"/>
    <mergeCell ref="D25:D26"/>
    <mergeCell ref="D51:D52"/>
    <mergeCell ref="E51:E52"/>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8D8F3"/>
  </sheetPr>
  <dimension ref="A1:AB62"/>
  <sheetViews>
    <sheetView zoomScaleNormal="100" workbookViewId="0">
      <selection activeCell="H53" sqref="H53"/>
    </sheetView>
  </sheetViews>
  <sheetFormatPr baseColWidth="10" defaultColWidth="11.5703125" defaultRowHeight="13.5" x14ac:dyDescent="0.25"/>
  <cols>
    <col min="1" max="1" width="11.5703125" style="691"/>
    <col min="2" max="2" width="4.140625" style="691" customWidth="1"/>
    <col min="3" max="3" width="10.5703125" style="691" customWidth="1"/>
    <col min="4" max="4" width="31.7109375" style="691" customWidth="1"/>
    <col min="5" max="6" width="11.42578125" style="691" customWidth="1"/>
    <col min="7" max="19" width="10.42578125" style="691" customWidth="1"/>
    <col min="20" max="20" width="5.140625" style="691" customWidth="1"/>
    <col min="21" max="16384" width="11.5703125" style="691"/>
  </cols>
  <sheetData>
    <row r="1" spans="1:20" ht="14.25" thickBot="1" x14ac:dyDescent="0.3">
      <c r="A1" s="2447" t="s">
        <v>5736</v>
      </c>
    </row>
    <row r="2" spans="1:20" x14ac:dyDescent="0.25">
      <c r="B2" s="2452"/>
      <c r="C2" s="2453"/>
      <c r="D2" s="2453"/>
      <c r="E2" s="2453"/>
      <c r="F2" s="2453"/>
      <c r="G2" s="2453"/>
      <c r="H2" s="2453"/>
      <c r="I2" s="2453"/>
      <c r="J2" s="2453"/>
      <c r="K2" s="2453"/>
      <c r="L2" s="2453"/>
      <c r="M2" s="2453"/>
      <c r="N2" s="2453"/>
      <c r="O2" s="2453"/>
      <c r="P2" s="2453"/>
      <c r="Q2" s="2453"/>
      <c r="R2" s="2453"/>
      <c r="S2" s="2453"/>
      <c r="T2" s="2454"/>
    </row>
    <row r="3" spans="1:20" x14ac:dyDescent="0.25">
      <c r="B3" s="2455"/>
      <c r="C3" s="598"/>
      <c r="D3" s="598"/>
      <c r="E3" s="598"/>
      <c r="F3" s="598"/>
      <c r="G3" s="598"/>
      <c r="H3" s="598"/>
      <c r="I3" s="598"/>
      <c r="J3" s="598"/>
      <c r="K3" s="598"/>
      <c r="L3" s="598"/>
      <c r="M3" s="598"/>
      <c r="N3" s="598"/>
      <c r="O3" s="598"/>
      <c r="P3" s="598"/>
      <c r="Q3" s="598"/>
      <c r="R3" s="598"/>
      <c r="S3" s="598"/>
      <c r="T3" s="2456"/>
    </row>
    <row r="4" spans="1:20" x14ac:dyDescent="0.25">
      <c r="B4" s="2455"/>
      <c r="C4" s="4894" t="s">
        <v>4164</v>
      </c>
      <c r="D4" s="4894"/>
      <c r="E4" s="4894"/>
      <c r="F4" s="4894"/>
      <c r="G4" s="4894"/>
      <c r="H4" s="4894"/>
      <c r="I4" s="4894"/>
      <c r="J4" s="4894"/>
      <c r="K4" s="4894"/>
      <c r="L4" s="4894"/>
      <c r="M4" s="4894"/>
      <c r="N4" s="4894"/>
      <c r="O4" s="4894"/>
      <c r="P4" s="4894"/>
      <c r="Q4" s="4894"/>
      <c r="R4" s="4894"/>
      <c r="S4" s="4894"/>
      <c r="T4" s="2456"/>
    </row>
    <row r="5" spans="1:20" x14ac:dyDescent="0.25">
      <c r="B5" s="2455"/>
      <c r="C5" s="2503"/>
      <c r="D5" s="2503"/>
      <c r="E5" s="2503"/>
      <c r="F5" s="2503"/>
      <c r="G5" s="2503"/>
      <c r="H5" s="2503"/>
      <c r="I5" s="2503"/>
      <c r="J5" s="2503"/>
      <c r="K5" s="2503"/>
      <c r="L5" s="2503"/>
      <c r="M5" s="2503"/>
      <c r="N5" s="2503"/>
      <c r="O5" s="2503"/>
      <c r="P5" s="2503"/>
      <c r="Q5" s="2503"/>
      <c r="R5" s="2503"/>
      <c r="S5" s="2503"/>
      <c r="T5" s="2456"/>
    </row>
    <row r="6" spans="1:20" x14ac:dyDescent="0.25">
      <c r="B6" s="2455"/>
      <c r="C6" s="4465" t="s">
        <v>4187</v>
      </c>
      <c r="D6" s="4465"/>
      <c r="E6" s="4465"/>
      <c r="F6" s="4465"/>
      <c r="G6" s="4465"/>
      <c r="H6" s="4465"/>
      <c r="I6" s="4465"/>
      <c r="J6" s="4465"/>
      <c r="K6" s="4465"/>
      <c r="L6" s="4465"/>
      <c r="M6" s="4465"/>
      <c r="N6" s="4465"/>
      <c r="O6" s="4465"/>
      <c r="P6" s="4465"/>
      <c r="Q6" s="4465"/>
      <c r="R6" s="4465"/>
      <c r="S6" s="4465"/>
      <c r="T6" s="2456"/>
    </row>
    <row r="7" spans="1:20" x14ac:dyDescent="0.25">
      <c r="B7" s="2455"/>
      <c r="C7" s="598"/>
      <c r="D7" s="598"/>
      <c r="E7" s="2457"/>
      <c r="F7" s="598"/>
      <c r="G7" s="598"/>
      <c r="H7" s="2355"/>
      <c r="I7" s="598"/>
      <c r="J7" s="598"/>
      <c r="K7" s="598"/>
      <c r="L7" s="598"/>
      <c r="M7" s="2415"/>
      <c r="N7" s="2415"/>
      <c r="O7" s="2415"/>
      <c r="P7" s="2415"/>
      <c r="Q7" s="2415"/>
      <c r="R7" s="2415"/>
      <c r="S7" s="2415"/>
      <c r="T7" s="2456"/>
    </row>
    <row r="8" spans="1:20" x14ac:dyDescent="0.25">
      <c r="B8" s="2455"/>
      <c r="C8" s="2415" t="s">
        <v>2056</v>
      </c>
      <c r="D8" s="598"/>
      <c r="E8" s="598"/>
      <c r="F8" s="598"/>
      <c r="G8" s="598"/>
      <c r="H8" s="598"/>
      <c r="I8" s="2415" t="s">
        <v>3722</v>
      </c>
      <c r="J8" s="598"/>
      <c r="K8" s="598"/>
      <c r="L8" s="598"/>
      <c r="M8" s="2415"/>
      <c r="N8" s="2415"/>
      <c r="O8" s="2415"/>
      <c r="P8" s="2415"/>
      <c r="Q8" s="2415"/>
      <c r="R8" s="2415"/>
      <c r="S8" s="2415"/>
      <c r="T8" s="2456"/>
    </row>
    <row r="9" spans="1:20" x14ac:dyDescent="0.25">
      <c r="B9" s="2455"/>
      <c r="C9" s="2415" t="s">
        <v>2057</v>
      </c>
      <c r="D9" s="598"/>
      <c r="E9" s="598"/>
      <c r="F9" s="598"/>
      <c r="G9" s="598"/>
      <c r="H9" s="598"/>
      <c r="I9" s="2415" t="s">
        <v>2058</v>
      </c>
      <c r="J9" s="598"/>
      <c r="K9" s="598"/>
      <c r="L9" s="598"/>
      <c r="M9" s="2415"/>
      <c r="N9" s="2415"/>
      <c r="O9" s="2415"/>
      <c r="P9" s="2415"/>
      <c r="Q9" s="2415"/>
      <c r="R9" s="2415"/>
      <c r="S9" s="2415"/>
      <c r="T9" s="2456"/>
    </row>
    <row r="10" spans="1:20" x14ac:dyDescent="0.25">
      <c r="B10" s="2455"/>
      <c r="C10" s="2415" t="s">
        <v>2059</v>
      </c>
      <c r="D10" s="598"/>
      <c r="E10" s="598"/>
      <c r="F10" s="598"/>
      <c r="G10" s="598"/>
      <c r="H10" s="598"/>
      <c r="I10" s="2415" t="s">
        <v>3674</v>
      </c>
      <c r="J10" s="598"/>
      <c r="K10" s="598"/>
      <c r="L10" s="598"/>
      <c r="M10" s="2415"/>
      <c r="N10" s="2415"/>
      <c r="O10" s="2415"/>
      <c r="P10" s="2415"/>
      <c r="Q10" s="2415"/>
      <c r="R10" s="2415"/>
      <c r="S10" s="2415"/>
      <c r="T10" s="2456"/>
    </row>
    <row r="11" spans="1:20" x14ac:dyDescent="0.25">
      <c r="B11" s="2455"/>
      <c r="C11" s="598"/>
      <c r="D11" s="598"/>
      <c r="E11" s="598"/>
      <c r="F11" s="598"/>
      <c r="G11" s="598"/>
      <c r="H11" s="598"/>
      <c r="I11" s="598"/>
      <c r="J11" s="598"/>
      <c r="K11" s="598"/>
      <c r="L11" s="598"/>
      <c r="M11" s="598"/>
      <c r="N11" s="598"/>
      <c r="O11" s="598"/>
      <c r="P11" s="598"/>
      <c r="Q11" s="598"/>
      <c r="R11" s="598"/>
      <c r="S11" s="598"/>
      <c r="T11" s="2456"/>
    </row>
    <row r="12" spans="1:20" ht="14.25" thickBot="1" x14ac:dyDescent="0.3">
      <c r="B12" s="2455"/>
      <c r="C12" s="4895" t="s">
        <v>4165</v>
      </c>
      <c r="D12" s="4895"/>
      <c r="E12" s="4895"/>
      <c r="F12" s="4895"/>
      <c r="G12" s="4895"/>
      <c r="H12" s="4895"/>
      <c r="I12" s="4895"/>
      <c r="J12" s="4895"/>
      <c r="K12" s="4895"/>
      <c r="L12" s="4895"/>
      <c r="M12" s="4895"/>
      <c r="N12" s="4895"/>
      <c r="O12" s="4895"/>
      <c r="P12" s="4895"/>
      <c r="Q12" s="4895"/>
      <c r="R12" s="4895"/>
      <c r="S12" s="4895"/>
      <c r="T12" s="2456"/>
    </row>
    <row r="13" spans="1:20" ht="14.25" thickBot="1" x14ac:dyDescent="0.3">
      <c r="B13" s="2455"/>
      <c r="C13" s="4274" t="s">
        <v>3723</v>
      </c>
      <c r="D13" s="4889" t="s">
        <v>1898</v>
      </c>
      <c r="E13" s="1743">
        <v>1</v>
      </c>
      <c r="F13" s="1743">
        <f>E13+1</f>
        <v>2</v>
      </c>
      <c r="G13" s="1740">
        <f>F13+1</f>
        <v>3</v>
      </c>
      <c r="H13" s="1740">
        <f t="shared" ref="H13:R14" si="0">G13+1</f>
        <v>4</v>
      </c>
      <c r="I13" s="1740">
        <f t="shared" si="0"/>
        <v>5</v>
      </c>
      <c r="J13" s="1740">
        <f t="shared" si="0"/>
        <v>6</v>
      </c>
      <c r="K13" s="1740">
        <f t="shared" si="0"/>
        <v>7</v>
      </c>
      <c r="L13" s="1740">
        <f t="shared" si="0"/>
        <v>8</v>
      </c>
      <c r="M13" s="1740">
        <f t="shared" si="0"/>
        <v>9</v>
      </c>
      <c r="N13" s="1740">
        <f t="shared" si="0"/>
        <v>10</v>
      </c>
      <c r="O13" s="1740">
        <f t="shared" si="0"/>
        <v>11</v>
      </c>
      <c r="P13" s="1740">
        <f t="shared" si="0"/>
        <v>12</v>
      </c>
      <c r="Q13" s="1740">
        <f t="shared" si="0"/>
        <v>13</v>
      </c>
      <c r="R13" s="1740">
        <f t="shared" si="0"/>
        <v>14</v>
      </c>
      <c r="S13" s="1742">
        <f>R13+1</f>
        <v>15</v>
      </c>
      <c r="T13" s="2456"/>
    </row>
    <row r="14" spans="1:20" ht="15.75" customHeight="1" thickBot="1" x14ac:dyDescent="0.3">
      <c r="B14" s="2455"/>
      <c r="C14" s="4276"/>
      <c r="D14" s="4890"/>
      <c r="E14" s="1745">
        <v>2020</v>
      </c>
      <c r="F14" s="1745">
        <f>E14+1</f>
        <v>2021</v>
      </c>
      <c r="G14" s="1741">
        <f>F14+1</f>
        <v>2022</v>
      </c>
      <c r="H14" s="1741">
        <f t="shared" si="0"/>
        <v>2023</v>
      </c>
      <c r="I14" s="1741">
        <f t="shared" si="0"/>
        <v>2024</v>
      </c>
      <c r="J14" s="1741">
        <f t="shared" si="0"/>
        <v>2025</v>
      </c>
      <c r="K14" s="1741">
        <f t="shared" si="0"/>
        <v>2026</v>
      </c>
      <c r="L14" s="1741">
        <f t="shared" si="0"/>
        <v>2027</v>
      </c>
      <c r="M14" s="1741">
        <f t="shared" si="0"/>
        <v>2028</v>
      </c>
      <c r="N14" s="1741">
        <f t="shared" si="0"/>
        <v>2029</v>
      </c>
      <c r="O14" s="1741">
        <f t="shared" si="0"/>
        <v>2030</v>
      </c>
      <c r="P14" s="1741">
        <f t="shared" si="0"/>
        <v>2031</v>
      </c>
      <c r="Q14" s="1741">
        <f t="shared" si="0"/>
        <v>2032</v>
      </c>
      <c r="R14" s="1741">
        <f t="shared" si="0"/>
        <v>2033</v>
      </c>
      <c r="S14" s="1746">
        <f>R14+1</f>
        <v>2034</v>
      </c>
      <c r="T14" s="2456"/>
    </row>
    <row r="15" spans="1:20" ht="14.25" thickBot="1" x14ac:dyDescent="0.3">
      <c r="B15" s="2455"/>
      <c r="C15" s="2586" t="s">
        <v>4015</v>
      </c>
      <c r="D15" s="2587" t="s">
        <v>4016</v>
      </c>
      <c r="E15" s="2587"/>
      <c r="F15" s="2587"/>
      <c r="G15" s="2587"/>
      <c r="H15" s="2588" t="e">
        <f>SUM(H16,H19,H21)</f>
        <v>#DIV/0!</v>
      </c>
      <c r="I15" s="2588" t="e">
        <f t="shared" ref="I15:S15" si="1">SUM(I16,I19,I21)</f>
        <v>#DIV/0!</v>
      </c>
      <c r="J15" s="2588" t="e">
        <f t="shared" si="1"/>
        <v>#DIV/0!</v>
      </c>
      <c r="K15" s="2588" t="e">
        <f t="shared" si="1"/>
        <v>#DIV/0!</v>
      </c>
      <c r="L15" s="2588" t="e">
        <f t="shared" si="1"/>
        <v>#DIV/0!</v>
      </c>
      <c r="M15" s="2588" t="e">
        <f t="shared" si="1"/>
        <v>#DIV/0!</v>
      </c>
      <c r="N15" s="2588" t="e">
        <f t="shared" si="1"/>
        <v>#DIV/0!</v>
      </c>
      <c r="O15" s="2588" t="e">
        <f t="shared" si="1"/>
        <v>#DIV/0!</v>
      </c>
      <c r="P15" s="2588" t="e">
        <f t="shared" si="1"/>
        <v>#DIV/0!</v>
      </c>
      <c r="Q15" s="2588" t="e">
        <f t="shared" si="1"/>
        <v>#DIV/0!</v>
      </c>
      <c r="R15" s="2588" t="e">
        <f t="shared" si="1"/>
        <v>#DIV/0!</v>
      </c>
      <c r="S15" s="2588" t="e">
        <f t="shared" si="1"/>
        <v>#DIV/0!</v>
      </c>
      <c r="T15" s="2456"/>
    </row>
    <row r="16" spans="1:20" ht="14.25" thickBot="1" x14ac:dyDescent="0.3">
      <c r="B16" s="2455"/>
      <c r="C16" s="2466" t="s">
        <v>4166</v>
      </c>
      <c r="D16" s="2467" t="s">
        <v>4167</v>
      </c>
      <c r="E16" s="2577"/>
      <c r="F16" s="2577"/>
      <c r="G16" s="2577"/>
      <c r="H16" s="2577">
        <f>SUM(H17:H18)</f>
        <v>3748236.1600000006</v>
      </c>
      <c r="I16" s="2577">
        <f t="shared" ref="I16:S16" si="2">SUM(I17:I18)</f>
        <v>3748236.1600000006</v>
      </c>
      <c r="J16" s="2577">
        <f t="shared" si="2"/>
        <v>3836397.68</v>
      </c>
      <c r="K16" s="2577">
        <f t="shared" si="2"/>
        <v>3836397.68</v>
      </c>
      <c r="L16" s="2577">
        <f t="shared" si="2"/>
        <v>3836397.68</v>
      </c>
      <c r="M16" s="2577">
        <f t="shared" si="2"/>
        <v>3890130.36</v>
      </c>
      <c r="N16" s="2577">
        <f t="shared" si="2"/>
        <v>3890130.36</v>
      </c>
      <c r="O16" s="2577">
        <f t="shared" si="2"/>
        <v>4040463.04</v>
      </c>
      <c r="P16" s="2577">
        <f t="shared" si="2"/>
        <v>4040463.04</v>
      </c>
      <c r="Q16" s="2577">
        <f t="shared" si="2"/>
        <v>4075681.04</v>
      </c>
      <c r="R16" s="2577">
        <f t="shared" si="2"/>
        <v>4075681.04</v>
      </c>
      <c r="S16" s="2577">
        <f t="shared" si="2"/>
        <v>4075681.04</v>
      </c>
      <c r="T16" s="2456"/>
    </row>
    <row r="17" spans="2:20" ht="14.25" thickBot="1" x14ac:dyDescent="0.3">
      <c r="B17" s="2455"/>
      <c r="C17" s="2578" t="s">
        <v>4168</v>
      </c>
      <c r="D17" s="2578" t="s">
        <v>1833</v>
      </c>
      <c r="E17" s="2579"/>
      <c r="F17" s="2579"/>
      <c r="G17" s="2579"/>
      <c r="H17" s="2579">
        <f>'24.2 Remun. RR.HH con PI'!F99</f>
        <v>3245605.4800000004</v>
      </c>
      <c r="I17" s="2579">
        <f>'24.2 Remun. RR.HH con PI'!G99</f>
        <v>3245605.4800000004</v>
      </c>
      <c r="J17" s="2579">
        <f>'24.2 Remun. RR.HH con PI'!H99</f>
        <v>3333767</v>
      </c>
      <c r="K17" s="2579">
        <f>'24.2 Remun. RR.HH con PI'!I99</f>
        <v>3333767</v>
      </c>
      <c r="L17" s="2579">
        <f>'24.2 Remun. RR.HH con PI'!J99</f>
        <v>3333767</v>
      </c>
      <c r="M17" s="2579">
        <f>'24.2 Remun. RR.HH con PI'!K99</f>
        <v>3387499.6799999997</v>
      </c>
      <c r="N17" s="2579">
        <f>'24.2 Remun. RR.HH con PI'!L99</f>
        <v>3387499.6799999997</v>
      </c>
      <c r="O17" s="2579">
        <f>'24.2 Remun. RR.HH con PI'!M99</f>
        <v>3537832.36</v>
      </c>
      <c r="P17" s="2579">
        <f>'24.2 Remun. RR.HH con PI'!N99</f>
        <v>3537832.36</v>
      </c>
      <c r="Q17" s="2579">
        <f>'24.2 Remun. RR.HH con PI'!O99</f>
        <v>3573050.36</v>
      </c>
      <c r="R17" s="2579">
        <f>'24.2 Remun. RR.HH con PI'!P99</f>
        <v>3573050.36</v>
      </c>
      <c r="S17" s="2579">
        <f>'24.2 Remun. RR.HH con PI'!Q99</f>
        <v>3573050.36</v>
      </c>
      <c r="T17" s="2456"/>
    </row>
    <row r="18" spans="2:20" ht="14.25" thickBot="1" x14ac:dyDescent="0.3">
      <c r="B18" s="2455"/>
      <c r="C18" s="2578" t="s">
        <v>4169</v>
      </c>
      <c r="D18" s="2578" t="s">
        <v>4170</v>
      </c>
      <c r="E18" s="2579"/>
      <c r="F18" s="2579"/>
      <c r="G18" s="2579"/>
      <c r="H18" s="2579">
        <f>'24.2 Remun. RR.HH con PI'!F126</f>
        <v>502630.68</v>
      </c>
      <c r="I18" s="2579">
        <f>'24.2 Remun. RR.HH con PI'!G126</f>
        <v>502630.68</v>
      </c>
      <c r="J18" s="2579">
        <f>'24.2 Remun. RR.HH con PI'!H126</f>
        <v>502630.68</v>
      </c>
      <c r="K18" s="2579">
        <f>'24.2 Remun. RR.HH con PI'!I126</f>
        <v>502630.68</v>
      </c>
      <c r="L18" s="2579">
        <f>'24.2 Remun. RR.HH con PI'!J126</f>
        <v>502630.68</v>
      </c>
      <c r="M18" s="2579">
        <f>'24.2 Remun. RR.HH con PI'!K126</f>
        <v>502630.68</v>
      </c>
      <c r="N18" s="2579">
        <f>'24.2 Remun. RR.HH con PI'!L126</f>
        <v>502630.68</v>
      </c>
      <c r="O18" s="2579">
        <f>'24.2 Remun. RR.HH con PI'!M126</f>
        <v>502630.68</v>
      </c>
      <c r="P18" s="2579">
        <f>'24.2 Remun. RR.HH con PI'!N126</f>
        <v>502630.68</v>
      </c>
      <c r="Q18" s="2579">
        <f>'24.2 Remun. RR.HH con PI'!O126</f>
        <v>502630.68</v>
      </c>
      <c r="R18" s="2579">
        <f>'24.2 Remun. RR.HH con PI'!P126</f>
        <v>502630.68</v>
      </c>
      <c r="S18" s="2579">
        <f>'24.2 Remun. RR.HH con PI'!Q126</f>
        <v>502630.68</v>
      </c>
      <c r="T18" s="2456"/>
    </row>
    <row r="19" spans="2:20" ht="14.25" thickBot="1" x14ac:dyDescent="0.3">
      <c r="B19" s="2455"/>
      <c r="C19" s="2466" t="s">
        <v>4171</v>
      </c>
      <c r="D19" s="2467" t="s">
        <v>4172</v>
      </c>
      <c r="E19" s="2577"/>
      <c r="F19" s="2577"/>
      <c r="G19" s="2577"/>
      <c r="H19" s="2577" t="e">
        <f>H20</f>
        <v>#DIV/0!</v>
      </c>
      <c r="I19" s="2577" t="e">
        <f t="shared" ref="I19:S19" si="3">I20</f>
        <v>#DIV/0!</v>
      </c>
      <c r="J19" s="2577" t="e">
        <f t="shared" si="3"/>
        <v>#DIV/0!</v>
      </c>
      <c r="K19" s="2577" t="e">
        <f t="shared" si="3"/>
        <v>#DIV/0!</v>
      </c>
      <c r="L19" s="2577" t="e">
        <f t="shared" si="3"/>
        <v>#DIV/0!</v>
      </c>
      <c r="M19" s="2577" t="e">
        <f t="shared" si="3"/>
        <v>#DIV/0!</v>
      </c>
      <c r="N19" s="2577" t="e">
        <f t="shared" si="3"/>
        <v>#DIV/0!</v>
      </c>
      <c r="O19" s="2577" t="e">
        <f t="shared" si="3"/>
        <v>#DIV/0!</v>
      </c>
      <c r="P19" s="2577" t="e">
        <f t="shared" si="3"/>
        <v>#DIV/0!</v>
      </c>
      <c r="Q19" s="2577" t="e">
        <f t="shared" si="3"/>
        <v>#DIV/0!</v>
      </c>
      <c r="R19" s="2577" t="e">
        <f t="shared" si="3"/>
        <v>#DIV/0!</v>
      </c>
      <c r="S19" s="2577" t="e">
        <f t="shared" si="3"/>
        <v>#DIV/0!</v>
      </c>
      <c r="T19" s="2456"/>
    </row>
    <row r="20" spans="2:20" ht="14.25" thickBot="1" x14ac:dyDescent="0.3">
      <c r="B20" s="2455"/>
      <c r="C20" s="2578" t="s">
        <v>4173</v>
      </c>
      <c r="D20" s="2578" t="s">
        <v>4172</v>
      </c>
      <c r="E20" s="2579"/>
      <c r="F20" s="2579"/>
      <c r="G20" s="2579"/>
      <c r="H20" s="2579" t="e">
        <f>'26.1 Insumos CP'!I67</f>
        <v>#DIV/0!</v>
      </c>
      <c r="I20" s="2579" t="e">
        <f>'26.1 Insumos CP'!J67</f>
        <v>#DIV/0!</v>
      </c>
      <c r="J20" s="2579" t="e">
        <f>'26.1 Insumos CP'!K67</f>
        <v>#DIV/0!</v>
      </c>
      <c r="K20" s="2579" t="e">
        <f>'26.1 Insumos CP'!L67</f>
        <v>#DIV/0!</v>
      </c>
      <c r="L20" s="2579" t="e">
        <f>'26.1 Insumos CP'!M67</f>
        <v>#DIV/0!</v>
      </c>
      <c r="M20" s="2579" t="e">
        <f>'26.1 Insumos CP'!N67</f>
        <v>#DIV/0!</v>
      </c>
      <c r="N20" s="2579" t="e">
        <f>'26.1 Insumos CP'!O67</f>
        <v>#DIV/0!</v>
      </c>
      <c r="O20" s="2579" t="e">
        <f>'26.1 Insumos CP'!P67</f>
        <v>#DIV/0!</v>
      </c>
      <c r="P20" s="2579" t="e">
        <f>'26.1 Insumos CP'!Q67</f>
        <v>#DIV/0!</v>
      </c>
      <c r="Q20" s="2579" t="e">
        <f>'26.1 Insumos CP'!R67</f>
        <v>#DIV/0!</v>
      </c>
      <c r="R20" s="2579" t="e">
        <f>'26.1 Insumos CP'!S67</f>
        <v>#DIV/0!</v>
      </c>
      <c r="S20" s="2579" t="e">
        <f>'26.1 Insumos CP'!T67</f>
        <v>#DIV/0!</v>
      </c>
      <c r="T20" s="2456"/>
    </row>
    <row r="21" spans="2:20" ht="14.25" thickBot="1" x14ac:dyDescent="0.3">
      <c r="B21" s="2455"/>
      <c r="C21" s="2466" t="s">
        <v>4174</v>
      </c>
      <c r="D21" s="2467" t="s">
        <v>4175</v>
      </c>
      <c r="E21" s="2577"/>
      <c r="F21" s="2577"/>
      <c r="G21" s="2577"/>
      <c r="H21" s="2577">
        <f>SUM(H22:H25)</f>
        <v>17144.416799999999</v>
      </c>
      <c r="I21" s="2577">
        <f t="shared" ref="I21:S21" si="4">SUM(I22:I25)</f>
        <v>17144.416799999999</v>
      </c>
      <c r="J21" s="2577">
        <f t="shared" si="4"/>
        <v>17144.416799999999</v>
      </c>
      <c r="K21" s="2577">
        <f t="shared" si="4"/>
        <v>17144.416799999999</v>
      </c>
      <c r="L21" s="2577">
        <f t="shared" si="4"/>
        <v>17144.416799999999</v>
      </c>
      <c r="M21" s="2577">
        <f t="shared" si="4"/>
        <v>17144.416799999999</v>
      </c>
      <c r="N21" s="2577">
        <f t="shared" si="4"/>
        <v>17144.416799999999</v>
      </c>
      <c r="O21" s="2577">
        <f t="shared" si="4"/>
        <v>17144.416799999999</v>
      </c>
      <c r="P21" s="2577">
        <f t="shared" si="4"/>
        <v>17144.416799999999</v>
      </c>
      <c r="Q21" s="2577">
        <f t="shared" si="4"/>
        <v>17144.416799999999</v>
      </c>
      <c r="R21" s="2577">
        <f t="shared" si="4"/>
        <v>17144.416799999999</v>
      </c>
      <c r="S21" s="2577">
        <f t="shared" si="4"/>
        <v>17144.416799999999</v>
      </c>
      <c r="T21" s="2456"/>
    </row>
    <row r="22" spans="2:20" ht="14.25" thickBot="1" x14ac:dyDescent="0.3">
      <c r="B22" s="2455"/>
      <c r="C22" s="2578" t="s">
        <v>4176</v>
      </c>
      <c r="D22" s="2578" t="s">
        <v>4177</v>
      </c>
      <c r="E22" s="2579"/>
      <c r="F22" s="2579"/>
      <c r="G22" s="2579"/>
      <c r="H22" s="2579">
        <f>'26.2 Bs y Ss'!D70</f>
        <v>7844.4168000000009</v>
      </c>
      <c r="I22" s="2579">
        <f>H22</f>
        <v>7844.4168000000009</v>
      </c>
      <c r="J22" s="2579">
        <f t="shared" ref="J22:S22" si="5">I22</f>
        <v>7844.4168000000009</v>
      </c>
      <c r="K22" s="2579">
        <f t="shared" si="5"/>
        <v>7844.4168000000009</v>
      </c>
      <c r="L22" s="2579">
        <f t="shared" si="5"/>
        <v>7844.4168000000009</v>
      </c>
      <c r="M22" s="2579">
        <f t="shared" si="5"/>
        <v>7844.4168000000009</v>
      </c>
      <c r="N22" s="2579">
        <f t="shared" si="5"/>
        <v>7844.4168000000009</v>
      </c>
      <c r="O22" s="2579">
        <f t="shared" si="5"/>
        <v>7844.4168000000009</v>
      </c>
      <c r="P22" s="2579">
        <f t="shared" si="5"/>
        <v>7844.4168000000009</v>
      </c>
      <c r="Q22" s="2579">
        <f t="shared" si="5"/>
        <v>7844.4168000000009</v>
      </c>
      <c r="R22" s="2579">
        <f t="shared" si="5"/>
        <v>7844.4168000000009</v>
      </c>
      <c r="S22" s="2579">
        <f t="shared" si="5"/>
        <v>7844.4168000000009</v>
      </c>
      <c r="T22" s="2456"/>
    </row>
    <row r="23" spans="2:20" ht="14.25" thickBot="1" x14ac:dyDescent="0.3">
      <c r="B23" s="2455"/>
      <c r="C23" s="2578" t="s">
        <v>4178</v>
      </c>
      <c r="D23" s="2578" t="s">
        <v>4179</v>
      </c>
      <c r="E23" s="2579"/>
      <c r="F23" s="2579"/>
      <c r="G23" s="2579"/>
      <c r="H23" s="2579">
        <f>'26.2 Bs y Ss'!H34</f>
        <v>360</v>
      </c>
      <c r="I23" s="2579">
        <f t="shared" ref="I23:S25" si="6">H23</f>
        <v>360</v>
      </c>
      <c r="J23" s="2579">
        <f t="shared" si="6"/>
        <v>360</v>
      </c>
      <c r="K23" s="2579">
        <f t="shared" si="6"/>
        <v>360</v>
      </c>
      <c r="L23" s="2579">
        <f t="shared" si="6"/>
        <v>360</v>
      </c>
      <c r="M23" s="2579">
        <f t="shared" si="6"/>
        <v>360</v>
      </c>
      <c r="N23" s="2579">
        <f t="shared" si="6"/>
        <v>360</v>
      </c>
      <c r="O23" s="2579">
        <f t="shared" si="6"/>
        <v>360</v>
      </c>
      <c r="P23" s="2579">
        <f t="shared" si="6"/>
        <v>360</v>
      </c>
      <c r="Q23" s="2579">
        <f t="shared" si="6"/>
        <v>360</v>
      </c>
      <c r="R23" s="2579">
        <f t="shared" si="6"/>
        <v>360</v>
      </c>
      <c r="S23" s="2579">
        <f t="shared" si="6"/>
        <v>360</v>
      </c>
      <c r="T23" s="2456"/>
    </row>
    <row r="24" spans="2:20" ht="14.25" thickBot="1" x14ac:dyDescent="0.3">
      <c r="B24" s="2455"/>
      <c r="C24" s="2578" t="s">
        <v>4180</v>
      </c>
      <c r="D24" s="2578" t="s">
        <v>4181</v>
      </c>
      <c r="E24" s="2579"/>
      <c r="F24" s="2579"/>
      <c r="G24" s="2579"/>
      <c r="H24" s="2579">
        <f>'26.2 Bs y Ss'!F87</f>
        <v>1140</v>
      </c>
      <c r="I24" s="2579">
        <f t="shared" si="6"/>
        <v>1140</v>
      </c>
      <c r="J24" s="2579">
        <f t="shared" si="6"/>
        <v>1140</v>
      </c>
      <c r="K24" s="2579">
        <f t="shared" si="6"/>
        <v>1140</v>
      </c>
      <c r="L24" s="2579">
        <f t="shared" si="6"/>
        <v>1140</v>
      </c>
      <c r="M24" s="2579">
        <f t="shared" si="6"/>
        <v>1140</v>
      </c>
      <c r="N24" s="2579">
        <f t="shared" si="6"/>
        <v>1140</v>
      </c>
      <c r="O24" s="2579">
        <f t="shared" si="6"/>
        <v>1140</v>
      </c>
      <c r="P24" s="2579">
        <f t="shared" si="6"/>
        <v>1140</v>
      </c>
      <c r="Q24" s="2579">
        <f t="shared" si="6"/>
        <v>1140</v>
      </c>
      <c r="R24" s="2579">
        <f t="shared" si="6"/>
        <v>1140</v>
      </c>
      <c r="S24" s="2579">
        <f t="shared" si="6"/>
        <v>1140</v>
      </c>
      <c r="T24" s="2456"/>
    </row>
    <row r="25" spans="2:20" ht="14.25" thickBot="1" x14ac:dyDescent="0.3">
      <c r="B25" s="2455"/>
      <c r="C25" s="2578" t="s">
        <v>4182</v>
      </c>
      <c r="D25" s="2578" t="s">
        <v>4183</v>
      </c>
      <c r="E25" s="2579"/>
      <c r="F25" s="2579"/>
      <c r="G25" s="2579"/>
      <c r="H25" s="2579">
        <f>'26.2 Bs y Ss'!H94</f>
        <v>7800</v>
      </c>
      <c r="I25" s="2579">
        <f t="shared" si="6"/>
        <v>7800</v>
      </c>
      <c r="J25" s="2579">
        <f t="shared" si="6"/>
        <v>7800</v>
      </c>
      <c r="K25" s="2579">
        <f t="shared" si="6"/>
        <v>7800</v>
      </c>
      <c r="L25" s="2579">
        <f t="shared" si="6"/>
        <v>7800</v>
      </c>
      <c r="M25" s="2579">
        <f t="shared" si="6"/>
        <v>7800</v>
      </c>
      <c r="N25" s="2579">
        <f t="shared" si="6"/>
        <v>7800</v>
      </c>
      <c r="O25" s="2579">
        <f t="shared" si="6"/>
        <v>7800</v>
      </c>
      <c r="P25" s="2579">
        <f t="shared" si="6"/>
        <v>7800</v>
      </c>
      <c r="Q25" s="2579">
        <f t="shared" si="6"/>
        <v>7800</v>
      </c>
      <c r="R25" s="2579">
        <f t="shared" si="6"/>
        <v>7800</v>
      </c>
      <c r="S25" s="2579">
        <f t="shared" si="6"/>
        <v>7800</v>
      </c>
      <c r="T25" s="2456"/>
    </row>
    <row r="26" spans="2:20" ht="14.25" thickBot="1" x14ac:dyDescent="0.3">
      <c r="B26" s="2455"/>
      <c r="C26" s="2586">
        <v>2</v>
      </c>
      <c r="D26" s="2587"/>
      <c r="E26" s="2587"/>
      <c r="F26" s="2587"/>
      <c r="G26" s="2587"/>
      <c r="H26" s="2588"/>
      <c r="I26" s="2588"/>
      <c r="J26" s="2588"/>
      <c r="K26" s="2588"/>
      <c r="L26" s="2588"/>
      <c r="M26" s="2588"/>
      <c r="N26" s="2588"/>
      <c r="O26" s="2588"/>
      <c r="P26" s="2588"/>
      <c r="Q26" s="2588"/>
      <c r="R26" s="2588"/>
      <c r="S26" s="2588"/>
      <c r="T26" s="2456"/>
    </row>
    <row r="27" spans="2:20" ht="14.25" thickBot="1" x14ac:dyDescent="0.3">
      <c r="B27" s="2455"/>
      <c r="C27" s="2580">
        <v>2.0099999999999998</v>
      </c>
      <c r="D27" s="2581"/>
      <c r="E27" s="2579"/>
      <c r="F27" s="2579"/>
      <c r="G27" s="2579"/>
      <c r="H27" s="2579"/>
      <c r="I27" s="2579"/>
      <c r="J27" s="2579"/>
      <c r="K27" s="2579"/>
      <c r="L27" s="2579"/>
      <c r="M27" s="2579"/>
      <c r="N27" s="2579"/>
      <c r="O27" s="2579"/>
      <c r="P27" s="2579"/>
      <c r="Q27" s="2579"/>
      <c r="R27" s="2579"/>
      <c r="S27" s="2579"/>
      <c r="T27" s="2456"/>
    </row>
    <row r="28" spans="2:20" ht="14.25" thickBot="1" x14ac:dyDescent="0.3">
      <c r="B28" s="2455"/>
      <c r="C28" s="2586">
        <v>3</v>
      </c>
      <c r="D28" s="2587" t="s">
        <v>4028</v>
      </c>
      <c r="E28" s="2587"/>
      <c r="F28" s="2587"/>
      <c r="G28" s="2587"/>
      <c r="H28" s="2588">
        <f>SUM(H29:H31)</f>
        <v>568711.46011099999</v>
      </c>
      <c r="I28" s="2588">
        <f t="shared" ref="I28:S28" si="7">SUM(I29:I31)</f>
        <v>804212.26686833333</v>
      </c>
      <c r="J28" s="2588">
        <f t="shared" si="7"/>
        <v>816759.37563599995</v>
      </c>
      <c r="K28" s="2588">
        <f t="shared" si="7"/>
        <v>808845.16563599999</v>
      </c>
      <c r="L28" s="2588">
        <f t="shared" si="7"/>
        <v>848633.45896933333</v>
      </c>
      <c r="M28" s="2588">
        <f t="shared" si="7"/>
        <v>786085.44713600003</v>
      </c>
      <c r="N28" s="2588">
        <f t="shared" si="7"/>
        <v>811225.16788499989</v>
      </c>
      <c r="O28" s="2588">
        <f t="shared" si="7"/>
        <v>804228.45896933333</v>
      </c>
      <c r="P28" s="2588">
        <f t="shared" si="7"/>
        <v>812640.48563600006</v>
      </c>
      <c r="Q28" s="2588">
        <f t="shared" si="7"/>
        <v>957485.305636</v>
      </c>
      <c r="R28" s="2588">
        <f t="shared" si="7"/>
        <v>649707.44984433334</v>
      </c>
      <c r="S28" s="2588">
        <f t="shared" si="7"/>
        <v>798375.85983500001</v>
      </c>
      <c r="T28" s="2456"/>
    </row>
    <row r="29" spans="2:20" ht="14.25" thickBot="1" x14ac:dyDescent="0.3">
      <c r="B29" s="2455"/>
      <c r="C29" s="2580">
        <v>3.01</v>
      </c>
      <c r="D29" s="2581" t="s">
        <v>4184</v>
      </c>
      <c r="E29" s="2579"/>
      <c r="F29" s="2579"/>
      <c r="G29" s="2579"/>
      <c r="H29" s="2579">
        <f>'26.3 Mantto y Repsc EQUIPO'!G10</f>
        <v>421.500111</v>
      </c>
      <c r="I29" s="2579">
        <f>'26.3 Mantto y Repsc EQUIPO'!H10</f>
        <v>230319.473535</v>
      </c>
      <c r="J29" s="2579">
        <f>'26.3 Mantto y Repsc EQUIPO'!I10</f>
        <v>230335.66563599999</v>
      </c>
      <c r="K29" s="2579">
        <f>'26.3 Mantto y Repsc EQUIPO'!J10</f>
        <v>230335.66563599999</v>
      </c>
      <c r="L29" s="2579">
        <f>'26.3 Mantto y Repsc EQUIPO'!K10</f>
        <v>230335.66563599999</v>
      </c>
      <c r="M29" s="2579">
        <f>'26.3 Mantto y Repsc EQUIPO'!L10</f>
        <v>212680.48713600001</v>
      </c>
      <c r="N29" s="2579">
        <f>'26.3 Mantto y Repsc EQUIPO'!M10</f>
        <v>229916.45788499998</v>
      </c>
      <c r="O29" s="2579">
        <f>'26.3 Mantto y Repsc EQUIPO'!N10</f>
        <v>230335.66563599999</v>
      </c>
      <c r="P29" s="2579">
        <f>'26.3 Mantto y Repsc EQUIPO'!O10</f>
        <v>230335.66563599999</v>
      </c>
      <c r="Q29" s="2579">
        <f>'26.3 Mantto y Repsc EQUIPO'!P10</f>
        <v>230335.66563599999</v>
      </c>
      <c r="R29" s="2579">
        <f>'26.3 Mantto y Repsc EQUIPO'!Q10</f>
        <v>53930.906511000001</v>
      </c>
      <c r="S29" s="2579">
        <f>'26.3 Mantto y Repsc EQUIPO'!R10</f>
        <v>224970.89983499999</v>
      </c>
      <c r="T29" s="2456"/>
    </row>
    <row r="30" spans="2:20" ht="14.25" thickBot="1" x14ac:dyDescent="0.3">
      <c r="B30" s="2455"/>
      <c r="C30" s="2580"/>
      <c r="D30" s="2581"/>
      <c r="E30" s="2579"/>
      <c r="F30" s="2579"/>
      <c r="G30" s="2579"/>
      <c r="H30" s="2579"/>
      <c r="I30" s="2579"/>
      <c r="J30" s="2579"/>
      <c r="K30" s="2579"/>
      <c r="L30" s="2579"/>
      <c r="M30" s="2579"/>
      <c r="N30" s="2579"/>
      <c r="O30" s="2579"/>
      <c r="P30" s="2579"/>
      <c r="Q30" s="2579"/>
      <c r="R30" s="2579"/>
      <c r="S30" s="2579"/>
      <c r="T30" s="2456"/>
    </row>
    <row r="31" spans="2:20" ht="14.25" thickBot="1" x14ac:dyDescent="0.3">
      <c r="B31" s="2455"/>
      <c r="C31" s="2580">
        <v>3.02</v>
      </c>
      <c r="D31" s="2581" t="s">
        <v>4185</v>
      </c>
      <c r="E31" s="2579"/>
      <c r="F31" s="2579"/>
      <c r="G31" s="2579"/>
      <c r="H31" s="2579">
        <f>'26.4 Mantto INFRA'!K15</f>
        <v>568289.96</v>
      </c>
      <c r="I31" s="2579">
        <f>'26.4 Mantto INFRA'!L15</f>
        <v>573892.79333333333</v>
      </c>
      <c r="J31" s="2579">
        <f>'26.4 Mantto INFRA'!M15</f>
        <v>586423.71</v>
      </c>
      <c r="K31" s="2579">
        <f>'26.4 Mantto INFRA'!N15</f>
        <v>578509.5</v>
      </c>
      <c r="L31" s="2579">
        <f>'26.4 Mantto INFRA'!O15</f>
        <v>618297.79333333333</v>
      </c>
      <c r="M31" s="2579">
        <f>'26.4 Mantto INFRA'!P15</f>
        <v>573404.96</v>
      </c>
      <c r="N31" s="2579">
        <f>'26.4 Mantto INFRA'!Q15</f>
        <v>581308.71</v>
      </c>
      <c r="O31" s="2579">
        <f>'26.4 Mantto INFRA'!R15</f>
        <v>573892.79333333333</v>
      </c>
      <c r="P31" s="2579">
        <f>'26.4 Mantto INFRA'!S15</f>
        <v>582304.82000000007</v>
      </c>
      <c r="Q31" s="2579">
        <f>'26.4 Mantto INFRA'!T15</f>
        <v>727149.64</v>
      </c>
      <c r="R31" s="2579">
        <f>'26.4 Mantto INFRA'!U15</f>
        <v>595776.54333333333</v>
      </c>
      <c r="S31" s="2579">
        <f>'26.4 Mantto INFRA'!V15</f>
        <v>573404.96</v>
      </c>
      <c r="T31" s="2456"/>
    </row>
    <row r="32" spans="2:20" ht="14.25" thickBot="1" x14ac:dyDescent="0.3">
      <c r="B32" s="2455"/>
      <c r="C32" s="2582"/>
      <c r="D32" s="2583" t="s">
        <v>0</v>
      </c>
      <c r="E32" s="2589"/>
      <c r="F32" s="2589"/>
      <c r="G32" s="2589"/>
      <c r="H32" s="2584" t="e">
        <f>SUM(H15,H26,H28)</f>
        <v>#DIV/0!</v>
      </c>
      <c r="I32" s="2584" t="e">
        <f t="shared" ref="I32:S32" si="8">SUM(I15,I26,I28)</f>
        <v>#DIV/0!</v>
      </c>
      <c r="J32" s="2584" t="e">
        <f t="shared" si="8"/>
        <v>#DIV/0!</v>
      </c>
      <c r="K32" s="2584" t="e">
        <f t="shared" si="8"/>
        <v>#DIV/0!</v>
      </c>
      <c r="L32" s="2584" t="e">
        <f t="shared" si="8"/>
        <v>#DIV/0!</v>
      </c>
      <c r="M32" s="2584" t="e">
        <f t="shared" si="8"/>
        <v>#DIV/0!</v>
      </c>
      <c r="N32" s="2584" t="e">
        <f t="shared" si="8"/>
        <v>#DIV/0!</v>
      </c>
      <c r="O32" s="2584" t="e">
        <f t="shared" si="8"/>
        <v>#DIV/0!</v>
      </c>
      <c r="P32" s="2584" t="e">
        <f t="shared" si="8"/>
        <v>#DIV/0!</v>
      </c>
      <c r="Q32" s="2584" t="e">
        <f t="shared" si="8"/>
        <v>#DIV/0!</v>
      </c>
      <c r="R32" s="2584" t="e">
        <f t="shared" si="8"/>
        <v>#DIV/0!</v>
      </c>
      <c r="S32" s="2585" t="e">
        <f t="shared" si="8"/>
        <v>#DIV/0!</v>
      </c>
      <c r="T32" s="2456"/>
    </row>
    <row r="33" spans="2:20" x14ac:dyDescent="0.25">
      <c r="B33" s="2455"/>
      <c r="C33" s="598"/>
      <c r="D33" s="598"/>
      <c r="E33" s="598"/>
      <c r="F33" s="598"/>
      <c r="G33" s="598"/>
      <c r="H33" s="598"/>
      <c r="I33" s="598"/>
      <c r="J33" s="598"/>
      <c r="K33" s="598"/>
      <c r="L33" s="598"/>
      <c r="M33" s="598"/>
      <c r="N33" s="598"/>
      <c r="O33" s="598"/>
      <c r="P33" s="598"/>
      <c r="Q33" s="598"/>
      <c r="R33" s="598"/>
      <c r="S33" s="598"/>
      <c r="T33" s="2456"/>
    </row>
    <row r="34" spans="2:20" ht="14.25" thickBot="1" x14ac:dyDescent="0.3">
      <c r="B34" s="2455"/>
      <c r="C34" s="598"/>
      <c r="D34" s="598"/>
      <c r="E34" s="598"/>
      <c r="F34" s="598"/>
      <c r="G34" s="598"/>
      <c r="H34" s="598"/>
      <c r="I34" s="598"/>
      <c r="J34" s="598"/>
      <c r="K34" s="598"/>
      <c r="L34" s="598"/>
      <c r="M34" s="598"/>
      <c r="N34" s="598"/>
      <c r="O34" s="598"/>
      <c r="P34" s="598"/>
      <c r="Q34" s="598"/>
      <c r="R34" s="598"/>
      <c r="S34" s="598"/>
      <c r="T34" s="2456"/>
    </row>
    <row r="35" spans="2:20" ht="14.25" thickBot="1" x14ac:dyDescent="0.3">
      <c r="B35" s="2455"/>
      <c r="C35" s="598"/>
      <c r="D35" s="4885" t="s">
        <v>4031</v>
      </c>
      <c r="E35" s="4886"/>
      <c r="F35" s="598"/>
      <c r="G35" s="598"/>
      <c r="H35" s="598"/>
      <c r="I35" s="598"/>
      <c r="J35" s="598"/>
      <c r="K35" s="598"/>
      <c r="L35" s="598"/>
      <c r="M35" s="598"/>
      <c r="N35" s="598"/>
      <c r="O35" s="598"/>
      <c r="P35" s="598"/>
      <c r="Q35" s="598"/>
      <c r="R35" s="598"/>
      <c r="S35" s="598"/>
      <c r="T35" s="2456"/>
    </row>
    <row r="36" spans="2:20" ht="14.25" thickBot="1" x14ac:dyDescent="0.3">
      <c r="B36" s="2455"/>
      <c r="C36" s="598"/>
      <c r="D36" s="2474" t="s">
        <v>4032</v>
      </c>
      <c r="E36" s="2474">
        <f>1/1.08</f>
        <v>0.92592592592592582</v>
      </c>
      <c r="F36" s="598"/>
      <c r="G36" s="598"/>
      <c r="H36" s="598"/>
      <c r="I36" s="598"/>
      <c r="J36" s="598"/>
      <c r="K36" s="598"/>
      <c r="L36" s="598"/>
      <c r="M36" s="598"/>
      <c r="N36" s="598"/>
      <c r="O36" s="598"/>
      <c r="P36" s="598"/>
      <c r="Q36" s="598"/>
      <c r="R36" s="598"/>
      <c r="S36" s="598"/>
      <c r="T36" s="2456"/>
    </row>
    <row r="37" spans="2:20" ht="14.25" thickBot="1" x14ac:dyDescent="0.3">
      <c r="B37" s="2455"/>
      <c r="C37" s="598"/>
      <c r="D37" s="2474" t="s">
        <v>4033</v>
      </c>
      <c r="E37" s="2474">
        <f>1/1.18</f>
        <v>0.84745762711864414</v>
      </c>
      <c r="F37" s="598"/>
      <c r="G37" s="598"/>
      <c r="H37" s="598"/>
      <c r="I37" s="598"/>
      <c r="J37" s="598"/>
      <c r="K37" s="598"/>
      <c r="L37" s="598"/>
      <c r="M37" s="598"/>
      <c r="N37" s="598"/>
      <c r="O37" s="598"/>
      <c r="P37" s="598"/>
      <c r="Q37" s="598"/>
      <c r="R37" s="598"/>
      <c r="S37" s="598"/>
      <c r="T37" s="2456"/>
    </row>
    <row r="38" spans="2:20" x14ac:dyDescent="0.25">
      <c r="B38" s="2455"/>
      <c r="C38" s="598"/>
      <c r="D38" s="598" t="s">
        <v>4188</v>
      </c>
      <c r="E38" s="598"/>
      <c r="F38" s="598"/>
      <c r="G38" s="598"/>
      <c r="H38" s="598"/>
      <c r="I38" s="598"/>
      <c r="J38" s="598"/>
      <c r="K38" s="598"/>
      <c r="L38" s="598"/>
      <c r="M38" s="598"/>
      <c r="N38" s="598"/>
      <c r="O38" s="598"/>
      <c r="P38" s="598"/>
      <c r="Q38" s="598"/>
      <c r="R38" s="598"/>
      <c r="S38" s="598"/>
      <c r="T38" s="2456"/>
    </row>
    <row r="39" spans="2:20" x14ac:dyDescent="0.25">
      <c r="B39" s="2455"/>
      <c r="C39" s="598"/>
      <c r="D39" s="598"/>
      <c r="E39" s="598"/>
      <c r="F39" s="598"/>
      <c r="G39" s="598"/>
      <c r="H39" s="598"/>
      <c r="I39" s="598"/>
      <c r="J39" s="598"/>
      <c r="K39" s="598"/>
      <c r="L39" s="598"/>
      <c r="M39" s="598"/>
      <c r="N39" s="598"/>
      <c r="O39" s="598"/>
      <c r="P39" s="598"/>
      <c r="Q39" s="598"/>
      <c r="R39" s="598"/>
      <c r="S39" s="598"/>
      <c r="T39" s="2456"/>
    </row>
    <row r="40" spans="2:20" ht="14.25" thickBot="1" x14ac:dyDescent="0.3">
      <c r="B40" s="2455"/>
      <c r="C40" s="4895" t="s">
        <v>4186</v>
      </c>
      <c r="D40" s="4895"/>
      <c r="E40" s="4895"/>
      <c r="F40" s="4895"/>
      <c r="G40" s="4895"/>
      <c r="H40" s="4895"/>
      <c r="I40" s="4895"/>
      <c r="J40" s="4895"/>
      <c r="K40" s="4895"/>
      <c r="L40" s="4895"/>
      <c r="M40" s="4895"/>
      <c r="N40" s="4895"/>
      <c r="O40" s="4895"/>
      <c r="P40" s="4895"/>
      <c r="Q40" s="4895"/>
      <c r="R40" s="4895"/>
      <c r="S40" s="4895"/>
      <c r="T40" s="2456"/>
    </row>
    <row r="41" spans="2:20" ht="14.25" thickBot="1" x14ac:dyDescent="0.3">
      <c r="B41" s="2455"/>
      <c r="C41" s="4274" t="s">
        <v>3723</v>
      </c>
      <c r="D41" s="4889" t="s">
        <v>1898</v>
      </c>
      <c r="E41" s="1743">
        <v>1</v>
      </c>
      <c r="F41" s="1743">
        <f>E41+1</f>
        <v>2</v>
      </c>
      <c r="G41" s="1740">
        <f>F41+1</f>
        <v>3</v>
      </c>
      <c r="H41" s="1740">
        <f t="shared" ref="H41:R42" si="9">G41+1</f>
        <v>4</v>
      </c>
      <c r="I41" s="1740">
        <f t="shared" si="9"/>
        <v>5</v>
      </c>
      <c r="J41" s="1740">
        <f t="shared" si="9"/>
        <v>6</v>
      </c>
      <c r="K41" s="1740">
        <f t="shared" si="9"/>
        <v>7</v>
      </c>
      <c r="L41" s="1740">
        <f t="shared" si="9"/>
        <v>8</v>
      </c>
      <c r="M41" s="1740">
        <f t="shared" si="9"/>
        <v>9</v>
      </c>
      <c r="N41" s="1740">
        <f t="shared" si="9"/>
        <v>10</v>
      </c>
      <c r="O41" s="1740">
        <f t="shared" si="9"/>
        <v>11</v>
      </c>
      <c r="P41" s="1740">
        <f t="shared" si="9"/>
        <v>12</v>
      </c>
      <c r="Q41" s="1740">
        <f t="shared" si="9"/>
        <v>13</v>
      </c>
      <c r="R41" s="1740">
        <f t="shared" si="9"/>
        <v>14</v>
      </c>
      <c r="S41" s="1742">
        <f>R41+1</f>
        <v>15</v>
      </c>
      <c r="T41" s="2456"/>
    </row>
    <row r="42" spans="2:20" ht="15.75" customHeight="1" thickBot="1" x14ac:dyDescent="0.3">
      <c r="B42" s="2455"/>
      <c r="C42" s="4276"/>
      <c r="D42" s="4890"/>
      <c r="E42" s="1745">
        <v>2020</v>
      </c>
      <c r="F42" s="1745">
        <f>E42+1</f>
        <v>2021</v>
      </c>
      <c r="G42" s="1741">
        <f>F42+1</f>
        <v>2022</v>
      </c>
      <c r="H42" s="1741">
        <f t="shared" si="9"/>
        <v>2023</v>
      </c>
      <c r="I42" s="1741">
        <f t="shared" si="9"/>
        <v>2024</v>
      </c>
      <c r="J42" s="1741">
        <f t="shared" si="9"/>
        <v>2025</v>
      </c>
      <c r="K42" s="1741">
        <f t="shared" si="9"/>
        <v>2026</v>
      </c>
      <c r="L42" s="1741">
        <f t="shared" si="9"/>
        <v>2027</v>
      </c>
      <c r="M42" s="1741">
        <f t="shared" si="9"/>
        <v>2028</v>
      </c>
      <c r="N42" s="1741">
        <f t="shared" si="9"/>
        <v>2029</v>
      </c>
      <c r="O42" s="1741">
        <f t="shared" si="9"/>
        <v>2030</v>
      </c>
      <c r="P42" s="1741">
        <f t="shared" si="9"/>
        <v>2031</v>
      </c>
      <c r="Q42" s="1741">
        <f t="shared" si="9"/>
        <v>2032</v>
      </c>
      <c r="R42" s="1741">
        <f t="shared" si="9"/>
        <v>2033</v>
      </c>
      <c r="S42" s="1746">
        <f>R42+1</f>
        <v>2034</v>
      </c>
      <c r="T42" s="2456"/>
    </row>
    <row r="43" spans="2:20" ht="14.25" thickBot="1" x14ac:dyDescent="0.3">
      <c r="B43" s="2455"/>
      <c r="C43" s="2586" t="s">
        <v>4015</v>
      </c>
      <c r="D43" s="2587" t="s">
        <v>4016</v>
      </c>
      <c r="E43" s="2587"/>
      <c r="F43" s="2587"/>
      <c r="G43" s="2587"/>
      <c r="H43" s="2588" t="e">
        <f>SUM(H44,H47,H49)</f>
        <v>#DIV/0!</v>
      </c>
      <c r="I43" s="2588" t="e">
        <f t="shared" ref="I43:S43" si="10">SUM(I44,I47,I49)</f>
        <v>#DIV/0!</v>
      </c>
      <c r="J43" s="2588" t="e">
        <f t="shared" si="10"/>
        <v>#DIV/0!</v>
      </c>
      <c r="K43" s="2588" t="e">
        <f t="shared" si="10"/>
        <v>#DIV/0!</v>
      </c>
      <c r="L43" s="2588" t="e">
        <f t="shared" si="10"/>
        <v>#DIV/0!</v>
      </c>
      <c r="M43" s="2588" t="e">
        <f t="shared" si="10"/>
        <v>#DIV/0!</v>
      </c>
      <c r="N43" s="2588" t="e">
        <f t="shared" si="10"/>
        <v>#DIV/0!</v>
      </c>
      <c r="O43" s="2588" t="e">
        <f t="shared" si="10"/>
        <v>#DIV/0!</v>
      </c>
      <c r="P43" s="2588" t="e">
        <f t="shared" si="10"/>
        <v>#DIV/0!</v>
      </c>
      <c r="Q43" s="2588" t="e">
        <f t="shared" si="10"/>
        <v>#DIV/0!</v>
      </c>
      <c r="R43" s="2588" t="e">
        <f t="shared" si="10"/>
        <v>#DIV/0!</v>
      </c>
      <c r="S43" s="2588" t="e">
        <f t="shared" si="10"/>
        <v>#DIV/0!</v>
      </c>
      <c r="T43" s="2456"/>
    </row>
    <row r="44" spans="2:20" ht="14.25" thickBot="1" x14ac:dyDescent="0.3">
      <c r="B44" s="2455"/>
      <c r="C44" s="2466" t="s">
        <v>4166</v>
      </c>
      <c r="D44" s="2467" t="s">
        <v>4167</v>
      </c>
      <c r="E44" s="2467"/>
      <c r="F44" s="2467"/>
      <c r="G44" s="2467"/>
      <c r="H44" s="2577">
        <f>SUM(H45:H46)</f>
        <v>3470589.0370370368</v>
      </c>
      <c r="I44" s="2577">
        <f t="shared" ref="I44:S44" si="11">SUM(I45:I46)</f>
        <v>3470589.0370370368</v>
      </c>
      <c r="J44" s="2577">
        <f t="shared" si="11"/>
        <v>3552220.0740740732</v>
      </c>
      <c r="K44" s="2577">
        <f t="shared" si="11"/>
        <v>3552220.0740740732</v>
      </c>
      <c r="L44" s="2577">
        <f t="shared" si="11"/>
        <v>3552220.0740740732</v>
      </c>
      <c r="M44" s="2577">
        <f t="shared" si="11"/>
        <v>3601972.5555555546</v>
      </c>
      <c r="N44" s="2577">
        <f t="shared" si="11"/>
        <v>3601972.5555555546</v>
      </c>
      <c r="O44" s="2577">
        <f t="shared" si="11"/>
        <v>3741169.4814814809</v>
      </c>
      <c r="P44" s="2577">
        <f t="shared" si="11"/>
        <v>3741169.4814814809</v>
      </c>
      <c r="Q44" s="2577">
        <f t="shared" si="11"/>
        <v>3773778.7407407402</v>
      </c>
      <c r="R44" s="2577">
        <f t="shared" si="11"/>
        <v>3773778.7407407402</v>
      </c>
      <c r="S44" s="2577">
        <f t="shared" si="11"/>
        <v>3773778.7407407402</v>
      </c>
      <c r="T44" s="2456"/>
    </row>
    <row r="45" spans="2:20" ht="14.25" thickBot="1" x14ac:dyDescent="0.3">
      <c r="B45" s="2455"/>
      <c r="C45" s="2578" t="s">
        <v>4168</v>
      </c>
      <c r="D45" s="2578" t="s">
        <v>1833</v>
      </c>
      <c r="E45" s="2578"/>
      <c r="F45" s="2578"/>
      <c r="G45" s="2578"/>
      <c r="H45" s="2579">
        <f t="shared" ref="H45:S45" si="12">H17*$E36</f>
        <v>3005190.2592592593</v>
      </c>
      <c r="I45" s="2579">
        <f t="shared" si="12"/>
        <v>3005190.2592592593</v>
      </c>
      <c r="J45" s="2579">
        <f t="shared" si="12"/>
        <v>3086821.2962962957</v>
      </c>
      <c r="K45" s="2579">
        <f t="shared" si="12"/>
        <v>3086821.2962962957</v>
      </c>
      <c r="L45" s="2579">
        <f t="shared" si="12"/>
        <v>3086821.2962962957</v>
      </c>
      <c r="M45" s="2579">
        <f t="shared" si="12"/>
        <v>3136573.7777777771</v>
      </c>
      <c r="N45" s="2579">
        <f t="shared" si="12"/>
        <v>3136573.7777777771</v>
      </c>
      <c r="O45" s="2579">
        <f t="shared" si="12"/>
        <v>3275770.7037037034</v>
      </c>
      <c r="P45" s="2579">
        <f t="shared" si="12"/>
        <v>3275770.7037037034</v>
      </c>
      <c r="Q45" s="2579">
        <f t="shared" si="12"/>
        <v>3308379.9629629627</v>
      </c>
      <c r="R45" s="2579">
        <f t="shared" si="12"/>
        <v>3308379.9629629627</v>
      </c>
      <c r="S45" s="2579">
        <f t="shared" si="12"/>
        <v>3308379.9629629627</v>
      </c>
      <c r="T45" s="2456"/>
    </row>
    <row r="46" spans="2:20" ht="14.25" thickBot="1" x14ac:dyDescent="0.3">
      <c r="B46" s="2455"/>
      <c r="C46" s="2578" t="s">
        <v>4169</v>
      </c>
      <c r="D46" s="2578" t="s">
        <v>4170</v>
      </c>
      <c r="E46" s="2578"/>
      <c r="F46" s="2578"/>
      <c r="G46" s="2578"/>
      <c r="H46" s="2579">
        <f t="shared" ref="H46:S46" si="13">H18*$E36</f>
        <v>465398.77777777769</v>
      </c>
      <c r="I46" s="2579">
        <f t="shared" si="13"/>
        <v>465398.77777777769</v>
      </c>
      <c r="J46" s="2579">
        <f t="shared" si="13"/>
        <v>465398.77777777769</v>
      </c>
      <c r="K46" s="2579">
        <f t="shared" si="13"/>
        <v>465398.77777777769</v>
      </c>
      <c r="L46" s="2579">
        <f t="shared" si="13"/>
        <v>465398.77777777769</v>
      </c>
      <c r="M46" s="2579">
        <f t="shared" si="13"/>
        <v>465398.77777777769</v>
      </c>
      <c r="N46" s="2579">
        <f t="shared" si="13"/>
        <v>465398.77777777769</v>
      </c>
      <c r="O46" s="2579">
        <f t="shared" si="13"/>
        <v>465398.77777777769</v>
      </c>
      <c r="P46" s="2579">
        <f t="shared" si="13"/>
        <v>465398.77777777769</v>
      </c>
      <c r="Q46" s="2579">
        <f t="shared" si="13"/>
        <v>465398.77777777769</v>
      </c>
      <c r="R46" s="2579">
        <f t="shared" si="13"/>
        <v>465398.77777777769</v>
      </c>
      <c r="S46" s="2579">
        <f t="shared" si="13"/>
        <v>465398.77777777769</v>
      </c>
      <c r="T46" s="2456"/>
    </row>
    <row r="47" spans="2:20" ht="14.25" thickBot="1" x14ac:dyDescent="0.3">
      <c r="B47" s="2455"/>
      <c r="C47" s="2466" t="s">
        <v>4171</v>
      </c>
      <c r="D47" s="2467" t="s">
        <v>4172</v>
      </c>
      <c r="E47" s="2467"/>
      <c r="F47" s="2467"/>
      <c r="G47" s="2467"/>
      <c r="H47" s="2577" t="e">
        <f>SUM(H48)</f>
        <v>#DIV/0!</v>
      </c>
      <c r="I47" s="2577" t="e">
        <f t="shared" ref="I47:S47" si="14">SUM(I48)</f>
        <v>#DIV/0!</v>
      </c>
      <c r="J47" s="2577" t="e">
        <f t="shared" si="14"/>
        <v>#DIV/0!</v>
      </c>
      <c r="K47" s="2577" t="e">
        <f t="shared" si="14"/>
        <v>#DIV/0!</v>
      </c>
      <c r="L47" s="2577" t="e">
        <f t="shared" si="14"/>
        <v>#DIV/0!</v>
      </c>
      <c r="M47" s="2577" t="e">
        <f t="shared" si="14"/>
        <v>#DIV/0!</v>
      </c>
      <c r="N47" s="2577" t="e">
        <f t="shared" si="14"/>
        <v>#DIV/0!</v>
      </c>
      <c r="O47" s="2577" t="e">
        <f t="shared" si="14"/>
        <v>#DIV/0!</v>
      </c>
      <c r="P47" s="2577" t="e">
        <f t="shared" si="14"/>
        <v>#DIV/0!</v>
      </c>
      <c r="Q47" s="2577" t="e">
        <f t="shared" si="14"/>
        <v>#DIV/0!</v>
      </c>
      <c r="R47" s="2577" t="e">
        <f t="shared" si="14"/>
        <v>#DIV/0!</v>
      </c>
      <c r="S47" s="2577" t="e">
        <f t="shared" si="14"/>
        <v>#DIV/0!</v>
      </c>
      <c r="T47" s="2456"/>
    </row>
    <row r="48" spans="2:20" ht="14.25" thickBot="1" x14ac:dyDescent="0.3">
      <c r="B48" s="2455"/>
      <c r="C48" s="2578" t="s">
        <v>4173</v>
      </c>
      <c r="D48" s="2578" t="s">
        <v>4172</v>
      </c>
      <c r="E48" s="2578"/>
      <c r="F48" s="2578"/>
      <c r="G48" s="2578"/>
      <c r="H48" s="2579" t="e">
        <f t="shared" ref="H48:S48" si="15">H20*$E37</f>
        <v>#DIV/0!</v>
      </c>
      <c r="I48" s="2579" t="e">
        <f t="shared" si="15"/>
        <v>#DIV/0!</v>
      </c>
      <c r="J48" s="2579" t="e">
        <f t="shared" si="15"/>
        <v>#DIV/0!</v>
      </c>
      <c r="K48" s="2579" t="e">
        <f t="shared" si="15"/>
        <v>#DIV/0!</v>
      </c>
      <c r="L48" s="2579" t="e">
        <f t="shared" si="15"/>
        <v>#DIV/0!</v>
      </c>
      <c r="M48" s="2579" t="e">
        <f t="shared" si="15"/>
        <v>#DIV/0!</v>
      </c>
      <c r="N48" s="2579" t="e">
        <f t="shared" si="15"/>
        <v>#DIV/0!</v>
      </c>
      <c r="O48" s="2579" t="e">
        <f t="shared" si="15"/>
        <v>#DIV/0!</v>
      </c>
      <c r="P48" s="2579" t="e">
        <f t="shared" si="15"/>
        <v>#DIV/0!</v>
      </c>
      <c r="Q48" s="2579" t="e">
        <f t="shared" si="15"/>
        <v>#DIV/0!</v>
      </c>
      <c r="R48" s="2579" t="e">
        <f t="shared" si="15"/>
        <v>#DIV/0!</v>
      </c>
      <c r="S48" s="2579" t="e">
        <f t="shared" si="15"/>
        <v>#DIV/0!</v>
      </c>
      <c r="T48" s="2456"/>
    </row>
    <row r="49" spans="2:28" ht="14.25" thickBot="1" x14ac:dyDescent="0.3">
      <c r="B49" s="2455"/>
      <c r="C49" s="2466" t="s">
        <v>4174</v>
      </c>
      <c r="D49" s="2467" t="s">
        <v>4175</v>
      </c>
      <c r="E49" s="2467"/>
      <c r="F49" s="2467"/>
      <c r="G49" s="2467"/>
      <c r="H49" s="2577">
        <f>SUM(H50:H53)</f>
        <v>14529.16677966102</v>
      </c>
      <c r="I49" s="2577">
        <f t="shared" ref="I49:S49" si="16">SUM(I50:I53)</f>
        <v>14529.16677966102</v>
      </c>
      <c r="J49" s="2577">
        <f t="shared" si="16"/>
        <v>14529.16677966102</v>
      </c>
      <c r="K49" s="2577">
        <f t="shared" si="16"/>
        <v>14529.16677966102</v>
      </c>
      <c r="L49" s="2577">
        <f t="shared" si="16"/>
        <v>14529.16677966102</v>
      </c>
      <c r="M49" s="2577">
        <f t="shared" si="16"/>
        <v>14529.16677966102</v>
      </c>
      <c r="N49" s="2577">
        <f t="shared" si="16"/>
        <v>14529.16677966102</v>
      </c>
      <c r="O49" s="2577">
        <f t="shared" si="16"/>
        <v>14529.16677966102</v>
      </c>
      <c r="P49" s="2577">
        <f t="shared" si="16"/>
        <v>14529.16677966102</v>
      </c>
      <c r="Q49" s="2577">
        <f t="shared" si="16"/>
        <v>14529.16677966102</v>
      </c>
      <c r="R49" s="2577">
        <f t="shared" si="16"/>
        <v>14529.16677966102</v>
      </c>
      <c r="S49" s="2577">
        <f t="shared" si="16"/>
        <v>14529.16677966102</v>
      </c>
      <c r="T49" s="2456"/>
    </row>
    <row r="50" spans="2:28" ht="14.25" thickBot="1" x14ac:dyDescent="0.3">
      <c r="B50" s="2455"/>
      <c r="C50" s="2578" t="s">
        <v>4176</v>
      </c>
      <c r="D50" s="2578" t="s">
        <v>4177</v>
      </c>
      <c r="E50" s="2578"/>
      <c r="F50" s="2578"/>
      <c r="G50" s="2578"/>
      <c r="H50" s="2579">
        <f t="shared" ref="H50:S50" si="17">H22*$E37</f>
        <v>6647.8108474576284</v>
      </c>
      <c r="I50" s="2579">
        <f t="shared" si="17"/>
        <v>6647.8108474576284</v>
      </c>
      <c r="J50" s="2579">
        <f t="shared" si="17"/>
        <v>6647.8108474576284</v>
      </c>
      <c r="K50" s="2579">
        <f t="shared" si="17"/>
        <v>6647.8108474576284</v>
      </c>
      <c r="L50" s="2579">
        <f t="shared" si="17"/>
        <v>6647.8108474576284</v>
      </c>
      <c r="M50" s="2579">
        <f t="shared" si="17"/>
        <v>6647.8108474576284</v>
      </c>
      <c r="N50" s="2579">
        <f t="shared" si="17"/>
        <v>6647.8108474576284</v>
      </c>
      <c r="O50" s="2579">
        <f t="shared" si="17"/>
        <v>6647.8108474576284</v>
      </c>
      <c r="P50" s="2579">
        <f t="shared" si="17"/>
        <v>6647.8108474576284</v>
      </c>
      <c r="Q50" s="2579">
        <f t="shared" si="17"/>
        <v>6647.8108474576284</v>
      </c>
      <c r="R50" s="2579">
        <f t="shared" si="17"/>
        <v>6647.8108474576284</v>
      </c>
      <c r="S50" s="2579">
        <f t="shared" si="17"/>
        <v>6647.8108474576284</v>
      </c>
      <c r="T50" s="2456"/>
    </row>
    <row r="51" spans="2:28" ht="14.25" thickBot="1" x14ac:dyDescent="0.3">
      <c r="B51" s="2455"/>
      <c r="C51" s="2578" t="s">
        <v>4178</v>
      </c>
      <c r="D51" s="2578" t="s">
        <v>4179</v>
      </c>
      <c r="E51" s="2578"/>
      <c r="F51" s="2578"/>
      <c r="G51" s="2578"/>
      <c r="H51" s="2579">
        <f t="shared" ref="H51:S51" si="18">H23*$E37</f>
        <v>305.08474576271192</v>
      </c>
      <c r="I51" s="2579">
        <f t="shared" si="18"/>
        <v>305.08474576271192</v>
      </c>
      <c r="J51" s="2579">
        <f t="shared" si="18"/>
        <v>305.08474576271192</v>
      </c>
      <c r="K51" s="2579">
        <f t="shared" si="18"/>
        <v>305.08474576271192</v>
      </c>
      <c r="L51" s="2579">
        <f t="shared" si="18"/>
        <v>305.08474576271192</v>
      </c>
      <c r="M51" s="2579">
        <f t="shared" si="18"/>
        <v>305.08474576271192</v>
      </c>
      <c r="N51" s="2579">
        <f t="shared" si="18"/>
        <v>305.08474576271192</v>
      </c>
      <c r="O51" s="2579">
        <f t="shared" si="18"/>
        <v>305.08474576271192</v>
      </c>
      <c r="P51" s="2579">
        <f t="shared" si="18"/>
        <v>305.08474576271192</v>
      </c>
      <c r="Q51" s="2579">
        <f t="shared" si="18"/>
        <v>305.08474576271192</v>
      </c>
      <c r="R51" s="2579">
        <f t="shared" si="18"/>
        <v>305.08474576271192</v>
      </c>
      <c r="S51" s="2579">
        <f t="shared" si="18"/>
        <v>305.08474576271192</v>
      </c>
      <c r="T51" s="2456"/>
      <c r="AB51" s="691" t="s">
        <v>1639</v>
      </c>
    </row>
    <row r="52" spans="2:28" ht="14.25" thickBot="1" x14ac:dyDescent="0.3">
      <c r="B52" s="2455"/>
      <c r="C52" s="2578" t="s">
        <v>4180</v>
      </c>
      <c r="D52" s="2578" t="s">
        <v>4181</v>
      </c>
      <c r="E52" s="2578"/>
      <c r="F52" s="2578"/>
      <c r="G52" s="2578"/>
      <c r="H52" s="2579">
        <f t="shared" ref="H52:S52" si="19">H24*$E37</f>
        <v>966.10169491525437</v>
      </c>
      <c r="I52" s="2579">
        <f t="shared" si="19"/>
        <v>966.10169491525437</v>
      </c>
      <c r="J52" s="2579">
        <f t="shared" si="19"/>
        <v>966.10169491525437</v>
      </c>
      <c r="K52" s="2579">
        <f t="shared" si="19"/>
        <v>966.10169491525437</v>
      </c>
      <c r="L52" s="2579">
        <f t="shared" si="19"/>
        <v>966.10169491525437</v>
      </c>
      <c r="M52" s="2579">
        <f t="shared" si="19"/>
        <v>966.10169491525437</v>
      </c>
      <c r="N52" s="2579">
        <f t="shared" si="19"/>
        <v>966.10169491525437</v>
      </c>
      <c r="O52" s="2579">
        <f t="shared" si="19"/>
        <v>966.10169491525437</v>
      </c>
      <c r="P52" s="2579">
        <f t="shared" si="19"/>
        <v>966.10169491525437</v>
      </c>
      <c r="Q52" s="2579">
        <f t="shared" si="19"/>
        <v>966.10169491525437</v>
      </c>
      <c r="R52" s="2579">
        <f t="shared" si="19"/>
        <v>966.10169491525437</v>
      </c>
      <c r="S52" s="2579">
        <f t="shared" si="19"/>
        <v>966.10169491525437</v>
      </c>
      <c r="T52" s="2456"/>
    </row>
    <row r="53" spans="2:28" ht="14.25" thickBot="1" x14ac:dyDescent="0.3">
      <c r="B53" s="2455"/>
      <c r="C53" s="2578" t="s">
        <v>4182</v>
      </c>
      <c r="D53" s="2578" t="s">
        <v>4183</v>
      </c>
      <c r="E53" s="2578"/>
      <c r="F53" s="2578"/>
      <c r="G53" s="2578"/>
      <c r="H53" s="2579">
        <f t="shared" ref="H53:S53" si="20">H25*$E37</f>
        <v>6610.1694915254247</v>
      </c>
      <c r="I53" s="2579">
        <f t="shared" si="20"/>
        <v>6610.1694915254247</v>
      </c>
      <c r="J53" s="2579">
        <f t="shared" si="20"/>
        <v>6610.1694915254247</v>
      </c>
      <c r="K53" s="2579">
        <f t="shared" si="20"/>
        <v>6610.1694915254247</v>
      </c>
      <c r="L53" s="2579">
        <f t="shared" si="20"/>
        <v>6610.1694915254247</v>
      </c>
      <c r="M53" s="2579">
        <f t="shared" si="20"/>
        <v>6610.1694915254247</v>
      </c>
      <c r="N53" s="2579">
        <f t="shared" si="20"/>
        <v>6610.1694915254247</v>
      </c>
      <c r="O53" s="2579">
        <f t="shared" si="20"/>
        <v>6610.1694915254247</v>
      </c>
      <c r="P53" s="2579">
        <f t="shared" si="20"/>
        <v>6610.1694915254247</v>
      </c>
      <c r="Q53" s="2579">
        <f t="shared" si="20"/>
        <v>6610.1694915254247</v>
      </c>
      <c r="R53" s="2579">
        <f t="shared" si="20"/>
        <v>6610.1694915254247</v>
      </c>
      <c r="S53" s="2579">
        <f t="shared" si="20"/>
        <v>6610.1694915254247</v>
      </c>
      <c r="T53" s="2456"/>
    </row>
    <row r="54" spans="2:28" ht="14.25" thickBot="1" x14ac:dyDescent="0.3">
      <c r="B54" s="2455"/>
      <c r="C54" s="2586">
        <v>2</v>
      </c>
      <c r="D54" s="2587"/>
      <c r="E54" s="2587"/>
      <c r="F54" s="2587"/>
      <c r="G54" s="2587"/>
      <c r="H54" s="2588"/>
      <c r="I54" s="2588"/>
      <c r="J54" s="2588"/>
      <c r="K54" s="2588"/>
      <c r="L54" s="2588"/>
      <c r="M54" s="2588"/>
      <c r="N54" s="2588"/>
      <c r="O54" s="2588"/>
      <c r="P54" s="2588"/>
      <c r="Q54" s="2588"/>
      <c r="R54" s="2588"/>
      <c r="S54" s="2588"/>
      <c r="T54" s="2456"/>
    </row>
    <row r="55" spans="2:28" ht="14.25" thickBot="1" x14ac:dyDescent="0.3">
      <c r="B55" s="2455"/>
      <c r="C55" s="2580">
        <v>2.0099999999999998</v>
      </c>
      <c r="D55" s="2581"/>
      <c r="E55" s="2581"/>
      <c r="F55" s="2581"/>
      <c r="G55" s="2581"/>
      <c r="H55" s="2579"/>
      <c r="I55" s="2579"/>
      <c r="J55" s="2579"/>
      <c r="K55" s="2579"/>
      <c r="L55" s="2579"/>
      <c r="M55" s="2579"/>
      <c r="N55" s="2579"/>
      <c r="O55" s="2579"/>
      <c r="P55" s="2579"/>
      <c r="Q55" s="2579"/>
      <c r="R55" s="2579"/>
      <c r="S55" s="2579"/>
      <c r="T55" s="2456"/>
    </row>
    <row r="56" spans="2:28" ht="14.25" thickBot="1" x14ac:dyDescent="0.3">
      <c r="B56" s="2455"/>
      <c r="C56" s="2586">
        <v>3</v>
      </c>
      <c r="D56" s="2587" t="s">
        <v>4028</v>
      </c>
      <c r="E56" s="2587"/>
      <c r="F56" s="2587"/>
      <c r="G56" s="2587"/>
      <c r="H56" s="2588">
        <f>SUM(H57:H59)</f>
        <v>481958.86450084747</v>
      </c>
      <c r="I56" s="2588">
        <f t="shared" ref="I56:S56" si="21">SUM(I57:I59)</f>
        <v>681535.81937994354</v>
      </c>
      <c r="J56" s="2588">
        <f t="shared" si="21"/>
        <v>692168.96240338986</v>
      </c>
      <c r="K56" s="2588">
        <f t="shared" si="21"/>
        <v>685462.00477627129</v>
      </c>
      <c r="L56" s="2588">
        <f t="shared" si="21"/>
        <v>719180.89743163844</v>
      </c>
      <c r="M56" s="2588">
        <f t="shared" si="21"/>
        <v>666174.1077423729</v>
      </c>
      <c r="N56" s="2588">
        <f t="shared" si="21"/>
        <v>687478.95583474578</v>
      </c>
      <c r="O56" s="2588">
        <f t="shared" si="21"/>
        <v>681549.54149943509</v>
      </c>
      <c r="P56" s="2588">
        <f t="shared" si="21"/>
        <v>688678.37765762722</v>
      </c>
      <c r="Q56" s="2588">
        <f t="shared" si="21"/>
        <v>811428.22511525429</v>
      </c>
      <c r="R56" s="2588">
        <f t="shared" si="21"/>
        <v>550599.53376638424</v>
      </c>
      <c r="S56" s="2588">
        <f t="shared" si="21"/>
        <v>676589.71172457631</v>
      </c>
      <c r="T56" s="2456"/>
    </row>
    <row r="57" spans="2:28" ht="14.25" thickBot="1" x14ac:dyDescent="0.3">
      <c r="B57" s="2455"/>
      <c r="C57" s="2580">
        <v>3.01</v>
      </c>
      <c r="D57" s="2581" t="s">
        <v>4184</v>
      </c>
      <c r="E57" s="2581"/>
      <c r="F57" s="2581"/>
      <c r="G57" s="2581"/>
      <c r="H57" s="2579">
        <f t="shared" ref="H57:S57" si="22">H29*$E37</f>
        <v>357.20348389830514</v>
      </c>
      <c r="I57" s="2579">
        <f t="shared" si="22"/>
        <v>195185.99452118645</v>
      </c>
      <c r="J57" s="2579">
        <f t="shared" si="22"/>
        <v>195199.71664067797</v>
      </c>
      <c r="K57" s="2579">
        <f t="shared" si="22"/>
        <v>195199.71664067797</v>
      </c>
      <c r="L57" s="2579">
        <f t="shared" si="22"/>
        <v>195199.71664067797</v>
      </c>
      <c r="M57" s="2579">
        <f t="shared" si="22"/>
        <v>180237.70096271188</v>
      </c>
      <c r="N57" s="2579">
        <f t="shared" si="22"/>
        <v>194844.45583474575</v>
      </c>
      <c r="O57" s="2579">
        <f t="shared" si="22"/>
        <v>195199.71664067797</v>
      </c>
      <c r="P57" s="2579">
        <f t="shared" si="22"/>
        <v>195199.71664067797</v>
      </c>
      <c r="Q57" s="2579">
        <f t="shared" si="22"/>
        <v>195199.71664067797</v>
      </c>
      <c r="R57" s="2579">
        <f t="shared" si="22"/>
        <v>45704.158060169495</v>
      </c>
      <c r="S57" s="2579">
        <f t="shared" si="22"/>
        <v>190653.30494491526</v>
      </c>
      <c r="T57" s="2456"/>
    </row>
    <row r="58" spans="2:28" ht="14.25" hidden="1" thickBot="1" x14ac:dyDescent="0.3">
      <c r="B58" s="2455"/>
      <c r="C58" s="2580"/>
      <c r="D58" s="2581"/>
      <c r="E58" s="2581"/>
      <c r="F58" s="2581"/>
      <c r="G58" s="2581"/>
      <c r="H58" s="2579"/>
      <c r="I58" s="2579"/>
      <c r="J58" s="2579"/>
      <c r="K58" s="2579"/>
      <c r="L58" s="2579"/>
      <c r="M58" s="2579"/>
      <c r="N58" s="2579"/>
      <c r="O58" s="2579"/>
      <c r="P58" s="2579"/>
      <c r="Q58" s="2579"/>
      <c r="R58" s="2579"/>
      <c r="S58" s="2579"/>
      <c r="T58" s="2456"/>
    </row>
    <row r="59" spans="2:28" ht="14.25" thickBot="1" x14ac:dyDescent="0.3">
      <c r="B59" s="2455"/>
      <c r="C59" s="2580">
        <v>3.02</v>
      </c>
      <c r="D59" s="2581" t="s">
        <v>4185</v>
      </c>
      <c r="E59" s="2581"/>
      <c r="F59" s="2581"/>
      <c r="G59" s="2581"/>
      <c r="H59" s="2579">
        <f>H31*$E37</f>
        <v>481601.66101694916</v>
      </c>
      <c r="I59" s="2579">
        <f t="shared" ref="I59:S59" si="23">I31*$E37</f>
        <v>486349.82485875709</v>
      </c>
      <c r="J59" s="2579">
        <f t="shared" si="23"/>
        <v>496969.24576271186</v>
      </c>
      <c r="K59" s="2579">
        <f t="shared" si="23"/>
        <v>490262.28813559329</v>
      </c>
      <c r="L59" s="2579">
        <f t="shared" si="23"/>
        <v>523981.1807909605</v>
      </c>
      <c r="M59" s="2579">
        <f t="shared" si="23"/>
        <v>485936.40677966102</v>
      </c>
      <c r="N59" s="2579">
        <f t="shared" si="23"/>
        <v>492634.5</v>
      </c>
      <c r="O59" s="2579">
        <f t="shared" si="23"/>
        <v>486349.82485875709</v>
      </c>
      <c r="P59" s="2579">
        <f t="shared" si="23"/>
        <v>493478.66101694928</v>
      </c>
      <c r="Q59" s="2579">
        <f t="shared" si="23"/>
        <v>616228.50847457629</v>
      </c>
      <c r="R59" s="2579">
        <f t="shared" si="23"/>
        <v>504895.37570621475</v>
      </c>
      <c r="S59" s="2579">
        <f t="shared" si="23"/>
        <v>485936.40677966102</v>
      </c>
      <c r="T59" s="2456"/>
    </row>
    <row r="60" spans="2:28" ht="14.25" thickBot="1" x14ac:dyDescent="0.3">
      <c r="B60" s="2455"/>
      <c r="C60" s="2582"/>
      <c r="D60" s="2583" t="s">
        <v>0</v>
      </c>
      <c r="E60" s="2583"/>
      <c r="F60" s="2583"/>
      <c r="G60" s="2583"/>
      <c r="H60" s="2584" t="e">
        <f>SUM(H43,H54,H56)</f>
        <v>#DIV/0!</v>
      </c>
      <c r="I60" s="2584" t="e">
        <f t="shared" ref="I60:R60" si="24">SUM(I43,I54,I56)</f>
        <v>#DIV/0!</v>
      </c>
      <c r="J60" s="2584" t="e">
        <f t="shared" si="24"/>
        <v>#DIV/0!</v>
      </c>
      <c r="K60" s="2584" t="e">
        <f t="shared" si="24"/>
        <v>#DIV/0!</v>
      </c>
      <c r="L60" s="2584" t="e">
        <f t="shared" si="24"/>
        <v>#DIV/0!</v>
      </c>
      <c r="M60" s="2584" t="e">
        <f t="shared" si="24"/>
        <v>#DIV/0!</v>
      </c>
      <c r="N60" s="2584" t="e">
        <f t="shared" si="24"/>
        <v>#DIV/0!</v>
      </c>
      <c r="O60" s="2584" t="e">
        <f t="shared" si="24"/>
        <v>#DIV/0!</v>
      </c>
      <c r="P60" s="2584" t="e">
        <f t="shared" si="24"/>
        <v>#DIV/0!</v>
      </c>
      <c r="Q60" s="2584" t="e">
        <f t="shared" si="24"/>
        <v>#DIV/0!</v>
      </c>
      <c r="R60" s="2584" t="e">
        <f t="shared" si="24"/>
        <v>#DIV/0!</v>
      </c>
      <c r="S60" s="2585" t="e">
        <f>SUM(S43,S54,S56)</f>
        <v>#DIV/0!</v>
      </c>
      <c r="T60" s="2456"/>
    </row>
    <row r="61" spans="2:28" x14ac:dyDescent="0.25">
      <c r="B61" s="2455"/>
      <c r="C61" s="598"/>
      <c r="D61" s="598"/>
      <c r="E61" s="598"/>
      <c r="F61" s="598"/>
      <c r="G61" s="598"/>
      <c r="H61" s="598"/>
      <c r="I61" s="598"/>
      <c r="J61" s="598"/>
      <c r="K61" s="598"/>
      <c r="L61" s="598"/>
      <c r="M61" s="598"/>
      <c r="N61" s="598"/>
      <c r="O61" s="598"/>
      <c r="P61" s="598"/>
      <c r="Q61" s="598"/>
      <c r="R61" s="598"/>
      <c r="S61" s="598"/>
      <c r="T61" s="2456"/>
    </row>
    <row r="62" spans="2:28" ht="14.25" thickBot="1" x14ac:dyDescent="0.3">
      <c r="B62" s="2458"/>
      <c r="C62" s="2459"/>
      <c r="D62" s="2459"/>
      <c r="E62" s="2459"/>
      <c r="F62" s="2459"/>
      <c r="G62" s="2459"/>
      <c r="H62" s="2459"/>
      <c r="I62" s="2459"/>
      <c r="J62" s="2459"/>
      <c r="K62" s="2459"/>
      <c r="L62" s="2459"/>
      <c r="M62" s="2459"/>
      <c r="N62" s="2459"/>
      <c r="O62" s="2459"/>
      <c r="P62" s="2459"/>
      <c r="Q62" s="2459"/>
      <c r="R62" s="2459"/>
      <c r="S62" s="2459"/>
      <c r="T62" s="2460"/>
    </row>
  </sheetData>
  <mergeCells count="9">
    <mergeCell ref="D41:D42"/>
    <mergeCell ref="C41:C42"/>
    <mergeCell ref="D13:D14"/>
    <mergeCell ref="C13:C14"/>
    <mergeCell ref="C4:S4"/>
    <mergeCell ref="C6:S6"/>
    <mergeCell ref="C12:S12"/>
    <mergeCell ref="D35:E35"/>
    <mergeCell ref="C40:S40"/>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C000"/>
  </sheetPr>
  <dimension ref="A1:AS240"/>
  <sheetViews>
    <sheetView zoomScale="85" zoomScaleNormal="85" workbookViewId="0">
      <selection activeCell="I67" sqref="I67"/>
    </sheetView>
  </sheetViews>
  <sheetFormatPr baseColWidth="10" defaultColWidth="11.5703125" defaultRowHeight="13.5" x14ac:dyDescent="0.25"/>
  <cols>
    <col min="1" max="2" width="4.7109375" style="691" customWidth="1"/>
    <col min="3" max="3" width="33.28515625" style="691" customWidth="1"/>
    <col min="4" max="6" width="8.42578125" style="691" customWidth="1"/>
    <col min="7" max="20" width="9.85546875" style="691" customWidth="1"/>
    <col min="21" max="21" width="12.140625" style="691" customWidth="1"/>
    <col min="22" max="22" width="11.5703125" style="691"/>
    <col min="23" max="23" width="6.42578125" style="691" customWidth="1"/>
    <col min="24" max="24" width="11.5703125" style="691"/>
    <col min="25" max="25" width="42.42578125" style="691" customWidth="1"/>
    <col min="26" max="28" width="12.42578125" style="691" bestFit="1" customWidth="1"/>
    <col min="29" max="42" width="14.28515625" style="691" bestFit="1" customWidth="1"/>
    <col min="43" max="16384" width="11.5703125" style="691"/>
  </cols>
  <sheetData>
    <row r="1" spans="2:23" ht="14.25" thickBot="1" x14ac:dyDescent="0.3">
      <c r="B1" s="2447"/>
      <c r="C1" s="2447"/>
    </row>
    <row r="2" spans="2:23" x14ac:dyDescent="0.25">
      <c r="B2" s="2452"/>
      <c r="C2" s="2453"/>
      <c r="D2" s="2453"/>
      <c r="E2" s="2453"/>
      <c r="F2" s="2453"/>
      <c r="G2" s="2453"/>
      <c r="H2" s="2453"/>
      <c r="I2" s="2453"/>
      <c r="J2" s="2453"/>
      <c r="K2" s="2453"/>
      <c r="L2" s="2453"/>
      <c r="M2" s="2453"/>
      <c r="N2" s="2453"/>
      <c r="O2" s="2453"/>
      <c r="P2" s="2453"/>
      <c r="Q2" s="2453"/>
      <c r="R2" s="2453"/>
      <c r="S2" s="2453"/>
      <c r="T2" s="2453"/>
      <c r="U2" s="2453"/>
      <c r="V2" s="2453"/>
      <c r="W2" s="2454"/>
    </row>
    <row r="3" spans="2:23" x14ac:dyDescent="0.25">
      <c r="B3" s="2455"/>
      <c r="C3" s="598"/>
      <c r="D3" s="598"/>
      <c r="E3" s="598"/>
      <c r="F3" s="598"/>
      <c r="G3" s="598"/>
      <c r="H3" s="598"/>
      <c r="I3" s="598"/>
      <c r="J3" s="598"/>
      <c r="K3" s="598"/>
      <c r="L3" s="598"/>
      <c r="M3" s="598"/>
      <c r="N3" s="598"/>
      <c r="O3" s="598"/>
      <c r="P3" s="598"/>
      <c r="Q3" s="598"/>
      <c r="R3" s="598"/>
      <c r="S3" s="598"/>
      <c r="T3" s="598"/>
      <c r="U3" s="598"/>
      <c r="V3" s="598"/>
      <c r="W3" s="2456"/>
    </row>
    <row r="4" spans="2:23" x14ac:dyDescent="0.25">
      <c r="B4" s="2455"/>
      <c r="C4" s="4894" t="s">
        <v>4203</v>
      </c>
      <c r="D4" s="4894"/>
      <c r="E4" s="4894"/>
      <c r="F4" s="4894"/>
      <c r="G4" s="4894"/>
      <c r="H4" s="4894"/>
      <c r="I4" s="4894"/>
      <c r="J4" s="4894"/>
      <c r="K4" s="4894"/>
      <c r="L4" s="4894"/>
      <c r="M4" s="4894"/>
      <c r="N4" s="4894"/>
      <c r="O4" s="4894"/>
      <c r="P4" s="4894"/>
      <c r="Q4" s="4894"/>
      <c r="R4" s="4894"/>
      <c r="S4" s="4894"/>
      <c r="T4" s="4894"/>
      <c r="U4" s="4894"/>
      <c r="V4" s="598"/>
      <c r="W4" s="2456"/>
    </row>
    <row r="5" spans="2:23" x14ac:dyDescent="0.25">
      <c r="B5" s="2455"/>
      <c r="C5" s="598"/>
      <c r="D5" s="598"/>
      <c r="E5" s="598"/>
      <c r="F5" s="598"/>
      <c r="G5" s="598"/>
      <c r="H5" s="598"/>
      <c r="I5" s="598"/>
      <c r="J5" s="598"/>
      <c r="K5" s="598"/>
      <c r="L5" s="598"/>
      <c r="M5" s="598"/>
      <c r="N5" s="598"/>
      <c r="O5" s="598"/>
      <c r="P5" s="598"/>
      <c r="Q5" s="598"/>
      <c r="R5" s="598"/>
      <c r="S5" s="598"/>
      <c r="T5" s="598"/>
      <c r="U5" s="598"/>
      <c r="V5" s="598"/>
      <c r="W5" s="2456"/>
    </row>
    <row r="6" spans="2:23" x14ac:dyDescent="0.25">
      <c r="B6" s="2455"/>
      <c r="C6" s="598"/>
      <c r="D6" s="598"/>
      <c r="E6" s="598"/>
      <c r="F6" s="598"/>
      <c r="G6" s="598"/>
      <c r="H6" s="598"/>
      <c r="I6" s="598"/>
      <c r="J6" s="598"/>
      <c r="K6" s="598"/>
      <c r="L6" s="598"/>
      <c r="M6" s="598"/>
      <c r="N6" s="598"/>
      <c r="O6" s="598"/>
      <c r="P6" s="598"/>
      <c r="Q6" s="598"/>
      <c r="R6" s="598"/>
      <c r="S6" s="598"/>
      <c r="T6" s="598"/>
      <c r="U6" s="598"/>
      <c r="V6" s="598"/>
      <c r="W6" s="2456"/>
    </row>
    <row r="7" spans="2:23" x14ac:dyDescent="0.25">
      <c r="B7" s="2455"/>
      <c r="C7" s="598"/>
      <c r="D7" s="598"/>
      <c r="E7" s="598"/>
      <c r="F7" s="598"/>
      <c r="G7" s="598"/>
      <c r="H7" s="598"/>
      <c r="I7" s="598"/>
      <c r="J7" s="598"/>
      <c r="K7" s="598"/>
      <c r="L7" s="598"/>
      <c r="M7" s="598"/>
      <c r="N7" s="598"/>
      <c r="O7" s="598"/>
      <c r="P7" s="598"/>
      <c r="Q7" s="598"/>
      <c r="R7" s="598"/>
      <c r="S7" s="598"/>
      <c r="T7" s="598"/>
      <c r="U7" s="598"/>
      <c r="V7" s="598"/>
      <c r="W7" s="2456"/>
    </row>
    <row r="8" spans="2:23" x14ac:dyDescent="0.25">
      <c r="B8" s="2455"/>
      <c r="C8" s="4897" t="s">
        <v>4189</v>
      </c>
      <c r="D8" s="4465"/>
      <c r="E8" s="4465"/>
      <c r="F8" s="4465"/>
      <c r="G8" s="4465"/>
      <c r="H8" s="4465"/>
      <c r="I8" s="4465"/>
      <c r="J8" s="4465"/>
      <c r="K8" s="4465"/>
      <c r="L8" s="4465"/>
      <c r="M8" s="4465"/>
      <c r="N8" s="4465"/>
      <c r="O8" s="4465"/>
      <c r="P8" s="4465"/>
      <c r="Q8" s="4465"/>
      <c r="R8" s="4465"/>
      <c r="S8" s="4465"/>
      <c r="T8" s="4465"/>
      <c r="U8" s="4465"/>
      <c r="V8" s="598"/>
      <c r="W8" s="2456"/>
    </row>
    <row r="9" spans="2:23" x14ac:dyDescent="0.25">
      <c r="B9" s="2455"/>
      <c r="C9" s="4897"/>
      <c r="D9" s="4465"/>
      <c r="E9" s="4465"/>
      <c r="F9" s="4465"/>
      <c r="G9" s="4465"/>
      <c r="H9" s="4465"/>
      <c r="I9" s="4465"/>
      <c r="J9" s="4465"/>
      <c r="K9" s="4465"/>
      <c r="L9" s="4465"/>
      <c r="M9" s="4465"/>
      <c r="N9" s="4465"/>
      <c r="O9" s="4465"/>
      <c r="P9" s="4465"/>
      <c r="Q9" s="4465"/>
      <c r="R9" s="4465"/>
      <c r="S9" s="4465"/>
      <c r="T9" s="4465"/>
      <c r="U9" s="4465"/>
      <c r="V9" s="598"/>
      <c r="W9" s="2456"/>
    </row>
    <row r="10" spans="2:23" ht="14.25" thickBot="1" x14ac:dyDescent="0.3">
      <c r="B10" s="2455"/>
      <c r="C10" s="1159"/>
      <c r="D10" s="1160"/>
      <c r="E10" s="1160"/>
      <c r="F10" s="1160"/>
      <c r="G10" s="1160"/>
      <c r="H10" s="1160"/>
      <c r="I10" s="1160"/>
      <c r="J10" s="1160"/>
      <c r="K10" s="1160"/>
      <c r="L10" s="1160"/>
      <c r="M10" s="1160"/>
      <c r="N10" s="1160"/>
      <c r="O10" s="1160"/>
      <c r="P10" s="1160"/>
      <c r="Q10" s="1160"/>
      <c r="R10" s="1160"/>
      <c r="S10" s="1160"/>
      <c r="T10" s="1160"/>
      <c r="U10" s="598"/>
      <c r="V10" s="598"/>
      <c r="W10" s="2456"/>
    </row>
    <row r="11" spans="2:23" ht="14.25" thickBot="1" x14ac:dyDescent="0.3">
      <c r="B11" s="2455"/>
      <c r="C11" s="4460" t="s">
        <v>418</v>
      </c>
      <c r="D11" s="1756" t="s">
        <v>1960</v>
      </c>
      <c r="E11" s="1756" t="s">
        <v>1960</v>
      </c>
      <c r="F11" s="1756" t="s">
        <v>1961</v>
      </c>
      <c r="G11" s="1756" t="s">
        <v>1962</v>
      </c>
      <c r="H11" s="1756" t="s">
        <v>1963</v>
      </c>
      <c r="I11" s="1756" t="s">
        <v>2001</v>
      </c>
      <c r="J11" s="1756" t="s">
        <v>2002</v>
      </c>
      <c r="K11" s="1756" t="s">
        <v>2003</v>
      </c>
      <c r="L11" s="1756" t="s">
        <v>2004</v>
      </c>
      <c r="M11" s="1756" t="s">
        <v>2005</v>
      </c>
      <c r="N11" s="1756" t="s">
        <v>2006</v>
      </c>
      <c r="O11" s="1756" t="s">
        <v>2007</v>
      </c>
      <c r="P11" s="1756" t="s">
        <v>2008</v>
      </c>
      <c r="Q11" s="1756" t="s">
        <v>2009</v>
      </c>
      <c r="R11" s="1756" t="s">
        <v>2010</v>
      </c>
      <c r="S11" s="1756" t="s">
        <v>2011</v>
      </c>
      <c r="T11" s="1756" t="s">
        <v>2012</v>
      </c>
      <c r="U11" s="4462" t="s">
        <v>0</v>
      </c>
      <c r="V11" s="598"/>
      <c r="W11" s="2456"/>
    </row>
    <row r="12" spans="2:23" ht="14.25" thickBot="1" x14ac:dyDescent="0.3">
      <c r="B12" s="2455"/>
      <c r="C12" s="4461"/>
      <c r="D12" s="1605">
        <v>2018</v>
      </c>
      <c r="E12" s="1605">
        <f t="shared" ref="E12:R12" si="0">+D12+1</f>
        <v>2019</v>
      </c>
      <c r="F12" s="1605">
        <f t="shared" si="0"/>
        <v>2020</v>
      </c>
      <c r="G12" s="1605">
        <f t="shared" si="0"/>
        <v>2021</v>
      </c>
      <c r="H12" s="1605">
        <f t="shared" si="0"/>
        <v>2022</v>
      </c>
      <c r="I12" s="1605">
        <f t="shared" si="0"/>
        <v>2023</v>
      </c>
      <c r="J12" s="1605">
        <f t="shared" si="0"/>
        <v>2024</v>
      </c>
      <c r="K12" s="1605">
        <f t="shared" si="0"/>
        <v>2025</v>
      </c>
      <c r="L12" s="1605">
        <f t="shared" si="0"/>
        <v>2026</v>
      </c>
      <c r="M12" s="1605">
        <f t="shared" si="0"/>
        <v>2027</v>
      </c>
      <c r="N12" s="1605">
        <f t="shared" si="0"/>
        <v>2028</v>
      </c>
      <c r="O12" s="1605">
        <f t="shared" si="0"/>
        <v>2029</v>
      </c>
      <c r="P12" s="1605">
        <f t="shared" si="0"/>
        <v>2030</v>
      </c>
      <c r="Q12" s="1605">
        <f t="shared" si="0"/>
        <v>2031</v>
      </c>
      <c r="R12" s="1605">
        <f t="shared" si="0"/>
        <v>2032</v>
      </c>
      <c r="S12" s="1605">
        <f>+R12+1</f>
        <v>2033</v>
      </c>
      <c r="T12" s="1605">
        <f>+S12+1</f>
        <v>2034</v>
      </c>
      <c r="U12" s="4463"/>
      <c r="V12" s="598"/>
      <c r="W12" s="2456"/>
    </row>
    <row r="13" spans="2:23" ht="14.25" thickBot="1" x14ac:dyDescent="0.3">
      <c r="B13" s="2455"/>
      <c r="C13" s="1762" t="s">
        <v>4190</v>
      </c>
      <c r="D13" s="1786" t="e">
        <f t="shared" ref="D13:T13" si="1">D177</f>
        <v>#DIV/0!</v>
      </c>
      <c r="E13" s="1786" t="e">
        <f t="shared" si="1"/>
        <v>#DIV/0!</v>
      </c>
      <c r="F13" s="1786" t="e">
        <f t="shared" si="1"/>
        <v>#DIV/0!</v>
      </c>
      <c r="G13" s="1786" t="e">
        <f t="shared" si="1"/>
        <v>#DIV/0!</v>
      </c>
      <c r="H13" s="1786" t="e">
        <f t="shared" si="1"/>
        <v>#DIV/0!</v>
      </c>
      <c r="I13" s="1786" t="e">
        <f t="shared" si="1"/>
        <v>#DIV/0!</v>
      </c>
      <c r="J13" s="1786" t="e">
        <f t="shared" si="1"/>
        <v>#DIV/0!</v>
      </c>
      <c r="K13" s="1786" t="e">
        <f t="shared" si="1"/>
        <v>#DIV/0!</v>
      </c>
      <c r="L13" s="1786" t="e">
        <f t="shared" si="1"/>
        <v>#DIV/0!</v>
      </c>
      <c r="M13" s="1786" t="e">
        <f t="shared" si="1"/>
        <v>#DIV/0!</v>
      </c>
      <c r="N13" s="1786" t="e">
        <f t="shared" si="1"/>
        <v>#DIV/0!</v>
      </c>
      <c r="O13" s="1786" t="e">
        <f t="shared" si="1"/>
        <v>#DIV/0!</v>
      </c>
      <c r="P13" s="1786" t="e">
        <f t="shared" si="1"/>
        <v>#DIV/0!</v>
      </c>
      <c r="Q13" s="1786" t="e">
        <f t="shared" si="1"/>
        <v>#DIV/0!</v>
      </c>
      <c r="R13" s="1786" t="e">
        <f t="shared" si="1"/>
        <v>#DIV/0!</v>
      </c>
      <c r="S13" s="1786" t="e">
        <f t="shared" si="1"/>
        <v>#DIV/0!</v>
      </c>
      <c r="T13" s="1786" t="e">
        <f t="shared" si="1"/>
        <v>#DIV/0!</v>
      </c>
      <c r="U13" s="1786" t="e">
        <f>SUM(D13:P13)</f>
        <v>#DIV/0!</v>
      </c>
      <c r="V13" s="598"/>
      <c r="W13" s="2456"/>
    </row>
    <row r="14" spans="2:23" ht="28.5" customHeight="1" thickBot="1" x14ac:dyDescent="0.3">
      <c r="B14" s="2455"/>
      <c r="C14" s="1763" t="s">
        <v>4191</v>
      </c>
      <c r="D14" s="1786" t="e">
        <f t="shared" ref="D14:T14" si="2">D123</f>
        <v>#DIV/0!</v>
      </c>
      <c r="E14" s="1786" t="e">
        <f t="shared" si="2"/>
        <v>#DIV/0!</v>
      </c>
      <c r="F14" s="1786" t="e">
        <f t="shared" si="2"/>
        <v>#DIV/0!</v>
      </c>
      <c r="G14" s="1786" t="e">
        <f t="shared" si="2"/>
        <v>#DIV/0!</v>
      </c>
      <c r="H14" s="1786" t="e">
        <f t="shared" si="2"/>
        <v>#DIV/0!</v>
      </c>
      <c r="I14" s="1786" t="e">
        <f t="shared" si="2"/>
        <v>#DIV/0!</v>
      </c>
      <c r="J14" s="1786" t="e">
        <f t="shared" si="2"/>
        <v>#DIV/0!</v>
      </c>
      <c r="K14" s="1786" t="e">
        <f t="shared" si="2"/>
        <v>#DIV/0!</v>
      </c>
      <c r="L14" s="1786" t="e">
        <f t="shared" si="2"/>
        <v>#DIV/0!</v>
      </c>
      <c r="M14" s="1786" t="e">
        <f t="shared" si="2"/>
        <v>#DIV/0!</v>
      </c>
      <c r="N14" s="1786" t="e">
        <f t="shared" si="2"/>
        <v>#DIV/0!</v>
      </c>
      <c r="O14" s="1786" t="e">
        <f t="shared" si="2"/>
        <v>#DIV/0!</v>
      </c>
      <c r="P14" s="1786" t="e">
        <f t="shared" si="2"/>
        <v>#DIV/0!</v>
      </c>
      <c r="Q14" s="1786" t="e">
        <f t="shared" si="2"/>
        <v>#DIV/0!</v>
      </c>
      <c r="R14" s="1786" t="e">
        <f t="shared" si="2"/>
        <v>#DIV/0!</v>
      </c>
      <c r="S14" s="1786" t="e">
        <f t="shared" si="2"/>
        <v>#DIV/0!</v>
      </c>
      <c r="T14" s="1786" t="e">
        <f t="shared" si="2"/>
        <v>#DIV/0!</v>
      </c>
      <c r="U14" s="1786" t="e">
        <f>SUM(D14:P14)</f>
        <v>#DIV/0!</v>
      </c>
      <c r="V14" s="598"/>
      <c r="W14" s="2456"/>
    </row>
    <row r="15" spans="2:23" ht="14.25" thickBot="1" x14ac:dyDescent="0.3">
      <c r="B15" s="2455"/>
      <c r="C15" s="1149" t="s">
        <v>254</v>
      </c>
      <c r="D15" s="2595" t="e">
        <f t="shared" ref="D15:T15" si="3">SUM(D13:D14)</f>
        <v>#DIV/0!</v>
      </c>
      <c r="E15" s="2595" t="e">
        <f t="shared" si="3"/>
        <v>#DIV/0!</v>
      </c>
      <c r="F15" s="2595" t="e">
        <f t="shared" si="3"/>
        <v>#DIV/0!</v>
      </c>
      <c r="G15" s="2595" t="e">
        <f t="shared" si="3"/>
        <v>#DIV/0!</v>
      </c>
      <c r="H15" s="2595" t="e">
        <f t="shared" si="3"/>
        <v>#DIV/0!</v>
      </c>
      <c r="I15" s="2595" t="e">
        <f t="shared" si="3"/>
        <v>#DIV/0!</v>
      </c>
      <c r="J15" s="2595" t="e">
        <f t="shared" si="3"/>
        <v>#DIV/0!</v>
      </c>
      <c r="K15" s="2595" t="e">
        <f t="shared" si="3"/>
        <v>#DIV/0!</v>
      </c>
      <c r="L15" s="2595" t="e">
        <f t="shared" si="3"/>
        <v>#DIV/0!</v>
      </c>
      <c r="M15" s="2595" t="e">
        <f t="shared" si="3"/>
        <v>#DIV/0!</v>
      </c>
      <c r="N15" s="2595" t="e">
        <f t="shared" si="3"/>
        <v>#DIV/0!</v>
      </c>
      <c r="O15" s="2595" t="e">
        <f t="shared" si="3"/>
        <v>#DIV/0!</v>
      </c>
      <c r="P15" s="2595" t="e">
        <f t="shared" si="3"/>
        <v>#DIV/0!</v>
      </c>
      <c r="Q15" s="2595" t="e">
        <f t="shared" si="3"/>
        <v>#DIV/0!</v>
      </c>
      <c r="R15" s="2595" t="e">
        <f t="shared" si="3"/>
        <v>#DIV/0!</v>
      </c>
      <c r="S15" s="2595" t="e">
        <f t="shared" si="3"/>
        <v>#DIV/0!</v>
      </c>
      <c r="T15" s="2595" t="e">
        <f t="shared" si="3"/>
        <v>#DIV/0!</v>
      </c>
      <c r="U15" s="2595" t="e">
        <f>SUM(U13:U14)</f>
        <v>#DIV/0!</v>
      </c>
      <c r="V15" s="598"/>
      <c r="W15" s="2456"/>
    </row>
    <row r="16" spans="2:23" x14ac:dyDescent="0.25">
      <c r="B16" s="2455"/>
      <c r="C16" s="2591"/>
      <c r="D16" s="1174"/>
      <c r="E16" s="1174"/>
      <c r="F16" s="1174"/>
      <c r="G16" s="1174"/>
      <c r="H16" s="1174"/>
      <c r="I16" s="1174"/>
      <c r="J16" s="1174"/>
      <c r="K16" s="1174"/>
      <c r="L16" s="1174"/>
      <c r="M16" s="1174"/>
      <c r="N16" s="1174"/>
      <c r="O16" s="1174"/>
      <c r="P16" s="1174"/>
      <c r="Q16" s="1174"/>
      <c r="R16" s="1174"/>
      <c r="S16" s="1174"/>
      <c r="T16" s="1174"/>
      <c r="U16" s="598"/>
      <c r="V16" s="598"/>
      <c r="W16" s="2456"/>
    </row>
    <row r="17" spans="2:42" x14ac:dyDescent="0.25">
      <c r="B17" s="2455"/>
      <c r="C17" s="2431"/>
      <c r="D17" s="2431"/>
      <c r="E17" s="2431"/>
      <c r="F17" s="2431"/>
      <c r="G17" s="2431"/>
      <c r="H17" s="2431"/>
      <c r="I17" s="2431"/>
      <c r="J17" s="2431"/>
      <c r="K17" s="2431"/>
      <c r="L17" s="2431"/>
      <c r="M17" s="2431"/>
      <c r="N17" s="2431"/>
      <c r="O17" s="2431"/>
      <c r="P17" s="2431"/>
      <c r="Q17" s="2431"/>
      <c r="R17" s="2431"/>
      <c r="S17" s="2431"/>
      <c r="T17" s="2431"/>
      <c r="U17" s="2431"/>
      <c r="V17" s="598"/>
      <c r="W17" s="2456"/>
      <c r="Y17" s="4465" t="s">
        <v>4204</v>
      </c>
      <c r="Z17" s="4465"/>
      <c r="AA17" s="4465"/>
      <c r="AB17" s="4465"/>
      <c r="AC17" s="4465"/>
      <c r="AD17" s="4465"/>
      <c r="AE17" s="4465"/>
      <c r="AF17" s="4465"/>
      <c r="AG17" s="4465"/>
      <c r="AH17" s="4465"/>
      <c r="AI17" s="4465"/>
      <c r="AJ17" s="4465"/>
      <c r="AK17" s="4465"/>
      <c r="AL17" s="4465"/>
      <c r="AM17" s="4465"/>
      <c r="AN17" s="4465"/>
      <c r="AO17" s="4465"/>
      <c r="AP17" s="4465"/>
    </row>
    <row r="18" spans="2:42" x14ac:dyDescent="0.25">
      <c r="B18" s="2455"/>
      <c r="C18" s="598"/>
      <c r="D18" s="598"/>
      <c r="E18" s="598"/>
      <c r="F18" s="598"/>
      <c r="G18" s="598"/>
      <c r="H18" s="598"/>
      <c r="I18" s="598"/>
      <c r="J18" s="598"/>
      <c r="K18" s="598"/>
      <c r="L18" s="598"/>
      <c r="M18" s="598"/>
      <c r="N18" s="598"/>
      <c r="O18" s="598"/>
      <c r="P18" s="598"/>
      <c r="Q18" s="598"/>
      <c r="R18" s="598"/>
      <c r="S18" s="598"/>
      <c r="T18" s="598"/>
      <c r="U18" s="598"/>
      <c r="V18" s="598"/>
      <c r="W18" s="2456"/>
      <c r="Y18" s="598"/>
      <c r="Z18" s="598"/>
      <c r="AA18" s="598"/>
      <c r="AB18" s="598"/>
      <c r="AC18" s="598"/>
      <c r="AD18" s="598"/>
      <c r="AE18" s="598"/>
      <c r="AF18" s="598"/>
      <c r="AG18" s="598"/>
      <c r="AH18" s="598"/>
      <c r="AI18" s="598"/>
      <c r="AJ18" s="598"/>
      <c r="AK18" s="598"/>
      <c r="AL18" s="598"/>
      <c r="AM18" s="598"/>
      <c r="AN18" s="598"/>
      <c r="AO18" s="598"/>
    </row>
    <row r="19" spans="2:42" x14ac:dyDescent="0.25">
      <c r="B19" s="2455"/>
      <c r="C19" s="4897" t="s">
        <v>4189</v>
      </c>
      <c r="D19" s="4465"/>
      <c r="E19" s="4465"/>
      <c r="F19" s="4465"/>
      <c r="G19" s="4465"/>
      <c r="H19" s="4465"/>
      <c r="I19" s="4465"/>
      <c r="J19" s="4465"/>
      <c r="K19" s="4465"/>
      <c r="L19" s="4465"/>
      <c r="M19" s="4465"/>
      <c r="N19" s="4465"/>
      <c r="O19" s="4465"/>
      <c r="P19" s="4465"/>
      <c r="Q19" s="4465"/>
      <c r="R19" s="4465"/>
      <c r="S19" s="4465"/>
      <c r="T19" s="4465"/>
      <c r="U19" s="598"/>
      <c r="V19" s="598"/>
      <c r="W19" s="2456"/>
      <c r="Y19" s="4898"/>
      <c r="Z19" s="4899"/>
      <c r="AA19" s="4899"/>
      <c r="AB19" s="4899"/>
      <c r="AC19" s="4899"/>
      <c r="AD19" s="4899"/>
      <c r="AE19" s="4899"/>
      <c r="AF19" s="4899"/>
      <c r="AG19" s="4899"/>
      <c r="AH19" s="4899"/>
      <c r="AI19" s="4899"/>
      <c r="AJ19" s="4899"/>
      <c r="AK19" s="4899"/>
      <c r="AL19" s="4899"/>
      <c r="AM19" s="4899"/>
      <c r="AN19" s="4899"/>
      <c r="AO19" s="4899"/>
    </row>
    <row r="20" spans="2:42" ht="14.25" thickBot="1" x14ac:dyDescent="0.3">
      <c r="B20" s="2455"/>
      <c r="C20" s="1159"/>
      <c r="D20" s="1160"/>
      <c r="E20" s="1160"/>
      <c r="F20" s="1160"/>
      <c r="G20" s="1160"/>
      <c r="H20" s="1160"/>
      <c r="I20" s="1160"/>
      <c r="J20" s="1160"/>
      <c r="K20" s="1160"/>
      <c r="L20" s="1160"/>
      <c r="M20" s="1160"/>
      <c r="N20" s="1160"/>
      <c r="O20" s="1160"/>
      <c r="P20" s="1160"/>
      <c r="Q20" s="1160"/>
      <c r="R20" s="1160"/>
      <c r="S20" s="1160"/>
      <c r="T20" s="1160"/>
      <c r="U20" s="598"/>
      <c r="V20" s="598"/>
      <c r="W20" s="2456"/>
      <c r="Y20" s="1159"/>
      <c r="Z20" s="1160"/>
      <c r="AA20" s="1160"/>
      <c r="AB20" s="1160"/>
      <c r="AC20" s="1160"/>
      <c r="AD20" s="1160"/>
      <c r="AE20" s="1160"/>
      <c r="AF20" s="1160"/>
      <c r="AG20" s="1160"/>
      <c r="AH20" s="1160"/>
      <c r="AI20" s="1160"/>
      <c r="AJ20" s="1160"/>
      <c r="AK20" s="1160"/>
      <c r="AL20" s="1160"/>
      <c r="AM20" s="1160"/>
      <c r="AN20" s="1160"/>
      <c r="AO20" s="1160"/>
    </row>
    <row r="21" spans="2:42" ht="14.25" thickBot="1" x14ac:dyDescent="0.3">
      <c r="B21" s="2455"/>
      <c r="C21" s="4460" t="s">
        <v>418</v>
      </c>
      <c r="D21" s="1756" t="s">
        <v>1960</v>
      </c>
      <c r="E21" s="1756" t="s">
        <v>1960</v>
      </c>
      <c r="F21" s="1756" t="s">
        <v>1961</v>
      </c>
      <c r="G21" s="1756" t="s">
        <v>1962</v>
      </c>
      <c r="H21" s="1756" t="s">
        <v>1963</v>
      </c>
      <c r="I21" s="1756" t="s">
        <v>2001</v>
      </c>
      <c r="J21" s="1756" t="s">
        <v>2002</v>
      </c>
      <c r="K21" s="1756" t="s">
        <v>2003</v>
      </c>
      <c r="L21" s="1756" t="s">
        <v>2004</v>
      </c>
      <c r="M21" s="1756" t="s">
        <v>2005</v>
      </c>
      <c r="N21" s="1756" t="s">
        <v>2006</v>
      </c>
      <c r="O21" s="1756" t="s">
        <v>2007</v>
      </c>
      <c r="P21" s="1756" t="s">
        <v>2008</v>
      </c>
      <c r="Q21" s="1756" t="s">
        <v>2009</v>
      </c>
      <c r="R21" s="1756" t="s">
        <v>2010</v>
      </c>
      <c r="S21" s="1756" t="s">
        <v>2011</v>
      </c>
      <c r="T21" s="1747" t="s">
        <v>2012</v>
      </c>
      <c r="U21" s="598"/>
      <c r="V21" s="598"/>
      <c r="W21" s="2456"/>
      <c r="Y21" s="4460" t="s">
        <v>418</v>
      </c>
      <c r="Z21" s="1756" t="s">
        <v>1960</v>
      </c>
      <c r="AA21" s="1756" t="s">
        <v>1960</v>
      </c>
      <c r="AB21" s="1756" t="s">
        <v>1961</v>
      </c>
      <c r="AC21" s="1756" t="s">
        <v>1962</v>
      </c>
      <c r="AD21" s="1756" t="s">
        <v>1963</v>
      </c>
      <c r="AE21" s="1756" t="s">
        <v>2001</v>
      </c>
      <c r="AF21" s="1756" t="s">
        <v>2002</v>
      </c>
      <c r="AG21" s="1756" t="s">
        <v>2003</v>
      </c>
      <c r="AH21" s="1756" t="s">
        <v>2004</v>
      </c>
      <c r="AI21" s="1756" t="s">
        <v>2005</v>
      </c>
      <c r="AJ21" s="1756" t="s">
        <v>2006</v>
      </c>
      <c r="AK21" s="1756" t="s">
        <v>2007</v>
      </c>
      <c r="AL21" s="1756" t="s">
        <v>2008</v>
      </c>
      <c r="AM21" s="1756" t="s">
        <v>2009</v>
      </c>
      <c r="AN21" s="1756" t="s">
        <v>2010</v>
      </c>
      <c r="AO21" s="1756" t="s">
        <v>2011</v>
      </c>
      <c r="AP21" s="1747" t="s">
        <v>2012</v>
      </c>
    </row>
    <row r="22" spans="2:42" ht="14.25" thickBot="1" x14ac:dyDescent="0.3">
      <c r="B22" s="2455"/>
      <c r="C22" s="4461"/>
      <c r="D22" s="1605">
        <v>2018</v>
      </c>
      <c r="E22" s="1605">
        <f t="shared" ref="E22:R22" si="4">+D22+1</f>
        <v>2019</v>
      </c>
      <c r="F22" s="1605">
        <f t="shared" si="4"/>
        <v>2020</v>
      </c>
      <c r="G22" s="1605">
        <f t="shared" si="4"/>
        <v>2021</v>
      </c>
      <c r="H22" s="1605">
        <f t="shared" si="4"/>
        <v>2022</v>
      </c>
      <c r="I22" s="1605">
        <f t="shared" si="4"/>
        <v>2023</v>
      </c>
      <c r="J22" s="1605">
        <f t="shared" si="4"/>
        <v>2024</v>
      </c>
      <c r="K22" s="1605">
        <f t="shared" si="4"/>
        <v>2025</v>
      </c>
      <c r="L22" s="1605">
        <f t="shared" si="4"/>
        <v>2026</v>
      </c>
      <c r="M22" s="1605">
        <f t="shared" si="4"/>
        <v>2027</v>
      </c>
      <c r="N22" s="1605">
        <f t="shared" si="4"/>
        <v>2028</v>
      </c>
      <c r="O22" s="1605">
        <f t="shared" si="4"/>
        <v>2029</v>
      </c>
      <c r="P22" s="1605">
        <f t="shared" si="4"/>
        <v>2030</v>
      </c>
      <c r="Q22" s="1605">
        <f t="shared" si="4"/>
        <v>2031</v>
      </c>
      <c r="R22" s="1605">
        <f t="shared" si="4"/>
        <v>2032</v>
      </c>
      <c r="S22" s="1605">
        <f>+R22+1</f>
        <v>2033</v>
      </c>
      <c r="T22" s="1184">
        <f>+S22+1</f>
        <v>2034</v>
      </c>
      <c r="U22" s="598"/>
      <c r="V22" s="598"/>
      <c r="W22" s="2456"/>
      <c r="Y22" s="4461"/>
      <c r="Z22" s="1605">
        <v>2018</v>
      </c>
      <c r="AA22" s="1605">
        <f t="shared" ref="AA22:AP22" si="5">+Z22+1</f>
        <v>2019</v>
      </c>
      <c r="AB22" s="1605">
        <f t="shared" si="5"/>
        <v>2020</v>
      </c>
      <c r="AC22" s="1605">
        <f t="shared" si="5"/>
        <v>2021</v>
      </c>
      <c r="AD22" s="1605">
        <f t="shared" si="5"/>
        <v>2022</v>
      </c>
      <c r="AE22" s="1605">
        <f t="shared" si="5"/>
        <v>2023</v>
      </c>
      <c r="AF22" s="1605">
        <f t="shared" si="5"/>
        <v>2024</v>
      </c>
      <c r="AG22" s="1605">
        <f t="shared" si="5"/>
        <v>2025</v>
      </c>
      <c r="AH22" s="1605">
        <f t="shared" si="5"/>
        <v>2026</v>
      </c>
      <c r="AI22" s="1605">
        <f t="shared" si="5"/>
        <v>2027</v>
      </c>
      <c r="AJ22" s="1605">
        <f t="shared" si="5"/>
        <v>2028</v>
      </c>
      <c r="AK22" s="1605">
        <f t="shared" si="5"/>
        <v>2029</v>
      </c>
      <c r="AL22" s="1605">
        <f t="shared" si="5"/>
        <v>2030</v>
      </c>
      <c r="AM22" s="1605">
        <f t="shared" si="5"/>
        <v>2031</v>
      </c>
      <c r="AN22" s="1605">
        <f t="shared" si="5"/>
        <v>2032</v>
      </c>
      <c r="AO22" s="1605">
        <f t="shared" si="5"/>
        <v>2033</v>
      </c>
      <c r="AP22" s="1184">
        <f t="shared" si="5"/>
        <v>2034</v>
      </c>
    </row>
    <row r="23" spans="2:42" ht="14.25" thickBot="1" x14ac:dyDescent="0.3">
      <c r="B23" s="2455"/>
      <c r="C23" s="2597" t="s">
        <v>71</v>
      </c>
      <c r="D23" s="2598"/>
      <c r="E23" s="2598"/>
      <c r="F23" s="2598"/>
      <c r="G23" s="2598"/>
      <c r="H23" s="2598"/>
      <c r="I23" s="2598"/>
      <c r="J23" s="2598"/>
      <c r="K23" s="2598"/>
      <c r="L23" s="2598"/>
      <c r="M23" s="2598"/>
      <c r="N23" s="2598"/>
      <c r="O23" s="2598"/>
      <c r="P23" s="2598"/>
      <c r="Q23" s="2598"/>
      <c r="R23" s="2598"/>
      <c r="S23" s="2598"/>
      <c r="T23" s="2598"/>
      <c r="U23" s="598"/>
      <c r="V23" s="598"/>
      <c r="W23" s="2456"/>
      <c r="Y23" s="2597" t="s">
        <v>71</v>
      </c>
      <c r="Z23" s="2598"/>
      <c r="AA23" s="2598"/>
      <c r="AB23" s="2598"/>
      <c r="AC23" s="2598"/>
      <c r="AD23" s="2598"/>
      <c r="AE23" s="2598"/>
      <c r="AF23" s="2598"/>
      <c r="AG23" s="2598"/>
      <c r="AH23" s="2598"/>
      <c r="AI23" s="2598"/>
      <c r="AJ23" s="2598"/>
      <c r="AK23" s="2598"/>
      <c r="AL23" s="2598"/>
      <c r="AM23" s="2598"/>
      <c r="AN23" s="2598"/>
      <c r="AO23" s="2598"/>
      <c r="AP23" s="2598"/>
    </row>
    <row r="24" spans="2:42" ht="14.25" thickBot="1" x14ac:dyDescent="0.3">
      <c r="B24" s="2455">
        <v>1</v>
      </c>
      <c r="C24" s="1758" t="s">
        <v>1298</v>
      </c>
      <c r="D24" s="1786">
        <f t="shared" ref="D24:T24" si="6">D80+D133</f>
        <v>5670.0966326739144</v>
      </c>
      <c r="E24" s="1786">
        <f t="shared" si="6"/>
        <v>5713.8667244395792</v>
      </c>
      <c r="F24" s="1786">
        <f t="shared" si="6"/>
        <v>5757.6698872368252</v>
      </c>
      <c r="G24" s="1786">
        <f t="shared" si="6"/>
        <v>5801.5061401235889</v>
      </c>
      <c r="H24" s="1786">
        <f t="shared" si="6"/>
        <v>5845.3755021676052</v>
      </c>
      <c r="I24" s="1786">
        <f t="shared" si="6"/>
        <v>5889.2779924464185</v>
      </c>
      <c r="J24" s="1786">
        <f t="shared" si="6"/>
        <v>5933.2136300473912</v>
      </c>
      <c r="K24" s="1786">
        <f t="shared" si="6"/>
        <v>5977.1824340677031</v>
      </c>
      <c r="L24" s="1786">
        <f t="shared" si="6"/>
        <v>6021.1844236143552</v>
      </c>
      <c r="M24" s="1786">
        <f t="shared" si="6"/>
        <v>6065.2196178041768</v>
      </c>
      <c r="N24" s="1786">
        <f t="shared" si="6"/>
        <v>6109.288035763826</v>
      </c>
      <c r="O24" s="1786">
        <f t="shared" si="6"/>
        <v>6153.3896966298089</v>
      </c>
      <c r="P24" s="1786">
        <f t="shared" si="6"/>
        <v>6197.5246195484651</v>
      </c>
      <c r="Q24" s="1786">
        <f t="shared" si="6"/>
        <v>6241.6928236759804</v>
      </c>
      <c r="R24" s="1786">
        <f t="shared" si="6"/>
        <v>6285.8943281783959</v>
      </c>
      <c r="S24" s="1786">
        <f t="shared" si="6"/>
        <v>6330.1291522316087</v>
      </c>
      <c r="T24" s="1786">
        <f t="shared" si="6"/>
        <v>6374.3973150213778</v>
      </c>
      <c r="U24" s="598"/>
      <c r="V24" s="598"/>
      <c r="W24" s="2456"/>
      <c r="Y24" s="1758" t="s">
        <v>1298</v>
      </c>
      <c r="Z24" s="1786">
        <f t="shared" ref="Z24:AN28" si="7">D24</f>
        <v>5670.0966326739144</v>
      </c>
      <c r="AA24" s="1786">
        <f t="shared" si="7"/>
        <v>5713.8667244395792</v>
      </c>
      <c r="AB24" s="1786">
        <f t="shared" si="7"/>
        <v>5757.6698872368252</v>
      </c>
      <c r="AC24" s="1786">
        <f t="shared" si="7"/>
        <v>5801.5061401235889</v>
      </c>
      <c r="AD24" s="1786">
        <f t="shared" si="7"/>
        <v>5845.3755021676052</v>
      </c>
      <c r="AE24" s="1786">
        <f t="shared" si="7"/>
        <v>5889.2779924464185</v>
      </c>
      <c r="AF24" s="1786">
        <f t="shared" si="7"/>
        <v>5933.2136300473912</v>
      </c>
      <c r="AG24" s="1786">
        <f t="shared" si="7"/>
        <v>5977.1824340677031</v>
      </c>
      <c r="AH24" s="1786">
        <f t="shared" si="7"/>
        <v>6021.1844236143552</v>
      </c>
      <c r="AI24" s="1786">
        <f t="shared" si="7"/>
        <v>6065.2196178041768</v>
      </c>
      <c r="AJ24" s="1786">
        <f t="shared" si="7"/>
        <v>6109.288035763826</v>
      </c>
      <c r="AK24" s="1786">
        <f t="shared" si="7"/>
        <v>6153.3896966298089</v>
      </c>
      <c r="AL24" s="1786">
        <f t="shared" si="7"/>
        <v>6197.5246195484651</v>
      </c>
      <c r="AM24" s="1786">
        <f t="shared" si="7"/>
        <v>6241.6928236759804</v>
      </c>
      <c r="AN24" s="1786">
        <f t="shared" si="7"/>
        <v>6285.8943281783959</v>
      </c>
      <c r="AO24" s="1786">
        <f t="shared" ref="AO24:AP28" si="8">S24</f>
        <v>6330.1291522316087</v>
      </c>
      <c r="AP24" s="1786">
        <f t="shared" si="8"/>
        <v>6374.3973150213778</v>
      </c>
    </row>
    <row r="25" spans="2:42" ht="27.75" thickBot="1" x14ac:dyDescent="0.3">
      <c r="B25" s="2455">
        <v>2</v>
      </c>
      <c r="C25" s="1758" t="s">
        <v>1300</v>
      </c>
      <c r="D25" s="1786">
        <f t="shared" ref="D25:T25" si="9">D81+D134</f>
        <v>0</v>
      </c>
      <c r="E25" s="1786">
        <f t="shared" si="9"/>
        <v>0</v>
      </c>
      <c r="F25" s="1786">
        <f t="shared" si="9"/>
        <v>0</v>
      </c>
      <c r="G25" s="1786">
        <f t="shared" si="9"/>
        <v>0</v>
      </c>
      <c r="H25" s="1786">
        <f t="shared" si="9"/>
        <v>0</v>
      </c>
      <c r="I25" s="1786">
        <f t="shared" si="9"/>
        <v>0</v>
      </c>
      <c r="J25" s="1786">
        <f t="shared" si="9"/>
        <v>0</v>
      </c>
      <c r="K25" s="1786">
        <f t="shared" si="9"/>
        <v>0</v>
      </c>
      <c r="L25" s="1786">
        <f t="shared" si="9"/>
        <v>0</v>
      </c>
      <c r="M25" s="1786">
        <f t="shared" si="9"/>
        <v>0</v>
      </c>
      <c r="N25" s="1786">
        <f t="shared" si="9"/>
        <v>0</v>
      </c>
      <c r="O25" s="1786">
        <f t="shared" si="9"/>
        <v>0</v>
      </c>
      <c r="P25" s="1786">
        <f t="shared" si="9"/>
        <v>0</v>
      </c>
      <c r="Q25" s="1786">
        <f t="shared" si="9"/>
        <v>0</v>
      </c>
      <c r="R25" s="1786">
        <f t="shared" si="9"/>
        <v>0</v>
      </c>
      <c r="S25" s="1786">
        <f t="shared" si="9"/>
        <v>0</v>
      </c>
      <c r="T25" s="1786">
        <f t="shared" si="9"/>
        <v>0</v>
      </c>
      <c r="U25" s="598"/>
      <c r="V25" s="598"/>
      <c r="W25" s="2456"/>
      <c r="Y25" s="1758" t="s">
        <v>1300</v>
      </c>
      <c r="Z25" s="1786">
        <f t="shared" si="7"/>
        <v>0</v>
      </c>
      <c r="AA25" s="1786">
        <f t="shared" si="7"/>
        <v>0</v>
      </c>
      <c r="AB25" s="1786">
        <f t="shared" si="7"/>
        <v>0</v>
      </c>
      <c r="AC25" s="1786">
        <f t="shared" si="7"/>
        <v>0</v>
      </c>
      <c r="AD25" s="1786">
        <f t="shared" si="7"/>
        <v>0</v>
      </c>
      <c r="AE25" s="1786">
        <f t="shared" si="7"/>
        <v>0</v>
      </c>
      <c r="AF25" s="1786">
        <f t="shared" si="7"/>
        <v>0</v>
      </c>
      <c r="AG25" s="1786">
        <f t="shared" si="7"/>
        <v>0</v>
      </c>
      <c r="AH25" s="1786">
        <f t="shared" si="7"/>
        <v>0</v>
      </c>
      <c r="AI25" s="1786">
        <f t="shared" si="7"/>
        <v>0</v>
      </c>
      <c r="AJ25" s="1786">
        <f t="shared" si="7"/>
        <v>0</v>
      </c>
      <c r="AK25" s="1786">
        <f t="shared" si="7"/>
        <v>0</v>
      </c>
      <c r="AL25" s="1786">
        <f t="shared" si="7"/>
        <v>0</v>
      </c>
      <c r="AM25" s="1786">
        <f t="shared" si="7"/>
        <v>0</v>
      </c>
      <c r="AN25" s="1786">
        <f t="shared" si="7"/>
        <v>0</v>
      </c>
      <c r="AO25" s="1786">
        <f t="shared" si="8"/>
        <v>0</v>
      </c>
      <c r="AP25" s="1786">
        <f t="shared" si="8"/>
        <v>0</v>
      </c>
    </row>
    <row r="26" spans="2:42" ht="27.75" thickBot="1" x14ac:dyDescent="0.3">
      <c r="B26" s="2455">
        <v>3</v>
      </c>
      <c r="C26" s="1758" t="s">
        <v>1965</v>
      </c>
      <c r="D26" s="1786" t="e">
        <f t="shared" ref="D26:T26" si="10">D82+D135</f>
        <v>#DIV/0!</v>
      </c>
      <c r="E26" s="1786" t="e">
        <f t="shared" si="10"/>
        <v>#DIV/0!</v>
      </c>
      <c r="F26" s="1786" t="e">
        <f t="shared" si="10"/>
        <v>#DIV/0!</v>
      </c>
      <c r="G26" s="1786" t="e">
        <f t="shared" si="10"/>
        <v>#DIV/0!</v>
      </c>
      <c r="H26" s="1786" t="e">
        <f t="shared" si="10"/>
        <v>#DIV/0!</v>
      </c>
      <c r="I26" s="1786" t="e">
        <f t="shared" si="10"/>
        <v>#DIV/0!</v>
      </c>
      <c r="J26" s="1786" t="e">
        <f t="shared" si="10"/>
        <v>#DIV/0!</v>
      </c>
      <c r="K26" s="1786" t="e">
        <f t="shared" si="10"/>
        <v>#DIV/0!</v>
      </c>
      <c r="L26" s="1786" t="e">
        <f t="shared" si="10"/>
        <v>#DIV/0!</v>
      </c>
      <c r="M26" s="1786" t="e">
        <f t="shared" si="10"/>
        <v>#DIV/0!</v>
      </c>
      <c r="N26" s="1786" t="e">
        <f t="shared" si="10"/>
        <v>#DIV/0!</v>
      </c>
      <c r="O26" s="1786" t="e">
        <f t="shared" si="10"/>
        <v>#DIV/0!</v>
      </c>
      <c r="P26" s="1786" t="e">
        <f t="shared" si="10"/>
        <v>#DIV/0!</v>
      </c>
      <c r="Q26" s="1786" t="e">
        <f t="shared" si="10"/>
        <v>#DIV/0!</v>
      </c>
      <c r="R26" s="1786" t="e">
        <f t="shared" si="10"/>
        <v>#DIV/0!</v>
      </c>
      <c r="S26" s="1786" t="e">
        <f t="shared" si="10"/>
        <v>#DIV/0!</v>
      </c>
      <c r="T26" s="1786" t="e">
        <f t="shared" si="10"/>
        <v>#DIV/0!</v>
      </c>
      <c r="U26" s="598"/>
      <c r="V26" s="598"/>
      <c r="W26" s="2456"/>
      <c r="Y26" s="1758" t="s">
        <v>1965</v>
      </c>
      <c r="Z26" s="1786" t="e">
        <f t="shared" si="7"/>
        <v>#DIV/0!</v>
      </c>
      <c r="AA26" s="1786" t="e">
        <f t="shared" si="7"/>
        <v>#DIV/0!</v>
      </c>
      <c r="AB26" s="1786" t="e">
        <f t="shared" si="7"/>
        <v>#DIV/0!</v>
      </c>
      <c r="AC26" s="1786" t="e">
        <f t="shared" si="7"/>
        <v>#DIV/0!</v>
      </c>
      <c r="AD26" s="1786" t="e">
        <f t="shared" si="7"/>
        <v>#DIV/0!</v>
      </c>
      <c r="AE26" s="1786" t="e">
        <f t="shared" si="7"/>
        <v>#DIV/0!</v>
      </c>
      <c r="AF26" s="1786" t="e">
        <f t="shared" si="7"/>
        <v>#DIV/0!</v>
      </c>
      <c r="AG26" s="1786" t="e">
        <f t="shared" si="7"/>
        <v>#DIV/0!</v>
      </c>
      <c r="AH26" s="1786" t="e">
        <f t="shared" si="7"/>
        <v>#DIV/0!</v>
      </c>
      <c r="AI26" s="1786" t="e">
        <f t="shared" si="7"/>
        <v>#DIV/0!</v>
      </c>
      <c r="AJ26" s="1786" t="e">
        <f t="shared" si="7"/>
        <v>#DIV/0!</v>
      </c>
      <c r="AK26" s="1786" t="e">
        <f t="shared" si="7"/>
        <v>#DIV/0!</v>
      </c>
      <c r="AL26" s="1786" t="e">
        <f t="shared" si="7"/>
        <v>#DIV/0!</v>
      </c>
      <c r="AM26" s="1786" t="e">
        <f t="shared" si="7"/>
        <v>#DIV/0!</v>
      </c>
      <c r="AN26" s="1786" t="e">
        <f t="shared" si="7"/>
        <v>#DIV/0!</v>
      </c>
      <c r="AO26" s="1786" t="e">
        <f t="shared" si="8"/>
        <v>#DIV/0!</v>
      </c>
      <c r="AP26" s="1786" t="e">
        <f t="shared" si="8"/>
        <v>#DIV/0!</v>
      </c>
    </row>
    <row r="27" spans="2:42" ht="27.75" thickBot="1" x14ac:dyDescent="0.3">
      <c r="B27" s="2455">
        <v>4</v>
      </c>
      <c r="C27" s="1758" t="s">
        <v>1967</v>
      </c>
      <c r="D27" s="1786">
        <f t="shared" ref="D27:T27" si="11">D83+D136</f>
        <v>3562.6592966823719</v>
      </c>
      <c r="E27" s="1786">
        <f t="shared" si="11"/>
        <v>3590.1611074005514</v>
      </c>
      <c r="F27" s="1786">
        <f t="shared" si="11"/>
        <v>3617.6836974503281</v>
      </c>
      <c r="G27" s="1786">
        <f t="shared" si="11"/>
        <v>3645.2270788062633</v>
      </c>
      <c r="H27" s="1786">
        <f t="shared" si="11"/>
        <v>3672.7912634490804</v>
      </c>
      <c r="I27" s="1786">
        <f t="shared" si="11"/>
        <v>3700.3762633656615</v>
      </c>
      <c r="J27" s="1786">
        <f t="shared" si="11"/>
        <v>3727.9820905490615</v>
      </c>
      <c r="K27" s="1786">
        <f t="shared" si="11"/>
        <v>3755.6087569985007</v>
      </c>
      <c r="L27" s="1786">
        <f t="shared" si="11"/>
        <v>3783.256274719371</v>
      </c>
      <c r="M27" s="1786">
        <f t="shared" si="11"/>
        <v>3810.9246557232409</v>
      </c>
      <c r="N27" s="1786">
        <f t="shared" si="11"/>
        <v>3838.6139120278544</v>
      </c>
      <c r="O27" s="1786">
        <f t="shared" si="11"/>
        <v>3866.32405565714</v>
      </c>
      <c r="P27" s="1786">
        <f t="shared" si="11"/>
        <v>3894.05509864121</v>
      </c>
      <c r="Q27" s="1786">
        <f t="shared" si="11"/>
        <v>3921.8070530163595</v>
      </c>
      <c r="R27" s="1786">
        <f t="shared" si="11"/>
        <v>3949.5799308250785</v>
      </c>
      <c r="S27" s="1786">
        <f t="shared" si="11"/>
        <v>3977.3737441160465</v>
      </c>
      <c r="T27" s="1786">
        <f t="shared" si="11"/>
        <v>4005.1885049441416</v>
      </c>
      <c r="U27" s="598"/>
      <c r="V27" s="598"/>
      <c r="W27" s="2456"/>
      <c r="Y27" s="1758" t="s">
        <v>1967</v>
      </c>
      <c r="Z27" s="1786">
        <f t="shared" si="7"/>
        <v>3562.6592966823719</v>
      </c>
      <c r="AA27" s="1786">
        <f t="shared" si="7"/>
        <v>3590.1611074005514</v>
      </c>
      <c r="AB27" s="1786">
        <f t="shared" si="7"/>
        <v>3617.6836974503281</v>
      </c>
      <c r="AC27" s="1786">
        <f t="shared" si="7"/>
        <v>3645.2270788062633</v>
      </c>
      <c r="AD27" s="1786">
        <f t="shared" si="7"/>
        <v>3672.7912634490804</v>
      </c>
      <c r="AE27" s="1786">
        <f t="shared" si="7"/>
        <v>3700.3762633656615</v>
      </c>
      <c r="AF27" s="1786">
        <f t="shared" si="7"/>
        <v>3727.9820905490615</v>
      </c>
      <c r="AG27" s="1786">
        <f t="shared" si="7"/>
        <v>3755.6087569985007</v>
      </c>
      <c r="AH27" s="1786">
        <f t="shared" si="7"/>
        <v>3783.256274719371</v>
      </c>
      <c r="AI27" s="1786">
        <f t="shared" si="7"/>
        <v>3810.9246557232409</v>
      </c>
      <c r="AJ27" s="1786">
        <f t="shared" si="7"/>
        <v>3838.6139120278544</v>
      </c>
      <c r="AK27" s="1786">
        <f t="shared" si="7"/>
        <v>3866.32405565714</v>
      </c>
      <c r="AL27" s="1786">
        <f t="shared" si="7"/>
        <v>3894.05509864121</v>
      </c>
      <c r="AM27" s="1786">
        <f t="shared" si="7"/>
        <v>3921.8070530163595</v>
      </c>
      <c r="AN27" s="1786">
        <f t="shared" si="7"/>
        <v>3949.5799308250785</v>
      </c>
      <c r="AO27" s="1786">
        <f t="shared" si="8"/>
        <v>3977.3737441160465</v>
      </c>
      <c r="AP27" s="1786">
        <f t="shared" si="8"/>
        <v>4005.1885049441416</v>
      </c>
    </row>
    <row r="28" spans="2:42" ht="14.25" thickBot="1" x14ac:dyDescent="0.3">
      <c r="B28" s="2455">
        <v>5</v>
      </c>
      <c r="C28" s="1758" t="s">
        <v>1305</v>
      </c>
      <c r="D28" s="1786" t="e">
        <f t="shared" ref="D28:T28" si="12">D84+D137</f>
        <v>#DIV/0!</v>
      </c>
      <c r="E28" s="1786" t="e">
        <f t="shared" si="12"/>
        <v>#DIV/0!</v>
      </c>
      <c r="F28" s="1786" t="e">
        <f t="shared" si="12"/>
        <v>#DIV/0!</v>
      </c>
      <c r="G28" s="1786" t="e">
        <f t="shared" si="12"/>
        <v>#DIV/0!</v>
      </c>
      <c r="H28" s="1786" t="e">
        <f t="shared" si="12"/>
        <v>#DIV/0!</v>
      </c>
      <c r="I28" s="1786" t="e">
        <f t="shared" si="12"/>
        <v>#DIV/0!</v>
      </c>
      <c r="J28" s="1786" t="e">
        <f t="shared" si="12"/>
        <v>#DIV/0!</v>
      </c>
      <c r="K28" s="1786" t="e">
        <f t="shared" si="12"/>
        <v>#DIV/0!</v>
      </c>
      <c r="L28" s="1786" t="e">
        <f t="shared" si="12"/>
        <v>#DIV/0!</v>
      </c>
      <c r="M28" s="1786" t="e">
        <f t="shared" si="12"/>
        <v>#DIV/0!</v>
      </c>
      <c r="N28" s="1786" t="e">
        <f t="shared" si="12"/>
        <v>#DIV/0!</v>
      </c>
      <c r="O28" s="1786" t="e">
        <f t="shared" si="12"/>
        <v>#DIV/0!</v>
      </c>
      <c r="P28" s="1786" t="e">
        <f t="shared" si="12"/>
        <v>#DIV/0!</v>
      </c>
      <c r="Q28" s="1786" t="e">
        <f t="shared" si="12"/>
        <v>#DIV/0!</v>
      </c>
      <c r="R28" s="1786" t="e">
        <f t="shared" si="12"/>
        <v>#DIV/0!</v>
      </c>
      <c r="S28" s="1786" t="e">
        <f t="shared" si="12"/>
        <v>#DIV/0!</v>
      </c>
      <c r="T28" s="1786" t="e">
        <f t="shared" si="12"/>
        <v>#DIV/0!</v>
      </c>
      <c r="U28" s="598"/>
      <c r="V28" s="598"/>
      <c r="W28" s="2456"/>
      <c r="Y28" s="1758" t="s">
        <v>1305</v>
      </c>
      <c r="Z28" s="1786" t="e">
        <f t="shared" si="7"/>
        <v>#DIV/0!</v>
      </c>
      <c r="AA28" s="1786" t="e">
        <f t="shared" si="7"/>
        <v>#DIV/0!</v>
      </c>
      <c r="AB28" s="1786" t="e">
        <f t="shared" si="7"/>
        <v>#DIV/0!</v>
      </c>
      <c r="AC28" s="1786" t="e">
        <f t="shared" si="7"/>
        <v>#DIV/0!</v>
      </c>
      <c r="AD28" s="1786" t="e">
        <f t="shared" si="7"/>
        <v>#DIV/0!</v>
      </c>
      <c r="AE28" s="1786" t="e">
        <f t="shared" si="7"/>
        <v>#DIV/0!</v>
      </c>
      <c r="AF28" s="1786" t="e">
        <f t="shared" si="7"/>
        <v>#DIV/0!</v>
      </c>
      <c r="AG28" s="1786" t="e">
        <f t="shared" si="7"/>
        <v>#DIV/0!</v>
      </c>
      <c r="AH28" s="1786" t="e">
        <f t="shared" si="7"/>
        <v>#DIV/0!</v>
      </c>
      <c r="AI28" s="1786" t="e">
        <f t="shared" si="7"/>
        <v>#DIV/0!</v>
      </c>
      <c r="AJ28" s="1786" t="e">
        <f t="shared" si="7"/>
        <v>#DIV/0!</v>
      </c>
      <c r="AK28" s="1786" t="e">
        <f t="shared" si="7"/>
        <v>#DIV/0!</v>
      </c>
      <c r="AL28" s="1786" t="e">
        <f t="shared" si="7"/>
        <v>#DIV/0!</v>
      </c>
      <c r="AM28" s="1786" t="e">
        <f t="shared" si="7"/>
        <v>#DIV/0!</v>
      </c>
      <c r="AN28" s="1786" t="e">
        <f t="shared" si="7"/>
        <v>#DIV/0!</v>
      </c>
      <c r="AO28" s="1786" t="e">
        <f t="shared" si="8"/>
        <v>#DIV/0!</v>
      </c>
      <c r="AP28" s="1786" t="e">
        <f t="shared" si="8"/>
        <v>#DIV/0!</v>
      </c>
    </row>
    <row r="29" spans="2:42" ht="14.25" thickBot="1" x14ac:dyDescent="0.3">
      <c r="B29" s="2455"/>
      <c r="C29" s="2599" t="s">
        <v>1225</v>
      </c>
      <c r="D29" s="2598"/>
      <c r="E29" s="2598"/>
      <c r="F29" s="2598"/>
      <c r="G29" s="2598"/>
      <c r="H29" s="2598"/>
      <c r="I29" s="2598"/>
      <c r="J29" s="2598"/>
      <c r="K29" s="2598"/>
      <c r="L29" s="2598"/>
      <c r="M29" s="2598"/>
      <c r="N29" s="2598"/>
      <c r="O29" s="2598"/>
      <c r="P29" s="2598"/>
      <c r="Q29" s="2598"/>
      <c r="R29" s="2598"/>
      <c r="S29" s="2598"/>
      <c r="T29" s="2598"/>
      <c r="U29" s="598"/>
      <c r="V29" s="598"/>
      <c r="W29" s="2456"/>
      <c r="Y29" s="2599" t="s">
        <v>1225</v>
      </c>
      <c r="Z29" s="2603"/>
      <c r="AA29" s="2603"/>
      <c r="AB29" s="2603"/>
      <c r="AC29" s="2603"/>
      <c r="AD29" s="2603"/>
      <c r="AE29" s="2603"/>
      <c r="AF29" s="2603"/>
      <c r="AG29" s="2603"/>
      <c r="AH29" s="2603"/>
      <c r="AI29" s="2603"/>
      <c r="AJ29" s="2603"/>
      <c r="AK29" s="2603"/>
      <c r="AL29" s="2603"/>
      <c r="AM29" s="2603"/>
      <c r="AN29" s="2603"/>
      <c r="AO29" s="2603"/>
      <c r="AP29" s="2603"/>
    </row>
    <row r="30" spans="2:42" ht="14.25" thickBot="1" x14ac:dyDescent="0.3">
      <c r="B30" s="2455">
        <v>6</v>
      </c>
      <c r="C30" s="1758" t="s">
        <v>1226</v>
      </c>
      <c r="D30" s="1786">
        <f t="shared" ref="D30:T30" si="13">D86+D139</f>
        <v>2569.35772641719</v>
      </c>
      <c r="E30" s="1786">
        <f t="shared" si="13"/>
        <v>2570.3533714144496</v>
      </c>
      <c r="F30" s="1786">
        <f t="shared" si="13"/>
        <v>2571.3494022314617</v>
      </c>
      <c r="G30" s="1786">
        <f t="shared" si="13"/>
        <v>2572.345819017733</v>
      </c>
      <c r="H30" s="1786">
        <f t="shared" si="13"/>
        <v>2573.3426219228304</v>
      </c>
      <c r="I30" s="1786">
        <f t="shared" si="13"/>
        <v>2574.3398110963772</v>
      </c>
      <c r="J30" s="1786">
        <f t="shared" si="13"/>
        <v>2575.3373866880556</v>
      </c>
      <c r="K30" s="1786">
        <f t="shared" si="13"/>
        <v>2576.3353488476059</v>
      </c>
      <c r="L30" s="1786">
        <f t="shared" si="13"/>
        <v>2577.3336977248246</v>
      </c>
      <c r="M30" s="1786">
        <f t="shared" si="13"/>
        <v>2578.3324334695699</v>
      </c>
      <c r="N30" s="1786">
        <f t="shared" si="13"/>
        <v>2579.3315562317534</v>
      </c>
      <c r="O30" s="1786">
        <f t="shared" si="13"/>
        <v>2580.3310661613482</v>
      </c>
      <c r="P30" s="1786">
        <f t="shared" si="13"/>
        <v>2581.3309634083853</v>
      </c>
      <c r="Q30" s="1786">
        <f t="shared" si="13"/>
        <v>2582.3312481229523</v>
      </c>
      <c r="R30" s="1786">
        <f t="shared" si="13"/>
        <v>2583.3319204551949</v>
      </c>
      <c r="S30" s="1786">
        <f t="shared" si="13"/>
        <v>2584.3329805553199</v>
      </c>
      <c r="T30" s="1786">
        <f t="shared" si="13"/>
        <v>2585.334428573588</v>
      </c>
      <c r="U30" s="598"/>
      <c r="V30" s="598"/>
      <c r="W30" s="2456"/>
      <c r="Y30" s="1758" t="s">
        <v>1226</v>
      </c>
      <c r="Z30" s="1786">
        <f t="shared" ref="Z30:AN45" si="14">D30</f>
        <v>2569.35772641719</v>
      </c>
      <c r="AA30" s="1786">
        <f t="shared" si="14"/>
        <v>2570.3533714144496</v>
      </c>
      <c r="AB30" s="1786">
        <f t="shared" si="14"/>
        <v>2571.3494022314617</v>
      </c>
      <c r="AC30" s="1786">
        <f t="shared" si="14"/>
        <v>2572.345819017733</v>
      </c>
      <c r="AD30" s="1786">
        <f t="shared" si="14"/>
        <v>2573.3426219228304</v>
      </c>
      <c r="AE30" s="1786">
        <f t="shared" si="14"/>
        <v>2574.3398110963772</v>
      </c>
      <c r="AF30" s="1786">
        <f t="shared" si="14"/>
        <v>2575.3373866880556</v>
      </c>
      <c r="AG30" s="1786">
        <f t="shared" si="14"/>
        <v>2576.3353488476059</v>
      </c>
      <c r="AH30" s="1786">
        <f t="shared" si="14"/>
        <v>2577.3336977248246</v>
      </c>
      <c r="AI30" s="1786">
        <f t="shared" si="14"/>
        <v>2578.3324334695699</v>
      </c>
      <c r="AJ30" s="1786">
        <f t="shared" si="14"/>
        <v>2579.3315562317534</v>
      </c>
      <c r="AK30" s="1786">
        <f t="shared" si="14"/>
        <v>2580.3310661613482</v>
      </c>
      <c r="AL30" s="1786">
        <f t="shared" si="14"/>
        <v>2581.3309634083853</v>
      </c>
      <c r="AM30" s="1786">
        <f t="shared" si="14"/>
        <v>2582.3312481229523</v>
      </c>
      <c r="AN30" s="1786">
        <f t="shared" si="14"/>
        <v>2583.3319204551949</v>
      </c>
      <c r="AO30" s="1786">
        <f t="shared" ref="AB30:AP45" si="15">S30</f>
        <v>2584.3329805553199</v>
      </c>
      <c r="AP30" s="1786">
        <f t="shared" si="15"/>
        <v>2585.334428573588</v>
      </c>
    </row>
    <row r="31" spans="2:42" ht="14.25" thickBot="1" x14ac:dyDescent="0.3">
      <c r="B31" s="2455">
        <v>7</v>
      </c>
      <c r="C31" s="1758" t="s">
        <v>414</v>
      </c>
      <c r="D31" s="1786">
        <f t="shared" ref="D31:T31" si="16">D87+D140</f>
        <v>2085.8654859863227</v>
      </c>
      <c r="E31" s="1786">
        <f t="shared" si="16"/>
        <v>2086.673774187972</v>
      </c>
      <c r="F31" s="1786">
        <f t="shared" si="16"/>
        <v>2087.4823756072383</v>
      </c>
      <c r="G31" s="1786">
        <f t="shared" si="16"/>
        <v>2088.2912903654951</v>
      </c>
      <c r="H31" s="1786">
        <f t="shared" si="16"/>
        <v>2089.100518584165</v>
      </c>
      <c r="I31" s="1786">
        <f t="shared" si="16"/>
        <v>2089.9100603847146</v>
      </c>
      <c r="J31" s="1786">
        <f t="shared" si="16"/>
        <v>2090.7199158886606</v>
      </c>
      <c r="K31" s="1786">
        <f t="shared" si="16"/>
        <v>2091.5300852175642</v>
      </c>
      <c r="L31" s="1786">
        <f t="shared" si="16"/>
        <v>2092.3405684930362</v>
      </c>
      <c r="M31" s="1786">
        <f t="shared" si="16"/>
        <v>2093.1513658367321</v>
      </c>
      <c r="N31" s="1786">
        <f t="shared" si="16"/>
        <v>2093.9624773703558</v>
      </c>
      <c r="O31" s="1786">
        <f t="shared" si="16"/>
        <v>2094.7739032156587</v>
      </c>
      <c r="P31" s="1786">
        <f t="shared" si="16"/>
        <v>2095.5856434944385</v>
      </c>
      <c r="Q31" s="1786">
        <f t="shared" si="16"/>
        <v>2096.3976983285402</v>
      </c>
      <c r="R31" s="1786">
        <f t="shared" si="16"/>
        <v>2097.2100678398574</v>
      </c>
      <c r="S31" s="1786">
        <f t="shared" si="16"/>
        <v>2098.022752150328</v>
      </c>
      <c r="T31" s="1786">
        <f t="shared" si="16"/>
        <v>2098.8357513819406</v>
      </c>
      <c r="U31" s="598"/>
      <c r="V31" s="598"/>
      <c r="W31" s="2456"/>
      <c r="Y31" s="1758" t="s">
        <v>414</v>
      </c>
      <c r="Z31" s="1786">
        <f t="shared" si="14"/>
        <v>2085.8654859863227</v>
      </c>
      <c r="AA31" s="1786">
        <f t="shared" si="14"/>
        <v>2086.673774187972</v>
      </c>
      <c r="AB31" s="1786">
        <f t="shared" si="14"/>
        <v>2087.4823756072383</v>
      </c>
      <c r="AC31" s="1786">
        <f t="shared" si="14"/>
        <v>2088.2912903654951</v>
      </c>
      <c r="AD31" s="1786">
        <f t="shared" si="14"/>
        <v>2089.100518584165</v>
      </c>
      <c r="AE31" s="1786">
        <f t="shared" si="14"/>
        <v>2089.9100603847146</v>
      </c>
      <c r="AF31" s="1786">
        <f t="shared" si="14"/>
        <v>2090.7199158886606</v>
      </c>
      <c r="AG31" s="1786">
        <f t="shared" si="14"/>
        <v>2091.5300852175642</v>
      </c>
      <c r="AH31" s="1786">
        <f t="shared" si="14"/>
        <v>2092.3405684930362</v>
      </c>
      <c r="AI31" s="1786">
        <f t="shared" si="14"/>
        <v>2093.1513658367321</v>
      </c>
      <c r="AJ31" s="1786">
        <f t="shared" si="14"/>
        <v>2093.9624773703558</v>
      </c>
      <c r="AK31" s="1786">
        <f t="shared" si="14"/>
        <v>2094.7739032156587</v>
      </c>
      <c r="AL31" s="1786">
        <f t="shared" si="14"/>
        <v>2095.5856434944385</v>
      </c>
      <c r="AM31" s="1786">
        <f t="shared" si="14"/>
        <v>2096.3976983285402</v>
      </c>
      <c r="AN31" s="1786">
        <f t="shared" si="14"/>
        <v>2097.2100678398574</v>
      </c>
      <c r="AO31" s="1786">
        <f t="shared" si="15"/>
        <v>2098.022752150328</v>
      </c>
      <c r="AP31" s="1786">
        <f t="shared" si="15"/>
        <v>2098.8357513819406</v>
      </c>
    </row>
    <row r="32" spans="2:42" ht="14.25" thickBot="1" x14ac:dyDescent="0.3">
      <c r="B32" s="2455">
        <v>8</v>
      </c>
      <c r="C32" s="1758" t="s">
        <v>1968</v>
      </c>
      <c r="D32" s="1786">
        <f t="shared" ref="D32:T32" si="17">D88+D141</f>
        <v>788.75784134864728</v>
      </c>
      <c r="E32" s="1786">
        <f t="shared" si="17"/>
        <v>789.06349080754262</v>
      </c>
      <c r="F32" s="1786">
        <f t="shared" si="17"/>
        <v>789.36925870784921</v>
      </c>
      <c r="G32" s="1786">
        <f t="shared" si="17"/>
        <v>789.67514509546356</v>
      </c>
      <c r="H32" s="1786">
        <f t="shared" si="17"/>
        <v>789.98115001630072</v>
      </c>
      <c r="I32" s="1786">
        <f t="shared" si="17"/>
        <v>790.28727351629311</v>
      </c>
      <c r="J32" s="1786">
        <f t="shared" si="17"/>
        <v>790.5935156413907</v>
      </c>
      <c r="K32" s="1786">
        <f t="shared" si="17"/>
        <v>790.89987643756217</v>
      </c>
      <c r="L32" s="1786">
        <f t="shared" si="17"/>
        <v>791.20635595079307</v>
      </c>
      <c r="M32" s="1786">
        <f t="shared" si="17"/>
        <v>791.51295422708722</v>
      </c>
      <c r="N32" s="1786">
        <f t="shared" si="17"/>
        <v>791.81967131246597</v>
      </c>
      <c r="O32" s="1786">
        <f t="shared" si="17"/>
        <v>792.12650725296896</v>
      </c>
      <c r="P32" s="1786">
        <f t="shared" si="17"/>
        <v>792.43346209465358</v>
      </c>
      <c r="Q32" s="1786">
        <f t="shared" si="17"/>
        <v>792.74053588359459</v>
      </c>
      <c r="R32" s="1786">
        <f t="shared" si="17"/>
        <v>793.04772866588496</v>
      </c>
      <c r="S32" s="1786">
        <f t="shared" si="17"/>
        <v>793.35504048763562</v>
      </c>
      <c r="T32" s="1786">
        <f t="shared" si="17"/>
        <v>793.66247139497511</v>
      </c>
      <c r="U32" s="598"/>
      <c r="V32" s="598"/>
      <c r="W32" s="2456"/>
      <c r="Y32" s="1758" t="s">
        <v>1968</v>
      </c>
      <c r="Z32" s="1786">
        <f t="shared" si="14"/>
        <v>788.75784134864728</v>
      </c>
      <c r="AA32" s="1786">
        <f t="shared" si="14"/>
        <v>789.06349080754262</v>
      </c>
      <c r="AB32" s="1786">
        <f t="shared" si="14"/>
        <v>789.36925870784921</v>
      </c>
      <c r="AC32" s="1786">
        <f t="shared" si="14"/>
        <v>789.67514509546356</v>
      </c>
      <c r="AD32" s="1786">
        <f t="shared" si="14"/>
        <v>789.98115001630072</v>
      </c>
      <c r="AE32" s="1786">
        <f t="shared" si="14"/>
        <v>790.28727351629311</v>
      </c>
      <c r="AF32" s="1786">
        <f t="shared" si="14"/>
        <v>790.5935156413907</v>
      </c>
      <c r="AG32" s="1786">
        <f t="shared" si="14"/>
        <v>790.89987643756217</v>
      </c>
      <c r="AH32" s="1786">
        <f t="shared" si="14"/>
        <v>791.20635595079307</v>
      </c>
      <c r="AI32" s="1786">
        <f t="shared" si="14"/>
        <v>791.51295422708722</v>
      </c>
      <c r="AJ32" s="1786">
        <f t="shared" si="14"/>
        <v>791.81967131246597</v>
      </c>
      <c r="AK32" s="1786">
        <f t="shared" si="14"/>
        <v>792.12650725296896</v>
      </c>
      <c r="AL32" s="1786">
        <f t="shared" si="14"/>
        <v>792.43346209465358</v>
      </c>
      <c r="AM32" s="1786">
        <f t="shared" si="14"/>
        <v>792.74053588359459</v>
      </c>
      <c r="AN32" s="1786">
        <f t="shared" si="14"/>
        <v>793.04772866588496</v>
      </c>
      <c r="AO32" s="1786">
        <f t="shared" si="15"/>
        <v>793.35504048763562</v>
      </c>
      <c r="AP32" s="1786">
        <f t="shared" si="15"/>
        <v>793.66247139497511</v>
      </c>
    </row>
    <row r="33" spans="2:45" ht="14.25" thickBot="1" x14ac:dyDescent="0.3">
      <c r="B33" s="2455">
        <v>9</v>
      </c>
      <c r="C33" s="1758" t="s">
        <v>1232</v>
      </c>
      <c r="D33" s="1786" t="e">
        <f t="shared" ref="D33:T33" si="18">D89+D142</f>
        <v>#DIV/0!</v>
      </c>
      <c r="E33" s="1786" t="e">
        <f t="shared" si="18"/>
        <v>#DIV/0!</v>
      </c>
      <c r="F33" s="1786" t="e">
        <f t="shared" si="18"/>
        <v>#DIV/0!</v>
      </c>
      <c r="G33" s="1786" t="e">
        <f t="shared" si="18"/>
        <v>#DIV/0!</v>
      </c>
      <c r="H33" s="1786" t="e">
        <f t="shared" si="18"/>
        <v>#DIV/0!</v>
      </c>
      <c r="I33" s="1786" t="e">
        <f t="shared" si="18"/>
        <v>#DIV/0!</v>
      </c>
      <c r="J33" s="1786" t="e">
        <f t="shared" si="18"/>
        <v>#DIV/0!</v>
      </c>
      <c r="K33" s="1786" t="e">
        <f t="shared" si="18"/>
        <v>#DIV/0!</v>
      </c>
      <c r="L33" s="1786" t="e">
        <f t="shared" si="18"/>
        <v>#DIV/0!</v>
      </c>
      <c r="M33" s="1786" t="e">
        <f t="shared" si="18"/>
        <v>#DIV/0!</v>
      </c>
      <c r="N33" s="1786" t="e">
        <f t="shared" si="18"/>
        <v>#DIV/0!</v>
      </c>
      <c r="O33" s="1786" t="e">
        <f t="shared" si="18"/>
        <v>#DIV/0!</v>
      </c>
      <c r="P33" s="1786" t="e">
        <f t="shared" si="18"/>
        <v>#DIV/0!</v>
      </c>
      <c r="Q33" s="1786" t="e">
        <f t="shared" si="18"/>
        <v>#DIV/0!</v>
      </c>
      <c r="R33" s="1786" t="e">
        <f t="shared" si="18"/>
        <v>#DIV/0!</v>
      </c>
      <c r="S33" s="1786" t="e">
        <f t="shared" si="18"/>
        <v>#DIV/0!</v>
      </c>
      <c r="T33" s="1786" t="e">
        <f t="shared" si="18"/>
        <v>#DIV/0!</v>
      </c>
      <c r="U33" s="598"/>
      <c r="V33" s="598"/>
      <c r="W33" s="2456"/>
      <c r="Y33" s="1758" t="s">
        <v>1232</v>
      </c>
      <c r="Z33" s="1786" t="e">
        <f t="shared" si="14"/>
        <v>#DIV/0!</v>
      </c>
      <c r="AA33" s="1786" t="e">
        <f t="shared" si="14"/>
        <v>#DIV/0!</v>
      </c>
      <c r="AB33" s="1786" t="e">
        <f t="shared" si="14"/>
        <v>#DIV/0!</v>
      </c>
      <c r="AC33" s="1786" t="e">
        <f t="shared" si="14"/>
        <v>#DIV/0!</v>
      </c>
      <c r="AD33" s="1786" t="e">
        <f t="shared" si="14"/>
        <v>#DIV/0!</v>
      </c>
      <c r="AE33" s="1786" t="e">
        <f t="shared" si="14"/>
        <v>#DIV/0!</v>
      </c>
      <c r="AF33" s="1786" t="e">
        <f t="shared" si="14"/>
        <v>#DIV/0!</v>
      </c>
      <c r="AG33" s="1786" t="e">
        <f t="shared" si="14"/>
        <v>#DIV/0!</v>
      </c>
      <c r="AH33" s="1786" t="e">
        <f t="shared" si="14"/>
        <v>#DIV/0!</v>
      </c>
      <c r="AI33" s="1786" t="e">
        <f t="shared" si="14"/>
        <v>#DIV/0!</v>
      </c>
      <c r="AJ33" s="1786" t="e">
        <f t="shared" si="14"/>
        <v>#DIV/0!</v>
      </c>
      <c r="AK33" s="1786" t="e">
        <f t="shared" si="14"/>
        <v>#DIV/0!</v>
      </c>
      <c r="AL33" s="1786" t="e">
        <f t="shared" si="14"/>
        <v>#DIV/0!</v>
      </c>
      <c r="AM33" s="1786" t="e">
        <f t="shared" si="14"/>
        <v>#DIV/0!</v>
      </c>
      <c r="AN33" s="1786" t="e">
        <f t="shared" si="14"/>
        <v>#DIV/0!</v>
      </c>
      <c r="AO33" s="1786" t="e">
        <f t="shared" si="15"/>
        <v>#DIV/0!</v>
      </c>
      <c r="AP33" s="1786" t="e">
        <f t="shared" si="15"/>
        <v>#DIV/0!</v>
      </c>
    </row>
    <row r="34" spans="2:45" ht="14.25" thickBot="1" x14ac:dyDescent="0.3">
      <c r="B34" s="2455">
        <v>10</v>
      </c>
      <c r="C34" s="1758" t="s">
        <v>1231</v>
      </c>
      <c r="D34" s="1786" t="e">
        <f t="shared" ref="D34:T34" si="19">D90+D143</f>
        <v>#REF!</v>
      </c>
      <c r="E34" s="1786" t="e">
        <f t="shared" si="19"/>
        <v>#REF!</v>
      </c>
      <c r="F34" s="1786" t="e">
        <f t="shared" si="19"/>
        <v>#REF!</v>
      </c>
      <c r="G34" s="1786" t="e">
        <f t="shared" si="19"/>
        <v>#REF!</v>
      </c>
      <c r="H34" s="1786" t="e">
        <f t="shared" si="19"/>
        <v>#REF!</v>
      </c>
      <c r="I34" s="1786" t="e">
        <f t="shared" si="19"/>
        <v>#REF!</v>
      </c>
      <c r="J34" s="1786" t="e">
        <f t="shared" si="19"/>
        <v>#REF!</v>
      </c>
      <c r="K34" s="1786" t="e">
        <f t="shared" si="19"/>
        <v>#REF!</v>
      </c>
      <c r="L34" s="1786" t="e">
        <f t="shared" si="19"/>
        <v>#REF!</v>
      </c>
      <c r="M34" s="1786" t="e">
        <f t="shared" si="19"/>
        <v>#REF!</v>
      </c>
      <c r="N34" s="1786" t="e">
        <f t="shared" si="19"/>
        <v>#REF!</v>
      </c>
      <c r="O34" s="1786" t="e">
        <f t="shared" si="19"/>
        <v>#REF!</v>
      </c>
      <c r="P34" s="1786" t="e">
        <f t="shared" si="19"/>
        <v>#REF!</v>
      </c>
      <c r="Q34" s="1786" t="e">
        <f t="shared" si="19"/>
        <v>#REF!</v>
      </c>
      <c r="R34" s="1786" t="e">
        <f t="shared" si="19"/>
        <v>#REF!</v>
      </c>
      <c r="S34" s="1786" t="e">
        <f t="shared" si="19"/>
        <v>#REF!</v>
      </c>
      <c r="T34" s="1786" t="e">
        <f t="shared" si="19"/>
        <v>#REF!</v>
      </c>
      <c r="U34" s="598"/>
      <c r="V34" s="598"/>
      <c r="W34" s="2456"/>
      <c r="Y34" s="1758" t="s">
        <v>1231</v>
      </c>
      <c r="Z34" s="1786" t="e">
        <f t="shared" si="14"/>
        <v>#REF!</v>
      </c>
      <c r="AA34" s="1786" t="e">
        <f t="shared" si="14"/>
        <v>#REF!</v>
      </c>
      <c r="AB34" s="1786" t="e">
        <f t="shared" si="14"/>
        <v>#REF!</v>
      </c>
      <c r="AC34" s="1786" t="e">
        <f t="shared" si="14"/>
        <v>#REF!</v>
      </c>
      <c r="AD34" s="1786" t="e">
        <f t="shared" si="14"/>
        <v>#REF!</v>
      </c>
      <c r="AE34" s="1786" t="e">
        <f t="shared" si="14"/>
        <v>#REF!</v>
      </c>
      <c r="AF34" s="1786" t="e">
        <f t="shared" si="14"/>
        <v>#REF!</v>
      </c>
      <c r="AG34" s="1786" t="e">
        <f t="shared" si="14"/>
        <v>#REF!</v>
      </c>
      <c r="AH34" s="1786" t="e">
        <f t="shared" si="14"/>
        <v>#REF!</v>
      </c>
      <c r="AI34" s="1786" t="e">
        <f t="shared" si="14"/>
        <v>#REF!</v>
      </c>
      <c r="AJ34" s="1786" t="e">
        <f t="shared" si="14"/>
        <v>#REF!</v>
      </c>
      <c r="AK34" s="1786" t="e">
        <f t="shared" si="14"/>
        <v>#REF!</v>
      </c>
      <c r="AL34" s="1786" t="e">
        <f t="shared" si="14"/>
        <v>#REF!</v>
      </c>
      <c r="AM34" s="1786" t="e">
        <f t="shared" si="14"/>
        <v>#REF!</v>
      </c>
      <c r="AN34" s="1786" t="e">
        <f t="shared" si="14"/>
        <v>#REF!</v>
      </c>
      <c r="AO34" s="1786" t="e">
        <f t="shared" si="15"/>
        <v>#REF!</v>
      </c>
      <c r="AP34" s="1786" t="e">
        <f t="shared" si="15"/>
        <v>#REF!</v>
      </c>
    </row>
    <row r="35" spans="2:45" ht="14.25" thickBot="1" x14ac:dyDescent="0.3">
      <c r="B35" s="2455">
        <v>11</v>
      </c>
      <c r="C35" s="1758" t="s">
        <v>1227</v>
      </c>
      <c r="D35" s="1786">
        <f t="shared" ref="D35:T35" si="20">D91+D144</f>
        <v>1401.3991078719712</v>
      </c>
      <c r="E35" s="1786">
        <f t="shared" si="20"/>
        <v>1403.336310572311</v>
      </c>
      <c r="F35" s="1786">
        <f t="shared" si="20"/>
        <v>1405.2748041963955</v>
      </c>
      <c r="G35" s="1786">
        <f t="shared" si="20"/>
        <v>1407.2145894538162</v>
      </c>
      <c r="H35" s="1786">
        <f t="shared" si="20"/>
        <v>1409.1556670545192</v>
      </c>
      <c r="I35" s="1786">
        <f t="shared" si="20"/>
        <v>1411.0980377088079</v>
      </c>
      <c r="J35" s="1786">
        <f t="shared" si="20"/>
        <v>1413.0417021273415</v>
      </c>
      <c r="K35" s="1786">
        <f t="shared" si="20"/>
        <v>1414.9866610211373</v>
      </c>
      <c r="L35" s="1786">
        <f t="shared" si="20"/>
        <v>1416.9329151015672</v>
      </c>
      <c r="M35" s="1786">
        <f t="shared" si="20"/>
        <v>1418.8804650803606</v>
      </c>
      <c r="N35" s="1786">
        <f t="shared" si="20"/>
        <v>1420.8293116696059</v>
      </c>
      <c r="O35" s="1786">
        <f t="shared" si="20"/>
        <v>1422.7794555817461</v>
      </c>
      <c r="P35" s="1786">
        <f t="shared" si="20"/>
        <v>1424.7308975295837</v>
      </c>
      <c r="Q35" s="1786">
        <f t="shared" si="20"/>
        <v>1426.6836382262779</v>
      </c>
      <c r="R35" s="1786">
        <f t="shared" si="20"/>
        <v>1428.6376783853457</v>
      </c>
      <c r="S35" s="1786">
        <f t="shared" si="20"/>
        <v>1430.5930187206618</v>
      </c>
      <c r="T35" s="1786">
        <f t="shared" si="20"/>
        <v>1432.54965994646</v>
      </c>
      <c r="U35" s="598"/>
      <c r="V35" s="598"/>
      <c r="W35" s="2456"/>
      <c r="Y35" s="1758" t="s">
        <v>1227</v>
      </c>
      <c r="Z35" s="1786">
        <f t="shared" si="14"/>
        <v>1401.3991078719712</v>
      </c>
      <c r="AA35" s="1786">
        <f t="shared" si="14"/>
        <v>1403.336310572311</v>
      </c>
      <c r="AB35" s="1786">
        <f t="shared" si="14"/>
        <v>1405.2748041963955</v>
      </c>
      <c r="AC35" s="1786">
        <f t="shared" si="14"/>
        <v>1407.2145894538162</v>
      </c>
      <c r="AD35" s="1786">
        <f t="shared" si="14"/>
        <v>1409.1556670545192</v>
      </c>
      <c r="AE35" s="1786">
        <f t="shared" si="14"/>
        <v>1411.0980377088079</v>
      </c>
      <c r="AF35" s="1786">
        <f t="shared" si="14"/>
        <v>1413.0417021273415</v>
      </c>
      <c r="AG35" s="1786">
        <f t="shared" si="14"/>
        <v>1414.9866610211373</v>
      </c>
      <c r="AH35" s="1786">
        <f t="shared" si="14"/>
        <v>1416.9329151015672</v>
      </c>
      <c r="AI35" s="1786">
        <f t="shared" si="14"/>
        <v>1418.8804650803606</v>
      </c>
      <c r="AJ35" s="1786">
        <f t="shared" si="14"/>
        <v>1420.8293116696059</v>
      </c>
      <c r="AK35" s="1786">
        <f t="shared" si="14"/>
        <v>1422.7794555817461</v>
      </c>
      <c r="AL35" s="1786">
        <f t="shared" si="14"/>
        <v>1424.7308975295837</v>
      </c>
      <c r="AM35" s="1786">
        <f t="shared" si="14"/>
        <v>1426.6836382262779</v>
      </c>
      <c r="AN35" s="1786">
        <f t="shared" si="14"/>
        <v>1428.6376783853457</v>
      </c>
      <c r="AO35" s="1786">
        <f t="shared" si="15"/>
        <v>1430.5930187206618</v>
      </c>
      <c r="AP35" s="1786">
        <f t="shared" si="15"/>
        <v>1432.54965994646</v>
      </c>
    </row>
    <row r="36" spans="2:45" ht="14.25" thickBot="1" x14ac:dyDescent="0.3">
      <c r="B36" s="2455">
        <v>12</v>
      </c>
      <c r="C36" s="1758" t="s">
        <v>1229</v>
      </c>
      <c r="D36" s="1786">
        <f t="shared" ref="D36:T36" si="21">D92+D145</f>
        <v>765.36182044693351</v>
      </c>
      <c r="E36" s="1786">
        <f t="shared" si="21"/>
        <v>765.65840377582799</v>
      </c>
      <c r="F36" s="1786">
        <f t="shared" si="21"/>
        <v>765.95510203294157</v>
      </c>
      <c r="G36" s="1786">
        <f t="shared" si="21"/>
        <v>766.2519152628098</v>
      </c>
      <c r="H36" s="1786">
        <f t="shared" si="21"/>
        <v>766.54884350998532</v>
      </c>
      <c r="I36" s="1786">
        <f t="shared" si="21"/>
        <v>766.84588681903836</v>
      </c>
      <c r="J36" s="1786">
        <f t="shared" si="21"/>
        <v>767.14304523455621</v>
      </c>
      <c r="K36" s="1786">
        <f t="shared" si="21"/>
        <v>767.44031880114323</v>
      </c>
      <c r="L36" s="1786">
        <f t="shared" si="21"/>
        <v>767.73770756342174</v>
      </c>
      <c r="M36" s="1786">
        <f t="shared" si="21"/>
        <v>768.03521156603051</v>
      </c>
      <c r="N36" s="1786">
        <f t="shared" si="21"/>
        <v>768.33283085362632</v>
      </c>
      <c r="O36" s="1786">
        <f t="shared" si="21"/>
        <v>768.63056547088286</v>
      </c>
      <c r="P36" s="1786">
        <f t="shared" si="21"/>
        <v>768.9284154624911</v>
      </c>
      <c r="Q36" s="1786">
        <f t="shared" si="21"/>
        <v>769.22638087315954</v>
      </c>
      <c r="R36" s="1786">
        <f t="shared" si="21"/>
        <v>769.52446174761417</v>
      </c>
      <c r="S36" s="1786">
        <f t="shared" si="21"/>
        <v>769.82265813059735</v>
      </c>
      <c r="T36" s="1786">
        <f t="shared" si="21"/>
        <v>770.12097006687009</v>
      </c>
      <c r="U36" s="598"/>
      <c r="V36" s="598"/>
      <c r="W36" s="2456"/>
      <c r="Y36" s="1758" t="s">
        <v>1229</v>
      </c>
      <c r="Z36" s="1786">
        <f t="shared" si="14"/>
        <v>765.36182044693351</v>
      </c>
      <c r="AA36" s="1786">
        <f t="shared" si="14"/>
        <v>765.65840377582799</v>
      </c>
      <c r="AB36" s="1786">
        <f t="shared" si="14"/>
        <v>765.95510203294157</v>
      </c>
      <c r="AC36" s="1786">
        <f t="shared" si="14"/>
        <v>766.2519152628098</v>
      </c>
      <c r="AD36" s="1786">
        <f t="shared" si="14"/>
        <v>766.54884350998532</v>
      </c>
      <c r="AE36" s="1786">
        <f t="shared" si="14"/>
        <v>766.84588681903836</v>
      </c>
      <c r="AF36" s="1786">
        <f t="shared" si="14"/>
        <v>767.14304523455621</v>
      </c>
      <c r="AG36" s="1786">
        <f t="shared" si="14"/>
        <v>767.44031880114323</v>
      </c>
      <c r="AH36" s="1786">
        <f t="shared" si="14"/>
        <v>767.73770756342174</v>
      </c>
      <c r="AI36" s="1786">
        <f t="shared" si="14"/>
        <v>768.03521156603051</v>
      </c>
      <c r="AJ36" s="1786">
        <f t="shared" si="14"/>
        <v>768.33283085362632</v>
      </c>
      <c r="AK36" s="1786">
        <f t="shared" si="14"/>
        <v>768.63056547088286</v>
      </c>
      <c r="AL36" s="1786">
        <f t="shared" si="14"/>
        <v>768.9284154624911</v>
      </c>
      <c r="AM36" s="1786">
        <f t="shared" si="14"/>
        <v>769.22638087315954</v>
      </c>
      <c r="AN36" s="1786">
        <f t="shared" si="14"/>
        <v>769.52446174761417</v>
      </c>
      <c r="AO36" s="1786">
        <f t="shared" si="15"/>
        <v>769.82265813059735</v>
      </c>
      <c r="AP36" s="1786">
        <f t="shared" si="15"/>
        <v>770.12097006687009</v>
      </c>
    </row>
    <row r="37" spans="2:45" ht="14.25" thickBot="1" x14ac:dyDescent="0.3">
      <c r="B37" s="2455">
        <v>13</v>
      </c>
      <c r="C37" s="1758" t="s">
        <v>1313</v>
      </c>
      <c r="D37" s="1786">
        <f t="shared" ref="D37:T37" si="22">D93+D146</f>
        <v>0</v>
      </c>
      <c r="E37" s="1786">
        <f t="shared" si="22"/>
        <v>0</v>
      </c>
      <c r="F37" s="1786">
        <f t="shared" si="22"/>
        <v>0</v>
      </c>
      <c r="G37" s="1786">
        <f t="shared" si="22"/>
        <v>0</v>
      </c>
      <c r="H37" s="1786">
        <f t="shared" si="22"/>
        <v>0</v>
      </c>
      <c r="I37" s="1786">
        <f t="shared" si="22"/>
        <v>0</v>
      </c>
      <c r="J37" s="1786">
        <f t="shared" si="22"/>
        <v>0</v>
      </c>
      <c r="K37" s="1786">
        <f t="shared" si="22"/>
        <v>0</v>
      </c>
      <c r="L37" s="1786">
        <f t="shared" si="22"/>
        <v>0</v>
      </c>
      <c r="M37" s="1786">
        <f t="shared" si="22"/>
        <v>0</v>
      </c>
      <c r="N37" s="1786">
        <f t="shared" si="22"/>
        <v>0</v>
      </c>
      <c r="O37" s="1786">
        <f t="shared" si="22"/>
        <v>0</v>
      </c>
      <c r="P37" s="1786">
        <f t="shared" si="22"/>
        <v>0</v>
      </c>
      <c r="Q37" s="1786">
        <f t="shared" si="22"/>
        <v>0</v>
      </c>
      <c r="R37" s="1786">
        <f t="shared" si="22"/>
        <v>0</v>
      </c>
      <c r="S37" s="1786">
        <f t="shared" si="22"/>
        <v>0</v>
      </c>
      <c r="T37" s="1786">
        <f t="shared" si="22"/>
        <v>0</v>
      </c>
      <c r="U37" s="598"/>
      <c r="V37" s="598"/>
      <c r="W37" s="2456"/>
      <c r="Y37" s="1758" t="s">
        <v>1313</v>
      </c>
      <c r="Z37" s="1786">
        <f t="shared" si="14"/>
        <v>0</v>
      </c>
      <c r="AA37" s="1786">
        <f t="shared" si="14"/>
        <v>0</v>
      </c>
      <c r="AB37" s="1786">
        <f t="shared" si="14"/>
        <v>0</v>
      </c>
      <c r="AC37" s="1786">
        <f t="shared" si="14"/>
        <v>0</v>
      </c>
      <c r="AD37" s="1786">
        <f t="shared" si="14"/>
        <v>0</v>
      </c>
      <c r="AE37" s="1786">
        <f t="shared" si="14"/>
        <v>0</v>
      </c>
      <c r="AF37" s="1786">
        <f t="shared" si="14"/>
        <v>0</v>
      </c>
      <c r="AG37" s="1786">
        <f t="shared" si="14"/>
        <v>0</v>
      </c>
      <c r="AH37" s="1786">
        <f t="shared" si="14"/>
        <v>0</v>
      </c>
      <c r="AI37" s="1786">
        <f t="shared" si="14"/>
        <v>0</v>
      </c>
      <c r="AJ37" s="1786">
        <f t="shared" si="14"/>
        <v>0</v>
      </c>
      <c r="AK37" s="1786">
        <f t="shared" si="14"/>
        <v>0</v>
      </c>
      <c r="AL37" s="1786">
        <f t="shared" si="14"/>
        <v>0</v>
      </c>
      <c r="AM37" s="1786">
        <f t="shared" si="14"/>
        <v>0</v>
      </c>
      <c r="AN37" s="1786">
        <f t="shared" si="14"/>
        <v>0</v>
      </c>
      <c r="AO37" s="1786">
        <f t="shared" si="15"/>
        <v>0</v>
      </c>
      <c r="AP37" s="1786">
        <f t="shared" si="15"/>
        <v>0</v>
      </c>
    </row>
    <row r="38" spans="2:45" ht="14.25" thickBot="1" x14ac:dyDescent="0.3">
      <c r="B38" s="2455">
        <v>14</v>
      </c>
      <c r="C38" s="1758" t="s">
        <v>1314</v>
      </c>
      <c r="D38" s="1786">
        <f t="shared" ref="D38:T38" si="23">D94+D147</f>
        <v>3818.0418126913655</v>
      </c>
      <c r="E38" s="1786">
        <f t="shared" si="23"/>
        <v>3819.5213319467239</v>
      </c>
      <c r="F38" s="1786">
        <f t="shared" si="23"/>
        <v>3821.001424526662</v>
      </c>
      <c r="G38" s="1786">
        <f t="shared" si="23"/>
        <v>3822.4820906533505</v>
      </c>
      <c r="H38" s="1786">
        <f t="shared" si="23"/>
        <v>3823.9633305490438</v>
      </c>
      <c r="I38" s="1786">
        <f t="shared" si="23"/>
        <v>3825.4451444360784</v>
      </c>
      <c r="J38" s="1786">
        <f t="shared" si="23"/>
        <v>3826.9275325368817</v>
      </c>
      <c r="K38" s="1786">
        <f t="shared" si="23"/>
        <v>3828.4104950739652</v>
      </c>
      <c r="L38" s="1786">
        <f t="shared" si="23"/>
        <v>3829.8940322699291</v>
      </c>
      <c r="M38" s="1786">
        <f t="shared" si="23"/>
        <v>3831.3781443474581</v>
      </c>
      <c r="N38" s="1786">
        <f t="shared" si="23"/>
        <v>3832.862831529319</v>
      </c>
      <c r="O38" s="1786">
        <f t="shared" si="23"/>
        <v>3834.3480940383729</v>
      </c>
      <c r="P38" s="1786">
        <f t="shared" si="23"/>
        <v>3835.833932097561</v>
      </c>
      <c r="Q38" s="1786">
        <f t="shared" si="23"/>
        <v>3837.3203459299152</v>
      </c>
      <c r="R38" s="1786">
        <f t="shared" si="23"/>
        <v>3838.8073357585504</v>
      </c>
      <c r="S38" s="1786">
        <f t="shared" si="23"/>
        <v>3840.2949018066688</v>
      </c>
      <c r="T38" s="1786">
        <f t="shared" si="23"/>
        <v>3841.7830442975624</v>
      </c>
      <c r="U38" s="598"/>
      <c r="V38" s="598"/>
      <c r="W38" s="2456"/>
      <c r="Y38" s="1758" t="s">
        <v>1314</v>
      </c>
      <c r="Z38" s="1786">
        <f t="shared" si="14"/>
        <v>3818.0418126913655</v>
      </c>
      <c r="AA38" s="1786">
        <f t="shared" si="14"/>
        <v>3819.5213319467239</v>
      </c>
      <c r="AB38" s="1786">
        <f t="shared" si="14"/>
        <v>3821.001424526662</v>
      </c>
      <c r="AC38" s="1786">
        <f t="shared" si="14"/>
        <v>3822.4820906533505</v>
      </c>
      <c r="AD38" s="1786">
        <f t="shared" si="14"/>
        <v>3823.9633305490438</v>
      </c>
      <c r="AE38" s="1786">
        <f t="shared" si="14"/>
        <v>3825.4451444360784</v>
      </c>
      <c r="AF38" s="1786">
        <f t="shared" si="14"/>
        <v>3826.9275325368817</v>
      </c>
      <c r="AG38" s="1786">
        <f t="shared" si="14"/>
        <v>3828.4104950739652</v>
      </c>
      <c r="AH38" s="1786">
        <f t="shared" si="14"/>
        <v>3829.8940322699291</v>
      </c>
      <c r="AI38" s="1786">
        <f t="shared" si="14"/>
        <v>3831.3781443474581</v>
      </c>
      <c r="AJ38" s="1786">
        <f t="shared" si="14"/>
        <v>3832.862831529319</v>
      </c>
      <c r="AK38" s="1786">
        <f t="shared" si="14"/>
        <v>3834.3480940383729</v>
      </c>
      <c r="AL38" s="1786">
        <f t="shared" si="14"/>
        <v>3835.833932097561</v>
      </c>
      <c r="AM38" s="1786">
        <f t="shared" si="14"/>
        <v>3837.3203459299152</v>
      </c>
      <c r="AN38" s="1786">
        <f t="shared" si="14"/>
        <v>3838.8073357585504</v>
      </c>
      <c r="AO38" s="1786">
        <f t="shared" si="15"/>
        <v>3840.2949018066688</v>
      </c>
      <c r="AP38" s="1786">
        <f t="shared" si="15"/>
        <v>3841.7830442975624</v>
      </c>
    </row>
    <row r="39" spans="2:45" ht="14.25" thickBot="1" x14ac:dyDescent="0.3">
      <c r="B39" s="2455">
        <v>15</v>
      </c>
      <c r="C39" s="1758" t="s">
        <v>329</v>
      </c>
      <c r="D39" s="1786">
        <f t="shared" ref="D39:T39" si="24">D95+D148</f>
        <v>3144.4848000000002</v>
      </c>
      <c r="E39" s="1786">
        <f t="shared" si="24"/>
        <v>3145.7033109640006</v>
      </c>
      <c r="F39" s="1786">
        <f t="shared" si="24"/>
        <v>3146.922294109952</v>
      </c>
      <c r="G39" s="1786">
        <f t="shared" si="24"/>
        <v>3148.1417496208301</v>
      </c>
      <c r="H39" s="1786">
        <f t="shared" si="24"/>
        <v>3149.361677679678</v>
      </c>
      <c r="I39" s="1786">
        <f t="shared" si="24"/>
        <v>3150.5820784696125</v>
      </c>
      <c r="J39" s="1786">
        <f t="shared" si="24"/>
        <v>3151.802952173819</v>
      </c>
      <c r="K39" s="1786">
        <f t="shared" si="24"/>
        <v>3153.024298975557</v>
      </c>
      <c r="L39" s="1786">
        <f t="shared" si="24"/>
        <v>3154.2461190581544</v>
      </c>
      <c r="M39" s="1786">
        <f t="shared" si="24"/>
        <v>3155.4684126050115</v>
      </c>
      <c r="N39" s="1786">
        <f t="shared" si="24"/>
        <v>3156.6911797995981</v>
      </c>
      <c r="O39" s="1786">
        <f t="shared" si="24"/>
        <v>3157.914420825457</v>
      </c>
      <c r="P39" s="1786">
        <f t="shared" si="24"/>
        <v>3159.1381358662011</v>
      </c>
      <c r="Q39" s="1786">
        <f t="shared" si="24"/>
        <v>3160.3623251055151</v>
      </c>
      <c r="R39" s="1786">
        <f t="shared" si="24"/>
        <v>3161.5869887271542</v>
      </c>
      <c r="S39" s="1786">
        <f t="shared" si="24"/>
        <v>3162.8121269149442</v>
      </c>
      <c r="T39" s="1786">
        <f t="shared" si="24"/>
        <v>3164.0377398527839</v>
      </c>
      <c r="U39" s="598"/>
      <c r="V39" s="598"/>
      <c r="W39" s="2456"/>
      <c r="Y39" s="1758" t="s">
        <v>329</v>
      </c>
      <c r="Z39" s="1786">
        <f t="shared" si="14"/>
        <v>3144.4848000000002</v>
      </c>
      <c r="AA39" s="1786">
        <f t="shared" si="14"/>
        <v>3145.7033109640006</v>
      </c>
      <c r="AB39" s="1786">
        <f t="shared" si="14"/>
        <v>3146.922294109952</v>
      </c>
      <c r="AC39" s="1786">
        <f t="shared" si="14"/>
        <v>3148.1417496208301</v>
      </c>
      <c r="AD39" s="1786">
        <f t="shared" si="14"/>
        <v>3149.361677679678</v>
      </c>
      <c r="AE39" s="1786">
        <f t="shared" si="14"/>
        <v>3150.5820784696125</v>
      </c>
      <c r="AF39" s="1786">
        <f t="shared" si="14"/>
        <v>3151.802952173819</v>
      </c>
      <c r="AG39" s="1786">
        <f t="shared" si="14"/>
        <v>3153.024298975557</v>
      </c>
      <c r="AH39" s="1786">
        <f t="shared" si="14"/>
        <v>3154.2461190581544</v>
      </c>
      <c r="AI39" s="1786">
        <f t="shared" si="14"/>
        <v>3155.4684126050115</v>
      </c>
      <c r="AJ39" s="1786">
        <f t="shared" si="14"/>
        <v>3156.6911797995981</v>
      </c>
      <c r="AK39" s="1786">
        <f t="shared" si="14"/>
        <v>3157.914420825457</v>
      </c>
      <c r="AL39" s="1786">
        <f t="shared" si="14"/>
        <v>3159.1381358662011</v>
      </c>
      <c r="AM39" s="1786">
        <f t="shared" si="14"/>
        <v>3160.3623251055151</v>
      </c>
      <c r="AN39" s="1786">
        <f t="shared" si="14"/>
        <v>3161.5869887271542</v>
      </c>
      <c r="AO39" s="1786">
        <f t="shared" si="15"/>
        <v>3162.8121269149442</v>
      </c>
      <c r="AP39" s="1786">
        <f t="shared" si="15"/>
        <v>3164.0377398527839</v>
      </c>
    </row>
    <row r="40" spans="2:45" ht="14.25" thickBot="1" x14ac:dyDescent="0.3">
      <c r="B40" s="2455">
        <v>16</v>
      </c>
      <c r="C40" s="1758" t="s">
        <v>412</v>
      </c>
      <c r="D40" s="1786">
        <f t="shared" ref="D40:T40" si="25">D96+D149</f>
        <v>6040.3104491519998</v>
      </c>
      <c r="E40" s="1786">
        <f t="shared" si="25"/>
        <v>6042.6511138320311</v>
      </c>
      <c r="F40" s="1786">
        <f t="shared" si="25"/>
        <v>6044.9926855368249</v>
      </c>
      <c r="G40" s="1786">
        <f t="shared" si="25"/>
        <v>6047.3351646178608</v>
      </c>
      <c r="H40" s="1786">
        <f t="shared" si="25"/>
        <v>6049.6785514267513</v>
      </c>
      <c r="I40" s="1786">
        <f t="shared" si="25"/>
        <v>6052.0228463152462</v>
      </c>
      <c r="J40" s="1786">
        <f t="shared" si="25"/>
        <v>6054.3680496352363</v>
      </c>
      <c r="K40" s="1786">
        <f t="shared" si="25"/>
        <v>6056.7141617387433</v>
      </c>
      <c r="L40" s="1786">
        <f t="shared" si="25"/>
        <v>6059.0611829779282</v>
      </c>
      <c r="M40" s="1786">
        <f t="shared" si="25"/>
        <v>6061.4091137050891</v>
      </c>
      <c r="N40" s="1786">
        <f t="shared" si="25"/>
        <v>6063.757954272658</v>
      </c>
      <c r="O40" s="1786">
        <f t="shared" si="25"/>
        <v>6066.1077050332042</v>
      </c>
      <c r="P40" s="1786">
        <f t="shared" si="25"/>
        <v>6068.4583663394351</v>
      </c>
      <c r="Q40" s="1786">
        <f t="shared" si="25"/>
        <v>6070.8099385441938</v>
      </c>
      <c r="R40" s="1786">
        <f t="shared" si="25"/>
        <v>6073.1624220004596</v>
      </c>
      <c r="S40" s="1786">
        <f t="shared" si="25"/>
        <v>6075.5158170613486</v>
      </c>
      <c r="T40" s="1786">
        <f t="shared" si="25"/>
        <v>6077.8701240801165</v>
      </c>
      <c r="U40" s="598"/>
      <c r="V40" s="598"/>
      <c r="W40" s="2456"/>
      <c r="Y40" s="1758" t="s">
        <v>412</v>
      </c>
      <c r="Z40" s="1786">
        <f t="shared" si="14"/>
        <v>6040.3104491519998</v>
      </c>
      <c r="AA40" s="1786">
        <f t="shared" si="14"/>
        <v>6042.6511138320311</v>
      </c>
      <c r="AB40" s="1786">
        <f t="shared" si="15"/>
        <v>6044.9926855368249</v>
      </c>
      <c r="AC40" s="1786">
        <f t="shared" si="15"/>
        <v>6047.3351646178608</v>
      </c>
      <c r="AD40" s="1786">
        <f t="shared" si="15"/>
        <v>6049.6785514267513</v>
      </c>
      <c r="AE40" s="1786">
        <f t="shared" si="15"/>
        <v>6052.0228463152462</v>
      </c>
      <c r="AF40" s="1786">
        <f t="shared" si="15"/>
        <v>6054.3680496352363</v>
      </c>
      <c r="AG40" s="1786">
        <f t="shared" si="15"/>
        <v>6056.7141617387433</v>
      </c>
      <c r="AH40" s="1786">
        <f t="shared" si="15"/>
        <v>6059.0611829779282</v>
      </c>
      <c r="AI40" s="1786">
        <f t="shared" si="15"/>
        <v>6061.4091137050891</v>
      </c>
      <c r="AJ40" s="1786">
        <f t="shared" si="15"/>
        <v>6063.757954272658</v>
      </c>
      <c r="AK40" s="1786">
        <f t="shared" si="15"/>
        <v>6066.1077050332042</v>
      </c>
      <c r="AL40" s="1786">
        <f t="shared" si="15"/>
        <v>6068.4583663394351</v>
      </c>
      <c r="AM40" s="1786">
        <f t="shared" si="15"/>
        <v>6070.8099385441938</v>
      </c>
      <c r="AN40" s="1786">
        <f t="shared" si="15"/>
        <v>6073.1624220004596</v>
      </c>
      <c r="AO40" s="1786">
        <f t="shared" si="15"/>
        <v>6075.5158170613486</v>
      </c>
      <c r="AP40" s="1786">
        <f t="shared" si="15"/>
        <v>6077.8701240801165</v>
      </c>
    </row>
    <row r="41" spans="2:45" ht="14.25" thickBot="1" x14ac:dyDescent="0.3">
      <c r="B41" s="2455">
        <v>17</v>
      </c>
      <c r="C41" s="1758" t="s">
        <v>1234</v>
      </c>
      <c r="D41" s="1786">
        <f t="shared" ref="D41:T41" si="26">D97+D150</f>
        <v>1322.0808</v>
      </c>
      <c r="E41" s="1786">
        <f t="shared" si="26"/>
        <v>1322.5931160239459</v>
      </c>
      <c r="F41" s="1786">
        <f t="shared" si="26"/>
        <v>1323.1056305741154</v>
      </c>
      <c r="G41" s="1786">
        <f t="shared" si="26"/>
        <v>1323.618343727439</v>
      </c>
      <c r="H41" s="1786">
        <f t="shared" si="26"/>
        <v>1324.1312555608765</v>
      </c>
      <c r="I41" s="1786">
        <f t="shared" si="26"/>
        <v>1324.6443661514179</v>
      </c>
      <c r="J41" s="1786">
        <f t="shared" si="26"/>
        <v>1325.1576755760832</v>
      </c>
      <c r="K41" s="1786">
        <f t="shared" si="26"/>
        <v>1325.6711839119225</v>
      </c>
      <c r="L41" s="1786">
        <f t="shared" si="26"/>
        <v>1326.1848912360142</v>
      </c>
      <c r="M41" s="1786">
        <f t="shared" si="26"/>
        <v>1326.6987976254691</v>
      </c>
      <c r="N41" s="1786">
        <f t="shared" si="26"/>
        <v>1327.2129031574254</v>
      </c>
      <c r="O41" s="1786">
        <f t="shared" si="26"/>
        <v>1327.7272079090533</v>
      </c>
      <c r="P41" s="1786">
        <f t="shared" si="26"/>
        <v>1328.2417119575507</v>
      </c>
      <c r="Q41" s="1786">
        <f t="shared" si="26"/>
        <v>1328.7564153801472</v>
      </c>
      <c r="R41" s="1786">
        <f t="shared" si="26"/>
        <v>1329.2713182541022</v>
      </c>
      <c r="S41" s="1786">
        <f t="shared" si="26"/>
        <v>1329.7864206567037</v>
      </c>
      <c r="T41" s="1786">
        <f t="shared" si="26"/>
        <v>1330.301722665271</v>
      </c>
      <c r="U41" s="598"/>
      <c r="V41" s="598"/>
      <c r="W41" s="2456"/>
      <c r="Y41" s="1758" t="s">
        <v>1234</v>
      </c>
      <c r="Z41" s="1786">
        <f t="shared" si="14"/>
        <v>1322.0808</v>
      </c>
      <c r="AA41" s="1786">
        <f t="shared" si="14"/>
        <v>1322.5931160239459</v>
      </c>
      <c r="AB41" s="1786">
        <f t="shared" si="15"/>
        <v>1323.1056305741154</v>
      </c>
      <c r="AC41" s="1786">
        <f t="shared" si="15"/>
        <v>1323.618343727439</v>
      </c>
      <c r="AD41" s="1786">
        <f t="shared" si="15"/>
        <v>1324.1312555608765</v>
      </c>
      <c r="AE41" s="1786">
        <f t="shared" si="15"/>
        <v>1324.6443661514179</v>
      </c>
      <c r="AF41" s="1786">
        <f t="shared" si="15"/>
        <v>1325.1576755760832</v>
      </c>
      <c r="AG41" s="1786">
        <f t="shared" si="15"/>
        <v>1325.6711839119225</v>
      </c>
      <c r="AH41" s="1786">
        <f t="shared" si="15"/>
        <v>1326.1848912360142</v>
      </c>
      <c r="AI41" s="1786">
        <f t="shared" si="15"/>
        <v>1326.6987976254691</v>
      </c>
      <c r="AJ41" s="1786">
        <f t="shared" si="15"/>
        <v>1327.2129031574254</v>
      </c>
      <c r="AK41" s="1786">
        <f t="shared" si="15"/>
        <v>1327.7272079090533</v>
      </c>
      <c r="AL41" s="1786">
        <f t="shared" si="15"/>
        <v>1328.2417119575507</v>
      </c>
      <c r="AM41" s="1786">
        <f t="shared" si="15"/>
        <v>1328.7564153801472</v>
      </c>
      <c r="AN41" s="1786">
        <f t="shared" si="15"/>
        <v>1329.2713182541022</v>
      </c>
      <c r="AO41" s="1786">
        <f t="shared" si="15"/>
        <v>1329.7864206567037</v>
      </c>
      <c r="AP41" s="1786">
        <f t="shared" si="15"/>
        <v>1330.301722665271</v>
      </c>
    </row>
    <row r="42" spans="2:45" ht="14.25" thickBot="1" x14ac:dyDescent="0.3">
      <c r="B42" s="2455">
        <v>18</v>
      </c>
      <c r="C42" s="1758" t="s">
        <v>1969</v>
      </c>
      <c r="D42" s="1786">
        <f t="shared" ref="D42:T42" si="27">D98+D151</f>
        <v>3356.9049687957304</v>
      </c>
      <c r="E42" s="1786">
        <f t="shared" si="27"/>
        <v>3370.4731853859716</v>
      </c>
      <c r="F42" s="1786">
        <f t="shared" si="27"/>
        <v>3384.0962431180242</v>
      </c>
      <c r="G42" s="1786">
        <f t="shared" si="27"/>
        <v>3397.7743636533569</v>
      </c>
      <c r="H42" s="1786">
        <f t="shared" si="27"/>
        <v>3411.507769549371</v>
      </c>
      <c r="I42" s="1786">
        <f t="shared" si="27"/>
        <v>3425.2966842630162</v>
      </c>
      <c r="J42" s="1786">
        <f t="shared" si="27"/>
        <v>3439.1413321544296</v>
      </c>
      <c r="K42" s="1786">
        <f t="shared" si="27"/>
        <v>3453.0419384905881</v>
      </c>
      <c r="L42" s="1786">
        <f t="shared" si="27"/>
        <v>3466.9987294489665</v>
      </c>
      <c r="M42" s="1786">
        <f t="shared" si="27"/>
        <v>3481.0119321212278</v>
      </c>
      <c r="N42" s="1786">
        <f t="shared" si="27"/>
        <v>3495.0817745169093</v>
      </c>
      <c r="O42" s="1786">
        <f t="shared" si="27"/>
        <v>3509.2084855671364</v>
      </c>
      <c r="P42" s="1786">
        <f t="shared" si="27"/>
        <v>3523.3922951283494</v>
      </c>
      <c r="Q42" s="1786">
        <f t="shared" si="27"/>
        <v>3537.6334339860387</v>
      </c>
      <c r="R42" s="1786">
        <f t="shared" si="27"/>
        <v>3551.9321338585046</v>
      </c>
      <c r="S42" s="1786">
        <f t="shared" si="27"/>
        <v>3566.288627400626</v>
      </c>
      <c r="T42" s="1786">
        <f t="shared" si="27"/>
        <v>3580.7031482076432</v>
      </c>
      <c r="U42" s="598"/>
      <c r="V42" s="598"/>
      <c r="W42" s="2456"/>
      <c r="Y42" s="1758" t="s">
        <v>1969</v>
      </c>
      <c r="Z42" s="1786">
        <f t="shared" si="14"/>
        <v>3356.9049687957304</v>
      </c>
      <c r="AA42" s="1786">
        <f t="shared" si="14"/>
        <v>3370.4731853859716</v>
      </c>
      <c r="AB42" s="1786">
        <f t="shared" si="15"/>
        <v>3384.0962431180242</v>
      </c>
      <c r="AC42" s="1786">
        <f t="shared" si="15"/>
        <v>3397.7743636533569</v>
      </c>
      <c r="AD42" s="1786">
        <f t="shared" si="15"/>
        <v>3411.507769549371</v>
      </c>
      <c r="AE42" s="1786">
        <f t="shared" si="15"/>
        <v>3425.2966842630162</v>
      </c>
      <c r="AF42" s="1786">
        <f t="shared" si="15"/>
        <v>3439.1413321544296</v>
      </c>
      <c r="AG42" s="1786">
        <f t="shared" si="15"/>
        <v>3453.0419384905881</v>
      </c>
      <c r="AH42" s="1786">
        <f t="shared" si="15"/>
        <v>3466.9987294489665</v>
      </c>
      <c r="AI42" s="1786">
        <f t="shared" si="15"/>
        <v>3481.0119321212278</v>
      </c>
      <c r="AJ42" s="1786">
        <f t="shared" si="15"/>
        <v>3495.0817745169093</v>
      </c>
      <c r="AK42" s="1786">
        <f t="shared" si="15"/>
        <v>3509.2084855671364</v>
      </c>
      <c r="AL42" s="1786">
        <f t="shared" si="15"/>
        <v>3523.3922951283494</v>
      </c>
      <c r="AM42" s="1786">
        <f t="shared" si="15"/>
        <v>3537.6334339860387</v>
      </c>
      <c r="AN42" s="1786">
        <f t="shared" si="15"/>
        <v>3551.9321338585046</v>
      </c>
      <c r="AO42" s="1786">
        <f t="shared" si="15"/>
        <v>3566.288627400626</v>
      </c>
      <c r="AP42" s="1786">
        <f t="shared" si="15"/>
        <v>3580.7031482076432</v>
      </c>
    </row>
    <row r="43" spans="2:45" ht="14.25" thickBot="1" x14ac:dyDescent="0.3">
      <c r="B43" s="2455">
        <v>19</v>
      </c>
      <c r="C43" s="1758" t="s">
        <v>1970</v>
      </c>
      <c r="D43" s="1786">
        <f t="shared" ref="D43:T43" si="28">D99+D152</f>
        <v>1055.0962877483898</v>
      </c>
      <c r="E43" s="1786">
        <f t="shared" si="28"/>
        <v>1063.2410627545582</v>
      </c>
      <c r="F43" s="1786">
        <f t="shared" si="28"/>
        <v>1071.3919916457326</v>
      </c>
      <c r="G43" s="1786">
        <f t="shared" si="28"/>
        <v>1079.5490779682298</v>
      </c>
      <c r="H43" s="1786">
        <f t="shared" si="28"/>
        <v>1087.7123252701904</v>
      </c>
      <c r="I43" s="1786">
        <f t="shared" si="28"/>
        <v>1095.8817371015793</v>
      </c>
      <c r="J43" s="1786">
        <f t="shared" si="28"/>
        <v>1104.057317014189</v>
      </c>
      <c r="K43" s="1786">
        <f t="shared" si="28"/>
        <v>1112.2390685616385</v>
      </c>
      <c r="L43" s="1786">
        <f t="shared" si="28"/>
        <v>1120.4269952993743</v>
      </c>
      <c r="M43" s="1786">
        <f t="shared" si="28"/>
        <v>1128.6211007846719</v>
      </c>
      <c r="N43" s="1786">
        <f t="shared" si="28"/>
        <v>1136.8213885766359</v>
      </c>
      <c r="O43" s="1786">
        <f t="shared" si="28"/>
        <v>1145.0278622362021</v>
      </c>
      <c r="P43" s="1786">
        <f t="shared" si="28"/>
        <v>1153.2405253261388</v>
      </c>
      <c r="Q43" s="1786">
        <f t="shared" si="28"/>
        <v>1161.4593814110444</v>
      </c>
      <c r="R43" s="1786">
        <f t="shared" si="28"/>
        <v>1169.6844340573518</v>
      </c>
      <c r="S43" s="1786">
        <f t="shared" si="28"/>
        <v>1177.9156868333275</v>
      </c>
      <c r="T43" s="1786">
        <f t="shared" si="28"/>
        <v>1186.1531433090734</v>
      </c>
      <c r="U43" s="598"/>
      <c r="V43" s="598"/>
      <c r="W43" s="2456"/>
      <c r="Y43" s="1758" t="s">
        <v>1970</v>
      </c>
      <c r="Z43" s="1786">
        <f t="shared" si="14"/>
        <v>1055.0962877483898</v>
      </c>
      <c r="AA43" s="1786">
        <f t="shared" si="14"/>
        <v>1063.2410627545582</v>
      </c>
      <c r="AB43" s="1786">
        <f t="shared" si="15"/>
        <v>1071.3919916457326</v>
      </c>
      <c r="AC43" s="1786">
        <f t="shared" si="15"/>
        <v>1079.5490779682298</v>
      </c>
      <c r="AD43" s="1786">
        <f t="shared" si="15"/>
        <v>1087.7123252701904</v>
      </c>
      <c r="AE43" s="1786">
        <f t="shared" si="15"/>
        <v>1095.8817371015793</v>
      </c>
      <c r="AF43" s="1786">
        <f t="shared" si="15"/>
        <v>1104.057317014189</v>
      </c>
      <c r="AG43" s="1786">
        <f t="shared" si="15"/>
        <v>1112.2390685616385</v>
      </c>
      <c r="AH43" s="1786">
        <f t="shared" si="15"/>
        <v>1120.4269952993743</v>
      </c>
      <c r="AI43" s="1786">
        <f t="shared" si="15"/>
        <v>1128.6211007846719</v>
      </c>
      <c r="AJ43" s="1786">
        <f t="shared" si="15"/>
        <v>1136.8213885766359</v>
      </c>
      <c r="AK43" s="1786">
        <f t="shared" si="15"/>
        <v>1145.0278622362021</v>
      </c>
      <c r="AL43" s="1786">
        <f t="shared" si="15"/>
        <v>1153.2405253261388</v>
      </c>
      <c r="AM43" s="1786">
        <f t="shared" si="15"/>
        <v>1161.4593814110444</v>
      </c>
      <c r="AN43" s="1786">
        <f t="shared" si="15"/>
        <v>1169.6844340573518</v>
      </c>
      <c r="AO43" s="1786">
        <f t="shared" si="15"/>
        <v>1177.9156868333275</v>
      </c>
      <c r="AP43" s="1786">
        <f t="shared" si="15"/>
        <v>1186.1531433090734</v>
      </c>
    </row>
    <row r="44" spans="2:45" ht="14.25" thickBot="1" x14ac:dyDescent="0.3">
      <c r="B44" s="2455">
        <v>20</v>
      </c>
      <c r="C44" s="1758" t="s">
        <v>1746</v>
      </c>
      <c r="D44" s="1786">
        <f t="shared" ref="D44:T44" si="29">D100+D153</f>
        <v>380</v>
      </c>
      <c r="E44" s="1786">
        <f t="shared" si="29"/>
        <v>380.1472527920377</v>
      </c>
      <c r="F44" s="1786">
        <f t="shared" si="29"/>
        <v>380.29456264561435</v>
      </c>
      <c r="G44" s="1786">
        <f t="shared" si="29"/>
        <v>380.44192958284151</v>
      </c>
      <c r="H44" s="1786">
        <f t="shared" si="29"/>
        <v>380.58935362583964</v>
      </c>
      <c r="I44" s="1786">
        <f t="shared" si="29"/>
        <v>380.7368347967377</v>
      </c>
      <c r="J44" s="1786">
        <f t="shared" si="29"/>
        <v>380.88437311767302</v>
      </c>
      <c r="K44" s="1786">
        <f t="shared" si="29"/>
        <v>381.03196861079175</v>
      </c>
      <c r="L44" s="1786">
        <f t="shared" si="29"/>
        <v>381.17962129824849</v>
      </c>
      <c r="M44" s="1786">
        <f t="shared" si="29"/>
        <v>381.32733120220655</v>
      </c>
      <c r="N44" s="1786">
        <f t="shared" si="29"/>
        <v>381.4750983448377</v>
      </c>
      <c r="O44" s="1786">
        <f t="shared" si="29"/>
        <v>381.62292274832237</v>
      </c>
      <c r="P44" s="1786">
        <f t="shared" si="29"/>
        <v>381.77080443484942</v>
      </c>
      <c r="Q44" s="1786">
        <f t="shared" si="29"/>
        <v>381.91874342661657</v>
      </c>
      <c r="R44" s="1786">
        <f t="shared" si="29"/>
        <v>382.06673974583009</v>
      </c>
      <c r="S44" s="1786">
        <f t="shared" si="29"/>
        <v>382.21479341470467</v>
      </c>
      <c r="T44" s="1786">
        <f t="shared" si="29"/>
        <v>382.36290445546365</v>
      </c>
      <c r="U44" s="598"/>
      <c r="V44" s="598"/>
      <c r="W44" s="2456"/>
      <c r="Y44" s="1758" t="s">
        <v>1746</v>
      </c>
      <c r="Z44" s="1786">
        <f t="shared" si="14"/>
        <v>380</v>
      </c>
      <c r="AA44" s="1786">
        <f t="shared" si="14"/>
        <v>380.1472527920377</v>
      </c>
      <c r="AB44" s="1786">
        <f t="shared" si="15"/>
        <v>380.29456264561435</v>
      </c>
      <c r="AC44" s="1786">
        <f t="shared" si="15"/>
        <v>380.44192958284151</v>
      </c>
      <c r="AD44" s="1786">
        <f t="shared" si="15"/>
        <v>380.58935362583964</v>
      </c>
      <c r="AE44" s="1786">
        <f t="shared" si="15"/>
        <v>380.7368347967377</v>
      </c>
      <c r="AF44" s="1786">
        <f t="shared" si="15"/>
        <v>380.88437311767302</v>
      </c>
      <c r="AG44" s="1786">
        <f t="shared" si="15"/>
        <v>381.03196861079175</v>
      </c>
      <c r="AH44" s="1786">
        <f t="shared" si="15"/>
        <v>381.17962129824849</v>
      </c>
      <c r="AI44" s="1786">
        <f t="shared" si="15"/>
        <v>381.32733120220655</v>
      </c>
      <c r="AJ44" s="1786">
        <f t="shared" si="15"/>
        <v>381.4750983448377</v>
      </c>
      <c r="AK44" s="1786">
        <f t="shared" si="15"/>
        <v>381.62292274832237</v>
      </c>
      <c r="AL44" s="1786">
        <f t="shared" si="15"/>
        <v>381.77080443484942</v>
      </c>
      <c r="AM44" s="1786">
        <f t="shared" si="15"/>
        <v>381.91874342661657</v>
      </c>
      <c r="AN44" s="1786">
        <f t="shared" si="15"/>
        <v>382.06673974583009</v>
      </c>
      <c r="AO44" s="1786">
        <f t="shared" si="15"/>
        <v>382.21479341470467</v>
      </c>
      <c r="AP44" s="1786">
        <f t="shared" si="15"/>
        <v>382.36290445546365</v>
      </c>
    </row>
    <row r="45" spans="2:45" ht="14.25" thickBot="1" x14ac:dyDescent="0.3">
      <c r="B45" s="2455">
        <v>21</v>
      </c>
      <c r="C45" s="1758" t="s">
        <v>1235</v>
      </c>
      <c r="D45" s="1786" t="e">
        <f t="shared" ref="D45:T45" si="30">D101+D154</f>
        <v>#DIV/0!</v>
      </c>
      <c r="E45" s="1786" t="e">
        <f t="shared" si="30"/>
        <v>#DIV/0!</v>
      </c>
      <c r="F45" s="1786" t="e">
        <f t="shared" si="30"/>
        <v>#DIV/0!</v>
      </c>
      <c r="G45" s="1786" t="e">
        <f t="shared" si="30"/>
        <v>#DIV/0!</v>
      </c>
      <c r="H45" s="1786" t="e">
        <f t="shared" si="30"/>
        <v>#DIV/0!</v>
      </c>
      <c r="I45" s="1786" t="e">
        <f t="shared" si="30"/>
        <v>#DIV/0!</v>
      </c>
      <c r="J45" s="1786" t="e">
        <f t="shared" si="30"/>
        <v>#DIV/0!</v>
      </c>
      <c r="K45" s="1786" t="e">
        <f t="shared" si="30"/>
        <v>#DIV/0!</v>
      </c>
      <c r="L45" s="1786" t="e">
        <f t="shared" si="30"/>
        <v>#DIV/0!</v>
      </c>
      <c r="M45" s="1786" t="e">
        <f t="shared" si="30"/>
        <v>#DIV/0!</v>
      </c>
      <c r="N45" s="1786" t="e">
        <f t="shared" si="30"/>
        <v>#DIV/0!</v>
      </c>
      <c r="O45" s="1786" t="e">
        <f t="shared" si="30"/>
        <v>#DIV/0!</v>
      </c>
      <c r="P45" s="1786" t="e">
        <f t="shared" si="30"/>
        <v>#DIV/0!</v>
      </c>
      <c r="Q45" s="1786" t="e">
        <f t="shared" si="30"/>
        <v>#DIV/0!</v>
      </c>
      <c r="R45" s="1786" t="e">
        <f t="shared" si="30"/>
        <v>#DIV/0!</v>
      </c>
      <c r="S45" s="1786" t="e">
        <f t="shared" si="30"/>
        <v>#DIV/0!</v>
      </c>
      <c r="T45" s="1786" t="e">
        <f t="shared" si="30"/>
        <v>#DIV/0!</v>
      </c>
      <c r="U45" s="598"/>
      <c r="V45" s="598"/>
      <c r="W45" s="2456"/>
      <c r="Y45" s="1758" t="s">
        <v>1235</v>
      </c>
      <c r="Z45" s="1786" t="e">
        <f t="shared" si="14"/>
        <v>#DIV/0!</v>
      </c>
      <c r="AA45" s="1786" t="e">
        <f t="shared" si="14"/>
        <v>#DIV/0!</v>
      </c>
      <c r="AB45" s="1786" t="e">
        <f t="shared" si="15"/>
        <v>#DIV/0!</v>
      </c>
      <c r="AC45" s="1786" t="e">
        <f t="shared" si="15"/>
        <v>#DIV/0!</v>
      </c>
      <c r="AD45" s="1786" t="e">
        <f t="shared" si="15"/>
        <v>#DIV/0!</v>
      </c>
      <c r="AE45" s="1786" t="e">
        <f t="shared" si="15"/>
        <v>#DIV/0!</v>
      </c>
      <c r="AF45" s="1786" t="e">
        <f t="shared" si="15"/>
        <v>#DIV/0!</v>
      </c>
      <c r="AG45" s="1786" t="e">
        <f t="shared" si="15"/>
        <v>#DIV/0!</v>
      </c>
      <c r="AH45" s="1786" t="e">
        <f t="shared" si="15"/>
        <v>#DIV/0!</v>
      </c>
      <c r="AI45" s="1786" t="e">
        <f t="shared" si="15"/>
        <v>#DIV/0!</v>
      </c>
      <c r="AJ45" s="1786" t="e">
        <f t="shared" si="15"/>
        <v>#DIV/0!</v>
      </c>
      <c r="AK45" s="1786" t="e">
        <f t="shared" si="15"/>
        <v>#DIV/0!</v>
      </c>
      <c r="AL45" s="1786" t="e">
        <f t="shared" si="15"/>
        <v>#DIV/0!</v>
      </c>
      <c r="AM45" s="1786" t="e">
        <f t="shared" si="15"/>
        <v>#DIV/0!</v>
      </c>
      <c r="AN45" s="1786" t="e">
        <f t="shared" si="15"/>
        <v>#DIV/0!</v>
      </c>
      <c r="AO45" s="1786" t="e">
        <f t="shared" si="15"/>
        <v>#DIV/0!</v>
      </c>
      <c r="AP45" s="1786" t="e">
        <f t="shared" si="15"/>
        <v>#DIV/0!</v>
      </c>
    </row>
    <row r="46" spans="2:45" ht="14.25" thickBot="1" x14ac:dyDescent="0.3">
      <c r="B46" s="2455">
        <v>22</v>
      </c>
      <c r="C46" s="1758" t="s">
        <v>1798</v>
      </c>
      <c r="D46" s="1786" t="e">
        <f t="shared" ref="D46:T46" si="31">D102+D155</f>
        <v>#DIV/0!</v>
      </c>
      <c r="E46" s="1786" t="e">
        <f t="shared" si="31"/>
        <v>#DIV/0!</v>
      </c>
      <c r="F46" s="1786" t="e">
        <f t="shared" si="31"/>
        <v>#DIV/0!</v>
      </c>
      <c r="G46" s="1786" t="e">
        <f t="shared" si="31"/>
        <v>#DIV/0!</v>
      </c>
      <c r="H46" s="1786" t="e">
        <f t="shared" si="31"/>
        <v>#DIV/0!</v>
      </c>
      <c r="I46" s="1786" t="e">
        <f t="shared" si="31"/>
        <v>#DIV/0!</v>
      </c>
      <c r="J46" s="1786" t="e">
        <f t="shared" si="31"/>
        <v>#DIV/0!</v>
      </c>
      <c r="K46" s="1786" t="e">
        <f t="shared" si="31"/>
        <v>#DIV/0!</v>
      </c>
      <c r="L46" s="1786" t="e">
        <f t="shared" si="31"/>
        <v>#DIV/0!</v>
      </c>
      <c r="M46" s="1786" t="e">
        <f t="shared" si="31"/>
        <v>#DIV/0!</v>
      </c>
      <c r="N46" s="1786" t="e">
        <f t="shared" si="31"/>
        <v>#DIV/0!</v>
      </c>
      <c r="O46" s="1786" t="e">
        <f t="shared" si="31"/>
        <v>#DIV/0!</v>
      </c>
      <c r="P46" s="1786" t="e">
        <f t="shared" si="31"/>
        <v>#DIV/0!</v>
      </c>
      <c r="Q46" s="1786" t="e">
        <f t="shared" si="31"/>
        <v>#DIV/0!</v>
      </c>
      <c r="R46" s="1786" t="e">
        <f t="shared" si="31"/>
        <v>#DIV/0!</v>
      </c>
      <c r="S46" s="1786" t="e">
        <f t="shared" si="31"/>
        <v>#DIV/0!</v>
      </c>
      <c r="T46" s="1786" t="e">
        <f t="shared" si="31"/>
        <v>#DIV/0!</v>
      </c>
      <c r="U46" s="598"/>
      <c r="V46" s="598"/>
      <c r="W46" s="2456"/>
      <c r="Y46" s="1758" t="s">
        <v>1798</v>
      </c>
      <c r="Z46" s="1786" t="e">
        <f t="shared" ref="Z46:AN66" si="32">D46</f>
        <v>#DIV/0!</v>
      </c>
      <c r="AA46" s="1786" t="e">
        <f t="shared" si="32"/>
        <v>#DIV/0!</v>
      </c>
      <c r="AB46" s="1786" t="e">
        <f t="shared" si="32"/>
        <v>#DIV/0!</v>
      </c>
      <c r="AC46" s="1786" t="e">
        <f t="shared" si="32"/>
        <v>#DIV/0!</v>
      </c>
      <c r="AD46" s="1786" t="e">
        <f t="shared" si="32"/>
        <v>#DIV/0!</v>
      </c>
      <c r="AE46" s="1786" t="e">
        <f t="shared" si="32"/>
        <v>#DIV/0!</v>
      </c>
      <c r="AF46" s="1786" t="e">
        <f t="shared" si="32"/>
        <v>#DIV/0!</v>
      </c>
      <c r="AG46" s="1786" t="e">
        <f t="shared" si="32"/>
        <v>#DIV/0!</v>
      </c>
      <c r="AH46" s="1786" t="e">
        <f t="shared" si="32"/>
        <v>#DIV/0!</v>
      </c>
      <c r="AI46" s="1786" t="e">
        <f t="shared" si="32"/>
        <v>#DIV/0!</v>
      </c>
      <c r="AJ46" s="1786" t="e">
        <f t="shared" si="32"/>
        <v>#DIV/0!</v>
      </c>
      <c r="AK46" s="1786" t="e">
        <f t="shared" si="32"/>
        <v>#DIV/0!</v>
      </c>
      <c r="AL46" s="1786" t="e">
        <f t="shared" si="32"/>
        <v>#DIV/0!</v>
      </c>
      <c r="AM46" s="1786" t="e">
        <f t="shared" si="32"/>
        <v>#DIV/0!</v>
      </c>
      <c r="AN46" s="1786" t="e">
        <f t="shared" si="32"/>
        <v>#DIV/0!</v>
      </c>
      <c r="AO46" s="1786" t="e">
        <f t="shared" ref="AB46:AP64" si="33">S46</f>
        <v>#DIV/0!</v>
      </c>
      <c r="AP46" s="1786" t="e">
        <f t="shared" si="33"/>
        <v>#DIV/0!</v>
      </c>
    </row>
    <row r="47" spans="2:45" ht="14.25" thickBot="1" x14ac:dyDescent="0.3">
      <c r="B47" s="2455">
        <v>23</v>
      </c>
      <c r="C47" s="1758" t="s">
        <v>1971</v>
      </c>
      <c r="D47" s="1786" t="e">
        <f t="shared" ref="D47:T47" si="34">D103+D156</f>
        <v>#REF!</v>
      </c>
      <c r="E47" s="1786" t="e">
        <f t="shared" si="34"/>
        <v>#REF!</v>
      </c>
      <c r="F47" s="1786" t="e">
        <f t="shared" si="34"/>
        <v>#REF!</v>
      </c>
      <c r="G47" s="1786" t="e">
        <f t="shared" si="34"/>
        <v>#REF!</v>
      </c>
      <c r="H47" s="1786" t="e">
        <f t="shared" si="34"/>
        <v>#REF!</v>
      </c>
      <c r="I47" s="1786" t="e">
        <f t="shared" si="34"/>
        <v>#REF!</v>
      </c>
      <c r="J47" s="1786" t="e">
        <f t="shared" si="34"/>
        <v>#REF!</v>
      </c>
      <c r="K47" s="1786" t="e">
        <f t="shared" si="34"/>
        <v>#REF!</v>
      </c>
      <c r="L47" s="1786" t="e">
        <f t="shared" si="34"/>
        <v>#REF!</v>
      </c>
      <c r="M47" s="1786" t="e">
        <f t="shared" si="34"/>
        <v>#REF!</v>
      </c>
      <c r="N47" s="1786" t="e">
        <f t="shared" si="34"/>
        <v>#REF!</v>
      </c>
      <c r="O47" s="1786" t="e">
        <f t="shared" si="34"/>
        <v>#REF!</v>
      </c>
      <c r="P47" s="1786" t="e">
        <f t="shared" si="34"/>
        <v>#REF!</v>
      </c>
      <c r="Q47" s="1786" t="e">
        <f t="shared" si="34"/>
        <v>#REF!</v>
      </c>
      <c r="R47" s="1786" t="e">
        <f t="shared" si="34"/>
        <v>#REF!</v>
      </c>
      <c r="S47" s="1786" t="e">
        <f t="shared" si="34"/>
        <v>#REF!</v>
      </c>
      <c r="T47" s="1786" t="e">
        <f t="shared" si="34"/>
        <v>#REF!</v>
      </c>
      <c r="U47" s="598"/>
      <c r="V47" s="598"/>
      <c r="W47" s="2456"/>
      <c r="Y47" s="1758" t="s">
        <v>1971</v>
      </c>
      <c r="Z47" s="1786" t="e">
        <f t="shared" si="32"/>
        <v>#REF!</v>
      </c>
      <c r="AA47" s="1786" t="e">
        <f t="shared" si="32"/>
        <v>#REF!</v>
      </c>
      <c r="AB47" s="1786" t="e">
        <f t="shared" si="33"/>
        <v>#REF!</v>
      </c>
      <c r="AC47" s="1786" t="e">
        <f t="shared" si="33"/>
        <v>#REF!</v>
      </c>
      <c r="AD47" s="1786" t="e">
        <f t="shared" si="33"/>
        <v>#REF!</v>
      </c>
      <c r="AE47" s="1786" t="e">
        <f t="shared" si="33"/>
        <v>#REF!</v>
      </c>
      <c r="AF47" s="1786" t="e">
        <f t="shared" si="33"/>
        <v>#REF!</v>
      </c>
      <c r="AG47" s="1786" t="e">
        <f t="shared" si="33"/>
        <v>#REF!</v>
      </c>
      <c r="AH47" s="1786" t="e">
        <f t="shared" si="33"/>
        <v>#REF!</v>
      </c>
      <c r="AI47" s="1786" t="e">
        <f t="shared" si="33"/>
        <v>#REF!</v>
      </c>
      <c r="AJ47" s="1786" t="e">
        <f t="shared" si="33"/>
        <v>#REF!</v>
      </c>
      <c r="AK47" s="1786" t="e">
        <f t="shared" si="33"/>
        <v>#REF!</v>
      </c>
      <c r="AL47" s="1786" t="e">
        <f t="shared" si="33"/>
        <v>#REF!</v>
      </c>
      <c r="AM47" s="1786" t="e">
        <f t="shared" si="33"/>
        <v>#REF!</v>
      </c>
      <c r="AN47" s="1786" t="e">
        <f t="shared" si="33"/>
        <v>#REF!</v>
      </c>
      <c r="AO47" s="1786" t="e">
        <f t="shared" si="33"/>
        <v>#REF!</v>
      </c>
      <c r="AP47" s="1786" t="e">
        <f t="shared" si="33"/>
        <v>#REF!</v>
      </c>
    </row>
    <row r="48" spans="2:45" ht="15" customHeight="1" thickBot="1" x14ac:dyDescent="0.3">
      <c r="B48" s="2455"/>
      <c r="C48" s="2599" t="s">
        <v>61</v>
      </c>
      <c r="D48" s="2598"/>
      <c r="E48" s="2598"/>
      <c r="F48" s="2598"/>
      <c r="G48" s="2598"/>
      <c r="H48" s="2598"/>
      <c r="I48" s="2598"/>
      <c r="J48" s="2598"/>
      <c r="K48" s="2598"/>
      <c r="L48" s="2598"/>
      <c r="M48" s="2598"/>
      <c r="N48" s="2598"/>
      <c r="O48" s="2598"/>
      <c r="P48" s="2598"/>
      <c r="Q48" s="2598"/>
      <c r="R48" s="2598"/>
      <c r="S48" s="2598"/>
      <c r="T48" s="2598"/>
      <c r="U48" s="598"/>
      <c r="V48" s="598"/>
      <c r="W48" s="2456"/>
      <c r="Y48" s="2599" t="s">
        <v>61</v>
      </c>
      <c r="Z48" s="2603"/>
      <c r="AA48" s="2603"/>
      <c r="AB48" s="2603"/>
      <c r="AC48" s="2603"/>
      <c r="AD48" s="2603"/>
      <c r="AE48" s="2603"/>
      <c r="AF48" s="2603"/>
      <c r="AG48" s="2603"/>
      <c r="AH48" s="2603"/>
      <c r="AI48" s="2603"/>
      <c r="AJ48" s="2603"/>
      <c r="AK48" s="2603"/>
      <c r="AL48" s="2603"/>
      <c r="AM48" s="2603"/>
      <c r="AN48" s="2603"/>
      <c r="AO48" s="2603"/>
      <c r="AP48" s="2603"/>
      <c r="AS48" s="691" t="s">
        <v>4192</v>
      </c>
    </row>
    <row r="49" spans="2:42" ht="15" customHeight="1" thickBot="1" x14ac:dyDescent="0.3">
      <c r="B49" s="2455">
        <v>24</v>
      </c>
      <c r="C49" s="1771" t="s">
        <v>1972</v>
      </c>
      <c r="D49" s="1786" t="e">
        <f t="shared" ref="D49:T49" si="35">D105+D158</f>
        <v>#DIV/0!</v>
      </c>
      <c r="E49" s="1786" t="e">
        <f t="shared" si="35"/>
        <v>#DIV/0!</v>
      </c>
      <c r="F49" s="1786" t="e">
        <f t="shared" si="35"/>
        <v>#DIV/0!</v>
      </c>
      <c r="G49" s="1786" t="e">
        <f t="shared" si="35"/>
        <v>#DIV/0!</v>
      </c>
      <c r="H49" s="1786" t="e">
        <f t="shared" si="35"/>
        <v>#DIV/0!</v>
      </c>
      <c r="I49" s="1786" t="e">
        <f t="shared" si="35"/>
        <v>#DIV/0!</v>
      </c>
      <c r="J49" s="1786" t="e">
        <f t="shared" si="35"/>
        <v>#DIV/0!</v>
      </c>
      <c r="K49" s="1786" t="e">
        <f t="shared" si="35"/>
        <v>#DIV/0!</v>
      </c>
      <c r="L49" s="1786" t="e">
        <f t="shared" si="35"/>
        <v>#DIV/0!</v>
      </c>
      <c r="M49" s="1786" t="e">
        <f t="shared" si="35"/>
        <v>#DIV/0!</v>
      </c>
      <c r="N49" s="1786" t="e">
        <f t="shared" si="35"/>
        <v>#DIV/0!</v>
      </c>
      <c r="O49" s="1786" t="e">
        <f t="shared" si="35"/>
        <v>#DIV/0!</v>
      </c>
      <c r="P49" s="1786" t="e">
        <f t="shared" si="35"/>
        <v>#DIV/0!</v>
      </c>
      <c r="Q49" s="1786" t="e">
        <f t="shared" si="35"/>
        <v>#DIV/0!</v>
      </c>
      <c r="R49" s="1786" t="e">
        <f t="shared" si="35"/>
        <v>#DIV/0!</v>
      </c>
      <c r="S49" s="1786" t="e">
        <f t="shared" si="35"/>
        <v>#DIV/0!</v>
      </c>
      <c r="T49" s="1786" t="e">
        <f t="shared" si="35"/>
        <v>#DIV/0!</v>
      </c>
      <c r="U49" s="598"/>
      <c r="V49" s="598"/>
      <c r="W49" s="2456"/>
      <c r="Y49" s="2604" t="s">
        <v>1972</v>
      </c>
      <c r="Z49" s="2605" t="e">
        <f t="shared" si="32"/>
        <v>#DIV/0!</v>
      </c>
      <c r="AA49" s="2605" t="e">
        <f t="shared" si="32"/>
        <v>#DIV/0!</v>
      </c>
      <c r="AB49" s="2605" t="e">
        <f t="shared" si="33"/>
        <v>#DIV/0!</v>
      </c>
      <c r="AC49" s="2605" t="e">
        <f t="shared" si="33"/>
        <v>#DIV/0!</v>
      </c>
      <c r="AD49" s="2605" t="e">
        <f t="shared" si="33"/>
        <v>#DIV/0!</v>
      </c>
      <c r="AE49" s="2605" t="e">
        <f t="shared" si="33"/>
        <v>#DIV/0!</v>
      </c>
      <c r="AF49" s="2605" t="e">
        <f t="shared" si="33"/>
        <v>#DIV/0!</v>
      </c>
      <c r="AG49" s="2605" t="e">
        <f t="shared" si="33"/>
        <v>#DIV/0!</v>
      </c>
      <c r="AH49" s="2605" t="e">
        <f t="shared" si="33"/>
        <v>#DIV/0!</v>
      </c>
      <c r="AI49" s="2605" t="e">
        <f t="shared" si="33"/>
        <v>#DIV/0!</v>
      </c>
      <c r="AJ49" s="2605" t="e">
        <f t="shared" si="33"/>
        <v>#DIV/0!</v>
      </c>
      <c r="AK49" s="2605" t="e">
        <f t="shared" si="33"/>
        <v>#DIV/0!</v>
      </c>
      <c r="AL49" s="2605" t="e">
        <f t="shared" si="33"/>
        <v>#DIV/0!</v>
      </c>
      <c r="AM49" s="2605" t="e">
        <f t="shared" si="33"/>
        <v>#DIV/0!</v>
      </c>
      <c r="AN49" s="2605" t="e">
        <f t="shared" si="33"/>
        <v>#DIV/0!</v>
      </c>
      <c r="AO49" s="2605" t="e">
        <f t="shared" si="33"/>
        <v>#DIV/0!</v>
      </c>
      <c r="AP49" s="2605" t="e">
        <f t="shared" si="33"/>
        <v>#DIV/0!</v>
      </c>
    </row>
    <row r="50" spans="2:42" ht="15" customHeight="1" thickBot="1" x14ac:dyDescent="0.3">
      <c r="B50" s="2455">
        <v>25</v>
      </c>
      <c r="C50" s="1771" t="s">
        <v>1973</v>
      </c>
      <c r="D50" s="1786" t="e">
        <f t="shared" ref="D50:T50" si="36">D106+D159</f>
        <v>#DIV/0!</v>
      </c>
      <c r="E50" s="1786" t="e">
        <f t="shared" si="36"/>
        <v>#DIV/0!</v>
      </c>
      <c r="F50" s="1786" t="e">
        <f t="shared" si="36"/>
        <v>#DIV/0!</v>
      </c>
      <c r="G50" s="1786" t="e">
        <f t="shared" si="36"/>
        <v>#DIV/0!</v>
      </c>
      <c r="H50" s="1786" t="e">
        <f t="shared" si="36"/>
        <v>#DIV/0!</v>
      </c>
      <c r="I50" s="1786" t="e">
        <f t="shared" si="36"/>
        <v>#DIV/0!</v>
      </c>
      <c r="J50" s="1786" t="e">
        <f t="shared" si="36"/>
        <v>#DIV/0!</v>
      </c>
      <c r="K50" s="1786" t="e">
        <f t="shared" si="36"/>
        <v>#DIV/0!</v>
      </c>
      <c r="L50" s="1786" t="e">
        <f t="shared" si="36"/>
        <v>#DIV/0!</v>
      </c>
      <c r="M50" s="1786" t="e">
        <f t="shared" si="36"/>
        <v>#DIV/0!</v>
      </c>
      <c r="N50" s="1786" t="e">
        <f t="shared" si="36"/>
        <v>#DIV/0!</v>
      </c>
      <c r="O50" s="1786" t="e">
        <f t="shared" si="36"/>
        <v>#DIV/0!</v>
      </c>
      <c r="P50" s="1786" t="e">
        <f t="shared" si="36"/>
        <v>#DIV/0!</v>
      </c>
      <c r="Q50" s="1786" t="e">
        <f t="shared" si="36"/>
        <v>#DIV/0!</v>
      </c>
      <c r="R50" s="1786" t="e">
        <f t="shared" si="36"/>
        <v>#DIV/0!</v>
      </c>
      <c r="S50" s="1786" t="e">
        <f t="shared" si="36"/>
        <v>#DIV/0!</v>
      </c>
      <c r="T50" s="1786" t="e">
        <f t="shared" si="36"/>
        <v>#DIV/0!</v>
      </c>
      <c r="U50" s="598"/>
      <c r="V50" s="598"/>
      <c r="W50" s="2456"/>
      <c r="Y50" s="1771" t="s">
        <v>1973</v>
      </c>
      <c r="Z50" s="1786" t="e">
        <f t="shared" si="32"/>
        <v>#DIV/0!</v>
      </c>
      <c r="AA50" s="1786" t="e">
        <f t="shared" si="32"/>
        <v>#DIV/0!</v>
      </c>
      <c r="AB50" s="1786" t="e">
        <f t="shared" si="33"/>
        <v>#DIV/0!</v>
      </c>
      <c r="AC50" s="1786" t="e">
        <f t="shared" si="33"/>
        <v>#DIV/0!</v>
      </c>
      <c r="AD50" s="1786" t="e">
        <f t="shared" si="33"/>
        <v>#DIV/0!</v>
      </c>
      <c r="AE50" s="1786" t="e">
        <f t="shared" si="33"/>
        <v>#DIV/0!</v>
      </c>
      <c r="AF50" s="1786" t="e">
        <f t="shared" si="33"/>
        <v>#DIV/0!</v>
      </c>
      <c r="AG50" s="1786" t="e">
        <f t="shared" si="33"/>
        <v>#DIV/0!</v>
      </c>
      <c r="AH50" s="1786" t="e">
        <f t="shared" si="33"/>
        <v>#DIV/0!</v>
      </c>
      <c r="AI50" s="1786" t="e">
        <f t="shared" si="33"/>
        <v>#DIV/0!</v>
      </c>
      <c r="AJ50" s="1786" t="e">
        <f t="shared" si="33"/>
        <v>#DIV/0!</v>
      </c>
      <c r="AK50" s="1786" t="e">
        <f t="shared" si="33"/>
        <v>#DIV/0!</v>
      </c>
      <c r="AL50" s="1786" t="e">
        <f t="shared" si="33"/>
        <v>#DIV/0!</v>
      </c>
      <c r="AM50" s="1786" t="e">
        <f t="shared" si="33"/>
        <v>#DIV/0!</v>
      </c>
      <c r="AN50" s="1786" t="e">
        <f t="shared" si="33"/>
        <v>#DIV/0!</v>
      </c>
      <c r="AO50" s="1786" t="e">
        <f t="shared" si="33"/>
        <v>#DIV/0!</v>
      </c>
      <c r="AP50" s="1786" t="e">
        <f t="shared" si="33"/>
        <v>#DIV/0!</v>
      </c>
    </row>
    <row r="51" spans="2:42" ht="15" customHeight="1" thickBot="1" x14ac:dyDescent="0.3">
      <c r="B51" s="2455"/>
      <c r="C51" s="2599" t="s">
        <v>2047</v>
      </c>
      <c r="D51" s="2598"/>
      <c r="E51" s="2598"/>
      <c r="F51" s="2598"/>
      <c r="G51" s="2598"/>
      <c r="H51" s="2598"/>
      <c r="I51" s="2598"/>
      <c r="J51" s="2598"/>
      <c r="K51" s="2598"/>
      <c r="L51" s="2598"/>
      <c r="M51" s="2598"/>
      <c r="N51" s="2598"/>
      <c r="O51" s="2598"/>
      <c r="P51" s="2598"/>
      <c r="Q51" s="2598"/>
      <c r="R51" s="2598"/>
      <c r="S51" s="2598"/>
      <c r="T51" s="2598"/>
      <c r="U51" s="598"/>
      <c r="V51" s="598"/>
      <c r="W51" s="2456"/>
      <c r="Y51" s="2599" t="s">
        <v>2047</v>
      </c>
      <c r="Z51" s="2603"/>
      <c r="AA51" s="2603"/>
      <c r="AB51" s="2603"/>
      <c r="AC51" s="2603"/>
      <c r="AD51" s="2603"/>
      <c r="AE51" s="2603"/>
      <c r="AF51" s="2603"/>
      <c r="AG51" s="2603"/>
      <c r="AH51" s="2603"/>
      <c r="AI51" s="2603"/>
      <c r="AJ51" s="2603"/>
      <c r="AK51" s="2603"/>
      <c r="AL51" s="2603"/>
      <c r="AM51" s="2603"/>
      <c r="AN51" s="2603"/>
      <c r="AO51" s="2603"/>
      <c r="AP51" s="2603"/>
    </row>
    <row r="52" spans="2:42" ht="15" customHeight="1" thickBot="1" x14ac:dyDescent="0.3">
      <c r="B52" s="2455">
        <v>26</v>
      </c>
      <c r="C52" s="1757" t="s">
        <v>1855</v>
      </c>
      <c r="D52" s="1786">
        <f t="shared" ref="D52:T52" si="37">D108+D161</f>
        <v>6162.2198399999997</v>
      </c>
      <c r="E52" s="1786">
        <f t="shared" si="37"/>
        <v>6164.6077454647129</v>
      </c>
      <c r="F52" s="1786">
        <f t="shared" si="37"/>
        <v>6166.9965762603351</v>
      </c>
      <c r="G52" s="1786">
        <f t="shared" si="37"/>
        <v>6169.3863327454455</v>
      </c>
      <c r="H52" s="1786">
        <f t="shared" si="37"/>
        <v>6171.7770152787507</v>
      </c>
      <c r="I52" s="1786">
        <f t="shared" si="37"/>
        <v>6174.1686242191035</v>
      </c>
      <c r="J52" s="1786">
        <f t="shared" si="37"/>
        <v>6176.5611599254935</v>
      </c>
      <c r="K52" s="1786">
        <f t="shared" si="37"/>
        <v>6178.954622757049</v>
      </c>
      <c r="L52" s="1786">
        <f t="shared" si="37"/>
        <v>6181.349013073037</v>
      </c>
      <c r="M52" s="1786">
        <f t="shared" si="37"/>
        <v>6183.7443312328633</v>
      </c>
      <c r="N52" s="1786">
        <f t="shared" si="37"/>
        <v>6186.1405775960793</v>
      </c>
      <c r="O52" s="1786">
        <f t="shared" si="37"/>
        <v>6188.5377525223666</v>
      </c>
      <c r="P52" s="1786">
        <f t="shared" si="37"/>
        <v>6190.9358563715505</v>
      </c>
      <c r="Q52" s="1786">
        <f t="shared" si="37"/>
        <v>6193.3348895035952</v>
      </c>
      <c r="R52" s="1786">
        <f t="shared" si="37"/>
        <v>6195.7348522786069</v>
      </c>
      <c r="S52" s="1786">
        <f t="shared" si="37"/>
        <v>6198.1357450568266</v>
      </c>
      <c r="T52" s="1786">
        <f t="shared" si="37"/>
        <v>6200.5375681986388</v>
      </c>
      <c r="U52" s="598"/>
      <c r="V52" s="598"/>
      <c r="W52" s="2456"/>
      <c r="Y52" s="1757" t="s">
        <v>1855</v>
      </c>
      <c r="Z52" s="1786">
        <f t="shared" si="32"/>
        <v>6162.2198399999997</v>
      </c>
      <c r="AA52" s="1786">
        <f t="shared" si="32"/>
        <v>6164.6077454647129</v>
      </c>
      <c r="AB52" s="1786">
        <f t="shared" si="33"/>
        <v>6166.9965762603351</v>
      </c>
      <c r="AC52" s="1786">
        <f t="shared" si="33"/>
        <v>6169.3863327454455</v>
      </c>
      <c r="AD52" s="1786">
        <f t="shared" si="33"/>
        <v>6171.7770152787507</v>
      </c>
      <c r="AE52" s="1786">
        <f t="shared" si="33"/>
        <v>6174.1686242191035</v>
      </c>
      <c r="AF52" s="1786">
        <f t="shared" si="33"/>
        <v>6176.5611599254935</v>
      </c>
      <c r="AG52" s="1786">
        <f t="shared" si="33"/>
        <v>6178.954622757049</v>
      </c>
      <c r="AH52" s="1786">
        <f t="shared" si="33"/>
        <v>6181.349013073037</v>
      </c>
      <c r="AI52" s="1786">
        <f t="shared" si="33"/>
        <v>6183.7443312328633</v>
      </c>
      <c r="AJ52" s="1786">
        <f t="shared" si="33"/>
        <v>6186.1405775960793</v>
      </c>
      <c r="AK52" s="1786">
        <f t="shared" si="33"/>
        <v>6188.5377525223666</v>
      </c>
      <c r="AL52" s="1786">
        <f t="shared" si="33"/>
        <v>6190.9358563715505</v>
      </c>
      <c r="AM52" s="1786">
        <f t="shared" si="33"/>
        <v>6193.3348895035952</v>
      </c>
      <c r="AN52" s="1786">
        <f t="shared" si="33"/>
        <v>6195.7348522786069</v>
      </c>
      <c r="AO52" s="1786">
        <f t="shared" si="33"/>
        <v>6198.1357450568266</v>
      </c>
      <c r="AP52" s="1786">
        <f t="shared" si="33"/>
        <v>6200.5375681986388</v>
      </c>
    </row>
    <row r="53" spans="2:42" ht="15" customHeight="1" thickBot="1" x14ac:dyDescent="0.3">
      <c r="B53" s="2455">
        <v>27</v>
      </c>
      <c r="C53" s="1757" t="s">
        <v>1975</v>
      </c>
      <c r="D53" s="1786">
        <f t="shared" ref="D53:T53" si="38">D109+D162</f>
        <v>968.56847199999993</v>
      </c>
      <c r="E53" s="1786">
        <f t="shared" si="38"/>
        <v>968.94379939942564</v>
      </c>
      <c r="F53" s="1786">
        <f t="shared" si="38"/>
        <v>969.31927224097603</v>
      </c>
      <c r="G53" s="1786">
        <f t="shared" si="38"/>
        <v>969.6948905810118</v>
      </c>
      <c r="H53" s="1786">
        <f t="shared" si="38"/>
        <v>970.0706544759139</v>
      </c>
      <c r="I53" s="1786">
        <f t="shared" si="38"/>
        <v>970.44656398208599</v>
      </c>
      <c r="J53" s="1786">
        <f t="shared" si="38"/>
        <v>970.82261915595382</v>
      </c>
      <c r="K53" s="1786">
        <f t="shared" si="38"/>
        <v>971.19882005396471</v>
      </c>
      <c r="L53" s="1786">
        <f t="shared" si="38"/>
        <v>971.5751667325876</v>
      </c>
      <c r="M53" s="1786">
        <f t="shared" si="38"/>
        <v>971.95165924831338</v>
      </c>
      <c r="N53" s="1786">
        <f t="shared" si="38"/>
        <v>972.32829765765575</v>
      </c>
      <c r="O53" s="1786">
        <f t="shared" si="38"/>
        <v>972.70508201714915</v>
      </c>
      <c r="P53" s="1786">
        <f t="shared" si="38"/>
        <v>973.08201238334982</v>
      </c>
      <c r="Q53" s="1786">
        <f t="shared" si="38"/>
        <v>973.45908881283708</v>
      </c>
      <c r="R53" s="1786">
        <f t="shared" si="38"/>
        <v>973.83631136221129</v>
      </c>
      <c r="S53" s="1786">
        <f t="shared" si="38"/>
        <v>974.21368008809509</v>
      </c>
      <c r="T53" s="1786">
        <f t="shared" si="38"/>
        <v>974.59119504713271</v>
      </c>
      <c r="U53" s="598"/>
      <c r="V53" s="598"/>
      <c r="W53" s="2456"/>
      <c r="Y53" s="1757" t="s">
        <v>1975</v>
      </c>
      <c r="Z53" s="1786">
        <f t="shared" si="32"/>
        <v>968.56847199999993</v>
      </c>
      <c r="AA53" s="1786">
        <f t="shared" si="32"/>
        <v>968.94379939942564</v>
      </c>
      <c r="AB53" s="1786">
        <f t="shared" si="33"/>
        <v>969.31927224097603</v>
      </c>
      <c r="AC53" s="1786">
        <f t="shared" si="33"/>
        <v>969.6948905810118</v>
      </c>
      <c r="AD53" s="1786">
        <f t="shared" si="33"/>
        <v>970.0706544759139</v>
      </c>
      <c r="AE53" s="1786">
        <f t="shared" si="33"/>
        <v>970.44656398208599</v>
      </c>
      <c r="AF53" s="1786">
        <f t="shared" si="33"/>
        <v>970.82261915595382</v>
      </c>
      <c r="AG53" s="1786">
        <f t="shared" si="33"/>
        <v>971.19882005396471</v>
      </c>
      <c r="AH53" s="1786">
        <f t="shared" si="33"/>
        <v>971.5751667325876</v>
      </c>
      <c r="AI53" s="1786">
        <f t="shared" si="33"/>
        <v>971.95165924831338</v>
      </c>
      <c r="AJ53" s="1786">
        <f t="shared" si="33"/>
        <v>972.32829765765575</v>
      </c>
      <c r="AK53" s="1786">
        <f t="shared" si="33"/>
        <v>972.70508201714915</v>
      </c>
      <c r="AL53" s="1786">
        <f t="shared" si="33"/>
        <v>973.08201238334982</v>
      </c>
      <c r="AM53" s="1786">
        <f t="shared" si="33"/>
        <v>973.45908881283708</v>
      </c>
      <c r="AN53" s="1786">
        <f t="shared" si="33"/>
        <v>973.83631136221129</v>
      </c>
      <c r="AO53" s="1786">
        <f t="shared" si="33"/>
        <v>974.21368008809509</v>
      </c>
      <c r="AP53" s="1786">
        <f t="shared" si="33"/>
        <v>974.59119504713271</v>
      </c>
    </row>
    <row r="54" spans="2:42" ht="15" customHeight="1" thickBot="1" x14ac:dyDescent="0.3">
      <c r="B54" s="2455"/>
      <c r="C54" s="2600" t="s">
        <v>427</v>
      </c>
      <c r="D54" s="2598"/>
      <c r="E54" s="2598"/>
      <c r="F54" s="2598"/>
      <c r="G54" s="2598"/>
      <c r="H54" s="2598"/>
      <c r="I54" s="2598"/>
      <c r="J54" s="2598"/>
      <c r="K54" s="2598"/>
      <c r="L54" s="2598"/>
      <c r="M54" s="2598"/>
      <c r="N54" s="2598"/>
      <c r="O54" s="2598"/>
      <c r="P54" s="2598"/>
      <c r="Q54" s="2598"/>
      <c r="R54" s="2598"/>
      <c r="S54" s="2598"/>
      <c r="T54" s="2598"/>
      <c r="U54" s="598"/>
      <c r="V54" s="598"/>
      <c r="W54" s="2456"/>
      <c r="Y54" s="2600" t="s">
        <v>427</v>
      </c>
      <c r="Z54" s="2603"/>
      <c r="AA54" s="2603"/>
      <c r="AB54" s="2603"/>
      <c r="AC54" s="2603"/>
      <c r="AD54" s="2603"/>
      <c r="AE54" s="2603"/>
      <c r="AF54" s="2603"/>
      <c r="AG54" s="2603"/>
      <c r="AH54" s="2603"/>
      <c r="AI54" s="2603"/>
      <c r="AJ54" s="2603"/>
      <c r="AK54" s="2603"/>
      <c r="AL54" s="2603"/>
      <c r="AM54" s="2603"/>
      <c r="AN54" s="2603"/>
      <c r="AO54" s="2603"/>
      <c r="AP54" s="2603"/>
    </row>
    <row r="55" spans="2:42" ht="15" customHeight="1" thickBot="1" x14ac:dyDescent="0.3">
      <c r="B55" s="2455">
        <v>28</v>
      </c>
      <c r="C55" s="1757" t="s">
        <v>1777</v>
      </c>
      <c r="D55" s="1786" t="e">
        <f t="shared" ref="D55:T55" si="39">D111+D164</f>
        <v>#DIV/0!</v>
      </c>
      <c r="E55" s="1786" t="e">
        <f t="shared" si="39"/>
        <v>#DIV/0!</v>
      </c>
      <c r="F55" s="1786" t="e">
        <f t="shared" si="39"/>
        <v>#DIV/0!</v>
      </c>
      <c r="G55" s="1786" t="e">
        <f t="shared" si="39"/>
        <v>#DIV/0!</v>
      </c>
      <c r="H55" s="1786" t="e">
        <f t="shared" si="39"/>
        <v>#DIV/0!</v>
      </c>
      <c r="I55" s="1786" t="e">
        <f t="shared" si="39"/>
        <v>#DIV/0!</v>
      </c>
      <c r="J55" s="1786" t="e">
        <f t="shared" si="39"/>
        <v>#DIV/0!</v>
      </c>
      <c r="K55" s="1786" t="e">
        <f t="shared" si="39"/>
        <v>#DIV/0!</v>
      </c>
      <c r="L55" s="1786" t="e">
        <f t="shared" si="39"/>
        <v>#DIV/0!</v>
      </c>
      <c r="M55" s="1786" t="e">
        <f t="shared" si="39"/>
        <v>#DIV/0!</v>
      </c>
      <c r="N55" s="1786" t="e">
        <f t="shared" si="39"/>
        <v>#DIV/0!</v>
      </c>
      <c r="O55" s="1786" t="e">
        <f t="shared" si="39"/>
        <v>#DIV/0!</v>
      </c>
      <c r="P55" s="1786" t="e">
        <f t="shared" si="39"/>
        <v>#DIV/0!</v>
      </c>
      <c r="Q55" s="1786" t="e">
        <f t="shared" si="39"/>
        <v>#DIV/0!</v>
      </c>
      <c r="R55" s="1786" t="e">
        <f t="shared" si="39"/>
        <v>#DIV/0!</v>
      </c>
      <c r="S55" s="1786" t="e">
        <f t="shared" si="39"/>
        <v>#DIV/0!</v>
      </c>
      <c r="T55" s="1786" t="e">
        <f t="shared" si="39"/>
        <v>#DIV/0!</v>
      </c>
      <c r="U55" s="598"/>
      <c r="V55" s="598"/>
      <c r="W55" s="2456"/>
      <c r="Y55" s="1757" t="s">
        <v>1777</v>
      </c>
      <c r="Z55" s="1786" t="e">
        <f t="shared" si="32"/>
        <v>#DIV/0!</v>
      </c>
      <c r="AA55" s="1786" t="e">
        <f t="shared" si="32"/>
        <v>#DIV/0!</v>
      </c>
      <c r="AB55" s="1786" t="e">
        <f t="shared" si="33"/>
        <v>#DIV/0!</v>
      </c>
      <c r="AC55" s="1786" t="e">
        <f t="shared" si="33"/>
        <v>#DIV/0!</v>
      </c>
      <c r="AD55" s="1786" t="e">
        <f t="shared" si="33"/>
        <v>#DIV/0!</v>
      </c>
      <c r="AE55" s="1786" t="e">
        <f t="shared" si="33"/>
        <v>#DIV/0!</v>
      </c>
      <c r="AF55" s="1786" t="e">
        <f t="shared" si="33"/>
        <v>#DIV/0!</v>
      </c>
      <c r="AG55" s="1786" t="e">
        <f t="shared" si="33"/>
        <v>#DIV/0!</v>
      </c>
      <c r="AH55" s="1786" t="e">
        <f t="shared" si="33"/>
        <v>#DIV/0!</v>
      </c>
      <c r="AI55" s="1786" t="e">
        <f t="shared" si="33"/>
        <v>#DIV/0!</v>
      </c>
      <c r="AJ55" s="1786" t="e">
        <f t="shared" si="33"/>
        <v>#DIV/0!</v>
      </c>
      <c r="AK55" s="1786" t="e">
        <f t="shared" si="33"/>
        <v>#DIV/0!</v>
      </c>
      <c r="AL55" s="1786" t="e">
        <f t="shared" si="33"/>
        <v>#DIV/0!</v>
      </c>
      <c r="AM55" s="1786" t="e">
        <f t="shared" si="33"/>
        <v>#DIV/0!</v>
      </c>
      <c r="AN55" s="1786" t="e">
        <f t="shared" si="33"/>
        <v>#DIV/0!</v>
      </c>
      <c r="AO55" s="1786" t="e">
        <f t="shared" si="33"/>
        <v>#DIV/0!</v>
      </c>
      <c r="AP55" s="1786" t="e">
        <f t="shared" si="33"/>
        <v>#DIV/0!</v>
      </c>
    </row>
    <row r="56" spans="2:42" ht="15" customHeight="1" thickBot="1" x14ac:dyDescent="0.3">
      <c r="B56" s="2455">
        <v>29</v>
      </c>
      <c r="C56" s="1757" t="s">
        <v>1778</v>
      </c>
      <c r="D56" s="1786" t="e">
        <f t="shared" ref="D56:T56" si="40">D112+D165</f>
        <v>#DIV/0!</v>
      </c>
      <c r="E56" s="1786" t="e">
        <f t="shared" si="40"/>
        <v>#DIV/0!</v>
      </c>
      <c r="F56" s="1786" t="e">
        <f t="shared" si="40"/>
        <v>#DIV/0!</v>
      </c>
      <c r="G56" s="1786" t="e">
        <f t="shared" si="40"/>
        <v>#DIV/0!</v>
      </c>
      <c r="H56" s="1786" t="e">
        <f t="shared" si="40"/>
        <v>#DIV/0!</v>
      </c>
      <c r="I56" s="1786" t="e">
        <f t="shared" si="40"/>
        <v>#DIV/0!</v>
      </c>
      <c r="J56" s="1786" t="e">
        <f t="shared" si="40"/>
        <v>#DIV/0!</v>
      </c>
      <c r="K56" s="1786" t="e">
        <f t="shared" si="40"/>
        <v>#DIV/0!</v>
      </c>
      <c r="L56" s="1786" t="e">
        <f t="shared" si="40"/>
        <v>#DIV/0!</v>
      </c>
      <c r="M56" s="1786" t="e">
        <f t="shared" si="40"/>
        <v>#DIV/0!</v>
      </c>
      <c r="N56" s="1786" t="e">
        <f t="shared" si="40"/>
        <v>#DIV/0!</v>
      </c>
      <c r="O56" s="1786" t="e">
        <f t="shared" si="40"/>
        <v>#DIV/0!</v>
      </c>
      <c r="P56" s="1786" t="e">
        <f t="shared" si="40"/>
        <v>#DIV/0!</v>
      </c>
      <c r="Q56" s="1786" t="e">
        <f t="shared" si="40"/>
        <v>#DIV/0!</v>
      </c>
      <c r="R56" s="1786" t="e">
        <f t="shared" si="40"/>
        <v>#DIV/0!</v>
      </c>
      <c r="S56" s="1786" t="e">
        <f t="shared" si="40"/>
        <v>#DIV/0!</v>
      </c>
      <c r="T56" s="1786" t="e">
        <f t="shared" si="40"/>
        <v>#DIV/0!</v>
      </c>
      <c r="U56" s="598"/>
      <c r="V56" s="598"/>
      <c r="W56" s="2456"/>
      <c r="Y56" s="1757" t="s">
        <v>1778</v>
      </c>
      <c r="Z56" s="1786" t="e">
        <f t="shared" si="32"/>
        <v>#DIV/0!</v>
      </c>
      <c r="AA56" s="1786" t="e">
        <f t="shared" si="32"/>
        <v>#DIV/0!</v>
      </c>
      <c r="AB56" s="1786" t="e">
        <f t="shared" si="33"/>
        <v>#DIV/0!</v>
      </c>
      <c r="AC56" s="1786" t="e">
        <f t="shared" si="33"/>
        <v>#DIV/0!</v>
      </c>
      <c r="AD56" s="1786" t="e">
        <f t="shared" si="33"/>
        <v>#DIV/0!</v>
      </c>
      <c r="AE56" s="1786" t="e">
        <f t="shared" si="33"/>
        <v>#DIV/0!</v>
      </c>
      <c r="AF56" s="1786" t="e">
        <f t="shared" si="33"/>
        <v>#DIV/0!</v>
      </c>
      <c r="AG56" s="1786" t="e">
        <f t="shared" si="33"/>
        <v>#DIV/0!</v>
      </c>
      <c r="AH56" s="1786" t="e">
        <f t="shared" si="33"/>
        <v>#DIV/0!</v>
      </c>
      <c r="AI56" s="1786" t="e">
        <f t="shared" si="33"/>
        <v>#DIV/0!</v>
      </c>
      <c r="AJ56" s="1786" t="e">
        <f t="shared" si="33"/>
        <v>#DIV/0!</v>
      </c>
      <c r="AK56" s="1786" t="e">
        <f t="shared" si="33"/>
        <v>#DIV/0!</v>
      </c>
      <c r="AL56" s="1786" t="e">
        <f t="shared" si="33"/>
        <v>#DIV/0!</v>
      </c>
      <c r="AM56" s="1786" t="e">
        <f t="shared" si="33"/>
        <v>#DIV/0!</v>
      </c>
      <c r="AN56" s="1786" t="e">
        <f t="shared" si="33"/>
        <v>#DIV/0!</v>
      </c>
      <c r="AO56" s="1786" t="e">
        <f t="shared" si="33"/>
        <v>#DIV/0!</v>
      </c>
      <c r="AP56" s="1786" t="e">
        <f t="shared" si="33"/>
        <v>#DIV/0!</v>
      </c>
    </row>
    <row r="57" spans="2:42" ht="15" customHeight="1" thickBot="1" x14ac:dyDescent="0.3">
      <c r="B57" s="2455">
        <v>30</v>
      </c>
      <c r="C57" s="1757" t="s">
        <v>1779</v>
      </c>
      <c r="D57" s="1786" t="e">
        <f t="shared" ref="D57:T57" si="41">D113+D166</f>
        <v>#DIV/0!</v>
      </c>
      <c r="E57" s="1786" t="e">
        <f t="shared" si="41"/>
        <v>#DIV/0!</v>
      </c>
      <c r="F57" s="1786" t="e">
        <f t="shared" si="41"/>
        <v>#DIV/0!</v>
      </c>
      <c r="G57" s="1786" t="e">
        <f t="shared" si="41"/>
        <v>#DIV/0!</v>
      </c>
      <c r="H57" s="1786" t="e">
        <f t="shared" si="41"/>
        <v>#DIV/0!</v>
      </c>
      <c r="I57" s="1786" t="e">
        <f t="shared" si="41"/>
        <v>#DIV/0!</v>
      </c>
      <c r="J57" s="1786" t="e">
        <f t="shared" si="41"/>
        <v>#DIV/0!</v>
      </c>
      <c r="K57" s="1786" t="e">
        <f t="shared" si="41"/>
        <v>#DIV/0!</v>
      </c>
      <c r="L57" s="1786" t="e">
        <f t="shared" si="41"/>
        <v>#DIV/0!</v>
      </c>
      <c r="M57" s="1786" t="e">
        <f t="shared" si="41"/>
        <v>#DIV/0!</v>
      </c>
      <c r="N57" s="1786" t="e">
        <f t="shared" si="41"/>
        <v>#DIV/0!</v>
      </c>
      <c r="O57" s="1786" t="e">
        <f t="shared" si="41"/>
        <v>#DIV/0!</v>
      </c>
      <c r="P57" s="1786" t="e">
        <f t="shared" si="41"/>
        <v>#DIV/0!</v>
      </c>
      <c r="Q57" s="1786" t="e">
        <f t="shared" si="41"/>
        <v>#DIV/0!</v>
      </c>
      <c r="R57" s="1786" t="e">
        <f t="shared" si="41"/>
        <v>#DIV/0!</v>
      </c>
      <c r="S57" s="1786" t="e">
        <f t="shared" si="41"/>
        <v>#DIV/0!</v>
      </c>
      <c r="T57" s="1786" t="e">
        <f t="shared" si="41"/>
        <v>#DIV/0!</v>
      </c>
      <c r="U57" s="598"/>
      <c r="V57" s="598"/>
      <c r="W57" s="2456"/>
      <c r="Y57" s="1757" t="s">
        <v>1779</v>
      </c>
      <c r="Z57" s="1786" t="e">
        <f t="shared" si="32"/>
        <v>#DIV/0!</v>
      </c>
      <c r="AA57" s="1786" t="e">
        <f t="shared" si="32"/>
        <v>#DIV/0!</v>
      </c>
      <c r="AB57" s="1786" t="e">
        <f t="shared" si="33"/>
        <v>#DIV/0!</v>
      </c>
      <c r="AC57" s="1786" t="e">
        <f t="shared" si="33"/>
        <v>#DIV/0!</v>
      </c>
      <c r="AD57" s="1786" t="e">
        <f t="shared" si="33"/>
        <v>#DIV/0!</v>
      </c>
      <c r="AE57" s="1786" t="e">
        <f t="shared" si="33"/>
        <v>#DIV/0!</v>
      </c>
      <c r="AF57" s="1786" t="e">
        <f t="shared" si="33"/>
        <v>#DIV/0!</v>
      </c>
      <c r="AG57" s="1786" t="e">
        <f t="shared" si="33"/>
        <v>#DIV/0!</v>
      </c>
      <c r="AH57" s="1786" t="e">
        <f t="shared" si="33"/>
        <v>#DIV/0!</v>
      </c>
      <c r="AI57" s="1786" t="e">
        <f t="shared" si="33"/>
        <v>#DIV/0!</v>
      </c>
      <c r="AJ57" s="1786" t="e">
        <f t="shared" si="33"/>
        <v>#DIV/0!</v>
      </c>
      <c r="AK57" s="1786" t="e">
        <f t="shared" si="33"/>
        <v>#DIV/0!</v>
      </c>
      <c r="AL57" s="1786" t="e">
        <f t="shared" si="33"/>
        <v>#DIV/0!</v>
      </c>
      <c r="AM57" s="1786" t="e">
        <f t="shared" si="33"/>
        <v>#DIV/0!</v>
      </c>
      <c r="AN57" s="1786" t="e">
        <f t="shared" si="33"/>
        <v>#DIV/0!</v>
      </c>
      <c r="AO57" s="1786" t="e">
        <f t="shared" si="33"/>
        <v>#DIV/0!</v>
      </c>
      <c r="AP57" s="1786" t="e">
        <f t="shared" si="33"/>
        <v>#DIV/0!</v>
      </c>
    </row>
    <row r="58" spans="2:42" ht="15" customHeight="1" thickBot="1" x14ac:dyDescent="0.3">
      <c r="B58" s="2455">
        <v>31</v>
      </c>
      <c r="C58" s="1757" t="s">
        <v>1976</v>
      </c>
      <c r="D58" s="1786">
        <f t="shared" ref="D58:T58" si="42">D114+D167</f>
        <v>2894.9430559999996</v>
      </c>
      <c r="E58" s="1786">
        <f t="shared" si="42"/>
        <v>2896.0648677047006</v>
      </c>
      <c r="F58" s="1786">
        <f t="shared" si="42"/>
        <v>2897.1871141196789</v>
      </c>
      <c r="G58" s="1786">
        <f t="shared" si="42"/>
        <v>2898.30979541339</v>
      </c>
      <c r="H58" s="1786">
        <f t="shared" si="42"/>
        <v>2899.4329117543502</v>
      </c>
      <c r="I58" s="1786">
        <f t="shared" si="42"/>
        <v>2900.5564633111444</v>
      </c>
      <c r="J58" s="1786">
        <f t="shared" si="42"/>
        <v>2901.6804502524224</v>
      </c>
      <c r="K58" s="1786">
        <f t="shared" si="42"/>
        <v>2902.804872746899</v>
      </c>
      <c r="L58" s="1786">
        <f t="shared" si="42"/>
        <v>2903.9297309633539</v>
      </c>
      <c r="M58" s="1786">
        <f t="shared" si="42"/>
        <v>2905.055025070631</v>
      </c>
      <c r="N58" s="1786">
        <f t="shared" si="42"/>
        <v>2906.1807552376449</v>
      </c>
      <c r="O58" s="1786">
        <f t="shared" si="42"/>
        <v>2907.3069216333693</v>
      </c>
      <c r="P58" s="1786">
        <f t="shared" si="42"/>
        <v>2908.4335244268455</v>
      </c>
      <c r="Q58" s="1786">
        <f t="shared" si="42"/>
        <v>2909.5605637871822</v>
      </c>
      <c r="R58" s="1786">
        <f t="shared" si="42"/>
        <v>2910.6880398835524</v>
      </c>
      <c r="S58" s="1786">
        <f t="shared" si="42"/>
        <v>2911.8159528851943</v>
      </c>
      <c r="T58" s="1786">
        <f t="shared" si="42"/>
        <v>2912.9443029614108</v>
      </c>
      <c r="U58" s="598"/>
      <c r="V58" s="598"/>
      <c r="W58" s="2456"/>
      <c r="Y58" s="1757" t="s">
        <v>1976</v>
      </c>
      <c r="Z58" s="1786">
        <f t="shared" si="32"/>
        <v>2894.9430559999996</v>
      </c>
      <c r="AA58" s="1786">
        <f t="shared" si="32"/>
        <v>2896.0648677047006</v>
      </c>
      <c r="AB58" s="1786">
        <f t="shared" si="33"/>
        <v>2897.1871141196789</v>
      </c>
      <c r="AC58" s="1786">
        <f t="shared" si="33"/>
        <v>2898.30979541339</v>
      </c>
      <c r="AD58" s="1786">
        <f t="shared" si="33"/>
        <v>2899.4329117543502</v>
      </c>
      <c r="AE58" s="1786">
        <f t="shared" si="33"/>
        <v>2900.5564633111444</v>
      </c>
      <c r="AF58" s="1786">
        <f t="shared" si="33"/>
        <v>2901.6804502524224</v>
      </c>
      <c r="AG58" s="1786">
        <f t="shared" si="33"/>
        <v>2902.804872746899</v>
      </c>
      <c r="AH58" s="1786">
        <f t="shared" si="33"/>
        <v>2903.9297309633539</v>
      </c>
      <c r="AI58" s="1786">
        <f t="shared" si="33"/>
        <v>2905.055025070631</v>
      </c>
      <c r="AJ58" s="1786">
        <f t="shared" si="33"/>
        <v>2906.1807552376449</v>
      </c>
      <c r="AK58" s="1786">
        <f t="shared" si="33"/>
        <v>2907.3069216333693</v>
      </c>
      <c r="AL58" s="1786">
        <f t="shared" si="33"/>
        <v>2908.4335244268455</v>
      </c>
      <c r="AM58" s="1786">
        <f t="shared" si="33"/>
        <v>2909.5605637871822</v>
      </c>
      <c r="AN58" s="1786">
        <f t="shared" si="33"/>
        <v>2910.6880398835524</v>
      </c>
      <c r="AO58" s="1786">
        <f t="shared" si="33"/>
        <v>2911.8159528851943</v>
      </c>
      <c r="AP58" s="1786">
        <f t="shared" si="33"/>
        <v>2912.9443029614108</v>
      </c>
    </row>
    <row r="59" spans="2:42" ht="15" customHeight="1" thickBot="1" x14ac:dyDescent="0.3">
      <c r="B59" s="2455">
        <v>32</v>
      </c>
      <c r="C59" s="1757" t="s">
        <v>1977</v>
      </c>
      <c r="D59" s="1786" t="e">
        <f t="shared" ref="D59:T59" si="43">D115+D168</f>
        <v>#DIV/0!</v>
      </c>
      <c r="E59" s="1786" t="e">
        <f t="shared" si="43"/>
        <v>#DIV/0!</v>
      </c>
      <c r="F59" s="1786" t="e">
        <f t="shared" si="43"/>
        <v>#DIV/0!</v>
      </c>
      <c r="G59" s="1786" t="e">
        <f t="shared" si="43"/>
        <v>#DIV/0!</v>
      </c>
      <c r="H59" s="1786" t="e">
        <f t="shared" si="43"/>
        <v>#DIV/0!</v>
      </c>
      <c r="I59" s="1786" t="e">
        <f t="shared" si="43"/>
        <v>#DIV/0!</v>
      </c>
      <c r="J59" s="1786" t="e">
        <f t="shared" si="43"/>
        <v>#DIV/0!</v>
      </c>
      <c r="K59" s="1786" t="e">
        <f t="shared" si="43"/>
        <v>#DIV/0!</v>
      </c>
      <c r="L59" s="1786" t="e">
        <f t="shared" si="43"/>
        <v>#DIV/0!</v>
      </c>
      <c r="M59" s="1786" t="e">
        <f t="shared" si="43"/>
        <v>#DIV/0!</v>
      </c>
      <c r="N59" s="1786" t="e">
        <f t="shared" si="43"/>
        <v>#DIV/0!</v>
      </c>
      <c r="O59" s="1786" t="e">
        <f t="shared" si="43"/>
        <v>#DIV/0!</v>
      </c>
      <c r="P59" s="1786" t="e">
        <f t="shared" si="43"/>
        <v>#DIV/0!</v>
      </c>
      <c r="Q59" s="1786" t="e">
        <f t="shared" si="43"/>
        <v>#DIV/0!</v>
      </c>
      <c r="R59" s="1786" t="e">
        <f t="shared" si="43"/>
        <v>#DIV/0!</v>
      </c>
      <c r="S59" s="1786" t="e">
        <f t="shared" si="43"/>
        <v>#DIV/0!</v>
      </c>
      <c r="T59" s="1786" t="e">
        <f t="shared" si="43"/>
        <v>#DIV/0!</v>
      </c>
      <c r="U59" s="598"/>
      <c r="V59" s="598"/>
      <c r="W59" s="2456"/>
      <c r="Y59" s="1757" t="s">
        <v>1977</v>
      </c>
      <c r="Z59" s="1786" t="e">
        <f t="shared" si="32"/>
        <v>#DIV/0!</v>
      </c>
      <c r="AA59" s="1786" t="e">
        <f t="shared" si="32"/>
        <v>#DIV/0!</v>
      </c>
      <c r="AB59" s="1786" t="e">
        <f t="shared" si="32"/>
        <v>#DIV/0!</v>
      </c>
      <c r="AC59" s="1786" t="e">
        <f t="shared" si="32"/>
        <v>#DIV/0!</v>
      </c>
      <c r="AD59" s="1786" t="e">
        <f t="shared" si="32"/>
        <v>#DIV/0!</v>
      </c>
      <c r="AE59" s="1786" t="e">
        <f t="shared" si="32"/>
        <v>#DIV/0!</v>
      </c>
      <c r="AF59" s="1786" t="e">
        <f t="shared" si="32"/>
        <v>#DIV/0!</v>
      </c>
      <c r="AG59" s="1786" t="e">
        <f t="shared" si="32"/>
        <v>#DIV/0!</v>
      </c>
      <c r="AH59" s="1786" t="e">
        <f t="shared" si="32"/>
        <v>#DIV/0!</v>
      </c>
      <c r="AI59" s="1786" t="e">
        <f t="shared" si="32"/>
        <v>#DIV/0!</v>
      </c>
      <c r="AJ59" s="1786" t="e">
        <f t="shared" si="32"/>
        <v>#DIV/0!</v>
      </c>
      <c r="AK59" s="1786" t="e">
        <f t="shared" si="32"/>
        <v>#DIV/0!</v>
      </c>
      <c r="AL59" s="1786" t="e">
        <f t="shared" si="32"/>
        <v>#DIV/0!</v>
      </c>
      <c r="AM59" s="1786" t="e">
        <f t="shared" si="32"/>
        <v>#DIV/0!</v>
      </c>
      <c r="AN59" s="1786" t="e">
        <f t="shared" si="32"/>
        <v>#DIV/0!</v>
      </c>
      <c r="AO59" s="1786" t="e">
        <f t="shared" si="33"/>
        <v>#DIV/0!</v>
      </c>
      <c r="AP59" s="1786" t="e">
        <f t="shared" si="33"/>
        <v>#DIV/0!</v>
      </c>
    </row>
    <row r="60" spans="2:42" ht="15" customHeight="1" thickBot="1" x14ac:dyDescent="0.3">
      <c r="B60" s="2455"/>
      <c r="C60" s="2601" t="s">
        <v>1224</v>
      </c>
      <c r="D60" s="2598"/>
      <c r="E60" s="2598"/>
      <c r="F60" s="2598"/>
      <c r="G60" s="2598"/>
      <c r="H60" s="2598"/>
      <c r="I60" s="2598"/>
      <c r="J60" s="2598"/>
      <c r="K60" s="2598"/>
      <c r="L60" s="2598"/>
      <c r="M60" s="2598"/>
      <c r="N60" s="2598"/>
      <c r="O60" s="2598"/>
      <c r="P60" s="2598"/>
      <c r="Q60" s="2598"/>
      <c r="R60" s="2598"/>
      <c r="S60" s="2598"/>
      <c r="T60" s="2598"/>
      <c r="U60" s="598"/>
      <c r="V60" s="598"/>
      <c r="W60" s="2456"/>
      <c r="Y60" s="2601" t="s">
        <v>1224</v>
      </c>
      <c r="Z60" s="2603"/>
      <c r="AA60" s="2603"/>
      <c r="AB60" s="2603"/>
      <c r="AC60" s="2603"/>
      <c r="AD60" s="2603"/>
      <c r="AE60" s="2603"/>
      <c r="AF60" s="2603"/>
      <c r="AG60" s="2603"/>
      <c r="AH60" s="2603"/>
      <c r="AI60" s="2603"/>
      <c r="AJ60" s="2603"/>
      <c r="AK60" s="2603"/>
      <c r="AL60" s="2603"/>
      <c r="AM60" s="2603"/>
      <c r="AN60" s="2603"/>
      <c r="AO60" s="2603"/>
      <c r="AP60" s="2603"/>
    </row>
    <row r="61" spans="2:42" ht="15" customHeight="1" thickBot="1" x14ac:dyDescent="0.3">
      <c r="B61" s="2455">
        <v>33</v>
      </c>
      <c r="C61" s="1758" t="s">
        <v>1978</v>
      </c>
      <c r="D61" s="1786" t="e">
        <f t="shared" ref="D61:T61" si="44">D117+D170</f>
        <v>#DIV/0!</v>
      </c>
      <c r="E61" s="1786" t="e">
        <f t="shared" si="44"/>
        <v>#DIV/0!</v>
      </c>
      <c r="F61" s="1786" t="e">
        <f t="shared" si="44"/>
        <v>#DIV/0!</v>
      </c>
      <c r="G61" s="1786" t="e">
        <f t="shared" si="44"/>
        <v>#DIV/0!</v>
      </c>
      <c r="H61" s="1786" t="e">
        <f t="shared" si="44"/>
        <v>#DIV/0!</v>
      </c>
      <c r="I61" s="1786" t="e">
        <f t="shared" si="44"/>
        <v>#DIV/0!</v>
      </c>
      <c r="J61" s="1786" t="e">
        <f t="shared" si="44"/>
        <v>#DIV/0!</v>
      </c>
      <c r="K61" s="1786" t="e">
        <f t="shared" si="44"/>
        <v>#DIV/0!</v>
      </c>
      <c r="L61" s="1786" t="e">
        <f t="shared" si="44"/>
        <v>#DIV/0!</v>
      </c>
      <c r="M61" s="1786" t="e">
        <f t="shared" si="44"/>
        <v>#DIV/0!</v>
      </c>
      <c r="N61" s="1786" t="e">
        <f t="shared" si="44"/>
        <v>#DIV/0!</v>
      </c>
      <c r="O61" s="1786" t="e">
        <f t="shared" si="44"/>
        <v>#DIV/0!</v>
      </c>
      <c r="P61" s="1786" t="e">
        <f t="shared" si="44"/>
        <v>#DIV/0!</v>
      </c>
      <c r="Q61" s="1786" t="e">
        <f t="shared" si="44"/>
        <v>#DIV/0!</v>
      </c>
      <c r="R61" s="1786" t="e">
        <f t="shared" si="44"/>
        <v>#DIV/0!</v>
      </c>
      <c r="S61" s="1786" t="e">
        <f t="shared" si="44"/>
        <v>#DIV/0!</v>
      </c>
      <c r="T61" s="1786" t="e">
        <f t="shared" si="44"/>
        <v>#DIV/0!</v>
      </c>
      <c r="U61" s="598"/>
      <c r="V61" s="598"/>
      <c r="W61" s="2456"/>
      <c r="Y61" s="1758" t="s">
        <v>1978</v>
      </c>
      <c r="Z61" s="1786" t="e">
        <f t="shared" si="32"/>
        <v>#DIV/0!</v>
      </c>
      <c r="AA61" s="1786" t="e">
        <f t="shared" si="32"/>
        <v>#DIV/0!</v>
      </c>
      <c r="AB61" s="1786" t="e">
        <f t="shared" si="32"/>
        <v>#DIV/0!</v>
      </c>
      <c r="AC61" s="1786" t="e">
        <f t="shared" si="32"/>
        <v>#DIV/0!</v>
      </c>
      <c r="AD61" s="1786" t="e">
        <f t="shared" si="32"/>
        <v>#DIV/0!</v>
      </c>
      <c r="AE61" s="1786" t="e">
        <f t="shared" si="32"/>
        <v>#DIV/0!</v>
      </c>
      <c r="AF61" s="1786" t="e">
        <f t="shared" si="32"/>
        <v>#DIV/0!</v>
      </c>
      <c r="AG61" s="1786" t="e">
        <f t="shared" si="32"/>
        <v>#DIV/0!</v>
      </c>
      <c r="AH61" s="1786" t="e">
        <f t="shared" si="32"/>
        <v>#DIV/0!</v>
      </c>
      <c r="AI61" s="1786" t="e">
        <f t="shared" si="32"/>
        <v>#DIV/0!</v>
      </c>
      <c r="AJ61" s="1786" t="e">
        <f t="shared" si="32"/>
        <v>#DIV/0!</v>
      </c>
      <c r="AK61" s="1786" t="e">
        <f t="shared" si="32"/>
        <v>#DIV/0!</v>
      </c>
      <c r="AL61" s="1786" t="e">
        <f t="shared" si="32"/>
        <v>#DIV/0!</v>
      </c>
      <c r="AM61" s="1786" t="e">
        <f t="shared" si="32"/>
        <v>#DIV/0!</v>
      </c>
      <c r="AN61" s="1786" t="e">
        <f t="shared" si="32"/>
        <v>#DIV/0!</v>
      </c>
      <c r="AO61" s="1786" t="e">
        <f t="shared" si="33"/>
        <v>#DIV/0!</v>
      </c>
      <c r="AP61" s="1786" t="e">
        <f t="shared" si="33"/>
        <v>#DIV/0!</v>
      </c>
    </row>
    <row r="62" spans="2:42" ht="15" customHeight="1" thickBot="1" x14ac:dyDescent="0.3">
      <c r="B62" s="2455">
        <v>34</v>
      </c>
      <c r="C62" s="1758" t="s">
        <v>1979</v>
      </c>
      <c r="D62" s="1786" t="e">
        <f t="shared" ref="D62:T62" si="45">D118+D171</f>
        <v>#DIV/0!</v>
      </c>
      <c r="E62" s="1786" t="e">
        <f t="shared" si="45"/>
        <v>#DIV/0!</v>
      </c>
      <c r="F62" s="1786" t="e">
        <f t="shared" si="45"/>
        <v>#DIV/0!</v>
      </c>
      <c r="G62" s="1786" t="e">
        <f t="shared" si="45"/>
        <v>#DIV/0!</v>
      </c>
      <c r="H62" s="1786" t="e">
        <f t="shared" si="45"/>
        <v>#DIV/0!</v>
      </c>
      <c r="I62" s="1786" t="e">
        <f t="shared" si="45"/>
        <v>#DIV/0!</v>
      </c>
      <c r="J62" s="1786" t="e">
        <f t="shared" si="45"/>
        <v>#DIV/0!</v>
      </c>
      <c r="K62" s="1786" t="e">
        <f t="shared" si="45"/>
        <v>#DIV/0!</v>
      </c>
      <c r="L62" s="1786" t="e">
        <f t="shared" si="45"/>
        <v>#DIV/0!</v>
      </c>
      <c r="M62" s="1786" t="e">
        <f t="shared" si="45"/>
        <v>#DIV/0!</v>
      </c>
      <c r="N62" s="1786" t="e">
        <f t="shared" si="45"/>
        <v>#DIV/0!</v>
      </c>
      <c r="O62" s="1786" t="e">
        <f t="shared" si="45"/>
        <v>#DIV/0!</v>
      </c>
      <c r="P62" s="1786" t="e">
        <f t="shared" si="45"/>
        <v>#DIV/0!</v>
      </c>
      <c r="Q62" s="1786" t="e">
        <f t="shared" si="45"/>
        <v>#DIV/0!</v>
      </c>
      <c r="R62" s="1786" t="e">
        <f t="shared" si="45"/>
        <v>#DIV/0!</v>
      </c>
      <c r="S62" s="1786" t="e">
        <f t="shared" si="45"/>
        <v>#DIV/0!</v>
      </c>
      <c r="T62" s="1786" t="e">
        <f t="shared" si="45"/>
        <v>#DIV/0!</v>
      </c>
      <c r="U62" s="598"/>
      <c r="V62" s="598"/>
      <c r="W62" s="2456"/>
      <c r="Y62" s="1758" t="s">
        <v>1979</v>
      </c>
      <c r="Z62" s="1786" t="e">
        <f t="shared" si="32"/>
        <v>#DIV/0!</v>
      </c>
      <c r="AA62" s="1786" t="e">
        <f t="shared" si="32"/>
        <v>#DIV/0!</v>
      </c>
      <c r="AB62" s="1786" t="e">
        <f t="shared" si="32"/>
        <v>#DIV/0!</v>
      </c>
      <c r="AC62" s="1786" t="e">
        <f t="shared" si="32"/>
        <v>#DIV/0!</v>
      </c>
      <c r="AD62" s="1786" t="e">
        <f t="shared" si="32"/>
        <v>#DIV/0!</v>
      </c>
      <c r="AE62" s="1786" t="e">
        <f t="shared" si="32"/>
        <v>#DIV/0!</v>
      </c>
      <c r="AF62" s="1786" t="e">
        <f t="shared" si="32"/>
        <v>#DIV/0!</v>
      </c>
      <c r="AG62" s="1786" t="e">
        <f t="shared" si="32"/>
        <v>#DIV/0!</v>
      </c>
      <c r="AH62" s="1786" t="e">
        <f t="shared" si="32"/>
        <v>#DIV/0!</v>
      </c>
      <c r="AI62" s="1786" t="e">
        <f t="shared" si="32"/>
        <v>#DIV/0!</v>
      </c>
      <c r="AJ62" s="1786" t="e">
        <f t="shared" si="32"/>
        <v>#DIV/0!</v>
      </c>
      <c r="AK62" s="1786" t="e">
        <f t="shared" si="32"/>
        <v>#DIV/0!</v>
      </c>
      <c r="AL62" s="1786" t="e">
        <f t="shared" si="32"/>
        <v>#DIV/0!</v>
      </c>
      <c r="AM62" s="1786" t="e">
        <f t="shared" si="32"/>
        <v>#DIV/0!</v>
      </c>
      <c r="AN62" s="1786" t="e">
        <f t="shared" si="32"/>
        <v>#DIV/0!</v>
      </c>
      <c r="AO62" s="1786" t="e">
        <f t="shared" si="33"/>
        <v>#DIV/0!</v>
      </c>
      <c r="AP62" s="1786" t="e">
        <f t="shared" si="33"/>
        <v>#DIV/0!</v>
      </c>
    </row>
    <row r="63" spans="2:42" ht="15" customHeight="1" thickBot="1" x14ac:dyDescent="0.3">
      <c r="B63" s="2455">
        <v>35</v>
      </c>
      <c r="C63" s="1758" t="s">
        <v>90</v>
      </c>
      <c r="D63" s="1786" t="e">
        <f t="shared" ref="D63:T63" si="46">D119+D172</f>
        <v>#DIV/0!</v>
      </c>
      <c r="E63" s="1786" t="e">
        <f t="shared" si="46"/>
        <v>#DIV/0!</v>
      </c>
      <c r="F63" s="1786" t="e">
        <f t="shared" si="46"/>
        <v>#DIV/0!</v>
      </c>
      <c r="G63" s="1786" t="e">
        <f t="shared" si="46"/>
        <v>#DIV/0!</v>
      </c>
      <c r="H63" s="1786" t="e">
        <f t="shared" si="46"/>
        <v>#DIV/0!</v>
      </c>
      <c r="I63" s="1786" t="e">
        <f t="shared" si="46"/>
        <v>#DIV/0!</v>
      </c>
      <c r="J63" s="1786" t="e">
        <f t="shared" si="46"/>
        <v>#DIV/0!</v>
      </c>
      <c r="K63" s="1786" t="e">
        <f t="shared" si="46"/>
        <v>#DIV/0!</v>
      </c>
      <c r="L63" s="1786" t="e">
        <f t="shared" si="46"/>
        <v>#DIV/0!</v>
      </c>
      <c r="M63" s="1786" t="e">
        <f t="shared" si="46"/>
        <v>#DIV/0!</v>
      </c>
      <c r="N63" s="1786" t="e">
        <f t="shared" si="46"/>
        <v>#DIV/0!</v>
      </c>
      <c r="O63" s="1786" t="e">
        <f t="shared" si="46"/>
        <v>#DIV/0!</v>
      </c>
      <c r="P63" s="1786" t="e">
        <f t="shared" si="46"/>
        <v>#DIV/0!</v>
      </c>
      <c r="Q63" s="1786" t="e">
        <f t="shared" si="46"/>
        <v>#DIV/0!</v>
      </c>
      <c r="R63" s="1786" t="e">
        <f t="shared" si="46"/>
        <v>#DIV/0!</v>
      </c>
      <c r="S63" s="1786" t="e">
        <f t="shared" si="46"/>
        <v>#DIV/0!</v>
      </c>
      <c r="T63" s="1786" t="e">
        <f t="shared" si="46"/>
        <v>#DIV/0!</v>
      </c>
      <c r="U63" s="598"/>
      <c r="V63" s="598"/>
      <c r="W63" s="2456"/>
      <c r="Y63" s="1758" t="s">
        <v>90</v>
      </c>
      <c r="Z63" s="1786" t="e">
        <f t="shared" si="32"/>
        <v>#DIV/0!</v>
      </c>
      <c r="AA63" s="1786" t="e">
        <f t="shared" si="32"/>
        <v>#DIV/0!</v>
      </c>
      <c r="AB63" s="1786" t="e">
        <f t="shared" si="32"/>
        <v>#DIV/0!</v>
      </c>
      <c r="AC63" s="1786" t="e">
        <f t="shared" si="32"/>
        <v>#DIV/0!</v>
      </c>
      <c r="AD63" s="1786" t="e">
        <f t="shared" si="32"/>
        <v>#DIV/0!</v>
      </c>
      <c r="AE63" s="1786" t="e">
        <f t="shared" si="32"/>
        <v>#DIV/0!</v>
      </c>
      <c r="AF63" s="1786" t="e">
        <f t="shared" si="32"/>
        <v>#DIV/0!</v>
      </c>
      <c r="AG63" s="1786" t="e">
        <f t="shared" si="32"/>
        <v>#DIV/0!</v>
      </c>
      <c r="AH63" s="1786" t="e">
        <f t="shared" si="32"/>
        <v>#DIV/0!</v>
      </c>
      <c r="AI63" s="1786" t="e">
        <f t="shared" si="32"/>
        <v>#DIV/0!</v>
      </c>
      <c r="AJ63" s="1786" t="e">
        <f t="shared" si="32"/>
        <v>#DIV/0!</v>
      </c>
      <c r="AK63" s="1786" t="e">
        <f t="shared" si="32"/>
        <v>#DIV/0!</v>
      </c>
      <c r="AL63" s="1786" t="e">
        <f t="shared" si="32"/>
        <v>#DIV/0!</v>
      </c>
      <c r="AM63" s="1786" t="e">
        <f t="shared" si="32"/>
        <v>#DIV/0!</v>
      </c>
      <c r="AN63" s="1786" t="e">
        <f t="shared" si="32"/>
        <v>#DIV/0!</v>
      </c>
      <c r="AO63" s="1786" t="e">
        <f t="shared" si="33"/>
        <v>#DIV/0!</v>
      </c>
      <c r="AP63" s="1786" t="e">
        <f t="shared" si="33"/>
        <v>#DIV/0!</v>
      </c>
    </row>
    <row r="64" spans="2:42" ht="14.25" thickBot="1" x14ac:dyDescent="0.3">
      <c r="B64" s="2455">
        <v>36</v>
      </c>
      <c r="C64" s="1758" t="s">
        <v>91</v>
      </c>
      <c r="D64" s="1786">
        <f t="shared" ref="D64:T64" si="47">D120+D173</f>
        <v>2739.192</v>
      </c>
      <c r="E64" s="1786">
        <f t="shared" si="47"/>
        <v>2740.253457026125</v>
      </c>
      <c r="F64" s="1786">
        <f t="shared" si="47"/>
        <v>2741.3153253746464</v>
      </c>
      <c r="G64" s="1786">
        <f t="shared" si="47"/>
        <v>2742.3776052049543</v>
      </c>
      <c r="H64" s="1786">
        <f t="shared" si="47"/>
        <v>2743.4402966765028</v>
      </c>
      <c r="I64" s="1786">
        <f t="shared" si="47"/>
        <v>2744.5033999488037</v>
      </c>
      <c r="J64" s="1786">
        <f t="shared" si="47"/>
        <v>2745.5669151814336</v>
      </c>
      <c r="K64" s="1786">
        <f t="shared" si="47"/>
        <v>2746.6308425340312</v>
      </c>
      <c r="L64" s="1786">
        <f t="shared" si="47"/>
        <v>2747.6951821662951</v>
      </c>
      <c r="M64" s="1786">
        <f t="shared" si="47"/>
        <v>2748.7599342379863</v>
      </c>
      <c r="N64" s="1786">
        <f t="shared" si="47"/>
        <v>2749.8250989089279</v>
      </c>
      <c r="O64" s="1786">
        <f t="shared" si="47"/>
        <v>2750.8906763390069</v>
      </c>
      <c r="P64" s="1786">
        <f t="shared" si="47"/>
        <v>2751.9566666881683</v>
      </c>
      <c r="Q64" s="1786">
        <f t="shared" si="47"/>
        <v>2753.0230701164228</v>
      </c>
      <c r="R64" s="1786">
        <f t="shared" si="47"/>
        <v>2754.0898867838414</v>
      </c>
      <c r="S64" s="1786">
        <f t="shared" si="47"/>
        <v>2755.157116850557</v>
      </c>
      <c r="T64" s="1786">
        <f t="shared" si="47"/>
        <v>2756.2247604767645</v>
      </c>
      <c r="U64" s="598"/>
      <c r="V64" s="598"/>
      <c r="W64" s="2456"/>
      <c r="Y64" s="1758" t="s">
        <v>91</v>
      </c>
      <c r="Z64" s="1786">
        <f t="shared" si="32"/>
        <v>2739.192</v>
      </c>
      <c r="AA64" s="1786">
        <f t="shared" si="32"/>
        <v>2740.253457026125</v>
      </c>
      <c r="AB64" s="1786">
        <f t="shared" si="32"/>
        <v>2741.3153253746464</v>
      </c>
      <c r="AC64" s="1786">
        <f t="shared" si="32"/>
        <v>2742.3776052049543</v>
      </c>
      <c r="AD64" s="1786">
        <f t="shared" si="32"/>
        <v>2743.4402966765028</v>
      </c>
      <c r="AE64" s="1786">
        <f t="shared" si="32"/>
        <v>2744.5033999488037</v>
      </c>
      <c r="AF64" s="1786">
        <f t="shared" si="32"/>
        <v>2745.5669151814336</v>
      </c>
      <c r="AG64" s="1786">
        <f t="shared" si="32"/>
        <v>2746.6308425340312</v>
      </c>
      <c r="AH64" s="1786">
        <f t="shared" si="32"/>
        <v>2747.6951821662951</v>
      </c>
      <c r="AI64" s="1786">
        <f t="shared" si="32"/>
        <v>2748.7599342379863</v>
      </c>
      <c r="AJ64" s="1786">
        <f t="shared" si="32"/>
        <v>2749.8250989089279</v>
      </c>
      <c r="AK64" s="1786">
        <f t="shared" si="32"/>
        <v>2750.8906763390069</v>
      </c>
      <c r="AL64" s="1786">
        <f t="shared" si="32"/>
        <v>2751.9566666881683</v>
      </c>
      <c r="AM64" s="1786">
        <f t="shared" si="32"/>
        <v>2753.0230701164228</v>
      </c>
      <c r="AN64" s="1786">
        <f t="shared" si="32"/>
        <v>2754.0898867838414</v>
      </c>
      <c r="AO64" s="1786">
        <f t="shared" si="33"/>
        <v>2755.157116850557</v>
      </c>
      <c r="AP64" s="1786">
        <f t="shared" si="33"/>
        <v>2756.2247604767645</v>
      </c>
    </row>
    <row r="65" spans="2:42" ht="14.25" thickBot="1" x14ac:dyDescent="0.3">
      <c r="B65" s="2455">
        <v>38</v>
      </c>
      <c r="C65" s="1758" t="s">
        <v>1982</v>
      </c>
      <c r="D65" s="1786" t="e">
        <f t="shared" ref="D65:T65" si="48">D121+D175</f>
        <v>#DIV/0!</v>
      </c>
      <c r="E65" s="1786" t="e">
        <f t="shared" si="48"/>
        <v>#DIV/0!</v>
      </c>
      <c r="F65" s="1786" t="e">
        <f t="shared" si="48"/>
        <v>#DIV/0!</v>
      </c>
      <c r="G65" s="1786" t="e">
        <f t="shared" si="48"/>
        <v>#DIV/0!</v>
      </c>
      <c r="H65" s="1786" t="e">
        <f t="shared" si="48"/>
        <v>#DIV/0!</v>
      </c>
      <c r="I65" s="1786" t="e">
        <f t="shared" si="48"/>
        <v>#DIV/0!</v>
      </c>
      <c r="J65" s="1786" t="e">
        <f t="shared" si="48"/>
        <v>#DIV/0!</v>
      </c>
      <c r="K65" s="1786" t="e">
        <f t="shared" si="48"/>
        <v>#DIV/0!</v>
      </c>
      <c r="L65" s="1786" t="e">
        <f t="shared" si="48"/>
        <v>#DIV/0!</v>
      </c>
      <c r="M65" s="1786" t="e">
        <f t="shared" si="48"/>
        <v>#DIV/0!</v>
      </c>
      <c r="N65" s="1786" t="e">
        <f t="shared" si="48"/>
        <v>#DIV/0!</v>
      </c>
      <c r="O65" s="1786" t="e">
        <f t="shared" si="48"/>
        <v>#DIV/0!</v>
      </c>
      <c r="P65" s="1786" t="e">
        <f t="shared" si="48"/>
        <v>#DIV/0!</v>
      </c>
      <c r="Q65" s="1786" t="e">
        <f t="shared" si="48"/>
        <v>#DIV/0!</v>
      </c>
      <c r="R65" s="1786" t="e">
        <f t="shared" si="48"/>
        <v>#DIV/0!</v>
      </c>
      <c r="S65" s="1786" t="e">
        <f t="shared" si="48"/>
        <v>#DIV/0!</v>
      </c>
      <c r="T65" s="1786" t="e">
        <f t="shared" si="48"/>
        <v>#DIV/0!</v>
      </c>
      <c r="U65" s="598"/>
      <c r="V65" s="598"/>
      <c r="W65" s="2456"/>
      <c r="Y65" s="1758" t="s">
        <v>1982</v>
      </c>
      <c r="Z65" s="1786" t="e">
        <f t="shared" si="32"/>
        <v>#DIV/0!</v>
      </c>
      <c r="AA65" s="1786" t="e">
        <f t="shared" si="32"/>
        <v>#DIV/0!</v>
      </c>
      <c r="AB65" s="1786" t="e">
        <f t="shared" si="32"/>
        <v>#DIV/0!</v>
      </c>
      <c r="AC65" s="1786" t="e">
        <f t="shared" si="32"/>
        <v>#DIV/0!</v>
      </c>
      <c r="AD65" s="1786" t="e">
        <f t="shared" si="32"/>
        <v>#DIV/0!</v>
      </c>
      <c r="AE65" s="1786" t="e">
        <f t="shared" si="32"/>
        <v>#DIV/0!</v>
      </c>
      <c r="AF65" s="1786" t="e">
        <f t="shared" si="32"/>
        <v>#DIV/0!</v>
      </c>
      <c r="AG65" s="1786" t="e">
        <f t="shared" si="32"/>
        <v>#DIV/0!</v>
      </c>
      <c r="AH65" s="1786" t="e">
        <f t="shared" si="32"/>
        <v>#DIV/0!</v>
      </c>
      <c r="AI65" s="1786" t="e">
        <f t="shared" si="32"/>
        <v>#DIV/0!</v>
      </c>
      <c r="AJ65" s="1786" t="e">
        <f t="shared" si="32"/>
        <v>#DIV/0!</v>
      </c>
      <c r="AK65" s="1786" t="e">
        <f t="shared" si="32"/>
        <v>#DIV/0!</v>
      </c>
      <c r="AL65" s="1786" t="e">
        <f t="shared" si="32"/>
        <v>#DIV/0!</v>
      </c>
      <c r="AM65" s="1786" t="e">
        <f t="shared" si="32"/>
        <v>#DIV/0!</v>
      </c>
      <c r="AN65" s="1786" t="e">
        <f t="shared" si="32"/>
        <v>#DIV/0!</v>
      </c>
      <c r="AO65" s="1786" t="e">
        <f t="shared" ref="AO65:AP66" si="49">S65</f>
        <v>#DIV/0!</v>
      </c>
      <c r="AP65" s="1786" t="e">
        <f t="shared" si="49"/>
        <v>#DIV/0!</v>
      </c>
    </row>
    <row r="66" spans="2:42" ht="14.25" thickBot="1" x14ac:dyDescent="0.3">
      <c r="B66" s="2455">
        <v>39</v>
      </c>
      <c r="C66" s="1758" t="s">
        <v>381</v>
      </c>
      <c r="D66" s="1786" t="e">
        <f t="shared" ref="D66:T66" si="50">D122+D176</f>
        <v>#DIV/0!</v>
      </c>
      <c r="E66" s="1786" t="e">
        <f t="shared" si="50"/>
        <v>#DIV/0!</v>
      </c>
      <c r="F66" s="1786" t="e">
        <f t="shared" si="50"/>
        <v>#DIV/0!</v>
      </c>
      <c r="G66" s="1786" t="e">
        <f t="shared" si="50"/>
        <v>#DIV/0!</v>
      </c>
      <c r="H66" s="1786" t="e">
        <f t="shared" si="50"/>
        <v>#DIV/0!</v>
      </c>
      <c r="I66" s="1786" t="e">
        <f t="shared" si="50"/>
        <v>#DIV/0!</v>
      </c>
      <c r="J66" s="1786" t="e">
        <f t="shared" si="50"/>
        <v>#DIV/0!</v>
      </c>
      <c r="K66" s="1786" t="e">
        <f t="shared" si="50"/>
        <v>#DIV/0!</v>
      </c>
      <c r="L66" s="1786" t="e">
        <f t="shared" si="50"/>
        <v>#DIV/0!</v>
      </c>
      <c r="M66" s="1786" t="e">
        <f t="shared" si="50"/>
        <v>#DIV/0!</v>
      </c>
      <c r="N66" s="1786" t="e">
        <f t="shared" si="50"/>
        <v>#DIV/0!</v>
      </c>
      <c r="O66" s="1786" t="e">
        <f t="shared" si="50"/>
        <v>#DIV/0!</v>
      </c>
      <c r="P66" s="1786" t="e">
        <f t="shared" si="50"/>
        <v>#DIV/0!</v>
      </c>
      <c r="Q66" s="1786" t="e">
        <f t="shared" si="50"/>
        <v>#DIV/0!</v>
      </c>
      <c r="R66" s="1786" t="e">
        <f t="shared" si="50"/>
        <v>#DIV/0!</v>
      </c>
      <c r="S66" s="1786" t="e">
        <f t="shared" si="50"/>
        <v>#DIV/0!</v>
      </c>
      <c r="T66" s="1786" t="e">
        <f t="shared" si="50"/>
        <v>#DIV/0!</v>
      </c>
      <c r="U66" s="598"/>
      <c r="V66" s="598"/>
      <c r="W66" s="2456"/>
      <c r="Y66" s="1758" t="s">
        <v>381</v>
      </c>
      <c r="Z66" s="1786" t="e">
        <f t="shared" si="32"/>
        <v>#DIV/0!</v>
      </c>
      <c r="AA66" s="1786" t="e">
        <f t="shared" si="32"/>
        <v>#DIV/0!</v>
      </c>
      <c r="AB66" s="1786" t="e">
        <f t="shared" si="32"/>
        <v>#DIV/0!</v>
      </c>
      <c r="AC66" s="1786" t="e">
        <f t="shared" si="32"/>
        <v>#DIV/0!</v>
      </c>
      <c r="AD66" s="1786" t="e">
        <f t="shared" si="32"/>
        <v>#DIV/0!</v>
      </c>
      <c r="AE66" s="1786" t="e">
        <f t="shared" si="32"/>
        <v>#DIV/0!</v>
      </c>
      <c r="AF66" s="1786" t="e">
        <f t="shared" si="32"/>
        <v>#DIV/0!</v>
      </c>
      <c r="AG66" s="1786" t="e">
        <f t="shared" si="32"/>
        <v>#DIV/0!</v>
      </c>
      <c r="AH66" s="1786" t="e">
        <f t="shared" si="32"/>
        <v>#DIV/0!</v>
      </c>
      <c r="AI66" s="1786" t="e">
        <f t="shared" si="32"/>
        <v>#DIV/0!</v>
      </c>
      <c r="AJ66" s="1786" t="e">
        <f t="shared" si="32"/>
        <v>#DIV/0!</v>
      </c>
      <c r="AK66" s="1786" t="e">
        <f t="shared" si="32"/>
        <v>#DIV/0!</v>
      </c>
      <c r="AL66" s="1786" t="e">
        <f t="shared" si="32"/>
        <v>#DIV/0!</v>
      </c>
      <c r="AM66" s="1786" t="e">
        <f t="shared" si="32"/>
        <v>#DIV/0!</v>
      </c>
      <c r="AN66" s="1786" t="e">
        <f t="shared" si="32"/>
        <v>#DIV/0!</v>
      </c>
      <c r="AO66" s="1786" t="e">
        <f t="shared" si="49"/>
        <v>#DIV/0!</v>
      </c>
      <c r="AP66" s="1786" t="e">
        <f t="shared" si="49"/>
        <v>#DIV/0!</v>
      </c>
    </row>
    <row r="67" spans="2:42" ht="14.25" thickBot="1" x14ac:dyDescent="0.3">
      <c r="B67" s="2455"/>
      <c r="C67" s="1188" t="s">
        <v>150</v>
      </c>
      <c r="D67" s="1189" t="e">
        <f t="shared" ref="D67:T67" si="51">SUM(D23:D66)</f>
        <v>#DIV/0!</v>
      </c>
      <c r="E67" s="1189" t="e">
        <f t="shared" si="51"/>
        <v>#DIV/0!</v>
      </c>
      <c r="F67" s="1189" t="e">
        <f t="shared" si="51"/>
        <v>#DIV/0!</v>
      </c>
      <c r="G67" s="1189" t="e">
        <f t="shared" si="51"/>
        <v>#DIV/0!</v>
      </c>
      <c r="H67" s="1189" t="e">
        <f t="shared" si="51"/>
        <v>#DIV/0!</v>
      </c>
      <c r="I67" s="1189" t="e">
        <f t="shared" si="51"/>
        <v>#DIV/0!</v>
      </c>
      <c r="J67" s="1189" t="e">
        <f t="shared" si="51"/>
        <v>#DIV/0!</v>
      </c>
      <c r="K67" s="1189" t="e">
        <f t="shared" si="51"/>
        <v>#DIV/0!</v>
      </c>
      <c r="L67" s="1189" t="e">
        <f t="shared" si="51"/>
        <v>#DIV/0!</v>
      </c>
      <c r="M67" s="1189" t="e">
        <f t="shared" si="51"/>
        <v>#DIV/0!</v>
      </c>
      <c r="N67" s="1189" t="e">
        <f t="shared" si="51"/>
        <v>#DIV/0!</v>
      </c>
      <c r="O67" s="1189" t="e">
        <f t="shared" si="51"/>
        <v>#DIV/0!</v>
      </c>
      <c r="P67" s="1189" t="e">
        <f t="shared" si="51"/>
        <v>#DIV/0!</v>
      </c>
      <c r="Q67" s="1189" t="e">
        <f t="shared" si="51"/>
        <v>#DIV/0!</v>
      </c>
      <c r="R67" s="1189" t="e">
        <f t="shared" si="51"/>
        <v>#DIV/0!</v>
      </c>
      <c r="S67" s="1189" t="e">
        <f t="shared" si="51"/>
        <v>#DIV/0!</v>
      </c>
      <c r="T67" s="1190" t="e">
        <f t="shared" si="51"/>
        <v>#DIV/0!</v>
      </c>
      <c r="U67" s="598"/>
      <c r="V67" s="598"/>
      <c r="W67" s="2456"/>
      <c r="Y67" s="1188" t="s">
        <v>150</v>
      </c>
      <c r="Z67" s="1189" t="e">
        <f t="shared" ref="Z67:AP67" si="52">SUM(Z23:Z66)</f>
        <v>#DIV/0!</v>
      </c>
      <c r="AA67" s="1189" t="e">
        <f t="shared" si="52"/>
        <v>#DIV/0!</v>
      </c>
      <c r="AB67" s="1189" t="e">
        <f t="shared" si="52"/>
        <v>#DIV/0!</v>
      </c>
      <c r="AC67" s="1189" t="e">
        <f t="shared" si="52"/>
        <v>#DIV/0!</v>
      </c>
      <c r="AD67" s="1189" t="e">
        <f t="shared" si="52"/>
        <v>#DIV/0!</v>
      </c>
      <c r="AE67" s="1189" t="e">
        <f t="shared" si="52"/>
        <v>#DIV/0!</v>
      </c>
      <c r="AF67" s="1189" t="e">
        <f t="shared" si="52"/>
        <v>#DIV/0!</v>
      </c>
      <c r="AG67" s="1189" t="e">
        <f t="shared" si="52"/>
        <v>#DIV/0!</v>
      </c>
      <c r="AH67" s="1189" t="e">
        <f t="shared" si="52"/>
        <v>#DIV/0!</v>
      </c>
      <c r="AI67" s="1189" t="e">
        <f t="shared" si="52"/>
        <v>#DIV/0!</v>
      </c>
      <c r="AJ67" s="1189" t="e">
        <f t="shared" si="52"/>
        <v>#DIV/0!</v>
      </c>
      <c r="AK67" s="1189" t="e">
        <f t="shared" si="52"/>
        <v>#DIV/0!</v>
      </c>
      <c r="AL67" s="1189" t="e">
        <f t="shared" si="52"/>
        <v>#DIV/0!</v>
      </c>
      <c r="AM67" s="1189" t="e">
        <f t="shared" si="52"/>
        <v>#DIV/0!</v>
      </c>
      <c r="AN67" s="1189" t="e">
        <f t="shared" si="52"/>
        <v>#DIV/0!</v>
      </c>
      <c r="AO67" s="1189" t="e">
        <f t="shared" si="52"/>
        <v>#DIV/0!</v>
      </c>
      <c r="AP67" s="1190" t="e">
        <f t="shared" si="52"/>
        <v>#DIV/0!</v>
      </c>
    </row>
    <row r="68" spans="2:42" x14ac:dyDescent="0.25">
      <c r="B68" s="2455"/>
      <c r="C68" s="598" t="s">
        <v>1983</v>
      </c>
      <c r="D68" s="598"/>
      <c r="E68" s="598"/>
      <c r="F68" s="598"/>
      <c r="G68" s="598"/>
      <c r="H68" s="598"/>
      <c r="I68" s="598"/>
      <c r="J68" s="598"/>
      <c r="K68" s="598"/>
      <c r="L68" s="598"/>
      <c r="M68" s="598"/>
      <c r="N68" s="598"/>
      <c r="O68" s="598"/>
      <c r="P68" s="598"/>
      <c r="Q68" s="1174"/>
      <c r="R68" s="1174"/>
      <c r="S68" s="1174"/>
      <c r="T68" s="1174" t="e">
        <f>SUM(G67:T67)</f>
        <v>#DIV/0!</v>
      </c>
      <c r="U68" s="598"/>
      <c r="V68" s="598"/>
      <c r="W68" s="2456"/>
    </row>
    <row r="69" spans="2:42" x14ac:dyDescent="0.25">
      <c r="B69" s="2455"/>
      <c r="C69" s="598"/>
      <c r="D69" s="598"/>
      <c r="E69" s="598"/>
      <c r="F69" s="598"/>
      <c r="G69" s="598"/>
      <c r="H69" s="598"/>
      <c r="I69" s="598"/>
      <c r="J69" s="598"/>
      <c r="K69" s="598"/>
      <c r="L69" s="598"/>
      <c r="M69" s="598"/>
      <c r="N69" s="598"/>
      <c r="O69" s="598"/>
      <c r="P69" s="598"/>
      <c r="Q69" s="598"/>
      <c r="R69" s="598"/>
      <c r="S69" s="598"/>
      <c r="T69" s="598"/>
      <c r="U69" s="598"/>
      <c r="V69" s="598"/>
      <c r="W69" s="2456"/>
    </row>
    <row r="70" spans="2:42" x14ac:dyDescent="0.25">
      <c r="B70" s="2455"/>
      <c r="C70" s="598"/>
      <c r="D70" s="598"/>
      <c r="E70" s="598"/>
      <c r="F70" s="598"/>
      <c r="G70" s="598"/>
      <c r="H70" s="598"/>
      <c r="I70" s="598"/>
      <c r="J70" s="598"/>
      <c r="K70" s="598"/>
      <c r="L70" s="598"/>
      <c r="M70" s="598"/>
      <c r="N70" s="598"/>
      <c r="O70" s="598"/>
      <c r="P70" s="598"/>
      <c r="Q70" s="598"/>
      <c r="R70" s="598"/>
      <c r="S70" s="598"/>
      <c r="T70" s="598"/>
      <c r="U70" s="598"/>
      <c r="V70" s="598"/>
      <c r="W70" s="2456"/>
    </row>
    <row r="71" spans="2:42" x14ac:dyDescent="0.25">
      <c r="B71" s="2455"/>
      <c r="C71" s="598"/>
      <c r="D71" s="598"/>
      <c r="E71" s="598"/>
      <c r="F71" s="598"/>
      <c r="G71" s="598"/>
      <c r="H71" s="598"/>
      <c r="I71" s="598"/>
      <c r="J71" s="598"/>
      <c r="K71" s="598"/>
      <c r="L71" s="598"/>
      <c r="M71" s="598"/>
      <c r="N71" s="598"/>
      <c r="O71" s="598"/>
      <c r="P71" s="598"/>
      <c r="Q71" s="598"/>
      <c r="R71" s="598"/>
      <c r="S71" s="598"/>
      <c r="T71" s="598"/>
      <c r="U71" s="598"/>
      <c r="V71" s="598"/>
      <c r="W71" s="2456"/>
    </row>
    <row r="72" spans="2:42" x14ac:dyDescent="0.25">
      <c r="B72" s="2455"/>
      <c r="C72" s="598"/>
      <c r="D72" s="598"/>
      <c r="E72" s="598"/>
      <c r="F72" s="598"/>
      <c r="G72" s="598"/>
      <c r="H72" s="598"/>
      <c r="I72" s="598"/>
      <c r="J72" s="598"/>
      <c r="K72" s="598"/>
      <c r="L72" s="598"/>
      <c r="M72" s="598"/>
      <c r="N72" s="598"/>
      <c r="O72" s="598"/>
      <c r="P72" s="598"/>
      <c r="Q72" s="598"/>
      <c r="R72" s="598"/>
      <c r="S72" s="598"/>
      <c r="T72" s="598"/>
      <c r="U72" s="598"/>
      <c r="V72" s="598"/>
      <c r="W72" s="2456"/>
    </row>
    <row r="73" spans="2:42" x14ac:dyDescent="0.25">
      <c r="B73" s="2455"/>
      <c r="C73" s="598"/>
      <c r="D73" s="598"/>
      <c r="E73" s="598"/>
      <c r="F73" s="598"/>
      <c r="G73" s="598"/>
      <c r="H73" s="598"/>
      <c r="I73" s="598"/>
      <c r="J73" s="598"/>
      <c r="K73" s="598"/>
      <c r="L73" s="598"/>
      <c r="M73" s="598"/>
      <c r="N73" s="598"/>
      <c r="O73" s="598"/>
      <c r="P73" s="598"/>
      <c r="Q73" s="598"/>
      <c r="R73" s="598"/>
      <c r="S73" s="598"/>
      <c r="T73" s="598"/>
      <c r="U73" s="598"/>
      <c r="V73" s="598"/>
      <c r="W73" s="2456"/>
    </row>
    <row r="74" spans="2:42" x14ac:dyDescent="0.25">
      <c r="B74" s="2455"/>
      <c r="C74" s="4897" t="s">
        <v>4193</v>
      </c>
      <c r="D74" s="4465"/>
      <c r="E74" s="4465"/>
      <c r="F74" s="4465"/>
      <c r="G74" s="4465"/>
      <c r="H74" s="4465"/>
      <c r="I74" s="4465"/>
      <c r="J74" s="4465"/>
      <c r="K74" s="4465"/>
      <c r="L74" s="4465"/>
      <c r="M74" s="4465"/>
      <c r="N74" s="4465"/>
      <c r="O74" s="4465"/>
      <c r="P74" s="4465"/>
      <c r="Q74" s="4465"/>
      <c r="R74" s="4465"/>
      <c r="S74" s="4465"/>
      <c r="T74" s="4465"/>
      <c r="U74" s="598"/>
      <c r="V74" s="598"/>
      <c r="W74" s="2456"/>
    </row>
    <row r="75" spans="2:42" x14ac:dyDescent="0.25">
      <c r="B75" s="2455"/>
      <c r="C75" s="4897"/>
      <c r="D75" s="4465"/>
      <c r="E75" s="4465"/>
      <c r="F75" s="4465"/>
      <c r="G75" s="4465"/>
      <c r="H75" s="4465"/>
      <c r="I75" s="4465"/>
      <c r="J75" s="4465"/>
      <c r="K75" s="4465"/>
      <c r="L75" s="4465"/>
      <c r="M75" s="4465"/>
      <c r="N75" s="4465"/>
      <c r="O75" s="4465"/>
      <c r="P75" s="4465"/>
      <c r="Q75" s="4465"/>
      <c r="R75" s="4465"/>
      <c r="S75" s="4465"/>
      <c r="T75" s="4465"/>
      <c r="U75" s="598"/>
      <c r="V75" s="598"/>
      <c r="W75" s="2456"/>
    </row>
    <row r="76" spans="2:42" ht="14.25" thickBot="1" x14ac:dyDescent="0.3">
      <c r="B76" s="2455"/>
      <c r="C76" s="1159"/>
      <c r="D76" s="1160"/>
      <c r="E76" s="1160"/>
      <c r="F76" s="1160"/>
      <c r="G76" s="1160"/>
      <c r="H76" s="1160"/>
      <c r="I76" s="1160"/>
      <c r="J76" s="1160"/>
      <c r="K76" s="1160"/>
      <c r="L76" s="1160"/>
      <c r="M76" s="1160"/>
      <c r="N76" s="1160"/>
      <c r="O76" s="1160"/>
      <c r="P76" s="1160"/>
      <c r="Q76" s="1160"/>
      <c r="R76" s="1160"/>
      <c r="S76" s="1160"/>
      <c r="T76" s="1160"/>
      <c r="U76" s="598"/>
      <c r="V76" s="598"/>
      <c r="W76" s="2456"/>
    </row>
    <row r="77" spans="2:42" ht="14.25" thickBot="1" x14ac:dyDescent="0.3">
      <c r="B77" s="2455"/>
      <c r="C77" s="4460" t="s">
        <v>418</v>
      </c>
      <c r="D77" s="1756" t="s">
        <v>1960</v>
      </c>
      <c r="E77" s="1756" t="s">
        <v>1960</v>
      </c>
      <c r="F77" s="1756" t="s">
        <v>1961</v>
      </c>
      <c r="G77" s="1756" t="s">
        <v>1962</v>
      </c>
      <c r="H77" s="1756" t="s">
        <v>1963</v>
      </c>
      <c r="I77" s="1756" t="s">
        <v>2001</v>
      </c>
      <c r="J77" s="1756" t="s">
        <v>2002</v>
      </c>
      <c r="K77" s="1756" t="s">
        <v>2003</v>
      </c>
      <c r="L77" s="1756" t="s">
        <v>2004</v>
      </c>
      <c r="M77" s="1756" t="s">
        <v>2005</v>
      </c>
      <c r="N77" s="1756" t="s">
        <v>2006</v>
      </c>
      <c r="O77" s="1756" t="s">
        <v>2007</v>
      </c>
      <c r="P77" s="1756" t="s">
        <v>2008</v>
      </c>
      <c r="Q77" s="1756" t="s">
        <v>2009</v>
      </c>
      <c r="R77" s="1756" t="s">
        <v>2010</v>
      </c>
      <c r="S77" s="1756" t="s">
        <v>2011</v>
      </c>
      <c r="T77" s="1747" t="s">
        <v>2012</v>
      </c>
      <c r="U77" s="598"/>
      <c r="V77" s="598"/>
      <c r="W77" s="2456"/>
    </row>
    <row r="78" spans="2:42" ht="14.25" thickBot="1" x14ac:dyDescent="0.3">
      <c r="B78" s="2455"/>
      <c r="C78" s="4461"/>
      <c r="D78" s="1605">
        <v>2018</v>
      </c>
      <c r="E78" s="1605">
        <f t="shared" ref="E78:R78" si="53">+D78+1</f>
        <v>2019</v>
      </c>
      <c r="F78" s="1605">
        <f t="shared" si="53"/>
        <v>2020</v>
      </c>
      <c r="G78" s="1605">
        <f t="shared" si="53"/>
        <v>2021</v>
      </c>
      <c r="H78" s="1605">
        <f t="shared" si="53"/>
        <v>2022</v>
      </c>
      <c r="I78" s="1605">
        <f t="shared" si="53"/>
        <v>2023</v>
      </c>
      <c r="J78" s="1605">
        <f t="shared" si="53"/>
        <v>2024</v>
      </c>
      <c r="K78" s="1605">
        <f t="shared" si="53"/>
        <v>2025</v>
      </c>
      <c r="L78" s="1605">
        <f t="shared" si="53"/>
        <v>2026</v>
      </c>
      <c r="M78" s="1605">
        <f t="shared" si="53"/>
        <v>2027</v>
      </c>
      <c r="N78" s="1605">
        <f t="shared" si="53"/>
        <v>2028</v>
      </c>
      <c r="O78" s="1605">
        <f t="shared" si="53"/>
        <v>2029</v>
      </c>
      <c r="P78" s="1605">
        <f t="shared" si="53"/>
        <v>2030</v>
      </c>
      <c r="Q78" s="1605">
        <f t="shared" si="53"/>
        <v>2031</v>
      </c>
      <c r="R78" s="1605">
        <f t="shared" si="53"/>
        <v>2032</v>
      </c>
      <c r="S78" s="1605">
        <f>+R78+1</f>
        <v>2033</v>
      </c>
      <c r="T78" s="1184">
        <f>+S78+1</f>
        <v>2034</v>
      </c>
      <c r="U78" s="598"/>
      <c r="V78" s="598"/>
      <c r="W78" s="2456"/>
    </row>
    <row r="79" spans="2:42" ht="14.25" thickBot="1" x14ac:dyDescent="0.3">
      <c r="B79" s="2455"/>
      <c r="C79" s="2597" t="s">
        <v>71</v>
      </c>
      <c r="D79" s="2598"/>
      <c r="E79" s="2598"/>
      <c r="F79" s="2598"/>
      <c r="G79" s="2598"/>
      <c r="H79" s="2598"/>
      <c r="I79" s="2598"/>
      <c r="J79" s="2598"/>
      <c r="K79" s="2598"/>
      <c r="L79" s="2598"/>
      <c r="M79" s="2598"/>
      <c r="N79" s="2598"/>
      <c r="O79" s="2598"/>
      <c r="P79" s="2598"/>
      <c r="Q79" s="2598"/>
      <c r="R79" s="2598"/>
      <c r="S79" s="2598"/>
      <c r="T79" s="2598"/>
      <c r="U79" s="598"/>
      <c r="V79" s="598"/>
      <c r="W79" s="2456"/>
    </row>
    <row r="80" spans="2:42" ht="14.25" thickBot="1" x14ac:dyDescent="0.3">
      <c r="B80" s="2455">
        <v>1</v>
      </c>
      <c r="C80" s="1758" t="s">
        <v>1298</v>
      </c>
      <c r="D80" s="1786">
        <f t="shared" ref="D80:T80" si="54">D188*D$238*$V188</f>
        <v>732.48416429585677</v>
      </c>
      <c r="E80" s="1786">
        <f t="shared" si="54"/>
        <v>738.13854748632582</v>
      </c>
      <c r="F80" s="1786">
        <f t="shared" si="54"/>
        <v>743.79720291561159</v>
      </c>
      <c r="G80" s="1786">
        <f t="shared" si="54"/>
        <v>749.46013304568953</v>
      </c>
      <c r="H80" s="1786">
        <f t="shared" si="54"/>
        <v>755.12734033980053</v>
      </c>
      <c r="I80" s="1786">
        <f t="shared" si="54"/>
        <v>760.79882726245262</v>
      </c>
      <c r="J80" s="1786">
        <f t="shared" si="54"/>
        <v>766.47459627942214</v>
      </c>
      <c r="K80" s="1786">
        <f t="shared" si="54"/>
        <v>772.15464985775395</v>
      </c>
      <c r="L80" s="1786">
        <f t="shared" si="54"/>
        <v>777.83899046576141</v>
      </c>
      <c r="M80" s="1786">
        <f t="shared" si="54"/>
        <v>783.52762057302755</v>
      </c>
      <c r="N80" s="1786">
        <f t="shared" si="54"/>
        <v>789.22054265040526</v>
      </c>
      <c r="O80" s="1786">
        <f t="shared" si="54"/>
        <v>794.91775917001951</v>
      </c>
      <c r="P80" s="1786">
        <f t="shared" si="54"/>
        <v>800.61927260526545</v>
      </c>
      <c r="Q80" s="1786">
        <f t="shared" si="54"/>
        <v>806.32508543081076</v>
      </c>
      <c r="R80" s="1786">
        <f t="shared" si="54"/>
        <v>812.0352001225956</v>
      </c>
      <c r="S80" s="1786">
        <f t="shared" si="54"/>
        <v>817.74961915783376</v>
      </c>
      <c r="T80" s="1786">
        <f t="shared" si="54"/>
        <v>823.46834501501291</v>
      </c>
      <c r="U80" s="598"/>
      <c r="V80" s="598"/>
      <c r="W80" s="2456"/>
    </row>
    <row r="81" spans="2:23" ht="27.75" thickBot="1" x14ac:dyDescent="0.3">
      <c r="B81" s="2455">
        <v>2</v>
      </c>
      <c r="C81" s="1758" t="s">
        <v>1300</v>
      </c>
      <c r="D81" s="1786">
        <f t="shared" ref="D81:T81" si="55">D189*D$238*$V189</f>
        <v>0</v>
      </c>
      <c r="E81" s="1786">
        <f t="shared" si="55"/>
        <v>0</v>
      </c>
      <c r="F81" s="1786">
        <f t="shared" si="55"/>
        <v>0</v>
      </c>
      <c r="G81" s="1786">
        <f t="shared" si="55"/>
        <v>0</v>
      </c>
      <c r="H81" s="1786">
        <f t="shared" si="55"/>
        <v>0</v>
      </c>
      <c r="I81" s="1786">
        <f t="shared" si="55"/>
        <v>0</v>
      </c>
      <c r="J81" s="1786">
        <f t="shared" si="55"/>
        <v>0</v>
      </c>
      <c r="K81" s="1786">
        <f t="shared" si="55"/>
        <v>0</v>
      </c>
      <c r="L81" s="1786">
        <f t="shared" si="55"/>
        <v>0</v>
      </c>
      <c r="M81" s="1786">
        <f t="shared" si="55"/>
        <v>0</v>
      </c>
      <c r="N81" s="1786">
        <f t="shared" si="55"/>
        <v>0</v>
      </c>
      <c r="O81" s="1786">
        <f t="shared" si="55"/>
        <v>0</v>
      </c>
      <c r="P81" s="1786">
        <f t="shared" si="55"/>
        <v>0</v>
      </c>
      <c r="Q81" s="1786">
        <f t="shared" si="55"/>
        <v>0</v>
      </c>
      <c r="R81" s="1786">
        <f t="shared" si="55"/>
        <v>0</v>
      </c>
      <c r="S81" s="1786">
        <f t="shared" si="55"/>
        <v>0</v>
      </c>
      <c r="T81" s="1786">
        <f t="shared" si="55"/>
        <v>0</v>
      </c>
      <c r="U81" s="598"/>
      <c r="V81" s="598"/>
      <c r="W81" s="2456"/>
    </row>
    <row r="82" spans="2:23" ht="27.75" thickBot="1" x14ac:dyDescent="0.3">
      <c r="B82" s="2455">
        <v>3</v>
      </c>
      <c r="C82" s="1758" t="s">
        <v>1965</v>
      </c>
      <c r="D82" s="1786" t="e">
        <f t="shared" ref="D82:T82" si="56">D190*D$238*$V190</f>
        <v>#DIV/0!</v>
      </c>
      <c r="E82" s="1786" t="e">
        <f t="shared" si="56"/>
        <v>#DIV/0!</v>
      </c>
      <c r="F82" s="1786" t="e">
        <f t="shared" si="56"/>
        <v>#DIV/0!</v>
      </c>
      <c r="G82" s="1786" t="e">
        <f t="shared" si="56"/>
        <v>#DIV/0!</v>
      </c>
      <c r="H82" s="1786" t="e">
        <f t="shared" si="56"/>
        <v>#DIV/0!</v>
      </c>
      <c r="I82" s="1786" t="e">
        <f t="shared" si="56"/>
        <v>#DIV/0!</v>
      </c>
      <c r="J82" s="1786" t="e">
        <f t="shared" si="56"/>
        <v>#DIV/0!</v>
      </c>
      <c r="K82" s="1786" t="e">
        <f t="shared" si="56"/>
        <v>#DIV/0!</v>
      </c>
      <c r="L82" s="1786" t="e">
        <f t="shared" si="56"/>
        <v>#DIV/0!</v>
      </c>
      <c r="M82" s="1786" t="e">
        <f t="shared" si="56"/>
        <v>#DIV/0!</v>
      </c>
      <c r="N82" s="1786" t="e">
        <f t="shared" si="56"/>
        <v>#DIV/0!</v>
      </c>
      <c r="O82" s="1786" t="e">
        <f t="shared" si="56"/>
        <v>#DIV/0!</v>
      </c>
      <c r="P82" s="1786" t="e">
        <f t="shared" si="56"/>
        <v>#DIV/0!</v>
      </c>
      <c r="Q82" s="1786" t="e">
        <f t="shared" si="56"/>
        <v>#DIV/0!</v>
      </c>
      <c r="R82" s="1786" t="e">
        <f t="shared" si="56"/>
        <v>#DIV/0!</v>
      </c>
      <c r="S82" s="1786" t="e">
        <f t="shared" si="56"/>
        <v>#DIV/0!</v>
      </c>
      <c r="T82" s="1786" t="e">
        <f t="shared" si="56"/>
        <v>#DIV/0!</v>
      </c>
      <c r="U82" s="598"/>
      <c r="V82" s="598"/>
      <c r="W82" s="2456"/>
    </row>
    <row r="83" spans="2:23" ht="27.75" thickBot="1" x14ac:dyDescent="0.3">
      <c r="B83" s="2455">
        <v>4</v>
      </c>
      <c r="C83" s="1758" t="s">
        <v>1967</v>
      </c>
      <c r="D83" s="1786">
        <f t="shared" ref="D83:T83" si="57">D191*D$238*$V191</f>
        <v>815.16863288514071</v>
      </c>
      <c r="E83" s="1786">
        <f t="shared" si="57"/>
        <v>821.46129563453178</v>
      </c>
      <c r="F83" s="1786">
        <f t="shared" si="57"/>
        <v>827.75871288271674</v>
      </c>
      <c r="G83" s="1786">
        <f t="shared" si="57"/>
        <v>834.06088736958395</v>
      </c>
      <c r="H83" s="1786">
        <f t="shared" si="57"/>
        <v>840.36782183643095</v>
      </c>
      <c r="I83" s="1786">
        <f t="shared" si="57"/>
        <v>846.67951902596474</v>
      </c>
      <c r="J83" s="1786">
        <f t="shared" si="57"/>
        <v>852.99598168230432</v>
      </c>
      <c r="K83" s="1786">
        <f t="shared" si="57"/>
        <v>859.31721255098012</v>
      </c>
      <c r="L83" s="1786">
        <f t="shared" si="57"/>
        <v>865.64321437893398</v>
      </c>
      <c r="M83" s="1786">
        <f t="shared" si="57"/>
        <v>871.97398991452133</v>
      </c>
      <c r="N83" s="1786">
        <f t="shared" si="57"/>
        <v>878.30954190751072</v>
      </c>
      <c r="O83" s="1786">
        <f t="shared" si="57"/>
        <v>884.64987310908543</v>
      </c>
      <c r="P83" s="1786">
        <f t="shared" si="57"/>
        <v>890.99498627184403</v>
      </c>
      <c r="Q83" s="1786">
        <f t="shared" si="57"/>
        <v>897.34488414979955</v>
      </c>
      <c r="R83" s="1786">
        <f t="shared" si="57"/>
        <v>903.69956949838195</v>
      </c>
      <c r="S83" s="1786">
        <f t="shared" si="57"/>
        <v>910.05904507443904</v>
      </c>
      <c r="T83" s="1786">
        <f t="shared" si="57"/>
        <v>916.42331363623487</v>
      </c>
      <c r="U83" s="598"/>
      <c r="V83" s="598"/>
      <c r="W83" s="2456"/>
    </row>
    <row r="84" spans="2:23" ht="14.25" thickBot="1" x14ac:dyDescent="0.3">
      <c r="B84" s="2455">
        <v>5</v>
      </c>
      <c r="C84" s="1758" t="s">
        <v>1305</v>
      </c>
      <c r="D84" s="1786" t="e">
        <f t="shared" ref="D84:T84" si="58">D192*D$238*$V192</f>
        <v>#DIV/0!</v>
      </c>
      <c r="E84" s="1786" t="e">
        <f t="shared" si="58"/>
        <v>#DIV/0!</v>
      </c>
      <c r="F84" s="1786" t="e">
        <f t="shared" si="58"/>
        <v>#DIV/0!</v>
      </c>
      <c r="G84" s="1786" t="e">
        <f t="shared" si="58"/>
        <v>#DIV/0!</v>
      </c>
      <c r="H84" s="1786" t="e">
        <f t="shared" si="58"/>
        <v>#DIV/0!</v>
      </c>
      <c r="I84" s="1786" t="e">
        <f t="shared" si="58"/>
        <v>#DIV/0!</v>
      </c>
      <c r="J84" s="1786" t="e">
        <f t="shared" si="58"/>
        <v>#DIV/0!</v>
      </c>
      <c r="K84" s="1786" t="e">
        <f t="shared" si="58"/>
        <v>#DIV/0!</v>
      </c>
      <c r="L84" s="1786" t="e">
        <f t="shared" si="58"/>
        <v>#DIV/0!</v>
      </c>
      <c r="M84" s="1786" t="e">
        <f t="shared" si="58"/>
        <v>#DIV/0!</v>
      </c>
      <c r="N84" s="1786" t="e">
        <f t="shared" si="58"/>
        <v>#DIV/0!</v>
      </c>
      <c r="O84" s="1786" t="e">
        <f t="shared" si="58"/>
        <v>#DIV/0!</v>
      </c>
      <c r="P84" s="1786" t="e">
        <f t="shared" si="58"/>
        <v>#DIV/0!</v>
      </c>
      <c r="Q84" s="1786" t="e">
        <f t="shared" si="58"/>
        <v>#DIV/0!</v>
      </c>
      <c r="R84" s="1786" t="e">
        <f t="shared" si="58"/>
        <v>#DIV/0!</v>
      </c>
      <c r="S84" s="1786" t="e">
        <f t="shared" si="58"/>
        <v>#DIV/0!</v>
      </c>
      <c r="T84" s="1786" t="e">
        <f t="shared" si="58"/>
        <v>#DIV/0!</v>
      </c>
      <c r="U84" s="598"/>
      <c r="V84" s="598"/>
      <c r="W84" s="2456"/>
    </row>
    <row r="85" spans="2:23" ht="14.25" thickBot="1" x14ac:dyDescent="0.3">
      <c r="B85" s="2455"/>
      <c r="C85" s="2599" t="s">
        <v>1225</v>
      </c>
      <c r="D85" s="2598"/>
      <c r="E85" s="2598"/>
      <c r="F85" s="2598"/>
      <c r="G85" s="2598"/>
      <c r="H85" s="2598"/>
      <c r="I85" s="2598"/>
      <c r="J85" s="2598"/>
      <c r="K85" s="2598"/>
      <c r="L85" s="2598"/>
      <c r="M85" s="2598"/>
      <c r="N85" s="2598"/>
      <c r="O85" s="2598"/>
      <c r="P85" s="2598"/>
      <c r="Q85" s="2598"/>
      <c r="R85" s="2598"/>
      <c r="S85" s="2598"/>
      <c r="T85" s="2598"/>
      <c r="U85" s="598"/>
      <c r="V85" s="598"/>
      <c r="W85" s="2456"/>
    </row>
    <row r="86" spans="2:23" ht="14.25" thickBot="1" x14ac:dyDescent="0.3">
      <c r="B86" s="2455">
        <v>6</v>
      </c>
      <c r="C86" s="1758" t="s">
        <v>1226</v>
      </c>
      <c r="D86" s="1786">
        <f t="shared" ref="D86:T86" si="59">D194*D$238*$V194</f>
        <v>446.20136420896608</v>
      </c>
      <c r="E86" s="1786">
        <f t="shared" si="59"/>
        <v>446.3742705160472</v>
      </c>
      <c r="F86" s="1786">
        <f t="shared" si="59"/>
        <v>446.54724382559272</v>
      </c>
      <c r="G86" s="1786">
        <f t="shared" si="59"/>
        <v>446.72028416356659</v>
      </c>
      <c r="H86" s="1786">
        <f t="shared" si="59"/>
        <v>446.89339155594291</v>
      </c>
      <c r="I86" s="1786">
        <f t="shared" si="59"/>
        <v>447.06656602870561</v>
      </c>
      <c r="J86" s="1786">
        <f t="shared" si="59"/>
        <v>447.23980760784883</v>
      </c>
      <c r="K86" s="1786">
        <f t="shared" si="59"/>
        <v>447.41311631937697</v>
      </c>
      <c r="L86" s="1786">
        <f t="shared" si="59"/>
        <v>447.58649218930418</v>
      </c>
      <c r="M86" s="1786">
        <f t="shared" si="59"/>
        <v>447.75993524365481</v>
      </c>
      <c r="N86" s="1786">
        <f t="shared" si="59"/>
        <v>447.93344550846342</v>
      </c>
      <c r="O86" s="1786">
        <f t="shared" si="59"/>
        <v>448.10702300977448</v>
      </c>
      <c r="P86" s="1786">
        <f t="shared" si="59"/>
        <v>448.28066777364262</v>
      </c>
      <c r="Q86" s="1786">
        <f t="shared" si="59"/>
        <v>448.45437982613271</v>
      </c>
      <c r="R86" s="1786">
        <f t="shared" si="59"/>
        <v>448.62815919331945</v>
      </c>
      <c r="S86" s="1786">
        <f t="shared" si="59"/>
        <v>448.80200590128771</v>
      </c>
      <c r="T86" s="1786">
        <f t="shared" si="59"/>
        <v>448.97591997613279</v>
      </c>
      <c r="U86" s="598"/>
      <c r="V86" s="598"/>
      <c r="W86" s="2456"/>
    </row>
    <row r="87" spans="2:23" ht="14.25" thickBot="1" x14ac:dyDescent="0.3">
      <c r="B87" s="2455">
        <v>7</v>
      </c>
      <c r="C87" s="1758" t="s">
        <v>414</v>
      </c>
      <c r="D87" s="1786">
        <f t="shared" ref="D87:T87" si="60">D195*D$238*$V195</f>
        <v>1163.3066816505466</v>
      </c>
      <c r="E87" s="1786">
        <f t="shared" si="60"/>
        <v>1163.7574715370447</v>
      </c>
      <c r="F87" s="1786">
        <f t="shared" si="60"/>
        <v>1164.2084361079358</v>
      </c>
      <c r="G87" s="1786">
        <f t="shared" si="60"/>
        <v>1164.6595754309114</v>
      </c>
      <c r="H87" s="1786">
        <f t="shared" si="60"/>
        <v>1165.1108895736897</v>
      </c>
      <c r="I87" s="1786">
        <f t="shared" si="60"/>
        <v>1165.5623786040142</v>
      </c>
      <c r="J87" s="1786">
        <f t="shared" si="60"/>
        <v>1166.0140425896552</v>
      </c>
      <c r="K87" s="1786">
        <f t="shared" si="60"/>
        <v>1166.4658815984089</v>
      </c>
      <c r="L87" s="1786">
        <f t="shared" si="60"/>
        <v>1166.9178956980991</v>
      </c>
      <c r="M87" s="1786">
        <f t="shared" si="60"/>
        <v>1167.3700849565737</v>
      </c>
      <c r="N87" s="1786">
        <f t="shared" si="60"/>
        <v>1167.8224494417082</v>
      </c>
      <c r="O87" s="1786">
        <f t="shared" si="60"/>
        <v>1168.2749892214047</v>
      </c>
      <c r="P87" s="1786">
        <f t="shared" si="60"/>
        <v>1168.7277043635909</v>
      </c>
      <c r="Q87" s="1786">
        <f t="shared" si="60"/>
        <v>1169.1805949362208</v>
      </c>
      <c r="R87" s="1786">
        <f t="shared" si="60"/>
        <v>1169.6336610072754</v>
      </c>
      <c r="S87" s="1786">
        <f t="shared" si="60"/>
        <v>1170.086902644761</v>
      </c>
      <c r="T87" s="1786">
        <f t="shared" si="60"/>
        <v>1170.5403199167115</v>
      </c>
      <c r="U87" s="598"/>
      <c r="V87" s="598"/>
      <c r="W87" s="2456"/>
    </row>
    <row r="88" spans="2:23" ht="14.25" thickBot="1" x14ac:dyDescent="0.3">
      <c r="B88" s="2455">
        <v>8</v>
      </c>
      <c r="C88" s="1758" t="s">
        <v>1968</v>
      </c>
      <c r="D88" s="1786">
        <f t="shared" ref="D88:T88" si="61">D196*D$238*$V196</f>
        <v>136.97774397925153</v>
      </c>
      <c r="E88" s="1786">
        <f t="shared" si="61"/>
        <v>137.03082386148304</v>
      </c>
      <c r="F88" s="1786">
        <f t="shared" si="61"/>
        <v>137.08392431255893</v>
      </c>
      <c r="G88" s="1786">
        <f t="shared" si="61"/>
        <v>137.13704534044976</v>
      </c>
      <c r="H88" s="1786">
        <f t="shared" si="61"/>
        <v>137.19018695312917</v>
      </c>
      <c r="I88" s="1786">
        <f t="shared" si="61"/>
        <v>137.24334915857401</v>
      </c>
      <c r="J88" s="1786">
        <f t="shared" si="61"/>
        <v>137.29653196476403</v>
      </c>
      <c r="K88" s="1786">
        <f t="shared" si="61"/>
        <v>137.34973537968222</v>
      </c>
      <c r="L88" s="1786">
        <f t="shared" si="61"/>
        <v>137.40295941131455</v>
      </c>
      <c r="M88" s="1786">
        <f t="shared" si="61"/>
        <v>137.45620406765028</v>
      </c>
      <c r="N88" s="1786">
        <f t="shared" si="61"/>
        <v>137.50946935668151</v>
      </c>
      <c r="O88" s="1786">
        <f t="shared" si="61"/>
        <v>137.56275528640359</v>
      </c>
      <c r="P88" s="1786">
        <f t="shared" si="61"/>
        <v>137.61606186481498</v>
      </c>
      <c r="Q88" s="1786">
        <f t="shared" si="61"/>
        <v>137.6693890999172</v>
      </c>
      <c r="R88" s="1786">
        <f t="shared" si="61"/>
        <v>137.72273699971481</v>
      </c>
      <c r="S88" s="1786">
        <f t="shared" si="61"/>
        <v>137.77610557221556</v>
      </c>
      <c r="T88" s="1786">
        <f t="shared" si="61"/>
        <v>137.82949482543029</v>
      </c>
      <c r="U88" s="598"/>
      <c r="V88" s="598"/>
      <c r="W88" s="2456"/>
    </row>
    <row r="89" spans="2:23" ht="14.25" thickBot="1" x14ac:dyDescent="0.3">
      <c r="B89" s="2455">
        <v>9</v>
      </c>
      <c r="C89" s="1758" t="s">
        <v>1232</v>
      </c>
      <c r="D89" s="1786" t="e">
        <f t="shared" ref="D89:T89" si="62">D197*D$238*$V197</f>
        <v>#DIV/0!</v>
      </c>
      <c r="E89" s="1786" t="e">
        <f t="shared" si="62"/>
        <v>#DIV/0!</v>
      </c>
      <c r="F89" s="1786" t="e">
        <f t="shared" si="62"/>
        <v>#DIV/0!</v>
      </c>
      <c r="G89" s="1786" t="e">
        <f t="shared" si="62"/>
        <v>#DIV/0!</v>
      </c>
      <c r="H89" s="1786" t="e">
        <f t="shared" si="62"/>
        <v>#DIV/0!</v>
      </c>
      <c r="I89" s="1786" t="e">
        <f t="shared" si="62"/>
        <v>#DIV/0!</v>
      </c>
      <c r="J89" s="1786" t="e">
        <f t="shared" si="62"/>
        <v>#DIV/0!</v>
      </c>
      <c r="K89" s="1786" t="e">
        <f t="shared" si="62"/>
        <v>#DIV/0!</v>
      </c>
      <c r="L89" s="1786" t="e">
        <f t="shared" si="62"/>
        <v>#DIV/0!</v>
      </c>
      <c r="M89" s="1786" t="e">
        <f t="shared" si="62"/>
        <v>#DIV/0!</v>
      </c>
      <c r="N89" s="1786" t="e">
        <f t="shared" si="62"/>
        <v>#DIV/0!</v>
      </c>
      <c r="O89" s="1786" t="e">
        <f t="shared" si="62"/>
        <v>#DIV/0!</v>
      </c>
      <c r="P89" s="1786" t="e">
        <f t="shared" si="62"/>
        <v>#DIV/0!</v>
      </c>
      <c r="Q89" s="1786" t="e">
        <f t="shared" si="62"/>
        <v>#DIV/0!</v>
      </c>
      <c r="R89" s="1786" t="e">
        <f t="shared" si="62"/>
        <v>#DIV/0!</v>
      </c>
      <c r="S89" s="1786" t="e">
        <f t="shared" si="62"/>
        <v>#DIV/0!</v>
      </c>
      <c r="T89" s="1786" t="e">
        <f t="shared" si="62"/>
        <v>#DIV/0!</v>
      </c>
      <c r="U89" s="598"/>
      <c r="V89" s="598"/>
      <c r="W89" s="2456"/>
    </row>
    <row r="90" spans="2:23" ht="14.25" thickBot="1" x14ac:dyDescent="0.3">
      <c r="B90" s="2455">
        <v>10</v>
      </c>
      <c r="C90" s="1758" t="s">
        <v>1231</v>
      </c>
      <c r="D90" s="1786" t="e">
        <f t="shared" ref="D90:T90" si="63">D198*D$238*$V198</f>
        <v>#REF!</v>
      </c>
      <c r="E90" s="1786" t="e">
        <f t="shared" si="63"/>
        <v>#REF!</v>
      </c>
      <c r="F90" s="1786" t="e">
        <f t="shared" si="63"/>
        <v>#REF!</v>
      </c>
      <c r="G90" s="1786" t="e">
        <f t="shared" si="63"/>
        <v>#REF!</v>
      </c>
      <c r="H90" s="1786" t="e">
        <f t="shared" si="63"/>
        <v>#REF!</v>
      </c>
      <c r="I90" s="1786" t="e">
        <f t="shared" si="63"/>
        <v>#REF!</v>
      </c>
      <c r="J90" s="1786" t="e">
        <f t="shared" si="63"/>
        <v>#REF!</v>
      </c>
      <c r="K90" s="1786" t="e">
        <f t="shared" si="63"/>
        <v>#REF!</v>
      </c>
      <c r="L90" s="1786" t="e">
        <f t="shared" si="63"/>
        <v>#REF!</v>
      </c>
      <c r="M90" s="1786" t="e">
        <f t="shared" si="63"/>
        <v>#REF!</v>
      </c>
      <c r="N90" s="1786" t="e">
        <f t="shared" si="63"/>
        <v>#REF!</v>
      </c>
      <c r="O90" s="1786" t="e">
        <f t="shared" si="63"/>
        <v>#REF!</v>
      </c>
      <c r="P90" s="1786" t="e">
        <f t="shared" si="63"/>
        <v>#REF!</v>
      </c>
      <c r="Q90" s="1786" t="e">
        <f t="shared" si="63"/>
        <v>#REF!</v>
      </c>
      <c r="R90" s="1786" t="e">
        <f t="shared" si="63"/>
        <v>#REF!</v>
      </c>
      <c r="S90" s="1786" t="e">
        <f t="shared" si="63"/>
        <v>#REF!</v>
      </c>
      <c r="T90" s="1786" t="e">
        <f t="shared" si="63"/>
        <v>#REF!</v>
      </c>
      <c r="U90" s="598"/>
      <c r="V90" s="598"/>
      <c r="W90" s="2456"/>
    </row>
    <row r="91" spans="2:23" ht="14.25" thickBot="1" x14ac:dyDescent="0.3">
      <c r="B91" s="2455">
        <v>11</v>
      </c>
      <c r="C91" s="1758" t="s">
        <v>1227</v>
      </c>
      <c r="D91" s="1786">
        <f t="shared" ref="D91:T91" si="64">D199*D$238*$V199</f>
        <v>282.24178032541505</v>
      </c>
      <c r="E91" s="1786">
        <f t="shared" si="64"/>
        <v>282.63193294926344</v>
      </c>
      <c r="F91" s="1786">
        <f t="shared" si="64"/>
        <v>283.02234556515407</v>
      </c>
      <c r="G91" s="1786">
        <f t="shared" si="64"/>
        <v>283.41301831599861</v>
      </c>
      <c r="H91" s="1786">
        <f t="shared" si="64"/>
        <v>283.80395134478016</v>
      </c>
      <c r="I91" s="1786">
        <f t="shared" si="64"/>
        <v>284.19514479455393</v>
      </c>
      <c r="J91" s="1786">
        <f t="shared" si="64"/>
        <v>284.58659880844664</v>
      </c>
      <c r="K91" s="1786">
        <f t="shared" si="64"/>
        <v>284.9783135296571</v>
      </c>
      <c r="L91" s="1786">
        <f t="shared" si="64"/>
        <v>285.37028910145568</v>
      </c>
      <c r="M91" s="1786">
        <f t="shared" si="64"/>
        <v>285.76252566718466</v>
      </c>
      <c r="N91" s="1786">
        <f t="shared" si="64"/>
        <v>286.15502337025862</v>
      </c>
      <c r="O91" s="1786">
        <f t="shared" si="64"/>
        <v>286.5477823541637</v>
      </c>
      <c r="P91" s="1786">
        <f t="shared" si="64"/>
        <v>286.94080276245819</v>
      </c>
      <c r="Q91" s="1786">
        <f t="shared" si="64"/>
        <v>287.33408473877239</v>
      </c>
      <c r="R91" s="1786">
        <f t="shared" si="64"/>
        <v>287.72762842680862</v>
      </c>
      <c r="S91" s="1786">
        <f t="shared" si="64"/>
        <v>288.12143397034134</v>
      </c>
      <c r="T91" s="1786">
        <f t="shared" si="64"/>
        <v>288.51550151321709</v>
      </c>
      <c r="U91" s="598"/>
      <c r="V91" s="598"/>
      <c r="W91" s="2456"/>
    </row>
    <row r="92" spans="2:23" ht="14.25" thickBot="1" x14ac:dyDescent="0.3">
      <c r="B92" s="2455">
        <v>12</v>
      </c>
      <c r="C92" s="1758" t="s">
        <v>1229</v>
      </c>
      <c r="D92" s="1786">
        <f t="shared" ref="D92:T92" si="65">D200*D$238*$V200</f>
        <v>154.1438706380124</v>
      </c>
      <c r="E92" s="1786">
        <f t="shared" si="65"/>
        <v>154.2036025204518</v>
      </c>
      <c r="F92" s="1786">
        <f t="shared" si="65"/>
        <v>154.26335754943443</v>
      </c>
      <c r="G92" s="1786">
        <f t="shared" si="65"/>
        <v>154.32313573392989</v>
      </c>
      <c r="H92" s="1786">
        <f t="shared" si="65"/>
        <v>154.38293708291104</v>
      </c>
      <c r="I92" s="1786">
        <f t="shared" si="65"/>
        <v>154.44276160535435</v>
      </c>
      <c r="J92" s="1786">
        <f t="shared" si="65"/>
        <v>154.50260931023962</v>
      </c>
      <c r="K92" s="1786">
        <f t="shared" si="65"/>
        <v>154.56248020655028</v>
      </c>
      <c r="L92" s="1786">
        <f t="shared" si="65"/>
        <v>154.62237430327315</v>
      </c>
      <c r="M92" s="1786">
        <f t="shared" si="65"/>
        <v>154.68229160939856</v>
      </c>
      <c r="N92" s="1786">
        <f t="shared" si="65"/>
        <v>154.74223213392037</v>
      </c>
      <c r="O92" s="1786">
        <f t="shared" si="65"/>
        <v>154.80219588583583</v>
      </c>
      <c r="P92" s="1786">
        <f t="shared" si="65"/>
        <v>154.86218287414573</v>
      </c>
      <c r="Q92" s="1786">
        <f t="shared" si="65"/>
        <v>154.92219310785435</v>
      </c>
      <c r="R92" s="1786">
        <f t="shared" si="65"/>
        <v>154.98222659596951</v>
      </c>
      <c r="S92" s="1786">
        <f t="shared" si="65"/>
        <v>155.04228334750229</v>
      </c>
      <c r="T92" s="1786">
        <f t="shared" si="65"/>
        <v>155.10236337146767</v>
      </c>
      <c r="U92" s="598"/>
      <c r="V92" s="598"/>
      <c r="W92" s="2456"/>
    </row>
    <row r="93" spans="2:23" ht="14.25" thickBot="1" x14ac:dyDescent="0.3">
      <c r="B93" s="2455">
        <v>13</v>
      </c>
      <c r="C93" s="1758" t="s">
        <v>1313</v>
      </c>
      <c r="D93" s="1786">
        <f t="shared" ref="D93:T93" si="66">D201*D$238*$V201</f>
        <v>0</v>
      </c>
      <c r="E93" s="1786">
        <f t="shared" si="66"/>
        <v>0</v>
      </c>
      <c r="F93" s="1786">
        <f t="shared" si="66"/>
        <v>0</v>
      </c>
      <c r="G93" s="1786">
        <f t="shared" si="66"/>
        <v>0</v>
      </c>
      <c r="H93" s="1786">
        <f t="shared" si="66"/>
        <v>0</v>
      </c>
      <c r="I93" s="1786">
        <f t="shared" si="66"/>
        <v>0</v>
      </c>
      <c r="J93" s="1786">
        <f t="shared" si="66"/>
        <v>0</v>
      </c>
      <c r="K93" s="1786">
        <f t="shared" si="66"/>
        <v>0</v>
      </c>
      <c r="L93" s="1786">
        <f t="shared" si="66"/>
        <v>0</v>
      </c>
      <c r="M93" s="1786">
        <f t="shared" si="66"/>
        <v>0</v>
      </c>
      <c r="N93" s="1786">
        <f t="shared" si="66"/>
        <v>0</v>
      </c>
      <c r="O93" s="1786">
        <f t="shared" si="66"/>
        <v>0</v>
      </c>
      <c r="P93" s="1786">
        <f t="shared" si="66"/>
        <v>0</v>
      </c>
      <c r="Q93" s="1786">
        <f t="shared" si="66"/>
        <v>0</v>
      </c>
      <c r="R93" s="1786">
        <f t="shared" si="66"/>
        <v>0</v>
      </c>
      <c r="S93" s="1786">
        <f t="shared" si="66"/>
        <v>0</v>
      </c>
      <c r="T93" s="1786">
        <f t="shared" si="66"/>
        <v>0</v>
      </c>
      <c r="U93" s="598"/>
      <c r="V93" s="598"/>
      <c r="W93" s="2456"/>
    </row>
    <row r="94" spans="2:23" ht="14.25" thickBot="1" x14ac:dyDescent="0.3">
      <c r="B94" s="2455">
        <v>14</v>
      </c>
      <c r="C94" s="1758" t="s">
        <v>1314</v>
      </c>
      <c r="D94" s="1786">
        <f t="shared" ref="D94:T94" si="67">D202*D$238*$V202</f>
        <v>768.95362107604114</v>
      </c>
      <c r="E94" s="1786">
        <f t="shared" si="67"/>
        <v>769.25159625407014</v>
      </c>
      <c r="F94" s="1786">
        <f t="shared" si="67"/>
        <v>769.54968689966995</v>
      </c>
      <c r="G94" s="1786">
        <f t="shared" si="67"/>
        <v>769.847893057585</v>
      </c>
      <c r="H94" s="1786">
        <f t="shared" si="67"/>
        <v>770.14621477257742</v>
      </c>
      <c r="I94" s="1786">
        <f t="shared" si="67"/>
        <v>770.4446520894262</v>
      </c>
      <c r="J94" s="1786">
        <f t="shared" si="67"/>
        <v>770.74320505292803</v>
      </c>
      <c r="K94" s="1786">
        <f t="shared" si="67"/>
        <v>771.04187370789668</v>
      </c>
      <c r="L94" s="1786">
        <f t="shared" si="67"/>
        <v>771.34065809916387</v>
      </c>
      <c r="M94" s="1786">
        <f t="shared" si="67"/>
        <v>771.63955827157804</v>
      </c>
      <c r="N94" s="1786">
        <f t="shared" si="67"/>
        <v>771.93857427000489</v>
      </c>
      <c r="O94" s="1786">
        <f t="shared" si="67"/>
        <v>772.23770613932845</v>
      </c>
      <c r="P94" s="1786">
        <f t="shared" si="67"/>
        <v>772.53695392444899</v>
      </c>
      <c r="Q94" s="1786">
        <f t="shared" si="67"/>
        <v>772.83631767028498</v>
      </c>
      <c r="R94" s="1786">
        <f t="shared" si="67"/>
        <v>773.13579742177217</v>
      </c>
      <c r="S94" s="1786">
        <f t="shared" si="67"/>
        <v>773.43539322386323</v>
      </c>
      <c r="T94" s="1786">
        <f t="shared" si="67"/>
        <v>773.73510512152916</v>
      </c>
      <c r="U94" s="598"/>
      <c r="V94" s="598"/>
      <c r="W94" s="2456"/>
    </row>
    <row r="95" spans="2:23" ht="14.25" thickBot="1" x14ac:dyDescent="0.3">
      <c r="B95" s="2455">
        <v>15</v>
      </c>
      <c r="C95" s="1758" t="s">
        <v>329</v>
      </c>
      <c r="D95" s="1786">
        <f t="shared" ref="D95:T95" si="68">D203*D$238*$V203</f>
        <v>413.27280000000007</v>
      </c>
      <c r="E95" s="1786">
        <f t="shared" si="68"/>
        <v>413.43294624650866</v>
      </c>
      <c r="F95" s="1786">
        <f t="shared" si="68"/>
        <v>413.59315455086431</v>
      </c>
      <c r="G95" s="1786">
        <f t="shared" si="68"/>
        <v>413.75342493711514</v>
      </c>
      <c r="H95" s="1786">
        <f t="shared" si="68"/>
        <v>413.91375742931825</v>
      </c>
      <c r="I95" s="1786">
        <f t="shared" si="68"/>
        <v>414.07415205154007</v>
      </c>
      <c r="J95" s="1786">
        <f t="shared" si="68"/>
        <v>414.23460882785645</v>
      </c>
      <c r="K95" s="1786">
        <f t="shared" si="68"/>
        <v>414.39512778235274</v>
      </c>
      <c r="L95" s="1786">
        <f t="shared" si="68"/>
        <v>414.55570893912318</v>
      </c>
      <c r="M95" s="1786">
        <f t="shared" si="68"/>
        <v>414.71635232227186</v>
      </c>
      <c r="N95" s="1786">
        <f t="shared" si="68"/>
        <v>414.87705795591177</v>
      </c>
      <c r="O95" s="1786">
        <f t="shared" si="68"/>
        <v>415.03782586416543</v>
      </c>
      <c r="P95" s="1786">
        <f t="shared" si="68"/>
        <v>415.19865607116481</v>
      </c>
      <c r="Q95" s="1786">
        <f t="shared" si="68"/>
        <v>415.35954860105119</v>
      </c>
      <c r="R95" s="1786">
        <f t="shared" si="68"/>
        <v>415.52050347797501</v>
      </c>
      <c r="S95" s="1786">
        <f t="shared" si="68"/>
        <v>415.68152072609621</v>
      </c>
      <c r="T95" s="1786">
        <f t="shared" si="68"/>
        <v>415.84260036958415</v>
      </c>
      <c r="U95" s="598"/>
      <c r="V95" s="598"/>
      <c r="W95" s="2456"/>
    </row>
    <row r="96" spans="2:23" ht="14.25" thickBot="1" x14ac:dyDescent="0.3">
      <c r="B96" s="2455">
        <v>16</v>
      </c>
      <c r="C96" s="1758" t="s">
        <v>412</v>
      </c>
      <c r="D96" s="1786">
        <f t="shared" ref="D96:T96" si="69">D204*D$238*$V204</f>
        <v>1373.1785840640002</v>
      </c>
      <c r="E96" s="1786">
        <f t="shared" si="69"/>
        <v>1373.71070085471</v>
      </c>
      <c r="F96" s="1786">
        <f t="shared" si="69"/>
        <v>1374.2430238445863</v>
      </c>
      <c r="G96" s="1786">
        <f t="shared" si="69"/>
        <v>1374.7755531135326</v>
      </c>
      <c r="H96" s="1786">
        <f t="shared" si="69"/>
        <v>1375.3082887414832</v>
      </c>
      <c r="I96" s="1786">
        <f t="shared" si="69"/>
        <v>1375.8412308084037</v>
      </c>
      <c r="J96" s="1786">
        <f t="shared" si="69"/>
        <v>1376.3743793942911</v>
      </c>
      <c r="K96" s="1786">
        <f t="shared" si="69"/>
        <v>1376.9077345791727</v>
      </c>
      <c r="L96" s="1786">
        <f t="shared" si="69"/>
        <v>1377.4412964431071</v>
      </c>
      <c r="M96" s="1786">
        <f t="shared" si="69"/>
        <v>1377.9750650661845</v>
      </c>
      <c r="N96" s="1786">
        <f t="shared" si="69"/>
        <v>1378.509040528525</v>
      </c>
      <c r="O96" s="1786">
        <f t="shared" si="69"/>
        <v>1379.0432229102803</v>
      </c>
      <c r="P96" s="1786">
        <f t="shared" si="69"/>
        <v>1379.5776122916336</v>
      </c>
      <c r="Q96" s="1786">
        <f t="shared" si="69"/>
        <v>1380.1122087527986</v>
      </c>
      <c r="R96" s="1786">
        <f t="shared" si="69"/>
        <v>1380.6470123740203</v>
      </c>
      <c r="S96" s="1786">
        <f t="shared" si="69"/>
        <v>1381.1820232355744</v>
      </c>
      <c r="T96" s="1786">
        <f t="shared" si="69"/>
        <v>1381.7172414177687</v>
      </c>
      <c r="U96" s="598"/>
      <c r="V96" s="598"/>
      <c r="W96" s="2456"/>
    </row>
    <row r="97" spans="2:23" ht="14.25" thickBot="1" x14ac:dyDescent="0.3">
      <c r="B97" s="2455">
        <v>17</v>
      </c>
      <c r="C97" s="1758" t="s">
        <v>1234</v>
      </c>
      <c r="D97" s="1786">
        <f t="shared" ref="D97:T97" si="70">D205*D$238*$V205</f>
        <v>229.596</v>
      </c>
      <c r="E97" s="1786">
        <f t="shared" si="70"/>
        <v>229.68497013694923</v>
      </c>
      <c r="F97" s="1786">
        <f t="shared" si="70"/>
        <v>229.77397475048019</v>
      </c>
      <c r="G97" s="1786">
        <f t="shared" si="70"/>
        <v>229.86301385395282</v>
      </c>
      <c r="H97" s="1786">
        <f t="shared" si="70"/>
        <v>229.95208746073234</v>
      </c>
      <c r="I97" s="1786">
        <f t="shared" si="70"/>
        <v>230.04119558418893</v>
      </c>
      <c r="J97" s="1786">
        <f t="shared" si="70"/>
        <v>230.13033823769803</v>
      </c>
      <c r="K97" s="1786">
        <f t="shared" si="70"/>
        <v>230.21951543464041</v>
      </c>
      <c r="L97" s="1786">
        <f t="shared" si="70"/>
        <v>230.3087271884018</v>
      </c>
      <c r="M97" s="1786">
        <f t="shared" si="70"/>
        <v>230.39797351237326</v>
      </c>
      <c r="N97" s="1786">
        <f t="shared" si="70"/>
        <v>230.48725441995094</v>
      </c>
      <c r="O97" s="1786">
        <f t="shared" si="70"/>
        <v>230.57656992453639</v>
      </c>
      <c r="P97" s="1786">
        <f t="shared" si="70"/>
        <v>230.66592003953602</v>
      </c>
      <c r="Q97" s="1786">
        <f t="shared" si="70"/>
        <v>230.75530477836173</v>
      </c>
      <c r="R97" s="1786">
        <f t="shared" si="70"/>
        <v>230.84472415443057</v>
      </c>
      <c r="S97" s="1786">
        <f t="shared" si="70"/>
        <v>230.93417818116455</v>
      </c>
      <c r="T97" s="1786">
        <f t="shared" si="70"/>
        <v>231.0236668719912</v>
      </c>
      <c r="U97" s="598"/>
      <c r="V97" s="598"/>
      <c r="W97" s="2456"/>
    </row>
    <row r="98" spans="2:23" ht="14.25" thickBot="1" x14ac:dyDescent="0.3">
      <c r="B98" s="2455">
        <v>18</v>
      </c>
      <c r="C98" s="1758" t="s">
        <v>1969</v>
      </c>
      <c r="D98" s="1786">
        <f t="shared" ref="D98:T98" si="71">D206*D$238*$V206</f>
        <v>993.41815668781624</v>
      </c>
      <c r="E98" s="1786">
        <f t="shared" si="71"/>
        <v>997.43343648867813</v>
      </c>
      <c r="F98" s="1786">
        <f t="shared" si="71"/>
        <v>1001.4649455800666</v>
      </c>
      <c r="G98" s="1786">
        <f t="shared" si="71"/>
        <v>1005.5127495588722</v>
      </c>
      <c r="H98" s="1786">
        <f t="shared" si="71"/>
        <v>1009.5769142871213</v>
      </c>
      <c r="I98" s="1786">
        <f t="shared" si="71"/>
        <v>1013.6575058930462</v>
      </c>
      <c r="J98" s="1786">
        <f t="shared" si="71"/>
        <v>1017.7545907721616</v>
      </c>
      <c r="K98" s="1786">
        <f t="shared" si="71"/>
        <v>1021.8682355883457</v>
      </c>
      <c r="L98" s="1786">
        <f t="shared" si="71"/>
        <v>1025.9985072749234</v>
      </c>
      <c r="M98" s="1786">
        <f t="shared" si="71"/>
        <v>1030.1454730357577</v>
      </c>
      <c r="N98" s="1786">
        <f t="shared" si="71"/>
        <v>1034.3092003463407</v>
      </c>
      <c r="O98" s="1786">
        <f t="shared" si="71"/>
        <v>1038.4897569548921</v>
      </c>
      <c r="P98" s="1786">
        <f t="shared" si="71"/>
        <v>1042.687210883463</v>
      </c>
      <c r="Q98" s="1786">
        <f t="shared" si="71"/>
        <v>1046.9016304290412</v>
      </c>
      <c r="R98" s="1786">
        <f t="shared" si="71"/>
        <v>1051.1330841646627</v>
      </c>
      <c r="S98" s="1786">
        <f t="shared" si="71"/>
        <v>1055.3816409405285</v>
      </c>
      <c r="T98" s="1786">
        <f t="shared" si="71"/>
        <v>1059.6473698851232</v>
      </c>
      <c r="U98" s="598"/>
      <c r="V98" s="598"/>
      <c r="W98" s="2456"/>
    </row>
    <row r="99" spans="2:23" ht="14.25" thickBot="1" x14ac:dyDescent="0.3">
      <c r="B99" s="2455">
        <v>19</v>
      </c>
      <c r="C99" s="1758" t="s">
        <v>1970</v>
      </c>
      <c r="D99" s="1786">
        <f t="shared" ref="D99:T99" si="72">D207*D$238*$V207</f>
        <v>481.87308347890098</v>
      </c>
      <c r="E99" s="1786">
        <f t="shared" si="72"/>
        <v>485.5928841189351</v>
      </c>
      <c r="F99" s="1786">
        <f t="shared" si="72"/>
        <v>489.31549530012819</v>
      </c>
      <c r="G99" s="1786">
        <f t="shared" si="72"/>
        <v>493.0409186421187</v>
      </c>
      <c r="H99" s="1786">
        <f t="shared" si="72"/>
        <v>496.76915576537795</v>
      </c>
      <c r="I99" s="1786">
        <f t="shared" si="72"/>
        <v>500.50020829121075</v>
      </c>
      <c r="J99" s="1786">
        <f t="shared" si="72"/>
        <v>504.23407784175629</v>
      </c>
      <c r="K99" s="1786">
        <f t="shared" si="72"/>
        <v>507.97076603998823</v>
      </c>
      <c r="L99" s="1786">
        <f t="shared" si="72"/>
        <v>511.71027450971474</v>
      </c>
      <c r="M99" s="1786">
        <f t="shared" si="72"/>
        <v>515.45260487557914</v>
      </c>
      <c r="N99" s="1786">
        <f t="shared" si="72"/>
        <v>519.19775876306062</v>
      </c>
      <c r="O99" s="1786">
        <f t="shared" si="72"/>
        <v>522.94573779847417</v>
      </c>
      <c r="P99" s="1786">
        <f t="shared" si="72"/>
        <v>526.69654360897175</v>
      </c>
      <c r="Q99" s="1786">
        <f t="shared" si="72"/>
        <v>530.45017782254149</v>
      </c>
      <c r="R99" s="1786">
        <f t="shared" si="72"/>
        <v>534.20664206800916</v>
      </c>
      <c r="S99" s="1786">
        <f t="shared" si="72"/>
        <v>537.96593797503783</v>
      </c>
      <c r="T99" s="1786">
        <f t="shared" si="72"/>
        <v>541.72806717412891</v>
      </c>
      <c r="U99" s="598"/>
      <c r="V99" s="598"/>
      <c r="W99" s="2456"/>
    </row>
    <row r="100" spans="2:23" ht="14.25" thickBot="1" x14ac:dyDescent="0.3">
      <c r="B100" s="2455">
        <v>20</v>
      </c>
      <c r="C100" s="1758" t="s">
        <v>1746</v>
      </c>
      <c r="D100" s="1786">
        <f t="shared" ref="D100:T100" si="73">D208*D$238*$V208</f>
        <v>76.532000000000011</v>
      </c>
      <c r="E100" s="1786">
        <f t="shared" si="73"/>
        <v>76.561656712316406</v>
      </c>
      <c r="F100" s="1786">
        <f t="shared" si="73"/>
        <v>76.591324916826736</v>
      </c>
      <c r="G100" s="1786">
        <f t="shared" si="73"/>
        <v>76.621004617984283</v>
      </c>
      <c r="H100" s="1786">
        <f t="shared" si="73"/>
        <v>76.650695820244124</v>
      </c>
      <c r="I100" s="1786">
        <f t="shared" si="73"/>
        <v>76.68039852806298</v>
      </c>
      <c r="J100" s="1786">
        <f t="shared" si="73"/>
        <v>76.710112745899352</v>
      </c>
      <c r="K100" s="1786">
        <f t="shared" si="73"/>
        <v>76.739838478213471</v>
      </c>
      <c r="L100" s="1786">
        <f t="shared" si="73"/>
        <v>76.769575729467263</v>
      </c>
      <c r="M100" s="1786">
        <f t="shared" si="73"/>
        <v>76.799324504124414</v>
      </c>
      <c r="N100" s="1786">
        <f t="shared" si="73"/>
        <v>76.829084806650329</v>
      </c>
      <c r="O100" s="1786">
        <f t="shared" si="73"/>
        <v>76.858856641512119</v>
      </c>
      <c r="P100" s="1786">
        <f t="shared" si="73"/>
        <v>76.888640013178673</v>
      </c>
      <c r="Q100" s="1786">
        <f t="shared" si="73"/>
        <v>76.918434926120582</v>
      </c>
      <c r="R100" s="1786">
        <f t="shared" si="73"/>
        <v>76.948241384810188</v>
      </c>
      <c r="S100" s="1786">
        <f t="shared" si="73"/>
        <v>76.978059393721523</v>
      </c>
      <c r="T100" s="1786">
        <f t="shared" si="73"/>
        <v>77.007888957330394</v>
      </c>
      <c r="U100" s="598"/>
      <c r="V100" s="598"/>
      <c r="W100" s="2456"/>
    </row>
    <row r="101" spans="2:23" ht="14.25" thickBot="1" x14ac:dyDescent="0.3">
      <c r="B101" s="2455">
        <v>21</v>
      </c>
      <c r="C101" s="1758" t="s">
        <v>1235</v>
      </c>
      <c r="D101" s="1786" t="e">
        <f t="shared" ref="D101:T101" si="74">D209*D$238*$V209</f>
        <v>#DIV/0!</v>
      </c>
      <c r="E101" s="1786" t="e">
        <f t="shared" si="74"/>
        <v>#DIV/0!</v>
      </c>
      <c r="F101" s="1786" t="e">
        <f t="shared" si="74"/>
        <v>#DIV/0!</v>
      </c>
      <c r="G101" s="1786" t="e">
        <f t="shared" si="74"/>
        <v>#DIV/0!</v>
      </c>
      <c r="H101" s="1786" t="e">
        <f t="shared" si="74"/>
        <v>#DIV/0!</v>
      </c>
      <c r="I101" s="1786" t="e">
        <f t="shared" si="74"/>
        <v>#DIV/0!</v>
      </c>
      <c r="J101" s="1786" t="e">
        <f t="shared" si="74"/>
        <v>#DIV/0!</v>
      </c>
      <c r="K101" s="1786" t="e">
        <f t="shared" si="74"/>
        <v>#DIV/0!</v>
      </c>
      <c r="L101" s="1786" t="e">
        <f t="shared" si="74"/>
        <v>#DIV/0!</v>
      </c>
      <c r="M101" s="1786" t="e">
        <f t="shared" si="74"/>
        <v>#DIV/0!</v>
      </c>
      <c r="N101" s="1786" t="e">
        <f t="shared" si="74"/>
        <v>#DIV/0!</v>
      </c>
      <c r="O101" s="1786" t="e">
        <f t="shared" si="74"/>
        <v>#DIV/0!</v>
      </c>
      <c r="P101" s="1786" t="e">
        <f t="shared" si="74"/>
        <v>#DIV/0!</v>
      </c>
      <c r="Q101" s="1786" t="e">
        <f t="shared" si="74"/>
        <v>#DIV/0!</v>
      </c>
      <c r="R101" s="1786" t="e">
        <f t="shared" si="74"/>
        <v>#DIV/0!</v>
      </c>
      <c r="S101" s="1786" t="e">
        <f t="shared" si="74"/>
        <v>#DIV/0!</v>
      </c>
      <c r="T101" s="1786" t="e">
        <f t="shared" si="74"/>
        <v>#DIV/0!</v>
      </c>
      <c r="U101" s="598"/>
      <c r="V101" s="598"/>
      <c r="W101" s="2456"/>
    </row>
    <row r="102" spans="2:23" ht="14.25" thickBot="1" x14ac:dyDescent="0.3">
      <c r="B102" s="2455">
        <v>22</v>
      </c>
      <c r="C102" s="1758" t="s">
        <v>1798</v>
      </c>
      <c r="D102" s="1786" t="e">
        <f t="shared" ref="D102:T102" si="75">D210*D$238*$V210</f>
        <v>#DIV/0!</v>
      </c>
      <c r="E102" s="1786" t="e">
        <f t="shared" si="75"/>
        <v>#DIV/0!</v>
      </c>
      <c r="F102" s="1786" t="e">
        <f t="shared" si="75"/>
        <v>#DIV/0!</v>
      </c>
      <c r="G102" s="1786" t="e">
        <f t="shared" si="75"/>
        <v>#DIV/0!</v>
      </c>
      <c r="H102" s="1786" t="e">
        <f t="shared" si="75"/>
        <v>#DIV/0!</v>
      </c>
      <c r="I102" s="1786" t="e">
        <f t="shared" si="75"/>
        <v>#DIV/0!</v>
      </c>
      <c r="J102" s="1786" t="e">
        <f t="shared" si="75"/>
        <v>#DIV/0!</v>
      </c>
      <c r="K102" s="1786" t="e">
        <f t="shared" si="75"/>
        <v>#DIV/0!</v>
      </c>
      <c r="L102" s="1786" t="e">
        <f t="shared" si="75"/>
        <v>#DIV/0!</v>
      </c>
      <c r="M102" s="1786" t="e">
        <f t="shared" si="75"/>
        <v>#DIV/0!</v>
      </c>
      <c r="N102" s="1786" t="e">
        <f t="shared" si="75"/>
        <v>#DIV/0!</v>
      </c>
      <c r="O102" s="1786" t="e">
        <f t="shared" si="75"/>
        <v>#DIV/0!</v>
      </c>
      <c r="P102" s="1786" t="e">
        <f t="shared" si="75"/>
        <v>#DIV/0!</v>
      </c>
      <c r="Q102" s="1786" t="e">
        <f t="shared" si="75"/>
        <v>#DIV/0!</v>
      </c>
      <c r="R102" s="1786" t="e">
        <f t="shared" si="75"/>
        <v>#DIV/0!</v>
      </c>
      <c r="S102" s="1786" t="e">
        <f t="shared" si="75"/>
        <v>#DIV/0!</v>
      </c>
      <c r="T102" s="1786" t="e">
        <f t="shared" si="75"/>
        <v>#DIV/0!</v>
      </c>
      <c r="U102" s="598"/>
      <c r="V102" s="598"/>
      <c r="W102" s="2456"/>
    </row>
    <row r="103" spans="2:23" ht="14.25" thickBot="1" x14ac:dyDescent="0.3">
      <c r="B103" s="2455">
        <v>23</v>
      </c>
      <c r="C103" s="1758" t="s">
        <v>1971</v>
      </c>
      <c r="D103" s="1786" t="e">
        <f t="shared" ref="D103:T103" si="76">D211*D$238*$V211</f>
        <v>#REF!</v>
      </c>
      <c r="E103" s="1786" t="e">
        <f t="shared" si="76"/>
        <v>#REF!</v>
      </c>
      <c r="F103" s="1786" t="e">
        <f t="shared" si="76"/>
        <v>#REF!</v>
      </c>
      <c r="G103" s="1786" t="e">
        <f t="shared" si="76"/>
        <v>#REF!</v>
      </c>
      <c r="H103" s="1786" t="e">
        <f t="shared" si="76"/>
        <v>#REF!</v>
      </c>
      <c r="I103" s="1786" t="e">
        <f t="shared" si="76"/>
        <v>#REF!</v>
      </c>
      <c r="J103" s="1786" t="e">
        <f t="shared" si="76"/>
        <v>#REF!</v>
      </c>
      <c r="K103" s="1786" t="e">
        <f t="shared" si="76"/>
        <v>#REF!</v>
      </c>
      <c r="L103" s="1786" t="e">
        <f t="shared" si="76"/>
        <v>#REF!</v>
      </c>
      <c r="M103" s="1786" t="e">
        <f t="shared" si="76"/>
        <v>#REF!</v>
      </c>
      <c r="N103" s="1786" t="e">
        <f t="shared" si="76"/>
        <v>#REF!</v>
      </c>
      <c r="O103" s="1786" t="e">
        <f t="shared" si="76"/>
        <v>#REF!</v>
      </c>
      <c r="P103" s="1786" t="e">
        <f t="shared" si="76"/>
        <v>#REF!</v>
      </c>
      <c r="Q103" s="1786" t="e">
        <f t="shared" si="76"/>
        <v>#REF!</v>
      </c>
      <c r="R103" s="1786" t="e">
        <f t="shared" si="76"/>
        <v>#REF!</v>
      </c>
      <c r="S103" s="1786" t="e">
        <f t="shared" si="76"/>
        <v>#REF!</v>
      </c>
      <c r="T103" s="1786" t="e">
        <f t="shared" si="76"/>
        <v>#REF!</v>
      </c>
      <c r="U103" s="598"/>
      <c r="V103" s="598"/>
      <c r="W103" s="2456"/>
    </row>
    <row r="104" spans="2:23" ht="14.25" thickBot="1" x14ac:dyDescent="0.3">
      <c r="B104" s="2455"/>
      <c r="C104" s="2599" t="s">
        <v>61</v>
      </c>
      <c r="D104" s="2598"/>
      <c r="E104" s="2598"/>
      <c r="F104" s="2598"/>
      <c r="G104" s="2598"/>
      <c r="H104" s="2598"/>
      <c r="I104" s="2598"/>
      <c r="J104" s="2598"/>
      <c r="K104" s="2598"/>
      <c r="L104" s="2598"/>
      <c r="M104" s="2598"/>
      <c r="N104" s="2598"/>
      <c r="O104" s="2598"/>
      <c r="P104" s="2598"/>
      <c r="Q104" s="2598"/>
      <c r="R104" s="2598"/>
      <c r="S104" s="2598"/>
      <c r="T104" s="2598"/>
      <c r="U104" s="598"/>
      <c r="V104" s="598"/>
      <c r="W104" s="2456"/>
    </row>
    <row r="105" spans="2:23" ht="14.25" thickBot="1" x14ac:dyDescent="0.3">
      <c r="B105" s="2455">
        <v>24</v>
      </c>
      <c r="C105" s="1771" t="s">
        <v>1972</v>
      </c>
      <c r="D105" s="1786" t="e">
        <f t="shared" ref="D105:T105" si="77">D213*D$238*$V213</f>
        <v>#DIV/0!</v>
      </c>
      <c r="E105" s="1786" t="e">
        <f t="shared" si="77"/>
        <v>#DIV/0!</v>
      </c>
      <c r="F105" s="1786" t="e">
        <f t="shared" si="77"/>
        <v>#DIV/0!</v>
      </c>
      <c r="G105" s="1786" t="e">
        <f t="shared" si="77"/>
        <v>#DIV/0!</v>
      </c>
      <c r="H105" s="1786" t="e">
        <f t="shared" si="77"/>
        <v>#DIV/0!</v>
      </c>
      <c r="I105" s="1786" t="e">
        <f t="shared" si="77"/>
        <v>#DIV/0!</v>
      </c>
      <c r="J105" s="1786" t="e">
        <f t="shared" si="77"/>
        <v>#DIV/0!</v>
      </c>
      <c r="K105" s="1786" t="e">
        <f t="shared" si="77"/>
        <v>#DIV/0!</v>
      </c>
      <c r="L105" s="1786" t="e">
        <f t="shared" si="77"/>
        <v>#DIV/0!</v>
      </c>
      <c r="M105" s="1786" t="e">
        <f t="shared" si="77"/>
        <v>#DIV/0!</v>
      </c>
      <c r="N105" s="1786" t="e">
        <f t="shared" si="77"/>
        <v>#DIV/0!</v>
      </c>
      <c r="O105" s="1786" t="e">
        <f t="shared" si="77"/>
        <v>#DIV/0!</v>
      </c>
      <c r="P105" s="1786" t="e">
        <f t="shared" si="77"/>
        <v>#DIV/0!</v>
      </c>
      <c r="Q105" s="1786" t="e">
        <f t="shared" si="77"/>
        <v>#DIV/0!</v>
      </c>
      <c r="R105" s="1786" t="e">
        <f t="shared" si="77"/>
        <v>#DIV/0!</v>
      </c>
      <c r="S105" s="1786" t="e">
        <f t="shared" si="77"/>
        <v>#DIV/0!</v>
      </c>
      <c r="T105" s="1786" t="e">
        <f t="shared" si="77"/>
        <v>#DIV/0!</v>
      </c>
      <c r="U105" s="598"/>
      <c r="V105" s="598"/>
      <c r="W105" s="2456"/>
    </row>
    <row r="106" spans="2:23" ht="14.25" thickBot="1" x14ac:dyDescent="0.3">
      <c r="B106" s="2455">
        <v>25</v>
      </c>
      <c r="C106" s="1771" t="s">
        <v>1973</v>
      </c>
      <c r="D106" s="1786" t="e">
        <f t="shared" ref="D106:T106" si="78">D214*D$238*$V214</f>
        <v>#DIV/0!</v>
      </c>
      <c r="E106" s="1786" t="e">
        <f t="shared" si="78"/>
        <v>#DIV/0!</v>
      </c>
      <c r="F106" s="1786" t="e">
        <f t="shared" si="78"/>
        <v>#DIV/0!</v>
      </c>
      <c r="G106" s="1786" t="e">
        <f t="shared" si="78"/>
        <v>#DIV/0!</v>
      </c>
      <c r="H106" s="1786" t="e">
        <f t="shared" si="78"/>
        <v>#DIV/0!</v>
      </c>
      <c r="I106" s="1786" t="e">
        <f t="shared" si="78"/>
        <v>#DIV/0!</v>
      </c>
      <c r="J106" s="1786" t="e">
        <f t="shared" si="78"/>
        <v>#DIV/0!</v>
      </c>
      <c r="K106" s="1786" t="e">
        <f t="shared" si="78"/>
        <v>#DIV/0!</v>
      </c>
      <c r="L106" s="1786" t="e">
        <f t="shared" si="78"/>
        <v>#DIV/0!</v>
      </c>
      <c r="M106" s="1786" t="e">
        <f t="shared" si="78"/>
        <v>#DIV/0!</v>
      </c>
      <c r="N106" s="1786" t="e">
        <f t="shared" si="78"/>
        <v>#DIV/0!</v>
      </c>
      <c r="O106" s="1786" t="e">
        <f t="shared" si="78"/>
        <v>#DIV/0!</v>
      </c>
      <c r="P106" s="1786" t="e">
        <f t="shared" si="78"/>
        <v>#DIV/0!</v>
      </c>
      <c r="Q106" s="1786" t="e">
        <f t="shared" si="78"/>
        <v>#DIV/0!</v>
      </c>
      <c r="R106" s="1786" t="e">
        <f t="shared" si="78"/>
        <v>#DIV/0!</v>
      </c>
      <c r="S106" s="1786" t="e">
        <f t="shared" si="78"/>
        <v>#DIV/0!</v>
      </c>
      <c r="T106" s="1786" t="e">
        <f t="shared" si="78"/>
        <v>#DIV/0!</v>
      </c>
      <c r="U106" s="598"/>
      <c r="V106" s="598"/>
      <c r="W106" s="2456"/>
    </row>
    <row r="107" spans="2:23" ht="14.25" thickBot="1" x14ac:dyDescent="0.3">
      <c r="B107" s="2455"/>
      <c r="C107" s="2599" t="s">
        <v>2047</v>
      </c>
      <c r="D107" s="2598"/>
      <c r="E107" s="2598"/>
      <c r="F107" s="2598"/>
      <c r="G107" s="2598"/>
      <c r="H107" s="2598"/>
      <c r="I107" s="2598"/>
      <c r="J107" s="2598"/>
      <c r="K107" s="2598"/>
      <c r="L107" s="2598"/>
      <c r="M107" s="2598"/>
      <c r="N107" s="2598"/>
      <c r="O107" s="2598"/>
      <c r="P107" s="2598"/>
      <c r="Q107" s="2598"/>
      <c r="R107" s="2598"/>
      <c r="S107" s="2598"/>
      <c r="T107" s="2598"/>
      <c r="U107" s="598"/>
      <c r="V107" s="598"/>
      <c r="W107" s="2456"/>
    </row>
    <row r="108" spans="2:23" ht="14.25" thickBot="1" x14ac:dyDescent="0.3">
      <c r="B108" s="2455">
        <v>26</v>
      </c>
      <c r="C108" s="1757" t="s">
        <v>1855</v>
      </c>
      <c r="D108" s="1786">
        <f t="shared" ref="D108:T108" si="79">D216*D$238*$V216</f>
        <v>2654.1297600000003</v>
      </c>
      <c r="E108" s="1786">
        <f t="shared" si="79"/>
        <v>2655.1582547831335</v>
      </c>
      <c r="F108" s="1786">
        <f t="shared" si="79"/>
        <v>2656.1871481155508</v>
      </c>
      <c r="G108" s="1786">
        <f t="shared" si="79"/>
        <v>2657.2164401516952</v>
      </c>
      <c r="H108" s="1786">
        <f t="shared" si="79"/>
        <v>2658.2461310460662</v>
      </c>
      <c r="I108" s="1786">
        <f t="shared" si="79"/>
        <v>2659.2762209532239</v>
      </c>
      <c r="J108" s="1786">
        <f t="shared" si="79"/>
        <v>2660.3067100277899</v>
      </c>
      <c r="K108" s="1786">
        <f t="shared" si="79"/>
        <v>2661.3375984244435</v>
      </c>
      <c r="L108" s="1786">
        <f t="shared" si="79"/>
        <v>2662.3688862979247</v>
      </c>
      <c r="M108" s="1786">
        <f t="shared" si="79"/>
        <v>2663.4005738030337</v>
      </c>
      <c r="N108" s="1786">
        <f t="shared" si="79"/>
        <v>2664.4326610946327</v>
      </c>
      <c r="O108" s="1786">
        <f t="shared" si="79"/>
        <v>2665.4651483276407</v>
      </c>
      <c r="P108" s="1786">
        <f t="shared" si="79"/>
        <v>2666.4980356570368</v>
      </c>
      <c r="Q108" s="1786">
        <f t="shared" si="79"/>
        <v>2667.5313232378617</v>
      </c>
      <c r="R108" s="1786">
        <f t="shared" si="79"/>
        <v>2668.5650112252169</v>
      </c>
      <c r="S108" s="1786">
        <f t="shared" si="79"/>
        <v>2669.5990997742624</v>
      </c>
      <c r="T108" s="1786">
        <f t="shared" si="79"/>
        <v>2670.6335890402179</v>
      </c>
      <c r="U108" s="598"/>
      <c r="V108" s="598"/>
      <c r="W108" s="2456"/>
    </row>
    <row r="109" spans="2:23" ht="14.25" thickBot="1" x14ac:dyDescent="0.3">
      <c r="B109" s="2455">
        <v>27</v>
      </c>
      <c r="C109" s="1757" t="s">
        <v>1975</v>
      </c>
      <c r="D109" s="1786">
        <f t="shared" ref="D109:T109" si="80">D217*D$238*$V217</f>
        <v>442.35496000000001</v>
      </c>
      <c r="E109" s="1786">
        <f t="shared" si="80"/>
        <v>442.5263757971889</v>
      </c>
      <c r="F109" s="1786">
        <f t="shared" si="80"/>
        <v>442.69785801925849</v>
      </c>
      <c r="G109" s="1786">
        <f t="shared" si="80"/>
        <v>442.86940669194922</v>
      </c>
      <c r="H109" s="1786">
        <f t="shared" si="80"/>
        <v>443.04102184101106</v>
      </c>
      <c r="I109" s="1786">
        <f t="shared" si="80"/>
        <v>443.21270349220401</v>
      </c>
      <c r="J109" s="1786">
        <f t="shared" si="80"/>
        <v>443.38445167129834</v>
      </c>
      <c r="K109" s="1786">
        <f t="shared" si="80"/>
        <v>443.55626640407388</v>
      </c>
      <c r="L109" s="1786">
        <f t="shared" si="80"/>
        <v>443.72814771632079</v>
      </c>
      <c r="M109" s="1786">
        <f t="shared" si="80"/>
        <v>443.90009563383899</v>
      </c>
      <c r="N109" s="1786">
        <f t="shared" si="80"/>
        <v>444.07211018243879</v>
      </c>
      <c r="O109" s="1786">
        <f t="shared" si="80"/>
        <v>444.24419138794013</v>
      </c>
      <c r="P109" s="1786">
        <f t="shared" si="80"/>
        <v>444.41633927617278</v>
      </c>
      <c r="Q109" s="1786">
        <f t="shared" si="80"/>
        <v>444.588553872977</v>
      </c>
      <c r="R109" s="1786">
        <f t="shared" si="80"/>
        <v>444.76083520420281</v>
      </c>
      <c r="S109" s="1786">
        <f t="shared" si="80"/>
        <v>444.93318329571042</v>
      </c>
      <c r="T109" s="1786">
        <f t="shared" si="80"/>
        <v>445.10559817336963</v>
      </c>
      <c r="U109" s="598"/>
      <c r="V109" s="598"/>
      <c r="W109" s="2456"/>
    </row>
    <row r="110" spans="2:23" ht="14.25" thickBot="1" x14ac:dyDescent="0.3">
      <c r="B110" s="2455"/>
      <c r="C110" s="2600" t="s">
        <v>427</v>
      </c>
      <c r="D110" s="2598"/>
      <c r="E110" s="2598"/>
      <c r="F110" s="2598"/>
      <c r="G110" s="2598"/>
      <c r="H110" s="2598"/>
      <c r="I110" s="2598"/>
      <c r="J110" s="2598"/>
      <c r="K110" s="2598"/>
      <c r="L110" s="2598"/>
      <c r="M110" s="2598"/>
      <c r="N110" s="2598"/>
      <c r="O110" s="2598"/>
      <c r="P110" s="2598"/>
      <c r="Q110" s="2598"/>
      <c r="R110" s="2598"/>
      <c r="S110" s="2598"/>
      <c r="T110" s="2598"/>
      <c r="U110" s="598"/>
      <c r="V110" s="598"/>
      <c r="W110" s="2456"/>
    </row>
    <row r="111" spans="2:23" ht="14.25" thickBot="1" x14ac:dyDescent="0.3">
      <c r="B111" s="2455">
        <v>28</v>
      </c>
      <c r="C111" s="1757" t="s">
        <v>1777</v>
      </c>
      <c r="D111" s="1786" t="e">
        <f t="shared" ref="D111:T111" si="81">D219*D$238*$V219</f>
        <v>#DIV/0!</v>
      </c>
      <c r="E111" s="1786" t="e">
        <f t="shared" si="81"/>
        <v>#DIV/0!</v>
      </c>
      <c r="F111" s="1786" t="e">
        <f t="shared" si="81"/>
        <v>#DIV/0!</v>
      </c>
      <c r="G111" s="1786" t="e">
        <f t="shared" si="81"/>
        <v>#DIV/0!</v>
      </c>
      <c r="H111" s="1786" t="e">
        <f t="shared" si="81"/>
        <v>#DIV/0!</v>
      </c>
      <c r="I111" s="1786" t="e">
        <f t="shared" si="81"/>
        <v>#DIV/0!</v>
      </c>
      <c r="J111" s="1786" t="e">
        <f t="shared" si="81"/>
        <v>#DIV/0!</v>
      </c>
      <c r="K111" s="1786" t="e">
        <f t="shared" si="81"/>
        <v>#DIV/0!</v>
      </c>
      <c r="L111" s="1786" t="e">
        <f t="shared" si="81"/>
        <v>#DIV/0!</v>
      </c>
      <c r="M111" s="1786" t="e">
        <f t="shared" si="81"/>
        <v>#DIV/0!</v>
      </c>
      <c r="N111" s="1786" t="e">
        <f t="shared" si="81"/>
        <v>#DIV/0!</v>
      </c>
      <c r="O111" s="1786" t="e">
        <f t="shared" si="81"/>
        <v>#DIV/0!</v>
      </c>
      <c r="P111" s="1786" t="e">
        <f t="shared" si="81"/>
        <v>#DIV/0!</v>
      </c>
      <c r="Q111" s="1786" t="e">
        <f t="shared" si="81"/>
        <v>#DIV/0!</v>
      </c>
      <c r="R111" s="1786" t="e">
        <f t="shared" si="81"/>
        <v>#DIV/0!</v>
      </c>
      <c r="S111" s="1786" t="e">
        <f t="shared" si="81"/>
        <v>#DIV/0!</v>
      </c>
      <c r="T111" s="1786" t="e">
        <f t="shared" si="81"/>
        <v>#DIV/0!</v>
      </c>
      <c r="U111" s="598"/>
      <c r="V111" s="598"/>
      <c r="W111" s="2456"/>
    </row>
    <row r="112" spans="2:23" ht="14.25" thickBot="1" x14ac:dyDescent="0.3">
      <c r="B112" s="2455">
        <v>29</v>
      </c>
      <c r="C112" s="1757" t="s">
        <v>1778</v>
      </c>
      <c r="D112" s="1786" t="e">
        <f t="shared" ref="D112:T112" si="82">D220*D$238*$V220</f>
        <v>#DIV/0!</v>
      </c>
      <c r="E112" s="1786" t="e">
        <f t="shared" si="82"/>
        <v>#DIV/0!</v>
      </c>
      <c r="F112" s="1786" t="e">
        <f t="shared" si="82"/>
        <v>#DIV/0!</v>
      </c>
      <c r="G112" s="1786" t="e">
        <f t="shared" si="82"/>
        <v>#DIV/0!</v>
      </c>
      <c r="H112" s="1786" t="e">
        <f t="shared" si="82"/>
        <v>#DIV/0!</v>
      </c>
      <c r="I112" s="1786" t="e">
        <f t="shared" si="82"/>
        <v>#DIV/0!</v>
      </c>
      <c r="J112" s="1786" t="e">
        <f t="shared" si="82"/>
        <v>#DIV/0!</v>
      </c>
      <c r="K112" s="1786" t="e">
        <f t="shared" si="82"/>
        <v>#DIV/0!</v>
      </c>
      <c r="L112" s="1786" t="e">
        <f t="shared" si="82"/>
        <v>#DIV/0!</v>
      </c>
      <c r="M112" s="1786" t="e">
        <f t="shared" si="82"/>
        <v>#DIV/0!</v>
      </c>
      <c r="N112" s="1786" t="e">
        <f t="shared" si="82"/>
        <v>#DIV/0!</v>
      </c>
      <c r="O112" s="1786" t="e">
        <f t="shared" si="82"/>
        <v>#DIV/0!</v>
      </c>
      <c r="P112" s="1786" t="e">
        <f t="shared" si="82"/>
        <v>#DIV/0!</v>
      </c>
      <c r="Q112" s="1786" t="e">
        <f t="shared" si="82"/>
        <v>#DIV/0!</v>
      </c>
      <c r="R112" s="1786" t="e">
        <f t="shared" si="82"/>
        <v>#DIV/0!</v>
      </c>
      <c r="S112" s="1786" t="e">
        <f t="shared" si="82"/>
        <v>#DIV/0!</v>
      </c>
      <c r="T112" s="1786" t="e">
        <f t="shared" si="82"/>
        <v>#DIV/0!</v>
      </c>
      <c r="U112" s="598"/>
      <c r="V112" s="598"/>
      <c r="W112" s="2456"/>
    </row>
    <row r="113" spans="2:23" ht="14.25" thickBot="1" x14ac:dyDescent="0.3">
      <c r="B113" s="2455">
        <v>30</v>
      </c>
      <c r="C113" s="1757" t="s">
        <v>1779</v>
      </c>
      <c r="D113" s="1786" t="e">
        <f t="shared" ref="D113:T113" si="83">D221*D$238*$V221</f>
        <v>#DIV/0!</v>
      </c>
      <c r="E113" s="1786" t="e">
        <f t="shared" si="83"/>
        <v>#DIV/0!</v>
      </c>
      <c r="F113" s="1786" t="e">
        <f t="shared" si="83"/>
        <v>#DIV/0!</v>
      </c>
      <c r="G113" s="1786" t="e">
        <f t="shared" si="83"/>
        <v>#DIV/0!</v>
      </c>
      <c r="H113" s="1786" t="e">
        <f t="shared" si="83"/>
        <v>#DIV/0!</v>
      </c>
      <c r="I113" s="1786" t="e">
        <f t="shared" si="83"/>
        <v>#DIV/0!</v>
      </c>
      <c r="J113" s="1786" t="e">
        <f t="shared" si="83"/>
        <v>#DIV/0!</v>
      </c>
      <c r="K113" s="1786" t="e">
        <f t="shared" si="83"/>
        <v>#DIV/0!</v>
      </c>
      <c r="L113" s="1786" t="e">
        <f t="shared" si="83"/>
        <v>#DIV/0!</v>
      </c>
      <c r="M113" s="1786" t="e">
        <f t="shared" si="83"/>
        <v>#DIV/0!</v>
      </c>
      <c r="N113" s="1786" t="e">
        <f t="shared" si="83"/>
        <v>#DIV/0!</v>
      </c>
      <c r="O113" s="1786" t="e">
        <f t="shared" si="83"/>
        <v>#DIV/0!</v>
      </c>
      <c r="P113" s="1786" t="e">
        <f t="shared" si="83"/>
        <v>#DIV/0!</v>
      </c>
      <c r="Q113" s="1786" t="e">
        <f t="shared" si="83"/>
        <v>#DIV/0!</v>
      </c>
      <c r="R113" s="1786" t="e">
        <f t="shared" si="83"/>
        <v>#DIV/0!</v>
      </c>
      <c r="S113" s="1786" t="e">
        <f t="shared" si="83"/>
        <v>#DIV/0!</v>
      </c>
      <c r="T113" s="1786" t="e">
        <f t="shared" si="83"/>
        <v>#DIV/0!</v>
      </c>
      <c r="U113" s="598"/>
      <c r="V113" s="598"/>
      <c r="W113" s="2456"/>
    </row>
    <row r="114" spans="2:23" ht="14.25" thickBot="1" x14ac:dyDescent="0.3">
      <c r="B114" s="2455">
        <v>31</v>
      </c>
      <c r="C114" s="1757" t="s">
        <v>1976</v>
      </c>
      <c r="D114" s="1786">
        <f t="shared" ref="D114:T114" si="84">D222*D$238*$V222</f>
        <v>88.47099200000001</v>
      </c>
      <c r="E114" s="1786">
        <f t="shared" si="84"/>
        <v>88.505275159437787</v>
      </c>
      <c r="F114" s="1786">
        <f t="shared" si="84"/>
        <v>88.539571603851698</v>
      </c>
      <c r="G114" s="1786">
        <f t="shared" si="84"/>
        <v>88.573881338389839</v>
      </c>
      <c r="H114" s="1786">
        <f t="shared" si="84"/>
        <v>88.608204368202209</v>
      </c>
      <c r="I114" s="1786">
        <f t="shared" si="84"/>
        <v>88.642540698440797</v>
      </c>
      <c r="J114" s="1786">
        <f t="shared" si="84"/>
        <v>88.676890334259667</v>
      </c>
      <c r="K114" s="1786">
        <f t="shared" si="84"/>
        <v>88.711253280814773</v>
      </c>
      <c r="L114" s="1786">
        <f t="shared" si="84"/>
        <v>88.745629543264158</v>
      </c>
      <c r="M114" s="1786">
        <f t="shared" si="84"/>
        <v>88.780019126767797</v>
      </c>
      <c r="N114" s="1786">
        <f t="shared" si="84"/>
        <v>88.814422036487755</v>
      </c>
      <c r="O114" s="1786">
        <f t="shared" si="84"/>
        <v>88.848838277588015</v>
      </c>
      <c r="P114" s="1786">
        <f t="shared" si="84"/>
        <v>88.88326785523455</v>
      </c>
      <c r="Q114" s="1786">
        <f t="shared" si="84"/>
        <v>88.917710774595392</v>
      </c>
      <c r="R114" s="1786">
        <f t="shared" si="84"/>
        <v>88.952167040840564</v>
      </c>
      <c r="S114" s="1786">
        <f t="shared" si="84"/>
        <v>88.986636659142079</v>
      </c>
      <c r="T114" s="1786">
        <f t="shared" si="84"/>
        <v>89.021119634673923</v>
      </c>
      <c r="U114" s="598"/>
      <c r="V114" s="598"/>
      <c r="W114" s="2456"/>
    </row>
    <row r="115" spans="2:23" ht="14.25" thickBot="1" x14ac:dyDescent="0.3">
      <c r="B115" s="2455">
        <v>32</v>
      </c>
      <c r="C115" s="1757" t="s">
        <v>1977</v>
      </c>
      <c r="D115" s="1786" t="e">
        <f t="shared" ref="D115:T115" si="85">D223*D$238*$V223</f>
        <v>#DIV/0!</v>
      </c>
      <c r="E115" s="1786" t="e">
        <f t="shared" si="85"/>
        <v>#DIV/0!</v>
      </c>
      <c r="F115" s="1786" t="e">
        <f t="shared" si="85"/>
        <v>#DIV/0!</v>
      </c>
      <c r="G115" s="1786" t="e">
        <f t="shared" si="85"/>
        <v>#DIV/0!</v>
      </c>
      <c r="H115" s="1786" t="e">
        <f t="shared" si="85"/>
        <v>#DIV/0!</v>
      </c>
      <c r="I115" s="1786" t="e">
        <f t="shared" si="85"/>
        <v>#DIV/0!</v>
      </c>
      <c r="J115" s="1786" t="e">
        <f t="shared" si="85"/>
        <v>#DIV/0!</v>
      </c>
      <c r="K115" s="1786" t="e">
        <f t="shared" si="85"/>
        <v>#DIV/0!</v>
      </c>
      <c r="L115" s="1786" t="e">
        <f t="shared" si="85"/>
        <v>#DIV/0!</v>
      </c>
      <c r="M115" s="1786" t="e">
        <f t="shared" si="85"/>
        <v>#DIV/0!</v>
      </c>
      <c r="N115" s="1786" t="e">
        <f t="shared" si="85"/>
        <v>#DIV/0!</v>
      </c>
      <c r="O115" s="1786" t="e">
        <f t="shared" si="85"/>
        <v>#DIV/0!</v>
      </c>
      <c r="P115" s="1786" t="e">
        <f t="shared" si="85"/>
        <v>#DIV/0!</v>
      </c>
      <c r="Q115" s="1786" t="e">
        <f t="shared" si="85"/>
        <v>#DIV/0!</v>
      </c>
      <c r="R115" s="1786" t="e">
        <f t="shared" si="85"/>
        <v>#DIV/0!</v>
      </c>
      <c r="S115" s="1786" t="e">
        <f t="shared" si="85"/>
        <v>#DIV/0!</v>
      </c>
      <c r="T115" s="1786" t="e">
        <f t="shared" si="85"/>
        <v>#DIV/0!</v>
      </c>
      <c r="U115" s="598"/>
      <c r="V115" s="598"/>
      <c r="W115" s="2456"/>
    </row>
    <row r="116" spans="2:23" ht="14.25" thickBot="1" x14ac:dyDescent="0.3">
      <c r="B116" s="2455"/>
      <c r="C116" s="2601" t="s">
        <v>1224</v>
      </c>
      <c r="D116" s="2598"/>
      <c r="E116" s="2598"/>
      <c r="F116" s="2598"/>
      <c r="G116" s="2598"/>
      <c r="H116" s="2598"/>
      <c r="I116" s="2598"/>
      <c r="J116" s="2598"/>
      <c r="K116" s="2598"/>
      <c r="L116" s="2598"/>
      <c r="M116" s="2598"/>
      <c r="N116" s="2598"/>
      <c r="O116" s="2598"/>
      <c r="P116" s="2598"/>
      <c r="Q116" s="2598"/>
      <c r="R116" s="2598"/>
      <c r="S116" s="2598"/>
      <c r="T116" s="2598"/>
      <c r="U116" s="598"/>
      <c r="V116" s="598"/>
      <c r="W116" s="2456"/>
    </row>
    <row r="117" spans="2:23" ht="14.25" thickBot="1" x14ac:dyDescent="0.3">
      <c r="B117" s="2455">
        <v>33</v>
      </c>
      <c r="C117" s="1758" t="s">
        <v>1978</v>
      </c>
      <c r="D117" s="1786" t="e">
        <f t="shared" ref="D117:T117" si="86">D225*D$238*$V225</f>
        <v>#DIV/0!</v>
      </c>
      <c r="E117" s="1786" t="e">
        <f t="shared" si="86"/>
        <v>#DIV/0!</v>
      </c>
      <c r="F117" s="1786" t="e">
        <f t="shared" si="86"/>
        <v>#DIV/0!</v>
      </c>
      <c r="G117" s="1786" t="e">
        <f t="shared" si="86"/>
        <v>#DIV/0!</v>
      </c>
      <c r="H117" s="1786" t="e">
        <f t="shared" si="86"/>
        <v>#DIV/0!</v>
      </c>
      <c r="I117" s="1786" t="e">
        <f t="shared" si="86"/>
        <v>#DIV/0!</v>
      </c>
      <c r="J117" s="1786" t="e">
        <f t="shared" si="86"/>
        <v>#DIV/0!</v>
      </c>
      <c r="K117" s="1786" t="e">
        <f t="shared" si="86"/>
        <v>#DIV/0!</v>
      </c>
      <c r="L117" s="1786" t="e">
        <f t="shared" si="86"/>
        <v>#DIV/0!</v>
      </c>
      <c r="M117" s="1786" t="e">
        <f t="shared" si="86"/>
        <v>#DIV/0!</v>
      </c>
      <c r="N117" s="1786" t="e">
        <f t="shared" si="86"/>
        <v>#DIV/0!</v>
      </c>
      <c r="O117" s="1786" t="e">
        <f t="shared" si="86"/>
        <v>#DIV/0!</v>
      </c>
      <c r="P117" s="1786" t="e">
        <f t="shared" si="86"/>
        <v>#DIV/0!</v>
      </c>
      <c r="Q117" s="1786" t="e">
        <f t="shared" si="86"/>
        <v>#DIV/0!</v>
      </c>
      <c r="R117" s="1786" t="e">
        <f t="shared" si="86"/>
        <v>#DIV/0!</v>
      </c>
      <c r="S117" s="1786" t="e">
        <f t="shared" si="86"/>
        <v>#DIV/0!</v>
      </c>
      <c r="T117" s="1786" t="e">
        <f t="shared" si="86"/>
        <v>#DIV/0!</v>
      </c>
      <c r="U117" s="598"/>
      <c r="V117" s="598"/>
      <c r="W117" s="2456"/>
    </row>
    <row r="118" spans="2:23" ht="14.25" thickBot="1" x14ac:dyDescent="0.3">
      <c r="B118" s="2455">
        <v>34</v>
      </c>
      <c r="C118" s="1758" t="s">
        <v>1979</v>
      </c>
      <c r="D118" s="1786" t="e">
        <f t="shared" ref="D118:T118" si="87">D226*D$238*$V226</f>
        <v>#DIV/0!</v>
      </c>
      <c r="E118" s="1786" t="e">
        <f t="shared" si="87"/>
        <v>#DIV/0!</v>
      </c>
      <c r="F118" s="1786" t="e">
        <f t="shared" si="87"/>
        <v>#DIV/0!</v>
      </c>
      <c r="G118" s="1786" t="e">
        <f t="shared" si="87"/>
        <v>#DIV/0!</v>
      </c>
      <c r="H118" s="1786" t="e">
        <f t="shared" si="87"/>
        <v>#DIV/0!</v>
      </c>
      <c r="I118" s="1786" t="e">
        <f t="shared" si="87"/>
        <v>#DIV/0!</v>
      </c>
      <c r="J118" s="1786" t="e">
        <f t="shared" si="87"/>
        <v>#DIV/0!</v>
      </c>
      <c r="K118" s="1786" t="e">
        <f t="shared" si="87"/>
        <v>#DIV/0!</v>
      </c>
      <c r="L118" s="1786" t="e">
        <f t="shared" si="87"/>
        <v>#DIV/0!</v>
      </c>
      <c r="M118" s="1786" t="e">
        <f t="shared" si="87"/>
        <v>#DIV/0!</v>
      </c>
      <c r="N118" s="1786" t="e">
        <f t="shared" si="87"/>
        <v>#DIV/0!</v>
      </c>
      <c r="O118" s="1786" t="e">
        <f t="shared" si="87"/>
        <v>#DIV/0!</v>
      </c>
      <c r="P118" s="1786" t="e">
        <f t="shared" si="87"/>
        <v>#DIV/0!</v>
      </c>
      <c r="Q118" s="1786" t="e">
        <f t="shared" si="87"/>
        <v>#DIV/0!</v>
      </c>
      <c r="R118" s="1786" t="e">
        <f t="shared" si="87"/>
        <v>#DIV/0!</v>
      </c>
      <c r="S118" s="1786" t="e">
        <f t="shared" si="87"/>
        <v>#DIV/0!</v>
      </c>
      <c r="T118" s="1786" t="e">
        <f t="shared" si="87"/>
        <v>#DIV/0!</v>
      </c>
      <c r="U118" s="598"/>
      <c r="V118" s="598"/>
      <c r="W118" s="2456"/>
    </row>
    <row r="119" spans="2:23" ht="14.25" thickBot="1" x14ac:dyDescent="0.3">
      <c r="B119" s="2455">
        <v>35</v>
      </c>
      <c r="C119" s="1758" t="s">
        <v>90</v>
      </c>
      <c r="D119" s="1786" t="e">
        <f t="shared" ref="D119:T119" si="88">D227*D$238*$V227</f>
        <v>#DIV/0!</v>
      </c>
      <c r="E119" s="1786" t="e">
        <f t="shared" si="88"/>
        <v>#DIV/0!</v>
      </c>
      <c r="F119" s="1786" t="e">
        <f t="shared" si="88"/>
        <v>#DIV/0!</v>
      </c>
      <c r="G119" s="1786" t="e">
        <f t="shared" si="88"/>
        <v>#DIV/0!</v>
      </c>
      <c r="H119" s="1786" t="e">
        <f t="shared" si="88"/>
        <v>#DIV/0!</v>
      </c>
      <c r="I119" s="1786" t="e">
        <f t="shared" si="88"/>
        <v>#DIV/0!</v>
      </c>
      <c r="J119" s="1786" t="e">
        <f t="shared" si="88"/>
        <v>#DIV/0!</v>
      </c>
      <c r="K119" s="1786" t="e">
        <f t="shared" si="88"/>
        <v>#DIV/0!</v>
      </c>
      <c r="L119" s="1786" t="e">
        <f t="shared" si="88"/>
        <v>#DIV/0!</v>
      </c>
      <c r="M119" s="1786" t="e">
        <f t="shared" si="88"/>
        <v>#DIV/0!</v>
      </c>
      <c r="N119" s="1786" t="e">
        <f t="shared" si="88"/>
        <v>#DIV/0!</v>
      </c>
      <c r="O119" s="1786" t="e">
        <f t="shared" si="88"/>
        <v>#DIV/0!</v>
      </c>
      <c r="P119" s="1786" t="e">
        <f t="shared" si="88"/>
        <v>#DIV/0!</v>
      </c>
      <c r="Q119" s="1786" t="e">
        <f t="shared" si="88"/>
        <v>#DIV/0!</v>
      </c>
      <c r="R119" s="1786" t="e">
        <f t="shared" si="88"/>
        <v>#DIV/0!</v>
      </c>
      <c r="S119" s="1786" t="e">
        <f t="shared" si="88"/>
        <v>#DIV/0!</v>
      </c>
      <c r="T119" s="1786" t="e">
        <f t="shared" si="88"/>
        <v>#DIV/0!</v>
      </c>
      <c r="U119" s="598"/>
      <c r="V119" s="598"/>
      <c r="W119" s="2456"/>
    </row>
    <row r="120" spans="2:23" ht="14.25" thickBot="1" x14ac:dyDescent="0.3">
      <c r="B120" s="2455">
        <v>36</v>
      </c>
      <c r="C120" s="1758" t="s">
        <v>91</v>
      </c>
      <c r="D120" s="1786">
        <f t="shared" ref="D120:T120" si="89">D228*D$238*$V228</f>
        <v>918.38400000000001</v>
      </c>
      <c r="E120" s="1786">
        <f t="shared" si="89"/>
        <v>918.73988054779693</v>
      </c>
      <c r="F120" s="1786">
        <f t="shared" si="89"/>
        <v>919.09589900192077</v>
      </c>
      <c r="G120" s="1786">
        <f t="shared" si="89"/>
        <v>919.45205541581129</v>
      </c>
      <c r="H120" s="1786">
        <f t="shared" si="89"/>
        <v>919.80834984292937</v>
      </c>
      <c r="I120" s="1786">
        <f t="shared" si="89"/>
        <v>920.16478233675571</v>
      </c>
      <c r="J120" s="1786">
        <f t="shared" si="89"/>
        <v>920.52135295079211</v>
      </c>
      <c r="K120" s="1786">
        <f t="shared" si="89"/>
        <v>920.87806173856166</v>
      </c>
      <c r="L120" s="1786">
        <f t="shared" si="89"/>
        <v>921.23490875360721</v>
      </c>
      <c r="M120" s="1786">
        <f t="shared" si="89"/>
        <v>921.59189404949302</v>
      </c>
      <c r="N120" s="1786">
        <f t="shared" si="89"/>
        <v>921.94901767980377</v>
      </c>
      <c r="O120" s="1786">
        <f t="shared" si="89"/>
        <v>922.30627969814554</v>
      </c>
      <c r="P120" s="1786">
        <f t="shared" si="89"/>
        <v>922.66368015814407</v>
      </c>
      <c r="Q120" s="1786">
        <f t="shared" si="89"/>
        <v>923.02121911344693</v>
      </c>
      <c r="R120" s="1786">
        <f t="shared" si="89"/>
        <v>923.37889661772226</v>
      </c>
      <c r="S120" s="1786">
        <f t="shared" si="89"/>
        <v>923.73671272465822</v>
      </c>
      <c r="T120" s="1786">
        <f t="shared" si="89"/>
        <v>924.09466748796478</v>
      </c>
      <c r="U120" s="598"/>
      <c r="V120" s="598"/>
      <c r="W120" s="2456"/>
    </row>
    <row r="121" spans="2:23" ht="14.25" thickBot="1" x14ac:dyDescent="0.3">
      <c r="B121" s="2455">
        <v>38</v>
      </c>
      <c r="C121" s="1758" t="s">
        <v>1982</v>
      </c>
      <c r="D121" s="1786" t="e">
        <f t="shared" ref="D121:T121" si="90">D230*D$238*$V230</f>
        <v>#DIV/0!</v>
      </c>
      <c r="E121" s="1786" t="e">
        <f t="shared" si="90"/>
        <v>#DIV/0!</v>
      </c>
      <c r="F121" s="1786" t="e">
        <f t="shared" si="90"/>
        <v>#DIV/0!</v>
      </c>
      <c r="G121" s="1786" t="e">
        <f t="shared" si="90"/>
        <v>#DIV/0!</v>
      </c>
      <c r="H121" s="1786" t="e">
        <f t="shared" si="90"/>
        <v>#DIV/0!</v>
      </c>
      <c r="I121" s="1786" t="e">
        <f t="shared" si="90"/>
        <v>#DIV/0!</v>
      </c>
      <c r="J121" s="1786" t="e">
        <f t="shared" si="90"/>
        <v>#DIV/0!</v>
      </c>
      <c r="K121" s="1786" t="e">
        <f t="shared" si="90"/>
        <v>#DIV/0!</v>
      </c>
      <c r="L121" s="1786" t="e">
        <f t="shared" si="90"/>
        <v>#DIV/0!</v>
      </c>
      <c r="M121" s="1786" t="e">
        <f t="shared" si="90"/>
        <v>#DIV/0!</v>
      </c>
      <c r="N121" s="1786" t="e">
        <f t="shared" si="90"/>
        <v>#DIV/0!</v>
      </c>
      <c r="O121" s="1786" t="e">
        <f t="shared" si="90"/>
        <v>#DIV/0!</v>
      </c>
      <c r="P121" s="1786" t="e">
        <f t="shared" si="90"/>
        <v>#DIV/0!</v>
      </c>
      <c r="Q121" s="1786" t="e">
        <f t="shared" si="90"/>
        <v>#DIV/0!</v>
      </c>
      <c r="R121" s="1786" t="e">
        <f t="shared" si="90"/>
        <v>#DIV/0!</v>
      </c>
      <c r="S121" s="1786" t="e">
        <f t="shared" si="90"/>
        <v>#DIV/0!</v>
      </c>
      <c r="T121" s="1786" t="e">
        <f t="shared" si="90"/>
        <v>#DIV/0!</v>
      </c>
      <c r="U121" s="598"/>
      <c r="V121" s="598"/>
      <c r="W121" s="2456"/>
    </row>
    <row r="122" spans="2:23" ht="14.25" thickBot="1" x14ac:dyDescent="0.3">
      <c r="B122" s="2455">
        <v>39</v>
      </c>
      <c r="C122" s="1758" t="s">
        <v>381</v>
      </c>
      <c r="D122" s="1786" t="e">
        <f t="shared" ref="D122:T122" si="91">D231*D$238*$V231</f>
        <v>#DIV/0!</v>
      </c>
      <c r="E122" s="1786" t="e">
        <f t="shared" si="91"/>
        <v>#DIV/0!</v>
      </c>
      <c r="F122" s="1786" t="e">
        <f t="shared" si="91"/>
        <v>#DIV/0!</v>
      </c>
      <c r="G122" s="1786" t="e">
        <f t="shared" si="91"/>
        <v>#DIV/0!</v>
      </c>
      <c r="H122" s="1786" t="e">
        <f t="shared" si="91"/>
        <v>#DIV/0!</v>
      </c>
      <c r="I122" s="1786" t="e">
        <f t="shared" si="91"/>
        <v>#DIV/0!</v>
      </c>
      <c r="J122" s="1786" t="e">
        <f t="shared" si="91"/>
        <v>#DIV/0!</v>
      </c>
      <c r="K122" s="1786" t="e">
        <f t="shared" si="91"/>
        <v>#DIV/0!</v>
      </c>
      <c r="L122" s="1786" t="e">
        <f t="shared" si="91"/>
        <v>#DIV/0!</v>
      </c>
      <c r="M122" s="1786" t="e">
        <f t="shared" si="91"/>
        <v>#DIV/0!</v>
      </c>
      <c r="N122" s="1786" t="e">
        <f t="shared" si="91"/>
        <v>#DIV/0!</v>
      </c>
      <c r="O122" s="1786" t="e">
        <f t="shared" si="91"/>
        <v>#DIV/0!</v>
      </c>
      <c r="P122" s="1786" t="e">
        <f t="shared" si="91"/>
        <v>#DIV/0!</v>
      </c>
      <c r="Q122" s="1786" t="e">
        <f t="shared" si="91"/>
        <v>#DIV/0!</v>
      </c>
      <c r="R122" s="1786" t="e">
        <f t="shared" si="91"/>
        <v>#DIV/0!</v>
      </c>
      <c r="S122" s="1786" t="e">
        <f t="shared" si="91"/>
        <v>#DIV/0!</v>
      </c>
      <c r="T122" s="1786" t="e">
        <f t="shared" si="91"/>
        <v>#DIV/0!</v>
      </c>
      <c r="U122" s="598"/>
      <c r="V122" s="598"/>
      <c r="W122" s="2456"/>
    </row>
    <row r="123" spans="2:23" ht="14.25" thickBot="1" x14ac:dyDescent="0.3">
      <c r="B123" s="2455"/>
      <c r="C123" s="1188" t="s">
        <v>150</v>
      </c>
      <c r="D123" s="1189" t="e">
        <f t="shared" ref="D123:T123" si="92">SUM(D79:D122)</f>
        <v>#DIV/0!</v>
      </c>
      <c r="E123" s="1189" t="e">
        <f t="shared" si="92"/>
        <v>#DIV/0!</v>
      </c>
      <c r="F123" s="1189" t="e">
        <f t="shared" si="92"/>
        <v>#DIV/0!</v>
      </c>
      <c r="G123" s="1189" t="e">
        <f t="shared" si="92"/>
        <v>#DIV/0!</v>
      </c>
      <c r="H123" s="1189" t="e">
        <f t="shared" si="92"/>
        <v>#DIV/0!</v>
      </c>
      <c r="I123" s="1189" t="e">
        <f t="shared" si="92"/>
        <v>#DIV/0!</v>
      </c>
      <c r="J123" s="1189" t="e">
        <f t="shared" si="92"/>
        <v>#DIV/0!</v>
      </c>
      <c r="K123" s="1189" t="e">
        <f t="shared" si="92"/>
        <v>#DIV/0!</v>
      </c>
      <c r="L123" s="1189" t="e">
        <f t="shared" si="92"/>
        <v>#DIV/0!</v>
      </c>
      <c r="M123" s="1189" t="e">
        <f t="shared" si="92"/>
        <v>#DIV/0!</v>
      </c>
      <c r="N123" s="1189" t="e">
        <f t="shared" si="92"/>
        <v>#DIV/0!</v>
      </c>
      <c r="O123" s="1189" t="e">
        <f t="shared" si="92"/>
        <v>#DIV/0!</v>
      </c>
      <c r="P123" s="1189" t="e">
        <f t="shared" si="92"/>
        <v>#DIV/0!</v>
      </c>
      <c r="Q123" s="1189" t="e">
        <f t="shared" si="92"/>
        <v>#DIV/0!</v>
      </c>
      <c r="R123" s="1189" t="e">
        <f t="shared" si="92"/>
        <v>#DIV/0!</v>
      </c>
      <c r="S123" s="1189" t="e">
        <f t="shared" si="92"/>
        <v>#DIV/0!</v>
      </c>
      <c r="T123" s="1190" t="e">
        <f t="shared" si="92"/>
        <v>#DIV/0!</v>
      </c>
      <c r="U123" s="598"/>
      <c r="V123" s="598"/>
      <c r="W123" s="2456"/>
    </row>
    <row r="124" spans="2:23" x14ac:dyDescent="0.25">
      <c r="B124" s="2455"/>
      <c r="C124" s="598" t="s">
        <v>1983</v>
      </c>
      <c r="D124" s="598"/>
      <c r="E124" s="598"/>
      <c r="F124" s="598"/>
      <c r="G124" s="598"/>
      <c r="H124" s="598"/>
      <c r="I124" s="598"/>
      <c r="J124" s="598"/>
      <c r="K124" s="598"/>
      <c r="L124" s="598"/>
      <c r="M124" s="598"/>
      <c r="N124" s="598"/>
      <c r="O124" s="598"/>
      <c r="P124" s="598"/>
      <c r="Q124" s="1174"/>
      <c r="R124" s="1174"/>
      <c r="S124" s="1174"/>
      <c r="T124" s="1174" t="e">
        <f>SUM(G123:T123)</f>
        <v>#DIV/0!</v>
      </c>
      <c r="U124" s="598"/>
      <c r="V124" s="598"/>
      <c r="W124" s="2456"/>
    </row>
    <row r="125" spans="2:23" x14ac:dyDescent="0.25">
      <c r="B125" s="2455"/>
      <c r="C125" s="598"/>
      <c r="D125" s="598"/>
      <c r="E125" s="598"/>
      <c r="F125" s="598"/>
      <c r="G125" s="598"/>
      <c r="H125" s="598"/>
      <c r="I125" s="598"/>
      <c r="J125" s="598"/>
      <c r="K125" s="598"/>
      <c r="L125" s="598"/>
      <c r="M125" s="598"/>
      <c r="N125" s="598"/>
      <c r="O125" s="598"/>
      <c r="P125" s="598"/>
      <c r="Q125" s="598"/>
      <c r="R125" s="598"/>
      <c r="S125" s="598"/>
      <c r="T125" s="598"/>
      <c r="U125" s="598"/>
      <c r="V125" s="598"/>
      <c r="W125" s="2456"/>
    </row>
    <row r="126" spans="2:23" x14ac:dyDescent="0.25">
      <c r="B126" s="2455"/>
      <c r="C126" s="598"/>
      <c r="D126" s="598"/>
      <c r="E126" s="598"/>
      <c r="F126" s="598"/>
      <c r="G126" s="598"/>
      <c r="H126" s="598"/>
      <c r="I126" s="598"/>
      <c r="J126" s="598"/>
      <c r="K126" s="598"/>
      <c r="L126" s="598"/>
      <c r="M126" s="598"/>
      <c r="N126" s="598"/>
      <c r="O126" s="598"/>
      <c r="P126" s="598"/>
      <c r="Q126" s="598"/>
      <c r="R126" s="598"/>
      <c r="S126" s="598"/>
      <c r="T126" s="598"/>
      <c r="U126" s="598"/>
      <c r="V126" s="598"/>
      <c r="W126" s="2456"/>
    </row>
    <row r="127" spans="2:23" x14ac:dyDescent="0.25">
      <c r="B127" s="2455"/>
      <c r="C127" s="4897" t="s">
        <v>4194</v>
      </c>
      <c r="D127" s="4465"/>
      <c r="E127" s="4465"/>
      <c r="F127" s="4465"/>
      <c r="G127" s="4465"/>
      <c r="H127" s="4465"/>
      <c r="I127" s="4465"/>
      <c r="J127" s="4465"/>
      <c r="K127" s="4465"/>
      <c r="L127" s="4465"/>
      <c r="M127" s="4465"/>
      <c r="N127" s="4465"/>
      <c r="O127" s="4465"/>
      <c r="P127" s="4465"/>
      <c r="Q127" s="4465"/>
      <c r="R127" s="4465"/>
      <c r="S127" s="4465"/>
      <c r="T127" s="4465"/>
      <c r="U127" s="598"/>
      <c r="V127" s="598"/>
      <c r="W127" s="2456"/>
    </row>
    <row r="128" spans="2:23" x14ac:dyDescent="0.25">
      <c r="B128" s="2455"/>
      <c r="C128" s="4897"/>
      <c r="D128" s="4465"/>
      <c r="E128" s="4465"/>
      <c r="F128" s="4465"/>
      <c r="G128" s="4465"/>
      <c r="H128" s="4465"/>
      <c r="I128" s="4465"/>
      <c r="J128" s="4465"/>
      <c r="K128" s="4465"/>
      <c r="L128" s="4465"/>
      <c r="M128" s="4465"/>
      <c r="N128" s="4465"/>
      <c r="O128" s="4465"/>
      <c r="P128" s="4465"/>
      <c r="Q128" s="4465"/>
      <c r="R128" s="4465"/>
      <c r="S128" s="4465"/>
      <c r="T128" s="4465"/>
      <c r="U128" s="598"/>
      <c r="V128" s="598"/>
      <c r="W128" s="2456"/>
    </row>
    <row r="129" spans="2:23" ht="14.25" thickBot="1" x14ac:dyDescent="0.3">
      <c r="B129" s="2455"/>
      <c r="C129" s="1159"/>
      <c r="D129" s="1160"/>
      <c r="E129" s="1160"/>
      <c r="F129" s="1160"/>
      <c r="G129" s="1160"/>
      <c r="H129" s="1160"/>
      <c r="I129" s="1160"/>
      <c r="J129" s="1160"/>
      <c r="K129" s="1160"/>
      <c r="L129" s="1160"/>
      <c r="M129" s="1160"/>
      <c r="N129" s="1160"/>
      <c r="O129" s="1160"/>
      <c r="P129" s="1160"/>
      <c r="Q129" s="1160"/>
      <c r="R129" s="1160"/>
      <c r="S129" s="1160"/>
      <c r="T129" s="1160"/>
      <c r="U129" s="598"/>
      <c r="V129" s="598"/>
      <c r="W129" s="2456"/>
    </row>
    <row r="130" spans="2:23" ht="14.25" thickBot="1" x14ac:dyDescent="0.3">
      <c r="B130" s="2455"/>
      <c r="C130" s="4460" t="s">
        <v>418</v>
      </c>
      <c r="D130" s="1756" t="s">
        <v>1960</v>
      </c>
      <c r="E130" s="1756" t="s">
        <v>1960</v>
      </c>
      <c r="F130" s="1756" t="s">
        <v>1961</v>
      </c>
      <c r="G130" s="1756" t="s">
        <v>1962</v>
      </c>
      <c r="H130" s="1756" t="s">
        <v>1963</v>
      </c>
      <c r="I130" s="1756" t="s">
        <v>2001</v>
      </c>
      <c r="J130" s="1756" t="s">
        <v>2002</v>
      </c>
      <c r="K130" s="1756" t="s">
        <v>2003</v>
      </c>
      <c r="L130" s="1756" t="s">
        <v>2004</v>
      </c>
      <c r="M130" s="1756" t="s">
        <v>2005</v>
      </c>
      <c r="N130" s="1756" t="s">
        <v>2006</v>
      </c>
      <c r="O130" s="1756" t="s">
        <v>2007</v>
      </c>
      <c r="P130" s="1756" t="s">
        <v>2008</v>
      </c>
      <c r="Q130" s="1756" t="s">
        <v>2009</v>
      </c>
      <c r="R130" s="1756" t="s">
        <v>2010</v>
      </c>
      <c r="S130" s="1756" t="s">
        <v>2011</v>
      </c>
      <c r="T130" s="1747" t="s">
        <v>2012</v>
      </c>
      <c r="U130" s="598"/>
      <c r="V130" s="598"/>
      <c r="W130" s="2456"/>
    </row>
    <row r="131" spans="2:23" ht="14.25" thickBot="1" x14ac:dyDescent="0.3">
      <c r="B131" s="2455"/>
      <c r="C131" s="4461"/>
      <c r="D131" s="1605">
        <v>2018</v>
      </c>
      <c r="E131" s="1605">
        <f t="shared" ref="E131:R131" si="93">+D131+1</f>
        <v>2019</v>
      </c>
      <c r="F131" s="1605">
        <f t="shared" si="93"/>
        <v>2020</v>
      </c>
      <c r="G131" s="1605">
        <f t="shared" si="93"/>
        <v>2021</v>
      </c>
      <c r="H131" s="1605">
        <f t="shared" si="93"/>
        <v>2022</v>
      </c>
      <c r="I131" s="1605">
        <f t="shared" si="93"/>
        <v>2023</v>
      </c>
      <c r="J131" s="1605">
        <f t="shared" si="93"/>
        <v>2024</v>
      </c>
      <c r="K131" s="1605">
        <f t="shared" si="93"/>
        <v>2025</v>
      </c>
      <c r="L131" s="1605">
        <f t="shared" si="93"/>
        <v>2026</v>
      </c>
      <c r="M131" s="1605">
        <f t="shared" si="93"/>
        <v>2027</v>
      </c>
      <c r="N131" s="1605">
        <f t="shared" si="93"/>
        <v>2028</v>
      </c>
      <c r="O131" s="1605">
        <f t="shared" si="93"/>
        <v>2029</v>
      </c>
      <c r="P131" s="1605">
        <f t="shared" si="93"/>
        <v>2030</v>
      </c>
      <c r="Q131" s="1605">
        <f t="shared" si="93"/>
        <v>2031</v>
      </c>
      <c r="R131" s="1605">
        <f t="shared" si="93"/>
        <v>2032</v>
      </c>
      <c r="S131" s="1605">
        <f>+R131+1</f>
        <v>2033</v>
      </c>
      <c r="T131" s="1184">
        <f>+S131+1</f>
        <v>2034</v>
      </c>
      <c r="U131" s="598"/>
      <c r="V131" s="598"/>
      <c r="W131" s="2456"/>
    </row>
    <row r="132" spans="2:23" ht="14.25" thickBot="1" x14ac:dyDescent="0.3">
      <c r="B132" s="2455"/>
      <c r="C132" s="2597" t="s">
        <v>71</v>
      </c>
      <c r="D132" s="2598"/>
      <c r="E132" s="2598"/>
      <c r="F132" s="2598"/>
      <c r="G132" s="2598"/>
      <c r="H132" s="2598"/>
      <c r="I132" s="2598"/>
      <c r="J132" s="2598"/>
      <c r="K132" s="2598"/>
      <c r="L132" s="2598"/>
      <c r="M132" s="2598"/>
      <c r="N132" s="2598"/>
      <c r="O132" s="2598"/>
      <c r="P132" s="2598"/>
      <c r="Q132" s="2598"/>
      <c r="R132" s="2598"/>
      <c r="S132" s="2598"/>
      <c r="T132" s="2598"/>
      <c r="U132" s="598"/>
      <c r="V132" s="598"/>
      <c r="W132" s="2456"/>
    </row>
    <row r="133" spans="2:23" ht="14.25" thickBot="1" x14ac:dyDescent="0.3">
      <c r="B133" s="2455">
        <v>1</v>
      </c>
      <c r="C133" s="1758" t="s">
        <v>1298</v>
      </c>
      <c r="D133" s="1786">
        <f t="shared" ref="D133:T133" si="94">D188*D$235*$U188</f>
        <v>4937.6124683780572</v>
      </c>
      <c r="E133" s="1786">
        <f t="shared" si="94"/>
        <v>4975.7281769532538</v>
      </c>
      <c r="F133" s="1786">
        <f t="shared" si="94"/>
        <v>5013.8726843212135</v>
      </c>
      <c r="G133" s="1786">
        <f t="shared" si="94"/>
        <v>5052.046007077899</v>
      </c>
      <c r="H133" s="1786">
        <f t="shared" si="94"/>
        <v>5090.2481618278043</v>
      </c>
      <c r="I133" s="1786">
        <f t="shared" si="94"/>
        <v>5128.479165183966</v>
      </c>
      <c r="J133" s="1786">
        <f t="shared" si="94"/>
        <v>5166.739033767969</v>
      </c>
      <c r="K133" s="1786">
        <f t="shared" si="94"/>
        <v>5205.0277842099495</v>
      </c>
      <c r="L133" s="1786">
        <f t="shared" si="94"/>
        <v>5243.3454331485937</v>
      </c>
      <c r="M133" s="1786">
        <f t="shared" si="94"/>
        <v>5281.6919972311489</v>
      </c>
      <c r="N133" s="1786">
        <f t="shared" si="94"/>
        <v>5320.0674931134208</v>
      </c>
      <c r="O133" s="1786">
        <f t="shared" si="94"/>
        <v>5358.4719374597898</v>
      </c>
      <c r="P133" s="1786">
        <f t="shared" si="94"/>
        <v>5396.9053469431992</v>
      </c>
      <c r="Q133" s="1786">
        <f t="shared" si="94"/>
        <v>5435.3677382451697</v>
      </c>
      <c r="R133" s="1786">
        <f t="shared" si="94"/>
        <v>5473.8591280558003</v>
      </c>
      <c r="S133" s="1786">
        <f t="shared" si="94"/>
        <v>5512.3795330737748</v>
      </c>
      <c r="T133" s="1786">
        <f t="shared" si="94"/>
        <v>5550.9289700063646</v>
      </c>
      <c r="U133" s="598"/>
      <c r="V133" s="598"/>
      <c r="W133" s="2456"/>
    </row>
    <row r="134" spans="2:23" ht="27.75" thickBot="1" x14ac:dyDescent="0.3">
      <c r="B134" s="2455">
        <v>2</v>
      </c>
      <c r="C134" s="1758" t="s">
        <v>1300</v>
      </c>
      <c r="D134" s="1786">
        <f t="shared" ref="D134:T134" si="95">D189*D$235*$U189</f>
        <v>0</v>
      </c>
      <c r="E134" s="1786">
        <f t="shared" si="95"/>
        <v>0</v>
      </c>
      <c r="F134" s="1786">
        <f t="shared" si="95"/>
        <v>0</v>
      </c>
      <c r="G134" s="1786">
        <f t="shared" si="95"/>
        <v>0</v>
      </c>
      <c r="H134" s="1786">
        <f t="shared" si="95"/>
        <v>0</v>
      </c>
      <c r="I134" s="1786">
        <f t="shared" si="95"/>
        <v>0</v>
      </c>
      <c r="J134" s="1786">
        <f t="shared" si="95"/>
        <v>0</v>
      </c>
      <c r="K134" s="1786">
        <f t="shared" si="95"/>
        <v>0</v>
      </c>
      <c r="L134" s="1786">
        <f t="shared" si="95"/>
        <v>0</v>
      </c>
      <c r="M134" s="1786">
        <f t="shared" si="95"/>
        <v>0</v>
      </c>
      <c r="N134" s="1786">
        <f t="shared" si="95"/>
        <v>0</v>
      </c>
      <c r="O134" s="1786">
        <f t="shared" si="95"/>
        <v>0</v>
      </c>
      <c r="P134" s="1786">
        <f t="shared" si="95"/>
        <v>0</v>
      </c>
      <c r="Q134" s="1786">
        <f t="shared" si="95"/>
        <v>0</v>
      </c>
      <c r="R134" s="1786">
        <f t="shared" si="95"/>
        <v>0</v>
      </c>
      <c r="S134" s="1786">
        <f t="shared" si="95"/>
        <v>0</v>
      </c>
      <c r="T134" s="1786">
        <f t="shared" si="95"/>
        <v>0</v>
      </c>
      <c r="U134" s="598"/>
      <c r="V134" s="598"/>
      <c r="W134" s="2456"/>
    </row>
    <row r="135" spans="2:23" ht="27.75" thickBot="1" x14ac:dyDescent="0.3">
      <c r="B135" s="2455">
        <v>3</v>
      </c>
      <c r="C135" s="1758" t="s">
        <v>1965</v>
      </c>
      <c r="D135" s="1786" t="e">
        <f t="shared" ref="D135:T135" si="96">D190*D$235*$U190</f>
        <v>#DIV/0!</v>
      </c>
      <c r="E135" s="1786" t="e">
        <f t="shared" si="96"/>
        <v>#DIV/0!</v>
      </c>
      <c r="F135" s="1786" t="e">
        <f t="shared" si="96"/>
        <v>#DIV/0!</v>
      </c>
      <c r="G135" s="1786" t="e">
        <f t="shared" si="96"/>
        <v>#DIV/0!</v>
      </c>
      <c r="H135" s="1786" t="e">
        <f t="shared" si="96"/>
        <v>#DIV/0!</v>
      </c>
      <c r="I135" s="1786" t="e">
        <f t="shared" si="96"/>
        <v>#DIV/0!</v>
      </c>
      <c r="J135" s="1786" t="e">
        <f t="shared" si="96"/>
        <v>#DIV/0!</v>
      </c>
      <c r="K135" s="1786" t="e">
        <f t="shared" si="96"/>
        <v>#DIV/0!</v>
      </c>
      <c r="L135" s="1786" t="e">
        <f t="shared" si="96"/>
        <v>#DIV/0!</v>
      </c>
      <c r="M135" s="1786" t="e">
        <f t="shared" si="96"/>
        <v>#DIV/0!</v>
      </c>
      <c r="N135" s="1786" t="e">
        <f t="shared" si="96"/>
        <v>#DIV/0!</v>
      </c>
      <c r="O135" s="1786" t="e">
        <f t="shared" si="96"/>
        <v>#DIV/0!</v>
      </c>
      <c r="P135" s="1786" t="e">
        <f t="shared" si="96"/>
        <v>#DIV/0!</v>
      </c>
      <c r="Q135" s="1786" t="e">
        <f t="shared" si="96"/>
        <v>#DIV/0!</v>
      </c>
      <c r="R135" s="1786" t="e">
        <f t="shared" si="96"/>
        <v>#DIV/0!</v>
      </c>
      <c r="S135" s="1786" t="e">
        <f t="shared" si="96"/>
        <v>#DIV/0!</v>
      </c>
      <c r="T135" s="1786" t="e">
        <f t="shared" si="96"/>
        <v>#DIV/0!</v>
      </c>
      <c r="U135" s="598"/>
      <c r="V135" s="598"/>
      <c r="W135" s="2456"/>
    </row>
    <row r="136" spans="2:23" ht="27.75" thickBot="1" x14ac:dyDescent="0.3">
      <c r="B136" s="2455">
        <v>4</v>
      </c>
      <c r="C136" s="1758" t="s">
        <v>1967</v>
      </c>
      <c r="D136" s="1786">
        <f t="shared" ref="D136:T136" si="97">D191*D$235*$U191</f>
        <v>2747.4906637972313</v>
      </c>
      <c r="E136" s="1786">
        <f t="shared" si="97"/>
        <v>2768.6998117660196</v>
      </c>
      <c r="F136" s="1786">
        <f t="shared" si="97"/>
        <v>2789.9249845676113</v>
      </c>
      <c r="G136" s="1786">
        <f t="shared" si="97"/>
        <v>2811.1661914366791</v>
      </c>
      <c r="H136" s="1786">
        <f t="shared" si="97"/>
        <v>2832.4234416126496</v>
      </c>
      <c r="I136" s="1786">
        <f t="shared" si="97"/>
        <v>2853.696744339697</v>
      </c>
      <c r="J136" s="1786">
        <f t="shared" si="97"/>
        <v>2874.9861088667571</v>
      </c>
      <c r="K136" s="1786">
        <f t="shared" si="97"/>
        <v>2896.2915444475207</v>
      </c>
      <c r="L136" s="1786">
        <f t="shared" si="97"/>
        <v>2917.6130603404372</v>
      </c>
      <c r="M136" s="1786">
        <f t="shared" si="97"/>
        <v>2938.9506658087198</v>
      </c>
      <c r="N136" s="1786">
        <f t="shared" si="97"/>
        <v>2960.3043701203437</v>
      </c>
      <c r="O136" s="1786">
        <f t="shared" si="97"/>
        <v>2981.6741825480544</v>
      </c>
      <c r="P136" s="1786">
        <f t="shared" si="97"/>
        <v>3003.0601123693659</v>
      </c>
      <c r="Q136" s="1786">
        <f t="shared" si="97"/>
        <v>3024.4621688665602</v>
      </c>
      <c r="R136" s="1786">
        <f t="shared" si="97"/>
        <v>3045.8803613266964</v>
      </c>
      <c r="S136" s="1786">
        <f t="shared" si="97"/>
        <v>3067.3146990416076</v>
      </c>
      <c r="T136" s="1786">
        <f t="shared" si="97"/>
        <v>3088.7651913079067</v>
      </c>
      <c r="U136" s="598"/>
      <c r="V136" s="598"/>
      <c r="W136" s="2456"/>
    </row>
    <row r="137" spans="2:23" ht="14.25" thickBot="1" x14ac:dyDescent="0.3">
      <c r="B137" s="2455">
        <v>5</v>
      </c>
      <c r="C137" s="1758" t="s">
        <v>1305</v>
      </c>
      <c r="D137" s="1786" t="e">
        <f t="shared" ref="D137:T137" si="98">D192*D$235*$U192</f>
        <v>#DIV/0!</v>
      </c>
      <c r="E137" s="1786" t="e">
        <f t="shared" si="98"/>
        <v>#DIV/0!</v>
      </c>
      <c r="F137" s="1786" t="e">
        <f t="shared" si="98"/>
        <v>#DIV/0!</v>
      </c>
      <c r="G137" s="1786" t="e">
        <f t="shared" si="98"/>
        <v>#DIV/0!</v>
      </c>
      <c r="H137" s="1786" t="e">
        <f t="shared" si="98"/>
        <v>#DIV/0!</v>
      </c>
      <c r="I137" s="1786" t="e">
        <f t="shared" si="98"/>
        <v>#DIV/0!</v>
      </c>
      <c r="J137" s="1786" t="e">
        <f t="shared" si="98"/>
        <v>#DIV/0!</v>
      </c>
      <c r="K137" s="1786" t="e">
        <f t="shared" si="98"/>
        <v>#DIV/0!</v>
      </c>
      <c r="L137" s="1786" t="e">
        <f t="shared" si="98"/>
        <v>#DIV/0!</v>
      </c>
      <c r="M137" s="1786" t="e">
        <f t="shared" si="98"/>
        <v>#DIV/0!</v>
      </c>
      <c r="N137" s="1786" t="e">
        <f t="shared" si="98"/>
        <v>#DIV/0!</v>
      </c>
      <c r="O137" s="1786" t="e">
        <f t="shared" si="98"/>
        <v>#DIV/0!</v>
      </c>
      <c r="P137" s="1786" t="e">
        <f t="shared" si="98"/>
        <v>#DIV/0!</v>
      </c>
      <c r="Q137" s="1786" t="e">
        <f t="shared" si="98"/>
        <v>#DIV/0!</v>
      </c>
      <c r="R137" s="1786" t="e">
        <f t="shared" si="98"/>
        <v>#DIV/0!</v>
      </c>
      <c r="S137" s="1786" t="e">
        <f t="shared" si="98"/>
        <v>#DIV/0!</v>
      </c>
      <c r="T137" s="1786" t="e">
        <f t="shared" si="98"/>
        <v>#DIV/0!</v>
      </c>
      <c r="U137" s="598"/>
      <c r="V137" s="598"/>
      <c r="W137" s="2456"/>
    </row>
    <row r="138" spans="2:23" ht="14.25" thickBot="1" x14ac:dyDescent="0.3">
      <c r="B138" s="2455"/>
      <c r="C138" s="2599" t="s">
        <v>1225</v>
      </c>
      <c r="D138" s="2598"/>
      <c r="E138" s="2598"/>
      <c r="F138" s="2598"/>
      <c r="G138" s="2598"/>
      <c r="H138" s="2598"/>
      <c r="I138" s="2598"/>
      <c r="J138" s="2598"/>
      <c r="K138" s="2598"/>
      <c r="L138" s="2598"/>
      <c r="M138" s="2598"/>
      <c r="N138" s="2598"/>
      <c r="O138" s="2598"/>
      <c r="P138" s="2598"/>
      <c r="Q138" s="2598"/>
      <c r="R138" s="2598"/>
      <c r="S138" s="2598"/>
      <c r="T138" s="2598"/>
      <c r="U138" s="598"/>
      <c r="V138" s="598"/>
      <c r="W138" s="2456"/>
    </row>
    <row r="139" spans="2:23" ht="14.25" thickBot="1" x14ac:dyDescent="0.3">
      <c r="B139" s="2455">
        <v>6</v>
      </c>
      <c r="C139" s="1758" t="s">
        <v>1226</v>
      </c>
      <c r="D139" s="1786">
        <f t="shared" ref="D139:T139" si="99">D194*D$235*$U194</f>
        <v>2123.156362208224</v>
      </c>
      <c r="E139" s="1786">
        <f t="shared" si="99"/>
        <v>2123.9791008984025</v>
      </c>
      <c r="F139" s="1786">
        <f t="shared" si="99"/>
        <v>2124.8021584058688</v>
      </c>
      <c r="G139" s="1786">
        <f t="shared" si="99"/>
        <v>2125.6255348541663</v>
      </c>
      <c r="H139" s="1786">
        <f t="shared" si="99"/>
        <v>2126.4492303668876</v>
      </c>
      <c r="I139" s="1786">
        <f t="shared" si="99"/>
        <v>2127.2732450676717</v>
      </c>
      <c r="J139" s="1786">
        <f t="shared" si="99"/>
        <v>2128.0975790802067</v>
      </c>
      <c r="K139" s="1786">
        <f t="shared" si="99"/>
        <v>2128.922232528229</v>
      </c>
      <c r="L139" s="1786">
        <f t="shared" si="99"/>
        <v>2129.7472055355206</v>
      </c>
      <c r="M139" s="1786">
        <f t="shared" si="99"/>
        <v>2130.5724982259148</v>
      </c>
      <c r="N139" s="1786">
        <f t="shared" si="99"/>
        <v>2131.3981107232898</v>
      </c>
      <c r="O139" s="1786">
        <f t="shared" si="99"/>
        <v>2132.2240431515738</v>
      </c>
      <c r="P139" s="1786">
        <f t="shared" si="99"/>
        <v>2133.0502956347427</v>
      </c>
      <c r="Q139" s="1786">
        <f t="shared" si="99"/>
        <v>2133.8768682968193</v>
      </c>
      <c r="R139" s="1786">
        <f t="shared" si="99"/>
        <v>2134.7037612618756</v>
      </c>
      <c r="S139" s="1786">
        <f t="shared" si="99"/>
        <v>2135.530974654032</v>
      </c>
      <c r="T139" s="1786">
        <f t="shared" si="99"/>
        <v>2136.3585085974551</v>
      </c>
      <c r="U139" s="598"/>
      <c r="V139" s="598"/>
      <c r="W139" s="2456"/>
    </row>
    <row r="140" spans="2:23" ht="14.25" thickBot="1" x14ac:dyDescent="0.3">
      <c r="B140" s="2455">
        <v>7</v>
      </c>
      <c r="C140" s="1758" t="s">
        <v>414</v>
      </c>
      <c r="D140" s="1786">
        <f t="shared" ref="D140:T140" si="100">D195*D$235*$U195</f>
        <v>922.55880433577602</v>
      </c>
      <c r="E140" s="1786">
        <f t="shared" si="100"/>
        <v>922.91630265092715</v>
      </c>
      <c r="F140" s="1786">
        <f t="shared" si="100"/>
        <v>923.27393949930229</v>
      </c>
      <c r="G140" s="1786">
        <f t="shared" si="100"/>
        <v>923.63171493458367</v>
      </c>
      <c r="H140" s="1786">
        <f t="shared" si="100"/>
        <v>923.98962901047514</v>
      </c>
      <c r="I140" s="1786">
        <f t="shared" si="100"/>
        <v>924.34768178070067</v>
      </c>
      <c r="J140" s="1786">
        <f t="shared" si="100"/>
        <v>924.70587329900548</v>
      </c>
      <c r="K140" s="1786">
        <f t="shared" si="100"/>
        <v>925.06420361915525</v>
      </c>
      <c r="L140" s="1786">
        <f t="shared" si="100"/>
        <v>925.42267279493717</v>
      </c>
      <c r="M140" s="1786">
        <f t="shared" si="100"/>
        <v>925.78128088015842</v>
      </c>
      <c r="N140" s="1786">
        <f t="shared" si="100"/>
        <v>926.14002792864756</v>
      </c>
      <c r="O140" s="1786">
        <f t="shared" si="100"/>
        <v>926.49891399425394</v>
      </c>
      <c r="P140" s="1786">
        <f t="shared" si="100"/>
        <v>926.85793913084751</v>
      </c>
      <c r="Q140" s="1786">
        <f t="shared" si="100"/>
        <v>927.21710339231959</v>
      </c>
      <c r="R140" s="1786">
        <f t="shared" si="100"/>
        <v>927.57640683258182</v>
      </c>
      <c r="S140" s="1786">
        <f t="shared" si="100"/>
        <v>927.93584950556703</v>
      </c>
      <c r="T140" s="1786">
        <f t="shared" si="100"/>
        <v>928.29543146522917</v>
      </c>
      <c r="U140" s="598"/>
      <c r="V140" s="598"/>
      <c r="W140" s="2456"/>
    </row>
    <row r="141" spans="2:23" ht="14.25" thickBot="1" x14ac:dyDescent="0.3">
      <c r="B141" s="2455">
        <v>8</v>
      </c>
      <c r="C141" s="1758" t="s">
        <v>1968</v>
      </c>
      <c r="D141" s="1786">
        <f t="shared" ref="D141:T141" si="101">D196*D$235*$U196</f>
        <v>651.78009736939578</v>
      </c>
      <c r="E141" s="1786">
        <f t="shared" si="101"/>
        <v>652.03266694605963</v>
      </c>
      <c r="F141" s="1786">
        <f t="shared" si="101"/>
        <v>652.28533439529031</v>
      </c>
      <c r="G141" s="1786">
        <f t="shared" si="101"/>
        <v>652.53809975501383</v>
      </c>
      <c r="H141" s="1786">
        <f t="shared" si="101"/>
        <v>652.79096306317149</v>
      </c>
      <c r="I141" s="1786">
        <f t="shared" si="101"/>
        <v>653.04392435771911</v>
      </c>
      <c r="J141" s="1786">
        <f t="shared" si="101"/>
        <v>653.29698367662672</v>
      </c>
      <c r="K141" s="1786">
        <f t="shared" si="101"/>
        <v>653.55014105787996</v>
      </c>
      <c r="L141" s="1786">
        <f t="shared" si="101"/>
        <v>653.80339653947851</v>
      </c>
      <c r="M141" s="1786">
        <f t="shared" si="101"/>
        <v>654.05675015943689</v>
      </c>
      <c r="N141" s="1786">
        <f t="shared" si="101"/>
        <v>654.31020195578446</v>
      </c>
      <c r="O141" s="1786">
        <f t="shared" si="101"/>
        <v>654.56375196656541</v>
      </c>
      <c r="P141" s="1786">
        <f t="shared" si="101"/>
        <v>654.81740022983854</v>
      </c>
      <c r="Q141" s="1786">
        <f t="shared" si="101"/>
        <v>655.07114678367736</v>
      </c>
      <c r="R141" s="1786">
        <f t="shared" si="101"/>
        <v>655.32499166617015</v>
      </c>
      <c r="S141" s="1786">
        <f t="shared" si="101"/>
        <v>655.57893491542006</v>
      </c>
      <c r="T141" s="1786">
        <f t="shared" si="101"/>
        <v>655.83297656954483</v>
      </c>
      <c r="U141" s="598"/>
      <c r="V141" s="598"/>
      <c r="W141" s="2456"/>
    </row>
    <row r="142" spans="2:23" ht="14.25" thickBot="1" x14ac:dyDescent="0.3">
      <c r="B142" s="2455">
        <v>9</v>
      </c>
      <c r="C142" s="1758" t="s">
        <v>1232</v>
      </c>
      <c r="D142" s="1786" t="e">
        <f t="shared" ref="D142:T142" si="102">D197*D$235*$U197</f>
        <v>#DIV/0!</v>
      </c>
      <c r="E142" s="1786" t="e">
        <f t="shared" si="102"/>
        <v>#DIV/0!</v>
      </c>
      <c r="F142" s="1786" t="e">
        <f t="shared" si="102"/>
        <v>#DIV/0!</v>
      </c>
      <c r="G142" s="1786" t="e">
        <f t="shared" si="102"/>
        <v>#DIV/0!</v>
      </c>
      <c r="H142" s="1786" t="e">
        <f t="shared" si="102"/>
        <v>#DIV/0!</v>
      </c>
      <c r="I142" s="1786" t="e">
        <f t="shared" si="102"/>
        <v>#DIV/0!</v>
      </c>
      <c r="J142" s="1786" t="e">
        <f t="shared" si="102"/>
        <v>#DIV/0!</v>
      </c>
      <c r="K142" s="1786" t="e">
        <f t="shared" si="102"/>
        <v>#DIV/0!</v>
      </c>
      <c r="L142" s="1786" t="e">
        <f t="shared" si="102"/>
        <v>#DIV/0!</v>
      </c>
      <c r="M142" s="1786" t="e">
        <f t="shared" si="102"/>
        <v>#DIV/0!</v>
      </c>
      <c r="N142" s="1786" t="e">
        <f t="shared" si="102"/>
        <v>#DIV/0!</v>
      </c>
      <c r="O142" s="1786" t="e">
        <f t="shared" si="102"/>
        <v>#DIV/0!</v>
      </c>
      <c r="P142" s="1786" t="e">
        <f t="shared" si="102"/>
        <v>#DIV/0!</v>
      </c>
      <c r="Q142" s="1786" t="e">
        <f t="shared" si="102"/>
        <v>#DIV/0!</v>
      </c>
      <c r="R142" s="1786" t="e">
        <f t="shared" si="102"/>
        <v>#DIV/0!</v>
      </c>
      <c r="S142" s="1786" t="e">
        <f t="shared" si="102"/>
        <v>#DIV/0!</v>
      </c>
      <c r="T142" s="1786" t="e">
        <f t="shared" si="102"/>
        <v>#DIV/0!</v>
      </c>
      <c r="U142" s="598"/>
      <c r="V142" s="598"/>
      <c r="W142" s="2456"/>
    </row>
    <row r="143" spans="2:23" ht="14.25" thickBot="1" x14ac:dyDescent="0.3">
      <c r="B143" s="2455">
        <v>10</v>
      </c>
      <c r="C143" s="1758" t="s">
        <v>1231</v>
      </c>
      <c r="D143" s="1786" t="e">
        <f t="shared" ref="D143:T143" si="103">D198*D$235*$U198</f>
        <v>#REF!</v>
      </c>
      <c r="E143" s="1786" t="e">
        <f t="shared" si="103"/>
        <v>#REF!</v>
      </c>
      <c r="F143" s="1786" t="e">
        <f t="shared" si="103"/>
        <v>#REF!</v>
      </c>
      <c r="G143" s="1786" t="e">
        <f t="shared" si="103"/>
        <v>#REF!</v>
      </c>
      <c r="H143" s="1786" t="e">
        <f t="shared" si="103"/>
        <v>#REF!</v>
      </c>
      <c r="I143" s="1786" t="e">
        <f t="shared" si="103"/>
        <v>#REF!</v>
      </c>
      <c r="J143" s="1786" t="e">
        <f t="shared" si="103"/>
        <v>#REF!</v>
      </c>
      <c r="K143" s="1786" t="e">
        <f t="shared" si="103"/>
        <v>#REF!</v>
      </c>
      <c r="L143" s="1786" t="e">
        <f t="shared" si="103"/>
        <v>#REF!</v>
      </c>
      <c r="M143" s="1786" t="e">
        <f t="shared" si="103"/>
        <v>#REF!</v>
      </c>
      <c r="N143" s="1786" t="e">
        <f t="shared" si="103"/>
        <v>#REF!</v>
      </c>
      <c r="O143" s="1786" t="e">
        <f t="shared" si="103"/>
        <v>#REF!</v>
      </c>
      <c r="P143" s="1786" t="e">
        <f t="shared" si="103"/>
        <v>#REF!</v>
      </c>
      <c r="Q143" s="1786" t="e">
        <f t="shared" si="103"/>
        <v>#REF!</v>
      </c>
      <c r="R143" s="1786" t="e">
        <f t="shared" si="103"/>
        <v>#REF!</v>
      </c>
      <c r="S143" s="1786" t="e">
        <f t="shared" si="103"/>
        <v>#REF!</v>
      </c>
      <c r="T143" s="1786" t="e">
        <f t="shared" si="103"/>
        <v>#REF!</v>
      </c>
      <c r="U143" s="598"/>
      <c r="V143" s="598"/>
      <c r="W143" s="2456"/>
    </row>
    <row r="144" spans="2:23" ht="14.25" thickBot="1" x14ac:dyDescent="0.3">
      <c r="B144" s="2455">
        <v>11</v>
      </c>
      <c r="C144" s="1758" t="s">
        <v>1227</v>
      </c>
      <c r="D144" s="1786">
        <f t="shared" ref="D144:T144" si="104">D199*D$235*$U199</f>
        <v>1119.1573275465562</v>
      </c>
      <c r="E144" s="1786">
        <f t="shared" si="104"/>
        <v>1120.7043776230475</v>
      </c>
      <c r="F144" s="1786">
        <f t="shared" si="104"/>
        <v>1122.2524586312416</v>
      </c>
      <c r="G144" s="1786">
        <f t="shared" si="104"/>
        <v>1123.8015711378175</v>
      </c>
      <c r="H144" s="1786">
        <f t="shared" si="104"/>
        <v>1125.351715709739</v>
      </c>
      <c r="I144" s="1786">
        <f t="shared" si="104"/>
        <v>1126.9028929142539</v>
      </c>
      <c r="J144" s="1786">
        <f t="shared" si="104"/>
        <v>1128.455103318895</v>
      </c>
      <c r="K144" s="1786">
        <f t="shared" si="104"/>
        <v>1130.0083474914802</v>
      </c>
      <c r="L144" s="1786">
        <f t="shared" si="104"/>
        <v>1131.5626260001115</v>
      </c>
      <c r="M144" s="1786">
        <f t="shared" si="104"/>
        <v>1133.1179394131759</v>
      </c>
      <c r="N144" s="1786">
        <f t="shared" si="104"/>
        <v>1134.6742882993472</v>
      </c>
      <c r="O144" s="1786">
        <f t="shared" si="104"/>
        <v>1136.2316732275824</v>
      </c>
      <c r="P144" s="1786">
        <f t="shared" si="104"/>
        <v>1137.7900947671255</v>
      </c>
      <c r="Q144" s="1786">
        <f t="shared" si="104"/>
        <v>1139.3495534875055</v>
      </c>
      <c r="R144" s="1786">
        <f t="shared" si="104"/>
        <v>1140.910049958537</v>
      </c>
      <c r="S144" s="1786">
        <f t="shared" si="104"/>
        <v>1142.4715847503205</v>
      </c>
      <c r="T144" s="1786">
        <f t="shared" si="104"/>
        <v>1144.034158433243</v>
      </c>
      <c r="U144" s="598"/>
      <c r="V144" s="598"/>
      <c r="W144" s="2456"/>
    </row>
    <row r="145" spans="2:24" ht="14.25" thickBot="1" x14ac:dyDescent="0.3">
      <c r="B145" s="2455">
        <v>12</v>
      </c>
      <c r="C145" s="1758" t="s">
        <v>1229</v>
      </c>
      <c r="D145" s="1786">
        <f t="shared" ref="D145:T145" si="105">D200*D$235*$U200</f>
        <v>611.21794980892105</v>
      </c>
      <c r="E145" s="1786">
        <f t="shared" si="105"/>
        <v>611.4548012553762</v>
      </c>
      <c r="F145" s="1786">
        <f t="shared" si="105"/>
        <v>611.69174448350714</v>
      </c>
      <c r="G145" s="1786">
        <f t="shared" si="105"/>
        <v>611.92877952887989</v>
      </c>
      <c r="H145" s="1786">
        <f t="shared" si="105"/>
        <v>612.16590642707422</v>
      </c>
      <c r="I145" s="1786">
        <f t="shared" si="105"/>
        <v>612.40312521368401</v>
      </c>
      <c r="J145" s="1786">
        <f t="shared" si="105"/>
        <v>612.64043592431653</v>
      </c>
      <c r="K145" s="1786">
        <f t="shared" si="105"/>
        <v>612.87783859459296</v>
      </c>
      <c r="L145" s="1786">
        <f t="shared" si="105"/>
        <v>613.11533326014865</v>
      </c>
      <c r="M145" s="1786">
        <f t="shared" si="105"/>
        <v>613.35291995663192</v>
      </c>
      <c r="N145" s="1786">
        <f t="shared" si="105"/>
        <v>613.59059871970601</v>
      </c>
      <c r="O145" s="1786">
        <f t="shared" si="105"/>
        <v>613.82836958504708</v>
      </c>
      <c r="P145" s="1786">
        <f t="shared" si="105"/>
        <v>614.06623258834543</v>
      </c>
      <c r="Q145" s="1786">
        <f t="shared" si="105"/>
        <v>614.30418776530519</v>
      </c>
      <c r="R145" s="1786">
        <f t="shared" si="105"/>
        <v>614.5422351516446</v>
      </c>
      <c r="S145" s="1786">
        <f t="shared" si="105"/>
        <v>614.780374783095</v>
      </c>
      <c r="T145" s="1786">
        <f t="shared" si="105"/>
        <v>615.01860669540247</v>
      </c>
      <c r="U145" s="598"/>
      <c r="V145" s="598"/>
      <c r="W145" s="2456"/>
    </row>
    <row r="146" spans="2:24" ht="14.25" thickBot="1" x14ac:dyDescent="0.3">
      <c r="B146" s="2455">
        <v>13</v>
      </c>
      <c r="C146" s="1758" t="s">
        <v>1313</v>
      </c>
      <c r="D146" s="1786">
        <f t="shared" ref="D146:T146" si="106">D201*D$235*$U201</f>
        <v>0</v>
      </c>
      <c r="E146" s="1786">
        <f t="shared" si="106"/>
        <v>0</v>
      </c>
      <c r="F146" s="1786">
        <f t="shared" si="106"/>
        <v>0</v>
      </c>
      <c r="G146" s="1786">
        <f t="shared" si="106"/>
        <v>0</v>
      </c>
      <c r="H146" s="1786">
        <f t="shared" si="106"/>
        <v>0</v>
      </c>
      <c r="I146" s="1786">
        <f t="shared" si="106"/>
        <v>0</v>
      </c>
      <c r="J146" s="1786">
        <f t="shared" si="106"/>
        <v>0</v>
      </c>
      <c r="K146" s="1786">
        <f t="shared" si="106"/>
        <v>0</v>
      </c>
      <c r="L146" s="1786">
        <f t="shared" si="106"/>
        <v>0</v>
      </c>
      <c r="M146" s="1786">
        <f t="shared" si="106"/>
        <v>0</v>
      </c>
      <c r="N146" s="1786">
        <f t="shared" si="106"/>
        <v>0</v>
      </c>
      <c r="O146" s="1786">
        <f t="shared" si="106"/>
        <v>0</v>
      </c>
      <c r="P146" s="1786">
        <f t="shared" si="106"/>
        <v>0</v>
      </c>
      <c r="Q146" s="1786">
        <f t="shared" si="106"/>
        <v>0</v>
      </c>
      <c r="R146" s="1786">
        <f t="shared" si="106"/>
        <v>0</v>
      </c>
      <c r="S146" s="1786">
        <f t="shared" si="106"/>
        <v>0</v>
      </c>
      <c r="T146" s="1786">
        <f t="shared" si="106"/>
        <v>0</v>
      </c>
      <c r="U146" s="598"/>
      <c r="V146" s="598"/>
      <c r="W146" s="2456"/>
    </row>
    <row r="147" spans="2:24" ht="14.25" thickBot="1" x14ac:dyDescent="0.3">
      <c r="B147" s="2455">
        <v>14</v>
      </c>
      <c r="C147" s="1758" t="s">
        <v>1314</v>
      </c>
      <c r="D147" s="1786">
        <f t="shared" ref="D147:T147" si="107">D202*D$235*$U202</f>
        <v>3049.0881916153244</v>
      </c>
      <c r="E147" s="1786">
        <f t="shared" si="107"/>
        <v>3050.2697356926537</v>
      </c>
      <c r="F147" s="1786">
        <f t="shared" si="107"/>
        <v>3051.4517376269923</v>
      </c>
      <c r="G147" s="1786">
        <f t="shared" si="107"/>
        <v>3052.6341975957657</v>
      </c>
      <c r="H147" s="1786">
        <f t="shared" si="107"/>
        <v>3053.8171157764664</v>
      </c>
      <c r="I147" s="1786">
        <f t="shared" si="107"/>
        <v>3055.0004923466522</v>
      </c>
      <c r="J147" s="1786">
        <f t="shared" si="107"/>
        <v>3056.1843274839539</v>
      </c>
      <c r="K147" s="1786">
        <f t="shared" si="107"/>
        <v>3057.3686213660685</v>
      </c>
      <c r="L147" s="1786">
        <f t="shared" si="107"/>
        <v>3058.5533741707654</v>
      </c>
      <c r="M147" s="1786">
        <f t="shared" si="107"/>
        <v>3059.73858607588</v>
      </c>
      <c r="N147" s="1786">
        <f t="shared" si="107"/>
        <v>3060.9242572593143</v>
      </c>
      <c r="O147" s="1786">
        <f t="shared" si="107"/>
        <v>3062.1103878990443</v>
      </c>
      <c r="P147" s="1786">
        <f t="shared" si="107"/>
        <v>3063.2969781731122</v>
      </c>
      <c r="Q147" s="1786">
        <f t="shared" si="107"/>
        <v>3064.4840282596301</v>
      </c>
      <c r="R147" s="1786">
        <f t="shared" si="107"/>
        <v>3065.6715383367782</v>
      </c>
      <c r="S147" s="1786">
        <f t="shared" si="107"/>
        <v>3066.8595085828056</v>
      </c>
      <c r="T147" s="1786">
        <f t="shared" si="107"/>
        <v>3068.0479391760332</v>
      </c>
      <c r="U147" s="598"/>
      <c r="V147" s="598"/>
      <c r="W147" s="2456"/>
    </row>
    <row r="148" spans="2:24" ht="14.25" thickBot="1" x14ac:dyDescent="0.3">
      <c r="B148" s="2455">
        <v>15</v>
      </c>
      <c r="C148" s="1758" t="s">
        <v>329</v>
      </c>
      <c r="D148" s="1786">
        <f t="shared" ref="D148:T148" si="108">D203*D$235*$U203</f>
        <v>2731.212</v>
      </c>
      <c r="E148" s="1786">
        <f t="shared" si="108"/>
        <v>2732.2703647174922</v>
      </c>
      <c r="F148" s="1786">
        <f t="shared" si="108"/>
        <v>2733.3291395590877</v>
      </c>
      <c r="G148" s="1786">
        <f t="shared" si="108"/>
        <v>2734.3883246837149</v>
      </c>
      <c r="H148" s="1786">
        <f t="shared" si="108"/>
        <v>2735.4479202503599</v>
      </c>
      <c r="I148" s="1786">
        <f t="shared" si="108"/>
        <v>2736.5079264180722</v>
      </c>
      <c r="J148" s="1786">
        <f t="shared" si="108"/>
        <v>2737.5683433459626</v>
      </c>
      <c r="K148" s="1786">
        <f t="shared" si="108"/>
        <v>2738.6291711932045</v>
      </c>
      <c r="L148" s="1786">
        <f t="shared" si="108"/>
        <v>2739.6904101190312</v>
      </c>
      <c r="M148" s="1786">
        <f t="shared" si="108"/>
        <v>2740.7520602827394</v>
      </c>
      <c r="N148" s="1786">
        <f t="shared" si="108"/>
        <v>2741.8141218436863</v>
      </c>
      <c r="O148" s="1786">
        <f t="shared" si="108"/>
        <v>2742.8765949612916</v>
      </c>
      <c r="P148" s="1786">
        <f t="shared" si="108"/>
        <v>2743.9394797950363</v>
      </c>
      <c r="Q148" s="1786">
        <f t="shared" si="108"/>
        <v>2745.0027765044638</v>
      </c>
      <c r="R148" s="1786">
        <f t="shared" si="108"/>
        <v>2746.0664852491791</v>
      </c>
      <c r="S148" s="1786">
        <f t="shared" si="108"/>
        <v>2747.1306061888481</v>
      </c>
      <c r="T148" s="1786">
        <f t="shared" si="108"/>
        <v>2748.1951394831999</v>
      </c>
      <c r="U148" s="598"/>
      <c r="V148" s="598"/>
      <c r="W148" s="2456"/>
    </row>
    <row r="149" spans="2:24" ht="14.25" thickBot="1" x14ac:dyDescent="0.3">
      <c r="B149" s="2455">
        <v>16</v>
      </c>
      <c r="C149" s="1758" t="s">
        <v>412</v>
      </c>
      <c r="D149" s="1786">
        <f t="shared" ref="D149:T149" si="109">D204*D$235*$U204</f>
        <v>4667.1318650879994</v>
      </c>
      <c r="E149" s="1786">
        <f t="shared" si="109"/>
        <v>4668.9404129773211</v>
      </c>
      <c r="F149" s="1786">
        <f t="shared" si="109"/>
        <v>4670.749661692239</v>
      </c>
      <c r="G149" s="1786">
        <f t="shared" si="109"/>
        <v>4672.5596115043281</v>
      </c>
      <c r="H149" s="1786">
        <f t="shared" si="109"/>
        <v>4674.3702626852682</v>
      </c>
      <c r="I149" s="1786">
        <f t="shared" si="109"/>
        <v>4676.1816155068427</v>
      </c>
      <c r="J149" s="1786">
        <f t="shared" si="109"/>
        <v>4677.993670240945</v>
      </c>
      <c r="K149" s="1786">
        <f t="shared" si="109"/>
        <v>4679.8064271595704</v>
      </c>
      <c r="L149" s="1786">
        <f t="shared" si="109"/>
        <v>4681.6198865348215</v>
      </c>
      <c r="M149" s="1786">
        <f t="shared" si="109"/>
        <v>4683.4340486389046</v>
      </c>
      <c r="N149" s="1786">
        <f t="shared" si="109"/>
        <v>4685.2489137441335</v>
      </c>
      <c r="O149" s="1786">
        <f t="shared" si="109"/>
        <v>4687.0644821229243</v>
      </c>
      <c r="P149" s="1786">
        <f t="shared" si="109"/>
        <v>4688.8807540478019</v>
      </c>
      <c r="Q149" s="1786">
        <f t="shared" si="109"/>
        <v>4690.6977297913954</v>
      </c>
      <c r="R149" s="1786">
        <f t="shared" si="109"/>
        <v>4692.5154096264396</v>
      </c>
      <c r="S149" s="1786">
        <f t="shared" si="109"/>
        <v>4694.3337938257746</v>
      </c>
      <c r="T149" s="1786">
        <f t="shared" si="109"/>
        <v>4696.152882662348</v>
      </c>
      <c r="U149" s="598"/>
      <c r="V149" s="598"/>
      <c r="W149" s="2456"/>
    </row>
    <row r="150" spans="2:24" ht="14.25" thickBot="1" x14ac:dyDescent="0.3">
      <c r="B150" s="2455">
        <v>17</v>
      </c>
      <c r="C150" s="1758" t="s">
        <v>1234</v>
      </c>
      <c r="D150" s="1786">
        <f t="shared" ref="D150:T150" si="110">D205*D$235*$U205</f>
        <v>1092.4848</v>
      </c>
      <c r="E150" s="1786">
        <f t="shared" si="110"/>
        <v>1092.9081458869966</v>
      </c>
      <c r="F150" s="1786">
        <f t="shared" si="110"/>
        <v>1093.3316558236352</v>
      </c>
      <c r="G150" s="1786">
        <f t="shared" si="110"/>
        <v>1093.7553298734861</v>
      </c>
      <c r="H150" s="1786">
        <f t="shared" si="110"/>
        <v>1094.1791681001441</v>
      </c>
      <c r="I150" s="1786">
        <f t="shared" si="110"/>
        <v>1094.603170567229</v>
      </c>
      <c r="J150" s="1786">
        <f t="shared" si="110"/>
        <v>1095.0273373383852</v>
      </c>
      <c r="K150" s="1786">
        <f t="shared" si="110"/>
        <v>1095.4516684772821</v>
      </c>
      <c r="L150" s="1786">
        <f t="shared" si="110"/>
        <v>1095.8761640476125</v>
      </c>
      <c r="M150" s="1786">
        <f t="shared" si="110"/>
        <v>1096.3008241130958</v>
      </c>
      <c r="N150" s="1786">
        <f t="shared" si="110"/>
        <v>1096.7256487374746</v>
      </c>
      <c r="O150" s="1786">
        <f t="shared" si="110"/>
        <v>1097.1506379845168</v>
      </c>
      <c r="P150" s="1786">
        <f t="shared" si="110"/>
        <v>1097.5757919180146</v>
      </c>
      <c r="Q150" s="1786">
        <f t="shared" si="110"/>
        <v>1098.0011106017855</v>
      </c>
      <c r="R150" s="1786">
        <f t="shared" si="110"/>
        <v>1098.4265940996715</v>
      </c>
      <c r="S150" s="1786">
        <f t="shared" si="110"/>
        <v>1098.8522424755392</v>
      </c>
      <c r="T150" s="1786">
        <f t="shared" si="110"/>
        <v>1099.2780557932797</v>
      </c>
      <c r="U150" s="598"/>
      <c r="V150" s="598"/>
      <c r="W150" s="2456"/>
    </row>
    <row r="151" spans="2:24" ht="14.25" thickBot="1" x14ac:dyDescent="0.3">
      <c r="B151" s="2455">
        <v>18</v>
      </c>
      <c r="C151" s="1758" t="s">
        <v>1969</v>
      </c>
      <c r="D151" s="1786">
        <f t="shared" ref="D151:T151" si="111">D206*D$235*$U206</f>
        <v>2363.4868121079144</v>
      </c>
      <c r="E151" s="1786">
        <f t="shared" si="111"/>
        <v>2373.0397488972935</v>
      </c>
      <c r="F151" s="1786">
        <f t="shared" si="111"/>
        <v>2382.6312975379574</v>
      </c>
      <c r="G151" s="1786">
        <f t="shared" si="111"/>
        <v>2392.2616140944847</v>
      </c>
      <c r="H151" s="1786">
        <f t="shared" si="111"/>
        <v>2401.9308552622497</v>
      </c>
      <c r="I151" s="1786">
        <f t="shared" si="111"/>
        <v>2411.6391783699701</v>
      </c>
      <c r="J151" s="1786">
        <f t="shared" si="111"/>
        <v>2421.3867413822682</v>
      </c>
      <c r="K151" s="1786">
        <f t="shared" si="111"/>
        <v>2431.1737029022424</v>
      </c>
      <c r="L151" s="1786">
        <f t="shared" si="111"/>
        <v>2441.0002221740433</v>
      </c>
      <c r="M151" s="1786">
        <f t="shared" si="111"/>
        <v>2450.8664590854701</v>
      </c>
      <c r="N151" s="1786">
        <f t="shared" si="111"/>
        <v>2460.7725741705685</v>
      </c>
      <c r="O151" s="1786">
        <f t="shared" si="111"/>
        <v>2470.7187286122444</v>
      </c>
      <c r="P151" s="1786">
        <f t="shared" si="111"/>
        <v>2480.7050842448862</v>
      </c>
      <c r="Q151" s="1786">
        <f t="shared" si="111"/>
        <v>2490.7318035569974</v>
      </c>
      <c r="R151" s="1786">
        <f t="shared" si="111"/>
        <v>2500.7990496938419</v>
      </c>
      <c r="S151" s="1786">
        <f t="shared" si="111"/>
        <v>2510.9069864600974</v>
      </c>
      <c r="T151" s="1786">
        <f t="shared" si="111"/>
        <v>2521.0557783225199</v>
      </c>
      <c r="U151" s="598"/>
      <c r="V151" s="598"/>
      <c r="W151" s="2456"/>
      <c r="X151" s="691" t="s">
        <v>4195</v>
      </c>
    </row>
    <row r="152" spans="2:24" ht="14.25" thickBot="1" x14ac:dyDescent="0.3">
      <c r="B152" s="2455">
        <v>19</v>
      </c>
      <c r="C152" s="1758" t="s">
        <v>1970</v>
      </c>
      <c r="D152" s="1786">
        <f t="shared" ref="D152:T152" si="112">D207*D$235*$U207</f>
        <v>573.22320426948897</v>
      </c>
      <c r="E152" s="1786">
        <f t="shared" si="112"/>
        <v>577.64817863562303</v>
      </c>
      <c r="F152" s="1786">
        <f t="shared" si="112"/>
        <v>582.07649634560426</v>
      </c>
      <c r="G152" s="1786">
        <f t="shared" si="112"/>
        <v>586.50815932611113</v>
      </c>
      <c r="H152" s="1786">
        <f t="shared" si="112"/>
        <v>590.94316950481243</v>
      </c>
      <c r="I152" s="1786">
        <f t="shared" si="112"/>
        <v>595.38152881036865</v>
      </c>
      <c r="J152" s="1786">
        <f t="shared" si="112"/>
        <v>599.82323917243275</v>
      </c>
      <c r="K152" s="1786">
        <f t="shared" si="112"/>
        <v>604.2683025216503</v>
      </c>
      <c r="L152" s="1786">
        <f t="shared" si="112"/>
        <v>608.71672078965958</v>
      </c>
      <c r="M152" s="1786">
        <f t="shared" si="112"/>
        <v>613.1684959090926</v>
      </c>
      <c r="N152" s="1786">
        <f t="shared" si="112"/>
        <v>617.62362981357523</v>
      </c>
      <c r="O152" s="1786">
        <f t="shared" si="112"/>
        <v>622.082124437728</v>
      </c>
      <c r="P152" s="1786">
        <f t="shared" si="112"/>
        <v>626.54398171716707</v>
      </c>
      <c r="Q152" s="1786">
        <f t="shared" si="112"/>
        <v>631.00920358850294</v>
      </c>
      <c r="R152" s="1786">
        <f t="shared" si="112"/>
        <v>635.47779198934268</v>
      </c>
      <c r="S152" s="1786">
        <f t="shared" si="112"/>
        <v>639.94974885828969</v>
      </c>
      <c r="T152" s="1786">
        <f t="shared" si="112"/>
        <v>644.42507613494445</v>
      </c>
      <c r="U152" s="598"/>
      <c r="V152" s="598"/>
      <c r="W152" s="2456"/>
    </row>
    <row r="153" spans="2:24" ht="14.25" thickBot="1" x14ac:dyDescent="0.3">
      <c r="B153" s="2455">
        <v>20</v>
      </c>
      <c r="C153" s="1758" t="s">
        <v>1746</v>
      </c>
      <c r="D153" s="1786">
        <f t="shared" ref="D153:T153" si="113">D208*D$235*$U208</f>
        <v>303.46799999999996</v>
      </c>
      <c r="E153" s="1786">
        <f t="shared" si="113"/>
        <v>303.58559607972131</v>
      </c>
      <c r="F153" s="1786">
        <f t="shared" si="113"/>
        <v>303.7032377287876</v>
      </c>
      <c r="G153" s="1786">
        <f t="shared" si="113"/>
        <v>303.82092496485723</v>
      </c>
      <c r="H153" s="1786">
        <f t="shared" si="113"/>
        <v>303.93865780559554</v>
      </c>
      <c r="I153" s="1786">
        <f t="shared" si="113"/>
        <v>304.0564362686747</v>
      </c>
      <c r="J153" s="1786">
        <f t="shared" si="113"/>
        <v>304.17426037177364</v>
      </c>
      <c r="K153" s="1786">
        <f t="shared" si="113"/>
        <v>304.29213013257828</v>
      </c>
      <c r="L153" s="1786">
        <f t="shared" si="113"/>
        <v>304.41004556878124</v>
      </c>
      <c r="M153" s="1786">
        <f t="shared" si="113"/>
        <v>304.52800669808215</v>
      </c>
      <c r="N153" s="1786">
        <f t="shared" si="113"/>
        <v>304.64601353818739</v>
      </c>
      <c r="O153" s="1786">
        <f t="shared" si="113"/>
        <v>304.76406610681022</v>
      </c>
      <c r="P153" s="1786">
        <f t="shared" si="113"/>
        <v>304.88216442167072</v>
      </c>
      <c r="Q153" s="1786">
        <f t="shared" si="113"/>
        <v>305.00030850049598</v>
      </c>
      <c r="R153" s="1786">
        <f t="shared" si="113"/>
        <v>305.11849836101987</v>
      </c>
      <c r="S153" s="1786">
        <f t="shared" si="113"/>
        <v>305.23673402098314</v>
      </c>
      <c r="T153" s="1786">
        <f t="shared" si="113"/>
        <v>305.35501549813324</v>
      </c>
      <c r="U153" s="598"/>
      <c r="V153" s="598"/>
      <c r="W153" s="2456"/>
    </row>
    <row r="154" spans="2:24" ht="14.25" thickBot="1" x14ac:dyDescent="0.3">
      <c r="B154" s="2455">
        <v>21</v>
      </c>
      <c r="C154" s="1758" t="s">
        <v>1235</v>
      </c>
      <c r="D154" s="1786" t="e">
        <f t="shared" ref="D154:T154" si="114">D209*D$235*$U209</f>
        <v>#DIV/0!</v>
      </c>
      <c r="E154" s="1786" t="e">
        <f t="shared" si="114"/>
        <v>#DIV/0!</v>
      </c>
      <c r="F154" s="1786" t="e">
        <f t="shared" si="114"/>
        <v>#DIV/0!</v>
      </c>
      <c r="G154" s="1786" t="e">
        <f t="shared" si="114"/>
        <v>#DIV/0!</v>
      </c>
      <c r="H154" s="1786" t="e">
        <f t="shared" si="114"/>
        <v>#DIV/0!</v>
      </c>
      <c r="I154" s="1786" t="e">
        <f t="shared" si="114"/>
        <v>#DIV/0!</v>
      </c>
      <c r="J154" s="1786" t="e">
        <f t="shared" si="114"/>
        <v>#DIV/0!</v>
      </c>
      <c r="K154" s="1786" t="e">
        <f t="shared" si="114"/>
        <v>#DIV/0!</v>
      </c>
      <c r="L154" s="1786" t="e">
        <f t="shared" si="114"/>
        <v>#DIV/0!</v>
      </c>
      <c r="M154" s="1786" t="e">
        <f t="shared" si="114"/>
        <v>#DIV/0!</v>
      </c>
      <c r="N154" s="1786" t="e">
        <f t="shared" si="114"/>
        <v>#DIV/0!</v>
      </c>
      <c r="O154" s="1786" t="e">
        <f t="shared" si="114"/>
        <v>#DIV/0!</v>
      </c>
      <c r="P154" s="1786" t="e">
        <f t="shared" si="114"/>
        <v>#DIV/0!</v>
      </c>
      <c r="Q154" s="1786" t="e">
        <f t="shared" si="114"/>
        <v>#DIV/0!</v>
      </c>
      <c r="R154" s="1786" t="e">
        <f t="shared" si="114"/>
        <v>#DIV/0!</v>
      </c>
      <c r="S154" s="1786" t="e">
        <f t="shared" si="114"/>
        <v>#DIV/0!</v>
      </c>
      <c r="T154" s="1786" t="e">
        <f t="shared" si="114"/>
        <v>#DIV/0!</v>
      </c>
      <c r="U154" s="598"/>
      <c r="V154" s="598"/>
      <c r="W154" s="2456"/>
    </row>
    <row r="155" spans="2:24" ht="14.25" thickBot="1" x14ac:dyDescent="0.3">
      <c r="B155" s="2455">
        <v>22</v>
      </c>
      <c r="C155" s="1758" t="s">
        <v>1798</v>
      </c>
      <c r="D155" s="1786" t="e">
        <f t="shared" ref="D155:T155" si="115">D210*D$235*$U210</f>
        <v>#DIV/0!</v>
      </c>
      <c r="E155" s="1786" t="e">
        <f t="shared" si="115"/>
        <v>#DIV/0!</v>
      </c>
      <c r="F155" s="1786" t="e">
        <f t="shared" si="115"/>
        <v>#DIV/0!</v>
      </c>
      <c r="G155" s="1786" t="e">
        <f t="shared" si="115"/>
        <v>#DIV/0!</v>
      </c>
      <c r="H155" s="1786" t="e">
        <f t="shared" si="115"/>
        <v>#DIV/0!</v>
      </c>
      <c r="I155" s="1786" t="e">
        <f t="shared" si="115"/>
        <v>#DIV/0!</v>
      </c>
      <c r="J155" s="1786" t="e">
        <f t="shared" si="115"/>
        <v>#DIV/0!</v>
      </c>
      <c r="K155" s="1786" t="e">
        <f t="shared" si="115"/>
        <v>#DIV/0!</v>
      </c>
      <c r="L155" s="1786" t="e">
        <f t="shared" si="115"/>
        <v>#DIV/0!</v>
      </c>
      <c r="M155" s="1786" t="e">
        <f t="shared" si="115"/>
        <v>#DIV/0!</v>
      </c>
      <c r="N155" s="1786" t="e">
        <f t="shared" si="115"/>
        <v>#DIV/0!</v>
      </c>
      <c r="O155" s="1786" t="e">
        <f t="shared" si="115"/>
        <v>#DIV/0!</v>
      </c>
      <c r="P155" s="1786" t="e">
        <f t="shared" si="115"/>
        <v>#DIV/0!</v>
      </c>
      <c r="Q155" s="1786" t="e">
        <f t="shared" si="115"/>
        <v>#DIV/0!</v>
      </c>
      <c r="R155" s="1786" t="e">
        <f t="shared" si="115"/>
        <v>#DIV/0!</v>
      </c>
      <c r="S155" s="1786" t="e">
        <f t="shared" si="115"/>
        <v>#DIV/0!</v>
      </c>
      <c r="T155" s="1786" t="e">
        <f t="shared" si="115"/>
        <v>#DIV/0!</v>
      </c>
      <c r="U155" s="598"/>
      <c r="V155" s="598"/>
      <c r="W155" s="2456"/>
    </row>
    <row r="156" spans="2:24" ht="14.25" thickBot="1" x14ac:dyDescent="0.3">
      <c r="B156" s="2455">
        <v>23</v>
      </c>
      <c r="C156" s="1758" t="s">
        <v>1971</v>
      </c>
      <c r="D156" s="1786" t="e">
        <f t="shared" ref="D156:T156" si="116">D211*D$235*$U211</f>
        <v>#REF!</v>
      </c>
      <c r="E156" s="1786" t="e">
        <f t="shared" si="116"/>
        <v>#REF!</v>
      </c>
      <c r="F156" s="1786" t="e">
        <f t="shared" si="116"/>
        <v>#REF!</v>
      </c>
      <c r="G156" s="1786" t="e">
        <f t="shared" si="116"/>
        <v>#REF!</v>
      </c>
      <c r="H156" s="1786" t="e">
        <f t="shared" si="116"/>
        <v>#REF!</v>
      </c>
      <c r="I156" s="1786" t="e">
        <f t="shared" si="116"/>
        <v>#REF!</v>
      </c>
      <c r="J156" s="1786" t="e">
        <f t="shared" si="116"/>
        <v>#REF!</v>
      </c>
      <c r="K156" s="1786" t="e">
        <f t="shared" si="116"/>
        <v>#REF!</v>
      </c>
      <c r="L156" s="1786" t="e">
        <f t="shared" si="116"/>
        <v>#REF!</v>
      </c>
      <c r="M156" s="1786" t="e">
        <f t="shared" si="116"/>
        <v>#REF!</v>
      </c>
      <c r="N156" s="1786" t="e">
        <f t="shared" si="116"/>
        <v>#REF!</v>
      </c>
      <c r="O156" s="1786" t="e">
        <f t="shared" si="116"/>
        <v>#REF!</v>
      </c>
      <c r="P156" s="1786" t="e">
        <f t="shared" si="116"/>
        <v>#REF!</v>
      </c>
      <c r="Q156" s="1786" t="e">
        <f t="shared" si="116"/>
        <v>#REF!</v>
      </c>
      <c r="R156" s="1786" t="e">
        <f t="shared" si="116"/>
        <v>#REF!</v>
      </c>
      <c r="S156" s="1786" t="e">
        <f t="shared" si="116"/>
        <v>#REF!</v>
      </c>
      <c r="T156" s="1786" t="e">
        <f t="shared" si="116"/>
        <v>#REF!</v>
      </c>
      <c r="U156" s="598"/>
      <c r="V156" s="598"/>
      <c r="W156" s="2456"/>
    </row>
    <row r="157" spans="2:24" ht="14.25" thickBot="1" x14ac:dyDescent="0.3">
      <c r="B157" s="2455"/>
      <c r="C157" s="2599" t="s">
        <v>61</v>
      </c>
      <c r="D157" s="2598"/>
      <c r="E157" s="2598"/>
      <c r="F157" s="2598"/>
      <c r="G157" s="2598"/>
      <c r="H157" s="2598"/>
      <c r="I157" s="2598"/>
      <c r="J157" s="2598"/>
      <c r="K157" s="2598"/>
      <c r="L157" s="2598"/>
      <c r="M157" s="2598"/>
      <c r="N157" s="2598"/>
      <c r="O157" s="2598"/>
      <c r="P157" s="2598"/>
      <c r="Q157" s="2598"/>
      <c r="R157" s="2598"/>
      <c r="S157" s="2598"/>
      <c r="T157" s="2598"/>
      <c r="U157" s="598"/>
      <c r="V157" s="598"/>
      <c r="W157" s="2456"/>
    </row>
    <row r="158" spans="2:24" ht="14.25" thickBot="1" x14ac:dyDescent="0.3">
      <c r="B158" s="2455">
        <v>24</v>
      </c>
      <c r="C158" s="1771" t="s">
        <v>1972</v>
      </c>
      <c r="D158" s="1786" t="e">
        <f t="shared" ref="D158:T158" si="117">D213*D$235*$U213</f>
        <v>#DIV/0!</v>
      </c>
      <c r="E158" s="1786" t="e">
        <f t="shared" si="117"/>
        <v>#DIV/0!</v>
      </c>
      <c r="F158" s="1786" t="e">
        <f t="shared" si="117"/>
        <v>#DIV/0!</v>
      </c>
      <c r="G158" s="1786" t="e">
        <f t="shared" si="117"/>
        <v>#DIV/0!</v>
      </c>
      <c r="H158" s="1786" t="e">
        <f t="shared" si="117"/>
        <v>#DIV/0!</v>
      </c>
      <c r="I158" s="1786" t="e">
        <f t="shared" si="117"/>
        <v>#DIV/0!</v>
      </c>
      <c r="J158" s="1786" t="e">
        <f t="shared" si="117"/>
        <v>#DIV/0!</v>
      </c>
      <c r="K158" s="1786" t="e">
        <f t="shared" si="117"/>
        <v>#DIV/0!</v>
      </c>
      <c r="L158" s="1786" t="e">
        <f t="shared" si="117"/>
        <v>#DIV/0!</v>
      </c>
      <c r="M158" s="1786" t="e">
        <f t="shared" si="117"/>
        <v>#DIV/0!</v>
      </c>
      <c r="N158" s="1786" t="e">
        <f t="shared" si="117"/>
        <v>#DIV/0!</v>
      </c>
      <c r="O158" s="1786" t="e">
        <f t="shared" si="117"/>
        <v>#DIV/0!</v>
      </c>
      <c r="P158" s="1786" t="e">
        <f t="shared" si="117"/>
        <v>#DIV/0!</v>
      </c>
      <c r="Q158" s="1786" t="e">
        <f t="shared" si="117"/>
        <v>#DIV/0!</v>
      </c>
      <c r="R158" s="1786" t="e">
        <f t="shared" si="117"/>
        <v>#DIV/0!</v>
      </c>
      <c r="S158" s="1786" t="e">
        <f t="shared" si="117"/>
        <v>#DIV/0!</v>
      </c>
      <c r="T158" s="1786" t="e">
        <f t="shared" si="117"/>
        <v>#DIV/0!</v>
      </c>
      <c r="U158" s="598"/>
      <c r="V158" s="598"/>
      <c r="W158" s="2456"/>
    </row>
    <row r="159" spans="2:24" ht="14.25" thickBot="1" x14ac:dyDescent="0.3">
      <c r="B159" s="2455">
        <v>25</v>
      </c>
      <c r="C159" s="1771" t="s">
        <v>1973</v>
      </c>
      <c r="D159" s="1786" t="e">
        <f t="shared" ref="D159:T159" si="118">D214*D$235*$U214</f>
        <v>#DIV/0!</v>
      </c>
      <c r="E159" s="1786" t="e">
        <f t="shared" si="118"/>
        <v>#DIV/0!</v>
      </c>
      <c r="F159" s="1786" t="e">
        <f t="shared" si="118"/>
        <v>#DIV/0!</v>
      </c>
      <c r="G159" s="1786" t="e">
        <f t="shared" si="118"/>
        <v>#DIV/0!</v>
      </c>
      <c r="H159" s="1786" t="e">
        <f t="shared" si="118"/>
        <v>#DIV/0!</v>
      </c>
      <c r="I159" s="1786" t="e">
        <f t="shared" si="118"/>
        <v>#DIV/0!</v>
      </c>
      <c r="J159" s="1786" t="e">
        <f t="shared" si="118"/>
        <v>#DIV/0!</v>
      </c>
      <c r="K159" s="1786" t="e">
        <f t="shared" si="118"/>
        <v>#DIV/0!</v>
      </c>
      <c r="L159" s="1786" t="e">
        <f t="shared" si="118"/>
        <v>#DIV/0!</v>
      </c>
      <c r="M159" s="1786" t="e">
        <f t="shared" si="118"/>
        <v>#DIV/0!</v>
      </c>
      <c r="N159" s="1786" t="e">
        <f t="shared" si="118"/>
        <v>#DIV/0!</v>
      </c>
      <c r="O159" s="1786" t="e">
        <f t="shared" si="118"/>
        <v>#DIV/0!</v>
      </c>
      <c r="P159" s="1786" t="e">
        <f t="shared" si="118"/>
        <v>#DIV/0!</v>
      </c>
      <c r="Q159" s="1786" t="e">
        <f t="shared" si="118"/>
        <v>#DIV/0!</v>
      </c>
      <c r="R159" s="1786" t="e">
        <f t="shared" si="118"/>
        <v>#DIV/0!</v>
      </c>
      <c r="S159" s="1786" t="e">
        <f t="shared" si="118"/>
        <v>#DIV/0!</v>
      </c>
      <c r="T159" s="1786" t="e">
        <f t="shared" si="118"/>
        <v>#DIV/0!</v>
      </c>
      <c r="U159" s="598"/>
      <c r="V159" s="598"/>
      <c r="W159" s="2456"/>
    </row>
    <row r="160" spans="2:24" ht="14.25" thickBot="1" x14ac:dyDescent="0.3">
      <c r="B160" s="2455"/>
      <c r="C160" s="2599" t="s">
        <v>2047</v>
      </c>
      <c r="D160" s="2598"/>
      <c r="E160" s="2598"/>
      <c r="F160" s="2598"/>
      <c r="G160" s="2598"/>
      <c r="H160" s="2598"/>
      <c r="I160" s="2598"/>
      <c r="J160" s="2598"/>
      <c r="K160" s="2598"/>
      <c r="L160" s="2598"/>
      <c r="M160" s="2598"/>
      <c r="N160" s="2598"/>
      <c r="O160" s="2598"/>
      <c r="P160" s="2598"/>
      <c r="Q160" s="2598"/>
      <c r="R160" s="2598"/>
      <c r="S160" s="2598"/>
      <c r="T160" s="2598"/>
      <c r="U160" s="598"/>
      <c r="V160" s="598"/>
      <c r="W160" s="2456"/>
    </row>
    <row r="161" spans="2:23" ht="14.25" thickBot="1" x14ac:dyDescent="0.3">
      <c r="B161" s="2455">
        <v>26</v>
      </c>
      <c r="C161" s="1757" t="s">
        <v>1855</v>
      </c>
      <c r="D161" s="1786">
        <f t="shared" ref="D161:T161" si="119">D216*D$235*$U216</f>
        <v>3508.0900799999995</v>
      </c>
      <c r="E161" s="1786">
        <f t="shared" si="119"/>
        <v>3509.4494906815789</v>
      </c>
      <c r="F161" s="1786">
        <f t="shared" si="119"/>
        <v>3510.8094281447839</v>
      </c>
      <c r="G161" s="1786">
        <f t="shared" si="119"/>
        <v>3512.1698925937503</v>
      </c>
      <c r="H161" s="1786">
        <f t="shared" si="119"/>
        <v>3513.5308842326849</v>
      </c>
      <c r="I161" s="1786">
        <f t="shared" si="119"/>
        <v>3514.8924032658797</v>
      </c>
      <c r="J161" s="1786">
        <f t="shared" si="119"/>
        <v>3516.2544498977036</v>
      </c>
      <c r="K161" s="1786">
        <f t="shared" si="119"/>
        <v>3517.6170243326055</v>
      </c>
      <c r="L161" s="1786">
        <f t="shared" si="119"/>
        <v>3518.9801267751122</v>
      </c>
      <c r="M161" s="1786">
        <f t="shared" si="119"/>
        <v>3520.3437574298291</v>
      </c>
      <c r="N161" s="1786">
        <f t="shared" si="119"/>
        <v>3521.7079165014461</v>
      </c>
      <c r="O161" s="1786">
        <f t="shared" si="119"/>
        <v>3523.0726041947264</v>
      </c>
      <c r="P161" s="1786">
        <f t="shared" si="119"/>
        <v>3524.4378207145141</v>
      </c>
      <c r="Q161" s="1786">
        <f t="shared" si="119"/>
        <v>3525.8035662657335</v>
      </c>
      <c r="R161" s="1786">
        <f t="shared" si="119"/>
        <v>3527.1698410533895</v>
      </c>
      <c r="S161" s="1786">
        <f t="shared" si="119"/>
        <v>3528.5366452825647</v>
      </c>
      <c r="T161" s="1786">
        <f t="shared" si="119"/>
        <v>3529.9039791584205</v>
      </c>
      <c r="U161" s="598"/>
      <c r="V161" s="598"/>
      <c r="W161" s="2456"/>
    </row>
    <row r="162" spans="2:23" ht="14.25" thickBot="1" x14ac:dyDescent="0.3">
      <c r="B162" s="2455">
        <v>27</v>
      </c>
      <c r="C162" s="1757" t="s">
        <v>1975</v>
      </c>
      <c r="D162" s="1786">
        <f t="shared" ref="D162:T162" si="120">D217*D$235*$U217</f>
        <v>526.21351199999992</v>
      </c>
      <c r="E162" s="1786">
        <f t="shared" si="120"/>
        <v>526.41742360223679</v>
      </c>
      <c r="F162" s="1786">
        <f t="shared" si="120"/>
        <v>526.6214142217176</v>
      </c>
      <c r="G162" s="1786">
        <f t="shared" si="120"/>
        <v>526.82548388906253</v>
      </c>
      <c r="H162" s="1786">
        <f t="shared" si="120"/>
        <v>527.02963263490278</v>
      </c>
      <c r="I162" s="1786">
        <f t="shared" si="120"/>
        <v>527.23386048988198</v>
      </c>
      <c r="J162" s="1786">
        <f t="shared" si="120"/>
        <v>527.43816748465554</v>
      </c>
      <c r="K162" s="1786">
        <f t="shared" si="120"/>
        <v>527.64255364989083</v>
      </c>
      <c r="L162" s="1786">
        <f t="shared" si="120"/>
        <v>527.84701901626681</v>
      </c>
      <c r="M162" s="1786">
        <f t="shared" si="120"/>
        <v>528.05156361447439</v>
      </c>
      <c r="N162" s="1786">
        <f t="shared" si="120"/>
        <v>528.25618747521696</v>
      </c>
      <c r="O162" s="1786">
        <f t="shared" si="120"/>
        <v>528.46089062920896</v>
      </c>
      <c r="P162" s="1786">
        <f t="shared" si="120"/>
        <v>528.6656731071771</v>
      </c>
      <c r="Q162" s="1786">
        <f t="shared" si="120"/>
        <v>528.87053493986002</v>
      </c>
      <c r="R162" s="1786">
        <f t="shared" si="120"/>
        <v>529.07547615800843</v>
      </c>
      <c r="S162" s="1786">
        <f t="shared" si="120"/>
        <v>529.28049679238472</v>
      </c>
      <c r="T162" s="1786">
        <f t="shared" si="120"/>
        <v>529.48559687376314</v>
      </c>
      <c r="U162" s="598"/>
      <c r="V162" s="598"/>
      <c r="W162" s="2456"/>
    </row>
    <row r="163" spans="2:23" ht="14.25" thickBot="1" x14ac:dyDescent="0.3">
      <c r="B163" s="2455"/>
      <c r="C163" s="2599" t="s">
        <v>427</v>
      </c>
      <c r="D163" s="2598"/>
      <c r="E163" s="2598"/>
      <c r="F163" s="2598"/>
      <c r="G163" s="2598"/>
      <c r="H163" s="2598"/>
      <c r="I163" s="2598"/>
      <c r="J163" s="2598"/>
      <c r="K163" s="2598"/>
      <c r="L163" s="2598"/>
      <c r="M163" s="2598"/>
      <c r="N163" s="2598"/>
      <c r="O163" s="2598"/>
      <c r="P163" s="2598"/>
      <c r="Q163" s="2598"/>
      <c r="R163" s="2598"/>
      <c r="S163" s="2598"/>
      <c r="T163" s="2598"/>
      <c r="U163" s="598"/>
      <c r="V163" s="598"/>
      <c r="W163" s="2456"/>
    </row>
    <row r="164" spans="2:23" ht="14.25" thickBot="1" x14ac:dyDescent="0.3">
      <c r="B164" s="2455">
        <v>28</v>
      </c>
      <c r="C164" s="1757" t="s">
        <v>1777</v>
      </c>
      <c r="D164" s="1786" t="e">
        <f t="shared" ref="D164:T164" si="121">D219*D$235*$U219</f>
        <v>#DIV/0!</v>
      </c>
      <c r="E164" s="1786" t="e">
        <f t="shared" si="121"/>
        <v>#DIV/0!</v>
      </c>
      <c r="F164" s="1786" t="e">
        <f t="shared" si="121"/>
        <v>#DIV/0!</v>
      </c>
      <c r="G164" s="1786" t="e">
        <f t="shared" si="121"/>
        <v>#DIV/0!</v>
      </c>
      <c r="H164" s="1786" t="e">
        <f t="shared" si="121"/>
        <v>#DIV/0!</v>
      </c>
      <c r="I164" s="1786" t="e">
        <f t="shared" si="121"/>
        <v>#DIV/0!</v>
      </c>
      <c r="J164" s="1786" t="e">
        <f t="shared" si="121"/>
        <v>#DIV/0!</v>
      </c>
      <c r="K164" s="1786" t="e">
        <f t="shared" si="121"/>
        <v>#DIV/0!</v>
      </c>
      <c r="L164" s="1786" t="e">
        <f t="shared" si="121"/>
        <v>#DIV/0!</v>
      </c>
      <c r="M164" s="1786" t="e">
        <f t="shared" si="121"/>
        <v>#DIV/0!</v>
      </c>
      <c r="N164" s="1786" t="e">
        <f t="shared" si="121"/>
        <v>#DIV/0!</v>
      </c>
      <c r="O164" s="1786" t="e">
        <f t="shared" si="121"/>
        <v>#DIV/0!</v>
      </c>
      <c r="P164" s="1786" t="e">
        <f t="shared" si="121"/>
        <v>#DIV/0!</v>
      </c>
      <c r="Q164" s="1786" t="e">
        <f t="shared" si="121"/>
        <v>#DIV/0!</v>
      </c>
      <c r="R164" s="1786" t="e">
        <f t="shared" si="121"/>
        <v>#DIV/0!</v>
      </c>
      <c r="S164" s="1786" t="e">
        <f t="shared" si="121"/>
        <v>#DIV/0!</v>
      </c>
      <c r="T164" s="1786" t="e">
        <f t="shared" si="121"/>
        <v>#DIV/0!</v>
      </c>
      <c r="U164" s="598"/>
      <c r="V164" s="598"/>
      <c r="W164" s="2456"/>
    </row>
    <row r="165" spans="2:23" ht="14.25" thickBot="1" x14ac:dyDescent="0.3">
      <c r="B165" s="2455">
        <v>29</v>
      </c>
      <c r="C165" s="1757" t="s">
        <v>1778</v>
      </c>
      <c r="D165" s="1786" t="e">
        <f t="shared" ref="D165:T165" si="122">D220*D$235*$U220</f>
        <v>#DIV/0!</v>
      </c>
      <c r="E165" s="1786" t="e">
        <f t="shared" si="122"/>
        <v>#DIV/0!</v>
      </c>
      <c r="F165" s="1786" t="e">
        <f t="shared" si="122"/>
        <v>#DIV/0!</v>
      </c>
      <c r="G165" s="1786" t="e">
        <f t="shared" si="122"/>
        <v>#DIV/0!</v>
      </c>
      <c r="H165" s="1786" t="e">
        <f t="shared" si="122"/>
        <v>#DIV/0!</v>
      </c>
      <c r="I165" s="1786" t="e">
        <f t="shared" si="122"/>
        <v>#DIV/0!</v>
      </c>
      <c r="J165" s="1786" t="e">
        <f t="shared" si="122"/>
        <v>#DIV/0!</v>
      </c>
      <c r="K165" s="1786" t="e">
        <f t="shared" si="122"/>
        <v>#DIV/0!</v>
      </c>
      <c r="L165" s="1786" t="e">
        <f t="shared" si="122"/>
        <v>#DIV/0!</v>
      </c>
      <c r="M165" s="1786" t="e">
        <f t="shared" si="122"/>
        <v>#DIV/0!</v>
      </c>
      <c r="N165" s="1786" t="e">
        <f t="shared" si="122"/>
        <v>#DIV/0!</v>
      </c>
      <c r="O165" s="1786" t="e">
        <f t="shared" si="122"/>
        <v>#DIV/0!</v>
      </c>
      <c r="P165" s="1786" t="e">
        <f t="shared" si="122"/>
        <v>#DIV/0!</v>
      </c>
      <c r="Q165" s="1786" t="e">
        <f t="shared" si="122"/>
        <v>#DIV/0!</v>
      </c>
      <c r="R165" s="1786" t="e">
        <f t="shared" si="122"/>
        <v>#DIV/0!</v>
      </c>
      <c r="S165" s="1786" t="e">
        <f t="shared" si="122"/>
        <v>#DIV/0!</v>
      </c>
      <c r="T165" s="1786" t="e">
        <f t="shared" si="122"/>
        <v>#DIV/0!</v>
      </c>
      <c r="U165" s="598"/>
      <c r="V165" s="598"/>
      <c r="W165" s="2456"/>
    </row>
    <row r="166" spans="2:23" ht="14.25" thickBot="1" x14ac:dyDescent="0.3">
      <c r="B166" s="2455">
        <v>30</v>
      </c>
      <c r="C166" s="1757" t="s">
        <v>1779</v>
      </c>
      <c r="D166" s="1786" t="e">
        <f t="shared" ref="D166:T166" si="123">D221*D$235*$U221</f>
        <v>#DIV/0!</v>
      </c>
      <c r="E166" s="1786" t="e">
        <f t="shared" si="123"/>
        <v>#DIV/0!</v>
      </c>
      <c r="F166" s="1786" t="e">
        <f t="shared" si="123"/>
        <v>#DIV/0!</v>
      </c>
      <c r="G166" s="1786" t="e">
        <f t="shared" si="123"/>
        <v>#DIV/0!</v>
      </c>
      <c r="H166" s="1786" t="e">
        <f t="shared" si="123"/>
        <v>#DIV/0!</v>
      </c>
      <c r="I166" s="1786" t="e">
        <f t="shared" si="123"/>
        <v>#DIV/0!</v>
      </c>
      <c r="J166" s="1786" t="e">
        <f t="shared" si="123"/>
        <v>#DIV/0!</v>
      </c>
      <c r="K166" s="1786" t="e">
        <f t="shared" si="123"/>
        <v>#DIV/0!</v>
      </c>
      <c r="L166" s="1786" t="e">
        <f t="shared" si="123"/>
        <v>#DIV/0!</v>
      </c>
      <c r="M166" s="1786" t="e">
        <f t="shared" si="123"/>
        <v>#DIV/0!</v>
      </c>
      <c r="N166" s="1786" t="e">
        <f t="shared" si="123"/>
        <v>#DIV/0!</v>
      </c>
      <c r="O166" s="1786" t="e">
        <f t="shared" si="123"/>
        <v>#DIV/0!</v>
      </c>
      <c r="P166" s="1786" t="e">
        <f t="shared" si="123"/>
        <v>#DIV/0!</v>
      </c>
      <c r="Q166" s="1786" t="e">
        <f t="shared" si="123"/>
        <v>#DIV/0!</v>
      </c>
      <c r="R166" s="1786" t="e">
        <f t="shared" si="123"/>
        <v>#DIV/0!</v>
      </c>
      <c r="S166" s="1786" t="e">
        <f t="shared" si="123"/>
        <v>#DIV/0!</v>
      </c>
      <c r="T166" s="1786" t="e">
        <f t="shared" si="123"/>
        <v>#DIV/0!</v>
      </c>
      <c r="U166" s="598"/>
      <c r="V166" s="598"/>
      <c r="W166" s="2456"/>
    </row>
    <row r="167" spans="2:23" ht="14.25" thickBot="1" x14ac:dyDescent="0.3">
      <c r="B167" s="2455">
        <v>31</v>
      </c>
      <c r="C167" s="1757" t="s">
        <v>1976</v>
      </c>
      <c r="D167" s="1786">
        <f t="shared" ref="D167:T167" si="124">D222*D$235*$U222</f>
        <v>2806.4720639999996</v>
      </c>
      <c r="E167" s="1786">
        <f t="shared" si="124"/>
        <v>2807.5595925452631</v>
      </c>
      <c r="F167" s="1786">
        <f t="shared" si="124"/>
        <v>2808.6475425158274</v>
      </c>
      <c r="G167" s="1786">
        <f t="shared" si="124"/>
        <v>2809.735914075</v>
      </c>
      <c r="H167" s="1786">
        <f t="shared" si="124"/>
        <v>2810.824707386148</v>
      </c>
      <c r="I167" s="1786">
        <f t="shared" si="124"/>
        <v>2811.9139226127036</v>
      </c>
      <c r="J167" s="1786">
        <f t="shared" si="124"/>
        <v>2813.0035599181629</v>
      </c>
      <c r="K167" s="1786">
        <f t="shared" si="124"/>
        <v>2814.0936194660844</v>
      </c>
      <c r="L167" s="1786">
        <f t="shared" si="124"/>
        <v>2815.18410142009</v>
      </c>
      <c r="M167" s="1786">
        <f t="shared" si="124"/>
        <v>2816.2750059438631</v>
      </c>
      <c r="N167" s="1786">
        <f t="shared" si="124"/>
        <v>2817.366333201157</v>
      </c>
      <c r="O167" s="1786">
        <f t="shared" si="124"/>
        <v>2818.4580833557811</v>
      </c>
      <c r="P167" s="1786">
        <f t="shared" si="124"/>
        <v>2819.550256571611</v>
      </c>
      <c r="Q167" s="1786">
        <f t="shared" si="124"/>
        <v>2820.6428530125868</v>
      </c>
      <c r="R167" s="1786">
        <f t="shared" si="124"/>
        <v>2821.7358728427116</v>
      </c>
      <c r="S167" s="1786">
        <f t="shared" si="124"/>
        <v>2822.829316226052</v>
      </c>
      <c r="T167" s="1786">
        <f t="shared" si="124"/>
        <v>2823.9231833267368</v>
      </c>
      <c r="U167" s="598"/>
      <c r="V167" s="598"/>
      <c r="W167" s="2456"/>
    </row>
    <row r="168" spans="2:23" ht="14.25" thickBot="1" x14ac:dyDescent="0.3">
      <c r="B168" s="2455">
        <v>32</v>
      </c>
      <c r="C168" s="1757" t="s">
        <v>1977</v>
      </c>
      <c r="D168" s="1786" t="e">
        <f t="shared" ref="D168:T168" si="125">D223*D$235*$U223</f>
        <v>#DIV/0!</v>
      </c>
      <c r="E168" s="1786" t="e">
        <f t="shared" si="125"/>
        <v>#DIV/0!</v>
      </c>
      <c r="F168" s="1786" t="e">
        <f t="shared" si="125"/>
        <v>#DIV/0!</v>
      </c>
      <c r="G168" s="1786" t="e">
        <f t="shared" si="125"/>
        <v>#DIV/0!</v>
      </c>
      <c r="H168" s="1786" t="e">
        <f t="shared" si="125"/>
        <v>#DIV/0!</v>
      </c>
      <c r="I168" s="1786" t="e">
        <f t="shared" si="125"/>
        <v>#DIV/0!</v>
      </c>
      <c r="J168" s="1786" t="e">
        <f t="shared" si="125"/>
        <v>#DIV/0!</v>
      </c>
      <c r="K168" s="1786" t="e">
        <f t="shared" si="125"/>
        <v>#DIV/0!</v>
      </c>
      <c r="L168" s="1786" t="e">
        <f t="shared" si="125"/>
        <v>#DIV/0!</v>
      </c>
      <c r="M168" s="1786" t="e">
        <f t="shared" si="125"/>
        <v>#DIV/0!</v>
      </c>
      <c r="N168" s="1786" t="e">
        <f t="shared" si="125"/>
        <v>#DIV/0!</v>
      </c>
      <c r="O168" s="1786" t="e">
        <f t="shared" si="125"/>
        <v>#DIV/0!</v>
      </c>
      <c r="P168" s="1786" t="e">
        <f t="shared" si="125"/>
        <v>#DIV/0!</v>
      </c>
      <c r="Q168" s="1786" t="e">
        <f t="shared" si="125"/>
        <v>#DIV/0!</v>
      </c>
      <c r="R168" s="1786" t="e">
        <f t="shared" si="125"/>
        <v>#DIV/0!</v>
      </c>
      <c r="S168" s="1786" t="e">
        <f t="shared" si="125"/>
        <v>#DIV/0!</v>
      </c>
      <c r="T168" s="1786" t="e">
        <f t="shared" si="125"/>
        <v>#DIV/0!</v>
      </c>
      <c r="U168" s="598"/>
      <c r="V168" s="598"/>
      <c r="W168" s="2456"/>
    </row>
    <row r="169" spans="2:23" ht="14.25" thickBot="1" x14ac:dyDescent="0.3">
      <c r="B169" s="2455"/>
      <c r="C169" s="2601" t="s">
        <v>1224</v>
      </c>
      <c r="D169" s="2598"/>
      <c r="E169" s="2598"/>
      <c r="F169" s="2598"/>
      <c r="G169" s="2598"/>
      <c r="H169" s="2598"/>
      <c r="I169" s="2598"/>
      <c r="J169" s="2598"/>
      <c r="K169" s="2598"/>
      <c r="L169" s="2598"/>
      <c r="M169" s="2598"/>
      <c r="N169" s="2598"/>
      <c r="O169" s="2598"/>
      <c r="P169" s="2598"/>
      <c r="Q169" s="2598"/>
      <c r="R169" s="2598"/>
      <c r="S169" s="2598"/>
      <c r="T169" s="2598"/>
      <c r="U169" s="598"/>
      <c r="V169" s="598"/>
      <c r="W169" s="2456"/>
    </row>
    <row r="170" spans="2:23" ht="14.25" thickBot="1" x14ac:dyDescent="0.3">
      <c r="B170" s="2455">
        <v>33</v>
      </c>
      <c r="C170" s="1758" t="s">
        <v>1978</v>
      </c>
      <c r="D170" s="1786" t="e">
        <f t="shared" ref="D170:T170" si="126">D225*D$235*$U225</f>
        <v>#DIV/0!</v>
      </c>
      <c r="E170" s="1786" t="e">
        <f t="shared" si="126"/>
        <v>#DIV/0!</v>
      </c>
      <c r="F170" s="1786" t="e">
        <f t="shared" si="126"/>
        <v>#DIV/0!</v>
      </c>
      <c r="G170" s="1786" t="e">
        <f t="shared" si="126"/>
        <v>#DIV/0!</v>
      </c>
      <c r="H170" s="1786" t="e">
        <f t="shared" si="126"/>
        <v>#DIV/0!</v>
      </c>
      <c r="I170" s="1786" t="e">
        <f t="shared" si="126"/>
        <v>#DIV/0!</v>
      </c>
      <c r="J170" s="1786" t="e">
        <f t="shared" si="126"/>
        <v>#DIV/0!</v>
      </c>
      <c r="K170" s="1786" t="e">
        <f t="shared" si="126"/>
        <v>#DIV/0!</v>
      </c>
      <c r="L170" s="1786" t="e">
        <f t="shared" si="126"/>
        <v>#DIV/0!</v>
      </c>
      <c r="M170" s="1786" t="e">
        <f t="shared" si="126"/>
        <v>#DIV/0!</v>
      </c>
      <c r="N170" s="1786" t="e">
        <f t="shared" si="126"/>
        <v>#DIV/0!</v>
      </c>
      <c r="O170" s="1786" t="e">
        <f t="shared" si="126"/>
        <v>#DIV/0!</v>
      </c>
      <c r="P170" s="1786" t="e">
        <f t="shared" si="126"/>
        <v>#DIV/0!</v>
      </c>
      <c r="Q170" s="1786" t="e">
        <f t="shared" si="126"/>
        <v>#DIV/0!</v>
      </c>
      <c r="R170" s="1786" t="e">
        <f t="shared" si="126"/>
        <v>#DIV/0!</v>
      </c>
      <c r="S170" s="1786" t="e">
        <f t="shared" si="126"/>
        <v>#DIV/0!</v>
      </c>
      <c r="T170" s="1786" t="e">
        <f t="shared" si="126"/>
        <v>#DIV/0!</v>
      </c>
      <c r="U170" s="598"/>
      <c r="V170" s="598"/>
      <c r="W170" s="2456"/>
    </row>
    <row r="171" spans="2:23" ht="14.25" thickBot="1" x14ac:dyDescent="0.3">
      <c r="B171" s="2455">
        <v>34</v>
      </c>
      <c r="C171" s="1758" t="s">
        <v>1979</v>
      </c>
      <c r="D171" s="1786" t="e">
        <f t="shared" ref="D171:T171" si="127">D226*D$235*$U226</f>
        <v>#DIV/0!</v>
      </c>
      <c r="E171" s="1786" t="e">
        <f t="shared" si="127"/>
        <v>#DIV/0!</v>
      </c>
      <c r="F171" s="1786" t="e">
        <f t="shared" si="127"/>
        <v>#DIV/0!</v>
      </c>
      <c r="G171" s="1786" t="e">
        <f t="shared" si="127"/>
        <v>#DIV/0!</v>
      </c>
      <c r="H171" s="1786" t="e">
        <f t="shared" si="127"/>
        <v>#DIV/0!</v>
      </c>
      <c r="I171" s="1786" t="e">
        <f t="shared" si="127"/>
        <v>#DIV/0!</v>
      </c>
      <c r="J171" s="1786" t="e">
        <f t="shared" si="127"/>
        <v>#DIV/0!</v>
      </c>
      <c r="K171" s="1786" t="e">
        <f t="shared" si="127"/>
        <v>#DIV/0!</v>
      </c>
      <c r="L171" s="1786" t="e">
        <f t="shared" si="127"/>
        <v>#DIV/0!</v>
      </c>
      <c r="M171" s="1786" t="e">
        <f t="shared" si="127"/>
        <v>#DIV/0!</v>
      </c>
      <c r="N171" s="1786" t="e">
        <f t="shared" si="127"/>
        <v>#DIV/0!</v>
      </c>
      <c r="O171" s="1786" t="e">
        <f t="shared" si="127"/>
        <v>#DIV/0!</v>
      </c>
      <c r="P171" s="1786" t="e">
        <f t="shared" si="127"/>
        <v>#DIV/0!</v>
      </c>
      <c r="Q171" s="1786" t="e">
        <f t="shared" si="127"/>
        <v>#DIV/0!</v>
      </c>
      <c r="R171" s="1786" t="e">
        <f t="shared" si="127"/>
        <v>#DIV/0!</v>
      </c>
      <c r="S171" s="1786" t="e">
        <f t="shared" si="127"/>
        <v>#DIV/0!</v>
      </c>
      <c r="T171" s="1786" t="e">
        <f t="shared" si="127"/>
        <v>#DIV/0!</v>
      </c>
      <c r="U171" s="598"/>
      <c r="V171" s="598"/>
      <c r="W171" s="2456"/>
    </row>
    <row r="172" spans="2:23" ht="14.25" thickBot="1" x14ac:dyDescent="0.3">
      <c r="B172" s="2455">
        <v>35</v>
      </c>
      <c r="C172" s="1758" t="s">
        <v>90</v>
      </c>
      <c r="D172" s="1786" t="e">
        <f t="shared" ref="D172:T172" si="128">D227*D$235*$U227</f>
        <v>#DIV/0!</v>
      </c>
      <c r="E172" s="1786" t="e">
        <f t="shared" si="128"/>
        <v>#DIV/0!</v>
      </c>
      <c r="F172" s="1786" t="e">
        <f t="shared" si="128"/>
        <v>#DIV/0!</v>
      </c>
      <c r="G172" s="1786" t="e">
        <f t="shared" si="128"/>
        <v>#DIV/0!</v>
      </c>
      <c r="H172" s="1786" t="e">
        <f t="shared" si="128"/>
        <v>#DIV/0!</v>
      </c>
      <c r="I172" s="1786" t="e">
        <f t="shared" si="128"/>
        <v>#DIV/0!</v>
      </c>
      <c r="J172" s="1786" t="e">
        <f t="shared" si="128"/>
        <v>#DIV/0!</v>
      </c>
      <c r="K172" s="1786" t="e">
        <f t="shared" si="128"/>
        <v>#DIV/0!</v>
      </c>
      <c r="L172" s="1786" t="e">
        <f t="shared" si="128"/>
        <v>#DIV/0!</v>
      </c>
      <c r="M172" s="1786" t="e">
        <f t="shared" si="128"/>
        <v>#DIV/0!</v>
      </c>
      <c r="N172" s="1786" t="e">
        <f t="shared" si="128"/>
        <v>#DIV/0!</v>
      </c>
      <c r="O172" s="1786" t="e">
        <f t="shared" si="128"/>
        <v>#DIV/0!</v>
      </c>
      <c r="P172" s="1786" t="e">
        <f t="shared" si="128"/>
        <v>#DIV/0!</v>
      </c>
      <c r="Q172" s="1786" t="e">
        <f t="shared" si="128"/>
        <v>#DIV/0!</v>
      </c>
      <c r="R172" s="1786" t="e">
        <f t="shared" si="128"/>
        <v>#DIV/0!</v>
      </c>
      <c r="S172" s="1786" t="e">
        <f t="shared" si="128"/>
        <v>#DIV/0!</v>
      </c>
      <c r="T172" s="1786" t="e">
        <f t="shared" si="128"/>
        <v>#DIV/0!</v>
      </c>
      <c r="U172" s="598"/>
      <c r="V172" s="598"/>
      <c r="W172" s="2456"/>
    </row>
    <row r="173" spans="2:23" ht="14.25" thickBot="1" x14ac:dyDescent="0.3">
      <c r="B173" s="2455">
        <v>36</v>
      </c>
      <c r="C173" s="1758" t="s">
        <v>91</v>
      </c>
      <c r="D173" s="1786">
        <f t="shared" ref="D173:T173" si="129">D228*D$235*$U228</f>
        <v>1820.8079999999998</v>
      </c>
      <c r="E173" s="1786">
        <f t="shared" si="129"/>
        <v>1821.5135764783279</v>
      </c>
      <c r="F173" s="1786">
        <f t="shared" si="129"/>
        <v>1822.2194263727256</v>
      </c>
      <c r="G173" s="1786">
        <f t="shared" si="129"/>
        <v>1822.9255497891431</v>
      </c>
      <c r="H173" s="1786">
        <f t="shared" si="129"/>
        <v>1823.6319468335732</v>
      </c>
      <c r="I173" s="1786">
        <f t="shared" si="129"/>
        <v>1824.338617612048</v>
      </c>
      <c r="J173" s="1786">
        <f t="shared" si="129"/>
        <v>1825.0455622306417</v>
      </c>
      <c r="K173" s="1786">
        <f t="shared" si="129"/>
        <v>1825.7527807954698</v>
      </c>
      <c r="L173" s="1786">
        <f t="shared" si="129"/>
        <v>1826.4602734126877</v>
      </c>
      <c r="M173" s="1786">
        <f t="shared" si="129"/>
        <v>1827.168040188493</v>
      </c>
      <c r="N173" s="1786">
        <f t="shared" si="129"/>
        <v>1827.8760812291241</v>
      </c>
      <c r="O173" s="1786">
        <f t="shared" si="129"/>
        <v>1828.5843966408611</v>
      </c>
      <c r="P173" s="1786">
        <f t="shared" si="129"/>
        <v>1829.2929865300243</v>
      </c>
      <c r="Q173" s="1786">
        <f t="shared" si="129"/>
        <v>1830.0018510029759</v>
      </c>
      <c r="R173" s="1786">
        <f t="shared" si="129"/>
        <v>1830.7109901661192</v>
      </c>
      <c r="S173" s="1786">
        <f t="shared" si="129"/>
        <v>1831.4204041258986</v>
      </c>
      <c r="T173" s="1786">
        <f t="shared" si="129"/>
        <v>1832.1300929887998</v>
      </c>
      <c r="U173" s="598"/>
      <c r="V173" s="598"/>
      <c r="W173" s="2456"/>
    </row>
    <row r="174" spans="2:23" ht="14.25" thickBot="1" x14ac:dyDescent="0.3">
      <c r="B174" s="2455">
        <v>37</v>
      </c>
      <c r="C174" s="1758" t="s">
        <v>4196</v>
      </c>
      <c r="D174" s="1786">
        <f t="shared" ref="D174:T174" si="130">D229*D$235*$U229</f>
        <v>146.11314765468117</v>
      </c>
      <c r="E174" s="1786">
        <f t="shared" si="130"/>
        <v>146.16976757295899</v>
      </c>
      <c r="F174" s="1786">
        <f t="shared" si="130"/>
        <v>146.22640943187119</v>
      </c>
      <c r="G174" s="1786">
        <f t="shared" si="130"/>
        <v>146.28307323991987</v>
      </c>
      <c r="H174" s="1786">
        <f t="shared" si="130"/>
        <v>146.33975900561052</v>
      </c>
      <c r="I174" s="1786">
        <f t="shared" si="130"/>
        <v>146.39646673745182</v>
      </c>
      <c r="J174" s="1786">
        <f t="shared" si="130"/>
        <v>146.45319644395593</v>
      </c>
      <c r="K174" s="1786">
        <f t="shared" si="130"/>
        <v>146.50994813363812</v>
      </c>
      <c r="L174" s="1786">
        <f t="shared" si="130"/>
        <v>146.56672181501699</v>
      </c>
      <c r="M174" s="1786">
        <f t="shared" si="130"/>
        <v>146.6235174966146</v>
      </c>
      <c r="N174" s="1786">
        <f t="shared" si="130"/>
        <v>146.68033518695609</v>
      </c>
      <c r="O174" s="1786">
        <f t="shared" si="130"/>
        <v>146.73717489457005</v>
      </c>
      <c r="P174" s="1786">
        <f t="shared" si="130"/>
        <v>146.79403662798836</v>
      </c>
      <c r="Q174" s="1786">
        <f t="shared" si="130"/>
        <v>146.85092039574616</v>
      </c>
      <c r="R174" s="1786">
        <f t="shared" si="130"/>
        <v>146.90782620638191</v>
      </c>
      <c r="S174" s="1786">
        <f t="shared" si="130"/>
        <v>146.9647540684374</v>
      </c>
      <c r="T174" s="1786">
        <f t="shared" si="130"/>
        <v>147.02170399045769</v>
      </c>
      <c r="U174" s="598"/>
      <c r="V174" s="598"/>
      <c r="W174" s="2456"/>
    </row>
    <row r="175" spans="2:23" ht="14.25" thickBot="1" x14ac:dyDescent="0.3">
      <c r="B175" s="2455">
        <v>38</v>
      </c>
      <c r="C175" s="1758" t="s">
        <v>1982</v>
      </c>
      <c r="D175" s="1786" t="e">
        <f t="shared" ref="D175:T175" si="131">D230*D$235*$U230</f>
        <v>#DIV/0!</v>
      </c>
      <c r="E175" s="1786" t="e">
        <f t="shared" si="131"/>
        <v>#DIV/0!</v>
      </c>
      <c r="F175" s="1786" t="e">
        <f t="shared" si="131"/>
        <v>#DIV/0!</v>
      </c>
      <c r="G175" s="1786" t="e">
        <f t="shared" si="131"/>
        <v>#DIV/0!</v>
      </c>
      <c r="H175" s="1786" t="e">
        <f t="shared" si="131"/>
        <v>#DIV/0!</v>
      </c>
      <c r="I175" s="1786" t="e">
        <f t="shared" si="131"/>
        <v>#DIV/0!</v>
      </c>
      <c r="J175" s="1786" t="e">
        <f t="shared" si="131"/>
        <v>#DIV/0!</v>
      </c>
      <c r="K175" s="1786" t="e">
        <f t="shared" si="131"/>
        <v>#DIV/0!</v>
      </c>
      <c r="L175" s="1786" t="e">
        <f t="shared" si="131"/>
        <v>#DIV/0!</v>
      </c>
      <c r="M175" s="1786" t="e">
        <f t="shared" si="131"/>
        <v>#DIV/0!</v>
      </c>
      <c r="N175" s="1786" t="e">
        <f t="shared" si="131"/>
        <v>#DIV/0!</v>
      </c>
      <c r="O175" s="1786" t="e">
        <f t="shared" si="131"/>
        <v>#DIV/0!</v>
      </c>
      <c r="P175" s="1786" t="e">
        <f t="shared" si="131"/>
        <v>#DIV/0!</v>
      </c>
      <c r="Q175" s="1786" t="e">
        <f t="shared" si="131"/>
        <v>#DIV/0!</v>
      </c>
      <c r="R175" s="1786" t="e">
        <f t="shared" si="131"/>
        <v>#DIV/0!</v>
      </c>
      <c r="S175" s="1786" t="e">
        <f t="shared" si="131"/>
        <v>#DIV/0!</v>
      </c>
      <c r="T175" s="1786" t="e">
        <f t="shared" si="131"/>
        <v>#DIV/0!</v>
      </c>
      <c r="U175" s="598"/>
      <c r="V175" s="598"/>
      <c r="W175" s="2456"/>
    </row>
    <row r="176" spans="2:23" ht="14.25" thickBot="1" x14ac:dyDescent="0.3">
      <c r="B176" s="2455">
        <v>39</v>
      </c>
      <c r="C176" s="1771" t="s">
        <v>381</v>
      </c>
      <c r="D176" s="1786" t="e">
        <f t="shared" ref="D176:T176" si="132">D231*D$235*$U231</f>
        <v>#DIV/0!</v>
      </c>
      <c r="E176" s="1786" t="e">
        <f t="shared" si="132"/>
        <v>#DIV/0!</v>
      </c>
      <c r="F176" s="1786" t="e">
        <f t="shared" si="132"/>
        <v>#DIV/0!</v>
      </c>
      <c r="G176" s="1786" t="e">
        <f t="shared" si="132"/>
        <v>#DIV/0!</v>
      </c>
      <c r="H176" s="1786" t="e">
        <f t="shared" si="132"/>
        <v>#DIV/0!</v>
      </c>
      <c r="I176" s="1786" t="e">
        <f t="shared" si="132"/>
        <v>#DIV/0!</v>
      </c>
      <c r="J176" s="1786" t="e">
        <f t="shared" si="132"/>
        <v>#DIV/0!</v>
      </c>
      <c r="K176" s="1786" t="e">
        <f t="shared" si="132"/>
        <v>#DIV/0!</v>
      </c>
      <c r="L176" s="1786" t="e">
        <f t="shared" si="132"/>
        <v>#DIV/0!</v>
      </c>
      <c r="M176" s="1786" t="e">
        <f t="shared" si="132"/>
        <v>#DIV/0!</v>
      </c>
      <c r="N176" s="1786" t="e">
        <f t="shared" si="132"/>
        <v>#DIV/0!</v>
      </c>
      <c r="O176" s="1786" t="e">
        <f t="shared" si="132"/>
        <v>#DIV/0!</v>
      </c>
      <c r="P176" s="1786" t="e">
        <f t="shared" si="132"/>
        <v>#DIV/0!</v>
      </c>
      <c r="Q176" s="1786" t="e">
        <f t="shared" si="132"/>
        <v>#DIV/0!</v>
      </c>
      <c r="R176" s="1786" t="e">
        <f t="shared" si="132"/>
        <v>#DIV/0!</v>
      </c>
      <c r="S176" s="1786" t="e">
        <f t="shared" si="132"/>
        <v>#DIV/0!</v>
      </c>
      <c r="T176" s="1786" t="e">
        <f t="shared" si="132"/>
        <v>#DIV/0!</v>
      </c>
      <c r="U176" s="598"/>
      <c r="V176" s="598"/>
      <c r="W176" s="2456"/>
    </row>
    <row r="177" spans="1:24" ht="14.25" thickBot="1" x14ac:dyDescent="0.3">
      <c r="B177" s="2455"/>
      <c r="C177" s="1188" t="s">
        <v>150</v>
      </c>
      <c r="D177" s="1189" t="e">
        <f t="shared" ref="D177:T177" si="133">SUM(D132:D176)</f>
        <v>#DIV/0!</v>
      </c>
      <c r="E177" s="1189" t="e">
        <f t="shared" si="133"/>
        <v>#DIV/0!</v>
      </c>
      <c r="F177" s="1189" t="e">
        <f t="shared" si="133"/>
        <v>#DIV/0!</v>
      </c>
      <c r="G177" s="1189" t="e">
        <f t="shared" si="133"/>
        <v>#DIV/0!</v>
      </c>
      <c r="H177" s="1189" t="e">
        <f t="shared" si="133"/>
        <v>#DIV/0!</v>
      </c>
      <c r="I177" s="1189" t="e">
        <f t="shared" si="133"/>
        <v>#DIV/0!</v>
      </c>
      <c r="J177" s="1189" t="e">
        <f t="shared" si="133"/>
        <v>#DIV/0!</v>
      </c>
      <c r="K177" s="1189" t="e">
        <f t="shared" si="133"/>
        <v>#DIV/0!</v>
      </c>
      <c r="L177" s="1189" t="e">
        <f t="shared" si="133"/>
        <v>#DIV/0!</v>
      </c>
      <c r="M177" s="1189" t="e">
        <f t="shared" si="133"/>
        <v>#DIV/0!</v>
      </c>
      <c r="N177" s="1189" t="e">
        <f t="shared" si="133"/>
        <v>#DIV/0!</v>
      </c>
      <c r="O177" s="1189" t="e">
        <f t="shared" si="133"/>
        <v>#DIV/0!</v>
      </c>
      <c r="P177" s="1189" t="e">
        <f t="shared" si="133"/>
        <v>#DIV/0!</v>
      </c>
      <c r="Q177" s="1189" t="e">
        <f t="shared" si="133"/>
        <v>#DIV/0!</v>
      </c>
      <c r="R177" s="1189" t="e">
        <f t="shared" si="133"/>
        <v>#DIV/0!</v>
      </c>
      <c r="S177" s="1189" t="e">
        <f t="shared" si="133"/>
        <v>#DIV/0!</v>
      </c>
      <c r="T177" s="1190" t="e">
        <f t="shared" si="133"/>
        <v>#DIV/0!</v>
      </c>
      <c r="U177" s="598"/>
      <c r="V177" s="598"/>
      <c r="W177" s="2456"/>
    </row>
    <row r="178" spans="1:24" x14ac:dyDescent="0.25">
      <c r="B178" s="2455"/>
      <c r="C178" s="598" t="s">
        <v>1983</v>
      </c>
      <c r="D178" s="598"/>
      <c r="E178" s="598"/>
      <c r="F178" s="598"/>
      <c r="G178" s="598"/>
      <c r="H178" s="598"/>
      <c r="I178" s="598"/>
      <c r="J178" s="598"/>
      <c r="K178" s="598"/>
      <c r="L178" s="598"/>
      <c r="M178" s="598"/>
      <c r="N178" s="598"/>
      <c r="O178" s="598"/>
      <c r="P178" s="598"/>
      <c r="Q178" s="1174"/>
      <c r="R178" s="1174"/>
      <c r="S178" s="1174"/>
      <c r="T178" s="1174" t="e">
        <f>SUM(G177:T177)</f>
        <v>#DIV/0!</v>
      </c>
      <c r="U178" s="598"/>
      <c r="V178" s="598"/>
      <c r="W178" s="2456"/>
    </row>
    <row r="179" spans="1:24" x14ac:dyDescent="0.25">
      <c r="B179" s="2455"/>
      <c r="C179" s="598"/>
      <c r="D179" s="598"/>
      <c r="E179" s="598"/>
      <c r="F179" s="598"/>
      <c r="G179" s="598"/>
      <c r="H179" s="598"/>
      <c r="I179" s="598"/>
      <c r="J179" s="598"/>
      <c r="K179" s="598"/>
      <c r="L179" s="598"/>
      <c r="M179" s="598"/>
      <c r="N179" s="598"/>
      <c r="O179" s="598"/>
      <c r="P179" s="598"/>
      <c r="Q179" s="598"/>
      <c r="R179" s="598"/>
      <c r="S179" s="598"/>
      <c r="T179" s="598"/>
      <c r="U179" s="598"/>
      <c r="V179" s="598"/>
      <c r="W179" s="2456"/>
    </row>
    <row r="180" spans="1:24" x14ac:dyDescent="0.25">
      <c r="A180" s="2592"/>
      <c r="B180" s="2606"/>
      <c r="C180" s="598"/>
      <c r="D180" s="598"/>
      <c r="E180" s="598"/>
      <c r="F180" s="598"/>
      <c r="G180" s="598"/>
      <c r="H180" s="598"/>
      <c r="I180" s="598"/>
      <c r="J180" s="598"/>
      <c r="K180" s="598"/>
      <c r="L180" s="598"/>
      <c r="M180" s="598"/>
      <c r="N180" s="598"/>
      <c r="O180" s="598"/>
      <c r="P180" s="598"/>
      <c r="Q180" s="598"/>
      <c r="R180" s="598"/>
      <c r="S180" s="598"/>
      <c r="T180" s="598"/>
      <c r="U180" s="598"/>
      <c r="V180" s="598"/>
      <c r="W180" s="2456"/>
    </row>
    <row r="181" spans="1:24" x14ac:dyDescent="0.25">
      <c r="B181" s="2455"/>
      <c r="C181" s="598"/>
      <c r="D181" s="598"/>
      <c r="E181" s="598"/>
      <c r="F181" s="598"/>
      <c r="G181" s="598"/>
      <c r="H181" s="598"/>
      <c r="I181" s="598"/>
      <c r="J181" s="598"/>
      <c r="K181" s="598"/>
      <c r="L181" s="598"/>
      <c r="M181" s="598"/>
      <c r="N181" s="598"/>
      <c r="O181" s="598"/>
      <c r="P181" s="598"/>
      <c r="Q181" s="598"/>
      <c r="R181" s="598"/>
      <c r="S181" s="598"/>
      <c r="T181" s="598"/>
      <c r="U181" s="598"/>
      <c r="V181" s="598"/>
      <c r="W181" s="2456"/>
    </row>
    <row r="182" spans="1:24" x14ac:dyDescent="0.25">
      <c r="B182" s="2455"/>
      <c r="C182" s="4897" t="s">
        <v>4197</v>
      </c>
      <c r="D182" s="4465"/>
      <c r="E182" s="4465"/>
      <c r="F182" s="4465"/>
      <c r="G182" s="4465"/>
      <c r="H182" s="4465"/>
      <c r="I182" s="4465"/>
      <c r="J182" s="4465"/>
      <c r="K182" s="4465"/>
      <c r="L182" s="4465"/>
      <c r="M182" s="4465"/>
      <c r="N182" s="4465"/>
      <c r="O182" s="4465"/>
      <c r="P182" s="4465"/>
      <c r="Q182" s="4465"/>
      <c r="R182" s="4465"/>
      <c r="S182" s="4465"/>
      <c r="T182" s="4465"/>
      <c r="U182" s="4465"/>
      <c r="V182" s="4465"/>
      <c r="W182" s="2456"/>
    </row>
    <row r="183" spans="1:24" x14ac:dyDescent="0.25">
      <c r="B183" s="2455"/>
      <c r="C183" s="4897"/>
      <c r="D183" s="4465"/>
      <c r="E183" s="4465"/>
      <c r="F183" s="4465"/>
      <c r="G183" s="4465"/>
      <c r="H183" s="4465"/>
      <c r="I183" s="4465"/>
      <c r="J183" s="4465"/>
      <c r="K183" s="4465"/>
      <c r="L183" s="4465"/>
      <c r="M183" s="4465"/>
      <c r="N183" s="4465"/>
      <c r="O183" s="4465"/>
      <c r="P183" s="4465"/>
      <c r="Q183" s="4465"/>
      <c r="R183" s="4465"/>
      <c r="S183" s="4465"/>
      <c r="T183" s="4465"/>
      <c r="U183" s="4465"/>
      <c r="V183" s="4465"/>
      <c r="W183" s="2456"/>
    </row>
    <row r="184" spans="1:24" ht="14.25" thickBot="1" x14ac:dyDescent="0.3">
      <c r="B184" s="2455"/>
      <c r="C184" s="1159"/>
      <c r="D184" s="1160"/>
      <c r="E184" s="1160"/>
      <c r="F184" s="1160"/>
      <c r="G184" s="1160"/>
      <c r="H184" s="1160"/>
      <c r="I184" s="1160"/>
      <c r="J184" s="1160"/>
      <c r="K184" s="1160"/>
      <c r="L184" s="1160"/>
      <c r="M184" s="1160"/>
      <c r="N184" s="1160"/>
      <c r="O184" s="1160"/>
      <c r="P184" s="1160"/>
      <c r="Q184" s="1160"/>
      <c r="R184" s="1160"/>
      <c r="S184" s="1160"/>
      <c r="T184" s="1160"/>
      <c r="U184" s="598"/>
      <c r="V184" s="598"/>
      <c r="W184" s="2456"/>
    </row>
    <row r="185" spans="1:24" ht="14.25" thickBot="1" x14ac:dyDescent="0.3">
      <c r="B185" s="2455"/>
      <c r="C185" s="4460" t="s">
        <v>418</v>
      </c>
      <c r="D185" s="1756" t="s">
        <v>1960</v>
      </c>
      <c r="E185" s="1756" t="s">
        <v>1960</v>
      </c>
      <c r="F185" s="1756" t="s">
        <v>1961</v>
      </c>
      <c r="G185" s="1756" t="s">
        <v>1962</v>
      </c>
      <c r="H185" s="1756" t="s">
        <v>1963</v>
      </c>
      <c r="I185" s="1756" t="s">
        <v>2001</v>
      </c>
      <c r="J185" s="1756" t="s">
        <v>2002</v>
      </c>
      <c r="K185" s="1756" t="s">
        <v>2003</v>
      </c>
      <c r="L185" s="1756" t="s">
        <v>2004</v>
      </c>
      <c r="M185" s="1756" t="s">
        <v>2005</v>
      </c>
      <c r="N185" s="1756" t="s">
        <v>2006</v>
      </c>
      <c r="O185" s="1756" t="s">
        <v>2007</v>
      </c>
      <c r="P185" s="1756" t="s">
        <v>2008</v>
      </c>
      <c r="Q185" s="1756" t="s">
        <v>2009</v>
      </c>
      <c r="R185" s="1756" t="s">
        <v>2010</v>
      </c>
      <c r="S185" s="1756" t="s">
        <v>2011</v>
      </c>
      <c r="T185" s="1756" t="s">
        <v>2012</v>
      </c>
      <c r="U185" s="4466" t="s">
        <v>4198</v>
      </c>
      <c r="V185" s="4462" t="s">
        <v>4199</v>
      </c>
      <c r="W185" s="2456"/>
    </row>
    <row r="186" spans="1:24" ht="14.25" thickBot="1" x14ac:dyDescent="0.3">
      <c r="B186" s="2455"/>
      <c r="C186" s="4461"/>
      <c r="D186" s="1605">
        <v>2018</v>
      </c>
      <c r="E186" s="1605">
        <f t="shared" ref="E186:R186" si="134">+D186+1</f>
        <v>2019</v>
      </c>
      <c r="F186" s="1605">
        <f t="shared" si="134"/>
        <v>2020</v>
      </c>
      <c r="G186" s="1605">
        <f t="shared" si="134"/>
        <v>2021</v>
      </c>
      <c r="H186" s="1605">
        <f t="shared" si="134"/>
        <v>2022</v>
      </c>
      <c r="I186" s="1605">
        <f t="shared" si="134"/>
        <v>2023</v>
      </c>
      <c r="J186" s="1605">
        <f t="shared" si="134"/>
        <v>2024</v>
      </c>
      <c r="K186" s="1605">
        <f t="shared" si="134"/>
        <v>2025</v>
      </c>
      <c r="L186" s="1605">
        <f t="shared" si="134"/>
        <v>2026</v>
      </c>
      <c r="M186" s="1605">
        <f t="shared" si="134"/>
        <v>2027</v>
      </c>
      <c r="N186" s="1605">
        <f t="shared" si="134"/>
        <v>2028</v>
      </c>
      <c r="O186" s="1605">
        <f t="shared" si="134"/>
        <v>2029</v>
      </c>
      <c r="P186" s="1605">
        <f t="shared" si="134"/>
        <v>2030</v>
      </c>
      <c r="Q186" s="1605">
        <f t="shared" si="134"/>
        <v>2031</v>
      </c>
      <c r="R186" s="1605">
        <f t="shared" si="134"/>
        <v>2032</v>
      </c>
      <c r="S186" s="1605">
        <f>+R186+1</f>
        <v>2033</v>
      </c>
      <c r="T186" s="1605">
        <f>+S186+1</f>
        <v>2034</v>
      </c>
      <c r="U186" s="4896"/>
      <c r="V186" s="4463"/>
      <c r="W186" s="2456"/>
    </row>
    <row r="187" spans="1:24" ht="14.25" thickBot="1" x14ac:dyDescent="0.3">
      <c r="B187" s="2455"/>
      <c r="C187" s="2597" t="s">
        <v>71</v>
      </c>
      <c r="D187" s="2598"/>
      <c r="E187" s="2598"/>
      <c r="F187" s="2598"/>
      <c r="G187" s="2598"/>
      <c r="H187" s="2598"/>
      <c r="I187" s="2598"/>
      <c r="J187" s="2598"/>
      <c r="K187" s="2598"/>
      <c r="L187" s="2598"/>
      <c r="M187" s="2598"/>
      <c r="N187" s="2598"/>
      <c r="O187" s="2598"/>
      <c r="P187" s="2598"/>
      <c r="Q187" s="2598"/>
      <c r="R187" s="2598"/>
      <c r="S187" s="2598"/>
      <c r="T187" s="2598"/>
      <c r="U187" s="2602"/>
      <c r="V187" s="2602"/>
      <c r="W187" s="2456"/>
    </row>
    <row r="188" spans="1:24" ht="14.25" thickBot="1" x14ac:dyDescent="0.3">
      <c r="B188" s="2455">
        <v>1</v>
      </c>
      <c r="C188" s="1758" t="str">
        <f>'14 Dda Consolidda'!D10</f>
        <v>Consulta ambulatoria por médico general</v>
      </c>
      <c r="D188" s="1786">
        <f>'14 Dda Consolidda'!E10</f>
        <v>727.39241737423697</v>
      </c>
      <c r="E188" s="1786">
        <f>'14 Dda Consolidda'!F10</f>
        <v>733.00749502117742</v>
      </c>
      <c r="F188" s="1786">
        <f>'14 Dda Consolidda'!G10</f>
        <v>738.62681520914748</v>
      </c>
      <c r="G188" s="1786">
        <f>'14 Dda Consolidda'!H10</f>
        <v>744.25038038300841</v>
      </c>
      <c r="H188" s="1786">
        <f>'14 Dda Consolidda'!I10</f>
        <v>749.87819298887825</v>
      </c>
      <c r="I188" s="1786">
        <f>'14 Dda Consolidda'!J10</f>
        <v>755.5102554741336</v>
      </c>
      <c r="J188" s="1786">
        <f>'14 Dda Consolidda'!K10</f>
        <v>761.14657028741021</v>
      </c>
      <c r="K188" s="1786">
        <f>'14 Dda Consolidda'!L10</f>
        <v>766.78713987860363</v>
      </c>
      <c r="L188" s="1786">
        <f>'14 Dda Consolidda'!M10</f>
        <v>772.43196669886925</v>
      </c>
      <c r="M188" s="1786">
        <f>'14 Dda Consolidda'!N10</f>
        <v>778.08105320062305</v>
      </c>
      <c r="N188" s="1786">
        <f>'14 Dda Consolidda'!O10</f>
        <v>783.73440183754235</v>
      </c>
      <c r="O188" s="1786">
        <f>'14 Dda Consolidda'!P10</f>
        <v>789.39201506456743</v>
      </c>
      <c r="P188" s="1786">
        <f>'14 Dda Consolidda'!Q10</f>
        <v>795.05389533790003</v>
      </c>
      <c r="Q188" s="1786">
        <f>'14 Dda Consolidda'!R10</f>
        <v>800.72004511500563</v>
      </c>
      <c r="R188" s="1786">
        <f>'14 Dda Consolidda'!S10</f>
        <v>806.39046685461324</v>
      </c>
      <c r="S188" s="1786">
        <f>'14 Dda Consolidda'!T10</f>
        <v>812.06516301671672</v>
      </c>
      <c r="T188" s="1786">
        <f>'14 Dda Consolidda'!U10</f>
        <v>817.74413606257485</v>
      </c>
      <c r="U188" s="2474">
        <v>8.5</v>
      </c>
      <c r="V188" s="2474">
        <v>5</v>
      </c>
      <c r="W188" s="2456"/>
      <c r="X188" s="2497">
        <v>1</v>
      </c>
    </row>
    <row r="189" spans="1:24" ht="27.75" thickBot="1" x14ac:dyDescent="0.3">
      <c r="B189" s="2455">
        <v>2</v>
      </c>
      <c r="C189" s="1758" t="str">
        <f>'14 Dda Consolidda'!D11</f>
        <v>Consulta ambulatoria por médico especialista en Ginecología y Obstetricia</v>
      </c>
      <c r="D189" s="1786">
        <f>'14 Dda Consolidda'!E11</f>
        <v>0</v>
      </c>
      <c r="E189" s="1786">
        <f>'14 Dda Consolidda'!F11</f>
        <v>0</v>
      </c>
      <c r="F189" s="1786">
        <f>'14 Dda Consolidda'!G11</f>
        <v>0</v>
      </c>
      <c r="G189" s="1786">
        <f>'14 Dda Consolidda'!H11</f>
        <v>0</v>
      </c>
      <c r="H189" s="1786">
        <f>'14 Dda Consolidda'!I11</f>
        <v>0</v>
      </c>
      <c r="I189" s="1786">
        <f>'14 Dda Consolidda'!J11</f>
        <v>0</v>
      </c>
      <c r="J189" s="1786">
        <f>'14 Dda Consolidda'!K11</f>
        <v>0</v>
      </c>
      <c r="K189" s="1786">
        <f>'14 Dda Consolidda'!L11</f>
        <v>0</v>
      </c>
      <c r="L189" s="1786">
        <f>'14 Dda Consolidda'!M11</f>
        <v>0</v>
      </c>
      <c r="M189" s="1786">
        <f>'14 Dda Consolidda'!N11</f>
        <v>0</v>
      </c>
      <c r="N189" s="1786">
        <f>'14 Dda Consolidda'!O11</f>
        <v>0</v>
      </c>
      <c r="O189" s="1786">
        <f>'14 Dda Consolidda'!P11</f>
        <v>0</v>
      </c>
      <c r="P189" s="1786">
        <f>'14 Dda Consolidda'!Q11</f>
        <v>0</v>
      </c>
      <c r="Q189" s="1786">
        <f>'14 Dda Consolidda'!R11</f>
        <v>0</v>
      </c>
      <c r="R189" s="1786">
        <f>'14 Dda Consolidda'!S11</f>
        <v>0</v>
      </c>
      <c r="S189" s="1786">
        <f>'14 Dda Consolidda'!T11</f>
        <v>0</v>
      </c>
      <c r="T189" s="1786">
        <f>'14 Dda Consolidda'!U11</f>
        <v>0</v>
      </c>
      <c r="U189" s="2474">
        <v>8.5</v>
      </c>
      <c r="V189" s="2474">
        <v>10</v>
      </c>
      <c r="W189" s="2456"/>
      <c r="X189" s="2497"/>
    </row>
    <row r="190" spans="1:24" ht="27.75" thickBot="1" x14ac:dyDescent="0.3">
      <c r="B190" s="2455">
        <v>3</v>
      </c>
      <c r="C190" s="1758" t="str">
        <f>'14 Dda Consolidda'!D12</f>
        <v>Consulta ambulatoria por médico especialista en Pediatría</v>
      </c>
      <c r="D190" s="1786" t="e">
        <f>'14 Dda Consolidda'!E12</f>
        <v>#DIV/0!</v>
      </c>
      <c r="E190" s="1786" t="e">
        <f>'14 Dda Consolidda'!F12</f>
        <v>#DIV/0!</v>
      </c>
      <c r="F190" s="1786" t="e">
        <f>'14 Dda Consolidda'!G12</f>
        <v>#DIV/0!</v>
      </c>
      <c r="G190" s="1786" t="e">
        <f>'14 Dda Consolidda'!H12</f>
        <v>#DIV/0!</v>
      </c>
      <c r="H190" s="1786" t="e">
        <f>'14 Dda Consolidda'!I12</f>
        <v>#DIV/0!</v>
      </c>
      <c r="I190" s="1786" t="e">
        <f>'14 Dda Consolidda'!J12</f>
        <v>#DIV/0!</v>
      </c>
      <c r="J190" s="1786" t="e">
        <f>'14 Dda Consolidda'!K12</f>
        <v>#DIV/0!</v>
      </c>
      <c r="K190" s="1786" t="e">
        <f>'14 Dda Consolidda'!L12</f>
        <v>#DIV/0!</v>
      </c>
      <c r="L190" s="1786" t="e">
        <f>'14 Dda Consolidda'!M12</f>
        <v>#DIV/0!</v>
      </c>
      <c r="M190" s="1786" t="e">
        <f>'14 Dda Consolidda'!N12</f>
        <v>#DIV/0!</v>
      </c>
      <c r="N190" s="1786" t="e">
        <f>'14 Dda Consolidda'!O12</f>
        <v>#DIV/0!</v>
      </c>
      <c r="O190" s="1786" t="e">
        <f>'14 Dda Consolidda'!P12</f>
        <v>#DIV/0!</v>
      </c>
      <c r="P190" s="1786" t="e">
        <f>'14 Dda Consolidda'!Q12</f>
        <v>#DIV/0!</v>
      </c>
      <c r="Q190" s="1786" t="e">
        <f>'14 Dda Consolidda'!R12</f>
        <v>#DIV/0!</v>
      </c>
      <c r="R190" s="1786" t="e">
        <f>'14 Dda Consolidda'!S12</f>
        <v>#DIV/0!</v>
      </c>
      <c r="S190" s="1786" t="e">
        <f>'14 Dda Consolidda'!T12</f>
        <v>#DIV/0!</v>
      </c>
      <c r="T190" s="1786" t="e">
        <f>'14 Dda Consolidda'!U12</f>
        <v>#DIV/0!</v>
      </c>
      <c r="U190" s="2474">
        <v>8.5</v>
      </c>
      <c r="V190" s="2474">
        <v>10</v>
      </c>
      <c r="W190" s="2456"/>
      <c r="X190" s="2497"/>
    </row>
    <row r="191" spans="1:24" ht="27.75" thickBot="1" x14ac:dyDescent="0.3">
      <c r="B191" s="2455">
        <v>4</v>
      </c>
      <c r="C191" s="1758" t="str">
        <f>'14 Dda Consolidda'!D13</f>
        <v>Consulta ambulatoria por médico especialista en Medicina Familiar</v>
      </c>
      <c r="D191" s="1786">
        <f>'14 Dda Consolidda'!E13</f>
        <v>404.7510590293648</v>
      </c>
      <c r="E191" s="1786">
        <f>'14 Dda Consolidda'!F13</f>
        <v>407.87551918298493</v>
      </c>
      <c r="F191" s="1786">
        <f>'14 Dda Consolidda'!G13</f>
        <v>411.00234006093183</v>
      </c>
      <c r="G191" s="1786">
        <f>'14 Dda Consolidda'!H13</f>
        <v>414.13152302362653</v>
      </c>
      <c r="H191" s="1786">
        <f>'14 Dda Consolidda'!I13</f>
        <v>417.26306943219009</v>
      </c>
      <c r="I191" s="1786">
        <f>'14 Dda Consolidda'!J13</f>
        <v>420.39698064844322</v>
      </c>
      <c r="J191" s="1786">
        <f>'14 Dda Consolidda'!K13</f>
        <v>423.53325803490776</v>
      </c>
      <c r="K191" s="1786">
        <f>'14 Dda Consolidda'!L13</f>
        <v>426.67190295480634</v>
      </c>
      <c r="L191" s="1786">
        <f>'14 Dda Consolidda'!M13</f>
        <v>429.81291677206247</v>
      </c>
      <c r="M191" s="1786">
        <f>'14 Dda Consolidda'!N13</f>
        <v>432.95630085130153</v>
      </c>
      <c r="N191" s="1786">
        <f>'14 Dda Consolidda'!O13</f>
        <v>436.10205655785035</v>
      </c>
      <c r="O191" s="1786">
        <f>'14 Dda Consolidda'!P13</f>
        <v>439.25018525773851</v>
      </c>
      <c r="P191" s="1786">
        <f>'14 Dda Consolidda'!Q13</f>
        <v>442.40068831769804</v>
      </c>
      <c r="Q191" s="1786">
        <f>'14 Dda Consolidda'!R13</f>
        <v>445.55356710516355</v>
      </c>
      <c r="R191" s="1786">
        <f>'14 Dda Consolidda'!S13</f>
        <v>448.70882298827303</v>
      </c>
      <c r="S191" s="1786">
        <f>'14 Dda Consolidda'!T13</f>
        <v>451.86645733586835</v>
      </c>
      <c r="T191" s="1786">
        <f>'14 Dda Consolidda'!U13</f>
        <v>455.02647151749488</v>
      </c>
      <c r="U191" s="2474">
        <v>8.5</v>
      </c>
      <c r="V191" s="2474">
        <v>10</v>
      </c>
      <c r="W191" s="2456"/>
      <c r="X191" s="2497"/>
    </row>
    <row r="192" spans="1:24" ht="14.25" thickBot="1" x14ac:dyDescent="0.3">
      <c r="B192" s="2455">
        <v>5</v>
      </c>
      <c r="C192" s="1758" t="str">
        <f>'14 Dda Consolidda'!D14</f>
        <v>Teleconsultas de especialidades médicas</v>
      </c>
      <c r="D192" s="1786" t="e">
        <f>'14 Dda Consolidda'!E14</f>
        <v>#DIV/0!</v>
      </c>
      <c r="E192" s="1786" t="e">
        <f>'14 Dda Consolidda'!F14</f>
        <v>#DIV/0!</v>
      </c>
      <c r="F192" s="1786" t="e">
        <f>'14 Dda Consolidda'!G14</f>
        <v>#DIV/0!</v>
      </c>
      <c r="G192" s="1786" t="e">
        <f>'14 Dda Consolidda'!H14</f>
        <v>#DIV/0!</v>
      </c>
      <c r="H192" s="1786" t="e">
        <f>'14 Dda Consolidda'!I14</f>
        <v>#DIV/0!</v>
      </c>
      <c r="I192" s="1786" t="e">
        <f>'14 Dda Consolidda'!J14</f>
        <v>#DIV/0!</v>
      </c>
      <c r="J192" s="1786" t="e">
        <f>'14 Dda Consolidda'!K14</f>
        <v>#DIV/0!</v>
      </c>
      <c r="K192" s="1786" t="e">
        <f>'14 Dda Consolidda'!L14</f>
        <v>#DIV/0!</v>
      </c>
      <c r="L192" s="1786" t="e">
        <f>'14 Dda Consolidda'!M14</f>
        <v>#DIV/0!</v>
      </c>
      <c r="M192" s="1786" t="e">
        <f>'14 Dda Consolidda'!N14</f>
        <v>#DIV/0!</v>
      </c>
      <c r="N192" s="1786" t="e">
        <f>'14 Dda Consolidda'!O14</f>
        <v>#DIV/0!</v>
      </c>
      <c r="O192" s="1786" t="e">
        <f>'14 Dda Consolidda'!P14</f>
        <v>#DIV/0!</v>
      </c>
      <c r="P192" s="1786" t="e">
        <f>'14 Dda Consolidda'!Q14</f>
        <v>#DIV/0!</v>
      </c>
      <c r="Q192" s="1786" t="e">
        <f>'14 Dda Consolidda'!R14</f>
        <v>#DIV/0!</v>
      </c>
      <c r="R192" s="1786" t="e">
        <f>'14 Dda Consolidda'!S14</f>
        <v>#DIV/0!</v>
      </c>
      <c r="S192" s="1786" t="e">
        <f>'14 Dda Consolidda'!T14</f>
        <v>#DIV/0!</v>
      </c>
      <c r="T192" s="1786" t="e">
        <f>'14 Dda Consolidda'!U14</f>
        <v>#DIV/0!</v>
      </c>
      <c r="U192" s="2474">
        <v>8.5</v>
      </c>
      <c r="V192" s="2474">
        <v>10</v>
      </c>
      <c r="W192" s="2456"/>
      <c r="X192" s="2497"/>
    </row>
    <row r="193" spans="2:24" ht="14.25" thickBot="1" x14ac:dyDescent="0.3">
      <c r="B193" s="2455"/>
      <c r="C193" s="2599" t="s">
        <v>1225</v>
      </c>
      <c r="D193" s="2598"/>
      <c r="E193" s="2598"/>
      <c r="F193" s="2598"/>
      <c r="G193" s="2598"/>
      <c r="H193" s="2598"/>
      <c r="I193" s="2598"/>
      <c r="J193" s="2598"/>
      <c r="K193" s="2598"/>
      <c r="L193" s="2598"/>
      <c r="M193" s="2598"/>
      <c r="N193" s="2598"/>
      <c r="O193" s="2598"/>
      <c r="P193" s="2598"/>
      <c r="Q193" s="2598"/>
      <c r="R193" s="2598"/>
      <c r="S193" s="2598"/>
      <c r="T193" s="2598"/>
      <c r="U193" s="2602"/>
      <c r="V193" s="2602"/>
      <c r="W193" s="2456"/>
      <c r="X193" s="2497"/>
    </row>
    <row r="194" spans="2:24" ht="14.25" thickBot="1" x14ac:dyDescent="0.3">
      <c r="B194" s="2455">
        <v>6</v>
      </c>
      <c r="C194" s="1758" t="str">
        <f>'14 Dda Consolidda'!D16</f>
        <v xml:space="preserve">Enfermería- CRED </v>
      </c>
      <c r="D194" s="1786">
        <f>'14 Dda Consolidda'!E16</f>
        <v>443.09966654316389</v>
      </c>
      <c r="E194" s="1786">
        <f>'14 Dda Consolidda'!F16</f>
        <v>443.27137091960986</v>
      </c>
      <c r="F194" s="1786">
        <f>'14 Dda Consolidda'!G16</f>
        <v>443.44314183276333</v>
      </c>
      <c r="G194" s="1786">
        <f>'14 Dda Consolidda'!H16</f>
        <v>443.61497930840773</v>
      </c>
      <c r="H194" s="1786">
        <f>'14 Dda Consolidda'!I16</f>
        <v>443.78688337233649</v>
      </c>
      <c r="I194" s="1786">
        <f>'14 Dda Consolidda'!J16</f>
        <v>443.95885405035307</v>
      </c>
      <c r="J194" s="1786">
        <f>'14 Dda Consolidda'!K16</f>
        <v>444.13089136827091</v>
      </c>
      <c r="K194" s="1786">
        <f>'14 Dda Consolidda'!L16</f>
        <v>444.30299535191352</v>
      </c>
      <c r="L194" s="1786">
        <f>'14 Dda Consolidda'!M16</f>
        <v>444.47516602711431</v>
      </c>
      <c r="M194" s="1786">
        <f>'14 Dda Consolidda'!N16</f>
        <v>444.64740341971674</v>
      </c>
      <c r="N194" s="1786">
        <f>'14 Dda Consolidda'!O16</f>
        <v>444.81970755557433</v>
      </c>
      <c r="O194" s="1786">
        <f>'14 Dda Consolidda'!P16</f>
        <v>444.99207846055054</v>
      </c>
      <c r="P194" s="1786">
        <f>'14 Dda Consolidda'!Q16</f>
        <v>445.16451616051893</v>
      </c>
      <c r="Q194" s="1786">
        <f>'14 Dda Consolidda'!R16</f>
        <v>445.33702068136307</v>
      </c>
      <c r="R194" s="1786">
        <f>'14 Dda Consolidda'!S16</f>
        <v>445.50959204897651</v>
      </c>
      <c r="S194" s="1786">
        <f>'14 Dda Consolidda'!T16</f>
        <v>445.68223028926286</v>
      </c>
      <c r="T194" s="1786">
        <f>'14 Dda Consolidda'!U16</f>
        <v>445.85493542813578</v>
      </c>
      <c r="U194" s="2474">
        <v>6</v>
      </c>
      <c r="V194" s="2474">
        <v>5</v>
      </c>
      <c r="W194" s="2456"/>
      <c r="X194" s="2497">
        <v>2</v>
      </c>
    </row>
    <row r="195" spans="2:24" ht="14.25" thickBot="1" x14ac:dyDescent="0.3">
      <c r="B195" s="2455">
        <v>7</v>
      </c>
      <c r="C195" s="1758" t="str">
        <f>'14 Dda Consolidda'!D17</f>
        <v>Inmunizaciones</v>
      </c>
      <c r="D195" s="1786">
        <f>'14 Dda Consolidda'!E17</f>
        <v>1155.2201406658853</v>
      </c>
      <c r="E195" s="1786">
        <f>'14 Dda Consolidda'!F17</f>
        <v>1155.6677969583361</v>
      </c>
      <c r="F195" s="1786">
        <f>'14 Dda Consolidda'!G17</f>
        <v>1156.1156267208894</v>
      </c>
      <c r="G195" s="1786">
        <f>'14 Dda Consolidda'!H17</f>
        <v>1156.5636300207659</v>
      </c>
      <c r="H195" s="1786">
        <f>'14 Dda Consolidda'!I17</f>
        <v>1157.011806925213</v>
      </c>
      <c r="I195" s="1786">
        <f>'14 Dda Consolidda'!J17</f>
        <v>1157.4601575015035</v>
      </c>
      <c r="J195" s="1786">
        <f>'14 Dda Consolidda'!K17</f>
        <v>1157.9086818169365</v>
      </c>
      <c r="K195" s="1786">
        <f>'14 Dda Consolidda'!L17</f>
        <v>1158.3573799388371</v>
      </c>
      <c r="L195" s="1786">
        <f>'14 Dda Consolidda'!M17</f>
        <v>1158.8062519345569</v>
      </c>
      <c r="M195" s="1786">
        <f>'14 Dda Consolidda'!N17</f>
        <v>1159.2552978714732</v>
      </c>
      <c r="N195" s="1786">
        <f>'14 Dda Consolidda'!O17</f>
        <v>1159.7045178169892</v>
      </c>
      <c r="O195" s="1786">
        <f>'14 Dda Consolidda'!P17</f>
        <v>1160.1539118385349</v>
      </c>
      <c r="P195" s="1786">
        <f>'14 Dda Consolidda'!Q17</f>
        <v>1160.6034800035657</v>
      </c>
      <c r="Q195" s="1786">
        <f>'14 Dda Consolidda'!R17</f>
        <v>1161.0532223795637</v>
      </c>
      <c r="R195" s="1786">
        <f>'14 Dda Consolidda'!S17</f>
        <v>1161.5031390340368</v>
      </c>
      <c r="S195" s="1786">
        <f>'14 Dda Consolidda'!T17</f>
        <v>1161.9532300345193</v>
      </c>
      <c r="T195" s="1786">
        <f>'14 Dda Consolidda'!U17</f>
        <v>1162.4034954485714</v>
      </c>
      <c r="U195" s="2474">
        <v>1</v>
      </c>
      <c r="V195" s="2474">
        <v>5</v>
      </c>
      <c r="W195" s="2456"/>
      <c r="X195" s="2497">
        <v>3</v>
      </c>
    </row>
    <row r="196" spans="2:24" ht="14.25" thickBot="1" x14ac:dyDescent="0.3">
      <c r="B196" s="2455">
        <v>8</v>
      </c>
      <c r="C196" s="1758" t="str">
        <f>'14 Dda Consolidda'!D18</f>
        <v xml:space="preserve">Estimulacion Temprana </v>
      </c>
      <c r="D196" s="1786">
        <f>'14 Dda Consolidda'!E18</f>
        <v>136.02556502408294</v>
      </c>
      <c r="E196" s="1786">
        <f>'14 Dda Consolidda'!F18</f>
        <v>136.07827592997322</v>
      </c>
      <c r="F196" s="1786">
        <f>'14 Dda Consolidda'!G18</f>
        <v>136.13100726172684</v>
      </c>
      <c r="G196" s="1786">
        <f>'14 Dda Consolidda'!H18</f>
        <v>136.18375902725893</v>
      </c>
      <c r="H196" s="1786">
        <f>'14 Dda Consolidda'!I18</f>
        <v>136.23653123448776</v>
      </c>
      <c r="I196" s="1786">
        <f>'14 Dda Consolidda'!J18</f>
        <v>136.28932389133465</v>
      </c>
      <c r="J196" s="1786">
        <f>'14 Dda Consolidda'!K18</f>
        <v>136.34213700572394</v>
      </c>
      <c r="K196" s="1786">
        <f>'14 Dda Consolidda'!L18</f>
        <v>136.39497058558311</v>
      </c>
      <c r="L196" s="1786">
        <f>'14 Dda Consolidda'!M18</f>
        <v>136.44782463884266</v>
      </c>
      <c r="M196" s="1786">
        <f>'14 Dda Consolidda'!N18</f>
        <v>136.5006991734362</v>
      </c>
      <c r="N196" s="1786">
        <f>'14 Dda Consolidda'!O18</f>
        <v>136.55359419730038</v>
      </c>
      <c r="O196" s="1786">
        <f>'14 Dda Consolidda'!P18</f>
        <v>136.60650971837495</v>
      </c>
      <c r="P196" s="1786">
        <f>'14 Dda Consolidda'!Q18</f>
        <v>136.65944574460275</v>
      </c>
      <c r="Q196" s="1786">
        <f>'14 Dda Consolidda'!R18</f>
        <v>136.71240228392966</v>
      </c>
      <c r="R196" s="1786">
        <f>'14 Dda Consolidda'!S18</f>
        <v>136.76537934430465</v>
      </c>
      <c r="S196" s="1786">
        <f>'14 Dda Consolidda'!T18</f>
        <v>136.81837693367979</v>
      </c>
      <c r="T196" s="1786">
        <f>'14 Dda Consolidda'!U18</f>
        <v>136.8713950600102</v>
      </c>
      <c r="U196" s="2474">
        <v>6</v>
      </c>
      <c r="V196" s="2474">
        <v>5</v>
      </c>
      <c r="W196" s="2456"/>
      <c r="X196" s="2497">
        <v>4</v>
      </c>
    </row>
    <row r="197" spans="2:24" ht="14.25" thickBot="1" x14ac:dyDescent="0.3">
      <c r="B197" s="2455">
        <v>9</v>
      </c>
      <c r="C197" s="1758" t="str">
        <f>'14 Dda Consolidda'!D19</f>
        <v xml:space="preserve">Diferenciado de TBC  </v>
      </c>
      <c r="D197" s="1786" t="e">
        <f>'14 Dda Consolidda'!E19</f>
        <v>#DIV/0!</v>
      </c>
      <c r="E197" s="1786" t="e">
        <f>'14 Dda Consolidda'!F19</f>
        <v>#DIV/0!</v>
      </c>
      <c r="F197" s="1786" t="e">
        <f>'14 Dda Consolidda'!G19</f>
        <v>#DIV/0!</v>
      </c>
      <c r="G197" s="1786" t="e">
        <f>'14 Dda Consolidda'!H19</f>
        <v>#DIV/0!</v>
      </c>
      <c r="H197" s="1786" t="e">
        <f>'14 Dda Consolidda'!I19</f>
        <v>#DIV/0!</v>
      </c>
      <c r="I197" s="1786" t="e">
        <f>'14 Dda Consolidda'!J19</f>
        <v>#DIV/0!</v>
      </c>
      <c r="J197" s="1786" t="e">
        <f>'14 Dda Consolidda'!K19</f>
        <v>#DIV/0!</v>
      </c>
      <c r="K197" s="1786" t="e">
        <f>'14 Dda Consolidda'!L19</f>
        <v>#DIV/0!</v>
      </c>
      <c r="L197" s="1786" t="e">
        <f>'14 Dda Consolidda'!M19</f>
        <v>#DIV/0!</v>
      </c>
      <c r="M197" s="1786" t="e">
        <f>'14 Dda Consolidda'!N19</f>
        <v>#DIV/0!</v>
      </c>
      <c r="N197" s="1786" t="e">
        <f>'14 Dda Consolidda'!O19</f>
        <v>#DIV/0!</v>
      </c>
      <c r="O197" s="1786" t="e">
        <f>'14 Dda Consolidda'!P19</f>
        <v>#DIV/0!</v>
      </c>
      <c r="P197" s="1786" t="e">
        <f>'14 Dda Consolidda'!Q19</f>
        <v>#DIV/0!</v>
      </c>
      <c r="Q197" s="1786" t="e">
        <f>'14 Dda Consolidda'!R19</f>
        <v>#DIV/0!</v>
      </c>
      <c r="R197" s="1786" t="e">
        <f>'14 Dda Consolidda'!S19</f>
        <v>#DIV/0!</v>
      </c>
      <c r="S197" s="1786" t="e">
        <f>'14 Dda Consolidda'!T19</f>
        <v>#DIV/0!</v>
      </c>
      <c r="T197" s="1786" t="e">
        <f>'14 Dda Consolidda'!U19</f>
        <v>#DIV/0!</v>
      </c>
      <c r="U197" s="2474">
        <v>10</v>
      </c>
      <c r="V197" s="2474">
        <v>5</v>
      </c>
      <c r="W197" s="2456"/>
      <c r="X197" s="2497">
        <v>5</v>
      </c>
    </row>
    <row r="198" spans="2:24" ht="14.25" thickBot="1" x14ac:dyDescent="0.3">
      <c r="B198" s="2455">
        <v>10</v>
      </c>
      <c r="C198" s="1758" t="str">
        <f>'14 Dda Consolidda'!D20</f>
        <v xml:space="preserve"> ITS/VIH/SIDA </v>
      </c>
      <c r="D198" s="1786" t="e">
        <f>'14 Dda Consolidda'!E20</f>
        <v>#REF!</v>
      </c>
      <c r="E198" s="1786" t="e">
        <f>'14 Dda Consolidda'!F20</f>
        <v>#REF!</v>
      </c>
      <c r="F198" s="1786" t="e">
        <f>'14 Dda Consolidda'!G20</f>
        <v>#REF!</v>
      </c>
      <c r="G198" s="1786" t="e">
        <f>'14 Dda Consolidda'!H20</f>
        <v>#REF!</v>
      </c>
      <c r="H198" s="1786" t="e">
        <f>'14 Dda Consolidda'!I20</f>
        <v>#REF!</v>
      </c>
      <c r="I198" s="1786" t="e">
        <f>'14 Dda Consolidda'!J20</f>
        <v>#REF!</v>
      </c>
      <c r="J198" s="1786" t="e">
        <f>'14 Dda Consolidda'!K20</f>
        <v>#REF!</v>
      </c>
      <c r="K198" s="1786" t="e">
        <f>'14 Dda Consolidda'!L20</f>
        <v>#REF!</v>
      </c>
      <c r="L198" s="1786" t="e">
        <f>'14 Dda Consolidda'!M20</f>
        <v>#REF!</v>
      </c>
      <c r="M198" s="1786" t="e">
        <f>'14 Dda Consolidda'!N20</f>
        <v>#REF!</v>
      </c>
      <c r="N198" s="1786" t="e">
        <f>'14 Dda Consolidda'!O20</f>
        <v>#REF!</v>
      </c>
      <c r="O198" s="1786" t="e">
        <f>'14 Dda Consolidda'!P20</f>
        <v>#REF!</v>
      </c>
      <c r="P198" s="1786" t="e">
        <f>'14 Dda Consolidda'!Q20</f>
        <v>#REF!</v>
      </c>
      <c r="Q198" s="1786" t="e">
        <f>'14 Dda Consolidda'!R20</f>
        <v>#REF!</v>
      </c>
      <c r="R198" s="1786" t="e">
        <f>'14 Dda Consolidda'!S20</f>
        <v>#REF!</v>
      </c>
      <c r="S198" s="1786" t="e">
        <f>'14 Dda Consolidda'!T20</f>
        <v>#REF!</v>
      </c>
      <c r="T198" s="1786" t="e">
        <f>'14 Dda Consolidda'!U20</f>
        <v>#REF!</v>
      </c>
      <c r="U198" s="2474">
        <v>6</v>
      </c>
      <c r="V198" s="2474">
        <v>5</v>
      </c>
      <c r="W198" s="2456"/>
      <c r="X198" s="2497">
        <v>6</v>
      </c>
    </row>
    <row r="199" spans="2:24" ht="14.25" thickBot="1" x14ac:dyDescent="0.3">
      <c r="B199" s="2455">
        <v>11</v>
      </c>
      <c r="C199" s="1758" t="str">
        <f>'14 Dda Consolidda'!D21</f>
        <v>Adolescente</v>
      </c>
      <c r="D199" s="1786">
        <f>'14 Dda Consolidda'!E21</f>
        <v>280.27982157439425</v>
      </c>
      <c r="E199" s="1786">
        <f>'14 Dda Consolidda'!F21</f>
        <v>280.66726211446218</v>
      </c>
      <c r="F199" s="1786">
        <f>'14 Dda Consolidda'!G21</f>
        <v>281.05496083927909</v>
      </c>
      <c r="G199" s="1786">
        <f>'14 Dda Consolidda'!H21</f>
        <v>281.44291789076323</v>
      </c>
      <c r="H199" s="1786">
        <f>'14 Dda Consolidda'!I21</f>
        <v>281.83113341090382</v>
      </c>
      <c r="I199" s="1786">
        <f>'14 Dda Consolidda'!J21</f>
        <v>282.21960754176155</v>
      </c>
      <c r="J199" s="1786">
        <f>'14 Dda Consolidda'!K21</f>
        <v>282.60834042546833</v>
      </c>
      <c r="K199" s="1786">
        <f>'14 Dda Consolidda'!L21</f>
        <v>282.99733220422746</v>
      </c>
      <c r="L199" s="1786">
        <f>'14 Dda Consolidda'!M21</f>
        <v>283.38658302031342</v>
      </c>
      <c r="M199" s="1786">
        <f>'14 Dda Consolidda'!N21</f>
        <v>283.77609301607214</v>
      </c>
      <c r="N199" s="1786">
        <f>'14 Dda Consolidda'!O21</f>
        <v>284.16586233392115</v>
      </c>
      <c r="O199" s="1786">
        <f>'14 Dda Consolidda'!P21</f>
        <v>284.55589111634924</v>
      </c>
      <c r="P199" s="1786">
        <f>'14 Dda Consolidda'!Q21</f>
        <v>284.94617950591675</v>
      </c>
      <c r="Q199" s="1786">
        <f>'14 Dda Consolidda'!R21</f>
        <v>285.33672764525556</v>
      </c>
      <c r="R199" s="1786">
        <f>'14 Dda Consolidda'!S21</f>
        <v>285.72753567706911</v>
      </c>
      <c r="S199" s="1786">
        <f>'14 Dda Consolidda'!T21</f>
        <v>286.11860374413237</v>
      </c>
      <c r="T199" s="1786">
        <f>'14 Dda Consolidda'!U21</f>
        <v>286.509931989292</v>
      </c>
      <c r="U199" s="2474">
        <v>5</v>
      </c>
      <c r="V199" s="2474">
        <v>5</v>
      </c>
      <c r="W199" s="2456"/>
      <c r="X199" s="2497">
        <v>7</v>
      </c>
    </row>
    <row r="200" spans="2:24" ht="14.25" thickBot="1" x14ac:dyDescent="0.3">
      <c r="B200" s="2455">
        <v>12</v>
      </c>
      <c r="C200" s="1758" t="str">
        <f>'14 Dda Consolidda'!D22</f>
        <v>Adulto Mayor</v>
      </c>
      <c r="D200" s="1786">
        <f>'14 Dda Consolidda'!E22</f>
        <v>153.0723640893867</v>
      </c>
      <c r="E200" s="1786">
        <f>'14 Dda Consolidda'!F22</f>
        <v>153.1316807551656</v>
      </c>
      <c r="F200" s="1786">
        <f>'14 Dda Consolidda'!G22</f>
        <v>153.19102040658831</v>
      </c>
      <c r="G200" s="1786">
        <f>'14 Dda Consolidda'!H22</f>
        <v>153.25038305256194</v>
      </c>
      <c r="H200" s="1786">
        <f>'14 Dda Consolidda'!I22</f>
        <v>153.30976870199706</v>
      </c>
      <c r="I200" s="1786">
        <f>'14 Dda Consolidda'!J22</f>
        <v>153.36917736380767</v>
      </c>
      <c r="J200" s="1786">
        <f>'14 Dda Consolidda'!K22</f>
        <v>153.42860904691122</v>
      </c>
      <c r="K200" s="1786">
        <f>'14 Dda Consolidda'!L22</f>
        <v>153.48806376022864</v>
      </c>
      <c r="L200" s="1786">
        <f>'14 Dda Consolidda'!M22</f>
        <v>153.54754151268435</v>
      </c>
      <c r="M200" s="1786">
        <f>'14 Dda Consolidda'!N22</f>
        <v>153.60704231320611</v>
      </c>
      <c r="N200" s="1786">
        <f>'14 Dda Consolidda'!O22</f>
        <v>153.66656617072528</v>
      </c>
      <c r="O200" s="1786">
        <f>'14 Dda Consolidda'!P22</f>
        <v>153.72611309417658</v>
      </c>
      <c r="P200" s="1786">
        <f>'14 Dda Consolidda'!Q22</f>
        <v>153.78568309249823</v>
      </c>
      <c r="Q200" s="1786">
        <f>'14 Dda Consolidda'!R22</f>
        <v>153.84527617463192</v>
      </c>
      <c r="R200" s="1786">
        <f>'14 Dda Consolidda'!S22</f>
        <v>153.90489234952281</v>
      </c>
      <c r="S200" s="1786">
        <f>'14 Dda Consolidda'!T22</f>
        <v>153.96453162611945</v>
      </c>
      <c r="T200" s="1786">
        <f>'14 Dda Consolidda'!U22</f>
        <v>154.02419401337403</v>
      </c>
      <c r="U200" s="2474">
        <v>5</v>
      </c>
      <c r="V200" s="2474">
        <v>5</v>
      </c>
      <c r="W200" s="2456"/>
      <c r="X200" s="2497">
        <v>8</v>
      </c>
    </row>
    <row r="201" spans="2:24" ht="14.25" thickBot="1" x14ac:dyDescent="0.3">
      <c r="B201" s="2455">
        <v>13</v>
      </c>
      <c r="C201" s="1758" t="str">
        <f>'14 Dda Consolidda'!D23</f>
        <v>Enf. No Transmisibles</v>
      </c>
      <c r="D201" s="1786">
        <f>'14 Dda Consolidda'!E23</f>
        <v>0</v>
      </c>
      <c r="E201" s="1786">
        <f>'14 Dda Consolidda'!F23</f>
        <v>0</v>
      </c>
      <c r="F201" s="1786">
        <f>'14 Dda Consolidda'!G23</f>
        <v>0</v>
      </c>
      <c r="G201" s="1786">
        <f>'14 Dda Consolidda'!H23</f>
        <v>0</v>
      </c>
      <c r="H201" s="1786">
        <f>'14 Dda Consolidda'!I23</f>
        <v>0</v>
      </c>
      <c r="I201" s="1786">
        <f>'14 Dda Consolidda'!J23</f>
        <v>0</v>
      </c>
      <c r="J201" s="1786">
        <f>'14 Dda Consolidda'!K23</f>
        <v>0</v>
      </c>
      <c r="K201" s="1786">
        <f>'14 Dda Consolidda'!L23</f>
        <v>0</v>
      </c>
      <c r="L201" s="1786">
        <f>'14 Dda Consolidda'!M23</f>
        <v>0</v>
      </c>
      <c r="M201" s="1786">
        <f>'14 Dda Consolidda'!N23</f>
        <v>0</v>
      </c>
      <c r="N201" s="1786">
        <f>'14 Dda Consolidda'!O23</f>
        <v>0</v>
      </c>
      <c r="O201" s="1786">
        <f>'14 Dda Consolidda'!P23</f>
        <v>0</v>
      </c>
      <c r="P201" s="1786">
        <f>'14 Dda Consolidda'!Q23</f>
        <v>0</v>
      </c>
      <c r="Q201" s="1786">
        <f>'14 Dda Consolidda'!R23</f>
        <v>0</v>
      </c>
      <c r="R201" s="1786">
        <f>'14 Dda Consolidda'!S23</f>
        <v>0</v>
      </c>
      <c r="S201" s="1786">
        <f>'14 Dda Consolidda'!T23</f>
        <v>0</v>
      </c>
      <c r="T201" s="1786">
        <f>'14 Dda Consolidda'!U23</f>
        <v>0</v>
      </c>
      <c r="U201" s="2474">
        <v>5</v>
      </c>
      <c r="V201" s="2474">
        <v>5</v>
      </c>
      <c r="W201" s="2456"/>
      <c r="X201" s="2497">
        <v>9</v>
      </c>
    </row>
    <row r="202" spans="2:24" ht="14.25" thickBot="1" x14ac:dyDescent="0.3">
      <c r="B202" s="2455">
        <v>14</v>
      </c>
      <c r="C202" s="1758" t="str">
        <f>'14 Dda Consolidda'!D24</f>
        <v>Cancer</v>
      </c>
      <c r="D202" s="1786">
        <f>'14 Dda Consolidda'!E24</f>
        <v>763.60836253827313</v>
      </c>
      <c r="E202" s="1786">
        <f>'14 Dda Consolidda'!F24</f>
        <v>763.90426638934468</v>
      </c>
      <c r="F202" s="1786">
        <f>'14 Dda Consolidda'!G24</f>
        <v>764.20028490533241</v>
      </c>
      <c r="G202" s="1786">
        <f>'14 Dda Consolidda'!H24</f>
        <v>764.49641813067012</v>
      </c>
      <c r="H202" s="1786">
        <f>'14 Dda Consolidda'!I24</f>
        <v>764.79266610980869</v>
      </c>
      <c r="I202" s="1786">
        <f>'14 Dda Consolidda'!J24</f>
        <v>765.08902888721559</v>
      </c>
      <c r="J202" s="1786">
        <f>'14 Dda Consolidda'!K24</f>
        <v>765.38550650737636</v>
      </c>
      <c r="K202" s="1786">
        <f>'14 Dda Consolidda'!L24</f>
        <v>765.68209901479315</v>
      </c>
      <c r="L202" s="1786">
        <f>'14 Dda Consolidda'!M24</f>
        <v>765.97880645398595</v>
      </c>
      <c r="M202" s="1786">
        <f>'14 Dda Consolidda'!N24</f>
        <v>766.27562886949158</v>
      </c>
      <c r="N202" s="1786">
        <f>'14 Dda Consolidda'!O24</f>
        <v>766.5725663058638</v>
      </c>
      <c r="O202" s="1786">
        <f>'14 Dda Consolidda'!P24</f>
        <v>766.86961880767456</v>
      </c>
      <c r="P202" s="1786">
        <f>'14 Dda Consolidda'!Q24</f>
        <v>767.16678641951228</v>
      </c>
      <c r="Q202" s="1786">
        <f>'14 Dda Consolidda'!R24</f>
        <v>767.46406918598302</v>
      </c>
      <c r="R202" s="1786">
        <f>'14 Dda Consolidda'!S24</f>
        <v>767.76146715171001</v>
      </c>
      <c r="S202" s="1786">
        <f>'14 Dda Consolidda'!T24</f>
        <v>768.05898036133374</v>
      </c>
      <c r="T202" s="1786">
        <f>'14 Dda Consolidda'!U24</f>
        <v>768.35660885951245</v>
      </c>
      <c r="U202" s="2474">
        <v>5</v>
      </c>
      <c r="V202" s="2474">
        <v>5</v>
      </c>
      <c r="W202" s="2456"/>
      <c r="X202" s="2497">
        <v>10</v>
      </c>
    </row>
    <row r="203" spans="2:24" ht="14.25" thickBot="1" x14ac:dyDescent="0.3">
      <c r="B203" s="2455">
        <v>15</v>
      </c>
      <c r="C203" s="1758" t="str">
        <f>'14 Dda Consolidda'!D25</f>
        <v>CPN</v>
      </c>
      <c r="D203" s="1786">
        <f>'14 Dda Consolidda'!E25</f>
        <v>342</v>
      </c>
      <c r="E203" s="1786">
        <f>'14 Dda Consolidda'!F25</f>
        <v>342.13252751283397</v>
      </c>
      <c r="F203" s="1786">
        <f>'14 Dda Consolidda'!G25</f>
        <v>342.26510638105287</v>
      </c>
      <c r="G203" s="1786">
        <f>'14 Dda Consolidda'!H25</f>
        <v>342.39773662455735</v>
      </c>
      <c r="H203" s="1786">
        <f>'14 Dda Consolidda'!I25</f>
        <v>342.53041826325568</v>
      </c>
      <c r="I203" s="1786">
        <f>'14 Dda Consolidda'!J25</f>
        <v>342.66315131706392</v>
      </c>
      <c r="J203" s="1786">
        <f>'14 Dda Consolidda'!K25</f>
        <v>342.79593580590569</v>
      </c>
      <c r="K203" s="1786">
        <f>'14 Dda Consolidda'!L25</f>
        <v>342.92877174971261</v>
      </c>
      <c r="L203" s="1786">
        <f>'14 Dda Consolidda'!M25</f>
        <v>343.06165916842366</v>
      </c>
      <c r="M203" s="1786">
        <f>'14 Dda Consolidda'!N25</f>
        <v>343.19459808198593</v>
      </c>
      <c r="N203" s="1786">
        <f>'14 Dda Consolidda'!O25</f>
        <v>343.32758851035396</v>
      </c>
      <c r="O203" s="1786">
        <f>'14 Dda Consolidda'!P25</f>
        <v>343.46063047349008</v>
      </c>
      <c r="P203" s="1786">
        <f>'14 Dda Consolidda'!Q25</f>
        <v>343.59372399136447</v>
      </c>
      <c r="Q203" s="1786">
        <f>'14 Dda Consolidda'!R25</f>
        <v>343.72686908395491</v>
      </c>
      <c r="R203" s="1786">
        <f>'14 Dda Consolidda'!S25</f>
        <v>343.86006577124704</v>
      </c>
      <c r="S203" s="1786">
        <f>'14 Dda Consolidda'!T25</f>
        <v>343.99331407323416</v>
      </c>
      <c r="T203" s="1786">
        <f>'14 Dda Consolidda'!U25</f>
        <v>344.12661400991732</v>
      </c>
      <c r="U203" s="2474">
        <v>10</v>
      </c>
      <c r="V203" s="2474">
        <v>6</v>
      </c>
      <c r="W203" s="2456"/>
      <c r="X203" s="2497">
        <v>11</v>
      </c>
    </row>
    <row r="204" spans="2:24" ht="14.25" thickBot="1" x14ac:dyDescent="0.3">
      <c r="B204" s="2455">
        <v>16</v>
      </c>
      <c r="C204" s="1758" t="str">
        <f>'14 Dda Consolidda'!D26</f>
        <v>PPFF</v>
      </c>
      <c r="D204" s="1786">
        <f>'14 Dda Consolidda'!E26</f>
        <v>974.02368000000001</v>
      </c>
      <c r="E204" s="1786">
        <f>'14 Dda Consolidda'!F26</f>
        <v>974.40112133260743</v>
      </c>
      <c r="F204" s="1786">
        <f>'14 Dda Consolidda'!G26</f>
        <v>974.77870892650458</v>
      </c>
      <c r="G204" s="1786">
        <f>'14 Dda Consolidda'!H26</f>
        <v>975.15644283836889</v>
      </c>
      <c r="H204" s="1786">
        <f>'14 Dda Consolidda'!I26</f>
        <v>975.5343231248994</v>
      </c>
      <c r="I204" s="1786">
        <f>'14 Dda Consolidda'!J26</f>
        <v>975.91234984281709</v>
      </c>
      <c r="J204" s="1786">
        <f>'14 Dda Consolidda'!K26</f>
        <v>976.29052304886568</v>
      </c>
      <c r="K204" s="1786">
        <f>'14 Dda Consolidda'!L26</f>
        <v>976.66884279981025</v>
      </c>
      <c r="L204" s="1786">
        <f>'14 Dda Consolidda'!M26</f>
        <v>977.04730915243795</v>
      </c>
      <c r="M204" s="1786">
        <f>'14 Dda Consolidda'!N26</f>
        <v>977.42592216355808</v>
      </c>
      <c r="N204" s="1786">
        <f>'14 Dda Consolidda'!O26</f>
        <v>977.80468189000203</v>
      </c>
      <c r="O204" s="1786">
        <f>'14 Dda Consolidda'!P26</f>
        <v>978.18358838862264</v>
      </c>
      <c r="P204" s="1786">
        <f>'14 Dda Consolidda'!Q26</f>
        <v>978.56264171629562</v>
      </c>
      <c r="Q204" s="1786">
        <f>'14 Dda Consolidda'!R26</f>
        <v>978.94184192991804</v>
      </c>
      <c r="R204" s="1786">
        <f>'14 Dda Consolidda'!S26</f>
        <v>979.3211890864095</v>
      </c>
      <c r="S204" s="1786">
        <f>'14 Dda Consolidda'!T26</f>
        <v>979.70068324271119</v>
      </c>
      <c r="T204" s="1786">
        <f>'14 Dda Consolidda'!U26</f>
        <v>980.08032445578692</v>
      </c>
      <c r="U204" s="2474">
        <v>6</v>
      </c>
      <c r="V204" s="2474">
        <v>7</v>
      </c>
      <c r="W204" s="2456"/>
      <c r="X204" s="2497">
        <v>12</v>
      </c>
    </row>
    <row r="205" spans="2:24" ht="14.25" thickBot="1" x14ac:dyDescent="0.3">
      <c r="B205" s="2455">
        <v>17</v>
      </c>
      <c r="C205" s="1758" t="str">
        <f>'14 Dda Consolidda'!D27</f>
        <v>Psicoprofilaxis</v>
      </c>
      <c r="D205" s="1786">
        <f>'14 Dda Consolidda'!E27</f>
        <v>228</v>
      </c>
      <c r="E205" s="1786">
        <f>'14 Dda Consolidda'!F27</f>
        <v>228.08835167522264</v>
      </c>
      <c r="F205" s="1786">
        <f>'14 Dda Consolidda'!G27</f>
        <v>228.17673758736859</v>
      </c>
      <c r="G205" s="1786">
        <f>'14 Dda Consolidda'!H27</f>
        <v>228.26515774970488</v>
      </c>
      <c r="H205" s="1786">
        <f>'14 Dda Consolidda'!I27</f>
        <v>228.3536121755038</v>
      </c>
      <c r="I205" s="1786">
        <f>'14 Dda Consolidda'!J27</f>
        <v>228.4421008780426</v>
      </c>
      <c r="J205" s="1786">
        <f>'14 Dda Consolidda'!K27</f>
        <v>228.53062387060379</v>
      </c>
      <c r="K205" s="1786">
        <f>'14 Dda Consolidda'!L27</f>
        <v>228.61918116647507</v>
      </c>
      <c r="L205" s="1786">
        <f>'14 Dda Consolidda'!M27</f>
        <v>228.70777277894911</v>
      </c>
      <c r="M205" s="1786">
        <f>'14 Dda Consolidda'!N27</f>
        <v>228.79639872132395</v>
      </c>
      <c r="N205" s="1786">
        <f>'14 Dda Consolidda'!O27</f>
        <v>228.88505900690262</v>
      </c>
      <c r="O205" s="1786">
        <f>'14 Dda Consolidda'!P27</f>
        <v>228.97375364899341</v>
      </c>
      <c r="P205" s="1786">
        <f>'14 Dda Consolidda'!Q27</f>
        <v>229.06248266090964</v>
      </c>
      <c r="Q205" s="1786">
        <f>'14 Dda Consolidda'!R27</f>
        <v>229.15124605596992</v>
      </c>
      <c r="R205" s="1786">
        <f>'14 Dda Consolidda'!S27</f>
        <v>229.24004384749804</v>
      </c>
      <c r="S205" s="1786">
        <f>'14 Dda Consolidda'!T27</f>
        <v>229.32887604882279</v>
      </c>
      <c r="T205" s="1786">
        <f>'14 Dda Consolidda'!U27</f>
        <v>229.41774267327821</v>
      </c>
      <c r="U205" s="2474">
        <v>6</v>
      </c>
      <c r="V205" s="2474">
        <v>5</v>
      </c>
      <c r="W205" s="2456"/>
      <c r="X205" s="2497">
        <v>13</v>
      </c>
    </row>
    <row r="206" spans="2:24" ht="14.25" thickBot="1" x14ac:dyDescent="0.3">
      <c r="B206" s="2455">
        <v>18</v>
      </c>
      <c r="C206" s="1758" t="str">
        <f>'14 Dda Consolidda'!D28</f>
        <v>Odontología preventiva</v>
      </c>
      <c r="D206" s="1786">
        <f>'14 Dda Consolidda'!E28</f>
        <v>493.25628435343401</v>
      </c>
      <c r="E206" s="1786">
        <f>'14 Dda Consolidda'!F28</f>
        <v>495.24996846508338</v>
      </c>
      <c r="F206" s="1786">
        <f>'14 Dda Consolidda'!G28</f>
        <v>497.25171081433285</v>
      </c>
      <c r="G206" s="1786">
        <f>'14 Dda Consolidda'!H28</f>
        <v>499.26154397163464</v>
      </c>
      <c r="H206" s="1786">
        <f>'14 Dda Consolidda'!I28</f>
        <v>501.27950063908702</v>
      </c>
      <c r="I206" s="1786">
        <f>'14 Dda Consolidda'!J28</f>
        <v>503.30561365096622</v>
      </c>
      <c r="J206" s="1786">
        <f>'14 Dda Consolidda'!K28</f>
        <v>505.33991597426086</v>
      </c>
      <c r="K206" s="1786">
        <f>'14 Dda Consolidda'!L28</f>
        <v>507.38244070920825</v>
      </c>
      <c r="L206" s="1786">
        <f>'14 Dda Consolidda'!M28</f>
        <v>509.4332210898329</v>
      </c>
      <c r="M206" s="1786">
        <f>'14 Dda Consolidda'!N28</f>
        <v>511.49229048448746</v>
      </c>
      <c r="N206" s="1786">
        <f>'14 Dda Consolidda'!O28</f>
        <v>513.55968239639549</v>
      </c>
      <c r="O206" s="1786">
        <f>'14 Dda Consolidda'!P28</f>
        <v>515.63543046419659</v>
      </c>
      <c r="P206" s="1786">
        <f>'14 Dda Consolidda'!Q28</f>
        <v>517.71956846249395</v>
      </c>
      <c r="Q206" s="1786">
        <f>'14 Dda Consolidda'!R28</f>
        <v>519.81213030240372</v>
      </c>
      <c r="R206" s="1786">
        <f>'14 Dda Consolidda'!S28</f>
        <v>521.91315003210661</v>
      </c>
      <c r="S206" s="1786">
        <f>'14 Dda Consolidda'!T28</f>
        <v>524.02266183740244</v>
      </c>
      <c r="T206" s="1786">
        <f>'14 Dda Consolidda'!U28</f>
        <v>526.14070004226562</v>
      </c>
      <c r="U206" s="2474">
        <v>6</v>
      </c>
      <c r="V206" s="2474">
        <v>10</v>
      </c>
      <c r="W206" s="2456"/>
      <c r="X206" s="2497"/>
    </row>
    <row r="207" spans="2:24" ht="14.25" thickBot="1" x14ac:dyDescent="0.3">
      <c r="B207" s="2455">
        <v>19</v>
      </c>
      <c r="C207" s="1758" t="str">
        <f>'14 Dda Consolidda'!D29</f>
        <v>Odontología recuperativa</v>
      </c>
      <c r="D207" s="1786">
        <f>'14 Dda Consolidda'!E29</f>
        <v>119.63085488552655</v>
      </c>
      <c r="E207" s="1786">
        <f>'14 Dda Consolidda'!F29</f>
        <v>120.55434064521725</v>
      </c>
      <c r="F207" s="1786">
        <f>'14 Dda Consolidda'!G29</f>
        <v>121.47852415594045</v>
      </c>
      <c r="G207" s="1786">
        <f>'14 Dda Consolidda'!H29</f>
        <v>122.40340581979112</v>
      </c>
      <c r="H207" s="1786">
        <f>'14 Dda Consolidda'!I29</f>
        <v>123.32898603907097</v>
      </c>
      <c r="I207" s="1786">
        <f>'14 Dda Consolidda'!J29</f>
        <v>124.25526521628865</v>
      </c>
      <c r="J207" s="1786">
        <f>'14 Dda Consolidda'!K29</f>
        <v>125.18224375415994</v>
      </c>
      <c r="K207" s="1786">
        <f>'14 Dda Consolidda'!L29</f>
        <v>126.1099220556078</v>
      </c>
      <c r="L207" s="1786">
        <f>'14 Dda Consolidda'!M29</f>
        <v>127.03830052376233</v>
      </c>
      <c r="M207" s="1786">
        <f>'14 Dda Consolidda'!N29</f>
        <v>127.96737956196105</v>
      </c>
      <c r="N207" s="1786">
        <f>'14 Dda Consolidda'!O29</f>
        <v>128.89715957374889</v>
      </c>
      <c r="O207" s="1786">
        <f>'14 Dda Consolidda'!P29</f>
        <v>129.82764096287838</v>
      </c>
      <c r="P207" s="1786">
        <f>'14 Dda Consolidda'!Q29</f>
        <v>130.75882413330976</v>
      </c>
      <c r="Q207" s="1786">
        <f>'14 Dda Consolidda'!R29</f>
        <v>131.69070948921089</v>
      </c>
      <c r="R207" s="1786">
        <f>'14 Dda Consolidda'!S29</f>
        <v>132.62329743495758</v>
      </c>
      <c r="S207" s="1786">
        <f>'14 Dda Consolidda'!T29</f>
        <v>133.55658837513352</v>
      </c>
      <c r="T207" s="1786">
        <f>'14 Dda Consolidda'!U29</f>
        <v>134.49058271453052</v>
      </c>
      <c r="U207" s="2474">
        <v>6</v>
      </c>
      <c r="V207" s="2474">
        <v>20</v>
      </c>
      <c r="W207" s="2456"/>
      <c r="X207" s="2497"/>
    </row>
    <row r="208" spans="2:24" ht="14.25" thickBot="1" x14ac:dyDescent="0.3">
      <c r="B208" s="2455">
        <v>20</v>
      </c>
      <c r="C208" s="1758" t="str">
        <f>'14 Dda Consolidda'!D30</f>
        <v>Psicología</v>
      </c>
      <c r="D208" s="1786">
        <f>'14 Dda Consolidda'!E30</f>
        <v>76</v>
      </c>
      <c r="E208" s="1786">
        <f>'14 Dda Consolidda'!F30</f>
        <v>76.029450558407547</v>
      </c>
      <c r="F208" s="1786">
        <f>'14 Dda Consolidda'!G30</f>
        <v>76.058912529122864</v>
      </c>
      <c r="G208" s="1786">
        <f>'14 Dda Consolidda'!H30</f>
        <v>76.088385916568299</v>
      </c>
      <c r="H208" s="1786">
        <f>'14 Dda Consolidda'!I30</f>
        <v>76.117870725167933</v>
      </c>
      <c r="I208" s="1786">
        <f>'14 Dda Consolidda'!J30</f>
        <v>76.147366959347536</v>
      </c>
      <c r="J208" s="1786">
        <f>'14 Dda Consolidda'!K30</f>
        <v>76.176874623534601</v>
      </c>
      <c r="K208" s="1786">
        <f>'14 Dda Consolidda'!L30</f>
        <v>76.206393722158353</v>
      </c>
      <c r="L208" s="1786">
        <f>'14 Dda Consolidda'!M30</f>
        <v>76.235924259649707</v>
      </c>
      <c r="M208" s="1786">
        <f>'14 Dda Consolidda'!N30</f>
        <v>76.265466240441313</v>
      </c>
      <c r="N208" s="1786">
        <f>'14 Dda Consolidda'!O30</f>
        <v>76.295019668967541</v>
      </c>
      <c r="O208" s="1786">
        <f>'14 Dda Consolidda'!P30</f>
        <v>76.324584549664465</v>
      </c>
      <c r="P208" s="1786">
        <f>'14 Dda Consolidda'!Q30</f>
        <v>76.354160886969879</v>
      </c>
      <c r="Q208" s="1786">
        <f>'14 Dda Consolidda'!R30</f>
        <v>76.383748685323312</v>
      </c>
      <c r="R208" s="1786">
        <f>'14 Dda Consolidda'!S30</f>
        <v>76.41334794916601</v>
      </c>
      <c r="S208" s="1786">
        <f>'14 Dda Consolidda'!T30</f>
        <v>76.442958682940926</v>
      </c>
      <c r="T208" s="1786">
        <f>'14 Dda Consolidda'!U30</f>
        <v>76.472580891092733</v>
      </c>
      <c r="U208" s="2474">
        <v>5</v>
      </c>
      <c r="V208" s="2474">
        <v>5</v>
      </c>
      <c r="W208" s="2456"/>
      <c r="X208" s="2497"/>
    </row>
    <row r="209" spans="2:24" ht="14.25" thickBot="1" x14ac:dyDescent="0.3">
      <c r="B209" s="2455">
        <v>21</v>
      </c>
      <c r="C209" s="1758" t="str">
        <f>'14 Dda Consolidda'!D31</f>
        <v>Nutrición</v>
      </c>
      <c r="D209" s="1786" t="e">
        <f>'14 Dda Consolidda'!E31</f>
        <v>#DIV/0!</v>
      </c>
      <c r="E209" s="1786" t="e">
        <f>'14 Dda Consolidda'!F31</f>
        <v>#DIV/0!</v>
      </c>
      <c r="F209" s="1786" t="e">
        <f>'14 Dda Consolidda'!G31</f>
        <v>#DIV/0!</v>
      </c>
      <c r="G209" s="1786" t="e">
        <f>'14 Dda Consolidda'!H31</f>
        <v>#DIV/0!</v>
      </c>
      <c r="H209" s="1786" t="e">
        <f>'14 Dda Consolidda'!I31</f>
        <v>#DIV/0!</v>
      </c>
      <c r="I209" s="1786" t="e">
        <f>'14 Dda Consolidda'!J31</f>
        <v>#DIV/0!</v>
      </c>
      <c r="J209" s="1786" t="e">
        <f>'14 Dda Consolidda'!K31</f>
        <v>#DIV/0!</v>
      </c>
      <c r="K209" s="1786" t="e">
        <f>'14 Dda Consolidda'!L31</f>
        <v>#DIV/0!</v>
      </c>
      <c r="L209" s="1786" t="e">
        <f>'14 Dda Consolidda'!M31</f>
        <v>#DIV/0!</v>
      </c>
      <c r="M209" s="1786" t="e">
        <f>'14 Dda Consolidda'!N31</f>
        <v>#DIV/0!</v>
      </c>
      <c r="N209" s="1786" t="e">
        <f>'14 Dda Consolidda'!O31</f>
        <v>#DIV/0!</v>
      </c>
      <c r="O209" s="1786" t="e">
        <f>'14 Dda Consolidda'!P31</f>
        <v>#DIV/0!</v>
      </c>
      <c r="P209" s="1786" t="e">
        <f>'14 Dda Consolidda'!Q31</f>
        <v>#DIV/0!</v>
      </c>
      <c r="Q209" s="1786" t="e">
        <f>'14 Dda Consolidda'!R31</f>
        <v>#DIV/0!</v>
      </c>
      <c r="R209" s="1786" t="e">
        <f>'14 Dda Consolidda'!S31</f>
        <v>#DIV/0!</v>
      </c>
      <c r="S209" s="1786" t="e">
        <f>'14 Dda Consolidda'!T31</f>
        <v>#DIV/0!</v>
      </c>
      <c r="T209" s="1786" t="e">
        <f>'14 Dda Consolidda'!U31</f>
        <v>#DIV/0!</v>
      </c>
      <c r="U209" s="2474">
        <v>6</v>
      </c>
      <c r="V209" s="2474">
        <v>5</v>
      </c>
      <c r="W209" s="2456"/>
      <c r="X209" s="2497">
        <v>14</v>
      </c>
    </row>
    <row r="210" spans="2:24" ht="14.25" thickBot="1" x14ac:dyDescent="0.3">
      <c r="B210" s="2455">
        <v>22</v>
      </c>
      <c r="C210" s="1758" t="str">
        <f>'14 Dda Consolidda'!D32</f>
        <v>Tópico de Procedimientos</v>
      </c>
      <c r="D210" s="1786" t="e">
        <f>'14 Dda Consolidda'!E32</f>
        <v>#DIV/0!</v>
      </c>
      <c r="E210" s="1786" t="e">
        <f>'14 Dda Consolidda'!F32</f>
        <v>#DIV/0!</v>
      </c>
      <c r="F210" s="1786" t="e">
        <f>'14 Dda Consolidda'!G32</f>
        <v>#DIV/0!</v>
      </c>
      <c r="G210" s="1786" t="e">
        <f>'14 Dda Consolidda'!H32</f>
        <v>#DIV/0!</v>
      </c>
      <c r="H210" s="1786" t="e">
        <f>'14 Dda Consolidda'!I32</f>
        <v>#DIV/0!</v>
      </c>
      <c r="I210" s="1786" t="e">
        <f>'14 Dda Consolidda'!J32</f>
        <v>#DIV/0!</v>
      </c>
      <c r="J210" s="1786" t="e">
        <f>'14 Dda Consolidda'!K32</f>
        <v>#DIV/0!</v>
      </c>
      <c r="K210" s="1786" t="e">
        <f>'14 Dda Consolidda'!L32</f>
        <v>#DIV/0!</v>
      </c>
      <c r="L210" s="1786" t="e">
        <f>'14 Dda Consolidda'!M32</f>
        <v>#DIV/0!</v>
      </c>
      <c r="M210" s="1786" t="e">
        <f>'14 Dda Consolidda'!N32</f>
        <v>#DIV/0!</v>
      </c>
      <c r="N210" s="1786" t="e">
        <f>'14 Dda Consolidda'!O32</f>
        <v>#DIV/0!</v>
      </c>
      <c r="O210" s="1786" t="e">
        <f>'14 Dda Consolidda'!P32</f>
        <v>#DIV/0!</v>
      </c>
      <c r="P210" s="1786" t="e">
        <f>'14 Dda Consolidda'!Q32</f>
        <v>#DIV/0!</v>
      </c>
      <c r="Q210" s="1786" t="e">
        <f>'14 Dda Consolidda'!R32</f>
        <v>#DIV/0!</v>
      </c>
      <c r="R210" s="1786" t="e">
        <f>'14 Dda Consolidda'!S32</f>
        <v>#DIV/0!</v>
      </c>
      <c r="S210" s="1786" t="e">
        <f>'14 Dda Consolidda'!T32</f>
        <v>#DIV/0!</v>
      </c>
      <c r="T210" s="1786" t="e">
        <f>'14 Dda Consolidda'!U32</f>
        <v>#DIV/0!</v>
      </c>
      <c r="U210" s="2474">
        <v>5</v>
      </c>
      <c r="V210" s="2474">
        <v>1</v>
      </c>
      <c r="W210" s="2456"/>
      <c r="X210" s="2497">
        <v>15</v>
      </c>
    </row>
    <row r="211" spans="2:24" ht="14.25" thickBot="1" x14ac:dyDescent="0.3">
      <c r="B211" s="2455">
        <v>23</v>
      </c>
      <c r="C211" s="1758" t="str">
        <f>'14 Dda Consolidda'!D33</f>
        <v>Sala de Atencion Extramural</v>
      </c>
      <c r="D211" s="1786" t="e">
        <f>'14 Dda Consolidda'!E33</f>
        <v>#REF!</v>
      </c>
      <c r="E211" s="1786" t="e">
        <f>'14 Dda Consolidda'!F33</f>
        <v>#REF!</v>
      </c>
      <c r="F211" s="1786" t="e">
        <f>'14 Dda Consolidda'!G33</f>
        <v>#REF!</v>
      </c>
      <c r="G211" s="1786" t="e">
        <f>'14 Dda Consolidda'!H33</f>
        <v>#REF!</v>
      </c>
      <c r="H211" s="1786" t="e">
        <f>'14 Dda Consolidda'!I33</f>
        <v>#REF!</v>
      </c>
      <c r="I211" s="1786" t="e">
        <f>'14 Dda Consolidda'!J33</f>
        <v>#REF!</v>
      </c>
      <c r="J211" s="1786" t="e">
        <f>'14 Dda Consolidda'!K33</f>
        <v>#REF!</v>
      </c>
      <c r="K211" s="1786" t="e">
        <f>'14 Dda Consolidda'!L33</f>
        <v>#REF!</v>
      </c>
      <c r="L211" s="1786" t="e">
        <f>'14 Dda Consolidda'!M33</f>
        <v>#REF!</v>
      </c>
      <c r="M211" s="1786" t="e">
        <f>'14 Dda Consolidda'!N33</f>
        <v>#REF!</v>
      </c>
      <c r="N211" s="1786" t="e">
        <f>'14 Dda Consolidda'!O33</f>
        <v>#REF!</v>
      </c>
      <c r="O211" s="1786" t="e">
        <f>'14 Dda Consolidda'!P33</f>
        <v>#REF!</v>
      </c>
      <c r="P211" s="1786" t="e">
        <f>'14 Dda Consolidda'!Q33</f>
        <v>#REF!</v>
      </c>
      <c r="Q211" s="1786" t="e">
        <f>'14 Dda Consolidda'!R33</f>
        <v>#REF!</v>
      </c>
      <c r="R211" s="1786" t="e">
        <f>'14 Dda Consolidda'!S33</f>
        <v>#REF!</v>
      </c>
      <c r="S211" s="1786" t="e">
        <f>'14 Dda Consolidda'!T33</f>
        <v>#REF!</v>
      </c>
      <c r="T211" s="1786" t="e">
        <f>'14 Dda Consolidda'!U33</f>
        <v>#REF!</v>
      </c>
      <c r="U211" s="2474">
        <v>10</v>
      </c>
      <c r="V211" s="2474">
        <v>5</v>
      </c>
      <c r="W211" s="2456"/>
      <c r="X211" s="2497">
        <v>16</v>
      </c>
    </row>
    <row r="212" spans="2:24" ht="14.25" thickBot="1" x14ac:dyDescent="0.3">
      <c r="B212" s="2455"/>
      <c r="C212" s="2599" t="s">
        <v>61</v>
      </c>
      <c r="D212" s="2598"/>
      <c r="E212" s="2598"/>
      <c r="F212" s="2598"/>
      <c r="G212" s="2598"/>
      <c r="H212" s="2598"/>
      <c r="I212" s="2598"/>
      <c r="J212" s="2598"/>
      <c r="K212" s="2598"/>
      <c r="L212" s="2598"/>
      <c r="M212" s="2598"/>
      <c r="N212" s="2598"/>
      <c r="O212" s="2598"/>
      <c r="P212" s="2598"/>
      <c r="Q212" s="2598"/>
      <c r="R212" s="2598"/>
      <c r="S212" s="2598"/>
      <c r="T212" s="2598"/>
      <c r="U212" s="2602"/>
      <c r="V212" s="2602"/>
      <c r="W212" s="2456"/>
      <c r="X212" s="2497"/>
    </row>
    <row r="213" spans="2:24" ht="14.25" thickBot="1" x14ac:dyDescent="0.3">
      <c r="B213" s="2455">
        <v>24</v>
      </c>
      <c r="C213" s="1771" t="str">
        <f>'14 Dda Consolidda'!D35</f>
        <v xml:space="preserve">Topico de Urgencias y Emergencias </v>
      </c>
      <c r="D213" s="1786" t="e">
        <f>'14 Dda Consolidda'!E35</f>
        <v>#DIV/0!</v>
      </c>
      <c r="E213" s="1786" t="e">
        <f>'14 Dda Consolidda'!F35</f>
        <v>#DIV/0!</v>
      </c>
      <c r="F213" s="1786" t="e">
        <f>'14 Dda Consolidda'!G35</f>
        <v>#DIV/0!</v>
      </c>
      <c r="G213" s="1786" t="e">
        <f>'14 Dda Consolidda'!H35</f>
        <v>#DIV/0!</v>
      </c>
      <c r="H213" s="1786" t="e">
        <f>'14 Dda Consolidda'!I35</f>
        <v>#DIV/0!</v>
      </c>
      <c r="I213" s="1786" t="e">
        <f>'14 Dda Consolidda'!J35</f>
        <v>#DIV/0!</v>
      </c>
      <c r="J213" s="1786" t="e">
        <f>'14 Dda Consolidda'!K35</f>
        <v>#DIV/0!</v>
      </c>
      <c r="K213" s="1786" t="e">
        <f>'14 Dda Consolidda'!L35</f>
        <v>#DIV/0!</v>
      </c>
      <c r="L213" s="1786" t="e">
        <f>'14 Dda Consolidda'!M35</f>
        <v>#DIV/0!</v>
      </c>
      <c r="M213" s="1786" t="e">
        <f>'14 Dda Consolidda'!N35</f>
        <v>#DIV/0!</v>
      </c>
      <c r="N213" s="1786" t="e">
        <f>'14 Dda Consolidda'!O35</f>
        <v>#DIV/0!</v>
      </c>
      <c r="O213" s="1786" t="e">
        <f>'14 Dda Consolidda'!P35</f>
        <v>#DIV/0!</v>
      </c>
      <c r="P213" s="1786" t="e">
        <f>'14 Dda Consolidda'!Q35</f>
        <v>#DIV/0!</v>
      </c>
      <c r="Q213" s="1786" t="e">
        <f>'14 Dda Consolidda'!R35</f>
        <v>#DIV/0!</v>
      </c>
      <c r="R213" s="1786" t="e">
        <f>'14 Dda Consolidda'!S35</f>
        <v>#DIV/0!</v>
      </c>
      <c r="S213" s="1786" t="e">
        <f>'14 Dda Consolidda'!T35</f>
        <v>#DIV/0!</v>
      </c>
      <c r="T213" s="1786" t="e">
        <f>'14 Dda Consolidda'!U35</f>
        <v>#DIV/0!</v>
      </c>
      <c r="U213" s="2474">
        <v>5</v>
      </c>
      <c r="V213" s="2474">
        <v>8</v>
      </c>
      <c r="W213" s="2456"/>
      <c r="X213" s="2497">
        <v>17</v>
      </c>
    </row>
    <row r="214" spans="2:24" ht="14.25" thickBot="1" x14ac:dyDescent="0.3">
      <c r="B214" s="2455">
        <v>25</v>
      </c>
      <c r="C214" s="1771" t="str">
        <f>'14 Dda Consolidda'!D36</f>
        <v>Observacion</v>
      </c>
      <c r="D214" s="1786" t="e">
        <f>'14 Dda Consolidda'!E36</f>
        <v>#DIV/0!</v>
      </c>
      <c r="E214" s="1786" t="e">
        <f>'14 Dda Consolidda'!F36</f>
        <v>#DIV/0!</v>
      </c>
      <c r="F214" s="1786" t="e">
        <f>'14 Dda Consolidda'!G36</f>
        <v>#DIV/0!</v>
      </c>
      <c r="G214" s="1786" t="e">
        <f>'14 Dda Consolidda'!H36</f>
        <v>#DIV/0!</v>
      </c>
      <c r="H214" s="1786" t="e">
        <f>'14 Dda Consolidda'!I36</f>
        <v>#DIV/0!</v>
      </c>
      <c r="I214" s="1786" t="e">
        <f>'14 Dda Consolidda'!J36</f>
        <v>#DIV/0!</v>
      </c>
      <c r="J214" s="1786" t="e">
        <f>'14 Dda Consolidda'!K36</f>
        <v>#DIV/0!</v>
      </c>
      <c r="K214" s="1786" t="e">
        <f>'14 Dda Consolidda'!L36</f>
        <v>#DIV/0!</v>
      </c>
      <c r="L214" s="1786" t="e">
        <f>'14 Dda Consolidda'!M36</f>
        <v>#DIV/0!</v>
      </c>
      <c r="M214" s="1786" t="e">
        <f>'14 Dda Consolidda'!N36</f>
        <v>#DIV/0!</v>
      </c>
      <c r="N214" s="1786" t="e">
        <f>'14 Dda Consolidda'!O36</f>
        <v>#DIV/0!</v>
      </c>
      <c r="O214" s="1786" t="e">
        <f>'14 Dda Consolidda'!P36</f>
        <v>#DIV/0!</v>
      </c>
      <c r="P214" s="1786" t="e">
        <f>'14 Dda Consolidda'!Q36</f>
        <v>#DIV/0!</v>
      </c>
      <c r="Q214" s="1786" t="e">
        <f>'14 Dda Consolidda'!R36</f>
        <v>#DIV/0!</v>
      </c>
      <c r="R214" s="1786" t="e">
        <f>'14 Dda Consolidda'!S36</f>
        <v>#DIV/0!</v>
      </c>
      <c r="S214" s="1786" t="e">
        <f>'14 Dda Consolidda'!T36</f>
        <v>#DIV/0!</v>
      </c>
      <c r="T214" s="1786" t="e">
        <f>'14 Dda Consolidda'!U36</f>
        <v>#DIV/0!</v>
      </c>
      <c r="U214" s="2474">
        <v>25</v>
      </c>
      <c r="V214" s="2474">
        <v>8</v>
      </c>
      <c r="W214" s="2456"/>
      <c r="X214" s="2497">
        <v>18</v>
      </c>
    </row>
    <row r="215" spans="2:24" ht="14.25" thickBot="1" x14ac:dyDescent="0.3">
      <c r="B215" s="2455"/>
      <c r="C215" s="2599" t="s">
        <v>2047</v>
      </c>
      <c r="D215" s="2598"/>
      <c r="E215" s="2598"/>
      <c r="F215" s="2598"/>
      <c r="G215" s="2598"/>
      <c r="H215" s="2598"/>
      <c r="I215" s="2598"/>
      <c r="J215" s="2598"/>
      <c r="K215" s="2598"/>
      <c r="L215" s="2598"/>
      <c r="M215" s="2598"/>
      <c r="N215" s="2598"/>
      <c r="O215" s="2598"/>
      <c r="P215" s="2598"/>
      <c r="Q215" s="2598"/>
      <c r="R215" s="2598"/>
      <c r="S215" s="2598"/>
      <c r="T215" s="2598"/>
      <c r="U215" s="2602"/>
      <c r="V215" s="2602"/>
      <c r="W215" s="2456"/>
      <c r="X215" s="2497"/>
    </row>
    <row r="216" spans="2:24" ht="14.25" thickBot="1" x14ac:dyDescent="0.3">
      <c r="B216" s="2455">
        <v>26</v>
      </c>
      <c r="C216" s="1757" t="str">
        <f>'14 Dda Consolidda'!D38</f>
        <v>Sala de Partos</v>
      </c>
      <c r="D216" s="1786">
        <f>'14 Dda Consolidda'!E38</f>
        <v>43.927999999999997</v>
      </c>
      <c r="E216" s="1786">
        <f>'14 Dda Consolidda'!F38</f>
        <v>43.945022422759564</v>
      </c>
      <c r="F216" s="1786">
        <f>'14 Dda Consolidda'!G38</f>
        <v>43.962051441833012</v>
      </c>
      <c r="G216" s="1786">
        <f>'14 Dda Consolidda'!H38</f>
        <v>43.979087059776482</v>
      </c>
      <c r="H216" s="1786">
        <f>'14 Dda Consolidda'!I38</f>
        <v>43.99612927914707</v>
      </c>
      <c r="I216" s="1786">
        <f>'14 Dda Consolidda'!J38</f>
        <v>44.013178102502877</v>
      </c>
      <c r="J216" s="1786">
        <f>'14 Dda Consolidda'!K38</f>
        <v>44.030233532403003</v>
      </c>
      <c r="K216" s="1786">
        <f>'14 Dda Consolidda'!L38</f>
        <v>44.047295571407531</v>
      </c>
      <c r="L216" s="1786">
        <f>'14 Dda Consolidda'!M38</f>
        <v>44.064364222077536</v>
      </c>
      <c r="M216" s="1786">
        <f>'14 Dda Consolidda'!N38</f>
        <v>44.081439486975071</v>
      </c>
      <c r="N216" s="1786">
        <f>'14 Dda Consolidda'!O38</f>
        <v>44.098521368663235</v>
      </c>
      <c r="O216" s="1786">
        <f>'14 Dda Consolidda'!P38</f>
        <v>44.115609869706063</v>
      </c>
      <c r="P216" s="1786">
        <f>'14 Dda Consolidda'!Q38</f>
        <v>44.132704992668593</v>
      </c>
      <c r="Q216" s="1786">
        <f>'14 Dda Consolidda'!R38</f>
        <v>44.149806740116873</v>
      </c>
      <c r="R216" s="1786">
        <f>'14 Dda Consolidda'!S38</f>
        <v>44.16691511461795</v>
      </c>
      <c r="S216" s="1786">
        <f>'14 Dda Consolidda'!T38</f>
        <v>44.184030118739855</v>
      </c>
      <c r="T216" s="1786">
        <f>'14 Dda Consolidda'!U38</f>
        <v>44.201151755051598</v>
      </c>
      <c r="U216" s="2474">
        <v>100</v>
      </c>
      <c r="V216" s="2474">
        <v>300</v>
      </c>
      <c r="W216" s="2456"/>
      <c r="X216" s="2497">
        <v>17</v>
      </c>
    </row>
    <row r="217" spans="2:24" ht="14.25" thickBot="1" x14ac:dyDescent="0.3">
      <c r="B217" s="2455">
        <v>27</v>
      </c>
      <c r="C217" s="1757" t="str">
        <f>'14 Dda Consolidda'!D39</f>
        <v>Atención inmediata del recién nacido</v>
      </c>
      <c r="D217" s="1786">
        <f>'14 Dda Consolidda'!E39</f>
        <v>43.927999999999997</v>
      </c>
      <c r="E217" s="1786">
        <f>'14 Dda Consolidda'!F39</f>
        <v>43.945022422759564</v>
      </c>
      <c r="F217" s="1786">
        <f>'14 Dda Consolidda'!G39</f>
        <v>43.962051441833012</v>
      </c>
      <c r="G217" s="1786">
        <f>'14 Dda Consolidda'!H39</f>
        <v>43.979087059776482</v>
      </c>
      <c r="H217" s="1786">
        <f>'14 Dda Consolidda'!I39</f>
        <v>43.99612927914707</v>
      </c>
      <c r="I217" s="1786">
        <f>'14 Dda Consolidda'!J39</f>
        <v>44.013178102502877</v>
      </c>
      <c r="J217" s="1786">
        <f>'14 Dda Consolidda'!K39</f>
        <v>44.030233532403003</v>
      </c>
      <c r="K217" s="1786">
        <f>'14 Dda Consolidda'!L39</f>
        <v>44.047295571407531</v>
      </c>
      <c r="L217" s="1786">
        <f>'14 Dda Consolidda'!M39</f>
        <v>44.064364222077536</v>
      </c>
      <c r="M217" s="1786">
        <f>'14 Dda Consolidda'!N39</f>
        <v>44.081439486975071</v>
      </c>
      <c r="N217" s="1786">
        <f>'14 Dda Consolidda'!O39</f>
        <v>44.098521368663235</v>
      </c>
      <c r="O217" s="1786">
        <f>'14 Dda Consolidda'!P39</f>
        <v>44.115609869706063</v>
      </c>
      <c r="P217" s="1786">
        <f>'14 Dda Consolidda'!Q39</f>
        <v>44.132704992668593</v>
      </c>
      <c r="Q217" s="1786">
        <f>'14 Dda Consolidda'!R39</f>
        <v>44.149806740116873</v>
      </c>
      <c r="R217" s="1786">
        <f>'14 Dda Consolidda'!S39</f>
        <v>44.16691511461795</v>
      </c>
      <c r="S217" s="1786">
        <f>'14 Dda Consolidda'!T39</f>
        <v>44.184030118739855</v>
      </c>
      <c r="T217" s="1786">
        <f>'14 Dda Consolidda'!U39</f>
        <v>44.201151755051598</v>
      </c>
      <c r="U217" s="2474">
        <v>15</v>
      </c>
      <c r="V217" s="2474">
        <v>50</v>
      </c>
      <c r="W217" s="2456"/>
      <c r="X217" s="2497">
        <v>18</v>
      </c>
    </row>
    <row r="218" spans="2:24" ht="14.25" thickBot="1" x14ac:dyDescent="0.3">
      <c r="B218" s="2455"/>
      <c r="C218" s="2600" t="s">
        <v>427</v>
      </c>
      <c r="D218" s="2598"/>
      <c r="E218" s="2598"/>
      <c r="F218" s="2598"/>
      <c r="G218" s="2598"/>
      <c r="H218" s="2598"/>
      <c r="I218" s="2598"/>
      <c r="J218" s="2598"/>
      <c r="K218" s="2598"/>
      <c r="L218" s="2598"/>
      <c r="M218" s="2598"/>
      <c r="N218" s="2598"/>
      <c r="O218" s="2598"/>
      <c r="P218" s="2598"/>
      <c r="Q218" s="2598"/>
      <c r="R218" s="2598"/>
      <c r="S218" s="2598"/>
      <c r="T218" s="2598"/>
      <c r="U218" s="2602"/>
      <c r="V218" s="2602"/>
      <c r="W218" s="2456"/>
      <c r="X218" s="2497"/>
    </row>
    <row r="219" spans="2:24" ht="14.25" thickBot="1" x14ac:dyDescent="0.3">
      <c r="B219" s="2455">
        <v>28</v>
      </c>
      <c r="C219" s="1757" t="str">
        <f>'14 Dda Consolidda'!D41</f>
        <v>Internamiento Varones</v>
      </c>
      <c r="D219" s="1786" t="e">
        <f>'14 Dda Consolidda'!E41</f>
        <v>#DIV/0!</v>
      </c>
      <c r="E219" s="1786" t="e">
        <f>'14 Dda Consolidda'!F41</f>
        <v>#DIV/0!</v>
      </c>
      <c r="F219" s="1786" t="e">
        <f>'14 Dda Consolidda'!G41</f>
        <v>#DIV/0!</v>
      </c>
      <c r="G219" s="1786" t="e">
        <f>'14 Dda Consolidda'!H41</f>
        <v>#DIV/0!</v>
      </c>
      <c r="H219" s="1786" t="e">
        <f>'14 Dda Consolidda'!I41</f>
        <v>#DIV/0!</v>
      </c>
      <c r="I219" s="1786" t="e">
        <f>'14 Dda Consolidda'!J41</f>
        <v>#DIV/0!</v>
      </c>
      <c r="J219" s="1786" t="e">
        <f>'14 Dda Consolidda'!K41</f>
        <v>#DIV/0!</v>
      </c>
      <c r="K219" s="1786" t="e">
        <f>'14 Dda Consolidda'!L41</f>
        <v>#DIV/0!</v>
      </c>
      <c r="L219" s="1786" t="e">
        <f>'14 Dda Consolidda'!M41</f>
        <v>#DIV/0!</v>
      </c>
      <c r="M219" s="1786" t="e">
        <f>'14 Dda Consolidda'!N41</f>
        <v>#DIV/0!</v>
      </c>
      <c r="N219" s="1786" t="e">
        <f>'14 Dda Consolidda'!O41</f>
        <v>#DIV/0!</v>
      </c>
      <c r="O219" s="1786" t="e">
        <f>'14 Dda Consolidda'!P41</f>
        <v>#DIV/0!</v>
      </c>
      <c r="P219" s="1786" t="e">
        <f>'14 Dda Consolidda'!Q41</f>
        <v>#DIV/0!</v>
      </c>
      <c r="Q219" s="1786" t="e">
        <f>'14 Dda Consolidda'!R41</f>
        <v>#DIV/0!</v>
      </c>
      <c r="R219" s="1786" t="e">
        <f>'14 Dda Consolidda'!S41</f>
        <v>#DIV/0!</v>
      </c>
      <c r="S219" s="1786" t="e">
        <f>'14 Dda Consolidda'!T41</f>
        <v>#DIV/0!</v>
      </c>
      <c r="T219" s="1786" t="e">
        <f>'14 Dda Consolidda'!U41</f>
        <v>#DIV/0!</v>
      </c>
      <c r="U219" s="2474">
        <v>80</v>
      </c>
      <c r="V219" s="2474">
        <v>10</v>
      </c>
      <c r="W219" s="2456"/>
      <c r="X219" s="2497">
        <v>17</v>
      </c>
    </row>
    <row r="220" spans="2:24" ht="14.25" thickBot="1" x14ac:dyDescent="0.3">
      <c r="B220" s="2455">
        <v>29</v>
      </c>
      <c r="C220" s="1757" t="str">
        <f>'14 Dda Consolidda'!D42</f>
        <v>Internamiento Mujeres</v>
      </c>
      <c r="D220" s="1786" t="e">
        <f>'14 Dda Consolidda'!E42</f>
        <v>#DIV/0!</v>
      </c>
      <c r="E220" s="1786" t="e">
        <f>'14 Dda Consolidda'!F42</f>
        <v>#DIV/0!</v>
      </c>
      <c r="F220" s="1786" t="e">
        <f>'14 Dda Consolidda'!G42</f>
        <v>#DIV/0!</v>
      </c>
      <c r="G220" s="1786" t="e">
        <f>'14 Dda Consolidda'!H42</f>
        <v>#DIV/0!</v>
      </c>
      <c r="H220" s="1786" t="e">
        <f>'14 Dda Consolidda'!I42</f>
        <v>#DIV/0!</v>
      </c>
      <c r="I220" s="1786" t="e">
        <f>'14 Dda Consolidda'!J42</f>
        <v>#DIV/0!</v>
      </c>
      <c r="J220" s="1786" t="e">
        <f>'14 Dda Consolidda'!K42</f>
        <v>#DIV/0!</v>
      </c>
      <c r="K220" s="1786" t="e">
        <f>'14 Dda Consolidda'!L42</f>
        <v>#DIV/0!</v>
      </c>
      <c r="L220" s="1786" t="e">
        <f>'14 Dda Consolidda'!M42</f>
        <v>#DIV/0!</v>
      </c>
      <c r="M220" s="1786" t="e">
        <f>'14 Dda Consolidda'!N42</f>
        <v>#DIV/0!</v>
      </c>
      <c r="N220" s="1786" t="e">
        <f>'14 Dda Consolidda'!O42</f>
        <v>#DIV/0!</v>
      </c>
      <c r="O220" s="1786" t="e">
        <f>'14 Dda Consolidda'!P42</f>
        <v>#DIV/0!</v>
      </c>
      <c r="P220" s="1786" t="e">
        <f>'14 Dda Consolidda'!Q42</f>
        <v>#DIV/0!</v>
      </c>
      <c r="Q220" s="1786" t="e">
        <f>'14 Dda Consolidda'!R42</f>
        <v>#DIV/0!</v>
      </c>
      <c r="R220" s="1786" t="e">
        <f>'14 Dda Consolidda'!S42</f>
        <v>#DIV/0!</v>
      </c>
      <c r="S220" s="1786" t="e">
        <f>'14 Dda Consolidda'!T42</f>
        <v>#DIV/0!</v>
      </c>
      <c r="T220" s="1786" t="e">
        <f>'14 Dda Consolidda'!U42</f>
        <v>#DIV/0!</v>
      </c>
      <c r="U220" s="2474">
        <v>80</v>
      </c>
      <c r="V220" s="2474">
        <v>10</v>
      </c>
      <c r="W220" s="2456"/>
      <c r="X220" s="2497">
        <v>18</v>
      </c>
    </row>
    <row r="221" spans="2:24" ht="14.25" thickBot="1" x14ac:dyDescent="0.3">
      <c r="B221" s="2455">
        <v>30</v>
      </c>
      <c r="C221" s="1757" t="str">
        <f>'14 Dda Consolidda'!D43</f>
        <v>Internamiento Niños</v>
      </c>
      <c r="D221" s="1786" t="e">
        <f>'14 Dda Consolidda'!E43</f>
        <v>#DIV/0!</v>
      </c>
      <c r="E221" s="1786" t="e">
        <f>'14 Dda Consolidda'!F43</f>
        <v>#DIV/0!</v>
      </c>
      <c r="F221" s="1786" t="e">
        <f>'14 Dda Consolidda'!G43</f>
        <v>#DIV/0!</v>
      </c>
      <c r="G221" s="1786" t="e">
        <f>'14 Dda Consolidda'!H43</f>
        <v>#DIV/0!</v>
      </c>
      <c r="H221" s="1786" t="e">
        <f>'14 Dda Consolidda'!I43</f>
        <v>#DIV/0!</v>
      </c>
      <c r="I221" s="1786" t="e">
        <f>'14 Dda Consolidda'!J43</f>
        <v>#DIV/0!</v>
      </c>
      <c r="J221" s="1786" t="e">
        <f>'14 Dda Consolidda'!K43</f>
        <v>#DIV/0!</v>
      </c>
      <c r="K221" s="1786" t="e">
        <f>'14 Dda Consolidda'!L43</f>
        <v>#DIV/0!</v>
      </c>
      <c r="L221" s="1786" t="e">
        <f>'14 Dda Consolidda'!M43</f>
        <v>#DIV/0!</v>
      </c>
      <c r="M221" s="1786" t="e">
        <f>'14 Dda Consolidda'!N43</f>
        <v>#DIV/0!</v>
      </c>
      <c r="N221" s="1786" t="e">
        <f>'14 Dda Consolidda'!O43</f>
        <v>#DIV/0!</v>
      </c>
      <c r="O221" s="1786" t="e">
        <f>'14 Dda Consolidda'!P43</f>
        <v>#DIV/0!</v>
      </c>
      <c r="P221" s="1786" t="e">
        <f>'14 Dda Consolidda'!Q43</f>
        <v>#DIV/0!</v>
      </c>
      <c r="Q221" s="1786" t="e">
        <f>'14 Dda Consolidda'!R43</f>
        <v>#DIV/0!</v>
      </c>
      <c r="R221" s="1786" t="e">
        <f>'14 Dda Consolidda'!S43</f>
        <v>#DIV/0!</v>
      </c>
      <c r="S221" s="1786" t="e">
        <f>'14 Dda Consolidda'!T43</f>
        <v>#DIV/0!</v>
      </c>
      <c r="T221" s="1786" t="e">
        <f>'14 Dda Consolidda'!U43</f>
        <v>#DIV/0!</v>
      </c>
      <c r="U221" s="2474">
        <v>80</v>
      </c>
      <c r="V221" s="2474">
        <v>10</v>
      </c>
      <c r="W221" s="2456"/>
      <c r="X221" s="2497"/>
    </row>
    <row r="222" spans="2:24" ht="14.25" thickBot="1" x14ac:dyDescent="0.3">
      <c r="B222" s="2455">
        <v>31</v>
      </c>
      <c r="C222" s="1757" t="str">
        <f>'14 Dda Consolidda'!D44</f>
        <v>Internamiento Obstétrico</v>
      </c>
      <c r="D222" s="1786">
        <f>'14 Dda Consolidda'!E44</f>
        <v>43.927999999999997</v>
      </c>
      <c r="E222" s="1786">
        <f>'14 Dda Consolidda'!F44</f>
        <v>43.945022422759564</v>
      </c>
      <c r="F222" s="1786">
        <f>'14 Dda Consolidda'!G44</f>
        <v>43.962051441833012</v>
      </c>
      <c r="G222" s="1786">
        <f>'14 Dda Consolidda'!H44</f>
        <v>43.979087059776482</v>
      </c>
      <c r="H222" s="1786">
        <f>'14 Dda Consolidda'!I44</f>
        <v>43.99612927914707</v>
      </c>
      <c r="I222" s="1786">
        <f>'14 Dda Consolidda'!J44</f>
        <v>44.013178102502877</v>
      </c>
      <c r="J222" s="1786">
        <f>'14 Dda Consolidda'!K44</f>
        <v>44.030233532403003</v>
      </c>
      <c r="K222" s="1786">
        <f>'14 Dda Consolidda'!L44</f>
        <v>44.047295571407531</v>
      </c>
      <c r="L222" s="1786">
        <f>'14 Dda Consolidda'!M44</f>
        <v>44.064364222077536</v>
      </c>
      <c r="M222" s="1786">
        <f>'14 Dda Consolidda'!N44</f>
        <v>44.081439486975071</v>
      </c>
      <c r="N222" s="1786">
        <f>'14 Dda Consolidda'!O44</f>
        <v>44.098521368663235</v>
      </c>
      <c r="O222" s="1786">
        <f>'14 Dda Consolidda'!P44</f>
        <v>44.115609869706063</v>
      </c>
      <c r="P222" s="1786">
        <f>'14 Dda Consolidda'!Q44</f>
        <v>44.132704992668593</v>
      </c>
      <c r="Q222" s="1786">
        <f>'14 Dda Consolidda'!R44</f>
        <v>44.149806740116873</v>
      </c>
      <c r="R222" s="1786">
        <f>'14 Dda Consolidda'!S44</f>
        <v>44.16691511461795</v>
      </c>
      <c r="S222" s="1786">
        <f>'14 Dda Consolidda'!T44</f>
        <v>44.184030118739855</v>
      </c>
      <c r="T222" s="1786">
        <f>'14 Dda Consolidda'!U44</f>
        <v>44.201151755051598</v>
      </c>
      <c r="U222" s="2474">
        <v>80</v>
      </c>
      <c r="V222" s="2474">
        <v>10</v>
      </c>
      <c r="W222" s="2456"/>
      <c r="X222" s="2497"/>
    </row>
    <row r="223" spans="2:24" ht="14.25" thickBot="1" x14ac:dyDescent="0.3">
      <c r="B223" s="2455">
        <v>32</v>
      </c>
      <c r="C223" s="1757" t="str">
        <f>'14 Dda Consolidda'!D45</f>
        <v>Monitoreo del Recién Nacido</v>
      </c>
      <c r="D223" s="1786" t="e">
        <f>'14 Dda Consolidda'!E45</f>
        <v>#DIV/0!</v>
      </c>
      <c r="E223" s="1786" t="e">
        <f>'14 Dda Consolidda'!F45</f>
        <v>#DIV/0!</v>
      </c>
      <c r="F223" s="1786" t="e">
        <f>'14 Dda Consolidda'!G45</f>
        <v>#DIV/0!</v>
      </c>
      <c r="G223" s="1786" t="e">
        <f>'14 Dda Consolidda'!H45</f>
        <v>#DIV/0!</v>
      </c>
      <c r="H223" s="1786" t="e">
        <f>'14 Dda Consolidda'!I45</f>
        <v>#DIV/0!</v>
      </c>
      <c r="I223" s="1786" t="e">
        <f>'14 Dda Consolidda'!J45</f>
        <v>#DIV/0!</v>
      </c>
      <c r="J223" s="1786" t="e">
        <f>'14 Dda Consolidda'!K45</f>
        <v>#DIV/0!</v>
      </c>
      <c r="K223" s="1786" t="e">
        <f>'14 Dda Consolidda'!L45</f>
        <v>#DIV/0!</v>
      </c>
      <c r="L223" s="1786" t="e">
        <f>'14 Dda Consolidda'!M45</f>
        <v>#DIV/0!</v>
      </c>
      <c r="M223" s="1786" t="e">
        <f>'14 Dda Consolidda'!N45</f>
        <v>#DIV/0!</v>
      </c>
      <c r="N223" s="1786" t="e">
        <f>'14 Dda Consolidda'!O45</f>
        <v>#DIV/0!</v>
      </c>
      <c r="O223" s="1786" t="e">
        <f>'14 Dda Consolidda'!P45</f>
        <v>#DIV/0!</v>
      </c>
      <c r="P223" s="1786" t="e">
        <f>'14 Dda Consolidda'!Q45</f>
        <v>#DIV/0!</v>
      </c>
      <c r="Q223" s="1786" t="e">
        <f>'14 Dda Consolidda'!R45</f>
        <v>#DIV/0!</v>
      </c>
      <c r="R223" s="1786" t="e">
        <f>'14 Dda Consolidda'!S45</f>
        <v>#DIV/0!</v>
      </c>
      <c r="S223" s="1786" t="e">
        <f>'14 Dda Consolidda'!T45</f>
        <v>#DIV/0!</v>
      </c>
      <c r="T223" s="1786" t="e">
        <f>'14 Dda Consolidda'!U45</f>
        <v>#DIV/0!</v>
      </c>
      <c r="U223" s="2474">
        <v>80</v>
      </c>
      <c r="V223" s="2474">
        <v>5</v>
      </c>
      <c r="W223" s="2456"/>
      <c r="X223" s="2497"/>
    </row>
    <row r="224" spans="2:24" ht="14.25" thickBot="1" x14ac:dyDescent="0.3">
      <c r="B224" s="2455"/>
      <c r="C224" s="2601" t="s">
        <v>1224</v>
      </c>
      <c r="D224" s="2598"/>
      <c r="E224" s="2598"/>
      <c r="F224" s="2598"/>
      <c r="G224" s="2598"/>
      <c r="H224" s="2598"/>
      <c r="I224" s="2598"/>
      <c r="J224" s="2598"/>
      <c r="K224" s="2598"/>
      <c r="L224" s="2598"/>
      <c r="M224" s="2598"/>
      <c r="N224" s="2598"/>
      <c r="O224" s="2598"/>
      <c r="P224" s="2598"/>
      <c r="Q224" s="2598"/>
      <c r="R224" s="2598"/>
      <c r="S224" s="2598"/>
      <c r="T224" s="2598"/>
      <c r="U224" s="2602"/>
      <c r="V224" s="2602"/>
      <c r="W224" s="2456"/>
      <c r="X224" s="2497"/>
    </row>
    <row r="225" spans="2:24" ht="14.25" thickBot="1" x14ac:dyDescent="0.3">
      <c r="B225" s="2455">
        <v>33</v>
      </c>
      <c r="C225" s="1758" t="str">
        <f>'14 Dda Consolidda'!D47</f>
        <v>Laboratorio Clínico Tipo I-4 </v>
      </c>
      <c r="D225" s="1786" t="e">
        <f>'14 Dda Consolidda'!E47</f>
        <v>#DIV/0!</v>
      </c>
      <c r="E225" s="1786" t="e">
        <f>'14 Dda Consolidda'!F47</f>
        <v>#DIV/0!</v>
      </c>
      <c r="F225" s="1786" t="e">
        <f>'14 Dda Consolidda'!G47</f>
        <v>#DIV/0!</v>
      </c>
      <c r="G225" s="1786" t="e">
        <f>'14 Dda Consolidda'!H47</f>
        <v>#DIV/0!</v>
      </c>
      <c r="H225" s="1786" t="e">
        <f>'14 Dda Consolidda'!I47</f>
        <v>#DIV/0!</v>
      </c>
      <c r="I225" s="1786" t="e">
        <f>'14 Dda Consolidda'!J47</f>
        <v>#DIV/0!</v>
      </c>
      <c r="J225" s="1786" t="e">
        <f>'14 Dda Consolidda'!K47</f>
        <v>#DIV/0!</v>
      </c>
      <c r="K225" s="1786" t="e">
        <f>'14 Dda Consolidda'!L47</f>
        <v>#DIV/0!</v>
      </c>
      <c r="L225" s="1786" t="e">
        <f>'14 Dda Consolidda'!M47</f>
        <v>#DIV/0!</v>
      </c>
      <c r="M225" s="1786" t="e">
        <f>'14 Dda Consolidda'!N47</f>
        <v>#DIV/0!</v>
      </c>
      <c r="N225" s="1786" t="e">
        <f>'14 Dda Consolidda'!O47</f>
        <v>#DIV/0!</v>
      </c>
      <c r="O225" s="1786" t="e">
        <f>'14 Dda Consolidda'!P47</f>
        <v>#DIV/0!</v>
      </c>
      <c r="P225" s="1786" t="e">
        <f>'14 Dda Consolidda'!Q47</f>
        <v>#DIV/0!</v>
      </c>
      <c r="Q225" s="1786" t="e">
        <f>'14 Dda Consolidda'!R47</f>
        <v>#DIV/0!</v>
      </c>
      <c r="R225" s="1786" t="e">
        <f>'14 Dda Consolidda'!S47</f>
        <v>#DIV/0!</v>
      </c>
      <c r="S225" s="1786" t="e">
        <f>'14 Dda Consolidda'!T47</f>
        <v>#DIV/0!</v>
      </c>
      <c r="T225" s="1786" t="e">
        <f>'14 Dda Consolidda'!U47</f>
        <v>#DIV/0!</v>
      </c>
      <c r="U225" s="2474">
        <v>25</v>
      </c>
      <c r="V225" s="2474">
        <v>10</v>
      </c>
      <c r="W225" s="2456"/>
      <c r="X225" s="2497">
        <v>19</v>
      </c>
    </row>
    <row r="226" spans="2:24" ht="14.25" thickBot="1" x14ac:dyDescent="0.3">
      <c r="B226" s="2455">
        <v>34</v>
      </c>
      <c r="C226" s="1758" t="str">
        <f>'14 Dda Consolidda'!D48</f>
        <v>Radiología convencional simple</v>
      </c>
      <c r="D226" s="1786" t="e">
        <f>'14 Dda Consolidda'!E48</f>
        <v>#DIV/0!</v>
      </c>
      <c r="E226" s="1786" t="e">
        <f>'14 Dda Consolidda'!F48</f>
        <v>#DIV/0!</v>
      </c>
      <c r="F226" s="1786" t="e">
        <f>'14 Dda Consolidda'!G48</f>
        <v>#DIV/0!</v>
      </c>
      <c r="G226" s="1786" t="e">
        <f>'14 Dda Consolidda'!H48</f>
        <v>#DIV/0!</v>
      </c>
      <c r="H226" s="1786" t="e">
        <f>'14 Dda Consolidda'!I48</f>
        <v>#DIV/0!</v>
      </c>
      <c r="I226" s="1786" t="e">
        <f>'14 Dda Consolidda'!J48</f>
        <v>#DIV/0!</v>
      </c>
      <c r="J226" s="1786" t="e">
        <f>'14 Dda Consolidda'!K48</f>
        <v>#DIV/0!</v>
      </c>
      <c r="K226" s="1786" t="e">
        <f>'14 Dda Consolidda'!L48</f>
        <v>#DIV/0!</v>
      </c>
      <c r="L226" s="1786" t="e">
        <f>'14 Dda Consolidda'!M48</f>
        <v>#DIV/0!</v>
      </c>
      <c r="M226" s="1786" t="e">
        <f>'14 Dda Consolidda'!N48</f>
        <v>#DIV/0!</v>
      </c>
      <c r="N226" s="1786" t="e">
        <f>'14 Dda Consolidda'!O48</f>
        <v>#DIV/0!</v>
      </c>
      <c r="O226" s="1786" t="e">
        <f>'14 Dda Consolidda'!P48</f>
        <v>#DIV/0!</v>
      </c>
      <c r="P226" s="1786" t="e">
        <f>'14 Dda Consolidda'!Q48</f>
        <v>#DIV/0!</v>
      </c>
      <c r="Q226" s="1786" t="e">
        <f>'14 Dda Consolidda'!R48</f>
        <v>#DIV/0!</v>
      </c>
      <c r="R226" s="1786" t="e">
        <f>'14 Dda Consolidda'!S48</f>
        <v>#DIV/0!</v>
      </c>
      <c r="S226" s="1786" t="e">
        <f>'14 Dda Consolidda'!T48</f>
        <v>#DIV/0!</v>
      </c>
      <c r="T226" s="1786" t="e">
        <f>'14 Dda Consolidda'!U48</f>
        <v>#DIV/0!</v>
      </c>
      <c r="U226" s="2474">
        <v>8.5</v>
      </c>
      <c r="V226" s="2474">
        <v>10</v>
      </c>
      <c r="W226" s="2456"/>
      <c r="X226" s="2497"/>
    </row>
    <row r="227" spans="2:24" ht="14.25" thickBot="1" x14ac:dyDescent="0.3">
      <c r="B227" s="2455">
        <v>35</v>
      </c>
      <c r="C227" s="1758" t="str">
        <f>'14 Dda Consolidda'!D49</f>
        <v>Ecografía General</v>
      </c>
      <c r="D227" s="1786" t="e">
        <f>'14 Dda Consolidda'!E49</f>
        <v>#DIV/0!</v>
      </c>
      <c r="E227" s="1786" t="e">
        <f>'14 Dda Consolidda'!F49</f>
        <v>#DIV/0!</v>
      </c>
      <c r="F227" s="1786" t="e">
        <f>'14 Dda Consolidda'!G49</f>
        <v>#DIV/0!</v>
      </c>
      <c r="G227" s="1786" t="e">
        <f>'14 Dda Consolidda'!H49</f>
        <v>#DIV/0!</v>
      </c>
      <c r="H227" s="1786" t="e">
        <f>'14 Dda Consolidda'!I49</f>
        <v>#DIV/0!</v>
      </c>
      <c r="I227" s="1786" t="e">
        <f>'14 Dda Consolidda'!J49</f>
        <v>#DIV/0!</v>
      </c>
      <c r="J227" s="1786" t="e">
        <f>'14 Dda Consolidda'!K49</f>
        <v>#DIV/0!</v>
      </c>
      <c r="K227" s="1786" t="e">
        <f>'14 Dda Consolidda'!L49</f>
        <v>#DIV/0!</v>
      </c>
      <c r="L227" s="1786" t="e">
        <f>'14 Dda Consolidda'!M49</f>
        <v>#DIV/0!</v>
      </c>
      <c r="M227" s="1786" t="e">
        <f>'14 Dda Consolidda'!N49</f>
        <v>#DIV/0!</v>
      </c>
      <c r="N227" s="1786" t="e">
        <f>'14 Dda Consolidda'!O49</f>
        <v>#DIV/0!</v>
      </c>
      <c r="O227" s="1786" t="e">
        <f>'14 Dda Consolidda'!P49</f>
        <v>#DIV/0!</v>
      </c>
      <c r="P227" s="1786" t="e">
        <f>'14 Dda Consolidda'!Q49</f>
        <v>#DIV/0!</v>
      </c>
      <c r="Q227" s="1786" t="e">
        <f>'14 Dda Consolidda'!R49</f>
        <v>#DIV/0!</v>
      </c>
      <c r="R227" s="1786" t="e">
        <f>'14 Dda Consolidda'!S49</f>
        <v>#DIV/0!</v>
      </c>
      <c r="S227" s="1786" t="e">
        <f>'14 Dda Consolidda'!T49</f>
        <v>#DIV/0!</v>
      </c>
      <c r="T227" s="1786" t="e">
        <f>'14 Dda Consolidda'!U49</f>
        <v>#DIV/0!</v>
      </c>
      <c r="U227" s="2474">
        <v>10</v>
      </c>
      <c r="V227" s="2474">
        <v>20</v>
      </c>
      <c r="W227" s="2456"/>
      <c r="X227" s="2497"/>
    </row>
    <row r="228" spans="2:24" ht="14.25" thickBot="1" x14ac:dyDescent="0.3">
      <c r="B228" s="2455">
        <v>36</v>
      </c>
      <c r="C228" s="1758" t="str">
        <f>'14 Dda Consolidda'!D50</f>
        <v>Ecografía Obstétrica</v>
      </c>
      <c r="D228" s="1786">
        <f>'14 Dda Consolidda'!E50</f>
        <v>228</v>
      </c>
      <c r="E228" s="1786">
        <f>'14 Dda Consolidda'!F50</f>
        <v>228.08835167522264</v>
      </c>
      <c r="F228" s="1786">
        <f>'14 Dda Consolidda'!G50</f>
        <v>228.17673758736859</v>
      </c>
      <c r="G228" s="1786">
        <f>'14 Dda Consolidda'!H50</f>
        <v>228.26515774970488</v>
      </c>
      <c r="H228" s="1786">
        <f>'14 Dda Consolidda'!I50</f>
        <v>228.3536121755038</v>
      </c>
      <c r="I228" s="1786">
        <f>'14 Dda Consolidda'!J50</f>
        <v>228.4421008780426</v>
      </c>
      <c r="J228" s="1786">
        <f>'14 Dda Consolidda'!K50</f>
        <v>228.53062387060379</v>
      </c>
      <c r="K228" s="1786">
        <f>'14 Dda Consolidda'!L50</f>
        <v>228.61918116647507</v>
      </c>
      <c r="L228" s="1786">
        <f>'14 Dda Consolidda'!M50</f>
        <v>228.70777277894911</v>
      </c>
      <c r="M228" s="1786">
        <f>'14 Dda Consolidda'!N50</f>
        <v>228.79639872132395</v>
      </c>
      <c r="N228" s="1786">
        <f>'14 Dda Consolidda'!O50</f>
        <v>228.88505900690262</v>
      </c>
      <c r="O228" s="1786">
        <f>'14 Dda Consolidda'!P50</f>
        <v>228.97375364899341</v>
      </c>
      <c r="P228" s="1786">
        <f>'14 Dda Consolidda'!Q50</f>
        <v>229.06248266090964</v>
      </c>
      <c r="Q228" s="1786">
        <f>'14 Dda Consolidda'!R50</f>
        <v>229.15124605596992</v>
      </c>
      <c r="R228" s="1786">
        <f>'14 Dda Consolidda'!S50</f>
        <v>229.24004384749804</v>
      </c>
      <c r="S228" s="1786">
        <f>'14 Dda Consolidda'!T50</f>
        <v>229.32887604882279</v>
      </c>
      <c r="T228" s="1786">
        <f>'14 Dda Consolidda'!U50</f>
        <v>229.41774267327821</v>
      </c>
      <c r="U228" s="2474">
        <v>10</v>
      </c>
      <c r="V228" s="2474">
        <v>20</v>
      </c>
      <c r="W228" s="2456"/>
      <c r="X228" s="2497"/>
    </row>
    <row r="229" spans="2:24" ht="27.75" thickBot="1" x14ac:dyDescent="0.3">
      <c r="B229" s="2455">
        <v>37</v>
      </c>
      <c r="C229" s="1758" t="str">
        <f>'14 Dda Consolidda'!D51</f>
        <v>Atención Rehabilitadora de discapacidades leves y moderadas</v>
      </c>
      <c r="D229" s="1786">
        <f>'14 Dda Consolidda'!E51</f>
        <v>18.296161739879938</v>
      </c>
      <c r="E229" s="1786">
        <f>'14 Dda Consolidda'!F51</f>
        <v>18.303251636984598</v>
      </c>
      <c r="F229" s="1786">
        <f>'14 Dda Consolidda'!G51</f>
        <v>18.310344281476482</v>
      </c>
      <c r="G229" s="1786">
        <f>'14 Dda Consolidda'!H51</f>
        <v>18.317439674420221</v>
      </c>
      <c r="H229" s="1786">
        <f>'14 Dda Consolidda'!I51</f>
        <v>18.324537816880856</v>
      </c>
      <c r="I229" s="1786">
        <f>'14 Dda Consolidda'!J51</f>
        <v>18.331638709923844</v>
      </c>
      <c r="J229" s="1786">
        <f>'14 Dda Consolidda'!K51</f>
        <v>18.338742354615068</v>
      </c>
      <c r="K229" s="1786">
        <f>'14 Dda Consolidda'!L51</f>
        <v>18.3458487520208</v>
      </c>
      <c r="L229" s="1786">
        <f>'14 Dda Consolidda'!M51</f>
        <v>18.352957903207738</v>
      </c>
      <c r="M229" s="1786">
        <f>'14 Dda Consolidda'!N51</f>
        <v>18.360069809243001</v>
      </c>
      <c r="N229" s="1786">
        <f>'14 Dda Consolidda'!O51</f>
        <v>18.367184471194101</v>
      </c>
      <c r="O229" s="1786">
        <f>'14 Dda Consolidda'!P51</f>
        <v>18.374301890128983</v>
      </c>
      <c r="P229" s="1786">
        <f>'14 Dda Consolidda'!Q51</f>
        <v>18.381422067115999</v>
      </c>
      <c r="Q229" s="1786">
        <f>'14 Dda Consolidda'!R51</f>
        <v>18.388545003223911</v>
      </c>
      <c r="R229" s="1786">
        <f>'14 Dda Consolidda'!S51</f>
        <v>18.395670699521901</v>
      </c>
      <c r="S229" s="1786">
        <f>'14 Dda Consolidda'!T51</f>
        <v>18.402799157079563</v>
      </c>
      <c r="T229" s="1786">
        <f>'14 Dda Consolidda'!U51</f>
        <v>18.409930376966905</v>
      </c>
      <c r="U229" s="2474">
        <v>10</v>
      </c>
      <c r="V229" s="2474">
        <v>20</v>
      </c>
      <c r="W229" s="2456"/>
      <c r="X229" s="2497"/>
    </row>
    <row r="230" spans="2:24" ht="14.25" thickBot="1" x14ac:dyDescent="0.3">
      <c r="B230" s="2455">
        <v>38</v>
      </c>
      <c r="C230" s="1758" t="str">
        <f>'14 Dda Consolidda'!D52</f>
        <v>Desinfección y esterilización</v>
      </c>
      <c r="D230" s="1786" t="e">
        <f>'14 Dda Consolidda'!E52</f>
        <v>#DIV/0!</v>
      </c>
      <c r="E230" s="1786" t="e">
        <f>'14 Dda Consolidda'!F52</f>
        <v>#DIV/0!</v>
      </c>
      <c r="F230" s="1786" t="e">
        <f>'14 Dda Consolidda'!G52</f>
        <v>#DIV/0!</v>
      </c>
      <c r="G230" s="1786" t="e">
        <f>'14 Dda Consolidda'!H52</f>
        <v>#DIV/0!</v>
      </c>
      <c r="H230" s="1786" t="e">
        <f>'14 Dda Consolidda'!I52</f>
        <v>#DIV/0!</v>
      </c>
      <c r="I230" s="1786" t="e">
        <f>'14 Dda Consolidda'!J52</f>
        <v>#DIV/0!</v>
      </c>
      <c r="J230" s="1786" t="e">
        <f>'14 Dda Consolidda'!K52</f>
        <v>#DIV/0!</v>
      </c>
      <c r="K230" s="1786" t="e">
        <f>'14 Dda Consolidda'!L52</f>
        <v>#DIV/0!</v>
      </c>
      <c r="L230" s="1786" t="e">
        <f>'14 Dda Consolidda'!M52</f>
        <v>#DIV/0!</v>
      </c>
      <c r="M230" s="1786" t="e">
        <f>'14 Dda Consolidda'!N52</f>
        <v>#DIV/0!</v>
      </c>
      <c r="N230" s="1786" t="e">
        <f>'14 Dda Consolidda'!O52</f>
        <v>#DIV/0!</v>
      </c>
      <c r="O230" s="1786" t="e">
        <f>'14 Dda Consolidda'!P52</f>
        <v>#DIV/0!</v>
      </c>
      <c r="P230" s="1786" t="e">
        <f>'14 Dda Consolidda'!Q52</f>
        <v>#DIV/0!</v>
      </c>
      <c r="Q230" s="1786" t="e">
        <f>'14 Dda Consolidda'!R52</f>
        <v>#DIV/0!</v>
      </c>
      <c r="R230" s="1786" t="e">
        <f>'14 Dda Consolidda'!S52</f>
        <v>#DIV/0!</v>
      </c>
      <c r="S230" s="1786" t="e">
        <f>'14 Dda Consolidda'!T52</f>
        <v>#DIV/0!</v>
      </c>
      <c r="T230" s="1786" t="e">
        <f>'14 Dda Consolidda'!U52</f>
        <v>#DIV/0!</v>
      </c>
      <c r="U230" s="2474">
        <v>1</v>
      </c>
      <c r="V230" s="2474">
        <v>1</v>
      </c>
      <c r="W230" s="2456"/>
      <c r="X230" s="2497"/>
    </row>
    <row r="231" spans="2:24" ht="14.25" thickBot="1" x14ac:dyDescent="0.3">
      <c r="B231" s="2455">
        <v>39</v>
      </c>
      <c r="C231" s="1758" t="str">
        <f>'14 Dda Consolidda'!D53</f>
        <v>Farmacia</v>
      </c>
      <c r="D231" s="1786" t="e">
        <f>'14 Dda Consolidda'!E53</f>
        <v>#DIV/0!</v>
      </c>
      <c r="E231" s="1786" t="e">
        <f>'14 Dda Consolidda'!F53</f>
        <v>#DIV/0!</v>
      </c>
      <c r="F231" s="1786" t="e">
        <f>'14 Dda Consolidda'!G53</f>
        <v>#DIV/0!</v>
      </c>
      <c r="G231" s="1786" t="e">
        <f>'14 Dda Consolidda'!H53</f>
        <v>#DIV/0!</v>
      </c>
      <c r="H231" s="1786" t="e">
        <f>'14 Dda Consolidda'!I53</f>
        <v>#DIV/0!</v>
      </c>
      <c r="I231" s="1786" t="e">
        <f>'14 Dda Consolidda'!J53</f>
        <v>#DIV/0!</v>
      </c>
      <c r="J231" s="1786" t="e">
        <f>'14 Dda Consolidda'!K53</f>
        <v>#DIV/0!</v>
      </c>
      <c r="K231" s="1786" t="e">
        <f>'14 Dda Consolidda'!L53</f>
        <v>#DIV/0!</v>
      </c>
      <c r="L231" s="1786" t="e">
        <f>'14 Dda Consolidda'!M53</f>
        <v>#DIV/0!</v>
      </c>
      <c r="M231" s="1786" t="e">
        <f>'14 Dda Consolidda'!N53</f>
        <v>#DIV/0!</v>
      </c>
      <c r="N231" s="1786" t="e">
        <f>'14 Dda Consolidda'!O53</f>
        <v>#DIV/0!</v>
      </c>
      <c r="O231" s="1786" t="e">
        <f>'14 Dda Consolidda'!P53</f>
        <v>#DIV/0!</v>
      </c>
      <c r="P231" s="1786" t="e">
        <f>'14 Dda Consolidda'!Q53</f>
        <v>#DIV/0!</v>
      </c>
      <c r="Q231" s="1786" t="e">
        <f>'14 Dda Consolidda'!R53</f>
        <v>#DIV/0!</v>
      </c>
      <c r="R231" s="1786" t="e">
        <f>'14 Dda Consolidda'!S53</f>
        <v>#DIV/0!</v>
      </c>
      <c r="S231" s="1786" t="e">
        <f>'14 Dda Consolidda'!T53</f>
        <v>#DIV/0!</v>
      </c>
      <c r="T231" s="1786" t="e">
        <f>'14 Dda Consolidda'!U53</f>
        <v>#DIV/0!</v>
      </c>
      <c r="U231" s="2474">
        <v>1</v>
      </c>
      <c r="V231" s="2474">
        <v>1</v>
      </c>
      <c r="W231" s="2456"/>
      <c r="X231" s="2497">
        <v>20</v>
      </c>
    </row>
    <row r="232" spans="2:24" ht="14.25" thickBot="1" x14ac:dyDescent="0.3">
      <c r="B232" s="2455"/>
      <c r="C232" s="1188" t="s">
        <v>150</v>
      </c>
      <c r="D232" s="1189" t="e">
        <f t="shared" ref="D232:T232" si="135">SUM(D187:D231)</f>
        <v>#DIV/0!</v>
      </c>
      <c r="E232" s="1189" t="e">
        <f t="shared" si="135"/>
        <v>#DIV/0!</v>
      </c>
      <c r="F232" s="1189" t="e">
        <f t="shared" si="135"/>
        <v>#DIV/0!</v>
      </c>
      <c r="G232" s="1189" t="e">
        <f t="shared" si="135"/>
        <v>#DIV/0!</v>
      </c>
      <c r="H232" s="1189" t="e">
        <f t="shared" si="135"/>
        <v>#DIV/0!</v>
      </c>
      <c r="I232" s="1189" t="e">
        <f t="shared" si="135"/>
        <v>#DIV/0!</v>
      </c>
      <c r="J232" s="1189" t="e">
        <f t="shared" si="135"/>
        <v>#DIV/0!</v>
      </c>
      <c r="K232" s="1189" t="e">
        <f t="shared" si="135"/>
        <v>#DIV/0!</v>
      </c>
      <c r="L232" s="1189" t="e">
        <f t="shared" si="135"/>
        <v>#DIV/0!</v>
      </c>
      <c r="M232" s="1189" t="e">
        <f t="shared" si="135"/>
        <v>#DIV/0!</v>
      </c>
      <c r="N232" s="1189" t="e">
        <f t="shared" si="135"/>
        <v>#DIV/0!</v>
      </c>
      <c r="O232" s="1189" t="e">
        <f t="shared" si="135"/>
        <v>#DIV/0!</v>
      </c>
      <c r="P232" s="1189" t="e">
        <f t="shared" si="135"/>
        <v>#DIV/0!</v>
      </c>
      <c r="Q232" s="1189" t="e">
        <f t="shared" si="135"/>
        <v>#DIV/0!</v>
      </c>
      <c r="R232" s="1189" t="e">
        <f t="shared" si="135"/>
        <v>#DIV/0!</v>
      </c>
      <c r="S232" s="1189" t="e">
        <f t="shared" si="135"/>
        <v>#DIV/0!</v>
      </c>
      <c r="T232" s="1190" t="e">
        <f t="shared" si="135"/>
        <v>#DIV/0!</v>
      </c>
      <c r="U232" s="598"/>
      <c r="V232" s="598"/>
      <c r="W232" s="2456"/>
    </row>
    <row r="233" spans="2:24" x14ac:dyDescent="0.25">
      <c r="B233" s="2455"/>
      <c r="C233" s="598" t="s">
        <v>1983</v>
      </c>
      <c r="D233" s="598"/>
      <c r="E233" s="598"/>
      <c r="F233" s="598"/>
      <c r="G233" s="598"/>
      <c r="H233" s="598"/>
      <c r="I233" s="598"/>
      <c r="J233" s="598"/>
      <c r="K233" s="598"/>
      <c r="L233" s="598"/>
      <c r="M233" s="598"/>
      <c r="N233" s="598"/>
      <c r="O233" s="598"/>
      <c r="P233" s="598"/>
      <c r="Q233" s="1174"/>
      <c r="R233" s="1174"/>
      <c r="S233" s="1174"/>
      <c r="T233" s="1174" t="e">
        <f>SUM(G232:T232)</f>
        <v>#DIV/0!</v>
      </c>
      <c r="U233" s="598"/>
      <c r="V233" s="598"/>
      <c r="W233" s="2456"/>
    </row>
    <row r="234" spans="2:24" ht="14.25" thickBot="1" x14ac:dyDescent="0.3">
      <c r="B234" s="2455"/>
      <c r="C234" s="598"/>
      <c r="D234" s="598"/>
      <c r="E234" s="598"/>
      <c r="F234" s="598"/>
      <c r="G234" s="598"/>
      <c r="H234" s="598"/>
      <c r="I234" s="598"/>
      <c r="J234" s="598"/>
      <c r="K234" s="598"/>
      <c r="L234" s="598"/>
      <c r="M234" s="598"/>
      <c r="N234" s="598"/>
      <c r="O234" s="598"/>
      <c r="P234" s="1174"/>
      <c r="Q234" s="1174"/>
      <c r="R234" s="1174"/>
      <c r="S234" s="1174"/>
      <c r="T234" s="1174"/>
      <c r="U234" s="598"/>
      <c r="V234" s="598"/>
      <c r="W234" s="2456"/>
    </row>
    <row r="235" spans="2:24" ht="14.25" thickBot="1" x14ac:dyDescent="0.3">
      <c r="B235" s="2455"/>
      <c r="C235" s="1771" t="s">
        <v>4200</v>
      </c>
      <c r="D235" s="2596">
        <v>0.79859999999999998</v>
      </c>
      <c r="E235" s="2596">
        <f t="shared" ref="E235:S235" si="136">D235</f>
        <v>0.79859999999999998</v>
      </c>
      <c r="F235" s="2596">
        <f t="shared" si="136"/>
        <v>0.79859999999999998</v>
      </c>
      <c r="G235" s="2596">
        <f t="shared" si="136"/>
        <v>0.79859999999999998</v>
      </c>
      <c r="H235" s="2596">
        <f t="shared" si="136"/>
        <v>0.79859999999999998</v>
      </c>
      <c r="I235" s="2596">
        <f t="shared" si="136"/>
        <v>0.79859999999999998</v>
      </c>
      <c r="J235" s="2596">
        <f t="shared" si="136"/>
        <v>0.79859999999999998</v>
      </c>
      <c r="K235" s="2596">
        <f t="shared" si="136"/>
        <v>0.79859999999999998</v>
      </c>
      <c r="L235" s="2596">
        <f t="shared" si="136"/>
        <v>0.79859999999999998</v>
      </c>
      <c r="M235" s="2596">
        <f t="shared" si="136"/>
        <v>0.79859999999999998</v>
      </c>
      <c r="N235" s="2596">
        <f t="shared" si="136"/>
        <v>0.79859999999999998</v>
      </c>
      <c r="O235" s="2596">
        <f t="shared" si="136"/>
        <v>0.79859999999999998</v>
      </c>
      <c r="P235" s="2596">
        <f t="shared" si="136"/>
        <v>0.79859999999999998</v>
      </c>
      <c r="Q235" s="2596">
        <f t="shared" si="136"/>
        <v>0.79859999999999998</v>
      </c>
      <c r="R235" s="2596">
        <f t="shared" si="136"/>
        <v>0.79859999999999998</v>
      </c>
      <c r="S235" s="2596">
        <f t="shared" si="136"/>
        <v>0.79859999999999998</v>
      </c>
      <c r="T235" s="2596">
        <f>R235</f>
        <v>0.79859999999999998</v>
      </c>
      <c r="U235" s="598"/>
      <c r="V235" s="598"/>
      <c r="W235" s="2456"/>
    </row>
    <row r="236" spans="2:24" x14ac:dyDescent="0.25">
      <c r="B236" s="2455"/>
      <c r="C236" s="598" t="s">
        <v>4201</v>
      </c>
      <c r="D236" s="2593"/>
      <c r="E236" s="2593"/>
      <c r="F236" s="2593"/>
      <c r="G236" s="2593"/>
      <c r="H236" s="2593"/>
      <c r="I236" s="2593"/>
      <c r="J236" s="2593"/>
      <c r="K236" s="2593"/>
      <c r="L236" s="2593"/>
      <c r="M236" s="2593"/>
      <c r="N236" s="2593"/>
      <c r="O236" s="2593"/>
      <c r="P236" s="2593"/>
      <c r="Q236" s="2593"/>
      <c r="R236" s="2593"/>
      <c r="S236" s="2593"/>
      <c r="T236" s="2593"/>
      <c r="U236" s="598"/>
      <c r="V236" s="598"/>
      <c r="W236" s="2456"/>
    </row>
    <row r="237" spans="2:24" ht="14.25" thickBot="1" x14ac:dyDescent="0.3">
      <c r="B237" s="2455"/>
      <c r="C237" s="598"/>
      <c r="D237" s="598"/>
      <c r="E237" s="598"/>
      <c r="F237" s="598"/>
      <c r="G237" s="598"/>
      <c r="H237" s="598"/>
      <c r="I237" s="598"/>
      <c r="J237" s="598"/>
      <c r="K237" s="598"/>
      <c r="L237" s="598"/>
      <c r="M237" s="598"/>
      <c r="N237" s="598"/>
      <c r="O237" s="598"/>
      <c r="P237" s="1174"/>
      <c r="Q237" s="1174"/>
      <c r="R237" s="1174"/>
      <c r="S237" s="1174"/>
      <c r="T237" s="1174"/>
      <c r="U237" s="598"/>
      <c r="V237" s="598"/>
      <c r="W237" s="2456"/>
    </row>
    <row r="238" spans="2:24" ht="14.25" thickBot="1" x14ac:dyDescent="0.3">
      <c r="B238" s="2455"/>
      <c r="C238" s="1771" t="s">
        <v>4202</v>
      </c>
      <c r="D238" s="2596">
        <f t="shared" ref="D238:T238" si="137">1-D235</f>
        <v>0.20140000000000002</v>
      </c>
      <c r="E238" s="2596">
        <f t="shared" si="137"/>
        <v>0.20140000000000002</v>
      </c>
      <c r="F238" s="2596">
        <f t="shared" si="137"/>
        <v>0.20140000000000002</v>
      </c>
      <c r="G238" s="2596">
        <f t="shared" si="137"/>
        <v>0.20140000000000002</v>
      </c>
      <c r="H238" s="2596">
        <f t="shared" si="137"/>
        <v>0.20140000000000002</v>
      </c>
      <c r="I238" s="2596">
        <f t="shared" si="137"/>
        <v>0.20140000000000002</v>
      </c>
      <c r="J238" s="2596">
        <f t="shared" si="137"/>
        <v>0.20140000000000002</v>
      </c>
      <c r="K238" s="2596">
        <f t="shared" si="137"/>
        <v>0.20140000000000002</v>
      </c>
      <c r="L238" s="2596">
        <f t="shared" si="137"/>
        <v>0.20140000000000002</v>
      </c>
      <c r="M238" s="2596">
        <f t="shared" si="137"/>
        <v>0.20140000000000002</v>
      </c>
      <c r="N238" s="2596">
        <f t="shared" si="137"/>
        <v>0.20140000000000002</v>
      </c>
      <c r="O238" s="2596">
        <f t="shared" si="137"/>
        <v>0.20140000000000002</v>
      </c>
      <c r="P238" s="2596">
        <f t="shared" si="137"/>
        <v>0.20140000000000002</v>
      </c>
      <c r="Q238" s="2596">
        <f t="shared" si="137"/>
        <v>0.20140000000000002</v>
      </c>
      <c r="R238" s="2596">
        <f t="shared" si="137"/>
        <v>0.20140000000000002</v>
      </c>
      <c r="S238" s="2596">
        <f t="shared" si="137"/>
        <v>0.20140000000000002</v>
      </c>
      <c r="T238" s="2596">
        <f t="shared" si="137"/>
        <v>0.20140000000000002</v>
      </c>
      <c r="U238" s="598"/>
      <c r="V238" s="598"/>
      <c r="W238" s="2456"/>
    </row>
    <row r="239" spans="2:24" x14ac:dyDescent="0.25">
      <c r="B239" s="2455"/>
      <c r="C239" s="598"/>
      <c r="D239" s="598"/>
      <c r="E239" s="598"/>
      <c r="F239" s="598"/>
      <c r="G239" s="598"/>
      <c r="H239" s="598"/>
      <c r="I239" s="598"/>
      <c r="J239" s="598"/>
      <c r="K239" s="598"/>
      <c r="L239" s="598"/>
      <c r="M239" s="598"/>
      <c r="N239" s="598"/>
      <c r="O239" s="598"/>
      <c r="P239" s="1174"/>
      <c r="Q239" s="1174"/>
      <c r="R239" s="1174"/>
      <c r="S239" s="1174"/>
      <c r="T239" s="1174"/>
      <c r="U239" s="598"/>
      <c r="V239" s="598"/>
      <c r="W239" s="2456"/>
    </row>
    <row r="240" spans="2:24" ht="14.25" thickBot="1" x14ac:dyDescent="0.3">
      <c r="B240" s="2458"/>
      <c r="C240" s="2459"/>
      <c r="D240" s="2459"/>
      <c r="E240" s="2459"/>
      <c r="F240" s="2459"/>
      <c r="G240" s="2459"/>
      <c r="H240" s="2459"/>
      <c r="I240" s="2459"/>
      <c r="J240" s="2459"/>
      <c r="K240" s="2459"/>
      <c r="L240" s="2459"/>
      <c r="M240" s="2459"/>
      <c r="N240" s="2459"/>
      <c r="O240" s="2459"/>
      <c r="P240" s="2459"/>
      <c r="Q240" s="2459"/>
      <c r="R240" s="2459"/>
      <c r="S240" s="2459"/>
      <c r="T240" s="2459"/>
      <c r="U240" s="2459"/>
      <c r="V240" s="2459"/>
      <c r="W240" s="2460"/>
    </row>
  </sheetData>
  <mergeCells count="17">
    <mergeCell ref="C4:U4"/>
    <mergeCell ref="C11:C12"/>
    <mergeCell ref="U11:U12"/>
    <mergeCell ref="Y17:AP17"/>
    <mergeCell ref="C8:U9"/>
    <mergeCell ref="C127:T128"/>
    <mergeCell ref="C19:T19"/>
    <mergeCell ref="Y19:AO19"/>
    <mergeCell ref="C21:C22"/>
    <mergeCell ref="Y21:Y22"/>
    <mergeCell ref="C77:C78"/>
    <mergeCell ref="C74:T75"/>
    <mergeCell ref="C130:C131"/>
    <mergeCell ref="C185:C186"/>
    <mergeCell ref="U185:U186"/>
    <mergeCell ref="V185:V186"/>
    <mergeCell ref="C182:V18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2060"/>
  </sheetPr>
  <dimension ref="B1:S104"/>
  <sheetViews>
    <sheetView topLeftCell="A7" zoomScale="70" zoomScaleNormal="70" workbookViewId="0">
      <selection activeCell="C6" sqref="C6"/>
    </sheetView>
  </sheetViews>
  <sheetFormatPr baseColWidth="10" defaultRowHeight="13.5" x14ac:dyDescent="0.25"/>
  <cols>
    <col min="1" max="1" width="3" style="2611" customWidth="1"/>
    <col min="2" max="2" width="5" style="2611" customWidth="1"/>
    <col min="3" max="3" width="37.42578125" style="2611" customWidth="1"/>
    <col min="4" max="4" width="35.5703125" style="2611" customWidth="1"/>
    <col min="5" max="5" width="25.42578125" style="2611" customWidth="1"/>
    <col min="6" max="18" width="14.7109375" style="2611" customWidth="1"/>
    <col min="19" max="19" width="5.7109375" style="2611" customWidth="1"/>
    <col min="20" max="126" width="11.42578125" style="2611"/>
    <col min="127" max="127" width="34" style="2611" bestFit="1" customWidth="1"/>
    <col min="128" max="128" width="11.85546875" style="2611" customWidth="1"/>
    <col min="129" max="130" width="11.42578125" style="2611"/>
    <col min="131" max="132" width="13.140625" style="2611" bestFit="1" customWidth="1"/>
    <col min="133" max="382" width="11.42578125" style="2611"/>
    <col min="383" max="383" width="34" style="2611" bestFit="1" customWidth="1"/>
    <col min="384" max="384" width="11.85546875" style="2611" customWidth="1"/>
    <col min="385" max="386" width="11.42578125" style="2611"/>
    <col min="387" max="388" width="13.140625" style="2611" bestFit="1" customWidth="1"/>
    <col min="389" max="638" width="11.42578125" style="2611"/>
    <col min="639" max="639" width="34" style="2611" bestFit="1" customWidth="1"/>
    <col min="640" max="640" width="11.85546875" style="2611" customWidth="1"/>
    <col min="641" max="642" width="11.42578125" style="2611"/>
    <col min="643" max="644" width="13.140625" style="2611" bestFit="1" customWidth="1"/>
    <col min="645" max="894" width="11.42578125" style="2611"/>
    <col min="895" max="895" width="34" style="2611" bestFit="1" customWidth="1"/>
    <col min="896" max="896" width="11.85546875" style="2611" customWidth="1"/>
    <col min="897" max="898" width="11.42578125" style="2611"/>
    <col min="899" max="900" width="13.140625" style="2611" bestFit="1" customWidth="1"/>
    <col min="901" max="1150" width="11.42578125" style="2611"/>
    <col min="1151" max="1151" width="34" style="2611" bestFit="1" customWidth="1"/>
    <col min="1152" max="1152" width="11.85546875" style="2611" customWidth="1"/>
    <col min="1153" max="1154" width="11.42578125" style="2611"/>
    <col min="1155" max="1156" width="13.140625" style="2611" bestFit="1" customWidth="1"/>
    <col min="1157" max="1406" width="11.42578125" style="2611"/>
    <col min="1407" max="1407" width="34" style="2611" bestFit="1" customWidth="1"/>
    <col min="1408" max="1408" width="11.85546875" style="2611" customWidth="1"/>
    <col min="1409" max="1410" width="11.42578125" style="2611"/>
    <col min="1411" max="1412" width="13.140625" style="2611" bestFit="1" customWidth="1"/>
    <col min="1413" max="1662" width="11.42578125" style="2611"/>
    <col min="1663" max="1663" width="34" style="2611" bestFit="1" customWidth="1"/>
    <col min="1664" max="1664" width="11.85546875" style="2611" customWidth="1"/>
    <col min="1665" max="1666" width="11.42578125" style="2611"/>
    <col min="1667" max="1668" width="13.140625" style="2611" bestFit="1" customWidth="1"/>
    <col min="1669" max="1918" width="11.42578125" style="2611"/>
    <col min="1919" max="1919" width="34" style="2611" bestFit="1" customWidth="1"/>
    <col min="1920" max="1920" width="11.85546875" style="2611" customWidth="1"/>
    <col min="1921" max="1922" width="11.42578125" style="2611"/>
    <col min="1923" max="1924" width="13.140625" style="2611" bestFit="1" customWidth="1"/>
    <col min="1925" max="2174" width="11.42578125" style="2611"/>
    <col min="2175" max="2175" width="34" style="2611" bestFit="1" customWidth="1"/>
    <col min="2176" max="2176" width="11.85546875" style="2611" customWidth="1"/>
    <col min="2177" max="2178" width="11.42578125" style="2611"/>
    <col min="2179" max="2180" width="13.140625" style="2611" bestFit="1" customWidth="1"/>
    <col min="2181" max="2430" width="11.42578125" style="2611"/>
    <col min="2431" max="2431" width="34" style="2611" bestFit="1" customWidth="1"/>
    <col min="2432" max="2432" width="11.85546875" style="2611" customWidth="1"/>
    <col min="2433" max="2434" width="11.42578125" style="2611"/>
    <col min="2435" max="2436" width="13.140625" style="2611" bestFit="1" customWidth="1"/>
    <col min="2437" max="2686" width="11.42578125" style="2611"/>
    <col min="2687" max="2687" width="34" style="2611" bestFit="1" customWidth="1"/>
    <col min="2688" max="2688" width="11.85546875" style="2611" customWidth="1"/>
    <col min="2689" max="2690" width="11.42578125" style="2611"/>
    <col min="2691" max="2692" width="13.140625" style="2611" bestFit="1" customWidth="1"/>
    <col min="2693" max="2942" width="11.42578125" style="2611"/>
    <col min="2943" max="2943" width="34" style="2611" bestFit="1" customWidth="1"/>
    <col min="2944" max="2944" width="11.85546875" style="2611" customWidth="1"/>
    <col min="2945" max="2946" width="11.42578125" style="2611"/>
    <col min="2947" max="2948" width="13.140625" style="2611" bestFit="1" customWidth="1"/>
    <col min="2949" max="3198" width="11.42578125" style="2611"/>
    <col min="3199" max="3199" width="34" style="2611" bestFit="1" customWidth="1"/>
    <col min="3200" max="3200" width="11.85546875" style="2611" customWidth="1"/>
    <col min="3201" max="3202" width="11.42578125" style="2611"/>
    <col min="3203" max="3204" width="13.140625" style="2611" bestFit="1" customWidth="1"/>
    <col min="3205" max="3454" width="11.42578125" style="2611"/>
    <col min="3455" max="3455" width="34" style="2611" bestFit="1" customWidth="1"/>
    <col min="3456" max="3456" width="11.85546875" style="2611" customWidth="1"/>
    <col min="3457" max="3458" width="11.42578125" style="2611"/>
    <col min="3459" max="3460" width="13.140625" style="2611" bestFit="1" customWidth="1"/>
    <col min="3461" max="3710" width="11.42578125" style="2611"/>
    <col min="3711" max="3711" width="34" style="2611" bestFit="1" customWidth="1"/>
    <col min="3712" max="3712" width="11.85546875" style="2611" customWidth="1"/>
    <col min="3713" max="3714" width="11.42578125" style="2611"/>
    <col min="3715" max="3716" width="13.140625" style="2611" bestFit="1" customWidth="1"/>
    <col min="3717" max="3966" width="11.42578125" style="2611"/>
    <col min="3967" max="3967" width="34" style="2611" bestFit="1" customWidth="1"/>
    <col min="3968" max="3968" width="11.85546875" style="2611" customWidth="1"/>
    <col min="3969" max="3970" width="11.42578125" style="2611"/>
    <col min="3971" max="3972" width="13.140625" style="2611" bestFit="1" customWidth="1"/>
    <col min="3973" max="4222" width="11.42578125" style="2611"/>
    <col min="4223" max="4223" width="34" style="2611" bestFit="1" customWidth="1"/>
    <col min="4224" max="4224" width="11.85546875" style="2611" customWidth="1"/>
    <col min="4225" max="4226" width="11.42578125" style="2611"/>
    <col min="4227" max="4228" width="13.140625" style="2611" bestFit="1" customWidth="1"/>
    <col min="4229" max="4478" width="11.42578125" style="2611"/>
    <col min="4479" max="4479" width="34" style="2611" bestFit="1" customWidth="1"/>
    <col min="4480" max="4480" width="11.85546875" style="2611" customWidth="1"/>
    <col min="4481" max="4482" width="11.42578125" style="2611"/>
    <col min="4483" max="4484" width="13.140625" style="2611" bestFit="1" customWidth="1"/>
    <col min="4485" max="4734" width="11.42578125" style="2611"/>
    <col min="4735" max="4735" width="34" style="2611" bestFit="1" customWidth="1"/>
    <col min="4736" max="4736" width="11.85546875" style="2611" customWidth="1"/>
    <col min="4737" max="4738" width="11.42578125" style="2611"/>
    <col min="4739" max="4740" width="13.140625" style="2611" bestFit="1" customWidth="1"/>
    <col min="4741" max="4990" width="11.42578125" style="2611"/>
    <col min="4991" max="4991" width="34" style="2611" bestFit="1" customWidth="1"/>
    <col min="4992" max="4992" width="11.85546875" style="2611" customWidth="1"/>
    <col min="4993" max="4994" width="11.42578125" style="2611"/>
    <col min="4995" max="4996" width="13.140625" style="2611" bestFit="1" customWidth="1"/>
    <col min="4997" max="5246" width="11.42578125" style="2611"/>
    <col min="5247" max="5247" width="34" style="2611" bestFit="1" customWidth="1"/>
    <col min="5248" max="5248" width="11.85546875" style="2611" customWidth="1"/>
    <col min="5249" max="5250" width="11.42578125" style="2611"/>
    <col min="5251" max="5252" width="13.140625" style="2611" bestFit="1" customWidth="1"/>
    <col min="5253" max="5502" width="11.42578125" style="2611"/>
    <col min="5503" max="5503" width="34" style="2611" bestFit="1" customWidth="1"/>
    <col min="5504" max="5504" width="11.85546875" style="2611" customWidth="1"/>
    <col min="5505" max="5506" width="11.42578125" style="2611"/>
    <col min="5507" max="5508" width="13.140625" style="2611" bestFit="1" customWidth="1"/>
    <col min="5509" max="5758" width="11.42578125" style="2611"/>
    <col min="5759" max="5759" width="34" style="2611" bestFit="1" customWidth="1"/>
    <col min="5760" max="5760" width="11.85546875" style="2611" customWidth="1"/>
    <col min="5761" max="5762" width="11.42578125" style="2611"/>
    <col min="5763" max="5764" width="13.140625" style="2611" bestFit="1" customWidth="1"/>
    <col min="5765" max="6014" width="11.42578125" style="2611"/>
    <col min="6015" max="6015" width="34" style="2611" bestFit="1" customWidth="1"/>
    <col min="6016" max="6016" width="11.85546875" style="2611" customWidth="1"/>
    <col min="6017" max="6018" width="11.42578125" style="2611"/>
    <col min="6019" max="6020" width="13.140625" style="2611" bestFit="1" customWidth="1"/>
    <col min="6021" max="6270" width="11.42578125" style="2611"/>
    <col min="6271" max="6271" width="34" style="2611" bestFit="1" customWidth="1"/>
    <col min="6272" max="6272" width="11.85546875" style="2611" customWidth="1"/>
    <col min="6273" max="6274" width="11.42578125" style="2611"/>
    <col min="6275" max="6276" width="13.140625" style="2611" bestFit="1" customWidth="1"/>
    <col min="6277" max="6526" width="11.42578125" style="2611"/>
    <col min="6527" max="6527" width="34" style="2611" bestFit="1" customWidth="1"/>
    <col min="6528" max="6528" width="11.85546875" style="2611" customWidth="1"/>
    <col min="6529" max="6530" width="11.42578125" style="2611"/>
    <col min="6531" max="6532" width="13.140625" style="2611" bestFit="1" customWidth="1"/>
    <col min="6533" max="6782" width="11.42578125" style="2611"/>
    <col min="6783" max="6783" width="34" style="2611" bestFit="1" customWidth="1"/>
    <col min="6784" max="6784" width="11.85546875" style="2611" customWidth="1"/>
    <col min="6785" max="6786" width="11.42578125" style="2611"/>
    <col min="6787" max="6788" width="13.140625" style="2611" bestFit="1" customWidth="1"/>
    <col min="6789" max="7038" width="11.42578125" style="2611"/>
    <col min="7039" max="7039" width="34" style="2611" bestFit="1" customWidth="1"/>
    <col min="7040" max="7040" width="11.85546875" style="2611" customWidth="1"/>
    <col min="7041" max="7042" width="11.42578125" style="2611"/>
    <col min="7043" max="7044" width="13.140625" style="2611" bestFit="1" customWidth="1"/>
    <col min="7045" max="7294" width="11.42578125" style="2611"/>
    <col min="7295" max="7295" width="34" style="2611" bestFit="1" customWidth="1"/>
    <col min="7296" max="7296" width="11.85546875" style="2611" customWidth="1"/>
    <col min="7297" max="7298" width="11.42578125" style="2611"/>
    <col min="7299" max="7300" width="13.140625" style="2611" bestFit="1" customWidth="1"/>
    <col min="7301" max="7550" width="11.42578125" style="2611"/>
    <col min="7551" max="7551" width="34" style="2611" bestFit="1" customWidth="1"/>
    <col min="7552" max="7552" width="11.85546875" style="2611" customWidth="1"/>
    <col min="7553" max="7554" width="11.42578125" style="2611"/>
    <col min="7555" max="7556" width="13.140625" style="2611" bestFit="1" customWidth="1"/>
    <col min="7557" max="7806" width="11.42578125" style="2611"/>
    <col min="7807" max="7807" width="34" style="2611" bestFit="1" customWidth="1"/>
    <col min="7808" max="7808" width="11.85546875" style="2611" customWidth="1"/>
    <col min="7809" max="7810" width="11.42578125" style="2611"/>
    <col min="7811" max="7812" width="13.140625" style="2611" bestFit="1" customWidth="1"/>
    <col min="7813" max="8062" width="11.42578125" style="2611"/>
    <col min="8063" max="8063" width="34" style="2611" bestFit="1" customWidth="1"/>
    <col min="8064" max="8064" width="11.85546875" style="2611" customWidth="1"/>
    <col min="8065" max="8066" width="11.42578125" style="2611"/>
    <col min="8067" max="8068" width="13.140625" style="2611" bestFit="1" customWidth="1"/>
    <col min="8069" max="8318" width="11.42578125" style="2611"/>
    <col min="8319" max="8319" width="34" style="2611" bestFit="1" customWidth="1"/>
    <col min="8320" max="8320" width="11.85546875" style="2611" customWidth="1"/>
    <col min="8321" max="8322" width="11.42578125" style="2611"/>
    <col min="8323" max="8324" width="13.140625" style="2611" bestFit="1" customWidth="1"/>
    <col min="8325" max="8574" width="11.42578125" style="2611"/>
    <col min="8575" max="8575" width="34" style="2611" bestFit="1" customWidth="1"/>
    <col min="8576" max="8576" width="11.85546875" style="2611" customWidth="1"/>
    <col min="8577" max="8578" width="11.42578125" style="2611"/>
    <col min="8579" max="8580" width="13.140625" style="2611" bestFit="1" customWidth="1"/>
    <col min="8581" max="8830" width="11.42578125" style="2611"/>
    <col min="8831" max="8831" width="34" style="2611" bestFit="1" customWidth="1"/>
    <col min="8832" max="8832" width="11.85546875" style="2611" customWidth="1"/>
    <col min="8833" max="8834" width="11.42578125" style="2611"/>
    <col min="8835" max="8836" width="13.140625" style="2611" bestFit="1" customWidth="1"/>
    <col min="8837" max="9086" width="11.42578125" style="2611"/>
    <col min="9087" max="9087" width="34" style="2611" bestFit="1" customWidth="1"/>
    <col min="9088" max="9088" width="11.85546875" style="2611" customWidth="1"/>
    <col min="9089" max="9090" width="11.42578125" style="2611"/>
    <col min="9091" max="9092" width="13.140625" style="2611" bestFit="1" customWidth="1"/>
    <col min="9093" max="9342" width="11.42578125" style="2611"/>
    <col min="9343" max="9343" width="34" style="2611" bestFit="1" customWidth="1"/>
    <col min="9344" max="9344" width="11.85546875" style="2611" customWidth="1"/>
    <col min="9345" max="9346" width="11.42578125" style="2611"/>
    <col min="9347" max="9348" width="13.140625" style="2611" bestFit="1" customWidth="1"/>
    <col min="9349" max="9598" width="11.42578125" style="2611"/>
    <col min="9599" max="9599" width="34" style="2611" bestFit="1" customWidth="1"/>
    <col min="9600" max="9600" width="11.85546875" style="2611" customWidth="1"/>
    <col min="9601" max="9602" width="11.42578125" style="2611"/>
    <col min="9603" max="9604" width="13.140625" style="2611" bestFit="1" customWidth="1"/>
    <col min="9605" max="9854" width="11.42578125" style="2611"/>
    <col min="9855" max="9855" width="34" style="2611" bestFit="1" customWidth="1"/>
    <col min="9856" max="9856" width="11.85546875" style="2611" customWidth="1"/>
    <col min="9857" max="9858" width="11.42578125" style="2611"/>
    <col min="9859" max="9860" width="13.140625" style="2611" bestFit="1" customWidth="1"/>
    <col min="9861" max="10110" width="11.42578125" style="2611"/>
    <col min="10111" max="10111" width="34" style="2611" bestFit="1" customWidth="1"/>
    <col min="10112" max="10112" width="11.85546875" style="2611" customWidth="1"/>
    <col min="10113" max="10114" width="11.42578125" style="2611"/>
    <col min="10115" max="10116" width="13.140625" style="2611" bestFit="1" customWidth="1"/>
    <col min="10117" max="10366" width="11.42578125" style="2611"/>
    <col min="10367" max="10367" width="34" style="2611" bestFit="1" customWidth="1"/>
    <col min="10368" max="10368" width="11.85546875" style="2611" customWidth="1"/>
    <col min="10369" max="10370" width="11.42578125" style="2611"/>
    <col min="10371" max="10372" width="13.140625" style="2611" bestFit="1" customWidth="1"/>
    <col min="10373" max="10622" width="11.42578125" style="2611"/>
    <col min="10623" max="10623" width="34" style="2611" bestFit="1" customWidth="1"/>
    <col min="10624" max="10624" width="11.85546875" style="2611" customWidth="1"/>
    <col min="10625" max="10626" width="11.42578125" style="2611"/>
    <col min="10627" max="10628" width="13.140625" style="2611" bestFit="1" customWidth="1"/>
    <col min="10629" max="10878" width="11.42578125" style="2611"/>
    <col min="10879" max="10879" width="34" style="2611" bestFit="1" customWidth="1"/>
    <col min="10880" max="10880" width="11.85546875" style="2611" customWidth="1"/>
    <col min="10881" max="10882" width="11.42578125" style="2611"/>
    <col min="10883" max="10884" width="13.140625" style="2611" bestFit="1" customWidth="1"/>
    <col min="10885" max="11134" width="11.42578125" style="2611"/>
    <col min="11135" max="11135" width="34" style="2611" bestFit="1" customWidth="1"/>
    <col min="11136" max="11136" width="11.85546875" style="2611" customWidth="1"/>
    <col min="11137" max="11138" width="11.42578125" style="2611"/>
    <col min="11139" max="11140" width="13.140625" style="2611" bestFit="1" customWidth="1"/>
    <col min="11141" max="11390" width="11.42578125" style="2611"/>
    <col min="11391" max="11391" width="34" style="2611" bestFit="1" customWidth="1"/>
    <col min="11392" max="11392" width="11.85546875" style="2611" customWidth="1"/>
    <col min="11393" max="11394" width="11.42578125" style="2611"/>
    <col min="11395" max="11396" width="13.140625" style="2611" bestFit="1" customWidth="1"/>
    <col min="11397" max="11646" width="11.42578125" style="2611"/>
    <col min="11647" max="11647" width="34" style="2611" bestFit="1" customWidth="1"/>
    <col min="11648" max="11648" width="11.85546875" style="2611" customWidth="1"/>
    <col min="11649" max="11650" width="11.42578125" style="2611"/>
    <col min="11651" max="11652" width="13.140625" style="2611" bestFit="1" customWidth="1"/>
    <col min="11653" max="11902" width="11.42578125" style="2611"/>
    <col min="11903" max="11903" width="34" style="2611" bestFit="1" customWidth="1"/>
    <col min="11904" max="11904" width="11.85546875" style="2611" customWidth="1"/>
    <col min="11905" max="11906" width="11.42578125" style="2611"/>
    <col min="11907" max="11908" width="13.140625" style="2611" bestFit="1" customWidth="1"/>
    <col min="11909" max="12158" width="11.42578125" style="2611"/>
    <col min="12159" max="12159" width="34" style="2611" bestFit="1" customWidth="1"/>
    <col min="12160" max="12160" width="11.85546875" style="2611" customWidth="1"/>
    <col min="12161" max="12162" width="11.42578125" style="2611"/>
    <col min="12163" max="12164" width="13.140625" style="2611" bestFit="1" customWidth="1"/>
    <col min="12165" max="12414" width="11.42578125" style="2611"/>
    <col min="12415" max="12415" width="34" style="2611" bestFit="1" customWidth="1"/>
    <col min="12416" max="12416" width="11.85546875" style="2611" customWidth="1"/>
    <col min="12417" max="12418" width="11.42578125" style="2611"/>
    <col min="12419" max="12420" width="13.140625" style="2611" bestFit="1" customWidth="1"/>
    <col min="12421" max="12670" width="11.42578125" style="2611"/>
    <col min="12671" max="12671" width="34" style="2611" bestFit="1" customWidth="1"/>
    <col min="12672" max="12672" width="11.85546875" style="2611" customWidth="1"/>
    <col min="12673" max="12674" width="11.42578125" style="2611"/>
    <col min="12675" max="12676" width="13.140625" style="2611" bestFit="1" customWidth="1"/>
    <col min="12677" max="12926" width="11.42578125" style="2611"/>
    <col min="12927" max="12927" width="34" style="2611" bestFit="1" customWidth="1"/>
    <col min="12928" max="12928" width="11.85546875" style="2611" customWidth="1"/>
    <col min="12929" max="12930" width="11.42578125" style="2611"/>
    <col min="12931" max="12932" width="13.140625" style="2611" bestFit="1" customWidth="1"/>
    <col min="12933" max="13182" width="11.42578125" style="2611"/>
    <col min="13183" max="13183" width="34" style="2611" bestFit="1" customWidth="1"/>
    <col min="13184" max="13184" width="11.85546875" style="2611" customWidth="1"/>
    <col min="13185" max="13186" width="11.42578125" style="2611"/>
    <col min="13187" max="13188" width="13.140625" style="2611" bestFit="1" customWidth="1"/>
    <col min="13189" max="13438" width="11.42578125" style="2611"/>
    <col min="13439" max="13439" width="34" style="2611" bestFit="1" customWidth="1"/>
    <col min="13440" max="13440" width="11.85546875" style="2611" customWidth="1"/>
    <col min="13441" max="13442" width="11.42578125" style="2611"/>
    <col min="13443" max="13444" width="13.140625" style="2611" bestFit="1" customWidth="1"/>
    <col min="13445" max="13694" width="11.42578125" style="2611"/>
    <col min="13695" max="13695" width="34" style="2611" bestFit="1" customWidth="1"/>
    <col min="13696" max="13696" width="11.85546875" style="2611" customWidth="1"/>
    <col min="13697" max="13698" width="11.42578125" style="2611"/>
    <col min="13699" max="13700" width="13.140625" style="2611" bestFit="1" customWidth="1"/>
    <col min="13701" max="13950" width="11.42578125" style="2611"/>
    <col min="13951" max="13951" width="34" style="2611" bestFit="1" customWidth="1"/>
    <col min="13952" max="13952" width="11.85546875" style="2611" customWidth="1"/>
    <col min="13953" max="13954" width="11.42578125" style="2611"/>
    <col min="13955" max="13956" width="13.140625" style="2611" bestFit="1" customWidth="1"/>
    <col min="13957" max="14206" width="11.42578125" style="2611"/>
    <col min="14207" max="14207" width="34" style="2611" bestFit="1" customWidth="1"/>
    <col min="14208" max="14208" width="11.85546875" style="2611" customWidth="1"/>
    <col min="14209" max="14210" width="11.42578125" style="2611"/>
    <col min="14211" max="14212" width="13.140625" style="2611" bestFit="1" customWidth="1"/>
    <col min="14213" max="14462" width="11.42578125" style="2611"/>
    <col min="14463" max="14463" width="34" style="2611" bestFit="1" customWidth="1"/>
    <col min="14464" max="14464" width="11.85546875" style="2611" customWidth="1"/>
    <col min="14465" max="14466" width="11.42578125" style="2611"/>
    <col min="14467" max="14468" width="13.140625" style="2611" bestFit="1" customWidth="1"/>
    <col min="14469" max="14718" width="11.42578125" style="2611"/>
    <col min="14719" max="14719" width="34" style="2611" bestFit="1" customWidth="1"/>
    <col min="14720" max="14720" width="11.85546875" style="2611" customWidth="1"/>
    <col min="14721" max="14722" width="11.42578125" style="2611"/>
    <col min="14723" max="14724" width="13.140625" style="2611" bestFit="1" customWidth="1"/>
    <col min="14725" max="14974" width="11.42578125" style="2611"/>
    <col min="14975" max="14975" width="34" style="2611" bestFit="1" customWidth="1"/>
    <col min="14976" max="14976" width="11.85546875" style="2611" customWidth="1"/>
    <col min="14977" max="14978" width="11.42578125" style="2611"/>
    <col min="14979" max="14980" width="13.140625" style="2611" bestFit="1" customWidth="1"/>
    <col min="14981" max="15230" width="11.42578125" style="2611"/>
    <col min="15231" max="15231" width="34" style="2611" bestFit="1" customWidth="1"/>
    <col min="15232" max="15232" width="11.85546875" style="2611" customWidth="1"/>
    <col min="15233" max="15234" width="11.42578125" style="2611"/>
    <col min="15235" max="15236" width="13.140625" style="2611" bestFit="1" customWidth="1"/>
    <col min="15237" max="15486" width="11.42578125" style="2611"/>
    <col min="15487" max="15487" width="34" style="2611" bestFit="1" customWidth="1"/>
    <col min="15488" max="15488" width="11.85546875" style="2611" customWidth="1"/>
    <col min="15489" max="15490" width="11.42578125" style="2611"/>
    <col min="15491" max="15492" width="13.140625" style="2611" bestFit="1" customWidth="1"/>
    <col min="15493" max="15742" width="11.42578125" style="2611"/>
    <col min="15743" max="15743" width="34" style="2611" bestFit="1" customWidth="1"/>
    <col min="15744" max="15744" width="11.85546875" style="2611" customWidth="1"/>
    <col min="15745" max="15746" width="11.42578125" style="2611"/>
    <col min="15747" max="15748" width="13.140625" style="2611" bestFit="1" customWidth="1"/>
    <col min="15749" max="15998" width="11.42578125" style="2611"/>
    <col min="15999" max="15999" width="34" style="2611" bestFit="1" customWidth="1"/>
    <col min="16000" max="16000" width="11.85546875" style="2611" customWidth="1"/>
    <col min="16001" max="16002" width="11.42578125" style="2611"/>
    <col min="16003" max="16004" width="13.140625" style="2611" bestFit="1" customWidth="1"/>
    <col min="16005" max="16384" width="11.42578125" style="2611"/>
  </cols>
  <sheetData>
    <row r="1" spans="2:19" x14ac:dyDescent="0.25">
      <c r="C1" s="2447"/>
      <c r="D1" s="2447"/>
    </row>
    <row r="6" spans="2:19" ht="14.25" thickBot="1" x14ac:dyDescent="0.3"/>
    <row r="7" spans="2:19" ht="14.25" thickBot="1" x14ac:dyDescent="0.3">
      <c r="B7" s="2638"/>
      <c r="C7" s="2639"/>
      <c r="D7" s="2639"/>
      <c r="E7" s="2639"/>
      <c r="F7" s="2639"/>
      <c r="G7" s="2639"/>
      <c r="H7" s="2639"/>
      <c r="I7" s="2639"/>
      <c r="J7" s="2639"/>
      <c r="K7" s="2639"/>
      <c r="L7" s="2639"/>
      <c r="M7" s="2639"/>
      <c r="N7" s="2639"/>
      <c r="O7" s="2639"/>
      <c r="P7" s="2639"/>
      <c r="Q7" s="2639"/>
      <c r="R7" s="2639"/>
      <c r="S7" s="2640"/>
    </row>
    <row r="8" spans="2:19" ht="14.25" thickBot="1" x14ac:dyDescent="0.3">
      <c r="B8" s="2641"/>
      <c r="C8" s="4906" t="s">
        <v>4251</v>
      </c>
      <c r="D8" s="4906"/>
      <c r="E8" s="4906"/>
      <c r="F8" s="4906"/>
      <c r="G8" s="4906"/>
      <c r="H8" s="4906"/>
      <c r="I8" s="4906"/>
      <c r="J8" s="4906"/>
      <c r="K8" s="4906"/>
      <c r="L8" s="4906"/>
      <c r="M8" s="4906"/>
      <c r="N8" s="4906"/>
      <c r="O8" s="4906"/>
      <c r="P8" s="4906"/>
      <c r="Q8" s="4906"/>
      <c r="R8" s="4906"/>
      <c r="S8" s="2642"/>
    </row>
    <row r="9" spans="2:19" x14ac:dyDescent="0.25">
      <c r="B9" s="2641"/>
      <c r="C9" s="2612"/>
      <c r="D9" s="2612"/>
      <c r="E9" s="2612"/>
      <c r="F9" s="2612"/>
      <c r="G9" s="2612"/>
      <c r="H9" s="2612"/>
      <c r="I9" s="2612"/>
      <c r="J9" s="2612"/>
      <c r="K9" s="2612"/>
      <c r="L9" s="2612"/>
      <c r="M9" s="2612"/>
      <c r="N9" s="2612"/>
      <c r="O9" s="2612"/>
      <c r="P9" s="2612"/>
      <c r="Q9" s="2612"/>
      <c r="R9" s="2612"/>
      <c r="S9" s="2642"/>
    </row>
    <row r="10" spans="2:19" ht="14.25" thickBot="1" x14ac:dyDescent="0.3">
      <c r="B10" s="2641"/>
      <c r="C10" s="2612"/>
      <c r="D10" s="2612"/>
      <c r="E10" s="2612"/>
      <c r="F10" s="2612"/>
      <c r="G10" s="2612"/>
      <c r="H10" s="2612"/>
      <c r="I10" s="2612"/>
      <c r="J10" s="2612"/>
      <c r="K10" s="2612"/>
      <c r="L10" s="2612"/>
      <c r="M10" s="2612"/>
      <c r="N10" s="2612"/>
      <c r="O10" s="2612"/>
      <c r="P10" s="2612"/>
      <c r="Q10" s="2612"/>
      <c r="R10" s="2612"/>
      <c r="S10" s="2642"/>
    </row>
    <row r="11" spans="2:19" ht="14.25" thickBot="1" x14ac:dyDescent="0.3">
      <c r="B11" s="2641"/>
      <c r="C11" s="4907" t="s">
        <v>4252</v>
      </c>
      <c r="D11" s="4907"/>
      <c r="E11" s="4907"/>
      <c r="F11" s="4907"/>
      <c r="G11" s="4907"/>
      <c r="H11" s="4907"/>
      <c r="I11" s="4907"/>
      <c r="J11" s="4907"/>
      <c r="K11" s="4907"/>
      <c r="L11" s="4907"/>
      <c r="M11" s="4907"/>
      <c r="N11" s="4907"/>
      <c r="O11" s="4907"/>
      <c r="P11" s="4907"/>
      <c r="Q11" s="4907"/>
      <c r="R11" s="4907"/>
      <c r="S11" s="2642"/>
    </row>
    <row r="12" spans="2:19" ht="14.25" thickBot="1" x14ac:dyDescent="0.3">
      <c r="B12" s="2641"/>
      <c r="C12" s="2612"/>
      <c r="D12" s="2612"/>
      <c r="E12" s="2612"/>
      <c r="F12" s="2612"/>
      <c r="G12" s="2612"/>
      <c r="H12" s="2612"/>
      <c r="I12" s="2612"/>
      <c r="J12" s="2612"/>
      <c r="K12" s="2612"/>
      <c r="L12" s="2612"/>
      <c r="M12" s="2612"/>
      <c r="N12" s="2612"/>
      <c r="O12" s="2612"/>
      <c r="P12" s="2612"/>
      <c r="Q12" s="2612"/>
      <c r="R12" s="2612"/>
      <c r="S12" s="2642"/>
    </row>
    <row r="13" spans="2:19" ht="14.25" thickBot="1" x14ac:dyDescent="0.3">
      <c r="B13" s="2641"/>
      <c r="C13" s="4903" t="s">
        <v>4254</v>
      </c>
      <c r="D13" s="4904"/>
      <c r="E13" s="4904"/>
      <c r="F13" s="4904"/>
      <c r="G13" s="4904"/>
      <c r="H13" s="4904"/>
      <c r="I13" s="4904"/>
      <c r="J13" s="4904"/>
      <c r="K13" s="4904"/>
      <c r="L13" s="4904"/>
      <c r="M13" s="4904"/>
      <c r="N13" s="4904"/>
      <c r="O13" s="4904"/>
      <c r="P13" s="4904"/>
      <c r="Q13" s="4904"/>
      <c r="R13" s="4905"/>
      <c r="S13" s="2643"/>
    </row>
    <row r="14" spans="2:19" ht="14.25" thickBot="1" x14ac:dyDescent="0.3">
      <c r="B14" s="2641"/>
      <c r="C14" s="4908" t="s">
        <v>298</v>
      </c>
      <c r="D14" s="2685" t="s">
        <v>1961</v>
      </c>
      <c r="E14" s="2685" t="s">
        <v>1962</v>
      </c>
      <c r="F14" s="2685" t="s">
        <v>1963</v>
      </c>
      <c r="G14" s="2685" t="s">
        <v>2001</v>
      </c>
      <c r="H14" s="2685" t="s">
        <v>2002</v>
      </c>
      <c r="I14" s="2685" t="s">
        <v>2003</v>
      </c>
      <c r="J14" s="2685" t="s">
        <v>2004</v>
      </c>
      <c r="K14" s="2685" t="s">
        <v>2005</v>
      </c>
      <c r="L14" s="2685" t="s">
        <v>2006</v>
      </c>
      <c r="M14" s="2685" t="s">
        <v>2007</v>
      </c>
      <c r="N14" s="2685" t="s">
        <v>2008</v>
      </c>
      <c r="O14" s="2685" t="s">
        <v>2009</v>
      </c>
      <c r="P14" s="2685" t="s">
        <v>2010</v>
      </c>
      <c r="Q14" s="2685" t="s">
        <v>2011</v>
      </c>
      <c r="R14" s="2686" t="s">
        <v>2012</v>
      </c>
      <c r="S14" s="2643"/>
    </row>
    <row r="15" spans="2:19" ht="14.25" thickBot="1" x14ac:dyDescent="0.3">
      <c r="B15" s="2641"/>
      <c r="C15" s="4909"/>
      <c r="D15" s="1605">
        <v>2020</v>
      </c>
      <c r="E15" s="1605">
        <f>+D15+1</f>
        <v>2021</v>
      </c>
      <c r="F15" s="1605">
        <f t="shared" ref="F15:R15" si="0">+E15+1</f>
        <v>2022</v>
      </c>
      <c r="G15" s="1605">
        <f t="shared" si="0"/>
        <v>2023</v>
      </c>
      <c r="H15" s="1605">
        <f t="shared" si="0"/>
        <v>2024</v>
      </c>
      <c r="I15" s="1605">
        <f t="shared" si="0"/>
        <v>2025</v>
      </c>
      <c r="J15" s="1605">
        <f t="shared" si="0"/>
        <v>2026</v>
      </c>
      <c r="K15" s="1605">
        <f t="shared" si="0"/>
        <v>2027</v>
      </c>
      <c r="L15" s="1605">
        <f t="shared" si="0"/>
        <v>2028</v>
      </c>
      <c r="M15" s="1605">
        <f t="shared" si="0"/>
        <v>2029</v>
      </c>
      <c r="N15" s="1605">
        <f t="shared" si="0"/>
        <v>2030</v>
      </c>
      <c r="O15" s="1605">
        <f t="shared" si="0"/>
        <v>2031</v>
      </c>
      <c r="P15" s="1605">
        <f t="shared" si="0"/>
        <v>2032</v>
      </c>
      <c r="Q15" s="1605">
        <f t="shared" si="0"/>
        <v>2033</v>
      </c>
      <c r="R15" s="1184">
        <f t="shared" si="0"/>
        <v>2034</v>
      </c>
      <c r="S15" s="2643"/>
    </row>
    <row r="16" spans="2:19" ht="14.25" thickBot="1" x14ac:dyDescent="0.3">
      <c r="B16" s="2641"/>
      <c r="C16" s="2649" t="s">
        <v>4205</v>
      </c>
      <c r="D16" s="2648"/>
      <c r="E16" s="2648"/>
      <c r="F16" s="2650"/>
      <c r="G16" s="2651">
        <f>D70</f>
        <v>7844.4168000000009</v>
      </c>
      <c r="H16" s="2652">
        <f t="shared" ref="H16:R19" si="1">G16</f>
        <v>7844.4168000000009</v>
      </c>
      <c r="I16" s="2652">
        <f t="shared" si="1"/>
        <v>7844.4168000000009</v>
      </c>
      <c r="J16" s="2652">
        <f t="shared" si="1"/>
        <v>7844.4168000000009</v>
      </c>
      <c r="K16" s="2652">
        <f t="shared" si="1"/>
        <v>7844.4168000000009</v>
      </c>
      <c r="L16" s="2652">
        <f t="shared" si="1"/>
        <v>7844.4168000000009</v>
      </c>
      <c r="M16" s="2652">
        <f t="shared" si="1"/>
        <v>7844.4168000000009</v>
      </c>
      <c r="N16" s="2652">
        <f t="shared" si="1"/>
        <v>7844.4168000000009</v>
      </c>
      <c r="O16" s="2652">
        <f t="shared" si="1"/>
        <v>7844.4168000000009</v>
      </c>
      <c r="P16" s="2652">
        <f t="shared" si="1"/>
        <v>7844.4168000000009</v>
      </c>
      <c r="Q16" s="2652">
        <f t="shared" si="1"/>
        <v>7844.4168000000009</v>
      </c>
      <c r="R16" s="2652">
        <f t="shared" si="1"/>
        <v>7844.4168000000009</v>
      </c>
      <c r="S16" s="2643"/>
    </row>
    <row r="17" spans="2:19" ht="14.25" thickBot="1" x14ac:dyDescent="0.3">
      <c r="B17" s="2641"/>
      <c r="C17" s="2649" t="s">
        <v>4206</v>
      </c>
      <c r="D17" s="2648"/>
      <c r="E17" s="2648"/>
      <c r="F17" s="2650"/>
      <c r="G17" s="2651">
        <f>H34</f>
        <v>360</v>
      </c>
      <c r="H17" s="2652">
        <f t="shared" ref="H17:R17" si="2">+G17</f>
        <v>360</v>
      </c>
      <c r="I17" s="2652">
        <f t="shared" si="2"/>
        <v>360</v>
      </c>
      <c r="J17" s="2652">
        <f t="shared" si="2"/>
        <v>360</v>
      </c>
      <c r="K17" s="2652">
        <f t="shared" si="2"/>
        <v>360</v>
      </c>
      <c r="L17" s="2652">
        <f t="shared" si="2"/>
        <v>360</v>
      </c>
      <c r="M17" s="2652">
        <f t="shared" si="2"/>
        <v>360</v>
      </c>
      <c r="N17" s="2652">
        <f t="shared" si="2"/>
        <v>360</v>
      </c>
      <c r="O17" s="2652">
        <f t="shared" si="2"/>
        <v>360</v>
      </c>
      <c r="P17" s="2652">
        <f t="shared" si="2"/>
        <v>360</v>
      </c>
      <c r="Q17" s="2652">
        <f t="shared" si="2"/>
        <v>360</v>
      </c>
      <c r="R17" s="2652">
        <f t="shared" si="2"/>
        <v>360</v>
      </c>
      <c r="S17" s="2643"/>
    </row>
    <row r="18" spans="2:19" ht="14.25" thickBot="1" x14ac:dyDescent="0.3">
      <c r="B18" s="2641"/>
      <c r="C18" s="2649" t="s">
        <v>4207</v>
      </c>
      <c r="D18" s="2648"/>
      <c r="E18" s="2648"/>
      <c r="F18" s="2653"/>
      <c r="G18" s="2651">
        <f>F87</f>
        <v>1140</v>
      </c>
      <c r="H18" s="2652">
        <f t="shared" si="1"/>
        <v>1140</v>
      </c>
      <c r="I18" s="2652">
        <f t="shared" si="1"/>
        <v>1140</v>
      </c>
      <c r="J18" s="2652">
        <f t="shared" si="1"/>
        <v>1140</v>
      </c>
      <c r="K18" s="2652">
        <f t="shared" si="1"/>
        <v>1140</v>
      </c>
      <c r="L18" s="2652">
        <f t="shared" si="1"/>
        <v>1140</v>
      </c>
      <c r="M18" s="2652">
        <f t="shared" si="1"/>
        <v>1140</v>
      </c>
      <c r="N18" s="2652">
        <f t="shared" si="1"/>
        <v>1140</v>
      </c>
      <c r="O18" s="2652">
        <f t="shared" si="1"/>
        <v>1140</v>
      </c>
      <c r="P18" s="2652">
        <f t="shared" si="1"/>
        <v>1140</v>
      </c>
      <c r="Q18" s="2652">
        <f t="shared" si="1"/>
        <v>1140</v>
      </c>
      <c r="R18" s="2652">
        <f t="shared" si="1"/>
        <v>1140</v>
      </c>
      <c r="S18" s="2643"/>
    </row>
    <row r="19" spans="2:19" ht="14.25" thickBot="1" x14ac:dyDescent="0.3">
      <c r="B19" s="2641"/>
      <c r="C19" s="2649" t="s">
        <v>4208</v>
      </c>
      <c r="D19" s="2648"/>
      <c r="E19" s="2648"/>
      <c r="F19" s="2653"/>
      <c r="G19" s="2651">
        <f>H94</f>
        <v>7800</v>
      </c>
      <c r="H19" s="2652">
        <f t="shared" si="1"/>
        <v>7800</v>
      </c>
      <c r="I19" s="2652">
        <f t="shared" si="1"/>
        <v>7800</v>
      </c>
      <c r="J19" s="2652">
        <f t="shared" si="1"/>
        <v>7800</v>
      </c>
      <c r="K19" s="2652">
        <f t="shared" si="1"/>
        <v>7800</v>
      </c>
      <c r="L19" s="2652">
        <f t="shared" si="1"/>
        <v>7800</v>
      </c>
      <c r="M19" s="2652">
        <f t="shared" si="1"/>
        <v>7800</v>
      </c>
      <c r="N19" s="2652">
        <f t="shared" si="1"/>
        <v>7800</v>
      </c>
      <c r="O19" s="2652">
        <f t="shared" si="1"/>
        <v>7800</v>
      </c>
      <c r="P19" s="2652">
        <f t="shared" si="1"/>
        <v>7800</v>
      </c>
      <c r="Q19" s="2652">
        <f t="shared" si="1"/>
        <v>7800</v>
      </c>
      <c r="R19" s="2652">
        <f t="shared" si="1"/>
        <v>7800</v>
      </c>
      <c r="S19" s="2643"/>
    </row>
    <row r="20" spans="2:19" ht="14.25" thickBot="1" x14ac:dyDescent="0.3">
      <c r="B20" s="2641"/>
      <c r="C20" s="2654" t="s">
        <v>4209</v>
      </c>
      <c r="D20" s="2655">
        <v>0</v>
      </c>
      <c r="E20" s="2655">
        <v>0</v>
      </c>
      <c r="F20" s="2651">
        <f t="shared" ref="F20:R20" si="3">SUM(F16:F19)</f>
        <v>0</v>
      </c>
      <c r="G20" s="2651">
        <f t="shared" si="3"/>
        <v>17144.416799999999</v>
      </c>
      <c r="H20" s="2651">
        <f t="shared" si="3"/>
        <v>17144.416799999999</v>
      </c>
      <c r="I20" s="2651">
        <f t="shared" si="3"/>
        <v>17144.416799999999</v>
      </c>
      <c r="J20" s="2651">
        <f t="shared" si="3"/>
        <v>17144.416799999999</v>
      </c>
      <c r="K20" s="2651">
        <f t="shared" si="3"/>
        <v>17144.416799999999</v>
      </c>
      <c r="L20" s="2651">
        <f t="shared" si="3"/>
        <v>17144.416799999999</v>
      </c>
      <c r="M20" s="2651">
        <f t="shared" si="3"/>
        <v>17144.416799999999</v>
      </c>
      <c r="N20" s="2651">
        <f t="shared" si="3"/>
        <v>17144.416799999999</v>
      </c>
      <c r="O20" s="2651">
        <f t="shared" si="3"/>
        <v>17144.416799999999</v>
      </c>
      <c r="P20" s="2651">
        <f t="shared" si="3"/>
        <v>17144.416799999999</v>
      </c>
      <c r="Q20" s="2651">
        <f t="shared" si="3"/>
        <v>17144.416799999999</v>
      </c>
      <c r="R20" s="2651">
        <f t="shared" si="3"/>
        <v>17144.416799999999</v>
      </c>
      <c r="S20" s="2643"/>
    </row>
    <row r="21" spans="2:19" x14ac:dyDescent="0.25">
      <c r="B21" s="2641"/>
      <c r="C21" s="2617"/>
      <c r="D21" s="2618"/>
      <c r="E21" s="2618"/>
      <c r="F21" s="2618"/>
      <c r="G21" s="2618"/>
      <c r="H21" s="2618"/>
      <c r="I21" s="2618"/>
      <c r="J21" s="2618"/>
      <c r="K21" s="2618"/>
      <c r="L21" s="2618"/>
      <c r="M21" s="2618"/>
      <c r="N21" s="2618"/>
      <c r="O21" s="2618"/>
      <c r="P21" s="2618"/>
      <c r="Q21" s="2618"/>
      <c r="R21" s="2618"/>
      <c r="S21" s="2643"/>
    </row>
    <row r="22" spans="2:19" x14ac:dyDescent="0.25">
      <c r="B22" s="2641"/>
      <c r="C22" s="2684" t="s">
        <v>4253</v>
      </c>
      <c r="D22" s="2368">
        <f>1/(1+0.18)</f>
        <v>0.84745762711864414</v>
      </c>
      <c r="E22" s="2614"/>
      <c r="F22" s="2615"/>
      <c r="G22" s="2614"/>
      <c r="H22" s="2613"/>
      <c r="I22" s="2616"/>
      <c r="J22" s="2616"/>
      <c r="K22" s="2616"/>
      <c r="L22" s="2616"/>
      <c r="M22" s="2616"/>
      <c r="N22" s="2616"/>
      <c r="O22" s="2616"/>
      <c r="P22" s="2616"/>
      <c r="Q22" s="2616"/>
      <c r="R22" s="2616"/>
      <c r="S22" s="2643"/>
    </row>
    <row r="23" spans="2:19" ht="14.25" thickBot="1" x14ac:dyDescent="0.3">
      <c r="B23" s="2641"/>
      <c r="C23" s="2613"/>
      <c r="D23" s="2619"/>
      <c r="E23" s="2614"/>
      <c r="F23" s="2615"/>
      <c r="G23" s="2614"/>
      <c r="H23" s="2613"/>
      <c r="I23" s="2616"/>
      <c r="J23" s="2616"/>
      <c r="K23" s="2616"/>
      <c r="L23" s="2616"/>
      <c r="M23" s="2616"/>
      <c r="N23" s="2616"/>
      <c r="O23" s="2616"/>
      <c r="P23" s="2616"/>
      <c r="Q23" s="2616"/>
      <c r="R23" s="2616"/>
      <c r="S23" s="2643"/>
    </row>
    <row r="24" spans="2:19" ht="14.25" thickBot="1" x14ac:dyDescent="0.3">
      <c r="B24" s="2641"/>
      <c r="C24" s="4903" t="s">
        <v>4255</v>
      </c>
      <c r="D24" s="4904"/>
      <c r="E24" s="4904"/>
      <c r="F24" s="4904"/>
      <c r="G24" s="4904"/>
      <c r="H24" s="4904"/>
      <c r="I24" s="4904"/>
      <c r="J24" s="4904"/>
      <c r="K24" s="4904"/>
      <c r="L24" s="4904"/>
      <c r="M24" s="4904"/>
      <c r="N24" s="4904"/>
      <c r="O24" s="4904"/>
      <c r="P24" s="4904"/>
      <c r="Q24" s="4904"/>
      <c r="R24" s="4905"/>
      <c r="S24" s="2643"/>
    </row>
    <row r="25" spans="2:19" ht="14.25" thickBot="1" x14ac:dyDescent="0.3">
      <c r="B25" s="2641"/>
      <c r="C25" s="4908" t="s">
        <v>298</v>
      </c>
      <c r="D25" s="2685" t="s">
        <v>1961</v>
      </c>
      <c r="E25" s="2685" t="s">
        <v>1962</v>
      </c>
      <c r="F25" s="2685" t="s">
        <v>1963</v>
      </c>
      <c r="G25" s="2685" t="s">
        <v>2001</v>
      </c>
      <c r="H25" s="2685" t="s">
        <v>2002</v>
      </c>
      <c r="I25" s="2685" t="s">
        <v>2003</v>
      </c>
      <c r="J25" s="2685" t="s">
        <v>2004</v>
      </c>
      <c r="K25" s="2685" t="s">
        <v>2005</v>
      </c>
      <c r="L25" s="2685" t="s">
        <v>2006</v>
      </c>
      <c r="M25" s="2685" t="s">
        <v>2007</v>
      </c>
      <c r="N25" s="2685" t="s">
        <v>2008</v>
      </c>
      <c r="O25" s="2685" t="s">
        <v>2009</v>
      </c>
      <c r="P25" s="2685" t="s">
        <v>2010</v>
      </c>
      <c r="Q25" s="2685" t="s">
        <v>2011</v>
      </c>
      <c r="R25" s="2686" t="s">
        <v>2012</v>
      </c>
      <c r="S25" s="2643"/>
    </row>
    <row r="26" spans="2:19" ht="14.25" thickBot="1" x14ac:dyDescent="0.3">
      <c r="B26" s="2641"/>
      <c r="C26" s="4909"/>
      <c r="D26" s="1605">
        <v>2020</v>
      </c>
      <c r="E26" s="1605">
        <f>+D26+1</f>
        <v>2021</v>
      </c>
      <c r="F26" s="1605">
        <f t="shared" ref="F26:R26" si="4">+E26+1</f>
        <v>2022</v>
      </c>
      <c r="G26" s="1605">
        <f t="shared" si="4"/>
        <v>2023</v>
      </c>
      <c r="H26" s="1605">
        <f t="shared" si="4"/>
        <v>2024</v>
      </c>
      <c r="I26" s="1605">
        <f t="shared" si="4"/>
        <v>2025</v>
      </c>
      <c r="J26" s="1605">
        <f t="shared" si="4"/>
        <v>2026</v>
      </c>
      <c r="K26" s="1605">
        <f t="shared" si="4"/>
        <v>2027</v>
      </c>
      <c r="L26" s="1605">
        <f t="shared" si="4"/>
        <v>2028</v>
      </c>
      <c r="M26" s="1605">
        <f t="shared" si="4"/>
        <v>2029</v>
      </c>
      <c r="N26" s="1605">
        <f t="shared" si="4"/>
        <v>2030</v>
      </c>
      <c r="O26" s="1605">
        <f t="shared" si="4"/>
        <v>2031</v>
      </c>
      <c r="P26" s="1605">
        <f t="shared" si="4"/>
        <v>2032</v>
      </c>
      <c r="Q26" s="1605">
        <f t="shared" si="4"/>
        <v>2033</v>
      </c>
      <c r="R26" s="1184">
        <f t="shared" si="4"/>
        <v>2034</v>
      </c>
      <c r="S26" s="2643"/>
    </row>
    <row r="27" spans="2:19" ht="14.25" thickBot="1" x14ac:dyDescent="0.3">
      <c r="B27" s="2641"/>
      <c r="C27" s="1757" t="s">
        <v>4209</v>
      </c>
      <c r="D27" s="2656">
        <v>0</v>
      </c>
      <c r="E27" s="2656">
        <v>0</v>
      </c>
      <c r="F27" s="2656">
        <f>F20</f>
        <v>0</v>
      </c>
      <c r="G27" s="2656">
        <f t="shared" ref="G27:R27" si="5">G20</f>
        <v>17144.416799999999</v>
      </c>
      <c r="H27" s="2656">
        <f t="shared" si="5"/>
        <v>17144.416799999999</v>
      </c>
      <c r="I27" s="2656">
        <f t="shared" si="5"/>
        <v>17144.416799999999</v>
      </c>
      <c r="J27" s="2656">
        <f t="shared" si="5"/>
        <v>17144.416799999999</v>
      </c>
      <c r="K27" s="2656">
        <f t="shared" si="5"/>
        <v>17144.416799999999</v>
      </c>
      <c r="L27" s="2656">
        <f t="shared" si="5"/>
        <v>17144.416799999999</v>
      </c>
      <c r="M27" s="2656">
        <f t="shared" si="5"/>
        <v>17144.416799999999</v>
      </c>
      <c r="N27" s="2656">
        <f t="shared" si="5"/>
        <v>17144.416799999999</v>
      </c>
      <c r="O27" s="2656">
        <f t="shared" si="5"/>
        <v>17144.416799999999</v>
      </c>
      <c r="P27" s="2656">
        <f t="shared" si="5"/>
        <v>17144.416799999999</v>
      </c>
      <c r="Q27" s="2656">
        <f t="shared" si="5"/>
        <v>17144.416799999999</v>
      </c>
      <c r="R27" s="2656">
        <f t="shared" si="5"/>
        <v>17144.416799999999</v>
      </c>
      <c r="S27" s="2643"/>
    </row>
    <row r="28" spans="2:19" x14ac:dyDescent="0.25">
      <c r="B28" s="2641"/>
      <c r="C28" s="2613"/>
      <c r="D28" s="2613"/>
      <c r="E28" s="2614"/>
      <c r="F28" s="2615"/>
      <c r="G28" s="2614"/>
      <c r="H28" s="2613"/>
      <c r="I28" s="2616"/>
      <c r="J28" s="2616"/>
      <c r="K28" s="2616"/>
      <c r="L28" s="2616"/>
      <c r="M28" s="2616"/>
      <c r="N28" s="2616"/>
      <c r="O28" s="2616"/>
      <c r="P28" s="2616"/>
      <c r="Q28" s="2616"/>
      <c r="R28" s="2616"/>
      <c r="S28" s="2643"/>
    </row>
    <row r="29" spans="2:19" x14ac:dyDescent="0.25">
      <c r="B29" s="2641"/>
      <c r="C29" s="2613"/>
      <c r="D29" s="2613"/>
      <c r="E29" s="2614"/>
      <c r="F29" s="2615"/>
      <c r="G29" s="2614"/>
      <c r="H29" s="2613"/>
      <c r="I29" s="2616"/>
      <c r="J29" s="2616"/>
      <c r="K29" s="2616"/>
      <c r="L29" s="2616"/>
      <c r="M29" s="2616"/>
      <c r="N29" s="2616"/>
      <c r="O29" s="2616"/>
      <c r="P29" s="2616"/>
      <c r="Q29" s="2616"/>
      <c r="R29" s="2616"/>
      <c r="S29" s="2643"/>
    </row>
    <row r="30" spans="2:19" x14ac:dyDescent="0.25">
      <c r="B30" s="2641"/>
      <c r="C30" s="2613"/>
      <c r="D30" s="2613"/>
      <c r="E30" s="2614"/>
      <c r="F30" s="2615"/>
      <c r="G30" s="2614"/>
      <c r="H30" s="2613"/>
      <c r="I30" s="2616"/>
      <c r="J30" s="2616"/>
      <c r="K30" s="2616"/>
      <c r="L30" s="2616"/>
      <c r="M30" s="2616"/>
      <c r="N30" s="2616"/>
      <c r="O30" s="2616"/>
      <c r="P30" s="2616"/>
      <c r="Q30" s="2616"/>
      <c r="R30" s="2616"/>
      <c r="S30" s="2643"/>
    </row>
    <row r="31" spans="2:19" ht="14.25" thickBot="1" x14ac:dyDescent="0.3">
      <c r="B31" s="2641"/>
      <c r="C31" s="2613"/>
      <c r="D31" s="2613"/>
      <c r="E31" s="2614"/>
      <c r="F31" s="2615"/>
      <c r="G31" s="2614"/>
      <c r="H31" s="2613"/>
      <c r="I31" s="2616"/>
      <c r="J31" s="2616"/>
      <c r="K31" s="2616"/>
      <c r="L31" s="2616"/>
      <c r="M31" s="2616"/>
      <c r="N31" s="2616"/>
      <c r="O31" s="2616"/>
      <c r="P31" s="2616"/>
      <c r="Q31" s="2616"/>
      <c r="R31" s="2616"/>
      <c r="S31" s="2643"/>
    </row>
    <row r="32" spans="2:19" ht="14.25" thickBot="1" x14ac:dyDescent="0.3">
      <c r="B32" s="2641"/>
      <c r="C32" s="4910" t="s">
        <v>4210</v>
      </c>
      <c r="D32" s="4011"/>
      <c r="E32" s="4011"/>
      <c r="F32" s="4011"/>
      <c r="G32" s="4011"/>
      <c r="H32" s="4012"/>
      <c r="I32" s="2612"/>
      <c r="J32" s="2612"/>
      <c r="K32" s="2612"/>
      <c r="L32" s="2612"/>
      <c r="M32" s="2612"/>
      <c r="N32" s="2612"/>
      <c r="O32" s="2612"/>
      <c r="P32" s="2612"/>
      <c r="Q32" s="2612"/>
      <c r="R32" s="2612"/>
      <c r="S32" s="2642"/>
    </row>
    <row r="33" spans="2:19" ht="27.75" thickBot="1" x14ac:dyDescent="0.3">
      <c r="B33" s="2641"/>
      <c r="C33" s="2687" t="s">
        <v>298</v>
      </c>
      <c r="D33" s="2688" t="s">
        <v>3899</v>
      </c>
      <c r="E33" s="2689" t="s">
        <v>4211</v>
      </c>
      <c r="F33" s="2689" t="s">
        <v>4212</v>
      </c>
      <c r="G33" s="2688" t="s">
        <v>4213</v>
      </c>
      <c r="H33" s="2690" t="s">
        <v>4214</v>
      </c>
      <c r="I33" s="2612"/>
      <c r="J33" s="2612"/>
      <c r="K33" s="2612"/>
      <c r="L33" s="2612"/>
      <c r="M33" s="2612"/>
      <c r="N33" s="2612"/>
      <c r="O33" s="2612"/>
      <c r="P33" s="2612"/>
      <c r="Q33" s="2612"/>
      <c r="R33" s="2612"/>
      <c r="S33" s="2642"/>
    </row>
    <row r="34" spans="2:19" ht="14.25" thickBot="1" x14ac:dyDescent="0.3">
      <c r="B34" s="2641"/>
      <c r="C34" s="2657" t="s">
        <v>4206</v>
      </c>
      <c r="D34" s="2658" t="s">
        <v>4215</v>
      </c>
      <c r="E34" s="2693">
        <v>30</v>
      </c>
      <c r="F34" s="2693">
        <f>E34</f>
        <v>30</v>
      </c>
      <c r="G34" s="2693">
        <f>F34</f>
        <v>30</v>
      </c>
      <c r="H34" s="2694">
        <f>+G34*12</f>
        <v>360</v>
      </c>
      <c r="I34" s="2612"/>
      <c r="J34" s="2612"/>
      <c r="K34" s="2612"/>
      <c r="L34" s="2612"/>
      <c r="M34" s="2612"/>
      <c r="N34" s="2612"/>
      <c r="O34" s="2612"/>
      <c r="P34" s="2612"/>
      <c r="Q34" s="2612"/>
      <c r="R34" s="2612"/>
      <c r="S34" s="2642"/>
    </row>
    <row r="35" spans="2:19" x14ac:dyDescent="0.25">
      <c r="B35" s="2641"/>
      <c r="C35" s="2612"/>
      <c r="D35" s="2612"/>
      <c r="E35" s="2612"/>
      <c r="F35" s="2612"/>
      <c r="G35" s="2612"/>
      <c r="H35" s="2612"/>
      <c r="I35" s="2612"/>
      <c r="J35" s="2612"/>
      <c r="K35" s="2612"/>
      <c r="L35" s="2612"/>
      <c r="M35" s="2612"/>
      <c r="N35" s="2612"/>
      <c r="O35" s="2612"/>
      <c r="P35" s="2612"/>
      <c r="Q35" s="2612"/>
      <c r="R35" s="2612"/>
      <c r="S35" s="2642"/>
    </row>
    <row r="36" spans="2:19" x14ac:dyDescent="0.25">
      <c r="B36" s="2641"/>
      <c r="C36" s="2612"/>
      <c r="D36" s="2612"/>
      <c r="E36" s="2612"/>
      <c r="F36" s="2612"/>
      <c r="G36" s="2612"/>
      <c r="H36" s="2612"/>
      <c r="I36" s="2612"/>
      <c r="J36" s="2612"/>
      <c r="K36" s="2612"/>
      <c r="L36" s="2612"/>
      <c r="M36" s="2612"/>
      <c r="N36" s="2612"/>
      <c r="O36" s="2612"/>
      <c r="P36" s="2612"/>
      <c r="Q36" s="2612"/>
      <c r="R36" s="2612"/>
      <c r="S36" s="2642"/>
    </row>
    <row r="37" spans="2:19" x14ac:dyDescent="0.25">
      <c r="B37" s="2641"/>
      <c r="C37" s="2612"/>
      <c r="D37" s="2612"/>
      <c r="E37" s="2612"/>
      <c r="F37" s="2612"/>
      <c r="G37" s="2612"/>
      <c r="H37" s="2612"/>
      <c r="I37" s="2612"/>
      <c r="J37" s="2612"/>
      <c r="K37" s="2612"/>
      <c r="L37" s="2612"/>
      <c r="M37" s="2612"/>
      <c r="N37" s="2612"/>
      <c r="O37" s="2612"/>
      <c r="P37" s="2612"/>
      <c r="Q37" s="2612"/>
      <c r="R37" s="2612"/>
      <c r="S37" s="2642"/>
    </row>
    <row r="38" spans="2:19" ht="14.25" thickBot="1" x14ac:dyDescent="0.3">
      <c r="B38" s="2641"/>
      <c r="C38" s="2612"/>
      <c r="D38" s="2612"/>
      <c r="E38" s="2612"/>
      <c r="F38" s="2612"/>
      <c r="G38" s="2612"/>
      <c r="H38" s="2612"/>
      <c r="I38" s="2612"/>
      <c r="J38" s="2612"/>
      <c r="K38" s="2612"/>
      <c r="L38" s="2612"/>
      <c r="M38" s="2612"/>
      <c r="N38" s="2612"/>
      <c r="O38" s="2612"/>
      <c r="P38" s="2612"/>
      <c r="Q38" s="2612"/>
      <c r="R38" s="2612"/>
      <c r="S38" s="2642"/>
    </row>
    <row r="39" spans="2:19" ht="14.25" thickBot="1" x14ac:dyDescent="0.3">
      <c r="B39" s="2641"/>
      <c r="C39" s="4900" t="s">
        <v>4216</v>
      </c>
      <c r="D39" s="4901"/>
      <c r="E39" s="4901"/>
      <c r="F39" s="4901"/>
      <c r="G39" s="4901"/>
      <c r="H39" s="4901"/>
      <c r="I39" s="4901"/>
      <c r="J39" s="4902"/>
      <c r="K39" s="2612"/>
      <c r="L39" s="2612"/>
      <c r="M39" s="2612"/>
      <c r="N39" s="2612"/>
      <c r="O39" s="2612"/>
      <c r="P39" s="2612"/>
      <c r="Q39" s="2612"/>
      <c r="R39" s="2612"/>
      <c r="S39" s="2642"/>
    </row>
    <row r="40" spans="2:19" x14ac:dyDescent="0.25">
      <c r="B40" s="2641"/>
      <c r="C40" s="2691"/>
      <c r="D40" s="2620"/>
      <c r="E40" s="2621"/>
      <c r="F40" s="2612"/>
      <c r="G40" s="2612"/>
      <c r="H40" s="2612"/>
      <c r="I40" s="2612"/>
      <c r="J40" s="2642"/>
      <c r="K40" s="2612"/>
      <c r="L40" s="2612"/>
      <c r="M40" s="2612"/>
      <c r="N40" s="2612"/>
      <c r="O40" s="2612"/>
      <c r="P40" s="2612"/>
      <c r="Q40" s="2612"/>
      <c r="R40" s="2612"/>
      <c r="S40" s="2642"/>
    </row>
    <row r="41" spans="2:19" s="2625" customFormat="1" x14ac:dyDescent="0.25">
      <c r="B41" s="2641"/>
      <c r="C41" s="2692" t="s">
        <v>4217</v>
      </c>
      <c r="D41" s="2623"/>
      <c r="E41" s="2623"/>
      <c r="F41" s="2623"/>
      <c r="G41" s="2624"/>
      <c r="H41" s="2612"/>
      <c r="I41" s="2612"/>
      <c r="J41" s="2642"/>
      <c r="K41" s="2612"/>
      <c r="L41" s="2607"/>
      <c r="M41" s="2607"/>
      <c r="N41" s="2607"/>
      <c r="O41" s="2607"/>
      <c r="P41" s="2607"/>
      <c r="Q41" s="2607"/>
      <c r="R41" s="2607"/>
      <c r="S41" s="2644"/>
    </row>
    <row r="42" spans="2:19" s="2625" customFormat="1" ht="14.25" thickBot="1" x14ac:dyDescent="0.3">
      <c r="B42" s="2641"/>
      <c r="C42" s="2692"/>
      <c r="D42" s="2623"/>
      <c r="E42" s="2623"/>
      <c r="F42" s="2623"/>
      <c r="G42" s="2624"/>
      <c r="H42" s="2624"/>
      <c r="I42" s="2607"/>
      <c r="J42" s="2644"/>
      <c r="K42" s="2607"/>
      <c r="L42" s="2607"/>
      <c r="M42" s="2607"/>
      <c r="N42" s="2607"/>
      <c r="O42" s="2607"/>
      <c r="P42" s="2607"/>
      <c r="Q42" s="2607"/>
      <c r="R42" s="2607"/>
      <c r="S42" s="2644"/>
    </row>
    <row r="43" spans="2:19" s="2625" customFormat="1" ht="27.75" thickBot="1" x14ac:dyDescent="0.3">
      <c r="B43" s="2641"/>
      <c r="C43" s="2678" t="s">
        <v>298</v>
      </c>
      <c r="D43" s="2682" t="s">
        <v>4218</v>
      </c>
      <c r="E43" s="2682" t="s">
        <v>4219</v>
      </c>
      <c r="F43" s="2682" t="s">
        <v>4220</v>
      </c>
      <c r="G43" s="2682" t="s">
        <v>4221</v>
      </c>
      <c r="H43" s="2682" t="s">
        <v>4222</v>
      </c>
      <c r="I43" s="2682" t="s">
        <v>4223</v>
      </c>
      <c r="J43" s="2683" t="s">
        <v>4221</v>
      </c>
      <c r="K43" s="2607"/>
      <c r="L43" s="2607"/>
      <c r="M43" s="2607"/>
      <c r="N43" s="2607"/>
      <c r="O43" s="2607"/>
      <c r="P43" s="2607"/>
      <c r="Q43" s="2607"/>
      <c r="R43" s="2607"/>
      <c r="S43" s="2644"/>
    </row>
    <row r="44" spans="2:19" s="2625" customFormat="1" ht="14.25" thickBot="1" x14ac:dyDescent="0.3">
      <c r="B44" s="2641"/>
      <c r="C44" s="2659" t="s">
        <v>4224</v>
      </c>
      <c r="D44" s="3500">
        <f>+E44/3159</f>
        <v>99.433364988920545</v>
      </c>
      <c r="E44" s="2660">
        <v>314110</v>
      </c>
      <c r="F44" s="2660">
        <f>+G44/E44</f>
        <v>0.70080545031995156</v>
      </c>
      <c r="G44" s="2660">
        <v>220130</v>
      </c>
      <c r="H44" s="2661">
        <v>220.13</v>
      </c>
      <c r="I44" s="2660"/>
      <c r="J44" s="2662"/>
      <c r="K44" s="2607"/>
      <c r="L44" s="2607"/>
      <c r="M44" s="2607"/>
      <c r="N44" s="2607"/>
      <c r="O44" s="2607"/>
      <c r="P44" s="2607"/>
      <c r="Q44" s="2607"/>
      <c r="R44" s="2607"/>
      <c r="S44" s="2644"/>
    </row>
    <row r="45" spans="2:19" s="2625" customFormat="1" ht="14.25" thickBot="1" x14ac:dyDescent="0.3">
      <c r="B45" s="2641"/>
      <c r="C45" s="2659" t="s">
        <v>4225</v>
      </c>
      <c r="D45" s="2660"/>
      <c r="E45" s="2660"/>
      <c r="F45" s="2660"/>
      <c r="G45" s="2660"/>
      <c r="H45" s="2661"/>
      <c r="I45" s="2660"/>
      <c r="J45" s="2662"/>
      <c r="K45" s="2607"/>
      <c r="L45" s="2607"/>
      <c r="M45" s="2607"/>
      <c r="N45" s="2607"/>
      <c r="O45" s="2607"/>
      <c r="P45" s="2607"/>
      <c r="Q45" s="2607"/>
      <c r="R45" s="2607"/>
      <c r="S45" s="2644"/>
    </row>
    <row r="46" spans="2:19" s="2625" customFormat="1" ht="14.25" thickBot="1" x14ac:dyDescent="0.3">
      <c r="B46" s="2641"/>
      <c r="C46" s="2659"/>
      <c r="D46" s="2660"/>
      <c r="E46" s="2660"/>
      <c r="F46" s="2660"/>
      <c r="G46" s="2660"/>
      <c r="H46" s="2661"/>
      <c r="I46" s="2660"/>
      <c r="J46" s="2662"/>
      <c r="K46" s="2607"/>
      <c r="L46" s="2607"/>
      <c r="M46" s="2607"/>
      <c r="N46" s="2607"/>
      <c r="O46" s="2607"/>
      <c r="P46" s="2607"/>
      <c r="Q46" s="2607"/>
      <c r="R46" s="2607"/>
      <c r="S46" s="2644"/>
    </row>
    <row r="47" spans="2:19" s="2625" customFormat="1" ht="14.25" thickBot="1" x14ac:dyDescent="0.3">
      <c r="B47" s="2641"/>
      <c r="C47" s="2663"/>
      <c r="D47" s="2660"/>
      <c r="E47" s="2660"/>
      <c r="F47" s="2660"/>
      <c r="G47" s="2660"/>
      <c r="H47" s="2661"/>
      <c r="I47" s="2660"/>
      <c r="J47" s="2662"/>
      <c r="K47" s="2607"/>
      <c r="L47" s="2607"/>
      <c r="M47" s="2607"/>
      <c r="N47" s="2607"/>
      <c r="O47" s="2607"/>
      <c r="P47" s="2607"/>
      <c r="Q47" s="2607"/>
      <c r="R47" s="2607"/>
      <c r="S47" s="2644"/>
    </row>
    <row r="48" spans="2:19" s="2625" customFormat="1" ht="14.25" thickBot="1" x14ac:dyDescent="0.3">
      <c r="B48" s="2641"/>
      <c r="C48" s="2666" t="s">
        <v>0</v>
      </c>
      <c r="D48" s="2661"/>
      <c r="E48" s="2661"/>
      <c r="F48" s="2661"/>
      <c r="G48" s="2661"/>
      <c r="H48" s="2661"/>
      <c r="I48" s="2661"/>
      <c r="J48" s="2664"/>
      <c r="K48" s="2607"/>
      <c r="L48" s="2607"/>
      <c r="M48" s="2607"/>
      <c r="N48" s="2607"/>
      <c r="O48" s="2607"/>
      <c r="P48" s="2607"/>
      <c r="Q48" s="2607"/>
      <c r="R48" s="2607"/>
      <c r="S48" s="2644"/>
    </row>
    <row r="49" spans="2:19" s="2625" customFormat="1" ht="14.25" thickBot="1" x14ac:dyDescent="0.3">
      <c r="B49" s="2641"/>
      <c r="C49" s="2607"/>
      <c r="D49" s="2607"/>
      <c r="E49" s="2626"/>
      <c r="F49" s="2607"/>
      <c r="G49" s="2607"/>
      <c r="H49" s="2607"/>
      <c r="I49" s="2607"/>
      <c r="J49" s="2607"/>
      <c r="K49" s="2607"/>
      <c r="L49" s="2607"/>
      <c r="M49" s="2607"/>
      <c r="N49" s="2607"/>
      <c r="O49" s="2607"/>
      <c r="P49" s="2607"/>
      <c r="Q49" s="2607"/>
      <c r="R49" s="2607"/>
      <c r="S49" s="2644"/>
    </row>
    <row r="50" spans="2:19" s="2625" customFormat="1" ht="14.25" thickBot="1" x14ac:dyDescent="0.3">
      <c r="B50" s="2641"/>
      <c r="C50" s="2664" t="s">
        <v>4226</v>
      </c>
      <c r="D50" s="2665"/>
      <c r="E50" s="2627"/>
      <c r="F50" s="2607"/>
      <c r="G50" s="2607"/>
      <c r="H50" s="2607"/>
      <c r="I50" s="2607"/>
      <c r="J50" s="2607"/>
      <c r="K50" s="2607"/>
      <c r="L50" s="2607"/>
      <c r="M50" s="2607"/>
      <c r="N50" s="2607"/>
      <c r="O50" s="2607"/>
      <c r="P50" s="2607"/>
      <c r="Q50" s="2607"/>
      <c r="R50" s="2607"/>
      <c r="S50" s="2644"/>
    </row>
    <row r="51" spans="2:19" s="2625" customFormat="1" ht="14.25" thickBot="1" x14ac:dyDescent="0.3">
      <c r="B51" s="2641"/>
      <c r="C51" s="2666" t="s">
        <v>4227</v>
      </c>
      <c r="D51" s="3501">
        <f>+E44*0.03</f>
        <v>9423.2999999999993</v>
      </c>
      <c r="E51" s="2607"/>
      <c r="F51" s="2607"/>
      <c r="G51" s="2607"/>
      <c r="H51" s="2607"/>
      <c r="I51" s="2607"/>
      <c r="J51" s="2607"/>
      <c r="K51" s="2607"/>
      <c r="L51" s="2607"/>
      <c r="M51" s="2607"/>
      <c r="N51" s="2607"/>
      <c r="O51" s="2607"/>
      <c r="P51" s="2607"/>
      <c r="Q51" s="2607"/>
      <c r="R51" s="2607"/>
      <c r="S51" s="2644"/>
    </row>
    <row r="52" spans="2:19" s="2625" customFormat="1" x14ac:dyDescent="0.25">
      <c r="B52" s="2641"/>
      <c r="C52" s="2607"/>
      <c r="D52" s="2607"/>
      <c r="E52" s="2626"/>
      <c r="F52" s="2607"/>
      <c r="G52" s="2607"/>
      <c r="H52" s="2607"/>
      <c r="I52" s="2607"/>
      <c r="J52" s="2607"/>
      <c r="K52" s="2607"/>
      <c r="L52" s="2607"/>
      <c r="M52" s="2607"/>
      <c r="N52" s="2607"/>
      <c r="O52" s="2607"/>
      <c r="P52" s="2607"/>
      <c r="Q52" s="2607"/>
      <c r="R52" s="2607"/>
      <c r="S52" s="2644"/>
    </row>
    <row r="53" spans="2:19" s="2625" customFormat="1" x14ac:dyDescent="0.25">
      <c r="B53" s="2641"/>
      <c r="C53" s="2607"/>
      <c r="D53" s="2607"/>
      <c r="E53" s="2626"/>
      <c r="F53" s="2607"/>
      <c r="G53" s="2607"/>
      <c r="H53" s="2607"/>
      <c r="I53" s="2607"/>
      <c r="J53" s="2607"/>
      <c r="K53" s="2607"/>
      <c r="L53" s="2607"/>
      <c r="M53" s="2607"/>
      <c r="N53" s="2607"/>
      <c r="O53" s="2607"/>
      <c r="P53" s="2607"/>
      <c r="Q53" s="2607"/>
      <c r="R53" s="2607"/>
      <c r="S53" s="2644"/>
    </row>
    <row r="54" spans="2:19" s="2625" customFormat="1" x14ac:dyDescent="0.25">
      <c r="B54" s="2641"/>
      <c r="C54" s="2622" t="s">
        <v>4228</v>
      </c>
      <c r="D54" s="2607"/>
      <c r="E54" s="2626"/>
      <c r="F54" s="2607"/>
      <c r="G54" s="2607"/>
      <c r="H54" s="2607"/>
      <c r="I54" s="2607"/>
      <c r="J54" s="2607"/>
      <c r="K54" s="2607"/>
      <c r="L54" s="2607"/>
      <c r="M54" s="2607"/>
      <c r="N54" s="2607"/>
      <c r="O54" s="2607"/>
      <c r="P54" s="2607"/>
      <c r="Q54" s="2607"/>
      <c r="R54" s="2607"/>
      <c r="S54" s="2644"/>
    </row>
    <row r="55" spans="2:19" s="2625" customFormat="1" x14ac:dyDescent="0.25">
      <c r="B55" s="2641"/>
      <c r="C55" s="2607"/>
      <c r="D55" s="2607"/>
      <c r="E55" s="2626"/>
      <c r="F55" s="2607"/>
      <c r="G55" s="2607"/>
      <c r="H55" s="2607"/>
      <c r="I55" s="2607"/>
      <c r="J55" s="2607"/>
      <c r="K55" s="2607"/>
      <c r="L55" s="2607"/>
      <c r="M55" s="2607"/>
      <c r="N55" s="2607"/>
      <c r="O55" s="2607"/>
      <c r="P55" s="2607"/>
      <c r="Q55" s="2607"/>
      <c r="R55" s="2607"/>
      <c r="S55" s="2644"/>
    </row>
    <row r="56" spans="2:19" s="2625" customFormat="1" ht="14.25" thickBot="1" x14ac:dyDescent="0.3">
      <c r="B56" s="2641"/>
      <c r="C56" s="2607"/>
      <c r="D56" s="2608"/>
      <c r="E56" s="2609"/>
      <c r="F56" s="2610"/>
      <c r="G56" s="2628"/>
      <c r="H56" s="2628"/>
      <c r="I56" s="2628"/>
      <c r="J56" s="2628"/>
      <c r="K56" s="2607"/>
      <c r="L56" s="2607"/>
      <c r="M56" s="2607"/>
      <c r="N56" s="2607"/>
      <c r="O56" s="2607"/>
      <c r="P56" s="2607"/>
      <c r="Q56" s="2607"/>
      <c r="R56" s="2607"/>
      <c r="S56" s="2644"/>
    </row>
    <row r="57" spans="2:19" s="2625" customFormat="1" ht="14.25" thickBot="1" x14ac:dyDescent="0.3">
      <c r="B57" s="2641"/>
      <c r="C57" s="2678" t="s">
        <v>298</v>
      </c>
      <c r="D57" s="2681" t="s">
        <v>4229</v>
      </c>
      <c r="E57" s="2609"/>
      <c r="F57" s="2610"/>
      <c r="G57" s="2628"/>
      <c r="H57" s="2628"/>
      <c r="I57" s="2628"/>
      <c r="J57" s="2628"/>
      <c r="K57" s="2607"/>
      <c r="L57" s="2607"/>
      <c r="M57" s="2607"/>
      <c r="N57" s="2607"/>
      <c r="O57" s="2607"/>
      <c r="P57" s="2607"/>
      <c r="Q57" s="2607"/>
      <c r="R57" s="2607"/>
      <c r="S57" s="2644"/>
    </row>
    <row r="58" spans="2:19" s="2625" customFormat="1" ht="14.25" thickBot="1" x14ac:dyDescent="0.3">
      <c r="B58" s="2641"/>
      <c r="C58" s="2695" t="s">
        <v>3899</v>
      </c>
      <c r="D58" s="2696" t="s">
        <v>4256</v>
      </c>
      <c r="E58" s="2609"/>
      <c r="F58" s="2610"/>
      <c r="G58" s="2628"/>
      <c r="H58" s="2628"/>
      <c r="I58" s="2628"/>
      <c r="J58" s="2628"/>
      <c r="K58" s="2607"/>
      <c r="L58" s="2607"/>
      <c r="M58" s="2607"/>
      <c r="N58" s="2607"/>
      <c r="O58" s="2607"/>
      <c r="P58" s="2607"/>
      <c r="Q58" s="2607"/>
      <c r="R58" s="2607"/>
      <c r="S58" s="2644"/>
    </row>
    <row r="59" spans="2:19" s="2625" customFormat="1" ht="14.25" thickBot="1" x14ac:dyDescent="0.3">
      <c r="B59" s="2641"/>
      <c r="C59" s="2697" t="s">
        <v>4257</v>
      </c>
      <c r="D59" s="2696">
        <v>673</v>
      </c>
      <c r="E59" s="2609"/>
      <c r="F59" s="2610"/>
      <c r="G59" s="2628"/>
      <c r="H59" s="2628"/>
      <c r="I59" s="2628"/>
      <c r="J59" s="2628"/>
      <c r="K59" s="2607"/>
      <c r="L59" s="2607"/>
      <c r="M59" s="2607"/>
      <c r="N59" s="2607"/>
      <c r="O59" s="2607"/>
      <c r="P59" s="2607"/>
      <c r="Q59" s="2607"/>
      <c r="R59" s="2607"/>
      <c r="S59" s="2644"/>
    </row>
    <row r="60" spans="2:19" s="2625" customFormat="1" ht="14.25" thickBot="1" x14ac:dyDescent="0.3">
      <c r="B60" s="2641"/>
      <c r="C60" s="2697" t="s">
        <v>4258</v>
      </c>
      <c r="D60" s="2698">
        <v>0.76180000000000003</v>
      </c>
      <c r="E60" s="2609"/>
      <c r="F60" s="2610"/>
      <c r="G60" s="2628"/>
      <c r="H60" s="2628"/>
      <c r="I60" s="2628"/>
      <c r="J60" s="2628"/>
      <c r="K60" s="2607"/>
      <c r="L60" s="2607"/>
      <c r="M60" s="2607"/>
      <c r="N60" s="2607"/>
      <c r="O60" s="2607"/>
      <c r="P60" s="2607"/>
      <c r="Q60" s="2607"/>
      <c r="R60" s="2607"/>
      <c r="S60" s="2644"/>
    </row>
    <row r="61" spans="2:19" s="2625" customFormat="1" ht="14.25" thickBot="1" x14ac:dyDescent="0.3">
      <c r="B61" s="2641"/>
      <c r="C61" s="2699" t="s">
        <v>4213</v>
      </c>
      <c r="D61" s="2700">
        <v>548.23</v>
      </c>
      <c r="E61" s="2609"/>
      <c r="F61" s="2610"/>
      <c r="G61" s="2628"/>
      <c r="H61" s="2628"/>
      <c r="I61" s="2628"/>
      <c r="J61" s="2628"/>
      <c r="K61" s="2607"/>
      <c r="L61" s="2607"/>
      <c r="M61" s="2607"/>
      <c r="N61" s="2607"/>
      <c r="O61" s="2607"/>
      <c r="P61" s="2607"/>
      <c r="Q61" s="2607"/>
      <c r="R61" s="2607"/>
      <c r="S61" s="2644"/>
    </row>
    <row r="62" spans="2:19" s="2625" customFormat="1" ht="14.25" thickBot="1" x14ac:dyDescent="0.3">
      <c r="B62" s="2641"/>
      <c r="C62" s="2695" t="s">
        <v>4259</v>
      </c>
      <c r="D62" s="2698">
        <f>D61*18%</f>
        <v>98.681399999999996</v>
      </c>
      <c r="E62" s="2609"/>
      <c r="F62" s="2610"/>
      <c r="G62" s="2628"/>
      <c r="H62" s="2628"/>
      <c r="I62" s="2628"/>
      <c r="J62" s="2628"/>
      <c r="K62" s="2607"/>
      <c r="L62" s="2607"/>
      <c r="M62" s="2607"/>
      <c r="N62" s="2607"/>
      <c r="O62" s="2607"/>
      <c r="P62" s="2607"/>
      <c r="Q62" s="2607"/>
      <c r="R62" s="2607"/>
      <c r="S62" s="2644"/>
    </row>
    <row r="63" spans="2:19" s="2625" customFormat="1" ht="14.25" thickBot="1" x14ac:dyDescent="0.3">
      <c r="B63" s="2641"/>
      <c r="C63" s="2695" t="s">
        <v>4260</v>
      </c>
      <c r="D63" s="2698">
        <v>13.46</v>
      </c>
      <c r="E63" s="2609"/>
      <c r="F63" s="2610"/>
      <c r="G63" s="2628"/>
      <c r="H63" s="2628"/>
      <c r="I63" s="2628"/>
      <c r="J63" s="2628"/>
      <c r="K63" s="2607"/>
      <c r="L63" s="2607"/>
      <c r="M63" s="2607"/>
      <c r="N63" s="2607"/>
      <c r="O63" s="2607"/>
      <c r="P63" s="2607"/>
      <c r="Q63" s="2607"/>
      <c r="R63" s="2607"/>
      <c r="S63" s="2644"/>
    </row>
    <row r="64" spans="2:19" s="2625" customFormat="1" ht="14.25" thickBot="1" x14ac:dyDescent="0.3">
      <c r="B64" s="2641"/>
      <c r="C64" s="2695" t="s">
        <v>4261</v>
      </c>
      <c r="D64" s="2698">
        <v>-11.98</v>
      </c>
      <c r="E64" s="2609"/>
      <c r="F64" s="2610"/>
      <c r="G64" s="2628"/>
      <c r="H64" s="2628"/>
      <c r="I64" s="2628"/>
      <c r="J64" s="2628"/>
      <c r="K64" s="2607"/>
      <c r="L64" s="2607"/>
      <c r="M64" s="2607"/>
      <c r="N64" s="2607"/>
      <c r="O64" s="2607"/>
      <c r="P64" s="2607"/>
      <c r="Q64" s="2607"/>
      <c r="R64" s="2607"/>
      <c r="S64" s="2644"/>
    </row>
    <row r="65" spans="2:19" s="2625" customFormat="1" ht="14.25" thickBot="1" x14ac:dyDescent="0.3">
      <c r="B65" s="2641"/>
      <c r="C65" s="2695" t="s">
        <v>4262</v>
      </c>
      <c r="D65" s="2698">
        <v>5.32</v>
      </c>
      <c r="E65" s="2609"/>
      <c r="F65" s="2610"/>
      <c r="G65" s="2628"/>
      <c r="H65" s="2628"/>
      <c r="I65" s="2628"/>
      <c r="J65" s="2628"/>
      <c r="K65" s="2607"/>
      <c r="L65" s="2607"/>
      <c r="M65" s="2607"/>
      <c r="N65" s="2607"/>
      <c r="O65" s="2607"/>
      <c r="P65" s="2607"/>
      <c r="Q65" s="2607"/>
      <c r="R65" s="2607"/>
      <c r="S65" s="2644"/>
    </row>
    <row r="66" spans="2:19" s="2625" customFormat="1" ht="14.25" thickBot="1" x14ac:dyDescent="0.3">
      <c r="B66" s="2641"/>
      <c r="C66" s="2695" t="s">
        <v>4263</v>
      </c>
      <c r="D66" s="2698">
        <v>-0.03</v>
      </c>
      <c r="E66" s="2609"/>
      <c r="F66" s="2610"/>
      <c r="G66" s="2628"/>
      <c r="H66" s="2628"/>
      <c r="I66" s="2628"/>
      <c r="J66" s="2628"/>
      <c r="K66" s="2607"/>
      <c r="L66" s="2607"/>
      <c r="M66" s="2607"/>
      <c r="N66" s="2607"/>
      <c r="O66" s="2607"/>
      <c r="P66" s="2607"/>
      <c r="Q66" s="2607"/>
      <c r="R66" s="2607"/>
      <c r="S66" s="2644"/>
    </row>
    <row r="67" spans="2:19" s="2625" customFormat="1" ht="14.25" thickBot="1" x14ac:dyDescent="0.3">
      <c r="B67" s="2641"/>
      <c r="C67" s="2695" t="s">
        <v>4264</v>
      </c>
      <c r="D67" s="2698">
        <v>0.02</v>
      </c>
      <c r="E67" s="2609"/>
      <c r="F67" s="2610"/>
      <c r="G67" s="2628"/>
      <c r="H67" s="2628"/>
      <c r="I67" s="2628"/>
      <c r="J67" s="2628"/>
      <c r="K67" s="2607"/>
      <c r="L67" s="2607"/>
      <c r="M67" s="2607"/>
      <c r="N67" s="2607"/>
      <c r="O67" s="2607"/>
      <c r="P67" s="2607"/>
      <c r="Q67" s="2607"/>
      <c r="R67" s="2607"/>
      <c r="S67" s="2644"/>
    </row>
    <row r="68" spans="2:19" s="2625" customFormat="1" ht="14.25" thickBot="1" x14ac:dyDescent="0.3">
      <c r="B68" s="2641"/>
      <c r="C68" s="2701" t="s">
        <v>4265</v>
      </c>
      <c r="D68" s="2702">
        <f>SUM(D61:D67)</f>
        <v>653.70140000000004</v>
      </c>
      <c r="E68" s="2609"/>
      <c r="F68" s="2610"/>
      <c r="G68" s="2628"/>
      <c r="H68" s="2628"/>
      <c r="I68" s="2628"/>
      <c r="J68" s="2628"/>
      <c r="K68" s="2607"/>
      <c r="L68" s="2607"/>
      <c r="M68" s="2607"/>
      <c r="N68" s="2607"/>
      <c r="O68" s="2607"/>
      <c r="P68" s="2607"/>
      <c r="Q68" s="2607"/>
      <c r="R68" s="2607"/>
      <c r="S68" s="2644"/>
    </row>
    <row r="69" spans="2:19" s="2625" customFormat="1" ht="14.25" thickBot="1" x14ac:dyDescent="0.3">
      <c r="B69" s="2641"/>
      <c r="C69" s="2695" t="s">
        <v>4051</v>
      </c>
      <c r="D69" s="2698">
        <v>12</v>
      </c>
      <c r="E69" s="2609"/>
      <c r="F69" s="2610"/>
      <c r="G69" s="2628"/>
      <c r="H69" s="2628"/>
      <c r="I69" s="2628"/>
      <c r="J69" s="2628"/>
      <c r="K69" s="2607"/>
      <c r="L69" s="2607"/>
      <c r="M69" s="2607"/>
      <c r="N69" s="2607"/>
      <c r="O69" s="2607"/>
      <c r="P69" s="2607"/>
      <c r="Q69" s="2607"/>
      <c r="R69" s="2607"/>
      <c r="S69" s="2644"/>
    </row>
    <row r="70" spans="2:19" s="2625" customFormat="1" ht="14.25" thickBot="1" x14ac:dyDescent="0.3">
      <c r="B70" s="2641"/>
      <c r="C70" s="2678" t="s">
        <v>4266</v>
      </c>
      <c r="D70" s="2703">
        <f>D68*D69</f>
        <v>7844.4168000000009</v>
      </c>
      <c r="E70" s="2609"/>
      <c r="F70" s="2610"/>
      <c r="G70" s="2628"/>
      <c r="H70" s="2628"/>
      <c r="I70" s="2628"/>
      <c r="J70" s="2628"/>
      <c r="K70" s="2607"/>
      <c r="L70" s="2607"/>
      <c r="M70" s="2607"/>
      <c r="N70" s="2607"/>
      <c r="O70" s="2607"/>
      <c r="P70" s="2607"/>
      <c r="Q70" s="2607"/>
      <c r="R70" s="2607"/>
      <c r="S70" s="2644"/>
    </row>
    <row r="71" spans="2:19" s="2625" customFormat="1" x14ac:dyDescent="0.25">
      <c r="B71" s="2641"/>
      <c r="C71" s="2607"/>
      <c r="D71" s="2608"/>
      <c r="E71" s="2609"/>
      <c r="F71" s="2610"/>
      <c r="G71" s="2628"/>
      <c r="H71" s="2628"/>
      <c r="I71" s="2628"/>
      <c r="J71" s="2628"/>
      <c r="K71" s="2607"/>
      <c r="L71" s="2607"/>
      <c r="M71" s="2607"/>
      <c r="N71" s="2607"/>
      <c r="O71" s="2607"/>
      <c r="P71" s="2607"/>
      <c r="Q71" s="2607"/>
      <c r="R71" s="2607"/>
      <c r="S71" s="2644"/>
    </row>
    <row r="72" spans="2:19" s="2625" customFormat="1" x14ac:dyDescent="0.25">
      <c r="B72" s="2641"/>
      <c r="C72" s="2607"/>
      <c r="D72" s="2608"/>
      <c r="E72" s="2609"/>
      <c r="F72" s="2610"/>
      <c r="G72" s="2628"/>
      <c r="H72" s="2628"/>
      <c r="I72" s="2628"/>
      <c r="J72" s="2628"/>
      <c r="K72" s="2607"/>
      <c r="L72" s="2607"/>
      <c r="M72" s="2607"/>
      <c r="N72" s="2607"/>
      <c r="O72" s="2607"/>
      <c r="P72" s="2607"/>
      <c r="Q72" s="2607"/>
      <c r="R72" s="2607"/>
      <c r="S72" s="2644"/>
    </row>
    <row r="73" spans="2:19" ht="14.25" thickBot="1" x14ac:dyDescent="0.3">
      <c r="B73" s="2641"/>
      <c r="C73" s="2612"/>
      <c r="D73" s="2612"/>
      <c r="E73" s="2612"/>
      <c r="F73" s="2612"/>
      <c r="G73" s="2612"/>
      <c r="H73" s="2612"/>
      <c r="I73" s="2612"/>
      <c r="J73" s="2612"/>
      <c r="K73" s="2607"/>
      <c r="L73" s="2607"/>
      <c r="M73" s="2612"/>
      <c r="N73" s="2612"/>
      <c r="O73" s="2612"/>
      <c r="P73" s="2612"/>
      <c r="Q73" s="2612"/>
      <c r="R73" s="2612"/>
      <c r="S73" s="2642"/>
    </row>
    <row r="74" spans="2:19" ht="14.25" thickBot="1" x14ac:dyDescent="0.3">
      <c r="B74" s="2641"/>
      <c r="C74" s="4900" t="s">
        <v>4230</v>
      </c>
      <c r="D74" s="4901"/>
      <c r="E74" s="4901"/>
      <c r="F74" s="4901"/>
      <c r="G74" s="4901"/>
      <c r="H74" s="4902"/>
      <c r="I74" s="2612"/>
      <c r="J74" s="2612"/>
      <c r="K74" s="2607"/>
      <c r="L74" s="2607"/>
      <c r="M74" s="2612"/>
      <c r="N74" s="2612"/>
      <c r="O74" s="2612"/>
      <c r="P74" s="2612"/>
      <c r="Q74" s="2612"/>
      <c r="R74" s="2612"/>
      <c r="S74" s="2642"/>
    </row>
    <row r="75" spans="2:19" x14ac:dyDescent="0.25">
      <c r="B75" s="2641"/>
      <c r="C75" s="2612"/>
      <c r="D75" s="2612"/>
      <c r="E75" s="2612"/>
      <c r="F75" s="2612"/>
      <c r="G75" s="2612"/>
      <c r="H75" s="2612"/>
      <c r="I75" s="2612"/>
      <c r="J75" s="2612"/>
      <c r="K75" s="2612"/>
      <c r="L75" s="2612"/>
      <c r="M75" s="2612"/>
      <c r="N75" s="2612"/>
      <c r="O75" s="2612"/>
      <c r="P75" s="2612"/>
      <c r="Q75" s="2612"/>
      <c r="R75" s="2612"/>
      <c r="S75" s="2642"/>
    </row>
    <row r="76" spans="2:19" ht="14.25" thickBot="1" x14ac:dyDescent="0.3">
      <c r="B76" s="2641"/>
      <c r="C76" s="2612"/>
      <c r="D76" s="2612"/>
      <c r="E76" s="2612"/>
      <c r="F76" s="2612"/>
      <c r="G76" s="2612"/>
      <c r="H76" s="2612"/>
      <c r="I76" s="2612"/>
      <c r="J76" s="2612"/>
      <c r="K76" s="2612"/>
      <c r="L76" s="2612"/>
      <c r="M76" s="2612"/>
      <c r="N76" s="2612"/>
      <c r="O76" s="2612"/>
      <c r="P76" s="2612"/>
      <c r="Q76" s="2612"/>
      <c r="R76" s="2612"/>
      <c r="S76" s="2642"/>
    </row>
    <row r="77" spans="2:19" ht="14.25" thickBot="1" x14ac:dyDescent="0.3">
      <c r="B77" s="2641"/>
      <c r="C77" s="2680" t="s">
        <v>298</v>
      </c>
      <c r="D77" s="2681" t="s">
        <v>4231</v>
      </c>
      <c r="E77" s="2612"/>
      <c r="F77" s="2612"/>
      <c r="G77" s="2612"/>
      <c r="H77" s="2612"/>
      <c r="I77" s="2612"/>
      <c r="J77" s="2612"/>
      <c r="K77" s="2612"/>
      <c r="L77" s="2612"/>
      <c r="M77" s="2612"/>
      <c r="N77" s="2612"/>
      <c r="O77" s="2612"/>
      <c r="P77" s="2612"/>
      <c r="Q77" s="2612"/>
      <c r="R77" s="2612"/>
      <c r="S77" s="2642"/>
    </row>
    <row r="78" spans="2:19" ht="14.25" thickBot="1" x14ac:dyDescent="0.3">
      <c r="B78" s="2641"/>
      <c r="C78" s="2659" t="s">
        <v>4232</v>
      </c>
      <c r="D78" s="2667">
        <f>+F87</f>
        <v>1140</v>
      </c>
      <c r="E78" s="2612"/>
      <c r="F78" s="2612"/>
      <c r="G78" s="2612"/>
      <c r="H78" s="2612"/>
      <c r="I78" s="2612"/>
      <c r="J78" s="2612"/>
      <c r="K78" s="2612"/>
      <c r="L78" s="2612"/>
      <c r="M78" s="2612"/>
      <c r="N78" s="2612"/>
      <c r="O78" s="2612"/>
      <c r="P78" s="2612"/>
      <c r="Q78" s="2612"/>
      <c r="R78" s="2612"/>
      <c r="S78" s="2642"/>
    </row>
    <row r="79" spans="2:19" ht="14.25" thickBot="1" x14ac:dyDescent="0.3">
      <c r="B79" s="2641"/>
      <c r="C79" s="2659" t="s">
        <v>4233</v>
      </c>
      <c r="D79" s="2668">
        <f>+H94</f>
        <v>7800</v>
      </c>
      <c r="E79" s="2612"/>
      <c r="F79" s="2612"/>
      <c r="G79" s="2612"/>
      <c r="H79" s="2612"/>
      <c r="I79" s="2612"/>
      <c r="J79" s="2612"/>
      <c r="K79" s="2612"/>
      <c r="L79" s="2612"/>
      <c r="M79" s="2612"/>
      <c r="N79" s="2612"/>
      <c r="O79" s="2612"/>
      <c r="P79" s="2612"/>
      <c r="Q79" s="2612"/>
      <c r="R79" s="2612"/>
      <c r="S79" s="2642"/>
    </row>
    <row r="80" spans="2:19" ht="14.25" thickBot="1" x14ac:dyDescent="0.3">
      <c r="B80" s="2641"/>
      <c r="C80" s="2669" t="s">
        <v>150</v>
      </c>
      <c r="D80" s="2670">
        <f>SUM(D78:D79)</f>
        <v>8940</v>
      </c>
      <c r="E80" s="2612"/>
      <c r="F80" s="2612"/>
      <c r="G80" s="2612"/>
      <c r="H80" s="2612"/>
      <c r="I80" s="2612"/>
      <c r="J80" s="2612"/>
      <c r="K80" s="2612"/>
      <c r="L80" s="2612"/>
      <c r="M80" s="2612"/>
      <c r="N80" s="2612"/>
      <c r="O80" s="2612"/>
      <c r="P80" s="2612"/>
      <c r="Q80" s="2612"/>
      <c r="R80" s="2612"/>
      <c r="S80" s="2642"/>
    </row>
    <row r="81" spans="2:19" x14ac:dyDescent="0.25">
      <c r="B81" s="2641"/>
      <c r="C81" s="2612"/>
      <c r="D81" s="2612"/>
      <c r="E81" s="2612"/>
      <c r="F81" s="2612"/>
      <c r="G81" s="2612"/>
      <c r="H81" s="2612"/>
      <c r="I81" s="2612"/>
      <c r="J81" s="2612"/>
      <c r="K81" s="2612"/>
      <c r="L81" s="2612"/>
      <c r="M81" s="2612"/>
      <c r="N81" s="2612"/>
      <c r="O81" s="2612"/>
      <c r="P81" s="2612"/>
      <c r="Q81" s="2612"/>
      <c r="R81" s="2612"/>
      <c r="S81" s="2642"/>
    </row>
    <row r="82" spans="2:19" x14ac:dyDescent="0.25">
      <c r="B82" s="2641"/>
      <c r="C82" s="2612"/>
      <c r="D82" s="2612"/>
      <c r="E82" s="2612"/>
      <c r="F82" s="2612"/>
      <c r="G82" s="2612"/>
      <c r="H82" s="2612"/>
      <c r="I82" s="2612"/>
      <c r="J82" s="2612"/>
      <c r="K82" s="2612"/>
      <c r="L82" s="2612"/>
      <c r="M82" s="2612"/>
      <c r="N82" s="2612"/>
      <c r="O82" s="2612"/>
      <c r="P82" s="2612"/>
      <c r="Q82" s="2612"/>
      <c r="R82" s="2612"/>
      <c r="S82" s="2642"/>
    </row>
    <row r="83" spans="2:19" x14ac:dyDescent="0.25">
      <c r="B83" s="2641"/>
      <c r="C83" s="2629"/>
      <c r="D83" s="2630"/>
      <c r="E83" s="2630"/>
      <c r="F83" s="2631"/>
      <c r="G83" s="2612"/>
      <c r="H83" s="2612"/>
      <c r="I83" s="2612"/>
      <c r="J83" s="2612"/>
      <c r="K83" s="2612"/>
      <c r="L83" s="2612"/>
      <c r="M83" s="2612"/>
      <c r="N83" s="2612"/>
      <c r="O83" s="2612"/>
      <c r="P83" s="2612"/>
      <c r="Q83" s="2612"/>
      <c r="R83" s="2612"/>
      <c r="S83" s="2642"/>
    </row>
    <row r="84" spans="2:19" x14ac:dyDescent="0.25">
      <c r="B84" s="2641"/>
      <c r="C84" s="2632" t="s">
        <v>4234</v>
      </c>
      <c r="D84" s="2630"/>
      <c r="E84" s="2630"/>
      <c r="F84" s="2631"/>
      <c r="G84" s="2612"/>
      <c r="H84" s="2612"/>
      <c r="I84" s="2612"/>
      <c r="J84" s="2612"/>
      <c r="K84" s="2612"/>
      <c r="L84" s="2612"/>
      <c r="M84" s="2612"/>
      <c r="N84" s="2612"/>
      <c r="O84" s="2612"/>
      <c r="P84" s="2612"/>
      <c r="Q84" s="2612"/>
      <c r="R84" s="2612"/>
      <c r="S84" s="2642"/>
    </row>
    <row r="85" spans="2:19" ht="14.25" thickBot="1" x14ac:dyDescent="0.3">
      <c r="B85" s="2641"/>
      <c r="C85" s="2633"/>
      <c r="D85" s="2594"/>
      <c r="E85" s="2594"/>
      <c r="F85" s="2634"/>
      <c r="G85" s="2612"/>
      <c r="H85" s="2612"/>
      <c r="I85" s="2612"/>
      <c r="J85" s="2612"/>
      <c r="K85" s="2612"/>
      <c r="L85" s="2612"/>
      <c r="M85" s="2612"/>
      <c r="N85" s="2612"/>
      <c r="O85" s="2612"/>
      <c r="P85" s="2612"/>
      <c r="Q85" s="2612"/>
      <c r="R85" s="2612"/>
      <c r="S85" s="2642"/>
    </row>
    <row r="86" spans="2:19" ht="14.25" thickBot="1" x14ac:dyDescent="0.3">
      <c r="B86" s="2641"/>
      <c r="C86" s="1188" t="s">
        <v>4235</v>
      </c>
      <c r="D86" s="2583" t="s">
        <v>4236</v>
      </c>
      <c r="E86" s="2583" t="s">
        <v>4237</v>
      </c>
      <c r="F86" s="2679" t="s">
        <v>4238</v>
      </c>
      <c r="G86" s="2612"/>
      <c r="H86" s="2612"/>
      <c r="I86" s="2612"/>
      <c r="J86" s="2612"/>
      <c r="K86" s="2612"/>
      <c r="L86" s="2612"/>
      <c r="M86" s="2612"/>
      <c r="N86" s="2612"/>
      <c r="O86" s="2612"/>
      <c r="P86" s="2612"/>
      <c r="Q86" s="2612"/>
      <c r="R86" s="2612"/>
      <c r="S86" s="2642"/>
    </row>
    <row r="87" spans="2:19" ht="14.25" thickBot="1" x14ac:dyDescent="0.3">
      <c r="B87" s="2641"/>
      <c r="C87" s="2474" t="s">
        <v>4239</v>
      </c>
      <c r="D87" s="2671">
        <f>30+30+35</f>
        <v>95</v>
      </c>
      <c r="E87" s="2671">
        <v>12</v>
      </c>
      <c r="F87" s="2672">
        <f>D87*E87</f>
        <v>1140</v>
      </c>
      <c r="G87" s="2612"/>
      <c r="H87" s="2612"/>
      <c r="I87" s="2612"/>
      <c r="J87" s="2612"/>
      <c r="K87" s="2612"/>
      <c r="L87" s="2612"/>
      <c r="M87" s="2612"/>
      <c r="N87" s="2612"/>
      <c r="O87" s="2612"/>
      <c r="P87" s="2612"/>
      <c r="Q87" s="2612"/>
      <c r="R87" s="2612"/>
      <c r="S87" s="2642"/>
    </row>
    <row r="88" spans="2:19" x14ac:dyDescent="0.25">
      <c r="B88" s="2641"/>
      <c r="C88" s="2635"/>
      <c r="D88" s="2630"/>
      <c r="E88" s="2630"/>
      <c r="F88" s="2631" t="s">
        <v>4240</v>
      </c>
      <c r="G88" s="2612"/>
      <c r="H88" s="2612"/>
      <c r="I88" s="2612"/>
      <c r="J88" s="2612"/>
      <c r="K88" s="2612"/>
      <c r="L88" s="2612"/>
      <c r="M88" s="2612"/>
      <c r="N88" s="2612"/>
      <c r="O88" s="2612"/>
      <c r="P88" s="2612"/>
      <c r="Q88" s="2612"/>
      <c r="R88" s="2612"/>
      <c r="S88" s="2642"/>
    </row>
    <row r="89" spans="2:19" x14ac:dyDescent="0.25">
      <c r="B89" s="2641"/>
      <c r="C89" s="598"/>
      <c r="D89" s="598"/>
      <c r="E89" s="598"/>
      <c r="F89" s="598"/>
      <c r="G89" s="2612"/>
      <c r="H89" s="2612"/>
      <c r="I89" s="2612"/>
      <c r="J89" s="2612"/>
      <c r="K89" s="2612"/>
      <c r="L89" s="2612"/>
      <c r="M89" s="2612"/>
      <c r="N89" s="2612"/>
      <c r="O89" s="2612"/>
      <c r="P89" s="2612"/>
      <c r="Q89" s="2612"/>
      <c r="R89" s="2612"/>
      <c r="S89" s="2642"/>
    </row>
    <row r="90" spans="2:19" x14ac:dyDescent="0.25">
      <c r="B90" s="2641"/>
      <c r="C90" s="2632" t="s">
        <v>4233</v>
      </c>
      <c r="D90" s="598"/>
      <c r="E90" s="598"/>
      <c r="F90" s="598"/>
      <c r="G90" s="2612"/>
      <c r="H90" s="2612"/>
      <c r="I90" s="2612"/>
      <c r="J90" s="2612"/>
      <c r="K90" s="2612"/>
      <c r="L90" s="2612"/>
      <c r="M90" s="2612"/>
      <c r="N90" s="2612"/>
      <c r="O90" s="2612"/>
      <c r="P90" s="2612"/>
      <c r="Q90" s="2612"/>
      <c r="R90" s="2612"/>
      <c r="S90" s="2642"/>
    </row>
    <row r="91" spans="2:19" ht="14.25" thickBot="1" x14ac:dyDescent="0.3">
      <c r="B91" s="2641"/>
      <c r="C91" s="598"/>
      <c r="D91" s="598"/>
      <c r="E91" s="598"/>
      <c r="F91" s="598"/>
      <c r="G91" s="2612"/>
      <c r="H91" s="2612"/>
      <c r="I91" s="2612"/>
      <c r="J91" s="2612"/>
      <c r="K91" s="2612"/>
      <c r="L91" s="2612"/>
      <c r="M91" s="2612"/>
      <c r="N91" s="2612"/>
      <c r="O91" s="2612"/>
      <c r="P91" s="2612"/>
      <c r="Q91" s="2612"/>
      <c r="R91" s="2612"/>
      <c r="S91" s="2642"/>
    </row>
    <row r="92" spans="2:19" ht="14.25" thickBot="1" x14ac:dyDescent="0.3">
      <c r="B92" s="2641"/>
      <c r="C92" s="2678" t="s">
        <v>4208</v>
      </c>
      <c r="D92" s="2583" t="s">
        <v>4241</v>
      </c>
      <c r="E92" s="2583" t="s">
        <v>4242</v>
      </c>
      <c r="F92" s="2583" t="s">
        <v>4236</v>
      </c>
      <c r="G92" s="2583" t="s">
        <v>4237</v>
      </c>
      <c r="H92" s="2679" t="s">
        <v>4238</v>
      </c>
      <c r="I92" s="2612"/>
      <c r="J92" s="2612"/>
      <c r="K92" s="2612"/>
      <c r="L92" s="2612"/>
      <c r="M92" s="2612"/>
      <c r="N92" s="2612"/>
      <c r="O92" s="2612"/>
      <c r="P92" s="2612"/>
      <c r="Q92" s="2612"/>
      <c r="R92" s="2612"/>
      <c r="S92" s="2642"/>
    </row>
    <row r="93" spans="2:19" ht="41.25" thickBot="1" x14ac:dyDescent="0.3">
      <c r="B93" s="2641"/>
      <c r="C93" s="2673" t="s">
        <v>4243</v>
      </c>
      <c r="D93" s="2674"/>
      <c r="E93" s="2674"/>
      <c r="F93" s="2674">
        <v>650</v>
      </c>
      <c r="G93" s="2674">
        <v>12</v>
      </c>
      <c r="H93" s="2675">
        <f>F93*G93</f>
        <v>7800</v>
      </c>
      <c r="I93" s="2612"/>
      <c r="J93" s="2612"/>
      <c r="K93" s="2612"/>
      <c r="L93" s="2612"/>
      <c r="M93" s="2612"/>
      <c r="N93" s="2612"/>
      <c r="O93" s="2612"/>
      <c r="P93" s="2612"/>
      <c r="Q93" s="2612"/>
      <c r="R93" s="2612"/>
      <c r="S93" s="2642"/>
    </row>
    <row r="94" spans="2:19" ht="14.25" thickBot="1" x14ac:dyDescent="0.3">
      <c r="B94" s="2641"/>
      <c r="C94" s="2676" t="s">
        <v>4244</v>
      </c>
      <c r="D94" s="2674"/>
      <c r="E94" s="2674"/>
      <c r="F94" s="2674"/>
      <c r="G94" s="2674"/>
      <c r="H94" s="2677">
        <f>+H93</f>
        <v>7800</v>
      </c>
      <c r="I94" s="2612"/>
      <c r="J94" s="2612"/>
      <c r="K94" s="2612"/>
      <c r="L94" s="2612"/>
      <c r="M94" s="2612"/>
      <c r="N94" s="2612"/>
      <c r="O94" s="2612"/>
      <c r="P94" s="2612"/>
      <c r="Q94" s="2612"/>
      <c r="R94" s="2612"/>
      <c r="S94" s="2642"/>
    </row>
    <row r="95" spans="2:19" x14ac:dyDescent="0.25">
      <c r="B95" s="2641"/>
      <c r="C95" s="2636"/>
      <c r="D95" s="2612"/>
      <c r="E95" s="2636"/>
      <c r="F95" s="2637" t="s">
        <v>4240</v>
      </c>
      <c r="G95" s="2612"/>
      <c r="H95" s="2612"/>
      <c r="I95" s="2612"/>
      <c r="J95" s="2612"/>
      <c r="K95" s="2612"/>
      <c r="L95" s="2612"/>
      <c r="M95" s="2612"/>
      <c r="N95" s="2612"/>
      <c r="O95" s="2612"/>
      <c r="P95" s="2612"/>
      <c r="Q95" s="2612"/>
      <c r="R95" s="2612"/>
      <c r="S95" s="2642"/>
    </row>
    <row r="96" spans="2:19" ht="14.25" thickBot="1" x14ac:dyDescent="0.3">
      <c r="B96" s="2645"/>
      <c r="C96" s="2646"/>
      <c r="D96" s="2646"/>
      <c r="E96" s="2646"/>
      <c r="F96" s="2646"/>
      <c r="G96" s="2646"/>
      <c r="H96" s="2646"/>
      <c r="I96" s="2646"/>
      <c r="J96" s="2646"/>
      <c r="K96" s="2646"/>
      <c r="L96" s="2646"/>
      <c r="M96" s="2646"/>
      <c r="N96" s="2646"/>
      <c r="O96" s="2646"/>
      <c r="P96" s="2646"/>
      <c r="Q96" s="2646"/>
      <c r="R96" s="2646"/>
      <c r="S96" s="2647"/>
    </row>
    <row r="101" spans="4:7" x14ac:dyDescent="0.25">
      <c r="D101" s="2611" t="s">
        <v>4245</v>
      </c>
      <c r="E101" s="2611" t="s">
        <v>4246</v>
      </c>
      <c r="F101" s="2611" t="s">
        <v>4247</v>
      </c>
      <c r="G101" s="2611" t="s">
        <v>4248</v>
      </c>
    </row>
    <row r="102" spans="4:7" x14ac:dyDescent="0.25">
      <c r="D102" s="2611">
        <v>20</v>
      </c>
      <c r="E102" s="2611">
        <v>98</v>
      </c>
      <c r="F102" s="2611">
        <f>D102*E102</f>
        <v>1960</v>
      </c>
      <c r="G102" s="2611">
        <f>F102*12</f>
        <v>23520</v>
      </c>
    </row>
    <row r="103" spans="4:7" x14ac:dyDescent="0.25">
      <c r="D103" s="2611" t="s">
        <v>4249</v>
      </c>
    </row>
    <row r="104" spans="4:7" x14ac:dyDescent="0.25">
      <c r="D104" s="2611" t="s">
        <v>4250</v>
      </c>
    </row>
  </sheetData>
  <mergeCells count="9">
    <mergeCell ref="C39:J39"/>
    <mergeCell ref="C24:R24"/>
    <mergeCell ref="C74:H74"/>
    <mergeCell ref="C8:R8"/>
    <mergeCell ref="C11:R11"/>
    <mergeCell ref="C13:R13"/>
    <mergeCell ref="C14:C15"/>
    <mergeCell ref="C25:C26"/>
    <mergeCell ref="C32:H32"/>
  </mergeCells>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W174"/>
  <sheetViews>
    <sheetView zoomScale="70" zoomScaleNormal="70" workbookViewId="0">
      <selection activeCell="C92" sqref="C92"/>
    </sheetView>
  </sheetViews>
  <sheetFormatPr baseColWidth="10" defaultColWidth="11.42578125" defaultRowHeight="15" x14ac:dyDescent="0.25"/>
  <cols>
    <col min="1" max="1" width="11.42578125" style="1212"/>
    <col min="2" max="2" width="29.85546875" style="493" customWidth="1"/>
    <col min="3" max="3" width="46.28515625" style="493" bestFit="1" customWidth="1"/>
    <col min="4" max="4" width="20.42578125" style="493" customWidth="1"/>
    <col min="5" max="5" width="19" style="493" customWidth="1"/>
    <col min="6" max="6" width="16.140625" style="493" customWidth="1"/>
    <col min="7" max="7" width="13.28515625" style="493" customWidth="1"/>
    <col min="8" max="8" width="17.85546875" style="493" customWidth="1"/>
    <col min="9" max="10" width="14.28515625" style="493" customWidth="1"/>
    <col min="11" max="11" width="17.42578125" style="493" customWidth="1"/>
    <col min="12" max="12" width="19.7109375" style="493" customWidth="1"/>
    <col min="13" max="13" width="19.85546875" style="493" customWidth="1"/>
    <col min="14" max="14" width="15.85546875" style="493" customWidth="1"/>
    <col min="15" max="15" width="19.28515625" style="493" customWidth="1"/>
    <col min="16" max="16" width="14.28515625" style="493" bestFit="1" customWidth="1"/>
    <col min="17" max="17" width="19.85546875" style="493" customWidth="1"/>
    <col min="18" max="18" width="18.5703125" style="493" customWidth="1"/>
    <col min="19" max="19" width="18.28515625" style="493" customWidth="1"/>
    <col min="20" max="20" width="15.85546875" style="493" bestFit="1" customWidth="1"/>
    <col min="21" max="22" width="13.28515625" style="493" bestFit="1" customWidth="1"/>
    <col min="23" max="23" width="14.42578125" style="493" bestFit="1" customWidth="1"/>
    <col min="24" max="16384" width="11.42578125" style="1212"/>
  </cols>
  <sheetData>
    <row r="1" spans="1:22" x14ac:dyDescent="0.25">
      <c r="A1" s="2447"/>
    </row>
    <row r="2" spans="1:22" ht="23.25" x14ac:dyDescent="0.25">
      <c r="B2" s="4933" t="s">
        <v>4267</v>
      </c>
      <c r="C2" s="4934"/>
      <c r="D2" s="4934"/>
      <c r="E2" s="4934"/>
      <c r="F2" s="4934"/>
      <c r="G2" s="4934"/>
      <c r="H2" s="4934"/>
      <c r="I2" s="4934"/>
      <c r="J2" s="4934"/>
      <c r="K2" s="4934"/>
      <c r="L2" s="4934"/>
      <c r="M2" s="4934"/>
      <c r="N2" s="4934"/>
      <c r="O2" s="4934"/>
      <c r="P2" s="4934"/>
      <c r="Q2" s="4934"/>
      <c r="R2" s="4934"/>
      <c r="S2" s="4935"/>
      <c r="T2" s="373"/>
    </row>
    <row r="4" spans="1:22" ht="15.75" thickBot="1" x14ac:dyDescent="0.3">
      <c r="B4" s="2704"/>
      <c r="C4" s="373"/>
      <c r="D4" s="373"/>
      <c r="E4" s="373"/>
      <c r="F4" s="373"/>
      <c r="G4" s="373"/>
      <c r="H4" s="373"/>
      <c r="I4" s="373"/>
      <c r="J4" s="373"/>
      <c r="K4" s="373"/>
      <c r="L4" s="373"/>
      <c r="M4" s="373"/>
      <c r="N4" s="373"/>
      <c r="O4" s="373"/>
      <c r="P4" s="373"/>
      <c r="Q4" s="373"/>
      <c r="R4" s="373"/>
      <c r="S4" s="373"/>
      <c r="T4" s="373"/>
      <c r="U4" s="373"/>
      <c r="V4" s="373"/>
    </row>
    <row r="5" spans="1:22" x14ac:dyDescent="0.25">
      <c r="A5" s="2736"/>
      <c r="B5" s="2737"/>
      <c r="C5" s="2738"/>
      <c r="D5" s="2738"/>
      <c r="E5" s="2738"/>
      <c r="F5" s="2738"/>
      <c r="G5" s="2738"/>
      <c r="H5" s="2738"/>
      <c r="I5" s="2738"/>
      <c r="J5" s="2738"/>
      <c r="K5" s="2738"/>
      <c r="L5" s="2738"/>
      <c r="M5" s="2738"/>
      <c r="N5" s="2738"/>
      <c r="O5" s="2738"/>
      <c r="P5" s="2738"/>
      <c r="Q5" s="2738"/>
      <c r="R5" s="2738"/>
      <c r="S5" s="2739"/>
      <c r="T5" s="373"/>
      <c r="U5" s="373"/>
      <c r="V5" s="373"/>
    </row>
    <row r="6" spans="1:22" x14ac:dyDescent="0.25">
      <c r="A6" s="2740"/>
      <c r="B6" s="4966" t="s">
        <v>4268</v>
      </c>
      <c r="C6" s="4966"/>
      <c r="D6" s="4966"/>
      <c r="E6" s="4966"/>
      <c r="F6" s="4966"/>
      <c r="G6" s="4966"/>
      <c r="H6" s="4966"/>
      <c r="I6" s="4966"/>
      <c r="J6" s="4966"/>
      <c r="K6" s="1667"/>
      <c r="L6" s="1667"/>
      <c r="M6" s="1667"/>
      <c r="N6" s="1667"/>
      <c r="O6" s="1667"/>
      <c r="P6" s="1667"/>
      <c r="Q6" s="1667"/>
      <c r="R6" s="1667"/>
      <c r="S6" s="2741"/>
      <c r="T6" s="373"/>
      <c r="U6" s="373"/>
      <c r="V6" s="373"/>
    </row>
    <row r="7" spans="1:22" x14ac:dyDescent="0.25">
      <c r="A7" s="2740"/>
      <c r="B7" s="2742"/>
      <c r="C7" s="2742"/>
      <c r="D7" s="2742"/>
      <c r="E7" s="2742"/>
      <c r="F7" s="2742"/>
      <c r="G7" s="2742"/>
      <c r="H7" s="2742"/>
      <c r="I7" s="2742"/>
      <c r="J7" s="2742"/>
      <c r="K7" s="2742"/>
      <c r="L7" s="2742"/>
      <c r="M7" s="2742"/>
      <c r="N7" s="2742"/>
      <c r="O7" s="2742"/>
      <c r="P7" s="2742"/>
      <c r="Q7" s="2742"/>
      <c r="R7" s="2742"/>
      <c r="S7" s="2741"/>
      <c r="T7" s="373"/>
      <c r="U7" s="373"/>
      <c r="V7" s="373"/>
    </row>
    <row r="8" spans="1:22" x14ac:dyDescent="0.25">
      <c r="A8" s="2740"/>
      <c r="B8" s="4961" t="s">
        <v>4269</v>
      </c>
      <c r="C8" s="4942" t="s">
        <v>4270</v>
      </c>
      <c r="D8" s="2728" t="s">
        <v>1961</v>
      </c>
      <c r="E8" s="2728" t="s">
        <v>1962</v>
      </c>
      <c r="F8" s="2728" t="s">
        <v>1963</v>
      </c>
      <c r="G8" s="2728" t="s">
        <v>2001</v>
      </c>
      <c r="H8" s="2728" t="s">
        <v>2002</v>
      </c>
      <c r="I8" s="2728" t="s">
        <v>2003</v>
      </c>
      <c r="J8" s="2728" t="s">
        <v>2004</v>
      </c>
      <c r="K8" s="2728" t="s">
        <v>2005</v>
      </c>
      <c r="L8" s="2728" t="s">
        <v>2006</v>
      </c>
      <c r="M8" s="2728" t="s">
        <v>2007</v>
      </c>
      <c r="N8" s="2728" t="s">
        <v>2008</v>
      </c>
      <c r="O8" s="2728" t="s">
        <v>2009</v>
      </c>
      <c r="P8" s="2728" t="s">
        <v>2010</v>
      </c>
      <c r="Q8" s="2728" t="s">
        <v>2011</v>
      </c>
      <c r="R8" s="2729" t="s">
        <v>2012</v>
      </c>
      <c r="S8" s="2743"/>
      <c r="V8" s="373"/>
    </row>
    <row r="9" spans="1:22" x14ac:dyDescent="0.25">
      <c r="A9" s="2740"/>
      <c r="B9" s="4964"/>
      <c r="C9" s="4945"/>
      <c r="D9" s="2730">
        <v>2020</v>
      </c>
      <c r="E9" s="2730">
        <f>+D9+1</f>
        <v>2021</v>
      </c>
      <c r="F9" s="2730">
        <f t="shared" ref="F9:R9" si="0">+E9+1</f>
        <v>2022</v>
      </c>
      <c r="G9" s="2730">
        <f t="shared" si="0"/>
        <v>2023</v>
      </c>
      <c r="H9" s="2730">
        <f t="shared" si="0"/>
        <v>2024</v>
      </c>
      <c r="I9" s="2730">
        <f t="shared" si="0"/>
        <v>2025</v>
      </c>
      <c r="J9" s="2730">
        <f t="shared" si="0"/>
        <v>2026</v>
      </c>
      <c r="K9" s="2730">
        <f t="shared" si="0"/>
        <v>2027</v>
      </c>
      <c r="L9" s="2730">
        <f t="shared" si="0"/>
        <v>2028</v>
      </c>
      <c r="M9" s="2730">
        <f t="shared" si="0"/>
        <v>2029</v>
      </c>
      <c r="N9" s="2730">
        <f t="shared" si="0"/>
        <v>2030</v>
      </c>
      <c r="O9" s="2730">
        <f t="shared" si="0"/>
        <v>2031</v>
      </c>
      <c r="P9" s="2730">
        <f t="shared" si="0"/>
        <v>2032</v>
      </c>
      <c r="Q9" s="2730">
        <f t="shared" si="0"/>
        <v>2033</v>
      </c>
      <c r="R9" s="2731">
        <f t="shared" si="0"/>
        <v>2034</v>
      </c>
      <c r="S9" s="2743"/>
    </row>
    <row r="10" spans="1:22" x14ac:dyDescent="0.25">
      <c r="A10" s="2740"/>
      <c r="B10" s="4932" t="s">
        <v>3902</v>
      </c>
      <c r="C10" s="2705" t="s">
        <v>4271</v>
      </c>
      <c r="D10" s="2706">
        <f>+F168</f>
        <v>421.500111</v>
      </c>
      <c r="E10" s="2706">
        <f t="shared" ref="D10:R11" si="1">+G168</f>
        <v>421.500111</v>
      </c>
      <c r="F10" s="2706">
        <f t="shared" si="1"/>
        <v>421.500111</v>
      </c>
      <c r="G10" s="2706">
        <f t="shared" si="1"/>
        <v>421.500111</v>
      </c>
      <c r="H10" s="2706">
        <f t="shared" si="1"/>
        <v>230319.473535</v>
      </c>
      <c r="I10" s="2706">
        <f t="shared" si="1"/>
        <v>230335.66563599999</v>
      </c>
      <c r="J10" s="2706">
        <f t="shared" si="1"/>
        <v>230335.66563599999</v>
      </c>
      <c r="K10" s="2706">
        <f t="shared" si="1"/>
        <v>230335.66563599999</v>
      </c>
      <c r="L10" s="2706">
        <f t="shared" si="1"/>
        <v>212680.48713600001</v>
      </c>
      <c r="M10" s="2706">
        <f t="shared" si="1"/>
        <v>229916.45788499998</v>
      </c>
      <c r="N10" s="2706">
        <f t="shared" si="1"/>
        <v>230335.66563599999</v>
      </c>
      <c r="O10" s="2706">
        <f t="shared" si="1"/>
        <v>230335.66563599999</v>
      </c>
      <c r="P10" s="2706">
        <f t="shared" si="1"/>
        <v>230335.66563599999</v>
      </c>
      <c r="Q10" s="2706">
        <f t="shared" si="1"/>
        <v>53930.906511000001</v>
      </c>
      <c r="R10" s="2706">
        <f t="shared" si="1"/>
        <v>224970.89983499999</v>
      </c>
      <c r="S10" s="2726"/>
    </row>
    <row r="11" spans="1:22" x14ac:dyDescent="0.25">
      <c r="A11" s="2740"/>
      <c r="B11" s="4932"/>
      <c r="C11" s="2705" t="s">
        <v>4272</v>
      </c>
      <c r="D11" s="2706">
        <f t="shared" si="1"/>
        <v>0</v>
      </c>
      <c r="E11" s="2706">
        <f t="shared" si="1"/>
        <v>0</v>
      </c>
      <c r="F11" s="2706">
        <f t="shared" si="1"/>
        <v>1117.887336</v>
      </c>
      <c r="G11" s="2706">
        <f t="shared" si="1"/>
        <v>0</v>
      </c>
      <c r="H11" s="2706">
        <f t="shared" si="1"/>
        <v>0</v>
      </c>
      <c r="I11" s="2706">
        <f t="shared" si="1"/>
        <v>15380.750536</v>
      </c>
      <c r="J11" s="2706">
        <f t="shared" si="1"/>
        <v>470412.69099999999</v>
      </c>
      <c r="K11" s="2706">
        <f t="shared" si="1"/>
        <v>0</v>
      </c>
      <c r="L11" s="2706">
        <f t="shared" si="1"/>
        <v>185.31400000000005</v>
      </c>
      <c r="M11" s="2706">
        <f t="shared" si="1"/>
        <v>470412.69099999999</v>
      </c>
      <c r="N11" s="2706">
        <f t="shared" si="1"/>
        <v>43.178936</v>
      </c>
      <c r="O11" s="2706">
        <f t="shared" si="1"/>
        <v>14262.863200000002</v>
      </c>
      <c r="P11" s="2706">
        <f t="shared" si="1"/>
        <v>471487.39939999999</v>
      </c>
      <c r="Q11" s="2706">
        <f t="shared" si="1"/>
        <v>43.178936</v>
      </c>
      <c r="R11" s="2706">
        <f t="shared" si="1"/>
        <v>0</v>
      </c>
      <c r="S11" s="2743"/>
    </row>
    <row r="12" spans="1:22" x14ac:dyDescent="0.25">
      <c r="A12" s="2740"/>
      <c r="B12" s="1674"/>
      <c r="C12" s="2786" t="s">
        <v>0</v>
      </c>
      <c r="D12" s="2787">
        <f>SUM(D10:D11)</f>
        <v>421.500111</v>
      </c>
      <c r="E12" s="2787">
        <f t="shared" ref="E12:R12" si="2">SUM(E10:E11)</f>
        <v>421.500111</v>
      </c>
      <c r="F12" s="2787">
        <f t="shared" si="2"/>
        <v>1539.3874470000001</v>
      </c>
      <c r="G12" s="2787">
        <f t="shared" si="2"/>
        <v>421.500111</v>
      </c>
      <c r="H12" s="2787">
        <f>SUM(H10:H11)</f>
        <v>230319.473535</v>
      </c>
      <c r="I12" s="2787">
        <f t="shared" si="2"/>
        <v>245716.416172</v>
      </c>
      <c r="J12" s="2787">
        <f t="shared" si="2"/>
        <v>700748.35663599998</v>
      </c>
      <c r="K12" s="2787">
        <f t="shared" si="2"/>
        <v>230335.66563599999</v>
      </c>
      <c r="L12" s="2787">
        <f t="shared" si="2"/>
        <v>212865.80113600002</v>
      </c>
      <c r="M12" s="2787">
        <f t="shared" si="2"/>
        <v>700329.14888500003</v>
      </c>
      <c r="N12" s="2787">
        <f t="shared" si="2"/>
        <v>230378.844572</v>
      </c>
      <c r="O12" s="2787">
        <f t="shared" si="2"/>
        <v>244598.52883599998</v>
      </c>
      <c r="P12" s="2787">
        <f t="shared" si="2"/>
        <v>701823.06503599999</v>
      </c>
      <c r="Q12" s="2787">
        <f t="shared" si="2"/>
        <v>53974.085446999998</v>
      </c>
      <c r="R12" s="2787">
        <f t="shared" si="2"/>
        <v>224970.89983499999</v>
      </c>
      <c r="S12" s="2744"/>
      <c r="T12" s="468"/>
      <c r="U12" s="468"/>
    </row>
    <row r="13" spans="1:22" x14ac:dyDescent="0.25">
      <c r="A13" s="2740"/>
      <c r="B13" s="2745"/>
      <c r="C13" s="2746"/>
      <c r="D13" s="2747"/>
      <c r="E13" s="2746"/>
      <c r="F13" s="1667"/>
      <c r="G13" s="1667"/>
      <c r="H13" s="1667"/>
      <c r="I13" s="1667"/>
      <c r="J13" s="1667"/>
      <c r="K13" s="1667"/>
      <c r="L13" s="1667"/>
      <c r="M13" s="1667"/>
      <c r="N13" s="1667"/>
      <c r="O13" s="1667"/>
      <c r="P13" s="1667"/>
      <c r="Q13" s="1667"/>
      <c r="R13" s="1667"/>
      <c r="S13" s="2743"/>
      <c r="V13" s="468"/>
    </row>
    <row r="14" spans="1:22" x14ac:dyDescent="0.25">
      <c r="A14" s="2740"/>
      <c r="B14" s="2748"/>
      <c r="C14" s="2746"/>
      <c r="D14" s="2747"/>
      <c r="E14" s="2746"/>
      <c r="F14" s="1667"/>
      <c r="G14" s="1667"/>
      <c r="H14" s="1667"/>
      <c r="I14" s="1667"/>
      <c r="J14" s="1667"/>
      <c r="K14" s="1667"/>
      <c r="L14" s="1667"/>
      <c r="M14" s="1667"/>
      <c r="N14" s="1667"/>
      <c r="O14" s="1667"/>
      <c r="P14" s="1667"/>
      <c r="Q14" s="1667"/>
      <c r="R14" s="1667"/>
      <c r="S14" s="2743"/>
    </row>
    <row r="15" spans="1:22" x14ac:dyDescent="0.25">
      <c r="A15" s="2740"/>
      <c r="B15" s="2749" t="s">
        <v>4273</v>
      </c>
      <c r="C15" s="2749"/>
      <c r="D15" s="2749"/>
      <c r="E15" s="2749"/>
      <c r="F15" s="2749"/>
      <c r="G15" s="2749"/>
      <c r="H15" s="2750"/>
      <c r="I15" s="2747"/>
      <c r="J15" s="2747"/>
      <c r="K15" s="2747"/>
      <c r="L15" s="2747"/>
      <c r="M15" s="2747"/>
      <c r="N15" s="2747"/>
      <c r="O15" s="2747"/>
      <c r="P15" s="2747"/>
      <c r="Q15" s="2747"/>
      <c r="R15" s="2747"/>
      <c r="S15" s="2743"/>
    </row>
    <row r="16" spans="1:22" x14ac:dyDescent="0.25">
      <c r="A16" s="2740"/>
      <c r="B16" s="1667"/>
      <c r="C16" s="1667"/>
      <c r="D16" s="1667"/>
      <c r="E16" s="1667"/>
      <c r="F16" s="1667"/>
      <c r="G16" s="1667"/>
      <c r="H16" s="1667"/>
      <c r="I16" s="1667"/>
      <c r="J16" s="1667"/>
      <c r="K16" s="1667"/>
      <c r="L16" s="1667"/>
      <c r="M16" s="1667"/>
      <c r="N16" s="1667"/>
      <c r="O16" s="1667"/>
      <c r="P16" s="1667"/>
      <c r="Q16" s="1667"/>
      <c r="R16" s="1667"/>
      <c r="S16" s="2743"/>
    </row>
    <row r="17" spans="1:19" x14ac:dyDescent="0.25">
      <c r="A17" s="2740"/>
      <c r="B17" s="4961" t="s">
        <v>4269</v>
      </c>
      <c r="C17" s="4942" t="s">
        <v>4270</v>
      </c>
      <c r="D17" s="2728" t="s">
        <v>1961</v>
      </c>
      <c r="E17" s="2728" t="s">
        <v>1962</v>
      </c>
      <c r="F17" s="2728" t="s">
        <v>1963</v>
      </c>
      <c r="G17" s="2728" t="s">
        <v>2001</v>
      </c>
      <c r="H17" s="2728" t="s">
        <v>2002</v>
      </c>
      <c r="I17" s="2728" t="s">
        <v>2003</v>
      </c>
      <c r="J17" s="2728" t="s">
        <v>2004</v>
      </c>
      <c r="K17" s="2728" t="s">
        <v>2005</v>
      </c>
      <c r="L17" s="2728" t="s">
        <v>2006</v>
      </c>
      <c r="M17" s="2728" t="s">
        <v>2007</v>
      </c>
      <c r="N17" s="2728" t="s">
        <v>2008</v>
      </c>
      <c r="O17" s="2728" t="s">
        <v>2009</v>
      </c>
      <c r="P17" s="2728" t="s">
        <v>2010</v>
      </c>
      <c r="Q17" s="2728" t="s">
        <v>2011</v>
      </c>
      <c r="R17" s="2729" t="s">
        <v>2012</v>
      </c>
      <c r="S17" s="2743"/>
    </row>
    <row r="18" spans="1:19" x14ac:dyDescent="0.25">
      <c r="A18" s="2740"/>
      <c r="B18" s="4964"/>
      <c r="C18" s="4945"/>
      <c r="D18" s="2730">
        <v>2020</v>
      </c>
      <c r="E18" s="2730">
        <f>+D18+1</f>
        <v>2021</v>
      </c>
      <c r="F18" s="2730">
        <f t="shared" ref="F18:R18" si="3">+E18+1</f>
        <v>2022</v>
      </c>
      <c r="G18" s="2730">
        <f t="shared" si="3"/>
        <v>2023</v>
      </c>
      <c r="H18" s="2730">
        <f t="shared" si="3"/>
        <v>2024</v>
      </c>
      <c r="I18" s="2730">
        <f t="shared" si="3"/>
        <v>2025</v>
      </c>
      <c r="J18" s="2730">
        <f t="shared" si="3"/>
        <v>2026</v>
      </c>
      <c r="K18" s="2730">
        <f t="shared" si="3"/>
        <v>2027</v>
      </c>
      <c r="L18" s="2730">
        <f t="shared" si="3"/>
        <v>2028</v>
      </c>
      <c r="M18" s="2730">
        <f t="shared" si="3"/>
        <v>2029</v>
      </c>
      <c r="N18" s="2730">
        <f t="shared" si="3"/>
        <v>2030</v>
      </c>
      <c r="O18" s="2730">
        <f t="shared" si="3"/>
        <v>2031</v>
      </c>
      <c r="P18" s="2730">
        <f t="shared" si="3"/>
        <v>2032</v>
      </c>
      <c r="Q18" s="2730">
        <f t="shared" si="3"/>
        <v>2033</v>
      </c>
      <c r="R18" s="2731">
        <f t="shared" si="3"/>
        <v>2034</v>
      </c>
      <c r="S18" s="2743"/>
    </row>
    <row r="19" spans="1:19" x14ac:dyDescent="0.25">
      <c r="A19" s="2740"/>
      <c r="B19" s="2707" t="s">
        <v>3902</v>
      </c>
      <c r="C19" s="2705" t="s">
        <v>4274</v>
      </c>
      <c r="D19" s="2706">
        <f>+F170</f>
        <v>0</v>
      </c>
      <c r="E19" s="2706">
        <f t="shared" ref="E19:R19" si="4">+G170</f>
        <v>0</v>
      </c>
      <c r="F19" s="2706">
        <f t="shared" si="4"/>
        <v>0</v>
      </c>
      <c r="G19" s="2706">
        <f t="shared" si="4"/>
        <v>0</v>
      </c>
      <c r="H19" s="2706">
        <f t="shared" si="4"/>
        <v>539.73670000000004</v>
      </c>
      <c r="I19" s="2706">
        <f t="shared" si="4"/>
        <v>0</v>
      </c>
      <c r="J19" s="2706">
        <f t="shared" si="4"/>
        <v>0</v>
      </c>
      <c r="K19" s="2706">
        <f t="shared" si="4"/>
        <v>0</v>
      </c>
      <c r="L19" s="2706">
        <f t="shared" si="4"/>
        <v>588505.94999999995</v>
      </c>
      <c r="M19" s="2706">
        <f t="shared" si="4"/>
        <v>2856.1617000000001</v>
      </c>
      <c r="N19" s="2706">
        <f t="shared" si="4"/>
        <v>0</v>
      </c>
      <c r="O19" s="2706">
        <f t="shared" si="4"/>
        <v>0</v>
      </c>
      <c r="P19" s="2706">
        <f t="shared" si="4"/>
        <v>0</v>
      </c>
      <c r="Q19" s="2706">
        <f t="shared" si="4"/>
        <v>6290378.7975000003</v>
      </c>
      <c r="R19" s="2706">
        <f t="shared" si="4"/>
        <v>178825.52670000002</v>
      </c>
      <c r="S19" s="2743"/>
    </row>
    <row r="20" spans="1:19" x14ac:dyDescent="0.25">
      <c r="A20" s="2740"/>
      <c r="B20" s="1667"/>
      <c r="C20" s="2708" t="s">
        <v>0</v>
      </c>
      <c r="D20" s="2709">
        <f>F170</f>
        <v>0</v>
      </c>
      <c r="E20" s="2709">
        <f t="shared" ref="E20:R20" si="5">G170</f>
        <v>0</v>
      </c>
      <c r="F20" s="2709">
        <f t="shared" si="5"/>
        <v>0</v>
      </c>
      <c r="G20" s="2709">
        <f t="shared" si="5"/>
        <v>0</v>
      </c>
      <c r="H20" s="2709">
        <f t="shared" si="5"/>
        <v>539.73670000000004</v>
      </c>
      <c r="I20" s="2709">
        <f t="shared" si="5"/>
        <v>0</v>
      </c>
      <c r="J20" s="2709">
        <f t="shared" si="5"/>
        <v>0</v>
      </c>
      <c r="K20" s="2709">
        <f t="shared" si="5"/>
        <v>0</v>
      </c>
      <c r="L20" s="2709">
        <f t="shared" si="5"/>
        <v>588505.94999999995</v>
      </c>
      <c r="M20" s="2709">
        <f t="shared" si="5"/>
        <v>2856.1617000000001</v>
      </c>
      <c r="N20" s="2709">
        <f t="shared" si="5"/>
        <v>0</v>
      </c>
      <c r="O20" s="2709">
        <f t="shared" si="5"/>
        <v>0</v>
      </c>
      <c r="P20" s="2709">
        <f t="shared" si="5"/>
        <v>0</v>
      </c>
      <c r="Q20" s="2709">
        <f t="shared" si="5"/>
        <v>6290378.7975000003</v>
      </c>
      <c r="R20" s="2709">
        <f t="shared" si="5"/>
        <v>178825.52670000002</v>
      </c>
      <c r="S20" s="2743"/>
    </row>
    <row r="21" spans="1:19" x14ac:dyDescent="0.25">
      <c r="A21" s="2740"/>
      <c r="B21" s="1667"/>
      <c r="C21" s="1667"/>
      <c r="D21" s="1667"/>
      <c r="E21" s="1667"/>
      <c r="F21" s="1667"/>
      <c r="G21" s="1667"/>
      <c r="H21" s="1667"/>
      <c r="I21" s="1667"/>
      <c r="J21" s="1667"/>
      <c r="K21" s="1667"/>
      <c r="L21" s="1667"/>
      <c r="M21" s="1667"/>
      <c r="N21" s="1667"/>
      <c r="O21" s="1667"/>
      <c r="P21" s="1667"/>
      <c r="Q21" s="1667"/>
      <c r="R21" s="1667"/>
      <c r="S21" s="2743"/>
    </row>
    <row r="22" spans="1:19" x14ac:dyDescent="0.25">
      <c r="A22" s="2740"/>
      <c r="B22" s="1667"/>
      <c r="C22" s="1667"/>
      <c r="D22" s="1667"/>
      <c r="E22" s="1667"/>
      <c r="F22" s="1667"/>
      <c r="G22" s="1667"/>
      <c r="H22" s="1667"/>
      <c r="I22" s="1667"/>
      <c r="J22" s="1667"/>
      <c r="K22" s="1667"/>
      <c r="L22" s="1667"/>
      <c r="M22" s="1667"/>
      <c r="N22" s="1667"/>
      <c r="O22" s="1667"/>
      <c r="P22" s="1667"/>
      <c r="Q22" s="1667"/>
      <c r="R22" s="1667"/>
      <c r="S22" s="2743"/>
    </row>
    <row r="23" spans="1:19" x14ac:dyDescent="0.25">
      <c r="A23" s="2740"/>
      <c r="B23" s="4936" t="s">
        <v>150</v>
      </c>
      <c r="C23" s="4937"/>
      <c r="D23" s="2754">
        <f>SUM(D10:D11,D19)</f>
        <v>421.500111</v>
      </c>
      <c r="E23" s="2754">
        <f t="shared" ref="E23:R23" si="6">SUM(E10:E11,E19)</f>
        <v>421.500111</v>
      </c>
      <c r="F23" s="2754">
        <f t="shared" si="6"/>
        <v>1539.3874470000001</v>
      </c>
      <c r="G23" s="2754">
        <f t="shared" si="6"/>
        <v>421.500111</v>
      </c>
      <c r="H23" s="2754">
        <f t="shared" si="6"/>
        <v>230859.21023500001</v>
      </c>
      <c r="I23" s="2754">
        <f t="shared" si="6"/>
        <v>245716.416172</v>
      </c>
      <c r="J23" s="2754">
        <f t="shared" si="6"/>
        <v>700748.35663599998</v>
      </c>
      <c r="K23" s="2754">
        <f t="shared" si="6"/>
        <v>230335.66563599999</v>
      </c>
      <c r="L23" s="2754">
        <f t="shared" si="6"/>
        <v>801371.75113600004</v>
      </c>
      <c r="M23" s="2754">
        <f t="shared" si="6"/>
        <v>703185.31058500009</v>
      </c>
      <c r="N23" s="2754">
        <f t="shared" si="6"/>
        <v>230378.844572</v>
      </c>
      <c r="O23" s="2754">
        <f t="shared" si="6"/>
        <v>244598.52883599998</v>
      </c>
      <c r="P23" s="2754">
        <f t="shared" si="6"/>
        <v>701823.06503599999</v>
      </c>
      <c r="Q23" s="2754">
        <f t="shared" si="6"/>
        <v>6344352.8829470007</v>
      </c>
      <c r="R23" s="2754">
        <f t="shared" si="6"/>
        <v>403796.42653499998</v>
      </c>
      <c r="S23" s="2743"/>
    </row>
    <row r="24" spans="1:19" x14ac:dyDescent="0.25">
      <c r="A24" s="2740"/>
      <c r="B24" s="1667"/>
      <c r="C24" s="1667"/>
      <c r="D24" s="1667"/>
      <c r="E24" s="1667"/>
      <c r="F24" s="1667"/>
      <c r="G24" s="1667"/>
      <c r="H24" s="1667"/>
      <c r="I24" s="1667"/>
      <c r="J24" s="1667"/>
      <c r="K24" s="1667"/>
      <c r="L24" s="1667"/>
      <c r="M24" s="1667"/>
      <c r="N24" s="1667"/>
      <c r="O24" s="1667"/>
      <c r="P24" s="1667"/>
      <c r="Q24" s="1667"/>
      <c r="R24" s="1667"/>
      <c r="S24" s="2743"/>
    </row>
    <row r="25" spans="1:19" ht="15.75" thickBot="1" x14ac:dyDescent="0.3">
      <c r="A25" s="2751"/>
      <c r="B25" s="2752"/>
      <c r="C25" s="2752"/>
      <c r="D25" s="2752"/>
      <c r="E25" s="2752"/>
      <c r="F25" s="2752"/>
      <c r="G25" s="2752"/>
      <c r="H25" s="2752"/>
      <c r="I25" s="2752"/>
      <c r="J25" s="2752"/>
      <c r="K25" s="2752"/>
      <c r="L25" s="2752"/>
      <c r="M25" s="2752"/>
      <c r="N25" s="2752"/>
      <c r="O25" s="2752"/>
      <c r="P25" s="2752"/>
      <c r="Q25" s="2752"/>
      <c r="R25" s="2752"/>
      <c r="S25" s="2753"/>
    </row>
    <row r="29" spans="1:19" x14ac:dyDescent="0.25">
      <c r="B29" s="4949" t="s">
        <v>4275</v>
      </c>
      <c r="C29" s="4949"/>
      <c r="D29" s="4949"/>
      <c r="E29" s="4949"/>
      <c r="F29" s="4949"/>
      <c r="G29" s="4949"/>
      <c r="H29" s="4949"/>
    </row>
    <row r="31" spans="1:19" ht="57" customHeight="1" x14ac:dyDescent="0.25">
      <c r="B31" s="2732" t="s">
        <v>4269</v>
      </c>
      <c r="C31" s="2733" t="s">
        <v>4276</v>
      </c>
      <c r="D31" s="2733" t="s">
        <v>4277</v>
      </c>
      <c r="E31" s="2734" t="s">
        <v>4278</v>
      </c>
      <c r="F31" s="2735" t="s">
        <v>4279</v>
      </c>
    </row>
    <row r="32" spans="1:19" x14ac:dyDescent="0.25">
      <c r="B32" s="2755" t="str">
        <f>'26.3b Costo EQUI Recup'!C34</f>
        <v>EQUIPOS BIOMÉDICOS</v>
      </c>
      <c r="C32" s="2756">
        <f>'26.3b Costo EQUI Recup'!E34</f>
        <v>3</v>
      </c>
      <c r="D32" s="3324">
        <f>'26.3b Costo EQUI Recup'!G34</f>
        <v>1781.1000000000001</v>
      </c>
      <c r="E32" s="2757">
        <v>0.03</v>
      </c>
      <c r="F32" s="2758">
        <v>5</v>
      </c>
    </row>
    <row r="33" spans="2:22" x14ac:dyDescent="0.25">
      <c r="B33" s="2755" t="str">
        <f>'26.3b Costo EQUI Recup'!C35</f>
        <v>EQUIPOS COMPLEMENTARIOS</v>
      </c>
      <c r="C33" s="2756">
        <f>'26.3b Costo EQUI Recup'!E35</f>
        <v>2</v>
      </c>
      <c r="D33" s="3324">
        <f>'26.3b Costo EQUI Recup'!G35</f>
        <v>34</v>
      </c>
      <c r="E33" s="2757">
        <v>0.03</v>
      </c>
      <c r="F33" s="2758">
        <v>5</v>
      </c>
    </row>
    <row r="34" spans="2:22" x14ac:dyDescent="0.25">
      <c r="B34" s="2755" t="str">
        <f>'26.3b Costo EQUI Recup'!C36</f>
        <v>EQUIPOS ELECTROMECÁNICOS</v>
      </c>
      <c r="C34" s="2756">
        <f>'26.3b Costo EQUI Recup'!E36</f>
        <v>4</v>
      </c>
      <c r="D34" s="3324">
        <f>'26.3b Costo EQUI Recup'!G36</f>
        <v>535.32500000000016</v>
      </c>
      <c r="E34" s="2757">
        <v>0.03</v>
      </c>
      <c r="F34" s="2758">
        <v>5</v>
      </c>
    </row>
    <row r="35" spans="2:22" x14ac:dyDescent="0.25">
      <c r="B35" s="2755" t="str">
        <f>'26.3b Costo EQUI Recup'!C37</f>
        <v>EQUIPOS INFORMÁTICOS</v>
      </c>
      <c r="C35" s="2756">
        <f>'26.3b Costo EQUI Recup'!E37</f>
        <v>5</v>
      </c>
      <c r="D35" s="3324">
        <f>'26.3b Costo EQUI Recup'!G37</f>
        <v>505.73670000000004</v>
      </c>
      <c r="E35" s="2757">
        <v>0.03</v>
      </c>
      <c r="F35" s="2758">
        <v>5</v>
      </c>
    </row>
    <row r="36" spans="2:22" x14ac:dyDescent="0.25">
      <c r="B36" s="2755" t="str">
        <f>'26.3b Costo EQUI Recup'!C38</f>
        <v>INSTRUMENTAL</v>
      </c>
      <c r="C36" s="2756">
        <f>'26.3b Costo EQUI Recup'!E38</f>
        <v>0</v>
      </c>
      <c r="D36" s="3324">
        <f>'26.3b Costo EQUI Recup'!G38</f>
        <v>0</v>
      </c>
      <c r="E36" s="2757"/>
      <c r="F36" s="2758"/>
    </row>
    <row r="37" spans="2:22" x14ac:dyDescent="0.25">
      <c r="B37" s="2755" t="str">
        <f>'26.3b Costo EQUI Recup'!C39</f>
        <v>MOBILIARIO ADMINISTRATIVO</v>
      </c>
      <c r="C37" s="2756">
        <f>'26.3b Costo EQUI Recup'!E39</f>
        <v>7</v>
      </c>
      <c r="D37" s="3324">
        <f>'26.3b Costo EQUI Recup'!G39</f>
        <v>37.26</v>
      </c>
      <c r="E37" s="2757"/>
      <c r="F37" s="2758"/>
    </row>
    <row r="38" spans="2:22" x14ac:dyDescent="0.25">
      <c r="B38" s="2755" t="str">
        <f>'26.3b Costo EQUI Recup'!C40</f>
        <v>MOBILIARIO CLÍNICO</v>
      </c>
      <c r="C38" s="2756">
        <f>'26.3b Costo EQUI Recup'!E40</f>
        <v>4</v>
      </c>
      <c r="D38" s="3324">
        <f>'26.3b Costo EQUI Recup'!G40</f>
        <v>39.152000000000001</v>
      </c>
      <c r="E38" s="2757">
        <v>0.03</v>
      </c>
      <c r="F38" s="2758">
        <v>10</v>
      </c>
    </row>
    <row r="39" spans="2:22" x14ac:dyDescent="0.25">
      <c r="B39" s="2755" t="str">
        <f>'26.3b Costo EQUI Recup'!C41</f>
        <v>VEHÍCULOS</v>
      </c>
      <c r="C39" s="2756">
        <f>'26.3b Costo EQUI Recup'!E41</f>
        <v>1</v>
      </c>
      <c r="D39" s="3324">
        <f>'26.3b Costo EQUI Recup'!G41</f>
        <v>11117.43</v>
      </c>
      <c r="E39" s="2757"/>
      <c r="F39" s="2758"/>
    </row>
    <row r="40" spans="2:22" x14ac:dyDescent="0.25">
      <c r="B40" s="2784" t="s">
        <v>0</v>
      </c>
      <c r="C40" s="2785">
        <f>SUM(C32:C39)</f>
        <v>26</v>
      </c>
      <c r="D40" s="3325">
        <f>SUM(D32:D39)</f>
        <v>14050.003700000001</v>
      </c>
      <c r="E40" s="2759"/>
      <c r="F40" s="2759"/>
      <c r="G40" s="2760"/>
    </row>
    <row r="43" spans="2:22" x14ac:dyDescent="0.25">
      <c r="B43" s="2761" t="s">
        <v>4287</v>
      </c>
      <c r="C43" s="2761"/>
      <c r="D43" s="2761"/>
      <c r="E43" s="2761"/>
      <c r="F43" s="2761"/>
      <c r="G43" s="2761"/>
    </row>
    <row r="44" spans="2:22" x14ac:dyDescent="0.25">
      <c r="B44" s="2762"/>
      <c r="C44" s="2763"/>
      <c r="D44" s="2763"/>
      <c r="E44" s="2764"/>
      <c r="F44" s="2764"/>
    </row>
    <row r="45" spans="2:22" ht="15" customHeight="1" x14ac:dyDescent="0.25">
      <c r="B45" s="4961" t="s">
        <v>4269</v>
      </c>
      <c r="C45" s="4923" t="s">
        <v>4276</v>
      </c>
      <c r="D45" s="4923" t="s">
        <v>4277</v>
      </c>
      <c r="E45" s="4942" t="s">
        <v>4270</v>
      </c>
      <c r="F45" s="4925" t="s">
        <v>4303</v>
      </c>
      <c r="G45" s="4926"/>
      <c r="H45" s="4923" t="s">
        <v>4289</v>
      </c>
      <c r="I45" s="4923"/>
      <c r="J45" s="4923"/>
      <c r="K45" s="4923"/>
      <c r="L45" s="4923"/>
      <c r="M45" s="4923"/>
      <c r="N45" s="4923"/>
      <c r="O45" s="4923"/>
      <c r="P45" s="4923"/>
      <c r="Q45" s="4923"/>
      <c r="R45" s="4923"/>
      <c r="S45" s="4923"/>
      <c r="T45" s="4923"/>
      <c r="U45" s="4923"/>
      <c r="V45" s="4924"/>
    </row>
    <row r="46" spans="2:22" x14ac:dyDescent="0.25">
      <c r="B46" s="4962"/>
      <c r="C46" s="4946"/>
      <c r="D46" s="4946"/>
      <c r="E46" s="4943"/>
      <c r="F46" s="4927"/>
      <c r="G46" s="4928"/>
      <c r="H46" s="4920" t="s">
        <v>4288</v>
      </c>
      <c r="I46" s="4920"/>
      <c r="J46" s="4920"/>
      <c r="K46" s="4921" t="s">
        <v>4302</v>
      </c>
      <c r="L46" s="4921"/>
      <c r="M46" s="4921"/>
      <c r="N46" s="4921"/>
      <c r="O46" s="4921"/>
      <c r="P46" s="4921"/>
      <c r="Q46" s="4921"/>
      <c r="R46" s="4921"/>
      <c r="S46" s="4921"/>
      <c r="T46" s="4921"/>
      <c r="U46" s="4921"/>
      <c r="V46" s="4922"/>
    </row>
    <row r="47" spans="2:22" x14ac:dyDescent="0.25">
      <c r="B47" s="4963"/>
      <c r="C47" s="4921"/>
      <c r="D47" s="4921"/>
      <c r="E47" s="4944"/>
      <c r="F47" s="2788">
        <v>0</v>
      </c>
      <c r="G47" s="2788">
        <v>0</v>
      </c>
      <c r="H47" s="2789" t="s">
        <v>1961</v>
      </c>
      <c r="I47" s="2789" t="s">
        <v>1962</v>
      </c>
      <c r="J47" s="2789" t="s">
        <v>1963</v>
      </c>
      <c r="K47" s="2789" t="s">
        <v>2001</v>
      </c>
      <c r="L47" s="2789" t="s">
        <v>2002</v>
      </c>
      <c r="M47" s="2789" t="s">
        <v>2003</v>
      </c>
      <c r="N47" s="2789" t="s">
        <v>2004</v>
      </c>
      <c r="O47" s="2789" t="s">
        <v>2005</v>
      </c>
      <c r="P47" s="2789" t="s">
        <v>2006</v>
      </c>
      <c r="Q47" s="2789" t="s">
        <v>2007</v>
      </c>
      <c r="R47" s="2789" t="s">
        <v>2008</v>
      </c>
      <c r="S47" s="2789" t="s">
        <v>2009</v>
      </c>
      <c r="T47" s="2789" t="s">
        <v>2010</v>
      </c>
      <c r="U47" s="2789" t="s">
        <v>2011</v>
      </c>
      <c r="V47" s="2790" t="s">
        <v>2012</v>
      </c>
    </row>
    <row r="48" spans="2:22" x14ac:dyDescent="0.25">
      <c r="B48" s="4964"/>
      <c r="C48" s="4947"/>
      <c r="D48" s="4947"/>
      <c r="E48" s="4945"/>
      <c r="F48" s="2730">
        <v>2018</v>
      </c>
      <c r="G48" s="2730">
        <v>2019</v>
      </c>
      <c r="H48" s="2730">
        <v>2020</v>
      </c>
      <c r="I48" s="2730">
        <f>+H48+1</f>
        <v>2021</v>
      </c>
      <c r="J48" s="2730">
        <f t="shared" ref="J48" si="7">+I48+1</f>
        <v>2022</v>
      </c>
      <c r="K48" s="2730">
        <f t="shared" ref="K48" si="8">+J48+1</f>
        <v>2023</v>
      </c>
      <c r="L48" s="2730">
        <f t="shared" ref="L48" si="9">+K48+1</f>
        <v>2024</v>
      </c>
      <c r="M48" s="2730">
        <f t="shared" ref="M48" si="10">+L48+1</f>
        <v>2025</v>
      </c>
      <c r="N48" s="2730">
        <f t="shared" ref="N48" si="11">+M48+1</f>
        <v>2026</v>
      </c>
      <c r="O48" s="2730">
        <f t="shared" ref="O48" si="12">+N48+1</f>
        <v>2027</v>
      </c>
      <c r="P48" s="2730">
        <f t="shared" ref="P48" si="13">+O48+1</f>
        <v>2028</v>
      </c>
      <c r="Q48" s="2730">
        <f t="shared" ref="Q48" si="14">+P48+1</f>
        <v>2029</v>
      </c>
      <c r="R48" s="2730">
        <f t="shared" ref="R48" si="15">+Q48+1</f>
        <v>2030</v>
      </c>
      <c r="S48" s="2730">
        <f t="shared" ref="S48" si="16">+R48+1</f>
        <v>2031</v>
      </c>
      <c r="T48" s="2730">
        <f t="shared" ref="T48" si="17">+S48+1</f>
        <v>2032</v>
      </c>
      <c r="U48" s="2730">
        <f t="shared" ref="U48" si="18">+T48+1</f>
        <v>2033</v>
      </c>
      <c r="V48" s="2731">
        <f t="shared" ref="V48" si="19">+U48+1</f>
        <v>2034</v>
      </c>
    </row>
    <row r="49" spans="2:22" x14ac:dyDescent="0.25">
      <c r="B49" s="4929" t="str">
        <f>B32</f>
        <v>EQUIPOS BIOMÉDICOS</v>
      </c>
      <c r="C49" s="4930">
        <f>C32</f>
        <v>3</v>
      </c>
      <c r="D49" s="4965">
        <f>D32</f>
        <v>1781.1000000000001</v>
      </c>
      <c r="E49" s="2765" t="s">
        <v>4271</v>
      </c>
      <c r="F49" s="2711"/>
      <c r="G49" s="2711"/>
      <c r="H49" s="2711">
        <v>0.03</v>
      </c>
      <c r="I49" s="2711">
        <v>0.03</v>
      </c>
      <c r="J49" s="2711">
        <v>0.03</v>
      </c>
      <c r="K49" s="2711">
        <v>0.03</v>
      </c>
      <c r="L49" s="2711">
        <v>0.03</v>
      </c>
      <c r="M49" s="2711">
        <v>0.03</v>
      </c>
      <c r="N49" s="2711">
        <v>0.03</v>
      </c>
      <c r="O49" s="2711">
        <v>0.03</v>
      </c>
      <c r="P49" s="2711">
        <v>0.03</v>
      </c>
      <c r="Q49" s="2711"/>
      <c r="R49" s="2711">
        <v>0.03</v>
      </c>
      <c r="S49" s="2711">
        <v>0.03</v>
      </c>
      <c r="T49" s="2711">
        <v>0.03</v>
      </c>
      <c r="U49" s="2711">
        <v>0.03</v>
      </c>
      <c r="V49" s="2711">
        <v>0.03</v>
      </c>
    </row>
    <row r="50" spans="2:22" x14ac:dyDescent="0.25">
      <c r="B50" s="4929"/>
      <c r="C50" s="4930"/>
      <c r="D50" s="4965"/>
      <c r="E50" s="2765" t="s">
        <v>4272</v>
      </c>
      <c r="F50" s="2765"/>
      <c r="G50" s="2765"/>
      <c r="H50" s="2722"/>
      <c r="I50" s="2711"/>
      <c r="J50" s="2711">
        <v>0.08</v>
      </c>
      <c r="K50" s="2722"/>
      <c r="L50" s="2711"/>
      <c r="M50" s="2711">
        <v>0.08</v>
      </c>
      <c r="N50" s="2717"/>
      <c r="O50" s="2711"/>
      <c r="P50" s="2711">
        <v>0.08</v>
      </c>
      <c r="Q50" s="2711"/>
      <c r="R50" s="2711"/>
      <c r="S50" s="2711"/>
      <c r="T50" s="2711">
        <v>0.08</v>
      </c>
      <c r="U50" s="2722"/>
      <c r="V50" s="2711"/>
    </row>
    <row r="51" spans="2:22" x14ac:dyDescent="0.25">
      <c r="B51" s="4929"/>
      <c r="C51" s="4930"/>
      <c r="D51" s="4965"/>
      <c r="E51" s="2765" t="s">
        <v>4290</v>
      </c>
      <c r="F51" s="2765"/>
      <c r="G51" s="2765"/>
      <c r="H51" s="2716"/>
      <c r="I51" s="2716"/>
      <c r="J51" s="2722"/>
      <c r="K51" s="2717"/>
      <c r="L51" s="2711"/>
      <c r="M51" s="2717"/>
      <c r="N51" s="2711"/>
      <c r="O51" s="2711"/>
      <c r="P51" s="2722"/>
      <c r="Q51" s="2766">
        <v>1</v>
      </c>
      <c r="R51" s="2711"/>
      <c r="S51" s="2711"/>
      <c r="T51" s="2711"/>
      <c r="U51" s="2711"/>
      <c r="V51" s="2711"/>
    </row>
    <row r="52" spans="2:22" x14ac:dyDescent="0.25">
      <c r="B52" s="4948" t="str">
        <f>B33</f>
        <v>EQUIPOS COMPLEMENTARIOS</v>
      </c>
      <c r="C52" s="4930">
        <f>C33</f>
        <v>2</v>
      </c>
      <c r="D52" s="4965">
        <f>D33</f>
        <v>34</v>
      </c>
      <c r="E52" s="2765" t="s">
        <v>4271</v>
      </c>
      <c r="F52" s="2711"/>
      <c r="G52" s="2711"/>
      <c r="H52" s="2711">
        <v>0.03</v>
      </c>
      <c r="I52" s="2711">
        <v>0.03</v>
      </c>
      <c r="J52" s="2711">
        <v>0.03</v>
      </c>
      <c r="K52" s="2711">
        <v>0.03</v>
      </c>
      <c r="L52" s="2711"/>
      <c r="M52" s="2711">
        <v>0.03</v>
      </c>
      <c r="N52" s="2711">
        <v>0.03</v>
      </c>
      <c r="O52" s="2711">
        <v>0.03</v>
      </c>
      <c r="P52" s="2711">
        <v>0.03</v>
      </c>
      <c r="Q52" s="2711"/>
      <c r="R52" s="2711">
        <v>0.03</v>
      </c>
      <c r="S52" s="2711">
        <v>0.03</v>
      </c>
      <c r="T52" s="2711">
        <v>0.03</v>
      </c>
      <c r="U52" s="2711">
        <v>0.03</v>
      </c>
      <c r="V52" s="2711"/>
    </row>
    <row r="53" spans="2:22" x14ac:dyDescent="0.25">
      <c r="B53" s="4948"/>
      <c r="C53" s="4930"/>
      <c r="D53" s="4965"/>
      <c r="E53" s="2765" t="s">
        <v>4272</v>
      </c>
      <c r="F53" s="2765"/>
      <c r="G53" s="2765"/>
      <c r="H53" s="2722"/>
      <c r="I53" s="2711"/>
      <c r="J53" s="2711">
        <v>0.08</v>
      </c>
      <c r="K53" s="2722"/>
      <c r="L53" s="2711"/>
      <c r="M53" s="2711">
        <v>0.08</v>
      </c>
      <c r="N53" s="2717"/>
      <c r="O53" s="2711"/>
      <c r="P53" s="2711"/>
      <c r="Q53" s="2711"/>
      <c r="R53" s="2711">
        <v>0.08</v>
      </c>
      <c r="S53" s="2711"/>
      <c r="T53" s="2713"/>
      <c r="U53" s="2711">
        <v>0.08</v>
      </c>
      <c r="V53" s="2711"/>
    </row>
    <row r="54" spans="2:22" x14ac:dyDescent="0.25">
      <c r="B54" s="4948"/>
      <c r="C54" s="4930"/>
      <c r="D54" s="4965"/>
      <c r="E54" s="2765" t="s">
        <v>4290</v>
      </c>
      <c r="F54" s="2765"/>
      <c r="G54" s="2765"/>
      <c r="H54" s="2716"/>
      <c r="I54" s="2716"/>
      <c r="J54" s="2722"/>
      <c r="K54" s="2717"/>
      <c r="L54" s="2711">
        <v>1</v>
      </c>
      <c r="M54" s="2711"/>
      <c r="N54" s="2711"/>
      <c r="O54" s="2711"/>
      <c r="P54" s="2722"/>
      <c r="Q54" s="2711">
        <v>1</v>
      </c>
      <c r="R54" s="2711"/>
      <c r="S54" s="2711"/>
      <c r="T54" s="2711"/>
      <c r="U54" s="2711"/>
      <c r="V54" s="2711">
        <v>1</v>
      </c>
    </row>
    <row r="55" spans="2:22" ht="26.25" customHeight="1" x14ac:dyDescent="0.25">
      <c r="B55" s="4948" t="str">
        <f>B34</f>
        <v>EQUIPOS ELECTROMECÁNICOS</v>
      </c>
      <c r="C55" s="4930">
        <f>C34</f>
        <v>4</v>
      </c>
      <c r="D55" s="4965">
        <f>D34</f>
        <v>535.32500000000016</v>
      </c>
      <c r="E55" s="2765" t="s">
        <v>4271</v>
      </c>
      <c r="F55" s="2711"/>
      <c r="G55" s="2711"/>
      <c r="H55" s="2711">
        <v>0.03</v>
      </c>
      <c r="I55" s="2711">
        <v>0.03</v>
      </c>
      <c r="J55" s="2711">
        <v>0.03</v>
      </c>
      <c r="K55" s="2711">
        <v>0.03</v>
      </c>
      <c r="L55" s="2711">
        <v>0.03</v>
      </c>
      <c r="M55" s="2711">
        <v>0.03</v>
      </c>
      <c r="N55" s="2711">
        <v>0.03</v>
      </c>
      <c r="O55" s="2711">
        <v>0.03</v>
      </c>
      <c r="P55" s="2711">
        <v>0.03</v>
      </c>
      <c r="Q55" s="2711"/>
      <c r="R55" s="2711">
        <v>0.03</v>
      </c>
      <c r="S55" s="2711">
        <v>0.03</v>
      </c>
      <c r="T55" s="2711">
        <v>0.03</v>
      </c>
      <c r="U55" s="2711">
        <v>0.03</v>
      </c>
      <c r="V55" s="2711">
        <v>0.03</v>
      </c>
    </row>
    <row r="56" spans="2:22" x14ac:dyDescent="0.25">
      <c r="B56" s="4948"/>
      <c r="C56" s="4930"/>
      <c r="D56" s="4965"/>
      <c r="E56" s="2765" t="s">
        <v>4272</v>
      </c>
      <c r="F56" s="2765"/>
      <c r="G56" s="2765"/>
      <c r="H56" s="2722"/>
      <c r="I56" s="2711"/>
      <c r="J56" s="2711">
        <v>0.08</v>
      </c>
      <c r="K56" s="2722"/>
      <c r="L56" s="2711"/>
      <c r="M56" s="2711">
        <v>0.08</v>
      </c>
      <c r="N56" s="2717"/>
      <c r="O56" s="2711"/>
      <c r="P56" s="2711">
        <v>0.08</v>
      </c>
      <c r="Q56" s="2711"/>
      <c r="R56" s="2711"/>
      <c r="S56" s="2711"/>
      <c r="T56" s="2711">
        <v>0.08</v>
      </c>
      <c r="U56" s="2722"/>
      <c r="V56" s="2711"/>
    </row>
    <row r="57" spans="2:22" x14ac:dyDescent="0.25">
      <c r="B57" s="4948"/>
      <c r="C57" s="4930"/>
      <c r="D57" s="4965"/>
      <c r="E57" s="2765" t="s">
        <v>4290</v>
      </c>
      <c r="F57" s="2765"/>
      <c r="G57" s="2765"/>
      <c r="H57" s="2716"/>
      <c r="I57" s="2716"/>
      <c r="J57" s="2722"/>
      <c r="K57" s="2717"/>
      <c r="L57" s="2711"/>
      <c r="M57" s="2717"/>
      <c r="N57" s="2711"/>
      <c r="O57" s="2711"/>
      <c r="P57" s="2722"/>
      <c r="Q57" s="2766">
        <v>1</v>
      </c>
      <c r="R57" s="2711"/>
      <c r="S57" s="2711"/>
      <c r="T57" s="2711"/>
      <c r="U57" s="2711"/>
      <c r="V57" s="2711"/>
    </row>
    <row r="58" spans="2:22" x14ac:dyDescent="0.25">
      <c r="B58" s="4948" t="str">
        <f>B35</f>
        <v>EQUIPOS INFORMÁTICOS</v>
      </c>
      <c r="C58" s="4948">
        <f>C35</f>
        <v>5</v>
      </c>
      <c r="D58" s="4960">
        <f>D35</f>
        <v>505.73670000000004</v>
      </c>
      <c r="E58" s="2765" t="s">
        <v>4271</v>
      </c>
      <c r="F58" s="2711"/>
      <c r="G58" s="2711"/>
      <c r="H58" s="2711">
        <v>0.03</v>
      </c>
      <c r="I58" s="2711">
        <v>0.03</v>
      </c>
      <c r="J58" s="2711">
        <v>0.03</v>
      </c>
      <c r="K58" s="2711">
        <v>0.03</v>
      </c>
      <c r="L58" s="2711"/>
      <c r="M58" s="2711">
        <v>0.03</v>
      </c>
      <c r="N58" s="2711">
        <v>0.03</v>
      </c>
      <c r="O58" s="2711">
        <v>0.03</v>
      </c>
      <c r="P58" s="2711">
        <v>0.03</v>
      </c>
      <c r="Q58" s="2711"/>
      <c r="R58" s="2711">
        <v>0.03</v>
      </c>
      <c r="S58" s="2711">
        <v>0.03</v>
      </c>
      <c r="T58" s="2711">
        <v>0.03</v>
      </c>
      <c r="U58" s="2711">
        <v>0.03</v>
      </c>
      <c r="V58" s="2711"/>
    </row>
    <row r="59" spans="2:22" x14ac:dyDescent="0.25">
      <c r="B59" s="4948"/>
      <c r="C59" s="4948"/>
      <c r="D59" s="4960"/>
      <c r="E59" s="2765" t="s">
        <v>4272</v>
      </c>
      <c r="F59" s="2765"/>
      <c r="G59" s="2765"/>
      <c r="H59" s="2722"/>
      <c r="I59" s="2711"/>
      <c r="J59" s="2711">
        <v>0.08</v>
      </c>
      <c r="K59" s="2722"/>
      <c r="L59" s="2711"/>
      <c r="M59" s="2711">
        <v>0.08</v>
      </c>
      <c r="N59" s="2717"/>
      <c r="O59" s="2711"/>
      <c r="P59" s="2711"/>
      <c r="Q59" s="2711"/>
      <c r="R59" s="2711">
        <v>0.08</v>
      </c>
      <c r="S59" s="2711"/>
      <c r="T59" s="2713"/>
      <c r="U59" s="2711">
        <v>0.08</v>
      </c>
      <c r="V59" s="2711"/>
    </row>
    <row r="60" spans="2:22" x14ac:dyDescent="0.25">
      <c r="B60" s="4948"/>
      <c r="C60" s="4948"/>
      <c r="D60" s="4960"/>
      <c r="E60" s="2765" t="s">
        <v>4290</v>
      </c>
      <c r="F60" s="2765"/>
      <c r="G60" s="2765"/>
      <c r="H60" s="2716"/>
      <c r="I60" s="2716"/>
      <c r="J60" s="2722"/>
      <c r="K60" s="2717"/>
      <c r="L60" s="2711">
        <v>1</v>
      </c>
      <c r="M60" s="2711"/>
      <c r="N60" s="2711"/>
      <c r="O60" s="2711"/>
      <c r="P60" s="2722"/>
      <c r="Q60" s="2711">
        <v>1</v>
      </c>
      <c r="R60" s="2711"/>
      <c r="S60" s="2711"/>
      <c r="T60" s="2711"/>
      <c r="U60" s="2711"/>
      <c r="V60" s="2711">
        <v>1</v>
      </c>
    </row>
    <row r="61" spans="2:22" x14ac:dyDescent="0.25">
      <c r="B61" s="2721" t="str">
        <f>B37</f>
        <v>MOBILIARIO ADMINISTRATIVO</v>
      </c>
      <c r="C61" s="2722">
        <v>7</v>
      </c>
      <c r="D61" s="3326">
        <f>D37</f>
        <v>37.26</v>
      </c>
      <c r="E61" s="2765" t="s">
        <v>4271</v>
      </c>
      <c r="F61" s="2719"/>
      <c r="G61" s="2719"/>
      <c r="H61" s="2719">
        <v>0.03</v>
      </c>
      <c r="I61" s="2719">
        <v>0.03</v>
      </c>
      <c r="J61" s="2719">
        <v>0.03</v>
      </c>
      <c r="K61" s="2719">
        <v>0.03</v>
      </c>
      <c r="L61" s="2719">
        <v>0.03</v>
      </c>
      <c r="M61" s="2719">
        <v>0.03</v>
      </c>
      <c r="N61" s="2719">
        <v>0.03</v>
      </c>
      <c r="O61" s="2719">
        <v>0.03</v>
      </c>
      <c r="P61" s="2719">
        <v>0.03</v>
      </c>
      <c r="Q61" s="2719">
        <v>0.03</v>
      </c>
      <c r="R61" s="2719">
        <v>0.03</v>
      </c>
      <c r="S61" s="2719">
        <v>0.03</v>
      </c>
      <c r="T61" s="2719">
        <v>0.03</v>
      </c>
      <c r="U61" s="2719">
        <v>0.03</v>
      </c>
      <c r="V61" s="2719">
        <v>0.03</v>
      </c>
    </row>
    <row r="62" spans="2:22" x14ac:dyDescent="0.25">
      <c r="B62" s="2721" t="str">
        <f>B38</f>
        <v>MOBILIARIO CLÍNICO</v>
      </c>
      <c r="C62" s="2722">
        <v>4</v>
      </c>
      <c r="D62" s="3326">
        <f>D38</f>
        <v>39.152000000000001</v>
      </c>
      <c r="E62" s="2765" t="s">
        <v>4271</v>
      </c>
      <c r="F62" s="2719"/>
      <c r="G62" s="2719"/>
      <c r="H62" s="2719">
        <v>0.03</v>
      </c>
      <c r="I62" s="2719">
        <v>0.03</v>
      </c>
      <c r="J62" s="2719">
        <v>0.03</v>
      </c>
      <c r="K62" s="2719">
        <v>0.03</v>
      </c>
      <c r="L62" s="2719">
        <v>0.03</v>
      </c>
      <c r="M62" s="2719">
        <v>0.03</v>
      </c>
      <c r="N62" s="2719">
        <v>0.03</v>
      </c>
      <c r="O62" s="2719">
        <v>0.03</v>
      </c>
      <c r="P62" s="2719">
        <v>0.03</v>
      </c>
      <c r="Q62" s="2719">
        <v>0.03</v>
      </c>
      <c r="R62" s="2719">
        <v>0.03</v>
      </c>
      <c r="S62" s="2719">
        <v>0.03</v>
      </c>
      <c r="T62" s="2719">
        <v>0.03</v>
      </c>
      <c r="U62" s="2719">
        <v>0.03</v>
      </c>
      <c r="V62" s="2719">
        <v>0.03</v>
      </c>
    </row>
    <row r="63" spans="2:22" x14ac:dyDescent="0.25">
      <c r="B63" s="4948" t="s">
        <v>4286</v>
      </c>
      <c r="C63" s="4948">
        <f>C39</f>
        <v>1</v>
      </c>
      <c r="D63" s="4960">
        <f>D39</f>
        <v>11117.43</v>
      </c>
      <c r="E63" s="2765" t="s">
        <v>4271</v>
      </c>
      <c r="F63" s="2719"/>
      <c r="G63" s="2719"/>
      <c r="H63" s="2711">
        <v>0.03</v>
      </c>
      <c r="I63" s="2711">
        <v>0.03</v>
      </c>
      <c r="J63" s="2711">
        <v>0.03</v>
      </c>
      <c r="K63" s="2711">
        <v>0.03</v>
      </c>
      <c r="L63" s="2711">
        <v>0.03</v>
      </c>
      <c r="M63" s="2711">
        <v>0.03</v>
      </c>
      <c r="N63" s="2711">
        <v>0.03</v>
      </c>
      <c r="O63" s="2711">
        <v>0.03</v>
      </c>
      <c r="P63" s="2711">
        <v>0.03</v>
      </c>
      <c r="Q63" s="2711"/>
      <c r="R63" s="2711">
        <v>0.03</v>
      </c>
      <c r="S63" s="2711">
        <v>0.03</v>
      </c>
      <c r="T63" s="2711">
        <v>0.03</v>
      </c>
      <c r="U63" s="2711">
        <v>0.03</v>
      </c>
      <c r="V63" s="2711">
        <v>0.03</v>
      </c>
    </row>
    <row r="64" spans="2:22" x14ac:dyDescent="0.25">
      <c r="B64" s="4948"/>
      <c r="C64" s="4948"/>
      <c r="D64" s="4960"/>
      <c r="E64" s="2765" t="s">
        <v>4272</v>
      </c>
      <c r="F64" s="2765"/>
      <c r="G64" s="2765"/>
      <c r="H64" s="2722"/>
      <c r="I64" s="2711"/>
      <c r="J64" s="2711">
        <v>0.08</v>
      </c>
      <c r="K64" s="2722"/>
      <c r="L64" s="2711"/>
      <c r="M64" s="2711">
        <v>0.08</v>
      </c>
      <c r="N64" s="2717"/>
      <c r="O64" s="2711"/>
      <c r="P64" s="2711">
        <v>0.08</v>
      </c>
      <c r="Q64" s="2711"/>
      <c r="R64" s="2711"/>
      <c r="S64" s="2711"/>
      <c r="T64" s="2711">
        <v>0.08</v>
      </c>
      <c r="U64" s="2722"/>
      <c r="V64" s="2711"/>
    </row>
    <row r="65" spans="2:22" x14ac:dyDescent="0.25">
      <c r="B65" s="4948"/>
      <c r="C65" s="4948"/>
      <c r="D65" s="4960"/>
      <c r="E65" s="2765" t="s">
        <v>4290</v>
      </c>
      <c r="F65" s="2765"/>
      <c r="G65" s="2765"/>
      <c r="H65" s="2716"/>
      <c r="I65" s="2716"/>
      <c r="J65" s="2722"/>
      <c r="K65" s="2717"/>
      <c r="L65" s="2711"/>
      <c r="M65" s="2717"/>
      <c r="N65" s="2711"/>
      <c r="O65" s="2711"/>
      <c r="P65" s="2722"/>
      <c r="Q65" s="2766">
        <v>1</v>
      </c>
      <c r="R65" s="2711"/>
      <c r="S65" s="2711"/>
      <c r="T65" s="2711"/>
      <c r="U65" s="2711"/>
      <c r="V65" s="2711"/>
    </row>
    <row r="66" spans="2:22" x14ac:dyDescent="0.25">
      <c r="B66" s="2772" t="s">
        <v>0</v>
      </c>
      <c r="C66" s="2772">
        <f>SUM(C49:C65)</f>
        <v>26</v>
      </c>
      <c r="D66" s="3327">
        <f>SUM(D49:D65)</f>
        <v>14050.003700000001</v>
      </c>
      <c r="E66" s="2775"/>
      <c r="F66" s="2776"/>
      <c r="G66" s="2776"/>
      <c r="H66" s="2776"/>
      <c r="I66" s="2776"/>
      <c r="J66" s="2776"/>
      <c r="K66" s="2776"/>
      <c r="L66" s="2776"/>
      <c r="M66" s="2776"/>
      <c r="N66" s="2776"/>
      <c r="O66" s="2776"/>
      <c r="P66" s="2776"/>
      <c r="Q66" s="2776"/>
      <c r="R66" s="2776"/>
      <c r="S66" s="2776"/>
      <c r="T66" s="2776"/>
      <c r="U66" s="2776"/>
      <c r="V66" s="2776"/>
    </row>
    <row r="69" spans="2:22" x14ac:dyDescent="0.25">
      <c r="B69" s="2767" t="s">
        <v>4291</v>
      </c>
      <c r="C69" s="2767"/>
      <c r="D69" s="2761"/>
      <c r="E69" s="2761"/>
      <c r="F69" s="2761"/>
      <c r="G69" s="2761"/>
    </row>
    <row r="70" spans="2:22" x14ac:dyDescent="0.25">
      <c r="B70" s="2761"/>
      <c r="C70" s="2761"/>
      <c r="D70" s="2761"/>
      <c r="E70" s="2761"/>
      <c r="F70" s="2761"/>
      <c r="G70" s="2761"/>
    </row>
    <row r="71" spans="2:22" x14ac:dyDescent="0.25">
      <c r="B71" s="4961" t="s">
        <v>4269</v>
      </c>
      <c r="C71" s="4923" t="s">
        <v>4276</v>
      </c>
      <c r="D71" s="4923" t="s">
        <v>4277</v>
      </c>
      <c r="E71" s="4942" t="s">
        <v>4270</v>
      </c>
      <c r="F71" s="4925" t="s">
        <v>4303</v>
      </c>
      <c r="G71" s="4926"/>
      <c r="H71" s="4923" t="s">
        <v>4289</v>
      </c>
      <c r="I71" s="4923"/>
      <c r="J71" s="4923"/>
      <c r="K71" s="4923"/>
      <c r="L71" s="4923"/>
      <c r="M71" s="4923"/>
      <c r="N71" s="4923"/>
      <c r="O71" s="4923"/>
      <c r="P71" s="4923"/>
      <c r="Q71" s="4923"/>
      <c r="R71" s="4923"/>
      <c r="S71" s="4923"/>
      <c r="T71" s="4923"/>
      <c r="U71" s="4923"/>
      <c r="V71" s="4924"/>
    </row>
    <row r="72" spans="2:22" x14ac:dyDescent="0.25">
      <c r="B72" s="4962"/>
      <c r="C72" s="4946"/>
      <c r="D72" s="4946"/>
      <c r="E72" s="4943"/>
      <c r="F72" s="4927"/>
      <c r="G72" s="4928"/>
      <c r="H72" s="4920" t="s">
        <v>4288</v>
      </c>
      <c r="I72" s="4920"/>
      <c r="J72" s="4920"/>
      <c r="K72" s="4921" t="s">
        <v>4302</v>
      </c>
      <c r="L72" s="4921"/>
      <c r="M72" s="4921"/>
      <c r="N72" s="4921"/>
      <c r="O72" s="4921"/>
      <c r="P72" s="4921"/>
      <c r="Q72" s="4921"/>
      <c r="R72" s="4921"/>
      <c r="S72" s="4921"/>
      <c r="T72" s="4921"/>
      <c r="U72" s="4921"/>
      <c r="V72" s="4922"/>
    </row>
    <row r="73" spans="2:22" x14ac:dyDescent="0.25">
      <c r="B73" s="4963"/>
      <c r="C73" s="4921"/>
      <c r="D73" s="4921"/>
      <c r="E73" s="4944"/>
      <c r="F73" s="2788">
        <v>0</v>
      </c>
      <c r="G73" s="2788">
        <v>0</v>
      </c>
      <c r="H73" s="2789" t="s">
        <v>1961</v>
      </c>
      <c r="I73" s="2789" t="s">
        <v>1962</v>
      </c>
      <c r="J73" s="2789" t="s">
        <v>1963</v>
      </c>
      <c r="K73" s="2789" t="s">
        <v>2001</v>
      </c>
      <c r="L73" s="2789" t="s">
        <v>2002</v>
      </c>
      <c r="M73" s="2789" t="s">
        <v>2003</v>
      </c>
      <c r="N73" s="2789" t="s">
        <v>2004</v>
      </c>
      <c r="O73" s="2789" t="s">
        <v>2005</v>
      </c>
      <c r="P73" s="2789" t="s">
        <v>2006</v>
      </c>
      <c r="Q73" s="2789" t="s">
        <v>2007</v>
      </c>
      <c r="R73" s="2789" t="s">
        <v>2008</v>
      </c>
      <c r="S73" s="2789" t="s">
        <v>2009</v>
      </c>
      <c r="T73" s="2789" t="s">
        <v>2010</v>
      </c>
      <c r="U73" s="2789" t="s">
        <v>2011</v>
      </c>
      <c r="V73" s="2790" t="s">
        <v>2012</v>
      </c>
    </row>
    <row r="74" spans="2:22" x14ac:dyDescent="0.25">
      <c r="B74" s="4964"/>
      <c r="C74" s="4947"/>
      <c r="D74" s="4947"/>
      <c r="E74" s="4945"/>
      <c r="F74" s="2730">
        <v>2018</v>
      </c>
      <c r="G74" s="2730">
        <v>2019</v>
      </c>
      <c r="H74" s="2730">
        <v>2020</v>
      </c>
      <c r="I74" s="2730">
        <f>+H74+1</f>
        <v>2021</v>
      </c>
      <c r="J74" s="2730">
        <f t="shared" ref="J74" si="20">+I74+1</f>
        <v>2022</v>
      </c>
      <c r="K74" s="2730">
        <f t="shared" ref="K74" si="21">+J74+1</f>
        <v>2023</v>
      </c>
      <c r="L74" s="2730">
        <f t="shared" ref="L74" si="22">+K74+1</f>
        <v>2024</v>
      </c>
      <c r="M74" s="2730">
        <f t="shared" ref="M74" si="23">+L74+1</f>
        <v>2025</v>
      </c>
      <c r="N74" s="2730">
        <f t="shared" ref="N74" si="24">+M74+1</f>
        <v>2026</v>
      </c>
      <c r="O74" s="2730">
        <f t="shared" ref="O74" si="25">+N74+1</f>
        <v>2027</v>
      </c>
      <c r="P74" s="2730">
        <f t="shared" ref="P74" si="26">+O74+1</f>
        <v>2028</v>
      </c>
      <c r="Q74" s="2730">
        <f t="shared" ref="Q74" si="27">+P74+1</f>
        <v>2029</v>
      </c>
      <c r="R74" s="2730">
        <f t="shared" ref="R74" si="28">+Q74+1</f>
        <v>2030</v>
      </c>
      <c r="S74" s="2730">
        <f t="shared" ref="S74" si="29">+R74+1</f>
        <v>2031</v>
      </c>
      <c r="T74" s="2730">
        <f t="shared" ref="T74" si="30">+S74+1</f>
        <v>2032</v>
      </c>
      <c r="U74" s="2730">
        <f t="shared" ref="U74" si="31">+T74+1</f>
        <v>2033</v>
      </c>
      <c r="V74" s="2731">
        <f t="shared" ref="V74" si="32">+U74+1</f>
        <v>2034</v>
      </c>
    </row>
    <row r="75" spans="2:22" x14ac:dyDescent="0.25">
      <c r="B75" s="4929" t="s">
        <v>4280</v>
      </c>
      <c r="C75" s="4930">
        <f>C49</f>
        <v>3</v>
      </c>
      <c r="D75" s="4931">
        <f>D49</f>
        <v>1781.1000000000001</v>
      </c>
      <c r="E75" s="2765" t="s">
        <v>4271</v>
      </c>
      <c r="F75" s="2768"/>
      <c r="G75" s="2768"/>
      <c r="H75" s="3328">
        <f>$D75*H49</f>
        <v>53.433</v>
      </c>
      <c r="I75" s="3328">
        <f t="shared" ref="I75:V75" si="33">$D75*I49</f>
        <v>53.433</v>
      </c>
      <c r="J75" s="3328">
        <f t="shared" si="33"/>
        <v>53.433</v>
      </c>
      <c r="K75" s="3328">
        <f t="shared" si="33"/>
        <v>53.433</v>
      </c>
      <c r="L75" s="3328">
        <f t="shared" si="33"/>
        <v>53.433</v>
      </c>
      <c r="M75" s="3328">
        <f t="shared" si="33"/>
        <v>53.433</v>
      </c>
      <c r="N75" s="3328">
        <f t="shared" si="33"/>
        <v>53.433</v>
      </c>
      <c r="O75" s="3328">
        <f t="shared" si="33"/>
        <v>53.433</v>
      </c>
      <c r="P75" s="3328">
        <f t="shared" si="33"/>
        <v>53.433</v>
      </c>
      <c r="Q75" s="3329"/>
      <c r="R75" s="3328">
        <f t="shared" si="33"/>
        <v>53.433</v>
      </c>
      <c r="S75" s="3328">
        <f t="shared" si="33"/>
        <v>53.433</v>
      </c>
      <c r="T75" s="3328">
        <f t="shared" si="33"/>
        <v>53.433</v>
      </c>
      <c r="U75" s="3328">
        <f t="shared" si="33"/>
        <v>53.433</v>
      </c>
      <c r="V75" s="3328">
        <f t="shared" si="33"/>
        <v>53.433</v>
      </c>
    </row>
    <row r="76" spans="2:22" x14ac:dyDescent="0.25">
      <c r="B76" s="4929"/>
      <c r="C76" s="4930"/>
      <c r="D76" s="4931"/>
      <c r="E76" s="2765" t="s">
        <v>4272</v>
      </c>
      <c r="F76" s="2723"/>
      <c r="G76" s="2723"/>
      <c r="H76" s="3328"/>
      <c r="I76" s="3328"/>
      <c r="J76" s="3328">
        <f t="shared" ref="J76:T76" si="34">$D75*J50</f>
        <v>142.48800000000003</v>
      </c>
      <c r="K76" s="3328"/>
      <c r="L76" s="3328"/>
      <c r="M76" s="3328">
        <f t="shared" si="34"/>
        <v>142.48800000000003</v>
      </c>
      <c r="N76" s="3328"/>
      <c r="O76" s="3328"/>
      <c r="P76" s="3328">
        <f t="shared" si="34"/>
        <v>142.48800000000003</v>
      </c>
      <c r="Q76" s="3328"/>
      <c r="R76" s="3328"/>
      <c r="S76" s="3328"/>
      <c r="T76" s="3328">
        <f t="shared" si="34"/>
        <v>142.48800000000003</v>
      </c>
      <c r="U76" s="3328"/>
      <c r="V76" s="3328"/>
    </row>
    <row r="77" spans="2:22" x14ac:dyDescent="0.25">
      <c r="B77" s="4929"/>
      <c r="C77" s="4930"/>
      <c r="D77" s="4931"/>
      <c r="E77" s="2765" t="s">
        <v>4290</v>
      </c>
      <c r="F77" s="2723"/>
      <c r="G77" s="2723"/>
      <c r="H77" s="3328"/>
      <c r="I77" s="3328"/>
      <c r="J77" s="3328"/>
      <c r="K77" s="3328"/>
      <c r="L77" s="3328"/>
      <c r="M77" s="3328"/>
      <c r="N77" s="3328"/>
      <c r="O77" s="3328"/>
      <c r="P77" s="3328"/>
      <c r="Q77" s="3328">
        <f t="shared" ref="Q77" si="35">$D75*Q51</f>
        <v>1781.1000000000001</v>
      </c>
      <c r="R77" s="3328"/>
      <c r="S77" s="3328"/>
      <c r="T77" s="3328"/>
      <c r="U77" s="3328"/>
      <c r="V77" s="3328"/>
    </row>
    <row r="78" spans="2:22" x14ac:dyDescent="0.25">
      <c r="B78" s="4948" t="s">
        <v>4281</v>
      </c>
      <c r="C78" s="4930">
        <f>C52</f>
        <v>2</v>
      </c>
      <c r="D78" s="4931">
        <f>D52</f>
        <v>34</v>
      </c>
      <c r="E78" s="2765" t="s">
        <v>4271</v>
      </c>
      <c r="F78" s="2768"/>
      <c r="G78" s="2768"/>
      <c r="H78" s="3328">
        <f>$D78*H52</f>
        <v>1.02</v>
      </c>
      <c r="I78" s="3328">
        <f t="shared" ref="I78:U78" si="36">$D78*I52</f>
        <v>1.02</v>
      </c>
      <c r="J78" s="3328">
        <f t="shared" si="36"/>
        <v>1.02</v>
      </c>
      <c r="K78" s="3328">
        <f t="shared" si="36"/>
        <v>1.02</v>
      </c>
      <c r="L78" s="3329"/>
      <c r="M78" s="3328">
        <f t="shared" si="36"/>
        <v>1.02</v>
      </c>
      <c r="N78" s="3328">
        <f t="shared" si="36"/>
        <v>1.02</v>
      </c>
      <c r="O78" s="3328">
        <f t="shared" si="36"/>
        <v>1.02</v>
      </c>
      <c r="P78" s="3328">
        <f t="shared" si="36"/>
        <v>1.02</v>
      </c>
      <c r="Q78" s="3329"/>
      <c r="R78" s="3328">
        <f t="shared" si="36"/>
        <v>1.02</v>
      </c>
      <c r="S78" s="3328">
        <f t="shared" si="36"/>
        <v>1.02</v>
      </c>
      <c r="T78" s="3328">
        <f t="shared" si="36"/>
        <v>1.02</v>
      </c>
      <c r="U78" s="3328">
        <f t="shared" si="36"/>
        <v>1.02</v>
      </c>
      <c r="V78" s="3329"/>
    </row>
    <row r="79" spans="2:22" x14ac:dyDescent="0.25">
      <c r="B79" s="4948"/>
      <c r="C79" s="4930"/>
      <c r="D79" s="4931"/>
      <c r="E79" s="2765" t="s">
        <v>4272</v>
      </c>
      <c r="F79" s="2723"/>
      <c r="G79" s="2723"/>
      <c r="H79" s="3328"/>
      <c r="I79" s="3328"/>
      <c r="J79" s="3328">
        <f t="shared" ref="J79:U79" si="37">$D78*J53</f>
        <v>2.72</v>
      </c>
      <c r="K79" s="3328"/>
      <c r="L79" s="3328"/>
      <c r="M79" s="3328">
        <f t="shared" si="37"/>
        <v>2.72</v>
      </c>
      <c r="N79" s="3328"/>
      <c r="O79" s="3328"/>
      <c r="P79" s="3328"/>
      <c r="Q79" s="3328"/>
      <c r="R79" s="3328">
        <f t="shared" si="37"/>
        <v>2.72</v>
      </c>
      <c r="S79" s="3328"/>
      <c r="T79" s="3328"/>
      <c r="U79" s="3328">
        <f t="shared" si="37"/>
        <v>2.72</v>
      </c>
      <c r="V79" s="3328"/>
    </row>
    <row r="80" spans="2:22" x14ac:dyDescent="0.25">
      <c r="B80" s="4948"/>
      <c r="C80" s="4930"/>
      <c r="D80" s="4931"/>
      <c r="E80" s="2765" t="s">
        <v>4290</v>
      </c>
      <c r="F80" s="2723"/>
      <c r="G80" s="2723"/>
      <c r="H80" s="3328"/>
      <c r="I80" s="3328"/>
      <c r="J80" s="3328"/>
      <c r="K80" s="3328"/>
      <c r="L80" s="3328">
        <f t="shared" ref="L80:V80" si="38">$D78*L54</f>
        <v>34</v>
      </c>
      <c r="M80" s="3328"/>
      <c r="N80" s="3328"/>
      <c r="O80" s="3328"/>
      <c r="P80" s="3328"/>
      <c r="Q80" s="3328">
        <f t="shared" si="38"/>
        <v>34</v>
      </c>
      <c r="R80" s="3328"/>
      <c r="S80" s="3328"/>
      <c r="T80" s="3328"/>
      <c r="U80" s="3328"/>
      <c r="V80" s="3328">
        <f t="shared" si="38"/>
        <v>34</v>
      </c>
    </row>
    <row r="81" spans="2:22" ht="26.25" customHeight="1" x14ac:dyDescent="0.25">
      <c r="B81" s="4948" t="s">
        <v>4282</v>
      </c>
      <c r="C81" s="4930">
        <f>C55</f>
        <v>4</v>
      </c>
      <c r="D81" s="4931">
        <f>D55</f>
        <v>535.32500000000016</v>
      </c>
      <c r="E81" s="2765" t="s">
        <v>4271</v>
      </c>
      <c r="F81" s="2768"/>
      <c r="G81" s="2768"/>
      <c r="H81" s="3328">
        <f>$D81*H55</f>
        <v>16.059750000000005</v>
      </c>
      <c r="I81" s="3328">
        <f t="shared" ref="I81:V81" si="39">$D81*I55</f>
        <v>16.059750000000005</v>
      </c>
      <c r="J81" s="3328">
        <f t="shared" si="39"/>
        <v>16.059750000000005</v>
      </c>
      <c r="K81" s="3328">
        <f t="shared" si="39"/>
        <v>16.059750000000005</v>
      </c>
      <c r="L81" s="3328">
        <f t="shared" si="39"/>
        <v>16.059750000000005</v>
      </c>
      <c r="M81" s="3328">
        <f t="shared" si="39"/>
        <v>16.059750000000005</v>
      </c>
      <c r="N81" s="3328">
        <f t="shared" si="39"/>
        <v>16.059750000000005</v>
      </c>
      <c r="O81" s="3328">
        <f t="shared" si="39"/>
        <v>16.059750000000005</v>
      </c>
      <c r="P81" s="3328">
        <f t="shared" si="39"/>
        <v>16.059750000000005</v>
      </c>
      <c r="Q81" s="3329"/>
      <c r="R81" s="3328">
        <f t="shared" si="39"/>
        <v>16.059750000000005</v>
      </c>
      <c r="S81" s="3328">
        <f t="shared" si="39"/>
        <v>16.059750000000005</v>
      </c>
      <c r="T81" s="3328">
        <f t="shared" si="39"/>
        <v>16.059750000000005</v>
      </c>
      <c r="U81" s="3328">
        <f t="shared" si="39"/>
        <v>16.059750000000005</v>
      </c>
      <c r="V81" s="3328">
        <f t="shared" si="39"/>
        <v>16.059750000000005</v>
      </c>
    </row>
    <row r="82" spans="2:22" x14ac:dyDescent="0.25">
      <c r="B82" s="4948"/>
      <c r="C82" s="4930"/>
      <c r="D82" s="4931"/>
      <c r="E82" s="2765" t="s">
        <v>4272</v>
      </c>
      <c r="F82" s="2723"/>
      <c r="G82" s="2723"/>
      <c r="H82" s="3328"/>
      <c r="I82" s="3328"/>
      <c r="J82" s="3328">
        <f t="shared" ref="J82:T82" si="40">$D81*J56</f>
        <v>42.826000000000015</v>
      </c>
      <c r="K82" s="3328"/>
      <c r="L82" s="3328"/>
      <c r="M82" s="3328">
        <f t="shared" si="40"/>
        <v>42.826000000000015</v>
      </c>
      <c r="N82" s="3328"/>
      <c r="O82" s="3328"/>
      <c r="P82" s="3328">
        <f t="shared" si="40"/>
        <v>42.826000000000015</v>
      </c>
      <c r="Q82" s="3328"/>
      <c r="R82" s="3328"/>
      <c r="S82" s="3328"/>
      <c r="T82" s="3328">
        <f t="shared" si="40"/>
        <v>42.826000000000015</v>
      </c>
      <c r="U82" s="3328"/>
      <c r="V82" s="3328"/>
    </row>
    <row r="83" spans="2:22" x14ac:dyDescent="0.25">
      <c r="B83" s="4948"/>
      <c r="C83" s="4930"/>
      <c r="D83" s="4931"/>
      <c r="E83" s="2765" t="s">
        <v>4290</v>
      </c>
      <c r="F83" s="2723"/>
      <c r="G83" s="2723"/>
      <c r="H83" s="3328"/>
      <c r="I83" s="3328"/>
      <c r="J83" s="3328"/>
      <c r="K83" s="3328"/>
      <c r="L83" s="3328"/>
      <c r="M83" s="3328"/>
      <c r="N83" s="3328"/>
      <c r="O83" s="3328"/>
      <c r="P83" s="3328"/>
      <c r="Q83" s="3328">
        <f t="shared" ref="Q83" si="41">$D81*Q57</f>
        <v>535.32500000000016</v>
      </c>
      <c r="R83" s="3328"/>
      <c r="S83" s="3328"/>
      <c r="T83" s="3328"/>
      <c r="U83" s="3328"/>
      <c r="V83" s="3328"/>
    </row>
    <row r="84" spans="2:22" x14ac:dyDescent="0.25">
      <c r="B84" s="4948" t="s">
        <v>4283</v>
      </c>
      <c r="C84" s="4930">
        <f>C58</f>
        <v>5</v>
      </c>
      <c r="D84" s="4931">
        <f>D58</f>
        <v>505.73670000000004</v>
      </c>
      <c r="E84" s="2765" t="s">
        <v>4271</v>
      </c>
      <c r="F84" s="2768"/>
      <c r="G84" s="2768"/>
      <c r="H84" s="3328">
        <f>$D84*H58</f>
        <v>15.172101000000001</v>
      </c>
      <c r="I84" s="3328">
        <f t="shared" ref="I84:U84" si="42">$D84*I58</f>
        <v>15.172101000000001</v>
      </c>
      <c r="J84" s="3328">
        <f t="shared" si="42"/>
        <v>15.172101000000001</v>
      </c>
      <c r="K84" s="3328">
        <f t="shared" si="42"/>
        <v>15.172101000000001</v>
      </c>
      <c r="L84" s="3329"/>
      <c r="M84" s="3328">
        <f t="shared" si="42"/>
        <v>15.172101000000001</v>
      </c>
      <c r="N84" s="3328">
        <f t="shared" si="42"/>
        <v>15.172101000000001</v>
      </c>
      <c r="O84" s="3328">
        <f t="shared" si="42"/>
        <v>15.172101000000001</v>
      </c>
      <c r="P84" s="3328">
        <f t="shared" si="42"/>
        <v>15.172101000000001</v>
      </c>
      <c r="Q84" s="3329"/>
      <c r="R84" s="3328">
        <f t="shared" si="42"/>
        <v>15.172101000000001</v>
      </c>
      <c r="S84" s="3328">
        <f t="shared" si="42"/>
        <v>15.172101000000001</v>
      </c>
      <c r="T84" s="3328">
        <f t="shared" si="42"/>
        <v>15.172101000000001</v>
      </c>
      <c r="U84" s="3328">
        <f t="shared" si="42"/>
        <v>15.172101000000001</v>
      </c>
      <c r="V84" s="3328"/>
    </row>
    <row r="85" spans="2:22" x14ac:dyDescent="0.25">
      <c r="B85" s="4948"/>
      <c r="C85" s="4930"/>
      <c r="D85" s="4931"/>
      <c r="E85" s="2765" t="s">
        <v>4272</v>
      </c>
      <c r="F85" s="2723"/>
      <c r="G85" s="2723"/>
      <c r="H85" s="3328"/>
      <c r="I85" s="3328"/>
      <c r="J85" s="3328">
        <f t="shared" ref="J85:U85" si="43">$D84*J59</f>
        <v>40.458936000000001</v>
      </c>
      <c r="K85" s="3328"/>
      <c r="L85" s="3328"/>
      <c r="M85" s="3328">
        <f t="shared" si="43"/>
        <v>40.458936000000001</v>
      </c>
      <c r="N85" s="3328"/>
      <c r="O85" s="3328"/>
      <c r="P85" s="3328"/>
      <c r="Q85" s="3328"/>
      <c r="R85" s="3328">
        <f t="shared" si="43"/>
        <v>40.458936000000001</v>
      </c>
      <c r="S85" s="3328"/>
      <c r="T85" s="3328"/>
      <c r="U85" s="3328">
        <f t="shared" si="43"/>
        <v>40.458936000000001</v>
      </c>
      <c r="V85" s="3328"/>
    </row>
    <row r="86" spans="2:22" x14ac:dyDescent="0.25">
      <c r="B86" s="4948"/>
      <c r="C86" s="4930"/>
      <c r="D86" s="4931"/>
      <c r="E86" s="2765" t="s">
        <v>4290</v>
      </c>
      <c r="F86" s="2723"/>
      <c r="G86" s="2723"/>
      <c r="H86" s="3328"/>
      <c r="I86" s="3328"/>
      <c r="J86" s="3328"/>
      <c r="K86" s="3328"/>
      <c r="L86" s="3328">
        <f t="shared" ref="L86:V86" si="44">$D84*L60</f>
        <v>505.73670000000004</v>
      </c>
      <c r="M86" s="3328"/>
      <c r="N86" s="3328"/>
      <c r="O86" s="3328"/>
      <c r="P86" s="3328"/>
      <c r="Q86" s="3328">
        <f t="shared" si="44"/>
        <v>505.73670000000004</v>
      </c>
      <c r="R86" s="3328"/>
      <c r="S86" s="3328"/>
      <c r="T86" s="3328"/>
      <c r="U86" s="3328"/>
      <c r="V86" s="3328">
        <f t="shared" si="44"/>
        <v>505.73670000000004</v>
      </c>
    </row>
    <row r="87" spans="2:22" x14ac:dyDescent="0.25">
      <c r="B87" s="2721" t="s">
        <v>4285</v>
      </c>
      <c r="C87" s="2722">
        <v>7</v>
      </c>
      <c r="D87" s="2723">
        <f>+D62</f>
        <v>39.152000000000001</v>
      </c>
      <c r="E87" s="2765" t="s">
        <v>4271</v>
      </c>
      <c r="F87" s="2723"/>
      <c r="G87" s="2723"/>
      <c r="H87" s="3328">
        <f t="shared" ref="H87:V87" si="45">$D87*H61</f>
        <v>1.17456</v>
      </c>
      <c r="I87" s="3328">
        <f t="shared" si="45"/>
        <v>1.17456</v>
      </c>
      <c r="J87" s="3328">
        <f t="shared" si="45"/>
        <v>1.17456</v>
      </c>
      <c r="K87" s="3328">
        <f t="shared" si="45"/>
        <v>1.17456</v>
      </c>
      <c r="L87" s="3328">
        <f t="shared" si="45"/>
        <v>1.17456</v>
      </c>
      <c r="M87" s="3328">
        <f t="shared" si="45"/>
        <v>1.17456</v>
      </c>
      <c r="N87" s="3328">
        <f t="shared" si="45"/>
        <v>1.17456</v>
      </c>
      <c r="O87" s="3328">
        <f t="shared" si="45"/>
        <v>1.17456</v>
      </c>
      <c r="P87" s="3328">
        <f t="shared" si="45"/>
        <v>1.17456</v>
      </c>
      <c r="Q87" s="3328">
        <f t="shared" si="45"/>
        <v>1.17456</v>
      </c>
      <c r="R87" s="3328">
        <f t="shared" si="45"/>
        <v>1.17456</v>
      </c>
      <c r="S87" s="3328">
        <f t="shared" si="45"/>
        <v>1.17456</v>
      </c>
      <c r="T87" s="3328">
        <f t="shared" si="45"/>
        <v>1.17456</v>
      </c>
      <c r="U87" s="3328">
        <f t="shared" si="45"/>
        <v>1.17456</v>
      </c>
      <c r="V87" s="3328">
        <f t="shared" si="45"/>
        <v>1.17456</v>
      </c>
    </row>
    <row r="88" spans="2:22" x14ac:dyDescent="0.25">
      <c r="B88" s="2721" t="s">
        <v>4284</v>
      </c>
      <c r="C88" s="2722">
        <v>4</v>
      </c>
      <c r="D88" s="2723">
        <f>+D61</f>
        <v>37.26</v>
      </c>
      <c r="E88" s="2765" t="s">
        <v>4271</v>
      </c>
      <c r="F88" s="2723"/>
      <c r="G88" s="2723"/>
      <c r="H88" s="3328">
        <f t="shared" ref="H88:V88" si="46">$D88*H62</f>
        <v>1.1177999999999999</v>
      </c>
      <c r="I88" s="3328">
        <f t="shared" si="46"/>
        <v>1.1177999999999999</v>
      </c>
      <c r="J88" s="3328">
        <f t="shared" si="46"/>
        <v>1.1177999999999999</v>
      </c>
      <c r="K88" s="3328">
        <f t="shared" si="46"/>
        <v>1.1177999999999999</v>
      </c>
      <c r="L88" s="3328">
        <f t="shared" si="46"/>
        <v>1.1177999999999999</v>
      </c>
      <c r="M88" s="3328">
        <f t="shared" si="46"/>
        <v>1.1177999999999999</v>
      </c>
      <c r="N88" s="3328">
        <f t="shared" si="46"/>
        <v>1.1177999999999999</v>
      </c>
      <c r="O88" s="3328">
        <f t="shared" si="46"/>
        <v>1.1177999999999999</v>
      </c>
      <c r="P88" s="3328">
        <f t="shared" si="46"/>
        <v>1.1177999999999999</v>
      </c>
      <c r="Q88" s="3328">
        <f t="shared" si="46"/>
        <v>1.1177999999999999</v>
      </c>
      <c r="R88" s="3328">
        <f t="shared" si="46"/>
        <v>1.1177999999999999</v>
      </c>
      <c r="S88" s="3328">
        <f t="shared" si="46"/>
        <v>1.1177999999999999</v>
      </c>
      <c r="T88" s="3328">
        <f t="shared" si="46"/>
        <v>1.1177999999999999</v>
      </c>
      <c r="U88" s="3328">
        <f t="shared" si="46"/>
        <v>1.1177999999999999</v>
      </c>
      <c r="V88" s="3328">
        <f t="shared" si="46"/>
        <v>1.1177999999999999</v>
      </c>
    </row>
    <row r="89" spans="2:22" x14ac:dyDescent="0.25">
      <c r="B89" s="4948" t="s">
        <v>4286</v>
      </c>
      <c r="C89" s="4948">
        <f>C63</f>
        <v>1</v>
      </c>
      <c r="D89" s="4959">
        <f>D63</f>
        <v>11117.43</v>
      </c>
      <c r="E89" s="2765" t="s">
        <v>4271</v>
      </c>
      <c r="F89" s="2710"/>
      <c r="G89" s="2710"/>
      <c r="H89" s="3328">
        <f>$D89*H63</f>
        <v>333.52289999999999</v>
      </c>
      <c r="I89" s="3328">
        <f t="shared" ref="I89:V89" si="47">$D89*I63</f>
        <v>333.52289999999999</v>
      </c>
      <c r="J89" s="3328">
        <f t="shared" si="47"/>
        <v>333.52289999999999</v>
      </c>
      <c r="K89" s="3328">
        <f t="shared" si="47"/>
        <v>333.52289999999999</v>
      </c>
      <c r="L89" s="3328">
        <f t="shared" si="47"/>
        <v>333.52289999999999</v>
      </c>
      <c r="M89" s="3328">
        <f t="shared" si="47"/>
        <v>333.52289999999999</v>
      </c>
      <c r="N89" s="3328">
        <f t="shared" si="47"/>
        <v>333.52289999999999</v>
      </c>
      <c r="O89" s="3328">
        <f t="shared" si="47"/>
        <v>333.52289999999999</v>
      </c>
      <c r="P89" s="3328">
        <f t="shared" si="47"/>
        <v>333.52289999999999</v>
      </c>
      <c r="Q89" s="3328"/>
      <c r="R89" s="3328">
        <f t="shared" si="47"/>
        <v>333.52289999999999</v>
      </c>
      <c r="S89" s="3328">
        <f t="shared" si="47"/>
        <v>333.52289999999999</v>
      </c>
      <c r="T89" s="3328">
        <f t="shared" si="47"/>
        <v>333.52289999999999</v>
      </c>
      <c r="U89" s="3328">
        <f t="shared" si="47"/>
        <v>333.52289999999999</v>
      </c>
      <c r="V89" s="3328">
        <f t="shared" si="47"/>
        <v>333.52289999999999</v>
      </c>
    </row>
    <row r="90" spans="2:22" x14ac:dyDescent="0.25">
      <c r="B90" s="4948"/>
      <c r="C90" s="4948"/>
      <c r="D90" s="4959"/>
      <c r="E90" s="2765" t="s">
        <v>4272</v>
      </c>
      <c r="F90" s="2765"/>
      <c r="G90" s="2765"/>
      <c r="H90" s="3328"/>
      <c r="I90" s="3328"/>
      <c r="J90" s="3328">
        <f t="shared" ref="J90" si="48">$D89*J64</f>
        <v>889.39440000000002</v>
      </c>
      <c r="K90" s="3328"/>
      <c r="L90" s="3328"/>
      <c r="M90" s="3328">
        <f t="shared" ref="M90" si="49">$D89*M64</f>
        <v>889.39440000000002</v>
      </c>
      <c r="N90" s="3328"/>
      <c r="O90" s="3328"/>
      <c r="P90" s="3328"/>
      <c r="Q90" s="3328"/>
      <c r="R90" s="3328"/>
      <c r="S90" s="3328"/>
      <c r="T90" s="3328">
        <f t="shared" ref="T90" si="50">$D89*T64</f>
        <v>889.39440000000002</v>
      </c>
      <c r="U90" s="3328"/>
      <c r="V90" s="3328"/>
    </row>
    <row r="91" spans="2:22" x14ac:dyDescent="0.25">
      <c r="B91" s="4948"/>
      <c r="C91" s="4948"/>
      <c r="D91" s="4959"/>
      <c r="E91" s="2765" t="s">
        <v>4290</v>
      </c>
      <c r="F91" s="2765"/>
      <c r="G91" s="2765"/>
      <c r="H91" s="3328"/>
      <c r="I91" s="3328"/>
      <c r="J91" s="3328"/>
      <c r="K91" s="3328"/>
      <c r="L91" s="3328"/>
      <c r="M91" s="3328"/>
      <c r="N91" s="3328"/>
      <c r="O91" s="3328"/>
      <c r="P91" s="3328"/>
      <c r="Q91" s="3328"/>
      <c r="R91" s="3328"/>
      <c r="S91" s="3328"/>
      <c r="T91" s="3328"/>
      <c r="U91" s="3328"/>
      <c r="V91" s="3328"/>
    </row>
    <row r="92" spans="2:22" x14ac:dyDescent="0.25">
      <c r="B92" s="2772" t="s">
        <v>0</v>
      </c>
      <c r="C92" s="2772">
        <f>SUM(C75:C91)</f>
        <v>26</v>
      </c>
      <c r="D92" s="2774">
        <f>SUM(D75:D91)</f>
        <v>14050.003700000001</v>
      </c>
      <c r="E92" s="2775"/>
      <c r="F92" s="2774"/>
      <c r="G92" s="2774"/>
      <c r="H92" s="3327">
        <f>SUM(H75:H91)</f>
        <v>421.500111</v>
      </c>
      <c r="I92" s="3327">
        <f t="shared" ref="I92:V92" si="51">SUM(I75:I91)</f>
        <v>421.500111</v>
      </c>
      <c r="J92" s="3327">
        <f t="shared" si="51"/>
        <v>1539.3874470000001</v>
      </c>
      <c r="K92" s="3327">
        <f t="shared" si="51"/>
        <v>421.500111</v>
      </c>
      <c r="L92" s="3327">
        <f t="shared" si="51"/>
        <v>945.04471000000012</v>
      </c>
      <c r="M92" s="3327">
        <f t="shared" si="51"/>
        <v>1539.3874470000001</v>
      </c>
      <c r="N92" s="3327">
        <f t="shared" si="51"/>
        <v>421.500111</v>
      </c>
      <c r="O92" s="3327">
        <f t="shared" si="51"/>
        <v>421.500111</v>
      </c>
      <c r="P92" s="3327">
        <f t="shared" si="51"/>
        <v>606.81411100000003</v>
      </c>
      <c r="Q92" s="3327">
        <f t="shared" si="51"/>
        <v>2858.45406</v>
      </c>
      <c r="R92" s="3327">
        <f t="shared" si="51"/>
        <v>464.67904699999997</v>
      </c>
      <c r="S92" s="3327">
        <f t="shared" si="51"/>
        <v>421.500111</v>
      </c>
      <c r="T92" s="3327">
        <f t="shared" si="51"/>
        <v>1496.208511</v>
      </c>
      <c r="U92" s="3327">
        <f t="shared" si="51"/>
        <v>464.67904699999997</v>
      </c>
      <c r="V92" s="3327">
        <f t="shared" si="51"/>
        <v>945.04471000000012</v>
      </c>
    </row>
    <row r="95" spans="2:22" ht="15.75" x14ac:dyDescent="0.25">
      <c r="B95" s="4956" t="s">
        <v>4292</v>
      </c>
      <c r="C95" s="4957"/>
      <c r="D95" s="4957"/>
      <c r="E95" s="4957"/>
      <c r="F95" s="4957"/>
      <c r="G95" s="4957"/>
      <c r="H95" s="4957"/>
      <c r="I95" s="4957"/>
      <c r="J95" s="4957"/>
      <c r="K95" s="4957"/>
      <c r="L95" s="4957"/>
      <c r="M95" s="4957"/>
      <c r="N95" s="4957"/>
      <c r="O95" s="4957"/>
      <c r="P95" s="4957"/>
      <c r="Q95" s="4957"/>
      <c r="R95" s="4957"/>
      <c r="S95" s="4957"/>
      <c r="T95" s="4958"/>
    </row>
    <row r="97" spans="2:9" x14ac:dyDescent="0.25">
      <c r="B97" s="4949" t="s">
        <v>4293</v>
      </c>
      <c r="C97" s="4949"/>
      <c r="D97" s="4949"/>
      <c r="E97" s="4949"/>
      <c r="F97" s="4949"/>
      <c r="G97" s="4949"/>
    </row>
    <row r="98" spans="2:9" x14ac:dyDescent="0.25">
      <c r="B98" s="373"/>
      <c r="C98" s="373"/>
      <c r="D98" s="373"/>
      <c r="E98" s="373"/>
      <c r="F98" s="373"/>
      <c r="G98" s="373"/>
      <c r="H98" s="373"/>
      <c r="I98" s="373"/>
    </row>
    <row r="99" spans="2:9" ht="76.900000000000006" customHeight="1" x14ac:dyDescent="0.25">
      <c r="B99" s="2732" t="s">
        <v>4269</v>
      </c>
      <c r="C99" s="2733" t="s">
        <v>4276</v>
      </c>
      <c r="D99" s="2733" t="s">
        <v>4277</v>
      </c>
      <c r="E99" s="2734" t="s">
        <v>4294</v>
      </c>
      <c r="F99" s="2735" t="s">
        <v>4295</v>
      </c>
    </row>
    <row r="100" spans="2:9" x14ac:dyDescent="0.25">
      <c r="B100" s="2755" t="str">
        <f>'26.3a Costo PROGRAM de EQUIP'!M6</f>
        <v>EQUIPOS BIOMÉDICOS</v>
      </c>
      <c r="C100" s="2781">
        <f>'26.3a Costo PROGRAM de EQUIP'!N6</f>
        <v>112</v>
      </c>
      <c r="D100" s="3324">
        <f>'26.3a Costo PROGRAM de EQUIP'!R6</f>
        <v>4187778</v>
      </c>
      <c r="E100" s="2757">
        <v>0.03</v>
      </c>
      <c r="F100" s="2758">
        <v>5</v>
      </c>
    </row>
    <row r="101" spans="2:9" x14ac:dyDescent="0.25">
      <c r="B101" s="2755" t="str">
        <f>'26.3a Costo PROGRAM de EQUIP'!M7</f>
        <v>EQUIPOS COMPLEMENTARIOS</v>
      </c>
      <c r="C101" s="2781">
        <f>'26.3a Costo PROGRAM de EQUIP'!N7</f>
        <v>180</v>
      </c>
      <c r="D101" s="3324">
        <f>'26.3a Costo PROGRAM de EQUIP'!R7</f>
        <v>410220.16</v>
      </c>
      <c r="E101" s="2757">
        <v>0.03</v>
      </c>
      <c r="F101" s="2758">
        <v>5</v>
      </c>
    </row>
    <row r="102" spans="2:9" x14ac:dyDescent="0.25">
      <c r="B102" s="2755" t="str">
        <f>'26.3a Costo PROGRAM de EQUIP'!M8</f>
        <v>EQUIPOS ELECTROMECÁNICOS</v>
      </c>
      <c r="C102" s="2781">
        <f>'26.3a Costo PROGRAM de EQUIP'!N8</f>
        <v>63</v>
      </c>
      <c r="D102" s="3324">
        <f>'26.3a Costo PROGRAM de EQUIP'!R8</f>
        <v>1207589.25</v>
      </c>
      <c r="E102" s="2757">
        <v>0.03</v>
      </c>
      <c r="F102" s="2758">
        <v>5</v>
      </c>
    </row>
    <row r="103" spans="2:9" x14ac:dyDescent="0.25">
      <c r="B103" s="2755" t="str">
        <f>'26.3a Costo PROGRAM de EQUIP'!M9</f>
        <v>EQUIPOS INFORMÁTICOS (***)</v>
      </c>
      <c r="C103" s="2781">
        <f>'26.3a Costo PROGRAM de EQUIP'!N9</f>
        <v>54</v>
      </c>
      <c r="D103" s="3324">
        <f>'26.3a Costo PROGRAM de EQUIP'!R9</f>
        <v>178285.79</v>
      </c>
      <c r="E103" s="2757">
        <v>0.03</v>
      </c>
      <c r="F103" s="2758">
        <v>5</v>
      </c>
    </row>
    <row r="104" spans="2:9" x14ac:dyDescent="0.25">
      <c r="B104" s="3335" t="str">
        <f>'26.3a Costo PROGRAM de EQUIP'!M10</f>
        <v>INSTRUMENTAL</v>
      </c>
      <c r="C104" s="3336">
        <f>'26.3a Costo PROGRAM de EQUIP'!N10</f>
        <v>69</v>
      </c>
      <c r="D104" s="3337">
        <f>'26.3a Costo PROGRAM de EQUIP'!R10</f>
        <v>182758.05</v>
      </c>
      <c r="E104" s="3338"/>
      <c r="F104" s="3339"/>
    </row>
    <row r="105" spans="2:9" x14ac:dyDescent="0.25">
      <c r="B105" s="2755" t="str">
        <f>'26.3a Costo PROGRAM de EQUIP'!M11</f>
        <v>MOBILIARIO ADMINISTRATIVO</v>
      </c>
      <c r="C105" s="2781">
        <f>'26.3a Costo PROGRAM de EQUIP'!N11</f>
        <v>601</v>
      </c>
      <c r="D105" s="3324">
        <f>'26.3a Costo PROGRAM de EQUIP'!R11</f>
        <v>237026.69</v>
      </c>
      <c r="E105" s="2757">
        <v>0.03</v>
      </c>
      <c r="F105" s="2758">
        <v>10</v>
      </c>
    </row>
    <row r="106" spans="2:9" x14ac:dyDescent="0.25">
      <c r="B106" s="2755" t="str">
        <f>'26.3a Costo PROGRAM de EQUIP'!M12</f>
        <v>MOBILIARIO CLÍNICO</v>
      </c>
      <c r="C106" s="2781">
        <f>'26.3a Costo PROGRAM de EQUIP'!N12</f>
        <v>558</v>
      </c>
      <c r="D106" s="3324">
        <f>'26.3a Costo PROGRAM de EQUIP'!R12</f>
        <v>958114.24</v>
      </c>
      <c r="E106" s="2757">
        <v>0.03</v>
      </c>
      <c r="F106" s="2758">
        <v>10</v>
      </c>
    </row>
    <row r="107" spans="2:9" x14ac:dyDescent="0.25">
      <c r="B107" s="2755" t="str">
        <f>'26.3a Costo PROGRAM de EQUIP'!M13</f>
        <v>TRANSPORTE</v>
      </c>
      <c r="C107" s="2781">
        <f>'26.3a Costo PROGRAM de EQUIP'!N13</f>
        <v>2</v>
      </c>
      <c r="D107" s="3324">
        <f>'26.3a Costo PROGRAM de EQUIP'!R13</f>
        <v>484791.38750000001</v>
      </c>
      <c r="E107" s="2757">
        <v>0.03</v>
      </c>
      <c r="F107" s="2758">
        <v>10</v>
      </c>
    </row>
    <row r="108" spans="2:9" x14ac:dyDescent="0.25">
      <c r="B108" s="3335" t="str">
        <f>'26.3a Costo PROGRAM de EQUIP'!M14</f>
        <v>EQUIPOS LIGADOS A OBRA</v>
      </c>
      <c r="C108" s="3336">
        <f>'26.3a Costo PROGRAM de EQUIP'!N14</f>
        <v>147</v>
      </c>
      <c r="D108" s="3337">
        <f>'26.3a Costo PROGRAM de EQUIP'!R14</f>
        <v>28149.260999999999</v>
      </c>
      <c r="E108" s="3338"/>
      <c r="F108" s="3339"/>
    </row>
    <row r="109" spans="2:9" x14ac:dyDescent="0.25">
      <c r="B109" s="2782" t="s">
        <v>0</v>
      </c>
      <c r="C109" s="2783">
        <f>SUM(C100:C108)</f>
        <v>1786</v>
      </c>
      <c r="D109" s="3325">
        <f>SUM(D100:D108)</f>
        <v>7874712.8285000008</v>
      </c>
      <c r="E109" s="3340"/>
      <c r="F109" s="2759"/>
      <c r="G109" s="2759"/>
      <c r="H109" s="2760"/>
    </row>
    <row r="112" spans="2:9" x14ac:dyDescent="0.25">
      <c r="B112" s="4949" t="s">
        <v>4297</v>
      </c>
      <c r="C112" s="4949"/>
      <c r="D112" s="4949"/>
      <c r="E112" s="4949"/>
    </row>
    <row r="113" spans="2:22" x14ac:dyDescent="0.25">
      <c r="F113" s="2769"/>
      <c r="G113" s="2769"/>
      <c r="H113" s="2769"/>
      <c r="I113" s="2769">
        <v>1</v>
      </c>
      <c r="J113" s="2769">
        <v>2</v>
      </c>
      <c r="K113" s="2769">
        <v>3</v>
      </c>
      <c r="L113" s="2769">
        <v>4</v>
      </c>
      <c r="M113" s="2769">
        <v>5</v>
      </c>
      <c r="N113" s="2769">
        <v>6</v>
      </c>
      <c r="O113" s="2769">
        <v>7</v>
      </c>
      <c r="P113" s="2769">
        <v>8</v>
      </c>
      <c r="Q113" s="2769">
        <v>9</v>
      </c>
      <c r="R113" s="2769">
        <v>10</v>
      </c>
      <c r="S113" s="2769">
        <v>11</v>
      </c>
      <c r="T113" s="2769">
        <v>12</v>
      </c>
      <c r="U113" s="373"/>
      <c r="V113" s="373"/>
    </row>
    <row r="114" spans="2:22" ht="15" customHeight="1" x14ac:dyDescent="0.25">
      <c r="B114" s="4940" t="s">
        <v>4269</v>
      </c>
      <c r="C114" s="4951" t="s">
        <v>4276</v>
      </c>
      <c r="D114" s="4951" t="s">
        <v>4277</v>
      </c>
      <c r="E114" s="4938" t="s">
        <v>4270</v>
      </c>
      <c r="F114" s="4911" t="s">
        <v>4289</v>
      </c>
      <c r="G114" s="4912"/>
      <c r="H114" s="4912"/>
      <c r="I114" s="4912"/>
      <c r="J114" s="4912"/>
      <c r="K114" s="4912"/>
      <c r="L114" s="4912"/>
      <c r="M114" s="4912"/>
      <c r="N114" s="4912"/>
      <c r="O114" s="4912"/>
      <c r="P114" s="4912"/>
      <c r="Q114" s="4912"/>
      <c r="R114" s="4912"/>
      <c r="S114" s="4912"/>
      <c r="T114" s="4913"/>
      <c r="U114" s="1212"/>
      <c r="V114" s="1212"/>
    </row>
    <row r="115" spans="2:22" ht="15" customHeight="1" x14ac:dyDescent="0.25">
      <c r="B115" s="4950"/>
      <c r="C115" s="4952"/>
      <c r="D115" s="4952"/>
      <c r="E115" s="4954"/>
      <c r="F115" s="4914" t="s">
        <v>4288</v>
      </c>
      <c r="G115" s="4915"/>
      <c r="H115" s="4916"/>
      <c r="I115" s="4917" t="s">
        <v>4302</v>
      </c>
      <c r="J115" s="4918"/>
      <c r="K115" s="4918"/>
      <c r="L115" s="4918"/>
      <c r="M115" s="4918"/>
      <c r="N115" s="4918"/>
      <c r="O115" s="4918"/>
      <c r="P115" s="4918"/>
      <c r="Q115" s="4918"/>
      <c r="R115" s="4918"/>
      <c r="S115" s="4918"/>
      <c r="T115" s="4919"/>
      <c r="U115" s="1212"/>
      <c r="V115" s="1212"/>
    </row>
    <row r="116" spans="2:22" x14ac:dyDescent="0.25">
      <c r="B116" s="4950"/>
      <c r="C116" s="4952"/>
      <c r="D116" s="4952"/>
      <c r="E116" s="4954"/>
      <c r="F116" s="2789" t="s">
        <v>1961</v>
      </c>
      <c r="G116" s="2789" t="s">
        <v>1962</v>
      </c>
      <c r="H116" s="2789" t="s">
        <v>1963</v>
      </c>
      <c r="I116" s="2789" t="s">
        <v>2001</v>
      </c>
      <c r="J116" s="2789" t="s">
        <v>2002</v>
      </c>
      <c r="K116" s="2789" t="s">
        <v>2003</v>
      </c>
      <c r="L116" s="2789" t="s">
        <v>2004</v>
      </c>
      <c r="M116" s="2789" t="s">
        <v>2005</v>
      </c>
      <c r="N116" s="2789" t="s">
        <v>2006</v>
      </c>
      <c r="O116" s="2789" t="s">
        <v>2007</v>
      </c>
      <c r="P116" s="2789" t="s">
        <v>2008</v>
      </c>
      <c r="Q116" s="2789" t="s">
        <v>2009</v>
      </c>
      <c r="R116" s="2789" t="s">
        <v>2010</v>
      </c>
      <c r="S116" s="2789" t="s">
        <v>2011</v>
      </c>
      <c r="T116" s="2790" t="s">
        <v>2012</v>
      </c>
      <c r="U116" s="1212"/>
      <c r="V116" s="1212"/>
    </row>
    <row r="117" spans="2:22" x14ac:dyDescent="0.25">
      <c r="B117" s="4941"/>
      <c r="C117" s="4953"/>
      <c r="D117" s="4953"/>
      <c r="E117" s="4939"/>
      <c r="F117" s="2730">
        <v>2020</v>
      </c>
      <c r="G117" s="2730">
        <f>+F117+1</f>
        <v>2021</v>
      </c>
      <c r="H117" s="2730">
        <f t="shared" ref="H117" si="52">+G117+1</f>
        <v>2022</v>
      </c>
      <c r="I117" s="2730">
        <f t="shared" ref="I117" si="53">+H117+1</f>
        <v>2023</v>
      </c>
      <c r="J117" s="2730">
        <f t="shared" ref="J117" si="54">+I117+1</f>
        <v>2024</v>
      </c>
      <c r="K117" s="2730">
        <f t="shared" ref="K117" si="55">+J117+1</f>
        <v>2025</v>
      </c>
      <c r="L117" s="2730">
        <f t="shared" ref="L117" si="56">+K117+1</f>
        <v>2026</v>
      </c>
      <c r="M117" s="2730">
        <f t="shared" ref="M117" si="57">+L117+1</f>
        <v>2027</v>
      </c>
      <c r="N117" s="2730">
        <f t="shared" ref="N117" si="58">+M117+1</f>
        <v>2028</v>
      </c>
      <c r="O117" s="2730">
        <f t="shared" ref="O117" si="59">+N117+1</f>
        <v>2029</v>
      </c>
      <c r="P117" s="2730">
        <f t="shared" ref="P117" si="60">+O117+1</f>
        <v>2030</v>
      </c>
      <c r="Q117" s="2730">
        <f t="shared" ref="Q117" si="61">+P117+1</f>
        <v>2031</v>
      </c>
      <c r="R117" s="2730">
        <f t="shared" ref="R117" si="62">+Q117+1</f>
        <v>2032</v>
      </c>
      <c r="S117" s="2730">
        <f t="shared" ref="S117" si="63">+R117+1</f>
        <v>2033</v>
      </c>
      <c r="T117" s="2731">
        <f t="shared" ref="T117" si="64">+S117+1</f>
        <v>2034</v>
      </c>
      <c r="U117" s="1212"/>
      <c r="V117" s="1212"/>
    </row>
    <row r="118" spans="2:22" x14ac:dyDescent="0.25">
      <c r="B118" s="4929" t="str">
        <f>B100</f>
        <v>EQUIPOS BIOMÉDICOS</v>
      </c>
      <c r="C118" s="4930">
        <f>C100</f>
        <v>112</v>
      </c>
      <c r="D118" s="4931">
        <f>D100</f>
        <v>4187778</v>
      </c>
      <c r="E118" s="2765" t="s">
        <v>4271</v>
      </c>
      <c r="F118" s="2765"/>
      <c r="G118" s="2765"/>
      <c r="H118" s="2765"/>
      <c r="I118" s="2705" t="s">
        <v>4298</v>
      </c>
      <c r="J118" s="2711">
        <v>0.03</v>
      </c>
      <c r="K118" s="2711">
        <v>0.03</v>
      </c>
      <c r="L118" s="2711">
        <v>0.03</v>
      </c>
      <c r="M118" s="2711">
        <v>0.03</v>
      </c>
      <c r="N118" s="2711">
        <v>0.03</v>
      </c>
      <c r="O118" s="2711">
        <v>0.03</v>
      </c>
      <c r="P118" s="2711">
        <v>0.03</v>
      </c>
      <c r="Q118" s="2711">
        <v>0.03</v>
      </c>
      <c r="R118" s="2711">
        <v>0.03</v>
      </c>
      <c r="S118" s="2712"/>
      <c r="T118" s="2711">
        <v>0.03</v>
      </c>
    </row>
    <row r="119" spans="2:22" x14ac:dyDescent="0.25">
      <c r="B119" s="4929"/>
      <c r="C119" s="4930"/>
      <c r="D119" s="4931"/>
      <c r="E119" s="2765" t="s">
        <v>4272</v>
      </c>
      <c r="F119" s="2711"/>
      <c r="G119" s="2711"/>
      <c r="H119" s="2713"/>
      <c r="I119" s="2714"/>
      <c r="J119" s="2722"/>
      <c r="K119" s="2722"/>
      <c r="L119" s="2711">
        <v>0.08</v>
      </c>
      <c r="M119" s="2722"/>
      <c r="N119" s="2722"/>
      <c r="O119" s="2711">
        <v>0.08</v>
      </c>
      <c r="P119" s="2722"/>
      <c r="Q119" s="2722"/>
      <c r="R119" s="2711">
        <v>0.08</v>
      </c>
      <c r="S119" s="2722"/>
      <c r="T119" s="2711"/>
    </row>
    <row r="120" spans="2:22" x14ac:dyDescent="0.25">
      <c r="B120" s="4929"/>
      <c r="C120" s="4930"/>
      <c r="D120" s="4931"/>
      <c r="E120" s="2765" t="s">
        <v>4290</v>
      </c>
      <c r="F120" s="2715"/>
      <c r="G120" s="2715"/>
      <c r="H120" s="2716"/>
      <c r="I120" s="2714"/>
      <c r="J120" s="2717"/>
      <c r="K120" s="2711"/>
      <c r="L120" s="2717"/>
      <c r="M120" s="2722"/>
      <c r="N120" s="2722"/>
      <c r="O120" s="2722"/>
      <c r="P120" s="2722"/>
      <c r="Q120" s="2711"/>
      <c r="R120" s="2711"/>
      <c r="S120" s="2711">
        <v>1</v>
      </c>
      <c r="T120" s="2711"/>
    </row>
    <row r="121" spans="2:22" x14ac:dyDescent="0.25">
      <c r="B121" s="4948" t="s">
        <v>4281</v>
      </c>
      <c r="C121" s="4930">
        <f>+C101</f>
        <v>180</v>
      </c>
      <c r="D121" s="4931">
        <f>+D101</f>
        <v>410220.16</v>
      </c>
      <c r="E121" s="2765" t="s">
        <v>4271</v>
      </c>
      <c r="F121" s="2765"/>
      <c r="G121" s="2765"/>
      <c r="H121" s="2765"/>
      <c r="I121" s="2705" t="s">
        <v>4298</v>
      </c>
      <c r="J121" s="2711">
        <v>0.03</v>
      </c>
      <c r="K121" s="2711">
        <v>0.03</v>
      </c>
      <c r="L121" s="2711">
        <v>0.03</v>
      </c>
      <c r="M121" s="2711">
        <v>0.03</v>
      </c>
      <c r="N121" s="2711"/>
      <c r="O121" s="2711">
        <v>0.03</v>
      </c>
      <c r="P121" s="2711">
        <v>0.03</v>
      </c>
      <c r="Q121" s="2711">
        <v>0.03</v>
      </c>
      <c r="R121" s="2711">
        <v>0.03</v>
      </c>
      <c r="S121" s="2711">
        <v>0.03</v>
      </c>
      <c r="T121" s="2711">
        <v>0.03</v>
      </c>
    </row>
    <row r="122" spans="2:22" x14ac:dyDescent="0.25">
      <c r="B122" s="4948"/>
      <c r="C122" s="4930"/>
      <c r="D122" s="4931"/>
      <c r="E122" s="2765" t="s">
        <v>4272</v>
      </c>
      <c r="F122" s="2715"/>
      <c r="G122" s="2715"/>
      <c r="H122" s="2716"/>
      <c r="I122" s="2714"/>
      <c r="J122" s="2717"/>
      <c r="K122" s="2711"/>
      <c r="L122" s="2717"/>
      <c r="M122" s="2722"/>
      <c r="N122" s="2722"/>
      <c r="O122" s="2722"/>
      <c r="P122" s="2722"/>
      <c r="Q122" s="2722"/>
      <c r="R122" s="2711"/>
      <c r="S122" s="2711"/>
      <c r="T122" s="2711"/>
    </row>
    <row r="123" spans="2:22" x14ac:dyDescent="0.25">
      <c r="B123" s="4948"/>
      <c r="C123" s="4930"/>
      <c r="D123" s="4931"/>
      <c r="E123" s="2765" t="s">
        <v>4290</v>
      </c>
      <c r="F123" s="2715"/>
      <c r="G123" s="2715"/>
      <c r="H123" s="2716"/>
      <c r="I123" s="2714"/>
      <c r="J123" s="2717"/>
      <c r="K123" s="2711"/>
      <c r="L123" s="2717"/>
      <c r="M123" s="2722"/>
      <c r="N123" s="3341">
        <v>1</v>
      </c>
      <c r="O123" s="2722"/>
      <c r="P123" s="2722"/>
      <c r="Q123" s="2722"/>
      <c r="R123" s="2711"/>
      <c r="S123" s="3341">
        <v>1</v>
      </c>
      <c r="T123" s="2711"/>
    </row>
    <row r="124" spans="2:22" ht="26.25" customHeight="1" x14ac:dyDescent="0.25">
      <c r="B124" s="4929" t="str">
        <f>B102</f>
        <v>EQUIPOS ELECTROMECÁNICOS</v>
      </c>
      <c r="C124" s="4955">
        <f>C102</f>
        <v>63</v>
      </c>
      <c r="D124" s="4931">
        <f>D102</f>
        <v>1207589.25</v>
      </c>
      <c r="E124" s="2765" t="s">
        <v>4271</v>
      </c>
      <c r="F124" s="2765"/>
      <c r="G124" s="2765"/>
      <c r="H124" s="2765"/>
      <c r="I124" s="2705" t="s">
        <v>4298</v>
      </c>
      <c r="J124" s="2711">
        <v>0.03</v>
      </c>
      <c r="K124" s="2711">
        <v>0.03</v>
      </c>
      <c r="L124" s="2711">
        <v>0.03</v>
      </c>
      <c r="M124" s="2711">
        <v>0.03</v>
      </c>
      <c r="N124" s="2711">
        <v>0.03</v>
      </c>
      <c r="O124" s="2711">
        <v>0.03</v>
      </c>
      <c r="P124" s="2711">
        <v>0.03</v>
      </c>
      <c r="Q124" s="2711">
        <v>0.03</v>
      </c>
      <c r="R124" s="2711">
        <v>0.03</v>
      </c>
      <c r="S124" s="2711"/>
      <c r="T124" s="2711">
        <v>0.03</v>
      </c>
    </row>
    <row r="125" spans="2:22" x14ac:dyDescent="0.25">
      <c r="B125" s="4929"/>
      <c r="C125" s="4930"/>
      <c r="D125" s="4931"/>
      <c r="E125" s="2765" t="s">
        <v>4272</v>
      </c>
      <c r="F125" s="2713"/>
      <c r="G125" s="2713"/>
      <c r="H125" s="2711"/>
      <c r="I125" s="2718"/>
      <c r="J125" s="2722"/>
      <c r="K125" s="2722"/>
      <c r="L125" s="2711">
        <v>0.08</v>
      </c>
      <c r="M125" s="2722"/>
      <c r="N125" s="2722"/>
      <c r="O125" s="2711">
        <v>0.08</v>
      </c>
      <c r="P125" s="2722"/>
      <c r="Q125" s="2722"/>
      <c r="R125" s="2711">
        <v>0.08</v>
      </c>
      <c r="S125" s="2711"/>
      <c r="T125" s="2711"/>
    </row>
    <row r="126" spans="2:22" x14ac:dyDescent="0.25">
      <c r="B126" s="4929"/>
      <c r="C126" s="4930"/>
      <c r="D126" s="4931"/>
      <c r="E126" s="2765" t="s">
        <v>4290</v>
      </c>
      <c r="F126" s="2715"/>
      <c r="G126" s="2715"/>
      <c r="H126" s="2716"/>
      <c r="I126" s="2718"/>
      <c r="J126" s="2711"/>
      <c r="K126" s="2711"/>
      <c r="L126" s="2711"/>
      <c r="M126" s="2711"/>
      <c r="N126" s="2711"/>
      <c r="O126" s="2711"/>
      <c r="P126" s="2711"/>
      <c r="Q126" s="2722"/>
      <c r="R126" s="2722"/>
      <c r="S126" s="2711">
        <v>1</v>
      </c>
      <c r="T126" s="2711"/>
    </row>
    <row r="127" spans="2:22" x14ac:dyDescent="0.25">
      <c r="B127" s="4929" t="str">
        <f>B103</f>
        <v>EQUIPOS INFORMÁTICOS (***)</v>
      </c>
      <c r="C127" s="4930">
        <f>C103</f>
        <v>54</v>
      </c>
      <c r="D127" s="4931">
        <f>D103</f>
        <v>178285.79</v>
      </c>
      <c r="E127" s="2765" t="s">
        <v>4271</v>
      </c>
      <c r="F127" s="2765"/>
      <c r="G127" s="2765"/>
      <c r="H127" s="2765"/>
      <c r="I127" s="2705" t="s">
        <v>4298</v>
      </c>
      <c r="J127" s="2719">
        <v>0.03</v>
      </c>
      <c r="K127" s="2719">
        <v>0.03</v>
      </c>
      <c r="L127" s="2719">
        <v>0.03</v>
      </c>
      <c r="M127" s="2719">
        <v>0.03</v>
      </c>
      <c r="N127" s="2711"/>
      <c r="O127" s="2719">
        <v>0.03</v>
      </c>
      <c r="P127" s="2719">
        <f>J127</f>
        <v>0.03</v>
      </c>
      <c r="Q127" s="2719">
        <f>K127</f>
        <v>0.03</v>
      </c>
      <c r="R127" s="2719">
        <f>L127</f>
        <v>0.03</v>
      </c>
      <c r="S127" s="2719">
        <f>M127</f>
        <v>0.03</v>
      </c>
      <c r="T127" s="2711"/>
    </row>
    <row r="128" spans="2:22" x14ac:dyDescent="0.25">
      <c r="B128" s="4929"/>
      <c r="C128" s="4930"/>
      <c r="D128" s="4931"/>
      <c r="E128" s="2765" t="s">
        <v>4272</v>
      </c>
      <c r="F128" s="2720"/>
      <c r="G128" s="2720"/>
      <c r="H128" s="2711"/>
      <c r="I128" s="2714"/>
      <c r="J128" s="2722"/>
      <c r="K128" s="2711">
        <v>0.08</v>
      </c>
      <c r="L128" s="2722"/>
      <c r="M128" s="2722"/>
      <c r="N128" s="2711"/>
      <c r="O128" s="2722"/>
      <c r="P128" s="2722"/>
      <c r="Q128" s="2711">
        <v>0.08</v>
      </c>
      <c r="R128" s="2722"/>
      <c r="S128" s="2722"/>
      <c r="T128" s="2711"/>
    </row>
    <row r="129" spans="2:20" x14ac:dyDescent="0.25">
      <c r="B129" s="4929"/>
      <c r="C129" s="4930"/>
      <c r="D129" s="4931"/>
      <c r="E129" s="2765" t="s">
        <v>4290</v>
      </c>
      <c r="F129" s="2720"/>
      <c r="G129" s="2720"/>
      <c r="H129" s="2711"/>
      <c r="I129" s="2718"/>
      <c r="J129" s="2711"/>
      <c r="K129" s="2711"/>
      <c r="L129" s="2711"/>
      <c r="M129" s="2722"/>
      <c r="N129" s="2711">
        <v>1</v>
      </c>
      <c r="O129" s="2711"/>
      <c r="P129" s="2711"/>
      <c r="Q129" s="2711"/>
      <c r="R129" s="2711"/>
      <c r="S129" s="2722"/>
      <c r="T129" s="2711">
        <v>1</v>
      </c>
    </row>
    <row r="130" spans="2:20" x14ac:dyDescent="0.25">
      <c r="B130" s="2721" t="str">
        <f t="shared" ref="B130:D131" si="65">B105</f>
        <v>MOBILIARIO ADMINISTRATIVO</v>
      </c>
      <c r="C130" s="2722">
        <f t="shared" si="65"/>
        <v>601</v>
      </c>
      <c r="D130" s="2723">
        <f t="shared" si="65"/>
        <v>237026.69</v>
      </c>
      <c r="E130" s="2765" t="s">
        <v>4271</v>
      </c>
      <c r="F130" s="2765"/>
      <c r="G130" s="2765"/>
      <c r="H130" s="2765"/>
      <c r="I130" s="2705" t="s">
        <v>4298</v>
      </c>
      <c r="J130" s="2719">
        <v>0.03</v>
      </c>
      <c r="K130" s="2719">
        <v>0.03</v>
      </c>
      <c r="L130" s="2719">
        <v>0.03</v>
      </c>
      <c r="M130" s="2719">
        <v>0.03</v>
      </c>
      <c r="N130" s="2719">
        <v>0.03</v>
      </c>
      <c r="O130" s="2719">
        <v>0.03</v>
      </c>
      <c r="P130" s="2719">
        <v>0.03</v>
      </c>
      <c r="Q130" s="2719">
        <v>0.03</v>
      </c>
      <c r="R130" s="2719">
        <v>0.03</v>
      </c>
      <c r="S130" s="2719">
        <v>0.03</v>
      </c>
      <c r="T130" s="2719">
        <v>0.03</v>
      </c>
    </row>
    <row r="131" spans="2:20" x14ac:dyDescent="0.25">
      <c r="B131" s="2721" t="str">
        <f t="shared" si="65"/>
        <v>MOBILIARIO CLÍNICO</v>
      </c>
      <c r="C131" s="2722">
        <f t="shared" si="65"/>
        <v>558</v>
      </c>
      <c r="D131" s="2723">
        <f t="shared" si="65"/>
        <v>958114.24</v>
      </c>
      <c r="E131" s="2765" t="s">
        <v>4271</v>
      </c>
      <c r="F131" s="2765"/>
      <c r="G131" s="2765"/>
      <c r="H131" s="2765"/>
      <c r="I131" s="2705" t="s">
        <v>4298</v>
      </c>
      <c r="J131" s="2719">
        <v>0.03</v>
      </c>
      <c r="K131" s="2719">
        <v>0.03</v>
      </c>
      <c r="L131" s="2719">
        <v>0.03</v>
      </c>
      <c r="M131" s="2719">
        <v>0.03</v>
      </c>
      <c r="N131" s="2719">
        <v>0.03</v>
      </c>
      <c r="O131" s="2719">
        <v>0.03</v>
      </c>
      <c r="P131" s="2719">
        <v>0.03</v>
      </c>
      <c r="Q131" s="2719">
        <v>0.03</v>
      </c>
      <c r="R131" s="2719">
        <v>0.03</v>
      </c>
      <c r="S131" s="2719">
        <v>0.03</v>
      </c>
      <c r="T131" s="2719">
        <v>0.03</v>
      </c>
    </row>
    <row r="132" spans="2:20" x14ac:dyDescent="0.25">
      <c r="B132" s="4929" t="s">
        <v>4299</v>
      </c>
      <c r="C132" s="4930">
        <f>C107</f>
        <v>2</v>
      </c>
      <c r="D132" s="4931">
        <f>D107</f>
        <v>484791.38750000001</v>
      </c>
      <c r="E132" s="2765" t="s">
        <v>4271</v>
      </c>
      <c r="F132" s="2765"/>
      <c r="G132" s="2765"/>
      <c r="H132" s="2765"/>
      <c r="I132" s="2705" t="s">
        <v>4298</v>
      </c>
      <c r="J132" s="2719">
        <v>0.03</v>
      </c>
      <c r="K132" s="2719">
        <v>0.03</v>
      </c>
      <c r="L132" s="2719">
        <v>0.03</v>
      </c>
      <c r="M132" s="2719">
        <v>0.03</v>
      </c>
      <c r="N132" s="2719">
        <v>0.03</v>
      </c>
      <c r="O132" s="2719">
        <v>0.03</v>
      </c>
      <c r="P132" s="2719">
        <v>0.03</v>
      </c>
      <c r="Q132" s="2719">
        <v>0.03</v>
      </c>
      <c r="R132" s="2719">
        <v>0.03</v>
      </c>
      <c r="S132" s="2711"/>
      <c r="T132" s="2719">
        <v>0.03</v>
      </c>
    </row>
    <row r="133" spans="2:20" x14ac:dyDescent="0.25">
      <c r="B133" s="4929"/>
      <c r="C133" s="4930"/>
      <c r="D133" s="4931"/>
      <c r="E133" s="2765" t="s">
        <v>4272</v>
      </c>
      <c r="F133" s="2719"/>
      <c r="G133" s="2765"/>
      <c r="H133" s="2765"/>
      <c r="I133" s="2705"/>
      <c r="J133" s="2719"/>
      <c r="K133" s="2719"/>
      <c r="L133" s="2711">
        <v>0.08</v>
      </c>
      <c r="M133" s="2719"/>
      <c r="N133" s="2719"/>
      <c r="O133" s="2711">
        <v>0.08</v>
      </c>
      <c r="P133" s="2719"/>
      <c r="Q133" s="2719"/>
      <c r="R133" s="2711">
        <v>0.08</v>
      </c>
      <c r="S133" s="2719"/>
      <c r="T133" s="2711"/>
    </row>
    <row r="134" spans="2:20" x14ac:dyDescent="0.25">
      <c r="B134" s="4929"/>
      <c r="C134" s="4930"/>
      <c r="D134" s="4931"/>
      <c r="E134" s="2765" t="s">
        <v>4290</v>
      </c>
      <c r="F134" s="2719"/>
      <c r="G134" s="2765"/>
      <c r="H134" s="2765"/>
      <c r="I134" s="2705"/>
      <c r="J134" s="2719"/>
      <c r="K134" s="2719"/>
      <c r="L134" s="2719"/>
      <c r="M134" s="2719"/>
      <c r="N134" s="2719"/>
      <c r="O134" s="2719"/>
      <c r="P134" s="2719"/>
      <c r="Q134" s="2711"/>
      <c r="R134" s="2711"/>
      <c r="S134" s="2711">
        <v>1</v>
      </c>
      <c r="T134" s="2719"/>
    </row>
    <row r="135" spans="2:20" x14ac:dyDescent="0.25">
      <c r="B135" s="2772" t="s">
        <v>0</v>
      </c>
      <c r="C135" s="2773">
        <f>SUM(C118:C134)</f>
        <v>1570</v>
      </c>
      <c r="D135" s="2774">
        <f>SUM(D118:D134)</f>
        <v>7663805.517500001</v>
      </c>
      <c r="E135" s="2775"/>
      <c r="F135" s="2776"/>
      <c r="G135" s="2777"/>
      <c r="H135" s="2779"/>
      <c r="I135" s="2780"/>
      <c r="J135" s="2779"/>
      <c r="K135" s="2779"/>
      <c r="L135" s="2779"/>
      <c r="M135" s="2779"/>
      <c r="N135" s="2779"/>
      <c r="O135" s="2779"/>
      <c r="P135" s="2779"/>
      <c r="Q135" s="2779"/>
      <c r="R135" s="2779"/>
      <c r="S135" s="2779"/>
      <c r="T135" s="2779"/>
    </row>
    <row r="138" spans="2:20" x14ac:dyDescent="0.25">
      <c r="B138" s="4949" t="s">
        <v>4300</v>
      </c>
      <c r="C138" s="4949"/>
      <c r="D138" s="4949"/>
      <c r="E138" s="4949"/>
    </row>
    <row r="140" spans="2:20" x14ac:dyDescent="0.25">
      <c r="B140" s="4940" t="s">
        <v>4269</v>
      </c>
      <c r="C140" s="4951" t="s">
        <v>4276</v>
      </c>
      <c r="D140" s="4951" t="s">
        <v>4277</v>
      </c>
      <c r="E140" s="4938" t="s">
        <v>4270</v>
      </c>
      <c r="F140" s="4911" t="s">
        <v>4289</v>
      </c>
      <c r="G140" s="4912"/>
      <c r="H140" s="4912"/>
      <c r="I140" s="4912"/>
      <c r="J140" s="4912"/>
      <c r="K140" s="4912"/>
      <c r="L140" s="4912"/>
      <c r="M140" s="4912"/>
      <c r="N140" s="4912"/>
      <c r="O140" s="4912"/>
      <c r="P140" s="4912"/>
      <c r="Q140" s="4912"/>
      <c r="R140" s="4912"/>
      <c r="S140" s="4912"/>
      <c r="T140" s="4913"/>
    </row>
    <row r="141" spans="2:20" x14ac:dyDescent="0.25">
      <c r="B141" s="4950"/>
      <c r="C141" s="4952"/>
      <c r="D141" s="4952"/>
      <c r="E141" s="4954"/>
      <c r="F141" s="4914" t="s">
        <v>4288</v>
      </c>
      <c r="G141" s="4915"/>
      <c r="H141" s="4916"/>
      <c r="I141" s="4917" t="s">
        <v>4302</v>
      </c>
      <c r="J141" s="4918"/>
      <c r="K141" s="4918"/>
      <c r="L141" s="4918"/>
      <c r="M141" s="4918"/>
      <c r="N141" s="4918"/>
      <c r="O141" s="4918"/>
      <c r="P141" s="4918"/>
      <c r="Q141" s="4918"/>
      <c r="R141" s="4918"/>
      <c r="S141" s="4918"/>
      <c r="T141" s="4919"/>
    </row>
    <row r="142" spans="2:20" x14ac:dyDescent="0.25">
      <c r="B142" s="4950"/>
      <c r="C142" s="4952"/>
      <c r="D142" s="4952"/>
      <c r="E142" s="4954"/>
      <c r="F142" s="2789" t="s">
        <v>1961</v>
      </c>
      <c r="G142" s="2789" t="s">
        <v>1962</v>
      </c>
      <c r="H142" s="2789" t="s">
        <v>1963</v>
      </c>
      <c r="I142" s="2789" t="s">
        <v>2001</v>
      </c>
      <c r="J142" s="2789" t="s">
        <v>2002</v>
      </c>
      <c r="K142" s="2789" t="s">
        <v>2003</v>
      </c>
      <c r="L142" s="2789" t="s">
        <v>2004</v>
      </c>
      <c r="M142" s="2789" t="s">
        <v>2005</v>
      </c>
      <c r="N142" s="2789" t="s">
        <v>2006</v>
      </c>
      <c r="O142" s="2789" t="s">
        <v>2007</v>
      </c>
      <c r="P142" s="2789" t="s">
        <v>2008</v>
      </c>
      <c r="Q142" s="2789" t="s">
        <v>2009</v>
      </c>
      <c r="R142" s="2789" t="s">
        <v>2010</v>
      </c>
      <c r="S142" s="2789" t="s">
        <v>2011</v>
      </c>
      <c r="T142" s="2790" t="s">
        <v>2012</v>
      </c>
    </row>
    <row r="143" spans="2:20" x14ac:dyDescent="0.25">
      <c r="B143" s="4941"/>
      <c r="C143" s="4953"/>
      <c r="D143" s="4953"/>
      <c r="E143" s="4939"/>
      <c r="F143" s="2730">
        <v>2020</v>
      </c>
      <c r="G143" s="2730">
        <f>+F143+1</f>
        <v>2021</v>
      </c>
      <c r="H143" s="2730">
        <f t="shared" ref="H143" si="66">+G143+1</f>
        <v>2022</v>
      </c>
      <c r="I143" s="2730">
        <f t="shared" ref="I143" si="67">+H143+1</f>
        <v>2023</v>
      </c>
      <c r="J143" s="2730">
        <f t="shared" ref="J143" si="68">+I143+1</f>
        <v>2024</v>
      </c>
      <c r="K143" s="2730">
        <f t="shared" ref="K143" si="69">+J143+1</f>
        <v>2025</v>
      </c>
      <c r="L143" s="2730">
        <f t="shared" ref="L143" si="70">+K143+1</f>
        <v>2026</v>
      </c>
      <c r="M143" s="2730">
        <f t="shared" ref="M143" si="71">+L143+1</f>
        <v>2027</v>
      </c>
      <c r="N143" s="2730">
        <f t="shared" ref="N143" si="72">+M143+1</f>
        <v>2028</v>
      </c>
      <c r="O143" s="2730">
        <f t="shared" ref="O143" si="73">+N143+1</f>
        <v>2029</v>
      </c>
      <c r="P143" s="2730">
        <f t="shared" ref="P143" si="74">+O143+1</f>
        <v>2030</v>
      </c>
      <c r="Q143" s="2730">
        <f t="shared" ref="Q143" si="75">+P143+1</f>
        <v>2031</v>
      </c>
      <c r="R143" s="2730">
        <f t="shared" ref="R143" si="76">+Q143+1</f>
        <v>2032</v>
      </c>
      <c r="S143" s="2730">
        <f t="shared" ref="S143" si="77">+R143+1</f>
        <v>2033</v>
      </c>
      <c r="T143" s="2731">
        <f t="shared" ref="T143" si="78">+S143+1</f>
        <v>2034</v>
      </c>
    </row>
    <row r="144" spans="2:20" x14ac:dyDescent="0.25">
      <c r="B144" s="4929" t="str">
        <f>B118</f>
        <v>EQUIPOS BIOMÉDICOS</v>
      </c>
      <c r="C144" s="4930">
        <f>C118</f>
        <v>112</v>
      </c>
      <c r="D144" s="4931">
        <f>D118</f>
        <v>4187778</v>
      </c>
      <c r="E144" s="2765" t="s">
        <v>4271</v>
      </c>
      <c r="F144" s="2765"/>
      <c r="G144" s="2765"/>
      <c r="H144" s="2765"/>
      <c r="I144" s="2705" t="s">
        <v>4298</v>
      </c>
      <c r="J144" s="3328">
        <f t="shared" ref="J144:R144" si="79">$D144*J118</f>
        <v>125633.34</v>
      </c>
      <c r="K144" s="3328">
        <f t="shared" si="79"/>
        <v>125633.34</v>
      </c>
      <c r="L144" s="3328">
        <f t="shared" si="79"/>
        <v>125633.34</v>
      </c>
      <c r="M144" s="3328">
        <f t="shared" si="79"/>
        <v>125633.34</v>
      </c>
      <c r="N144" s="3328">
        <f t="shared" si="79"/>
        <v>125633.34</v>
      </c>
      <c r="O144" s="3328">
        <f t="shared" si="79"/>
        <v>125633.34</v>
      </c>
      <c r="P144" s="3328">
        <f t="shared" si="79"/>
        <v>125633.34</v>
      </c>
      <c r="Q144" s="3328">
        <f t="shared" si="79"/>
        <v>125633.34</v>
      </c>
      <c r="R144" s="3328">
        <f t="shared" si="79"/>
        <v>125633.34</v>
      </c>
      <c r="S144" s="3342"/>
      <c r="T144" s="3328">
        <f>$D144*T118</f>
        <v>125633.34</v>
      </c>
    </row>
    <row r="145" spans="2:20" x14ac:dyDescent="0.25">
      <c r="B145" s="4929"/>
      <c r="C145" s="4930"/>
      <c r="D145" s="4931"/>
      <c r="E145" s="2765" t="s">
        <v>4272</v>
      </c>
      <c r="F145" s="2711"/>
      <c r="G145" s="2711"/>
      <c r="H145" s="2713"/>
      <c r="I145" s="2724"/>
      <c r="J145" s="3328"/>
      <c r="K145" s="3328"/>
      <c r="L145" s="3328">
        <f>$D144*L119</f>
        <v>335022.24</v>
      </c>
      <c r="M145" s="3328"/>
      <c r="N145" s="3328"/>
      <c r="O145" s="3328">
        <f>$D144*O119</f>
        <v>335022.24</v>
      </c>
      <c r="P145" s="3328"/>
      <c r="Q145" s="3328"/>
      <c r="R145" s="3328">
        <f>$D144*R119</f>
        <v>335022.24</v>
      </c>
      <c r="S145" s="3328"/>
      <c r="T145" s="3328"/>
    </row>
    <row r="146" spans="2:20" x14ac:dyDescent="0.25">
      <c r="B146" s="4929"/>
      <c r="C146" s="4930"/>
      <c r="D146" s="4931"/>
      <c r="E146" s="2765" t="s">
        <v>4290</v>
      </c>
      <c r="F146" s="2715"/>
      <c r="G146" s="2715"/>
      <c r="H146" s="2716"/>
      <c r="I146" s="2724"/>
      <c r="J146" s="3328"/>
      <c r="K146" s="3328"/>
      <c r="L146" s="3328"/>
      <c r="M146" s="3328"/>
      <c r="N146" s="3328"/>
      <c r="O146" s="3328"/>
      <c r="P146" s="3328"/>
      <c r="Q146" s="3328"/>
      <c r="R146" s="3328"/>
      <c r="S146" s="3328">
        <f>$D144*S120</f>
        <v>4187778</v>
      </c>
      <c r="T146" s="3328"/>
    </row>
    <row r="147" spans="2:20" x14ac:dyDescent="0.25">
      <c r="B147" s="4948" t="s">
        <v>4281</v>
      </c>
      <c r="C147" s="4930">
        <f>+C121</f>
        <v>180</v>
      </c>
      <c r="D147" s="4931">
        <f>+D121</f>
        <v>410220.16</v>
      </c>
      <c r="E147" s="2765" t="s">
        <v>4271</v>
      </c>
      <c r="F147" s="2765"/>
      <c r="G147" s="2765"/>
      <c r="H147" s="2765"/>
      <c r="I147" s="2705" t="s">
        <v>4298</v>
      </c>
      <c r="J147" s="3328">
        <f>$D147*J121</f>
        <v>12306.604799999999</v>
      </c>
      <c r="K147" s="3328">
        <f>$D147*K121</f>
        <v>12306.604799999999</v>
      </c>
      <c r="L147" s="3328">
        <f>$D147*L121</f>
        <v>12306.604799999999</v>
      </c>
      <c r="M147" s="3328">
        <f>$D147*M121</f>
        <v>12306.604799999999</v>
      </c>
      <c r="N147" s="3342"/>
      <c r="O147" s="3328">
        <f t="shared" ref="O147:T147" si="80">$D147*O121</f>
        <v>12306.604799999999</v>
      </c>
      <c r="P147" s="3328">
        <f t="shared" si="80"/>
        <v>12306.604799999999</v>
      </c>
      <c r="Q147" s="3328">
        <f t="shared" si="80"/>
        <v>12306.604799999999</v>
      </c>
      <c r="R147" s="3328">
        <f t="shared" si="80"/>
        <v>12306.604799999999</v>
      </c>
      <c r="S147" s="3328">
        <f t="shared" si="80"/>
        <v>12306.604799999999</v>
      </c>
      <c r="T147" s="3328">
        <f t="shared" si="80"/>
        <v>12306.604799999999</v>
      </c>
    </row>
    <row r="148" spans="2:20" x14ac:dyDescent="0.25">
      <c r="B148" s="4948"/>
      <c r="C148" s="4930"/>
      <c r="D148" s="4931"/>
      <c r="E148" s="2765" t="s">
        <v>4272</v>
      </c>
      <c r="F148" s="2715"/>
      <c r="G148" s="2715"/>
      <c r="H148" s="2716"/>
      <c r="I148" s="2724"/>
      <c r="J148" s="3328"/>
      <c r="K148" s="3328"/>
      <c r="L148" s="3328"/>
      <c r="M148" s="3328"/>
      <c r="N148" s="3328"/>
      <c r="O148" s="3328"/>
      <c r="P148" s="3328"/>
      <c r="Q148" s="3328"/>
      <c r="R148" s="3328"/>
      <c r="S148" s="3328"/>
      <c r="T148" s="3328"/>
    </row>
    <row r="149" spans="2:20" x14ac:dyDescent="0.25">
      <c r="B149" s="4948"/>
      <c r="C149" s="4930"/>
      <c r="D149" s="4931"/>
      <c r="E149" s="2765" t="s">
        <v>4290</v>
      </c>
      <c r="F149" s="2715"/>
      <c r="G149" s="2715"/>
      <c r="H149" s="2716"/>
      <c r="I149" s="2724"/>
      <c r="J149" s="3328"/>
      <c r="K149" s="3328"/>
      <c r="L149" s="3328"/>
      <c r="M149" s="3328"/>
      <c r="N149" s="3328">
        <f>$D147*N123</f>
        <v>410220.16</v>
      </c>
      <c r="O149" s="3328"/>
      <c r="P149" s="3328"/>
      <c r="Q149" s="3328"/>
      <c r="R149" s="3328"/>
      <c r="S149" s="3328">
        <f>$D147*S123</f>
        <v>410220.16</v>
      </c>
      <c r="T149" s="3328"/>
    </row>
    <row r="150" spans="2:20" ht="26.25" customHeight="1" x14ac:dyDescent="0.25">
      <c r="B150" s="4929" t="str">
        <f>B124</f>
        <v>EQUIPOS ELECTROMECÁNICOS</v>
      </c>
      <c r="C150" s="4930">
        <f>C124</f>
        <v>63</v>
      </c>
      <c r="D150" s="4931">
        <f>D124</f>
        <v>1207589.25</v>
      </c>
      <c r="E150" s="2765" t="s">
        <v>4271</v>
      </c>
      <c r="F150" s="2765"/>
      <c r="G150" s="2765"/>
      <c r="H150" s="2765"/>
      <c r="I150" s="2705" t="s">
        <v>4298</v>
      </c>
      <c r="J150" s="3328">
        <f t="shared" ref="J150:R150" si="81">$D150*J124</f>
        <v>36227.677499999998</v>
      </c>
      <c r="K150" s="3328">
        <f t="shared" si="81"/>
        <v>36227.677499999998</v>
      </c>
      <c r="L150" s="3328">
        <f t="shared" si="81"/>
        <v>36227.677499999998</v>
      </c>
      <c r="M150" s="3328">
        <f t="shared" si="81"/>
        <v>36227.677499999998</v>
      </c>
      <c r="N150" s="3328">
        <f t="shared" si="81"/>
        <v>36227.677499999998</v>
      </c>
      <c r="O150" s="3328">
        <f t="shared" si="81"/>
        <v>36227.677499999998</v>
      </c>
      <c r="P150" s="3328">
        <f t="shared" si="81"/>
        <v>36227.677499999998</v>
      </c>
      <c r="Q150" s="3328">
        <f t="shared" si="81"/>
        <v>36227.677499999998</v>
      </c>
      <c r="R150" s="3328">
        <f t="shared" si="81"/>
        <v>36227.677499999998</v>
      </c>
      <c r="S150" s="3342"/>
      <c r="T150" s="3328">
        <f>$D150*T124</f>
        <v>36227.677499999998</v>
      </c>
    </row>
    <row r="151" spans="2:20" x14ac:dyDescent="0.25">
      <c r="B151" s="4929"/>
      <c r="C151" s="4930"/>
      <c r="D151" s="4931"/>
      <c r="E151" s="2765" t="s">
        <v>4272</v>
      </c>
      <c r="F151" s="2713"/>
      <c r="G151" s="2713"/>
      <c r="H151" s="2711"/>
      <c r="I151" s="2725"/>
      <c r="J151" s="3328"/>
      <c r="K151" s="3328"/>
      <c r="L151" s="3328">
        <f>$D150*L125</f>
        <v>96607.14</v>
      </c>
      <c r="M151" s="3328"/>
      <c r="N151" s="3328"/>
      <c r="O151" s="3328">
        <f>$D150*O125</f>
        <v>96607.14</v>
      </c>
      <c r="P151" s="3328"/>
      <c r="Q151" s="3328"/>
      <c r="R151" s="3328">
        <f>$D150*R125</f>
        <v>96607.14</v>
      </c>
      <c r="S151" s="3328"/>
      <c r="T151" s="3328"/>
    </row>
    <row r="152" spans="2:20" x14ac:dyDescent="0.25">
      <c r="B152" s="4929"/>
      <c r="C152" s="4930"/>
      <c r="D152" s="4931"/>
      <c r="E152" s="2765" t="s">
        <v>4290</v>
      </c>
      <c r="F152" s="2715"/>
      <c r="G152" s="2715"/>
      <c r="H152" s="2716"/>
      <c r="I152" s="2725"/>
      <c r="J152" s="3328"/>
      <c r="K152" s="3328"/>
      <c r="L152" s="3328"/>
      <c r="M152" s="3328"/>
      <c r="N152" s="3328"/>
      <c r="O152" s="3328"/>
      <c r="P152" s="3328"/>
      <c r="Q152" s="3328"/>
      <c r="R152" s="3328"/>
      <c r="S152" s="3328">
        <f>$D150*S126</f>
        <v>1207589.25</v>
      </c>
      <c r="T152" s="3328"/>
    </row>
    <row r="153" spans="2:20" x14ac:dyDescent="0.25">
      <c r="B153" s="4929" t="str">
        <f>B127</f>
        <v>EQUIPOS INFORMÁTICOS (***)</v>
      </c>
      <c r="C153" s="4930">
        <f>C127</f>
        <v>54</v>
      </c>
      <c r="D153" s="4931">
        <f>D127</f>
        <v>178285.79</v>
      </c>
      <c r="E153" s="2765" t="s">
        <v>4271</v>
      </c>
      <c r="F153" s="2765"/>
      <c r="G153" s="2765"/>
      <c r="H153" s="2765"/>
      <c r="I153" s="2705" t="s">
        <v>4298</v>
      </c>
      <c r="J153" s="3328">
        <f>$D153*J127</f>
        <v>5348.5736999999999</v>
      </c>
      <c r="K153" s="3328">
        <f>$D153*K127</f>
        <v>5348.5736999999999</v>
      </c>
      <c r="L153" s="3328">
        <f>$D153*L127</f>
        <v>5348.5736999999999</v>
      </c>
      <c r="M153" s="3328">
        <f>$D153*M127</f>
        <v>5348.5736999999999</v>
      </c>
      <c r="N153" s="3342"/>
      <c r="O153" s="3328">
        <f>$D153*O127</f>
        <v>5348.5736999999999</v>
      </c>
      <c r="P153" s="3328">
        <f>$D153*P127</f>
        <v>5348.5736999999999</v>
      </c>
      <c r="Q153" s="3328">
        <f>$D153*Q127</f>
        <v>5348.5736999999999</v>
      </c>
      <c r="R153" s="3328">
        <f>$D153*R127</f>
        <v>5348.5736999999999</v>
      </c>
      <c r="S153" s="3328">
        <f>$D153*S127</f>
        <v>5348.5736999999999</v>
      </c>
      <c r="T153" s="3342"/>
    </row>
    <row r="154" spans="2:20" x14ac:dyDescent="0.25">
      <c r="B154" s="4929"/>
      <c r="C154" s="4930"/>
      <c r="D154" s="4931"/>
      <c r="E154" s="2765" t="s">
        <v>4272</v>
      </c>
      <c r="F154" s="2720"/>
      <c r="G154" s="2720"/>
      <c r="H154" s="2711"/>
      <c r="I154" s="2724"/>
      <c r="J154" s="3328"/>
      <c r="K154" s="3328">
        <f>$D153*K128</f>
        <v>14262.863200000002</v>
      </c>
      <c r="L154" s="3328"/>
      <c r="M154" s="3328"/>
      <c r="N154" s="3328"/>
      <c r="O154" s="3328"/>
      <c r="P154" s="3328"/>
      <c r="Q154" s="3328">
        <f>$D153*Q128</f>
        <v>14262.863200000002</v>
      </c>
      <c r="R154" s="3328"/>
      <c r="S154" s="3328"/>
      <c r="T154" s="3328"/>
    </row>
    <row r="155" spans="2:20" x14ac:dyDescent="0.25">
      <c r="B155" s="4929"/>
      <c r="C155" s="4930"/>
      <c r="D155" s="4931"/>
      <c r="E155" s="2765" t="s">
        <v>4290</v>
      </c>
      <c r="F155" s="2720"/>
      <c r="G155" s="2720"/>
      <c r="H155" s="2711"/>
      <c r="I155" s="2725"/>
      <c r="J155" s="3328"/>
      <c r="K155" s="3328"/>
      <c r="L155" s="3328"/>
      <c r="M155" s="3328"/>
      <c r="N155" s="3328">
        <f>$D153*N129</f>
        <v>178285.79</v>
      </c>
      <c r="O155" s="3328"/>
      <c r="P155" s="3328"/>
      <c r="Q155" s="3328"/>
      <c r="R155" s="3328"/>
      <c r="S155" s="3328"/>
      <c r="T155" s="3328">
        <f>$D153*T129</f>
        <v>178285.79</v>
      </c>
    </row>
    <row r="156" spans="2:20" x14ac:dyDescent="0.25">
      <c r="B156" s="2721" t="str">
        <f t="shared" ref="B156:D157" si="82">B130</f>
        <v>MOBILIARIO ADMINISTRATIVO</v>
      </c>
      <c r="C156" s="2722">
        <f t="shared" si="82"/>
        <v>601</v>
      </c>
      <c r="D156" s="2723">
        <f t="shared" si="82"/>
        <v>237026.69</v>
      </c>
      <c r="E156" s="2765" t="s">
        <v>4271</v>
      </c>
      <c r="F156" s="2765"/>
      <c r="G156" s="2765"/>
      <c r="H156" s="2765"/>
      <c r="I156" s="2705" t="s">
        <v>4298</v>
      </c>
      <c r="J156" s="3328">
        <f t="shared" ref="J156:T156" si="83">$D156*J130</f>
        <v>7110.8006999999998</v>
      </c>
      <c r="K156" s="3328">
        <f t="shared" si="83"/>
        <v>7110.8006999999998</v>
      </c>
      <c r="L156" s="3328">
        <f t="shared" si="83"/>
        <v>7110.8006999999998</v>
      </c>
      <c r="M156" s="3328">
        <f t="shared" si="83"/>
        <v>7110.8006999999998</v>
      </c>
      <c r="N156" s="3328">
        <f t="shared" si="83"/>
        <v>7110.8006999999998</v>
      </c>
      <c r="O156" s="3328">
        <f t="shared" si="83"/>
        <v>7110.8006999999998</v>
      </c>
      <c r="P156" s="3328">
        <f t="shared" si="83"/>
        <v>7110.8006999999998</v>
      </c>
      <c r="Q156" s="3328">
        <f t="shared" si="83"/>
        <v>7110.8006999999998</v>
      </c>
      <c r="R156" s="3328">
        <f t="shared" si="83"/>
        <v>7110.8006999999998</v>
      </c>
      <c r="S156" s="3328">
        <f t="shared" si="83"/>
        <v>7110.8006999999998</v>
      </c>
      <c r="T156" s="3328">
        <f t="shared" si="83"/>
        <v>7110.8006999999998</v>
      </c>
    </row>
    <row r="157" spans="2:20" x14ac:dyDescent="0.25">
      <c r="B157" s="2721" t="str">
        <f t="shared" si="82"/>
        <v>MOBILIARIO CLÍNICO</v>
      </c>
      <c r="C157" s="2722">
        <f t="shared" si="82"/>
        <v>558</v>
      </c>
      <c r="D157" s="2723">
        <f t="shared" si="82"/>
        <v>958114.24</v>
      </c>
      <c r="E157" s="2765" t="s">
        <v>4271</v>
      </c>
      <c r="F157" s="2765"/>
      <c r="G157" s="2765"/>
      <c r="H157" s="2765"/>
      <c r="I157" s="2705" t="s">
        <v>4298</v>
      </c>
      <c r="J157" s="3328">
        <f t="shared" ref="J157:T157" si="84">$D157*J131</f>
        <v>28743.427199999998</v>
      </c>
      <c r="K157" s="3328">
        <f t="shared" si="84"/>
        <v>28743.427199999998</v>
      </c>
      <c r="L157" s="3328">
        <f t="shared" si="84"/>
        <v>28743.427199999998</v>
      </c>
      <c r="M157" s="3328">
        <f t="shared" si="84"/>
        <v>28743.427199999998</v>
      </c>
      <c r="N157" s="3328">
        <f t="shared" si="84"/>
        <v>28743.427199999998</v>
      </c>
      <c r="O157" s="3328">
        <f t="shared" si="84"/>
        <v>28743.427199999998</v>
      </c>
      <c r="P157" s="3328">
        <f t="shared" si="84"/>
        <v>28743.427199999998</v>
      </c>
      <c r="Q157" s="3328">
        <f t="shared" si="84"/>
        <v>28743.427199999998</v>
      </c>
      <c r="R157" s="3328">
        <f t="shared" si="84"/>
        <v>28743.427199999998</v>
      </c>
      <c r="S157" s="3328">
        <f t="shared" si="84"/>
        <v>28743.427199999998</v>
      </c>
      <c r="T157" s="3328">
        <f t="shared" si="84"/>
        <v>28743.427199999998</v>
      </c>
    </row>
    <row r="158" spans="2:20" x14ac:dyDescent="0.25">
      <c r="B158" s="4929" t="s">
        <v>4299</v>
      </c>
      <c r="C158" s="4930">
        <f>C132</f>
        <v>2</v>
      </c>
      <c r="D158" s="4931">
        <f>D132</f>
        <v>484791.38750000001</v>
      </c>
      <c r="E158" s="2765" t="s">
        <v>4271</v>
      </c>
      <c r="F158" s="2765"/>
      <c r="G158" s="2765"/>
      <c r="H158" s="2765"/>
      <c r="I158" s="2705" t="s">
        <v>4298</v>
      </c>
      <c r="J158" s="3328">
        <f t="shared" ref="J158:R158" si="85">$D158*J132</f>
        <v>14543.741625000001</v>
      </c>
      <c r="K158" s="3328">
        <f t="shared" si="85"/>
        <v>14543.741625000001</v>
      </c>
      <c r="L158" s="3328">
        <f t="shared" si="85"/>
        <v>14543.741625000001</v>
      </c>
      <c r="M158" s="3328">
        <f t="shared" si="85"/>
        <v>14543.741625000001</v>
      </c>
      <c r="N158" s="3328">
        <f t="shared" si="85"/>
        <v>14543.741625000001</v>
      </c>
      <c r="O158" s="3328">
        <f t="shared" si="85"/>
        <v>14543.741625000001</v>
      </c>
      <c r="P158" s="3328">
        <f t="shared" si="85"/>
        <v>14543.741625000001</v>
      </c>
      <c r="Q158" s="3328">
        <f t="shared" si="85"/>
        <v>14543.741625000001</v>
      </c>
      <c r="R158" s="3328">
        <f t="shared" si="85"/>
        <v>14543.741625000001</v>
      </c>
      <c r="S158" s="3342"/>
      <c r="T158" s="3328">
        <f>$D158*T132</f>
        <v>14543.741625000001</v>
      </c>
    </row>
    <row r="159" spans="2:20" x14ac:dyDescent="0.25">
      <c r="B159" s="4929"/>
      <c r="C159" s="4930"/>
      <c r="D159" s="4931"/>
      <c r="E159" s="2765" t="s">
        <v>4272</v>
      </c>
      <c r="F159" s="2719"/>
      <c r="G159" s="2765"/>
      <c r="H159" s="2765"/>
      <c r="I159" s="2705"/>
      <c r="J159" s="3328"/>
      <c r="K159" s="3328"/>
      <c r="L159" s="3328">
        <f>$D158*L133</f>
        <v>38783.311000000002</v>
      </c>
      <c r="M159" s="3328"/>
      <c r="N159" s="3328"/>
      <c r="O159" s="3328">
        <f>$D158*O133</f>
        <v>38783.311000000002</v>
      </c>
      <c r="P159" s="3328"/>
      <c r="Q159" s="3328"/>
      <c r="R159" s="3328">
        <f>$D158*R133</f>
        <v>38783.311000000002</v>
      </c>
      <c r="S159" s="3328"/>
      <c r="T159" s="3328"/>
    </row>
    <row r="160" spans="2:20" x14ac:dyDescent="0.25">
      <c r="B160" s="4929"/>
      <c r="C160" s="4930"/>
      <c r="D160" s="4931"/>
      <c r="E160" s="2765" t="s">
        <v>4290</v>
      </c>
      <c r="F160" s="2719"/>
      <c r="G160" s="2765"/>
      <c r="H160" s="2765"/>
      <c r="I160" s="2705"/>
      <c r="J160" s="3328"/>
      <c r="K160" s="3328"/>
      <c r="L160" s="3328"/>
      <c r="M160" s="3328"/>
      <c r="N160" s="3328"/>
      <c r="O160" s="3328"/>
      <c r="P160" s="3328"/>
      <c r="Q160" s="3328"/>
      <c r="R160" s="3328"/>
      <c r="S160" s="3328">
        <f>$D158*S134</f>
        <v>484791.38750000001</v>
      </c>
      <c r="T160" s="3328"/>
    </row>
    <row r="161" spans="2:21" x14ac:dyDescent="0.25">
      <c r="B161" s="2772" t="s">
        <v>0</v>
      </c>
      <c r="C161" s="2773">
        <f>SUM(C144:C160)</f>
        <v>1570</v>
      </c>
      <c r="D161" s="2774">
        <f>SUM(D144:D160)</f>
        <v>7663805.517500001</v>
      </c>
      <c r="E161" s="2775"/>
      <c r="F161" s="2776"/>
      <c r="G161" s="2777"/>
      <c r="H161" s="2778"/>
      <c r="I161" s="2778"/>
      <c r="J161" s="3343">
        <f>SUM(J144:J160)</f>
        <v>229914.16552499999</v>
      </c>
      <c r="K161" s="3343">
        <f t="shared" ref="K161:R161" si="86">SUM(K144:K160)</f>
        <v>244177.02872499998</v>
      </c>
      <c r="L161" s="3343">
        <f t="shared" si="86"/>
        <v>700326.85652499995</v>
      </c>
      <c r="M161" s="3343">
        <f t="shared" si="86"/>
        <v>229914.16552499999</v>
      </c>
      <c r="N161" s="3343">
        <f t="shared" si="86"/>
        <v>800764.93702500011</v>
      </c>
      <c r="O161" s="3343">
        <f t="shared" si="86"/>
        <v>700326.85652499995</v>
      </c>
      <c r="P161" s="3343">
        <f t="shared" si="86"/>
        <v>229914.16552499999</v>
      </c>
      <c r="Q161" s="3343">
        <f t="shared" si="86"/>
        <v>244177.02872499998</v>
      </c>
      <c r="R161" s="3343">
        <f t="shared" si="86"/>
        <v>700326.85652499995</v>
      </c>
      <c r="S161" s="3343">
        <f>SUM(S144:S160)</f>
        <v>6343888.2038999991</v>
      </c>
      <c r="T161" s="3343">
        <f>SUM(T144:T160)</f>
        <v>402851.38182499999</v>
      </c>
    </row>
    <row r="165" spans="2:21" x14ac:dyDescent="0.25">
      <c r="D165" s="2770"/>
    </row>
    <row r="166" spans="2:21" x14ac:dyDescent="0.25">
      <c r="D166" s="4940" t="s">
        <v>4269</v>
      </c>
      <c r="E166" s="4938" t="s">
        <v>4270</v>
      </c>
      <c r="F166" s="2728" t="s">
        <v>1961</v>
      </c>
      <c r="G166" s="2728" t="s">
        <v>1962</v>
      </c>
      <c r="H166" s="2728" t="s">
        <v>1963</v>
      </c>
      <c r="I166" s="2728" t="s">
        <v>2001</v>
      </c>
      <c r="J166" s="2728" t="s">
        <v>2002</v>
      </c>
      <c r="K166" s="2728" t="s">
        <v>2003</v>
      </c>
      <c r="L166" s="2728" t="s">
        <v>2004</v>
      </c>
      <c r="M166" s="2728" t="s">
        <v>2005</v>
      </c>
      <c r="N166" s="2728" t="s">
        <v>2006</v>
      </c>
      <c r="O166" s="2728" t="s">
        <v>2007</v>
      </c>
      <c r="P166" s="2728" t="s">
        <v>2008</v>
      </c>
      <c r="Q166" s="2728" t="s">
        <v>2009</v>
      </c>
      <c r="R166" s="2728" t="s">
        <v>2010</v>
      </c>
      <c r="S166" s="2728" t="s">
        <v>2011</v>
      </c>
      <c r="T166" s="2729" t="s">
        <v>2012</v>
      </c>
    </row>
    <row r="167" spans="2:21" x14ac:dyDescent="0.25">
      <c r="D167" s="4941"/>
      <c r="E167" s="4939"/>
      <c r="F167" s="2730">
        <v>2020</v>
      </c>
      <c r="G167" s="2730">
        <f>F167+1</f>
        <v>2021</v>
      </c>
      <c r="H167" s="2730">
        <f t="shared" ref="H167:T167" si="87">G167+1</f>
        <v>2022</v>
      </c>
      <c r="I167" s="2730">
        <f t="shared" si="87"/>
        <v>2023</v>
      </c>
      <c r="J167" s="2730">
        <f t="shared" si="87"/>
        <v>2024</v>
      </c>
      <c r="K167" s="2730">
        <f t="shared" si="87"/>
        <v>2025</v>
      </c>
      <c r="L167" s="2730">
        <f t="shared" si="87"/>
        <v>2026</v>
      </c>
      <c r="M167" s="2730">
        <f t="shared" si="87"/>
        <v>2027</v>
      </c>
      <c r="N167" s="2730">
        <f t="shared" si="87"/>
        <v>2028</v>
      </c>
      <c r="O167" s="2730">
        <f t="shared" si="87"/>
        <v>2029</v>
      </c>
      <c r="P167" s="2730">
        <f t="shared" si="87"/>
        <v>2030</v>
      </c>
      <c r="Q167" s="2730">
        <f t="shared" si="87"/>
        <v>2031</v>
      </c>
      <c r="R167" s="2730">
        <f t="shared" si="87"/>
        <v>2032</v>
      </c>
      <c r="S167" s="2730">
        <f t="shared" si="87"/>
        <v>2033</v>
      </c>
      <c r="T167" s="2731">
        <f t="shared" si="87"/>
        <v>2034</v>
      </c>
    </row>
    <row r="168" spans="2:21" x14ac:dyDescent="0.25">
      <c r="D168" s="4932" t="s">
        <v>3902</v>
      </c>
      <c r="E168" s="2705" t="s">
        <v>4271</v>
      </c>
      <c r="F168" s="3344">
        <f>+H75+H78+H81+H84+H87+F144+F147+F150+F153+F156+F157+H88+H89+F158</f>
        <v>421.500111</v>
      </c>
      <c r="G168" s="3344">
        <f>+I75+I78+I81+I84+I87+G144+G147+G150+G153+G156+G157+I88+I89+G158</f>
        <v>421.500111</v>
      </c>
      <c r="H168" s="3344">
        <f>+J75+J78+J81+J84+J87+H144+H147+H150+H153+H156+H157+J88+J89+H158</f>
        <v>421.500111</v>
      </c>
      <c r="I168" s="3344">
        <f>+K75+K78+K81+K84+K87+K88+K89</f>
        <v>421.500111</v>
      </c>
      <c r="J168" s="3344">
        <f t="shared" ref="J168:T168" si="88">+L75+L78+L81+L84+L87+J144+J147+J150+J153+J156+J157+L88+L89+J158</f>
        <v>230319.473535</v>
      </c>
      <c r="K168" s="3344">
        <f t="shared" si="88"/>
        <v>230335.66563599999</v>
      </c>
      <c r="L168" s="3344">
        <f t="shared" si="88"/>
        <v>230335.66563599999</v>
      </c>
      <c r="M168" s="3344">
        <f t="shared" si="88"/>
        <v>230335.66563599999</v>
      </c>
      <c r="N168" s="3344">
        <f t="shared" si="88"/>
        <v>212680.48713600001</v>
      </c>
      <c r="O168" s="3344">
        <f t="shared" si="88"/>
        <v>229916.45788499998</v>
      </c>
      <c r="P168" s="3344">
        <f t="shared" si="88"/>
        <v>230335.66563599999</v>
      </c>
      <c r="Q168" s="3344">
        <f t="shared" si="88"/>
        <v>230335.66563599999</v>
      </c>
      <c r="R168" s="3344">
        <f t="shared" si="88"/>
        <v>230335.66563599999</v>
      </c>
      <c r="S168" s="3344">
        <f t="shared" si="88"/>
        <v>53930.906511000001</v>
      </c>
      <c r="T168" s="3344">
        <f t="shared" si="88"/>
        <v>224970.89983499999</v>
      </c>
    </row>
    <row r="169" spans="2:21" x14ac:dyDescent="0.25">
      <c r="D169" s="4932"/>
      <c r="E169" s="2705" t="s">
        <v>4272</v>
      </c>
      <c r="F169" s="3344">
        <f t="shared" ref="F169:T170" si="89">F145+F148+F151+F154+H76+H79+H82+H85+H90+F159</f>
        <v>0</v>
      </c>
      <c r="G169" s="3344">
        <f t="shared" si="89"/>
        <v>0</v>
      </c>
      <c r="H169" s="3344">
        <f t="shared" si="89"/>
        <v>1117.887336</v>
      </c>
      <c r="I169" s="3344">
        <f t="shared" si="89"/>
        <v>0</v>
      </c>
      <c r="J169" s="3344">
        <f t="shared" si="89"/>
        <v>0</v>
      </c>
      <c r="K169" s="3344">
        <f t="shared" si="89"/>
        <v>15380.750536</v>
      </c>
      <c r="L169" s="3344">
        <f t="shared" si="89"/>
        <v>470412.69099999999</v>
      </c>
      <c r="M169" s="3344">
        <f t="shared" si="89"/>
        <v>0</v>
      </c>
      <c r="N169" s="3344">
        <f t="shared" si="89"/>
        <v>185.31400000000005</v>
      </c>
      <c r="O169" s="3344">
        <f t="shared" si="89"/>
        <v>470412.69099999999</v>
      </c>
      <c r="P169" s="3344">
        <f t="shared" si="89"/>
        <v>43.178936</v>
      </c>
      <c r="Q169" s="3344">
        <f t="shared" si="89"/>
        <v>14262.863200000002</v>
      </c>
      <c r="R169" s="3344">
        <f t="shared" si="89"/>
        <v>471487.39939999999</v>
      </c>
      <c r="S169" s="3344">
        <f t="shared" si="89"/>
        <v>43.178936</v>
      </c>
      <c r="T169" s="3344">
        <f t="shared" si="89"/>
        <v>0</v>
      </c>
    </row>
    <row r="170" spans="2:21" x14ac:dyDescent="0.25">
      <c r="D170" s="4932"/>
      <c r="E170" s="2705" t="s">
        <v>4301</v>
      </c>
      <c r="F170" s="3344">
        <f t="shared" si="89"/>
        <v>0</v>
      </c>
      <c r="G170" s="3344">
        <f t="shared" si="89"/>
        <v>0</v>
      </c>
      <c r="H170" s="3344">
        <f t="shared" si="89"/>
        <v>0</v>
      </c>
      <c r="I170" s="3344">
        <f t="shared" si="89"/>
        <v>0</v>
      </c>
      <c r="J170" s="3344">
        <f t="shared" si="89"/>
        <v>539.73670000000004</v>
      </c>
      <c r="K170" s="3344">
        <f t="shared" si="89"/>
        <v>0</v>
      </c>
      <c r="L170" s="3344">
        <f t="shared" si="89"/>
        <v>0</v>
      </c>
      <c r="M170" s="3344">
        <f t="shared" si="89"/>
        <v>0</v>
      </c>
      <c r="N170" s="3344">
        <f t="shared" si="89"/>
        <v>588505.94999999995</v>
      </c>
      <c r="O170" s="3344">
        <f t="shared" si="89"/>
        <v>2856.1617000000001</v>
      </c>
      <c r="P170" s="3344">
        <f t="shared" si="89"/>
        <v>0</v>
      </c>
      <c r="Q170" s="3344">
        <f t="shared" si="89"/>
        <v>0</v>
      </c>
      <c r="R170" s="3344">
        <f t="shared" si="89"/>
        <v>0</v>
      </c>
      <c r="S170" s="3344">
        <f t="shared" si="89"/>
        <v>6290378.7975000003</v>
      </c>
      <c r="T170" s="3344">
        <f t="shared" si="89"/>
        <v>178825.52670000002</v>
      </c>
    </row>
    <row r="172" spans="2:21" x14ac:dyDescent="0.25">
      <c r="E172" s="2727" t="s">
        <v>150</v>
      </c>
      <c r="F172" s="3345">
        <f>SUM(F168:F170)</f>
        <v>421.500111</v>
      </c>
      <c r="G172" s="3345">
        <f t="shared" ref="G172:T172" si="90">SUM(G168:G170)</f>
        <v>421.500111</v>
      </c>
      <c r="H172" s="3345">
        <f t="shared" si="90"/>
        <v>1539.3874470000001</v>
      </c>
      <c r="I172" s="3345">
        <f t="shared" si="90"/>
        <v>421.500111</v>
      </c>
      <c r="J172" s="3345">
        <f t="shared" si="90"/>
        <v>230859.21023500001</v>
      </c>
      <c r="K172" s="3345">
        <f t="shared" si="90"/>
        <v>245716.416172</v>
      </c>
      <c r="L172" s="3345">
        <f t="shared" si="90"/>
        <v>700748.35663599998</v>
      </c>
      <c r="M172" s="3345">
        <f t="shared" si="90"/>
        <v>230335.66563599999</v>
      </c>
      <c r="N172" s="3345">
        <f t="shared" si="90"/>
        <v>801371.75113600004</v>
      </c>
      <c r="O172" s="3345">
        <f t="shared" si="90"/>
        <v>703185.31058500009</v>
      </c>
      <c r="P172" s="3345">
        <f t="shared" si="90"/>
        <v>230378.844572</v>
      </c>
      <c r="Q172" s="3345">
        <f t="shared" si="90"/>
        <v>244598.52883599998</v>
      </c>
      <c r="R172" s="3345">
        <f t="shared" si="90"/>
        <v>701823.06503599999</v>
      </c>
      <c r="S172" s="3345">
        <f>SUM(S168:S170)</f>
        <v>6344352.8829470007</v>
      </c>
      <c r="T172" s="3345">
        <f t="shared" si="90"/>
        <v>403796.42653499998</v>
      </c>
      <c r="U172" s="2771"/>
    </row>
    <row r="173" spans="2:21" x14ac:dyDescent="0.25">
      <c r="J173" s="2771"/>
    </row>
    <row r="174" spans="2:21" x14ac:dyDescent="0.25">
      <c r="F174" s="2771"/>
      <c r="G174" s="2771"/>
      <c r="H174" s="2771"/>
      <c r="I174" s="2771"/>
      <c r="J174" s="2771"/>
      <c r="K174" s="2771"/>
      <c r="L174" s="2771"/>
      <c r="M174" s="2771"/>
      <c r="N174" s="2771"/>
      <c r="O174" s="2771"/>
      <c r="P174" s="2771"/>
      <c r="Q174" s="2771"/>
      <c r="R174" s="2771"/>
      <c r="S174" s="2771"/>
      <c r="T174" s="2771"/>
    </row>
  </sheetData>
  <mergeCells count="106">
    <mergeCell ref="C45:C48"/>
    <mergeCell ref="B45:B48"/>
    <mergeCell ref="F45:G46"/>
    <mergeCell ref="B29:H29"/>
    <mergeCell ref="B6:J6"/>
    <mergeCell ref="B8:B9"/>
    <mergeCell ref="C8:C9"/>
    <mergeCell ref="B10:B11"/>
    <mergeCell ref="B17:B18"/>
    <mergeCell ref="C17:C18"/>
    <mergeCell ref="B55:B57"/>
    <mergeCell ref="C55:C57"/>
    <mergeCell ref="D55:D57"/>
    <mergeCell ref="B58:B60"/>
    <mergeCell ref="C58:C60"/>
    <mergeCell ref="D58:D60"/>
    <mergeCell ref="B49:B51"/>
    <mergeCell ref="C49:C51"/>
    <mergeCell ref="D49:D51"/>
    <mergeCell ref="B52:B54"/>
    <mergeCell ref="C52:C54"/>
    <mergeCell ref="D52:D54"/>
    <mergeCell ref="E71:E74"/>
    <mergeCell ref="B75:B77"/>
    <mergeCell ref="C75:C77"/>
    <mergeCell ref="D75:D77"/>
    <mergeCell ref="B63:B65"/>
    <mergeCell ref="C63:C65"/>
    <mergeCell ref="D63:D65"/>
    <mergeCell ref="B71:B74"/>
    <mergeCell ref="C71:C74"/>
    <mergeCell ref="D71:D74"/>
    <mergeCell ref="B84:B86"/>
    <mergeCell ref="C84:C86"/>
    <mergeCell ref="D84:D86"/>
    <mergeCell ref="B89:B91"/>
    <mergeCell ref="C89:C91"/>
    <mergeCell ref="D89:D91"/>
    <mergeCell ref="B78:B80"/>
    <mergeCell ref="C78:C80"/>
    <mergeCell ref="D78:D80"/>
    <mergeCell ref="B81:B83"/>
    <mergeCell ref="C81:C83"/>
    <mergeCell ref="D81:D83"/>
    <mergeCell ref="B118:B120"/>
    <mergeCell ref="C118:C120"/>
    <mergeCell ref="D118:D120"/>
    <mergeCell ref="B121:B123"/>
    <mergeCell ref="C121:C123"/>
    <mergeCell ref="D121:D123"/>
    <mergeCell ref="B95:T95"/>
    <mergeCell ref="B97:G97"/>
    <mergeCell ref="B112:E112"/>
    <mergeCell ref="B114:B117"/>
    <mergeCell ref="C114:C117"/>
    <mergeCell ref="D114:D117"/>
    <mergeCell ref="E114:E117"/>
    <mergeCell ref="B132:B134"/>
    <mergeCell ref="C132:C134"/>
    <mergeCell ref="D132:D134"/>
    <mergeCell ref="B138:E138"/>
    <mergeCell ref="B140:B143"/>
    <mergeCell ref="C140:C143"/>
    <mergeCell ref="D140:D143"/>
    <mergeCell ref="E140:E143"/>
    <mergeCell ref="B124:B126"/>
    <mergeCell ref="C124:C126"/>
    <mergeCell ref="D124:D126"/>
    <mergeCell ref="B127:B129"/>
    <mergeCell ref="C127:C129"/>
    <mergeCell ref="D127:D129"/>
    <mergeCell ref="B158:B160"/>
    <mergeCell ref="C158:C160"/>
    <mergeCell ref="D158:D160"/>
    <mergeCell ref="D168:D170"/>
    <mergeCell ref="B2:S2"/>
    <mergeCell ref="B23:C23"/>
    <mergeCell ref="E166:E167"/>
    <mergeCell ref="D166:D167"/>
    <mergeCell ref="E45:E48"/>
    <mergeCell ref="D45:D48"/>
    <mergeCell ref="B150:B152"/>
    <mergeCell ref="C150:C152"/>
    <mergeCell ref="D150:D152"/>
    <mergeCell ref="B153:B155"/>
    <mergeCell ref="C153:C155"/>
    <mergeCell ref="D153:D155"/>
    <mergeCell ref="B144:B146"/>
    <mergeCell ref="C144:C146"/>
    <mergeCell ref="D144:D146"/>
    <mergeCell ref="B147:B149"/>
    <mergeCell ref="C147:C149"/>
    <mergeCell ref="D147:D149"/>
    <mergeCell ref="I141:T141"/>
    <mergeCell ref="F141:H141"/>
    <mergeCell ref="F140:T140"/>
    <mergeCell ref="F114:T114"/>
    <mergeCell ref="F115:H115"/>
    <mergeCell ref="I115:T115"/>
    <mergeCell ref="H46:J46"/>
    <mergeCell ref="K46:V46"/>
    <mergeCell ref="H45:V45"/>
    <mergeCell ref="F71:G72"/>
    <mergeCell ref="H71:V71"/>
    <mergeCell ref="H72:J72"/>
    <mergeCell ref="K72:V72"/>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00CC99"/>
  </sheetPr>
  <dimension ref="A1:V469"/>
  <sheetViews>
    <sheetView topLeftCell="A411" zoomScale="70" zoomScaleNormal="70" workbookViewId="0">
      <selection activeCell="H467" sqref="H467"/>
    </sheetView>
  </sheetViews>
  <sheetFormatPr baseColWidth="10" defaultColWidth="11.42578125" defaultRowHeight="13.5" x14ac:dyDescent="0.25"/>
  <cols>
    <col min="1" max="1" width="2.85546875" style="997" customWidth="1"/>
    <col min="2" max="2" width="17.85546875" style="997" customWidth="1"/>
    <col min="3" max="3" width="68.5703125" style="997" customWidth="1"/>
    <col min="4" max="4" width="9.7109375" style="997" customWidth="1"/>
    <col min="5" max="5" width="11.140625" style="2791" customWidth="1"/>
    <col min="6" max="6" width="18.28515625" style="2792" customWidth="1"/>
    <col min="7" max="7" width="19" style="2793" customWidth="1"/>
    <col min="8" max="8" width="19.42578125" style="2792" customWidth="1"/>
    <col min="9" max="9" width="8.28515625" style="2792" customWidth="1"/>
    <col min="10" max="10" width="8.28515625" style="2794" customWidth="1"/>
    <col min="11" max="11" width="8.42578125" style="2791" customWidth="1"/>
    <col min="12" max="12" width="7.28515625" style="997" customWidth="1"/>
    <col min="13" max="13" width="35.140625" style="997" customWidth="1"/>
    <col min="14" max="14" width="9.7109375" style="997" customWidth="1"/>
    <col min="15" max="15" width="15.7109375" style="997" customWidth="1"/>
    <col min="16" max="16" width="24.28515625" style="997" customWidth="1"/>
    <col min="17" max="17" width="15.140625" style="997" customWidth="1"/>
    <col min="18" max="18" width="22.140625" style="997" customWidth="1"/>
    <col min="19" max="19" width="11.42578125" style="997"/>
    <col min="20" max="20" width="16.5703125" style="691" customWidth="1"/>
    <col min="21" max="16384" width="11.42578125" style="691"/>
  </cols>
  <sheetData>
    <row r="1" spans="2:22" x14ac:dyDescent="0.25">
      <c r="B1" s="2355"/>
    </row>
    <row r="3" spans="2:22" x14ac:dyDescent="0.25">
      <c r="B3" s="4981" t="s">
        <v>5477</v>
      </c>
      <c r="C3" s="4981"/>
      <c r="D3" s="4981"/>
      <c r="E3" s="4981"/>
      <c r="F3" s="4981"/>
      <c r="G3" s="4981"/>
      <c r="H3" s="4981"/>
      <c r="I3" s="2502"/>
      <c r="J3" s="2795"/>
      <c r="K3" s="2502"/>
      <c r="L3" s="4982" t="s">
        <v>4304</v>
      </c>
      <c r="M3" s="4982"/>
      <c r="N3" s="4982"/>
      <c r="O3" s="4982"/>
      <c r="P3" s="4982"/>
      <c r="Q3" s="4982"/>
      <c r="R3" s="4982"/>
    </row>
    <row r="4" spans="2:22" ht="14.25" thickBot="1" x14ac:dyDescent="0.3">
      <c r="B4" s="2498" t="s">
        <v>4305</v>
      </c>
      <c r="C4" s="2498"/>
      <c r="D4" s="2498"/>
      <c r="E4" s="2498"/>
      <c r="F4" s="2498"/>
      <c r="G4" s="2498"/>
      <c r="H4" s="2498"/>
      <c r="I4" s="2498"/>
      <c r="J4" s="2498"/>
      <c r="K4" s="2498"/>
      <c r="L4" s="997" t="s">
        <v>4306</v>
      </c>
    </row>
    <row r="5" spans="2:22" ht="62.25" customHeight="1" thickBot="1" x14ac:dyDescent="0.3">
      <c r="B5" s="3990" t="s">
        <v>4974</v>
      </c>
      <c r="C5" s="3987"/>
      <c r="D5" s="3987"/>
      <c r="E5" s="3987"/>
      <c r="F5" s="3987"/>
      <c r="G5" s="3987"/>
      <c r="H5" s="3993"/>
      <c r="I5" s="2796"/>
      <c r="J5" s="2796"/>
      <c r="K5" s="2796"/>
      <c r="L5" s="1188" t="s">
        <v>3723</v>
      </c>
      <c r="M5" s="2583" t="s">
        <v>4307</v>
      </c>
      <c r="N5" s="2583" t="s">
        <v>4276</v>
      </c>
      <c r="O5" s="2479" t="s">
        <v>4308</v>
      </c>
      <c r="P5" s="2479" t="s">
        <v>4309</v>
      </c>
      <c r="Q5" s="2479" t="s">
        <v>4310</v>
      </c>
      <c r="R5" s="2679" t="s">
        <v>4141</v>
      </c>
      <c r="U5" s="598"/>
      <c r="V5" s="598"/>
    </row>
    <row r="6" spans="2:22" ht="27.75" thickBot="1" x14ac:dyDescent="0.3">
      <c r="B6" s="2480" t="s">
        <v>4311</v>
      </c>
      <c r="C6" s="1741" t="s">
        <v>1898</v>
      </c>
      <c r="D6" s="1745" t="s">
        <v>4312</v>
      </c>
      <c r="E6" s="1745" t="s">
        <v>4313</v>
      </c>
      <c r="F6" s="1741" t="s">
        <v>4314</v>
      </c>
      <c r="G6" s="2826" t="s">
        <v>4315</v>
      </c>
      <c r="H6" s="2827" t="s">
        <v>4316</v>
      </c>
      <c r="I6" s="2797"/>
      <c r="J6" s="2498"/>
      <c r="K6" s="2798"/>
      <c r="L6" s="1149">
        <v>1</v>
      </c>
      <c r="M6" s="2474" t="s">
        <v>4317</v>
      </c>
      <c r="N6" s="2649">
        <f>+F64</f>
        <v>112</v>
      </c>
      <c r="O6" s="3333">
        <f>+H64</f>
        <v>3988360</v>
      </c>
      <c r="P6" s="3334">
        <f>O6*0.03</f>
        <v>119650.79999999999</v>
      </c>
      <c r="Q6" s="3333">
        <v>79767.199999999997</v>
      </c>
      <c r="R6" s="3333">
        <f>+O6+P6+Q6</f>
        <v>4187778</v>
      </c>
      <c r="T6" s="2799">
        <f>SUM(R6:R13)</f>
        <v>7846563.5675000008</v>
      </c>
      <c r="U6" s="2498"/>
      <c r="V6" s="598"/>
    </row>
    <row r="7" spans="2:22" ht="14.25" thickBot="1" x14ac:dyDescent="0.3">
      <c r="B7" s="2835" t="s">
        <v>4056</v>
      </c>
      <c r="C7" s="2836" t="s">
        <v>4317</v>
      </c>
      <c r="D7" s="2836"/>
      <c r="E7" s="2837"/>
      <c r="F7" s="2837"/>
      <c r="G7" s="2838"/>
      <c r="H7" s="2838"/>
      <c r="I7" s="2797"/>
      <c r="J7" s="2498"/>
      <c r="K7" s="2798"/>
      <c r="L7" s="1149">
        <v>2</v>
      </c>
      <c r="M7" s="2474" t="s">
        <v>4281</v>
      </c>
      <c r="N7" s="2649">
        <f>+F134</f>
        <v>180</v>
      </c>
      <c r="O7" s="3333">
        <f>+H134</f>
        <v>398272</v>
      </c>
      <c r="P7" s="3334">
        <f t="shared" ref="P7:P13" si="0">O7*0.03</f>
        <v>11948.16</v>
      </c>
      <c r="Q7" s="3333"/>
      <c r="R7" s="3333">
        <f t="shared" ref="R7:R14" si="1">+O7+P7+Q7</f>
        <v>410220.16</v>
      </c>
      <c r="U7" s="2498"/>
      <c r="V7" s="598"/>
    </row>
    <row r="8" spans="2:22" ht="14.25" thickBot="1" x14ac:dyDescent="0.3">
      <c r="B8" s="2813" t="s">
        <v>4318</v>
      </c>
      <c r="C8" s="2814" t="s">
        <v>4319</v>
      </c>
      <c r="D8" s="1150" t="s">
        <v>4320</v>
      </c>
      <c r="E8" s="1150" t="s">
        <v>4056</v>
      </c>
      <c r="F8" s="2649">
        <v>1</v>
      </c>
      <c r="G8" s="2815">
        <v>5200</v>
      </c>
      <c r="H8" s="2815">
        <f>+G8*F8</f>
        <v>5200</v>
      </c>
      <c r="I8" s="2797"/>
      <c r="J8" s="2498"/>
      <c r="K8" s="2798"/>
      <c r="L8" s="1149">
        <v>3</v>
      </c>
      <c r="M8" s="2474" t="s">
        <v>4321</v>
      </c>
      <c r="N8" s="2649">
        <f>+F164</f>
        <v>63</v>
      </c>
      <c r="O8" s="3333">
        <f>H164</f>
        <v>1150085</v>
      </c>
      <c r="P8" s="3334">
        <f t="shared" si="0"/>
        <v>34502.549999999996</v>
      </c>
      <c r="Q8" s="3333">
        <v>23001.7</v>
      </c>
      <c r="R8" s="3333">
        <f t="shared" si="1"/>
        <v>1207589.25</v>
      </c>
      <c r="U8" s="2498"/>
      <c r="V8" s="598"/>
    </row>
    <row r="9" spans="2:22" ht="14.25" thickBot="1" x14ac:dyDescent="0.3">
      <c r="B9" s="2813" t="s">
        <v>4322</v>
      </c>
      <c r="C9" s="2814" t="s">
        <v>4323</v>
      </c>
      <c r="D9" s="1150" t="s">
        <v>4320</v>
      </c>
      <c r="E9" s="1150" t="s">
        <v>4056</v>
      </c>
      <c r="F9" s="2649">
        <v>1</v>
      </c>
      <c r="G9" s="2815">
        <v>123990</v>
      </c>
      <c r="H9" s="2815">
        <f t="shared" ref="H9:H63" si="2">+G9*F9</f>
        <v>123990</v>
      </c>
      <c r="I9" s="2797"/>
      <c r="J9" s="2498"/>
      <c r="K9" s="2798"/>
      <c r="L9" s="1149">
        <v>4</v>
      </c>
      <c r="M9" s="2474" t="s">
        <v>4324</v>
      </c>
      <c r="N9" s="2649">
        <f>+F174</f>
        <v>54</v>
      </c>
      <c r="O9" s="3333">
        <f>+H174</f>
        <v>173093</v>
      </c>
      <c r="P9" s="3334">
        <f t="shared" si="0"/>
        <v>5192.79</v>
      </c>
      <c r="Q9" s="3333"/>
      <c r="R9" s="3333">
        <f t="shared" si="1"/>
        <v>178285.79</v>
      </c>
      <c r="U9" s="2498"/>
      <c r="V9" s="598"/>
    </row>
    <row r="10" spans="2:22" ht="14.25" thickBot="1" x14ac:dyDescent="0.3">
      <c r="B10" s="2813" t="s">
        <v>4325</v>
      </c>
      <c r="C10" s="2814" t="s">
        <v>4326</v>
      </c>
      <c r="D10" s="1150" t="s">
        <v>4320</v>
      </c>
      <c r="E10" s="1150" t="s">
        <v>4056</v>
      </c>
      <c r="F10" s="2649">
        <v>1</v>
      </c>
      <c r="G10" s="2815">
        <v>181990</v>
      </c>
      <c r="H10" s="2815">
        <f t="shared" si="2"/>
        <v>181990</v>
      </c>
      <c r="I10" s="2797"/>
      <c r="J10" s="2498"/>
      <c r="K10" s="2798"/>
      <c r="L10" s="1149">
        <v>5</v>
      </c>
      <c r="M10" s="2474" t="s">
        <v>4296</v>
      </c>
      <c r="N10" s="2649">
        <f>+F198</f>
        <v>69</v>
      </c>
      <c r="O10" s="3333">
        <f>+H198</f>
        <v>177435</v>
      </c>
      <c r="P10" s="3334">
        <f t="shared" si="0"/>
        <v>5323.05</v>
      </c>
      <c r="Q10" s="3333"/>
      <c r="R10" s="3333">
        <f t="shared" si="1"/>
        <v>182758.05</v>
      </c>
      <c r="U10" s="2498"/>
      <c r="V10" s="598"/>
    </row>
    <row r="11" spans="2:22" ht="14.25" thickBot="1" x14ac:dyDescent="0.3">
      <c r="B11" s="2813" t="s">
        <v>4327</v>
      </c>
      <c r="C11" s="2814" t="s">
        <v>4328</v>
      </c>
      <c r="D11" s="1150" t="s">
        <v>4320</v>
      </c>
      <c r="E11" s="1150" t="s">
        <v>4056</v>
      </c>
      <c r="F11" s="2649">
        <v>1</v>
      </c>
      <c r="G11" s="2815">
        <v>8000</v>
      </c>
      <c r="H11" s="2815">
        <f t="shared" si="2"/>
        <v>8000</v>
      </c>
      <c r="I11" s="2797"/>
      <c r="J11" s="2498"/>
      <c r="K11" s="2798"/>
      <c r="L11" s="1149">
        <v>6</v>
      </c>
      <c r="M11" s="2474" t="s">
        <v>4285</v>
      </c>
      <c r="N11" s="2649">
        <f>+F241</f>
        <v>601</v>
      </c>
      <c r="O11" s="3333">
        <f>+H241</f>
        <v>230123</v>
      </c>
      <c r="P11" s="3334">
        <f t="shared" si="0"/>
        <v>6903.69</v>
      </c>
      <c r="Q11" s="3333"/>
      <c r="R11" s="3333">
        <f t="shared" si="1"/>
        <v>237026.69</v>
      </c>
      <c r="U11" s="2498"/>
      <c r="V11" s="598"/>
    </row>
    <row r="12" spans="2:22" ht="14.25" thickBot="1" x14ac:dyDescent="0.3">
      <c r="B12" s="2813" t="s">
        <v>4329</v>
      </c>
      <c r="C12" s="2814" t="s">
        <v>4330</v>
      </c>
      <c r="D12" s="1150" t="s">
        <v>4320</v>
      </c>
      <c r="E12" s="1150" t="s">
        <v>4056</v>
      </c>
      <c r="F12" s="2649">
        <v>1</v>
      </c>
      <c r="G12" s="2815">
        <v>60000</v>
      </c>
      <c r="H12" s="2815">
        <f t="shared" si="2"/>
        <v>60000</v>
      </c>
      <c r="I12" s="2797"/>
      <c r="J12" s="2498"/>
      <c r="K12" s="2798"/>
      <c r="L12" s="1149">
        <v>7</v>
      </c>
      <c r="M12" s="2474" t="s">
        <v>4331</v>
      </c>
      <c r="N12" s="2649">
        <f>+F301</f>
        <v>558</v>
      </c>
      <c r="O12" s="3333">
        <f>+H301</f>
        <v>930208</v>
      </c>
      <c r="P12" s="3334">
        <f t="shared" si="0"/>
        <v>27906.239999999998</v>
      </c>
      <c r="Q12" s="3333"/>
      <c r="R12" s="3333">
        <f t="shared" si="1"/>
        <v>958114.24</v>
      </c>
      <c r="U12" s="2498"/>
      <c r="V12" s="598"/>
    </row>
    <row r="13" spans="2:22" ht="14.25" thickBot="1" x14ac:dyDescent="0.3">
      <c r="B13" s="2813" t="s">
        <v>4332</v>
      </c>
      <c r="C13" s="2814" t="s">
        <v>4333</v>
      </c>
      <c r="D13" s="1150" t="s">
        <v>4320</v>
      </c>
      <c r="E13" s="1150" t="s">
        <v>4056</v>
      </c>
      <c r="F13" s="2649">
        <v>1</v>
      </c>
      <c r="G13" s="2815">
        <v>111350</v>
      </c>
      <c r="H13" s="2815">
        <f t="shared" si="2"/>
        <v>111350</v>
      </c>
      <c r="I13" s="2797"/>
      <c r="J13" s="2498"/>
      <c r="K13" s="2798"/>
      <c r="L13" s="1149">
        <v>8</v>
      </c>
      <c r="M13" s="2474" t="s">
        <v>4299</v>
      </c>
      <c r="N13" s="2649">
        <f>+F305</f>
        <v>2</v>
      </c>
      <c r="O13" s="3333">
        <f>+H305</f>
        <v>470671.25</v>
      </c>
      <c r="P13" s="3334">
        <f t="shared" si="0"/>
        <v>14120.137499999999</v>
      </c>
      <c r="Q13" s="3333"/>
      <c r="R13" s="3333">
        <f t="shared" si="1"/>
        <v>484791.38750000001</v>
      </c>
      <c r="U13" s="598"/>
      <c r="V13" s="598"/>
    </row>
    <row r="14" spans="2:22" ht="14.25" thickBot="1" x14ac:dyDescent="0.3">
      <c r="B14" s="2813" t="s">
        <v>4334</v>
      </c>
      <c r="C14" s="2814" t="s">
        <v>4335</v>
      </c>
      <c r="D14" s="1150" t="s">
        <v>4320</v>
      </c>
      <c r="E14" s="1150" t="s">
        <v>4056</v>
      </c>
      <c r="F14" s="2649">
        <v>1</v>
      </c>
      <c r="G14" s="2815">
        <v>2100</v>
      </c>
      <c r="H14" s="2815">
        <f t="shared" si="2"/>
        <v>2100</v>
      </c>
      <c r="I14" s="2797"/>
      <c r="J14" s="2498"/>
      <c r="K14" s="2798"/>
      <c r="L14" s="1149">
        <v>9</v>
      </c>
      <c r="M14" s="2474" t="s">
        <v>4336</v>
      </c>
      <c r="N14" s="2649">
        <f>+F314</f>
        <v>147</v>
      </c>
      <c r="O14" s="3333">
        <f>+H314</f>
        <v>26808.82</v>
      </c>
      <c r="P14" s="3334">
        <f>O14*0.03</f>
        <v>804.26459999999997</v>
      </c>
      <c r="Q14" s="3333">
        <v>536.17640000000006</v>
      </c>
      <c r="R14" s="3333">
        <f t="shared" si="1"/>
        <v>28149.260999999999</v>
      </c>
    </row>
    <row r="15" spans="2:22" ht="14.25" thickBot="1" x14ac:dyDescent="0.3">
      <c r="B15" s="2813" t="s">
        <v>4337</v>
      </c>
      <c r="C15" s="2814" t="s">
        <v>4338</v>
      </c>
      <c r="D15" s="1150" t="s">
        <v>4320</v>
      </c>
      <c r="E15" s="1150" t="s">
        <v>4056</v>
      </c>
      <c r="F15" s="2649">
        <v>6</v>
      </c>
      <c r="G15" s="2815">
        <v>6533</v>
      </c>
      <c r="H15" s="2815">
        <f t="shared" si="2"/>
        <v>39198</v>
      </c>
      <c r="I15" s="2797"/>
      <c r="J15" s="2797"/>
      <c r="K15" s="2798"/>
      <c r="L15" s="2831"/>
      <c r="M15" s="2832"/>
      <c r="N15" s="3330">
        <f>SUM(N6:N14)</f>
        <v>1786</v>
      </c>
      <c r="O15" s="3331">
        <f>SUM(O6:O14)</f>
        <v>7545056.0700000003</v>
      </c>
      <c r="P15" s="3331">
        <f>SUM(P6:P14)</f>
        <v>226351.68209999998</v>
      </c>
      <c r="Q15" s="3331">
        <f>SUM(Q6:Q14)</f>
        <v>103305.07639999999</v>
      </c>
      <c r="R15" s="3332">
        <f>SUM(R6:R14)</f>
        <v>7874712.8285000008</v>
      </c>
    </row>
    <row r="16" spans="2:22" ht="14.25" thickBot="1" x14ac:dyDescent="0.3">
      <c r="B16" s="2813" t="s">
        <v>4339</v>
      </c>
      <c r="C16" s="2814" t="s">
        <v>4340</v>
      </c>
      <c r="D16" s="1150" t="s">
        <v>4320</v>
      </c>
      <c r="E16" s="1150" t="s">
        <v>4056</v>
      </c>
      <c r="F16" s="2649">
        <v>1</v>
      </c>
      <c r="G16" s="2815">
        <v>4990</v>
      </c>
      <c r="H16" s="2815">
        <f t="shared" si="2"/>
        <v>4990</v>
      </c>
      <c r="I16" s="2797"/>
      <c r="J16" s="2797"/>
      <c r="K16" s="2798"/>
      <c r="L16" s="2800"/>
      <c r="M16" s="2811" t="s">
        <v>4341</v>
      </c>
      <c r="N16" s="598"/>
      <c r="O16" s="2801"/>
      <c r="P16" s="2802"/>
      <c r="Q16" s="2801"/>
      <c r="R16" s="2801"/>
    </row>
    <row r="17" spans="2:18" ht="14.25" thickBot="1" x14ac:dyDescent="0.3">
      <c r="B17" s="2813" t="s">
        <v>4342</v>
      </c>
      <c r="C17" s="2816" t="s">
        <v>4343</v>
      </c>
      <c r="D17" s="1150" t="s">
        <v>4320</v>
      </c>
      <c r="E17" s="1150" t="s">
        <v>4056</v>
      </c>
      <c r="F17" s="2649">
        <v>1</v>
      </c>
      <c r="G17" s="2815">
        <v>2938</v>
      </c>
      <c r="H17" s="2815">
        <f t="shared" si="2"/>
        <v>2938</v>
      </c>
      <c r="I17" s="2797"/>
      <c r="J17" s="2797"/>
      <c r="K17" s="2798"/>
      <c r="L17" s="2800"/>
      <c r="M17" s="598"/>
      <c r="N17" s="2355"/>
      <c r="O17" s="2801"/>
      <c r="P17" s="2802"/>
      <c r="Q17" s="2801"/>
      <c r="R17" s="2801"/>
    </row>
    <row r="18" spans="2:18" ht="14.25" thickBot="1" x14ac:dyDescent="0.3">
      <c r="B18" s="2813" t="s">
        <v>4344</v>
      </c>
      <c r="C18" s="2580" t="s">
        <v>4345</v>
      </c>
      <c r="D18" s="1150" t="s">
        <v>4320</v>
      </c>
      <c r="E18" s="1150" t="s">
        <v>4056</v>
      </c>
      <c r="F18" s="2649">
        <v>2</v>
      </c>
      <c r="G18" s="2815">
        <v>5160</v>
      </c>
      <c r="H18" s="2815">
        <f t="shared" si="2"/>
        <v>10320</v>
      </c>
      <c r="I18" s="2797"/>
      <c r="J18" s="2797"/>
      <c r="K18" s="2798"/>
      <c r="L18" s="2800"/>
      <c r="M18" s="2803" t="s">
        <v>4346</v>
      </c>
      <c r="N18" s="2355"/>
      <c r="O18" s="2801"/>
      <c r="P18" s="2802"/>
      <c r="Q18" s="2801"/>
      <c r="R18" s="2801"/>
    </row>
    <row r="19" spans="2:18" ht="14.25" thickBot="1" x14ac:dyDescent="0.3">
      <c r="B19" s="2813" t="s">
        <v>4347</v>
      </c>
      <c r="C19" s="2581" t="s">
        <v>4348</v>
      </c>
      <c r="D19" s="1150" t="s">
        <v>4320</v>
      </c>
      <c r="E19" s="1150" t="s">
        <v>4056</v>
      </c>
      <c r="F19" s="2649">
        <v>2</v>
      </c>
      <c r="G19" s="2815">
        <v>12524</v>
      </c>
      <c r="H19" s="2815">
        <f t="shared" si="2"/>
        <v>25048</v>
      </c>
      <c r="I19" s="2797"/>
      <c r="J19" s="2797"/>
      <c r="K19" s="2798"/>
      <c r="L19" s="2800"/>
      <c r="M19" s="2804" t="s">
        <v>4349</v>
      </c>
      <c r="N19" s="2355"/>
      <c r="O19" s="2801"/>
      <c r="P19" s="2802"/>
      <c r="Q19" s="2801"/>
      <c r="R19" s="2801"/>
    </row>
    <row r="20" spans="2:18" ht="14.25" thickBot="1" x14ac:dyDescent="0.3">
      <c r="B20" s="2813" t="s">
        <v>4350</v>
      </c>
      <c r="C20" s="2814" t="s">
        <v>4351</v>
      </c>
      <c r="D20" s="1150" t="s">
        <v>4320</v>
      </c>
      <c r="E20" s="1150" t="s">
        <v>4056</v>
      </c>
      <c r="F20" s="2649">
        <v>1</v>
      </c>
      <c r="G20" s="2815">
        <v>110</v>
      </c>
      <c r="H20" s="2815">
        <f t="shared" si="2"/>
        <v>110</v>
      </c>
      <c r="I20" s="2797"/>
      <c r="J20" s="2797"/>
      <c r="K20" s="2798"/>
      <c r="L20" s="2800"/>
      <c r="M20" s="2804" t="s">
        <v>4352</v>
      </c>
      <c r="N20" s="2355"/>
      <c r="O20" s="2801"/>
      <c r="P20" s="2802"/>
      <c r="Q20" s="2801"/>
      <c r="R20" s="2801"/>
    </row>
    <row r="21" spans="2:18" ht="14.25" thickBot="1" x14ac:dyDescent="0.3">
      <c r="B21" s="1150" t="s">
        <v>4353</v>
      </c>
      <c r="C21" s="2814" t="s">
        <v>4354</v>
      </c>
      <c r="D21" s="1150" t="s">
        <v>4320</v>
      </c>
      <c r="E21" s="1150" t="s">
        <v>4056</v>
      </c>
      <c r="F21" s="2649">
        <v>1</v>
      </c>
      <c r="G21" s="2815">
        <v>8140</v>
      </c>
      <c r="H21" s="2815">
        <f t="shared" si="2"/>
        <v>8140</v>
      </c>
      <c r="I21" s="2797"/>
      <c r="J21" s="2797"/>
      <c r="K21" s="2798"/>
      <c r="L21" s="2800"/>
      <c r="M21" s="598"/>
      <c r="N21" s="2355"/>
      <c r="O21" s="2801"/>
      <c r="P21" s="2802"/>
      <c r="Q21" s="2801"/>
      <c r="R21" s="2801"/>
    </row>
    <row r="22" spans="2:18" ht="14.25" thickBot="1" x14ac:dyDescent="0.3">
      <c r="B22" s="1150" t="s">
        <v>4355</v>
      </c>
      <c r="C22" s="2814" t="s">
        <v>4356</v>
      </c>
      <c r="D22" s="1150" t="s">
        <v>4320</v>
      </c>
      <c r="E22" s="1150" t="s">
        <v>4056</v>
      </c>
      <c r="F22" s="2649">
        <v>1</v>
      </c>
      <c r="G22" s="2815">
        <v>13040</v>
      </c>
      <c r="H22" s="2815">
        <f t="shared" si="2"/>
        <v>13040</v>
      </c>
      <c r="I22" s="2797"/>
      <c r="J22" s="2797"/>
      <c r="K22" s="2798"/>
      <c r="L22" s="997" t="s">
        <v>4357</v>
      </c>
    </row>
    <row r="23" spans="2:18" ht="41.25" thickBot="1" x14ac:dyDescent="0.3">
      <c r="B23" s="2813" t="s">
        <v>4358</v>
      </c>
      <c r="C23" s="2814" t="s">
        <v>4359</v>
      </c>
      <c r="D23" s="1150" t="s">
        <v>4320</v>
      </c>
      <c r="E23" s="1150" t="s">
        <v>4056</v>
      </c>
      <c r="F23" s="2649">
        <v>1</v>
      </c>
      <c r="G23" s="2815">
        <v>33090</v>
      </c>
      <c r="H23" s="2815">
        <f t="shared" si="2"/>
        <v>33090</v>
      </c>
      <c r="I23" s="2797"/>
      <c r="J23" s="2797"/>
      <c r="K23" s="2798"/>
      <c r="L23" s="1035" t="s">
        <v>3723</v>
      </c>
      <c r="M23" s="2479" t="s">
        <v>4269</v>
      </c>
      <c r="N23" s="2479" t="s">
        <v>4276</v>
      </c>
      <c r="O23" s="2479" t="s">
        <v>4308</v>
      </c>
      <c r="P23" s="2479" t="s">
        <v>4309</v>
      </c>
      <c r="Q23" s="2479" t="s">
        <v>4310</v>
      </c>
      <c r="R23" s="1036" t="s">
        <v>4141</v>
      </c>
    </row>
    <row r="24" spans="2:18" ht="14.25" thickBot="1" x14ac:dyDescent="0.3">
      <c r="B24" s="2813" t="s">
        <v>4360</v>
      </c>
      <c r="C24" s="2814" t="s">
        <v>4361</v>
      </c>
      <c r="D24" s="1150" t="s">
        <v>4320</v>
      </c>
      <c r="E24" s="1150" t="s">
        <v>4056</v>
      </c>
      <c r="F24" s="2649">
        <v>1</v>
      </c>
      <c r="G24" s="2815">
        <v>34703</v>
      </c>
      <c r="H24" s="2815">
        <f t="shared" si="2"/>
        <v>34703</v>
      </c>
      <c r="I24" s="2797"/>
      <c r="J24" s="2797"/>
      <c r="K24" s="2798"/>
      <c r="L24" s="1149">
        <v>1</v>
      </c>
      <c r="M24" s="2474" t="s">
        <v>4362</v>
      </c>
      <c r="N24" s="2824">
        <f>E458</f>
        <v>1781.5</v>
      </c>
      <c r="O24" s="2825">
        <f>H459</f>
        <v>998766.36</v>
      </c>
      <c r="P24" s="2825"/>
      <c r="Q24" s="2823"/>
      <c r="R24" s="2825">
        <f>SUM(O24:Q24)</f>
        <v>998766.36</v>
      </c>
    </row>
    <row r="25" spans="2:18" ht="14.25" thickBot="1" x14ac:dyDescent="0.3">
      <c r="B25" s="2813" t="s">
        <v>4363</v>
      </c>
      <c r="C25" s="2814" t="s">
        <v>4364</v>
      </c>
      <c r="D25" s="1150" t="s">
        <v>4320</v>
      </c>
      <c r="E25" s="1150" t="s">
        <v>4056</v>
      </c>
      <c r="F25" s="2649">
        <v>1</v>
      </c>
      <c r="G25" s="2815">
        <v>1990</v>
      </c>
      <c r="H25" s="2815">
        <f t="shared" si="2"/>
        <v>1990</v>
      </c>
      <c r="I25" s="2797"/>
      <c r="J25" s="2797"/>
      <c r="K25" s="2798"/>
      <c r="L25" s="2831"/>
      <c r="M25" s="2832" t="s">
        <v>0</v>
      </c>
      <c r="N25" s="2833">
        <f>SUM(N24:N24)</f>
        <v>1781.5</v>
      </c>
      <c r="O25" s="3315">
        <f>O24</f>
        <v>998766.36</v>
      </c>
      <c r="P25" s="3315">
        <f>P24</f>
        <v>0</v>
      </c>
      <c r="Q25" s="3315">
        <f>SUM(Q24:Q24)</f>
        <v>0</v>
      </c>
      <c r="R25" s="3316">
        <f>SUM(R24:R24)</f>
        <v>998766.36</v>
      </c>
    </row>
    <row r="26" spans="2:18" ht="14.25" thickBot="1" x14ac:dyDescent="0.3">
      <c r="B26" s="2813" t="s">
        <v>4365</v>
      </c>
      <c r="C26" s="2814" t="s">
        <v>4366</v>
      </c>
      <c r="D26" s="1150" t="s">
        <v>4320</v>
      </c>
      <c r="E26" s="1150" t="s">
        <v>4056</v>
      </c>
      <c r="F26" s="2649">
        <v>1</v>
      </c>
      <c r="G26" s="2815">
        <v>18520</v>
      </c>
      <c r="H26" s="2815">
        <f t="shared" si="2"/>
        <v>18520</v>
      </c>
      <c r="I26" s="2797"/>
      <c r="J26" s="2797"/>
      <c r="K26" s="2798"/>
      <c r="L26" s="2800"/>
      <c r="M26" s="2805" t="s">
        <v>4367</v>
      </c>
      <c r="N26" s="2355"/>
      <c r="O26" s="2801"/>
      <c r="P26" s="2802"/>
      <c r="Q26" s="2801"/>
      <c r="R26" s="2801"/>
    </row>
    <row r="27" spans="2:18" ht="14.25" thickBot="1" x14ac:dyDescent="0.3">
      <c r="B27" s="2813" t="s">
        <v>4368</v>
      </c>
      <c r="C27" s="2581" t="s">
        <v>4369</v>
      </c>
      <c r="D27" s="1150" t="s">
        <v>4320</v>
      </c>
      <c r="E27" s="1150" t="s">
        <v>4056</v>
      </c>
      <c r="F27" s="2649">
        <v>1</v>
      </c>
      <c r="G27" s="2815">
        <v>7900</v>
      </c>
      <c r="H27" s="2815">
        <f t="shared" si="2"/>
        <v>7900</v>
      </c>
      <c r="I27" s="2797"/>
      <c r="J27" s="2797"/>
      <c r="K27" s="2798"/>
      <c r="L27" s="2800"/>
      <c r="M27" s="598"/>
      <c r="N27" s="2355"/>
      <c r="O27" s="2801"/>
      <c r="P27" s="2802"/>
      <c r="Q27" s="2801"/>
      <c r="R27" s="2801"/>
    </row>
    <row r="28" spans="2:18" ht="14.25" thickBot="1" x14ac:dyDescent="0.3">
      <c r="B28" s="2813" t="s">
        <v>4370</v>
      </c>
      <c r="C28" s="2814" t="s">
        <v>4371</v>
      </c>
      <c r="D28" s="1150" t="s">
        <v>4320</v>
      </c>
      <c r="E28" s="1150" t="s">
        <v>4056</v>
      </c>
      <c r="F28" s="2649">
        <v>4</v>
      </c>
      <c r="G28" s="2815">
        <v>52046.5</v>
      </c>
      <c r="H28" s="2815">
        <f t="shared" si="2"/>
        <v>208186</v>
      </c>
      <c r="I28" s="2797"/>
      <c r="J28" s="2797"/>
      <c r="K28" s="2798"/>
      <c r="L28" s="4907" t="s">
        <v>4372</v>
      </c>
      <c r="M28" s="4907"/>
      <c r="N28" s="4907"/>
      <c r="O28" s="4907"/>
      <c r="P28" s="4907"/>
      <c r="Q28" s="4907"/>
      <c r="R28" s="2834">
        <f>R15+R25</f>
        <v>8873479.1885000002</v>
      </c>
    </row>
    <row r="29" spans="2:18" ht="14.25" thickBot="1" x14ac:dyDescent="0.3">
      <c r="B29" s="2813" t="s">
        <v>4373</v>
      </c>
      <c r="C29" s="2581" t="s">
        <v>4374</v>
      </c>
      <c r="D29" s="1150" t="s">
        <v>4320</v>
      </c>
      <c r="E29" s="1150" t="s">
        <v>4056</v>
      </c>
      <c r="F29" s="2649">
        <v>1</v>
      </c>
      <c r="G29" s="2815">
        <v>5900</v>
      </c>
      <c r="H29" s="2815">
        <f t="shared" si="2"/>
        <v>5900</v>
      </c>
      <c r="I29" s="2797"/>
      <c r="J29" s="2797"/>
      <c r="K29" s="2798"/>
      <c r="L29" s="2800"/>
      <c r="M29" s="598"/>
      <c r="N29" s="2355"/>
      <c r="O29" s="2801"/>
      <c r="P29" s="2802"/>
      <c r="Q29" s="2801"/>
      <c r="R29" s="2801"/>
    </row>
    <row r="30" spans="2:18" ht="14.25" thickBot="1" x14ac:dyDescent="0.3">
      <c r="B30" s="2813" t="s">
        <v>4375</v>
      </c>
      <c r="C30" s="2814" t="s">
        <v>4376</v>
      </c>
      <c r="D30" s="1150" t="s">
        <v>4320</v>
      </c>
      <c r="E30" s="1150" t="s">
        <v>4056</v>
      </c>
      <c r="F30" s="2649">
        <v>1</v>
      </c>
      <c r="G30" s="2815">
        <v>85000</v>
      </c>
      <c r="H30" s="2815">
        <f t="shared" si="2"/>
        <v>85000</v>
      </c>
      <c r="I30" s="2797"/>
      <c r="J30" s="2797"/>
      <c r="K30" s="2798"/>
      <c r="L30" s="2800"/>
      <c r="M30" s="598"/>
      <c r="N30" s="2355"/>
      <c r="O30" s="2801"/>
      <c r="P30" s="2802"/>
      <c r="Q30" s="2801"/>
      <c r="R30" s="2801"/>
    </row>
    <row r="31" spans="2:18" ht="14.25" thickBot="1" x14ac:dyDescent="0.3">
      <c r="B31" s="2813" t="s">
        <v>4377</v>
      </c>
      <c r="C31" s="2814" t="s">
        <v>4378</v>
      </c>
      <c r="D31" s="1150" t="s">
        <v>4320</v>
      </c>
      <c r="E31" s="1150" t="s">
        <v>4056</v>
      </c>
      <c r="F31" s="2649">
        <v>1</v>
      </c>
      <c r="G31" s="2815">
        <v>30400</v>
      </c>
      <c r="H31" s="2815">
        <f t="shared" si="2"/>
        <v>30400</v>
      </c>
      <c r="I31" s="2797"/>
      <c r="J31" s="2797"/>
      <c r="K31" s="2798"/>
      <c r="L31" s="2800"/>
      <c r="M31" s="598"/>
      <c r="N31" s="2355"/>
      <c r="O31" s="2801"/>
      <c r="P31" s="2802"/>
      <c r="Q31" s="2801"/>
      <c r="R31" s="2801"/>
    </row>
    <row r="32" spans="2:18" ht="14.25" thickBot="1" x14ac:dyDescent="0.3">
      <c r="B32" s="2813" t="s">
        <v>4379</v>
      </c>
      <c r="C32" s="2814" t="s">
        <v>4380</v>
      </c>
      <c r="D32" s="1150" t="s">
        <v>4320</v>
      </c>
      <c r="E32" s="1150" t="s">
        <v>4056</v>
      </c>
      <c r="F32" s="2649">
        <v>1</v>
      </c>
      <c r="G32" s="2815">
        <v>38000</v>
      </c>
      <c r="H32" s="2815">
        <f t="shared" si="2"/>
        <v>38000</v>
      </c>
      <c r="I32" s="2797"/>
      <c r="J32" s="2797"/>
      <c r="K32" s="2798"/>
      <c r="L32" s="2800"/>
      <c r="M32" s="598"/>
      <c r="N32" s="2355"/>
      <c r="O32" s="2801"/>
      <c r="P32" s="2802"/>
      <c r="Q32" s="2801"/>
      <c r="R32" s="2801"/>
    </row>
    <row r="33" spans="2:18" ht="14.25" thickBot="1" x14ac:dyDescent="0.3">
      <c r="B33" s="2813" t="s">
        <v>4381</v>
      </c>
      <c r="C33" s="2814" t="s">
        <v>4382</v>
      </c>
      <c r="D33" s="1150" t="s">
        <v>4320</v>
      </c>
      <c r="E33" s="1150" t="s">
        <v>4056</v>
      </c>
      <c r="F33" s="2649">
        <v>2</v>
      </c>
      <c r="G33" s="2815">
        <v>2536</v>
      </c>
      <c r="H33" s="2815">
        <f t="shared" si="2"/>
        <v>5072</v>
      </c>
      <c r="I33" s="2797"/>
      <c r="J33" s="2797"/>
      <c r="K33" s="2798"/>
      <c r="L33" s="2800"/>
      <c r="M33" s="598"/>
      <c r="N33" s="2355"/>
      <c r="O33" s="2801"/>
      <c r="P33" s="2802"/>
      <c r="Q33" s="2801"/>
      <c r="R33" s="2801"/>
    </row>
    <row r="34" spans="2:18" ht="14.25" thickBot="1" x14ac:dyDescent="0.3">
      <c r="B34" s="1150" t="s">
        <v>4383</v>
      </c>
      <c r="C34" s="2814" t="s">
        <v>4384</v>
      </c>
      <c r="D34" s="1150" t="s">
        <v>4320</v>
      </c>
      <c r="E34" s="1150" t="s">
        <v>4056</v>
      </c>
      <c r="F34" s="2649">
        <v>6</v>
      </c>
      <c r="G34" s="2815">
        <v>1400</v>
      </c>
      <c r="H34" s="2815">
        <f t="shared" si="2"/>
        <v>8400</v>
      </c>
      <c r="I34" s="2797"/>
      <c r="J34" s="2797"/>
      <c r="K34" s="2798"/>
      <c r="L34" s="2800"/>
      <c r="M34" s="598"/>
      <c r="N34" s="2355"/>
      <c r="O34" s="2801"/>
      <c r="P34" s="2802"/>
      <c r="Q34" s="2801"/>
      <c r="R34" s="2801"/>
    </row>
    <row r="35" spans="2:18" ht="14.25" thickBot="1" x14ac:dyDescent="0.3">
      <c r="B35" s="2813" t="s">
        <v>4385</v>
      </c>
      <c r="C35" s="2814" t="s">
        <v>4386</v>
      </c>
      <c r="D35" s="1150" t="s">
        <v>4320</v>
      </c>
      <c r="E35" s="1150" t="s">
        <v>4056</v>
      </c>
      <c r="F35" s="2649">
        <v>4</v>
      </c>
      <c r="G35" s="2815">
        <v>5450</v>
      </c>
      <c r="H35" s="2815">
        <f t="shared" si="2"/>
        <v>21800</v>
      </c>
      <c r="I35" s="2797"/>
      <c r="J35" s="2797"/>
      <c r="K35" s="2798"/>
      <c r="L35" s="2800"/>
      <c r="M35" s="598"/>
      <c r="N35" s="2355"/>
      <c r="O35" s="2801"/>
      <c r="P35" s="2802"/>
      <c r="Q35" s="2801"/>
      <c r="R35" s="2801"/>
    </row>
    <row r="36" spans="2:18" ht="14.25" thickBot="1" x14ac:dyDescent="0.3">
      <c r="B36" s="2813" t="s">
        <v>4387</v>
      </c>
      <c r="C36" s="2814" t="s">
        <v>4388</v>
      </c>
      <c r="D36" s="1150" t="s">
        <v>4320</v>
      </c>
      <c r="E36" s="1150" t="s">
        <v>4056</v>
      </c>
      <c r="F36" s="2649">
        <v>2</v>
      </c>
      <c r="G36" s="2815">
        <v>3000</v>
      </c>
      <c r="H36" s="2815">
        <f t="shared" si="2"/>
        <v>6000</v>
      </c>
      <c r="I36" s="2797"/>
      <c r="J36" s="2797"/>
      <c r="K36" s="2798"/>
      <c r="L36" s="2800"/>
      <c r="M36" s="598"/>
      <c r="N36" s="2355"/>
      <c r="O36" s="2801"/>
      <c r="P36" s="2802"/>
      <c r="Q36" s="2801"/>
      <c r="R36" s="2801"/>
    </row>
    <row r="37" spans="2:18" ht="14.25" thickBot="1" x14ac:dyDescent="0.3">
      <c r="B37" s="2813" t="s">
        <v>4389</v>
      </c>
      <c r="C37" s="2814" t="s">
        <v>4390</v>
      </c>
      <c r="D37" s="1150" t="s">
        <v>4320</v>
      </c>
      <c r="E37" s="1150" t="s">
        <v>4056</v>
      </c>
      <c r="F37" s="2649">
        <v>1</v>
      </c>
      <c r="G37" s="2815">
        <v>468900</v>
      </c>
      <c r="H37" s="2815">
        <f t="shared" si="2"/>
        <v>468900</v>
      </c>
      <c r="I37" s="2797"/>
      <c r="J37" s="2797"/>
      <c r="K37" s="2798"/>
      <c r="L37" s="2800"/>
      <c r="M37" s="598"/>
      <c r="N37" s="2355"/>
      <c r="O37" s="2801"/>
      <c r="P37" s="2802"/>
      <c r="Q37" s="2801"/>
      <c r="R37" s="2801"/>
    </row>
    <row r="38" spans="2:18" ht="14.25" thickBot="1" x14ac:dyDescent="0.3">
      <c r="B38" s="2813" t="s">
        <v>4391</v>
      </c>
      <c r="C38" s="2814" t="s">
        <v>4392</v>
      </c>
      <c r="D38" s="1150" t="s">
        <v>4320</v>
      </c>
      <c r="E38" s="1150" t="s">
        <v>4056</v>
      </c>
      <c r="F38" s="2649">
        <v>1</v>
      </c>
      <c r="G38" s="2815">
        <v>121800</v>
      </c>
      <c r="H38" s="2815">
        <f t="shared" si="2"/>
        <v>121800</v>
      </c>
      <c r="I38" s="2797"/>
      <c r="J38" s="2797"/>
      <c r="K38" s="2798"/>
      <c r="L38" s="2498"/>
      <c r="M38" s="598"/>
      <c r="N38" s="2355"/>
      <c r="O38" s="2801"/>
      <c r="P38" s="2802"/>
      <c r="Q38" s="2801"/>
      <c r="R38" s="2801"/>
    </row>
    <row r="39" spans="2:18" ht="14.25" thickBot="1" x14ac:dyDescent="0.3">
      <c r="B39" s="2813" t="s">
        <v>4393</v>
      </c>
      <c r="C39" s="2816" t="s">
        <v>4394</v>
      </c>
      <c r="D39" s="1150" t="s">
        <v>4320</v>
      </c>
      <c r="E39" s="1150" t="s">
        <v>4056</v>
      </c>
      <c r="F39" s="2649">
        <v>4</v>
      </c>
      <c r="G39" s="2815">
        <v>10150</v>
      </c>
      <c r="H39" s="2815">
        <f t="shared" si="2"/>
        <v>40600</v>
      </c>
      <c r="I39" s="2797"/>
      <c r="J39" s="2797"/>
      <c r="K39" s="2798"/>
      <c r="L39" s="2800"/>
      <c r="M39" s="2498"/>
      <c r="N39" s="2498"/>
      <c r="O39" s="2498"/>
      <c r="P39" s="2498"/>
      <c r="Q39" s="2498"/>
      <c r="R39" s="2498"/>
    </row>
    <row r="40" spans="2:18" ht="14.25" thickBot="1" x14ac:dyDescent="0.3">
      <c r="B40" s="2813" t="s">
        <v>4395</v>
      </c>
      <c r="C40" s="2814" t="s">
        <v>4396</v>
      </c>
      <c r="D40" s="1150" t="s">
        <v>4320</v>
      </c>
      <c r="E40" s="1150" t="s">
        <v>4056</v>
      </c>
      <c r="F40" s="2649">
        <v>1</v>
      </c>
      <c r="G40" s="2815">
        <v>48600</v>
      </c>
      <c r="H40" s="2815">
        <f t="shared" si="2"/>
        <v>48600</v>
      </c>
      <c r="I40" s="2797"/>
      <c r="J40" s="2797"/>
      <c r="K40" s="2798"/>
      <c r="L40" s="2800"/>
      <c r="M40" s="598"/>
      <c r="N40" s="2355"/>
      <c r="O40" s="2801"/>
      <c r="P40" s="2802"/>
      <c r="Q40" s="2801"/>
      <c r="R40" s="2801"/>
    </row>
    <row r="41" spans="2:18" ht="14.25" thickBot="1" x14ac:dyDescent="0.3">
      <c r="B41" s="1150" t="s">
        <v>4397</v>
      </c>
      <c r="C41" s="2814" t="s">
        <v>4398</v>
      </c>
      <c r="D41" s="1150" t="s">
        <v>4320</v>
      </c>
      <c r="E41" s="1150" t="s">
        <v>4056</v>
      </c>
      <c r="F41" s="2649">
        <v>1</v>
      </c>
      <c r="G41" s="2815">
        <v>1156400</v>
      </c>
      <c r="H41" s="2815">
        <f t="shared" si="2"/>
        <v>1156400</v>
      </c>
      <c r="I41" s="2797"/>
      <c r="J41" s="2797"/>
      <c r="K41" s="2798"/>
      <c r="L41" s="2800"/>
      <c r="M41" s="598"/>
      <c r="N41" s="2355"/>
      <c r="O41" s="2801"/>
      <c r="P41" s="2802"/>
      <c r="Q41" s="2801"/>
      <c r="R41" s="2801"/>
    </row>
    <row r="42" spans="2:18" ht="14.25" thickBot="1" x14ac:dyDescent="0.3">
      <c r="B42" s="2813" t="s">
        <v>4399</v>
      </c>
      <c r="C42" s="2814" t="s">
        <v>4400</v>
      </c>
      <c r="D42" s="1150" t="s">
        <v>4320</v>
      </c>
      <c r="E42" s="1150" t="s">
        <v>4056</v>
      </c>
      <c r="F42" s="2649">
        <v>1</v>
      </c>
      <c r="G42" s="2815">
        <v>34810</v>
      </c>
      <c r="H42" s="2815">
        <f t="shared" si="2"/>
        <v>34810</v>
      </c>
      <c r="I42" s="2797"/>
      <c r="J42" s="2797"/>
      <c r="K42" s="2798"/>
      <c r="L42" s="2800"/>
      <c r="M42" s="598"/>
      <c r="N42" s="2355"/>
      <c r="O42" s="2801"/>
      <c r="P42" s="2802"/>
      <c r="Q42" s="2801"/>
      <c r="R42" s="2801"/>
    </row>
    <row r="43" spans="2:18" ht="14.25" thickBot="1" x14ac:dyDescent="0.3">
      <c r="B43" s="2813" t="s">
        <v>4401</v>
      </c>
      <c r="C43" s="2814" t="s">
        <v>4402</v>
      </c>
      <c r="D43" s="1150" t="s">
        <v>4320</v>
      </c>
      <c r="E43" s="1150" t="s">
        <v>4056</v>
      </c>
      <c r="F43" s="2649">
        <v>4</v>
      </c>
      <c r="G43" s="2815">
        <v>31500</v>
      </c>
      <c r="H43" s="2815">
        <f t="shared" si="2"/>
        <v>126000</v>
      </c>
      <c r="I43" s="2797"/>
      <c r="J43" s="2797"/>
      <c r="K43" s="2798"/>
      <c r="L43" s="2800"/>
      <c r="M43" s="598"/>
      <c r="N43" s="2355"/>
      <c r="O43" s="2801"/>
      <c r="P43" s="2802"/>
      <c r="Q43" s="2801"/>
      <c r="R43" s="2801"/>
    </row>
    <row r="44" spans="2:18" ht="14.25" thickBot="1" x14ac:dyDescent="0.3">
      <c r="B44" s="1150" t="s">
        <v>4403</v>
      </c>
      <c r="C44" s="2814" t="s">
        <v>4404</v>
      </c>
      <c r="D44" s="1150" t="s">
        <v>4320</v>
      </c>
      <c r="E44" s="1150" t="s">
        <v>4056</v>
      </c>
      <c r="F44" s="2649">
        <v>1</v>
      </c>
      <c r="G44" s="2815">
        <v>38990</v>
      </c>
      <c r="H44" s="2815">
        <f t="shared" si="2"/>
        <v>38990</v>
      </c>
      <c r="I44" s="2797"/>
      <c r="J44" s="2797"/>
      <c r="K44" s="2798"/>
      <c r="L44" s="2800"/>
      <c r="M44" s="598"/>
      <c r="N44" s="2355"/>
      <c r="O44" s="2801"/>
      <c r="P44" s="2802"/>
      <c r="Q44" s="2801"/>
      <c r="R44" s="2801"/>
    </row>
    <row r="45" spans="2:18" ht="14.25" thickBot="1" x14ac:dyDescent="0.3">
      <c r="B45" s="2813" t="s">
        <v>4405</v>
      </c>
      <c r="C45" s="2814" t="s">
        <v>4406</v>
      </c>
      <c r="D45" s="1150" t="s">
        <v>4320</v>
      </c>
      <c r="E45" s="1150" t="s">
        <v>4056</v>
      </c>
      <c r="F45" s="2649">
        <v>2</v>
      </c>
      <c r="G45" s="2815">
        <v>21029</v>
      </c>
      <c r="H45" s="2815">
        <f t="shared" si="2"/>
        <v>42058</v>
      </c>
      <c r="I45" s="2797"/>
      <c r="J45" s="2797"/>
      <c r="K45" s="2798"/>
      <c r="L45" s="2800"/>
      <c r="M45" s="598"/>
      <c r="N45" s="2355"/>
      <c r="O45" s="2801"/>
      <c r="P45" s="2802"/>
      <c r="Q45" s="2801"/>
      <c r="R45" s="2801"/>
    </row>
    <row r="46" spans="2:18" ht="14.25" thickBot="1" x14ac:dyDescent="0.3">
      <c r="B46" s="2813" t="s">
        <v>4407</v>
      </c>
      <c r="C46" s="2814" t="s">
        <v>4408</v>
      </c>
      <c r="D46" s="1150" t="s">
        <v>4320</v>
      </c>
      <c r="E46" s="1150" t="s">
        <v>4056</v>
      </c>
      <c r="F46" s="2649">
        <v>2</v>
      </c>
      <c r="G46" s="2815">
        <v>11520</v>
      </c>
      <c r="H46" s="2815">
        <f t="shared" si="2"/>
        <v>23040</v>
      </c>
      <c r="I46" s="2797"/>
      <c r="J46" s="2797"/>
      <c r="K46" s="2798"/>
      <c r="L46" s="2800"/>
      <c r="M46" s="598"/>
      <c r="N46" s="2355"/>
      <c r="O46" s="2801"/>
      <c r="P46" s="2802"/>
      <c r="Q46" s="2801"/>
      <c r="R46" s="2801"/>
    </row>
    <row r="47" spans="2:18" ht="14.25" thickBot="1" x14ac:dyDescent="0.3">
      <c r="B47" s="2813" t="s">
        <v>4409</v>
      </c>
      <c r="C47" s="2814" t="s">
        <v>4410</v>
      </c>
      <c r="D47" s="1150" t="s">
        <v>4320</v>
      </c>
      <c r="E47" s="1150" t="s">
        <v>4056</v>
      </c>
      <c r="F47" s="2649">
        <v>1</v>
      </c>
      <c r="G47" s="2815">
        <v>4200</v>
      </c>
      <c r="H47" s="2815">
        <f t="shared" si="2"/>
        <v>4200</v>
      </c>
      <c r="I47" s="2797"/>
      <c r="J47" s="2797"/>
      <c r="K47" s="2798"/>
      <c r="L47" s="2800"/>
      <c r="M47" s="598"/>
      <c r="N47" s="2355"/>
      <c r="O47" s="2801"/>
      <c r="P47" s="2802"/>
      <c r="Q47" s="2801"/>
      <c r="R47" s="2801"/>
    </row>
    <row r="48" spans="2:18" ht="14.25" thickBot="1" x14ac:dyDescent="0.3">
      <c r="B48" s="1150" t="s">
        <v>4411</v>
      </c>
      <c r="C48" s="2814" t="s">
        <v>4412</v>
      </c>
      <c r="D48" s="1150" t="s">
        <v>4320</v>
      </c>
      <c r="E48" s="1150" t="s">
        <v>4056</v>
      </c>
      <c r="F48" s="2649">
        <v>3</v>
      </c>
      <c r="G48" s="2815">
        <v>460</v>
      </c>
      <c r="H48" s="2815">
        <f t="shared" si="2"/>
        <v>1380</v>
      </c>
      <c r="I48" s="2797"/>
      <c r="J48" s="2797"/>
      <c r="K48" s="2798"/>
      <c r="L48" s="2800"/>
      <c r="M48" s="598"/>
      <c r="N48" s="2355"/>
      <c r="O48" s="2801"/>
      <c r="P48" s="2802"/>
      <c r="Q48" s="2801"/>
      <c r="R48" s="2801"/>
    </row>
    <row r="49" spans="2:18" ht="14.25" thickBot="1" x14ac:dyDescent="0.3">
      <c r="B49" s="1150" t="s">
        <v>4413</v>
      </c>
      <c r="C49" s="2814" t="s">
        <v>4414</v>
      </c>
      <c r="D49" s="1150" t="s">
        <v>4320</v>
      </c>
      <c r="E49" s="1150" t="s">
        <v>4056</v>
      </c>
      <c r="F49" s="2649">
        <v>1</v>
      </c>
      <c r="G49" s="2815">
        <v>4950</v>
      </c>
      <c r="H49" s="2815">
        <f t="shared" si="2"/>
        <v>4950</v>
      </c>
      <c r="I49" s="2797"/>
      <c r="J49" s="2797"/>
      <c r="K49" s="2798"/>
      <c r="L49" s="2800"/>
      <c r="M49" s="598"/>
      <c r="N49" s="2355"/>
      <c r="O49" s="2801"/>
      <c r="P49" s="2802"/>
      <c r="Q49" s="2801"/>
      <c r="R49" s="2801"/>
    </row>
    <row r="50" spans="2:18" ht="14.25" thickBot="1" x14ac:dyDescent="0.3">
      <c r="B50" s="2813" t="s">
        <v>4415</v>
      </c>
      <c r="C50" s="2817" t="s">
        <v>4416</v>
      </c>
      <c r="D50" s="1150" t="s">
        <v>4320</v>
      </c>
      <c r="E50" s="1150" t="s">
        <v>4056</v>
      </c>
      <c r="F50" s="2649">
        <v>2</v>
      </c>
      <c r="G50" s="2815">
        <v>60000</v>
      </c>
      <c r="H50" s="2815">
        <f t="shared" si="2"/>
        <v>120000</v>
      </c>
      <c r="I50" s="2797"/>
      <c r="J50" s="2797"/>
      <c r="K50" s="2798"/>
      <c r="L50" s="2800"/>
      <c r="M50" s="598"/>
      <c r="N50" s="2355"/>
      <c r="O50" s="2801"/>
      <c r="P50" s="2802"/>
      <c r="Q50" s="2801"/>
      <c r="R50" s="2801"/>
    </row>
    <row r="51" spans="2:18" ht="14.25" thickBot="1" x14ac:dyDescent="0.3">
      <c r="B51" s="2813" t="s">
        <v>4417</v>
      </c>
      <c r="C51" s="2814" t="s">
        <v>4418</v>
      </c>
      <c r="D51" s="1150" t="s">
        <v>4320</v>
      </c>
      <c r="E51" s="1150" t="s">
        <v>4056</v>
      </c>
      <c r="F51" s="2649">
        <v>1</v>
      </c>
      <c r="G51" s="2815">
        <v>8100</v>
      </c>
      <c r="H51" s="2815">
        <f t="shared" si="2"/>
        <v>8100</v>
      </c>
      <c r="I51" s="2797"/>
      <c r="J51" s="2797"/>
      <c r="K51" s="2798"/>
      <c r="L51" s="2800"/>
      <c r="M51" s="598"/>
      <c r="N51" s="2355"/>
      <c r="O51" s="2801"/>
      <c r="P51" s="2802"/>
      <c r="Q51" s="2801"/>
      <c r="R51" s="2801"/>
    </row>
    <row r="52" spans="2:18" ht="14.25" thickBot="1" x14ac:dyDescent="0.3">
      <c r="B52" s="1150" t="s">
        <v>4419</v>
      </c>
      <c r="C52" s="2814" t="s">
        <v>4420</v>
      </c>
      <c r="D52" s="1150" t="s">
        <v>4320</v>
      </c>
      <c r="E52" s="1150" t="s">
        <v>4056</v>
      </c>
      <c r="F52" s="2649">
        <v>12</v>
      </c>
      <c r="G52" s="2815">
        <v>5498</v>
      </c>
      <c r="H52" s="2815">
        <f t="shared" si="2"/>
        <v>65976</v>
      </c>
      <c r="I52" s="2797"/>
      <c r="J52" s="2797"/>
      <c r="K52" s="2798"/>
      <c r="L52" s="2800"/>
      <c r="M52" s="598"/>
      <c r="N52" s="2355"/>
      <c r="O52" s="2801"/>
      <c r="P52" s="2802"/>
      <c r="Q52" s="2801"/>
      <c r="R52" s="2801"/>
    </row>
    <row r="53" spans="2:18" ht="14.25" thickBot="1" x14ac:dyDescent="0.3">
      <c r="B53" s="2813" t="s">
        <v>4421</v>
      </c>
      <c r="C53" s="2814" t="s">
        <v>4422</v>
      </c>
      <c r="D53" s="1150" t="s">
        <v>4320</v>
      </c>
      <c r="E53" s="1150" t="s">
        <v>4056</v>
      </c>
      <c r="F53" s="2649">
        <v>2</v>
      </c>
      <c r="G53" s="2815">
        <v>990</v>
      </c>
      <c r="H53" s="2815">
        <f t="shared" si="2"/>
        <v>1980</v>
      </c>
      <c r="I53" s="2797"/>
      <c r="J53" s="2797"/>
      <c r="K53" s="2798"/>
      <c r="L53" s="2800"/>
      <c r="M53" s="598"/>
      <c r="N53" s="2355"/>
      <c r="O53" s="2801"/>
      <c r="P53" s="2802"/>
      <c r="Q53" s="2801"/>
      <c r="R53" s="2801"/>
    </row>
    <row r="54" spans="2:18" ht="14.25" thickBot="1" x14ac:dyDescent="0.3">
      <c r="B54" s="2813" t="s">
        <v>4423</v>
      </c>
      <c r="C54" s="2816" t="s">
        <v>4424</v>
      </c>
      <c r="D54" s="1150" t="s">
        <v>4320</v>
      </c>
      <c r="E54" s="1150" t="s">
        <v>4056</v>
      </c>
      <c r="F54" s="2649">
        <v>3</v>
      </c>
      <c r="G54" s="2815">
        <v>44000</v>
      </c>
      <c r="H54" s="2815">
        <f t="shared" si="2"/>
        <v>132000</v>
      </c>
      <c r="I54" s="2797"/>
      <c r="J54" s="2797"/>
      <c r="K54" s="2798"/>
      <c r="L54" s="2800"/>
      <c r="M54" s="598"/>
      <c r="N54" s="2355"/>
      <c r="O54" s="2801"/>
      <c r="P54" s="2802"/>
      <c r="Q54" s="2801"/>
      <c r="R54" s="2801"/>
    </row>
    <row r="55" spans="2:18" ht="14.25" thickBot="1" x14ac:dyDescent="0.3">
      <c r="B55" s="2813" t="s">
        <v>4425</v>
      </c>
      <c r="C55" s="2816" t="s">
        <v>4426</v>
      </c>
      <c r="D55" s="1150" t="s">
        <v>4320</v>
      </c>
      <c r="E55" s="1150" t="s">
        <v>4056</v>
      </c>
      <c r="F55" s="2649">
        <v>1</v>
      </c>
      <c r="G55" s="2815">
        <v>120000</v>
      </c>
      <c r="H55" s="2815">
        <f t="shared" si="2"/>
        <v>120000</v>
      </c>
      <c r="I55" s="2797"/>
      <c r="J55" s="2797"/>
      <c r="K55" s="2798"/>
      <c r="L55" s="2800"/>
      <c r="M55" s="598"/>
      <c r="N55" s="2355"/>
      <c r="O55" s="2801"/>
      <c r="P55" s="2802"/>
      <c r="Q55" s="2801"/>
      <c r="R55" s="2801"/>
    </row>
    <row r="56" spans="2:18" ht="14.25" thickBot="1" x14ac:dyDescent="0.3">
      <c r="B56" s="1150" t="s">
        <v>4427</v>
      </c>
      <c r="C56" s="2814" t="s">
        <v>4428</v>
      </c>
      <c r="D56" s="1150" t="s">
        <v>4320</v>
      </c>
      <c r="E56" s="1150" t="s">
        <v>4056</v>
      </c>
      <c r="F56" s="2649">
        <v>2</v>
      </c>
      <c r="G56" s="2815">
        <v>42000</v>
      </c>
      <c r="H56" s="2815">
        <f t="shared" si="2"/>
        <v>84000</v>
      </c>
      <c r="I56" s="2797"/>
      <c r="J56" s="2797"/>
      <c r="K56" s="2798"/>
      <c r="L56" s="2800"/>
      <c r="M56" s="598"/>
      <c r="N56" s="2355"/>
      <c r="O56" s="2801"/>
      <c r="P56" s="2802"/>
      <c r="Q56" s="2801"/>
      <c r="R56" s="2801"/>
    </row>
    <row r="57" spans="2:18" ht="14.25" thickBot="1" x14ac:dyDescent="0.3">
      <c r="B57" s="1150" t="s">
        <v>4429</v>
      </c>
      <c r="C57" s="2814" t="s">
        <v>4430</v>
      </c>
      <c r="D57" s="1150" t="s">
        <v>4320</v>
      </c>
      <c r="E57" s="1150" t="s">
        <v>4056</v>
      </c>
      <c r="F57" s="2649">
        <v>1</v>
      </c>
      <c r="G57" s="2815">
        <v>198</v>
      </c>
      <c r="H57" s="2815">
        <f t="shared" si="2"/>
        <v>198</v>
      </c>
      <c r="I57" s="2797"/>
      <c r="J57" s="2797"/>
      <c r="K57" s="2798"/>
      <c r="L57" s="2800"/>
      <c r="M57" s="598"/>
      <c r="N57" s="2355"/>
      <c r="O57" s="2801"/>
      <c r="P57" s="2802"/>
      <c r="Q57" s="2801"/>
      <c r="R57" s="2801"/>
    </row>
    <row r="58" spans="2:18" ht="14.25" thickBot="1" x14ac:dyDescent="0.3">
      <c r="B58" s="2813" t="s">
        <v>4431</v>
      </c>
      <c r="C58" s="2814" t="s">
        <v>4432</v>
      </c>
      <c r="D58" s="1150" t="s">
        <v>4320</v>
      </c>
      <c r="E58" s="1150" t="s">
        <v>4056</v>
      </c>
      <c r="F58" s="2649">
        <v>2</v>
      </c>
      <c r="G58" s="2815">
        <v>8700</v>
      </c>
      <c r="H58" s="2815">
        <f t="shared" si="2"/>
        <v>17400</v>
      </c>
      <c r="I58" s="2797"/>
      <c r="J58" s="2797"/>
      <c r="K58" s="2798"/>
      <c r="L58" s="2800"/>
      <c r="M58" s="598"/>
      <c r="N58" s="2355"/>
      <c r="O58" s="2801"/>
      <c r="P58" s="2802"/>
      <c r="Q58" s="2801"/>
      <c r="R58" s="2801"/>
    </row>
    <row r="59" spans="2:18" ht="14.25" thickBot="1" x14ac:dyDescent="0.3">
      <c r="B59" s="2813" t="s">
        <v>4433</v>
      </c>
      <c r="C59" s="2816" t="s">
        <v>4434</v>
      </c>
      <c r="D59" s="1150" t="s">
        <v>4320</v>
      </c>
      <c r="E59" s="1150" t="s">
        <v>4056</v>
      </c>
      <c r="F59" s="2649">
        <v>4</v>
      </c>
      <c r="G59" s="2815">
        <v>36000</v>
      </c>
      <c r="H59" s="2815">
        <f t="shared" si="2"/>
        <v>144000</v>
      </c>
      <c r="I59" s="2797"/>
      <c r="J59" s="2797"/>
      <c r="K59" s="2798"/>
      <c r="L59" s="2800"/>
      <c r="M59" s="598"/>
      <c r="N59" s="2355"/>
      <c r="O59" s="2801"/>
      <c r="P59" s="2802"/>
      <c r="Q59" s="2801"/>
      <c r="R59" s="2801"/>
    </row>
    <row r="60" spans="2:18" ht="14.25" thickBot="1" x14ac:dyDescent="0.3">
      <c r="B60" s="2813" t="s">
        <v>4435</v>
      </c>
      <c r="C60" s="2816" t="s">
        <v>4436</v>
      </c>
      <c r="D60" s="1150" t="s">
        <v>4320</v>
      </c>
      <c r="E60" s="1150" t="s">
        <v>4056</v>
      </c>
      <c r="F60" s="2649">
        <v>5</v>
      </c>
      <c r="G60" s="2815">
        <v>6541</v>
      </c>
      <c r="H60" s="2815">
        <f t="shared" si="2"/>
        <v>32705</v>
      </c>
      <c r="I60" s="2797"/>
      <c r="J60" s="2797"/>
      <c r="K60" s="2798"/>
      <c r="L60" s="2800"/>
      <c r="M60" s="598"/>
      <c r="N60" s="2355"/>
      <c r="O60" s="2801"/>
      <c r="P60" s="2802"/>
      <c r="Q60" s="2801"/>
      <c r="R60" s="2801"/>
    </row>
    <row r="61" spans="2:18" ht="14.25" thickBot="1" x14ac:dyDescent="0.3">
      <c r="B61" s="1150" t="s">
        <v>4437</v>
      </c>
      <c r="C61" s="2581" t="s">
        <v>4438</v>
      </c>
      <c r="D61" s="1150" t="s">
        <v>4320</v>
      </c>
      <c r="E61" s="1150" t="s">
        <v>4056</v>
      </c>
      <c r="F61" s="2649">
        <v>2</v>
      </c>
      <c r="G61" s="2815">
        <v>3800</v>
      </c>
      <c r="H61" s="2815">
        <f t="shared" si="2"/>
        <v>7600</v>
      </c>
      <c r="I61" s="2797"/>
      <c r="J61" s="2797"/>
      <c r="K61" s="2798"/>
      <c r="L61" s="2800"/>
      <c r="M61" s="598"/>
      <c r="N61" s="2355"/>
      <c r="O61" s="2801"/>
      <c r="P61" s="2802"/>
      <c r="Q61" s="2801"/>
      <c r="R61" s="2801"/>
    </row>
    <row r="62" spans="2:18" ht="14.25" thickBot="1" x14ac:dyDescent="0.3">
      <c r="B62" s="2813" t="s">
        <v>4439</v>
      </c>
      <c r="C62" s="2814" t="s">
        <v>4440</v>
      </c>
      <c r="D62" s="1150" t="s">
        <v>4320</v>
      </c>
      <c r="E62" s="1150" t="s">
        <v>4056</v>
      </c>
      <c r="F62" s="2649">
        <v>1</v>
      </c>
      <c r="G62" s="2815">
        <v>298</v>
      </c>
      <c r="H62" s="2815">
        <f t="shared" si="2"/>
        <v>298</v>
      </c>
      <c r="I62" s="2797"/>
      <c r="J62" s="2797"/>
      <c r="K62" s="2798"/>
      <c r="L62" s="2800"/>
      <c r="M62" s="598"/>
      <c r="N62" s="2355"/>
      <c r="O62" s="2801"/>
      <c r="P62" s="2802"/>
      <c r="Q62" s="2801"/>
      <c r="R62" s="2801"/>
    </row>
    <row r="63" spans="2:18" ht="14.25" thickBot="1" x14ac:dyDescent="0.3">
      <c r="B63" s="2813" t="s">
        <v>4441</v>
      </c>
      <c r="C63" s="2816" t="s">
        <v>4442</v>
      </c>
      <c r="D63" s="1150" t="s">
        <v>4320</v>
      </c>
      <c r="E63" s="1150" t="s">
        <v>4056</v>
      </c>
      <c r="F63" s="2649">
        <v>2</v>
      </c>
      <c r="G63" s="2815">
        <v>20500</v>
      </c>
      <c r="H63" s="2815">
        <f t="shared" si="2"/>
        <v>41000</v>
      </c>
      <c r="I63" s="2797"/>
      <c r="J63" s="2797"/>
      <c r="K63" s="2798"/>
      <c r="L63" s="2800"/>
      <c r="M63" s="598"/>
      <c r="N63" s="2355"/>
      <c r="O63" s="2801"/>
      <c r="P63" s="2802"/>
      <c r="Q63" s="2801"/>
      <c r="R63" s="2801"/>
    </row>
    <row r="64" spans="2:18" ht="14.25" thickBot="1" x14ac:dyDescent="0.3">
      <c r="B64" s="2839" t="s">
        <v>4443</v>
      </c>
      <c r="C64" s="2840"/>
      <c r="D64" s="2840"/>
      <c r="E64" s="2841"/>
      <c r="F64" s="2842">
        <f>SUM(F8:F63)</f>
        <v>112</v>
      </c>
      <c r="G64" s="2843">
        <f>SUM(G8:G63)</f>
        <v>3175934.5</v>
      </c>
      <c r="H64" s="2844">
        <f>SUM(H8:H63)</f>
        <v>3988360</v>
      </c>
      <c r="I64" s="2797"/>
      <c r="J64" s="2797"/>
      <c r="K64" s="2798"/>
      <c r="L64" s="2498"/>
      <c r="N64" s="2498"/>
      <c r="O64" s="2498"/>
      <c r="P64" s="2498"/>
      <c r="Q64" s="2498"/>
      <c r="R64" s="2498"/>
    </row>
    <row r="65" spans="2:18" ht="14.25" thickBot="1" x14ac:dyDescent="0.3">
      <c r="B65" s="2835" t="s">
        <v>4444</v>
      </c>
      <c r="C65" s="2836" t="s">
        <v>4281</v>
      </c>
      <c r="D65" s="2836"/>
      <c r="E65" s="2837"/>
      <c r="F65" s="2837"/>
      <c r="G65" s="2838"/>
      <c r="H65" s="2838"/>
      <c r="I65" s="2797"/>
      <c r="J65" s="2797"/>
      <c r="K65" s="2798"/>
      <c r="L65" s="2498"/>
      <c r="M65" s="2806"/>
      <c r="N65" s="2498"/>
      <c r="O65" s="2498"/>
      <c r="P65" s="2498"/>
      <c r="Q65" s="2498"/>
      <c r="R65" s="2498"/>
    </row>
    <row r="66" spans="2:18" ht="14.25" thickBot="1" x14ac:dyDescent="0.3">
      <c r="B66" s="2813" t="s">
        <v>4445</v>
      </c>
      <c r="C66" s="2814" t="s">
        <v>4446</v>
      </c>
      <c r="D66" s="1150" t="s">
        <v>4320</v>
      </c>
      <c r="E66" s="1150" t="s">
        <v>4444</v>
      </c>
      <c r="F66" s="2649">
        <v>1</v>
      </c>
      <c r="G66" s="2815">
        <v>36000</v>
      </c>
      <c r="H66" s="2818">
        <f t="shared" ref="H66:H129" si="3">+G66*F66</f>
        <v>36000</v>
      </c>
      <c r="I66" s="2797"/>
      <c r="J66" s="2797"/>
      <c r="K66" s="2798"/>
      <c r="L66" s="2498"/>
      <c r="M66" s="2498"/>
      <c r="N66" s="2498"/>
      <c r="O66" s="2498"/>
      <c r="P66" s="2498"/>
      <c r="Q66" s="2498"/>
      <c r="R66" s="2498"/>
    </row>
    <row r="67" spans="2:18" ht="14.25" thickBot="1" x14ac:dyDescent="0.3">
      <c r="B67" s="1150" t="s">
        <v>4447</v>
      </c>
      <c r="C67" s="2814" t="s">
        <v>4448</v>
      </c>
      <c r="D67" s="1150" t="s">
        <v>4320</v>
      </c>
      <c r="E67" s="1150" t="s">
        <v>4444</v>
      </c>
      <c r="F67" s="2649">
        <v>11</v>
      </c>
      <c r="G67" s="2815">
        <v>2050</v>
      </c>
      <c r="H67" s="2818">
        <f t="shared" si="3"/>
        <v>22550</v>
      </c>
      <c r="I67" s="2797"/>
      <c r="J67" s="2797"/>
      <c r="K67" s="2798"/>
      <c r="L67" s="2498"/>
      <c r="N67" s="2498"/>
      <c r="O67" s="2498"/>
      <c r="P67" s="2498"/>
      <c r="Q67" s="2498"/>
      <c r="R67" s="2498"/>
    </row>
    <row r="68" spans="2:18" ht="14.25" thickBot="1" x14ac:dyDescent="0.3">
      <c r="B68" s="1150" t="s">
        <v>4449</v>
      </c>
      <c r="C68" s="2814" t="s">
        <v>4450</v>
      </c>
      <c r="D68" s="1150" t="s">
        <v>4320</v>
      </c>
      <c r="E68" s="1150" t="s">
        <v>4444</v>
      </c>
      <c r="F68" s="2649">
        <v>5</v>
      </c>
      <c r="G68" s="2815">
        <v>1406</v>
      </c>
      <c r="H68" s="2818">
        <f t="shared" si="3"/>
        <v>7030</v>
      </c>
      <c r="I68" s="2797"/>
      <c r="J68" s="2797"/>
      <c r="K68" s="2798"/>
      <c r="L68" s="2498"/>
      <c r="N68" s="2498"/>
      <c r="O68" s="2498"/>
      <c r="P68" s="2498"/>
      <c r="Q68" s="2498"/>
      <c r="R68" s="2498"/>
    </row>
    <row r="69" spans="2:18" ht="14.25" thickBot="1" x14ac:dyDescent="0.3">
      <c r="B69" s="1150" t="s">
        <v>4451</v>
      </c>
      <c r="C69" s="2814" t="s">
        <v>4452</v>
      </c>
      <c r="D69" s="1150" t="s">
        <v>4320</v>
      </c>
      <c r="E69" s="1150" t="s">
        <v>4444</v>
      </c>
      <c r="F69" s="2649">
        <v>1</v>
      </c>
      <c r="G69" s="2815">
        <v>1222</v>
      </c>
      <c r="H69" s="2818">
        <f t="shared" si="3"/>
        <v>1222</v>
      </c>
      <c r="I69" s="2797"/>
      <c r="J69" s="2797"/>
      <c r="K69" s="2798"/>
      <c r="L69" s="2498"/>
      <c r="M69" s="2498"/>
      <c r="N69" s="2498"/>
      <c r="O69" s="2498"/>
      <c r="P69" s="2498"/>
      <c r="Q69" s="2498"/>
      <c r="R69" s="2498"/>
    </row>
    <row r="70" spans="2:18" ht="14.25" thickBot="1" x14ac:dyDescent="0.3">
      <c r="B70" s="2813" t="s">
        <v>4453</v>
      </c>
      <c r="C70" s="2581" t="s">
        <v>4454</v>
      </c>
      <c r="D70" s="1150" t="s">
        <v>4320</v>
      </c>
      <c r="E70" s="1150" t="s">
        <v>4444</v>
      </c>
      <c r="F70" s="2649">
        <v>1</v>
      </c>
      <c r="G70" s="2815">
        <v>985</v>
      </c>
      <c r="H70" s="2818">
        <f t="shared" si="3"/>
        <v>985</v>
      </c>
      <c r="I70" s="2797"/>
      <c r="J70" s="2797"/>
      <c r="K70" s="2798"/>
      <c r="L70" s="2498"/>
      <c r="M70" s="2498"/>
      <c r="N70" s="2498"/>
      <c r="O70" s="2498"/>
      <c r="P70" s="2498"/>
      <c r="Q70" s="2498"/>
      <c r="R70" s="2498"/>
    </row>
    <row r="71" spans="2:18" ht="14.25" thickBot="1" x14ac:dyDescent="0.3">
      <c r="B71" s="1150" t="s">
        <v>4455</v>
      </c>
      <c r="C71" s="2814" t="s">
        <v>4456</v>
      </c>
      <c r="D71" s="1150" t="s">
        <v>4320</v>
      </c>
      <c r="E71" s="1150" t="s">
        <v>4444</v>
      </c>
      <c r="F71" s="2649">
        <v>2</v>
      </c>
      <c r="G71" s="2815">
        <v>1236</v>
      </c>
      <c r="H71" s="2818">
        <f t="shared" si="3"/>
        <v>2472</v>
      </c>
      <c r="I71" s="2797"/>
      <c r="J71" s="2797"/>
      <c r="K71" s="2798"/>
      <c r="L71" s="2498"/>
      <c r="M71" s="2498"/>
      <c r="N71" s="2498"/>
      <c r="O71" s="2498"/>
      <c r="P71" s="2498"/>
      <c r="Q71" s="2498"/>
      <c r="R71" s="2498"/>
    </row>
    <row r="72" spans="2:18" ht="14.25" thickBot="1" x14ac:dyDescent="0.3">
      <c r="B72" s="2813" t="s">
        <v>4457</v>
      </c>
      <c r="C72" s="2816" t="s">
        <v>4458</v>
      </c>
      <c r="D72" s="1150" t="s">
        <v>4320</v>
      </c>
      <c r="E72" s="1150" t="s">
        <v>4444</v>
      </c>
      <c r="F72" s="2649">
        <v>2</v>
      </c>
      <c r="G72" s="2815">
        <v>4600</v>
      </c>
      <c r="H72" s="2818">
        <f t="shared" si="3"/>
        <v>9200</v>
      </c>
      <c r="I72" s="2797"/>
      <c r="J72" s="2797"/>
      <c r="K72" s="2798"/>
      <c r="L72" s="2498"/>
      <c r="M72" s="2498"/>
      <c r="N72" s="2498"/>
      <c r="O72" s="2498"/>
      <c r="P72" s="2498"/>
      <c r="Q72" s="2498"/>
      <c r="R72" s="2498"/>
    </row>
    <row r="73" spans="2:18" ht="14.25" thickBot="1" x14ac:dyDescent="0.3">
      <c r="B73" s="1150" t="s">
        <v>4459</v>
      </c>
      <c r="C73" s="2814" t="s">
        <v>4460</v>
      </c>
      <c r="D73" s="1150" t="s">
        <v>4320</v>
      </c>
      <c r="E73" s="1150" t="s">
        <v>4444</v>
      </c>
      <c r="F73" s="2649">
        <v>1</v>
      </c>
      <c r="G73" s="2815">
        <v>6205</v>
      </c>
      <c r="H73" s="2818">
        <f t="shared" si="3"/>
        <v>6205</v>
      </c>
      <c r="I73" s="2797"/>
      <c r="J73" s="2797"/>
      <c r="K73" s="2798"/>
      <c r="L73" s="2498"/>
      <c r="M73" s="2498"/>
      <c r="N73" s="2498"/>
      <c r="O73" s="2498"/>
      <c r="P73" s="2498"/>
      <c r="Q73" s="2498"/>
      <c r="R73" s="2498"/>
    </row>
    <row r="74" spans="2:18" ht="14.25" thickBot="1" x14ac:dyDescent="0.3">
      <c r="B74" s="2813" t="s">
        <v>4461</v>
      </c>
      <c r="C74" s="2581" t="s">
        <v>4462</v>
      </c>
      <c r="D74" s="1150" t="s">
        <v>4320</v>
      </c>
      <c r="E74" s="1150" t="s">
        <v>4444</v>
      </c>
      <c r="F74" s="2649">
        <v>1</v>
      </c>
      <c r="G74" s="2815">
        <v>600</v>
      </c>
      <c r="H74" s="2818">
        <f t="shared" si="3"/>
        <v>600</v>
      </c>
      <c r="I74" s="2797"/>
      <c r="J74" s="2797"/>
      <c r="K74" s="2798"/>
      <c r="L74" s="2498"/>
      <c r="M74" s="2498"/>
      <c r="N74" s="2498"/>
      <c r="O74" s="2498"/>
      <c r="P74" s="2498"/>
      <c r="Q74" s="2498"/>
      <c r="R74" s="2498"/>
    </row>
    <row r="75" spans="2:18" ht="14.25" thickBot="1" x14ac:dyDescent="0.3">
      <c r="B75" s="1150" t="s">
        <v>4463</v>
      </c>
      <c r="C75" s="2814" t="s">
        <v>4464</v>
      </c>
      <c r="D75" s="1150" t="s">
        <v>4320</v>
      </c>
      <c r="E75" s="1150" t="s">
        <v>4444</v>
      </c>
      <c r="F75" s="2649">
        <v>4</v>
      </c>
      <c r="G75" s="2815">
        <v>540</v>
      </c>
      <c r="H75" s="2818">
        <f t="shared" si="3"/>
        <v>2160</v>
      </c>
      <c r="I75" s="2797"/>
      <c r="J75" s="2797"/>
      <c r="K75" s="2798"/>
      <c r="L75" s="2498"/>
      <c r="M75" s="2498"/>
      <c r="N75" s="2498"/>
      <c r="O75" s="2498"/>
      <c r="P75" s="2498"/>
      <c r="Q75" s="2498"/>
      <c r="R75" s="2498"/>
    </row>
    <row r="76" spans="2:18" ht="14.25" thickBot="1" x14ac:dyDescent="0.3">
      <c r="B76" s="2813" t="s">
        <v>4465</v>
      </c>
      <c r="C76" s="2814" t="s">
        <v>4466</v>
      </c>
      <c r="D76" s="1150" t="s">
        <v>4320</v>
      </c>
      <c r="E76" s="1150" t="s">
        <v>4444</v>
      </c>
      <c r="F76" s="2649">
        <v>1</v>
      </c>
      <c r="G76" s="2815">
        <v>15750</v>
      </c>
      <c r="H76" s="2818">
        <f>+G76*F76</f>
        <v>15750</v>
      </c>
      <c r="I76" s="2797"/>
      <c r="J76" s="2797"/>
      <c r="K76" s="2798"/>
      <c r="L76" s="2498"/>
      <c r="M76" s="2498"/>
      <c r="N76" s="2498"/>
      <c r="O76" s="2498"/>
      <c r="P76" s="2498"/>
      <c r="Q76" s="2498"/>
      <c r="R76" s="2498"/>
    </row>
    <row r="77" spans="2:18" ht="14.25" thickBot="1" x14ac:dyDescent="0.3">
      <c r="B77" s="1150" t="s">
        <v>4467</v>
      </c>
      <c r="C77" s="2814" t="s">
        <v>4468</v>
      </c>
      <c r="D77" s="1150" t="s">
        <v>4320</v>
      </c>
      <c r="E77" s="1150" t="s">
        <v>4444</v>
      </c>
      <c r="F77" s="2649">
        <v>2</v>
      </c>
      <c r="G77" s="2815">
        <v>6</v>
      </c>
      <c r="H77" s="2818">
        <f t="shared" si="3"/>
        <v>12</v>
      </c>
      <c r="I77" s="2797"/>
      <c r="J77" s="2797"/>
      <c r="K77" s="2798"/>
      <c r="L77" s="2498"/>
      <c r="M77" s="2498"/>
      <c r="N77" s="2498"/>
      <c r="O77" s="2498"/>
      <c r="P77" s="2498"/>
      <c r="Q77" s="2498"/>
      <c r="R77" s="2498"/>
    </row>
    <row r="78" spans="2:18" ht="14.25" thickBot="1" x14ac:dyDescent="0.3">
      <c r="B78" s="1150" t="s">
        <v>4469</v>
      </c>
      <c r="C78" s="2814" t="s">
        <v>4470</v>
      </c>
      <c r="D78" s="1150" t="s">
        <v>4320</v>
      </c>
      <c r="E78" s="1150" t="s">
        <v>4444</v>
      </c>
      <c r="F78" s="2649">
        <v>1</v>
      </c>
      <c r="G78" s="2815">
        <v>80</v>
      </c>
      <c r="H78" s="2818">
        <f t="shared" si="3"/>
        <v>80</v>
      </c>
      <c r="I78" s="2797"/>
      <c r="J78" s="2797"/>
      <c r="K78" s="2798"/>
      <c r="L78" s="2498"/>
      <c r="M78" s="2498"/>
      <c r="N78" s="2498"/>
      <c r="O78" s="2498"/>
      <c r="P78" s="2498"/>
      <c r="Q78" s="2498"/>
      <c r="R78" s="2498"/>
    </row>
    <row r="79" spans="2:18" ht="14.25" thickBot="1" x14ac:dyDescent="0.3">
      <c r="B79" s="2813" t="s">
        <v>4471</v>
      </c>
      <c r="C79" s="2581" t="s">
        <v>4472</v>
      </c>
      <c r="D79" s="1150" t="s">
        <v>4320</v>
      </c>
      <c r="E79" s="1150" t="s">
        <v>4444</v>
      </c>
      <c r="F79" s="2649">
        <v>9</v>
      </c>
      <c r="G79" s="2815">
        <v>180</v>
      </c>
      <c r="H79" s="2818">
        <f t="shared" si="3"/>
        <v>1620</v>
      </c>
      <c r="I79" s="2797"/>
      <c r="J79" s="2797"/>
      <c r="K79" s="2798"/>
      <c r="L79" s="2498"/>
      <c r="M79" s="2498"/>
      <c r="N79" s="2498"/>
      <c r="O79" s="2498"/>
      <c r="P79" s="2498"/>
      <c r="Q79" s="2498"/>
      <c r="R79" s="2498"/>
    </row>
    <row r="80" spans="2:18" ht="14.25" thickBot="1" x14ac:dyDescent="0.3">
      <c r="B80" s="1150" t="s">
        <v>4473</v>
      </c>
      <c r="C80" s="2814" t="s">
        <v>4474</v>
      </c>
      <c r="D80" s="1150" t="s">
        <v>4320</v>
      </c>
      <c r="E80" s="1150" t="s">
        <v>4444</v>
      </c>
      <c r="F80" s="2649">
        <v>1</v>
      </c>
      <c r="G80" s="2815">
        <v>174</v>
      </c>
      <c r="H80" s="2818">
        <f t="shared" si="3"/>
        <v>174</v>
      </c>
      <c r="I80" s="2797"/>
      <c r="J80" s="2797"/>
      <c r="K80" s="2798"/>
      <c r="L80" s="2498"/>
      <c r="M80" s="2498"/>
      <c r="N80" s="2498"/>
      <c r="O80" s="2498"/>
      <c r="P80" s="2498"/>
      <c r="Q80" s="2498"/>
      <c r="R80" s="2498"/>
    </row>
    <row r="81" spans="2:18" ht="14.25" thickBot="1" x14ac:dyDescent="0.3">
      <c r="B81" s="2813" t="s">
        <v>4475</v>
      </c>
      <c r="C81" s="2814" t="s">
        <v>4476</v>
      </c>
      <c r="D81" s="1150" t="s">
        <v>4320</v>
      </c>
      <c r="E81" s="1150" t="s">
        <v>4444</v>
      </c>
      <c r="F81" s="2649">
        <v>5</v>
      </c>
      <c r="G81" s="2815">
        <v>22366</v>
      </c>
      <c r="H81" s="2818">
        <f t="shared" si="3"/>
        <v>111830</v>
      </c>
      <c r="I81" s="2797"/>
      <c r="J81" s="2797"/>
      <c r="K81" s="2798"/>
      <c r="L81" s="2498"/>
      <c r="M81" s="2498"/>
      <c r="N81" s="2498"/>
      <c r="O81" s="2498"/>
      <c r="P81" s="2498"/>
      <c r="Q81" s="2498"/>
      <c r="R81" s="2498"/>
    </row>
    <row r="82" spans="2:18" ht="14.25" thickBot="1" x14ac:dyDescent="0.3">
      <c r="B82" s="2813" t="s">
        <v>4477</v>
      </c>
      <c r="C82" s="2814" t="s">
        <v>4478</v>
      </c>
      <c r="D82" s="1150" t="s">
        <v>4320</v>
      </c>
      <c r="E82" s="1150" t="s">
        <v>4444</v>
      </c>
      <c r="F82" s="2649">
        <v>1</v>
      </c>
      <c r="G82" s="2815">
        <v>9200</v>
      </c>
      <c r="H82" s="2818">
        <f t="shared" si="3"/>
        <v>9200</v>
      </c>
      <c r="I82" s="2797"/>
      <c r="J82" s="2797"/>
      <c r="K82" s="2798"/>
      <c r="L82" s="2498"/>
      <c r="M82" s="2498"/>
      <c r="N82" s="2498"/>
      <c r="O82" s="2498"/>
      <c r="P82" s="2498"/>
      <c r="Q82" s="2498"/>
      <c r="R82" s="2498"/>
    </row>
    <row r="83" spans="2:18" ht="14.25" thickBot="1" x14ac:dyDescent="0.3">
      <c r="B83" s="1150" t="s">
        <v>4479</v>
      </c>
      <c r="C83" s="2816" t="s">
        <v>4480</v>
      </c>
      <c r="D83" s="1150" t="s">
        <v>4320</v>
      </c>
      <c r="E83" s="1150" t="s">
        <v>4444</v>
      </c>
      <c r="F83" s="2649">
        <v>8</v>
      </c>
      <c r="G83" s="2815">
        <v>2489</v>
      </c>
      <c r="H83" s="2818">
        <f t="shared" si="3"/>
        <v>19912</v>
      </c>
      <c r="I83" s="2797"/>
      <c r="J83" s="2797"/>
      <c r="K83" s="2798"/>
      <c r="L83" s="2498"/>
      <c r="M83" s="2498"/>
      <c r="N83" s="2498"/>
      <c r="O83" s="2498"/>
      <c r="P83" s="2498"/>
      <c r="Q83" s="2498"/>
      <c r="R83" s="2498"/>
    </row>
    <row r="84" spans="2:18" ht="14.25" thickBot="1" x14ac:dyDescent="0.3">
      <c r="B84" s="1150" t="s">
        <v>4481</v>
      </c>
      <c r="C84" s="2814" t="s">
        <v>4482</v>
      </c>
      <c r="D84" s="1150" t="s">
        <v>4320</v>
      </c>
      <c r="E84" s="1150" t="s">
        <v>4444</v>
      </c>
      <c r="F84" s="2649">
        <v>2</v>
      </c>
      <c r="G84" s="2815">
        <v>150</v>
      </c>
      <c r="H84" s="2818">
        <f t="shared" si="3"/>
        <v>300</v>
      </c>
      <c r="I84" s="2797"/>
      <c r="J84" s="2797"/>
      <c r="K84" s="2798"/>
      <c r="L84" s="2498"/>
      <c r="M84" s="2498"/>
      <c r="N84" s="2498"/>
      <c r="O84" s="2498"/>
      <c r="P84" s="2498"/>
      <c r="Q84" s="2498"/>
      <c r="R84" s="2498"/>
    </row>
    <row r="85" spans="2:18" ht="14.25" thickBot="1" x14ac:dyDescent="0.3">
      <c r="B85" s="1150" t="s">
        <v>4483</v>
      </c>
      <c r="C85" s="2814" t="s">
        <v>4484</v>
      </c>
      <c r="D85" s="1150" t="s">
        <v>4320</v>
      </c>
      <c r="E85" s="1150" t="s">
        <v>4444</v>
      </c>
      <c r="F85" s="2649">
        <v>13</v>
      </c>
      <c r="G85" s="2815">
        <v>160</v>
      </c>
      <c r="H85" s="2818">
        <f t="shared" si="3"/>
        <v>2080</v>
      </c>
      <c r="I85" s="2797"/>
      <c r="J85" s="2797"/>
      <c r="K85" s="2798"/>
      <c r="L85" s="2498"/>
      <c r="M85" s="2498"/>
      <c r="N85" s="2498"/>
      <c r="O85" s="2498"/>
      <c r="P85" s="2498"/>
      <c r="Q85" s="2498"/>
      <c r="R85" s="2498"/>
    </row>
    <row r="86" spans="2:18" ht="14.25" thickBot="1" x14ac:dyDescent="0.3">
      <c r="B86" s="2813" t="s">
        <v>4485</v>
      </c>
      <c r="C86" s="2814" t="s">
        <v>4486</v>
      </c>
      <c r="D86" s="1150" t="s">
        <v>4320</v>
      </c>
      <c r="E86" s="1150" t="s">
        <v>4444</v>
      </c>
      <c r="F86" s="2649">
        <v>3</v>
      </c>
      <c r="G86" s="2815">
        <v>160</v>
      </c>
      <c r="H86" s="2818">
        <f t="shared" si="3"/>
        <v>480</v>
      </c>
      <c r="I86" s="2797"/>
      <c r="J86" s="2797"/>
      <c r="K86" s="2798"/>
      <c r="L86" s="2498"/>
      <c r="M86" s="2498"/>
      <c r="N86" s="2498"/>
      <c r="O86" s="2498"/>
      <c r="P86" s="2498"/>
      <c r="Q86" s="2498"/>
      <c r="R86" s="2498"/>
    </row>
    <row r="87" spans="2:18" ht="14.25" thickBot="1" x14ac:dyDescent="0.3">
      <c r="B87" s="2813" t="s">
        <v>4487</v>
      </c>
      <c r="C87" s="2814" t="s">
        <v>4488</v>
      </c>
      <c r="D87" s="1150" t="s">
        <v>4320</v>
      </c>
      <c r="E87" s="1150" t="s">
        <v>4444</v>
      </c>
      <c r="F87" s="2649">
        <v>3</v>
      </c>
      <c r="G87" s="2815">
        <v>140</v>
      </c>
      <c r="H87" s="2818">
        <f t="shared" si="3"/>
        <v>420</v>
      </c>
      <c r="I87" s="2797"/>
      <c r="J87" s="2797"/>
      <c r="K87" s="2798"/>
      <c r="L87" s="2498"/>
      <c r="M87" s="2498"/>
      <c r="N87" s="2498"/>
      <c r="O87" s="2498"/>
      <c r="P87" s="2498"/>
      <c r="Q87" s="2498"/>
      <c r="R87" s="2498"/>
    </row>
    <row r="88" spans="2:18" ht="14.25" thickBot="1" x14ac:dyDescent="0.3">
      <c r="B88" s="2813" t="s">
        <v>4489</v>
      </c>
      <c r="C88" s="2816" t="s">
        <v>4490</v>
      </c>
      <c r="D88" s="1150" t="s">
        <v>4320</v>
      </c>
      <c r="E88" s="1150" t="s">
        <v>4444</v>
      </c>
      <c r="F88" s="2649">
        <v>1</v>
      </c>
      <c r="G88" s="2815">
        <v>4554</v>
      </c>
      <c r="H88" s="2818">
        <f t="shared" si="3"/>
        <v>4554</v>
      </c>
      <c r="I88" s="2797"/>
      <c r="J88" s="2797"/>
      <c r="K88" s="2798"/>
      <c r="L88" s="2498"/>
      <c r="M88" s="2498"/>
      <c r="N88" s="2498"/>
      <c r="O88" s="2498"/>
      <c r="P88" s="2498"/>
      <c r="Q88" s="2498"/>
      <c r="R88" s="2498"/>
    </row>
    <row r="89" spans="2:18" ht="14.25" thickBot="1" x14ac:dyDescent="0.3">
      <c r="B89" s="1150" t="s">
        <v>4491</v>
      </c>
      <c r="C89" s="2814" t="s">
        <v>4492</v>
      </c>
      <c r="D89" s="1150" t="s">
        <v>4320</v>
      </c>
      <c r="E89" s="1150" t="s">
        <v>4444</v>
      </c>
      <c r="F89" s="2649">
        <v>1</v>
      </c>
      <c r="G89" s="2815">
        <v>180</v>
      </c>
      <c r="H89" s="2818">
        <f t="shared" si="3"/>
        <v>180</v>
      </c>
      <c r="I89" s="2797"/>
      <c r="J89" s="2797"/>
      <c r="K89" s="2798"/>
      <c r="L89" s="2498"/>
      <c r="M89" s="2498"/>
      <c r="N89" s="2498"/>
      <c r="O89" s="2498"/>
      <c r="P89" s="2498"/>
      <c r="Q89" s="2498"/>
      <c r="R89" s="2498"/>
    </row>
    <row r="90" spans="2:18" ht="14.25" thickBot="1" x14ac:dyDescent="0.3">
      <c r="B90" s="2813" t="s">
        <v>4493</v>
      </c>
      <c r="C90" s="2816" t="s">
        <v>4494</v>
      </c>
      <c r="D90" s="1150" t="s">
        <v>4320</v>
      </c>
      <c r="E90" s="1150" t="s">
        <v>4444</v>
      </c>
      <c r="F90" s="2649">
        <v>1</v>
      </c>
      <c r="G90" s="2815">
        <v>10000</v>
      </c>
      <c r="H90" s="2818">
        <f t="shared" si="3"/>
        <v>10000</v>
      </c>
      <c r="I90" s="2797"/>
      <c r="J90" s="2797"/>
      <c r="K90" s="2798"/>
      <c r="M90" s="2498"/>
      <c r="N90" s="2498"/>
      <c r="O90" s="2498"/>
      <c r="P90" s="2498"/>
      <c r="Q90" s="2498"/>
      <c r="R90" s="2498"/>
    </row>
    <row r="91" spans="2:18" ht="14.25" thickBot="1" x14ac:dyDescent="0.3">
      <c r="B91" s="1150" t="s">
        <v>4495</v>
      </c>
      <c r="C91" s="2814" t="s">
        <v>4496</v>
      </c>
      <c r="D91" s="1150" t="s">
        <v>4320</v>
      </c>
      <c r="E91" s="1150" t="s">
        <v>4444</v>
      </c>
      <c r="F91" s="2649">
        <v>1</v>
      </c>
      <c r="G91" s="2815">
        <v>800</v>
      </c>
      <c r="H91" s="2818">
        <f t="shared" si="3"/>
        <v>800</v>
      </c>
      <c r="I91" s="2797"/>
      <c r="J91" s="2797"/>
      <c r="K91" s="2798"/>
    </row>
    <row r="92" spans="2:18" ht="14.25" thickBot="1" x14ac:dyDescent="0.3">
      <c r="B92" s="2813" t="s">
        <v>4497</v>
      </c>
      <c r="C92" s="2814" t="s">
        <v>4498</v>
      </c>
      <c r="D92" s="1150" t="s">
        <v>4320</v>
      </c>
      <c r="E92" s="1150" t="s">
        <v>4444</v>
      </c>
      <c r="F92" s="2813">
        <v>1</v>
      </c>
      <c r="G92" s="2815">
        <v>160</v>
      </c>
      <c r="H92" s="2818">
        <f t="shared" si="3"/>
        <v>160</v>
      </c>
      <c r="I92" s="2797"/>
      <c r="J92" s="2797"/>
      <c r="K92" s="2798"/>
    </row>
    <row r="93" spans="2:18" ht="14.25" thickBot="1" x14ac:dyDescent="0.3">
      <c r="B93" s="2813" t="s">
        <v>4499</v>
      </c>
      <c r="C93" s="2814" t="s">
        <v>4500</v>
      </c>
      <c r="D93" s="1150" t="s">
        <v>4320</v>
      </c>
      <c r="E93" s="1150" t="s">
        <v>4444</v>
      </c>
      <c r="F93" s="2649">
        <v>1</v>
      </c>
      <c r="G93" s="2815">
        <v>160</v>
      </c>
      <c r="H93" s="2818">
        <f t="shared" si="3"/>
        <v>160</v>
      </c>
      <c r="I93" s="2797"/>
      <c r="J93" s="2797"/>
      <c r="K93" s="2798"/>
    </row>
    <row r="94" spans="2:18" ht="14.25" thickBot="1" x14ac:dyDescent="0.3">
      <c r="B94" s="1150" t="s">
        <v>5862</v>
      </c>
      <c r="C94" s="2814" t="s">
        <v>5863</v>
      </c>
      <c r="D94" s="1150" t="s">
        <v>4320</v>
      </c>
      <c r="E94" s="1150" t="s">
        <v>4444</v>
      </c>
      <c r="F94" s="2813">
        <v>1</v>
      </c>
      <c r="G94" s="2815">
        <v>50</v>
      </c>
      <c r="H94" s="2818">
        <f t="shared" si="3"/>
        <v>50</v>
      </c>
      <c r="I94" s="2797"/>
      <c r="J94" s="2797"/>
      <c r="K94" s="2798"/>
    </row>
    <row r="95" spans="2:18" ht="14.25" thickBot="1" x14ac:dyDescent="0.3">
      <c r="B95" s="1150" t="s">
        <v>5864</v>
      </c>
      <c r="C95" s="2814" t="s">
        <v>5865</v>
      </c>
      <c r="D95" s="1150" t="s">
        <v>4320</v>
      </c>
      <c r="E95" s="1150" t="s">
        <v>4444</v>
      </c>
      <c r="F95" s="2813">
        <v>1</v>
      </c>
      <c r="G95" s="2815">
        <v>40</v>
      </c>
      <c r="H95" s="2818">
        <f t="shared" si="3"/>
        <v>40</v>
      </c>
      <c r="I95" s="2797"/>
      <c r="J95" s="2797"/>
      <c r="K95" s="2798"/>
    </row>
    <row r="96" spans="2:18" ht="14.25" thickBot="1" x14ac:dyDescent="0.3">
      <c r="B96" s="1150" t="s">
        <v>4501</v>
      </c>
      <c r="C96" s="2814" t="s">
        <v>4502</v>
      </c>
      <c r="D96" s="1150" t="s">
        <v>4320</v>
      </c>
      <c r="E96" s="1150" t="s">
        <v>4444</v>
      </c>
      <c r="F96" s="2649">
        <v>5</v>
      </c>
      <c r="G96" s="2815">
        <v>85</v>
      </c>
      <c r="H96" s="2818">
        <f t="shared" si="3"/>
        <v>425</v>
      </c>
      <c r="I96" s="2797"/>
      <c r="J96" s="2797"/>
      <c r="K96" s="2798"/>
    </row>
    <row r="97" spans="2:11" ht="14.25" thickBot="1" x14ac:dyDescent="0.3">
      <c r="B97" s="2813" t="s">
        <v>4503</v>
      </c>
      <c r="C97" s="2814" t="s">
        <v>4504</v>
      </c>
      <c r="D97" s="1150" t="s">
        <v>4320</v>
      </c>
      <c r="E97" s="1150" t="s">
        <v>4444</v>
      </c>
      <c r="F97" s="2649">
        <v>2</v>
      </c>
      <c r="G97" s="2815">
        <v>150</v>
      </c>
      <c r="H97" s="2818">
        <f t="shared" si="3"/>
        <v>300</v>
      </c>
      <c r="I97" s="2797"/>
      <c r="J97" s="2797"/>
      <c r="K97" s="2798"/>
    </row>
    <row r="98" spans="2:11" ht="14.25" thickBot="1" x14ac:dyDescent="0.3">
      <c r="B98" s="1150" t="s">
        <v>5866</v>
      </c>
      <c r="C98" s="2814" t="s">
        <v>4505</v>
      </c>
      <c r="D98" s="1150" t="s">
        <v>4320</v>
      </c>
      <c r="E98" s="1150" t="s">
        <v>4444</v>
      </c>
      <c r="F98" s="2649">
        <v>3</v>
      </c>
      <c r="G98" s="2815">
        <v>4570</v>
      </c>
      <c r="H98" s="2818">
        <f t="shared" si="3"/>
        <v>13710</v>
      </c>
      <c r="I98" s="2797"/>
      <c r="J98" s="2797"/>
      <c r="K98" s="2798"/>
    </row>
    <row r="99" spans="2:11" ht="14.25" thickBot="1" x14ac:dyDescent="0.3">
      <c r="B99" s="2813" t="s">
        <v>4506</v>
      </c>
      <c r="C99" s="2816" t="s">
        <v>4507</v>
      </c>
      <c r="D99" s="1150" t="s">
        <v>4320</v>
      </c>
      <c r="E99" s="1150" t="s">
        <v>4444</v>
      </c>
      <c r="F99" s="2649">
        <v>2</v>
      </c>
      <c r="G99" s="2815">
        <v>3700</v>
      </c>
      <c r="H99" s="2818">
        <f t="shared" si="3"/>
        <v>7400</v>
      </c>
      <c r="I99" s="2797"/>
      <c r="J99" s="2797"/>
      <c r="K99" s="2798"/>
    </row>
    <row r="100" spans="2:11" ht="14.25" thickBot="1" x14ac:dyDescent="0.3">
      <c r="B100" s="1150" t="s">
        <v>4508</v>
      </c>
      <c r="C100" s="2814" t="s">
        <v>4509</v>
      </c>
      <c r="D100" s="1150" t="s">
        <v>4320</v>
      </c>
      <c r="E100" s="1150" t="s">
        <v>4444</v>
      </c>
      <c r="F100" s="2649">
        <v>1</v>
      </c>
      <c r="G100" s="2815">
        <v>720</v>
      </c>
      <c r="H100" s="2818">
        <f t="shared" si="3"/>
        <v>720</v>
      </c>
      <c r="I100" s="2797"/>
      <c r="J100" s="2797"/>
      <c r="K100" s="2798"/>
    </row>
    <row r="101" spans="2:11" ht="14.25" thickBot="1" x14ac:dyDescent="0.3">
      <c r="B101" s="1150" t="s">
        <v>4510</v>
      </c>
      <c r="C101" s="2814" t="s">
        <v>4511</v>
      </c>
      <c r="D101" s="1150" t="s">
        <v>4320</v>
      </c>
      <c r="E101" s="1150" t="s">
        <v>4444</v>
      </c>
      <c r="F101" s="2649">
        <v>4</v>
      </c>
      <c r="G101" s="2815">
        <v>76</v>
      </c>
      <c r="H101" s="2818">
        <f t="shared" si="3"/>
        <v>304</v>
      </c>
      <c r="I101" s="2797"/>
      <c r="J101" s="2797"/>
      <c r="K101" s="2798"/>
    </row>
    <row r="102" spans="2:11" ht="14.25" thickBot="1" x14ac:dyDescent="0.3">
      <c r="B102" s="2813" t="s">
        <v>4512</v>
      </c>
      <c r="C102" s="2814" t="s">
        <v>4513</v>
      </c>
      <c r="D102" s="1150" t="s">
        <v>4320</v>
      </c>
      <c r="E102" s="1150" t="s">
        <v>4444</v>
      </c>
      <c r="F102" s="2649">
        <v>1</v>
      </c>
      <c r="G102" s="2815">
        <v>450</v>
      </c>
      <c r="H102" s="2818">
        <f t="shared" si="3"/>
        <v>450</v>
      </c>
      <c r="I102" s="2797"/>
      <c r="J102" s="2797"/>
      <c r="K102" s="2798"/>
    </row>
    <row r="103" spans="2:11" ht="14.25" thickBot="1" x14ac:dyDescent="0.3">
      <c r="B103" s="2813" t="s">
        <v>4514</v>
      </c>
      <c r="C103" s="2814" t="s">
        <v>4515</v>
      </c>
      <c r="D103" s="1150" t="s">
        <v>4320</v>
      </c>
      <c r="E103" s="1150" t="s">
        <v>4444</v>
      </c>
      <c r="F103" s="2649">
        <v>1</v>
      </c>
      <c r="G103" s="2815">
        <v>1000</v>
      </c>
      <c r="H103" s="2818">
        <f t="shared" si="3"/>
        <v>1000</v>
      </c>
      <c r="I103" s="2797"/>
      <c r="J103" s="2797"/>
      <c r="K103" s="2798"/>
    </row>
    <row r="104" spans="2:11" ht="14.25" thickBot="1" x14ac:dyDescent="0.3">
      <c r="B104" s="2813" t="s">
        <v>4516</v>
      </c>
      <c r="C104" s="2814" t="s">
        <v>4517</v>
      </c>
      <c r="D104" s="1150" t="s">
        <v>4320</v>
      </c>
      <c r="E104" s="1150" t="s">
        <v>4444</v>
      </c>
      <c r="F104" s="2649">
        <v>1</v>
      </c>
      <c r="G104" s="2815">
        <v>1500</v>
      </c>
      <c r="H104" s="2818">
        <f t="shared" si="3"/>
        <v>1500</v>
      </c>
      <c r="I104" s="2797"/>
      <c r="J104" s="2797"/>
      <c r="K104" s="2798"/>
    </row>
    <row r="105" spans="2:11" ht="14.25" thickBot="1" x14ac:dyDescent="0.3">
      <c r="B105" s="2813" t="s">
        <v>4518</v>
      </c>
      <c r="C105" s="2814" t="s">
        <v>4519</v>
      </c>
      <c r="D105" s="1150" t="s">
        <v>4320</v>
      </c>
      <c r="E105" s="1150" t="s">
        <v>4444</v>
      </c>
      <c r="F105" s="2649">
        <v>1</v>
      </c>
      <c r="G105" s="2815">
        <v>800</v>
      </c>
      <c r="H105" s="2818">
        <f t="shared" si="3"/>
        <v>800</v>
      </c>
      <c r="I105" s="2797"/>
      <c r="J105" s="2797"/>
      <c r="K105" s="2798"/>
    </row>
    <row r="106" spans="2:11" ht="14.25" thickBot="1" x14ac:dyDescent="0.3">
      <c r="B106" s="1150" t="s">
        <v>4520</v>
      </c>
      <c r="C106" s="2814" t="s">
        <v>4521</v>
      </c>
      <c r="D106" s="1150" t="s">
        <v>4320</v>
      </c>
      <c r="E106" s="1150" t="s">
        <v>4444</v>
      </c>
      <c r="F106" s="2649">
        <v>4</v>
      </c>
      <c r="G106" s="2815">
        <v>2490</v>
      </c>
      <c r="H106" s="2818">
        <f t="shared" si="3"/>
        <v>9960</v>
      </c>
      <c r="I106" s="2797"/>
      <c r="J106" s="2797"/>
      <c r="K106" s="2798"/>
    </row>
    <row r="107" spans="2:11" ht="14.25" thickBot="1" x14ac:dyDescent="0.3">
      <c r="B107" s="2813" t="s">
        <v>4522</v>
      </c>
      <c r="C107" s="2814" t="s">
        <v>4523</v>
      </c>
      <c r="D107" s="1150" t="s">
        <v>4320</v>
      </c>
      <c r="E107" s="1150" t="s">
        <v>4444</v>
      </c>
      <c r="F107" s="2649">
        <v>5</v>
      </c>
      <c r="G107" s="2815">
        <v>5850</v>
      </c>
      <c r="H107" s="2818">
        <f t="shared" si="3"/>
        <v>29250</v>
      </c>
      <c r="I107" s="2797"/>
      <c r="J107" s="2797"/>
      <c r="K107" s="2798"/>
    </row>
    <row r="108" spans="2:11" ht="14.25" thickBot="1" x14ac:dyDescent="0.3">
      <c r="B108" s="2813" t="s">
        <v>4524</v>
      </c>
      <c r="C108" s="2814" t="s">
        <v>4525</v>
      </c>
      <c r="D108" s="1150" t="s">
        <v>4320</v>
      </c>
      <c r="E108" s="1150" t="s">
        <v>4444</v>
      </c>
      <c r="F108" s="2649">
        <v>2</v>
      </c>
      <c r="G108" s="2815">
        <v>5131</v>
      </c>
      <c r="H108" s="2818">
        <f t="shared" si="3"/>
        <v>10262</v>
      </c>
      <c r="I108" s="2797"/>
      <c r="J108" s="2797"/>
      <c r="K108" s="2798"/>
    </row>
    <row r="109" spans="2:11" ht="14.25" thickBot="1" x14ac:dyDescent="0.3">
      <c r="B109" s="2813" t="s">
        <v>4526</v>
      </c>
      <c r="C109" s="2814" t="s">
        <v>4527</v>
      </c>
      <c r="D109" s="1150" t="s">
        <v>4320</v>
      </c>
      <c r="E109" s="1150" t="s">
        <v>4444</v>
      </c>
      <c r="F109" s="2649">
        <v>4</v>
      </c>
      <c r="G109" s="2815">
        <v>260</v>
      </c>
      <c r="H109" s="2818">
        <f t="shared" si="3"/>
        <v>1040</v>
      </c>
      <c r="I109" s="2797"/>
      <c r="J109" s="2797"/>
      <c r="K109" s="2798"/>
    </row>
    <row r="110" spans="2:11" ht="14.25" thickBot="1" x14ac:dyDescent="0.3">
      <c r="B110" s="1150" t="s">
        <v>4528</v>
      </c>
      <c r="C110" s="2814" t="s">
        <v>4529</v>
      </c>
      <c r="D110" s="1150" t="s">
        <v>4320</v>
      </c>
      <c r="E110" s="1150" t="s">
        <v>4444</v>
      </c>
      <c r="F110" s="2813">
        <v>1</v>
      </c>
      <c r="G110" s="2815">
        <v>20</v>
      </c>
      <c r="H110" s="2818">
        <f t="shared" si="3"/>
        <v>20</v>
      </c>
      <c r="I110" s="2797"/>
      <c r="J110" s="2797"/>
      <c r="K110" s="2798"/>
    </row>
    <row r="111" spans="2:11" ht="14.25" thickBot="1" x14ac:dyDescent="0.3">
      <c r="B111" s="1150" t="s">
        <v>4530</v>
      </c>
      <c r="C111" s="2814" t="s">
        <v>4531</v>
      </c>
      <c r="D111" s="1150" t="s">
        <v>4320</v>
      </c>
      <c r="E111" s="1150" t="s">
        <v>4444</v>
      </c>
      <c r="F111" s="2813">
        <v>1</v>
      </c>
      <c r="G111" s="2815">
        <v>220</v>
      </c>
      <c r="H111" s="2818">
        <f t="shared" si="3"/>
        <v>220</v>
      </c>
      <c r="I111" s="2797"/>
      <c r="J111" s="2797"/>
      <c r="K111" s="2798"/>
    </row>
    <row r="112" spans="2:11" ht="14.25" thickBot="1" x14ac:dyDescent="0.3">
      <c r="B112" s="2813" t="s">
        <v>5867</v>
      </c>
      <c r="C112" s="2581" t="s">
        <v>5868</v>
      </c>
      <c r="D112" s="1150" t="s">
        <v>4320</v>
      </c>
      <c r="E112" s="1150" t="s">
        <v>4444</v>
      </c>
      <c r="F112" s="2813">
        <v>1</v>
      </c>
      <c r="G112" s="2815">
        <v>60</v>
      </c>
      <c r="H112" s="2818">
        <f t="shared" si="3"/>
        <v>60</v>
      </c>
      <c r="I112" s="2797"/>
      <c r="J112" s="2797"/>
      <c r="K112" s="2798"/>
    </row>
    <row r="113" spans="2:11" ht="14.25" thickBot="1" x14ac:dyDescent="0.3">
      <c r="B113" s="1150" t="s">
        <v>4532</v>
      </c>
      <c r="C113" s="2814" t="s">
        <v>4533</v>
      </c>
      <c r="D113" s="1150" t="s">
        <v>4320</v>
      </c>
      <c r="E113" s="1150" t="s">
        <v>4444</v>
      </c>
      <c r="F113" s="2813">
        <v>1</v>
      </c>
      <c r="G113" s="2815">
        <v>13500</v>
      </c>
      <c r="H113" s="2818">
        <f t="shared" si="3"/>
        <v>13500</v>
      </c>
      <c r="I113" s="2797"/>
      <c r="J113" s="2797"/>
      <c r="K113" s="2798"/>
    </row>
    <row r="114" spans="2:11" ht="14.25" thickBot="1" x14ac:dyDescent="0.3">
      <c r="B114" s="1150" t="s">
        <v>4534</v>
      </c>
      <c r="C114" s="2814" t="s">
        <v>4535</v>
      </c>
      <c r="D114" s="1150" t="s">
        <v>4320</v>
      </c>
      <c r="E114" s="1150" t="s">
        <v>4444</v>
      </c>
      <c r="F114" s="2813">
        <v>1</v>
      </c>
      <c r="G114" s="2815">
        <v>800</v>
      </c>
      <c r="H114" s="2818">
        <f t="shared" si="3"/>
        <v>800</v>
      </c>
      <c r="I114" s="2797"/>
      <c r="J114" s="2797"/>
      <c r="K114" s="2798"/>
    </row>
    <row r="115" spans="2:11" ht="14.25" thickBot="1" x14ac:dyDescent="0.3">
      <c r="B115" s="1150" t="s">
        <v>5869</v>
      </c>
      <c r="C115" s="2814" t="s">
        <v>5870</v>
      </c>
      <c r="D115" s="1150" t="s">
        <v>4320</v>
      </c>
      <c r="E115" s="1150" t="s">
        <v>4444</v>
      </c>
      <c r="F115" s="2649">
        <v>1</v>
      </c>
      <c r="G115" s="2815">
        <v>55</v>
      </c>
      <c r="H115" s="2818">
        <f t="shared" si="3"/>
        <v>55</v>
      </c>
      <c r="I115" s="2797"/>
      <c r="J115" s="2797"/>
      <c r="K115" s="2798"/>
    </row>
    <row r="116" spans="2:11" ht="14.25" thickBot="1" x14ac:dyDescent="0.3">
      <c r="B116" s="1150" t="s">
        <v>5871</v>
      </c>
      <c r="C116" s="2814" t="s">
        <v>5872</v>
      </c>
      <c r="D116" s="1150" t="s">
        <v>4320</v>
      </c>
      <c r="E116" s="1150" t="s">
        <v>4444</v>
      </c>
      <c r="F116" s="2649">
        <v>1</v>
      </c>
      <c r="G116" s="2815">
        <v>130</v>
      </c>
      <c r="H116" s="2818">
        <f t="shared" si="3"/>
        <v>130</v>
      </c>
      <c r="I116" s="2797"/>
      <c r="J116" s="2797"/>
      <c r="K116" s="2798"/>
    </row>
    <row r="117" spans="2:11" ht="14.25" thickBot="1" x14ac:dyDescent="0.3">
      <c r="B117" s="2813" t="s">
        <v>4536</v>
      </c>
      <c r="C117" s="2816" t="s">
        <v>4537</v>
      </c>
      <c r="D117" s="1150" t="s">
        <v>4320</v>
      </c>
      <c r="E117" s="1150" t="s">
        <v>4444</v>
      </c>
      <c r="F117" s="2649">
        <v>2</v>
      </c>
      <c r="G117" s="2815">
        <v>2000</v>
      </c>
      <c r="H117" s="2818">
        <f t="shared" si="3"/>
        <v>4000</v>
      </c>
      <c r="I117" s="2797"/>
      <c r="J117" s="2797"/>
      <c r="K117" s="2798"/>
    </row>
    <row r="118" spans="2:11" ht="14.25" thickBot="1" x14ac:dyDescent="0.3">
      <c r="B118" s="1150" t="s">
        <v>4538</v>
      </c>
      <c r="C118" s="2814" t="s">
        <v>4539</v>
      </c>
      <c r="D118" s="1150" t="s">
        <v>4320</v>
      </c>
      <c r="E118" s="1150" t="s">
        <v>4444</v>
      </c>
      <c r="F118" s="2649">
        <v>1</v>
      </c>
      <c r="G118" s="2815">
        <v>490</v>
      </c>
      <c r="H118" s="2818">
        <f t="shared" si="3"/>
        <v>490</v>
      </c>
      <c r="I118" s="2797"/>
      <c r="J118" s="2797"/>
      <c r="K118" s="2798"/>
    </row>
    <row r="119" spans="2:11" ht="14.25" thickBot="1" x14ac:dyDescent="0.3">
      <c r="B119" s="1150" t="s">
        <v>4540</v>
      </c>
      <c r="C119" s="2814" t="s">
        <v>4541</v>
      </c>
      <c r="D119" s="1150" t="s">
        <v>4320</v>
      </c>
      <c r="E119" s="1150" t="s">
        <v>4444</v>
      </c>
      <c r="F119" s="2649">
        <v>1</v>
      </c>
      <c r="G119" s="2815">
        <v>850</v>
      </c>
      <c r="H119" s="2818">
        <f t="shared" si="3"/>
        <v>850</v>
      </c>
      <c r="I119" s="2797"/>
      <c r="J119" s="2797"/>
      <c r="K119" s="2798"/>
    </row>
    <row r="120" spans="2:11" ht="14.25" thickBot="1" x14ac:dyDescent="0.3">
      <c r="B120" s="1150" t="s">
        <v>4542</v>
      </c>
      <c r="C120" s="2814" t="s">
        <v>4543</v>
      </c>
      <c r="D120" s="1150" t="s">
        <v>4320</v>
      </c>
      <c r="E120" s="1150" t="s">
        <v>4444</v>
      </c>
      <c r="F120" s="2649">
        <v>2</v>
      </c>
      <c r="G120" s="2815">
        <v>420</v>
      </c>
      <c r="H120" s="2818">
        <f t="shared" si="3"/>
        <v>840</v>
      </c>
      <c r="I120" s="2797"/>
      <c r="J120" s="2797"/>
      <c r="K120" s="2798"/>
    </row>
    <row r="121" spans="2:11" ht="14.25" thickBot="1" x14ac:dyDescent="0.3">
      <c r="B121" s="1150" t="s">
        <v>4544</v>
      </c>
      <c r="C121" s="2814" t="s">
        <v>4545</v>
      </c>
      <c r="D121" s="1150" t="s">
        <v>4320</v>
      </c>
      <c r="E121" s="1150" t="s">
        <v>4444</v>
      </c>
      <c r="F121" s="2649">
        <v>14</v>
      </c>
      <c r="G121" s="2815">
        <v>850</v>
      </c>
      <c r="H121" s="2818">
        <f t="shared" si="3"/>
        <v>11900</v>
      </c>
      <c r="I121" s="2797"/>
      <c r="J121" s="2797"/>
      <c r="K121" s="2798"/>
    </row>
    <row r="122" spans="2:11" ht="14.25" thickBot="1" x14ac:dyDescent="0.3">
      <c r="B122" s="1150" t="s">
        <v>4546</v>
      </c>
      <c r="C122" s="2814" t="s">
        <v>4547</v>
      </c>
      <c r="D122" s="1150" t="s">
        <v>4320</v>
      </c>
      <c r="E122" s="1150" t="s">
        <v>4444</v>
      </c>
      <c r="F122" s="2649">
        <v>8</v>
      </c>
      <c r="G122" s="2815">
        <v>850</v>
      </c>
      <c r="H122" s="2818">
        <f t="shared" si="3"/>
        <v>6800</v>
      </c>
      <c r="I122" s="2797"/>
      <c r="J122" s="2797"/>
      <c r="K122" s="2798"/>
    </row>
    <row r="123" spans="2:11" ht="14.25" thickBot="1" x14ac:dyDescent="0.3">
      <c r="B123" s="1150" t="s">
        <v>4548</v>
      </c>
      <c r="C123" s="2814" t="s">
        <v>4549</v>
      </c>
      <c r="D123" s="1150" t="s">
        <v>4320</v>
      </c>
      <c r="E123" s="1150" t="s">
        <v>4444</v>
      </c>
      <c r="F123" s="2649">
        <v>4</v>
      </c>
      <c r="G123" s="2815">
        <v>300</v>
      </c>
      <c r="H123" s="2818">
        <f t="shared" si="3"/>
        <v>1200</v>
      </c>
      <c r="I123" s="2797"/>
      <c r="J123" s="2797"/>
      <c r="K123" s="2798"/>
    </row>
    <row r="124" spans="2:11" ht="14.25" thickBot="1" x14ac:dyDescent="0.3">
      <c r="B124" s="1150" t="s">
        <v>4550</v>
      </c>
      <c r="C124" s="2814" t="s">
        <v>4551</v>
      </c>
      <c r="D124" s="1150" t="s">
        <v>4320</v>
      </c>
      <c r="E124" s="1150" t="s">
        <v>4444</v>
      </c>
      <c r="F124" s="2649">
        <v>5</v>
      </c>
      <c r="G124" s="2815">
        <v>110</v>
      </c>
      <c r="H124" s="2818">
        <f t="shared" si="3"/>
        <v>550</v>
      </c>
      <c r="I124" s="2797"/>
      <c r="J124" s="2797"/>
      <c r="K124" s="2798"/>
    </row>
    <row r="125" spans="2:11" ht="14.25" thickBot="1" x14ac:dyDescent="0.3">
      <c r="B125" s="1150" t="s">
        <v>4552</v>
      </c>
      <c r="C125" s="2814" t="s">
        <v>4553</v>
      </c>
      <c r="D125" s="1150" t="s">
        <v>4320</v>
      </c>
      <c r="E125" s="1150" t="s">
        <v>4444</v>
      </c>
      <c r="F125" s="2649">
        <v>6</v>
      </c>
      <c r="G125" s="2815">
        <v>210</v>
      </c>
      <c r="H125" s="2818">
        <f t="shared" si="3"/>
        <v>1260</v>
      </c>
      <c r="I125" s="2797"/>
      <c r="J125" s="2797"/>
      <c r="K125" s="2798"/>
    </row>
    <row r="126" spans="2:11" ht="14.25" thickBot="1" x14ac:dyDescent="0.3">
      <c r="B126" s="1150" t="s">
        <v>4554</v>
      </c>
      <c r="C126" s="2814" t="s">
        <v>4555</v>
      </c>
      <c r="D126" s="1150" t="s">
        <v>4320</v>
      </c>
      <c r="E126" s="1150" t="s">
        <v>4444</v>
      </c>
      <c r="F126" s="2649">
        <v>1</v>
      </c>
      <c r="G126" s="2815">
        <v>2500</v>
      </c>
      <c r="H126" s="2818">
        <f t="shared" si="3"/>
        <v>2500</v>
      </c>
      <c r="I126" s="2797"/>
      <c r="J126" s="2797"/>
      <c r="K126" s="2798"/>
    </row>
    <row r="127" spans="2:11" ht="14.25" thickBot="1" x14ac:dyDescent="0.3">
      <c r="B127" s="1150" t="s">
        <v>4556</v>
      </c>
      <c r="C127" s="2814" t="s">
        <v>4557</v>
      </c>
      <c r="D127" s="1150" t="s">
        <v>4320</v>
      </c>
      <c r="E127" s="1150" t="s">
        <v>4444</v>
      </c>
      <c r="F127" s="2649">
        <v>1</v>
      </c>
      <c r="G127" s="2815">
        <v>1500</v>
      </c>
      <c r="H127" s="2818">
        <f t="shared" si="3"/>
        <v>1500</v>
      </c>
      <c r="I127" s="2797"/>
      <c r="J127" s="2797"/>
      <c r="K127" s="2798"/>
    </row>
    <row r="128" spans="2:11" ht="14.25" thickBot="1" x14ac:dyDescent="0.3">
      <c r="B128" s="2813" t="s">
        <v>4558</v>
      </c>
      <c r="C128" s="2816" t="s">
        <v>4559</v>
      </c>
      <c r="D128" s="1150" t="s">
        <v>4320</v>
      </c>
      <c r="E128" s="1150" t="s">
        <v>4444</v>
      </c>
      <c r="F128" s="2649">
        <v>1</v>
      </c>
      <c r="G128" s="2815">
        <v>2600</v>
      </c>
      <c r="H128" s="2818">
        <f t="shared" si="3"/>
        <v>2600</v>
      </c>
      <c r="I128" s="2797"/>
      <c r="J128" s="2797"/>
      <c r="K128" s="2798"/>
    </row>
    <row r="129" spans="1:18" ht="14.25" thickBot="1" x14ac:dyDescent="0.3">
      <c r="B129" s="2813" t="s">
        <v>4560</v>
      </c>
      <c r="C129" s="2816" t="s">
        <v>4561</v>
      </c>
      <c r="D129" s="1150" t="s">
        <v>4320</v>
      </c>
      <c r="E129" s="1150" t="s">
        <v>4444</v>
      </c>
      <c r="F129" s="2649">
        <v>1</v>
      </c>
      <c r="G129" s="2815">
        <v>1500</v>
      </c>
      <c r="H129" s="2818">
        <f t="shared" si="3"/>
        <v>1500</v>
      </c>
      <c r="I129" s="2797"/>
      <c r="J129" s="2797"/>
      <c r="K129" s="2798"/>
    </row>
    <row r="130" spans="1:18" ht="14.25" thickBot="1" x14ac:dyDescent="0.3">
      <c r="B130" s="2813" t="s">
        <v>4562</v>
      </c>
      <c r="C130" s="2816" t="s">
        <v>4563</v>
      </c>
      <c r="D130" s="1150" t="s">
        <v>4320</v>
      </c>
      <c r="E130" s="1150" t="s">
        <v>4444</v>
      </c>
      <c r="F130" s="2649">
        <v>1</v>
      </c>
      <c r="G130" s="2815">
        <v>2600</v>
      </c>
      <c r="H130" s="2818">
        <f t="shared" ref="H130:H133" si="4">+G130*F130</f>
        <v>2600</v>
      </c>
      <c r="I130" s="2797"/>
      <c r="J130" s="2797"/>
      <c r="K130" s="2798"/>
    </row>
    <row r="131" spans="1:18" ht="14.25" thickBot="1" x14ac:dyDescent="0.3">
      <c r="B131" s="2813" t="s">
        <v>4564</v>
      </c>
      <c r="C131" s="2816" t="s">
        <v>4565</v>
      </c>
      <c r="D131" s="1150" t="s">
        <v>4320</v>
      </c>
      <c r="E131" s="1150" t="s">
        <v>4444</v>
      </c>
      <c r="F131" s="2649">
        <v>1</v>
      </c>
      <c r="G131" s="2815">
        <v>1100</v>
      </c>
      <c r="H131" s="2818">
        <f t="shared" si="4"/>
        <v>1100</v>
      </c>
      <c r="I131" s="2797"/>
      <c r="J131" s="2797"/>
      <c r="K131" s="2798"/>
    </row>
    <row r="132" spans="1:18" ht="14.25" thickBot="1" x14ac:dyDescent="0.3">
      <c r="B132" s="2813" t="s">
        <v>4566</v>
      </c>
      <c r="C132" s="2816" t="s">
        <v>4567</v>
      </c>
      <c r="D132" s="1150" t="s">
        <v>4320</v>
      </c>
      <c r="E132" s="1150" t="s">
        <v>4444</v>
      </c>
      <c r="F132" s="2649">
        <v>1</v>
      </c>
      <c r="G132" s="2815">
        <v>400</v>
      </c>
      <c r="H132" s="2818">
        <f t="shared" si="4"/>
        <v>400</v>
      </c>
      <c r="I132" s="2797"/>
      <c r="J132" s="2797"/>
      <c r="K132" s="2798"/>
    </row>
    <row r="133" spans="1:18" ht="14.25" thickBot="1" x14ac:dyDescent="0.3">
      <c r="B133" s="2813" t="s">
        <v>5873</v>
      </c>
      <c r="C133" s="2816" t="s">
        <v>5874</v>
      </c>
      <c r="D133" s="1150" t="s">
        <v>4320</v>
      </c>
      <c r="E133" s="1150" t="s">
        <v>4444</v>
      </c>
      <c r="F133" s="2649">
        <v>1</v>
      </c>
      <c r="G133" s="2815">
        <v>50</v>
      </c>
      <c r="H133" s="2818">
        <f t="shared" si="4"/>
        <v>50</v>
      </c>
      <c r="I133" s="2797"/>
      <c r="J133" s="2797"/>
      <c r="K133" s="2798"/>
    </row>
    <row r="134" spans="1:18" ht="14.25" thickBot="1" x14ac:dyDescent="0.3">
      <c r="A134" s="691"/>
      <c r="B134" s="2839" t="s">
        <v>4568</v>
      </c>
      <c r="C134" s="2840"/>
      <c r="D134" s="2840"/>
      <c r="E134" s="2841"/>
      <c r="F134" s="2842">
        <f>SUM(F66:F133)</f>
        <v>180</v>
      </c>
      <c r="G134" s="2843">
        <f>SUM(G66:G133)</f>
        <v>181540</v>
      </c>
      <c r="H134" s="2844">
        <f>SUM(H66:H133)</f>
        <v>398272</v>
      </c>
      <c r="I134" s="2794"/>
      <c r="K134" s="2798"/>
      <c r="L134" s="1125"/>
    </row>
    <row r="135" spans="1:18" ht="14.25" thickBot="1" x14ac:dyDescent="0.3">
      <c r="A135" s="691"/>
      <c r="B135" s="2835" t="s">
        <v>4569</v>
      </c>
      <c r="C135" s="2836" t="s">
        <v>4321</v>
      </c>
      <c r="D135" s="2836"/>
      <c r="E135" s="2837"/>
      <c r="F135" s="2837"/>
      <c r="G135" s="2838"/>
      <c r="H135" s="2838"/>
      <c r="I135" s="2794"/>
      <c r="K135" s="2798"/>
      <c r="L135" s="1125"/>
      <c r="M135" s="1125"/>
      <c r="N135" s="1125"/>
      <c r="P135" s="1125"/>
      <c r="Q135" s="1125"/>
      <c r="R135" s="1125"/>
    </row>
    <row r="136" spans="1:18" ht="14.25" thickBot="1" x14ac:dyDescent="0.3">
      <c r="A136" s="691"/>
      <c r="B136" s="1150" t="s">
        <v>4570</v>
      </c>
      <c r="C136" s="2814" t="s">
        <v>4571</v>
      </c>
      <c r="D136" s="1150" t="s">
        <v>4320</v>
      </c>
      <c r="E136" s="1150" t="s">
        <v>4569</v>
      </c>
      <c r="F136" s="2813">
        <v>1</v>
      </c>
      <c r="G136" s="2818">
        <v>3500</v>
      </c>
      <c r="H136" s="2815">
        <f>+G136*F136</f>
        <v>3500</v>
      </c>
      <c r="I136" s="2794"/>
      <c r="K136" s="2798"/>
      <c r="L136" s="1125"/>
      <c r="M136" s="1125"/>
      <c r="N136" s="1125"/>
      <c r="P136" s="1125"/>
      <c r="Q136" s="1125"/>
      <c r="R136" s="1125"/>
    </row>
    <row r="137" spans="1:18" ht="14.25" thickBot="1" x14ac:dyDescent="0.3">
      <c r="A137" s="691"/>
      <c r="B137" s="2813" t="s">
        <v>4572</v>
      </c>
      <c r="C137" s="2814" t="s">
        <v>4573</v>
      </c>
      <c r="D137" s="1150" t="s">
        <v>4320</v>
      </c>
      <c r="E137" s="1150" t="s">
        <v>4569</v>
      </c>
      <c r="F137" s="2813">
        <v>1</v>
      </c>
      <c r="G137" s="2818">
        <v>1960</v>
      </c>
      <c r="H137" s="2815">
        <f t="shared" ref="H137:H163" si="5">+G137*F137</f>
        <v>1960</v>
      </c>
      <c r="I137" s="2794"/>
      <c r="K137" s="2798"/>
      <c r="L137" s="1125"/>
      <c r="M137" s="1125"/>
      <c r="N137" s="1125"/>
      <c r="P137" s="1125"/>
      <c r="Q137" s="1125"/>
      <c r="R137" s="1125"/>
    </row>
    <row r="138" spans="1:18" ht="14.25" thickBot="1" x14ac:dyDescent="0.3">
      <c r="A138" s="691"/>
      <c r="B138" s="2813" t="s">
        <v>4574</v>
      </c>
      <c r="C138" s="2816" t="s">
        <v>4575</v>
      </c>
      <c r="D138" s="1150" t="s">
        <v>4320</v>
      </c>
      <c r="E138" s="1150" t="s">
        <v>4569</v>
      </c>
      <c r="F138" s="2813">
        <v>1</v>
      </c>
      <c r="G138" s="2818">
        <v>2050</v>
      </c>
      <c r="H138" s="2815">
        <f t="shared" si="5"/>
        <v>2050</v>
      </c>
      <c r="I138" s="2794"/>
      <c r="K138" s="2798"/>
      <c r="L138" s="1125"/>
      <c r="M138" s="1125"/>
      <c r="N138" s="1125"/>
      <c r="P138" s="1125"/>
      <c r="Q138" s="1125"/>
      <c r="R138" s="1125"/>
    </row>
    <row r="139" spans="1:18" ht="14.25" thickBot="1" x14ac:dyDescent="0.3">
      <c r="A139" s="691"/>
      <c r="B139" s="2813" t="s">
        <v>4576</v>
      </c>
      <c r="C139" s="3459" t="s">
        <v>4577</v>
      </c>
      <c r="D139" s="1150" t="s">
        <v>4320</v>
      </c>
      <c r="E139" s="1150" t="s">
        <v>4569</v>
      </c>
      <c r="F139" s="2813">
        <v>2</v>
      </c>
      <c r="G139" s="2818">
        <v>1499</v>
      </c>
      <c r="H139" s="2815">
        <f t="shared" si="5"/>
        <v>2998</v>
      </c>
      <c r="I139" s="2794"/>
      <c r="K139" s="2798"/>
      <c r="L139" s="1125"/>
      <c r="M139" s="1125"/>
      <c r="N139" s="1125"/>
      <c r="P139" s="1125"/>
      <c r="Q139" s="1125"/>
      <c r="R139" s="1125"/>
    </row>
    <row r="140" spans="1:18" ht="14.25" thickBot="1" x14ac:dyDescent="0.3">
      <c r="A140" s="691"/>
      <c r="B140" s="1150" t="s">
        <v>4578</v>
      </c>
      <c r="C140" s="2814" t="s">
        <v>4579</v>
      </c>
      <c r="D140" s="1150" t="s">
        <v>4320</v>
      </c>
      <c r="E140" s="1150" t="s">
        <v>4569</v>
      </c>
      <c r="F140" s="2813">
        <v>1</v>
      </c>
      <c r="G140" s="2818">
        <v>285</v>
      </c>
      <c r="H140" s="2815">
        <f t="shared" si="5"/>
        <v>285</v>
      </c>
      <c r="I140" s="2794"/>
      <c r="K140" s="2798"/>
      <c r="L140" s="1125"/>
      <c r="M140" s="1125"/>
      <c r="N140" s="1125"/>
      <c r="P140" s="1125"/>
      <c r="Q140" s="1125"/>
      <c r="R140" s="1125"/>
    </row>
    <row r="141" spans="1:18" ht="14.25" thickBot="1" x14ac:dyDescent="0.3">
      <c r="A141" s="691"/>
      <c r="B141" s="1150" t="s">
        <v>4580</v>
      </c>
      <c r="C141" s="2814" t="s">
        <v>4581</v>
      </c>
      <c r="D141" s="1150" t="s">
        <v>4320</v>
      </c>
      <c r="E141" s="1150" t="s">
        <v>4569</v>
      </c>
      <c r="F141" s="2813">
        <v>3</v>
      </c>
      <c r="G141" s="2818">
        <v>44000</v>
      </c>
      <c r="H141" s="2815">
        <f t="shared" si="5"/>
        <v>132000</v>
      </c>
      <c r="I141" s="2794"/>
      <c r="K141" s="2798"/>
      <c r="L141" s="1125"/>
      <c r="M141" s="1125"/>
      <c r="N141" s="1125"/>
      <c r="P141" s="1125"/>
      <c r="Q141" s="1125"/>
      <c r="R141" s="1125"/>
    </row>
    <row r="142" spans="1:18" ht="14.25" thickBot="1" x14ac:dyDescent="0.3">
      <c r="A142" s="691"/>
      <c r="B142" s="2813" t="s">
        <v>4582</v>
      </c>
      <c r="C142" s="2814" t="s">
        <v>4583</v>
      </c>
      <c r="D142" s="1150" t="s">
        <v>4320</v>
      </c>
      <c r="E142" s="1150" t="s">
        <v>4569</v>
      </c>
      <c r="F142" s="2813">
        <v>1</v>
      </c>
      <c r="G142" s="2818">
        <v>1900</v>
      </c>
      <c r="H142" s="2815">
        <f t="shared" si="5"/>
        <v>1900</v>
      </c>
      <c r="I142" s="2794"/>
      <c r="K142" s="2798"/>
      <c r="L142" s="1125"/>
      <c r="M142" s="1125"/>
      <c r="N142" s="1125"/>
      <c r="P142" s="1125"/>
      <c r="Q142" s="1125"/>
      <c r="R142" s="1125"/>
    </row>
    <row r="143" spans="1:18" ht="14.25" thickBot="1" x14ac:dyDescent="0.3">
      <c r="A143" s="691"/>
      <c r="B143" s="1150" t="s">
        <v>4584</v>
      </c>
      <c r="C143" s="2814" t="s">
        <v>4585</v>
      </c>
      <c r="D143" s="1150" t="s">
        <v>4320</v>
      </c>
      <c r="E143" s="1150" t="s">
        <v>4569</v>
      </c>
      <c r="F143" s="2813">
        <v>1</v>
      </c>
      <c r="G143" s="2818">
        <v>400</v>
      </c>
      <c r="H143" s="2815">
        <f t="shared" si="5"/>
        <v>400</v>
      </c>
      <c r="I143" s="2794"/>
      <c r="K143" s="2798"/>
      <c r="L143" s="1125"/>
      <c r="M143" s="1125"/>
      <c r="N143" s="1125"/>
      <c r="P143" s="1125"/>
      <c r="Q143" s="1125"/>
      <c r="R143" s="1125"/>
    </row>
    <row r="144" spans="1:18" ht="14.25" thickBot="1" x14ac:dyDescent="0.3">
      <c r="B144" s="1150" t="s">
        <v>4586</v>
      </c>
      <c r="C144" s="3459" t="s">
        <v>4587</v>
      </c>
      <c r="D144" s="1150" t="s">
        <v>4320</v>
      </c>
      <c r="E144" s="1150" t="s">
        <v>4569</v>
      </c>
      <c r="F144" s="2813">
        <v>2</v>
      </c>
      <c r="G144" s="2818">
        <v>500</v>
      </c>
      <c r="H144" s="2815">
        <f t="shared" si="5"/>
        <v>1000</v>
      </c>
      <c r="I144" s="2794"/>
      <c r="K144" s="2798"/>
      <c r="L144" s="1125"/>
      <c r="M144" s="1125"/>
      <c r="N144" s="1125"/>
      <c r="P144" s="1125"/>
      <c r="Q144" s="1125"/>
      <c r="R144" s="1125"/>
    </row>
    <row r="145" spans="1:19" ht="14.25" thickBot="1" x14ac:dyDescent="0.3">
      <c r="A145" s="691"/>
      <c r="B145" s="2813" t="s">
        <v>4588</v>
      </c>
      <c r="C145" s="2814" t="s">
        <v>4589</v>
      </c>
      <c r="D145" s="1150" t="s">
        <v>4320</v>
      </c>
      <c r="E145" s="1150" t="s">
        <v>4569</v>
      </c>
      <c r="F145" s="2813">
        <v>7</v>
      </c>
      <c r="G145" s="2818">
        <v>180</v>
      </c>
      <c r="H145" s="2815">
        <f t="shared" si="5"/>
        <v>1260</v>
      </c>
      <c r="I145" s="2794"/>
      <c r="K145" s="2798"/>
      <c r="L145" s="1125"/>
      <c r="M145" s="1125"/>
      <c r="N145" s="1125"/>
      <c r="P145" s="1125"/>
      <c r="Q145" s="1125"/>
      <c r="R145" s="1125"/>
      <c r="S145" s="691"/>
    </row>
    <row r="146" spans="1:19" ht="14.25" thickBot="1" x14ac:dyDescent="0.3">
      <c r="A146" s="691"/>
      <c r="B146" s="2813" t="s">
        <v>5478</v>
      </c>
      <c r="C146" s="2814" t="s">
        <v>5875</v>
      </c>
      <c r="D146" s="1150" t="s">
        <v>4320</v>
      </c>
      <c r="E146" s="1150" t="s">
        <v>4569</v>
      </c>
      <c r="F146" s="2813">
        <v>8</v>
      </c>
      <c r="G146" s="2818">
        <v>95</v>
      </c>
      <c r="H146" s="2815">
        <f t="shared" si="5"/>
        <v>760</v>
      </c>
      <c r="I146" s="2794"/>
      <c r="K146" s="2798"/>
      <c r="L146" s="1125"/>
      <c r="M146" s="1125"/>
      <c r="N146" s="1125"/>
      <c r="P146" s="1125"/>
      <c r="Q146" s="1125"/>
      <c r="R146" s="1125"/>
      <c r="S146" s="691"/>
    </row>
    <row r="147" spans="1:19" ht="14.25" thickBot="1" x14ac:dyDescent="0.3">
      <c r="A147" s="691"/>
      <c r="B147" s="1150" t="s">
        <v>4590</v>
      </c>
      <c r="C147" s="2814" t="s">
        <v>4591</v>
      </c>
      <c r="D147" s="1150" t="s">
        <v>4320</v>
      </c>
      <c r="E147" s="1150" t="s">
        <v>4569</v>
      </c>
      <c r="F147" s="2813">
        <v>3</v>
      </c>
      <c r="G147" s="2818">
        <v>609</v>
      </c>
      <c r="H147" s="2815">
        <f t="shared" si="5"/>
        <v>1827</v>
      </c>
      <c r="I147" s="2794"/>
      <c r="K147" s="2798"/>
      <c r="L147" s="1125"/>
      <c r="M147" s="1125"/>
      <c r="N147" s="1125"/>
      <c r="P147" s="1125"/>
      <c r="Q147" s="1125"/>
      <c r="R147" s="1125"/>
      <c r="S147" s="691"/>
    </row>
    <row r="148" spans="1:19" ht="14.25" thickBot="1" x14ac:dyDescent="0.3">
      <c r="A148" s="691"/>
      <c r="B148" s="1150" t="s">
        <v>4592</v>
      </c>
      <c r="C148" s="2814" t="s">
        <v>4593</v>
      </c>
      <c r="D148" s="1150" t="s">
        <v>4320</v>
      </c>
      <c r="E148" s="1150" t="s">
        <v>4569</v>
      </c>
      <c r="F148" s="2813">
        <v>1</v>
      </c>
      <c r="G148" s="2818">
        <v>400000</v>
      </c>
      <c r="H148" s="2815">
        <f t="shared" si="5"/>
        <v>400000</v>
      </c>
      <c r="I148" s="2794"/>
      <c r="K148" s="2798"/>
      <c r="L148" s="1125"/>
      <c r="M148" s="1125"/>
      <c r="N148" s="1125"/>
      <c r="P148" s="1125"/>
      <c r="Q148" s="1125"/>
      <c r="R148" s="1125"/>
      <c r="S148" s="691"/>
    </row>
    <row r="149" spans="1:19" ht="14.25" thickBot="1" x14ac:dyDescent="0.3">
      <c r="A149" s="691"/>
      <c r="B149" s="1150" t="s">
        <v>4594</v>
      </c>
      <c r="C149" s="2814" t="s">
        <v>4595</v>
      </c>
      <c r="D149" s="1150" t="s">
        <v>4320</v>
      </c>
      <c r="E149" s="1150" t="s">
        <v>4569</v>
      </c>
      <c r="F149" s="2813">
        <v>2</v>
      </c>
      <c r="G149" s="2818">
        <v>55000</v>
      </c>
      <c r="H149" s="2815">
        <f t="shared" si="5"/>
        <v>110000</v>
      </c>
      <c r="I149" s="2794"/>
      <c r="K149" s="2798"/>
      <c r="L149" s="1125"/>
      <c r="M149" s="1125"/>
      <c r="N149" s="1125"/>
      <c r="P149" s="1125"/>
      <c r="Q149" s="1125"/>
      <c r="R149" s="1125"/>
      <c r="S149" s="691"/>
    </row>
    <row r="150" spans="1:19" ht="14.25" thickBot="1" x14ac:dyDescent="0.3">
      <c r="A150" s="691"/>
      <c r="B150" s="1150" t="s">
        <v>4596</v>
      </c>
      <c r="C150" s="2581" t="s">
        <v>4597</v>
      </c>
      <c r="D150" s="1150" t="s">
        <v>4320</v>
      </c>
      <c r="E150" s="1150" t="s">
        <v>4569</v>
      </c>
      <c r="F150" s="2813">
        <v>2</v>
      </c>
      <c r="G150" s="2818">
        <v>118000</v>
      </c>
      <c r="H150" s="2815">
        <f t="shared" si="5"/>
        <v>236000</v>
      </c>
      <c r="I150" s="2794"/>
      <c r="K150" s="2798"/>
      <c r="L150" s="1125"/>
      <c r="M150" s="1125"/>
      <c r="N150" s="1125"/>
      <c r="P150" s="1125"/>
      <c r="Q150" s="1125"/>
      <c r="R150" s="1125"/>
      <c r="S150" s="691"/>
    </row>
    <row r="151" spans="1:19" ht="14.25" thickBot="1" x14ac:dyDescent="0.3">
      <c r="A151" s="691"/>
      <c r="B151" s="1150" t="s">
        <v>4598</v>
      </c>
      <c r="C151" s="3459" t="s">
        <v>4599</v>
      </c>
      <c r="D151" s="1150" t="s">
        <v>4320</v>
      </c>
      <c r="E151" s="1150" t="s">
        <v>4569</v>
      </c>
      <c r="F151" s="2813">
        <v>2</v>
      </c>
      <c r="G151" s="2818">
        <v>1580</v>
      </c>
      <c r="H151" s="2815">
        <f t="shared" si="5"/>
        <v>3160</v>
      </c>
      <c r="I151" s="2794"/>
      <c r="K151" s="2798"/>
      <c r="L151" s="1125"/>
      <c r="M151" s="1125"/>
      <c r="N151" s="1125"/>
      <c r="P151" s="1125"/>
      <c r="Q151" s="1125"/>
      <c r="R151" s="1125"/>
      <c r="S151" s="691"/>
    </row>
    <row r="152" spans="1:19" ht="14.25" thickBot="1" x14ac:dyDescent="0.3">
      <c r="A152" s="691"/>
      <c r="B152" s="1150" t="s">
        <v>4600</v>
      </c>
      <c r="C152" s="2814" t="s">
        <v>4601</v>
      </c>
      <c r="D152" s="1150" t="s">
        <v>4320</v>
      </c>
      <c r="E152" s="1150" t="s">
        <v>4569</v>
      </c>
      <c r="F152" s="2813">
        <v>6</v>
      </c>
      <c r="G152" s="2818">
        <v>3800</v>
      </c>
      <c r="H152" s="2815">
        <f t="shared" si="5"/>
        <v>22800</v>
      </c>
      <c r="I152" s="2794"/>
      <c r="K152" s="2798"/>
      <c r="L152" s="1125"/>
      <c r="M152" s="1125"/>
      <c r="N152" s="1125"/>
      <c r="P152" s="1125"/>
      <c r="Q152" s="1125"/>
      <c r="R152" s="1125"/>
      <c r="S152" s="691"/>
    </row>
    <row r="153" spans="1:19" ht="14.25" thickBot="1" x14ac:dyDescent="0.3">
      <c r="A153" s="691"/>
      <c r="B153" s="2813" t="s">
        <v>5479</v>
      </c>
      <c r="C153" s="2816" t="s">
        <v>5480</v>
      </c>
      <c r="D153" s="1150" t="s">
        <v>4320</v>
      </c>
      <c r="E153" s="1150" t="s">
        <v>4569</v>
      </c>
      <c r="F153" s="2813">
        <v>1</v>
      </c>
      <c r="G153" s="2818">
        <v>79</v>
      </c>
      <c r="H153" s="2815">
        <f t="shared" si="5"/>
        <v>79</v>
      </c>
      <c r="I153" s="2794"/>
      <c r="K153" s="2798"/>
      <c r="L153" s="1125"/>
      <c r="M153" s="1125"/>
      <c r="N153" s="1125"/>
      <c r="P153" s="1125"/>
      <c r="Q153" s="1125"/>
      <c r="R153" s="1125"/>
      <c r="S153" s="691"/>
    </row>
    <row r="154" spans="1:19" ht="14.25" thickBot="1" x14ac:dyDescent="0.3">
      <c r="A154" s="691"/>
      <c r="B154" s="1150" t="s">
        <v>4602</v>
      </c>
      <c r="C154" s="3459" t="s">
        <v>4603</v>
      </c>
      <c r="D154" s="1150" t="s">
        <v>4320</v>
      </c>
      <c r="E154" s="1150" t="s">
        <v>4569</v>
      </c>
      <c r="F154" s="2813">
        <v>2</v>
      </c>
      <c r="G154" s="2818">
        <v>299</v>
      </c>
      <c r="H154" s="2815">
        <f t="shared" si="5"/>
        <v>598</v>
      </c>
      <c r="I154" s="2794"/>
      <c r="K154" s="2798"/>
      <c r="L154" s="1125"/>
      <c r="M154" s="1125"/>
      <c r="N154" s="1125"/>
      <c r="P154" s="1125"/>
      <c r="Q154" s="1125"/>
      <c r="R154" s="1125"/>
      <c r="S154" s="691"/>
    </row>
    <row r="155" spans="1:19" ht="14.25" thickBot="1" x14ac:dyDescent="0.3">
      <c r="A155" s="691"/>
      <c r="B155" s="1150" t="s">
        <v>4604</v>
      </c>
      <c r="C155" s="3459" t="s">
        <v>4605</v>
      </c>
      <c r="D155" s="1150" t="s">
        <v>4320</v>
      </c>
      <c r="E155" s="1150" t="s">
        <v>4569</v>
      </c>
      <c r="F155" s="2813">
        <v>1</v>
      </c>
      <c r="G155" s="2818">
        <v>1800</v>
      </c>
      <c r="H155" s="2815">
        <f t="shared" si="5"/>
        <v>1800</v>
      </c>
      <c r="I155" s="2794"/>
      <c r="K155" s="2798"/>
      <c r="L155" s="1125"/>
      <c r="M155" s="1125"/>
      <c r="N155" s="1125"/>
      <c r="P155" s="1125"/>
      <c r="Q155" s="1125"/>
      <c r="R155" s="1125"/>
      <c r="S155" s="691"/>
    </row>
    <row r="156" spans="1:19" ht="14.25" thickBot="1" x14ac:dyDescent="0.3">
      <c r="A156" s="691"/>
      <c r="B156" s="2813" t="s">
        <v>4606</v>
      </c>
      <c r="C156" s="2814" t="s">
        <v>4607</v>
      </c>
      <c r="D156" s="1150" t="s">
        <v>4320</v>
      </c>
      <c r="E156" s="1150" t="s">
        <v>4569</v>
      </c>
      <c r="F156" s="2813">
        <v>2</v>
      </c>
      <c r="G156" s="2818">
        <v>1300</v>
      </c>
      <c r="H156" s="2815">
        <f t="shared" si="5"/>
        <v>2600</v>
      </c>
      <c r="I156" s="2794"/>
      <c r="K156" s="2798"/>
      <c r="L156" s="1125"/>
      <c r="M156" s="1125"/>
      <c r="N156" s="1125"/>
      <c r="P156" s="1125"/>
      <c r="Q156" s="1125"/>
      <c r="R156" s="1125"/>
      <c r="S156" s="691"/>
    </row>
    <row r="157" spans="1:19" ht="14.25" thickBot="1" x14ac:dyDescent="0.3">
      <c r="A157" s="691"/>
      <c r="B157" s="2813" t="s">
        <v>4608</v>
      </c>
      <c r="C157" s="2814" t="s">
        <v>4609</v>
      </c>
      <c r="D157" s="1150" t="s">
        <v>4320</v>
      </c>
      <c r="E157" s="1150" t="s">
        <v>4569</v>
      </c>
      <c r="F157" s="2813">
        <v>1</v>
      </c>
      <c r="G157" s="2818">
        <v>1900</v>
      </c>
      <c r="H157" s="2815">
        <f t="shared" si="5"/>
        <v>1900</v>
      </c>
      <c r="I157" s="2794"/>
      <c r="K157" s="2798"/>
      <c r="L157" s="1125"/>
      <c r="M157" s="1125"/>
      <c r="N157" s="1125"/>
      <c r="P157" s="1125"/>
      <c r="Q157" s="1125"/>
      <c r="R157" s="1125"/>
      <c r="S157" s="691"/>
    </row>
    <row r="158" spans="1:19" ht="14.25" thickBot="1" x14ac:dyDescent="0.3">
      <c r="A158" s="691"/>
      <c r="B158" s="2813" t="s">
        <v>4610</v>
      </c>
      <c r="C158" s="2816" t="s">
        <v>4611</v>
      </c>
      <c r="D158" s="1150" t="s">
        <v>4320</v>
      </c>
      <c r="E158" s="1150" t="s">
        <v>4569</v>
      </c>
      <c r="F158" s="2813">
        <v>3</v>
      </c>
      <c r="G158" s="2818">
        <v>29500</v>
      </c>
      <c r="H158" s="2815">
        <f t="shared" si="5"/>
        <v>88500</v>
      </c>
      <c r="I158" s="2794"/>
      <c r="K158" s="2798"/>
      <c r="L158" s="1125"/>
      <c r="M158" s="1125"/>
      <c r="N158" s="1125"/>
      <c r="P158" s="1125"/>
      <c r="Q158" s="1125"/>
      <c r="R158" s="1125"/>
      <c r="S158" s="691"/>
    </row>
    <row r="159" spans="1:19" ht="14.25" thickBot="1" x14ac:dyDescent="0.3">
      <c r="B159" s="2813" t="s">
        <v>4612</v>
      </c>
      <c r="C159" s="2814" t="s">
        <v>4613</v>
      </c>
      <c r="D159" s="1150" t="s">
        <v>4320</v>
      </c>
      <c r="E159" s="1150" t="s">
        <v>4569</v>
      </c>
      <c r="F159" s="2813">
        <v>3</v>
      </c>
      <c r="G159" s="2818">
        <v>2496</v>
      </c>
      <c r="H159" s="2815">
        <f t="shared" si="5"/>
        <v>7488</v>
      </c>
      <c r="I159" s="2794"/>
      <c r="K159" s="2798"/>
      <c r="L159" s="1125"/>
      <c r="M159" s="1125"/>
      <c r="N159" s="1125"/>
      <c r="P159" s="1125"/>
      <c r="Q159" s="1125"/>
      <c r="R159" s="1125"/>
    </row>
    <row r="160" spans="1:19" ht="14.25" thickBot="1" x14ac:dyDescent="0.3">
      <c r="B160" s="1150" t="s">
        <v>4614</v>
      </c>
      <c r="C160" s="2580" t="s">
        <v>4615</v>
      </c>
      <c r="D160" s="1150" t="s">
        <v>4320</v>
      </c>
      <c r="E160" s="1150" t="s">
        <v>4569</v>
      </c>
      <c r="F160" s="2813">
        <v>2</v>
      </c>
      <c r="G160" s="2818">
        <v>14900</v>
      </c>
      <c r="H160" s="2815">
        <f t="shared" si="5"/>
        <v>29800</v>
      </c>
      <c r="I160" s="2794"/>
      <c r="K160" s="2798"/>
      <c r="L160" s="1125"/>
      <c r="M160" s="1125"/>
      <c r="N160" s="1125"/>
      <c r="P160" s="1125"/>
      <c r="Q160" s="1125"/>
      <c r="R160" s="1125"/>
    </row>
    <row r="161" spans="1:19" ht="14.25" thickBot="1" x14ac:dyDescent="0.3">
      <c r="B161" s="1150" t="s">
        <v>4616</v>
      </c>
      <c r="C161" s="2581" t="s">
        <v>4617</v>
      </c>
      <c r="D161" s="1150" t="s">
        <v>4320</v>
      </c>
      <c r="E161" s="1150" t="s">
        <v>4569</v>
      </c>
      <c r="F161" s="2813">
        <v>1</v>
      </c>
      <c r="G161" s="2818">
        <v>1100</v>
      </c>
      <c r="H161" s="2815">
        <f t="shared" si="5"/>
        <v>1100</v>
      </c>
      <c r="I161" s="2794"/>
      <c r="K161" s="2798"/>
      <c r="L161" s="1125"/>
      <c r="M161" s="1125"/>
      <c r="N161" s="1125"/>
      <c r="P161" s="1125"/>
      <c r="Q161" s="1125"/>
      <c r="R161" s="1125"/>
    </row>
    <row r="162" spans="1:19" ht="14.25" thickBot="1" x14ac:dyDescent="0.3">
      <c r="B162" s="1150" t="s">
        <v>4618</v>
      </c>
      <c r="C162" s="2581" t="s">
        <v>4619</v>
      </c>
      <c r="D162" s="1150" t="s">
        <v>4320</v>
      </c>
      <c r="E162" s="1150" t="s">
        <v>4569</v>
      </c>
      <c r="F162" s="2813">
        <v>1</v>
      </c>
      <c r="G162" s="2818">
        <v>94000</v>
      </c>
      <c r="H162" s="2815">
        <f t="shared" si="5"/>
        <v>94000</v>
      </c>
      <c r="I162" s="2794"/>
      <c r="K162" s="2798"/>
      <c r="L162" s="1125"/>
      <c r="M162" s="1125"/>
      <c r="N162" s="1125"/>
      <c r="P162" s="1125"/>
      <c r="Q162" s="1125"/>
      <c r="R162" s="1125"/>
    </row>
    <row r="163" spans="1:19" ht="14.25" thickBot="1" x14ac:dyDescent="0.3">
      <c r="B163" s="2813" t="s">
        <v>4620</v>
      </c>
      <c r="C163" s="3459" t="s">
        <v>4621</v>
      </c>
      <c r="D163" s="1150" t="s">
        <v>4320</v>
      </c>
      <c r="E163" s="1150" t="s">
        <v>4569</v>
      </c>
      <c r="F163" s="2813">
        <v>2</v>
      </c>
      <c r="G163" s="2818">
        <v>160</v>
      </c>
      <c r="H163" s="2815">
        <f t="shared" si="5"/>
        <v>320</v>
      </c>
      <c r="I163" s="2794"/>
      <c r="K163" s="2798"/>
      <c r="L163" s="1125"/>
      <c r="M163" s="1125"/>
      <c r="N163" s="1125"/>
      <c r="P163" s="1125"/>
      <c r="Q163" s="1125"/>
      <c r="R163" s="1125"/>
    </row>
    <row r="164" spans="1:19" ht="14.25" thickBot="1" x14ac:dyDescent="0.3">
      <c r="A164" s="691"/>
      <c r="B164" s="2839" t="s">
        <v>4622</v>
      </c>
      <c r="C164" s="2840"/>
      <c r="D164" s="2840"/>
      <c r="E164" s="2841"/>
      <c r="F164" s="2842">
        <f>SUM(F136:F163)</f>
        <v>63</v>
      </c>
      <c r="G164" s="2845">
        <f>SUM(G136:G163)</f>
        <v>782892</v>
      </c>
      <c r="H164" s="2844">
        <f>SUM(H136:H163)</f>
        <v>1150085</v>
      </c>
      <c r="I164" s="2794"/>
      <c r="K164" s="2798"/>
      <c r="L164" s="691"/>
      <c r="M164" s="691"/>
      <c r="N164" s="691"/>
      <c r="O164" s="691"/>
      <c r="P164" s="691"/>
      <c r="Q164" s="691"/>
      <c r="R164" s="691"/>
      <c r="S164" s="691"/>
    </row>
    <row r="165" spans="1:19" ht="14.25" thickBot="1" x14ac:dyDescent="0.3">
      <c r="A165" s="691"/>
      <c r="B165" s="2835" t="s">
        <v>4623</v>
      </c>
      <c r="C165" s="2836" t="s">
        <v>4624</v>
      </c>
      <c r="D165" s="2836"/>
      <c r="E165" s="2837"/>
      <c r="F165" s="2837"/>
      <c r="G165" s="2838"/>
      <c r="H165" s="2838"/>
      <c r="I165" s="2807"/>
      <c r="J165" s="2807"/>
      <c r="K165" s="2798"/>
      <c r="L165" s="691"/>
      <c r="M165" s="691"/>
      <c r="N165" s="691"/>
      <c r="O165" s="691"/>
      <c r="P165" s="691"/>
      <c r="Q165" s="691"/>
      <c r="R165" s="691"/>
      <c r="S165" s="691"/>
    </row>
    <row r="166" spans="1:19" ht="14.25" thickBot="1" x14ac:dyDescent="0.3">
      <c r="A166" s="691"/>
      <c r="B166" s="2813" t="s">
        <v>4625</v>
      </c>
      <c r="C166" s="2580" t="s">
        <v>4626</v>
      </c>
      <c r="D166" s="1150" t="s">
        <v>4320</v>
      </c>
      <c r="E166" s="1150" t="s">
        <v>4623</v>
      </c>
      <c r="F166" s="2649">
        <v>1</v>
      </c>
      <c r="G166" s="2818">
        <v>2000</v>
      </c>
      <c r="H166" s="2819">
        <f>F166*G166</f>
        <v>2000</v>
      </c>
      <c r="I166" s="2807"/>
      <c r="J166" s="2807"/>
      <c r="K166" s="2798"/>
      <c r="L166" s="691"/>
      <c r="M166" s="691"/>
      <c r="N166" s="691"/>
      <c r="O166" s="691"/>
      <c r="P166" s="691"/>
      <c r="Q166" s="691"/>
      <c r="R166" s="691"/>
      <c r="S166" s="691"/>
    </row>
    <row r="167" spans="1:19" ht="14.25" thickBot="1" x14ac:dyDescent="0.3">
      <c r="A167" s="691"/>
      <c r="B167" s="1150" t="s">
        <v>4627</v>
      </c>
      <c r="C167" s="2814" t="s">
        <v>5876</v>
      </c>
      <c r="D167" s="1150" t="s">
        <v>4320</v>
      </c>
      <c r="E167" s="1150" t="s">
        <v>4623</v>
      </c>
      <c r="F167" s="2649">
        <v>8</v>
      </c>
      <c r="G167" s="2818">
        <v>595</v>
      </c>
      <c r="H167" s="2819">
        <f t="shared" ref="H167:H173" si="6">F167*G167</f>
        <v>4760</v>
      </c>
      <c r="I167" s="2807"/>
      <c r="J167" s="2807"/>
      <c r="K167" s="2798"/>
      <c r="L167" s="691"/>
      <c r="M167" s="691"/>
      <c r="N167" s="691"/>
      <c r="O167" s="691"/>
      <c r="P167" s="691"/>
      <c r="Q167" s="691"/>
      <c r="R167" s="691"/>
      <c r="S167" s="691"/>
    </row>
    <row r="168" spans="1:19" ht="14.25" thickBot="1" x14ac:dyDescent="0.3">
      <c r="A168" s="691"/>
      <c r="B168" s="1150" t="s">
        <v>4628</v>
      </c>
      <c r="C168" s="2814" t="s">
        <v>4629</v>
      </c>
      <c r="D168" s="1150" t="s">
        <v>4320</v>
      </c>
      <c r="E168" s="1150" t="s">
        <v>4623</v>
      </c>
      <c r="F168" s="2649">
        <v>3</v>
      </c>
      <c r="G168" s="2818">
        <v>978</v>
      </c>
      <c r="H168" s="2819">
        <f t="shared" si="6"/>
        <v>2934</v>
      </c>
      <c r="I168" s="2807"/>
      <c r="J168" s="2807"/>
      <c r="K168" s="2798"/>
      <c r="L168" s="691"/>
      <c r="M168" s="691"/>
      <c r="N168" s="691"/>
      <c r="O168" s="691"/>
      <c r="P168" s="691"/>
      <c r="Q168" s="691"/>
      <c r="R168" s="691"/>
      <c r="S168" s="691"/>
    </row>
    <row r="169" spans="1:19" ht="14.25" thickBot="1" x14ac:dyDescent="0.3">
      <c r="A169" s="691"/>
      <c r="B169" s="1150" t="s">
        <v>4630</v>
      </c>
      <c r="C169" s="2814" t="s">
        <v>4631</v>
      </c>
      <c r="D169" s="1150" t="s">
        <v>4320</v>
      </c>
      <c r="E169" s="1150" t="s">
        <v>4623</v>
      </c>
      <c r="F169" s="2649">
        <v>1</v>
      </c>
      <c r="G169" s="2818">
        <v>1470</v>
      </c>
      <c r="H169" s="2819">
        <f t="shared" si="6"/>
        <v>1470</v>
      </c>
      <c r="I169" s="2807"/>
      <c r="J169" s="2807"/>
      <c r="K169" s="2798"/>
      <c r="L169" s="691"/>
      <c r="M169" s="691"/>
      <c r="N169" s="691"/>
      <c r="O169" s="691"/>
      <c r="P169" s="691"/>
      <c r="Q169" s="691"/>
      <c r="R169" s="691"/>
      <c r="S169" s="691"/>
    </row>
    <row r="170" spans="1:19" ht="14.25" thickBot="1" x14ac:dyDescent="0.3">
      <c r="A170" s="691"/>
      <c r="B170" s="2813" t="s">
        <v>4632</v>
      </c>
      <c r="C170" s="2814" t="s">
        <v>4633</v>
      </c>
      <c r="D170" s="1150" t="s">
        <v>4320</v>
      </c>
      <c r="E170" s="1150" t="s">
        <v>4623</v>
      </c>
      <c r="F170" s="2649">
        <v>1</v>
      </c>
      <c r="G170" s="2818">
        <v>64000</v>
      </c>
      <c r="H170" s="2819">
        <f t="shared" si="6"/>
        <v>64000</v>
      </c>
      <c r="I170" s="2807"/>
      <c r="J170" s="2807"/>
      <c r="K170" s="2798"/>
      <c r="L170" s="691"/>
      <c r="M170" s="691"/>
      <c r="N170" s="691"/>
      <c r="O170" s="691"/>
      <c r="P170" s="691"/>
      <c r="Q170" s="691"/>
      <c r="R170" s="691"/>
      <c r="S170" s="691"/>
    </row>
    <row r="171" spans="1:19" ht="14.25" thickBot="1" x14ac:dyDescent="0.3">
      <c r="A171" s="691"/>
      <c r="B171" s="2813" t="s">
        <v>4634</v>
      </c>
      <c r="C171" s="2816" t="s">
        <v>4635</v>
      </c>
      <c r="D171" s="1150" t="s">
        <v>4320</v>
      </c>
      <c r="E171" s="1150" t="s">
        <v>4623</v>
      </c>
      <c r="F171" s="2649">
        <v>1</v>
      </c>
      <c r="G171" s="2818">
        <v>95000</v>
      </c>
      <c r="H171" s="2819">
        <f t="shared" si="6"/>
        <v>95000</v>
      </c>
      <c r="I171" s="2807"/>
      <c r="J171" s="2807"/>
      <c r="K171" s="2798"/>
      <c r="L171" s="691"/>
      <c r="M171" s="691"/>
      <c r="N171" s="691"/>
      <c r="O171" s="691"/>
      <c r="P171" s="691"/>
      <c r="Q171" s="691"/>
      <c r="R171" s="691"/>
      <c r="S171" s="691"/>
    </row>
    <row r="172" spans="1:19" ht="14.25" thickBot="1" x14ac:dyDescent="0.3">
      <c r="A172" s="691"/>
      <c r="B172" s="2813" t="s">
        <v>4636</v>
      </c>
      <c r="C172" s="2816" t="s">
        <v>4637</v>
      </c>
      <c r="D172" s="1150" t="s">
        <v>4320</v>
      </c>
      <c r="E172" s="1150" t="s">
        <v>4623</v>
      </c>
      <c r="F172" s="2649">
        <v>1</v>
      </c>
      <c r="G172" s="2818">
        <v>269</v>
      </c>
      <c r="H172" s="2819">
        <f t="shared" si="6"/>
        <v>269</v>
      </c>
      <c r="I172" s="2807"/>
      <c r="J172" s="2807"/>
      <c r="K172" s="2798"/>
      <c r="L172" s="691"/>
      <c r="M172" s="691"/>
      <c r="N172" s="691"/>
      <c r="O172" s="691"/>
      <c r="P172" s="691"/>
      <c r="Q172" s="691"/>
      <c r="R172" s="691"/>
      <c r="S172" s="691"/>
    </row>
    <row r="173" spans="1:19" ht="14.25" thickBot="1" x14ac:dyDescent="0.3">
      <c r="A173" s="691"/>
      <c r="B173" s="1150" t="s">
        <v>4638</v>
      </c>
      <c r="C173" s="2814" t="s">
        <v>4639</v>
      </c>
      <c r="D173" s="1150" t="s">
        <v>4320</v>
      </c>
      <c r="E173" s="1150" t="s">
        <v>4623</v>
      </c>
      <c r="F173" s="2649">
        <v>38</v>
      </c>
      <c r="G173" s="2818">
        <v>70</v>
      </c>
      <c r="H173" s="2819">
        <f t="shared" si="6"/>
        <v>2660</v>
      </c>
      <c r="I173" s="2807"/>
      <c r="J173" s="2807"/>
      <c r="K173" s="2798"/>
      <c r="L173" s="691"/>
      <c r="M173" s="691"/>
      <c r="N173" s="691"/>
      <c r="O173" s="691"/>
      <c r="P173" s="691"/>
      <c r="Q173" s="691"/>
      <c r="R173" s="691"/>
      <c r="S173" s="691"/>
    </row>
    <row r="174" spans="1:19" ht="14.25" thickBot="1" x14ac:dyDescent="0.3">
      <c r="A174" s="691"/>
      <c r="B174" s="2839" t="s">
        <v>4640</v>
      </c>
      <c r="C174" s="2840"/>
      <c r="D174" s="2840"/>
      <c r="E174" s="2841"/>
      <c r="F174" s="2842">
        <f>SUM(F166:F173)</f>
        <v>54</v>
      </c>
      <c r="G174" s="2845">
        <f>SUM(G166:G173)</f>
        <v>164382</v>
      </c>
      <c r="H174" s="2844">
        <f>SUM(H166:H173)</f>
        <v>173093</v>
      </c>
      <c r="I174" s="2807"/>
      <c r="J174" s="2807"/>
      <c r="K174" s="2798"/>
      <c r="S174" s="691"/>
    </row>
    <row r="175" spans="1:19" ht="14.25" thickBot="1" x14ac:dyDescent="0.3">
      <c r="A175" s="691"/>
      <c r="B175" s="2835" t="s">
        <v>4641</v>
      </c>
      <c r="C175" s="2836" t="s">
        <v>4642</v>
      </c>
      <c r="D175" s="2836"/>
      <c r="E175" s="2837"/>
      <c r="F175" s="2837"/>
      <c r="G175" s="2838"/>
      <c r="H175" s="2838"/>
      <c r="I175" s="2794"/>
      <c r="K175" s="2798"/>
      <c r="S175" s="691"/>
    </row>
    <row r="176" spans="1:19" ht="14.25" thickBot="1" x14ac:dyDescent="0.3">
      <c r="A176" s="691"/>
      <c r="B176" s="2813" t="s">
        <v>4643</v>
      </c>
      <c r="C176" s="2816" t="s">
        <v>4644</v>
      </c>
      <c r="D176" s="1150" t="s">
        <v>4320</v>
      </c>
      <c r="E176" s="1150" t="s">
        <v>4641</v>
      </c>
      <c r="F176" s="2649">
        <v>1</v>
      </c>
      <c r="G176" s="2815">
        <v>1500</v>
      </c>
      <c r="H176" s="2815">
        <f>+G176*F176</f>
        <v>1500</v>
      </c>
      <c r="I176" s="2794"/>
      <c r="K176" s="2798"/>
      <c r="S176" s="691"/>
    </row>
    <row r="177" spans="1:19" ht="14.25" thickBot="1" x14ac:dyDescent="0.3">
      <c r="A177" s="691"/>
      <c r="B177" s="2813" t="s">
        <v>1355</v>
      </c>
      <c r="C177" s="2816" t="s">
        <v>4645</v>
      </c>
      <c r="D177" s="1150" t="s">
        <v>4320</v>
      </c>
      <c r="E177" s="1150" t="s">
        <v>4641</v>
      </c>
      <c r="F177" s="2649">
        <v>2</v>
      </c>
      <c r="G177" s="2815">
        <v>1200</v>
      </c>
      <c r="H177" s="2815">
        <f t="shared" ref="H177:H197" si="7">+G177*F177</f>
        <v>2400</v>
      </c>
      <c r="I177" s="2794"/>
      <c r="K177" s="2798"/>
      <c r="S177" s="691"/>
    </row>
    <row r="178" spans="1:19" ht="14.25" thickBot="1" x14ac:dyDescent="0.3">
      <c r="A178" s="691"/>
      <c r="B178" s="2813" t="s">
        <v>1357</v>
      </c>
      <c r="C178" s="2816" t="s">
        <v>4646</v>
      </c>
      <c r="D178" s="1150" t="s">
        <v>4320</v>
      </c>
      <c r="E178" s="1150" t="s">
        <v>4641</v>
      </c>
      <c r="F178" s="2649">
        <v>1</v>
      </c>
      <c r="G178" s="2815">
        <v>875</v>
      </c>
      <c r="H178" s="2815">
        <f t="shared" si="7"/>
        <v>875</v>
      </c>
      <c r="I178" s="2794"/>
      <c r="K178" s="2798"/>
      <c r="S178" s="691"/>
    </row>
    <row r="179" spans="1:19" ht="14.25" thickBot="1" x14ac:dyDescent="0.3">
      <c r="A179" s="691"/>
      <c r="B179" s="1150" t="s">
        <v>4647</v>
      </c>
      <c r="C179" s="2814" t="s">
        <v>4648</v>
      </c>
      <c r="D179" s="1150" t="s">
        <v>4320</v>
      </c>
      <c r="E179" s="1150" t="s">
        <v>4641</v>
      </c>
      <c r="F179" s="2649">
        <v>14</v>
      </c>
      <c r="G179" s="2815">
        <v>105</v>
      </c>
      <c r="H179" s="2815">
        <f t="shared" si="7"/>
        <v>1470</v>
      </c>
      <c r="I179" s="2794"/>
      <c r="K179" s="2798"/>
      <c r="S179" s="691"/>
    </row>
    <row r="180" spans="1:19" ht="14.25" thickBot="1" x14ac:dyDescent="0.3">
      <c r="A180" s="691"/>
      <c r="B180" s="1150" t="s">
        <v>4649</v>
      </c>
      <c r="C180" s="2814" t="s">
        <v>4650</v>
      </c>
      <c r="D180" s="1150" t="s">
        <v>4320</v>
      </c>
      <c r="E180" s="1150" t="s">
        <v>4641</v>
      </c>
      <c r="F180" s="2649">
        <v>14</v>
      </c>
      <c r="G180" s="2815">
        <v>250</v>
      </c>
      <c r="H180" s="2815">
        <f t="shared" si="7"/>
        <v>3500</v>
      </c>
      <c r="I180" s="2794"/>
      <c r="K180" s="2798"/>
      <c r="S180" s="691"/>
    </row>
    <row r="181" spans="1:19" ht="14.25" thickBot="1" x14ac:dyDescent="0.3">
      <c r="A181" s="691"/>
      <c r="B181" s="1150" t="s">
        <v>4651</v>
      </c>
      <c r="C181" s="2814" t="s">
        <v>4652</v>
      </c>
      <c r="D181" s="1150" t="s">
        <v>4320</v>
      </c>
      <c r="E181" s="1150" t="s">
        <v>4641</v>
      </c>
      <c r="F181" s="2649">
        <v>1</v>
      </c>
      <c r="G181" s="2815">
        <v>4200</v>
      </c>
      <c r="H181" s="2815">
        <f t="shared" si="7"/>
        <v>4200</v>
      </c>
      <c r="I181" s="2794"/>
      <c r="K181" s="2798"/>
      <c r="S181" s="691"/>
    </row>
    <row r="182" spans="1:19" ht="14.25" thickBot="1" x14ac:dyDescent="0.3">
      <c r="A182" s="691"/>
      <c r="B182" s="1150" t="s">
        <v>4653</v>
      </c>
      <c r="C182" s="2814" t="s">
        <v>4654</v>
      </c>
      <c r="D182" s="1150" t="s">
        <v>4320</v>
      </c>
      <c r="E182" s="1150" t="s">
        <v>4641</v>
      </c>
      <c r="F182" s="2649">
        <v>1</v>
      </c>
      <c r="G182" s="2815">
        <v>30000</v>
      </c>
      <c r="H182" s="2815">
        <f t="shared" si="7"/>
        <v>30000</v>
      </c>
      <c r="I182" s="2794"/>
      <c r="K182" s="2798"/>
      <c r="S182" s="691"/>
    </row>
    <row r="183" spans="1:19" ht="14.25" thickBot="1" x14ac:dyDescent="0.3">
      <c r="A183" s="691"/>
      <c r="B183" s="2813" t="s">
        <v>3719</v>
      </c>
      <c r="C183" s="2816" t="s">
        <v>4655</v>
      </c>
      <c r="D183" s="1150" t="s">
        <v>4320</v>
      </c>
      <c r="E183" s="1150" t="s">
        <v>4641</v>
      </c>
      <c r="F183" s="2649">
        <v>1</v>
      </c>
      <c r="G183" s="2815">
        <v>2480</v>
      </c>
      <c r="H183" s="2815">
        <f t="shared" si="7"/>
        <v>2480</v>
      </c>
      <c r="I183" s="2794"/>
      <c r="K183" s="2798"/>
      <c r="S183" s="691"/>
    </row>
    <row r="184" spans="1:19" ht="14.25" thickBot="1" x14ac:dyDescent="0.3">
      <c r="A184" s="691"/>
      <c r="B184" s="1150" t="s">
        <v>4656</v>
      </c>
      <c r="C184" s="2814" t="s">
        <v>4657</v>
      </c>
      <c r="D184" s="1150" t="s">
        <v>4320</v>
      </c>
      <c r="E184" s="1150" t="s">
        <v>4641</v>
      </c>
      <c r="F184" s="2649">
        <v>2</v>
      </c>
      <c r="G184" s="2815">
        <v>7127</v>
      </c>
      <c r="H184" s="2815">
        <f t="shared" si="7"/>
        <v>14254</v>
      </c>
      <c r="I184" s="2794"/>
      <c r="K184" s="2798"/>
      <c r="S184" s="691"/>
    </row>
    <row r="185" spans="1:19" ht="14.25" thickBot="1" x14ac:dyDescent="0.3">
      <c r="A185" s="691"/>
      <c r="B185" s="2813" t="s">
        <v>4658</v>
      </c>
      <c r="C185" s="2816" t="s">
        <v>4659</v>
      </c>
      <c r="D185" s="1150" t="s">
        <v>4320</v>
      </c>
      <c r="E185" s="1150" t="s">
        <v>4641</v>
      </c>
      <c r="F185" s="2649">
        <v>2</v>
      </c>
      <c r="G185" s="2815">
        <v>11240</v>
      </c>
      <c r="H185" s="2815">
        <f t="shared" si="7"/>
        <v>22480</v>
      </c>
      <c r="I185" s="2794"/>
      <c r="K185" s="2798"/>
      <c r="S185" s="691"/>
    </row>
    <row r="186" spans="1:19" ht="14.25" thickBot="1" x14ac:dyDescent="0.3">
      <c r="A186" s="691"/>
      <c r="B186" s="2813" t="s">
        <v>4660</v>
      </c>
      <c r="C186" s="2816" t="s">
        <v>4661</v>
      </c>
      <c r="D186" s="1150" t="s">
        <v>4320</v>
      </c>
      <c r="E186" s="1150" t="s">
        <v>4641</v>
      </c>
      <c r="F186" s="2649">
        <v>4</v>
      </c>
      <c r="G186" s="2815">
        <v>2300</v>
      </c>
      <c r="H186" s="2815">
        <f t="shared" si="7"/>
        <v>9200</v>
      </c>
      <c r="I186" s="2794"/>
      <c r="K186" s="2798"/>
      <c r="S186" s="691"/>
    </row>
    <row r="187" spans="1:19" ht="14.25" thickBot="1" x14ac:dyDescent="0.3">
      <c r="A187" s="691"/>
      <c r="B187" s="2813" t="s">
        <v>5877</v>
      </c>
      <c r="C187" s="2816" t="s">
        <v>5878</v>
      </c>
      <c r="D187" s="1150" t="s">
        <v>4320</v>
      </c>
      <c r="E187" s="1150" t="s">
        <v>4641</v>
      </c>
      <c r="F187" s="2649">
        <v>1</v>
      </c>
      <c r="G187" s="2815"/>
      <c r="H187" s="2815">
        <f t="shared" si="7"/>
        <v>0</v>
      </c>
      <c r="I187" s="2794"/>
      <c r="K187" s="2798"/>
      <c r="S187" s="691"/>
    </row>
    <row r="188" spans="1:19" ht="14.25" thickBot="1" x14ac:dyDescent="0.3">
      <c r="A188" s="691"/>
      <c r="B188" s="2813" t="s">
        <v>4662</v>
      </c>
      <c r="C188" s="2814" t="s">
        <v>4663</v>
      </c>
      <c r="D188" s="1150" t="s">
        <v>4320</v>
      </c>
      <c r="E188" s="1150" t="s">
        <v>4641</v>
      </c>
      <c r="F188" s="2649">
        <v>2</v>
      </c>
      <c r="G188" s="2815">
        <v>1243</v>
      </c>
      <c r="H188" s="2815">
        <f t="shared" si="7"/>
        <v>2486</v>
      </c>
      <c r="I188" s="2794"/>
      <c r="K188" s="2798"/>
      <c r="S188" s="691"/>
    </row>
    <row r="189" spans="1:19" ht="14.25" thickBot="1" x14ac:dyDescent="0.3">
      <c r="A189" s="691"/>
      <c r="B189" s="2813" t="s">
        <v>4664</v>
      </c>
      <c r="C189" s="2816" t="s">
        <v>4665</v>
      </c>
      <c r="D189" s="1150" t="s">
        <v>4320</v>
      </c>
      <c r="E189" s="1150" t="s">
        <v>4641</v>
      </c>
      <c r="F189" s="2649">
        <v>2</v>
      </c>
      <c r="G189" s="2815">
        <v>1320</v>
      </c>
      <c r="H189" s="2815">
        <f t="shared" si="7"/>
        <v>2640</v>
      </c>
      <c r="I189" s="2794"/>
      <c r="K189" s="2798"/>
      <c r="S189" s="691"/>
    </row>
    <row r="190" spans="1:19" ht="14.25" thickBot="1" x14ac:dyDescent="0.3">
      <c r="A190" s="691"/>
      <c r="B190" s="2813" t="s">
        <v>4666</v>
      </c>
      <c r="C190" s="2814" t="s">
        <v>4667</v>
      </c>
      <c r="D190" s="1150" t="s">
        <v>4320</v>
      </c>
      <c r="E190" s="1150" t="s">
        <v>4641</v>
      </c>
      <c r="F190" s="2649">
        <v>4</v>
      </c>
      <c r="G190" s="2815">
        <v>760</v>
      </c>
      <c r="H190" s="2815">
        <f t="shared" si="7"/>
        <v>3040</v>
      </c>
      <c r="I190" s="2794"/>
      <c r="K190" s="2798"/>
      <c r="S190" s="691"/>
    </row>
    <row r="191" spans="1:19" ht="14.25" thickBot="1" x14ac:dyDescent="0.3">
      <c r="A191" s="691"/>
      <c r="B191" s="2813" t="s">
        <v>4668</v>
      </c>
      <c r="C191" s="2814" t="s">
        <v>4669</v>
      </c>
      <c r="D191" s="1150" t="s">
        <v>4320</v>
      </c>
      <c r="E191" s="1150" t="s">
        <v>4641</v>
      </c>
      <c r="F191" s="2649">
        <v>2</v>
      </c>
      <c r="G191" s="2815">
        <v>1590</v>
      </c>
      <c r="H191" s="2815">
        <f t="shared" si="7"/>
        <v>3180</v>
      </c>
      <c r="I191" s="2794"/>
      <c r="K191" s="2798"/>
      <c r="S191" s="691"/>
    </row>
    <row r="192" spans="1:19" ht="14.25" thickBot="1" x14ac:dyDescent="0.3">
      <c r="A192" s="691"/>
      <c r="B192" s="1150" t="s">
        <v>4670</v>
      </c>
      <c r="C192" s="2814" t="s">
        <v>4671</v>
      </c>
      <c r="D192" s="1150" t="s">
        <v>4320</v>
      </c>
      <c r="E192" s="1150" t="s">
        <v>4641</v>
      </c>
      <c r="F192" s="2649">
        <v>2</v>
      </c>
      <c r="G192" s="2815">
        <v>13900</v>
      </c>
      <c r="H192" s="2815">
        <f t="shared" si="7"/>
        <v>27800</v>
      </c>
      <c r="I192" s="2794"/>
      <c r="K192" s="2798"/>
      <c r="S192" s="691"/>
    </row>
    <row r="193" spans="1:19" ht="14.25" thickBot="1" x14ac:dyDescent="0.3">
      <c r="A193" s="691"/>
      <c r="B193" s="2813" t="s">
        <v>4672</v>
      </c>
      <c r="C193" s="2814" t="s">
        <v>4673</v>
      </c>
      <c r="D193" s="1150" t="s">
        <v>4320</v>
      </c>
      <c r="E193" s="1150" t="s">
        <v>4641</v>
      </c>
      <c r="F193" s="2649">
        <v>5</v>
      </c>
      <c r="G193" s="2815">
        <v>1960</v>
      </c>
      <c r="H193" s="2815">
        <f t="shared" si="7"/>
        <v>9800</v>
      </c>
      <c r="I193" s="2794"/>
      <c r="K193" s="2798"/>
      <c r="S193" s="691"/>
    </row>
    <row r="194" spans="1:19" ht="14.25" thickBot="1" x14ac:dyDescent="0.3">
      <c r="A194" s="691"/>
      <c r="B194" s="2813" t="s">
        <v>4674</v>
      </c>
      <c r="C194" s="2816" t="s">
        <v>4675</v>
      </c>
      <c r="D194" s="1150" t="s">
        <v>4320</v>
      </c>
      <c r="E194" s="1150" t="s">
        <v>4641</v>
      </c>
      <c r="F194" s="2649">
        <v>2</v>
      </c>
      <c r="G194" s="2815">
        <v>9880</v>
      </c>
      <c r="H194" s="2815">
        <f t="shared" si="7"/>
        <v>19760</v>
      </c>
      <c r="I194" s="2794"/>
      <c r="K194" s="2798"/>
      <c r="L194" s="691"/>
      <c r="S194" s="691"/>
    </row>
    <row r="195" spans="1:19" ht="14.25" thickBot="1" x14ac:dyDescent="0.3">
      <c r="A195" s="691"/>
      <c r="B195" s="2813" t="s">
        <v>4676</v>
      </c>
      <c r="C195" s="2816" t="s">
        <v>4677</v>
      </c>
      <c r="D195" s="1150" t="s">
        <v>4320</v>
      </c>
      <c r="E195" s="1150" t="s">
        <v>4641</v>
      </c>
      <c r="F195" s="2649">
        <v>1</v>
      </c>
      <c r="G195" s="2815">
        <v>1190</v>
      </c>
      <c r="H195" s="2815">
        <f t="shared" si="7"/>
        <v>1190</v>
      </c>
      <c r="I195" s="2794"/>
      <c r="K195" s="2798"/>
      <c r="L195" s="691"/>
      <c r="M195" s="691"/>
      <c r="N195" s="691"/>
      <c r="O195" s="691"/>
      <c r="P195" s="691"/>
      <c r="Q195" s="691"/>
      <c r="R195" s="691"/>
      <c r="S195" s="691"/>
    </row>
    <row r="196" spans="1:19" ht="14.25" thickBot="1" x14ac:dyDescent="0.3">
      <c r="A196" s="691"/>
      <c r="B196" s="1150" t="s">
        <v>4678</v>
      </c>
      <c r="C196" s="2814" t="s">
        <v>4679</v>
      </c>
      <c r="D196" s="1150" t="s">
        <v>4320</v>
      </c>
      <c r="E196" s="1150" t="s">
        <v>4641</v>
      </c>
      <c r="F196" s="2649">
        <v>1</v>
      </c>
      <c r="G196" s="2815">
        <v>2900</v>
      </c>
      <c r="H196" s="2815">
        <f t="shared" si="7"/>
        <v>2900</v>
      </c>
      <c r="I196" s="2794"/>
      <c r="K196" s="2798"/>
      <c r="L196" s="691"/>
      <c r="M196" s="691"/>
      <c r="N196" s="691"/>
      <c r="O196" s="691"/>
      <c r="P196" s="691"/>
      <c r="Q196" s="691"/>
      <c r="R196" s="691"/>
      <c r="S196" s="691"/>
    </row>
    <row r="197" spans="1:19" ht="14.25" thickBot="1" x14ac:dyDescent="0.3">
      <c r="A197" s="691"/>
      <c r="B197" s="1150" t="s">
        <v>4680</v>
      </c>
      <c r="C197" s="2814" t="s">
        <v>4681</v>
      </c>
      <c r="D197" s="1150" t="s">
        <v>4320</v>
      </c>
      <c r="E197" s="1150" t="s">
        <v>4641</v>
      </c>
      <c r="F197" s="2649">
        <v>4</v>
      </c>
      <c r="G197" s="2815">
        <v>3070</v>
      </c>
      <c r="H197" s="2815">
        <f t="shared" si="7"/>
        <v>12280</v>
      </c>
      <c r="I197" s="2794"/>
      <c r="K197" s="2798"/>
      <c r="L197" s="691"/>
      <c r="M197" s="691"/>
      <c r="N197" s="691"/>
      <c r="O197" s="691"/>
      <c r="P197" s="691"/>
      <c r="Q197" s="691"/>
      <c r="R197" s="691"/>
      <c r="S197" s="691"/>
    </row>
    <row r="198" spans="1:19" ht="14.25" thickBot="1" x14ac:dyDescent="0.3">
      <c r="A198" s="691"/>
      <c r="B198" s="2839" t="s">
        <v>4682</v>
      </c>
      <c r="C198" s="2840"/>
      <c r="D198" s="2840"/>
      <c r="E198" s="2841"/>
      <c r="F198" s="2842">
        <f>SUM(F176:F197)</f>
        <v>69</v>
      </c>
      <c r="G198" s="2845">
        <f>SUM(G176:G197)</f>
        <v>99090</v>
      </c>
      <c r="H198" s="2844">
        <f>SUM(H176:H197)</f>
        <v>177435</v>
      </c>
      <c r="I198" s="2798"/>
      <c r="J198" s="2798"/>
      <c r="K198" s="2808"/>
      <c r="L198" s="691"/>
      <c r="M198" s="691"/>
      <c r="N198" s="691"/>
      <c r="O198" s="691"/>
      <c r="P198" s="691"/>
      <c r="Q198" s="691"/>
      <c r="R198" s="691"/>
      <c r="S198" s="691"/>
    </row>
    <row r="199" spans="1:19" ht="14.25" thickBot="1" x14ac:dyDescent="0.3">
      <c r="A199" s="691"/>
      <c r="B199" s="2835" t="s">
        <v>4683</v>
      </c>
      <c r="C199" s="2836" t="s">
        <v>4285</v>
      </c>
      <c r="D199" s="2836"/>
      <c r="E199" s="2837"/>
      <c r="F199" s="2837"/>
      <c r="G199" s="2838"/>
      <c r="H199" s="2838"/>
      <c r="I199" s="2798"/>
      <c r="J199" s="2798"/>
      <c r="K199" s="2808"/>
      <c r="L199" s="691"/>
      <c r="M199" s="691"/>
      <c r="N199" s="691"/>
      <c r="O199" s="691"/>
      <c r="P199" s="691"/>
      <c r="Q199" s="691"/>
      <c r="R199" s="691"/>
      <c r="S199" s="691"/>
    </row>
    <row r="200" spans="1:19" ht="14.25" thickBot="1" x14ac:dyDescent="0.3">
      <c r="A200" s="691"/>
      <c r="B200" s="1150" t="s">
        <v>4684</v>
      </c>
      <c r="C200" s="2814" t="s">
        <v>4685</v>
      </c>
      <c r="D200" s="1150" t="s">
        <v>4320</v>
      </c>
      <c r="E200" s="1150" t="s">
        <v>4683</v>
      </c>
      <c r="F200" s="2649">
        <v>17</v>
      </c>
      <c r="G200" s="2815">
        <v>1200</v>
      </c>
      <c r="H200" s="2815">
        <f>+G200*F200</f>
        <v>20400</v>
      </c>
      <c r="I200" s="2798"/>
      <c r="J200" s="2798"/>
      <c r="K200" s="2808"/>
      <c r="L200" s="691"/>
      <c r="M200" s="691"/>
      <c r="N200" s="691"/>
      <c r="O200" s="691"/>
      <c r="P200" s="691"/>
      <c r="Q200" s="691"/>
      <c r="R200" s="691"/>
      <c r="S200" s="691"/>
    </row>
    <row r="201" spans="1:19" ht="14.25" thickBot="1" x14ac:dyDescent="0.3">
      <c r="A201" s="691"/>
      <c r="B201" s="1150" t="s">
        <v>4686</v>
      </c>
      <c r="C201" s="2814" t="s">
        <v>4687</v>
      </c>
      <c r="D201" s="1150" t="s">
        <v>4320</v>
      </c>
      <c r="E201" s="1150" t="s">
        <v>4683</v>
      </c>
      <c r="F201" s="2649">
        <v>11</v>
      </c>
      <c r="G201" s="2815">
        <v>1512</v>
      </c>
      <c r="H201" s="2815">
        <f t="shared" ref="H201:H240" si="8">+G201*F201</f>
        <v>16632</v>
      </c>
      <c r="I201" s="2798"/>
      <c r="J201" s="2798"/>
      <c r="K201" s="2808"/>
      <c r="L201" s="691"/>
      <c r="M201" s="691"/>
      <c r="N201" s="691"/>
      <c r="O201" s="691"/>
      <c r="P201" s="691"/>
      <c r="Q201" s="691"/>
      <c r="R201" s="691"/>
      <c r="S201" s="691"/>
    </row>
    <row r="202" spans="1:19" ht="14.25" thickBot="1" x14ac:dyDescent="0.3">
      <c r="A202" s="691"/>
      <c r="B202" s="1150" t="s">
        <v>4688</v>
      </c>
      <c r="C202" s="2814" t="s">
        <v>4689</v>
      </c>
      <c r="D202" s="1150" t="s">
        <v>4320</v>
      </c>
      <c r="E202" s="1150" t="s">
        <v>4683</v>
      </c>
      <c r="F202" s="2649">
        <v>9</v>
      </c>
      <c r="G202" s="2815">
        <v>710</v>
      </c>
      <c r="H202" s="2815">
        <f t="shared" si="8"/>
        <v>6390</v>
      </c>
      <c r="I202" s="2798"/>
      <c r="J202" s="2798"/>
      <c r="K202" s="2808"/>
      <c r="L202" s="691"/>
      <c r="M202" s="691"/>
      <c r="N202" s="691"/>
      <c r="O202" s="691"/>
      <c r="P202" s="691"/>
      <c r="Q202" s="691"/>
      <c r="R202" s="691"/>
      <c r="S202" s="691"/>
    </row>
    <row r="203" spans="1:19" ht="14.25" thickBot="1" x14ac:dyDescent="0.3">
      <c r="A203" s="691"/>
      <c r="B203" s="1150" t="s">
        <v>4690</v>
      </c>
      <c r="C203" s="2814" t="s">
        <v>4691</v>
      </c>
      <c r="D203" s="1150" t="s">
        <v>4320</v>
      </c>
      <c r="E203" s="1150" t="s">
        <v>4683</v>
      </c>
      <c r="F203" s="2649">
        <v>5</v>
      </c>
      <c r="G203" s="2815">
        <v>330</v>
      </c>
      <c r="H203" s="2815">
        <f t="shared" si="8"/>
        <v>1650</v>
      </c>
      <c r="I203" s="2798"/>
      <c r="J203" s="2798"/>
      <c r="K203" s="2808"/>
      <c r="L203" s="691"/>
      <c r="M203" s="691"/>
      <c r="N203" s="691"/>
      <c r="O203" s="691"/>
      <c r="P203" s="691"/>
      <c r="Q203" s="691"/>
      <c r="R203" s="691"/>
      <c r="S203" s="691"/>
    </row>
    <row r="204" spans="1:19" ht="14.25" thickBot="1" x14ac:dyDescent="0.3">
      <c r="A204" s="691"/>
      <c r="B204" s="2813" t="s">
        <v>4692</v>
      </c>
      <c r="C204" s="2814" t="s">
        <v>4693</v>
      </c>
      <c r="D204" s="1150" t="s">
        <v>4320</v>
      </c>
      <c r="E204" s="1150" t="s">
        <v>4683</v>
      </c>
      <c r="F204" s="2820">
        <v>23</v>
      </c>
      <c r="G204" s="2815">
        <v>40</v>
      </c>
      <c r="H204" s="2815">
        <f t="shared" si="8"/>
        <v>920</v>
      </c>
      <c r="I204" s="2798"/>
      <c r="J204" s="2798"/>
      <c r="K204" s="2808"/>
      <c r="L204" s="691"/>
      <c r="M204" s="691"/>
      <c r="N204" s="691"/>
      <c r="O204" s="691"/>
      <c r="P204" s="691"/>
      <c r="Q204" s="691"/>
      <c r="R204" s="691"/>
      <c r="S204" s="691"/>
    </row>
    <row r="205" spans="1:19" ht="14.25" thickBot="1" x14ac:dyDescent="0.3">
      <c r="A205" s="691"/>
      <c r="B205" s="1150" t="s">
        <v>4694</v>
      </c>
      <c r="C205" s="2814" t="s">
        <v>4695</v>
      </c>
      <c r="D205" s="1150" t="s">
        <v>4320</v>
      </c>
      <c r="E205" s="1150" t="s">
        <v>4683</v>
      </c>
      <c r="F205" s="2649">
        <v>53</v>
      </c>
      <c r="G205" s="2815">
        <v>620</v>
      </c>
      <c r="H205" s="2815">
        <f t="shared" si="8"/>
        <v>32860</v>
      </c>
      <c r="I205" s="2798"/>
      <c r="J205" s="2798"/>
      <c r="K205" s="2808"/>
      <c r="L205" s="691"/>
      <c r="M205" s="691"/>
      <c r="N205" s="691"/>
      <c r="O205" s="691"/>
      <c r="P205" s="691"/>
      <c r="Q205" s="691"/>
      <c r="R205" s="691"/>
      <c r="S205" s="691"/>
    </row>
    <row r="206" spans="1:19" ht="14.25" thickBot="1" x14ac:dyDescent="0.3">
      <c r="A206" s="691"/>
      <c r="B206" s="1150" t="s">
        <v>4696</v>
      </c>
      <c r="C206" s="2814" t="s">
        <v>4697</v>
      </c>
      <c r="D206" s="1150" t="s">
        <v>4320</v>
      </c>
      <c r="E206" s="1150" t="s">
        <v>4683</v>
      </c>
      <c r="F206" s="2649">
        <v>11</v>
      </c>
      <c r="G206" s="2815">
        <v>1690</v>
      </c>
      <c r="H206" s="2815">
        <f t="shared" si="8"/>
        <v>18590</v>
      </c>
      <c r="I206" s="2798"/>
      <c r="J206" s="2798"/>
      <c r="K206" s="2808"/>
      <c r="L206" s="691"/>
      <c r="M206" s="691"/>
      <c r="N206" s="691"/>
      <c r="O206" s="691"/>
      <c r="P206" s="691"/>
      <c r="Q206" s="691"/>
      <c r="R206" s="691"/>
      <c r="S206" s="691"/>
    </row>
    <row r="207" spans="1:19" ht="14.25" thickBot="1" x14ac:dyDescent="0.3">
      <c r="A207" s="691"/>
      <c r="B207" s="1150" t="s">
        <v>4698</v>
      </c>
      <c r="C207" s="2814" t="s">
        <v>4699</v>
      </c>
      <c r="D207" s="1150" t="s">
        <v>4320</v>
      </c>
      <c r="E207" s="1150" t="s">
        <v>4683</v>
      </c>
      <c r="F207" s="2649">
        <v>1</v>
      </c>
      <c r="G207" s="2815">
        <v>5080</v>
      </c>
      <c r="H207" s="2815">
        <f t="shared" si="8"/>
        <v>5080</v>
      </c>
      <c r="I207" s="2798"/>
      <c r="J207" s="2798"/>
      <c r="K207" s="2808"/>
      <c r="L207" s="691"/>
      <c r="M207" s="691"/>
      <c r="N207" s="691"/>
      <c r="O207" s="691"/>
      <c r="P207" s="691"/>
      <c r="Q207" s="691"/>
      <c r="R207" s="691"/>
      <c r="S207" s="691"/>
    </row>
    <row r="208" spans="1:19" ht="14.25" thickBot="1" x14ac:dyDescent="0.3">
      <c r="A208" s="691"/>
      <c r="B208" s="1150" t="s">
        <v>4700</v>
      </c>
      <c r="C208" s="2814" t="s">
        <v>4701</v>
      </c>
      <c r="D208" s="1150" t="s">
        <v>4320</v>
      </c>
      <c r="E208" s="1150" t="s">
        <v>4683</v>
      </c>
      <c r="F208" s="2649">
        <v>2</v>
      </c>
      <c r="G208" s="2815">
        <v>310</v>
      </c>
      <c r="H208" s="2815">
        <f t="shared" si="8"/>
        <v>620</v>
      </c>
      <c r="I208" s="2798"/>
      <c r="J208" s="2798"/>
      <c r="K208" s="2808"/>
      <c r="L208" s="691"/>
      <c r="M208" s="691"/>
      <c r="N208" s="691"/>
      <c r="O208" s="691"/>
      <c r="P208" s="691"/>
      <c r="Q208" s="691"/>
      <c r="R208" s="691"/>
      <c r="S208" s="691"/>
    </row>
    <row r="209" spans="1:19" ht="14.25" thickBot="1" x14ac:dyDescent="0.3">
      <c r="A209" s="691"/>
      <c r="B209" s="2813" t="s">
        <v>4702</v>
      </c>
      <c r="C209" s="2580" t="s">
        <v>4703</v>
      </c>
      <c r="D209" s="1150" t="s">
        <v>4320</v>
      </c>
      <c r="E209" s="1150" t="s">
        <v>4683</v>
      </c>
      <c r="F209" s="2649">
        <v>1</v>
      </c>
      <c r="G209" s="2815">
        <v>350</v>
      </c>
      <c r="H209" s="2815">
        <f t="shared" si="8"/>
        <v>350</v>
      </c>
      <c r="I209" s="2798"/>
      <c r="J209" s="2798"/>
      <c r="K209" s="2808"/>
      <c r="L209" s="691"/>
      <c r="M209" s="691"/>
      <c r="N209" s="691"/>
      <c r="O209" s="691"/>
      <c r="P209" s="691"/>
      <c r="Q209" s="691"/>
      <c r="R209" s="691"/>
      <c r="S209" s="691"/>
    </row>
    <row r="210" spans="1:19" ht="14.25" thickBot="1" x14ac:dyDescent="0.3">
      <c r="A210" s="691"/>
      <c r="B210" s="2813" t="s">
        <v>4704</v>
      </c>
      <c r="C210" s="2814" t="s">
        <v>4705</v>
      </c>
      <c r="D210" s="1150" t="s">
        <v>4320</v>
      </c>
      <c r="E210" s="1150" t="s">
        <v>4683</v>
      </c>
      <c r="F210" s="2649">
        <v>1</v>
      </c>
      <c r="G210" s="2815">
        <v>890</v>
      </c>
      <c r="H210" s="2815">
        <f t="shared" si="8"/>
        <v>890</v>
      </c>
      <c r="I210" s="2798"/>
      <c r="J210" s="2798"/>
      <c r="K210" s="2808"/>
      <c r="L210" s="691"/>
      <c r="M210" s="691"/>
      <c r="N210" s="691"/>
      <c r="O210" s="691"/>
      <c r="P210" s="691"/>
      <c r="Q210" s="691"/>
      <c r="R210" s="691"/>
      <c r="S210" s="691"/>
    </row>
    <row r="211" spans="1:19" ht="14.25" thickBot="1" x14ac:dyDescent="0.3">
      <c r="A211" s="691"/>
      <c r="B211" s="1150" t="s">
        <v>4706</v>
      </c>
      <c r="C211" s="2814" t="s">
        <v>4707</v>
      </c>
      <c r="D211" s="1150" t="s">
        <v>4320</v>
      </c>
      <c r="E211" s="1150" t="s">
        <v>4683</v>
      </c>
      <c r="F211" s="2649">
        <v>35</v>
      </c>
      <c r="G211" s="2815">
        <v>560</v>
      </c>
      <c r="H211" s="2815">
        <f t="shared" si="8"/>
        <v>19600</v>
      </c>
      <c r="I211" s="2798"/>
      <c r="J211" s="2798"/>
      <c r="K211" s="2808"/>
      <c r="L211" s="691"/>
      <c r="M211" s="691"/>
      <c r="N211" s="691"/>
      <c r="O211" s="691"/>
      <c r="P211" s="691"/>
      <c r="Q211" s="691"/>
      <c r="R211" s="691"/>
      <c r="S211" s="691"/>
    </row>
    <row r="212" spans="1:19" ht="14.25" thickBot="1" x14ac:dyDescent="0.3">
      <c r="A212" s="691"/>
      <c r="B212" s="2813" t="s">
        <v>4708</v>
      </c>
      <c r="C212" s="2814" t="s">
        <v>4709</v>
      </c>
      <c r="D212" s="1150" t="s">
        <v>4320</v>
      </c>
      <c r="E212" s="1150" t="s">
        <v>4683</v>
      </c>
      <c r="F212" s="2649">
        <v>1</v>
      </c>
      <c r="G212" s="2815">
        <v>2300</v>
      </c>
      <c r="H212" s="2815">
        <f t="shared" si="8"/>
        <v>2300</v>
      </c>
      <c r="I212" s="2798"/>
      <c r="J212" s="2798"/>
      <c r="K212" s="2808"/>
      <c r="L212" s="691"/>
      <c r="M212" s="691"/>
      <c r="N212" s="691"/>
      <c r="O212" s="691"/>
      <c r="P212" s="691"/>
      <c r="Q212" s="691"/>
      <c r="R212" s="691"/>
      <c r="S212" s="691"/>
    </row>
    <row r="213" spans="1:19" ht="14.25" thickBot="1" x14ac:dyDescent="0.3">
      <c r="A213" s="691"/>
      <c r="B213" s="1150" t="s">
        <v>4710</v>
      </c>
      <c r="C213" s="2814" t="s">
        <v>4711</v>
      </c>
      <c r="D213" s="1150" t="s">
        <v>4320</v>
      </c>
      <c r="E213" s="1150" t="s">
        <v>4683</v>
      </c>
      <c r="F213" s="2649">
        <v>2</v>
      </c>
      <c r="G213" s="2815">
        <v>350</v>
      </c>
      <c r="H213" s="2815">
        <f t="shared" si="8"/>
        <v>700</v>
      </c>
      <c r="I213" s="2798"/>
      <c r="J213" s="2798"/>
      <c r="K213" s="2808"/>
      <c r="L213" s="691"/>
      <c r="M213" s="691"/>
      <c r="N213" s="691"/>
      <c r="O213" s="691"/>
      <c r="P213" s="691"/>
      <c r="Q213" s="691"/>
      <c r="R213" s="691"/>
      <c r="S213" s="691"/>
    </row>
    <row r="214" spans="1:19" ht="14.25" thickBot="1" x14ac:dyDescent="0.3">
      <c r="A214" s="691"/>
      <c r="B214" s="2813" t="s">
        <v>4712</v>
      </c>
      <c r="C214" s="1758" t="s">
        <v>4713</v>
      </c>
      <c r="D214" s="1150" t="s">
        <v>4320</v>
      </c>
      <c r="E214" s="1150" t="s">
        <v>4683</v>
      </c>
      <c r="F214" s="2649">
        <v>2</v>
      </c>
      <c r="G214" s="2815">
        <v>960</v>
      </c>
      <c r="H214" s="2815">
        <f t="shared" si="8"/>
        <v>1920</v>
      </c>
      <c r="I214" s="2798"/>
      <c r="J214" s="2798"/>
      <c r="K214" s="2808"/>
      <c r="L214" s="691"/>
      <c r="M214" s="691"/>
      <c r="N214" s="691"/>
      <c r="O214" s="691"/>
      <c r="P214" s="691"/>
      <c r="Q214" s="691"/>
      <c r="R214" s="691"/>
      <c r="S214" s="691"/>
    </row>
    <row r="215" spans="1:19" ht="14.25" thickBot="1" x14ac:dyDescent="0.3">
      <c r="A215" s="691"/>
      <c r="B215" s="1150" t="s">
        <v>4714</v>
      </c>
      <c r="C215" s="2814" t="s">
        <v>4715</v>
      </c>
      <c r="D215" s="1150" t="s">
        <v>4320</v>
      </c>
      <c r="E215" s="1150" t="s">
        <v>4683</v>
      </c>
      <c r="F215" s="2649">
        <v>1</v>
      </c>
      <c r="G215" s="2815">
        <v>480</v>
      </c>
      <c r="H215" s="2815">
        <f t="shared" si="8"/>
        <v>480</v>
      </c>
      <c r="I215" s="2798"/>
      <c r="J215" s="2798"/>
      <c r="K215" s="2808"/>
      <c r="L215" s="691"/>
      <c r="M215" s="691"/>
      <c r="N215" s="691"/>
      <c r="O215" s="691"/>
      <c r="P215" s="691"/>
      <c r="Q215" s="691"/>
      <c r="R215" s="691"/>
      <c r="S215" s="691"/>
    </row>
    <row r="216" spans="1:19" ht="14.25" thickBot="1" x14ac:dyDescent="0.3">
      <c r="A216" s="691"/>
      <c r="B216" s="2813" t="s">
        <v>4716</v>
      </c>
      <c r="C216" s="2814" t="s">
        <v>4717</v>
      </c>
      <c r="D216" s="1150" t="s">
        <v>4320</v>
      </c>
      <c r="E216" s="1150" t="s">
        <v>4683</v>
      </c>
      <c r="F216" s="2649">
        <v>3</v>
      </c>
      <c r="G216" s="2815">
        <v>1260</v>
      </c>
      <c r="H216" s="2815">
        <f t="shared" si="8"/>
        <v>3780</v>
      </c>
      <c r="I216" s="2798"/>
      <c r="J216" s="2798"/>
      <c r="K216" s="2808"/>
      <c r="L216" s="691"/>
      <c r="M216" s="691"/>
      <c r="N216" s="691"/>
      <c r="O216" s="691"/>
      <c r="P216" s="691"/>
      <c r="Q216" s="691"/>
      <c r="R216" s="691"/>
      <c r="S216" s="691"/>
    </row>
    <row r="217" spans="1:19" ht="14.25" thickBot="1" x14ac:dyDescent="0.3">
      <c r="A217" s="691"/>
      <c r="B217" s="2462" t="s">
        <v>5879</v>
      </c>
      <c r="C217" s="2821" t="s">
        <v>5880</v>
      </c>
      <c r="D217" s="1150" t="s">
        <v>4320</v>
      </c>
      <c r="E217" s="1150" t="s">
        <v>4683</v>
      </c>
      <c r="F217" s="2649">
        <v>1</v>
      </c>
      <c r="G217" s="2815">
        <v>780</v>
      </c>
      <c r="H217" s="2815">
        <f t="shared" si="8"/>
        <v>780</v>
      </c>
      <c r="I217" s="2798"/>
      <c r="J217" s="2798"/>
      <c r="K217" s="2808"/>
      <c r="L217" s="691"/>
      <c r="M217" s="691"/>
      <c r="N217" s="691"/>
      <c r="O217" s="691"/>
      <c r="P217" s="691"/>
      <c r="Q217" s="691"/>
      <c r="R217" s="691"/>
      <c r="S217" s="691"/>
    </row>
    <row r="218" spans="1:19" ht="14.25" thickBot="1" x14ac:dyDescent="0.3">
      <c r="A218" s="691"/>
      <c r="B218" s="2813" t="s">
        <v>4718</v>
      </c>
      <c r="C218" s="2814" t="s">
        <v>4719</v>
      </c>
      <c r="D218" s="1150" t="s">
        <v>4320</v>
      </c>
      <c r="E218" s="1150" t="s">
        <v>4683</v>
      </c>
      <c r="F218" s="2649">
        <v>15</v>
      </c>
      <c r="G218" s="2815">
        <v>470</v>
      </c>
      <c r="H218" s="2815">
        <f t="shared" si="8"/>
        <v>7050</v>
      </c>
      <c r="I218" s="2798"/>
      <c r="J218" s="2798"/>
      <c r="K218" s="2808"/>
      <c r="L218" s="691"/>
      <c r="M218" s="691"/>
      <c r="N218" s="691"/>
      <c r="O218" s="691"/>
      <c r="P218" s="691"/>
      <c r="Q218" s="691"/>
      <c r="R218" s="691"/>
      <c r="S218" s="691"/>
    </row>
    <row r="219" spans="1:19" ht="14.25" thickBot="1" x14ac:dyDescent="0.3">
      <c r="A219" s="691"/>
      <c r="B219" s="2813" t="s">
        <v>4720</v>
      </c>
      <c r="C219" s="2814" t="s">
        <v>4721</v>
      </c>
      <c r="D219" s="1150" t="s">
        <v>4320</v>
      </c>
      <c r="E219" s="1150" t="s">
        <v>4683</v>
      </c>
      <c r="F219" s="2649">
        <v>3</v>
      </c>
      <c r="G219" s="2815">
        <v>280</v>
      </c>
      <c r="H219" s="2815">
        <f t="shared" si="8"/>
        <v>840</v>
      </c>
      <c r="I219" s="2798"/>
      <c r="J219" s="2798"/>
      <c r="K219" s="2808"/>
      <c r="L219" s="691"/>
      <c r="M219" s="691"/>
      <c r="N219" s="691"/>
      <c r="O219" s="691"/>
      <c r="P219" s="691"/>
      <c r="Q219" s="691"/>
      <c r="R219" s="691"/>
      <c r="S219" s="691"/>
    </row>
    <row r="220" spans="1:19" ht="14.25" thickBot="1" x14ac:dyDescent="0.3">
      <c r="A220" s="691"/>
      <c r="B220" s="2674" t="s">
        <v>4722</v>
      </c>
      <c r="C220" s="2472" t="s">
        <v>4723</v>
      </c>
      <c r="D220" s="1150" t="s">
        <v>4320</v>
      </c>
      <c r="E220" s="1150" t="s">
        <v>4683</v>
      </c>
      <c r="F220" s="2649">
        <v>1</v>
      </c>
      <c r="G220" s="2815">
        <v>510</v>
      </c>
      <c r="H220" s="2815">
        <f t="shared" si="8"/>
        <v>510</v>
      </c>
      <c r="I220" s="2798"/>
      <c r="J220" s="2798"/>
      <c r="K220" s="2808"/>
      <c r="L220" s="691"/>
      <c r="M220" s="691"/>
      <c r="N220" s="691"/>
      <c r="O220" s="691"/>
      <c r="P220" s="691"/>
      <c r="Q220" s="691"/>
      <c r="R220" s="691"/>
      <c r="S220" s="691"/>
    </row>
    <row r="221" spans="1:19" ht="14.25" thickBot="1" x14ac:dyDescent="0.3">
      <c r="A221" s="691"/>
      <c r="B221" s="1150" t="s">
        <v>4724</v>
      </c>
      <c r="C221" s="2814" t="s">
        <v>4725</v>
      </c>
      <c r="D221" s="1150" t="s">
        <v>4320</v>
      </c>
      <c r="E221" s="1150" t="s">
        <v>4683</v>
      </c>
      <c r="F221" s="2649">
        <v>20</v>
      </c>
      <c r="G221" s="2815">
        <v>330</v>
      </c>
      <c r="H221" s="2815">
        <f t="shared" si="8"/>
        <v>6600</v>
      </c>
      <c r="I221" s="2798"/>
      <c r="J221" s="2798"/>
      <c r="K221" s="2808"/>
      <c r="L221" s="691"/>
      <c r="M221" s="691"/>
      <c r="N221" s="691"/>
      <c r="O221" s="691"/>
      <c r="P221" s="691"/>
      <c r="Q221" s="691"/>
      <c r="R221" s="691"/>
      <c r="S221" s="691"/>
    </row>
    <row r="222" spans="1:19" ht="14.25" thickBot="1" x14ac:dyDescent="0.3">
      <c r="A222" s="691"/>
      <c r="B222" s="2813" t="s">
        <v>4726</v>
      </c>
      <c r="C222" s="2814" t="s">
        <v>4727</v>
      </c>
      <c r="D222" s="1150" t="s">
        <v>4320</v>
      </c>
      <c r="E222" s="1150" t="s">
        <v>4683</v>
      </c>
      <c r="F222" s="2649">
        <v>38</v>
      </c>
      <c r="G222" s="2815">
        <v>170</v>
      </c>
      <c r="H222" s="2815">
        <f t="shared" si="8"/>
        <v>6460</v>
      </c>
      <c r="I222" s="2798"/>
      <c r="J222" s="2798"/>
      <c r="K222" s="2808"/>
      <c r="L222" s="691"/>
      <c r="M222" s="691"/>
      <c r="N222" s="691"/>
      <c r="O222" s="691"/>
      <c r="P222" s="691"/>
      <c r="Q222" s="691"/>
      <c r="R222" s="691"/>
      <c r="S222" s="691"/>
    </row>
    <row r="223" spans="1:19" ht="14.25" thickBot="1" x14ac:dyDescent="0.3">
      <c r="A223" s="691"/>
      <c r="B223" s="2813" t="s">
        <v>4728</v>
      </c>
      <c r="C223" s="2816" t="s">
        <v>4729</v>
      </c>
      <c r="D223" s="1150" t="s">
        <v>4320</v>
      </c>
      <c r="E223" s="1150" t="s">
        <v>4683</v>
      </c>
      <c r="F223" s="2649">
        <v>13</v>
      </c>
      <c r="G223" s="2815">
        <v>110</v>
      </c>
      <c r="H223" s="2815">
        <f t="shared" si="8"/>
        <v>1430</v>
      </c>
      <c r="I223" s="2798"/>
      <c r="J223" s="2798"/>
      <c r="K223" s="2808"/>
      <c r="L223" s="691"/>
      <c r="M223" s="691"/>
      <c r="N223" s="691"/>
      <c r="O223" s="691"/>
      <c r="P223" s="691"/>
      <c r="Q223" s="691"/>
      <c r="R223" s="691"/>
      <c r="S223" s="691"/>
    </row>
    <row r="224" spans="1:19" ht="14.25" thickBot="1" x14ac:dyDescent="0.3">
      <c r="A224" s="691"/>
      <c r="B224" s="1150" t="s">
        <v>4730</v>
      </c>
      <c r="C224" s="2814" t="s">
        <v>4731</v>
      </c>
      <c r="D224" s="1150" t="s">
        <v>4320</v>
      </c>
      <c r="E224" s="1150" t="s">
        <v>4683</v>
      </c>
      <c r="F224" s="2649">
        <v>61</v>
      </c>
      <c r="G224" s="2815">
        <v>60</v>
      </c>
      <c r="H224" s="2815">
        <f t="shared" si="8"/>
        <v>3660</v>
      </c>
      <c r="I224" s="2798"/>
      <c r="J224" s="2798"/>
      <c r="K224" s="2808"/>
      <c r="L224" s="691"/>
      <c r="M224" s="691"/>
      <c r="N224" s="691"/>
      <c r="O224" s="691"/>
      <c r="P224" s="691"/>
      <c r="Q224" s="691"/>
      <c r="R224" s="691"/>
      <c r="S224" s="691"/>
    </row>
    <row r="225" spans="1:19" ht="14.25" thickBot="1" x14ac:dyDescent="0.3">
      <c r="A225" s="691"/>
      <c r="B225" s="1150" t="s">
        <v>4732</v>
      </c>
      <c r="C225" s="2814" t="s">
        <v>4733</v>
      </c>
      <c r="D225" s="1150" t="s">
        <v>4320</v>
      </c>
      <c r="E225" s="1150" t="s">
        <v>4683</v>
      </c>
      <c r="F225" s="2649">
        <v>5</v>
      </c>
      <c r="G225" s="2815">
        <v>430</v>
      </c>
      <c r="H225" s="2815">
        <f t="shared" si="8"/>
        <v>2150</v>
      </c>
      <c r="I225" s="2798"/>
      <c r="J225" s="2798"/>
      <c r="K225" s="2808"/>
      <c r="L225" s="691"/>
      <c r="M225" s="691"/>
      <c r="N225" s="691"/>
      <c r="O225" s="691"/>
      <c r="P225" s="691"/>
      <c r="Q225" s="691"/>
      <c r="R225" s="691"/>
      <c r="S225" s="691"/>
    </row>
    <row r="226" spans="1:19" ht="14.25" thickBot="1" x14ac:dyDescent="0.3">
      <c r="A226" s="691"/>
      <c r="B226" s="1150" t="s">
        <v>4734</v>
      </c>
      <c r="C226" s="2814" t="s">
        <v>4735</v>
      </c>
      <c r="D226" s="1150" t="s">
        <v>4320</v>
      </c>
      <c r="E226" s="1150" t="s">
        <v>4683</v>
      </c>
      <c r="F226" s="2649">
        <v>4</v>
      </c>
      <c r="G226" s="2815">
        <v>80</v>
      </c>
      <c r="H226" s="2815">
        <f t="shared" si="8"/>
        <v>320</v>
      </c>
      <c r="I226" s="2798"/>
      <c r="J226" s="2798"/>
      <c r="K226" s="2808"/>
      <c r="L226" s="691"/>
      <c r="M226" s="691"/>
      <c r="N226" s="691"/>
      <c r="O226" s="691"/>
      <c r="P226" s="691"/>
      <c r="Q226" s="691"/>
      <c r="R226" s="691"/>
      <c r="S226" s="691"/>
    </row>
    <row r="227" spans="1:19" ht="14.25" thickBot="1" x14ac:dyDescent="0.3">
      <c r="A227" s="691"/>
      <c r="B227" s="2813" t="s">
        <v>4736</v>
      </c>
      <c r="C227" s="2814" t="s">
        <v>4737</v>
      </c>
      <c r="D227" s="1150" t="s">
        <v>4320</v>
      </c>
      <c r="E227" s="1150" t="s">
        <v>4683</v>
      </c>
      <c r="F227" s="2649">
        <v>141</v>
      </c>
      <c r="G227" s="2815">
        <v>90</v>
      </c>
      <c r="H227" s="2815">
        <f t="shared" si="8"/>
        <v>12690</v>
      </c>
      <c r="I227" s="2798"/>
      <c r="J227" s="2798"/>
      <c r="K227" s="2808"/>
      <c r="L227" s="691"/>
      <c r="M227" s="691"/>
      <c r="N227" s="691"/>
      <c r="O227" s="691"/>
      <c r="P227" s="691"/>
      <c r="Q227" s="691"/>
      <c r="R227" s="691"/>
      <c r="S227" s="691"/>
    </row>
    <row r="228" spans="1:19" ht="14.25" thickBot="1" x14ac:dyDescent="0.3">
      <c r="A228" s="691"/>
      <c r="B228" s="2813" t="s">
        <v>4738</v>
      </c>
      <c r="C228" s="2814" t="s">
        <v>4742</v>
      </c>
      <c r="D228" s="1150" t="s">
        <v>4320</v>
      </c>
      <c r="E228" s="1150" t="s">
        <v>4683</v>
      </c>
      <c r="F228" s="2649">
        <v>3</v>
      </c>
      <c r="G228" s="2815">
        <v>380</v>
      </c>
      <c r="H228" s="2815">
        <f t="shared" si="8"/>
        <v>1140</v>
      </c>
      <c r="I228" s="2798"/>
      <c r="J228" s="2798"/>
      <c r="K228" s="2808"/>
      <c r="L228" s="691"/>
      <c r="M228" s="691"/>
      <c r="N228" s="691"/>
      <c r="O228" s="691"/>
      <c r="P228" s="691"/>
      <c r="Q228" s="691"/>
      <c r="R228" s="691"/>
      <c r="S228" s="691"/>
    </row>
    <row r="229" spans="1:19" ht="14.25" thickBot="1" x14ac:dyDescent="0.3">
      <c r="A229" s="691"/>
      <c r="B229" s="2813" t="s">
        <v>4739</v>
      </c>
      <c r="C229" s="2814" t="s">
        <v>4740</v>
      </c>
      <c r="D229" s="1150" t="s">
        <v>4320</v>
      </c>
      <c r="E229" s="1150" t="s">
        <v>4683</v>
      </c>
      <c r="F229" s="2649">
        <v>47</v>
      </c>
      <c r="G229" s="2815">
        <v>198</v>
      </c>
      <c r="H229" s="2815">
        <f t="shared" si="8"/>
        <v>9306</v>
      </c>
      <c r="I229" s="2798"/>
      <c r="J229" s="2798"/>
      <c r="K229" s="2808"/>
      <c r="L229" s="691"/>
      <c r="M229" s="691"/>
      <c r="N229" s="691"/>
      <c r="O229" s="691"/>
      <c r="P229" s="691"/>
      <c r="Q229" s="691"/>
      <c r="R229" s="691"/>
      <c r="S229" s="691"/>
    </row>
    <row r="230" spans="1:19" ht="14.25" thickBot="1" x14ac:dyDescent="0.3">
      <c r="A230" s="691"/>
      <c r="B230" s="1150" t="s">
        <v>4741</v>
      </c>
      <c r="C230" s="2814" t="s">
        <v>4742</v>
      </c>
      <c r="D230" s="1150" t="s">
        <v>4320</v>
      </c>
      <c r="E230" s="1150" t="s">
        <v>4683</v>
      </c>
      <c r="F230" s="2649">
        <v>13</v>
      </c>
      <c r="G230" s="2815">
        <v>390</v>
      </c>
      <c r="H230" s="2815">
        <f t="shared" si="8"/>
        <v>5070</v>
      </c>
      <c r="I230" s="2798"/>
      <c r="J230" s="2798"/>
      <c r="K230" s="2808"/>
      <c r="L230" s="691"/>
      <c r="M230" s="691"/>
      <c r="N230" s="691"/>
      <c r="O230" s="691"/>
      <c r="P230" s="691"/>
      <c r="Q230" s="691"/>
      <c r="R230" s="691"/>
      <c r="S230" s="691"/>
    </row>
    <row r="231" spans="1:19" ht="14.25" thickBot="1" x14ac:dyDescent="0.3">
      <c r="A231" s="691"/>
      <c r="B231" s="2813" t="s">
        <v>4743</v>
      </c>
      <c r="C231" s="2814" t="s">
        <v>4744</v>
      </c>
      <c r="D231" s="1150" t="s">
        <v>4320</v>
      </c>
      <c r="E231" s="1150" t="s">
        <v>4683</v>
      </c>
      <c r="F231" s="2649">
        <v>3</v>
      </c>
      <c r="G231" s="2815">
        <v>350</v>
      </c>
      <c r="H231" s="2815">
        <f t="shared" si="8"/>
        <v>1050</v>
      </c>
      <c r="I231" s="2798"/>
      <c r="J231" s="2798"/>
      <c r="K231" s="2808"/>
      <c r="L231" s="691"/>
      <c r="M231" s="691"/>
      <c r="N231" s="691"/>
      <c r="O231" s="691"/>
      <c r="P231" s="691"/>
      <c r="Q231" s="691"/>
      <c r="R231" s="691"/>
      <c r="S231" s="691"/>
    </row>
    <row r="232" spans="1:19" ht="14.25" thickBot="1" x14ac:dyDescent="0.3">
      <c r="A232" s="691"/>
      <c r="B232" s="2813" t="s">
        <v>4745</v>
      </c>
      <c r="C232" s="2816" t="s">
        <v>4746</v>
      </c>
      <c r="D232" s="1150" t="s">
        <v>4320</v>
      </c>
      <c r="E232" s="1150" t="s">
        <v>4683</v>
      </c>
      <c r="F232" s="2649">
        <v>9</v>
      </c>
      <c r="G232" s="2815">
        <v>1002</v>
      </c>
      <c r="H232" s="2815">
        <f t="shared" si="8"/>
        <v>9018</v>
      </c>
      <c r="I232" s="2798"/>
      <c r="J232" s="2798"/>
      <c r="K232" s="2808"/>
      <c r="L232" s="691"/>
      <c r="M232" s="691"/>
      <c r="N232" s="691"/>
      <c r="O232" s="691"/>
      <c r="P232" s="691"/>
      <c r="Q232" s="691"/>
      <c r="R232" s="691"/>
      <c r="S232" s="691"/>
    </row>
    <row r="233" spans="1:19" ht="14.25" thickBot="1" x14ac:dyDescent="0.3">
      <c r="A233" s="691"/>
      <c r="B233" s="2462" t="s">
        <v>4747</v>
      </c>
      <c r="C233" s="2821" t="s">
        <v>4748</v>
      </c>
      <c r="D233" s="1150" t="s">
        <v>4320</v>
      </c>
      <c r="E233" s="1150" t="s">
        <v>4683</v>
      </c>
      <c r="F233" s="2649">
        <v>2</v>
      </c>
      <c r="G233" s="2815">
        <v>398</v>
      </c>
      <c r="H233" s="2815">
        <f t="shared" si="8"/>
        <v>796</v>
      </c>
      <c r="I233" s="2798"/>
      <c r="J233" s="2798"/>
      <c r="K233" s="2808"/>
      <c r="L233" s="691"/>
      <c r="M233" s="691"/>
      <c r="N233" s="691"/>
      <c r="O233" s="691"/>
      <c r="P233" s="691"/>
      <c r="Q233" s="691"/>
      <c r="R233" s="691"/>
      <c r="S233" s="691"/>
    </row>
    <row r="234" spans="1:19" ht="14.25" thickBot="1" x14ac:dyDescent="0.3">
      <c r="A234" s="691"/>
      <c r="B234" s="2813" t="s">
        <v>4749</v>
      </c>
      <c r="C234" s="2814" t="s">
        <v>4750</v>
      </c>
      <c r="D234" s="1150" t="s">
        <v>4320</v>
      </c>
      <c r="E234" s="1150" t="s">
        <v>4683</v>
      </c>
      <c r="F234" s="2649">
        <v>2</v>
      </c>
      <c r="G234" s="2815">
        <v>625</v>
      </c>
      <c r="H234" s="2815">
        <f t="shared" si="8"/>
        <v>1250</v>
      </c>
      <c r="I234" s="2798"/>
      <c r="J234" s="2798"/>
      <c r="K234" s="2808"/>
      <c r="L234" s="691"/>
      <c r="M234" s="691"/>
      <c r="N234" s="691"/>
      <c r="O234" s="691"/>
      <c r="P234" s="691"/>
      <c r="Q234" s="691"/>
      <c r="R234" s="691"/>
      <c r="S234" s="691"/>
    </row>
    <row r="235" spans="1:19" ht="14.25" thickBot="1" x14ac:dyDescent="0.3">
      <c r="A235" s="691"/>
      <c r="B235" s="2462" t="s">
        <v>4751</v>
      </c>
      <c r="C235" s="2821" t="s">
        <v>4752</v>
      </c>
      <c r="D235" s="1150" t="s">
        <v>4320</v>
      </c>
      <c r="E235" s="1150" t="s">
        <v>4683</v>
      </c>
      <c r="F235" s="2649">
        <v>9</v>
      </c>
      <c r="G235" s="2815">
        <v>1050</v>
      </c>
      <c r="H235" s="2815">
        <f t="shared" si="8"/>
        <v>9450</v>
      </c>
      <c r="I235" s="2798"/>
      <c r="J235" s="2798"/>
      <c r="K235" s="2808"/>
      <c r="L235" s="691"/>
      <c r="M235" s="691"/>
      <c r="N235" s="691"/>
      <c r="O235" s="691"/>
      <c r="P235" s="691"/>
      <c r="Q235" s="691"/>
      <c r="R235" s="691"/>
      <c r="S235" s="691"/>
    </row>
    <row r="236" spans="1:19" ht="14.25" thickBot="1" x14ac:dyDescent="0.3">
      <c r="A236" s="691"/>
      <c r="B236" s="2813" t="s">
        <v>4753</v>
      </c>
      <c r="C236" s="2821" t="s">
        <v>4754</v>
      </c>
      <c r="D236" s="1150" t="s">
        <v>4320</v>
      </c>
      <c r="E236" s="1150" t="s">
        <v>4683</v>
      </c>
      <c r="F236" s="2649">
        <v>9</v>
      </c>
      <c r="G236" s="2815">
        <v>589</v>
      </c>
      <c r="H236" s="2815">
        <f t="shared" si="8"/>
        <v>5301</v>
      </c>
      <c r="I236" s="2798"/>
      <c r="J236" s="2798"/>
      <c r="K236" s="2808"/>
      <c r="L236" s="691"/>
      <c r="M236" s="691"/>
      <c r="N236" s="691"/>
      <c r="O236" s="691"/>
      <c r="P236" s="691"/>
      <c r="Q236" s="691"/>
      <c r="R236" s="691"/>
      <c r="S236" s="691"/>
    </row>
    <row r="237" spans="1:19" ht="14.25" thickBot="1" x14ac:dyDescent="0.3">
      <c r="A237" s="691"/>
      <c r="B237" s="1150" t="s">
        <v>4873</v>
      </c>
      <c r="C237" s="2816" t="s">
        <v>4874</v>
      </c>
      <c r="D237" s="1150" t="s">
        <v>4320</v>
      </c>
      <c r="E237" s="1150" t="s">
        <v>4683</v>
      </c>
      <c r="F237" s="2649">
        <v>1</v>
      </c>
      <c r="G237" s="2815">
        <v>150</v>
      </c>
      <c r="H237" s="2815">
        <f t="shared" si="8"/>
        <v>150</v>
      </c>
      <c r="I237" s="2798"/>
      <c r="J237" s="2798"/>
      <c r="K237" s="2808"/>
      <c r="L237" s="691"/>
      <c r="M237" s="691"/>
      <c r="N237" s="691"/>
      <c r="O237" s="691"/>
      <c r="P237" s="691"/>
      <c r="Q237" s="691"/>
      <c r="R237" s="691"/>
      <c r="S237" s="691"/>
    </row>
    <row r="238" spans="1:19" ht="14.25" thickBot="1" x14ac:dyDescent="0.3">
      <c r="A238" s="691"/>
      <c r="B238" s="1150" t="s">
        <v>4755</v>
      </c>
      <c r="C238" s="2814" t="s">
        <v>4756</v>
      </c>
      <c r="D238" s="1150" t="s">
        <v>4320</v>
      </c>
      <c r="E238" s="1150" t="s">
        <v>4683</v>
      </c>
      <c r="F238" s="2649">
        <v>11</v>
      </c>
      <c r="G238" s="2815">
        <v>390</v>
      </c>
      <c r="H238" s="2815">
        <f t="shared" si="8"/>
        <v>4290</v>
      </c>
      <c r="I238" s="2798"/>
      <c r="J238" s="2798"/>
      <c r="K238" s="2808"/>
      <c r="L238" s="691"/>
      <c r="M238" s="691"/>
      <c r="N238" s="691"/>
      <c r="O238" s="691"/>
      <c r="P238" s="691"/>
      <c r="Q238" s="691"/>
      <c r="R238" s="691"/>
      <c r="S238" s="691"/>
    </row>
    <row r="239" spans="1:19" ht="14.25" thickBot="1" x14ac:dyDescent="0.3">
      <c r="A239" s="691"/>
      <c r="B239" s="1150" t="s">
        <v>4757</v>
      </c>
      <c r="C239" s="2814" t="s">
        <v>4758</v>
      </c>
      <c r="D239" s="1150" t="s">
        <v>4320</v>
      </c>
      <c r="E239" s="1150" t="s">
        <v>4683</v>
      </c>
      <c r="F239" s="2649">
        <v>11</v>
      </c>
      <c r="G239" s="2815">
        <v>620</v>
      </c>
      <c r="H239" s="2815">
        <f t="shared" si="8"/>
        <v>6820</v>
      </c>
      <c r="I239" s="2798"/>
      <c r="J239" s="2798"/>
      <c r="K239" s="2808"/>
      <c r="L239" s="691"/>
      <c r="M239" s="691"/>
      <c r="N239" s="691"/>
      <c r="O239" s="691"/>
      <c r="P239" s="691"/>
      <c r="Q239" s="691"/>
      <c r="R239" s="691"/>
      <c r="S239" s="691"/>
    </row>
    <row r="240" spans="1:19" ht="14.25" thickBot="1" x14ac:dyDescent="0.3">
      <c r="A240" s="691"/>
      <c r="B240" s="1150" t="s">
        <v>4759</v>
      </c>
      <c r="C240" s="2814" t="s">
        <v>4760</v>
      </c>
      <c r="D240" s="1150" t="s">
        <v>4320</v>
      </c>
      <c r="E240" s="1150" t="s">
        <v>4683</v>
      </c>
      <c r="F240" s="2649">
        <v>1</v>
      </c>
      <c r="G240" s="2815">
        <v>830</v>
      </c>
      <c r="H240" s="2815">
        <f t="shared" si="8"/>
        <v>830</v>
      </c>
      <c r="I240" s="2798"/>
      <c r="J240" s="2798"/>
      <c r="K240" s="2808"/>
      <c r="L240" s="691"/>
      <c r="M240" s="691"/>
      <c r="N240" s="691"/>
      <c r="O240" s="691"/>
      <c r="P240" s="691"/>
      <c r="Q240" s="691"/>
      <c r="R240" s="691"/>
      <c r="S240" s="691"/>
    </row>
    <row r="241" spans="1:19" ht="14.25" thickBot="1" x14ac:dyDescent="0.3">
      <c r="A241" s="691"/>
      <c r="B241" s="2839" t="s">
        <v>4761</v>
      </c>
      <c r="C241" s="2840"/>
      <c r="D241" s="2840"/>
      <c r="E241" s="2841"/>
      <c r="F241" s="2842">
        <f>SUM(F200:F240)</f>
        <v>601</v>
      </c>
      <c r="G241" s="2845">
        <f>SUM(G200:G240)</f>
        <v>28924</v>
      </c>
      <c r="H241" s="2844">
        <f>SUM(H200:H240)</f>
        <v>230123</v>
      </c>
      <c r="I241" s="2798"/>
      <c r="J241" s="2798"/>
      <c r="K241" s="2808"/>
      <c r="L241" s="691"/>
      <c r="M241" s="691"/>
      <c r="N241" s="691"/>
      <c r="O241" s="691"/>
      <c r="P241" s="691"/>
      <c r="Q241" s="691"/>
      <c r="R241" s="691"/>
      <c r="S241" s="691"/>
    </row>
    <row r="242" spans="1:19" ht="14.25" thickBot="1" x14ac:dyDescent="0.3">
      <c r="A242" s="691"/>
      <c r="B242" s="2835" t="s">
        <v>4762</v>
      </c>
      <c r="C242" s="2836" t="s">
        <v>4331</v>
      </c>
      <c r="D242" s="2836"/>
      <c r="E242" s="2837"/>
      <c r="F242" s="2837"/>
      <c r="G242" s="2838"/>
      <c r="H242" s="2838"/>
      <c r="I242" s="2809"/>
      <c r="J242" s="2809"/>
      <c r="K242" s="2809"/>
      <c r="L242" s="691"/>
      <c r="M242" s="691"/>
      <c r="N242" s="691"/>
      <c r="O242" s="691"/>
      <c r="P242" s="691"/>
      <c r="Q242" s="691"/>
      <c r="R242" s="691"/>
      <c r="S242" s="691"/>
    </row>
    <row r="243" spans="1:19" ht="14.25" thickBot="1" x14ac:dyDescent="0.3">
      <c r="A243" s="691"/>
      <c r="B243" s="1150" t="s">
        <v>4763</v>
      </c>
      <c r="C243" s="2814" t="s">
        <v>4764</v>
      </c>
      <c r="D243" s="1150" t="s">
        <v>4320</v>
      </c>
      <c r="E243" s="1150" t="s">
        <v>4762</v>
      </c>
      <c r="F243" s="2649">
        <v>1</v>
      </c>
      <c r="G243" s="2818">
        <v>1200</v>
      </c>
      <c r="H243" s="2815">
        <f t="shared" ref="H243:H300" si="9">+G243*F243</f>
        <v>1200</v>
      </c>
      <c r="I243" s="2794"/>
      <c r="K243" s="2798"/>
      <c r="L243" s="691"/>
      <c r="M243" s="691"/>
      <c r="N243" s="691"/>
      <c r="O243" s="691"/>
      <c r="P243" s="691"/>
      <c r="Q243" s="691"/>
      <c r="R243" s="691"/>
      <c r="S243" s="691"/>
    </row>
    <row r="244" spans="1:19" ht="14.25" thickBot="1" x14ac:dyDescent="0.3">
      <c r="A244" s="691"/>
      <c r="B244" s="1150" t="s">
        <v>4765</v>
      </c>
      <c r="C244" s="2814" t="s">
        <v>4766</v>
      </c>
      <c r="D244" s="1150" t="s">
        <v>4320</v>
      </c>
      <c r="E244" s="1150" t="s">
        <v>4762</v>
      </c>
      <c r="F244" s="2649">
        <v>2</v>
      </c>
      <c r="G244" s="2818">
        <v>8040</v>
      </c>
      <c r="H244" s="2815">
        <f t="shared" si="9"/>
        <v>16080</v>
      </c>
      <c r="I244" s="2794"/>
      <c r="K244" s="2798"/>
      <c r="L244" s="691"/>
      <c r="M244" s="691"/>
      <c r="N244" s="691"/>
      <c r="O244" s="691"/>
      <c r="P244" s="691"/>
      <c r="Q244" s="691"/>
      <c r="R244" s="691"/>
      <c r="S244" s="691"/>
    </row>
    <row r="245" spans="1:19" ht="14.25" thickBot="1" x14ac:dyDescent="0.3">
      <c r="A245" s="691"/>
      <c r="B245" s="2462" t="s">
        <v>4767</v>
      </c>
      <c r="C245" s="2821" t="s">
        <v>4768</v>
      </c>
      <c r="D245" s="1150" t="s">
        <v>4320</v>
      </c>
      <c r="E245" s="1150" t="s">
        <v>4762</v>
      </c>
      <c r="F245" s="2649">
        <v>16</v>
      </c>
      <c r="G245" s="2818">
        <v>542</v>
      </c>
      <c r="H245" s="2815">
        <f t="shared" si="9"/>
        <v>8672</v>
      </c>
      <c r="I245" s="2794"/>
      <c r="K245" s="2798"/>
      <c r="L245" s="691"/>
      <c r="M245" s="691"/>
      <c r="N245" s="691"/>
      <c r="O245" s="691"/>
      <c r="P245" s="691"/>
      <c r="Q245" s="691"/>
      <c r="R245" s="691"/>
      <c r="S245" s="691"/>
    </row>
    <row r="246" spans="1:19" ht="14.25" thickBot="1" x14ac:dyDescent="0.3">
      <c r="A246" s="691"/>
      <c r="B246" s="1150" t="s">
        <v>4769</v>
      </c>
      <c r="C246" s="2814" t="s">
        <v>4770</v>
      </c>
      <c r="D246" s="1150" t="s">
        <v>4320</v>
      </c>
      <c r="E246" s="1150" t="s">
        <v>4762</v>
      </c>
      <c r="F246" s="2649">
        <v>14</v>
      </c>
      <c r="G246" s="2818">
        <v>700</v>
      </c>
      <c r="H246" s="2815">
        <f t="shared" si="9"/>
        <v>9800</v>
      </c>
      <c r="I246" s="2794"/>
      <c r="K246" s="2798"/>
      <c r="L246" s="691"/>
      <c r="M246" s="691"/>
      <c r="N246" s="691"/>
      <c r="O246" s="691"/>
      <c r="P246" s="691"/>
      <c r="Q246" s="691"/>
      <c r="R246" s="691"/>
      <c r="S246" s="691"/>
    </row>
    <row r="247" spans="1:19" ht="14.25" thickBot="1" x14ac:dyDescent="0.3">
      <c r="A247" s="691"/>
      <c r="B247" s="1150" t="s">
        <v>4771</v>
      </c>
      <c r="C247" s="2814" t="s">
        <v>4772</v>
      </c>
      <c r="D247" s="1150" t="s">
        <v>4320</v>
      </c>
      <c r="E247" s="1150" t="s">
        <v>4762</v>
      </c>
      <c r="F247" s="2649">
        <v>2</v>
      </c>
      <c r="G247" s="2818">
        <v>46000</v>
      </c>
      <c r="H247" s="2815">
        <f t="shared" si="9"/>
        <v>92000</v>
      </c>
      <c r="I247" s="2794"/>
      <c r="K247" s="2798"/>
      <c r="L247" s="691"/>
      <c r="M247" s="691"/>
      <c r="N247" s="691"/>
      <c r="O247" s="691"/>
      <c r="P247" s="691"/>
      <c r="Q247" s="691"/>
      <c r="R247" s="691"/>
      <c r="S247" s="691"/>
    </row>
    <row r="248" spans="1:19" ht="14.25" thickBot="1" x14ac:dyDescent="0.3">
      <c r="A248" s="691"/>
      <c r="B248" s="1150" t="s">
        <v>4773</v>
      </c>
      <c r="C248" s="2814" t="s">
        <v>4774</v>
      </c>
      <c r="D248" s="1150" t="s">
        <v>4320</v>
      </c>
      <c r="E248" s="1150" t="s">
        <v>4762</v>
      </c>
      <c r="F248" s="2649">
        <v>8</v>
      </c>
      <c r="G248" s="2818">
        <v>2600</v>
      </c>
      <c r="H248" s="2815">
        <f t="shared" si="9"/>
        <v>20800</v>
      </c>
      <c r="I248" s="2794"/>
      <c r="K248" s="2798"/>
      <c r="L248" s="691"/>
      <c r="M248" s="691"/>
      <c r="N248" s="691"/>
      <c r="O248" s="691"/>
      <c r="P248" s="691"/>
      <c r="Q248" s="691"/>
      <c r="R248" s="691"/>
      <c r="S248" s="691"/>
    </row>
    <row r="249" spans="1:19" ht="14.25" thickBot="1" x14ac:dyDescent="0.3">
      <c r="A249" s="691"/>
      <c r="B249" s="1150" t="s">
        <v>4775</v>
      </c>
      <c r="C249" s="2814" t="s">
        <v>4776</v>
      </c>
      <c r="D249" s="1150" t="s">
        <v>4320</v>
      </c>
      <c r="E249" s="1150" t="s">
        <v>4762</v>
      </c>
      <c r="F249" s="2649">
        <v>2</v>
      </c>
      <c r="G249" s="2818">
        <v>1800</v>
      </c>
      <c r="H249" s="2815">
        <f t="shared" si="9"/>
        <v>3600</v>
      </c>
      <c r="I249" s="2794"/>
      <c r="K249" s="2798"/>
      <c r="L249" s="691"/>
      <c r="M249" s="691"/>
      <c r="N249" s="691"/>
      <c r="O249" s="691"/>
      <c r="P249" s="691"/>
      <c r="Q249" s="691"/>
      <c r="R249" s="691"/>
      <c r="S249" s="691"/>
    </row>
    <row r="250" spans="1:19" ht="14.25" thickBot="1" x14ac:dyDescent="0.3">
      <c r="A250" s="691"/>
      <c r="B250" s="1150" t="s">
        <v>4777</v>
      </c>
      <c r="C250" s="2814" t="s">
        <v>4778</v>
      </c>
      <c r="D250" s="1150" t="s">
        <v>4320</v>
      </c>
      <c r="E250" s="1150" t="s">
        <v>4762</v>
      </c>
      <c r="F250" s="2649">
        <v>2</v>
      </c>
      <c r="G250" s="2818">
        <v>2600</v>
      </c>
      <c r="H250" s="2815">
        <f t="shared" si="9"/>
        <v>5200</v>
      </c>
      <c r="I250" s="2794"/>
      <c r="K250" s="2798"/>
      <c r="L250" s="691"/>
      <c r="M250" s="691"/>
      <c r="N250" s="691"/>
      <c r="O250" s="691"/>
      <c r="P250" s="691"/>
      <c r="Q250" s="691"/>
      <c r="R250" s="691"/>
      <c r="S250" s="691"/>
    </row>
    <row r="251" spans="1:19" ht="14.25" thickBot="1" x14ac:dyDescent="0.3">
      <c r="A251" s="691"/>
      <c r="B251" s="1150" t="s">
        <v>4779</v>
      </c>
      <c r="C251" s="2814" t="s">
        <v>4780</v>
      </c>
      <c r="D251" s="1150" t="s">
        <v>4320</v>
      </c>
      <c r="E251" s="1150" t="s">
        <v>4762</v>
      </c>
      <c r="F251" s="2649">
        <v>2</v>
      </c>
      <c r="G251" s="2818">
        <v>1300</v>
      </c>
      <c r="H251" s="2815">
        <f t="shared" si="9"/>
        <v>2600</v>
      </c>
      <c r="I251" s="2794"/>
      <c r="K251" s="2798"/>
      <c r="L251" s="691"/>
      <c r="M251" s="691"/>
      <c r="N251" s="691"/>
      <c r="O251" s="691"/>
      <c r="P251" s="691"/>
      <c r="Q251" s="691"/>
      <c r="R251" s="691"/>
      <c r="S251" s="691"/>
    </row>
    <row r="252" spans="1:19" ht="14.25" thickBot="1" x14ac:dyDescent="0.3">
      <c r="A252" s="691"/>
      <c r="B252" s="1150" t="s">
        <v>4781</v>
      </c>
      <c r="C252" s="2814" t="s">
        <v>4782</v>
      </c>
      <c r="D252" s="1150" t="s">
        <v>4320</v>
      </c>
      <c r="E252" s="1150" t="s">
        <v>4762</v>
      </c>
      <c r="F252" s="2649">
        <v>1</v>
      </c>
      <c r="G252" s="2818">
        <v>1500</v>
      </c>
      <c r="H252" s="2815">
        <f t="shared" si="9"/>
        <v>1500</v>
      </c>
      <c r="I252" s="2794"/>
      <c r="K252" s="2798"/>
      <c r="L252" s="691"/>
      <c r="M252" s="691"/>
      <c r="N252" s="691"/>
      <c r="O252" s="691"/>
      <c r="P252" s="691"/>
      <c r="Q252" s="691"/>
      <c r="R252" s="691"/>
      <c r="S252" s="691"/>
    </row>
    <row r="253" spans="1:19" ht="14.25" thickBot="1" x14ac:dyDescent="0.3">
      <c r="A253" s="691"/>
      <c r="B253" s="2813" t="s">
        <v>4783</v>
      </c>
      <c r="C253" s="2814" t="s">
        <v>4784</v>
      </c>
      <c r="D253" s="1150" t="s">
        <v>4320</v>
      </c>
      <c r="E253" s="1150" t="s">
        <v>4762</v>
      </c>
      <c r="F253" s="2649">
        <v>3</v>
      </c>
      <c r="G253" s="2818">
        <v>2700</v>
      </c>
      <c r="H253" s="2815">
        <f t="shared" si="9"/>
        <v>8100</v>
      </c>
      <c r="I253" s="2794"/>
      <c r="K253" s="2798"/>
      <c r="L253" s="691"/>
      <c r="M253" s="691"/>
      <c r="N253" s="691"/>
      <c r="O253" s="691"/>
      <c r="P253" s="691"/>
      <c r="Q253" s="691"/>
      <c r="R253" s="691"/>
      <c r="S253" s="691"/>
    </row>
    <row r="254" spans="1:19" ht="14.25" thickBot="1" x14ac:dyDescent="0.3">
      <c r="A254" s="691"/>
      <c r="B254" s="2813" t="s">
        <v>4785</v>
      </c>
      <c r="C254" s="2814" t="s">
        <v>4786</v>
      </c>
      <c r="D254" s="1150" t="s">
        <v>4320</v>
      </c>
      <c r="E254" s="1150" t="s">
        <v>4762</v>
      </c>
      <c r="F254" s="2649">
        <v>1</v>
      </c>
      <c r="G254" s="2818">
        <v>4500</v>
      </c>
      <c r="H254" s="2815">
        <f t="shared" si="9"/>
        <v>4500</v>
      </c>
      <c r="I254" s="2794"/>
      <c r="K254" s="2798"/>
      <c r="L254" s="691"/>
      <c r="M254" s="691"/>
      <c r="N254" s="691"/>
      <c r="O254" s="691"/>
      <c r="P254" s="691"/>
      <c r="Q254" s="691"/>
      <c r="R254" s="691"/>
      <c r="S254" s="691"/>
    </row>
    <row r="255" spans="1:19" ht="14.25" thickBot="1" x14ac:dyDescent="0.3">
      <c r="A255" s="691"/>
      <c r="B255" s="2813" t="s">
        <v>4787</v>
      </c>
      <c r="C255" s="2814" t="s">
        <v>4788</v>
      </c>
      <c r="D255" s="1150" t="s">
        <v>4320</v>
      </c>
      <c r="E255" s="1150" t="s">
        <v>4762</v>
      </c>
      <c r="F255" s="2649">
        <v>2</v>
      </c>
      <c r="G255" s="2818">
        <v>16000</v>
      </c>
      <c r="H255" s="2815">
        <f t="shared" si="9"/>
        <v>32000</v>
      </c>
      <c r="I255" s="2794"/>
      <c r="K255" s="2798"/>
      <c r="L255" s="691"/>
      <c r="M255" s="691"/>
      <c r="N255" s="691"/>
      <c r="O255" s="691"/>
      <c r="P255" s="691"/>
      <c r="Q255" s="691"/>
      <c r="R255" s="691"/>
      <c r="S255" s="691"/>
    </row>
    <row r="256" spans="1:19" ht="14.25" thickBot="1" x14ac:dyDescent="0.3">
      <c r="A256" s="691"/>
      <c r="B256" s="2813" t="s">
        <v>4789</v>
      </c>
      <c r="C256" s="2816" t="s">
        <v>4790</v>
      </c>
      <c r="D256" s="1150" t="s">
        <v>4320</v>
      </c>
      <c r="E256" s="1150" t="s">
        <v>4762</v>
      </c>
      <c r="F256" s="2649">
        <v>7</v>
      </c>
      <c r="G256" s="2818">
        <v>2200</v>
      </c>
      <c r="H256" s="2815">
        <f t="shared" si="9"/>
        <v>15400</v>
      </c>
      <c r="I256" s="2794"/>
      <c r="K256" s="2798"/>
      <c r="L256" s="691"/>
      <c r="M256" s="691"/>
      <c r="N256" s="691"/>
      <c r="O256" s="691"/>
      <c r="P256" s="691"/>
      <c r="Q256" s="691"/>
      <c r="R256" s="691"/>
      <c r="S256" s="691"/>
    </row>
    <row r="257" spans="1:19" ht="14.25" thickBot="1" x14ac:dyDescent="0.3">
      <c r="A257" s="691"/>
      <c r="B257" s="2813" t="s">
        <v>4791</v>
      </c>
      <c r="C257" s="2816" t="s">
        <v>4792</v>
      </c>
      <c r="D257" s="1150" t="s">
        <v>4320</v>
      </c>
      <c r="E257" s="1150" t="s">
        <v>4762</v>
      </c>
      <c r="F257" s="2649">
        <v>12</v>
      </c>
      <c r="G257" s="2818">
        <v>160</v>
      </c>
      <c r="H257" s="2815">
        <f t="shared" si="9"/>
        <v>1920</v>
      </c>
      <c r="I257" s="2794"/>
      <c r="K257" s="2798"/>
      <c r="L257" s="691"/>
      <c r="M257" s="691"/>
      <c r="N257" s="691"/>
      <c r="O257" s="691"/>
      <c r="P257" s="691"/>
      <c r="Q257" s="691"/>
      <c r="R257" s="691"/>
      <c r="S257" s="691"/>
    </row>
    <row r="258" spans="1:19" ht="14.25" thickBot="1" x14ac:dyDescent="0.3">
      <c r="A258" s="691"/>
      <c r="B258" s="2813" t="s">
        <v>4793</v>
      </c>
      <c r="C258" s="2816" t="s">
        <v>4794</v>
      </c>
      <c r="D258" s="1150" t="s">
        <v>4320</v>
      </c>
      <c r="E258" s="1150" t="s">
        <v>4762</v>
      </c>
      <c r="F258" s="2649">
        <v>2</v>
      </c>
      <c r="G258" s="2818">
        <v>130</v>
      </c>
      <c r="H258" s="2815">
        <f t="shared" si="9"/>
        <v>260</v>
      </c>
      <c r="I258" s="2794"/>
      <c r="K258" s="2798"/>
      <c r="L258" s="691"/>
      <c r="M258" s="691"/>
      <c r="N258" s="691"/>
      <c r="O258" s="691"/>
      <c r="P258" s="691"/>
      <c r="Q258" s="691"/>
      <c r="R258" s="691"/>
      <c r="S258" s="691"/>
    </row>
    <row r="259" spans="1:19" ht="14.25" thickBot="1" x14ac:dyDescent="0.3">
      <c r="A259" s="691"/>
      <c r="B259" s="2813" t="s">
        <v>4795</v>
      </c>
      <c r="C259" s="2814" t="s">
        <v>4796</v>
      </c>
      <c r="D259" s="1150" t="s">
        <v>4320</v>
      </c>
      <c r="E259" s="1150" t="s">
        <v>4762</v>
      </c>
      <c r="F259" s="2649">
        <v>2</v>
      </c>
      <c r="G259" s="2818">
        <v>1040</v>
      </c>
      <c r="H259" s="2815">
        <f t="shared" si="9"/>
        <v>2080</v>
      </c>
      <c r="I259" s="2794"/>
      <c r="K259" s="2798"/>
      <c r="L259" s="691"/>
      <c r="M259" s="691"/>
      <c r="N259" s="691"/>
      <c r="O259" s="691"/>
      <c r="P259" s="691"/>
      <c r="Q259" s="691"/>
      <c r="R259" s="691"/>
      <c r="S259" s="691"/>
    </row>
    <row r="260" spans="1:19" ht="14.25" thickBot="1" x14ac:dyDescent="0.3">
      <c r="A260" s="691"/>
      <c r="B260" s="2813" t="s">
        <v>4797</v>
      </c>
      <c r="C260" s="1758" t="s">
        <v>4798</v>
      </c>
      <c r="D260" s="1150" t="s">
        <v>4320</v>
      </c>
      <c r="E260" s="1150" t="s">
        <v>4762</v>
      </c>
      <c r="F260" s="2649">
        <v>3</v>
      </c>
      <c r="G260" s="2818">
        <v>3500</v>
      </c>
      <c r="H260" s="2815">
        <f t="shared" si="9"/>
        <v>10500</v>
      </c>
      <c r="I260" s="2794"/>
      <c r="K260" s="2798"/>
      <c r="L260" s="691"/>
      <c r="M260" s="691"/>
      <c r="N260" s="691"/>
      <c r="O260" s="691"/>
      <c r="P260" s="691"/>
      <c r="Q260" s="691"/>
      <c r="R260" s="691"/>
      <c r="S260" s="691"/>
    </row>
    <row r="261" spans="1:19" ht="14.25" thickBot="1" x14ac:dyDescent="0.3">
      <c r="A261" s="691"/>
      <c r="B261" s="2813" t="s">
        <v>4799</v>
      </c>
      <c r="C261" s="1758" t="s">
        <v>4800</v>
      </c>
      <c r="D261" s="1150" t="s">
        <v>4320</v>
      </c>
      <c r="E261" s="1150" t="s">
        <v>4762</v>
      </c>
      <c r="F261" s="2649">
        <v>2</v>
      </c>
      <c r="G261" s="2818">
        <v>3500</v>
      </c>
      <c r="H261" s="2815">
        <f t="shared" si="9"/>
        <v>7000</v>
      </c>
      <c r="I261" s="2794"/>
      <c r="K261" s="2798"/>
      <c r="L261" s="691"/>
      <c r="M261" s="691"/>
      <c r="N261" s="691"/>
      <c r="O261" s="691"/>
      <c r="P261" s="691"/>
      <c r="Q261" s="691"/>
      <c r="R261" s="691"/>
      <c r="S261" s="691"/>
    </row>
    <row r="262" spans="1:19" ht="14.25" thickBot="1" x14ac:dyDescent="0.3">
      <c r="A262" s="691"/>
      <c r="B262" s="1150" t="s">
        <v>4801</v>
      </c>
      <c r="C262" s="2814" t="s">
        <v>4802</v>
      </c>
      <c r="D262" s="1150" t="s">
        <v>4320</v>
      </c>
      <c r="E262" s="1150" t="s">
        <v>4762</v>
      </c>
      <c r="F262" s="2649">
        <v>23</v>
      </c>
      <c r="G262" s="2818">
        <v>800</v>
      </c>
      <c r="H262" s="2815">
        <f t="shared" si="9"/>
        <v>18400</v>
      </c>
      <c r="I262" s="2794"/>
      <c r="K262" s="2798"/>
      <c r="L262" s="691"/>
      <c r="M262" s="691"/>
      <c r="N262" s="691"/>
      <c r="O262" s="691"/>
      <c r="P262" s="691"/>
      <c r="Q262" s="691"/>
      <c r="R262" s="691"/>
      <c r="S262" s="691"/>
    </row>
    <row r="263" spans="1:19" ht="14.25" thickBot="1" x14ac:dyDescent="0.3">
      <c r="A263" s="691"/>
      <c r="B263" s="1150" t="s">
        <v>4803</v>
      </c>
      <c r="C263" s="2814" t="s">
        <v>4804</v>
      </c>
      <c r="D263" s="1150" t="s">
        <v>4320</v>
      </c>
      <c r="E263" s="1150" t="s">
        <v>4762</v>
      </c>
      <c r="F263" s="2649">
        <v>55</v>
      </c>
      <c r="G263" s="2818">
        <v>640</v>
      </c>
      <c r="H263" s="2815">
        <f t="shared" si="9"/>
        <v>35200</v>
      </c>
      <c r="I263" s="2794"/>
      <c r="K263" s="2798"/>
      <c r="L263" s="691"/>
      <c r="M263" s="691"/>
      <c r="N263" s="691"/>
      <c r="O263" s="691"/>
      <c r="P263" s="691"/>
      <c r="Q263" s="691"/>
      <c r="R263" s="691"/>
      <c r="S263" s="691"/>
    </row>
    <row r="264" spans="1:19" ht="14.25" thickBot="1" x14ac:dyDescent="0.3">
      <c r="A264" s="691"/>
      <c r="B264" s="2813" t="s">
        <v>4805</v>
      </c>
      <c r="C264" s="2814" t="s">
        <v>4806</v>
      </c>
      <c r="D264" s="1150" t="s">
        <v>4320</v>
      </c>
      <c r="E264" s="1150" t="s">
        <v>4762</v>
      </c>
      <c r="F264" s="2649">
        <v>10</v>
      </c>
      <c r="G264" s="2818">
        <v>1225</v>
      </c>
      <c r="H264" s="2815">
        <f t="shared" si="9"/>
        <v>12250</v>
      </c>
      <c r="I264" s="2794"/>
      <c r="K264" s="2798"/>
      <c r="L264" s="691"/>
      <c r="M264" s="691"/>
      <c r="N264" s="691"/>
      <c r="O264" s="691"/>
      <c r="P264" s="691"/>
      <c r="Q264" s="691"/>
      <c r="R264" s="691"/>
      <c r="S264" s="691"/>
    </row>
    <row r="265" spans="1:19" ht="14.25" thickBot="1" x14ac:dyDescent="0.3">
      <c r="A265" s="691"/>
      <c r="B265" s="2813" t="s">
        <v>4807</v>
      </c>
      <c r="C265" s="2814" t="s">
        <v>4808</v>
      </c>
      <c r="D265" s="1150" t="s">
        <v>4320</v>
      </c>
      <c r="E265" s="1150" t="s">
        <v>4762</v>
      </c>
      <c r="F265" s="2649">
        <v>2</v>
      </c>
      <c r="G265" s="2818">
        <v>600</v>
      </c>
      <c r="H265" s="2815">
        <f t="shared" si="9"/>
        <v>1200</v>
      </c>
      <c r="I265" s="2794"/>
      <c r="K265" s="2798"/>
      <c r="L265" s="691"/>
      <c r="M265" s="691"/>
      <c r="N265" s="691"/>
      <c r="O265" s="691"/>
      <c r="P265" s="691"/>
      <c r="Q265" s="691"/>
      <c r="R265" s="691"/>
      <c r="S265" s="691"/>
    </row>
    <row r="266" spans="1:19" ht="14.25" thickBot="1" x14ac:dyDescent="0.3">
      <c r="A266" s="691"/>
      <c r="B266" s="1150" t="s">
        <v>4809</v>
      </c>
      <c r="C266" s="2814" t="s">
        <v>4810</v>
      </c>
      <c r="D266" s="1150" t="s">
        <v>4320</v>
      </c>
      <c r="E266" s="1150" t="s">
        <v>4762</v>
      </c>
      <c r="F266" s="2649">
        <v>44</v>
      </c>
      <c r="G266" s="2818">
        <v>250</v>
      </c>
      <c r="H266" s="2815">
        <f t="shared" si="9"/>
        <v>11000</v>
      </c>
      <c r="I266" s="2794"/>
      <c r="K266" s="2798"/>
      <c r="L266" s="691"/>
      <c r="M266" s="691"/>
      <c r="N266" s="691"/>
      <c r="O266" s="691"/>
      <c r="P266" s="691"/>
      <c r="Q266" s="691"/>
      <c r="R266" s="691"/>
      <c r="S266" s="691"/>
    </row>
    <row r="267" spans="1:19" ht="14.25" thickBot="1" x14ac:dyDescent="0.3">
      <c r="A267" s="691"/>
      <c r="B267" s="2813" t="s">
        <v>4811</v>
      </c>
      <c r="C267" s="2814" t="s">
        <v>4812</v>
      </c>
      <c r="D267" s="1150" t="s">
        <v>4320</v>
      </c>
      <c r="E267" s="1150" t="s">
        <v>4762</v>
      </c>
      <c r="F267" s="2649">
        <v>6</v>
      </c>
      <c r="G267" s="2818">
        <v>900</v>
      </c>
      <c r="H267" s="2815">
        <f t="shared" si="9"/>
        <v>5400</v>
      </c>
      <c r="I267" s="2794"/>
      <c r="K267" s="2798"/>
      <c r="L267" s="691"/>
      <c r="M267" s="691"/>
      <c r="N267" s="691"/>
      <c r="O267" s="691"/>
      <c r="P267" s="691"/>
      <c r="Q267" s="691"/>
      <c r="R267" s="691"/>
      <c r="S267" s="691"/>
    </row>
    <row r="268" spans="1:19" ht="14.25" thickBot="1" x14ac:dyDescent="0.3">
      <c r="A268" s="691"/>
      <c r="B268" s="2813" t="s">
        <v>4813</v>
      </c>
      <c r="C268" s="2580" t="s">
        <v>4814</v>
      </c>
      <c r="D268" s="1150" t="s">
        <v>4320</v>
      </c>
      <c r="E268" s="1150" t="s">
        <v>4762</v>
      </c>
      <c r="F268" s="2649">
        <v>9</v>
      </c>
      <c r="G268" s="2818">
        <v>1996</v>
      </c>
      <c r="H268" s="2815">
        <f t="shared" si="9"/>
        <v>17964</v>
      </c>
      <c r="I268" s="2794"/>
      <c r="K268" s="2798"/>
      <c r="L268" s="691"/>
      <c r="M268" s="691"/>
      <c r="N268" s="691"/>
      <c r="O268" s="691"/>
      <c r="P268" s="691"/>
      <c r="Q268" s="691"/>
      <c r="R268" s="691"/>
      <c r="S268" s="691"/>
    </row>
    <row r="269" spans="1:19" ht="14.25" thickBot="1" x14ac:dyDescent="0.3">
      <c r="A269" s="691"/>
      <c r="B269" s="1150" t="s">
        <v>4815</v>
      </c>
      <c r="C269" s="2814" t="s">
        <v>4816</v>
      </c>
      <c r="D269" s="1150" t="s">
        <v>4320</v>
      </c>
      <c r="E269" s="1150" t="s">
        <v>4762</v>
      </c>
      <c r="F269" s="2649">
        <v>43</v>
      </c>
      <c r="G269" s="2818">
        <v>260</v>
      </c>
      <c r="H269" s="2815">
        <f t="shared" si="9"/>
        <v>11180</v>
      </c>
      <c r="I269" s="2794"/>
      <c r="K269" s="2798"/>
      <c r="L269" s="691"/>
      <c r="M269" s="691"/>
      <c r="N269" s="691"/>
      <c r="O269" s="691"/>
      <c r="P269" s="691"/>
      <c r="Q269" s="691"/>
      <c r="R269" s="691"/>
      <c r="S269" s="691"/>
    </row>
    <row r="270" spans="1:19" ht="14.25" thickBot="1" x14ac:dyDescent="0.3">
      <c r="A270" s="691"/>
      <c r="B270" s="1150" t="s">
        <v>4817</v>
      </c>
      <c r="C270" s="2814" t="s">
        <v>4818</v>
      </c>
      <c r="D270" s="1150" t="s">
        <v>4320</v>
      </c>
      <c r="E270" s="1150" t="s">
        <v>4762</v>
      </c>
      <c r="F270" s="2649">
        <v>6</v>
      </c>
      <c r="G270" s="2818">
        <v>430</v>
      </c>
      <c r="H270" s="2815">
        <f t="shared" si="9"/>
        <v>2580</v>
      </c>
      <c r="I270" s="2794"/>
      <c r="K270" s="2798"/>
      <c r="L270" s="691"/>
      <c r="M270" s="691"/>
      <c r="N270" s="691"/>
      <c r="O270" s="691"/>
      <c r="P270" s="691"/>
      <c r="Q270" s="691"/>
      <c r="R270" s="691"/>
      <c r="S270" s="691"/>
    </row>
    <row r="271" spans="1:19" ht="14.25" thickBot="1" x14ac:dyDescent="0.3">
      <c r="A271" s="691"/>
      <c r="B271" s="2813" t="s">
        <v>4819</v>
      </c>
      <c r="C271" s="2814" t="s">
        <v>4820</v>
      </c>
      <c r="D271" s="1150" t="s">
        <v>4320</v>
      </c>
      <c r="E271" s="1150" t="s">
        <v>4762</v>
      </c>
      <c r="F271" s="2649">
        <v>3</v>
      </c>
      <c r="G271" s="2818">
        <v>17900</v>
      </c>
      <c r="H271" s="2815">
        <f t="shared" si="9"/>
        <v>53700</v>
      </c>
      <c r="I271" s="2794"/>
      <c r="K271" s="2798"/>
      <c r="L271" s="691"/>
      <c r="M271" s="691"/>
      <c r="N271" s="691"/>
      <c r="O271" s="691"/>
      <c r="P271" s="691"/>
      <c r="Q271" s="691"/>
      <c r="R271" s="691"/>
      <c r="S271" s="691"/>
    </row>
    <row r="272" spans="1:19" ht="14.25" thickBot="1" x14ac:dyDescent="0.3">
      <c r="A272" s="691"/>
      <c r="B272" s="1150" t="s">
        <v>4821</v>
      </c>
      <c r="C272" s="2816" t="s">
        <v>4822</v>
      </c>
      <c r="D272" s="1150" t="s">
        <v>4320</v>
      </c>
      <c r="E272" s="1150" t="s">
        <v>4762</v>
      </c>
      <c r="F272" s="2649">
        <v>8</v>
      </c>
      <c r="G272" s="2818">
        <v>17900</v>
      </c>
      <c r="H272" s="2815">
        <f t="shared" si="9"/>
        <v>143200</v>
      </c>
      <c r="I272" s="2794"/>
      <c r="K272" s="2798"/>
      <c r="L272" s="691"/>
      <c r="M272" s="691"/>
      <c r="N272" s="691"/>
      <c r="O272" s="691"/>
      <c r="P272" s="691"/>
      <c r="Q272" s="691"/>
      <c r="R272" s="691"/>
      <c r="S272" s="691"/>
    </row>
    <row r="273" spans="1:19" ht="14.25" thickBot="1" x14ac:dyDescent="0.3">
      <c r="A273" s="691"/>
      <c r="B273" s="1150" t="s">
        <v>4823</v>
      </c>
      <c r="C273" s="2814" t="s">
        <v>4824</v>
      </c>
      <c r="D273" s="1150" t="s">
        <v>4320</v>
      </c>
      <c r="E273" s="1150" t="s">
        <v>4762</v>
      </c>
      <c r="F273" s="2649">
        <v>26</v>
      </c>
      <c r="G273" s="2818">
        <v>1300</v>
      </c>
      <c r="H273" s="2815">
        <f t="shared" si="9"/>
        <v>33800</v>
      </c>
      <c r="I273" s="2794"/>
      <c r="K273" s="2798"/>
      <c r="L273" s="691"/>
      <c r="M273" s="691"/>
      <c r="N273" s="691"/>
      <c r="O273" s="691"/>
      <c r="P273" s="691"/>
      <c r="Q273" s="691"/>
      <c r="R273" s="691"/>
      <c r="S273" s="691"/>
    </row>
    <row r="274" spans="1:19" ht="14.25" thickBot="1" x14ac:dyDescent="0.3">
      <c r="A274" s="691"/>
      <c r="B274" s="1150" t="s">
        <v>4825</v>
      </c>
      <c r="C274" s="2814" t="s">
        <v>4826</v>
      </c>
      <c r="D274" s="1150" t="s">
        <v>4320</v>
      </c>
      <c r="E274" s="1150" t="s">
        <v>4762</v>
      </c>
      <c r="F274" s="2649">
        <v>5</v>
      </c>
      <c r="G274" s="2818">
        <v>640</v>
      </c>
      <c r="H274" s="2815">
        <f t="shared" si="9"/>
        <v>3200</v>
      </c>
      <c r="I274" s="2794"/>
      <c r="K274" s="2798"/>
      <c r="L274" s="691"/>
      <c r="M274" s="691"/>
      <c r="N274" s="691"/>
      <c r="O274" s="691"/>
      <c r="P274" s="691"/>
      <c r="Q274" s="691"/>
      <c r="R274" s="691"/>
      <c r="S274" s="691"/>
    </row>
    <row r="275" spans="1:19" ht="14.25" thickBot="1" x14ac:dyDescent="0.3">
      <c r="A275" s="691"/>
      <c r="B275" s="1150" t="s">
        <v>4827</v>
      </c>
      <c r="C275" s="2814" t="s">
        <v>4828</v>
      </c>
      <c r="D275" s="1150" t="s">
        <v>4320</v>
      </c>
      <c r="E275" s="1150" t="s">
        <v>4762</v>
      </c>
      <c r="F275" s="2649">
        <v>1</v>
      </c>
      <c r="G275" s="2818">
        <v>150000</v>
      </c>
      <c r="H275" s="2815">
        <f t="shared" si="9"/>
        <v>150000</v>
      </c>
      <c r="I275" s="2794"/>
      <c r="K275" s="2798"/>
      <c r="L275" s="691"/>
      <c r="M275" s="691"/>
      <c r="N275" s="691"/>
      <c r="O275" s="691"/>
      <c r="P275" s="691"/>
      <c r="Q275" s="691"/>
      <c r="R275" s="691"/>
      <c r="S275" s="691"/>
    </row>
    <row r="276" spans="1:19" ht="14.25" thickBot="1" x14ac:dyDescent="0.3">
      <c r="A276" s="691"/>
      <c r="B276" s="2813" t="s">
        <v>4829</v>
      </c>
      <c r="C276" s="2814" t="s">
        <v>4830</v>
      </c>
      <c r="D276" s="1150" t="s">
        <v>4320</v>
      </c>
      <c r="E276" s="1150" t="s">
        <v>4762</v>
      </c>
      <c r="F276" s="2649">
        <v>5</v>
      </c>
      <c r="G276" s="2818">
        <v>1500</v>
      </c>
      <c r="H276" s="2815">
        <f t="shared" si="9"/>
        <v>7500</v>
      </c>
      <c r="I276" s="2794"/>
      <c r="K276" s="2798"/>
      <c r="L276" s="691"/>
      <c r="M276" s="691"/>
      <c r="N276" s="691"/>
      <c r="O276" s="691"/>
      <c r="P276" s="691"/>
      <c r="Q276" s="691"/>
      <c r="R276" s="691"/>
      <c r="S276" s="691"/>
    </row>
    <row r="277" spans="1:19" ht="14.25" thickBot="1" x14ac:dyDescent="0.3">
      <c r="A277" s="691"/>
      <c r="B277" s="2813" t="s">
        <v>4831</v>
      </c>
      <c r="C277" s="2814" t="s">
        <v>4832</v>
      </c>
      <c r="D277" s="1150" t="s">
        <v>4320</v>
      </c>
      <c r="E277" s="1150" t="s">
        <v>4762</v>
      </c>
      <c r="F277" s="2649">
        <v>12</v>
      </c>
      <c r="G277" s="2818">
        <v>1020</v>
      </c>
      <c r="H277" s="2815">
        <f t="shared" si="9"/>
        <v>12240</v>
      </c>
      <c r="I277" s="2794"/>
      <c r="K277" s="2798"/>
      <c r="L277" s="691"/>
      <c r="M277" s="691"/>
      <c r="N277" s="691"/>
      <c r="O277" s="691"/>
      <c r="P277" s="691"/>
      <c r="Q277" s="691"/>
      <c r="R277" s="691"/>
      <c r="S277" s="691"/>
    </row>
    <row r="278" spans="1:19" ht="14.25" thickBot="1" x14ac:dyDescent="0.3">
      <c r="A278" s="691"/>
      <c r="B278" s="2813" t="s">
        <v>4833</v>
      </c>
      <c r="C278" s="2814" t="s">
        <v>4834</v>
      </c>
      <c r="D278" s="1150" t="s">
        <v>4320</v>
      </c>
      <c r="E278" s="1150" t="s">
        <v>4762</v>
      </c>
      <c r="F278" s="2649">
        <v>2</v>
      </c>
      <c r="G278" s="2818">
        <v>3080</v>
      </c>
      <c r="H278" s="2815">
        <f t="shared" si="9"/>
        <v>6160</v>
      </c>
      <c r="I278" s="2794"/>
      <c r="K278" s="2798"/>
      <c r="L278" s="691"/>
      <c r="M278" s="691"/>
      <c r="N278" s="691"/>
      <c r="O278" s="691"/>
      <c r="P278" s="691"/>
      <c r="Q278" s="691"/>
      <c r="R278" s="691"/>
      <c r="S278" s="691"/>
    </row>
    <row r="279" spans="1:19" ht="14.25" thickBot="1" x14ac:dyDescent="0.3">
      <c r="A279" s="691"/>
      <c r="B279" s="2813" t="s">
        <v>4835</v>
      </c>
      <c r="C279" s="2816" t="s">
        <v>4836</v>
      </c>
      <c r="D279" s="1150" t="s">
        <v>4320</v>
      </c>
      <c r="E279" s="1150" t="s">
        <v>4762</v>
      </c>
      <c r="F279" s="2649">
        <v>15</v>
      </c>
      <c r="G279" s="2818">
        <v>561</v>
      </c>
      <c r="H279" s="2815">
        <f t="shared" si="9"/>
        <v>8415</v>
      </c>
      <c r="I279" s="2794"/>
      <c r="K279" s="2798"/>
      <c r="M279" s="691"/>
      <c r="N279" s="691"/>
      <c r="O279" s="691"/>
      <c r="P279" s="691"/>
      <c r="Q279" s="691"/>
      <c r="R279" s="691"/>
      <c r="S279" s="691"/>
    </row>
    <row r="280" spans="1:19" ht="14.25" thickBot="1" x14ac:dyDescent="0.3">
      <c r="A280" s="691"/>
      <c r="B280" s="1150" t="s">
        <v>4837</v>
      </c>
      <c r="C280" s="2816" t="s">
        <v>4838</v>
      </c>
      <c r="D280" s="1150" t="s">
        <v>4320</v>
      </c>
      <c r="E280" s="1150" t="s">
        <v>4762</v>
      </c>
      <c r="F280" s="2649">
        <v>6</v>
      </c>
      <c r="G280" s="2818">
        <v>610</v>
      </c>
      <c r="H280" s="2815">
        <f t="shared" si="9"/>
        <v>3660</v>
      </c>
      <c r="I280" s="2796"/>
      <c r="J280" s="2796"/>
      <c r="K280" s="2796"/>
      <c r="S280" s="691"/>
    </row>
    <row r="281" spans="1:19" ht="14.25" thickBot="1" x14ac:dyDescent="0.3">
      <c r="B281" s="1150" t="s">
        <v>4839</v>
      </c>
      <c r="C281" s="2816" t="s">
        <v>4840</v>
      </c>
      <c r="D281" s="1150" t="s">
        <v>4320</v>
      </c>
      <c r="E281" s="1150" t="s">
        <v>4762</v>
      </c>
      <c r="F281" s="2649">
        <v>6</v>
      </c>
      <c r="G281" s="2818">
        <v>1144</v>
      </c>
      <c r="H281" s="2815">
        <f t="shared" si="9"/>
        <v>6864</v>
      </c>
      <c r="I281" s="2794"/>
      <c r="K281" s="2798"/>
    </row>
    <row r="282" spans="1:19" ht="14.25" thickBot="1" x14ac:dyDescent="0.3">
      <c r="B282" s="2813" t="s">
        <v>4841</v>
      </c>
      <c r="C282" s="2814" t="s">
        <v>4842</v>
      </c>
      <c r="D282" s="1150" t="s">
        <v>4320</v>
      </c>
      <c r="E282" s="1150" t="s">
        <v>4762</v>
      </c>
      <c r="F282" s="2649">
        <v>10</v>
      </c>
      <c r="G282" s="2818">
        <v>600</v>
      </c>
      <c r="H282" s="2815">
        <f t="shared" si="9"/>
        <v>6000</v>
      </c>
      <c r="I282" s="2794"/>
      <c r="K282" s="2798"/>
    </row>
    <row r="283" spans="1:19" ht="14.25" thickBot="1" x14ac:dyDescent="0.3">
      <c r="B283" s="1150" t="s">
        <v>4843</v>
      </c>
      <c r="C283" s="2814" t="s">
        <v>4844</v>
      </c>
      <c r="D283" s="1150" t="s">
        <v>4320</v>
      </c>
      <c r="E283" s="1150" t="s">
        <v>4762</v>
      </c>
      <c r="F283" s="2649">
        <v>12</v>
      </c>
      <c r="G283" s="2818">
        <v>1490</v>
      </c>
      <c r="H283" s="2815">
        <f t="shared" si="9"/>
        <v>17880</v>
      </c>
      <c r="I283" s="2794"/>
      <c r="K283" s="2798"/>
    </row>
    <row r="284" spans="1:19" ht="14.25" thickBot="1" x14ac:dyDescent="0.3">
      <c r="B284" s="1150" t="s">
        <v>4845</v>
      </c>
      <c r="C284" s="2814" t="s">
        <v>4846</v>
      </c>
      <c r="D284" s="1150" t="s">
        <v>4320</v>
      </c>
      <c r="E284" s="1150" t="s">
        <v>4762</v>
      </c>
      <c r="F284" s="2649">
        <v>4</v>
      </c>
      <c r="G284" s="2818">
        <v>90</v>
      </c>
      <c r="H284" s="2815">
        <f t="shared" si="9"/>
        <v>360</v>
      </c>
      <c r="I284" s="2794"/>
      <c r="K284" s="2798"/>
    </row>
    <row r="285" spans="1:19" ht="14.25" thickBot="1" x14ac:dyDescent="0.3">
      <c r="B285" s="2813" t="s">
        <v>4847</v>
      </c>
      <c r="C285" s="2816" t="s">
        <v>4848</v>
      </c>
      <c r="D285" s="1150" t="s">
        <v>4320</v>
      </c>
      <c r="E285" s="1150" t="s">
        <v>4762</v>
      </c>
      <c r="F285" s="2649">
        <v>2</v>
      </c>
      <c r="G285" s="2818">
        <v>80</v>
      </c>
      <c r="H285" s="2815">
        <f t="shared" si="9"/>
        <v>160</v>
      </c>
      <c r="I285" s="2794"/>
      <c r="K285" s="2798"/>
    </row>
    <row r="286" spans="1:19" ht="14.25" thickBot="1" x14ac:dyDescent="0.3">
      <c r="B286" s="2813" t="s">
        <v>4849</v>
      </c>
      <c r="C286" s="2816" t="s">
        <v>4850</v>
      </c>
      <c r="D286" s="1150" t="s">
        <v>4320</v>
      </c>
      <c r="E286" s="1150" t="s">
        <v>4762</v>
      </c>
      <c r="F286" s="2649">
        <v>1</v>
      </c>
      <c r="G286" s="2818">
        <v>450</v>
      </c>
      <c r="H286" s="2815">
        <f t="shared" si="9"/>
        <v>450</v>
      </c>
      <c r="I286" s="2794"/>
      <c r="K286" s="2798"/>
    </row>
    <row r="287" spans="1:19" ht="14.25" thickBot="1" x14ac:dyDescent="0.3">
      <c r="B287" s="1150" t="s">
        <v>4851</v>
      </c>
      <c r="C287" s="2814" t="s">
        <v>4852</v>
      </c>
      <c r="D287" s="1150" t="s">
        <v>4320</v>
      </c>
      <c r="E287" s="1150" t="s">
        <v>4762</v>
      </c>
      <c r="F287" s="2649">
        <v>70</v>
      </c>
      <c r="G287" s="2818">
        <v>30</v>
      </c>
      <c r="H287" s="2815">
        <f t="shared" si="9"/>
        <v>2100</v>
      </c>
      <c r="I287" s="2794"/>
      <c r="K287" s="2798"/>
    </row>
    <row r="288" spans="1:19" ht="14.25" thickBot="1" x14ac:dyDescent="0.3">
      <c r="B288" s="1150" t="s">
        <v>4853</v>
      </c>
      <c r="C288" s="2814" t="s">
        <v>4854</v>
      </c>
      <c r="D288" s="1150" t="s">
        <v>4320</v>
      </c>
      <c r="E288" s="1150" t="s">
        <v>4762</v>
      </c>
      <c r="F288" s="2649">
        <v>9</v>
      </c>
      <c r="G288" s="2818">
        <v>423</v>
      </c>
      <c r="H288" s="2815">
        <f t="shared" si="9"/>
        <v>3807</v>
      </c>
      <c r="I288" s="2794"/>
      <c r="K288" s="2798"/>
    </row>
    <row r="289" spans="1:19" ht="14.25" thickBot="1" x14ac:dyDescent="0.3">
      <c r="B289" s="1150" t="s">
        <v>4855</v>
      </c>
      <c r="C289" s="2814" t="s">
        <v>4856</v>
      </c>
      <c r="D289" s="1150" t="s">
        <v>4320</v>
      </c>
      <c r="E289" s="1150" t="s">
        <v>4762</v>
      </c>
      <c r="F289" s="2649">
        <v>5</v>
      </c>
      <c r="G289" s="2818">
        <v>825</v>
      </c>
      <c r="H289" s="2815">
        <f t="shared" si="9"/>
        <v>4125</v>
      </c>
      <c r="I289" s="2794"/>
      <c r="K289" s="2798"/>
    </row>
    <row r="290" spans="1:19" ht="14.25" thickBot="1" x14ac:dyDescent="0.3">
      <c r="B290" s="2813" t="s">
        <v>4857</v>
      </c>
      <c r="C290" s="2814" t="s">
        <v>4858</v>
      </c>
      <c r="D290" s="1150" t="s">
        <v>4320</v>
      </c>
      <c r="E290" s="1150" t="s">
        <v>4762</v>
      </c>
      <c r="F290" s="2649">
        <v>3</v>
      </c>
      <c r="G290" s="2818">
        <v>320</v>
      </c>
      <c r="H290" s="2815">
        <f t="shared" si="9"/>
        <v>960</v>
      </c>
      <c r="I290" s="2794"/>
      <c r="K290" s="2798"/>
      <c r="L290" s="2502"/>
    </row>
    <row r="291" spans="1:19" ht="14.25" thickBot="1" x14ac:dyDescent="0.3">
      <c r="B291" s="2813" t="s">
        <v>4859</v>
      </c>
      <c r="C291" s="2814" t="s">
        <v>4860</v>
      </c>
      <c r="D291" s="1150" t="s">
        <v>4320</v>
      </c>
      <c r="E291" s="1150" t="s">
        <v>4762</v>
      </c>
      <c r="F291" s="2649">
        <v>2</v>
      </c>
      <c r="G291" s="2818">
        <v>2630</v>
      </c>
      <c r="H291" s="2815">
        <f t="shared" si="9"/>
        <v>5260</v>
      </c>
      <c r="I291" s="2794"/>
      <c r="K291" s="2798"/>
      <c r="M291" s="2502"/>
      <c r="N291" s="2502"/>
      <c r="P291" s="2502"/>
      <c r="Q291" s="2502"/>
      <c r="R291" s="2502"/>
    </row>
    <row r="292" spans="1:19" ht="14.25" thickBot="1" x14ac:dyDescent="0.3">
      <c r="B292" s="2813" t="s">
        <v>4861</v>
      </c>
      <c r="C292" s="2814" t="s">
        <v>4862</v>
      </c>
      <c r="D292" s="1150" t="s">
        <v>4320</v>
      </c>
      <c r="E292" s="1150" t="s">
        <v>4762</v>
      </c>
      <c r="F292" s="2649">
        <v>20</v>
      </c>
      <c r="G292" s="2818">
        <v>388</v>
      </c>
      <c r="H292" s="2815">
        <f t="shared" si="9"/>
        <v>7760</v>
      </c>
      <c r="I292" s="2794"/>
      <c r="K292" s="2798"/>
      <c r="O292" s="2502"/>
    </row>
    <row r="293" spans="1:19" ht="14.25" thickBot="1" x14ac:dyDescent="0.3">
      <c r="B293" s="1150" t="s">
        <v>4863</v>
      </c>
      <c r="C293" s="2581" t="s">
        <v>4864</v>
      </c>
      <c r="D293" s="1150" t="s">
        <v>4320</v>
      </c>
      <c r="E293" s="1150" t="s">
        <v>4762</v>
      </c>
      <c r="F293" s="2649">
        <v>3</v>
      </c>
      <c r="G293" s="2818">
        <v>1200</v>
      </c>
      <c r="H293" s="2815">
        <f t="shared" si="9"/>
        <v>3600</v>
      </c>
      <c r="I293" s="2794"/>
      <c r="K293" s="2798"/>
    </row>
    <row r="294" spans="1:19" ht="14.25" thickBot="1" x14ac:dyDescent="0.3">
      <c r="A294" s="2502"/>
      <c r="B294" s="1150" t="s">
        <v>4865</v>
      </c>
      <c r="C294" s="2814" t="s">
        <v>4866</v>
      </c>
      <c r="D294" s="1150" t="s">
        <v>4320</v>
      </c>
      <c r="E294" s="1150" t="s">
        <v>4762</v>
      </c>
      <c r="F294" s="2649">
        <v>2</v>
      </c>
      <c r="G294" s="2818">
        <v>750</v>
      </c>
      <c r="H294" s="2815">
        <f t="shared" si="9"/>
        <v>1500</v>
      </c>
      <c r="I294" s="2794"/>
      <c r="K294" s="2798"/>
      <c r="L294" s="691"/>
      <c r="M294" s="691"/>
      <c r="N294" s="691"/>
      <c r="O294" s="691"/>
      <c r="P294" s="691"/>
      <c r="Q294" s="691"/>
      <c r="R294" s="691"/>
      <c r="S294" s="2502"/>
    </row>
    <row r="295" spans="1:19" ht="14.25" thickBot="1" x14ac:dyDescent="0.3">
      <c r="B295" s="1150" t="s">
        <v>4867</v>
      </c>
      <c r="C295" s="2814" t="s">
        <v>4868</v>
      </c>
      <c r="D295" s="1150" t="s">
        <v>4320</v>
      </c>
      <c r="E295" s="1150" t="s">
        <v>4762</v>
      </c>
      <c r="F295" s="2649">
        <v>1</v>
      </c>
      <c r="G295" s="2818">
        <v>700</v>
      </c>
      <c r="H295" s="2815">
        <f t="shared" si="9"/>
        <v>700</v>
      </c>
      <c r="I295" s="2794"/>
      <c r="K295" s="2798"/>
      <c r="L295" s="691"/>
      <c r="M295" s="691"/>
      <c r="N295" s="691"/>
      <c r="O295" s="691"/>
      <c r="P295" s="691"/>
      <c r="Q295" s="691"/>
      <c r="R295" s="691"/>
    </row>
    <row r="296" spans="1:19" ht="14.25" thickBot="1" x14ac:dyDescent="0.3">
      <c r="A296" s="691"/>
      <c r="B296" s="1150" t="s">
        <v>4869</v>
      </c>
      <c r="C296" s="2814" t="s">
        <v>4870</v>
      </c>
      <c r="D296" s="1150" t="s">
        <v>4320</v>
      </c>
      <c r="E296" s="1150" t="s">
        <v>4762</v>
      </c>
      <c r="F296" s="2649">
        <v>10</v>
      </c>
      <c r="G296" s="2818">
        <v>750</v>
      </c>
      <c r="H296" s="2815">
        <f t="shared" si="9"/>
        <v>7500</v>
      </c>
      <c r="I296" s="2794"/>
      <c r="K296" s="2798"/>
      <c r="L296" s="691"/>
      <c r="M296" s="691"/>
      <c r="N296" s="691"/>
      <c r="O296" s="691"/>
      <c r="P296" s="691"/>
      <c r="Q296" s="691"/>
      <c r="R296" s="691"/>
      <c r="S296" s="691"/>
    </row>
    <row r="297" spans="1:19" ht="14.25" thickBot="1" x14ac:dyDescent="0.3">
      <c r="A297" s="691"/>
      <c r="B297" s="2813" t="s">
        <v>4871</v>
      </c>
      <c r="C297" s="2814" t="s">
        <v>4872</v>
      </c>
      <c r="D297" s="1150" t="s">
        <v>4320</v>
      </c>
      <c r="E297" s="1150" t="s">
        <v>4762</v>
      </c>
      <c r="F297" s="2649">
        <v>3</v>
      </c>
      <c r="G297" s="2818">
        <v>750</v>
      </c>
      <c r="H297" s="2815">
        <f t="shared" si="9"/>
        <v>2250</v>
      </c>
      <c r="I297" s="2794"/>
      <c r="K297" s="2798"/>
      <c r="L297" s="691"/>
      <c r="M297" s="691"/>
      <c r="N297" s="691"/>
      <c r="O297" s="691"/>
      <c r="P297" s="691"/>
      <c r="Q297" s="691"/>
      <c r="R297" s="691"/>
      <c r="S297" s="691"/>
    </row>
    <row r="298" spans="1:19" ht="14.25" thickBot="1" x14ac:dyDescent="0.3">
      <c r="A298" s="691"/>
      <c r="B298" s="2813" t="s">
        <v>4875</v>
      </c>
      <c r="C298" s="2816" t="s">
        <v>4876</v>
      </c>
      <c r="D298" s="1150" t="s">
        <v>4320</v>
      </c>
      <c r="E298" s="1150" t="s">
        <v>4762</v>
      </c>
      <c r="F298" s="2649">
        <v>2</v>
      </c>
      <c r="G298" s="2818">
        <v>230</v>
      </c>
      <c r="H298" s="2815">
        <f t="shared" si="9"/>
        <v>460</v>
      </c>
      <c r="I298" s="2794"/>
      <c r="K298" s="2798"/>
      <c r="L298" s="691"/>
      <c r="M298" s="691"/>
      <c r="N298" s="691"/>
      <c r="O298" s="691"/>
      <c r="P298" s="691"/>
      <c r="Q298" s="691"/>
      <c r="R298" s="691"/>
      <c r="S298" s="691"/>
    </row>
    <row r="299" spans="1:19" ht="14.25" thickBot="1" x14ac:dyDescent="0.3">
      <c r="A299" s="691"/>
      <c r="B299" s="2674" t="s">
        <v>4877</v>
      </c>
      <c r="C299" s="2822" t="s">
        <v>4878</v>
      </c>
      <c r="D299" s="1150" t="s">
        <v>4320</v>
      </c>
      <c r="E299" s="1150" t="s">
        <v>4762</v>
      </c>
      <c r="F299" s="2649">
        <v>15</v>
      </c>
      <c r="G299" s="2818">
        <v>3050</v>
      </c>
      <c r="H299" s="2815">
        <f t="shared" si="9"/>
        <v>45750</v>
      </c>
      <c r="I299" s="2794"/>
      <c r="K299" s="2798"/>
      <c r="L299" s="691"/>
      <c r="M299" s="691"/>
      <c r="N299" s="691"/>
      <c r="O299" s="691"/>
      <c r="P299" s="691"/>
      <c r="Q299" s="691"/>
      <c r="R299" s="691"/>
      <c r="S299" s="691"/>
    </row>
    <row r="300" spans="1:19" ht="14.25" thickBot="1" x14ac:dyDescent="0.3">
      <c r="A300" s="691"/>
      <c r="B300" s="2813" t="s">
        <v>4879</v>
      </c>
      <c r="C300" s="2816" t="s">
        <v>4880</v>
      </c>
      <c r="D300" s="1150" t="s">
        <v>4320</v>
      </c>
      <c r="E300" s="1150" t="s">
        <v>4762</v>
      </c>
      <c r="F300" s="2649">
        <v>13</v>
      </c>
      <c r="G300" s="2818">
        <v>2497</v>
      </c>
      <c r="H300" s="2815">
        <f t="shared" si="9"/>
        <v>32461</v>
      </c>
      <c r="I300" s="2794"/>
      <c r="K300" s="2798"/>
      <c r="L300" s="691"/>
      <c r="M300" s="691"/>
      <c r="N300" s="691"/>
      <c r="O300" s="691"/>
      <c r="P300" s="691"/>
      <c r="Q300" s="691"/>
      <c r="R300" s="691"/>
      <c r="S300" s="691"/>
    </row>
    <row r="301" spans="1:19" ht="14.25" thickBot="1" x14ac:dyDescent="0.3">
      <c r="A301" s="691"/>
      <c r="B301" s="2839" t="s">
        <v>4881</v>
      </c>
      <c r="C301" s="2840"/>
      <c r="D301" s="2840"/>
      <c r="E301" s="2841"/>
      <c r="F301" s="2842">
        <f>SUM(F243:F300)</f>
        <v>558</v>
      </c>
      <c r="G301" s="2845">
        <f>SUM(G243:G300)</f>
        <v>320021</v>
      </c>
      <c r="H301" s="2844">
        <f>SUM(H243:H300)</f>
        <v>930208</v>
      </c>
      <c r="I301" s="2807"/>
      <c r="J301" s="2807"/>
      <c r="K301" s="2798"/>
      <c r="L301" s="691"/>
      <c r="M301" s="691"/>
      <c r="N301" s="691"/>
      <c r="O301" s="691"/>
      <c r="P301" s="691"/>
      <c r="Q301" s="691"/>
      <c r="R301" s="691"/>
      <c r="S301" s="691"/>
    </row>
    <row r="302" spans="1:19" ht="14.25" thickBot="1" x14ac:dyDescent="0.3">
      <c r="A302" s="691"/>
      <c r="B302" s="2835" t="s">
        <v>3056</v>
      </c>
      <c r="C302" s="2836" t="s">
        <v>4882</v>
      </c>
      <c r="D302" s="2836"/>
      <c r="E302" s="2837"/>
      <c r="F302" s="2837"/>
      <c r="G302" s="2838"/>
      <c r="H302" s="2838"/>
      <c r="I302" s="2807"/>
      <c r="J302" s="2807"/>
      <c r="K302" s="2798"/>
      <c r="L302" s="691"/>
      <c r="M302" s="691"/>
      <c r="N302" s="691"/>
      <c r="O302" s="691"/>
      <c r="P302" s="691"/>
      <c r="Q302" s="691"/>
      <c r="R302" s="691"/>
      <c r="S302" s="691"/>
    </row>
    <row r="303" spans="1:19" ht="14.25" thickBot="1" x14ac:dyDescent="0.3">
      <c r="A303" s="691"/>
      <c r="B303" s="1150" t="s">
        <v>4883</v>
      </c>
      <c r="C303" s="2814" t="s">
        <v>4884</v>
      </c>
      <c r="D303" s="1150" t="s">
        <v>4320</v>
      </c>
      <c r="E303" s="1150" t="s">
        <v>3056</v>
      </c>
      <c r="F303" s="2649">
        <v>1</v>
      </c>
      <c r="G303" s="2815">
        <v>329500</v>
      </c>
      <c r="H303" s="2815">
        <f>+G303*F303</f>
        <v>329500</v>
      </c>
      <c r="I303" s="2807"/>
      <c r="J303" s="2807"/>
      <c r="K303" s="2798"/>
      <c r="L303" s="691"/>
      <c r="M303" s="691"/>
      <c r="N303" s="691"/>
      <c r="O303" s="691"/>
      <c r="P303" s="691"/>
      <c r="Q303" s="691"/>
      <c r="R303" s="691"/>
      <c r="S303" s="691"/>
    </row>
    <row r="304" spans="1:19" ht="14.25" thickBot="1" x14ac:dyDescent="0.3">
      <c r="A304" s="691"/>
      <c r="B304" s="1150" t="s">
        <v>4885</v>
      </c>
      <c r="C304" s="2814" t="s">
        <v>4886</v>
      </c>
      <c r="D304" s="1150" t="s">
        <v>4320</v>
      </c>
      <c r="E304" s="1150" t="s">
        <v>3056</v>
      </c>
      <c r="F304" s="2649">
        <v>1</v>
      </c>
      <c r="G304" s="2815">
        <v>141171.25</v>
      </c>
      <c r="H304" s="2815">
        <f>+G304*F304</f>
        <v>141171.25</v>
      </c>
      <c r="I304" s="2807"/>
      <c r="J304" s="2807"/>
      <c r="K304" s="2798"/>
      <c r="L304" s="691"/>
      <c r="M304" s="691"/>
      <c r="N304" s="691"/>
      <c r="O304" s="691"/>
      <c r="P304" s="691"/>
      <c r="Q304" s="691"/>
      <c r="R304" s="691"/>
      <c r="S304" s="691"/>
    </row>
    <row r="305" spans="1:19" ht="14.25" thickBot="1" x14ac:dyDescent="0.3">
      <c r="A305" s="691"/>
      <c r="B305" s="2839" t="s">
        <v>4887</v>
      </c>
      <c r="C305" s="2840"/>
      <c r="D305" s="2840"/>
      <c r="E305" s="2841"/>
      <c r="F305" s="2842">
        <f>SUM(F303:F304)</f>
        <v>2</v>
      </c>
      <c r="G305" s="2845">
        <f>SUM(G303:G304)</f>
        <v>470671.25</v>
      </c>
      <c r="H305" s="2844">
        <f>SUM(H303:H304)</f>
        <v>470671.25</v>
      </c>
      <c r="I305" s="2807"/>
      <c r="J305" s="2807"/>
      <c r="K305" s="2798"/>
      <c r="L305" s="691"/>
      <c r="M305" s="691"/>
      <c r="N305" s="691"/>
      <c r="O305" s="691"/>
      <c r="P305" s="691"/>
      <c r="Q305" s="691"/>
      <c r="R305" s="691"/>
      <c r="S305" s="691"/>
    </row>
    <row r="306" spans="1:19" ht="14.25" thickBot="1" x14ac:dyDescent="0.3">
      <c r="A306" s="691"/>
      <c r="B306" s="2835" t="s">
        <v>4888</v>
      </c>
      <c r="C306" s="2836" t="s">
        <v>4336</v>
      </c>
      <c r="D306" s="2836"/>
      <c r="E306" s="2837"/>
      <c r="F306" s="2837"/>
      <c r="G306" s="2838"/>
      <c r="H306" s="2838"/>
      <c r="I306" s="2807"/>
      <c r="J306" s="2807"/>
      <c r="K306" s="2798"/>
      <c r="L306" s="691"/>
      <c r="M306" s="691"/>
      <c r="N306" s="691"/>
      <c r="O306" s="691"/>
      <c r="P306" s="691"/>
      <c r="Q306" s="691"/>
      <c r="R306" s="691"/>
      <c r="S306" s="691"/>
    </row>
    <row r="307" spans="1:19" ht="14.25" thickBot="1" x14ac:dyDescent="0.3">
      <c r="A307" s="691"/>
      <c r="B307" s="1150" t="s">
        <v>4889</v>
      </c>
      <c r="C307" s="2814" t="s">
        <v>4890</v>
      </c>
      <c r="D307" s="1150" t="s">
        <v>4888</v>
      </c>
      <c r="E307" s="1150" t="s">
        <v>4888</v>
      </c>
      <c r="F307" s="2649">
        <v>16</v>
      </c>
      <c r="G307" s="2818">
        <v>80</v>
      </c>
      <c r="H307" s="2819">
        <f t="shared" ref="H307:H313" si="10">F307*G307</f>
        <v>1280</v>
      </c>
      <c r="I307" s="2807"/>
      <c r="J307" s="2807"/>
      <c r="K307" s="2798"/>
      <c r="L307" s="691"/>
      <c r="M307" s="691"/>
      <c r="N307" s="691"/>
      <c r="O307" s="691"/>
      <c r="P307" s="691"/>
      <c r="Q307" s="691"/>
      <c r="R307" s="691"/>
      <c r="S307" s="691"/>
    </row>
    <row r="308" spans="1:19" ht="14.25" thickBot="1" x14ac:dyDescent="0.3">
      <c r="A308" s="691"/>
      <c r="B308" s="1150" t="s">
        <v>4891</v>
      </c>
      <c r="C308" s="2814" t="s">
        <v>4892</v>
      </c>
      <c r="D308" s="1150" t="s">
        <v>4888</v>
      </c>
      <c r="E308" s="1150" t="s">
        <v>4888</v>
      </c>
      <c r="F308" s="2649">
        <v>1</v>
      </c>
      <c r="G308" s="2818">
        <v>451.92</v>
      </c>
      <c r="H308" s="2819">
        <f t="shared" si="10"/>
        <v>451.92</v>
      </c>
      <c r="I308" s="2807"/>
      <c r="J308" s="2807"/>
      <c r="K308" s="2798"/>
      <c r="L308" s="691"/>
      <c r="M308" s="691"/>
      <c r="N308" s="691"/>
      <c r="O308" s="691"/>
      <c r="P308" s="691"/>
      <c r="Q308" s="691"/>
      <c r="R308" s="691"/>
      <c r="S308" s="691"/>
    </row>
    <row r="309" spans="1:19" ht="14.25" thickBot="1" x14ac:dyDescent="0.3">
      <c r="A309" s="691"/>
      <c r="B309" s="1150" t="s">
        <v>4893</v>
      </c>
      <c r="C309" s="2814" t="s">
        <v>4894</v>
      </c>
      <c r="D309" s="1150" t="s">
        <v>4888</v>
      </c>
      <c r="E309" s="1150" t="s">
        <v>4888</v>
      </c>
      <c r="F309" s="2649">
        <v>1</v>
      </c>
      <c r="G309" s="2818">
        <v>179.9</v>
      </c>
      <c r="H309" s="2819">
        <f t="shared" si="10"/>
        <v>179.9</v>
      </c>
      <c r="I309" s="2807"/>
      <c r="J309" s="2807"/>
      <c r="K309" s="2798"/>
      <c r="L309" s="691"/>
      <c r="M309" s="691"/>
      <c r="N309" s="691"/>
      <c r="O309" s="691"/>
      <c r="P309" s="691"/>
      <c r="Q309" s="691"/>
      <c r="R309" s="691"/>
      <c r="S309" s="691"/>
    </row>
    <row r="310" spans="1:19" ht="14.25" thickBot="1" x14ac:dyDescent="0.3">
      <c r="A310" s="691"/>
      <c r="B310" s="1150" t="s">
        <v>4895</v>
      </c>
      <c r="C310" s="2814" t="s">
        <v>4896</v>
      </c>
      <c r="D310" s="1150" t="s">
        <v>4888</v>
      </c>
      <c r="E310" s="1150" t="s">
        <v>4888</v>
      </c>
      <c r="F310" s="2649">
        <v>58</v>
      </c>
      <c r="G310" s="2818">
        <v>150</v>
      </c>
      <c r="H310" s="2819">
        <f t="shared" si="10"/>
        <v>8700</v>
      </c>
      <c r="I310" s="2807"/>
      <c r="J310" s="2807"/>
      <c r="K310" s="2798"/>
      <c r="L310" s="691"/>
      <c r="M310" s="691"/>
      <c r="N310" s="691"/>
      <c r="O310" s="691"/>
      <c r="P310" s="691"/>
      <c r="Q310" s="691"/>
      <c r="R310" s="691"/>
      <c r="S310" s="691"/>
    </row>
    <row r="311" spans="1:19" ht="14.25" thickBot="1" x14ac:dyDescent="0.3">
      <c r="A311" s="691"/>
      <c r="B311" s="2813" t="s">
        <v>4897</v>
      </c>
      <c r="C311" s="2814" t="s">
        <v>4898</v>
      </c>
      <c r="D311" s="1150" t="s">
        <v>4888</v>
      </c>
      <c r="E311" s="1150" t="s">
        <v>4888</v>
      </c>
      <c r="F311" s="2649">
        <v>1</v>
      </c>
      <c r="G311" s="2818">
        <v>1980</v>
      </c>
      <c r="H311" s="2819">
        <f t="shared" si="10"/>
        <v>1980</v>
      </c>
      <c r="I311" s="2807"/>
      <c r="J311" s="2807"/>
      <c r="K311" s="2798"/>
      <c r="L311" s="691"/>
      <c r="M311" s="691"/>
      <c r="N311" s="691"/>
      <c r="O311" s="691"/>
      <c r="P311" s="691"/>
      <c r="Q311" s="691"/>
      <c r="R311" s="691"/>
      <c r="S311" s="691"/>
    </row>
    <row r="312" spans="1:19" ht="14.25" thickBot="1" x14ac:dyDescent="0.3">
      <c r="A312" s="691"/>
      <c r="B312" s="1150" t="s">
        <v>4899</v>
      </c>
      <c r="C312" s="2814" t="s">
        <v>4900</v>
      </c>
      <c r="D312" s="1150" t="s">
        <v>4888</v>
      </c>
      <c r="E312" s="1150" t="s">
        <v>4888</v>
      </c>
      <c r="F312" s="2649">
        <v>47</v>
      </c>
      <c r="G312" s="2818">
        <v>256</v>
      </c>
      <c r="H312" s="2819">
        <f t="shared" si="10"/>
        <v>12032</v>
      </c>
      <c r="I312" s="2807"/>
      <c r="J312" s="2807"/>
      <c r="K312" s="2798"/>
      <c r="L312" s="691"/>
      <c r="M312" s="691"/>
      <c r="N312" s="691"/>
      <c r="O312" s="691"/>
      <c r="P312" s="691"/>
      <c r="Q312" s="691"/>
      <c r="R312" s="691"/>
      <c r="S312" s="691"/>
    </row>
    <row r="313" spans="1:19" ht="14.25" thickBot="1" x14ac:dyDescent="0.3">
      <c r="A313" s="691"/>
      <c r="B313" s="1150" t="s">
        <v>4901</v>
      </c>
      <c r="C313" s="2814" t="s">
        <v>4902</v>
      </c>
      <c r="D313" s="1150" t="s">
        <v>4888</v>
      </c>
      <c r="E313" s="1150" t="s">
        <v>4888</v>
      </c>
      <c r="F313" s="2649">
        <v>23</v>
      </c>
      <c r="G313" s="2818">
        <v>95</v>
      </c>
      <c r="H313" s="2819">
        <f t="shared" si="10"/>
        <v>2185</v>
      </c>
      <c r="I313" s="2807"/>
      <c r="J313" s="2807"/>
      <c r="K313" s="2798"/>
      <c r="L313" s="691"/>
      <c r="M313" s="691"/>
      <c r="N313" s="691"/>
      <c r="O313" s="691"/>
      <c r="P313" s="691"/>
      <c r="Q313" s="691"/>
      <c r="R313" s="691"/>
      <c r="S313" s="691"/>
    </row>
    <row r="314" spans="1:19" ht="14.25" thickBot="1" x14ac:dyDescent="0.3">
      <c r="A314" s="691"/>
      <c r="B314" s="2839" t="s">
        <v>4903</v>
      </c>
      <c r="C314" s="2840"/>
      <c r="D314" s="2840"/>
      <c r="E314" s="2841"/>
      <c r="F314" s="2842">
        <f>SUM(F307:F313)</f>
        <v>147</v>
      </c>
      <c r="G314" s="2845">
        <f>SUM(G307:G313)</f>
        <v>3192.82</v>
      </c>
      <c r="H314" s="2844">
        <f>SUM(H307:H313)</f>
        <v>26808.82</v>
      </c>
      <c r="I314" s="2807"/>
      <c r="J314" s="2807"/>
      <c r="K314" s="2798"/>
      <c r="M314" s="691"/>
      <c r="N314" s="691"/>
      <c r="O314" s="691"/>
      <c r="P314" s="691"/>
      <c r="Q314" s="691"/>
      <c r="R314" s="691"/>
      <c r="S314" s="691"/>
    </row>
    <row r="315" spans="1:19" ht="14.25" thickBot="1" x14ac:dyDescent="0.3">
      <c r="A315" s="691"/>
      <c r="B315" s="4891" t="s">
        <v>4904</v>
      </c>
      <c r="C315" s="4983"/>
      <c r="D315" s="2828"/>
      <c r="E315" s="2828"/>
      <c r="F315" s="2583">
        <f>F64+F134+F164+F198+F241+F301+F305+F174+F314</f>
        <v>1786</v>
      </c>
      <c r="G315" s="2829">
        <f>G64+G134+G164+G198+G241+G301+G305+G174+G314</f>
        <v>5226647.57</v>
      </c>
      <c r="H315" s="2830">
        <f>H64+H134+H164+H198+H241+H301+H305+H174+H314</f>
        <v>7545056.0700000003</v>
      </c>
      <c r="I315" s="2807"/>
      <c r="J315" s="2807"/>
      <c r="K315" s="2798"/>
      <c r="L315" s="691"/>
      <c r="S315" s="691"/>
    </row>
    <row r="316" spans="1:19" x14ac:dyDescent="0.25">
      <c r="A316" s="691"/>
      <c r="B316" s="2498"/>
      <c r="C316" s="2498"/>
      <c r="D316" s="2498"/>
      <c r="E316" s="2809"/>
      <c r="F316" s="2809"/>
      <c r="G316" s="2809"/>
      <c r="H316" s="2809"/>
      <c r="I316" s="2809"/>
      <c r="J316" s="2809"/>
      <c r="K316" s="2809"/>
      <c r="M316" s="691"/>
      <c r="N316" s="691"/>
      <c r="O316" s="691"/>
      <c r="P316" s="691"/>
      <c r="Q316" s="691"/>
      <c r="R316" s="691"/>
      <c r="S316" s="691"/>
    </row>
    <row r="317" spans="1:19" ht="14.25" thickBot="1" x14ac:dyDescent="0.3"/>
    <row r="318" spans="1:19" ht="14.25" thickBot="1" x14ac:dyDescent="0.3">
      <c r="A318" s="691"/>
      <c r="B318" s="4972" t="s">
        <v>5481</v>
      </c>
      <c r="C318" s="4973"/>
      <c r="D318" s="4973"/>
      <c r="E318" s="4973"/>
      <c r="F318" s="4973"/>
      <c r="G318" s="4973"/>
      <c r="H318" s="4974"/>
      <c r="I318" s="2795"/>
      <c r="J318" s="2795"/>
      <c r="K318" s="2809"/>
      <c r="M318" s="691"/>
      <c r="N318" s="691"/>
      <c r="O318" s="691"/>
      <c r="P318" s="691"/>
      <c r="Q318" s="691"/>
      <c r="R318" s="691"/>
      <c r="S318" s="691"/>
    </row>
    <row r="319" spans="1:19" ht="14.25" thickBot="1" x14ac:dyDescent="0.3">
      <c r="B319" s="3255"/>
      <c r="C319" s="3255"/>
      <c r="D319" s="3255"/>
      <c r="E319" s="3255"/>
      <c r="F319" s="3255"/>
      <c r="G319" s="691"/>
      <c r="H319" s="515"/>
    </row>
    <row r="320" spans="1:19" ht="13.5" customHeight="1" x14ac:dyDescent="0.25">
      <c r="A320" s="691"/>
      <c r="B320" s="3264" t="s">
        <v>4973</v>
      </c>
      <c r="C320" s="4970" t="s">
        <v>5633</v>
      </c>
      <c r="D320" s="4970"/>
      <c r="E320" s="4970"/>
      <c r="F320" s="4970"/>
      <c r="G320" s="4970"/>
      <c r="H320" s="4971"/>
      <c r="I320" s="691"/>
      <c r="J320" s="691"/>
      <c r="K320" s="2809"/>
      <c r="M320" s="691"/>
      <c r="N320" s="691"/>
      <c r="O320" s="691"/>
      <c r="P320" s="691"/>
      <c r="Q320" s="691"/>
      <c r="R320" s="691"/>
      <c r="S320" s="691"/>
    </row>
    <row r="321" spans="2:8" x14ac:dyDescent="0.25">
      <c r="B321" s="3265" t="s">
        <v>5634</v>
      </c>
      <c r="C321" s="3266" t="s">
        <v>5635</v>
      </c>
      <c r="D321" s="3266"/>
      <c r="E321" s="3266"/>
      <c r="F321" s="3266"/>
      <c r="G321" s="3266"/>
      <c r="H321" s="3267"/>
    </row>
    <row r="322" spans="2:8" x14ac:dyDescent="0.25">
      <c r="B322" s="3265" t="s">
        <v>5636</v>
      </c>
      <c r="C322" s="3266" t="s">
        <v>5637</v>
      </c>
      <c r="D322" s="3266"/>
      <c r="E322" s="3266"/>
      <c r="F322" s="3266"/>
      <c r="G322" s="3266"/>
      <c r="H322" s="3267"/>
    </row>
    <row r="323" spans="2:8" x14ac:dyDescent="0.25">
      <c r="B323" s="3265" t="s">
        <v>5638</v>
      </c>
      <c r="C323" s="3266" t="s">
        <v>5639</v>
      </c>
      <c r="D323" s="3266"/>
      <c r="E323" s="3266"/>
      <c r="F323" s="3266"/>
      <c r="G323" s="3266"/>
      <c r="H323" s="3267"/>
    </row>
    <row r="324" spans="2:8" ht="14.25" thickBot="1" x14ac:dyDescent="0.3">
      <c r="B324" s="3268" t="s">
        <v>5640</v>
      </c>
      <c r="C324" s="3269" t="s">
        <v>5641</v>
      </c>
      <c r="D324" s="3269"/>
      <c r="E324" s="3269"/>
      <c r="F324" s="3269"/>
      <c r="G324" s="3269"/>
      <c r="H324" s="3270"/>
    </row>
    <row r="325" spans="2:8" x14ac:dyDescent="0.25">
      <c r="B325" s="694"/>
      <c r="C325" s="694"/>
      <c r="D325" s="694"/>
      <c r="E325" s="694"/>
      <c r="F325" s="694"/>
      <c r="G325" s="694"/>
      <c r="H325" s="691"/>
    </row>
    <row r="326" spans="2:8" ht="14.25" thickBot="1" x14ac:dyDescent="0.3">
      <c r="B326" s="694"/>
      <c r="C326" s="694"/>
      <c r="D326" s="694"/>
      <c r="E326" s="694"/>
      <c r="F326" s="694"/>
      <c r="G326" s="694"/>
      <c r="H326" s="691"/>
    </row>
    <row r="327" spans="2:8" x14ac:dyDescent="0.25">
      <c r="B327" s="4975" t="s">
        <v>4905</v>
      </c>
      <c r="C327" s="4977" t="s">
        <v>4906</v>
      </c>
      <c r="D327" s="4977" t="s">
        <v>4907</v>
      </c>
      <c r="E327" s="4977"/>
      <c r="F327" s="3271" t="s">
        <v>4908</v>
      </c>
      <c r="G327" s="3271" t="s">
        <v>4909</v>
      </c>
      <c r="H327" s="3272" t="s">
        <v>0</v>
      </c>
    </row>
    <row r="328" spans="2:8" ht="14.25" thickBot="1" x14ac:dyDescent="0.3">
      <c r="B328" s="4976"/>
      <c r="C328" s="4978"/>
      <c r="D328" s="3273" t="s">
        <v>4910</v>
      </c>
      <c r="E328" s="3273" t="s">
        <v>4276</v>
      </c>
      <c r="F328" s="3273" t="s">
        <v>4911</v>
      </c>
      <c r="G328" s="3273" t="s">
        <v>4911</v>
      </c>
      <c r="H328" s="3274" t="s">
        <v>4911</v>
      </c>
    </row>
    <row r="329" spans="2:8" ht="14.25" thickBot="1" x14ac:dyDescent="0.3">
      <c r="B329" s="3256"/>
      <c r="C329" s="1142"/>
      <c r="D329" s="1142"/>
      <c r="E329" s="1142"/>
      <c r="F329" s="1142"/>
      <c r="G329" s="1142"/>
      <c r="H329" s="515"/>
    </row>
    <row r="330" spans="2:8" x14ac:dyDescent="0.25">
      <c r="B330" s="3310">
        <v>1</v>
      </c>
      <c r="C330" s="3311" t="s">
        <v>5482</v>
      </c>
      <c r="D330" s="3312"/>
      <c r="E330" s="3312"/>
      <c r="F330" s="3312"/>
      <c r="G330" s="3312"/>
      <c r="H330" s="3314">
        <f>G331</f>
        <v>64625</v>
      </c>
    </row>
    <row r="331" spans="2:8" x14ac:dyDescent="0.25">
      <c r="B331" s="3308" t="s">
        <v>4913</v>
      </c>
      <c r="C331" s="3303" t="s">
        <v>5483</v>
      </c>
      <c r="D331" s="2355"/>
      <c r="E331" s="2355"/>
      <c r="F331" s="3259"/>
      <c r="G331" s="3305">
        <f>SUM(G332:G335)</f>
        <v>64625</v>
      </c>
      <c r="H331" s="3276"/>
    </row>
    <row r="332" spans="2:8" x14ac:dyDescent="0.25">
      <c r="B332" s="3275" t="s">
        <v>4915</v>
      </c>
      <c r="C332" s="598" t="s">
        <v>5484</v>
      </c>
      <c r="D332" s="2355" t="s">
        <v>4916</v>
      </c>
      <c r="E332" s="2355">
        <v>1</v>
      </c>
      <c r="F332" s="3257">
        <v>13450</v>
      </c>
      <c r="G332" s="3257">
        <f>F332*E332</f>
        <v>13450</v>
      </c>
      <c r="H332" s="3276"/>
    </row>
    <row r="333" spans="2:8" x14ac:dyDescent="0.25">
      <c r="B333" s="3275" t="s">
        <v>4917</v>
      </c>
      <c r="C333" s="598" t="s">
        <v>5485</v>
      </c>
      <c r="D333" s="2355" t="s">
        <v>4916</v>
      </c>
      <c r="E333" s="2355">
        <v>3</v>
      </c>
      <c r="F333" s="3257">
        <v>5800</v>
      </c>
      <c r="G333" s="3257">
        <f t="shared" ref="G333:G396" si="11">F333*E333</f>
        <v>17400</v>
      </c>
      <c r="H333" s="3277"/>
    </row>
    <row r="334" spans="2:8" x14ac:dyDescent="0.25">
      <c r="B334" s="3275" t="s">
        <v>4918</v>
      </c>
      <c r="C334" s="598" t="s">
        <v>5486</v>
      </c>
      <c r="D334" s="2355" t="s">
        <v>4916</v>
      </c>
      <c r="E334" s="2355">
        <v>1</v>
      </c>
      <c r="F334" s="3257">
        <v>2185</v>
      </c>
      <c r="G334" s="3257">
        <f t="shared" si="11"/>
        <v>2185</v>
      </c>
      <c r="H334" s="3276"/>
    </row>
    <row r="335" spans="2:8" ht="14.25" thickBot="1" x14ac:dyDescent="0.3">
      <c r="B335" s="3278" t="s">
        <v>4920</v>
      </c>
      <c r="C335" s="2459" t="s">
        <v>5487</v>
      </c>
      <c r="D335" s="3279" t="s">
        <v>4916</v>
      </c>
      <c r="E335" s="3280">
        <v>65</v>
      </c>
      <c r="F335" s="3281">
        <v>486</v>
      </c>
      <c r="G335" s="3281">
        <f t="shared" si="11"/>
        <v>31590</v>
      </c>
      <c r="H335" s="3282"/>
    </row>
    <row r="336" spans="2:8" ht="14.25" thickBot="1" x14ac:dyDescent="0.3">
      <c r="B336" s="598"/>
      <c r="C336" s="598"/>
      <c r="D336" s="598"/>
      <c r="E336" s="2451"/>
      <c r="F336" s="3259"/>
      <c r="G336" s="3257"/>
      <c r="H336" s="598"/>
    </row>
    <row r="337" spans="2:8" x14ac:dyDescent="0.25">
      <c r="B337" s="3310">
        <v>2</v>
      </c>
      <c r="C337" s="3311" t="s">
        <v>5488</v>
      </c>
      <c r="D337" s="3312"/>
      <c r="E337" s="3312"/>
      <c r="F337" s="3312"/>
      <c r="G337" s="3313"/>
      <c r="H337" s="3314">
        <f>G338</f>
        <v>28427.84</v>
      </c>
    </row>
    <row r="338" spans="2:8" x14ac:dyDescent="0.25">
      <c r="B338" s="3308" t="s">
        <v>4940</v>
      </c>
      <c r="C338" s="3303" t="s">
        <v>5489</v>
      </c>
      <c r="D338" s="3304"/>
      <c r="E338" s="3304"/>
      <c r="F338" s="3259"/>
      <c r="G338" s="3305">
        <f>SUM(G339:G343)</f>
        <v>28427.84</v>
      </c>
      <c r="H338" s="3276"/>
    </row>
    <row r="339" spans="2:8" x14ac:dyDescent="0.25">
      <c r="B339" s="3275" t="s">
        <v>4942</v>
      </c>
      <c r="C339" s="599" t="s">
        <v>5490</v>
      </c>
      <c r="D339" s="1813" t="s">
        <v>4916</v>
      </c>
      <c r="E339" s="1813">
        <v>2</v>
      </c>
      <c r="F339" s="3258">
        <v>1350</v>
      </c>
      <c r="G339" s="3257">
        <f t="shared" si="11"/>
        <v>2700</v>
      </c>
      <c r="H339" s="3276"/>
    </row>
    <row r="340" spans="2:8" x14ac:dyDescent="0.25">
      <c r="B340" s="3275" t="s">
        <v>4944</v>
      </c>
      <c r="C340" s="599" t="s">
        <v>5491</v>
      </c>
      <c r="D340" s="1813" t="s">
        <v>4916</v>
      </c>
      <c r="E340" s="1813">
        <v>5</v>
      </c>
      <c r="F340" s="3258">
        <v>2400</v>
      </c>
      <c r="G340" s="3257">
        <f t="shared" si="11"/>
        <v>12000</v>
      </c>
      <c r="H340" s="3276"/>
    </row>
    <row r="341" spans="2:8" x14ac:dyDescent="0.25">
      <c r="B341" s="3275" t="s">
        <v>4946</v>
      </c>
      <c r="C341" s="599" t="s">
        <v>5492</v>
      </c>
      <c r="D341" s="1813" t="s">
        <v>4916</v>
      </c>
      <c r="E341" s="2483">
        <v>43</v>
      </c>
      <c r="F341" s="3258">
        <v>265.88</v>
      </c>
      <c r="G341" s="3257">
        <f t="shared" si="11"/>
        <v>11432.84</v>
      </c>
      <c r="H341" s="3276"/>
    </row>
    <row r="342" spans="2:8" x14ac:dyDescent="0.25">
      <c r="B342" s="3275" t="s">
        <v>4947</v>
      </c>
      <c r="C342" s="599" t="s">
        <v>5493</v>
      </c>
      <c r="D342" s="1813" t="s">
        <v>4916</v>
      </c>
      <c r="E342" s="1813">
        <v>3</v>
      </c>
      <c r="F342" s="3258">
        <v>215</v>
      </c>
      <c r="G342" s="3257">
        <f t="shared" si="11"/>
        <v>645</v>
      </c>
      <c r="H342" s="3276"/>
    </row>
    <row r="343" spans="2:8" ht="14.25" thickBot="1" x14ac:dyDescent="0.3">
      <c r="B343" s="3278" t="s">
        <v>4949</v>
      </c>
      <c r="C343" s="3283" t="s">
        <v>5494</v>
      </c>
      <c r="D343" s="3284" t="s">
        <v>4916</v>
      </c>
      <c r="E343" s="3284">
        <v>3</v>
      </c>
      <c r="F343" s="3285">
        <v>550</v>
      </c>
      <c r="G343" s="3281">
        <f t="shared" si="11"/>
        <v>1650</v>
      </c>
      <c r="H343" s="3282"/>
    </row>
    <row r="344" spans="2:8" ht="14.25" thickBot="1" x14ac:dyDescent="0.3">
      <c r="B344" s="598"/>
      <c r="C344" s="598"/>
      <c r="D344" s="598"/>
      <c r="E344" s="2451"/>
      <c r="F344" s="3259"/>
      <c r="G344" s="3257"/>
      <c r="H344" s="598"/>
    </row>
    <row r="345" spans="2:8" x14ac:dyDescent="0.25">
      <c r="B345" s="3310">
        <v>3</v>
      </c>
      <c r="C345" s="3311" t="s">
        <v>5495</v>
      </c>
      <c r="D345" s="3312"/>
      <c r="E345" s="3312"/>
      <c r="F345" s="3312"/>
      <c r="G345" s="3313"/>
      <c r="H345" s="3314">
        <f>G346</f>
        <v>9178.7000000000007</v>
      </c>
    </row>
    <row r="346" spans="2:8" x14ac:dyDescent="0.25">
      <c r="B346" s="3302">
        <v>3.1</v>
      </c>
      <c r="C346" s="3309" t="s">
        <v>5496</v>
      </c>
      <c r="D346" s="2355"/>
      <c r="E346" s="2355"/>
      <c r="F346" s="3259"/>
      <c r="G346" s="3305">
        <f>SUM(G347:G349)</f>
        <v>9178.7000000000007</v>
      </c>
      <c r="H346" s="3276"/>
    </row>
    <row r="347" spans="2:8" x14ac:dyDescent="0.25">
      <c r="B347" s="3275" t="s">
        <v>4958</v>
      </c>
      <c r="C347" s="599" t="s">
        <v>5497</v>
      </c>
      <c r="D347" s="1813" t="s">
        <v>4916</v>
      </c>
      <c r="E347" s="1813">
        <v>5</v>
      </c>
      <c r="F347" s="3258">
        <v>495.74</v>
      </c>
      <c r="G347" s="3257">
        <f t="shared" si="11"/>
        <v>2478.6999999999998</v>
      </c>
      <c r="H347" s="3276"/>
    </row>
    <row r="348" spans="2:8" x14ac:dyDescent="0.25">
      <c r="B348" s="3275" t="s">
        <v>4960</v>
      </c>
      <c r="C348" s="599" t="s">
        <v>5498</v>
      </c>
      <c r="D348" s="1813" t="s">
        <v>4916</v>
      </c>
      <c r="E348" s="1813">
        <v>1</v>
      </c>
      <c r="F348" s="3258">
        <v>2500</v>
      </c>
      <c r="G348" s="3257">
        <f t="shared" si="11"/>
        <v>2500</v>
      </c>
      <c r="H348" s="3276"/>
    </row>
    <row r="349" spans="2:8" ht="14.25" thickBot="1" x14ac:dyDescent="0.3">
      <c r="B349" s="3278" t="s">
        <v>4962</v>
      </c>
      <c r="C349" s="3283" t="s">
        <v>5499</v>
      </c>
      <c r="D349" s="3284" t="s">
        <v>4916</v>
      </c>
      <c r="E349" s="3284">
        <v>1</v>
      </c>
      <c r="F349" s="3285">
        <v>4200</v>
      </c>
      <c r="G349" s="3281">
        <f t="shared" si="11"/>
        <v>4200</v>
      </c>
      <c r="H349" s="3282"/>
    </row>
    <row r="350" spans="2:8" ht="14.25" thickBot="1" x14ac:dyDescent="0.3">
      <c r="B350" s="598"/>
      <c r="C350" s="598"/>
      <c r="D350" s="598"/>
      <c r="E350" s="2451"/>
      <c r="F350" s="3259"/>
      <c r="G350" s="3257"/>
      <c r="H350" s="598"/>
    </row>
    <row r="351" spans="2:8" x14ac:dyDescent="0.25">
      <c r="B351" s="3310">
        <v>4</v>
      </c>
      <c r="C351" s="3311" t="s">
        <v>5500</v>
      </c>
      <c r="D351" s="3312"/>
      <c r="E351" s="3312"/>
      <c r="F351" s="3312"/>
      <c r="G351" s="3313"/>
      <c r="H351" s="3314">
        <f>G352</f>
        <v>15729</v>
      </c>
    </row>
    <row r="352" spans="2:8" x14ac:dyDescent="0.25">
      <c r="B352" s="3308" t="s">
        <v>5501</v>
      </c>
      <c r="C352" s="3303" t="s">
        <v>5502</v>
      </c>
      <c r="D352" s="2355" t="s">
        <v>5503</v>
      </c>
      <c r="E352" s="2355">
        <v>1</v>
      </c>
      <c r="F352" s="3257">
        <v>15729</v>
      </c>
      <c r="G352" s="3305">
        <f t="shared" si="11"/>
        <v>15729</v>
      </c>
      <c r="H352" s="3276"/>
    </row>
    <row r="353" spans="2:8" x14ac:dyDescent="0.25">
      <c r="B353" s="3275" t="s">
        <v>5504</v>
      </c>
      <c r="C353" s="598" t="s">
        <v>5505</v>
      </c>
      <c r="D353" s="2355"/>
      <c r="E353" s="2355"/>
      <c r="F353" s="3257"/>
      <c r="G353" s="3257">
        <f t="shared" si="11"/>
        <v>0</v>
      </c>
      <c r="H353" s="3276"/>
    </row>
    <row r="354" spans="2:8" x14ac:dyDescent="0.25">
      <c r="B354" s="3275" t="s">
        <v>5506</v>
      </c>
      <c r="C354" s="598" t="s">
        <v>5507</v>
      </c>
      <c r="D354" s="2355"/>
      <c r="E354" s="2355"/>
      <c r="F354" s="3257"/>
      <c r="G354" s="3257">
        <f t="shared" si="11"/>
        <v>0</v>
      </c>
      <c r="H354" s="3276"/>
    </row>
    <row r="355" spans="2:8" ht="14.25" thickBot="1" x14ac:dyDescent="0.3">
      <c r="B355" s="3278" t="s">
        <v>5508</v>
      </c>
      <c r="C355" s="2459" t="s">
        <v>5509</v>
      </c>
      <c r="D355" s="3279"/>
      <c r="E355" s="3279"/>
      <c r="F355" s="3281"/>
      <c r="G355" s="3281">
        <f t="shared" si="11"/>
        <v>0</v>
      </c>
      <c r="H355" s="3282"/>
    </row>
    <row r="356" spans="2:8" ht="14.25" thickBot="1" x14ac:dyDescent="0.3">
      <c r="B356" s="2415"/>
      <c r="C356" s="598"/>
      <c r="D356" s="2355"/>
      <c r="E356" s="2355"/>
      <c r="F356" s="3259"/>
      <c r="G356" s="3257"/>
      <c r="H356" s="3260"/>
    </row>
    <row r="357" spans="2:8" x14ac:dyDescent="0.25">
      <c r="B357" s="3310">
        <v>5</v>
      </c>
      <c r="C357" s="3311" t="s">
        <v>5510</v>
      </c>
      <c r="D357" s="3312"/>
      <c r="E357" s="3312"/>
      <c r="F357" s="3312"/>
      <c r="G357" s="3313"/>
      <c r="H357" s="3314">
        <f>G358</f>
        <v>13520</v>
      </c>
    </row>
    <row r="358" spans="2:8" x14ac:dyDescent="0.25">
      <c r="B358" s="3302">
        <v>5.0999999999999996</v>
      </c>
      <c r="C358" s="3303" t="s">
        <v>5511</v>
      </c>
      <c r="D358" s="2355" t="s">
        <v>5503</v>
      </c>
      <c r="E358" s="2355">
        <v>1</v>
      </c>
      <c r="F358" s="3257">
        <v>13520</v>
      </c>
      <c r="G358" s="3305">
        <f t="shared" si="11"/>
        <v>13520</v>
      </c>
      <c r="H358" s="3276"/>
    </row>
    <row r="359" spans="2:8" x14ac:dyDescent="0.25">
      <c r="B359" s="3275" t="s">
        <v>5512</v>
      </c>
      <c r="C359" s="3261" t="s">
        <v>5513</v>
      </c>
      <c r="D359" s="2355"/>
      <c r="E359" s="2355"/>
      <c r="F359" s="3257"/>
      <c r="G359" s="3257">
        <f t="shared" si="11"/>
        <v>0</v>
      </c>
      <c r="H359" s="3276"/>
    </row>
    <row r="360" spans="2:8" x14ac:dyDescent="0.25">
      <c r="B360" s="3275" t="s">
        <v>5514</v>
      </c>
      <c r="C360" s="3261" t="s">
        <v>5515</v>
      </c>
      <c r="D360" s="2355"/>
      <c r="E360" s="2355"/>
      <c r="F360" s="3257"/>
      <c r="G360" s="3257">
        <f t="shared" si="11"/>
        <v>0</v>
      </c>
      <c r="H360" s="3276"/>
    </row>
    <row r="361" spans="2:8" x14ac:dyDescent="0.25">
      <c r="B361" s="3275" t="s">
        <v>5516</v>
      </c>
      <c r="C361" s="3261" t="s">
        <v>5517</v>
      </c>
      <c r="D361" s="2355"/>
      <c r="E361" s="2355"/>
      <c r="F361" s="3257"/>
      <c r="G361" s="3257">
        <f t="shared" si="11"/>
        <v>0</v>
      </c>
      <c r="H361" s="3276"/>
    </row>
    <row r="362" spans="2:8" ht="14.25" thickBot="1" x14ac:dyDescent="0.3">
      <c r="B362" s="3278" t="s">
        <v>5518</v>
      </c>
      <c r="C362" s="3286" t="s">
        <v>5519</v>
      </c>
      <c r="D362" s="3279"/>
      <c r="E362" s="3279"/>
      <c r="F362" s="3281"/>
      <c r="G362" s="3281">
        <f t="shared" si="11"/>
        <v>0</v>
      </c>
      <c r="H362" s="3282"/>
    </row>
    <row r="363" spans="2:8" ht="14.25" thickBot="1" x14ac:dyDescent="0.3">
      <c r="B363" s="598"/>
      <c r="C363" s="598"/>
      <c r="D363" s="598"/>
      <c r="E363" s="2451"/>
      <c r="F363" s="3259"/>
      <c r="G363" s="3257"/>
      <c r="H363" s="598"/>
    </row>
    <row r="364" spans="2:8" x14ac:dyDescent="0.25">
      <c r="B364" s="3310">
        <v>6</v>
      </c>
      <c r="C364" s="3311" t="s">
        <v>5520</v>
      </c>
      <c r="D364" s="3312"/>
      <c r="E364" s="3312"/>
      <c r="F364" s="3312"/>
      <c r="G364" s="3313"/>
      <c r="H364" s="3314">
        <f>G365</f>
        <v>33899.81</v>
      </c>
    </row>
    <row r="365" spans="2:8" x14ac:dyDescent="0.25">
      <c r="B365" s="3302">
        <v>6.1</v>
      </c>
      <c r="C365" s="3303" t="s">
        <v>5521</v>
      </c>
      <c r="D365" s="3304"/>
      <c r="E365" s="3304"/>
      <c r="F365" s="3306"/>
      <c r="G365" s="3305">
        <f>SUM(G366:G371)</f>
        <v>33899.81</v>
      </c>
      <c r="H365" s="3276"/>
    </row>
    <row r="366" spans="2:8" x14ac:dyDescent="0.25">
      <c r="B366" s="3275" t="s">
        <v>5522</v>
      </c>
      <c r="C366" s="598" t="s">
        <v>5523</v>
      </c>
      <c r="D366" s="2355" t="s">
        <v>5503</v>
      </c>
      <c r="E366" s="2355">
        <v>1</v>
      </c>
      <c r="F366" s="3257">
        <v>7330.76</v>
      </c>
      <c r="G366" s="3257">
        <f t="shared" si="11"/>
        <v>7330.76</v>
      </c>
      <c r="H366" s="3276"/>
    </row>
    <row r="367" spans="2:8" x14ac:dyDescent="0.25">
      <c r="B367" s="3275" t="s">
        <v>5524</v>
      </c>
      <c r="C367" s="598" t="s">
        <v>5525</v>
      </c>
      <c r="D367" s="2355" t="s">
        <v>5503</v>
      </c>
      <c r="E367" s="2355">
        <v>1</v>
      </c>
      <c r="F367" s="3257">
        <v>11401.92</v>
      </c>
      <c r="G367" s="3257">
        <f t="shared" si="11"/>
        <v>11401.92</v>
      </c>
      <c r="H367" s="3276"/>
    </row>
    <row r="368" spans="2:8" x14ac:dyDescent="0.25">
      <c r="B368" s="3275" t="s">
        <v>5526</v>
      </c>
      <c r="C368" s="598" t="s">
        <v>5527</v>
      </c>
      <c r="D368" s="2355" t="s">
        <v>5503</v>
      </c>
      <c r="E368" s="2355">
        <v>1</v>
      </c>
      <c r="F368" s="3257">
        <v>1360.5</v>
      </c>
      <c r="G368" s="3257">
        <f t="shared" si="11"/>
        <v>1360.5</v>
      </c>
      <c r="H368" s="3276"/>
    </row>
    <row r="369" spans="2:8" x14ac:dyDescent="0.25">
      <c r="B369" s="3275" t="s">
        <v>5528</v>
      </c>
      <c r="C369" s="598" t="s">
        <v>5529</v>
      </c>
      <c r="D369" s="2355" t="s">
        <v>5503</v>
      </c>
      <c r="E369" s="2355">
        <v>1</v>
      </c>
      <c r="F369" s="3257">
        <v>1533.72</v>
      </c>
      <c r="G369" s="3257">
        <f t="shared" si="11"/>
        <v>1533.72</v>
      </c>
      <c r="H369" s="3276"/>
    </row>
    <row r="370" spans="2:8" x14ac:dyDescent="0.25">
      <c r="B370" s="3275" t="s">
        <v>5530</v>
      </c>
      <c r="C370" s="598" t="s">
        <v>5531</v>
      </c>
      <c r="D370" s="2355" t="s">
        <v>5503</v>
      </c>
      <c r="E370" s="2355">
        <v>1</v>
      </c>
      <c r="F370" s="3257">
        <v>4124.91</v>
      </c>
      <c r="G370" s="3257">
        <f t="shared" si="11"/>
        <v>4124.91</v>
      </c>
      <c r="H370" s="3276"/>
    </row>
    <row r="371" spans="2:8" ht="14.25" thickBot="1" x14ac:dyDescent="0.3">
      <c r="B371" s="3278" t="s">
        <v>5532</v>
      </c>
      <c r="C371" s="2459" t="s">
        <v>5533</v>
      </c>
      <c r="D371" s="3279" t="s">
        <v>5503</v>
      </c>
      <c r="E371" s="3279">
        <v>3</v>
      </c>
      <c r="F371" s="3281">
        <v>2716</v>
      </c>
      <c r="G371" s="3281">
        <f t="shared" si="11"/>
        <v>8148</v>
      </c>
      <c r="H371" s="3282"/>
    </row>
    <row r="372" spans="2:8" ht="14.25" thickBot="1" x14ac:dyDescent="0.3">
      <c r="B372" s="598"/>
      <c r="C372" s="598"/>
      <c r="D372" s="598"/>
      <c r="E372" s="2451"/>
      <c r="F372" s="3259"/>
      <c r="G372" s="3257"/>
      <c r="H372" s="598"/>
    </row>
    <row r="373" spans="2:8" x14ac:dyDescent="0.25">
      <c r="B373" s="3310">
        <v>7</v>
      </c>
      <c r="C373" s="3311" t="s">
        <v>5534</v>
      </c>
      <c r="D373" s="3312"/>
      <c r="E373" s="3312"/>
      <c r="F373" s="3312"/>
      <c r="G373" s="3313"/>
      <c r="H373" s="3314">
        <f>G374</f>
        <v>29318.91</v>
      </c>
    </row>
    <row r="374" spans="2:8" x14ac:dyDescent="0.25">
      <c r="B374" s="3302">
        <v>7.1</v>
      </c>
      <c r="C374" s="3303" t="s">
        <v>5535</v>
      </c>
      <c r="D374" s="3304"/>
      <c r="E374" s="3304"/>
      <c r="F374" s="3306"/>
      <c r="G374" s="3305">
        <f>SUM(G375:G380)</f>
        <v>29318.91</v>
      </c>
      <c r="H374" s="2456"/>
    </row>
    <row r="375" spans="2:8" x14ac:dyDescent="0.25">
      <c r="B375" s="3275" t="s">
        <v>5536</v>
      </c>
      <c r="C375" s="599" t="s">
        <v>5537</v>
      </c>
      <c r="D375" s="1813" t="s">
        <v>4916</v>
      </c>
      <c r="E375" s="2483">
        <v>5</v>
      </c>
      <c r="F375" s="3258">
        <v>4200</v>
      </c>
      <c r="G375" s="3257">
        <f t="shared" si="11"/>
        <v>21000</v>
      </c>
      <c r="H375" s="3287"/>
    </row>
    <row r="376" spans="2:8" x14ac:dyDescent="0.25">
      <c r="B376" s="3275" t="s">
        <v>5538</v>
      </c>
      <c r="C376" s="599" t="s">
        <v>5539</v>
      </c>
      <c r="D376" s="1813" t="s">
        <v>4916</v>
      </c>
      <c r="E376" s="2483">
        <v>98</v>
      </c>
      <c r="F376" s="3258">
        <v>38.520000000000003</v>
      </c>
      <c r="G376" s="3257">
        <f t="shared" si="11"/>
        <v>3774.9600000000005</v>
      </c>
      <c r="H376" s="3287"/>
    </row>
    <row r="377" spans="2:8" x14ac:dyDescent="0.25">
      <c r="B377" s="3275" t="s">
        <v>5540</v>
      </c>
      <c r="C377" s="599" t="s">
        <v>5541</v>
      </c>
      <c r="D377" s="1813" t="s">
        <v>4916</v>
      </c>
      <c r="E377" s="1813">
        <v>5</v>
      </c>
      <c r="F377" s="3258">
        <v>48.79</v>
      </c>
      <c r="G377" s="3257">
        <f t="shared" si="11"/>
        <v>243.95</v>
      </c>
      <c r="H377" s="3287"/>
    </row>
    <row r="378" spans="2:8" x14ac:dyDescent="0.25">
      <c r="B378" s="3275" t="s">
        <v>5542</v>
      </c>
      <c r="C378" s="599" t="s">
        <v>5543</v>
      </c>
      <c r="D378" s="1813" t="s">
        <v>4916</v>
      </c>
      <c r="E378" s="1813">
        <v>5</v>
      </c>
      <c r="F378" s="3258">
        <v>240</v>
      </c>
      <c r="G378" s="3257">
        <f t="shared" si="11"/>
        <v>1200</v>
      </c>
      <c r="H378" s="3287"/>
    </row>
    <row r="379" spans="2:8" x14ac:dyDescent="0.25">
      <c r="B379" s="3275" t="s">
        <v>5544</v>
      </c>
      <c r="C379" s="599" t="s">
        <v>5545</v>
      </c>
      <c r="D379" s="1813" t="s">
        <v>4916</v>
      </c>
      <c r="E379" s="1813">
        <v>2</v>
      </c>
      <c r="F379" s="3258">
        <v>250</v>
      </c>
      <c r="G379" s="3257">
        <f t="shared" si="11"/>
        <v>500</v>
      </c>
      <c r="H379" s="3287"/>
    </row>
    <row r="380" spans="2:8" ht="14.25" thickBot="1" x14ac:dyDescent="0.3">
      <c r="B380" s="3278" t="s">
        <v>5546</v>
      </c>
      <c r="C380" s="3283" t="s">
        <v>5547</v>
      </c>
      <c r="D380" s="3284" t="s">
        <v>4916</v>
      </c>
      <c r="E380" s="3284">
        <v>2</v>
      </c>
      <c r="F380" s="3285">
        <v>1300</v>
      </c>
      <c r="G380" s="3281">
        <f t="shared" si="11"/>
        <v>2600</v>
      </c>
      <c r="H380" s="3288"/>
    </row>
    <row r="381" spans="2:8" ht="14.25" thickBot="1" x14ac:dyDescent="0.3">
      <c r="B381" s="598"/>
      <c r="C381" s="598"/>
      <c r="D381" s="598"/>
      <c r="E381" s="2451"/>
      <c r="F381" s="3259"/>
      <c r="G381" s="3257"/>
      <c r="H381" s="598"/>
    </row>
    <row r="382" spans="2:8" x14ac:dyDescent="0.25">
      <c r="B382" s="3310">
        <v>8</v>
      </c>
      <c r="C382" s="3311" t="s">
        <v>5548</v>
      </c>
      <c r="D382" s="3312"/>
      <c r="E382" s="3312"/>
      <c r="F382" s="3312"/>
      <c r="G382" s="3313"/>
      <c r="H382" s="3314">
        <f>G383</f>
        <v>22700</v>
      </c>
    </row>
    <row r="383" spans="2:8" x14ac:dyDescent="0.25">
      <c r="B383" s="3302">
        <v>8.1</v>
      </c>
      <c r="C383" s="3303" t="s">
        <v>5549</v>
      </c>
      <c r="D383" s="3304"/>
      <c r="E383" s="3304"/>
      <c r="F383" s="3307"/>
      <c r="G383" s="3305">
        <f>SUM(G384:G386)</f>
        <v>22700</v>
      </c>
      <c r="H383" s="3276"/>
    </row>
    <row r="384" spans="2:8" x14ac:dyDescent="0.25">
      <c r="B384" s="3289" t="s">
        <v>5550</v>
      </c>
      <c r="C384" s="598" t="s">
        <v>5551</v>
      </c>
      <c r="D384" s="2355" t="s">
        <v>4916</v>
      </c>
      <c r="E384" s="2355">
        <v>1</v>
      </c>
      <c r="F384" s="3257">
        <v>17900</v>
      </c>
      <c r="G384" s="3257">
        <f t="shared" si="11"/>
        <v>17900</v>
      </c>
      <c r="H384" s="3276"/>
    </row>
    <row r="385" spans="2:8" x14ac:dyDescent="0.25">
      <c r="B385" s="3289" t="s">
        <v>5552</v>
      </c>
      <c r="C385" s="598" t="s">
        <v>5553</v>
      </c>
      <c r="D385" s="2355" t="s">
        <v>4916</v>
      </c>
      <c r="E385" s="2355">
        <v>1</v>
      </c>
      <c r="F385" s="3257">
        <v>1300</v>
      </c>
      <c r="G385" s="3257">
        <f t="shared" si="11"/>
        <v>1300</v>
      </c>
      <c r="H385" s="3276"/>
    </row>
    <row r="386" spans="2:8" ht="14.25" thickBot="1" x14ac:dyDescent="0.3">
      <c r="B386" s="3290" t="s">
        <v>5554</v>
      </c>
      <c r="C386" s="2459" t="s">
        <v>5555</v>
      </c>
      <c r="D386" s="3279" t="s">
        <v>4916</v>
      </c>
      <c r="E386" s="3279">
        <v>1</v>
      </c>
      <c r="F386" s="3281">
        <v>3500</v>
      </c>
      <c r="G386" s="3281">
        <f t="shared" si="11"/>
        <v>3500</v>
      </c>
      <c r="H386" s="3282"/>
    </row>
    <row r="387" spans="2:8" ht="14.25" thickBot="1" x14ac:dyDescent="0.3">
      <c r="B387" s="598"/>
      <c r="C387" s="598"/>
      <c r="D387" s="598"/>
      <c r="E387" s="2451"/>
      <c r="F387" s="3259"/>
      <c r="G387" s="3257"/>
      <c r="H387" s="598"/>
    </row>
    <row r="388" spans="2:8" x14ac:dyDescent="0.25">
      <c r="B388" s="3310">
        <v>9</v>
      </c>
      <c r="C388" s="3311" t="s">
        <v>4912</v>
      </c>
      <c r="D388" s="3312"/>
      <c r="E388" s="3312"/>
      <c r="F388" s="3312"/>
      <c r="G388" s="3313"/>
      <c r="H388" s="3314">
        <f>G389</f>
        <v>204512.9</v>
      </c>
    </row>
    <row r="389" spans="2:8" x14ac:dyDescent="0.25">
      <c r="B389" s="3302">
        <v>9.1</v>
      </c>
      <c r="C389" s="3303" t="s">
        <v>4914</v>
      </c>
      <c r="D389" s="3304"/>
      <c r="E389" s="3304"/>
      <c r="F389" s="3306"/>
      <c r="G389" s="3305">
        <f>SUM(G390:G412)</f>
        <v>204512.9</v>
      </c>
      <c r="H389" s="2456"/>
    </row>
    <row r="390" spans="2:8" x14ac:dyDescent="0.25">
      <c r="B390" s="3291" t="s">
        <v>5556</v>
      </c>
      <c r="C390" s="1808" t="s">
        <v>5557</v>
      </c>
      <c r="D390" s="1815" t="s">
        <v>4916</v>
      </c>
      <c r="E390" s="1815">
        <v>1</v>
      </c>
      <c r="F390" s="3262">
        <v>3600</v>
      </c>
      <c r="G390" s="3257">
        <f t="shared" si="11"/>
        <v>3600</v>
      </c>
      <c r="H390" s="2456"/>
    </row>
    <row r="391" spans="2:8" x14ac:dyDescent="0.25">
      <c r="B391" s="3291" t="s">
        <v>5558</v>
      </c>
      <c r="C391" s="1808" t="s">
        <v>5559</v>
      </c>
      <c r="D391" s="1815" t="s">
        <v>4916</v>
      </c>
      <c r="E391" s="1815">
        <v>8</v>
      </c>
      <c r="F391" s="3262">
        <v>856</v>
      </c>
      <c r="G391" s="3257">
        <f t="shared" si="11"/>
        <v>6848</v>
      </c>
      <c r="H391" s="2456"/>
    </row>
    <row r="392" spans="2:8" x14ac:dyDescent="0.25">
      <c r="B392" s="3291" t="s">
        <v>5560</v>
      </c>
      <c r="C392" s="1808" t="s">
        <v>4919</v>
      </c>
      <c r="D392" s="1815" t="s">
        <v>4916</v>
      </c>
      <c r="E392" s="1815">
        <v>2</v>
      </c>
      <c r="F392" s="3262">
        <v>3500</v>
      </c>
      <c r="G392" s="3257">
        <f t="shared" si="11"/>
        <v>7000</v>
      </c>
      <c r="H392" s="2456"/>
    </row>
    <row r="393" spans="2:8" x14ac:dyDescent="0.25">
      <c r="B393" s="3291" t="s">
        <v>5561</v>
      </c>
      <c r="C393" s="1808" t="s">
        <v>4921</v>
      </c>
      <c r="D393" s="1815" t="s">
        <v>4916</v>
      </c>
      <c r="E393" s="1815">
        <v>5</v>
      </c>
      <c r="F393" s="3262">
        <v>2100</v>
      </c>
      <c r="G393" s="3257">
        <f t="shared" si="11"/>
        <v>10500</v>
      </c>
      <c r="H393" s="2456"/>
    </row>
    <row r="394" spans="2:8" x14ac:dyDescent="0.25">
      <c r="B394" s="3291" t="s">
        <v>5562</v>
      </c>
      <c r="C394" s="1808" t="s">
        <v>4922</v>
      </c>
      <c r="D394" s="1815" t="s">
        <v>4916</v>
      </c>
      <c r="E394" s="1815">
        <v>24</v>
      </c>
      <c r="F394" s="3262">
        <v>50</v>
      </c>
      <c r="G394" s="3257">
        <f t="shared" si="11"/>
        <v>1200</v>
      </c>
      <c r="H394" s="2456"/>
    </row>
    <row r="395" spans="2:8" x14ac:dyDescent="0.25">
      <c r="B395" s="3291" t="s">
        <v>5563</v>
      </c>
      <c r="C395" s="1808" t="s">
        <v>4923</v>
      </c>
      <c r="D395" s="1815" t="s">
        <v>4916</v>
      </c>
      <c r="E395" s="1815">
        <v>6</v>
      </c>
      <c r="F395" s="3262">
        <v>65</v>
      </c>
      <c r="G395" s="3257">
        <f t="shared" si="11"/>
        <v>390</v>
      </c>
      <c r="H395" s="2456"/>
    </row>
    <row r="396" spans="2:8" x14ac:dyDescent="0.25">
      <c r="B396" s="3291" t="s">
        <v>5564</v>
      </c>
      <c r="C396" s="599" t="s">
        <v>4924</v>
      </c>
      <c r="D396" s="1813" t="s">
        <v>4916</v>
      </c>
      <c r="E396" s="1813">
        <v>3</v>
      </c>
      <c r="F396" s="3258">
        <v>389</v>
      </c>
      <c r="G396" s="3257">
        <f t="shared" si="11"/>
        <v>1167</v>
      </c>
      <c r="H396" s="2456"/>
    </row>
    <row r="397" spans="2:8" x14ac:dyDescent="0.25">
      <c r="B397" s="3291" t="s">
        <v>5565</v>
      </c>
      <c r="C397" s="599" t="s">
        <v>4925</v>
      </c>
      <c r="D397" s="1813" t="s">
        <v>4916</v>
      </c>
      <c r="E397" s="1813">
        <v>8</v>
      </c>
      <c r="F397" s="3258">
        <v>310</v>
      </c>
      <c r="G397" s="3257">
        <f t="shared" ref="G397:G412" si="12">F397*E397</f>
        <v>2480</v>
      </c>
      <c r="H397" s="2456"/>
    </row>
    <row r="398" spans="2:8" x14ac:dyDescent="0.25">
      <c r="B398" s="3291" t="s">
        <v>5566</v>
      </c>
      <c r="C398" s="599" t="s">
        <v>4926</v>
      </c>
      <c r="D398" s="1813" t="s">
        <v>4916</v>
      </c>
      <c r="E398" s="2483">
        <v>165</v>
      </c>
      <c r="F398" s="3258">
        <v>25.8</v>
      </c>
      <c r="G398" s="3257">
        <f t="shared" si="12"/>
        <v>4257</v>
      </c>
      <c r="H398" s="2456"/>
    </row>
    <row r="399" spans="2:8" x14ac:dyDescent="0.25">
      <c r="B399" s="3291" t="s">
        <v>5567</v>
      </c>
      <c r="C399" s="599" t="s">
        <v>4927</v>
      </c>
      <c r="D399" s="1813" t="s">
        <v>4916</v>
      </c>
      <c r="E399" s="2483">
        <v>368</v>
      </c>
      <c r="F399" s="3258">
        <v>19.2</v>
      </c>
      <c r="G399" s="3257">
        <f t="shared" si="12"/>
        <v>7065.5999999999995</v>
      </c>
      <c r="H399" s="2456"/>
    </row>
    <row r="400" spans="2:8" x14ac:dyDescent="0.25">
      <c r="B400" s="3291" t="s">
        <v>5568</v>
      </c>
      <c r="C400" s="599" t="s">
        <v>4928</v>
      </c>
      <c r="D400" s="1813" t="s">
        <v>4916</v>
      </c>
      <c r="E400" s="1813">
        <v>2</v>
      </c>
      <c r="F400" s="3258">
        <v>4782.8999999999996</v>
      </c>
      <c r="G400" s="3257">
        <f t="shared" si="12"/>
        <v>9565.7999999999993</v>
      </c>
      <c r="H400" s="2456"/>
    </row>
    <row r="401" spans="2:9" x14ac:dyDescent="0.25">
      <c r="B401" s="3291" t="s">
        <v>5569</v>
      </c>
      <c r="C401" s="599" t="s">
        <v>4929</v>
      </c>
      <c r="D401" s="1813" t="s">
        <v>4916</v>
      </c>
      <c r="E401" s="1813">
        <v>2</v>
      </c>
      <c r="F401" s="3258">
        <v>4590</v>
      </c>
      <c r="G401" s="3257">
        <f t="shared" si="12"/>
        <v>9180</v>
      </c>
      <c r="H401" s="2456"/>
      <c r="I401" s="691"/>
    </row>
    <row r="402" spans="2:9" x14ac:dyDescent="0.25">
      <c r="B402" s="3291" t="s">
        <v>5570</v>
      </c>
      <c r="C402" s="599" t="s">
        <v>4930</v>
      </c>
      <c r="D402" s="1813" t="s">
        <v>4916</v>
      </c>
      <c r="E402" s="1813">
        <v>5</v>
      </c>
      <c r="F402" s="3258">
        <v>3570</v>
      </c>
      <c r="G402" s="3257">
        <f t="shared" si="12"/>
        <v>17850</v>
      </c>
      <c r="H402" s="2456"/>
      <c r="I402" s="691"/>
    </row>
    <row r="403" spans="2:9" x14ac:dyDescent="0.25">
      <c r="B403" s="3291" t="s">
        <v>5571</v>
      </c>
      <c r="C403" s="599" t="s">
        <v>4931</v>
      </c>
      <c r="D403" s="1813" t="s">
        <v>4916</v>
      </c>
      <c r="E403" s="1813">
        <v>1</v>
      </c>
      <c r="F403" s="3258">
        <v>800</v>
      </c>
      <c r="G403" s="3257">
        <f t="shared" si="12"/>
        <v>800</v>
      </c>
      <c r="H403" s="2456"/>
      <c r="I403" s="691"/>
    </row>
    <row r="404" spans="2:9" x14ac:dyDescent="0.25">
      <c r="B404" s="3291" t="s">
        <v>5572</v>
      </c>
      <c r="C404" s="599" t="s">
        <v>4932</v>
      </c>
      <c r="D404" s="1813" t="s">
        <v>4916</v>
      </c>
      <c r="E404" s="1813">
        <v>2</v>
      </c>
      <c r="F404" s="3258">
        <v>95</v>
      </c>
      <c r="G404" s="3257">
        <f t="shared" si="12"/>
        <v>190</v>
      </c>
      <c r="H404" s="2456"/>
    </row>
    <row r="405" spans="2:9" x14ac:dyDescent="0.25">
      <c r="B405" s="3291" t="s">
        <v>5573</v>
      </c>
      <c r="C405" s="599" t="s">
        <v>4933</v>
      </c>
      <c r="D405" s="1813" t="s">
        <v>4916</v>
      </c>
      <c r="E405" s="1813">
        <v>2</v>
      </c>
      <c r="F405" s="3258">
        <v>96</v>
      </c>
      <c r="G405" s="3257">
        <f t="shared" si="12"/>
        <v>192</v>
      </c>
      <c r="H405" s="2456"/>
    </row>
    <row r="406" spans="2:9" x14ac:dyDescent="0.25">
      <c r="B406" s="3291" t="s">
        <v>5574</v>
      </c>
      <c r="C406" s="599" t="s">
        <v>4934</v>
      </c>
      <c r="D406" s="1813" t="s">
        <v>4916</v>
      </c>
      <c r="E406" s="1813">
        <v>5</v>
      </c>
      <c r="F406" s="3258">
        <v>5136</v>
      </c>
      <c r="G406" s="3257">
        <f t="shared" si="12"/>
        <v>25680</v>
      </c>
      <c r="H406" s="2456"/>
    </row>
    <row r="407" spans="2:9" x14ac:dyDescent="0.25">
      <c r="B407" s="3291" t="s">
        <v>5575</v>
      </c>
      <c r="C407" s="599" t="s">
        <v>4935</v>
      </c>
      <c r="D407" s="1813" t="s">
        <v>4916</v>
      </c>
      <c r="E407" s="1813">
        <v>49</v>
      </c>
      <c r="F407" s="3258">
        <v>1250</v>
      </c>
      <c r="G407" s="3257">
        <f t="shared" si="12"/>
        <v>61250</v>
      </c>
      <c r="H407" s="2456"/>
    </row>
    <row r="408" spans="2:9" x14ac:dyDescent="0.25">
      <c r="B408" s="3291" t="s">
        <v>5576</v>
      </c>
      <c r="C408" s="599" t="s">
        <v>4936</v>
      </c>
      <c r="D408" s="1813" t="s">
        <v>4937</v>
      </c>
      <c r="E408" s="1813">
        <v>272.5</v>
      </c>
      <c r="F408" s="3258">
        <v>96</v>
      </c>
      <c r="G408" s="3257">
        <f t="shared" si="12"/>
        <v>26160</v>
      </c>
      <c r="H408" s="2456"/>
    </row>
    <row r="409" spans="2:9" x14ac:dyDescent="0.25">
      <c r="B409" s="3291" t="s">
        <v>5577</v>
      </c>
      <c r="C409" s="599" t="s">
        <v>4938</v>
      </c>
      <c r="D409" s="1813" t="s">
        <v>4937</v>
      </c>
      <c r="E409" s="1813">
        <v>114.5</v>
      </c>
      <c r="F409" s="3258">
        <v>52</v>
      </c>
      <c r="G409" s="3257">
        <f t="shared" si="12"/>
        <v>5954</v>
      </c>
      <c r="H409" s="2456"/>
    </row>
    <row r="410" spans="2:9" x14ac:dyDescent="0.25">
      <c r="B410" s="3291" t="s">
        <v>5578</v>
      </c>
      <c r="C410" s="599" t="s">
        <v>5579</v>
      </c>
      <c r="D410" s="1813" t="s">
        <v>4937</v>
      </c>
      <c r="E410" s="1813">
        <v>48.5</v>
      </c>
      <c r="F410" s="3258">
        <v>32</v>
      </c>
      <c r="G410" s="3257">
        <f t="shared" si="12"/>
        <v>1552</v>
      </c>
      <c r="H410" s="2456"/>
    </row>
    <row r="411" spans="2:9" x14ac:dyDescent="0.25">
      <c r="B411" s="3291" t="s">
        <v>5580</v>
      </c>
      <c r="C411" s="599" t="s">
        <v>5581</v>
      </c>
      <c r="D411" s="1813" t="s">
        <v>4937</v>
      </c>
      <c r="E411" s="1813">
        <v>155.5</v>
      </c>
      <c r="F411" s="3258">
        <v>6.5</v>
      </c>
      <c r="G411" s="3257">
        <f t="shared" si="12"/>
        <v>1010.75</v>
      </c>
      <c r="H411" s="2456"/>
    </row>
    <row r="412" spans="2:9" ht="14.25" thickBot="1" x14ac:dyDescent="0.3">
      <c r="B412" s="3292" t="s">
        <v>5582</v>
      </c>
      <c r="C412" s="3283" t="s">
        <v>5583</v>
      </c>
      <c r="D412" s="3284" t="s">
        <v>4937</v>
      </c>
      <c r="E412" s="3284">
        <v>95.5</v>
      </c>
      <c r="F412" s="3285">
        <v>6.5</v>
      </c>
      <c r="G412" s="3281">
        <f t="shared" si="12"/>
        <v>620.75</v>
      </c>
      <c r="H412" s="2460"/>
    </row>
    <row r="413" spans="2:9" ht="14.25" thickBot="1" x14ac:dyDescent="0.3">
      <c r="B413" s="2431"/>
      <c r="C413" s="599"/>
      <c r="D413" s="1813"/>
      <c r="E413" s="1813"/>
      <c r="F413" s="3258"/>
      <c r="G413" s="3257"/>
      <c r="H413" s="598"/>
    </row>
    <row r="414" spans="2:9" x14ac:dyDescent="0.25">
      <c r="B414" s="3310">
        <v>10</v>
      </c>
      <c r="C414" s="3311" t="s">
        <v>5584</v>
      </c>
      <c r="D414" s="3312"/>
      <c r="E414" s="3312"/>
      <c r="F414" s="3312"/>
      <c r="G414" s="3313"/>
      <c r="H414" s="3314">
        <f>G415</f>
        <v>60205.2</v>
      </c>
    </row>
    <row r="415" spans="2:9" x14ac:dyDescent="0.25">
      <c r="B415" s="3302">
        <v>10.1</v>
      </c>
      <c r="C415" s="3303" t="s">
        <v>5585</v>
      </c>
      <c r="D415" s="3304"/>
      <c r="E415" s="3304"/>
      <c r="F415" s="3306"/>
      <c r="G415" s="3305">
        <f>SUM(G416:G419)</f>
        <v>60205.2</v>
      </c>
      <c r="H415" s="2456"/>
    </row>
    <row r="416" spans="2:9" x14ac:dyDescent="0.25">
      <c r="B416" s="3275" t="s">
        <v>5586</v>
      </c>
      <c r="C416" s="598" t="s">
        <v>5587</v>
      </c>
      <c r="D416" s="2355" t="s">
        <v>4916</v>
      </c>
      <c r="E416" s="2355">
        <v>1</v>
      </c>
      <c r="F416" s="3257">
        <v>45000</v>
      </c>
      <c r="G416" s="3257">
        <f t="shared" ref="G416:G457" si="13">F416*E416</f>
        <v>45000</v>
      </c>
      <c r="H416" s="2456"/>
    </row>
    <row r="417" spans="2:8" x14ac:dyDescent="0.25">
      <c r="B417" s="3275" t="s">
        <v>5588</v>
      </c>
      <c r="C417" s="598" t="s">
        <v>5589</v>
      </c>
      <c r="D417" s="2355" t="s">
        <v>4916</v>
      </c>
      <c r="E417" s="2355">
        <v>1</v>
      </c>
      <c r="F417" s="3257">
        <v>3852</v>
      </c>
      <c r="G417" s="3257">
        <f t="shared" si="13"/>
        <v>3852</v>
      </c>
      <c r="H417" s="2456"/>
    </row>
    <row r="418" spans="2:8" x14ac:dyDescent="0.25">
      <c r="B418" s="3275" t="s">
        <v>5590</v>
      </c>
      <c r="C418" s="598" t="s">
        <v>5591</v>
      </c>
      <c r="D418" s="2355" t="s">
        <v>4916</v>
      </c>
      <c r="E418" s="2355">
        <v>1</v>
      </c>
      <c r="F418" s="3257">
        <v>2953.2</v>
      </c>
      <c r="G418" s="3257">
        <f t="shared" si="13"/>
        <v>2953.2</v>
      </c>
      <c r="H418" s="2456"/>
    </row>
    <row r="419" spans="2:8" ht="14.25" thickBot="1" x14ac:dyDescent="0.3">
      <c r="B419" s="3278" t="s">
        <v>5592</v>
      </c>
      <c r="C419" s="2459" t="s">
        <v>5593</v>
      </c>
      <c r="D419" s="3279" t="s">
        <v>4916</v>
      </c>
      <c r="E419" s="3279">
        <v>1</v>
      </c>
      <c r="F419" s="3281">
        <v>8400</v>
      </c>
      <c r="G419" s="3281">
        <f t="shared" si="13"/>
        <v>8400</v>
      </c>
      <c r="H419" s="2460"/>
    </row>
    <row r="420" spans="2:8" ht="14.25" thickBot="1" x14ac:dyDescent="0.3">
      <c r="B420" s="2415"/>
      <c r="C420" s="598"/>
      <c r="D420" s="2355"/>
      <c r="E420" s="2355"/>
      <c r="F420" s="3257"/>
      <c r="G420" s="3257"/>
      <c r="H420" s="598"/>
    </row>
    <row r="421" spans="2:8" x14ac:dyDescent="0.25">
      <c r="B421" s="3310">
        <v>11</v>
      </c>
      <c r="C421" s="3311" t="s">
        <v>5594</v>
      </c>
      <c r="D421" s="3312"/>
      <c r="E421" s="3312"/>
      <c r="F421" s="3312"/>
      <c r="G421" s="3313"/>
      <c r="H421" s="3314">
        <f>G422</f>
        <v>32580</v>
      </c>
    </row>
    <row r="422" spans="2:8" x14ac:dyDescent="0.25">
      <c r="B422" s="3302">
        <v>11.1</v>
      </c>
      <c r="C422" s="3303" t="s">
        <v>5595</v>
      </c>
      <c r="D422" s="3304"/>
      <c r="E422" s="2355"/>
      <c r="F422" s="3259"/>
      <c r="G422" s="3305">
        <f>SUM(G423:G427)</f>
        <v>32580</v>
      </c>
      <c r="H422" s="2456"/>
    </row>
    <row r="423" spans="2:8" x14ac:dyDescent="0.25">
      <c r="B423" s="3275" t="s">
        <v>5596</v>
      </c>
      <c r="C423" s="598" t="s">
        <v>5597</v>
      </c>
      <c r="D423" s="2355" t="s">
        <v>4916</v>
      </c>
      <c r="E423" s="2355">
        <v>1</v>
      </c>
      <c r="F423" s="3257">
        <v>6200</v>
      </c>
      <c r="G423" s="3257">
        <f t="shared" si="13"/>
        <v>6200</v>
      </c>
      <c r="H423" s="2456"/>
    </row>
    <row r="424" spans="2:8" x14ac:dyDescent="0.25">
      <c r="B424" s="3275" t="s">
        <v>5598</v>
      </c>
      <c r="C424" s="598" t="s">
        <v>5599</v>
      </c>
      <c r="D424" s="2355" t="s">
        <v>4916</v>
      </c>
      <c r="E424" s="2355">
        <v>1</v>
      </c>
      <c r="F424" s="3257">
        <v>13900</v>
      </c>
      <c r="G424" s="3257">
        <f t="shared" si="13"/>
        <v>13900</v>
      </c>
      <c r="H424" s="2456"/>
    </row>
    <row r="425" spans="2:8" x14ac:dyDescent="0.25">
      <c r="B425" s="3275" t="s">
        <v>5600</v>
      </c>
      <c r="C425" s="598" t="s">
        <v>5601</v>
      </c>
      <c r="D425" s="2355" t="s">
        <v>4916</v>
      </c>
      <c r="E425" s="2355">
        <v>1</v>
      </c>
      <c r="F425" s="3257">
        <v>2150</v>
      </c>
      <c r="G425" s="3257">
        <f t="shared" si="13"/>
        <v>2150</v>
      </c>
      <c r="H425" s="2456"/>
    </row>
    <row r="426" spans="2:8" x14ac:dyDescent="0.25">
      <c r="B426" s="3275" t="s">
        <v>5602</v>
      </c>
      <c r="C426" s="598" t="s">
        <v>5603</v>
      </c>
      <c r="D426" s="2355" t="s">
        <v>4916</v>
      </c>
      <c r="E426" s="2355">
        <v>1</v>
      </c>
      <c r="F426" s="3257">
        <v>1800</v>
      </c>
      <c r="G426" s="3257">
        <f t="shared" si="13"/>
        <v>1800</v>
      </c>
      <c r="H426" s="2456"/>
    </row>
    <row r="427" spans="2:8" ht="14.25" thickBot="1" x14ac:dyDescent="0.3">
      <c r="B427" s="3278" t="s">
        <v>5604</v>
      </c>
      <c r="C427" s="2459" t="s">
        <v>5605</v>
      </c>
      <c r="D427" s="3279" t="s">
        <v>4916</v>
      </c>
      <c r="E427" s="3279">
        <v>1</v>
      </c>
      <c r="F427" s="3281">
        <v>8530</v>
      </c>
      <c r="G427" s="3281">
        <f t="shared" si="13"/>
        <v>8530</v>
      </c>
      <c r="H427" s="2460"/>
    </row>
    <row r="428" spans="2:8" ht="14.25" thickBot="1" x14ac:dyDescent="0.3">
      <c r="B428" s="2415"/>
      <c r="C428" s="598"/>
      <c r="D428" s="2355"/>
      <c r="E428" s="2355"/>
      <c r="F428" s="3257"/>
      <c r="G428" s="3257"/>
      <c r="H428" s="598"/>
    </row>
    <row r="429" spans="2:8" x14ac:dyDescent="0.25">
      <c r="B429" s="3310">
        <v>12</v>
      </c>
      <c r="C429" s="3311" t="s">
        <v>4939</v>
      </c>
      <c r="D429" s="3312"/>
      <c r="E429" s="3312"/>
      <c r="F429" s="3312"/>
      <c r="G429" s="3313"/>
      <c r="H429" s="3314">
        <f>G430</f>
        <v>373605</v>
      </c>
    </row>
    <row r="430" spans="2:8" x14ac:dyDescent="0.25">
      <c r="B430" s="3302">
        <v>12.1</v>
      </c>
      <c r="C430" s="3303" t="s">
        <v>4941</v>
      </c>
      <c r="D430" s="3304"/>
      <c r="E430" s="3304"/>
      <c r="F430" s="3306"/>
      <c r="G430" s="3257">
        <f>SUM(G431:G440)</f>
        <v>373605</v>
      </c>
      <c r="H430" s="3276"/>
    </row>
    <row r="431" spans="2:8" x14ac:dyDescent="0.25">
      <c r="B431" s="3275" t="s">
        <v>5606</v>
      </c>
      <c r="C431" s="598" t="s">
        <v>4943</v>
      </c>
      <c r="D431" s="2355" t="s">
        <v>3903</v>
      </c>
      <c r="E431" s="2483">
        <v>45</v>
      </c>
      <c r="F431" s="3257">
        <v>5240</v>
      </c>
      <c r="G431" s="3257">
        <v>235800</v>
      </c>
      <c r="H431" s="3276"/>
    </row>
    <row r="432" spans="2:8" x14ac:dyDescent="0.25">
      <c r="B432" s="3275" t="s">
        <v>5607</v>
      </c>
      <c r="C432" s="598" t="s">
        <v>4945</v>
      </c>
      <c r="D432" s="2355" t="s">
        <v>4916</v>
      </c>
      <c r="E432" s="2483">
        <v>1</v>
      </c>
      <c r="F432" s="3257">
        <v>4800</v>
      </c>
      <c r="G432" s="3257">
        <v>4800</v>
      </c>
      <c r="H432" s="3276"/>
    </row>
    <row r="433" spans="2:8" x14ac:dyDescent="0.25">
      <c r="B433" s="3275" t="s">
        <v>5608</v>
      </c>
      <c r="C433" s="598" t="s">
        <v>5609</v>
      </c>
      <c r="D433" s="2355" t="s">
        <v>4916</v>
      </c>
      <c r="E433" s="1813">
        <v>1</v>
      </c>
      <c r="F433" s="3257">
        <v>2200</v>
      </c>
      <c r="G433" s="3257">
        <v>2200</v>
      </c>
      <c r="H433" s="3276"/>
    </row>
    <row r="434" spans="2:8" x14ac:dyDescent="0.25">
      <c r="B434" s="3275" t="s">
        <v>5610</v>
      </c>
      <c r="C434" s="598" t="s">
        <v>4948</v>
      </c>
      <c r="D434" s="2355" t="s">
        <v>4916</v>
      </c>
      <c r="E434" s="1813">
        <v>17</v>
      </c>
      <c r="F434" s="3257">
        <v>410</v>
      </c>
      <c r="G434" s="3257">
        <v>6970</v>
      </c>
      <c r="H434" s="3276"/>
    </row>
    <row r="435" spans="2:8" x14ac:dyDescent="0.25">
      <c r="B435" s="3275" t="s">
        <v>5611</v>
      </c>
      <c r="C435" s="598" t="s">
        <v>4950</v>
      </c>
      <c r="D435" s="2355" t="s">
        <v>4916</v>
      </c>
      <c r="E435" s="1813">
        <v>2</v>
      </c>
      <c r="F435" s="3257">
        <v>22500</v>
      </c>
      <c r="G435" s="3257">
        <v>45000</v>
      </c>
      <c r="H435" s="3276"/>
    </row>
    <row r="436" spans="2:8" x14ac:dyDescent="0.25">
      <c r="B436" s="3275" t="s">
        <v>5612</v>
      </c>
      <c r="C436" s="598" t="s">
        <v>4951</v>
      </c>
      <c r="D436" s="2355" t="s">
        <v>4916</v>
      </c>
      <c r="E436" s="1813">
        <v>1</v>
      </c>
      <c r="F436" s="3257">
        <v>1320</v>
      </c>
      <c r="G436" s="3257">
        <v>1320</v>
      </c>
      <c r="H436" s="3276"/>
    </row>
    <row r="437" spans="2:8" x14ac:dyDescent="0.25">
      <c r="B437" s="3275" t="s">
        <v>5613</v>
      </c>
      <c r="C437" s="598" t="s">
        <v>4952</v>
      </c>
      <c r="D437" s="2355" t="s">
        <v>4916</v>
      </c>
      <c r="E437" s="1813">
        <v>1</v>
      </c>
      <c r="F437" s="3257">
        <v>5740</v>
      </c>
      <c r="G437" s="3257">
        <v>5740</v>
      </c>
      <c r="H437" s="3276"/>
    </row>
    <row r="438" spans="2:8" x14ac:dyDescent="0.25">
      <c r="B438" s="3275" t="s">
        <v>5614</v>
      </c>
      <c r="C438" s="598" t="s">
        <v>4953</v>
      </c>
      <c r="D438" s="2355" t="s">
        <v>4916</v>
      </c>
      <c r="E438" s="1813">
        <v>15</v>
      </c>
      <c r="F438" s="3257">
        <v>425</v>
      </c>
      <c r="G438" s="3257">
        <v>6375</v>
      </c>
      <c r="H438" s="3276"/>
    </row>
    <row r="439" spans="2:8" x14ac:dyDescent="0.25">
      <c r="B439" s="3275" t="s">
        <v>5615</v>
      </c>
      <c r="C439" s="598" t="s">
        <v>4954</v>
      </c>
      <c r="D439" s="2355" t="s">
        <v>4916</v>
      </c>
      <c r="E439" s="1813">
        <v>1</v>
      </c>
      <c r="F439" s="3257">
        <v>4500</v>
      </c>
      <c r="G439" s="3257">
        <v>4500</v>
      </c>
      <c r="H439" s="3276"/>
    </row>
    <row r="440" spans="2:8" x14ac:dyDescent="0.25">
      <c r="B440" s="3275" t="s">
        <v>5616</v>
      </c>
      <c r="C440" s="598" t="s">
        <v>4955</v>
      </c>
      <c r="D440" s="2355" t="s">
        <v>4916</v>
      </c>
      <c r="E440" s="1813">
        <v>29</v>
      </c>
      <c r="F440" s="3257">
        <v>2100</v>
      </c>
      <c r="G440" s="3257">
        <v>60900</v>
      </c>
      <c r="H440" s="3276"/>
    </row>
    <row r="441" spans="2:8" ht="14.25" thickBot="1" x14ac:dyDescent="0.3">
      <c r="B441" s="2415"/>
      <c r="C441" s="598"/>
      <c r="D441" s="2355"/>
      <c r="E441" s="2355"/>
      <c r="F441" s="3259"/>
      <c r="G441" s="3257"/>
      <c r="H441" s="3260"/>
    </row>
    <row r="442" spans="2:8" x14ac:dyDescent="0.25">
      <c r="B442" s="3310">
        <v>13</v>
      </c>
      <c r="C442" s="3311" t="s">
        <v>4956</v>
      </c>
      <c r="D442" s="3312"/>
      <c r="E442" s="3312"/>
      <c r="F442" s="3312"/>
      <c r="G442" s="3313"/>
      <c r="H442" s="3314">
        <f>G443</f>
        <v>83500</v>
      </c>
    </row>
    <row r="443" spans="2:8" x14ac:dyDescent="0.25">
      <c r="B443" s="3302">
        <v>13.1</v>
      </c>
      <c r="C443" s="3303" t="s">
        <v>4957</v>
      </c>
      <c r="D443" s="2355"/>
      <c r="E443" s="2355"/>
      <c r="F443" s="3259"/>
      <c r="G443" s="3305">
        <f>SUM(G444:G453)</f>
        <v>83500</v>
      </c>
      <c r="H443" s="3276"/>
    </row>
    <row r="444" spans="2:8" x14ac:dyDescent="0.25">
      <c r="B444" s="3275" t="s">
        <v>5617</v>
      </c>
      <c r="C444" s="598" t="s">
        <v>4959</v>
      </c>
      <c r="D444" s="2355" t="s">
        <v>4916</v>
      </c>
      <c r="E444" s="2488">
        <v>10</v>
      </c>
      <c r="F444" s="3257">
        <v>752</v>
      </c>
      <c r="G444" s="3257">
        <f t="shared" si="13"/>
        <v>7520</v>
      </c>
      <c r="H444" s="3276"/>
    </row>
    <row r="445" spans="2:8" x14ac:dyDescent="0.25">
      <c r="B445" s="3275" t="s">
        <v>5618</v>
      </c>
      <c r="C445" s="598" t="s">
        <v>4961</v>
      </c>
      <c r="D445" s="2355" t="s">
        <v>4916</v>
      </c>
      <c r="E445" s="2488">
        <v>17</v>
      </c>
      <c r="F445" s="3257">
        <v>652</v>
      </c>
      <c r="G445" s="3257">
        <f t="shared" si="13"/>
        <v>11084</v>
      </c>
      <c r="H445" s="3276"/>
    </row>
    <row r="446" spans="2:8" x14ac:dyDescent="0.25">
      <c r="B446" s="3275" t="s">
        <v>5619</v>
      </c>
      <c r="C446" s="598" t="s">
        <v>4963</v>
      </c>
      <c r="D446" s="2355" t="s">
        <v>4916</v>
      </c>
      <c r="E446" s="2488">
        <v>13</v>
      </c>
      <c r="F446" s="3257">
        <v>2530</v>
      </c>
      <c r="G446" s="3257">
        <f t="shared" si="13"/>
        <v>32890</v>
      </c>
      <c r="H446" s="3276"/>
    </row>
    <row r="447" spans="2:8" x14ac:dyDescent="0.25">
      <c r="B447" s="3275" t="s">
        <v>5620</v>
      </c>
      <c r="C447" s="598" t="s">
        <v>4964</v>
      </c>
      <c r="D447" s="2355" t="s">
        <v>4916</v>
      </c>
      <c r="E447" s="2355">
        <v>4</v>
      </c>
      <c r="F447" s="3257">
        <v>1800</v>
      </c>
      <c r="G447" s="3257">
        <f t="shared" si="13"/>
        <v>7200</v>
      </c>
      <c r="H447" s="3276"/>
    </row>
    <row r="448" spans="2:8" x14ac:dyDescent="0.25">
      <c r="B448" s="3275" t="s">
        <v>5621</v>
      </c>
      <c r="C448" s="598" t="s">
        <v>4965</v>
      </c>
      <c r="D448" s="2355" t="s">
        <v>4916</v>
      </c>
      <c r="E448" s="2355">
        <v>1</v>
      </c>
      <c r="F448" s="3257">
        <v>2800</v>
      </c>
      <c r="G448" s="3257">
        <f t="shared" si="13"/>
        <v>2800</v>
      </c>
      <c r="H448" s="3276"/>
    </row>
    <row r="449" spans="2:8" x14ac:dyDescent="0.25">
      <c r="B449" s="3275" t="s">
        <v>5622</v>
      </c>
      <c r="C449" s="598" t="s">
        <v>4966</v>
      </c>
      <c r="D449" s="2355" t="s">
        <v>4916</v>
      </c>
      <c r="E449" s="2355">
        <v>1</v>
      </c>
      <c r="F449" s="3257">
        <v>8700</v>
      </c>
      <c r="G449" s="3257">
        <f t="shared" si="13"/>
        <v>8700</v>
      </c>
      <c r="H449" s="3276"/>
    </row>
    <row r="450" spans="2:8" x14ac:dyDescent="0.25">
      <c r="B450" s="3275" t="s">
        <v>5623</v>
      </c>
      <c r="C450" s="598" t="s">
        <v>4967</v>
      </c>
      <c r="D450" s="2355" t="s">
        <v>4916</v>
      </c>
      <c r="E450" s="2355">
        <v>1</v>
      </c>
      <c r="F450" s="3257">
        <v>7400</v>
      </c>
      <c r="G450" s="3257">
        <f t="shared" si="13"/>
        <v>7400</v>
      </c>
      <c r="H450" s="3276"/>
    </row>
    <row r="451" spans="2:8" x14ac:dyDescent="0.25">
      <c r="B451" s="3275" t="s">
        <v>5624</v>
      </c>
      <c r="C451" s="598" t="s">
        <v>4968</v>
      </c>
      <c r="D451" s="2355" t="s">
        <v>4916</v>
      </c>
      <c r="E451" s="2355">
        <v>1</v>
      </c>
      <c r="F451" s="3257">
        <v>2196</v>
      </c>
      <c r="G451" s="3257">
        <f t="shared" si="13"/>
        <v>2196</v>
      </c>
      <c r="H451" s="3276"/>
    </row>
    <row r="452" spans="2:8" x14ac:dyDescent="0.25">
      <c r="B452" s="3275" t="s">
        <v>5625</v>
      </c>
      <c r="C452" s="598" t="s">
        <v>4969</v>
      </c>
      <c r="D452" s="2355" t="s">
        <v>4916</v>
      </c>
      <c r="E452" s="2355">
        <v>1</v>
      </c>
      <c r="F452" s="3257">
        <v>3500</v>
      </c>
      <c r="G452" s="3257">
        <f t="shared" si="13"/>
        <v>3500</v>
      </c>
      <c r="H452" s="3276"/>
    </row>
    <row r="453" spans="2:8" ht="14.25" thickBot="1" x14ac:dyDescent="0.3">
      <c r="B453" s="3278" t="s">
        <v>5626</v>
      </c>
      <c r="C453" s="2459" t="s">
        <v>4970</v>
      </c>
      <c r="D453" s="3279" t="s">
        <v>4916</v>
      </c>
      <c r="E453" s="3279">
        <v>1</v>
      </c>
      <c r="F453" s="3281">
        <v>210</v>
      </c>
      <c r="G453" s="3281">
        <f t="shared" si="13"/>
        <v>210</v>
      </c>
      <c r="H453" s="3282"/>
    </row>
    <row r="454" spans="2:8" ht="14.25" thickBot="1" x14ac:dyDescent="0.3">
      <c r="B454" s="2415"/>
      <c r="C454" s="598"/>
      <c r="D454" s="2355"/>
      <c r="E454" s="2355"/>
      <c r="F454" s="3257"/>
      <c r="G454" s="3257"/>
      <c r="H454" s="3260"/>
    </row>
    <row r="455" spans="2:8" x14ac:dyDescent="0.25">
      <c r="B455" s="3310">
        <v>14</v>
      </c>
      <c r="C455" s="3311" t="s">
        <v>5627</v>
      </c>
      <c r="D455" s="3312"/>
      <c r="E455" s="3312" t="s">
        <v>1426</v>
      </c>
      <c r="F455" s="3312"/>
      <c r="G455" s="3313"/>
      <c r="H455" s="3314">
        <f>G456</f>
        <v>26964</v>
      </c>
    </row>
    <row r="456" spans="2:8" x14ac:dyDescent="0.25">
      <c r="B456" s="3302">
        <v>14.1</v>
      </c>
      <c r="C456" s="3303" t="s">
        <v>5628</v>
      </c>
      <c r="D456" s="3304"/>
      <c r="E456" s="2355" t="s">
        <v>1426</v>
      </c>
      <c r="F456" s="3259"/>
      <c r="G456" s="3305">
        <f>SUM(G457)</f>
        <v>26964</v>
      </c>
      <c r="H456" s="3276"/>
    </row>
    <row r="457" spans="2:8" ht="14.25" thickBot="1" x14ac:dyDescent="0.3">
      <c r="B457" s="3278" t="s">
        <v>5629</v>
      </c>
      <c r="C457" s="2459" t="s">
        <v>5630</v>
      </c>
      <c r="D457" s="3279" t="s">
        <v>4916</v>
      </c>
      <c r="E457" s="3279">
        <v>2</v>
      </c>
      <c r="F457" s="3281">
        <v>13482</v>
      </c>
      <c r="G457" s="3281">
        <f t="shared" si="13"/>
        <v>26964</v>
      </c>
      <c r="H457" s="3282"/>
    </row>
    <row r="458" spans="2:8" ht="14.25" thickBot="1" x14ac:dyDescent="0.3">
      <c r="B458" s="598"/>
      <c r="C458" s="598"/>
      <c r="D458" s="598"/>
      <c r="E458" s="598">
        <f>SUM(E331:E457)</f>
        <v>1781.5</v>
      </c>
      <c r="F458" s="598"/>
      <c r="G458" s="598"/>
      <c r="H458" s="598"/>
    </row>
    <row r="459" spans="2:8" ht="14.25" thickBot="1" x14ac:dyDescent="0.3">
      <c r="B459" s="598"/>
      <c r="C459" s="3263"/>
      <c r="D459" s="4979" t="s">
        <v>4141</v>
      </c>
      <c r="E459" s="4980"/>
      <c r="F459" s="4980"/>
      <c r="G459" s="4980"/>
      <c r="H459" s="3293">
        <f>SUM(H330:H458)</f>
        <v>998766.36</v>
      </c>
    </row>
    <row r="460" spans="2:8" ht="14.25" thickBot="1" x14ac:dyDescent="0.3"/>
    <row r="461" spans="2:8" x14ac:dyDescent="0.25">
      <c r="B461" s="3298">
        <v>1</v>
      </c>
      <c r="C461" s="3299" t="s">
        <v>5631</v>
      </c>
      <c r="D461" s="2453"/>
      <c r="E461" s="2453"/>
      <c r="F461" s="4967">
        <v>28206.86</v>
      </c>
      <c r="G461" s="4967"/>
      <c r="H461" s="2454"/>
    </row>
    <row r="462" spans="2:8" ht="14.25" thickBot="1" x14ac:dyDescent="0.3">
      <c r="B462" s="3290">
        <v>2</v>
      </c>
      <c r="C462" s="3300" t="s">
        <v>5481</v>
      </c>
      <c r="D462" s="2459"/>
      <c r="E462" s="2459"/>
      <c r="F462" s="4968">
        <f>H459</f>
        <v>998766.36</v>
      </c>
      <c r="G462" s="4968"/>
      <c r="H462" s="2460"/>
    </row>
    <row r="463" spans="2:8" ht="14.25" thickBot="1" x14ac:dyDescent="0.3">
      <c r="B463" s="691"/>
      <c r="C463" s="691"/>
      <c r="D463" s="691"/>
      <c r="E463" s="691"/>
      <c r="F463" s="3301"/>
      <c r="G463" s="3301"/>
      <c r="H463" s="691"/>
    </row>
    <row r="464" spans="2:8" ht="14.25" thickBot="1" x14ac:dyDescent="0.3">
      <c r="B464" s="3294"/>
      <c r="C464" s="3295" t="s">
        <v>5632</v>
      </c>
      <c r="D464" s="3296"/>
      <c r="E464" s="3296"/>
      <c r="F464" s="4969">
        <f>SUM(F461:G462)</f>
        <v>1026973.22</v>
      </c>
      <c r="G464" s="4969"/>
      <c r="H464" s="3297"/>
    </row>
    <row r="467" spans="3:8" x14ac:dyDescent="0.25">
      <c r="C467" s="997" t="s">
        <v>4971</v>
      </c>
      <c r="D467" s="1125"/>
      <c r="E467" s="2810">
        <f>F315</f>
        <v>1786</v>
      </c>
      <c r="H467" s="3319">
        <f>H315</f>
        <v>7545056.0700000003</v>
      </c>
    </row>
    <row r="468" spans="3:8" x14ac:dyDescent="0.25">
      <c r="C468" s="997" t="s">
        <v>4972</v>
      </c>
      <c r="D468" s="1125"/>
      <c r="E468" s="2810">
        <f>E458</f>
        <v>1781.5</v>
      </c>
      <c r="H468" s="3319">
        <f>F464</f>
        <v>1026973.22</v>
      </c>
    </row>
    <row r="469" spans="3:8" x14ac:dyDescent="0.25">
      <c r="C469" s="2502" t="s">
        <v>150</v>
      </c>
      <c r="D469" s="1136"/>
      <c r="E469" s="3317">
        <f>SUM(E467:E468)</f>
        <v>3567.5</v>
      </c>
      <c r="F469" s="3318"/>
      <c r="H469" s="3320">
        <f>SUM(H467:H468)</f>
        <v>8572029.290000001</v>
      </c>
    </row>
  </sheetData>
  <mergeCells count="14">
    <mergeCell ref="B3:H3"/>
    <mergeCell ref="L3:R3"/>
    <mergeCell ref="B5:H5"/>
    <mergeCell ref="L28:Q28"/>
    <mergeCell ref="B315:C315"/>
    <mergeCell ref="F461:G461"/>
    <mergeCell ref="F462:G462"/>
    <mergeCell ref="F464:G464"/>
    <mergeCell ref="C320:H320"/>
    <mergeCell ref="B318:H318"/>
    <mergeCell ref="B327:B328"/>
    <mergeCell ref="C327:C328"/>
    <mergeCell ref="D327:E327"/>
    <mergeCell ref="D459:G459"/>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FFFF00"/>
  </sheetPr>
  <dimension ref="A1:M57"/>
  <sheetViews>
    <sheetView topLeftCell="A19" zoomScale="70" zoomScaleNormal="70" workbookViewId="0">
      <selection activeCell="T10" sqref="T10"/>
    </sheetView>
  </sheetViews>
  <sheetFormatPr baseColWidth="10" defaultColWidth="11.42578125" defaultRowHeight="31.5" customHeight="1" x14ac:dyDescent="0.25"/>
  <cols>
    <col min="1" max="1" width="11.42578125" style="598"/>
    <col min="2" max="2" width="6.140625" style="691" customWidth="1"/>
    <col min="3" max="4" width="25.28515625" style="691" customWidth="1"/>
    <col min="5" max="5" width="27.7109375" style="1770" customWidth="1"/>
    <col min="6" max="6" width="17.140625" style="1751" customWidth="1"/>
    <col min="7" max="7" width="15.5703125" style="695" customWidth="1"/>
    <col min="8" max="8" width="9.42578125" style="695" customWidth="1"/>
    <col min="9" max="9" width="11.85546875" style="695" customWidth="1"/>
    <col min="10" max="10" width="11.85546875" style="2448" customWidth="1"/>
    <col min="11" max="11" width="14.28515625" style="691" customWidth="1"/>
    <col min="12" max="12" width="16.42578125" style="691" customWidth="1"/>
    <col min="13" max="13" width="12.5703125" style="691" customWidth="1"/>
    <col min="14" max="14" width="11.42578125" style="691"/>
    <col min="15" max="15" width="8.5703125" style="691" customWidth="1"/>
    <col min="16" max="16384" width="11.42578125" style="691"/>
  </cols>
  <sheetData>
    <row r="1" spans="1:13" ht="13.5" x14ac:dyDescent="0.25">
      <c r="A1" s="2355"/>
    </row>
    <row r="2" spans="1:13" s="1751" customFormat="1" ht="14.25" thickBot="1" x14ac:dyDescent="0.3">
      <c r="A2" s="2355"/>
      <c r="B2" s="4767" t="s">
        <v>5000</v>
      </c>
      <c r="C2" s="4767"/>
      <c r="D2" s="4767"/>
      <c r="E2" s="4767"/>
      <c r="F2" s="4767"/>
      <c r="G2" s="4767"/>
      <c r="H2" s="4767"/>
      <c r="I2" s="4767"/>
      <c r="J2" s="4767"/>
      <c r="K2" s="4767"/>
      <c r="L2" s="4767"/>
      <c r="M2" s="4767"/>
    </row>
    <row r="3" spans="1:13" ht="54.75" thickBot="1" x14ac:dyDescent="0.3">
      <c r="B3" s="1035" t="s">
        <v>3723</v>
      </c>
      <c r="C3" s="2479" t="s">
        <v>4975</v>
      </c>
      <c r="D3" s="2479" t="s">
        <v>4976</v>
      </c>
      <c r="E3" s="2479" t="s">
        <v>4977</v>
      </c>
      <c r="F3" s="2479" t="s">
        <v>4978</v>
      </c>
      <c r="G3" s="2479" t="s">
        <v>4979</v>
      </c>
      <c r="H3" s="2479" t="s">
        <v>4980</v>
      </c>
      <c r="I3" s="2479" t="s">
        <v>4981</v>
      </c>
      <c r="J3" s="2479" t="s">
        <v>4982</v>
      </c>
      <c r="K3" s="2479" t="s">
        <v>4983</v>
      </c>
      <c r="L3" s="2479" t="s">
        <v>4984</v>
      </c>
      <c r="M3" s="1036" t="s">
        <v>4985</v>
      </c>
    </row>
    <row r="4" spans="1:13" ht="27.75" thickBot="1" x14ac:dyDescent="0.3">
      <c r="A4" s="2849"/>
      <c r="B4" s="2649">
        <v>1</v>
      </c>
      <c r="C4" s="1757" t="s">
        <v>294</v>
      </c>
      <c r="D4" s="1758" t="s">
        <v>5642</v>
      </c>
      <c r="E4" s="2856" t="s">
        <v>5643</v>
      </c>
      <c r="F4" s="1569" t="s">
        <v>4569</v>
      </c>
      <c r="G4" s="1150" t="s">
        <v>5644</v>
      </c>
      <c r="H4" s="2857" t="s">
        <v>5645</v>
      </c>
      <c r="I4" s="2857" t="s">
        <v>5646</v>
      </c>
      <c r="J4" s="2857" t="s">
        <v>5647</v>
      </c>
      <c r="K4" s="2852">
        <v>4950</v>
      </c>
      <c r="L4" s="2852">
        <v>346.50000000000006</v>
      </c>
      <c r="M4" s="2649">
        <v>1</v>
      </c>
    </row>
    <row r="5" spans="1:13" ht="14.25" thickBot="1" x14ac:dyDescent="0.3">
      <c r="A5" s="2849"/>
      <c r="B5" s="2649">
        <v>2</v>
      </c>
      <c r="C5" s="1757" t="s">
        <v>294</v>
      </c>
      <c r="D5" s="1758" t="s">
        <v>5642</v>
      </c>
      <c r="E5" s="2856" t="s">
        <v>5648</v>
      </c>
      <c r="F5" s="1569" t="s">
        <v>4056</v>
      </c>
      <c r="G5" s="1150" t="s">
        <v>5649</v>
      </c>
      <c r="H5" s="2857" t="s">
        <v>4989</v>
      </c>
      <c r="I5" s="2857" t="s">
        <v>5650</v>
      </c>
      <c r="J5" s="2857" t="s">
        <v>5651</v>
      </c>
      <c r="K5" s="2852">
        <v>880</v>
      </c>
      <c r="L5" s="2852">
        <v>79.2</v>
      </c>
      <c r="M5" s="2649">
        <v>1</v>
      </c>
    </row>
    <row r="6" spans="1:13" ht="54.75" thickBot="1" x14ac:dyDescent="0.3">
      <c r="A6" s="2849"/>
      <c r="B6" s="2649">
        <v>3</v>
      </c>
      <c r="C6" s="1757" t="s">
        <v>294</v>
      </c>
      <c r="D6" s="1758" t="s">
        <v>5642</v>
      </c>
      <c r="E6" s="2856" t="s">
        <v>5652</v>
      </c>
      <c r="F6" s="1569" t="s">
        <v>4683</v>
      </c>
      <c r="G6" s="1150" t="s">
        <v>5653</v>
      </c>
      <c r="H6" s="2857" t="s">
        <v>5654</v>
      </c>
      <c r="I6" s="2857" t="s">
        <v>5650</v>
      </c>
      <c r="J6" s="2857" t="s">
        <v>5655</v>
      </c>
      <c r="K6" s="2852">
        <v>160</v>
      </c>
      <c r="L6" s="2852">
        <v>3.2</v>
      </c>
      <c r="M6" s="2649">
        <v>1</v>
      </c>
    </row>
    <row r="7" spans="1:13" ht="41.25" thickBot="1" x14ac:dyDescent="0.3">
      <c r="A7" s="2849"/>
      <c r="B7" s="2649">
        <v>4</v>
      </c>
      <c r="C7" s="1757" t="s">
        <v>294</v>
      </c>
      <c r="D7" s="1758" t="s">
        <v>5642</v>
      </c>
      <c r="E7" s="2856" t="s">
        <v>5656</v>
      </c>
      <c r="F7" s="1569" t="s">
        <v>4683</v>
      </c>
      <c r="G7" s="1150" t="s">
        <v>5657</v>
      </c>
      <c r="H7" s="2857" t="s">
        <v>5658</v>
      </c>
      <c r="I7" s="2857" t="s">
        <v>5650</v>
      </c>
      <c r="J7" s="2857" t="s">
        <v>5659</v>
      </c>
      <c r="K7" s="2852">
        <v>278</v>
      </c>
      <c r="L7" s="2852">
        <v>5.5600000000000005</v>
      </c>
      <c r="M7" s="2649">
        <v>1</v>
      </c>
    </row>
    <row r="8" spans="1:13" ht="54.75" thickBot="1" x14ac:dyDescent="0.3">
      <c r="A8" s="2849"/>
      <c r="B8" s="2649">
        <v>5</v>
      </c>
      <c r="C8" s="1757" t="s">
        <v>294</v>
      </c>
      <c r="D8" s="1758" t="s">
        <v>5642</v>
      </c>
      <c r="E8" s="2856" t="s">
        <v>5660</v>
      </c>
      <c r="F8" s="1569" t="s">
        <v>4683</v>
      </c>
      <c r="G8" s="1150" t="s">
        <v>5653</v>
      </c>
      <c r="H8" s="2857" t="s">
        <v>5661</v>
      </c>
      <c r="I8" s="1560" t="s">
        <v>5650</v>
      </c>
      <c r="J8" s="2857" t="s">
        <v>5662</v>
      </c>
      <c r="K8" s="2852">
        <v>140</v>
      </c>
      <c r="L8" s="2852">
        <v>2.8000000000000003</v>
      </c>
      <c r="M8" s="2649">
        <v>1</v>
      </c>
    </row>
    <row r="9" spans="1:13" ht="54.75" thickBot="1" x14ac:dyDescent="0.3">
      <c r="A9" s="2849"/>
      <c r="B9" s="2649">
        <v>6</v>
      </c>
      <c r="C9" s="1757" t="s">
        <v>294</v>
      </c>
      <c r="D9" s="1758" t="s">
        <v>5663</v>
      </c>
      <c r="E9" s="2856" t="s">
        <v>5664</v>
      </c>
      <c r="F9" s="1569" t="s">
        <v>4623</v>
      </c>
      <c r="G9" s="1150" t="s">
        <v>5665</v>
      </c>
      <c r="H9" s="2857" t="s">
        <v>5666</v>
      </c>
      <c r="I9" s="2857" t="s">
        <v>5667</v>
      </c>
      <c r="J9" s="2857" t="s">
        <v>5668</v>
      </c>
      <c r="K9" s="2852">
        <v>122.5</v>
      </c>
      <c r="L9" s="2852">
        <v>8.5750000000000011</v>
      </c>
      <c r="M9" s="2649">
        <v>1</v>
      </c>
    </row>
    <row r="10" spans="1:13" ht="27.75" thickBot="1" x14ac:dyDescent="0.3">
      <c r="A10" s="2849"/>
      <c r="B10" s="2649">
        <v>7</v>
      </c>
      <c r="C10" s="1757" t="s">
        <v>3335</v>
      </c>
      <c r="D10" s="1758" t="s">
        <v>3335</v>
      </c>
      <c r="E10" s="1758" t="s">
        <v>5669</v>
      </c>
      <c r="F10" s="1569" t="s">
        <v>4569</v>
      </c>
      <c r="G10" s="1150" t="s">
        <v>5670</v>
      </c>
      <c r="H10" s="2857" t="s">
        <v>5671</v>
      </c>
      <c r="I10" s="2857" t="s">
        <v>5672</v>
      </c>
      <c r="J10" s="1150" t="s">
        <v>5673</v>
      </c>
      <c r="K10" s="2852">
        <v>2071</v>
      </c>
      <c r="L10" s="2852">
        <v>144.97000000000003</v>
      </c>
      <c r="M10" s="2649">
        <v>1</v>
      </c>
    </row>
    <row r="11" spans="1:13" ht="27.75" thickBot="1" x14ac:dyDescent="0.3">
      <c r="A11" s="2849"/>
      <c r="B11" s="2649">
        <v>8</v>
      </c>
      <c r="C11" s="1757" t="s">
        <v>294</v>
      </c>
      <c r="D11" s="1758" t="s">
        <v>4991</v>
      </c>
      <c r="E11" s="2856" t="s">
        <v>4993</v>
      </c>
      <c r="F11" s="1569" t="s">
        <v>4683</v>
      </c>
      <c r="G11" s="1150" t="s">
        <v>4988</v>
      </c>
      <c r="H11" s="2857" t="s">
        <v>4989</v>
      </c>
      <c r="I11" s="2857" t="s">
        <v>5650</v>
      </c>
      <c r="J11" s="2857" t="s">
        <v>5674</v>
      </c>
      <c r="K11" s="2852">
        <v>370</v>
      </c>
      <c r="L11" s="2852">
        <v>7.4</v>
      </c>
      <c r="M11" s="2649">
        <v>1</v>
      </c>
    </row>
    <row r="12" spans="1:13" ht="27.75" thickBot="1" x14ac:dyDescent="0.3">
      <c r="A12" s="2849"/>
      <c r="B12" s="2649">
        <v>9</v>
      </c>
      <c r="C12" s="1757" t="s">
        <v>294</v>
      </c>
      <c r="D12" s="1758" t="s">
        <v>4991</v>
      </c>
      <c r="E12" s="2856" t="s">
        <v>4993</v>
      </c>
      <c r="F12" s="1569" t="s">
        <v>4683</v>
      </c>
      <c r="G12" s="1150" t="s">
        <v>4988</v>
      </c>
      <c r="H12" s="2857" t="s">
        <v>4989</v>
      </c>
      <c r="I12" s="2857" t="s">
        <v>5650</v>
      </c>
      <c r="J12" s="2857" t="s">
        <v>5675</v>
      </c>
      <c r="K12" s="2852">
        <v>370</v>
      </c>
      <c r="L12" s="2852">
        <v>7.4</v>
      </c>
      <c r="M12" s="2649">
        <v>1</v>
      </c>
    </row>
    <row r="13" spans="1:13" ht="27.75" thickBot="1" x14ac:dyDescent="0.3">
      <c r="A13" s="2849"/>
      <c r="B13" s="2649">
        <v>10</v>
      </c>
      <c r="C13" s="1757" t="s">
        <v>294</v>
      </c>
      <c r="D13" s="1758" t="s">
        <v>5676</v>
      </c>
      <c r="E13" s="2856" t="s">
        <v>5677</v>
      </c>
      <c r="F13" s="1569" t="s">
        <v>4444</v>
      </c>
      <c r="G13" s="1150" t="s">
        <v>4988</v>
      </c>
      <c r="H13" s="2857" t="s">
        <v>4989</v>
      </c>
      <c r="I13" s="2857" t="s">
        <v>4987</v>
      </c>
      <c r="J13" s="2857" t="s">
        <v>5678</v>
      </c>
      <c r="K13" s="2852">
        <v>90</v>
      </c>
      <c r="L13" s="2852">
        <v>4.5</v>
      </c>
      <c r="M13" s="2649">
        <v>1</v>
      </c>
    </row>
    <row r="14" spans="1:13" ht="54.75" thickBot="1" x14ac:dyDescent="0.3">
      <c r="A14" s="2849"/>
      <c r="B14" s="2649">
        <v>11</v>
      </c>
      <c r="C14" s="1757" t="s">
        <v>294</v>
      </c>
      <c r="D14" s="1758" t="s">
        <v>5676</v>
      </c>
      <c r="E14" s="2856" t="s">
        <v>5679</v>
      </c>
      <c r="F14" s="1569" t="s">
        <v>4762</v>
      </c>
      <c r="G14" s="1150" t="s">
        <v>5680</v>
      </c>
      <c r="H14" s="2857" t="s">
        <v>5679</v>
      </c>
      <c r="I14" s="1560" t="s">
        <v>5650</v>
      </c>
      <c r="J14" s="2857" t="s">
        <v>5681</v>
      </c>
      <c r="K14" s="2852">
        <v>180</v>
      </c>
      <c r="L14" s="2852">
        <v>3.6</v>
      </c>
      <c r="M14" s="2649">
        <v>1</v>
      </c>
    </row>
    <row r="15" spans="1:13" ht="27.75" thickBot="1" x14ac:dyDescent="0.3">
      <c r="A15" s="2849"/>
      <c r="B15" s="2649">
        <v>12</v>
      </c>
      <c r="C15" s="1757" t="s">
        <v>5682</v>
      </c>
      <c r="D15" s="1758" t="s">
        <v>5683</v>
      </c>
      <c r="E15" s="2856" t="s">
        <v>5684</v>
      </c>
      <c r="F15" s="1569" t="s">
        <v>4569</v>
      </c>
      <c r="G15" s="1150" t="s">
        <v>4986</v>
      </c>
      <c r="H15" s="2857" t="s">
        <v>5685</v>
      </c>
      <c r="I15" s="2857" t="s">
        <v>5686</v>
      </c>
      <c r="J15" s="2857" t="s">
        <v>5687</v>
      </c>
      <c r="K15" s="2852">
        <v>176.5</v>
      </c>
      <c r="L15" s="2852">
        <v>12.355</v>
      </c>
      <c r="M15" s="2649">
        <v>1</v>
      </c>
    </row>
    <row r="16" spans="1:13" ht="27.75" thickBot="1" x14ac:dyDescent="0.3">
      <c r="A16" s="2849"/>
      <c r="B16" s="2649">
        <v>13</v>
      </c>
      <c r="C16" s="1757" t="s">
        <v>294</v>
      </c>
      <c r="D16" s="1758" t="s">
        <v>4990</v>
      </c>
      <c r="E16" s="2856" t="s">
        <v>5684</v>
      </c>
      <c r="F16" s="1569" t="s">
        <v>4569</v>
      </c>
      <c r="G16" s="1150" t="s">
        <v>5688</v>
      </c>
      <c r="H16" s="2857" t="s">
        <v>5689</v>
      </c>
      <c r="I16" s="2857" t="s">
        <v>5650</v>
      </c>
      <c r="J16" s="2857" t="s">
        <v>5690</v>
      </c>
      <c r="K16" s="2852">
        <v>450</v>
      </c>
      <c r="L16" s="2852">
        <v>31.500000000000004</v>
      </c>
      <c r="M16" s="2649">
        <v>1</v>
      </c>
    </row>
    <row r="17" spans="1:13" ht="27.75" thickBot="1" x14ac:dyDescent="0.3">
      <c r="A17" s="2849"/>
      <c r="B17" s="2649">
        <v>14</v>
      </c>
      <c r="C17" s="1757" t="s">
        <v>294</v>
      </c>
      <c r="D17" s="1758" t="s">
        <v>4990</v>
      </c>
      <c r="E17" s="2856" t="s">
        <v>5691</v>
      </c>
      <c r="F17" s="1569" t="s">
        <v>4056</v>
      </c>
      <c r="G17" s="1150" t="s">
        <v>5692</v>
      </c>
      <c r="H17" s="2857" t="s">
        <v>5693</v>
      </c>
      <c r="I17" s="2857" t="s">
        <v>5694</v>
      </c>
      <c r="J17" s="2857" t="s">
        <v>5695</v>
      </c>
      <c r="K17" s="2852">
        <v>18480</v>
      </c>
      <c r="L17" s="2852">
        <v>1663.2</v>
      </c>
      <c r="M17" s="2649">
        <v>1</v>
      </c>
    </row>
    <row r="18" spans="1:13" ht="27.75" thickBot="1" x14ac:dyDescent="0.3">
      <c r="A18" s="2849"/>
      <c r="B18" s="2649">
        <v>15</v>
      </c>
      <c r="C18" s="1757" t="s">
        <v>294</v>
      </c>
      <c r="D18" s="1758" t="s">
        <v>4990</v>
      </c>
      <c r="E18" s="2856" t="s">
        <v>5696</v>
      </c>
      <c r="F18" s="1569" t="s">
        <v>4623</v>
      </c>
      <c r="G18" s="1150" t="s">
        <v>5697</v>
      </c>
      <c r="H18" s="2857" t="s">
        <v>5698</v>
      </c>
      <c r="I18" s="2857" t="s">
        <v>5699</v>
      </c>
      <c r="J18" s="2857" t="s">
        <v>5700</v>
      </c>
      <c r="K18" s="2852">
        <v>1800</v>
      </c>
      <c r="L18" s="2852">
        <v>126.00000000000001</v>
      </c>
      <c r="M18" s="2649">
        <v>1</v>
      </c>
    </row>
    <row r="19" spans="1:13" ht="68.25" thickBot="1" x14ac:dyDescent="0.3">
      <c r="A19" s="2849"/>
      <c r="B19" s="2649">
        <v>16</v>
      </c>
      <c r="C19" s="1757" t="s">
        <v>294</v>
      </c>
      <c r="D19" s="1758" t="s">
        <v>4990</v>
      </c>
      <c r="E19" s="2856" t="s">
        <v>5701</v>
      </c>
      <c r="F19" s="1569" t="s">
        <v>4762</v>
      </c>
      <c r="G19" s="1150" t="s">
        <v>4988</v>
      </c>
      <c r="H19" s="2857" t="s">
        <v>5701</v>
      </c>
      <c r="I19" s="2857" t="s">
        <v>5650</v>
      </c>
      <c r="J19" s="2857" t="s">
        <v>5702</v>
      </c>
      <c r="K19" s="2852">
        <v>700</v>
      </c>
      <c r="L19" s="2852">
        <v>14</v>
      </c>
      <c r="M19" s="2649">
        <v>1</v>
      </c>
    </row>
    <row r="20" spans="1:13" ht="27.75" thickBot="1" x14ac:dyDescent="0.3">
      <c r="A20" s="2849"/>
      <c r="B20" s="2649">
        <v>17</v>
      </c>
      <c r="C20" s="1757" t="s">
        <v>294</v>
      </c>
      <c r="D20" s="1758" t="s">
        <v>4990</v>
      </c>
      <c r="E20" s="2856" t="s">
        <v>5703</v>
      </c>
      <c r="F20" s="1569" t="s">
        <v>4762</v>
      </c>
      <c r="G20" s="1150" t="s">
        <v>5680</v>
      </c>
      <c r="H20" s="2857" t="s">
        <v>4989</v>
      </c>
      <c r="I20" s="2857" t="s">
        <v>5650</v>
      </c>
      <c r="J20" s="2857" t="s">
        <v>5704</v>
      </c>
      <c r="K20" s="2852">
        <v>547.6</v>
      </c>
      <c r="L20" s="2852">
        <v>10.952</v>
      </c>
      <c r="M20" s="2649">
        <v>1</v>
      </c>
    </row>
    <row r="21" spans="1:13" ht="27.75" thickBot="1" x14ac:dyDescent="0.3">
      <c r="A21" s="2849"/>
      <c r="B21" s="2649">
        <v>18</v>
      </c>
      <c r="C21" s="1757" t="s">
        <v>3229</v>
      </c>
      <c r="D21" s="1758" t="s">
        <v>5705</v>
      </c>
      <c r="E21" s="2856" t="s">
        <v>3805</v>
      </c>
      <c r="F21" s="1569" t="s">
        <v>4444</v>
      </c>
      <c r="G21" s="1150" t="s">
        <v>5706</v>
      </c>
      <c r="H21" s="2857" t="s">
        <v>5707</v>
      </c>
      <c r="I21" s="2857" t="s">
        <v>5708</v>
      </c>
      <c r="J21" s="2857" t="s">
        <v>5709</v>
      </c>
      <c r="K21" s="2852">
        <v>590</v>
      </c>
      <c r="L21" s="2852">
        <v>29.5</v>
      </c>
      <c r="M21" s="2649">
        <v>1</v>
      </c>
    </row>
    <row r="22" spans="1:13" ht="27.75" thickBot="1" x14ac:dyDescent="0.3">
      <c r="A22" s="2849"/>
      <c r="B22" s="2649">
        <v>19</v>
      </c>
      <c r="C22" s="1757" t="s">
        <v>3229</v>
      </c>
      <c r="D22" s="1758" t="s">
        <v>5705</v>
      </c>
      <c r="E22" s="2856" t="s">
        <v>3806</v>
      </c>
      <c r="F22" s="1569" t="s">
        <v>3056</v>
      </c>
      <c r="G22" s="1150" t="s">
        <v>5710</v>
      </c>
      <c r="H22" s="2857" t="s">
        <v>5711</v>
      </c>
      <c r="I22" s="2857" t="s">
        <v>5712</v>
      </c>
      <c r="J22" s="2857" t="s">
        <v>5713</v>
      </c>
      <c r="K22" s="2852">
        <v>185290.5</v>
      </c>
      <c r="L22" s="2852">
        <v>11117.43</v>
      </c>
      <c r="M22" s="2649">
        <v>1</v>
      </c>
    </row>
    <row r="23" spans="1:13" ht="27.75" thickBot="1" x14ac:dyDescent="0.3">
      <c r="A23" s="2849"/>
      <c r="B23" s="2649">
        <v>20</v>
      </c>
      <c r="C23" s="1757" t="s">
        <v>294</v>
      </c>
      <c r="D23" s="1758" t="s">
        <v>42</v>
      </c>
      <c r="E23" s="2856" t="s">
        <v>5714</v>
      </c>
      <c r="F23" s="1569" t="s">
        <v>4762</v>
      </c>
      <c r="G23" s="1150" t="s">
        <v>5680</v>
      </c>
      <c r="H23" s="2857" t="s">
        <v>4989</v>
      </c>
      <c r="I23" s="2857" t="s">
        <v>5650</v>
      </c>
      <c r="J23" s="2857" t="s">
        <v>5715</v>
      </c>
      <c r="K23" s="2852">
        <v>530</v>
      </c>
      <c r="L23" s="2852">
        <v>10.6</v>
      </c>
      <c r="M23" s="2649">
        <v>1</v>
      </c>
    </row>
    <row r="24" spans="1:13" ht="41.25" thickBot="1" x14ac:dyDescent="0.3">
      <c r="A24" s="2849"/>
      <c r="B24" s="2649">
        <v>21</v>
      </c>
      <c r="C24" s="1757" t="s">
        <v>294</v>
      </c>
      <c r="D24" s="1758" t="s">
        <v>42</v>
      </c>
      <c r="E24" s="2856" t="s">
        <v>5716</v>
      </c>
      <c r="F24" s="1569" t="s">
        <v>4623</v>
      </c>
      <c r="G24" s="1150" t="s">
        <v>5717</v>
      </c>
      <c r="H24" s="2857" t="s">
        <v>5718</v>
      </c>
      <c r="I24" s="2857" t="s">
        <v>5719</v>
      </c>
      <c r="J24" s="2857" t="s">
        <v>5720</v>
      </c>
      <c r="K24" s="2852">
        <v>171.8</v>
      </c>
      <c r="L24" s="2852">
        <v>12.026000000000002</v>
      </c>
      <c r="M24" s="2649">
        <v>1</v>
      </c>
    </row>
    <row r="25" spans="1:13" ht="41.25" thickBot="1" x14ac:dyDescent="0.3">
      <c r="A25" s="2849"/>
      <c r="B25" s="2649">
        <v>22</v>
      </c>
      <c r="C25" s="1757" t="s">
        <v>294</v>
      </c>
      <c r="D25" s="1758" t="s">
        <v>42</v>
      </c>
      <c r="E25" s="2856" t="s">
        <v>5658</v>
      </c>
      <c r="F25" s="1569" t="s">
        <v>4683</v>
      </c>
      <c r="G25" s="1150" t="s">
        <v>5657</v>
      </c>
      <c r="H25" s="2857" t="s">
        <v>5658</v>
      </c>
      <c r="I25" s="2857" t="s">
        <v>5650</v>
      </c>
      <c r="J25" s="2857" t="s">
        <v>5721</v>
      </c>
      <c r="K25" s="2852">
        <v>320</v>
      </c>
      <c r="L25" s="2852">
        <v>6.4</v>
      </c>
      <c r="M25" s="2649">
        <v>1</v>
      </c>
    </row>
    <row r="26" spans="1:13" ht="54.75" thickBot="1" x14ac:dyDescent="0.3">
      <c r="A26" s="2849"/>
      <c r="B26" s="2649">
        <v>23</v>
      </c>
      <c r="C26" s="1757" t="s">
        <v>3229</v>
      </c>
      <c r="D26" s="1758" t="s">
        <v>5722</v>
      </c>
      <c r="E26" s="2856" t="s">
        <v>3231</v>
      </c>
      <c r="F26" s="1569" t="s">
        <v>4056</v>
      </c>
      <c r="G26" s="1150" t="s">
        <v>5723</v>
      </c>
      <c r="H26" s="2857" t="s">
        <v>3231</v>
      </c>
      <c r="I26" s="2857" t="s">
        <v>5724</v>
      </c>
      <c r="J26" s="2857" t="s">
        <v>5725</v>
      </c>
      <c r="K26" s="2852">
        <v>430</v>
      </c>
      <c r="L26" s="2852">
        <v>38.699999999999996</v>
      </c>
      <c r="M26" s="2649">
        <v>1</v>
      </c>
    </row>
    <row r="27" spans="1:13" ht="27.75" thickBot="1" x14ac:dyDescent="0.3">
      <c r="A27" s="2849"/>
      <c r="B27" s="2649">
        <v>24</v>
      </c>
      <c r="C27" s="1757" t="s">
        <v>5682</v>
      </c>
      <c r="D27" s="1758" t="s">
        <v>5726</v>
      </c>
      <c r="E27" s="2856" t="s">
        <v>3242</v>
      </c>
      <c r="F27" s="1569" t="s">
        <v>4623</v>
      </c>
      <c r="G27" s="1150" t="s">
        <v>4992</v>
      </c>
      <c r="H27" s="2857" t="s">
        <v>5727</v>
      </c>
      <c r="I27" s="2857" t="s">
        <v>5728</v>
      </c>
      <c r="J27" s="2857" t="s">
        <v>5729</v>
      </c>
      <c r="K27" s="2852">
        <v>430.34</v>
      </c>
      <c r="L27" s="2852">
        <v>30.123800000000003</v>
      </c>
      <c r="M27" s="2649">
        <v>1</v>
      </c>
    </row>
    <row r="28" spans="1:13" ht="41.25" thickBot="1" x14ac:dyDescent="0.3">
      <c r="A28" s="2849"/>
      <c r="B28" s="2649">
        <v>25</v>
      </c>
      <c r="C28" s="1757" t="s">
        <v>5682</v>
      </c>
      <c r="D28" s="1758" t="s">
        <v>5726</v>
      </c>
      <c r="E28" s="2856" t="s">
        <v>3243</v>
      </c>
      <c r="F28" s="1569" t="s">
        <v>4623</v>
      </c>
      <c r="G28" s="1150" t="s">
        <v>5730</v>
      </c>
      <c r="H28" s="2857" t="s">
        <v>5731</v>
      </c>
      <c r="I28" s="2857" t="s">
        <v>5732</v>
      </c>
      <c r="J28" s="2857" t="s">
        <v>5733</v>
      </c>
      <c r="K28" s="2852">
        <v>4700.17</v>
      </c>
      <c r="L28" s="2852">
        <v>329.01190000000003</v>
      </c>
      <c r="M28" s="2649">
        <v>1</v>
      </c>
    </row>
    <row r="29" spans="1:13" ht="27.75" thickBot="1" x14ac:dyDescent="0.3">
      <c r="A29" s="2849"/>
      <c r="B29" s="2649">
        <v>26</v>
      </c>
      <c r="C29" s="1757" t="s">
        <v>5682</v>
      </c>
      <c r="D29" s="1758" t="s">
        <v>5726</v>
      </c>
      <c r="E29" s="2856" t="s">
        <v>5734</v>
      </c>
      <c r="F29" s="1569" t="s">
        <v>4683</v>
      </c>
      <c r="G29" s="1150" t="s">
        <v>4988</v>
      </c>
      <c r="H29" s="2857" t="s">
        <v>4989</v>
      </c>
      <c r="I29" s="2857" t="s">
        <v>5650</v>
      </c>
      <c r="J29" s="2857" t="s">
        <v>5735</v>
      </c>
      <c r="K29" s="2852">
        <v>225</v>
      </c>
      <c r="L29" s="2852">
        <v>4.5</v>
      </c>
      <c r="M29" s="2649">
        <v>1</v>
      </c>
    </row>
    <row r="30" spans="1:13" ht="14.25" thickBot="1" x14ac:dyDescent="0.3">
      <c r="C30" s="4984" t="s">
        <v>5125</v>
      </c>
      <c r="D30" s="4984"/>
      <c r="E30" s="4763"/>
      <c r="F30" s="4763"/>
      <c r="G30" s="4765"/>
      <c r="K30" s="2853">
        <f>SUM(K4:K29)</f>
        <v>224453.41</v>
      </c>
      <c r="L30" s="2853">
        <f>SUM(L4:L29)</f>
        <v>14050.003699999999</v>
      </c>
      <c r="M30" s="2812">
        <f>SUM(M4:M29)</f>
        <v>26</v>
      </c>
    </row>
    <row r="31" spans="1:13" ht="13.5" x14ac:dyDescent="0.25">
      <c r="B31" s="4985"/>
      <c r="C31" s="4985"/>
      <c r="D31" s="4985"/>
      <c r="E31" s="4985"/>
      <c r="F31" s="4985"/>
    </row>
    <row r="32" spans="1:13" ht="14.25" thickBot="1" x14ac:dyDescent="0.3">
      <c r="B32" s="4986" t="s">
        <v>4994</v>
      </c>
      <c r="C32" s="4986"/>
      <c r="D32" s="4986"/>
      <c r="E32" s="4986"/>
      <c r="F32" s="4986"/>
      <c r="G32" s="4986"/>
    </row>
    <row r="33" spans="2:11" ht="41.25" thickBot="1" x14ac:dyDescent="0.3">
      <c r="B33" s="1035" t="s">
        <v>3723</v>
      </c>
      <c r="C33" s="2479" t="s">
        <v>4995</v>
      </c>
      <c r="D33" s="2479" t="s">
        <v>4996</v>
      </c>
      <c r="E33" s="2479" t="s">
        <v>4985</v>
      </c>
      <c r="F33" s="2479" t="s">
        <v>4997</v>
      </c>
      <c r="G33" s="1036" t="s">
        <v>4998</v>
      </c>
      <c r="H33" s="2850"/>
      <c r="J33" s="2851"/>
      <c r="K33" s="2457"/>
    </row>
    <row r="34" spans="2:11" ht="14.25" thickBot="1" x14ac:dyDescent="0.3">
      <c r="B34" s="2854">
        <v>1</v>
      </c>
      <c r="C34" s="2474" t="s">
        <v>4317</v>
      </c>
      <c r="D34" s="3321">
        <v>0.09</v>
      </c>
      <c r="E34" s="2649">
        <f>M5+M17+M26</f>
        <v>3</v>
      </c>
      <c r="F34" s="3322">
        <f>K5+K17+K26</f>
        <v>19790</v>
      </c>
      <c r="G34" s="3322">
        <f>L5+L17+L26</f>
        <v>1781.1000000000001</v>
      </c>
      <c r="J34" s="598"/>
      <c r="K34" s="2457"/>
    </row>
    <row r="35" spans="2:11" ht="14.25" thickBot="1" x14ac:dyDescent="0.3">
      <c r="B35" s="2854">
        <v>2</v>
      </c>
      <c r="C35" s="2474" t="s">
        <v>4281</v>
      </c>
      <c r="D35" s="3321">
        <v>0.05</v>
      </c>
      <c r="E35" s="2649">
        <f>M13+M21</f>
        <v>2</v>
      </c>
      <c r="F35" s="3322">
        <f>K13+K21</f>
        <v>680</v>
      </c>
      <c r="G35" s="3322">
        <f>L13+L21</f>
        <v>34</v>
      </c>
      <c r="J35" s="598"/>
      <c r="K35" s="2457"/>
    </row>
    <row r="36" spans="2:11" ht="14.25" thickBot="1" x14ac:dyDescent="0.3">
      <c r="B36" s="2854">
        <v>3</v>
      </c>
      <c r="C36" s="2474" t="s">
        <v>4321</v>
      </c>
      <c r="D36" s="3321">
        <v>7.0000000000000007E-2</v>
      </c>
      <c r="E36" s="2649">
        <f>M4+M10+M15+M16</f>
        <v>4</v>
      </c>
      <c r="F36" s="3322">
        <f>K4+K10+K15+K16</f>
        <v>7647.5</v>
      </c>
      <c r="G36" s="3322">
        <f>L4+L10+L15+L16</f>
        <v>535.32500000000016</v>
      </c>
      <c r="J36" s="598"/>
      <c r="K36" s="2457"/>
    </row>
    <row r="37" spans="2:11" ht="14.25" thickBot="1" x14ac:dyDescent="0.3">
      <c r="B37" s="2854">
        <v>4</v>
      </c>
      <c r="C37" s="2474" t="s">
        <v>4624</v>
      </c>
      <c r="D37" s="3321">
        <v>7.0000000000000007E-2</v>
      </c>
      <c r="E37" s="2649">
        <f>M9+M18+M24+M27+M28</f>
        <v>5</v>
      </c>
      <c r="F37" s="3322">
        <f>K9+K18+K24+K27+K28</f>
        <v>7224.81</v>
      </c>
      <c r="G37" s="3322">
        <f>L9+L18+L24+L27+L28</f>
        <v>505.73670000000004</v>
      </c>
      <c r="J37" s="598"/>
      <c r="K37" s="2457"/>
    </row>
    <row r="38" spans="2:11" ht="14.25" thickBot="1" x14ac:dyDescent="0.3">
      <c r="B38" s="2854">
        <v>5</v>
      </c>
      <c r="C38" s="2474" t="s">
        <v>4296</v>
      </c>
      <c r="D38" s="3321">
        <v>0.05</v>
      </c>
      <c r="E38" s="2649">
        <v>0</v>
      </c>
      <c r="F38" s="3322">
        <v>0</v>
      </c>
      <c r="G38" s="3322">
        <v>0</v>
      </c>
      <c r="J38" s="598"/>
      <c r="K38" s="2457"/>
    </row>
    <row r="39" spans="2:11" ht="14.25" thickBot="1" x14ac:dyDescent="0.3">
      <c r="B39" s="2854">
        <v>6</v>
      </c>
      <c r="C39" s="2474" t="s">
        <v>4285</v>
      </c>
      <c r="D39" s="3321">
        <v>0.02</v>
      </c>
      <c r="E39" s="2649">
        <f>M6+M7+M8+M11+M12+M25+M29</f>
        <v>7</v>
      </c>
      <c r="F39" s="3322">
        <f>K6+K7+K8+K11+K12+K25+K29</f>
        <v>1863</v>
      </c>
      <c r="G39" s="3322">
        <f>L6+L7+L8+L11+L12+L25+L29</f>
        <v>37.26</v>
      </c>
      <c r="J39" s="598"/>
      <c r="K39" s="2457"/>
    </row>
    <row r="40" spans="2:11" ht="14.25" thickBot="1" x14ac:dyDescent="0.3">
      <c r="B40" s="2854">
        <v>7</v>
      </c>
      <c r="C40" s="2474" t="s">
        <v>4331</v>
      </c>
      <c r="D40" s="3321">
        <v>0.02</v>
      </c>
      <c r="E40" s="2649">
        <f>M14+M19+M20+M23</f>
        <v>4</v>
      </c>
      <c r="F40" s="3322">
        <f>K14+K19+K20+K23</f>
        <v>1957.6</v>
      </c>
      <c r="G40" s="3322">
        <f>L14+L19+L20+L23</f>
        <v>39.152000000000001</v>
      </c>
      <c r="J40" s="598"/>
      <c r="K40" s="2457"/>
    </row>
    <row r="41" spans="2:11" ht="14.25" thickBot="1" x14ac:dyDescent="0.3">
      <c r="B41" s="2854">
        <v>8</v>
      </c>
      <c r="C41" s="2474" t="s">
        <v>4999</v>
      </c>
      <c r="D41" s="3321">
        <v>0.06</v>
      </c>
      <c r="E41" s="2649">
        <f>M22</f>
        <v>1</v>
      </c>
      <c r="F41" s="3322">
        <f>K22</f>
        <v>185290.5</v>
      </c>
      <c r="G41" s="3322">
        <f>L22</f>
        <v>11117.43</v>
      </c>
      <c r="J41" s="598"/>
      <c r="K41" s="2457"/>
    </row>
    <row r="42" spans="2:11" ht="14.25" thickBot="1" x14ac:dyDescent="0.3">
      <c r="B42" s="4987" t="s">
        <v>0</v>
      </c>
      <c r="C42" s="4987"/>
      <c r="D42" s="1569"/>
      <c r="E42" s="2855">
        <f>SUBTOTAL(9,E34:E41)</f>
        <v>26</v>
      </c>
      <c r="F42" s="3323">
        <f t="shared" ref="F42:G42" si="0">SUBTOTAL(9,F34:F41)</f>
        <v>224453.41</v>
      </c>
      <c r="G42" s="3323">
        <f t="shared" si="0"/>
        <v>14050.003700000001</v>
      </c>
      <c r="J42" s="598"/>
      <c r="K42" s="2457"/>
    </row>
    <row r="43" spans="2:11" ht="13.5" x14ac:dyDescent="0.25">
      <c r="J43" s="598"/>
      <c r="K43" s="598"/>
    </row>
    <row r="44" spans="2:11" ht="13.5" x14ac:dyDescent="0.25"/>
    <row r="45" spans="2:11" ht="13.5" x14ac:dyDescent="0.25"/>
    <row r="46" spans="2:11" ht="13.5" x14ac:dyDescent="0.25"/>
    <row r="47" spans="2:11" ht="13.5" x14ac:dyDescent="0.25"/>
    <row r="48" spans="2:11" ht="13.5" x14ac:dyDescent="0.25"/>
    <row r="49" ht="13.5" x14ac:dyDescent="0.25"/>
    <row r="50" ht="13.5" x14ac:dyDescent="0.25"/>
    <row r="51" ht="13.5" x14ac:dyDescent="0.25"/>
    <row r="52" ht="13.5" x14ac:dyDescent="0.25"/>
    <row r="53" ht="13.5" x14ac:dyDescent="0.25"/>
    <row r="54" ht="13.5" x14ac:dyDescent="0.25"/>
    <row r="55" ht="13.5" x14ac:dyDescent="0.25"/>
    <row r="56" ht="13.5" x14ac:dyDescent="0.25"/>
    <row r="57" ht="13.5" x14ac:dyDescent="0.25"/>
  </sheetData>
  <mergeCells count="5">
    <mergeCell ref="B2:M2"/>
    <mergeCell ref="C30:G30"/>
    <mergeCell ref="B31:F31"/>
    <mergeCell ref="B32:G32"/>
    <mergeCell ref="B42:C42"/>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C000"/>
  </sheetPr>
  <dimension ref="B6:AD272"/>
  <sheetViews>
    <sheetView topLeftCell="A4" zoomScale="70" zoomScaleNormal="70" workbookViewId="0">
      <selection activeCell="J29" sqref="J29"/>
    </sheetView>
  </sheetViews>
  <sheetFormatPr baseColWidth="10" defaultRowHeight="13.5" x14ac:dyDescent="0.25"/>
  <cols>
    <col min="1" max="1" width="11.42578125" style="2858"/>
    <col min="2" max="2" width="4.5703125" style="2858" customWidth="1"/>
    <col min="3" max="3" width="19.5703125" style="2858" customWidth="1"/>
    <col min="4" max="4" width="25.42578125" style="2858" customWidth="1"/>
    <col min="5" max="5" width="53.7109375" style="2859" customWidth="1"/>
    <col min="6" max="6" width="21.140625" style="2860" customWidth="1"/>
    <col min="7" max="7" width="10" style="2860" customWidth="1"/>
    <col min="8" max="8" width="15.28515625" style="2861" customWidth="1"/>
    <col min="9" max="9" width="14.140625" style="2862" customWidth="1"/>
    <col min="10" max="10" width="17" style="2861" customWidth="1"/>
    <col min="11" max="11" width="16.140625" style="2860" customWidth="1"/>
    <col min="12" max="12" width="16.85546875" style="2858" customWidth="1"/>
    <col min="13" max="14" width="14.85546875" style="2858" customWidth="1"/>
    <col min="15" max="15" width="15.42578125" style="2858" customWidth="1"/>
    <col min="16" max="16" width="15.5703125" style="2858" customWidth="1"/>
    <col min="17" max="18" width="14.7109375" style="2858" customWidth="1"/>
    <col min="19" max="19" width="15.5703125" style="2858" customWidth="1"/>
    <col min="20" max="20" width="14.140625" style="2858" customWidth="1"/>
    <col min="21" max="21" width="14.7109375" style="2858" customWidth="1"/>
    <col min="22" max="22" width="15.5703125" style="2858" customWidth="1"/>
    <col min="23" max="24" width="14.5703125" style="2858" customWidth="1"/>
    <col min="25" max="25" width="13.85546875" style="2858" customWidth="1"/>
    <col min="26" max="29" width="14.5703125" style="2858" customWidth="1"/>
    <col min="30" max="30" width="6.28515625" style="2858" customWidth="1"/>
    <col min="31" max="31" width="11.42578125" style="2858" customWidth="1"/>
    <col min="32" max="55" width="11.42578125" style="2858"/>
    <col min="56" max="56" width="4" style="2858" customWidth="1"/>
    <col min="57" max="57" width="18.42578125" style="2858" customWidth="1"/>
    <col min="58" max="58" width="16" style="2858" customWidth="1"/>
    <col min="59" max="59" width="46.42578125" style="2858" customWidth="1"/>
    <col min="60" max="60" width="9.28515625" style="2858" customWidth="1"/>
    <col min="61" max="61" width="16.85546875" style="2858" customWidth="1"/>
    <col min="62" max="62" width="9.85546875" style="2858" customWidth="1"/>
    <col min="63" max="63" width="12.42578125" style="2858" bestFit="1" customWidth="1"/>
    <col min="64" max="64" width="15.7109375" style="2858" customWidth="1"/>
    <col min="65" max="65" width="13.140625" style="2858" customWidth="1"/>
    <col min="66" max="66" width="17.140625" style="2858" customWidth="1"/>
    <col min="67" max="68" width="11.42578125" style="2858"/>
    <col min="69" max="74" width="9.28515625" style="2858" customWidth="1"/>
    <col min="75" max="76" width="10.85546875" style="2858" customWidth="1"/>
    <col min="77" max="77" width="9.28515625" style="2858" customWidth="1"/>
    <col min="78" max="78" width="10.5703125" style="2858" customWidth="1"/>
    <col min="79" max="79" width="8" style="2858" customWidth="1"/>
    <col min="80" max="80" width="8.85546875" style="2858" customWidth="1"/>
    <col min="81" max="81" width="8" style="2858" customWidth="1"/>
    <col min="82" max="311" width="11.42578125" style="2858"/>
    <col min="312" max="312" width="4" style="2858" customWidth="1"/>
    <col min="313" max="313" width="18.42578125" style="2858" customWidth="1"/>
    <col min="314" max="314" width="16" style="2858" customWidth="1"/>
    <col min="315" max="315" width="46.42578125" style="2858" customWidth="1"/>
    <col min="316" max="316" width="9.28515625" style="2858" customWidth="1"/>
    <col min="317" max="317" width="16.85546875" style="2858" customWidth="1"/>
    <col min="318" max="318" width="9.85546875" style="2858" customWidth="1"/>
    <col min="319" max="319" width="12.42578125" style="2858" bestFit="1" customWidth="1"/>
    <col min="320" max="320" width="15.7109375" style="2858" customWidth="1"/>
    <col min="321" max="321" width="13.140625" style="2858" customWidth="1"/>
    <col min="322" max="322" width="17.140625" style="2858" customWidth="1"/>
    <col min="323" max="324" width="11.42578125" style="2858"/>
    <col min="325" max="330" width="9.28515625" style="2858" customWidth="1"/>
    <col min="331" max="332" width="10.85546875" style="2858" customWidth="1"/>
    <col min="333" max="333" width="9.28515625" style="2858" customWidth="1"/>
    <col min="334" max="334" width="10.5703125" style="2858" customWidth="1"/>
    <col min="335" max="335" width="8" style="2858" customWidth="1"/>
    <col min="336" max="336" width="8.85546875" style="2858" customWidth="1"/>
    <col min="337" max="337" width="8" style="2858" customWidth="1"/>
    <col min="338" max="567" width="11.42578125" style="2858"/>
    <col min="568" max="568" width="4" style="2858" customWidth="1"/>
    <col min="569" max="569" width="18.42578125" style="2858" customWidth="1"/>
    <col min="570" max="570" width="16" style="2858" customWidth="1"/>
    <col min="571" max="571" width="46.42578125" style="2858" customWidth="1"/>
    <col min="572" max="572" width="9.28515625" style="2858" customWidth="1"/>
    <col min="573" max="573" width="16.85546875" style="2858" customWidth="1"/>
    <col min="574" max="574" width="9.85546875" style="2858" customWidth="1"/>
    <col min="575" max="575" width="12.42578125" style="2858" bestFit="1" customWidth="1"/>
    <col min="576" max="576" width="15.7109375" style="2858" customWidth="1"/>
    <col min="577" max="577" width="13.140625" style="2858" customWidth="1"/>
    <col min="578" max="578" width="17.140625" style="2858" customWidth="1"/>
    <col min="579" max="580" width="11.42578125" style="2858"/>
    <col min="581" max="586" width="9.28515625" style="2858" customWidth="1"/>
    <col min="587" max="588" width="10.85546875" style="2858" customWidth="1"/>
    <col min="589" max="589" width="9.28515625" style="2858" customWidth="1"/>
    <col min="590" max="590" width="10.5703125" style="2858" customWidth="1"/>
    <col min="591" max="591" width="8" style="2858" customWidth="1"/>
    <col min="592" max="592" width="8.85546875" style="2858" customWidth="1"/>
    <col min="593" max="593" width="8" style="2858" customWidth="1"/>
    <col min="594" max="823" width="11.42578125" style="2858"/>
    <col min="824" max="824" width="4" style="2858" customWidth="1"/>
    <col min="825" max="825" width="18.42578125" style="2858" customWidth="1"/>
    <col min="826" max="826" width="16" style="2858" customWidth="1"/>
    <col min="827" max="827" width="46.42578125" style="2858" customWidth="1"/>
    <col min="828" max="828" width="9.28515625" style="2858" customWidth="1"/>
    <col min="829" max="829" width="16.85546875" style="2858" customWidth="1"/>
    <col min="830" max="830" width="9.85546875" style="2858" customWidth="1"/>
    <col min="831" max="831" width="12.42578125" style="2858" bestFit="1" customWidth="1"/>
    <col min="832" max="832" width="15.7109375" style="2858" customWidth="1"/>
    <col min="833" max="833" width="13.140625" style="2858" customWidth="1"/>
    <col min="834" max="834" width="17.140625" style="2858" customWidth="1"/>
    <col min="835" max="836" width="11.42578125" style="2858"/>
    <col min="837" max="842" width="9.28515625" style="2858" customWidth="1"/>
    <col min="843" max="844" width="10.85546875" style="2858" customWidth="1"/>
    <col min="845" max="845" width="9.28515625" style="2858" customWidth="1"/>
    <col min="846" max="846" width="10.5703125" style="2858" customWidth="1"/>
    <col min="847" max="847" width="8" style="2858" customWidth="1"/>
    <col min="848" max="848" width="8.85546875" style="2858" customWidth="1"/>
    <col min="849" max="849" width="8" style="2858" customWidth="1"/>
    <col min="850" max="1079" width="11.42578125" style="2858"/>
    <col min="1080" max="1080" width="4" style="2858" customWidth="1"/>
    <col min="1081" max="1081" width="18.42578125" style="2858" customWidth="1"/>
    <col min="1082" max="1082" width="16" style="2858" customWidth="1"/>
    <col min="1083" max="1083" width="46.42578125" style="2858" customWidth="1"/>
    <col min="1084" max="1084" width="9.28515625" style="2858" customWidth="1"/>
    <col min="1085" max="1085" width="16.85546875" style="2858" customWidth="1"/>
    <col min="1086" max="1086" width="9.85546875" style="2858" customWidth="1"/>
    <col min="1087" max="1087" width="12.42578125" style="2858" bestFit="1" customWidth="1"/>
    <col min="1088" max="1088" width="15.7109375" style="2858" customWidth="1"/>
    <col min="1089" max="1089" width="13.140625" style="2858" customWidth="1"/>
    <col min="1090" max="1090" width="17.140625" style="2858" customWidth="1"/>
    <col min="1091" max="1092" width="11.42578125" style="2858"/>
    <col min="1093" max="1098" width="9.28515625" style="2858" customWidth="1"/>
    <col min="1099" max="1100" width="10.85546875" style="2858" customWidth="1"/>
    <col min="1101" max="1101" width="9.28515625" style="2858" customWidth="1"/>
    <col min="1102" max="1102" width="10.5703125" style="2858" customWidth="1"/>
    <col min="1103" max="1103" width="8" style="2858" customWidth="1"/>
    <col min="1104" max="1104" width="8.85546875" style="2858" customWidth="1"/>
    <col min="1105" max="1105" width="8" style="2858" customWidth="1"/>
    <col min="1106" max="1335" width="11.42578125" style="2858"/>
    <col min="1336" max="1336" width="4" style="2858" customWidth="1"/>
    <col min="1337" max="1337" width="18.42578125" style="2858" customWidth="1"/>
    <col min="1338" max="1338" width="16" style="2858" customWidth="1"/>
    <col min="1339" max="1339" width="46.42578125" style="2858" customWidth="1"/>
    <col min="1340" max="1340" width="9.28515625" style="2858" customWidth="1"/>
    <col min="1341" max="1341" width="16.85546875" style="2858" customWidth="1"/>
    <col min="1342" max="1342" width="9.85546875" style="2858" customWidth="1"/>
    <col min="1343" max="1343" width="12.42578125" style="2858" bestFit="1" customWidth="1"/>
    <col min="1344" max="1344" width="15.7109375" style="2858" customWidth="1"/>
    <col min="1345" max="1345" width="13.140625" style="2858" customWidth="1"/>
    <col min="1346" max="1346" width="17.140625" style="2858" customWidth="1"/>
    <col min="1347" max="1348" width="11.42578125" style="2858"/>
    <col min="1349" max="1354" width="9.28515625" style="2858" customWidth="1"/>
    <col min="1355" max="1356" width="10.85546875" style="2858" customWidth="1"/>
    <col min="1357" max="1357" width="9.28515625" style="2858" customWidth="1"/>
    <col min="1358" max="1358" width="10.5703125" style="2858" customWidth="1"/>
    <col min="1359" max="1359" width="8" style="2858" customWidth="1"/>
    <col min="1360" max="1360" width="8.85546875" style="2858" customWidth="1"/>
    <col min="1361" max="1361" width="8" style="2858" customWidth="1"/>
    <col min="1362" max="1591" width="11.42578125" style="2858"/>
    <col min="1592" max="1592" width="4" style="2858" customWidth="1"/>
    <col min="1593" max="1593" width="18.42578125" style="2858" customWidth="1"/>
    <col min="1594" max="1594" width="16" style="2858" customWidth="1"/>
    <col min="1595" max="1595" width="46.42578125" style="2858" customWidth="1"/>
    <col min="1596" max="1596" width="9.28515625" style="2858" customWidth="1"/>
    <col min="1597" max="1597" width="16.85546875" style="2858" customWidth="1"/>
    <col min="1598" max="1598" width="9.85546875" style="2858" customWidth="1"/>
    <col min="1599" max="1599" width="12.42578125" style="2858" bestFit="1" customWidth="1"/>
    <col min="1600" max="1600" width="15.7109375" style="2858" customWidth="1"/>
    <col min="1601" max="1601" width="13.140625" style="2858" customWidth="1"/>
    <col min="1602" max="1602" width="17.140625" style="2858" customWidth="1"/>
    <col min="1603" max="1604" width="11.42578125" style="2858"/>
    <col min="1605" max="1610" width="9.28515625" style="2858" customWidth="1"/>
    <col min="1611" max="1612" width="10.85546875" style="2858" customWidth="1"/>
    <col min="1613" max="1613" width="9.28515625" style="2858" customWidth="1"/>
    <col min="1614" max="1614" width="10.5703125" style="2858" customWidth="1"/>
    <col min="1615" max="1615" width="8" style="2858" customWidth="1"/>
    <col min="1616" max="1616" width="8.85546875" style="2858" customWidth="1"/>
    <col min="1617" max="1617" width="8" style="2858" customWidth="1"/>
    <col min="1618" max="1847" width="11.42578125" style="2858"/>
    <col min="1848" max="1848" width="4" style="2858" customWidth="1"/>
    <col min="1849" max="1849" width="18.42578125" style="2858" customWidth="1"/>
    <col min="1850" max="1850" width="16" style="2858" customWidth="1"/>
    <col min="1851" max="1851" width="46.42578125" style="2858" customWidth="1"/>
    <col min="1852" max="1852" width="9.28515625" style="2858" customWidth="1"/>
    <col min="1853" max="1853" width="16.85546875" style="2858" customWidth="1"/>
    <col min="1854" max="1854" width="9.85546875" style="2858" customWidth="1"/>
    <col min="1855" max="1855" width="12.42578125" style="2858" bestFit="1" customWidth="1"/>
    <col min="1856" max="1856" width="15.7109375" style="2858" customWidth="1"/>
    <col min="1857" max="1857" width="13.140625" style="2858" customWidth="1"/>
    <col min="1858" max="1858" width="17.140625" style="2858" customWidth="1"/>
    <col min="1859" max="1860" width="11.42578125" style="2858"/>
    <col min="1861" max="1866" width="9.28515625" style="2858" customWidth="1"/>
    <col min="1867" max="1868" width="10.85546875" style="2858" customWidth="1"/>
    <col min="1869" max="1869" width="9.28515625" style="2858" customWidth="1"/>
    <col min="1870" max="1870" width="10.5703125" style="2858" customWidth="1"/>
    <col min="1871" max="1871" width="8" style="2858" customWidth="1"/>
    <col min="1872" max="1872" width="8.85546875" style="2858" customWidth="1"/>
    <col min="1873" max="1873" width="8" style="2858" customWidth="1"/>
    <col min="1874" max="2103" width="11.42578125" style="2858"/>
    <col min="2104" max="2104" width="4" style="2858" customWidth="1"/>
    <col min="2105" max="2105" width="18.42578125" style="2858" customWidth="1"/>
    <col min="2106" max="2106" width="16" style="2858" customWidth="1"/>
    <col min="2107" max="2107" width="46.42578125" style="2858" customWidth="1"/>
    <col min="2108" max="2108" width="9.28515625" style="2858" customWidth="1"/>
    <col min="2109" max="2109" width="16.85546875" style="2858" customWidth="1"/>
    <col min="2110" max="2110" width="9.85546875" style="2858" customWidth="1"/>
    <col min="2111" max="2111" width="12.42578125" style="2858" bestFit="1" customWidth="1"/>
    <col min="2112" max="2112" width="15.7109375" style="2858" customWidth="1"/>
    <col min="2113" max="2113" width="13.140625" style="2858" customWidth="1"/>
    <col min="2114" max="2114" width="17.140625" style="2858" customWidth="1"/>
    <col min="2115" max="2116" width="11.42578125" style="2858"/>
    <col min="2117" max="2122" width="9.28515625" style="2858" customWidth="1"/>
    <col min="2123" max="2124" width="10.85546875" style="2858" customWidth="1"/>
    <col min="2125" max="2125" width="9.28515625" style="2858" customWidth="1"/>
    <col min="2126" max="2126" width="10.5703125" style="2858" customWidth="1"/>
    <col min="2127" max="2127" width="8" style="2858" customWidth="1"/>
    <col min="2128" max="2128" width="8.85546875" style="2858" customWidth="1"/>
    <col min="2129" max="2129" width="8" style="2858" customWidth="1"/>
    <col min="2130" max="2359" width="11.42578125" style="2858"/>
    <col min="2360" max="2360" width="4" style="2858" customWidth="1"/>
    <col min="2361" max="2361" width="18.42578125" style="2858" customWidth="1"/>
    <col min="2362" max="2362" width="16" style="2858" customWidth="1"/>
    <col min="2363" max="2363" width="46.42578125" style="2858" customWidth="1"/>
    <col min="2364" max="2364" width="9.28515625" style="2858" customWidth="1"/>
    <col min="2365" max="2365" width="16.85546875" style="2858" customWidth="1"/>
    <col min="2366" max="2366" width="9.85546875" style="2858" customWidth="1"/>
    <col min="2367" max="2367" width="12.42578125" style="2858" bestFit="1" customWidth="1"/>
    <col min="2368" max="2368" width="15.7109375" style="2858" customWidth="1"/>
    <col min="2369" max="2369" width="13.140625" style="2858" customWidth="1"/>
    <col min="2370" max="2370" width="17.140625" style="2858" customWidth="1"/>
    <col min="2371" max="2372" width="11.42578125" style="2858"/>
    <col min="2373" max="2378" width="9.28515625" style="2858" customWidth="1"/>
    <col min="2379" max="2380" width="10.85546875" style="2858" customWidth="1"/>
    <col min="2381" max="2381" width="9.28515625" style="2858" customWidth="1"/>
    <col min="2382" max="2382" width="10.5703125" style="2858" customWidth="1"/>
    <col min="2383" max="2383" width="8" style="2858" customWidth="1"/>
    <col min="2384" max="2384" width="8.85546875" style="2858" customWidth="1"/>
    <col min="2385" max="2385" width="8" style="2858" customWidth="1"/>
    <col min="2386" max="2615" width="11.42578125" style="2858"/>
    <col min="2616" max="2616" width="4" style="2858" customWidth="1"/>
    <col min="2617" max="2617" width="18.42578125" style="2858" customWidth="1"/>
    <col min="2618" max="2618" width="16" style="2858" customWidth="1"/>
    <col min="2619" max="2619" width="46.42578125" style="2858" customWidth="1"/>
    <col min="2620" max="2620" width="9.28515625" style="2858" customWidth="1"/>
    <col min="2621" max="2621" width="16.85546875" style="2858" customWidth="1"/>
    <col min="2622" max="2622" width="9.85546875" style="2858" customWidth="1"/>
    <col min="2623" max="2623" width="12.42578125" style="2858" bestFit="1" customWidth="1"/>
    <col min="2624" max="2624" width="15.7109375" style="2858" customWidth="1"/>
    <col min="2625" max="2625" width="13.140625" style="2858" customWidth="1"/>
    <col min="2626" max="2626" width="17.140625" style="2858" customWidth="1"/>
    <col min="2627" max="2628" width="11.42578125" style="2858"/>
    <col min="2629" max="2634" width="9.28515625" style="2858" customWidth="1"/>
    <col min="2635" max="2636" width="10.85546875" style="2858" customWidth="1"/>
    <col min="2637" max="2637" width="9.28515625" style="2858" customWidth="1"/>
    <col min="2638" max="2638" width="10.5703125" style="2858" customWidth="1"/>
    <col min="2639" max="2639" width="8" style="2858" customWidth="1"/>
    <col min="2640" max="2640" width="8.85546875" style="2858" customWidth="1"/>
    <col min="2641" max="2641" width="8" style="2858" customWidth="1"/>
    <col min="2642" max="2871" width="11.42578125" style="2858"/>
    <col min="2872" max="2872" width="4" style="2858" customWidth="1"/>
    <col min="2873" max="2873" width="18.42578125" style="2858" customWidth="1"/>
    <col min="2874" max="2874" width="16" style="2858" customWidth="1"/>
    <col min="2875" max="2875" width="46.42578125" style="2858" customWidth="1"/>
    <col min="2876" max="2876" width="9.28515625" style="2858" customWidth="1"/>
    <col min="2877" max="2877" width="16.85546875" style="2858" customWidth="1"/>
    <col min="2878" max="2878" width="9.85546875" style="2858" customWidth="1"/>
    <col min="2879" max="2879" width="12.42578125" style="2858" bestFit="1" customWidth="1"/>
    <col min="2880" max="2880" width="15.7109375" style="2858" customWidth="1"/>
    <col min="2881" max="2881" width="13.140625" style="2858" customWidth="1"/>
    <col min="2882" max="2882" width="17.140625" style="2858" customWidth="1"/>
    <col min="2883" max="2884" width="11.42578125" style="2858"/>
    <col min="2885" max="2890" width="9.28515625" style="2858" customWidth="1"/>
    <col min="2891" max="2892" width="10.85546875" style="2858" customWidth="1"/>
    <col min="2893" max="2893" width="9.28515625" style="2858" customWidth="1"/>
    <col min="2894" max="2894" width="10.5703125" style="2858" customWidth="1"/>
    <col min="2895" max="2895" width="8" style="2858" customWidth="1"/>
    <col min="2896" max="2896" width="8.85546875" style="2858" customWidth="1"/>
    <col min="2897" max="2897" width="8" style="2858" customWidth="1"/>
    <col min="2898" max="3127" width="11.42578125" style="2858"/>
    <col min="3128" max="3128" width="4" style="2858" customWidth="1"/>
    <col min="3129" max="3129" width="18.42578125" style="2858" customWidth="1"/>
    <col min="3130" max="3130" width="16" style="2858" customWidth="1"/>
    <col min="3131" max="3131" width="46.42578125" style="2858" customWidth="1"/>
    <col min="3132" max="3132" width="9.28515625" style="2858" customWidth="1"/>
    <col min="3133" max="3133" width="16.85546875" style="2858" customWidth="1"/>
    <col min="3134" max="3134" width="9.85546875" style="2858" customWidth="1"/>
    <col min="3135" max="3135" width="12.42578125" style="2858" bestFit="1" customWidth="1"/>
    <col min="3136" max="3136" width="15.7109375" style="2858" customWidth="1"/>
    <col min="3137" max="3137" width="13.140625" style="2858" customWidth="1"/>
    <col min="3138" max="3138" width="17.140625" style="2858" customWidth="1"/>
    <col min="3139" max="3140" width="11.42578125" style="2858"/>
    <col min="3141" max="3146" width="9.28515625" style="2858" customWidth="1"/>
    <col min="3147" max="3148" width="10.85546875" style="2858" customWidth="1"/>
    <col min="3149" max="3149" width="9.28515625" style="2858" customWidth="1"/>
    <col min="3150" max="3150" width="10.5703125" style="2858" customWidth="1"/>
    <col min="3151" max="3151" width="8" style="2858" customWidth="1"/>
    <col min="3152" max="3152" width="8.85546875" style="2858" customWidth="1"/>
    <col min="3153" max="3153" width="8" style="2858" customWidth="1"/>
    <col min="3154" max="3383" width="11.42578125" style="2858"/>
    <col min="3384" max="3384" width="4" style="2858" customWidth="1"/>
    <col min="3385" max="3385" width="18.42578125" style="2858" customWidth="1"/>
    <col min="3386" max="3386" width="16" style="2858" customWidth="1"/>
    <col min="3387" max="3387" width="46.42578125" style="2858" customWidth="1"/>
    <col min="3388" max="3388" width="9.28515625" style="2858" customWidth="1"/>
    <col min="3389" max="3389" width="16.85546875" style="2858" customWidth="1"/>
    <col min="3390" max="3390" width="9.85546875" style="2858" customWidth="1"/>
    <col min="3391" max="3391" width="12.42578125" style="2858" bestFit="1" customWidth="1"/>
    <col min="3392" max="3392" width="15.7109375" style="2858" customWidth="1"/>
    <col min="3393" max="3393" width="13.140625" style="2858" customWidth="1"/>
    <col min="3394" max="3394" width="17.140625" style="2858" customWidth="1"/>
    <col min="3395" max="3396" width="11.42578125" style="2858"/>
    <col min="3397" max="3402" width="9.28515625" style="2858" customWidth="1"/>
    <col min="3403" max="3404" width="10.85546875" style="2858" customWidth="1"/>
    <col min="3405" max="3405" width="9.28515625" style="2858" customWidth="1"/>
    <col min="3406" max="3406" width="10.5703125" style="2858" customWidth="1"/>
    <col min="3407" max="3407" width="8" style="2858" customWidth="1"/>
    <col min="3408" max="3408" width="8.85546875" style="2858" customWidth="1"/>
    <col min="3409" max="3409" width="8" style="2858" customWidth="1"/>
    <col min="3410" max="3639" width="11.42578125" style="2858"/>
    <col min="3640" max="3640" width="4" style="2858" customWidth="1"/>
    <col min="3641" max="3641" width="18.42578125" style="2858" customWidth="1"/>
    <col min="3642" max="3642" width="16" style="2858" customWidth="1"/>
    <col min="3643" max="3643" width="46.42578125" style="2858" customWidth="1"/>
    <col min="3644" max="3644" width="9.28515625" style="2858" customWidth="1"/>
    <col min="3645" max="3645" width="16.85546875" style="2858" customWidth="1"/>
    <col min="3646" max="3646" width="9.85546875" style="2858" customWidth="1"/>
    <col min="3647" max="3647" width="12.42578125" style="2858" bestFit="1" customWidth="1"/>
    <col min="3648" max="3648" width="15.7109375" style="2858" customWidth="1"/>
    <col min="3649" max="3649" width="13.140625" style="2858" customWidth="1"/>
    <col min="3650" max="3650" width="17.140625" style="2858" customWidth="1"/>
    <col min="3651" max="3652" width="11.42578125" style="2858"/>
    <col min="3653" max="3658" width="9.28515625" style="2858" customWidth="1"/>
    <col min="3659" max="3660" width="10.85546875" style="2858" customWidth="1"/>
    <col min="3661" max="3661" width="9.28515625" style="2858" customWidth="1"/>
    <col min="3662" max="3662" width="10.5703125" style="2858" customWidth="1"/>
    <col min="3663" max="3663" width="8" style="2858" customWidth="1"/>
    <col min="3664" max="3664" width="8.85546875" style="2858" customWidth="1"/>
    <col min="3665" max="3665" width="8" style="2858" customWidth="1"/>
    <col min="3666" max="3895" width="11.42578125" style="2858"/>
    <col min="3896" max="3896" width="4" style="2858" customWidth="1"/>
    <col min="3897" max="3897" width="18.42578125" style="2858" customWidth="1"/>
    <col min="3898" max="3898" width="16" style="2858" customWidth="1"/>
    <col min="3899" max="3899" width="46.42578125" style="2858" customWidth="1"/>
    <col min="3900" max="3900" width="9.28515625" style="2858" customWidth="1"/>
    <col min="3901" max="3901" width="16.85546875" style="2858" customWidth="1"/>
    <col min="3902" max="3902" width="9.85546875" style="2858" customWidth="1"/>
    <col min="3903" max="3903" width="12.42578125" style="2858" bestFit="1" customWidth="1"/>
    <col min="3904" max="3904" width="15.7109375" style="2858" customWidth="1"/>
    <col min="3905" max="3905" width="13.140625" style="2858" customWidth="1"/>
    <col min="3906" max="3906" width="17.140625" style="2858" customWidth="1"/>
    <col min="3907" max="3908" width="11.42578125" style="2858"/>
    <col min="3909" max="3914" width="9.28515625" style="2858" customWidth="1"/>
    <col min="3915" max="3916" width="10.85546875" style="2858" customWidth="1"/>
    <col min="3917" max="3917" width="9.28515625" style="2858" customWidth="1"/>
    <col min="3918" max="3918" width="10.5703125" style="2858" customWidth="1"/>
    <col min="3919" max="3919" width="8" style="2858" customWidth="1"/>
    <col min="3920" max="3920" width="8.85546875" style="2858" customWidth="1"/>
    <col min="3921" max="3921" width="8" style="2858" customWidth="1"/>
    <col min="3922" max="4151" width="11.42578125" style="2858"/>
    <col min="4152" max="4152" width="4" style="2858" customWidth="1"/>
    <col min="4153" max="4153" width="18.42578125" style="2858" customWidth="1"/>
    <col min="4154" max="4154" width="16" style="2858" customWidth="1"/>
    <col min="4155" max="4155" width="46.42578125" style="2858" customWidth="1"/>
    <col min="4156" max="4156" width="9.28515625" style="2858" customWidth="1"/>
    <col min="4157" max="4157" width="16.85546875" style="2858" customWidth="1"/>
    <col min="4158" max="4158" width="9.85546875" style="2858" customWidth="1"/>
    <col min="4159" max="4159" width="12.42578125" style="2858" bestFit="1" customWidth="1"/>
    <col min="4160" max="4160" width="15.7109375" style="2858" customWidth="1"/>
    <col min="4161" max="4161" width="13.140625" style="2858" customWidth="1"/>
    <col min="4162" max="4162" width="17.140625" style="2858" customWidth="1"/>
    <col min="4163" max="4164" width="11.42578125" style="2858"/>
    <col min="4165" max="4170" width="9.28515625" style="2858" customWidth="1"/>
    <col min="4171" max="4172" width="10.85546875" style="2858" customWidth="1"/>
    <col min="4173" max="4173" width="9.28515625" style="2858" customWidth="1"/>
    <col min="4174" max="4174" width="10.5703125" style="2858" customWidth="1"/>
    <col min="4175" max="4175" width="8" style="2858" customWidth="1"/>
    <col min="4176" max="4176" width="8.85546875" style="2858" customWidth="1"/>
    <col min="4177" max="4177" width="8" style="2858" customWidth="1"/>
    <col min="4178" max="4407" width="11.42578125" style="2858"/>
    <col min="4408" max="4408" width="4" style="2858" customWidth="1"/>
    <col min="4409" max="4409" width="18.42578125" style="2858" customWidth="1"/>
    <col min="4410" max="4410" width="16" style="2858" customWidth="1"/>
    <col min="4411" max="4411" width="46.42578125" style="2858" customWidth="1"/>
    <col min="4412" max="4412" width="9.28515625" style="2858" customWidth="1"/>
    <col min="4413" max="4413" width="16.85546875" style="2858" customWidth="1"/>
    <col min="4414" max="4414" width="9.85546875" style="2858" customWidth="1"/>
    <col min="4415" max="4415" width="12.42578125" style="2858" bestFit="1" customWidth="1"/>
    <col min="4416" max="4416" width="15.7109375" style="2858" customWidth="1"/>
    <col min="4417" max="4417" width="13.140625" style="2858" customWidth="1"/>
    <col min="4418" max="4418" width="17.140625" style="2858" customWidth="1"/>
    <col min="4419" max="4420" width="11.42578125" style="2858"/>
    <col min="4421" max="4426" width="9.28515625" style="2858" customWidth="1"/>
    <col min="4427" max="4428" width="10.85546875" style="2858" customWidth="1"/>
    <col min="4429" max="4429" width="9.28515625" style="2858" customWidth="1"/>
    <col min="4430" max="4430" width="10.5703125" style="2858" customWidth="1"/>
    <col min="4431" max="4431" width="8" style="2858" customWidth="1"/>
    <col min="4432" max="4432" width="8.85546875" style="2858" customWidth="1"/>
    <col min="4433" max="4433" width="8" style="2858" customWidth="1"/>
    <col min="4434" max="4663" width="11.42578125" style="2858"/>
    <col min="4664" max="4664" width="4" style="2858" customWidth="1"/>
    <col min="4665" max="4665" width="18.42578125" style="2858" customWidth="1"/>
    <col min="4666" max="4666" width="16" style="2858" customWidth="1"/>
    <col min="4667" max="4667" width="46.42578125" style="2858" customWidth="1"/>
    <col min="4668" max="4668" width="9.28515625" style="2858" customWidth="1"/>
    <col min="4669" max="4669" width="16.85546875" style="2858" customWidth="1"/>
    <col min="4670" max="4670" width="9.85546875" style="2858" customWidth="1"/>
    <col min="4671" max="4671" width="12.42578125" style="2858" bestFit="1" customWidth="1"/>
    <col min="4672" max="4672" width="15.7109375" style="2858" customWidth="1"/>
    <col min="4673" max="4673" width="13.140625" style="2858" customWidth="1"/>
    <col min="4674" max="4674" width="17.140625" style="2858" customWidth="1"/>
    <col min="4675" max="4676" width="11.42578125" style="2858"/>
    <col min="4677" max="4682" width="9.28515625" style="2858" customWidth="1"/>
    <col min="4683" max="4684" width="10.85546875" style="2858" customWidth="1"/>
    <col min="4685" max="4685" width="9.28515625" style="2858" customWidth="1"/>
    <col min="4686" max="4686" width="10.5703125" style="2858" customWidth="1"/>
    <col min="4687" max="4687" width="8" style="2858" customWidth="1"/>
    <col min="4688" max="4688" width="8.85546875" style="2858" customWidth="1"/>
    <col min="4689" max="4689" width="8" style="2858" customWidth="1"/>
    <col min="4690" max="4919" width="11.42578125" style="2858"/>
    <col min="4920" max="4920" width="4" style="2858" customWidth="1"/>
    <col min="4921" max="4921" width="18.42578125" style="2858" customWidth="1"/>
    <col min="4922" max="4922" width="16" style="2858" customWidth="1"/>
    <col min="4923" max="4923" width="46.42578125" style="2858" customWidth="1"/>
    <col min="4924" max="4924" width="9.28515625" style="2858" customWidth="1"/>
    <col min="4925" max="4925" width="16.85546875" style="2858" customWidth="1"/>
    <col min="4926" max="4926" width="9.85546875" style="2858" customWidth="1"/>
    <col min="4927" max="4927" width="12.42578125" style="2858" bestFit="1" customWidth="1"/>
    <col min="4928" max="4928" width="15.7109375" style="2858" customWidth="1"/>
    <col min="4929" max="4929" width="13.140625" style="2858" customWidth="1"/>
    <col min="4930" max="4930" width="17.140625" style="2858" customWidth="1"/>
    <col min="4931" max="4932" width="11.42578125" style="2858"/>
    <col min="4933" max="4938" width="9.28515625" style="2858" customWidth="1"/>
    <col min="4939" max="4940" width="10.85546875" style="2858" customWidth="1"/>
    <col min="4941" max="4941" width="9.28515625" style="2858" customWidth="1"/>
    <col min="4942" max="4942" width="10.5703125" style="2858" customWidth="1"/>
    <col min="4943" max="4943" width="8" style="2858" customWidth="1"/>
    <col min="4944" max="4944" width="8.85546875" style="2858" customWidth="1"/>
    <col min="4945" max="4945" width="8" style="2858" customWidth="1"/>
    <col min="4946" max="5175" width="11.42578125" style="2858"/>
    <col min="5176" max="5176" width="4" style="2858" customWidth="1"/>
    <col min="5177" max="5177" width="18.42578125" style="2858" customWidth="1"/>
    <col min="5178" max="5178" width="16" style="2858" customWidth="1"/>
    <col min="5179" max="5179" width="46.42578125" style="2858" customWidth="1"/>
    <col min="5180" max="5180" width="9.28515625" style="2858" customWidth="1"/>
    <col min="5181" max="5181" width="16.85546875" style="2858" customWidth="1"/>
    <col min="5182" max="5182" width="9.85546875" style="2858" customWidth="1"/>
    <col min="5183" max="5183" width="12.42578125" style="2858" bestFit="1" customWidth="1"/>
    <col min="5184" max="5184" width="15.7109375" style="2858" customWidth="1"/>
    <col min="5185" max="5185" width="13.140625" style="2858" customWidth="1"/>
    <col min="5186" max="5186" width="17.140625" style="2858" customWidth="1"/>
    <col min="5187" max="5188" width="11.42578125" style="2858"/>
    <col min="5189" max="5194" width="9.28515625" style="2858" customWidth="1"/>
    <col min="5195" max="5196" width="10.85546875" style="2858" customWidth="1"/>
    <col min="5197" max="5197" width="9.28515625" style="2858" customWidth="1"/>
    <col min="5198" max="5198" width="10.5703125" style="2858" customWidth="1"/>
    <col min="5199" max="5199" width="8" style="2858" customWidth="1"/>
    <col min="5200" max="5200" width="8.85546875" style="2858" customWidth="1"/>
    <col min="5201" max="5201" width="8" style="2858" customWidth="1"/>
    <col min="5202" max="5431" width="11.42578125" style="2858"/>
    <col min="5432" max="5432" width="4" style="2858" customWidth="1"/>
    <col min="5433" max="5433" width="18.42578125" style="2858" customWidth="1"/>
    <col min="5434" max="5434" width="16" style="2858" customWidth="1"/>
    <col min="5435" max="5435" width="46.42578125" style="2858" customWidth="1"/>
    <col min="5436" max="5436" width="9.28515625" style="2858" customWidth="1"/>
    <col min="5437" max="5437" width="16.85546875" style="2858" customWidth="1"/>
    <col min="5438" max="5438" width="9.85546875" style="2858" customWidth="1"/>
    <col min="5439" max="5439" width="12.42578125" style="2858" bestFit="1" customWidth="1"/>
    <col min="5440" max="5440" width="15.7109375" style="2858" customWidth="1"/>
    <col min="5441" max="5441" width="13.140625" style="2858" customWidth="1"/>
    <col min="5442" max="5442" width="17.140625" style="2858" customWidth="1"/>
    <col min="5443" max="5444" width="11.42578125" style="2858"/>
    <col min="5445" max="5450" width="9.28515625" style="2858" customWidth="1"/>
    <col min="5451" max="5452" width="10.85546875" style="2858" customWidth="1"/>
    <col min="5453" max="5453" width="9.28515625" style="2858" customWidth="1"/>
    <col min="5454" max="5454" width="10.5703125" style="2858" customWidth="1"/>
    <col min="5455" max="5455" width="8" style="2858" customWidth="1"/>
    <col min="5456" max="5456" width="8.85546875" style="2858" customWidth="1"/>
    <col min="5457" max="5457" width="8" style="2858" customWidth="1"/>
    <col min="5458" max="5687" width="11.42578125" style="2858"/>
    <col min="5688" max="5688" width="4" style="2858" customWidth="1"/>
    <col min="5689" max="5689" width="18.42578125" style="2858" customWidth="1"/>
    <col min="5690" max="5690" width="16" style="2858" customWidth="1"/>
    <col min="5691" max="5691" width="46.42578125" style="2858" customWidth="1"/>
    <col min="5692" max="5692" width="9.28515625" style="2858" customWidth="1"/>
    <col min="5693" max="5693" width="16.85546875" style="2858" customWidth="1"/>
    <col min="5694" max="5694" width="9.85546875" style="2858" customWidth="1"/>
    <col min="5695" max="5695" width="12.42578125" style="2858" bestFit="1" customWidth="1"/>
    <col min="5696" max="5696" width="15.7109375" style="2858" customWidth="1"/>
    <col min="5697" max="5697" width="13.140625" style="2858" customWidth="1"/>
    <col min="5698" max="5698" width="17.140625" style="2858" customWidth="1"/>
    <col min="5699" max="5700" width="11.42578125" style="2858"/>
    <col min="5701" max="5706" width="9.28515625" style="2858" customWidth="1"/>
    <col min="5707" max="5708" width="10.85546875" style="2858" customWidth="1"/>
    <col min="5709" max="5709" width="9.28515625" style="2858" customWidth="1"/>
    <col min="5710" max="5710" width="10.5703125" style="2858" customWidth="1"/>
    <col min="5711" max="5711" width="8" style="2858" customWidth="1"/>
    <col min="5712" max="5712" width="8.85546875" style="2858" customWidth="1"/>
    <col min="5713" max="5713" width="8" style="2858" customWidth="1"/>
    <col min="5714" max="5943" width="11.42578125" style="2858"/>
    <col min="5944" max="5944" width="4" style="2858" customWidth="1"/>
    <col min="5945" max="5945" width="18.42578125" style="2858" customWidth="1"/>
    <col min="5946" max="5946" width="16" style="2858" customWidth="1"/>
    <col min="5947" max="5947" width="46.42578125" style="2858" customWidth="1"/>
    <col min="5948" max="5948" width="9.28515625" style="2858" customWidth="1"/>
    <col min="5949" max="5949" width="16.85546875" style="2858" customWidth="1"/>
    <col min="5950" max="5950" width="9.85546875" style="2858" customWidth="1"/>
    <col min="5951" max="5951" width="12.42578125" style="2858" bestFit="1" customWidth="1"/>
    <col min="5952" max="5952" width="15.7109375" style="2858" customWidth="1"/>
    <col min="5953" max="5953" width="13.140625" style="2858" customWidth="1"/>
    <col min="5954" max="5954" width="17.140625" style="2858" customWidth="1"/>
    <col min="5955" max="5956" width="11.42578125" style="2858"/>
    <col min="5957" max="5962" width="9.28515625" style="2858" customWidth="1"/>
    <col min="5963" max="5964" width="10.85546875" style="2858" customWidth="1"/>
    <col min="5965" max="5965" width="9.28515625" style="2858" customWidth="1"/>
    <col min="5966" max="5966" width="10.5703125" style="2858" customWidth="1"/>
    <col min="5967" max="5967" width="8" style="2858" customWidth="1"/>
    <col min="5968" max="5968" width="8.85546875" style="2858" customWidth="1"/>
    <col min="5969" max="5969" width="8" style="2858" customWidth="1"/>
    <col min="5970" max="6199" width="11.42578125" style="2858"/>
    <col min="6200" max="6200" width="4" style="2858" customWidth="1"/>
    <col min="6201" max="6201" width="18.42578125" style="2858" customWidth="1"/>
    <col min="6202" max="6202" width="16" style="2858" customWidth="1"/>
    <col min="6203" max="6203" width="46.42578125" style="2858" customWidth="1"/>
    <col min="6204" max="6204" width="9.28515625" style="2858" customWidth="1"/>
    <col min="6205" max="6205" width="16.85546875" style="2858" customWidth="1"/>
    <col min="6206" max="6206" width="9.85546875" style="2858" customWidth="1"/>
    <col min="6207" max="6207" width="12.42578125" style="2858" bestFit="1" customWidth="1"/>
    <col min="6208" max="6208" width="15.7109375" style="2858" customWidth="1"/>
    <col min="6209" max="6209" width="13.140625" style="2858" customWidth="1"/>
    <col min="6210" max="6210" width="17.140625" style="2858" customWidth="1"/>
    <col min="6211" max="6212" width="11.42578125" style="2858"/>
    <col min="6213" max="6218" width="9.28515625" style="2858" customWidth="1"/>
    <col min="6219" max="6220" width="10.85546875" style="2858" customWidth="1"/>
    <col min="6221" max="6221" width="9.28515625" style="2858" customWidth="1"/>
    <col min="6222" max="6222" width="10.5703125" style="2858" customWidth="1"/>
    <col min="6223" max="6223" width="8" style="2858" customWidth="1"/>
    <col min="6224" max="6224" width="8.85546875" style="2858" customWidth="1"/>
    <col min="6225" max="6225" width="8" style="2858" customWidth="1"/>
    <col min="6226" max="6455" width="11.42578125" style="2858"/>
    <col min="6456" max="6456" width="4" style="2858" customWidth="1"/>
    <col min="6457" max="6457" width="18.42578125" style="2858" customWidth="1"/>
    <col min="6458" max="6458" width="16" style="2858" customWidth="1"/>
    <col min="6459" max="6459" width="46.42578125" style="2858" customWidth="1"/>
    <col min="6460" max="6460" width="9.28515625" style="2858" customWidth="1"/>
    <col min="6461" max="6461" width="16.85546875" style="2858" customWidth="1"/>
    <col min="6462" max="6462" width="9.85546875" style="2858" customWidth="1"/>
    <col min="6463" max="6463" width="12.42578125" style="2858" bestFit="1" customWidth="1"/>
    <col min="6464" max="6464" width="15.7109375" style="2858" customWidth="1"/>
    <col min="6465" max="6465" width="13.140625" style="2858" customWidth="1"/>
    <col min="6466" max="6466" width="17.140625" style="2858" customWidth="1"/>
    <col min="6467" max="6468" width="11.42578125" style="2858"/>
    <col min="6469" max="6474" width="9.28515625" style="2858" customWidth="1"/>
    <col min="6475" max="6476" width="10.85546875" style="2858" customWidth="1"/>
    <col min="6477" max="6477" width="9.28515625" style="2858" customWidth="1"/>
    <col min="6478" max="6478" width="10.5703125" style="2858" customWidth="1"/>
    <col min="6479" max="6479" width="8" style="2858" customWidth="1"/>
    <col min="6480" max="6480" width="8.85546875" style="2858" customWidth="1"/>
    <col min="6481" max="6481" width="8" style="2858" customWidth="1"/>
    <col min="6482" max="6711" width="11.42578125" style="2858"/>
    <col min="6712" max="6712" width="4" style="2858" customWidth="1"/>
    <col min="6713" max="6713" width="18.42578125" style="2858" customWidth="1"/>
    <col min="6714" max="6714" width="16" style="2858" customWidth="1"/>
    <col min="6715" max="6715" width="46.42578125" style="2858" customWidth="1"/>
    <col min="6716" max="6716" width="9.28515625" style="2858" customWidth="1"/>
    <col min="6717" max="6717" width="16.85546875" style="2858" customWidth="1"/>
    <col min="6718" max="6718" width="9.85546875" style="2858" customWidth="1"/>
    <col min="6719" max="6719" width="12.42578125" style="2858" bestFit="1" customWidth="1"/>
    <col min="6720" max="6720" width="15.7109375" style="2858" customWidth="1"/>
    <col min="6721" max="6721" width="13.140625" style="2858" customWidth="1"/>
    <col min="6722" max="6722" width="17.140625" style="2858" customWidth="1"/>
    <col min="6723" max="6724" width="11.42578125" style="2858"/>
    <col min="6725" max="6730" width="9.28515625" style="2858" customWidth="1"/>
    <col min="6731" max="6732" width="10.85546875" style="2858" customWidth="1"/>
    <col min="6733" max="6733" width="9.28515625" style="2858" customWidth="1"/>
    <col min="6734" max="6734" width="10.5703125" style="2858" customWidth="1"/>
    <col min="6735" max="6735" width="8" style="2858" customWidth="1"/>
    <col min="6736" max="6736" width="8.85546875" style="2858" customWidth="1"/>
    <col min="6737" max="6737" width="8" style="2858" customWidth="1"/>
    <col min="6738" max="6967" width="11.42578125" style="2858"/>
    <col min="6968" max="6968" width="4" style="2858" customWidth="1"/>
    <col min="6969" max="6969" width="18.42578125" style="2858" customWidth="1"/>
    <col min="6970" max="6970" width="16" style="2858" customWidth="1"/>
    <col min="6971" max="6971" width="46.42578125" style="2858" customWidth="1"/>
    <col min="6972" max="6972" width="9.28515625" style="2858" customWidth="1"/>
    <col min="6973" max="6973" width="16.85546875" style="2858" customWidth="1"/>
    <col min="6974" max="6974" width="9.85546875" style="2858" customWidth="1"/>
    <col min="6975" max="6975" width="12.42578125" style="2858" bestFit="1" customWidth="1"/>
    <col min="6976" max="6976" width="15.7109375" style="2858" customWidth="1"/>
    <col min="6977" max="6977" width="13.140625" style="2858" customWidth="1"/>
    <col min="6978" max="6978" width="17.140625" style="2858" customWidth="1"/>
    <col min="6979" max="6980" width="11.42578125" style="2858"/>
    <col min="6981" max="6986" width="9.28515625" style="2858" customWidth="1"/>
    <col min="6987" max="6988" width="10.85546875" style="2858" customWidth="1"/>
    <col min="6989" max="6989" width="9.28515625" style="2858" customWidth="1"/>
    <col min="6990" max="6990" width="10.5703125" style="2858" customWidth="1"/>
    <col min="6991" max="6991" width="8" style="2858" customWidth="1"/>
    <col min="6992" max="6992" width="8.85546875" style="2858" customWidth="1"/>
    <col min="6993" max="6993" width="8" style="2858" customWidth="1"/>
    <col min="6994" max="7223" width="11.42578125" style="2858"/>
    <col min="7224" max="7224" width="4" style="2858" customWidth="1"/>
    <col min="7225" max="7225" width="18.42578125" style="2858" customWidth="1"/>
    <col min="7226" max="7226" width="16" style="2858" customWidth="1"/>
    <col min="7227" max="7227" width="46.42578125" style="2858" customWidth="1"/>
    <col min="7228" max="7228" width="9.28515625" style="2858" customWidth="1"/>
    <col min="7229" max="7229" width="16.85546875" style="2858" customWidth="1"/>
    <col min="7230" max="7230" width="9.85546875" style="2858" customWidth="1"/>
    <col min="7231" max="7231" width="12.42578125" style="2858" bestFit="1" customWidth="1"/>
    <col min="7232" max="7232" width="15.7109375" style="2858" customWidth="1"/>
    <col min="7233" max="7233" width="13.140625" style="2858" customWidth="1"/>
    <col min="7234" max="7234" width="17.140625" style="2858" customWidth="1"/>
    <col min="7235" max="7236" width="11.42578125" style="2858"/>
    <col min="7237" max="7242" width="9.28515625" style="2858" customWidth="1"/>
    <col min="7243" max="7244" width="10.85546875" style="2858" customWidth="1"/>
    <col min="7245" max="7245" width="9.28515625" style="2858" customWidth="1"/>
    <col min="7246" max="7246" width="10.5703125" style="2858" customWidth="1"/>
    <col min="7247" max="7247" width="8" style="2858" customWidth="1"/>
    <col min="7248" max="7248" width="8.85546875" style="2858" customWidth="1"/>
    <col min="7249" max="7249" width="8" style="2858" customWidth="1"/>
    <col min="7250" max="7479" width="11.42578125" style="2858"/>
    <col min="7480" max="7480" width="4" style="2858" customWidth="1"/>
    <col min="7481" max="7481" width="18.42578125" style="2858" customWidth="1"/>
    <col min="7482" max="7482" width="16" style="2858" customWidth="1"/>
    <col min="7483" max="7483" width="46.42578125" style="2858" customWidth="1"/>
    <col min="7484" max="7484" width="9.28515625" style="2858" customWidth="1"/>
    <col min="7485" max="7485" width="16.85546875" style="2858" customWidth="1"/>
    <col min="7486" max="7486" width="9.85546875" style="2858" customWidth="1"/>
    <col min="7487" max="7487" width="12.42578125" style="2858" bestFit="1" customWidth="1"/>
    <col min="7488" max="7488" width="15.7109375" style="2858" customWidth="1"/>
    <col min="7489" max="7489" width="13.140625" style="2858" customWidth="1"/>
    <col min="7490" max="7490" width="17.140625" style="2858" customWidth="1"/>
    <col min="7491" max="7492" width="11.42578125" style="2858"/>
    <col min="7493" max="7498" width="9.28515625" style="2858" customWidth="1"/>
    <col min="7499" max="7500" width="10.85546875" style="2858" customWidth="1"/>
    <col min="7501" max="7501" width="9.28515625" style="2858" customWidth="1"/>
    <col min="7502" max="7502" width="10.5703125" style="2858" customWidth="1"/>
    <col min="7503" max="7503" width="8" style="2858" customWidth="1"/>
    <col min="7504" max="7504" width="8.85546875" style="2858" customWidth="1"/>
    <col min="7505" max="7505" width="8" style="2858" customWidth="1"/>
    <col min="7506" max="7735" width="11.42578125" style="2858"/>
    <col min="7736" max="7736" width="4" style="2858" customWidth="1"/>
    <col min="7737" max="7737" width="18.42578125" style="2858" customWidth="1"/>
    <col min="7738" max="7738" width="16" style="2858" customWidth="1"/>
    <col min="7739" max="7739" width="46.42578125" style="2858" customWidth="1"/>
    <col min="7740" max="7740" width="9.28515625" style="2858" customWidth="1"/>
    <col min="7741" max="7741" width="16.85546875" style="2858" customWidth="1"/>
    <col min="7742" max="7742" width="9.85546875" style="2858" customWidth="1"/>
    <col min="7743" max="7743" width="12.42578125" style="2858" bestFit="1" customWidth="1"/>
    <col min="7744" max="7744" width="15.7109375" style="2858" customWidth="1"/>
    <col min="7745" max="7745" width="13.140625" style="2858" customWidth="1"/>
    <col min="7746" max="7746" width="17.140625" style="2858" customWidth="1"/>
    <col min="7747" max="7748" width="11.42578125" style="2858"/>
    <col min="7749" max="7754" width="9.28515625" style="2858" customWidth="1"/>
    <col min="7755" max="7756" width="10.85546875" style="2858" customWidth="1"/>
    <col min="7757" max="7757" width="9.28515625" style="2858" customWidth="1"/>
    <col min="7758" max="7758" width="10.5703125" style="2858" customWidth="1"/>
    <col min="7759" max="7759" width="8" style="2858" customWidth="1"/>
    <col min="7760" max="7760" width="8.85546875" style="2858" customWidth="1"/>
    <col min="7761" max="7761" width="8" style="2858" customWidth="1"/>
    <col min="7762" max="7991" width="11.42578125" style="2858"/>
    <col min="7992" max="7992" width="4" style="2858" customWidth="1"/>
    <col min="7993" max="7993" width="18.42578125" style="2858" customWidth="1"/>
    <col min="7994" max="7994" width="16" style="2858" customWidth="1"/>
    <col min="7995" max="7995" width="46.42578125" style="2858" customWidth="1"/>
    <col min="7996" max="7996" width="9.28515625" style="2858" customWidth="1"/>
    <col min="7997" max="7997" width="16.85546875" style="2858" customWidth="1"/>
    <col min="7998" max="7998" width="9.85546875" style="2858" customWidth="1"/>
    <col min="7999" max="7999" width="12.42578125" style="2858" bestFit="1" customWidth="1"/>
    <col min="8000" max="8000" width="15.7109375" style="2858" customWidth="1"/>
    <col min="8001" max="8001" width="13.140625" style="2858" customWidth="1"/>
    <col min="8002" max="8002" width="17.140625" style="2858" customWidth="1"/>
    <col min="8003" max="8004" width="11.42578125" style="2858"/>
    <col min="8005" max="8010" width="9.28515625" style="2858" customWidth="1"/>
    <col min="8011" max="8012" width="10.85546875" style="2858" customWidth="1"/>
    <col min="8013" max="8013" width="9.28515625" style="2858" customWidth="1"/>
    <col min="8014" max="8014" width="10.5703125" style="2858" customWidth="1"/>
    <col min="8015" max="8015" width="8" style="2858" customWidth="1"/>
    <col min="8016" max="8016" width="8.85546875" style="2858" customWidth="1"/>
    <col min="8017" max="8017" width="8" style="2858" customWidth="1"/>
    <col min="8018" max="8247" width="11.42578125" style="2858"/>
    <col min="8248" max="8248" width="4" style="2858" customWidth="1"/>
    <col min="8249" max="8249" width="18.42578125" style="2858" customWidth="1"/>
    <col min="8250" max="8250" width="16" style="2858" customWidth="1"/>
    <col min="8251" max="8251" width="46.42578125" style="2858" customWidth="1"/>
    <col min="8252" max="8252" width="9.28515625" style="2858" customWidth="1"/>
    <col min="8253" max="8253" width="16.85546875" style="2858" customWidth="1"/>
    <col min="8254" max="8254" width="9.85546875" style="2858" customWidth="1"/>
    <col min="8255" max="8255" width="12.42578125" style="2858" bestFit="1" customWidth="1"/>
    <col min="8256" max="8256" width="15.7109375" style="2858" customWidth="1"/>
    <col min="8257" max="8257" width="13.140625" style="2858" customWidth="1"/>
    <col min="8258" max="8258" width="17.140625" style="2858" customWidth="1"/>
    <col min="8259" max="8260" width="11.42578125" style="2858"/>
    <col min="8261" max="8266" width="9.28515625" style="2858" customWidth="1"/>
    <col min="8267" max="8268" width="10.85546875" style="2858" customWidth="1"/>
    <col min="8269" max="8269" width="9.28515625" style="2858" customWidth="1"/>
    <col min="8270" max="8270" width="10.5703125" style="2858" customWidth="1"/>
    <col min="8271" max="8271" width="8" style="2858" customWidth="1"/>
    <col min="8272" max="8272" width="8.85546875" style="2858" customWidth="1"/>
    <col min="8273" max="8273" width="8" style="2858" customWidth="1"/>
    <col min="8274" max="8503" width="11.42578125" style="2858"/>
    <col min="8504" max="8504" width="4" style="2858" customWidth="1"/>
    <col min="8505" max="8505" width="18.42578125" style="2858" customWidth="1"/>
    <col min="8506" max="8506" width="16" style="2858" customWidth="1"/>
    <col min="8507" max="8507" width="46.42578125" style="2858" customWidth="1"/>
    <col min="8508" max="8508" width="9.28515625" style="2858" customWidth="1"/>
    <col min="8509" max="8509" width="16.85546875" style="2858" customWidth="1"/>
    <col min="8510" max="8510" width="9.85546875" style="2858" customWidth="1"/>
    <col min="8511" max="8511" width="12.42578125" style="2858" bestFit="1" customWidth="1"/>
    <col min="8512" max="8512" width="15.7109375" style="2858" customWidth="1"/>
    <col min="8513" max="8513" width="13.140625" style="2858" customWidth="1"/>
    <col min="8514" max="8514" width="17.140625" style="2858" customWidth="1"/>
    <col min="8515" max="8516" width="11.42578125" style="2858"/>
    <col min="8517" max="8522" width="9.28515625" style="2858" customWidth="1"/>
    <col min="8523" max="8524" width="10.85546875" style="2858" customWidth="1"/>
    <col min="8525" max="8525" width="9.28515625" style="2858" customWidth="1"/>
    <col min="8526" max="8526" width="10.5703125" style="2858" customWidth="1"/>
    <col min="8527" max="8527" width="8" style="2858" customWidth="1"/>
    <col min="8528" max="8528" width="8.85546875" style="2858" customWidth="1"/>
    <col min="8529" max="8529" width="8" style="2858" customWidth="1"/>
    <col min="8530" max="8759" width="11.42578125" style="2858"/>
    <col min="8760" max="8760" width="4" style="2858" customWidth="1"/>
    <col min="8761" max="8761" width="18.42578125" style="2858" customWidth="1"/>
    <col min="8762" max="8762" width="16" style="2858" customWidth="1"/>
    <col min="8763" max="8763" width="46.42578125" style="2858" customWidth="1"/>
    <col min="8764" max="8764" width="9.28515625" style="2858" customWidth="1"/>
    <col min="8765" max="8765" width="16.85546875" style="2858" customWidth="1"/>
    <col min="8766" max="8766" width="9.85546875" style="2858" customWidth="1"/>
    <col min="8767" max="8767" width="12.42578125" style="2858" bestFit="1" customWidth="1"/>
    <col min="8768" max="8768" width="15.7109375" style="2858" customWidth="1"/>
    <col min="8769" max="8769" width="13.140625" style="2858" customWidth="1"/>
    <col min="8770" max="8770" width="17.140625" style="2858" customWidth="1"/>
    <col min="8771" max="8772" width="11.42578125" style="2858"/>
    <col min="8773" max="8778" width="9.28515625" style="2858" customWidth="1"/>
    <col min="8779" max="8780" width="10.85546875" style="2858" customWidth="1"/>
    <col min="8781" max="8781" width="9.28515625" style="2858" customWidth="1"/>
    <col min="8782" max="8782" width="10.5703125" style="2858" customWidth="1"/>
    <col min="8783" max="8783" width="8" style="2858" customWidth="1"/>
    <col min="8784" max="8784" width="8.85546875" style="2858" customWidth="1"/>
    <col min="8785" max="8785" width="8" style="2858" customWidth="1"/>
    <col min="8786" max="9015" width="11.42578125" style="2858"/>
    <col min="9016" max="9016" width="4" style="2858" customWidth="1"/>
    <col min="9017" max="9017" width="18.42578125" style="2858" customWidth="1"/>
    <col min="9018" max="9018" width="16" style="2858" customWidth="1"/>
    <col min="9019" max="9019" width="46.42578125" style="2858" customWidth="1"/>
    <col min="9020" max="9020" width="9.28515625" style="2858" customWidth="1"/>
    <col min="9021" max="9021" width="16.85546875" style="2858" customWidth="1"/>
    <col min="9022" max="9022" width="9.85546875" style="2858" customWidth="1"/>
    <col min="9023" max="9023" width="12.42578125" style="2858" bestFit="1" customWidth="1"/>
    <col min="9024" max="9024" width="15.7109375" style="2858" customWidth="1"/>
    <col min="9025" max="9025" width="13.140625" style="2858" customWidth="1"/>
    <col min="9026" max="9026" width="17.140625" style="2858" customWidth="1"/>
    <col min="9027" max="9028" width="11.42578125" style="2858"/>
    <col min="9029" max="9034" width="9.28515625" style="2858" customWidth="1"/>
    <col min="9035" max="9036" width="10.85546875" style="2858" customWidth="1"/>
    <col min="9037" max="9037" width="9.28515625" style="2858" customWidth="1"/>
    <col min="9038" max="9038" width="10.5703125" style="2858" customWidth="1"/>
    <col min="9039" max="9039" width="8" style="2858" customWidth="1"/>
    <col min="9040" max="9040" width="8.85546875" style="2858" customWidth="1"/>
    <col min="9041" max="9041" width="8" style="2858" customWidth="1"/>
    <col min="9042" max="9271" width="11.42578125" style="2858"/>
    <col min="9272" max="9272" width="4" style="2858" customWidth="1"/>
    <col min="9273" max="9273" width="18.42578125" style="2858" customWidth="1"/>
    <col min="9274" max="9274" width="16" style="2858" customWidth="1"/>
    <col min="9275" max="9275" width="46.42578125" style="2858" customWidth="1"/>
    <col min="9276" max="9276" width="9.28515625" style="2858" customWidth="1"/>
    <col min="9277" max="9277" width="16.85546875" style="2858" customWidth="1"/>
    <col min="9278" max="9278" width="9.85546875" style="2858" customWidth="1"/>
    <col min="9279" max="9279" width="12.42578125" style="2858" bestFit="1" customWidth="1"/>
    <col min="9280" max="9280" width="15.7109375" style="2858" customWidth="1"/>
    <col min="9281" max="9281" width="13.140625" style="2858" customWidth="1"/>
    <col min="9282" max="9282" width="17.140625" style="2858" customWidth="1"/>
    <col min="9283" max="9284" width="11.42578125" style="2858"/>
    <col min="9285" max="9290" width="9.28515625" style="2858" customWidth="1"/>
    <col min="9291" max="9292" width="10.85546875" style="2858" customWidth="1"/>
    <col min="9293" max="9293" width="9.28515625" style="2858" customWidth="1"/>
    <col min="9294" max="9294" width="10.5703125" style="2858" customWidth="1"/>
    <col min="9295" max="9295" width="8" style="2858" customWidth="1"/>
    <col min="9296" max="9296" width="8.85546875" style="2858" customWidth="1"/>
    <col min="9297" max="9297" width="8" style="2858" customWidth="1"/>
    <col min="9298" max="9527" width="11.42578125" style="2858"/>
    <col min="9528" max="9528" width="4" style="2858" customWidth="1"/>
    <col min="9529" max="9529" width="18.42578125" style="2858" customWidth="1"/>
    <col min="9530" max="9530" width="16" style="2858" customWidth="1"/>
    <col min="9531" max="9531" width="46.42578125" style="2858" customWidth="1"/>
    <col min="9532" max="9532" width="9.28515625" style="2858" customWidth="1"/>
    <col min="9533" max="9533" width="16.85546875" style="2858" customWidth="1"/>
    <col min="9534" max="9534" width="9.85546875" style="2858" customWidth="1"/>
    <col min="9535" max="9535" width="12.42578125" style="2858" bestFit="1" customWidth="1"/>
    <col min="9536" max="9536" width="15.7109375" style="2858" customWidth="1"/>
    <col min="9537" max="9537" width="13.140625" style="2858" customWidth="1"/>
    <col min="9538" max="9538" width="17.140625" style="2858" customWidth="1"/>
    <col min="9539" max="9540" width="11.42578125" style="2858"/>
    <col min="9541" max="9546" width="9.28515625" style="2858" customWidth="1"/>
    <col min="9547" max="9548" width="10.85546875" style="2858" customWidth="1"/>
    <col min="9549" max="9549" width="9.28515625" style="2858" customWidth="1"/>
    <col min="9550" max="9550" width="10.5703125" style="2858" customWidth="1"/>
    <col min="9551" max="9551" width="8" style="2858" customWidth="1"/>
    <col min="9552" max="9552" width="8.85546875" style="2858" customWidth="1"/>
    <col min="9553" max="9553" width="8" style="2858" customWidth="1"/>
    <col min="9554" max="9783" width="11.42578125" style="2858"/>
    <col min="9784" max="9784" width="4" style="2858" customWidth="1"/>
    <col min="9785" max="9785" width="18.42578125" style="2858" customWidth="1"/>
    <col min="9786" max="9786" width="16" style="2858" customWidth="1"/>
    <col min="9787" max="9787" width="46.42578125" style="2858" customWidth="1"/>
    <col min="9788" max="9788" width="9.28515625" style="2858" customWidth="1"/>
    <col min="9789" max="9789" width="16.85546875" style="2858" customWidth="1"/>
    <col min="9790" max="9790" width="9.85546875" style="2858" customWidth="1"/>
    <col min="9791" max="9791" width="12.42578125" style="2858" bestFit="1" customWidth="1"/>
    <col min="9792" max="9792" width="15.7109375" style="2858" customWidth="1"/>
    <col min="9793" max="9793" width="13.140625" style="2858" customWidth="1"/>
    <col min="9794" max="9794" width="17.140625" style="2858" customWidth="1"/>
    <col min="9795" max="9796" width="11.42578125" style="2858"/>
    <col min="9797" max="9802" width="9.28515625" style="2858" customWidth="1"/>
    <col min="9803" max="9804" width="10.85546875" style="2858" customWidth="1"/>
    <col min="9805" max="9805" width="9.28515625" style="2858" customWidth="1"/>
    <col min="9806" max="9806" width="10.5703125" style="2858" customWidth="1"/>
    <col min="9807" max="9807" width="8" style="2858" customWidth="1"/>
    <col min="9808" max="9808" width="8.85546875" style="2858" customWidth="1"/>
    <col min="9809" max="9809" width="8" style="2858" customWidth="1"/>
    <col min="9810" max="10039" width="11.42578125" style="2858"/>
    <col min="10040" max="10040" width="4" style="2858" customWidth="1"/>
    <col min="10041" max="10041" width="18.42578125" style="2858" customWidth="1"/>
    <col min="10042" max="10042" width="16" style="2858" customWidth="1"/>
    <col min="10043" max="10043" width="46.42578125" style="2858" customWidth="1"/>
    <col min="10044" max="10044" width="9.28515625" style="2858" customWidth="1"/>
    <col min="10045" max="10045" width="16.85546875" style="2858" customWidth="1"/>
    <col min="10046" max="10046" width="9.85546875" style="2858" customWidth="1"/>
    <col min="10047" max="10047" width="12.42578125" style="2858" bestFit="1" customWidth="1"/>
    <col min="10048" max="10048" width="15.7109375" style="2858" customWidth="1"/>
    <col min="10049" max="10049" width="13.140625" style="2858" customWidth="1"/>
    <col min="10050" max="10050" width="17.140625" style="2858" customWidth="1"/>
    <col min="10051" max="10052" width="11.42578125" style="2858"/>
    <col min="10053" max="10058" width="9.28515625" style="2858" customWidth="1"/>
    <col min="10059" max="10060" width="10.85546875" style="2858" customWidth="1"/>
    <col min="10061" max="10061" width="9.28515625" style="2858" customWidth="1"/>
    <col min="10062" max="10062" width="10.5703125" style="2858" customWidth="1"/>
    <col min="10063" max="10063" width="8" style="2858" customWidth="1"/>
    <col min="10064" max="10064" width="8.85546875" style="2858" customWidth="1"/>
    <col min="10065" max="10065" width="8" style="2858" customWidth="1"/>
    <col min="10066" max="10295" width="11.42578125" style="2858"/>
    <col min="10296" max="10296" width="4" style="2858" customWidth="1"/>
    <col min="10297" max="10297" width="18.42578125" style="2858" customWidth="1"/>
    <col min="10298" max="10298" width="16" style="2858" customWidth="1"/>
    <col min="10299" max="10299" width="46.42578125" style="2858" customWidth="1"/>
    <col min="10300" max="10300" width="9.28515625" style="2858" customWidth="1"/>
    <col min="10301" max="10301" width="16.85546875" style="2858" customWidth="1"/>
    <col min="10302" max="10302" width="9.85546875" style="2858" customWidth="1"/>
    <col min="10303" max="10303" width="12.42578125" style="2858" bestFit="1" customWidth="1"/>
    <col min="10304" max="10304" width="15.7109375" style="2858" customWidth="1"/>
    <col min="10305" max="10305" width="13.140625" style="2858" customWidth="1"/>
    <col min="10306" max="10306" width="17.140625" style="2858" customWidth="1"/>
    <col min="10307" max="10308" width="11.42578125" style="2858"/>
    <col min="10309" max="10314" width="9.28515625" style="2858" customWidth="1"/>
    <col min="10315" max="10316" width="10.85546875" style="2858" customWidth="1"/>
    <col min="10317" max="10317" width="9.28515625" style="2858" customWidth="1"/>
    <col min="10318" max="10318" width="10.5703125" style="2858" customWidth="1"/>
    <col min="10319" max="10319" width="8" style="2858" customWidth="1"/>
    <col min="10320" max="10320" width="8.85546875" style="2858" customWidth="1"/>
    <col min="10321" max="10321" width="8" style="2858" customWidth="1"/>
    <col min="10322" max="10551" width="11.42578125" style="2858"/>
    <col min="10552" max="10552" width="4" style="2858" customWidth="1"/>
    <col min="10553" max="10553" width="18.42578125" style="2858" customWidth="1"/>
    <col min="10554" max="10554" width="16" style="2858" customWidth="1"/>
    <col min="10555" max="10555" width="46.42578125" style="2858" customWidth="1"/>
    <col min="10556" max="10556" width="9.28515625" style="2858" customWidth="1"/>
    <col min="10557" max="10557" width="16.85546875" style="2858" customWidth="1"/>
    <col min="10558" max="10558" width="9.85546875" style="2858" customWidth="1"/>
    <col min="10559" max="10559" width="12.42578125" style="2858" bestFit="1" customWidth="1"/>
    <col min="10560" max="10560" width="15.7109375" style="2858" customWidth="1"/>
    <col min="10561" max="10561" width="13.140625" style="2858" customWidth="1"/>
    <col min="10562" max="10562" width="17.140625" style="2858" customWidth="1"/>
    <col min="10563" max="10564" width="11.42578125" style="2858"/>
    <col min="10565" max="10570" width="9.28515625" style="2858" customWidth="1"/>
    <col min="10571" max="10572" width="10.85546875" style="2858" customWidth="1"/>
    <col min="10573" max="10573" width="9.28515625" style="2858" customWidth="1"/>
    <col min="10574" max="10574" width="10.5703125" style="2858" customWidth="1"/>
    <col min="10575" max="10575" width="8" style="2858" customWidth="1"/>
    <col min="10576" max="10576" width="8.85546875" style="2858" customWidth="1"/>
    <col min="10577" max="10577" width="8" style="2858" customWidth="1"/>
    <col min="10578" max="10807" width="11.42578125" style="2858"/>
    <col min="10808" max="10808" width="4" style="2858" customWidth="1"/>
    <col min="10809" max="10809" width="18.42578125" style="2858" customWidth="1"/>
    <col min="10810" max="10810" width="16" style="2858" customWidth="1"/>
    <col min="10811" max="10811" width="46.42578125" style="2858" customWidth="1"/>
    <col min="10812" max="10812" width="9.28515625" style="2858" customWidth="1"/>
    <col min="10813" max="10813" width="16.85546875" style="2858" customWidth="1"/>
    <col min="10814" max="10814" width="9.85546875" style="2858" customWidth="1"/>
    <col min="10815" max="10815" width="12.42578125" style="2858" bestFit="1" customWidth="1"/>
    <col min="10816" max="10816" width="15.7109375" style="2858" customWidth="1"/>
    <col min="10817" max="10817" width="13.140625" style="2858" customWidth="1"/>
    <col min="10818" max="10818" width="17.140625" style="2858" customWidth="1"/>
    <col min="10819" max="10820" width="11.42578125" style="2858"/>
    <col min="10821" max="10826" width="9.28515625" style="2858" customWidth="1"/>
    <col min="10827" max="10828" width="10.85546875" style="2858" customWidth="1"/>
    <col min="10829" max="10829" width="9.28515625" style="2858" customWidth="1"/>
    <col min="10830" max="10830" width="10.5703125" style="2858" customWidth="1"/>
    <col min="10831" max="10831" width="8" style="2858" customWidth="1"/>
    <col min="10832" max="10832" width="8.85546875" style="2858" customWidth="1"/>
    <col min="10833" max="10833" width="8" style="2858" customWidth="1"/>
    <col min="10834" max="11063" width="11.42578125" style="2858"/>
    <col min="11064" max="11064" width="4" style="2858" customWidth="1"/>
    <col min="11065" max="11065" width="18.42578125" style="2858" customWidth="1"/>
    <col min="11066" max="11066" width="16" style="2858" customWidth="1"/>
    <col min="11067" max="11067" width="46.42578125" style="2858" customWidth="1"/>
    <col min="11068" max="11068" width="9.28515625" style="2858" customWidth="1"/>
    <col min="11069" max="11069" width="16.85546875" style="2858" customWidth="1"/>
    <col min="11070" max="11070" width="9.85546875" style="2858" customWidth="1"/>
    <col min="11071" max="11071" width="12.42578125" style="2858" bestFit="1" customWidth="1"/>
    <col min="11072" max="11072" width="15.7109375" style="2858" customWidth="1"/>
    <col min="11073" max="11073" width="13.140625" style="2858" customWidth="1"/>
    <col min="11074" max="11074" width="17.140625" style="2858" customWidth="1"/>
    <col min="11075" max="11076" width="11.42578125" style="2858"/>
    <col min="11077" max="11082" width="9.28515625" style="2858" customWidth="1"/>
    <col min="11083" max="11084" width="10.85546875" style="2858" customWidth="1"/>
    <col min="11085" max="11085" width="9.28515625" style="2858" customWidth="1"/>
    <col min="11086" max="11086" width="10.5703125" style="2858" customWidth="1"/>
    <col min="11087" max="11087" width="8" style="2858" customWidth="1"/>
    <col min="11088" max="11088" width="8.85546875" style="2858" customWidth="1"/>
    <col min="11089" max="11089" width="8" style="2858" customWidth="1"/>
    <col min="11090" max="11319" width="11.42578125" style="2858"/>
    <col min="11320" max="11320" width="4" style="2858" customWidth="1"/>
    <col min="11321" max="11321" width="18.42578125" style="2858" customWidth="1"/>
    <col min="11322" max="11322" width="16" style="2858" customWidth="1"/>
    <col min="11323" max="11323" width="46.42578125" style="2858" customWidth="1"/>
    <col min="11324" max="11324" width="9.28515625" style="2858" customWidth="1"/>
    <col min="11325" max="11325" width="16.85546875" style="2858" customWidth="1"/>
    <col min="11326" max="11326" width="9.85546875" style="2858" customWidth="1"/>
    <col min="11327" max="11327" width="12.42578125" style="2858" bestFit="1" customWidth="1"/>
    <col min="11328" max="11328" width="15.7109375" style="2858" customWidth="1"/>
    <col min="11329" max="11329" width="13.140625" style="2858" customWidth="1"/>
    <col min="11330" max="11330" width="17.140625" style="2858" customWidth="1"/>
    <col min="11331" max="11332" width="11.42578125" style="2858"/>
    <col min="11333" max="11338" width="9.28515625" style="2858" customWidth="1"/>
    <col min="11339" max="11340" width="10.85546875" style="2858" customWidth="1"/>
    <col min="11341" max="11341" width="9.28515625" style="2858" customWidth="1"/>
    <col min="11342" max="11342" width="10.5703125" style="2858" customWidth="1"/>
    <col min="11343" max="11343" width="8" style="2858" customWidth="1"/>
    <col min="11344" max="11344" width="8.85546875" style="2858" customWidth="1"/>
    <col min="11345" max="11345" width="8" style="2858" customWidth="1"/>
    <col min="11346" max="11575" width="11.42578125" style="2858"/>
    <col min="11576" max="11576" width="4" style="2858" customWidth="1"/>
    <col min="11577" max="11577" width="18.42578125" style="2858" customWidth="1"/>
    <col min="11578" max="11578" width="16" style="2858" customWidth="1"/>
    <col min="11579" max="11579" width="46.42578125" style="2858" customWidth="1"/>
    <col min="11580" max="11580" width="9.28515625" style="2858" customWidth="1"/>
    <col min="11581" max="11581" width="16.85546875" style="2858" customWidth="1"/>
    <col min="11582" max="11582" width="9.85546875" style="2858" customWidth="1"/>
    <col min="11583" max="11583" width="12.42578125" style="2858" bestFit="1" customWidth="1"/>
    <col min="11584" max="11584" width="15.7109375" style="2858" customWidth="1"/>
    <col min="11585" max="11585" width="13.140625" style="2858" customWidth="1"/>
    <col min="11586" max="11586" width="17.140625" style="2858" customWidth="1"/>
    <col min="11587" max="11588" width="11.42578125" style="2858"/>
    <col min="11589" max="11594" width="9.28515625" style="2858" customWidth="1"/>
    <col min="11595" max="11596" width="10.85546875" style="2858" customWidth="1"/>
    <col min="11597" max="11597" width="9.28515625" style="2858" customWidth="1"/>
    <col min="11598" max="11598" width="10.5703125" style="2858" customWidth="1"/>
    <col min="11599" max="11599" width="8" style="2858" customWidth="1"/>
    <col min="11600" max="11600" width="8.85546875" style="2858" customWidth="1"/>
    <col min="11601" max="11601" width="8" style="2858" customWidth="1"/>
    <col min="11602" max="11831" width="11.42578125" style="2858"/>
    <col min="11832" max="11832" width="4" style="2858" customWidth="1"/>
    <col min="11833" max="11833" width="18.42578125" style="2858" customWidth="1"/>
    <col min="11834" max="11834" width="16" style="2858" customWidth="1"/>
    <col min="11835" max="11835" width="46.42578125" style="2858" customWidth="1"/>
    <col min="11836" max="11836" width="9.28515625" style="2858" customWidth="1"/>
    <col min="11837" max="11837" width="16.85546875" style="2858" customWidth="1"/>
    <col min="11838" max="11838" width="9.85546875" style="2858" customWidth="1"/>
    <col min="11839" max="11839" width="12.42578125" style="2858" bestFit="1" customWidth="1"/>
    <col min="11840" max="11840" width="15.7109375" style="2858" customWidth="1"/>
    <col min="11841" max="11841" width="13.140625" style="2858" customWidth="1"/>
    <col min="11842" max="11842" width="17.140625" style="2858" customWidth="1"/>
    <col min="11843" max="11844" width="11.42578125" style="2858"/>
    <col min="11845" max="11850" width="9.28515625" style="2858" customWidth="1"/>
    <col min="11851" max="11852" width="10.85546875" style="2858" customWidth="1"/>
    <col min="11853" max="11853" width="9.28515625" style="2858" customWidth="1"/>
    <col min="11854" max="11854" width="10.5703125" style="2858" customWidth="1"/>
    <col min="11855" max="11855" width="8" style="2858" customWidth="1"/>
    <col min="11856" max="11856" width="8.85546875" style="2858" customWidth="1"/>
    <col min="11857" max="11857" width="8" style="2858" customWidth="1"/>
    <col min="11858" max="12087" width="11.42578125" style="2858"/>
    <col min="12088" max="12088" width="4" style="2858" customWidth="1"/>
    <col min="12089" max="12089" width="18.42578125" style="2858" customWidth="1"/>
    <col min="12090" max="12090" width="16" style="2858" customWidth="1"/>
    <col min="12091" max="12091" width="46.42578125" style="2858" customWidth="1"/>
    <col min="12092" max="12092" width="9.28515625" style="2858" customWidth="1"/>
    <col min="12093" max="12093" width="16.85546875" style="2858" customWidth="1"/>
    <col min="12094" max="12094" width="9.85546875" style="2858" customWidth="1"/>
    <col min="12095" max="12095" width="12.42578125" style="2858" bestFit="1" customWidth="1"/>
    <col min="12096" max="12096" width="15.7109375" style="2858" customWidth="1"/>
    <col min="12097" max="12097" width="13.140625" style="2858" customWidth="1"/>
    <col min="12098" max="12098" width="17.140625" style="2858" customWidth="1"/>
    <col min="12099" max="12100" width="11.42578125" style="2858"/>
    <col min="12101" max="12106" width="9.28515625" style="2858" customWidth="1"/>
    <col min="12107" max="12108" width="10.85546875" style="2858" customWidth="1"/>
    <col min="12109" max="12109" width="9.28515625" style="2858" customWidth="1"/>
    <col min="12110" max="12110" width="10.5703125" style="2858" customWidth="1"/>
    <col min="12111" max="12111" width="8" style="2858" customWidth="1"/>
    <col min="12112" max="12112" width="8.85546875" style="2858" customWidth="1"/>
    <col min="12113" max="12113" width="8" style="2858" customWidth="1"/>
    <col min="12114" max="12343" width="11.42578125" style="2858"/>
    <col min="12344" max="12344" width="4" style="2858" customWidth="1"/>
    <col min="12345" max="12345" width="18.42578125" style="2858" customWidth="1"/>
    <col min="12346" max="12346" width="16" style="2858" customWidth="1"/>
    <col min="12347" max="12347" width="46.42578125" style="2858" customWidth="1"/>
    <col min="12348" max="12348" width="9.28515625" style="2858" customWidth="1"/>
    <col min="12349" max="12349" width="16.85546875" style="2858" customWidth="1"/>
    <col min="12350" max="12350" width="9.85546875" style="2858" customWidth="1"/>
    <col min="12351" max="12351" width="12.42578125" style="2858" bestFit="1" customWidth="1"/>
    <col min="12352" max="12352" width="15.7109375" style="2858" customWidth="1"/>
    <col min="12353" max="12353" width="13.140625" style="2858" customWidth="1"/>
    <col min="12354" max="12354" width="17.140625" style="2858" customWidth="1"/>
    <col min="12355" max="12356" width="11.42578125" style="2858"/>
    <col min="12357" max="12362" width="9.28515625" style="2858" customWidth="1"/>
    <col min="12363" max="12364" width="10.85546875" style="2858" customWidth="1"/>
    <col min="12365" max="12365" width="9.28515625" style="2858" customWidth="1"/>
    <col min="12366" max="12366" width="10.5703125" style="2858" customWidth="1"/>
    <col min="12367" max="12367" width="8" style="2858" customWidth="1"/>
    <col min="12368" max="12368" width="8.85546875" style="2858" customWidth="1"/>
    <col min="12369" max="12369" width="8" style="2858" customWidth="1"/>
    <col min="12370" max="12599" width="11.42578125" style="2858"/>
    <col min="12600" max="12600" width="4" style="2858" customWidth="1"/>
    <col min="12601" max="12601" width="18.42578125" style="2858" customWidth="1"/>
    <col min="12602" max="12602" width="16" style="2858" customWidth="1"/>
    <col min="12603" max="12603" width="46.42578125" style="2858" customWidth="1"/>
    <col min="12604" max="12604" width="9.28515625" style="2858" customWidth="1"/>
    <col min="12605" max="12605" width="16.85546875" style="2858" customWidth="1"/>
    <col min="12606" max="12606" width="9.85546875" style="2858" customWidth="1"/>
    <col min="12607" max="12607" width="12.42578125" style="2858" bestFit="1" customWidth="1"/>
    <col min="12608" max="12608" width="15.7109375" style="2858" customWidth="1"/>
    <col min="12609" max="12609" width="13.140625" style="2858" customWidth="1"/>
    <col min="12610" max="12610" width="17.140625" style="2858" customWidth="1"/>
    <col min="12611" max="12612" width="11.42578125" style="2858"/>
    <col min="12613" max="12618" width="9.28515625" style="2858" customWidth="1"/>
    <col min="12619" max="12620" width="10.85546875" style="2858" customWidth="1"/>
    <col min="12621" max="12621" width="9.28515625" style="2858" customWidth="1"/>
    <col min="12622" max="12622" width="10.5703125" style="2858" customWidth="1"/>
    <col min="12623" max="12623" width="8" style="2858" customWidth="1"/>
    <col min="12624" max="12624" width="8.85546875" style="2858" customWidth="1"/>
    <col min="12625" max="12625" width="8" style="2858" customWidth="1"/>
    <col min="12626" max="12855" width="11.42578125" style="2858"/>
    <col min="12856" max="12856" width="4" style="2858" customWidth="1"/>
    <col min="12857" max="12857" width="18.42578125" style="2858" customWidth="1"/>
    <col min="12858" max="12858" width="16" style="2858" customWidth="1"/>
    <col min="12859" max="12859" width="46.42578125" style="2858" customWidth="1"/>
    <col min="12860" max="12860" width="9.28515625" style="2858" customWidth="1"/>
    <col min="12861" max="12861" width="16.85546875" style="2858" customWidth="1"/>
    <col min="12862" max="12862" width="9.85546875" style="2858" customWidth="1"/>
    <col min="12863" max="12863" width="12.42578125" style="2858" bestFit="1" customWidth="1"/>
    <col min="12864" max="12864" width="15.7109375" style="2858" customWidth="1"/>
    <col min="12865" max="12865" width="13.140625" style="2858" customWidth="1"/>
    <col min="12866" max="12866" width="17.140625" style="2858" customWidth="1"/>
    <col min="12867" max="12868" width="11.42578125" style="2858"/>
    <col min="12869" max="12874" width="9.28515625" style="2858" customWidth="1"/>
    <col min="12875" max="12876" width="10.85546875" style="2858" customWidth="1"/>
    <col min="12877" max="12877" width="9.28515625" style="2858" customWidth="1"/>
    <col min="12878" max="12878" width="10.5703125" style="2858" customWidth="1"/>
    <col min="12879" max="12879" width="8" style="2858" customWidth="1"/>
    <col min="12880" max="12880" width="8.85546875" style="2858" customWidth="1"/>
    <col min="12881" max="12881" width="8" style="2858" customWidth="1"/>
    <col min="12882" max="13111" width="11.42578125" style="2858"/>
    <col min="13112" max="13112" width="4" style="2858" customWidth="1"/>
    <col min="13113" max="13113" width="18.42578125" style="2858" customWidth="1"/>
    <col min="13114" max="13114" width="16" style="2858" customWidth="1"/>
    <col min="13115" max="13115" width="46.42578125" style="2858" customWidth="1"/>
    <col min="13116" max="13116" width="9.28515625" style="2858" customWidth="1"/>
    <col min="13117" max="13117" width="16.85546875" style="2858" customWidth="1"/>
    <col min="13118" max="13118" width="9.85546875" style="2858" customWidth="1"/>
    <col min="13119" max="13119" width="12.42578125" style="2858" bestFit="1" customWidth="1"/>
    <col min="13120" max="13120" width="15.7109375" style="2858" customWidth="1"/>
    <col min="13121" max="13121" width="13.140625" style="2858" customWidth="1"/>
    <col min="13122" max="13122" width="17.140625" style="2858" customWidth="1"/>
    <col min="13123" max="13124" width="11.42578125" style="2858"/>
    <col min="13125" max="13130" width="9.28515625" style="2858" customWidth="1"/>
    <col min="13131" max="13132" width="10.85546875" style="2858" customWidth="1"/>
    <col min="13133" max="13133" width="9.28515625" style="2858" customWidth="1"/>
    <col min="13134" max="13134" width="10.5703125" style="2858" customWidth="1"/>
    <col min="13135" max="13135" width="8" style="2858" customWidth="1"/>
    <col min="13136" max="13136" width="8.85546875" style="2858" customWidth="1"/>
    <col min="13137" max="13137" width="8" style="2858" customWidth="1"/>
    <col min="13138" max="13367" width="11.42578125" style="2858"/>
    <col min="13368" max="13368" width="4" style="2858" customWidth="1"/>
    <col min="13369" max="13369" width="18.42578125" style="2858" customWidth="1"/>
    <col min="13370" max="13370" width="16" style="2858" customWidth="1"/>
    <col min="13371" max="13371" width="46.42578125" style="2858" customWidth="1"/>
    <col min="13372" max="13372" width="9.28515625" style="2858" customWidth="1"/>
    <col min="13373" max="13373" width="16.85546875" style="2858" customWidth="1"/>
    <col min="13374" max="13374" width="9.85546875" style="2858" customWidth="1"/>
    <col min="13375" max="13375" width="12.42578125" style="2858" bestFit="1" customWidth="1"/>
    <col min="13376" max="13376" width="15.7109375" style="2858" customWidth="1"/>
    <col min="13377" max="13377" width="13.140625" style="2858" customWidth="1"/>
    <col min="13378" max="13378" width="17.140625" style="2858" customWidth="1"/>
    <col min="13379" max="13380" width="11.42578125" style="2858"/>
    <col min="13381" max="13386" width="9.28515625" style="2858" customWidth="1"/>
    <col min="13387" max="13388" width="10.85546875" style="2858" customWidth="1"/>
    <col min="13389" max="13389" width="9.28515625" style="2858" customWidth="1"/>
    <col min="13390" max="13390" width="10.5703125" style="2858" customWidth="1"/>
    <col min="13391" max="13391" width="8" style="2858" customWidth="1"/>
    <col min="13392" max="13392" width="8.85546875" style="2858" customWidth="1"/>
    <col min="13393" max="13393" width="8" style="2858" customWidth="1"/>
    <col min="13394" max="13623" width="11.42578125" style="2858"/>
    <col min="13624" max="13624" width="4" style="2858" customWidth="1"/>
    <col min="13625" max="13625" width="18.42578125" style="2858" customWidth="1"/>
    <col min="13626" max="13626" width="16" style="2858" customWidth="1"/>
    <col min="13627" max="13627" width="46.42578125" style="2858" customWidth="1"/>
    <col min="13628" max="13628" width="9.28515625" style="2858" customWidth="1"/>
    <col min="13629" max="13629" width="16.85546875" style="2858" customWidth="1"/>
    <col min="13630" max="13630" width="9.85546875" style="2858" customWidth="1"/>
    <col min="13631" max="13631" width="12.42578125" style="2858" bestFit="1" customWidth="1"/>
    <col min="13632" max="13632" width="15.7109375" style="2858" customWidth="1"/>
    <col min="13633" max="13633" width="13.140625" style="2858" customWidth="1"/>
    <col min="13634" max="13634" width="17.140625" style="2858" customWidth="1"/>
    <col min="13635" max="13636" width="11.42578125" style="2858"/>
    <col min="13637" max="13642" width="9.28515625" style="2858" customWidth="1"/>
    <col min="13643" max="13644" width="10.85546875" style="2858" customWidth="1"/>
    <col min="13645" max="13645" width="9.28515625" style="2858" customWidth="1"/>
    <col min="13646" max="13646" width="10.5703125" style="2858" customWidth="1"/>
    <col min="13647" max="13647" width="8" style="2858" customWidth="1"/>
    <col min="13648" max="13648" width="8.85546875" style="2858" customWidth="1"/>
    <col min="13649" max="13649" width="8" style="2858" customWidth="1"/>
    <col min="13650" max="13879" width="11.42578125" style="2858"/>
    <col min="13880" max="13880" width="4" style="2858" customWidth="1"/>
    <col min="13881" max="13881" width="18.42578125" style="2858" customWidth="1"/>
    <col min="13882" max="13882" width="16" style="2858" customWidth="1"/>
    <col min="13883" max="13883" width="46.42578125" style="2858" customWidth="1"/>
    <col min="13884" max="13884" width="9.28515625" style="2858" customWidth="1"/>
    <col min="13885" max="13885" width="16.85546875" style="2858" customWidth="1"/>
    <col min="13886" max="13886" width="9.85546875" style="2858" customWidth="1"/>
    <col min="13887" max="13887" width="12.42578125" style="2858" bestFit="1" customWidth="1"/>
    <col min="13888" max="13888" width="15.7109375" style="2858" customWidth="1"/>
    <col min="13889" max="13889" width="13.140625" style="2858" customWidth="1"/>
    <col min="13890" max="13890" width="17.140625" style="2858" customWidth="1"/>
    <col min="13891" max="13892" width="11.42578125" style="2858"/>
    <col min="13893" max="13898" width="9.28515625" style="2858" customWidth="1"/>
    <col min="13899" max="13900" width="10.85546875" style="2858" customWidth="1"/>
    <col min="13901" max="13901" width="9.28515625" style="2858" customWidth="1"/>
    <col min="13902" max="13902" width="10.5703125" style="2858" customWidth="1"/>
    <col min="13903" max="13903" width="8" style="2858" customWidth="1"/>
    <col min="13904" max="13904" width="8.85546875" style="2858" customWidth="1"/>
    <col min="13905" max="13905" width="8" style="2858" customWidth="1"/>
    <col min="13906" max="14135" width="11.42578125" style="2858"/>
    <col min="14136" max="14136" width="4" style="2858" customWidth="1"/>
    <col min="14137" max="14137" width="18.42578125" style="2858" customWidth="1"/>
    <col min="14138" max="14138" width="16" style="2858" customWidth="1"/>
    <col min="14139" max="14139" width="46.42578125" style="2858" customWidth="1"/>
    <col min="14140" max="14140" width="9.28515625" style="2858" customWidth="1"/>
    <col min="14141" max="14141" width="16.85546875" style="2858" customWidth="1"/>
    <col min="14142" max="14142" width="9.85546875" style="2858" customWidth="1"/>
    <col min="14143" max="14143" width="12.42578125" style="2858" bestFit="1" customWidth="1"/>
    <col min="14144" max="14144" width="15.7109375" style="2858" customWidth="1"/>
    <col min="14145" max="14145" width="13.140625" style="2858" customWidth="1"/>
    <col min="14146" max="14146" width="17.140625" style="2858" customWidth="1"/>
    <col min="14147" max="14148" width="11.42578125" style="2858"/>
    <col min="14149" max="14154" width="9.28515625" style="2858" customWidth="1"/>
    <col min="14155" max="14156" width="10.85546875" style="2858" customWidth="1"/>
    <col min="14157" max="14157" width="9.28515625" style="2858" customWidth="1"/>
    <col min="14158" max="14158" width="10.5703125" style="2858" customWidth="1"/>
    <col min="14159" max="14159" width="8" style="2858" customWidth="1"/>
    <col min="14160" max="14160" width="8.85546875" style="2858" customWidth="1"/>
    <col min="14161" max="14161" width="8" style="2858" customWidth="1"/>
    <col min="14162" max="14391" width="11.42578125" style="2858"/>
    <col min="14392" max="14392" width="4" style="2858" customWidth="1"/>
    <col min="14393" max="14393" width="18.42578125" style="2858" customWidth="1"/>
    <col min="14394" max="14394" width="16" style="2858" customWidth="1"/>
    <col min="14395" max="14395" width="46.42578125" style="2858" customWidth="1"/>
    <col min="14396" max="14396" width="9.28515625" style="2858" customWidth="1"/>
    <col min="14397" max="14397" width="16.85546875" style="2858" customWidth="1"/>
    <col min="14398" max="14398" width="9.85546875" style="2858" customWidth="1"/>
    <col min="14399" max="14399" width="12.42578125" style="2858" bestFit="1" customWidth="1"/>
    <col min="14400" max="14400" width="15.7109375" style="2858" customWidth="1"/>
    <col min="14401" max="14401" width="13.140625" style="2858" customWidth="1"/>
    <col min="14402" max="14402" width="17.140625" style="2858" customWidth="1"/>
    <col min="14403" max="14404" width="11.42578125" style="2858"/>
    <col min="14405" max="14410" width="9.28515625" style="2858" customWidth="1"/>
    <col min="14411" max="14412" width="10.85546875" style="2858" customWidth="1"/>
    <col min="14413" max="14413" width="9.28515625" style="2858" customWidth="1"/>
    <col min="14414" max="14414" width="10.5703125" style="2858" customWidth="1"/>
    <col min="14415" max="14415" width="8" style="2858" customWidth="1"/>
    <col min="14416" max="14416" width="8.85546875" style="2858" customWidth="1"/>
    <col min="14417" max="14417" width="8" style="2858" customWidth="1"/>
    <col min="14418" max="14647" width="11.42578125" style="2858"/>
    <col min="14648" max="14648" width="4" style="2858" customWidth="1"/>
    <col min="14649" max="14649" width="18.42578125" style="2858" customWidth="1"/>
    <col min="14650" max="14650" width="16" style="2858" customWidth="1"/>
    <col min="14651" max="14651" width="46.42578125" style="2858" customWidth="1"/>
    <col min="14652" max="14652" width="9.28515625" style="2858" customWidth="1"/>
    <col min="14653" max="14653" width="16.85546875" style="2858" customWidth="1"/>
    <col min="14654" max="14654" width="9.85546875" style="2858" customWidth="1"/>
    <col min="14655" max="14655" width="12.42578125" style="2858" bestFit="1" customWidth="1"/>
    <col min="14656" max="14656" width="15.7109375" style="2858" customWidth="1"/>
    <col min="14657" max="14657" width="13.140625" style="2858" customWidth="1"/>
    <col min="14658" max="14658" width="17.140625" style="2858" customWidth="1"/>
    <col min="14659" max="14660" width="11.42578125" style="2858"/>
    <col min="14661" max="14666" width="9.28515625" style="2858" customWidth="1"/>
    <col min="14667" max="14668" width="10.85546875" style="2858" customWidth="1"/>
    <col min="14669" max="14669" width="9.28515625" style="2858" customWidth="1"/>
    <col min="14670" max="14670" width="10.5703125" style="2858" customWidth="1"/>
    <col min="14671" max="14671" width="8" style="2858" customWidth="1"/>
    <col min="14672" max="14672" width="8.85546875" style="2858" customWidth="1"/>
    <col min="14673" max="14673" width="8" style="2858" customWidth="1"/>
    <col min="14674" max="14903" width="11.42578125" style="2858"/>
    <col min="14904" max="14904" width="4" style="2858" customWidth="1"/>
    <col min="14905" max="14905" width="18.42578125" style="2858" customWidth="1"/>
    <col min="14906" max="14906" width="16" style="2858" customWidth="1"/>
    <col min="14907" max="14907" width="46.42578125" style="2858" customWidth="1"/>
    <col min="14908" max="14908" width="9.28515625" style="2858" customWidth="1"/>
    <col min="14909" max="14909" width="16.85546875" style="2858" customWidth="1"/>
    <col min="14910" max="14910" width="9.85546875" style="2858" customWidth="1"/>
    <col min="14911" max="14911" width="12.42578125" style="2858" bestFit="1" customWidth="1"/>
    <col min="14912" max="14912" width="15.7109375" style="2858" customWidth="1"/>
    <col min="14913" max="14913" width="13.140625" style="2858" customWidth="1"/>
    <col min="14914" max="14914" width="17.140625" style="2858" customWidth="1"/>
    <col min="14915" max="14916" width="11.42578125" style="2858"/>
    <col min="14917" max="14922" width="9.28515625" style="2858" customWidth="1"/>
    <col min="14923" max="14924" width="10.85546875" style="2858" customWidth="1"/>
    <col min="14925" max="14925" width="9.28515625" style="2858" customWidth="1"/>
    <col min="14926" max="14926" width="10.5703125" style="2858" customWidth="1"/>
    <col min="14927" max="14927" width="8" style="2858" customWidth="1"/>
    <col min="14928" max="14928" width="8.85546875" style="2858" customWidth="1"/>
    <col min="14929" max="14929" width="8" style="2858" customWidth="1"/>
    <col min="14930" max="15159" width="11.42578125" style="2858"/>
    <col min="15160" max="15160" width="4" style="2858" customWidth="1"/>
    <col min="15161" max="15161" width="18.42578125" style="2858" customWidth="1"/>
    <col min="15162" max="15162" width="16" style="2858" customWidth="1"/>
    <col min="15163" max="15163" width="46.42578125" style="2858" customWidth="1"/>
    <col min="15164" max="15164" width="9.28515625" style="2858" customWidth="1"/>
    <col min="15165" max="15165" width="16.85546875" style="2858" customWidth="1"/>
    <col min="15166" max="15166" width="9.85546875" style="2858" customWidth="1"/>
    <col min="15167" max="15167" width="12.42578125" style="2858" bestFit="1" customWidth="1"/>
    <col min="15168" max="15168" width="15.7109375" style="2858" customWidth="1"/>
    <col min="15169" max="15169" width="13.140625" style="2858" customWidth="1"/>
    <col min="15170" max="15170" width="17.140625" style="2858" customWidth="1"/>
    <col min="15171" max="15172" width="11.42578125" style="2858"/>
    <col min="15173" max="15178" width="9.28515625" style="2858" customWidth="1"/>
    <col min="15179" max="15180" width="10.85546875" style="2858" customWidth="1"/>
    <col min="15181" max="15181" width="9.28515625" style="2858" customWidth="1"/>
    <col min="15182" max="15182" width="10.5703125" style="2858" customWidth="1"/>
    <col min="15183" max="15183" width="8" style="2858" customWidth="1"/>
    <col min="15184" max="15184" width="8.85546875" style="2858" customWidth="1"/>
    <col min="15185" max="15185" width="8" style="2858" customWidth="1"/>
    <col min="15186" max="15415" width="11.42578125" style="2858"/>
    <col min="15416" max="15416" width="4" style="2858" customWidth="1"/>
    <col min="15417" max="15417" width="18.42578125" style="2858" customWidth="1"/>
    <col min="15418" max="15418" width="16" style="2858" customWidth="1"/>
    <col min="15419" max="15419" width="46.42578125" style="2858" customWidth="1"/>
    <col min="15420" max="15420" width="9.28515625" style="2858" customWidth="1"/>
    <col min="15421" max="15421" width="16.85546875" style="2858" customWidth="1"/>
    <col min="15422" max="15422" width="9.85546875" style="2858" customWidth="1"/>
    <col min="15423" max="15423" width="12.42578125" style="2858" bestFit="1" customWidth="1"/>
    <col min="15424" max="15424" width="15.7109375" style="2858" customWidth="1"/>
    <col min="15425" max="15425" width="13.140625" style="2858" customWidth="1"/>
    <col min="15426" max="15426" width="17.140625" style="2858" customWidth="1"/>
    <col min="15427" max="15428" width="11.42578125" style="2858"/>
    <col min="15429" max="15434" width="9.28515625" style="2858" customWidth="1"/>
    <col min="15435" max="15436" width="10.85546875" style="2858" customWidth="1"/>
    <col min="15437" max="15437" width="9.28515625" style="2858" customWidth="1"/>
    <col min="15438" max="15438" width="10.5703125" style="2858" customWidth="1"/>
    <col min="15439" max="15439" width="8" style="2858" customWidth="1"/>
    <col min="15440" max="15440" width="8.85546875" style="2858" customWidth="1"/>
    <col min="15441" max="15441" width="8" style="2858" customWidth="1"/>
    <col min="15442" max="15671" width="11.42578125" style="2858"/>
    <col min="15672" max="15672" width="4" style="2858" customWidth="1"/>
    <col min="15673" max="15673" width="18.42578125" style="2858" customWidth="1"/>
    <col min="15674" max="15674" width="16" style="2858" customWidth="1"/>
    <col min="15675" max="15675" width="46.42578125" style="2858" customWidth="1"/>
    <col min="15676" max="15676" width="9.28515625" style="2858" customWidth="1"/>
    <col min="15677" max="15677" width="16.85546875" style="2858" customWidth="1"/>
    <col min="15678" max="15678" width="9.85546875" style="2858" customWidth="1"/>
    <col min="15679" max="15679" width="12.42578125" style="2858" bestFit="1" customWidth="1"/>
    <col min="15680" max="15680" width="15.7109375" style="2858" customWidth="1"/>
    <col min="15681" max="15681" width="13.140625" style="2858" customWidth="1"/>
    <col min="15682" max="15682" width="17.140625" style="2858" customWidth="1"/>
    <col min="15683" max="15684" width="11.42578125" style="2858"/>
    <col min="15685" max="15690" width="9.28515625" style="2858" customWidth="1"/>
    <col min="15691" max="15692" width="10.85546875" style="2858" customWidth="1"/>
    <col min="15693" max="15693" width="9.28515625" style="2858" customWidth="1"/>
    <col min="15694" max="15694" width="10.5703125" style="2858" customWidth="1"/>
    <col min="15695" max="15695" width="8" style="2858" customWidth="1"/>
    <col min="15696" max="15696" width="8.85546875" style="2858" customWidth="1"/>
    <col min="15697" max="15697" width="8" style="2858" customWidth="1"/>
    <col min="15698" max="15927" width="11.42578125" style="2858"/>
    <col min="15928" max="15928" width="4" style="2858" customWidth="1"/>
    <col min="15929" max="15929" width="18.42578125" style="2858" customWidth="1"/>
    <col min="15930" max="15930" width="16" style="2858" customWidth="1"/>
    <col min="15931" max="15931" width="46.42578125" style="2858" customWidth="1"/>
    <col min="15932" max="15932" width="9.28515625" style="2858" customWidth="1"/>
    <col min="15933" max="15933" width="16.85546875" style="2858" customWidth="1"/>
    <col min="15934" max="15934" width="9.85546875" style="2858" customWidth="1"/>
    <col min="15935" max="15935" width="12.42578125" style="2858" bestFit="1" customWidth="1"/>
    <col min="15936" max="15936" width="15.7109375" style="2858" customWidth="1"/>
    <col min="15937" max="15937" width="13.140625" style="2858" customWidth="1"/>
    <col min="15938" max="15938" width="17.140625" style="2858" customWidth="1"/>
    <col min="15939" max="15940" width="11.42578125" style="2858"/>
    <col min="15941" max="15946" width="9.28515625" style="2858" customWidth="1"/>
    <col min="15947" max="15948" width="10.85546875" style="2858" customWidth="1"/>
    <col min="15949" max="15949" width="9.28515625" style="2858" customWidth="1"/>
    <col min="15950" max="15950" width="10.5703125" style="2858" customWidth="1"/>
    <col min="15951" max="15951" width="8" style="2858" customWidth="1"/>
    <col min="15952" max="15952" width="8.85546875" style="2858" customWidth="1"/>
    <col min="15953" max="15953" width="8" style="2858" customWidth="1"/>
    <col min="15954" max="16384" width="11.42578125" style="2858"/>
  </cols>
  <sheetData>
    <row r="6" spans="2:30" ht="14.25" thickBot="1" x14ac:dyDescent="0.3"/>
    <row r="7" spans="2:30" ht="14.25" thickBot="1" x14ac:dyDescent="0.3">
      <c r="B7" s="2867"/>
      <c r="C7" s="2868"/>
      <c r="D7" s="2868"/>
      <c r="E7" s="2869"/>
      <c r="F7" s="2870"/>
      <c r="G7" s="2870"/>
      <c r="H7" s="2871"/>
      <c r="I7" s="2872"/>
      <c r="J7" s="2871"/>
      <c r="K7" s="2870"/>
      <c r="L7" s="2868"/>
      <c r="M7" s="2868"/>
      <c r="N7" s="2868"/>
      <c r="O7" s="2868"/>
      <c r="P7" s="2868"/>
      <c r="Q7" s="2868"/>
      <c r="R7" s="2868"/>
      <c r="S7" s="2868"/>
      <c r="T7" s="2868"/>
      <c r="U7" s="2868"/>
      <c r="V7" s="2868"/>
      <c r="W7" s="2868"/>
      <c r="X7" s="2868"/>
      <c r="Y7" s="2868"/>
      <c r="Z7" s="2868"/>
      <c r="AA7" s="2868"/>
      <c r="AB7" s="2868"/>
      <c r="AC7" s="2868"/>
      <c r="AD7" s="2873"/>
    </row>
    <row r="8" spans="2:30" ht="14.25" customHeight="1" thickBot="1" x14ac:dyDescent="0.3">
      <c r="B8" s="2874"/>
      <c r="C8" s="5003" t="s">
        <v>5124</v>
      </c>
      <c r="D8" s="5004"/>
      <c r="E8" s="5004"/>
      <c r="F8" s="5004"/>
      <c r="G8" s="5004"/>
      <c r="H8" s="5004"/>
      <c r="I8" s="5004"/>
      <c r="J8" s="5004"/>
      <c r="K8" s="5004"/>
      <c r="L8" s="5004"/>
      <c r="M8" s="5004"/>
      <c r="N8" s="5004"/>
      <c r="O8" s="5004"/>
      <c r="P8" s="5004"/>
      <c r="Q8" s="5004"/>
      <c r="R8" s="5004"/>
      <c r="S8" s="5004"/>
      <c r="T8" s="5004"/>
      <c r="U8" s="5004"/>
      <c r="V8" s="5004"/>
      <c r="W8" s="5004"/>
      <c r="X8" s="5004"/>
      <c r="Y8" s="5004"/>
      <c r="Z8" s="5004"/>
      <c r="AA8" s="5004"/>
      <c r="AB8" s="5004"/>
      <c r="AC8" s="5005"/>
      <c r="AD8" s="2643"/>
    </row>
    <row r="9" spans="2:30" x14ac:dyDescent="0.25">
      <c r="B9" s="2874"/>
      <c r="C9" s="2616"/>
      <c r="D9" s="2616"/>
      <c r="E9" s="2863"/>
      <c r="F9" s="2613"/>
      <c r="G9" s="2613"/>
      <c r="H9" s="2614"/>
      <c r="I9" s="2615"/>
      <c r="J9" s="2614"/>
      <c r="K9" s="2613"/>
      <c r="L9" s="2616"/>
      <c r="M9" s="2616"/>
      <c r="N9" s="2616"/>
      <c r="O9" s="2616"/>
      <c r="P9" s="2616"/>
      <c r="Q9" s="2616"/>
      <c r="R9" s="2616"/>
      <c r="S9" s="2616"/>
      <c r="T9" s="2616"/>
      <c r="U9" s="2616"/>
      <c r="V9" s="2616"/>
      <c r="W9" s="2616"/>
      <c r="X9" s="2616"/>
      <c r="Y9" s="2616"/>
      <c r="Z9" s="2616"/>
      <c r="AA9" s="2616"/>
      <c r="AB9" s="2616"/>
      <c r="AC9" s="2616"/>
      <c r="AD9" s="2643"/>
    </row>
    <row r="10" spans="2:30" ht="14.25" thickBot="1" x14ac:dyDescent="0.3">
      <c r="B10" s="2874"/>
      <c r="C10" s="2616"/>
      <c r="D10" s="2616"/>
      <c r="E10" s="2863"/>
      <c r="F10" s="2613"/>
      <c r="G10" s="2613"/>
      <c r="H10" s="2614"/>
      <c r="I10" s="2615"/>
      <c r="J10" s="2614"/>
      <c r="K10" s="2613"/>
      <c r="L10" s="2616"/>
      <c r="M10" s="2616"/>
      <c r="N10" s="2616"/>
      <c r="O10" s="2616"/>
      <c r="P10" s="2616"/>
      <c r="Q10" s="2616"/>
      <c r="R10" s="2616"/>
      <c r="S10" s="2616"/>
      <c r="T10" s="2616"/>
      <c r="U10" s="2616"/>
      <c r="V10" s="2616"/>
      <c r="W10" s="2616"/>
      <c r="X10" s="2616"/>
      <c r="Y10" s="2616"/>
      <c r="Z10" s="2616"/>
      <c r="AA10" s="2616"/>
      <c r="AB10" s="2616"/>
      <c r="AC10" s="2616"/>
      <c r="AD10" s="2643"/>
    </row>
    <row r="11" spans="2:30" ht="14.25" thickBot="1" x14ac:dyDescent="0.3">
      <c r="B11" s="2874"/>
      <c r="C11" s="2616"/>
      <c r="D11" s="2616"/>
      <c r="E11" s="2863"/>
      <c r="F11" s="4891" t="s">
        <v>5001</v>
      </c>
      <c r="G11" s="4892"/>
      <c r="H11" s="4892"/>
      <c r="I11" s="4892"/>
      <c r="J11" s="4892"/>
      <c r="K11" s="4892"/>
      <c r="L11" s="4892"/>
      <c r="M11" s="4892"/>
      <c r="N11" s="4892"/>
      <c r="O11" s="4892"/>
      <c r="P11" s="4892"/>
      <c r="Q11" s="4892"/>
      <c r="R11" s="4892"/>
      <c r="S11" s="4892"/>
      <c r="T11" s="4892"/>
      <c r="U11" s="4892"/>
      <c r="V11" s="4893"/>
      <c r="W11" s="2616"/>
      <c r="X11" s="2616"/>
      <c r="Y11" s="2616"/>
      <c r="Z11" s="2616"/>
      <c r="AA11" s="2616"/>
      <c r="AB11" s="2616"/>
      <c r="AC11" s="2616"/>
      <c r="AD11" s="2643"/>
    </row>
    <row r="12" spans="2:30" ht="14.25" thickBot="1" x14ac:dyDescent="0.3">
      <c r="B12" s="2874"/>
      <c r="C12" s="2616"/>
      <c r="D12" s="2616"/>
      <c r="E12" s="2863"/>
      <c r="F12" s="2613"/>
      <c r="G12" s="2613"/>
      <c r="H12" s="2614"/>
      <c r="I12" s="2615"/>
      <c r="J12" s="2614"/>
      <c r="K12" s="2613"/>
      <c r="L12" s="2616"/>
      <c r="M12" s="2616"/>
      <c r="N12" s="2616"/>
      <c r="O12" s="2616"/>
      <c r="P12" s="2616"/>
      <c r="Q12" s="2616"/>
      <c r="R12" s="2616"/>
      <c r="S12" s="2616"/>
      <c r="T12" s="2616"/>
      <c r="U12" s="2616"/>
      <c r="V12" s="2616"/>
      <c r="W12" s="2616"/>
      <c r="X12" s="2616"/>
      <c r="Y12" s="2616"/>
      <c r="Z12" s="2616"/>
      <c r="AA12" s="2616"/>
      <c r="AB12" s="2616"/>
      <c r="AC12" s="2616"/>
      <c r="AD12" s="2643"/>
    </row>
    <row r="13" spans="2:30" ht="14.25" thickBot="1" x14ac:dyDescent="0.3">
      <c r="B13" s="2874"/>
      <c r="C13" s="2616"/>
      <c r="D13" s="2616"/>
      <c r="E13" s="2863"/>
      <c r="F13" s="4910" t="s">
        <v>298</v>
      </c>
      <c r="G13" s="3464">
        <v>0</v>
      </c>
      <c r="H13" s="3464" t="s">
        <v>1961</v>
      </c>
      <c r="I13" s="3464" t="s">
        <v>1962</v>
      </c>
      <c r="J13" s="3464" t="s">
        <v>1963</v>
      </c>
      <c r="K13" s="3464" t="s">
        <v>2001</v>
      </c>
      <c r="L13" s="3464" t="s">
        <v>2002</v>
      </c>
      <c r="M13" s="3464" t="s">
        <v>2003</v>
      </c>
      <c r="N13" s="3464" t="s">
        <v>2004</v>
      </c>
      <c r="O13" s="3464" t="s">
        <v>2005</v>
      </c>
      <c r="P13" s="3464" t="s">
        <v>2006</v>
      </c>
      <c r="Q13" s="3464" t="s">
        <v>2007</v>
      </c>
      <c r="R13" s="3464" t="s">
        <v>2008</v>
      </c>
      <c r="S13" s="3464" t="s">
        <v>2009</v>
      </c>
      <c r="T13" s="3464" t="s">
        <v>2010</v>
      </c>
      <c r="U13" s="3464" t="s">
        <v>2011</v>
      </c>
      <c r="V13" s="3463" t="s">
        <v>2012</v>
      </c>
      <c r="W13" s="2616"/>
      <c r="X13" s="2616"/>
      <c r="Y13" s="2616"/>
      <c r="Z13" s="2616"/>
      <c r="AA13" s="2616"/>
      <c r="AB13" s="2616"/>
      <c r="AC13" s="2616"/>
      <c r="AD13" s="2643"/>
    </row>
    <row r="14" spans="2:30" ht="14.25" thickBot="1" x14ac:dyDescent="0.3">
      <c r="B14" s="2874"/>
      <c r="C14" s="2616"/>
      <c r="D14" s="2616"/>
      <c r="E14" s="2863"/>
      <c r="F14" s="4909"/>
      <c r="G14" s="1605">
        <v>2019</v>
      </c>
      <c r="H14" s="1605">
        <f>G14+1</f>
        <v>2020</v>
      </c>
      <c r="I14" s="1605">
        <f t="shared" ref="I14:V14" si="0">H14+1</f>
        <v>2021</v>
      </c>
      <c r="J14" s="1605">
        <f t="shared" si="0"/>
        <v>2022</v>
      </c>
      <c r="K14" s="1605">
        <f t="shared" si="0"/>
        <v>2023</v>
      </c>
      <c r="L14" s="1605">
        <f t="shared" si="0"/>
        <v>2024</v>
      </c>
      <c r="M14" s="1605">
        <f t="shared" si="0"/>
        <v>2025</v>
      </c>
      <c r="N14" s="1605">
        <f t="shared" si="0"/>
        <v>2026</v>
      </c>
      <c r="O14" s="1605">
        <f t="shared" si="0"/>
        <v>2027</v>
      </c>
      <c r="P14" s="1605">
        <f t="shared" si="0"/>
        <v>2028</v>
      </c>
      <c r="Q14" s="1605">
        <f t="shared" si="0"/>
        <v>2029</v>
      </c>
      <c r="R14" s="1605">
        <f t="shared" si="0"/>
        <v>2030</v>
      </c>
      <c r="S14" s="1605">
        <f t="shared" si="0"/>
        <v>2031</v>
      </c>
      <c r="T14" s="1605">
        <f t="shared" si="0"/>
        <v>2032</v>
      </c>
      <c r="U14" s="1605">
        <f t="shared" si="0"/>
        <v>2033</v>
      </c>
      <c r="V14" s="1184">
        <f t="shared" si="0"/>
        <v>2034</v>
      </c>
      <c r="W14" s="2616"/>
      <c r="X14" s="2616"/>
      <c r="Y14" s="2616"/>
      <c r="Z14" s="2616"/>
      <c r="AA14" s="2616"/>
      <c r="AB14" s="2616"/>
      <c r="AC14" s="2616"/>
      <c r="AD14" s="2643"/>
    </row>
    <row r="15" spans="2:30" ht="27.75" thickBot="1" x14ac:dyDescent="0.3">
      <c r="B15" s="2874"/>
      <c r="C15" s="2616"/>
      <c r="D15" s="2616"/>
      <c r="E15" s="2863"/>
      <c r="F15" s="2654" t="s">
        <v>5002</v>
      </c>
      <c r="G15" s="2881"/>
      <c r="H15" s="2881"/>
      <c r="I15" s="2881"/>
      <c r="J15" s="2881"/>
      <c r="K15" s="3589">
        <f>R213</f>
        <v>568289.96</v>
      </c>
      <c r="L15" s="3589">
        <f t="shared" ref="L15:V15" si="1">S213</f>
        <v>573892.79333333333</v>
      </c>
      <c r="M15" s="3589">
        <f t="shared" si="1"/>
        <v>586423.71</v>
      </c>
      <c r="N15" s="3589">
        <f t="shared" si="1"/>
        <v>578509.5</v>
      </c>
      <c r="O15" s="3589">
        <f t="shared" si="1"/>
        <v>618297.79333333333</v>
      </c>
      <c r="P15" s="3589">
        <f t="shared" si="1"/>
        <v>573404.96</v>
      </c>
      <c r="Q15" s="3589">
        <f t="shared" si="1"/>
        <v>581308.71</v>
      </c>
      <c r="R15" s="3589">
        <f t="shared" si="1"/>
        <v>573892.79333333333</v>
      </c>
      <c r="S15" s="3589">
        <f t="shared" si="1"/>
        <v>582304.82000000007</v>
      </c>
      <c r="T15" s="3589">
        <f t="shared" si="1"/>
        <v>727149.64</v>
      </c>
      <c r="U15" s="3589">
        <f t="shared" si="1"/>
        <v>595776.54333333333</v>
      </c>
      <c r="V15" s="3589">
        <f t="shared" si="1"/>
        <v>573404.96</v>
      </c>
      <c r="W15" s="2616"/>
      <c r="X15" s="2616"/>
      <c r="Y15" s="2616"/>
      <c r="Z15" s="2616"/>
      <c r="AA15" s="2616"/>
      <c r="AB15" s="2616"/>
      <c r="AC15" s="2616"/>
      <c r="AD15" s="2643"/>
    </row>
    <row r="16" spans="2:30" x14ac:dyDescent="0.25">
      <c r="B16" s="2874"/>
      <c r="C16" s="2616"/>
      <c r="D16" s="2616"/>
      <c r="E16" s="2863"/>
      <c r="F16" s="2613"/>
      <c r="G16" s="2613"/>
      <c r="H16" s="2614"/>
      <c r="I16" s="2615"/>
      <c r="J16" s="2614"/>
      <c r="K16" s="2613"/>
      <c r="L16" s="2616"/>
      <c r="M16" s="2616"/>
      <c r="N16" s="2616"/>
      <c r="O16" s="2616"/>
      <c r="P16" s="2616"/>
      <c r="Q16" s="2616"/>
      <c r="R16" s="2616"/>
      <c r="S16" s="2616"/>
      <c r="T16" s="2616"/>
      <c r="U16" s="2616"/>
      <c r="V16" s="2616"/>
      <c r="W16" s="2616"/>
      <c r="X16" s="2616"/>
      <c r="Y16" s="2616"/>
      <c r="Z16" s="2616"/>
      <c r="AA16" s="2616"/>
      <c r="AB16" s="2616"/>
      <c r="AC16" s="2616"/>
      <c r="AD16" s="2643"/>
    </row>
    <row r="17" spans="2:30" ht="14.25" thickBot="1" x14ac:dyDescent="0.3">
      <c r="B17" s="2874"/>
      <c r="C17" s="2616"/>
      <c r="D17" s="2616"/>
      <c r="E17" s="2863"/>
      <c r="F17" s="2613"/>
      <c r="G17" s="2613"/>
      <c r="H17" s="2614"/>
      <c r="I17" s="2615"/>
      <c r="J17" s="2614"/>
      <c r="K17" s="2613"/>
      <c r="L17" s="2616"/>
      <c r="M17" s="2616"/>
      <c r="N17" s="2616"/>
      <c r="O17" s="2616"/>
      <c r="P17" s="2616"/>
      <c r="Q17" s="2616"/>
      <c r="R17" s="2616"/>
      <c r="S17" s="2616"/>
      <c r="T17" s="2616"/>
      <c r="U17" s="2616"/>
      <c r="V17" s="2616"/>
      <c r="W17" s="2616"/>
      <c r="X17" s="2616"/>
      <c r="Y17" s="2616"/>
      <c r="Z17" s="2616"/>
      <c r="AA17" s="2616"/>
      <c r="AB17" s="2616"/>
      <c r="AC17" s="2616"/>
      <c r="AD17" s="2643"/>
    </row>
    <row r="18" spans="2:30" ht="14.25" thickBot="1" x14ac:dyDescent="0.3">
      <c r="B18" s="2874"/>
      <c r="C18" s="2616"/>
      <c r="D18" s="2616"/>
      <c r="E18" s="5003" t="s">
        <v>4031</v>
      </c>
      <c r="F18" s="5005"/>
      <c r="G18" s="2613"/>
      <c r="H18" s="2614"/>
      <c r="I18" s="2615"/>
      <c r="J18" s="2614"/>
      <c r="K18" s="2613"/>
      <c r="L18" s="2616"/>
      <c r="M18" s="2616"/>
      <c r="N18" s="2616"/>
      <c r="O18" s="2616"/>
      <c r="P18" s="2616"/>
      <c r="Q18" s="2616"/>
      <c r="R18" s="2616"/>
      <c r="S18" s="2616"/>
      <c r="T18" s="2616"/>
      <c r="U18" s="2616"/>
      <c r="V18" s="2616"/>
      <c r="W18" s="2616"/>
      <c r="X18" s="2616"/>
      <c r="Y18" s="2616"/>
      <c r="Z18" s="2616"/>
      <c r="AA18" s="2616"/>
      <c r="AB18" s="2616"/>
      <c r="AC18" s="2616"/>
      <c r="AD18" s="2643"/>
    </row>
    <row r="19" spans="2:30" ht="14.25" thickBot="1" x14ac:dyDescent="0.3">
      <c r="B19" s="2874"/>
      <c r="C19" s="2616"/>
      <c r="D19" s="2616"/>
      <c r="E19" s="2581" t="s">
        <v>4033</v>
      </c>
      <c r="F19" s="2581">
        <f>1/1.18</f>
        <v>0.84745762711864414</v>
      </c>
      <c r="G19" s="2613"/>
      <c r="H19" s="2614"/>
      <c r="I19" s="2615"/>
      <c r="J19" s="2614"/>
      <c r="K19" s="2613"/>
      <c r="L19" s="2616"/>
      <c r="M19" s="2616"/>
      <c r="N19" s="2616"/>
      <c r="O19" s="2616"/>
      <c r="P19" s="2616"/>
      <c r="Q19" s="2616"/>
      <c r="R19" s="2616"/>
      <c r="S19" s="2616"/>
      <c r="T19" s="2616"/>
      <c r="U19" s="2616"/>
      <c r="V19" s="2616"/>
      <c r="W19" s="2616"/>
      <c r="X19" s="2616"/>
      <c r="Y19" s="2616"/>
      <c r="Z19" s="2616"/>
      <c r="AA19" s="2616"/>
      <c r="AB19" s="2616"/>
      <c r="AC19" s="2616"/>
      <c r="AD19" s="2643"/>
    </row>
    <row r="20" spans="2:30" x14ac:dyDescent="0.25">
      <c r="B20" s="2874"/>
      <c r="C20" s="2616"/>
      <c r="D20" s="2616"/>
      <c r="E20" s="598" t="s">
        <v>4188</v>
      </c>
      <c r="F20" s="598"/>
      <c r="G20" s="2613"/>
      <c r="H20" s="2614"/>
      <c r="I20" s="2615"/>
      <c r="J20" s="2614"/>
      <c r="K20" s="2613"/>
      <c r="L20" s="2616"/>
      <c r="M20" s="2616"/>
      <c r="N20" s="2616"/>
      <c r="O20" s="2616"/>
      <c r="P20" s="2616"/>
      <c r="Q20" s="2616"/>
      <c r="R20" s="2616"/>
      <c r="S20" s="2616"/>
      <c r="T20" s="2616"/>
      <c r="U20" s="2616"/>
      <c r="V20" s="2616"/>
      <c r="W20" s="2616"/>
      <c r="X20" s="2616"/>
      <c r="Y20" s="2616"/>
      <c r="Z20" s="2616"/>
      <c r="AA20" s="2616"/>
      <c r="AB20" s="2616"/>
      <c r="AC20" s="2616"/>
      <c r="AD20" s="2643"/>
    </row>
    <row r="21" spans="2:30" ht="14.25" thickBot="1" x14ac:dyDescent="0.3">
      <c r="B21" s="2874"/>
      <c r="C21" s="2616"/>
      <c r="D21" s="2616"/>
      <c r="E21" s="598"/>
      <c r="F21" s="598"/>
      <c r="G21" s="2613"/>
      <c r="H21" s="2614"/>
      <c r="I21" s="2615"/>
      <c r="J21" s="2614"/>
      <c r="K21" s="2613"/>
      <c r="L21" s="2616"/>
      <c r="M21" s="2616"/>
      <c r="N21" s="2616"/>
      <c r="O21" s="2616"/>
      <c r="P21" s="2616"/>
      <c r="Q21" s="2616"/>
      <c r="R21" s="2616"/>
      <c r="S21" s="2616"/>
      <c r="T21" s="2616"/>
      <c r="U21" s="2616"/>
      <c r="V21" s="2616"/>
      <c r="W21" s="2616"/>
      <c r="X21" s="2616"/>
      <c r="Y21" s="2616"/>
      <c r="Z21" s="2616"/>
      <c r="AA21" s="2616"/>
      <c r="AB21" s="2616"/>
      <c r="AC21" s="2616"/>
      <c r="AD21" s="2643"/>
    </row>
    <row r="22" spans="2:30" ht="14.25" thickBot="1" x14ac:dyDescent="0.3">
      <c r="B22" s="2874"/>
      <c r="C22" s="2616"/>
      <c r="D22" s="2616"/>
      <c r="E22" s="2863"/>
      <c r="F22" s="4891" t="s">
        <v>5003</v>
      </c>
      <c r="G22" s="4892"/>
      <c r="H22" s="4892"/>
      <c r="I22" s="4892"/>
      <c r="J22" s="4892"/>
      <c r="K22" s="4892"/>
      <c r="L22" s="4892"/>
      <c r="M22" s="4892"/>
      <c r="N22" s="4892"/>
      <c r="O22" s="4892"/>
      <c r="P22" s="4892"/>
      <c r="Q22" s="4892"/>
      <c r="R22" s="4892"/>
      <c r="S22" s="4892"/>
      <c r="T22" s="4892"/>
      <c r="U22" s="4892"/>
      <c r="V22" s="4893"/>
      <c r="W22" s="2616"/>
      <c r="X22" s="2616"/>
      <c r="Y22" s="2616"/>
      <c r="Z22" s="2616"/>
      <c r="AA22" s="2616"/>
      <c r="AB22" s="2616"/>
      <c r="AC22" s="2616"/>
      <c r="AD22" s="2643"/>
    </row>
    <row r="23" spans="2:30" ht="14.25" thickBot="1" x14ac:dyDescent="0.3">
      <c r="B23" s="2874"/>
      <c r="C23" s="2616"/>
      <c r="D23" s="2616"/>
      <c r="E23" s="2863"/>
      <c r="F23" s="2613"/>
      <c r="G23" s="2613"/>
      <c r="H23" s="2614"/>
      <c r="I23" s="2615"/>
      <c r="J23" s="2614"/>
      <c r="K23" s="3480"/>
      <c r="L23" s="2616"/>
      <c r="M23" s="2616"/>
      <c r="N23" s="2616"/>
      <c r="O23" s="2616"/>
      <c r="P23" s="2616"/>
      <c r="Q23" s="2616"/>
      <c r="R23" s="2616"/>
      <c r="S23" s="2616"/>
      <c r="T23" s="2616"/>
      <c r="U23" s="2616"/>
      <c r="V23" s="2616"/>
      <c r="W23" s="2616"/>
      <c r="X23" s="2616"/>
      <c r="Y23" s="2616"/>
      <c r="Z23" s="2616"/>
      <c r="AA23" s="2616"/>
      <c r="AB23" s="2616"/>
      <c r="AC23" s="2616"/>
      <c r="AD23" s="2643"/>
    </row>
    <row r="24" spans="2:30" ht="14.25" thickBot="1" x14ac:dyDescent="0.3">
      <c r="B24" s="2874"/>
      <c r="C24" s="2616"/>
      <c r="D24" s="2616"/>
      <c r="E24" s="2863"/>
      <c r="F24" s="4910" t="s">
        <v>298</v>
      </c>
      <c r="G24" s="3464">
        <v>0</v>
      </c>
      <c r="H24" s="3464" t="s">
        <v>1961</v>
      </c>
      <c r="I24" s="3464" t="s">
        <v>1962</v>
      </c>
      <c r="J24" s="3464" t="s">
        <v>1963</v>
      </c>
      <c r="K24" s="3464" t="s">
        <v>2001</v>
      </c>
      <c r="L24" s="3464" t="s">
        <v>2002</v>
      </c>
      <c r="M24" s="3464" t="s">
        <v>2003</v>
      </c>
      <c r="N24" s="3464" t="s">
        <v>2004</v>
      </c>
      <c r="O24" s="3464" t="s">
        <v>2005</v>
      </c>
      <c r="P24" s="3464" t="s">
        <v>2006</v>
      </c>
      <c r="Q24" s="3464" t="s">
        <v>2007</v>
      </c>
      <c r="R24" s="3464" t="s">
        <v>2008</v>
      </c>
      <c r="S24" s="3464" t="s">
        <v>2009</v>
      </c>
      <c r="T24" s="3464" t="s">
        <v>2010</v>
      </c>
      <c r="U24" s="3464" t="s">
        <v>2011</v>
      </c>
      <c r="V24" s="3463" t="s">
        <v>2012</v>
      </c>
      <c r="W24" s="2616"/>
      <c r="X24" s="2616"/>
      <c r="Y24" s="2616"/>
      <c r="Z24" s="2616"/>
      <c r="AA24" s="2616"/>
      <c r="AB24" s="2616"/>
      <c r="AC24" s="2616"/>
      <c r="AD24" s="2643"/>
    </row>
    <row r="25" spans="2:30" ht="14.25" thickBot="1" x14ac:dyDescent="0.3">
      <c r="B25" s="2874"/>
      <c r="C25" s="2616"/>
      <c r="D25" s="2616"/>
      <c r="E25" s="2863"/>
      <c r="F25" s="4909"/>
      <c r="G25" s="1605">
        <v>2019</v>
      </c>
      <c r="H25" s="1605">
        <f>G25+1</f>
        <v>2020</v>
      </c>
      <c r="I25" s="1605">
        <f t="shared" ref="I25:V25" si="2">H25+1</f>
        <v>2021</v>
      </c>
      <c r="J25" s="1605">
        <f t="shared" si="2"/>
        <v>2022</v>
      </c>
      <c r="K25" s="1605">
        <f t="shared" si="2"/>
        <v>2023</v>
      </c>
      <c r="L25" s="1605">
        <f t="shared" si="2"/>
        <v>2024</v>
      </c>
      <c r="M25" s="1605">
        <f t="shared" si="2"/>
        <v>2025</v>
      </c>
      <c r="N25" s="1605">
        <f t="shared" si="2"/>
        <v>2026</v>
      </c>
      <c r="O25" s="1605">
        <f t="shared" si="2"/>
        <v>2027</v>
      </c>
      <c r="P25" s="1605">
        <f t="shared" si="2"/>
        <v>2028</v>
      </c>
      <c r="Q25" s="1605">
        <f t="shared" si="2"/>
        <v>2029</v>
      </c>
      <c r="R25" s="1605">
        <f t="shared" si="2"/>
        <v>2030</v>
      </c>
      <c r="S25" s="1605">
        <f t="shared" si="2"/>
        <v>2031</v>
      </c>
      <c r="T25" s="1605">
        <f t="shared" si="2"/>
        <v>2032</v>
      </c>
      <c r="U25" s="1605">
        <f t="shared" si="2"/>
        <v>2033</v>
      </c>
      <c r="V25" s="1184">
        <f t="shared" si="2"/>
        <v>2034</v>
      </c>
      <c r="W25" s="2616"/>
      <c r="X25" s="2616"/>
      <c r="Y25" s="2616"/>
      <c r="Z25" s="2616"/>
      <c r="AA25" s="2616"/>
      <c r="AB25" s="2616"/>
      <c r="AC25" s="2616"/>
      <c r="AD25" s="2643"/>
    </row>
    <row r="26" spans="2:30" ht="27.75" thickBot="1" x14ac:dyDescent="0.3">
      <c r="B26" s="2874"/>
      <c r="C26" s="2616"/>
      <c r="D26" s="2616"/>
      <c r="E26" s="2863"/>
      <c r="F26" s="2654" t="s">
        <v>5002</v>
      </c>
      <c r="G26" s="2881"/>
      <c r="H26" s="2881"/>
      <c r="I26" s="2881"/>
      <c r="J26" s="2881"/>
      <c r="K26" s="3589">
        <f t="shared" ref="K26:V26" si="3">K15*$F19</f>
        <v>481601.66101694916</v>
      </c>
      <c r="L26" s="3589">
        <f t="shared" si="3"/>
        <v>486349.82485875709</v>
      </c>
      <c r="M26" s="3589">
        <f t="shared" si="3"/>
        <v>496969.24576271186</v>
      </c>
      <c r="N26" s="3589">
        <f t="shared" si="3"/>
        <v>490262.28813559329</v>
      </c>
      <c r="O26" s="3589">
        <f t="shared" si="3"/>
        <v>523981.1807909605</v>
      </c>
      <c r="P26" s="3589">
        <f t="shared" si="3"/>
        <v>485936.40677966102</v>
      </c>
      <c r="Q26" s="3589">
        <f t="shared" si="3"/>
        <v>492634.5</v>
      </c>
      <c r="R26" s="3589">
        <f t="shared" si="3"/>
        <v>486349.82485875709</v>
      </c>
      <c r="S26" s="3589">
        <f t="shared" si="3"/>
        <v>493478.66101694928</v>
      </c>
      <c r="T26" s="3589">
        <f t="shared" si="3"/>
        <v>616228.50847457629</v>
      </c>
      <c r="U26" s="3589">
        <f t="shared" si="3"/>
        <v>504895.37570621475</v>
      </c>
      <c r="V26" s="3589">
        <f t="shared" si="3"/>
        <v>485936.40677966102</v>
      </c>
      <c r="W26" s="2616"/>
      <c r="X26" s="2616"/>
      <c r="Y26" s="2616"/>
      <c r="Z26" s="2616"/>
      <c r="AA26" s="2616"/>
      <c r="AB26" s="2616"/>
      <c r="AC26" s="2616"/>
      <c r="AD26" s="2643"/>
    </row>
    <row r="27" spans="2:30" x14ac:dyDescent="0.25">
      <c r="B27" s="2874"/>
      <c r="C27" s="2616"/>
      <c r="D27" s="2616"/>
      <c r="E27" s="2863"/>
      <c r="F27" s="2613"/>
      <c r="G27" s="2613"/>
      <c r="H27" s="2614"/>
      <c r="I27" s="2615"/>
      <c r="J27" s="2614"/>
      <c r="K27" s="2613"/>
      <c r="L27" s="2616"/>
      <c r="M27" s="2616"/>
      <c r="N27" s="2616"/>
      <c r="O27" s="2616"/>
      <c r="P27" s="2616"/>
      <c r="Q27" s="2616"/>
      <c r="R27" s="2616"/>
      <c r="S27" s="2616"/>
      <c r="T27" s="2616"/>
      <c r="U27" s="2616"/>
      <c r="V27" s="2616"/>
      <c r="W27" s="2616"/>
      <c r="X27" s="2616"/>
      <c r="Y27" s="2616"/>
      <c r="Z27" s="2616"/>
      <c r="AA27" s="2616"/>
      <c r="AB27" s="2616"/>
      <c r="AC27" s="2616"/>
      <c r="AD27" s="2643"/>
    </row>
    <row r="28" spans="2:30" x14ac:dyDescent="0.25">
      <c r="B28" s="2874"/>
      <c r="C28" s="2616"/>
      <c r="D28" s="2616"/>
      <c r="E28" s="2863"/>
      <c r="F28" s="2613"/>
      <c r="G28" s="2613"/>
      <c r="H28" s="2614"/>
      <c r="I28" s="2615"/>
      <c r="J28" s="2614"/>
      <c r="K28" s="2613"/>
      <c r="L28" s="2616"/>
      <c r="M28" s="2616"/>
      <c r="N28" s="2616"/>
      <c r="O28" s="2616"/>
      <c r="P28" s="2616"/>
      <c r="Q28" s="2616"/>
      <c r="R28" s="2616"/>
      <c r="S28" s="2616"/>
      <c r="T28" s="2616"/>
      <c r="U28" s="2616"/>
      <c r="V28" s="2616"/>
      <c r="W28" s="2616"/>
      <c r="X28" s="2616"/>
      <c r="Y28" s="2616"/>
      <c r="Z28" s="2616"/>
      <c r="AA28" s="2616"/>
      <c r="AB28" s="2616"/>
      <c r="AC28" s="2616"/>
      <c r="AD28" s="2643"/>
    </row>
    <row r="29" spans="2:30" ht="14.25" thickBot="1" x14ac:dyDescent="0.3">
      <c r="B29" s="2874"/>
      <c r="C29" s="2616"/>
      <c r="D29" s="2616"/>
      <c r="E29" s="2863"/>
      <c r="F29" s="2613"/>
      <c r="G29" s="2613"/>
      <c r="H29" s="2614"/>
      <c r="I29" s="2615"/>
      <c r="J29" s="2614"/>
      <c r="K29" s="2613"/>
      <c r="L29" s="2616"/>
      <c r="M29" s="2616"/>
      <c r="N29" s="2616"/>
      <c r="O29" s="2616"/>
      <c r="P29" s="2616"/>
      <c r="Q29" s="2616"/>
      <c r="R29" s="2616"/>
      <c r="S29" s="2616"/>
      <c r="T29" s="2616"/>
      <c r="U29" s="2616"/>
      <c r="V29" s="2616"/>
      <c r="W29" s="2616"/>
      <c r="X29" s="2616"/>
      <c r="Y29" s="2616"/>
      <c r="Z29" s="2616"/>
      <c r="AA29" s="2616"/>
      <c r="AB29" s="2616"/>
      <c r="AC29" s="2616"/>
      <c r="AD29" s="2643"/>
    </row>
    <row r="30" spans="2:30" ht="14.25" thickBot="1" x14ac:dyDescent="0.3">
      <c r="B30" s="2874"/>
      <c r="C30" s="4891" t="s">
        <v>5001</v>
      </c>
      <c r="D30" s="4892"/>
      <c r="E30" s="4892"/>
      <c r="F30" s="4892"/>
      <c r="G30" s="4892"/>
      <c r="H30" s="4892"/>
      <c r="I30" s="4892"/>
      <c r="J30" s="4892"/>
      <c r="K30" s="4892"/>
      <c r="L30" s="4892"/>
      <c r="M30" s="4892"/>
      <c r="N30" s="4892"/>
      <c r="O30" s="4892"/>
      <c r="P30" s="4892"/>
      <c r="Q30" s="4892"/>
      <c r="R30" s="4892"/>
      <c r="S30" s="4892"/>
      <c r="T30" s="4892"/>
      <c r="U30" s="4892"/>
      <c r="V30" s="4892"/>
      <c r="W30" s="4892"/>
      <c r="X30" s="4892"/>
      <c r="Y30" s="4892"/>
      <c r="Z30" s="4892"/>
      <c r="AA30" s="4892"/>
      <c r="AB30" s="4892"/>
      <c r="AC30" s="4893"/>
      <c r="AD30" s="2643"/>
    </row>
    <row r="31" spans="2:30" ht="14.25" thickBot="1" x14ac:dyDescent="0.3">
      <c r="B31" s="2874"/>
      <c r="C31" s="3471"/>
      <c r="D31" s="3471"/>
      <c r="E31" s="3471"/>
      <c r="F31" s="3471"/>
      <c r="G31" s="3471"/>
      <c r="H31" s="3471"/>
      <c r="I31" s="3471"/>
      <c r="J31" s="3471"/>
      <c r="K31" s="3471"/>
      <c r="L31" s="3471"/>
      <c r="M31" s="3471"/>
      <c r="N31" s="3471"/>
      <c r="O31" s="3471"/>
      <c r="P31" s="2616"/>
      <c r="Q31" s="2616"/>
      <c r="R31" s="2616"/>
      <c r="S31" s="2616"/>
      <c r="T31" s="2616"/>
      <c r="U31" s="2616"/>
      <c r="V31" s="2616"/>
      <c r="W31" s="2616"/>
      <c r="X31" s="2616"/>
      <c r="Y31" s="2616"/>
      <c r="Z31" s="2616"/>
      <c r="AA31" s="2616"/>
      <c r="AB31" s="2616"/>
      <c r="AC31" s="2616"/>
      <c r="AD31" s="2643"/>
    </row>
    <row r="32" spans="2:30" ht="14.25" customHeight="1" thickBot="1" x14ac:dyDescent="0.3">
      <c r="B32" s="2874"/>
      <c r="C32" s="5009" t="s">
        <v>298</v>
      </c>
      <c r="D32" s="4994" t="s">
        <v>5004</v>
      </c>
      <c r="E32" s="4994" t="s">
        <v>5005</v>
      </c>
      <c r="F32" s="4994" t="s">
        <v>5006</v>
      </c>
      <c r="G32" s="4994" t="s">
        <v>5007</v>
      </c>
      <c r="H32" s="5006" t="s">
        <v>5008</v>
      </c>
      <c r="I32" s="5006" t="s">
        <v>5009</v>
      </c>
      <c r="J32" s="5006" t="s">
        <v>5010</v>
      </c>
      <c r="K32" s="4994" t="s">
        <v>5123</v>
      </c>
      <c r="L32" s="4994" t="s">
        <v>5011</v>
      </c>
      <c r="M32" s="4549" t="s">
        <v>4303</v>
      </c>
      <c r="N32" s="4549"/>
      <c r="O32" s="4559" t="s">
        <v>4289</v>
      </c>
      <c r="P32" s="4559"/>
      <c r="Q32" s="4559"/>
      <c r="R32" s="4559"/>
      <c r="S32" s="4559"/>
      <c r="T32" s="4559"/>
      <c r="U32" s="4559"/>
      <c r="V32" s="4559"/>
      <c r="W32" s="4559"/>
      <c r="X32" s="4559"/>
      <c r="Y32" s="4559"/>
      <c r="Z32" s="4559"/>
      <c r="AA32" s="4559"/>
      <c r="AB32" s="4559"/>
      <c r="AC32" s="4990"/>
      <c r="AD32" s="2643"/>
    </row>
    <row r="33" spans="2:30" ht="15" customHeight="1" thickBot="1" x14ac:dyDescent="0.3">
      <c r="B33" s="2874"/>
      <c r="C33" s="5010"/>
      <c r="D33" s="4995"/>
      <c r="E33" s="4995"/>
      <c r="F33" s="4995"/>
      <c r="G33" s="4995"/>
      <c r="H33" s="5007"/>
      <c r="I33" s="5007"/>
      <c r="J33" s="5007"/>
      <c r="K33" s="4995"/>
      <c r="L33" s="4995"/>
      <c r="M33" s="4550"/>
      <c r="N33" s="4550"/>
      <c r="O33" s="4991" t="s">
        <v>4288</v>
      </c>
      <c r="P33" s="4991"/>
      <c r="Q33" s="4991"/>
      <c r="R33" s="4992" t="s">
        <v>4302</v>
      </c>
      <c r="S33" s="4992"/>
      <c r="T33" s="4992"/>
      <c r="U33" s="4992"/>
      <c r="V33" s="4992"/>
      <c r="W33" s="4992"/>
      <c r="X33" s="4992"/>
      <c r="Y33" s="4992"/>
      <c r="Z33" s="4992"/>
      <c r="AA33" s="4992"/>
      <c r="AB33" s="4992"/>
      <c r="AC33" s="4993"/>
      <c r="AD33" s="2643"/>
    </row>
    <row r="34" spans="2:30" ht="15.75" customHeight="1" thickBot="1" x14ac:dyDescent="0.3">
      <c r="B34" s="2874"/>
      <c r="C34" s="5010"/>
      <c r="D34" s="4995"/>
      <c r="E34" s="4995"/>
      <c r="F34" s="4995"/>
      <c r="G34" s="4995"/>
      <c r="H34" s="5007"/>
      <c r="I34" s="5007"/>
      <c r="J34" s="5007"/>
      <c r="K34" s="4995"/>
      <c r="L34" s="4995"/>
      <c r="M34" s="3465">
        <v>0</v>
      </c>
      <c r="N34" s="3465">
        <v>0</v>
      </c>
      <c r="O34" s="3478" t="s">
        <v>1961</v>
      </c>
      <c r="P34" s="3478" t="s">
        <v>1962</v>
      </c>
      <c r="Q34" s="3478" t="s">
        <v>1963</v>
      </c>
      <c r="R34" s="3478" t="s">
        <v>2001</v>
      </c>
      <c r="S34" s="3478" t="s">
        <v>2002</v>
      </c>
      <c r="T34" s="3478" t="s">
        <v>2003</v>
      </c>
      <c r="U34" s="3478" t="s">
        <v>2004</v>
      </c>
      <c r="V34" s="3478" t="s">
        <v>2005</v>
      </c>
      <c r="W34" s="3478" t="s">
        <v>2006</v>
      </c>
      <c r="X34" s="3478" t="s">
        <v>2007</v>
      </c>
      <c r="Y34" s="3478" t="s">
        <v>2008</v>
      </c>
      <c r="Z34" s="3478" t="s">
        <v>2009</v>
      </c>
      <c r="AA34" s="3478" t="s">
        <v>2010</v>
      </c>
      <c r="AB34" s="3478" t="s">
        <v>2011</v>
      </c>
      <c r="AC34" s="3479" t="s">
        <v>2012</v>
      </c>
      <c r="AD34" s="2643"/>
    </row>
    <row r="35" spans="2:30" ht="15.75" customHeight="1" thickBot="1" x14ac:dyDescent="0.3">
      <c r="B35" s="2874"/>
      <c r="C35" s="5011"/>
      <c r="D35" s="4996"/>
      <c r="E35" s="4996"/>
      <c r="F35" s="4996"/>
      <c r="G35" s="4996"/>
      <c r="H35" s="5008"/>
      <c r="I35" s="5008"/>
      <c r="J35" s="5008"/>
      <c r="K35" s="4996"/>
      <c r="L35" s="4996"/>
      <c r="M35" s="2928">
        <v>2018</v>
      </c>
      <c r="N35" s="2928">
        <v>2019</v>
      </c>
      <c r="O35" s="2928">
        <v>2020</v>
      </c>
      <c r="P35" s="2928">
        <f>+O35+1</f>
        <v>2021</v>
      </c>
      <c r="Q35" s="2928">
        <f t="shared" ref="Q35:AC35" si="4">+P35+1</f>
        <v>2022</v>
      </c>
      <c r="R35" s="2928">
        <f t="shared" si="4"/>
        <v>2023</v>
      </c>
      <c r="S35" s="2928">
        <f t="shared" si="4"/>
        <v>2024</v>
      </c>
      <c r="T35" s="2928">
        <f t="shared" si="4"/>
        <v>2025</v>
      </c>
      <c r="U35" s="2928">
        <f t="shared" si="4"/>
        <v>2026</v>
      </c>
      <c r="V35" s="2928">
        <f t="shared" si="4"/>
        <v>2027</v>
      </c>
      <c r="W35" s="2928">
        <f t="shared" si="4"/>
        <v>2028</v>
      </c>
      <c r="X35" s="2928">
        <f t="shared" si="4"/>
        <v>2029</v>
      </c>
      <c r="Y35" s="2928">
        <f t="shared" si="4"/>
        <v>2030</v>
      </c>
      <c r="Z35" s="2928">
        <f t="shared" si="4"/>
        <v>2031</v>
      </c>
      <c r="AA35" s="2928">
        <f t="shared" si="4"/>
        <v>2032</v>
      </c>
      <c r="AB35" s="2928">
        <f t="shared" si="4"/>
        <v>2033</v>
      </c>
      <c r="AC35" s="2929">
        <f t="shared" si="4"/>
        <v>2034</v>
      </c>
      <c r="AD35" s="2643"/>
    </row>
    <row r="36" spans="2:30" s="2864" customFormat="1" ht="14.25" thickBot="1" x14ac:dyDescent="0.3">
      <c r="B36" s="4997" t="s">
        <v>5012</v>
      </c>
      <c r="C36" s="4998" t="s">
        <v>5013</v>
      </c>
      <c r="D36" s="4999" t="s">
        <v>5014</v>
      </c>
      <c r="E36" s="2882"/>
      <c r="F36" s="3473"/>
      <c r="G36" s="3473"/>
      <c r="H36" s="2883"/>
      <c r="I36" s="2884"/>
      <c r="J36" s="2885">
        <f>SUM(J37:J47)</f>
        <v>87966.68</v>
      </c>
      <c r="K36" s="3473"/>
      <c r="L36" s="2886"/>
      <c r="M36" s="2887"/>
      <c r="N36" s="2887"/>
      <c r="O36" s="2887"/>
      <c r="P36" s="2887"/>
      <c r="Q36" s="2887">
        <f t="shared" ref="Q36:AC36" si="5">SUM(Q37:Q47)</f>
        <v>87966.68</v>
      </c>
      <c r="R36" s="2887">
        <f t="shared" si="5"/>
        <v>87966.68</v>
      </c>
      <c r="S36" s="2887">
        <f t="shared" si="5"/>
        <v>87966.68</v>
      </c>
      <c r="T36" s="2887">
        <f t="shared" si="5"/>
        <v>87966.68</v>
      </c>
      <c r="U36" s="2887">
        <f t="shared" si="5"/>
        <v>87966.68</v>
      </c>
      <c r="V36" s="2887">
        <f t="shared" si="5"/>
        <v>87966.68</v>
      </c>
      <c r="W36" s="2887">
        <f t="shared" si="5"/>
        <v>87966.68</v>
      </c>
      <c r="X36" s="2887">
        <f t="shared" si="5"/>
        <v>87966.68</v>
      </c>
      <c r="Y36" s="2887">
        <f t="shared" si="5"/>
        <v>87966.68</v>
      </c>
      <c r="Z36" s="2887">
        <f t="shared" si="5"/>
        <v>87966.68</v>
      </c>
      <c r="AA36" s="2887">
        <f t="shared" si="5"/>
        <v>87966.68</v>
      </c>
      <c r="AB36" s="2887">
        <f t="shared" si="5"/>
        <v>87966.68</v>
      </c>
      <c r="AC36" s="2887">
        <f t="shared" si="5"/>
        <v>87966.68</v>
      </c>
      <c r="AD36" s="2875"/>
    </row>
    <row r="37" spans="2:30" s="2864" customFormat="1" ht="14.25" thickBot="1" x14ac:dyDescent="0.3">
      <c r="B37" s="4997"/>
      <c r="C37" s="4998"/>
      <c r="D37" s="4999"/>
      <c r="E37" s="3467" t="s">
        <v>5015</v>
      </c>
      <c r="F37" s="3481" t="s">
        <v>3856</v>
      </c>
      <c r="G37" s="3502">
        <v>830.88499999999999</v>
      </c>
      <c r="H37" s="2888">
        <v>15.5</v>
      </c>
      <c r="I37" s="2889">
        <v>8434.48</v>
      </c>
      <c r="J37" s="2889">
        <v>8434.48</v>
      </c>
      <c r="K37" s="2890" t="s">
        <v>5016</v>
      </c>
      <c r="L37" s="2886"/>
      <c r="M37" s="2891"/>
      <c r="N37" s="2891"/>
      <c r="O37" s="2891"/>
      <c r="P37" s="2892"/>
      <c r="Q37" s="2892">
        <f>J37</f>
        <v>8434.48</v>
      </c>
      <c r="R37" s="2892">
        <f>Q37</f>
        <v>8434.48</v>
      </c>
      <c r="S37" s="2892">
        <f t="shared" ref="S37:AC37" si="6">R37</f>
        <v>8434.48</v>
      </c>
      <c r="T37" s="2892">
        <f t="shared" si="6"/>
        <v>8434.48</v>
      </c>
      <c r="U37" s="2892">
        <f t="shared" si="6"/>
        <v>8434.48</v>
      </c>
      <c r="V37" s="2892">
        <f t="shared" si="6"/>
        <v>8434.48</v>
      </c>
      <c r="W37" s="2892">
        <f t="shared" si="6"/>
        <v>8434.48</v>
      </c>
      <c r="X37" s="2892">
        <f t="shared" si="6"/>
        <v>8434.48</v>
      </c>
      <c r="Y37" s="2892">
        <f t="shared" si="6"/>
        <v>8434.48</v>
      </c>
      <c r="Z37" s="2892">
        <f t="shared" si="6"/>
        <v>8434.48</v>
      </c>
      <c r="AA37" s="2892">
        <f t="shared" si="6"/>
        <v>8434.48</v>
      </c>
      <c r="AB37" s="2892">
        <f t="shared" si="6"/>
        <v>8434.48</v>
      </c>
      <c r="AC37" s="2892">
        <f t="shared" si="6"/>
        <v>8434.48</v>
      </c>
      <c r="AD37" s="2875"/>
    </row>
    <row r="38" spans="2:30" s="2864" customFormat="1" ht="14.25" thickBot="1" x14ac:dyDescent="0.3">
      <c r="B38" s="4997"/>
      <c r="C38" s="4998"/>
      <c r="D38" s="4999"/>
      <c r="E38" s="2893" t="s">
        <v>5017</v>
      </c>
      <c r="F38" s="3481" t="s">
        <v>5018</v>
      </c>
      <c r="G38" s="2894">
        <v>1</v>
      </c>
      <c r="H38" s="2888">
        <v>5000</v>
      </c>
      <c r="I38" s="2889">
        <v>5000</v>
      </c>
      <c r="J38" s="2889">
        <v>5000</v>
      </c>
      <c r="K38" s="2890" t="s">
        <v>5016</v>
      </c>
      <c r="L38" s="2886"/>
      <c r="M38" s="2891"/>
      <c r="N38" s="2891"/>
      <c r="O38" s="2891"/>
      <c r="P38" s="2892"/>
      <c r="Q38" s="2892">
        <f t="shared" ref="Q38:Q46" si="7">J38</f>
        <v>5000</v>
      </c>
      <c r="R38" s="2892">
        <f t="shared" ref="R38:AC46" si="8">Q38</f>
        <v>5000</v>
      </c>
      <c r="S38" s="2892">
        <f t="shared" si="8"/>
        <v>5000</v>
      </c>
      <c r="T38" s="2892">
        <f t="shared" si="8"/>
        <v>5000</v>
      </c>
      <c r="U38" s="2892">
        <f t="shared" si="8"/>
        <v>5000</v>
      </c>
      <c r="V38" s="2892">
        <f t="shared" si="8"/>
        <v>5000</v>
      </c>
      <c r="W38" s="2892">
        <f t="shared" si="8"/>
        <v>5000</v>
      </c>
      <c r="X38" s="2892">
        <f t="shared" si="8"/>
        <v>5000</v>
      </c>
      <c r="Y38" s="2892">
        <f t="shared" si="8"/>
        <v>5000</v>
      </c>
      <c r="Z38" s="2892">
        <f t="shared" si="8"/>
        <v>5000</v>
      </c>
      <c r="AA38" s="2892">
        <f t="shared" si="8"/>
        <v>5000</v>
      </c>
      <c r="AB38" s="2892">
        <f t="shared" si="8"/>
        <v>5000</v>
      </c>
      <c r="AC38" s="2892">
        <f t="shared" si="8"/>
        <v>5000</v>
      </c>
      <c r="AD38" s="2875"/>
    </row>
    <row r="39" spans="2:30" s="2864" customFormat="1" ht="14.25" thickBot="1" x14ac:dyDescent="0.3">
      <c r="B39" s="4997"/>
      <c r="C39" s="4998"/>
      <c r="D39" s="4999"/>
      <c r="E39" s="2893" t="s">
        <v>5019</v>
      </c>
      <c r="F39" s="3481" t="s">
        <v>3856</v>
      </c>
      <c r="G39" s="2894">
        <v>1255</v>
      </c>
      <c r="H39" s="2888">
        <v>50</v>
      </c>
      <c r="I39" s="2889">
        <v>56100</v>
      </c>
      <c r="J39" s="2889">
        <v>18700</v>
      </c>
      <c r="K39" s="2890" t="s">
        <v>5016</v>
      </c>
      <c r="L39" s="2886"/>
      <c r="M39" s="2891"/>
      <c r="N39" s="2891"/>
      <c r="O39" s="2891"/>
      <c r="P39" s="2892"/>
      <c r="Q39" s="2892">
        <f t="shared" si="7"/>
        <v>18700</v>
      </c>
      <c r="R39" s="2892">
        <f t="shared" si="8"/>
        <v>18700</v>
      </c>
      <c r="S39" s="2892">
        <f t="shared" si="8"/>
        <v>18700</v>
      </c>
      <c r="T39" s="2892">
        <f t="shared" si="8"/>
        <v>18700</v>
      </c>
      <c r="U39" s="2892">
        <f t="shared" si="8"/>
        <v>18700</v>
      </c>
      <c r="V39" s="2892">
        <f t="shared" si="8"/>
        <v>18700</v>
      </c>
      <c r="W39" s="2892">
        <f t="shared" si="8"/>
        <v>18700</v>
      </c>
      <c r="X39" s="2892">
        <f t="shared" si="8"/>
        <v>18700</v>
      </c>
      <c r="Y39" s="2892">
        <f t="shared" si="8"/>
        <v>18700</v>
      </c>
      <c r="Z39" s="2892">
        <f t="shared" si="8"/>
        <v>18700</v>
      </c>
      <c r="AA39" s="2892">
        <f t="shared" si="8"/>
        <v>18700</v>
      </c>
      <c r="AB39" s="2892">
        <f t="shared" si="8"/>
        <v>18700</v>
      </c>
      <c r="AC39" s="2892">
        <f t="shared" si="8"/>
        <v>18700</v>
      </c>
      <c r="AD39" s="2875"/>
    </row>
    <row r="40" spans="2:30" s="2864" customFormat="1" ht="14.25" thickBot="1" x14ac:dyDescent="0.3">
      <c r="B40" s="4997"/>
      <c r="C40" s="4998"/>
      <c r="D40" s="4999"/>
      <c r="E40" s="2893" t="s">
        <v>5020</v>
      </c>
      <c r="F40" s="3481" t="s">
        <v>5006</v>
      </c>
      <c r="G40" s="2894">
        <v>255</v>
      </c>
      <c r="H40" s="2888">
        <v>25</v>
      </c>
      <c r="I40" s="2889">
        <v>6375</v>
      </c>
      <c r="J40" s="2889">
        <v>6375</v>
      </c>
      <c r="K40" s="2890" t="s">
        <v>5016</v>
      </c>
      <c r="L40" s="2886"/>
      <c r="M40" s="2891"/>
      <c r="N40" s="2891"/>
      <c r="O40" s="2891"/>
      <c r="P40" s="2892"/>
      <c r="Q40" s="2892">
        <f t="shared" si="7"/>
        <v>6375</v>
      </c>
      <c r="R40" s="2892">
        <f t="shared" si="8"/>
        <v>6375</v>
      </c>
      <c r="S40" s="2892">
        <f t="shared" si="8"/>
        <v>6375</v>
      </c>
      <c r="T40" s="2892">
        <f t="shared" si="8"/>
        <v>6375</v>
      </c>
      <c r="U40" s="2892">
        <f t="shared" si="8"/>
        <v>6375</v>
      </c>
      <c r="V40" s="2892">
        <f t="shared" si="8"/>
        <v>6375</v>
      </c>
      <c r="W40" s="2892">
        <f t="shared" si="8"/>
        <v>6375</v>
      </c>
      <c r="X40" s="2892">
        <f t="shared" si="8"/>
        <v>6375</v>
      </c>
      <c r="Y40" s="2892">
        <f t="shared" si="8"/>
        <v>6375</v>
      </c>
      <c r="Z40" s="2892">
        <f t="shared" si="8"/>
        <v>6375</v>
      </c>
      <c r="AA40" s="2892">
        <f t="shared" si="8"/>
        <v>6375</v>
      </c>
      <c r="AB40" s="2892">
        <f t="shared" si="8"/>
        <v>6375</v>
      </c>
      <c r="AC40" s="2892">
        <f t="shared" si="8"/>
        <v>6375</v>
      </c>
      <c r="AD40" s="2875"/>
    </row>
    <row r="41" spans="2:30" s="2864" customFormat="1" ht="14.25" thickBot="1" x14ac:dyDescent="0.3">
      <c r="B41" s="4997"/>
      <c r="C41" s="4998"/>
      <c r="D41" s="4999"/>
      <c r="E41" s="2893" t="s">
        <v>5021</v>
      </c>
      <c r="F41" s="3481" t="s">
        <v>3856</v>
      </c>
      <c r="G41" s="2894">
        <v>5171.8420000000006</v>
      </c>
      <c r="H41" s="2888">
        <v>5</v>
      </c>
      <c r="I41" s="2889">
        <v>8100</v>
      </c>
      <c r="J41" s="2889">
        <v>8100</v>
      </c>
      <c r="K41" s="2890" t="s">
        <v>5016</v>
      </c>
      <c r="L41" s="2886"/>
      <c r="M41" s="2891"/>
      <c r="N41" s="2891"/>
      <c r="O41" s="2891"/>
      <c r="P41" s="2892"/>
      <c r="Q41" s="2892">
        <f t="shared" si="7"/>
        <v>8100</v>
      </c>
      <c r="R41" s="2892">
        <f t="shared" si="8"/>
        <v>8100</v>
      </c>
      <c r="S41" s="2892">
        <f t="shared" si="8"/>
        <v>8100</v>
      </c>
      <c r="T41" s="2892">
        <f t="shared" si="8"/>
        <v>8100</v>
      </c>
      <c r="U41" s="2892">
        <f t="shared" si="8"/>
        <v>8100</v>
      </c>
      <c r="V41" s="2892">
        <f t="shared" si="8"/>
        <v>8100</v>
      </c>
      <c r="W41" s="2892">
        <f t="shared" si="8"/>
        <v>8100</v>
      </c>
      <c r="X41" s="2892">
        <f t="shared" si="8"/>
        <v>8100</v>
      </c>
      <c r="Y41" s="2892">
        <f t="shared" si="8"/>
        <v>8100</v>
      </c>
      <c r="Z41" s="2892">
        <f t="shared" si="8"/>
        <v>8100</v>
      </c>
      <c r="AA41" s="2892">
        <f t="shared" si="8"/>
        <v>8100</v>
      </c>
      <c r="AB41" s="2892">
        <f t="shared" si="8"/>
        <v>8100</v>
      </c>
      <c r="AC41" s="2892">
        <f t="shared" si="8"/>
        <v>8100</v>
      </c>
      <c r="AD41" s="2875"/>
    </row>
    <row r="42" spans="2:30" s="2864" customFormat="1" ht="14.25" thickBot="1" x14ac:dyDescent="0.3">
      <c r="B42" s="4997"/>
      <c r="C42" s="4998"/>
      <c r="D42" s="4999"/>
      <c r="E42" s="2893" t="s">
        <v>5022</v>
      </c>
      <c r="F42" s="3481" t="s">
        <v>5018</v>
      </c>
      <c r="G42" s="2894">
        <v>1</v>
      </c>
      <c r="H42" s="2888">
        <v>1500</v>
      </c>
      <c r="I42" s="2889">
        <v>1500</v>
      </c>
      <c r="J42" s="2889">
        <v>1500</v>
      </c>
      <c r="K42" s="2895" t="s">
        <v>5016</v>
      </c>
      <c r="L42" s="2886"/>
      <c r="M42" s="2891"/>
      <c r="N42" s="2891"/>
      <c r="O42" s="2891"/>
      <c r="P42" s="2892"/>
      <c r="Q42" s="2892">
        <f t="shared" si="7"/>
        <v>1500</v>
      </c>
      <c r="R42" s="2892">
        <f t="shared" si="8"/>
        <v>1500</v>
      </c>
      <c r="S42" s="2892">
        <f t="shared" si="8"/>
        <v>1500</v>
      </c>
      <c r="T42" s="2892">
        <f t="shared" si="8"/>
        <v>1500</v>
      </c>
      <c r="U42" s="2892">
        <f t="shared" si="8"/>
        <v>1500</v>
      </c>
      <c r="V42" s="2892">
        <f t="shared" si="8"/>
        <v>1500</v>
      </c>
      <c r="W42" s="2892">
        <f t="shared" si="8"/>
        <v>1500</v>
      </c>
      <c r="X42" s="2892">
        <f t="shared" si="8"/>
        <v>1500</v>
      </c>
      <c r="Y42" s="2892">
        <f t="shared" si="8"/>
        <v>1500</v>
      </c>
      <c r="Z42" s="2892">
        <f t="shared" si="8"/>
        <v>1500</v>
      </c>
      <c r="AA42" s="2892">
        <f t="shared" si="8"/>
        <v>1500</v>
      </c>
      <c r="AB42" s="2892">
        <f t="shared" si="8"/>
        <v>1500</v>
      </c>
      <c r="AC42" s="2892">
        <f t="shared" si="8"/>
        <v>1500</v>
      </c>
      <c r="AD42" s="2875"/>
    </row>
    <row r="43" spans="2:30" s="2864" customFormat="1" ht="14.25" thickBot="1" x14ac:dyDescent="0.3">
      <c r="B43" s="4997"/>
      <c r="C43" s="4998"/>
      <c r="D43" s="4999"/>
      <c r="E43" s="2893" t="s">
        <v>5023</v>
      </c>
      <c r="F43" s="3481" t="s">
        <v>5024</v>
      </c>
      <c r="G43" s="2894">
        <v>575</v>
      </c>
      <c r="H43" s="2888">
        <v>2.5</v>
      </c>
      <c r="I43" s="2889">
        <v>587.5</v>
      </c>
      <c r="J43" s="2889">
        <v>587.5</v>
      </c>
      <c r="K43" s="2895" t="s">
        <v>5016</v>
      </c>
      <c r="L43" s="2886"/>
      <c r="M43" s="2891"/>
      <c r="N43" s="2891"/>
      <c r="O43" s="2891"/>
      <c r="P43" s="2892"/>
      <c r="Q43" s="2892">
        <f t="shared" si="7"/>
        <v>587.5</v>
      </c>
      <c r="R43" s="2892">
        <f t="shared" si="8"/>
        <v>587.5</v>
      </c>
      <c r="S43" s="2892">
        <f t="shared" si="8"/>
        <v>587.5</v>
      </c>
      <c r="T43" s="2892">
        <f t="shared" si="8"/>
        <v>587.5</v>
      </c>
      <c r="U43" s="2892">
        <f t="shared" si="8"/>
        <v>587.5</v>
      </c>
      <c r="V43" s="2892">
        <f t="shared" si="8"/>
        <v>587.5</v>
      </c>
      <c r="W43" s="2892">
        <f t="shared" si="8"/>
        <v>587.5</v>
      </c>
      <c r="X43" s="2892">
        <f t="shared" si="8"/>
        <v>587.5</v>
      </c>
      <c r="Y43" s="2892">
        <f t="shared" si="8"/>
        <v>587.5</v>
      </c>
      <c r="Z43" s="2892">
        <f t="shared" si="8"/>
        <v>587.5</v>
      </c>
      <c r="AA43" s="2892">
        <f t="shared" si="8"/>
        <v>587.5</v>
      </c>
      <c r="AB43" s="2892">
        <f t="shared" si="8"/>
        <v>587.5</v>
      </c>
      <c r="AC43" s="2892">
        <f t="shared" si="8"/>
        <v>587.5</v>
      </c>
      <c r="AD43" s="2875"/>
    </row>
    <row r="44" spans="2:30" s="2864" customFormat="1" ht="14.25" thickBot="1" x14ac:dyDescent="0.3">
      <c r="B44" s="4997"/>
      <c r="C44" s="4998"/>
      <c r="D44" s="4999"/>
      <c r="E44" s="2893" t="s">
        <v>5025</v>
      </c>
      <c r="F44" s="3481" t="s">
        <v>5024</v>
      </c>
      <c r="G44" s="2894">
        <v>303.89999999999998</v>
      </c>
      <c r="H44" s="2888">
        <v>12.11</v>
      </c>
      <c r="I44" s="2889">
        <v>3269.7</v>
      </c>
      <c r="J44" s="2889">
        <v>3269.7</v>
      </c>
      <c r="K44" s="2895" t="s">
        <v>5016</v>
      </c>
      <c r="L44" s="2886"/>
      <c r="M44" s="2891"/>
      <c r="N44" s="2891"/>
      <c r="O44" s="2891"/>
      <c r="P44" s="2892"/>
      <c r="Q44" s="2892">
        <f t="shared" si="7"/>
        <v>3269.7</v>
      </c>
      <c r="R44" s="2892">
        <f t="shared" si="8"/>
        <v>3269.7</v>
      </c>
      <c r="S44" s="2892">
        <f t="shared" si="8"/>
        <v>3269.7</v>
      </c>
      <c r="T44" s="2892">
        <f t="shared" si="8"/>
        <v>3269.7</v>
      </c>
      <c r="U44" s="2892">
        <f t="shared" si="8"/>
        <v>3269.7</v>
      </c>
      <c r="V44" s="2892">
        <f t="shared" si="8"/>
        <v>3269.7</v>
      </c>
      <c r="W44" s="2892">
        <f t="shared" si="8"/>
        <v>3269.7</v>
      </c>
      <c r="X44" s="2892">
        <f t="shared" si="8"/>
        <v>3269.7</v>
      </c>
      <c r="Y44" s="2892">
        <f t="shared" si="8"/>
        <v>3269.7</v>
      </c>
      <c r="Z44" s="2892">
        <f t="shared" si="8"/>
        <v>3269.7</v>
      </c>
      <c r="AA44" s="2892">
        <f t="shared" si="8"/>
        <v>3269.7</v>
      </c>
      <c r="AB44" s="2892">
        <f t="shared" si="8"/>
        <v>3269.7</v>
      </c>
      <c r="AC44" s="2892">
        <f t="shared" si="8"/>
        <v>3269.7</v>
      </c>
      <c r="AD44" s="2875"/>
    </row>
    <row r="45" spans="2:30" s="2864" customFormat="1" ht="14.25" thickBot="1" x14ac:dyDescent="0.3">
      <c r="B45" s="4997"/>
      <c r="C45" s="4998"/>
      <c r="D45" s="4999"/>
      <c r="E45" s="2893" t="s">
        <v>3270</v>
      </c>
      <c r="F45" s="3481" t="s">
        <v>5018</v>
      </c>
      <c r="G45" s="2894">
        <v>1</v>
      </c>
      <c r="H45" s="2888">
        <v>1500</v>
      </c>
      <c r="I45" s="2896">
        <v>1500</v>
      </c>
      <c r="J45" s="2896">
        <v>18000</v>
      </c>
      <c r="K45" s="3481" t="s">
        <v>5026</v>
      </c>
      <c r="L45" s="2886"/>
      <c r="M45" s="2891"/>
      <c r="N45" s="2891"/>
      <c r="O45" s="2891"/>
      <c r="P45" s="2892"/>
      <c r="Q45" s="2892">
        <f t="shared" si="7"/>
        <v>18000</v>
      </c>
      <c r="R45" s="2892">
        <f t="shared" si="8"/>
        <v>18000</v>
      </c>
      <c r="S45" s="2892">
        <f t="shared" si="8"/>
        <v>18000</v>
      </c>
      <c r="T45" s="2892">
        <f t="shared" si="8"/>
        <v>18000</v>
      </c>
      <c r="U45" s="2892">
        <f t="shared" si="8"/>
        <v>18000</v>
      </c>
      <c r="V45" s="2892">
        <f t="shared" si="8"/>
        <v>18000</v>
      </c>
      <c r="W45" s="2892">
        <f t="shared" si="8"/>
        <v>18000</v>
      </c>
      <c r="X45" s="2892">
        <f t="shared" si="8"/>
        <v>18000</v>
      </c>
      <c r="Y45" s="2892">
        <f t="shared" si="8"/>
        <v>18000</v>
      </c>
      <c r="Z45" s="2892">
        <f t="shared" si="8"/>
        <v>18000</v>
      </c>
      <c r="AA45" s="2892">
        <f t="shared" si="8"/>
        <v>18000</v>
      </c>
      <c r="AB45" s="2892">
        <f t="shared" si="8"/>
        <v>18000</v>
      </c>
      <c r="AC45" s="2892">
        <f t="shared" si="8"/>
        <v>18000</v>
      </c>
      <c r="AD45" s="2875"/>
    </row>
    <row r="46" spans="2:30" s="2864" customFormat="1" ht="14.25" thickBot="1" x14ac:dyDescent="0.3">
      <c r="B46" s="4997"/>
      <c r="C46" s="4998"/>
      <c r="D46" s="4999"/>
      <c r="E46" s="2893" t="s">
        <v>5027</v>
      </c>
      <c r="F46" s="3481" t="s">
        <v>5018</v>
      </c>
      <c r="G46" s="2894">
        <v>1</v>
      </c>
      <c r="H46" s="2888">
        <v>1500</v>
      </c>
      <c r="I46" s="2889">
        <v>1500</v>
      </c>
      <c r="J46" s="2889">
        <v>18000</v>
      </c>
      <c r="K46" s="2890" t="s">
        <v>5026</v>
      </c>
      <c r="L46" s="2886"/>
      <c r="M46" s="2891"/>
      <c r="N46" s="2891"/>
      <c r="O46" s="2891"/>
      <c r="P46" s="2892"/>
      <c r="Q46" s="2892">
        <f t="shared" si="7"/>
        <v>18000</v>
      </c>
      <c r="R46" s="2892">
        <f t="shared" si="8"/>
        <v>18000</v>
      </c>
      <c r="S46" s="2892">
        <f t="shared" si="8"/>
        <v>18000</v>
      </c>
      <c r="T46" s="2892">
        <f t="shared" si="8"/>
        <v>18000</v>
      </c>
      <c r="U46" s="2892">
        <f t="shared" si="8"/>
        <v>18000</v>
      </c>
      <c r="V46" s="2892">
        <f t="shared" si="8"/>
        <v>18000</v>
      </c>
      <c r="W46" s="2892">
        <f t="shared" si="8"/>
        <v>18000</v>
      </c>
      <c r="X46" s="2892">
        <f t="shared" si="8"/>
        <v>18000</v>
      </c>
      <c r="Y46" s="2892">
        <f t="shared" si="8"/>
        <v>18000</v>
      </c>
      <c r="Z46" s="2892">
        <f t="shared" si="8"/>
        <v>18000</v>
      </c>
      <c r="AA46" s="2892">
        <f t="shared" si="8"/>
        <v>18000</v>
      </c>
      <c r="AB46" s="2892">
        <f t="shared" si="8"/>
        <v>18000</v>
      </c>
      <c r="AC46" s="2892">
        <f t="shared" si="8"/>
        <v>18000</v>
      </c>
      <c r="AD46" s="2875"/>
    </row>
    <row r="47" spans="2:30" ht="14.25" thickBot="1" x14ac:dyDescent="0.3">
      <c r="B47" s="4997"/>
      <c r="C47" s="4998"/>
      <c r="D47" s="4999"/>
      <c r="E47" s="2893"/>
      <c r="F47" s="3481"/>
      <c r="G47" s="2899"/>
      <c r="H47" s="2888"/>
      <c r="I47" s="2897"/>
      <c r="J47" s="2897"/>
      <c r="K47" s="3481"/>
      <c r="L47" s="2898"/>
      <c r="M47" s="2898"/>
      <c r="N47" s="2898"/>
      <c r="O47" s="2898"/>
      <c r="P47" s="2892"/>
      <c r="Q47" s="2892"/>
      <c r="R47" s="2892"/>
      <c r="S47" s="2892"/>
      <c r="T47" s="2892"/>
      <c r="U47" s="2892"/>
      <c r="V47" s="2892"/>
      <c r="W47" s="2892"/>
      <c r="X47" s="2892"/>
      <c r="Y47" s="2892"/>
      <c r="Z47" s="2892"/>
      <c r="AA47" s="2892"/>
      <c r="AB47" s="2892"/>
      <c r="AC47" s="2892"/>
      <c r="AD47" s="2643"/>
    </row>
    <row r="48" spans="2:30" s="2864" customFormat="1" ht="14.25" thickBot="1" x14ac:dyDescent="0.3">
      <c r="B48" s="4997"/>
      <c r="C48" s="4998"/>
      <c r="D48" s="5000" t="s">
        <v>4272</v>
      </c>
      <c r="E48" s="2930"/>
      <c r="F48" s="3476"/>
      <c r="G48" s="2931"/>
      <c r="H48" s="2932"/>
      <c r="I48" s="2933"/>
      <c r="J48" s="2934">
        <f>SUM(J49:J60)</f>
        <v>37706.123333333329</v>
      </c>
      <c r="K48" s="3476"/>
      <c r="L48" s="2935"/>
      <c r="M48" s="2936"/>
      <c r="N48" s="2936"/>
      <c r="O48" s="2936"/>
      <c r="P48" s="2937"/>
      <c r="Q48" s="2937">
        <f t="shared" ref="Q48:AC48" si="9">SUM(Q49:Q60)</f>
        <v>0</v>
      </c>
      <c r="R48" s="2937">
        <f t="shared" si="9"/>
        <v>0</v>
      </c>
      <c r="S48" s="2937">
        <f t="shared" si="9"/>
        <v>5602.833333333333</v>
      </c>
      <c r="T48" s="2937">
        <f t="shared" si="9"/>
        <v>13018.75</v>
      </c>
      <c r="U48" s="2937">
        <f t="shared" si="9"/>
        <v>10219.540000000001</v>
      </c>
      <c r="V48" s="2937">
        <f t="shared" si="9"/>
        <v>14467.833333333332</v>
      </c>
      <c r="W48" s="2937">
        <f t="shared" si="9"/>
        <v>0</v>
      </c>
      <c r="X48" s="2937">
        <f t="shared" si="9"/>
        <v>13018.75</v>
      </c>
      <c r="Y48" s="2937">
        <f t="shared" si="9"/>
        <v>5602.833333333333</v>
      </c>
      <c r="Z48" s="2937">
        <f t="shared" si="9"/>
        <v>8899.86</v>
      </c>
      <c r="AA48" s="2937">
        <f t="shared" si="9"/>
        <v>1319.68</v>
      </c>
      <c r="AB48" s="2937">
        <f t="shared" si="9"/>
        <v>27486.583333333332</v>
      </c>
      <c r="AC48" s="2937">
        <f t="shared" si="9"/>
        <v>0</v>
      </c>
      <c r="AD48" s="2875"/>
    </row>
    <row r="49" spans="2:30" ht="14.25" thickBot="1" x14ac:dyDescent="0.3">
      <c r="B49" s="4997"/>
      <c r="C49" s="4998"/>
      <c r="D49" s="5000"/>
      <c r="E49" s="2938" t="s">
        <v>5028</v>
      </c>
      <c r="F49" s="2939" t="s">
        <v>3856</v>
      </c>
      <c r="G49" s="2940">
        <v>2784.8379999999997</v>
      </c>
      <c r="H49" s="2941">
        <v>12.11</v>
      </c>
      <c r="I49" s="2942">
        <v>20223.7</v>
      </c>
      <c r="J49" s="2942">
        <v>4044.7400000000002</v>
      </c>
      <c r="K49" s="2943" t="s">
        <v>5029</v>
      </c>
      <c r="L49" s="2944"/>
      <c r="M49" s="2944"/>
      <c r="N49" s="2944"/>
      <c r="O49" s="2944"/>
      <c r="P49" s="2945"/>
      <c r="Q49" s="2945"/>
      <c r="R49" s="2944"/>
      <c r="S49" s="2945"/>
      <c r="T49" s="2945"/>
      <c r="U49" s="2945">
        <f>J49</f>
        <v>4044.7400000000002</v>
      </c>
      <c r="V49" s="2945"/>
      <c r="W49" s="2945"/>
      <c r="X49" s="2945"/>
      <c r="Y49" s="2945"/>
      <c r="Z49" s="2945">
        <f>U49</f>
        <v>4044.7400000000002</v>
      </c>
      <c r="AA49" s="2945"/>
      <c r="AB49" s="2945"/>
      <c r="AC49" s="2945"/>
      <c r="AD49" s="2643"/>
    </row>
    <row r="50" spans="2:30" ht="14.25" thickBot="1" x14ac:dyDescent="0.3">
      <c r="B50" s="4997"/>
      <c r="C50" s="4998"/>
      <c r="D50" s="5000"/>
      <c r="E50" s="2946" t="s">
        <v>5025</v>
      </c>
      <c r="F50" s="2939" t="s">
        <v>3856</v>
      </c>
      <c r="G50" s="2947">
        <v>303.89999999999998</v>
      </c>
      <c r="H50" s="2941">
        <v>15</v>
      </c>
      <c r="I50" s="2942">
        <v>4050</v>
      </c>
      <c r="J50" s="2942">
        <v>810</v>
      </c>
      <c r="K50" s="2943" t="s">
        <v>5029</v>
      </c>
      <c r="L50" s="2944"/>
      <c r="M50" s="2944"/>
      <c r="N50" s="2944"/>
      <c r="O50" s="2944"/>
      <c r="P50" s="2945"/>
      <c r="Q50" s="2945"/>
      <c r="R50" s="2944"/>
      <c r="S50" s="2945"/>
      <c r="T50" s="2945"/>
      <c r="U50" s="2945">
        <f t="shared" ref="U50:U59" si="10">J50</f>
        <v>810</v>
      </c>
      <c r="V50" s="2945"/>
      <c r="W50" s="2945"/>
      <c r="X50" s="2945"/>
      <c r="Y50" s="2945"/>
      <c r="Z50" s="2945">
        <f>U50</f>
        <v>810</v>
      </c>
      <c r="AA50" s="2945"/>
      <c r="AB50" s="2945"/>
      <c r="AC50" s="2945"/>
      <c r="AD50" s="2643"/>
    </row>
    <row r="51" spans="2:30" ht="14.25" thickBot="1" x14ac:dyDescent="0.3">
      <c r="B51" s="4997"/>
      <c r="C51" s="4998"/>
      <c r="D51" s="5000"/>
      <c r="E51" s="2946" t="s">
        <v>5030</v>
      </c>
      <c r="F51" s="2939" t="s">
        <v>3856</v>
      </c>
      <c r="G51" s="2940">
        <v>276.96166666666664</v>
      </c>
      <c r="H51" s="2941">
        <v>38</v>
      </c>
      <c r="I51" s="2942">
        <v>14896</v>
      </c>
      <c r="J51" s="2942">
        <v>4965.333333333333</v>
      </c>
      <c r="K51" s="2943" t="s">
        <v>5031</v>
      </c>
      <c r="L51" s="2944"/>
      <c r="M51" s="2944"/>
      <c r="N51" s="2944"/>
      <c r="O51" s="2944"/>
      <c r="P51" s="2945"/>
      <c r="Q51" s="2945"/>
      <c r="R51" s="2944"/>
      <c r="S51" s="2945">
        <f>J51</f>
        <v>4965.333333333333</v>
      </c>
      <c r="T51" s="2945"/>
      <c r="U51" s="2945"/>
      <c r="V51" s="2945">
        <f>S51</f>
        <v>4965.333333333333</v>
      </c>
      <c r="W51" s="2945"/>
      <c r="X51" s="2945"/>
      <c r="Y51" s="2945">
        <f>V51</f>
        <v>4965.333333333333</v>
      </c>
      <c r="Z51" s="2945"/>
      <c r="AA51" s="2945"/>
      <c r="AB51" s="2945">
        <f>Y51</f>
        <v>4965.333333333333</v>
      </c>
      <c r="AC51" s="2945"/>
      <c r="AD51" s="2643"/>
    </row>
    <row r="52" spans="2:30" ht="14.25" thickBot="1" x14ac:dyDescent="0.3">
      <c r="B52" s="4997"/>
      <c r="C52" s="4998"/>
      <c r="D52" s="5000"/>
      <c r="E52" s="2946" t="s">
        <v>5032</v>
      </c>
      <c r="F52" s="2939" t="s">
        <v>3856</v>
      </c>
      <c r="G52" s="2947">
        <v>116.529</v>
      </c>
      <c r="H52" s="2941">
        <v>75.94</v>
      </c>
      <c r="I52" s="2942">
        <v>18225.599999999999</v>
      </c>
      <c r="J52" s="2942">
        <v>3645.12</v>
      </c>
      <c r="K52" s="2943" t="s">
        <v>5029</v>
      </c>
      <c r="L52" s="2944"/>
      <c r="M52" s="2944"/>
      <c r="N52" s="2944"/>
      <c r="O52" s="2944"/>
      <c r="P52" s="2945"/>
      <c r="Q52" s="2945"/>
      <c r="R52" s="2944"/>
      <c r="S52" s="2945"/>
      <c r="T52" s="2945"/>
      <c r="U52" s="2945">
        <f t="shared" si="10"/>
        <v>3645.12</v>
      </c>
      <c r="V52" s="2945"/>
      <c r="W52" s="2945"/>
      <c r="X52" s="2945"/>
      <c r="Y52" s="2945"/>
      <c r="Z52" s="2945">
        <f>U52</f>
        <v>3645.12</v>
      </c>
      <c r="AA52" s="2945"/>
      <c r="AB52" s="2945"/>
      <c r="AC52" s="2945"/>
      <c r="AD52" s="2643"/>
    </row>
    <row r="53" spans="2:30" ht="14.25" thickBot="1" x14ac:dyDescent="0.3">
      <c r="B53" s="4997"/>
      <c r="C53" s="4998"/>
      <c r="D53" s="5000"/>
      <c r="E53" s="2946" t="s">
        <v>5033</v>
      </c>
      <c r="F53" s="2939" t="s">
        <v>5018</v>
      </c>
      <c r="G53" s="2947">
        <v>1</v>
      </c>
      <c r="H53" s="2941">
        <v>10000</v>
      </c>
      <c r="I53" s="2942">
        <v>10000</v>
      </c>
      <c r="J53" s="2942">
        <v>2500</v>
      </c>
      <c r="K53" s="2943" t="s">
        <v>5034</v>
      </c>
      <c r="L53" s="2944"/>
      <c r="M53" s="2944"/>
      <c r="N53" s="2944"/>
      <c r="O53" s="2944"/>
      <c r="P53" s="2945"/>
      <c r="Q53" s="2945"/>
      <c r="R53" s="2944"/>
      <c r="S53" s="2945"/>
      <c r="T53" s="2945">
        <f>J53</f>
        <v>2500</v>
      </c>
      <c r="U53" s="2945"/>
      <c r="V53" s="2945"/>
      <c r="W53" s="2945"/>
      <c r="X53" s="2945">
        <f>T53</f>
        <v>2500</v>
      </c>
      <c r="Y53" s="2945"/>
      <c r="Z53" s="2945"/>
      <c r="AA53" s="2945"/>
      <c r="AB53" s="2945">
        <f>X53</f>
        <v>2500</v>
      </c>
      <c r="AC53" s="2945"/>
      <c r="AD53" s="2643"/>
    </row>
    <row r="54" spans="2:30" ht="14.25" thickBot="1" x14ac:dyDescent="0.3">
      <c r="B54" s="4997"/>
      <c r="C54" s="4998"/>
      <c r="D54" s="5000"/>
      <c r="E54" s="2946" t="s">
        <v>5035</v>
      </c>
      <c r="F54" s="2939" t="s">
        <v>3856</v>
      </c>
      <c r="G54" s="2947">
        <v>268.14999999999998</v>
      </c>
      <c r="H54" s="2941">
        <v>150</v>
      </c>
      <c r="I54" s="2942">
        <v>42075</v>
      </c>
      <c r="J54" s="2942">
        <v>10518.75</v>
      </c>
      <c r="K54" s="2943" t="s">
        <v>5034</v>
      </c>
      <c r="L54" s="2944"/>
      <c r="M54" s="2944"/>
      <c r="N54" s="2944"/>
      <c r="O54" s="2944"/>
      <c r="P54" s="2945"/>
      <c r="Q54" s="2945"/>
      <c r="R54" s="2944"/>
      <c r="S54" s="2945"/>
      <c r="T54" s="2945">
        <f>J54</f>
        <v>10518.75</v>
      </c>
      <c r="U54" s="2945"/>
      <c r="V54" s="2945"/>
      <c r="W54" s="2945"/>
      <c r="X54" s="2945">
        <f>T54</f>
        <v>10518.75</v>
      </c>
      <c r="Y54" s="2945"/>
      <c r="Z54" s="2945"/>
      <c r="AA54" s="2945"/>
      <c r="AB54" s="2945">
        <f>X54</f>
        <v>10518.75</v>
      </c>
      <c r="AC54" s="2945"/>
      <c r="AD54" s="2643"/>
    </row>
    <row r="55" spans="2:30" ht="14.25" thickBot="1" x14ac:dyDescent="0.3">
      <c r="B55" s="4997"/>
      <c r="C55" s="4998"/>
      <c r="D55" s="5000"/>
      <c r="E55" s="2946" t="s">
        <v>5036</v>
      </c>
      <c r="F55" s="2939" t="s">
        <v>5006</v>
      </c>
      <c r="G55" s="2947">
        <v>35</v>
      </c>
      <c r="H55" s="2941">
        <v>75</v>
      </c>
      <c r="I55" s="2942">
        <v>1912.5</v>
      </c>
      <c r="J55" s="2942">
        <v>637.5</v>
      </c>
      <c r="K55" s="2943" t="s">
        <v>5037</v>
      </c>
      <c r="L55" s="2944"/>
      <c r="M55" s="2944"/>
      <c r="N55" s="2944"/>
      <c r="O55" s="2944"/>
      <c r="P55" s="2945"/>
      <c r="Q55" s="2945"/>
      <c r="R55" s="2944"/>
      <c r="S55" s="2945">
        <f>J55</f>
        <v>637.5</v>
      </c>
      <c r="T55" s="2945"/>
      <c r="U55" s="2945"/>
      <c r="V55" s="2945">
        <f>S55</f>
        <v>637.5</v>
      </c>
      <c r="W55" s="2945"/>
      <c r="X55" s="2945"/>
      <c r="Y55" s="2945">
        <f>V55</f>
        <v>637.5</v>
      </c>
      <c r="Z55" s="2945"/>
      <c r="AA55" s="2945"/>
      <c r="AB55" s="2945">
        <f>Y55</f>
        <v>637.5</v>
      </c>
      <c r="AC55" s="2945"/>
      <c r="AD55" s="2643"/>
    </row>
    <row r="56" spans="2:30" ht="14.25" thickBot="1" x14ac:dyDescent="0.3">
      <c r="B56" s="4997"/>
      <c r="C56" s="4998"/>
      <c r="D56" s="5000"/>
      <c r="E56" s="2946" t="s">
        <v>5038</v>
      </c>
      <c r="F56" s="2939" t="s">
        <v>3856</v>
      </c>
      <c r="G56" s="2947">
        <v>207.72125</v>
      </c>
      <c r="H56" s="2941">
        <v>63.65</v>
      </c>
      <c r="I56" s="2942">
        <v>38190</v>
      </c>
      <c r="J56" s="2942">
        <v>6365</v>
      </c>
      <c r="K56" s="2943" t="s">
        <v>5039</v>
      </c>
      <c r="L56" s="2944"/>
      <c r="M56" s="2944"/>
      <c r="N56" s="2944"/>
      <c r="O56" s="2944"/>
      <c r="P56" s="2945"/>
      <c r="Q56" s="2945"/>
      <c r="R56" s="2944"/>
      <c r="S56" s="2945"/>
      <c r="T56" s="2945"/>
      <c r="U56" s="2945"/>
      <c r="V56" s="2945">
        <f>J56</f>
        <v>6365</v>
      </c>
      <c r="W56" s="2945"/>
      <c r="X56" s="2945"/>
      <c r="Y56" s="2945"/>
      <c r="Z56" s="2944"/>
      <c r="AA56" s="2944"/>
      <c r="AB56" s="2948">
        <f>V56</f>
        <v>6365</v>
      </c>
      <c r="AC56" s="2944"/>
      <c r="AD56" s="2643"/>
    </row>
    <row r="57" spans="2:30" ht="14.25" thickBot="1" x14ac:dyDescent="0.3">
      <c r="B57" s="4997"/>
      <c r="C57" s="4998"/>
      <c r="D57" s="5000"/>
      <c r="E57" s="2946" t="s">
        <v>5040</v>
      </c>
      <c r="F57" s="2939" t="s">
        <v>3856</v>
      </c>
      <c r="G57" s="2947">
        <v>160</v>
      </c>
      <c r="H57" s="2941">
        <v>41.24</v>
      </c>
      <c r="I57" s="2942">
        <v>6598.4000000000005</v>
      </c>
      <c r="J57" s="2942">
        <v>1319.68</v>
      </c>
      <c r="K57" s="2943" t="s">
        <v>5029</v>
      </c>
      <c r="L57" s="2944"/>
      <c r="M57" s="2944"/>
      <c r="N57" s="2944"/>
      <c r="O57" s="2944"/>
      <c r="P57" s="2945"/>
      <c r="Q57" s="2945"/>
      <c r="R57" s="2944"/>
      <c r="S57" s="2945"/>
      <c r="T57" s="2945"/>
      <c r="U57" s="2945">
        <f t="shared" si="10"/>
        <v>1319.68</v>
      </c>
      <c r="V57" s="2945"/>
      <c r="W57" s="2945"/>
      <c r="X57" s="2945"/>
      <c r="Y57" s="2945"/>
      <c r="Z57" s="2944"/>
      <c r="AA57" s="2945">
        <f>U57</f>
        <v>1319.68</v>
      </c>
      <c r="AB57" s="2944"/>
      <c r="AC57" s="2944"/>
      <c r="AD57" s="2643"/>
    </row>
    <row r="58" spans="2:30" ht="14.25" thickBot="1" x14ac:dyDescent="0.3">
      <c r="B58" s="4997"/>
      <c r="C58" s="4998"/>
      <c r="D58" s="5000"/>
      <c r="E58" s="2946" t="s">
        <v>5041</v>
      </c>
      <c r="F58" s="2939" t="s">
        <v>5018</v>
      </c>
      <c r="G58" s="2947">
        <v>1</v>
      </c>
      <c r="H58" s="2941">
        <v>15000</v>
      </c>
      <c r="I58" s="2942">
        <v>15000</v>
      </c>
      <c r="J58" s="2942">
        <v>2500</v>
      </c>
      <c r="K58" s="2943" t="s">
        <v>5039</v>
      </c>
      <c r="L58" s="2944"/>
      <c r="M58" s="2944"/>
      <c r="N58" s="2944"/>
      <c r="O58" s="2944"/>
      <c r="P58" s="2945"/>
      <c r="Q58" s="2945"/>
      <c r="R58" s="2944"/>
      <c r="S58" s="2945"/>
      <c r="T58" s="2945"/>
      <c r="U58" s="2945"/>
      <c r="V58" s="2945">
        <f>J58</f>
        <v>2500</v>
      </c>
      <c r="W58" s="2945"/>
      <c r="X58" s="2945"/>
      <c r="Y58" s="2945"/>
      <c r="Z58" s="2945"/>
      <c r="AA58" s="2945"/>
      <c r="AB58" s="2945">
        <f>V58</f>
        <v>2500</v>
      </c>
      <c r="AC58" s="2945"/>
      <c r="AD58" s="2643"/>
    </row>
    <row r="59" spans="2:30" ht="14.25" thickBot="1" x14ac:dyDescent="0.3">
      <c r="B59" s="4997"/>
      <c r="C59" s="4998"/>
      <c r="D59" s="5000"/>
      <c r="E59" s="2946" t="s">
        <v>5042</v>
      </c>
      <c r="F59" s="2939" t="s">
        <v>5018</v>
      </c>
      <c r="G59" s="2947">
        <v>1</v>
      </c>
      <c r="H59" s="2941">
        <v>2000</v>
      </c>
      <c r="I59" s="2942">
        <v>2000</v>
      </c>
      <c r="J59" s="2942">
        <v>400</v>
      </c>
      <c r="K59" s="2943" t="s">
        <v>5029</v>
      </c>
      <c r="L59" s="2944"/>
      <c r="M59" s="2944"/>
      <c r="N59" s="2944"/>
      <c r="O59" s="2944"/>
      <c r="P59" s="2945"/>
      <c r="Q59" s="2945"/>
      <c r="R59" s="2944"/>
      <c r="S59" s="2945"/>
      <c r="T59" s="2945"/>
      <c r="U59" s="2945">
        <f t="shared" si="10"/>
        <v>400</v>
      </c>
      <c r="V59" s="2945"/>
      <c r="W59" s="2945"/>
      <c r="X59" s="2944"/>
      <c r="Y59" s="2945"/>
      <c r="Z59" s="2945">
        <f>U59</f>
        <v>400</v>
      </c>
      <c r="AA59" s="2945"/>
      <c r="AB59" s="2945"/>
      <c r="AC59" s="2945"/>
      <c r="AD59" s="2643"/>
    </row>
    <row r="60" spans="2:30" ht="14.25" thickBot="1" x14ac:dyDescent="0.3">
      <c r="B60" s="4997"/>
      <c r="C60" s="4998"/>
      <c r="D60" s="5000"/>
      <c r="E60" s="2949"/>
      <c r="F60" s="2950"/>
      <c r="G60" s="2951"/>
      <c r="H60" s="2952"/>
      <c r="I60" s="2953"/>
      <c r="J60" s="2953"/>
      <c r="K60" s="2954"/>
      <c r="L60" s="2944"/>
      <c r="M60" s="2944"/>
      <c r="N60" s="2944"/>
      <c r="O60" s="2944"/>
      <c r="P60" s="2945"/>
      <c r="Q60" s="2945"/>
      <c r="R60" s="2944"/>
      <c r="S60" s="2945"/>
      <c r="T60" s="2945"/>
      <c r="U60" s="2945"/>
      <c r="V60" s="2945"/>
      <c r="W60" s="2945"/>
      <c r="X60" s="2944"/>
      <c r="Y60" s="2945"/>
      <c r="Z60" s="2945"/>
      <c r="AA60" s="2945"/>
      <c r="AB60" s="2945"/>
      <c r="AC60" s="2945"/>
      <c r="AD60" s="2643"/>
    </row>
    <row r="61" spans="2:30" s="2865" customFormat="1" ht="14.25" thickBot="1" x14ac:dyDescent="0.3">
      <c r="B61" s="2876"/>
      <c r="C61" s="3475" t="s">
        <v>5043</v>
      </c>
      <c r="D61" s="2985"/>
      <c r="E61" s="2986"/>
      <c r="F61" s="3475"/>
      <c r="G61" s="3475"/>
      <c r="H61" s="2987"/>
      <c r="I61" s="2988"/>
      <c r="J61" s="2989">
        <f>SUM(J36,J48)</f>
        <v>125672.80333333332</v>
      </c>
      <c r="K61" s="2990"/>
      <c r="L61" s="2991"/>
      <c r="M61" s="2991"/>
      <c r="N61" s="2991"/>
      <c r="O61" s="2991"/>
      <c r="P61" s="2992"/>
      <c r="Q61" s="2992">
        <f t="shared" ref="Q61:AC61" si="11">Q48+Q36</f>
        <v>87966.68</v>
      </c>
      <c r="R61" s="2992">
        <f t="shared" si="11"/>
        <v>87966.68</v>
      </c>
      <c r="S61" s="2992">
        <f t="shared" si="11"/>
        <v>93569.513333333321</v>
      </c>
      <c r="T61" s="2992">
        <f t="shared" si="11"/>
        <v>100985.43</v>
      </c>
      <c r="U61" s="2992">
        <f t="shared" si="11"/>
        <v>98186.22</v>
      </c>
      <c r="V61" s="2992">
        <f t="shared" si="11"/>
        <v>102434.51333333332</v>
      </c>
      <c r="W61" s="2992">
        <f t="shared" si="11"/>
        <v>87966.68</v>
      </c>
      <c r="X61" s="2992">
        <f t="shared" si="11"/>
        <v>100985.43</v>
      </c>
      <c r="Y61" s="2992">
        <f t="shared" si="11"/>
        <v>93569.513333333321</v>
      </c>
      <c r="Z61" s="2992">
        <f t="shared" si="11"/>
        <v>96866.54</v>
      </c>
      <c r="AA61" s="2992">
        <f t="shared" si="11"/>
        <v>89286.359999999986</v>
      </c>
      <c r="AB61" s="2992">
        <f t="shared" si="11"/>
        <v>115453.26333333332</v>
      </c>
      <c r="AC61" s="2992">
        <f t="shared" si="11"/>
        <v>87966.68</v>
      </c>
      <c r="AD61" s="2875"/>
    </row>
    <row r="62" spans="2:30" s="2865" customFormat="1" ht="27.75" thickBot="1" x14ac:dyDescent="0.3">
      <c r="B62" s="2876"/>
      <c r="C62" s="3475" t="s">
        <v>5044</v>
      </c>
      <c r="D62" s="2985"/>
      <c r="E62" s="2986"/>
      <c r="F62" s="3475"/>
      <c r="G62" s="3475"/>
      <c r="H62" s="2987"/>
      <c r="I62" s="2988"/>
      <c r="J62" s="2988"/>
      <c r="K62" s="2990"/>
      <c r="L62" s="2993">
        <f>+J61</f>
        <v>125672.80333333332</v>
      </c>
      <c r="M62" s="2991"/>
      <c r="N62" s="2991"/>
      <c r="O62" s="2991"/>
      <c r="P62" s="2994"/>
      <c r="Q62" s="2994">
        <f t="shared" ref="Q62:AC62" si="12">Q61/$L$62</f>
        <v>0.69996592474091657</v>
      </c>
      <c r="R62" s="2994">
        <f t="shared" si="12"/>
        <v>0.69996592474091657</v>
      </c>
      <c r="S62" s="2994">
        <f t="shared" si="12"/>
        <v>0.74454862827520807</v>
      </c>
      <c r="T62" s="2994">
        <f t="shared" si="12"/>
        <v>0.80355834612956967</v>
      </c>
      <c r="U62" s="2994">
        <f t="shared" si="12"/>
        <v>0.78128455318667345</v>
      </c>
      <c r="V62" s="2994">
        <f t="shared" si="12"/>
        <v>0.81508895016559013</v>
      </c>
      <c r="W62" s="2994">
        <f t="shared" si="12"/>
        <v>0.69996592474091657</v>
      </c>
      <c r="X62" s="2994">
        <f t="shared" si="12"/>
        <v>0.80355834612956967</v>
      </c>
      <c r="Y62" s="2994">
        <f t="shared" si="12"/>
        <v>0.74454862827520807</v>
      </c>
      <c r="Z62" s="2994">
        <f t="shared" si="12"/>
        <v>0.77078363361619406</v>
      </c>
      <c r="AA62" s="2994">
        <f t="shared" si="12"/>
        <v>0.71046684431139584</v>
      </c>
      <c r="AB62" s="2994">
        <f t="shared" si="12"/>
        <v>0.91868137155424323</v>
      </c>
      <c r="AC62" s="2994">
        <f t="shared" si="12"/>
        <v>0.69996592474091657</v>
      </c>
      <c r="AD62" s="2875"/>
    </row>
    <row r="63" spans="2:30" s="2865" customFormat="1" ht="14.25" thickBot="1" x14ac:dyDescent="0.3">
      <c r="B63" s="2876"/>
      <c r="C63" s="5001" t="s">
        <v>5045</v>
      </c>
      <c r="D63" s="4999" t="s">
        <v>4271</v>
      </c>
      <c r="E63" s="2882"/>
      <c r="F63" s="3473"/>
      <c r="G63" s="3473"/>
      <c r="H63" s="2900"/>
      <c r="I63" s="2884"/>
      <c r="J63" s="2885">
        <f>SUM(J65:J77)</f>
        <v>39016</v>
      </c>
      <c r="K63" s="2903"/>
      <c r="L63" s="2891"/>
      <c r="M63" s="2891"/>
      <c r="N63" s="2891"/>
      <c r="O63" s="2891"/>
      <c r="P63" s="2887"/>
      <c r="Q63" s="2887"/>
      <c r="R63" s="2887">
        <f>SUM(R64:R77)</f>
        <v>39016</v>
      </c>
      <c r="S63" s="2887">
        <f t="shared" ref="S63:AC63" si="13">SUM(S64:S77)</f>
        <v>39016</v>
      </c>
      <c r="T63" s="2887">
        <f t="shared" si="13"/>
        <v>39016</v>
      </c>
      <c r="U63" s="2887">
        <f t="shared" si="13"/>
        <v>39016</v>
      </c>
      <c r="V63" s="2887">
        <f t="shared" si="13"/>
        <v>39016</v>
      </c>
      <c r="W63" s="2887">
        <f t="shared" si="13"/>
        <v>39016</v>
      </c>
      <c r="X63" s="2887">
        <f t="shared" si="13"/>
        <v>39016</v>
      </c>
      <c r="Y63" s="2887">
        <f t="shared" si="13"/>
        <v>39016</v>
      </c>
      <c r="Z63" s="2887">
        <f t="shared" si="13"/>
        <v>39016</v>
      </c>
      <c r="AA63" s="2887">
        <f t="shared" si="13"/>
        <v>39016</v>
      </c>
      <c r="AB63" s="2887">
        <f t="shared" si="13"/>
        <v>39016</v>
      </c>
      <c r="AC63" s="2887">
        <f t="shared" si="13"/>
        <v>39016</v>
      </c>
      <c r="AD63" s="2875"/>
    </row>
    <row r="64" spans="2:30" s="2865" customFormat="1" ht="14.25" thickBot="1" x14ac:dyDescent="0.3">
      <c r="B64" s="2876"/>
      <c r="C64" s="5001"/>
      <c r="D64" s="4999"/>
      <c r="E64" s="2904" t="s">
        <v>5046</v>
      </c>
      <c r="F64" s="2890"/>
      <c r="G64" s="2890"/>
      <c r="H64" s="2901"/>
      <c r="I64" s="2889"/>
      <c r="J64" s="2889"/>
      <c r="K64" s="2895"/>
      <c r="L64" s="2898"/>
      <c r="M64" s="2898"/>
      <c r="N64" s="2898"/>
      <c r="O64" s="2898"/>
      <c r="P64" s="2898"/>
      <c r="Q64" s="2898"/>
      <c r="R64" s="2898"/>
      <c r="S64" s="2892"/>
      <c r="T64" s="2892"/>
      <c r="U64" s="2892"/>
      <c r="V64" s="2892"/>
      <c r="W64" s="2892"/>
      <c r="X64" s="2892"/>
      <c r="Y64" s="2892"/>
      <c r="Z64" s="2892"/>
      <c r="AA64" s="2892"/>
      <c r="AB64" s="2892"/>
      <c r="AC64" s="2892"/>
      <c r="AD64" s="2875"/>
    </row>
    <row r="65" spans="2:30" ht="14.25" customHeight="1" thickBot="1" x14ac:dyDescent="0.3">
      <c r="B65" s="4988" t="s">
        <v>5073</v>
      </c>
      <c r="C65" s="5001"/>
      <c r="D65" s="4999"/>
      <c r="E65" s="2902" t="s">
        <v>5047</v>
      </c>
      <c r="F65" s="2890" t="s">
        <v>5006</v>
      </c>
      <c r="G65" s="2890">
        <v>1</v>
      </c>
      <c r="H65" s="2901">
        <v>10</v>
      </c>
      <c r="I65" s="2889">
        <f>G65*H65</f>
        <v>10</v>
      </c>
      <c r="J65" s="2889">
        <f>I65*12</f>
        <v>120</v>
      </c>
      <c r="K65" s="2895" t="s">
        <v>5048</v>
      </c>
      <c r="L65" s="2898"/>
      <c r="M65" s="2898"/>
      <c r="N65" s="2898"/>
      <c r="O65" s="2898"/>
      <c r="P65" s="2905"/>
      <c r="Q65" s="2905"/>
      <c r="R65" s="2905">
        <f t="shared" ref="R65:AC77" si="14">$J65</f>
        <v>120</v>
      </c>
      <c r="S65" s="2905">
        <f t="shared" si="14"/>
        <v>120</v>
      </c>
      <c r="T65" s="2905">
        <f t="shared" si="14"/>
        <v>120</v>
      </c>
      <c r="U65" s="2905">
        <f t="shared" si="14"/>
        <v>120</v>
      </c>
      <c r="V65" s="2905">
        <f t="shared" si="14"/>
        <v>120</v>
      </c>
      <c r="W65" s="2905">
        <f t="shared" si="14"/>
        <v>120</v>
      </c>
      <c r="X65" s="2905">
        <f t="shared" si="14"/>
        <v>120</v>
      </c>
      <c r="Y65" s="2905">
        <f t="shared" si="14"/>
        <v>120</v>
      </c>
      <c r="Z65" s="2905">
        <f t="shared" si="14"/>
        <v>120</v>
      </c>
      <c r="AA65" s="2905">
        <f t="shared" si="14"/>
        <v>120</v>
      </c>
      <c r="AB65" s="2905">
        <f t="shared" si="14"/>
        <v>120</v>
      </c>
      <c r="AC65" s="2905">
        <f t="shared" si="14"/>
        <v>120</v>
      </c>
      <c r="AD65" s="2643"/>
    </row>
    <row r="66" spans="2:30" ht="14.25" thickBot="1" x14ac:dyDescent="0.3">
      <c r="B66" s="4988"/>
      <c r="C66" s="5001"/>
      <c r="D66" s="4999"/>
      <c r="E66" s="2902" t="s">
        <v>5049</v>
      </c>
      <c r="F66" s="2890" t="s">
        <v>5006</v>
      </c>
      <c r="G66" s="2890">
        <v>100</v>
      </c>
      <c r="H66" s="2901">
        <v>5</v>
      </c>
      <c r="I66" s="2889">
        <f>G66*H66</f>
        <v>500</v>
      </c>
      <c r="J66" s="2889">
        <f>I66*4</f>
        <v>2000</v>
      </c>
      <c r="K66" s="2895" t="s">
        <v>5050</v>
      </c>
      <c r="L66" s="2898"/>
      <c r="M66" s="2898"/>
      <c r="N66" s="2898"/>
      <c r="O66" s="2898"/>
      <c r="P66" s="2905"/>
      <c r="Q66" s="2905"/>
      <c r="R66" s="2905">
        <f t="shared" si="14"/>
        <v>2000</v>
      </c>
      <c r="S66" s="2905">
        <f t="shared" si="14"/>
        <v>2000</v>
      </c>
      <c r="T66" s="2905">
        <f t="shared" si="14"/>
        <v>2000</v>
      </c>
      <c r="U66" s="2905">
        <f t="shared" si="14"/>
        <v>2000</v>
      </c>
      <c r="V66" s="2905">
        <f t="shared" si="14"/>
        <v>2000</v>
      </c>
      <c r="W66" s="2905">
        <f t="shared" si="14"/>
        <v>2000</v>
      </c>
      <c r="X66" s="2905">
        <f t="shared" si="14"/>
        <v>2000</v>
      </c>
      <c r="Y66" s="2905">
        <f t="shared" si="14"/>
        <v>2000</v>
      </c>
      <c r="Z66" s="2905">
        <f t="shared" si="14"/>
        <v>2000</v>
      </c>
      <c r="AA66" s="2905">
        <f t="shared" si="14"/>
        <v>2000</v>
      </c>
      <c r="AB66" s="2905">
        <f t="shared" si="14"/>
        <v>2000</v>
      </c>
      <c r="AC66" s="2905">
        <f t="shared" si="14"/>
        <v>2000</v>
      </c>
      <c r="AD66" s="2643"/>
    </row>
    <row r="67" spans="2:30" ht="14.25" thickBot="1" x14ac:dyDescent="0.3">
      <c r="B67" s="4988"/>
      <c r="C67" s="5001"/>
      <c r="D67" s="4999"/>
      <c r="E67" s="2902" t="s">
        <v>5051</v>
      </c>
      <c r="F67" s="2890" t="s">
        <v>5006</v>
      </c>
      <c r="G67" s="2890">
        <v>86</v>
      </c>
      <c r="H67" s="2901">
        <v>15</v>
      </c>
      <c r="I67" s="2889">
        <f>G67*H67</f>
        <v>1290</v>
      </c>
      <c r="J67" s="2889">
        <f>I67*12</f>
        <v>15480</v>
      </c>
      <c r="K67" s="2895" t="s">
        <v>5048</v>
      </c>
      <c r="L67" s="2898"/>
      <c r="M67" s="2898"/>
      <c r="N67" s="2898"/>
      <c r="O67" s="2898"/>
      <c r="P67" s="2905"/>
      <c r="Q67" s="2905"/>
      <c r="R67" s="2905">
        <f t="shared" si="14"/>
        <v>15480</v>
      </c>
      <c r="S67" s="2905">
        <f t="shared" si="14"/>
        <v>15480</v>
      </c>
      <c r="T67" s="2905">
        <f t="shared" si="14"/>
        <v>15480</v>
      </c>
      <c r="U67" s="2905">
        <f t="shared" si="14"/>
        <v>15480</v>
      </c>
      <c r="V67" s="2905">
        <f t="shared" si="14"/>
        <v>15480</v>
      </c>
      <c r="W67" s="2905">
        <f t="shared" si="14"/>
        <v>15480</v>
      </c>
      <c r="X67" s="2905">
        <f t="shared" si="14"/>
        <v>15480</v>
      </c>
      <c r="Y67" s="2905">
        <f t="shared" si="14"/>
        <v>15480</v>
      </c>
      <c r="Z67" s="2905">
        <f t="shared" si="14"/>
        <v>15480</v>
      </c>
      <c r="AA67" s="2905">
        <f t="shared" si="14"/>
        <v>15480</v>
      </c>
      <c r="AB67" s="2905">
        <f t="shared" si="14"/>
        <v>15480</v>
      </c>
      <c r="AC67" s="2905">
        <f t="shared" si="14"/>
        <v>15480</v>
      </c>
      <c r="AD67" s="2643"/>
    </row>
    <row r="68" spans="2:30" ht="14.25" thickBot="1" x14ac:dyDescent="0.3">
      <c r="B68" s="4988"/>
      <c r="C68" s="5001"/>
      <c r="D68" s="4999"/>
      <c r="E68" s="2902" t="s">
        <v>5052</v>
      </c>
      <c r="F68" s="2890" t="s">
        <v>5006</v>
      </c>
      <c r="G68" s="2890">
        <v>105</v>
      </c>
      <c r="H68" s="2901">
        <v>2.5</v>
      </c>
      <c r="I68" s="2889">
        <f>G68*H68</f>
        <v>262.5</v>
      </c>
      <c r="J68" s="2889">
        <f>I68*12</f>
        <v>3150</v>
      </c>
      <c r="K68" s="2895" t="s">
        <v>5048</v>
      </c>
      <c r="L68" s="2898"/>
      <c r="M68" s="2898"/>
      <c r="N68" s="2898"/>
      <c r="O68" s="2898"/>
      <c r="P68" s="2905"/>
      <c r="Q68" s="2905"/>
      <c r="R68" s="2905">
        <f t="shared" si="14"/>
        <v>3150</v>
      </c>
      <c r="S68" s="2905">
        <f t="shared" si="14"/>
        <v>3150</v>
      </c>
      <c r="T68" s="2905">
        <f t="shared" si="14"/>
        <v>3150</v>
      </c>
      <c r="U68" s="2905">
        <f t="shared" si="14"/>
        <v>3150</v>
      </c>
      <c r="V68" s="2905">
        <f t="shared" si="14"/>
        <v>3150</v>
      </c>
      <c r="W68" s="2905">
        <f t="shared" si="14"/>
        <v>3150</v>
      </c>
      <c r="X68" s="2905">
        <f t="shared" si="14"/>
        <v>3150</v>
      </c>
      <c r="Y68" s="2905">
        <f t="shared" si="14"/>
        <v>3150</v>
      </c>
      <c r="Z68" s="2905">
        <f t="shared" si="14"/>
        <v>3150</v>
      </c>
      <c r="AA68" s="2905">
        <f t="shared" si="14"/>
        <v>3150</v>
      </c>
      <c r="AB68" s="2905">
        <f t="shared" si="14"/>
        <v>3150</v>
      </c>
      <c r="AC68" s="2905">
        <f t="shared" si="14"/>
        <v>3150</v>
      </c>
      <c r="AD68" s="2643"/>
    </row>
    <row r="69" spans="2:30" ht="14.25" thickBot="1" x14ac:dyDescent="0.3">
      <c r="B69" s="4988"/>
      <c r="C69" s="5001"/>
      <c r="D69" s="4999"/>
      <c r="E69" s="2904" t="s">
        <v>5053</v>
      </c>
      <c r="F69" s="2890"/>
      <c r="G69" s="2890"/>
      <c r="H69" s="2901"/>
      <c r="I69" s="2889"/>
      <c r="J69" s="2889"/>
      <c r="K69" s="2895"/>
      <c r="L69" s="2898"/>
      <c r="M69" s="2898"/>
      <c r="N69" s="2898"/>
      <c r="O69" s="2898"/>
      <c r="P69" s="2905"/>
      <c r="Q69" s="2905"/>
      <c r="R69" s="2905">
        <f t="shared" si="14"/>
        <v>0</v>
      </c>
      <c r="S69" s="2905">
        <f t="shared" si="14"/>
        <v>0</v>
      </c>
      <c r="T69" s="2905">
        <f t="shared" si="14"/>
        <v>0</v>
      </c>
      <c r="U69" s="2905">
        <f t="shared" si="14"/>
        <v>0</v>
      </c>
      <c r="V69" s="2905">
        <f t="shared" si="14"/>
        <v>0</v>
      </c>
      <c r="W69" s="2905">
        <f t="shared" si="14"/>
        <v>0</v>
      </c>
      <c r="X69" s="2905">
        <f t="shared" si="14"/>
        <v>0</v>
      </c>
      <c r="Y69" s="2905">
        <f t="shared" si="14"/>
        <v>0</v>
      </c>
      <c r="Z69" s="2905">
        <f t="shared" si="14"/>
        <v>0</v>
      </c>
      <c r="AA69" s="2905">
        <f t="shared" si="14"/>
        <v>0</v>
      </c>
      <c r="AB69" s="2905">
        <f t="shared" si="14"/>
        <v>0</v>
      </c>
      <c r="AC69" s="2905">
        <f t="shared" si="14"/>
        <v>0</v>
      </c>
      <c r="AD69" s="2643"/>
    </row>
    <row r="70" spans="2:30" ht="14.25" thickBot="1" x14ac:dyDescent="0.3">
      <c r="B70" s="4988"/>
      <c r="C70" s="5001"/>
      <c r="D70" s="4999"/>
      <c r="E70" s="2902" t="s">
        <v>5054</v>
      </c>
      <c r="F70" s="2890" t="s">
        <v>5006</v>
      </c>
      <c r="G70" s="2890">
        <v>43</v>
      </c>
      <c r="H70" s="2901">
        <v>5</v>
      </c>
      <c r="I70" s="2889">
        <f>G70*H70</f>
        <v>215</v>
      </c>
      <c r="J70" s="2889">
        <f>I70*12</f>
        <v>2580</v>
      </c>
      <c r="K70" s="2895" t="s">
        <v>5048</v>
      </c>
      <c r="L70" s="2898"/>
      <c r="M70" s="2898"/>
      <c r="N70" s="2898"/>
      <c r="O70" s="2898"/>
      <c r="P70" s="2905"/>
      <c r="Q70" s="2905"/>
      <c r="R70" s="2905">
        <f t="shared" si="14"/>
        <v>2580</v>
      </c>
      <c r="S70" s="2905">
        <f t="shared" si="14"/>
        <v>2580</v>
      </c>
      <c r="T70" s="2905">
        <f t="shared" si="14"/>
        <v>2580</v>
      </c>
      <c r="U70" s="2905">
        <f t="shared" si="14"/>
        <v>2580</v>
      </c>
      <c r="V70" s="2905">
        <f t="shared" si="14"/>
        <v>2580</v>
      </c>
      <c r="W70" s="2905">
        <f t="shared" si="14"/>
        <v>2580</v>
      </c>
      <c r="X70" s="2905">
        <f t="shared" si="14"/>
        <v>2580</v>
      </c>
      <c r="Y70" s="2905">
        <f t="shared" si="14"/>
        <v>2580</v>
      </c>
      <c r="Z70" s="2905">
        <f t="shared" si="14"/>
        <v>2580</v>
      </c>
      <c r="AA70" s="2905">
        <f t="shared" si="14"/>
        <v>2580</v>
      </c>
      <c r="AB70" s="2905">
        <f t="shared" si="14"/>
        <v>2580</v>
      </c>
      <c r="AC70" s="2905">
        <f t="shared" si="14"/>
        <v>2580</v>
      </c>
      <c r="AD70" s="2643"/>
    </row>
    <row r="71" spans="2:30" ht="14.25" thickBot="1" x14ac:dyDescent="0.3">
      <c r="B71" s="4988"/>
      <c r="C71" s="5001"/>
      <c r="D71" s="4999"/>
      <c r="E71" s="2902" t="s">
        <v>5055</v>
      </c>
      <c r="F71" s="2890" t="s">
        <v>5006</v>
      </c>
      <c r="G71" s="2890">
        <v>86</v>
      </c>
      <c r="H71" s="2901">
        <v>5</v>
      </c>
      <c r="I71" s="2889">
        <f>G71*H71</f>
        <v>430</v>
      </c>
      <c r="J71" s="2889">
        <f>I71*3</f>
        <v>1290</v>
      </c>
      <c r="K71" s="2895" t="s">
        <v>5056</v>
      </c>
      <c r="L71" s="2898"/>
      <c r="M71" s="2898"/>
      <c r="N71" s="2898"/>
      <c r="O71" s="2898"/>
      <c r="P71" s="2905"/>
      <c r="Q71" s="2905"/>
      <c r="R71" s="2905">
        <f t="shared" si="14"/>
        <v>1290</v>
      </c>
      <c r="S71" s="2905">
        <f t="shared" si="14"/>
        <v>1290</v>
      </c>
      <c r="T71" s="2905">
        <f t="shared" si="14"/>
        <v>1290</v>
      </c>
      <c r="U71" s="2905">
        <f t="shared" si="14"/>
        <v>1290</v>
      </c>
      <c r="V71" s="2905">
        <f t="shared" si="14"/>
        <v>1290</v>
      </c>
      <c r="W71" s="2905">
        <f t="shared" si="14"/>
        <v>1290</v>
      </c>
      <c r="X71" s="2905">
        <f t="shared" si="14"/>
        <v>1290</v>
      </c>
      <c r="Y71" s="2905">
        <f t="shared" si="14"/>
        <v>1290</v>
      </c>
      <c r="Z71" s="2905">
        <f t="shared" si="14"/>
        <v>1290</v>
      </c>
      <c r="AA71" s="2905">
        <f t="shared" si="14"/>
        <v>1290</v>
      </c>
      <c r="AB71" s="2905">
        <f t="shared" si="14"/>
        <v>1290</v>
      </c>
      <c r="AC71" s="2905">
        <f t="shared" si="14"/>
        <v>1290</v>
      </c>
      <c r="AD71" s="2643"/>
    </row>
    <row r="72" spans="2:30" ht="14.25" thickBot="1" x14ac:dyDescent="0.3">
      <c r="B72" s="4988"/>
      <c r="C72" s="5001"/>
      <c r="D72" s="4999"/>
      <c r="E72" s="2902" t="s">
        <v>5057</v>
      </c>
      <c r="F72" s="2890" t="s">
        <v>5006</v>
      </c>
      <c r="G72" s="2890">
        <v>86</v>
      </c>
      <c r="H72" s="2901">
        <v>5</v>
      </c>
      <c r="I72" s="2889">
        <f>G72*H72</f>
        <v>430</v>
      </c>
      <c r="J72" s="2889">
        <f>I72*2</f>
        <v>860</v>
      </c>
      <c r="K72" s="2895" t="s">
        <v>5058</v>
      </c>
      <c r="L72" s="2898"/>
      <c r="M72" s="2898"/>
      <c r="N72" s="2898"/>
      <c r="O72" s="2898"/>
      <c r="P72" s="2905"/>
      <c r="Q72" s="2905"/>
      <c r="R72" s="2905">
        <f t="shared" si="14"/>
        <v>860</v>
      </c>
      <c r="S72" s="2905">
        <f t="shared" si="14"/>
        <v>860</v>
      </c>
      <c r="T72" s="2905">
        <f t="shared" si="14"/>
        <v>860</v>
      </c>
      <c r="U72" s="2905">
        <f t="shared" si="14"/>
        <v>860</v>
      </c>
      <c r="V72" s="2905">
        <f t="shared" si="14"/>
        <v>860</v>
      </c>
      <c r="W72" s="2905">
        <f t="shared" si="14"/>
        <v>860</v>
      </c>
      <c r="X72" s="2905">
        <f t="shared" si="14"/>
        <v>860</v>
      </c>
      <c r="Y72" s="2905">
        <f t="shared" si="14"/>
        <v>860</v>
      </c>
      <c r="Z72" s="2905">
        <f t="shared" si="14"/>
        <v>860</v>
      </c>
      <c r="AA72" s="2905">
        <f t="shared" si="14"/>
        <v>860</v>
      </c>
      <c r="AB72" s="2905">
        <f t="shared" si="14"/>
        <v>860</v>
      </c>
      <c r="AC72" s="2905">
        <f t="shared" si="14"/>
        <v>860</v>
      </c>
      <c r="AD72" s="2643"/>
    </row>
    <row r="73" spans="2:30" ht="14.25" thickBot="1" x14ac:dyDescent="0.3">
      <c r="B73" s="4988"/>
      <c r="C73" s="5001"/>
      <c r="D73" s="4999"/>
      <c r="E73" s="2902" t="s">
        <v>5059</v>
      </c>
      <c r="F73" s="2890" t="s">
        <v>5006</v>
      </c>
      <c r="G73" s="2890">
        <v>172</v>
      </c>
      <c r="H73" s="2901">
        <v>3</v>
      </c>
      <c r="I73" s="2889">
        <f>G73*H73</f>
        <v>516</v>
      </c>
      <c r="J73" s="2889">
        <f>I73*2</f>
        <v>1032</v>
      </c>
      <c r="K73" s="2895" t="s">
        <v>5058</v>
      </c>
      <c r="L73" s="2898"/>
      <c r="M73" s="2898"/>
      <c r="N73" s="2898"/>
      <c r="O73" s="2898"/>
      <c r="P73" s="2905"/>
      <c r="Q73" s="2905"/>
      <c r="R73" s="2905">
        <f t="shared" si="14"/>
        <v>1032</v>
      </c>
      <c r="S73" s="2905">
        <f t="shared" si="14"/>
        <v>1032</v>
      </c>
      <c r="T73" s="2905">
        <f t="shared" si="14"/>
        <v>1032</v>
      </c>
      <c r="U73" s="2905">
        <f t="shared" si="14"/>
        <v>1032</v>
      </c>
      <c r="V73" s="2905">
        <f t="shared" si="14"/>
        <v>1032</v>
      </c>
      <c r="W73" s="2905">
        <f t="shared" si="14"/>
        <v>1032</v>
      </c>
      <c r="X73" s="2905">
        <f t="shared" si="14"/>
        <v>1032</v>
      </c>
      <c r="Y73" s="2905">
        <f t="shared" si="14"/>
        <v>1032</v>
      </c>
      <c r="Z73" s="2905">
        <f t="shared" si="14"/>
        <v>1032</v>
      </c>
      <c r="AA73" s="2905">
        <f t="shared" si="14"/>
        <v>1032</v>
      </c>
      <c r="AB73" s="2905">
        <f t="shared" si="14"/>
        <v>1032</v>
      </c>
      <c r="AC73" s="2905">
        <f t="shared" si="14"/>
        <v>1032</v>
      </c>
      <c r="AD73" s="2643"/>
    </row>
    <row r="74" spans="2:30" ht="14.25" thickBot="1" x14ac:dyDescent="0.3">
      <c r="B74" s="4988"/>
      <c r="C74" s="5001"/>
      <c r="D74" s="4999"/>
      <c r="E74" s="2904" t="s">
        <v>5060</v>
      </c>
      <c r="F74" s="2890"/>
      <c r="G74" s="2890"/>
      <c r="H74" s="2901"/>
      <c r="I74" s="2889"/>
      <c r="J74" s="2889"/>
      <c r="K74" s="2895"/>
      <c r="L74" s="2898"/>
      <c r="M74" s="2898"/>
      <c r="N74" s="2898"/>
      <c r="O74" s="2898"/>
      <c r="P74" s="2905"/>
      <c r="Q74" s="2905"/>
      <c r="R74" s="2905">
        <f t="shared" si="14"/>
        <v>0</v>
      </c>
      <c r="S74" s="2905">
        <f t="shared" si="14"/>
        <v>0</v>
      </c>
      <c r="T74" s="2905">
        <f t="shared" si="14"/>
        <v>0</v>
      </c>
      <c r="U74" s="2905">
        <f t="shared" si="14"/>
        <v>0</v>
      </c>
      <c r="V74" s="2905">
        <f t="shared" si="14"/>
        <v>0</v>
      </c>
      <c r="W74" s="2905">
        <f t="shared" si="14"/>
        <v>0</v>
      </c>
      <c r="X74" s="2905">
        <f t="shared" si="14"/>
        <v>0</v>
      </c>
      <c r="Y74" s="2905">
        <f t="shared" si="14"/>
        <v>0</v>
      </c>
      <c r="Z74" s="2905">
        <f t="shared" si="14"/>
        <v>0</v>
      </c>
      <c r="AA74" s="2905">
        <f t="shared" si="14"/>
        <v>0</v>
      </c>
      <c r="AB74" s="2905">
        <f t="shared" si="14"/>
        <v>0</v>
      </c>
      <c r="AC74" s="2905">
        <f t="shared" si="14"/>
        <v>0</v>
      </c>
      <c r="AD74" s="2643"/>
    </row>
    <row r="75" spans="2:30" ht="14.25" thickBot="1" x14ac:dyDescent="0.3">
      <c r="B75" s="4988"/>
      <c r="C75" s="5001"/>
      <c r="D75" s="4999"/>
      <c r="E75" s="2902" t="s">
        <v>5061</v>
      </c>
      <c r="F75" s="2890" t="s">
        <v>258</v>
      </c>
      <c r="G75" s="2890">
        <v>378</v>
      </c>
      <c r="H75" s="2901">
        <v>2.5</v>
      </c>
      <c r="I75" s="2889">
        <f>G75*H75</f>
        <v>945</v>
      </c>
      <c r="J75" s="2889">
        <f>I75*12</f>
        <v>11340</v>
      </c>
      <c r="K75" s="2895" t="s">
        <v>5048</v>
      </c>
      <c r="L75" s="2898"/>
      <c r="M75" s="2898"/>
      <c r="N75" s="2898"/>
      <c r="O75" s="2898"/>
      <c r="P75" s="2905"/>
      <c r="Q75" s="2905"/>
      <c r="R75" s="2905">
        <f t="shared" si="14"/>
        <v>11340</v>
      </c>
      <c r="S75" s="2905">
        <f t="shared" si="14"/>
        <v>11340</v>
      </c>
      <c r="T75" s="2905">
        <f t="shared" si="14"/>
        <v>11340</v>
      </c>
      <c r="U75" s="2905">
        <f t="shared" si="14"/>
        <v>11340</v>
      </c>
      <c r="V75" s="2905">
        <f t="shared" si="14"/>
        <v>11340</v>
      </c>
      <c r="W75" s="2905">
        <f t="shared" si="14"/>
        <v>11340</v>
      </c>
      <c r="X75" s="2905">
        <f t="shared" si="14"/>
        <v>11340</v>
      </c>
      <c r="Y75" s="2905">
        <f t="shared" si="14"/>
        <v>11340</v>
      </c>
      <c r="Z75" s="2905">
        <f t="shared" si="14"/>
        <v>11340</v>
      </c>
      <c r="AA75" s="2905">
        <f t="shared" si="14"/>
        <v>11340</v>
      </c>
      <c r="AB75" s="2905">
        <f t="shared" si="14"/>
        <v>11340</v>
      </c>
      <c r="AC75" s="2905">
        <f t="shared" si="14"/>
        <v>11340</v>
      </c>
      <c r="AD75" s="2643"/>
    </row>
    <row r="76" spans="2:30" ht="14.25" thickBot="1" x14ac:dyDescent="0.3">
      <c r="B76" s="4988"/>
      <c r="C76" s="5001"/>
      <c r="D76" s="4999"/>
      <c r="E76" s="2902" t="s">
        <v>5062</v>
      </c>
      <c r="F76" s="2890" t="s">
        <v>5006</v>
      </c>
      <c r="G76" s="2890">
        <v>12</v>
      </c>
      <c r="H76" s="2901">
        <v>10</v>
      </c>
      <c r="I76" s="2889">
        <f>G76*H76</f>
        <v>120</v>
      </c>
      <c r="J76" s="2889">
        <f>I76*4</f>
        <v>480</v>
      </c>
      <c r="K76" s="2895" t="s">
        <v>5050</v>
      </c>
      <c r="L76" s="2898"/>
      <c r="M76" s="2898"/>
      <c r="N76" s="2898"/>
      <c r="O76" s="2898"/>
      <c r="P76" s="2905"/>
      <c r="Q76" s="2905"/>
      <c r="R76" s="2905">
        <f t="shared" si="14"/>
        <v>480</v>
      </c>
      <c r="S76" s="2905">
        <f t="shared" si="14"/>
        <v>480</v>
      </c>
      <c r="T76" s="2905">
        <f t="shared" si="14"/>
        <v>480</v>
      </c>
      <c r="U76" s="2905">
        <f t="shared" si="14"/>
        <v>480</v>
      </c>
      <c r="V76" s="2905">
        <f t="shared" si="14"/>
        <v>480</v>
      </c>
      <c r="W76" s="2905">
        <f t="shared" si="14"/>
        <v>480</v>
      </c>
      <c r="X76" s="2905">
        <f t="shared" si="14"/>
        <v>480</v>
      </c>
      <c r="Y76" s="2905">
        <f t="shared" si="14"/>
        <v>480</v>
      </c>
      <c r="Z76" s="2905">
        <f t="shared" si="14"/>
        <v>480</v>
      </c>
      <c r="AA76" s="2905">
        <f t="shared" si="14"/>
        <v>480</v>
      </c>
      <c r="AB76" s="2905">
        <f t="shared" si="14"/>
        <v>480</v>
      </c>
      <c r="AC76" s="2905">
        <f t="shared" si="14"/>
        <v>480</v>
      </c>
      <c r="AD76" s="2643"/>
    </row>
    <row r="77" spans="2:30" ht="14.25" thickBot="1" x14ac:dyDescent="0.3">
      <c r="B77" s="4988"/>
      <c r="C77" s="5001"/>
      <c r="D77" s="4999"/>
      <c r="E77" s="2902" t="s">
        <v>5063</v>
      </c>
      <c r="F77" s="2890" t="s">
        <v>5006</v>
      </c>
      <c r="G77" s="2890">
        <v>228</v>
      </c>
      <c r="H77" s="2901">
        <v>3</v>
      </c>
      <c r="I77" s="2889">
        <f>G77*H77</f>
        <v>684</v>
      </c>
      <c r="J77" s="2889">
        <f>I77*1</f>
        <v>684</v>
      </c>
      <c r="K77" s="2895" t="s">
        <v>5064</v>
      </c>
      <c r="L77" s="2898"/>
      <c r="M77" s="2898"/>
      <c r="N77" s="2898"/>
      <c r="O77" s="2898"/>
      <c r="P77" s="2905"/>
      <c r="Q77" s="2905"/>
      <c r="R77" s="2905">
        <f t="shared" si="14"/>
        <v>684</v>
      </c>
      <c r="S77" s="2905">
        <f t="shared" si="14"/>
        <v>684</v>
      </c>
      <c r="T77" s="2905">
        <f t="shared" si="14"/>
        <v>684</v>
      </c>
      <c r="U77" s="2905">
        <f t="shared" si="14"/>
        <v>684</v>
      </c>
      <c r="V77" s="2905">
        <f t="shared" si="14"/>
        <v>684</v>
      </c>
      <c r="W77" s="2905">
        <f t="shared" si="14"/>
        <v>684</v>
      </c>
      <c r="X77" s="2905">
        <f t="shared" si="14"/>
        <v>684</v>
      </c>
      <c r="Y77" s="2905">
        <f t="shared" si="14"/>
        <v>684</v>
      </c>
      <c r="Z77" s="2905">
        <f t="shared" si="14"/>
        <v>684</v>
      </c>
      <c r="AA77" s="2905">
        <f t="shared" si="14"/>
        <v>684</v>
      </c>
      <c r="AB77" s="2905">
        <f t="shared" si="14"/>
        <v>684</v>
      </c>
      <c r="AC77" s="2905">
        <f t="shared" si="14"/>
        <v>684</v>
      </c>
      <c r="AD77" s="2643"/>
    </row>
    <row r="78" spans="2:30" ht="14.25" thickBot="1" x14ac:dyDescent="0.3">
      <c r="B78" s="4988"/>
      <c r="C78" s="5001"/>
      <c r="D78" s="5002" t="s">
        <v>4272</v>
      </c>
      <c r="E78" s="2955"/>
      <c r="F78" s="3474"/>
      <c r="G78" s="3474"/>
      <c r="H78" s="2956"/>
      <c r="I78" s="2957"/>
      <c r="J78" s="2958">
        <f>SUM(J80:J95)</f>
        <v>162925</v>
      </c>
      <c r="K78" s="2974"/>
      <c r="L78" s="2960"/>
      <c r="M78" s="2960"/>
      <c r="N78" s="2960"/>
      <c r="O78" s="2960"/>
      <c r="P78" s="2961"/>
      <c r="Q78" s="2961"/>
      <c r="R78" s="2961">
        <f>SUM(R79:R95)</f>
        <v>270</v>
      </c>
      <c r="S78" s="2961">
        <f t="shared" ref="S78:AC78" si="15">SUM(S79:S95)</f>
        <v>270</v>
      </c>
      <c r="T78" s="2961">
        <f t="shared" si="15"/>
        <v>5385</v>
      </c>
      <c r="U78" s="2961">
        <f t="shared" si="15"/>
        <v>270</v>
      </c>
      <c r="V78" s="2961">
        <f t="shared" si="15"/>
        <v>35810</v>
      </c>
      <c r="W78" s="2961">
        <f t="shared" si="15"/>
        <v>5385</v>
      </c>
      <c r="X78" s="2961">
        <f t="shared" si="15"/>
        <v>270</v>
      </c>
      <c r="Y78" s="2961">
        <f t="shared" si="15"/>
        <v>270</v>
      </c>
      <c r="Z78" s="2961">
        <f t="shared" si="15"/>
        <v>5385</v>
      </c>
      <c r="AA78" s="2961">
        <f t="shared" si="15"/>
        <v>157810</v>
      </c>
      <c r="AB78" s="2961">
        <f t="shared" si="15"/>
        <v>270</v>
      </c>
      <c r="AC78" s="2961">
        <f t="shared" si="15"/>
        <v>5385</v>
      </c>
      <c r="AD78" s="2643"/>
    </row>
    <row r="79" spans="2:30" ht="14.25" thickBot="1" x14ac:dyDescent="0.3">
      <c r="B79" s="4988"/>
      <c r="C79" s="5001"/>
      <c r="D79" s="5002"/>
      <c r="E79" s="2975" t="s">
        <v>5046</v>
      </c>
      <c r="F79" s="2962"/>
      <c r="G79" s="2962"/>
      <c r="H79" s="2963"/>
      <c r="I79" s="2964"/>
      <c r="J79" s="2964"/>
      <c r="K79" s="2965"/>
      <c r="L79" s="2966"/>
      <c r="M79" s="2966"/>
      <c r="N79" s="2966"/>
      <c r="O79" s="2966"/>
      <c r="P79" s="2966"/>
      <c r="Q79" s="2966"/>
      <c r="R79" s="2966"/>
      <c r="S79" s="2967"/>
      <c r="T79" s="2967"/>
      <c r="U79" s="2967"/>
      <c r="V79" s="2967"/>
      <c r="W79" s="2967"/>
      <c r="X79" s="2967"/>
      <c r="Y79" s="2967"/>
      <c r="Z79" s="2967"/>
      <c r="AA79" s="2967"/>
      <c r="AB79" s="2967"/>
      <c r="AC79" s="2967"/>
      <c r="AD79" s="2643"/>
    </row>
    <row r="80" spans="2:30" ht="14.25" thickBot="1" x14ac:dyDescent="0.3">
      <c r="B80" s="4988"/>
      <c r="C80" s="5001"/>
      <c r="D80" s="5002"/>
      <c r="E80" s="2968" t="s">
        <v>5065</v>
      </c>
      <c r="F80" s="2962" t="s">
        <v>258</v>
      </c>
      <c r="G80" s="2962">
        <v>560</v>
      </c>
      <c r="H80" s="2963">
        <v>1.5</v>
      </c>
      <c r="I80" s="2964">
        <f t="shared" ref="I80:I86" si="16">G80*H80</f>
        <v>840</v>
      </c>
      <c r="J80" s="2964">
        <f>I80*10</f>
        <v>8400</v>
      </c>
      <c r="K80" s="2965" t="s">
        <v>5066</v>
      </c>
      <c r="L80" s="2966"/>
      <c r="M80" s="2966"/>
      <c r="N80" s="2966"/>
      <c r="O80" s="2966"/>
      <c r="P80" s="2966"/>
      <c r="Q80" s="2966"/>
      <c r="R80" s="2966"/>
      <c r="S80" s="2967"/>
      <c r="T80" s="2967"/>
      <c r="U80" s="2967"/>
      <c r="V80" s="2967"/>
      <c r="W80" s="2967"/>
      <c r="X80" s="2967"/>
      <c r="Y80" s="2967"/>
      <c r="Z80" s="2967"/>
      <c r="AA80" s="2967">
        <f>J80</f>
        <v>8400</v>
      </c>
      <c r="AB80" s="2967"/>
      <c r="AC80" s="2967"/>
      <c r="AD80" s="2643"/>
    </row>
    <row r="81" spans="2:30" ht="14.25" thickBot="1" x14ac:dyDescent="0.3">
      <c r="B81" s="4988"/>
      <c r="C81" s="5001"/>
      <c r="D81" s="5002"/>
      <c r="E81" s="2968" t="s">
        <v>5067</v>
      </c>
      <c r="F81" s="2962" t="s">
        <v>5006</v>
      </c>
      <c r="G81" s="2962">
        <v>250</v>
      </c>
      <c r="H81" s="2963">
        <v>1</v>
      </c>
      <c r="I81" s="2964">
        <f t="shared" si="16"/>
        <v>250</v>
      </c>
      <c r="J81" s="2964">
        <f>I81*10</f>
        <v>2500</v>
      </c>
      <c r="K81" s="2965" t="s">
        <v>5066</v>
      </c>
      <c r="L81" s="2966"/>
      <c r="M81" s="2966"/>
      <c r="N81" s="2966"/>
      <c r="O81" s="2966"/>
      <c r="P81" s="2966"/>
      <c r="Q81" s="2966"/>
      <c r="R81" s="2966"/>
      <c r="S81" s="2967"/>
      <c r="T81" s="2967"/>
      <c r="U81" s="2967"/>
      <c r="V81" s="2967"/>
      <c r="W81" s="2967"/>
      <c r="X81" s="2967"/>
      <c r="Y81" s="2967"/>
      <c r="Z81" s="2967"/>
      <c r="AA81" s="2967">
        <f t="shared" ref="AA81:AA82" si="17">J81</f>
        <v>2500</v>
      </c>
      <c r="AB81" s="2967"/>
      <c r="AC81" s="2967"/>
      <c r="AD81" s="2643"/>
    </row>
    <row r="82" spans="2:30" ht="14.25" thickBot="1" x14ac:dyDescent="0.3">
      <c r="B82" s="4988"/>
      <c r="C82" s="5001"/>
      <c r="D82" s="5002"/>
      <c r="E82" s="2968" t="s">
        <v>5049</v>
      </c>
      <c r="F82" s="2962" t="s">
        <v>5006</v>
      </c>
      <c r="G82" s="2962">
        <v>100</v>
      </c>
      <c r="H82" s="2963">
        <v>5</v>
      </c>
      <c r="I82" s="2964">
        <f t="shared" si="16"/>
        <v>500</v>
      </c>
      <c r="J82" s="2964">
        <f>I82*10</f>
        <v>5000</v>
      </c>
      <c r="K82" s="2965" t="s">
        <v>5066</v>
      </c>
      <c r="L82" s="2966"/>
      <c r="M82" s="2966"/>
      <c r="N82" s="2966"/>
      <c r="O82" s="2966"/>
      <c r="P82" s="2966"/>
      <c r="Q82" s="2966"/>
      <c r="R82" s="2966"/>
      <c r="S82" s="2967"/>
      <c r="T82" s="2967"/>
      <c r="U82" s="2967"/>
      <c r="V82" s="2967"/>
      <c r="W82" s="2967"/>
      <c r="X82" s="2967"/>
      <c r="Y82" s="2967"/>
      <c r="Z82" s="2967"/>
      <c r="AA82" s="2967">
        <f t="shared" si="17"/>
        <v>5000</v>
      </c>
      <c r="AB82" s="2967"/>
      <c r="AC82" s="2967"/>
      <c r="AD82" s="2643"/>
    </row>
    <row r="83" spans="2:30" ht="14.25" thickBot="1" x14ac:dyDescent="0.3">
      <c r="B83" s="4988"/>
      <c r="C83" s="5001"/>
      <c r="D83" s="5002"/>
      <c r="E83" s="2968" t="s">
        <v>5068</v>
      </c>
      <c r="F83" s="2962" t="s">
        <v>5006</v>
      </c>
      <c r="G83" s="2962">
        <v>94</v>
      </c>
      <c r="H83" s="2963">
        <v>7</v>
      </c>
      <c r="I83" s="2964">
        <f t="shared" si="16"/>
        <v>658</v>
      </c>
      <c r="J83" s="2964">
        <f>I83*5</f>
        <v>3290</v>
      </c>
      <c r="K83" s="2965" t="s">
        <v>5029</v>
      </c>
      <c r="L83" s="2966"/>
      <c r="M83" s="2966"/>
      <c r="N83" s="2966"/>
      <c r="O83" s="2966"/>
      <c r="P83" s="2966"/>
      <c r="Q83" s="2966"/>
      <c r="R83" s="2966"/>
      <c r="S83" s="2967"/>
      <c r="T83" s="2967"/>
      <c r="U83" s="2967"/>
      <c r="V83" s="2967">
        <f>J83</f>
        <v>3290</v>
      </c>
      <c r="W83" s="2967"/>
      <c r="X83" s="2967"/>
      <c r="Y83" s="2967"/>
      <c r="Z83" s="2967"/>
      <c r="AA83" s="2967">
        <f>J83</f>
        <v>3290</v>
      </c>
      <c r="AB83" s="2967"/>
      <c r="AC83" s="2967"/>
      <c r="AD83" s="2643"/>
    </row>
    <row r="84" spans="2:30" ht="14.25" thickBot="1" x14ac:dyDescent="0.3">
      <c r="B84" s="4988"/>
      <c r="C84" s="5001"/>
      <c r="D84" s="5002"/>
      <c r="E84" s="2968" t="s">
        <v>5047</v>
      </c>
      <c r="F84" s="2962" t="s">
        <v>5006</v>
      </c>
      <c r="G84" s="2962">
        <v>1</v>
      </c>
      <c r="H84" s="2963">
        <v>10</v>
      </c>
      <c r="I84" s="2964">
        <f>G84*H84</f>
        <v>10</v>
      </c>
      <c r="J84" s="2964">
        <f>I84*3</f>
        <v>30</v>
      </c>
      <c r="K84" s="2965" t="s">
        <v>5037</v>
      </c>
      <c r="L84" s="2966"/>
      <c r="M84" s="2966"/>
      <c r="N84" s="2966"/>
      <c r="O84" s="2966"/>
      <c r="P84" s="2966"/>
      <c r="Q84" s="2966"/>
      <c r="R84" s="2966"/>
      <c r="S84" s="2967"/>
      <c r="T84" s="2967">
        <f>J84</f>
        <v>30</v>
      </c>
      <c r="U84" s="2967"/>
      <c r="V84" s="2967"/>
      <c r="W84" s="2967">
        <f>J84</f>
        <v>30</v>
      </c>
      <c r="X84" s="2967"/>
      <c r="Y84" s="2967"/>
      <c r="Z84" s="2967">
        <f>J84</f>
        <v>30</v>
      </c>
      <c r="AA84" s="2967"/>
      <c r="AB84" s="2967"/>
      <c r="AC84" s="2967">
        <f>J84</f>
        <v>30</v>
      </c>
      <c r="AD84" s="2643"/>
    </row>
    <row r="85" spans="2:30" ht="14.25" thickBot="1" x14ac:dyDescent="0.3">
      <c r="B85" s="4988"/>
      <c r="C85" s="5001"/>
      <c r="D85" s="5002"/>
      <c r="E85" s="2968" t="s">
        <v>5069</v>
      </c>
      <c r="F85" s="2962" t="s">
        <v>5006</v>
      </c>
      <c r="G85" s="2962">
        <v>86</v>
      </c>
      <c r="H85" s="2963">
        <v>70</v>
      </c>
      <c r="I85" s="2964">
        <f t="shared" si="16"/>
        <v>6020</v>
      </c>
      <c r="J85" s="2964">
        <f>I85*5</f>
        <v>30100</v>
      </c>
      <c r="K85" s="2965" t="s">
        <v>5029</v>
      </c>
      <c r="L85" s="2966"/>
      <c r="M85" s="2966"/>
      <c r="N85" s="2966"/>
      <c r="O85" s="2966"/>
      <c r="P85" s="2966"/>
      <c r="Q85" s="2966"/>
      <c r="R85" s="2966"/>
      <c r="S85" s="2967"/>
      <c r="T85" s="2967"/>
      <c r="U85" s="2967"/>
      <c r="V85" s="2967">
        <f>J85</f>
        <v>30100</v>
      </c>
      <c r="W85" s="2967"/>
      <c r="X85" s="2967"/>
      <c r="Y85" s="2967"/>
      <c r="Z85" s="2967"/>
      <c r="AA85" s="2967">
        <f>J85</f>
        <v>30100</v>
      </c>
      <c r="AB85" s="2967"/>
      <c r="AC85" s="2967"/>
      <c r="AD85" s="2643"/>
    </row>
    <row r="86" spans="2:30" ht="14.25" thickBot="1" x14ac:dyDescent="0.3">
      <c r="B86" s="4988"/>
      <c r="C86" s="5001"/>
      <c r="D86" s="5002"/>
      <c r="E86" s="2968" t="s">
        <v>5052</v>
      </c>
      <c r="F86" s="2962" t="s">
        <v>5006</v>
      </c>
      <c r="G86" s="2962">
        <v>105</v>
      </c>
      <c r="H86" s="2963">
        <v>5</v>
      </c>
      <c r="I86" s="2964">
        <f t="shared" si="16"/>
        <v>525</v>
      </c>
      <c r="J86" s="2964">
        <f>I86*3</f>
        <v>1575</v>
      </c>
      <c r="K86" s="2965" t="s">
        <v>5037</v>
      </c>
      <c r="L86" s="2966"/>
      <c r="M86" s="2966"/>
      <c r="N86" s="2966"/>
      <c r="O86" s="2966"/>
      <c r="P86" s="2966"/>
      <c r="Q86" s="2966"/>
      <c r="R86" s="2966"/>
      <c r="S86" s="2967"/>
      <c r="T86" s="2967">
        <f>J86</f>
        <v>1575</v>
      </c>
      <c r="U86" s="2967"/>
      <c r="V86" s="2967"/>
      <c r="W86" s="2967">
        <f>J86</f>
        <v>1575</v>
      </c>
      <c r="X86" s="2967"/>
      <c r="Y86" s="2967"/>
      <c r="Z86" s="2967">
        <f>J86</f>
        <v>1575</v>
      </c>
      <c r="AA86" s="2967"/>
      <c r="AB86" s="2967"/>
      <c r="AC86" s="2967">
        <f>J86</f>
        <v>1575</v>
      </c>
      <c r="AD86" s="2643"/>
    </row>
    <row r="87" spans="2:30" ht="14.25" thickBot="1" x14ac:dyDescent="0.3">
      <c r="B87" s="4988"/>
      <c r="C87" s="5001"/>
      <c r="D87" s="5002"/>
      <c r="E87" s="2975" t="s">
        <v>5053</v>
      </c>
      <c r="F87" s="2962"/>
      <c r="G87" s="2962"/>
      <c r="H87" s="2963"/>
      <c r="I87" s="2964"/>
      <c r="J87" s="2964"/>
      <c r="K87" s="2965"/>
      <c r="L87" s="2966"/>
      <c r="M87" s="2966"/>
      <c r="N87" s="2966"/>
      <c r="O87" s="2966"/>
      <c r="P87" s="2966"/>
      <c r="Q87" s="2966"/>
      <c r="R87" s="2966"/>
      <c r="S87" s="2967"/>
      <c r="T87" s="2967"/>
      <c r="U87" s="2967"/>
      <c r="V87" s="2967"/>
      <c r="W87" s="2967"/>
      <c r="X87" s="2967"/>
      <c r="Y87" s="2967"/>
      <c r="Z87" s="2967"/>
      <c r="AA87" s="2967"/>
      <c r="AB87" s="2967"/>
      <c r="AC87" s="2967"/>
      <c r="AD87" s="2643"/>
    </row>
    <row r="88" spans="2:30" ht="14.25" thickBot="1" x14ac:dyDescent="0.3">
      <c r="B88" s="4988"/>
      <c r="C88" s="5001"/>
      <c r="D88" s="5002"/>
      <c r="E88" s="2968" t="s">
        <v>5070</v>
      </c>
      <c r="F88" s="2962" t="s">
        <v>258</v>
      </c>
      <c r="G88" s="2962">
        <v>750</v>
      </c>
      <c r="H88" s="2963">
        <v>5</v>
      </c>
      <c r="I88" s="2964">
        <f t="shared" ref="I88:I91" si="18">G88*H88</f>
        <v>3750</v>
      </c>
      <c r="J88" s="2964">
        <f>I88*10</f>
        <v>37500</v>
      </c>
      <c r="K88" s="2965" t="s">
        <v>5066</v>
      </c>
      <c r="L88" s="2966"/>
      <c r="M88" s="2966"/>
      <c r="N88" s="2966"/>
      <c r="O88" s="2966"/>
      <c r="P88" s="2966"/>
      <c r="Q88" s="2966"/>
      <c r="R88" s="2966"/>
      <c r="S88" s="2967"/>
      <c r="T88" s="2967"/>
      <c r="U88" s="2967"/>
      <c r="V88" s="2967"/>
      <c r="W88" s="2967"/>
      <c r="X88" s="2967"/>
      <c r="Y88" s="2967"/>
      <c r="Z88" s="2967"/>
      <c r="AA88" s="2967">
        <f>J88</f>
        <v>37500</v>
      </c>
      <c r="AB88" s="2967"/>
      <c r="AC88" s="2967"/>
      <c r="AD88" s="2643"/>
    </row>
    <row r="89" spans="2:30" ht="14.25" thickBot="1" x14ac:dyDescent="0.3">
      <c r="B89" s="4988"/>
      <c r="C89" s="5001"/>
      <c r="D89" s="5002"/>
      <c r="E89" s="2968" t="s">
        <v>5062</v>
      </c>
      <c r="F89" s="2962" t="s">
        <v>5006</v>
      </c>
      <c r="G89" s="2962">
        <v>86</v>
      </c>
      <c r="H89" s="2963">
        <v>10</v>
      </c>
      <c r="I89" s="2964">
        <f>G89*H89</f>
        <v>860</v>
      </c>
      <c r="J89" s="2964">
        <f>I89*10</f>
        <v>8600</v>
      </c>
      <c r="K89" s="2965" t="s">
        <v>5066</v>
      </c>
      <c r="L89" s="2966"/>
      <c r="M89" s="2966"/>
      <c r="N89" s="2966"/>
      <c r="O89" s="2966"/>
      <c r="P89" s="2966"/>
      <c r="Q89" s="2966"/>
      <c r="R89" s="2966"/>
      <c r="S89" s="2967"/>
      <c r="T89" s="2967"/>
      <c r="U89" s="2967"/>
      <c r="V89" s="2967"/>
      <c r="W89" s="2967"/>
      <c r="X89" s="2967"/>
      <c r="Y89" s="2967"/>
      <c r="Z89" s="2967"/>
      <c r="AA89" s="2967">
        <f t="shared" ref="AA89:AA90" si="19">J89</f>
        <v>8600</v>
      </c>
      <c r="AB89" s="2967"/>
      <c r="AC89" s="2967"/>
      <c r="AD89" s="2643"/>
    </row>
    <row r="90" spans="2:30" ht="14.25" thickBot="1" x14ac:dyDescent="0.3">
      <c r="B90" s="4988"/>
      <c r="C90" s="5001"/>
      <c r="D90" s="5002"/>
      <c r="E90" s="2968" t="s">
        <v>5055</v>
      </c>
      <c r="F90" s="2962" t="s">
        <v>5006</v>
      </c>
      <c r="G90" s="2962">
        <v>86</v>
      </c>
      <c r="H90" s="2963">
        <v>5</v>
      </c>
      <c r="I90" s="2964">
        <f t="shared" si="18"/>
        <v>430</v>
      </c>
      <c r="J90" s="2964">
        <f>I90*5</f>
        <v>2150</v>
      </c>
      <c r="K90" s="2965" t="s">
        <v>5029</v>
      </c>
      <c r="L90" s="2966"/>
      <c r="M90" s="2966"/>
      <c r="N90" s="2966"/>
      <c r="O90" s="2966"/>
      <c r="P90" s="2966"/>
      <c r="Q90" s="2966"/>
      <c r="R90" s="2966"/>
      <c r="S90" s="2967"/>
      <c r="T90" s="2967"/>
      <c r="U90" s="2967"/>
      <c r="V90" s="2967">
        <f>J90</f>
        <v>2150</v>
      </c>
      <c r="W90" s="2967"/>
      <c r="X90" s="2967"/>
      <c r="Y90" s="2967"/>
      <c r="Z90" s="2967"/>
      <c r="AA90" s="2967">
        <f t="shared" si="19"/>
        <v>2150</v>
      </c>
      <c r="AB90" s="2967"/>
      <c r="AC90" s="2967"/>
      <c r="AD90" s="2643"/>
    </row>
    <row r="91" spans="2:30" ht="14.25" thickBot="1" x14ac:dyDescent="0.3">
      <c r="B91" s="4988"/>
      <c r="C91" s="5001"/>
      <c r="D91" s="5002"/>
      <c r="E91" s="2968" t="s">
        <v>5059</v>
      </c>
      <c r="F91" s="2962" t="s">
        <v>5006</v>
      </c>
      <c r="G91" s="2962">
        <v>90</v>
      </c>
      <c r="H91" s="2963">
        <v>3</v>
      </c>
      <c r="I91" s="2964">
        <f t="shared" si="18"/>
        <v>270</v>
      </c>
      <c r="J91" s="2964">
        <f>I91</f>
        <v>270</v>
      </c>
      <c r="K91" s="2965" t="s">
        <v>5071</v>
      </c>
      <c r="L91" s="2966"/>
      <c r="M91" s="2966"/>
      <c r="N91" s="2966"/>
      <c r="O91" s="2966"/>
      <c r="P91" s="2966"/>
      <c r="Q91" s="2966"/>
      <c r="R91" s="2969">
        <f>J91</f>
        <v>270</v>
      </c>
      <c r="S91" s="2967">
        <f>R91</f>
        <v>270</v>
      </c>
      <c r="T91" s="2967">
        <f t="shared" ref="T91:AC91" si="20">S91</f>
        <v>270</v>
      </c>
      <c r="U91" s="2967">
        <f t="shared" si="20"/>
        <v>270</v>
      </c>
      <c r="V91" s="2967">
        <f t="shared" si="20"/>
        <v>270</v>
      </c>
      <c r="W91" s="2967">
        <f t="shared" si="20"/>
        <v>270</v>
      </c>
      <c r="X91" s="2967">
        <f t="shared" si="20"/>
        <v>270</v>
      </c>
      <c r="Y91" s="2967">
        <f t="shared" si="20"/>
        <v>270</v>
      </c>
      <c r="Z91" s="2967">
        <f t="shared" si="20"/>
        <v>270</v>
      </c>
      <c r="AA91" s="2967">
        <f t="shared" si="20"/>
        <v>270</v>
      </c>
      <c r="AB91" s="2967">
        <f t="shared" si="20"/>
        <v>270</v>
      </c>
      <c r="AC91" s="2967">
        <f t="shared" si="20"/>
        <v>270</v>
      </c>
      <c r="AD91" s="2643"/>
    </row>
    <row r="92" spans="2:30" ht="14.25" thickBot="1" x14ac:dyDescent="0.3">
      <c r="B92" s="4988"/>
      <c r="C92" s="5001"/>
      <c r="D92" s="5002"/>
      <c r="E92" s="2975" t="s">
        <v>5060</v>
      </c>
      <c r="F92" s="2962"/>
      <c r="G92" s="2962"/>
      <c r="H92" s="2963"/>
      <c r="I92" s="2964"/>
      <c r="J92" s="2964"/>
      <c r="K92" s="2965"/>
      <c r="L92" s="2966"/>
      <c r="M92" s="2966"/>
      <c r="N92" s="2966"/>
      <c r="O92" s="2966"/>
      <c r="P92" s="2966"/>
      <c r="Q92" s="2966"/>
      <c r="R92" s="2966"/>
      <c r="S92" s="2967"/>
      <c r="T92" s="2967"/>
      <c r="U92" s="2967"/>
      <c r="V92" s="2967"/>
      <c r="W92" s="2967"/>
      <c r="X92" s="2967"/>
      <c r="Y92" s="2967"/>
      <c r="Z92" s="2967"/>
      <c r="AA92" s="2967"/>
      <c r="AB92" s="2967"/>
      <c r="AC92" s="2967"/>
      <c r="AD92" s="2643"/>
    </row>
    <row r="93" spans="2:30" ht="14.25" thickBot="1" x14ac:dyDescent="0.3">
      <c r="B93" s="4988"/>
      <c r="C93" s="5001"/>
      <c r="D93" s="5002"/>
      <c r="E93" s="2968" t="s">
        <v>5072</v>
      </c>
      <c r="F93" s="2962" t="s">
        <v>258</v>
      </c>
      <c r="G93" s="2962">
        <v>600</v>
      </c>
      <c r="H93" s="2963">
        <v>10</v>
      </c>
      <c r="I93" s="2964">
        <f>G93*H93</f>
        <v>6000</v>
      </c>
      <c r="J93" s="2964">
        <f>I93*10</f>
        <v>60000</v>
      </c>
      <c r="K93" s="2965" t="s">
        <v>5066</v>
      </c>
      <c r="L93" s="2966"/>
      <c r="M93" s="2966"/>
      <c r="N93" s="2966"/>
      <c r="O93" s="2966"/>
      <c r="P93" s="2966"/>
      <c r="Q93" s="2966"/>
      <c r="R93" s="2966"/>
      <c r="S93" s="2967"/>
      <c r="T93" s="2967"/>
      <c r="U93" s="2967"/>
      <c r="V93" s="2967"/>
      <c r="W93" s="2967"/>
      <c r="X93" s="2967"/>
      <c r="Y93" s="2967"/>
      <c r="Z93" s="2967"/>
      <c r="AA93" s="2967">
        <f>J93</f>
        <v>60000</v>
      </c>
      <c r="AB93" s="2967"/>
      <c r="AC93" s="2967"/>
      <c r="AD93" s="2643"/>
    </row>
    <row r="94" spans="2:30" ht="14.25" thickBot="1" x14ac:dyDescent="0.3">
      <c r="B94" s="4988"/>
      <c r="C94" s="5001"/>
      <c r="D94" s="5002"/>
      <c r="E94" s="2968" t="s">
        <v>5062</v>
      </c>
      <c r="F94" s="2962" t="s">
        <v>5006</v>
      </c>
      <c r="G94" s="2962">
        <v>12</v>
      </c>
      <c r="H94" s="2963">
        <v>10</v>
      </c>
      <c r="I94" s="2964">
        <f>G94*H94</f>
        <v>120</v>
      </c>
      <c r="J94" s="2964">
        <f>I94*3</f>
        <v>360</v>
      </c>
      <c r="K94" s="2965" t="s">
        <v>5037</v>
      </c>
      <c r="L94" s="2966"/>
      <c r="M94" s="2966"/>
      <c r="N94" s="2966"/>
      <c r="O94" s="2966"/>
      <c r="P94" s="2966"/>
      <c r="Q94" s="2966"/>
      <c r="R94" s="2966"/>
      <c r="S94" s="2967"/>
      <c r="T94" s="2967">
        <f>J94</f>
        <v>360</v>
      </c>
      <c r="U94" s="2967"/>
      <c r="V94" s="2967"/>
      <c r="W94" s="2967">
        <f>J94</f>
        <v>360</v>
      </c>
      <c r="X94" s="2967"/>
      <c r="Y94" s="2967"/>
      <c r="Z94" s="2967">
        <f>J94</f>
        <v>360</v>
      </c>
      <c r="AA94" s="2967"/>
      <c r="AB94" s="2967"/>
      <c r="AC94" s="2967">
        <f>J94</f>
        <v>360</v>
      </c>
      <c r="AD94" s="2643"/>
    </row>
    <row r="95" spans="2:30" ht="14.25" thickBot="1" x14ac:dyDescent="0.3">
      <c r="B95" s="4988"/>
      <c r="C95" s="5001"/>
      <c r="D95" s="5002"/>
      <c r="E95" s="2968" t="s">
        <v>5063</v>
      </c>
      <c r="F95" s="2962" t="s">
        <v>5006</v>
      </c>
      <c r="G95" s="2962">
        <v>350</v>
      </c>
      <c r="H95" s="2963">
        <v>3</v>
      </c>
      <c r="I95" s="2964">
        <f>G95*H95</f>
        <v>1050</v>
      </c>
      <c r="J95" s="2964">
        <f>I95*3</f>
        <v>3150</v>
      </c>
      <c r="K95" s="2965" t="s">
        <v>5037</v>
      </c>
      <c r="L95" s="2966"/>
      <c r="M95" s="2966"/>
      <c r="N95" s="2966"/>
      <c r="O95" s="2966"/>
      <c r="P95" s="2966"/>
      <c r="Q95" s="2966"/>
      <c r="R95" s="2966"/>
      <c r="S95" s="2967"/>
      <c r="T95" s="2967">
        <f>J95</f>
        <v>3150</v>
      </c>
      <c r="U95" s="2967"/>
      <c r="V95" s="2967"/>
      <c r="W95" s="2967">
        <f>J95</f>
        <v>3150</v>
      </c>
      <c r="X95" s="2967"/>
      <c r="Y95" s="2967"/>
      <c r="Z95" s="2967">
        <f>J95</f>
        <v>3150</v>
      </c>
      <c r="AA95" s="2967"/>
      <c r="AB95" s="2967"/>
      <c r="AC95" s="2967">
        <f>J95</f>
        <v>3150</v>
      </c>
      <c r="AD95" s="2643"/>
    </row>
    <row r="96" spans="2:30" ht="14.25" thickBot="1" x14ac:dyDescent="0.3">
      <c r="B96" s="4988"/>
      <c r="C96" s="3503" t="s">
        <v>5043</v>
      </c>
      <c r="D96" s="3504"/>
      <c r="E96" s="3505"/>
      <c r="F96" s="3503"/>
      <c r="G96" s="3503"/>
      <c r="H96" s="3506"/>
      <c r="I96" s="3507"/>
      <c r="J96" s="3508">
        <f>SUM(J63,J78)</f>
        <v>201941</v>
      </c>
      <c r="K96" s="3509"/>
      <c r="L96" s="3510"/>
      <c r="M96" s="3510"/>
      <c r="N96" s="3510"/>
      <c r="O96" s="3510"/>
      <c r="P96" s="3511"/>
      <c r="Q96" s="3511"/>
      <c r="R96" s="3511">
        <f>R78+R63</f>
        <v>39286</v>
      </c>
      <c r="S96" s="3511">
        <f t="shared" ref="S96:AC96" si="21">S78+S63</f>
        <v>39286</v>
      </c>
      <c r="T96" s="3511">
        <f t="shared" si="21"/>
        <v>44401</v>
      </c>
      <c r="U96" s="3511">
        <f t="shared" si="21"/>
        <v>39286</v>
      </c>
      <c r="V96" s="3511">
        <f t="shared" si="21"/>
        <v>74826</v>
      </c>
      <c r="W96" s="3511">
        <f t="shared" si="21"/>
        <v>44401</v>
      </c>
      <c r="X96" s="3511">
        <f t="shared" si="21"/>
        <v>39286</v>
      </c>
      <c r="Y96" s="3511">
        <f t="shared" si="21"/>
        <v>39286</v>
      </c>
      <c r="Z96" s="3511">
        <f t="shared" si="21"/>
        <v>44401</v>
      </c>
      <c r="AA96" s="3511">
        <f t="shared" si="21"/>
        <v>196826</v>
      </c>
      <c r="AB96" s="3511">
        <f t="shared" si="21"/>
        <v>39286</v>
      </c>
      <c r="AC96" s="3511">
        <f t="shared" si="21"/>
        <v>44401</v>
      </c>
      <c r="AD96" s="2643"/>
    </row>
    <row r="97" spans="2:30" ht="27.75" thickBot="1" x14ac:dyDescent="0.3">
      <c r="B97" s="4988"/>
      <c r="C97" s="3503" t="s">
        <v>5044</v>
      </c>
      <c r="D97" s="3504"/>
      <c r="E97" s="3505"/>
      <c r="F97" s="3503"/>
      <c r="G97" s="3503"/>
      <c r="H97" s="3506"/>
      <c r="I97" s="3507"/>
      <c r="J97" s="3507"/>
      <c r="K97" s="3509"/>
      <c r="L97" s="3512">
        <f>+J96</f>
        <v>201941</v>
      </c>
      <c r="M97" s="3510"/>
      <c r="N97" s="3510"/>
      <c r="O97" s="3510"/>
      <c r="P97" s="3513"/>
      <c r="Q97" s="3513"/>
      <c r="R97" s="3513">
        <f>R96/$L$97</f>
        <v>0.19454197017940883</v>
      </c>
      <c r="S97" s="3513">
        <f t="shared" ref="S97:AC97" si="22">S96/$L$97</f>
        <v>0.19454197017940883</v>
      </c>
      <c r="T97" s="3513">
        <f t="shared" si="22"/>
        <v>0.21987115048454747</v>
      </c>
      <c r="U97" s="3513">
        <f t="shared" si="22"/>
        <v>0.19454197017940883</v>
      </c>
      <c r="V97" s="3513">
        <f t="shared" si="22"/>
        <v>0.37053396784209247</v>
      </c>
      <c r="W97" s="3513">
        <f t="shared" si="22"/>
        <v>0.21987115048454747</v>
      </c>
      <c r="X97" s="3513">
        <f t="shared" si="22"/>
        <v>0.19454197017940883</v>
      </c>
      <c r="Y97" s="3513">
        <f t="shared" si="22"/>
        <v>0.19454197017940883</v>
      </c>
      <c r="Z97" s="3513">
        <f t="shared" si="22"/>
        <v>0.21987115048454747</v>
      </c>
      <c r="AA97" s="3513">
        <f t="shared" si="22"/>
        <v>0.97467081969486136</v>
      </c>
      <c r="AB97" s="3513">
        <f t="shared" si="22"/>
        <v>0.19454197017940883</v>
      </c>
      <c r="AC97" s="3513">
        <f t="shared" si="22"/>
        <v>0.21987115048454747</v>
      </c>
      <c r="AD97" s="2643"/>
    </row>
    <row r="98" spans="2:30" s="2864" customFormat="1" ht="14.25" thickBot="1" x14ac:dyDescent="0.3">
      <c r="B98" s="2876"/>
      <c r="C98" s="5012" t="s">
        <v>5881</v>
      </c>
      <c r="D98" s="4999" t="s">
        <v>4271</v>
      </c>
      <c r="E98" s="2882"/>
      <c r="F98" s="3473"/>
      <c r="G98" s="3473"/>
      <c r="H98" s="2900"/>
      <c r="I98" s="2884"/>
      <c r="J98" s="2885">
        <f>SUM(J99:J114)</f>
        <v>67585.34</v>
      </c>
      <c r="K98" s="3473"/>
      <c r="L98" s="2886"/>
      <c r="M98" s="2891"/>
      <c r="N98" s="2891"/>
      <c r="O98" s="2891"/>
      <c r="P98" s="2887"/>
      <c r="Q98" s="2887"/>
      <c r="R98" s="2887">
        <f t="shared" ref="R98:AC98" si="23">SUM(R99:R114)</f>
        <v>67585.34</v>
      </c>
      <c r="S98" s="2887">
        <f t="shared" si="23"/>
        <v>67585.34</v>
      </c>
      <c r="T98" s="2887">
        <f t="shared" si="23"/>
        <v>67585.34</v>
      </c>
      <c r="U98" s="2887">
        <f t="shared" si="23"/>
        <v>67585.34</v>
      </c>
      <c r="V98" s="2887">
        <f t="shared" si="23"/>
        <v>67585.34</v>
      </c>
      <c r="W98" s="2887">
        <f t="shared" si="23"/>
        <v>67585.34</v>
      </c>
      <c r="X98" s="2887">
        <f t="shared" si="23"/>
        <v>67585.34</v>
      </c>
      <c r="Y98" s="2887">
        <f t="shared" si="23"/>
        <v>67585.34</v>
      </c>
      <c r="Z98" s="2887">
        <f t="shared" si="23"/>
        <v>67585.34</v>
      </c>
      <c r="AA98" s="2887">
        <f t="shared" si="23"/>
        <v>67585.34</v>
      </c>
      <c r="AB98" s="2887">
        <f t="shared" si="23"/>
        <v>67585.34</v>
      </c>
      <c r="AC98" s="2887">
        <f t="shared" si="23"/>
        <v>67585.34</v>
      </c>
      <c r="AD98" s="2875"/>
    </row>
    <row r="99" spans="2:30" s="2864" customFormat="1" ht="14.25" thickBot="1" x14ac:dyDescent="0.3">
      <c r="B99" s="2876"/>
      <c r="C99" s="5012"/>
      <c r="D99" s="4999"/>
      <c r="E99" s="2906" t="s">
        <v>5074</v>
      </c>
      <c r="F99" s="3481"/>
      <c r="G99" s="2907"/>
      <c r="H99" s="3514"/>
      <c r="I99" s="2908"/>
      <c r="J99" s="2897"/>
      <c r="K99" s="3480"/>
      <c r="L99" s="2898"/>
      <c r="M99" s="2898"/>
      <c r="N99" s="2898"/>
      <c r="O99" s="2898"/>
      <c r="P99" s="2905"/>
      <c r="Q99" s="2905"/>
      <c r="R99" s="2905"/>
      <c r="S99" s="2905"/>
      <c r="T99" s="2905"/>
      <c r="U99" s="2905"/>
      <c r="V99" s="2905"/>
      <c r="W99" s="2905"/>
      <c r="X99" s="2905"/>
      <c r="Y99" s="2905"/>
      <c r="Z99" s="2905"/>
      <c r="AA99" s="2905"/>
      <c r="AB99" s="2905"/>
      <c r="AC99" s="2905"/>
      <c r="AD99" s="2875"/>
    </row>
    <row r="100" spans="2:30" ht="14.25" thickBot="1" x14ac:dyDescent="0.3">
      <c r="B100" s="4988" t="s">
        <v>5088</v>
      </c>
      <c r="C100" s="5012"/>
      <c r="D100" s="4999"/>
      <c r="E100" s="2907" t="s">
        <v>5075</v>
      </c>
      <c r="F100" s="3481"/>
      <c r="G100" s="2909">
        <v>1</v>
      </c>
      <c r="H100" s="3515">
        <v>626.24</v>
      </c>
      <c r="I100" s="2908">
        <v>626.24</v>
      </c>
      <c r="J100" s="2897">
        <v>626.24</v>
      </c>
      <c r="K100" s="3480" t="s">
        <v>5016</v>
      </c>
      <c r="L100" s="2898"/>
      <c r="M100" s="2898"/>
      <c r="N100" s="2898"/>
      <c r="O100" s="2898"/>
      <c r="P100" s="2905"/>
      <c r="Q100" s="2905"/>
      <c r="R100" s="2905">
        <f t="shared" ref="R100:AC113" si="24">$J100</f>
        <v>626.24</v>
      </c>
      <c r="S100" s="2905">
        <f t="shared" si="24"/>
        <v>626.24</v>
      </c>
      <c r="T100" s="2905">
        <f t="shared" si="24"/>
        <v>626.24</v>
      </c>
      <c r="U100" s="2905">
        <f t="shared" si="24"/>
        <v>626.24</v>
      </c>
      <c r="V100" s="2905">
        <f t="shared" si="24"/>
        <v>626.24</v>
      </c>
      <c r="W100" s="2905">
        <f t="shared" si="24"/>
        <v>626.24</v>
      </c>
      <c r="X100" s="2905">
        <f t="shared" si="24"/>
        <v>626.24</v>
      </c>
      <c r="Y100" s="2905">
        <f t="shared" si="24"/>
        <v>626.24</v>
      </c>
      <c r="Z100" s="2905">
        <f t="shared" si="24"/>
        <v>626.24</v>
      </c>
      <c r="AA100" s="2905">
        <f t="shared" si="24"/>
        <v>626.24</v>
      </c>
      <c r="AB100" s="2905">
        <f t="shared" si="24"/>
        <v>626.24</v>
      </c>
      <c r="AC100" s="2905">
        <f t="shared" si="24"/>
        <v>626.24</v>
      </c>
      <c r="AD100" s="2643"/>
    </row>
    <row r="101" spans="2:30" ht="14.25" thickBot="1" x14ac:dyDescent="0.3">
      <c r="B101" s="4988"/>
      <c r="C101" s="5012"/>
      <c r="D101" s="4999"/>
      <c r="E101" s="2910" t="s">
        <v>5076</v>
      </c>
      <c r="F101" s="2911"/>
      <c r="G101" s="2912"/>
      <c r="H101" s="2913"/>
      <c r="I101" s="2914"/>
      <c r="J101" s="2915">
        <f t="shared" ref="J101:J102" si="25">+I101</f>
        <v>0</v>
      </c>
      <c r="K101" s="2912"/>
      <c r="L101" s="2898"/>
      <c r="M101" s="2898"/>
      <c r="N101" s="2898"/>
      <c r="O101" s="2898"/>
      <c r="P101" s="2905"/>
      <c r="Q101" s="2905"/>
      <c r="R101" s="2905">
        <f t="shared" si="24"/>
        <v>0</v>
      </c>
      <c r="S101" s="2905">
        <f t="shared" si="24"/>
        <v>0</v>
      </c>
      <c r="T101" s="2905">
        <f t="shared" si="24"/>
        <v>0</v>
      </c>
      <c r="U101" s="2905">
        <f t="shared" si="24"/>
        <v>0</v>
      </c>
      <c r="V101" s="2905">
        <f t="shared" si="24"/>
        <v>0</v>
      </c>
      <c r="W101" s="2905">
        <f t="shared" si="24"/>
        <v>0</v>
      </c>
      <c r="X101" s="2905">
        <f t="shared" si="24"/>
        <v>0</v>
      </c>
      <c r="Y101" s="2905">
        <f t="shared" si="24"/>
        <v>0</v>
      </c>
      <c r="Z101" s="2905">
        <f t="shared" si="24"/>
        <v>0</v>
      </c>
      <c r="AA101" s="2905">
        <f t="shared" si="24"/>
        <v>0</v>
      </c>
      <c r="AB101" s="2905">
        <f t="shared" si="24"/>
        <v>0</v>
      </c>
      <c r="AC101" s="2905">
        <f t="shared" si="24"/>
        <v>0</v>
      </c>
      <c r="AD101" s="2643"/>
    </row>
    <row r="102" spans="2:30" ht="14.25" thickBot="1" x14ac:dyDescent="0.3">
      <c r="B102" s="4988"/>
      <c r="C102" s="5012"/>
      <c r="D102" s="4999"/>
      <c r="E102" s="2907" t="s">
        <v>5077</v>
      </c>
      <c r="F102" s="2890"/>
      <c r="G102" s="2895">
        <v>1</v>
      </c>
      <c r="H102" s="2916">
        <v>6500</v>
      </c>
      <c r="I102" s="2917">
        <f t="shared" ref="I102" si="26">G102*H102</f>
        <v>6500</v>
      </c>
      <c r="J102" s="2889">
        <f t="shared" si="25"/>
        <v>6500</v>
      </c>
      <c r="K102" s="2890" t="s">
        <v>5016</v>
      </c>
      <c r="L102" s="2898"/>
      <c r="M102" s="2898"/>
      <c r="N102" s="2898"/>
      <c r="O102" s="2898"/>
      <c r="P102" s="2905"/>
      <c r="Q102" s="2905"/>
      <c r="R102" s="2905">
        <f t="shared" si="24"/>
        <v>6500</v>
      </c>
      <c r="S102" s="2905">
        <f t="shared" si="24"/>
        <v>6500</v>
      </c>
      <c r="T102" s="2905">
        <f t="shared" si="24"/>
        <v>6500</v>
      </c>
      <c r="U102" s="2905">
        <f t="shared" si="24"/>
        <v>6500</v>
      </c>
      <c r="V102" s="2905">
        <f t="shared" si="24"/>
        <v>6500</v>
      </c>
      <c r="W102" s="2905">
        <f t="shared" si="24"/>
        <v>6500</v>
      </c>
      <c r="X102" s="2905">
        <f t="shared" si="24"/>
        <v>6500</v>
      </c>
      <c r="Y102" s="2905">
        <f t="shared" si="24"/>
        <v>6500</v>
      </c>
      <c r="Z102" s="2905">
        <f t="shared" si="24"/>
        <v>6500</v>
      </c>
      <c r="AA102" s="2905">
        <f t="shared" si="24"/>
        <v>6500</v>
      </c>
      <c r="AB102" s="2905">
        <f t="shared" si="24"/>
        <v>6500</v>
      </c>
      <c r="AC102" s="2905">
        <f t="shared" si="24"/>
        <v>6500</v>
      </c>
      <c r="AD102" s="2643"/>
    </row>
    <row r="103" spans="2:30" ht="14.25" thickBot="1" x14ac:dyDescent="0.3">
      <c r="B103" s="4988"/>
      <c r="C103" s="5012"/>
      <c r="D103" s="4999"/>
      <c r="E103" s="2907"/>
      <c r="F103" s="3481"/>
      <c r="G103" s="2909"/>
      <c r="H103" s="3515"/>
      <c r="I103" s="2908"/>
      <c r="J103" s="2897"/>
      <c r="K103" s="3480"/>
      <c r="L103" s="2898"/>
      <c r="M103" s="2898"/>
      <c r="N103" s="2898"/>
      <c r="O103" s="2898"/>
      <c r="P103" s="2905"/>
      <c r="Q103" s="2905"/>
      <c r="R103" s="2905">
        <f t="shared" si="24"/>
        <v>0</v>
      </c>
      <c r="S103" s="2905">
        <f t="shared" si="24"/>
        <v>0</v>
      </c>
      <c r="T103" s="2905">
        <f t="shared" si="24"/>
        <v>0</v>
      </c>
      <c r="U103" s="2905">
        <f t="shared" si="24"/>
        <v>0</v>
      </c>
      <c r="V103" s="2905">
        <f t="shared" si="24"/>
        <v>0</v>
      </c>
      <c r="W103" s="2905">
        <f t="shared" si="24"/>
        <v>0</v>
      </c>
      <c r="X103" s="2905">
        <f t="shared" si="24"/>
        <v>0</v>
      </c>
      <c r="Y103" s="2905">
        <f t="shared" si="24"/>
        <v>0</v>
      </c>
      <c r="Z103" s="2905">
        <f t="shared" si="24"/>
        <v>0</v>
      </c>
      <c r="AA103" s="2905">
        <f t="shared" si="24"/>
        <v>0</v>
      </c>
      <c r="AB103" s="2905">
        <f t="shared" si="24"/>
        <v>0</v>
      </c>
      <c r="AC103" s="2905">
        <f t="shared" si="24"/>
        <v>0</v>
      </c>
      <c r="AD103" s="2643"/>
    </row>
    <row r="104" spans="2:30" ht="14.25" thickBot="1" x14ac:dyDescent="0.3">
      <c r="B104" s="4988"/>
      <c r="C104" s="5012"/>
      <c r="D104" s="4999"/>
      <c r="E104" s="2910" t="s">
        <v>5080</v>
      </c>
      <c r="F104" s="2890"/>
      <c r="G104" s="2907"/>
      <c r="H104" s="2918"/>
      <c r="I104" s="2917"/>
      <c r="J104" s="2889"/>
      <c r="K104" s="2895"/>
      <c r="L104" s="2898"/>
      <c r="M104" s="2898"/>
      <c r="N104" s="2898"/>
      <c r="O104" s="2898"/>
      <c r="P104" s="2905"/>
      <c r="Q104" s="2905"/>
      <c r="R104" s="2905">
        <f t="shared" si="24"/>
        <v>0</v>
      </c>
      <c r="S104" s="2905">
        <f t="shared" si="24"/>
        <v>0</v>
      </c>
      <c r="T104" s="2905">
        <f t="shared" si="24"/>
        <v>0</v>
      </c>
      <c r="U104" s="2905">
        <f t="shared" si="24"/>
        <v>0</v>
      </c>
      <c r="V104" s="2905">
        <f t="shared" si="24"/>
        <v>0</v>
      </c>
      <c r="W104" s="2905">
        <f t="shared" si="24"/>
        <v>0</v>
      </c>
      <c r="X104" s="2905">
        <f t="shared" si="24"/>
        <v>0</v>
      </c>
      <c r="Y104" s="2905">
        <f t="shared" si="24"/>
        <v>0</v>
      </c>
      <c r="Z104" s="2905">
        <f t="shared" si="24"/>
        <v>0</v>
      </c>
      <c r="AA104" s="2905">
        <f t="shared" si="24"/>
        <v>0</v>
      </c>
      <c r="AB104" s="2905">
        <f t="shared" si="24"/>
        <v>0</v>
      </c>
      <c r="AC104" s="2905">
        <f t="shared" si="24"/>
        <v>0</v>
      </c>
      <c r="AD104" s="2643"/>
    </row>
    <row r="105" spans="2:30" ht="14.25" thickBot="1" x14ac:dyDescent="0.3">
      <c r="B105" s="4988"/>
      <c r="C105" s="5012"/>
      <c r="D105" s="4999"/>
      <c r="E105" s="2907" t="s">
        <v>5081</v>
      </c>
      <c r="F105" s="2890" t="s">
        <v>5006</v>
      </c>
      <c r="G105" s="2895">
        <v>1</v>
      </c>
      <c r="H105" s="2916">
        <v>302.14999999999998</v>
      </c>
      <c r="I105" s="2917">
        <f t="shared" ref="I105:I109" si="27">G105*H105</f>
        <v>302.14999999999998</v>
      </c>
      <c r="J105" s="2889">
        <f>+I105</f>
        <v>302.14999999999998</v>
      </c>
      <c r="K105" s="2890" t="s">
        <v>5016</v>
      </c>
      <c r="L105" s="2898"/>
      <c r="M105" s="2898"/>
      <c r="N105" s="2898"/>
      <c r="O105" s="2898"/>
      <c r="P105" s="2905"/>
      <c r="Q105" s="2905"/>
      <c r="R105" s="2905">
        <f t="shared" si="24"/>
        <v>302.14999999999998</v>
      </c>
      <c r="S105" s="2905">
        <f t="shared" si="24"/>
        <v>302.14999999999998</v>
      </c>
      <c r="T105" s="2905">
        <f t="shared" si="24"/>
        <v>302.14999999999998</v>
      </c>
      <c r="U105" s="2905">
        <f t="shared" si="24"/>
        <v>302.14999999999998</v>
      </c>
      <c r="V105" s="2905">
        <f t="shared" si="24"/>
        <v>302.14999999999998</v>
      </c>
      <c r="W105" s="2905">
        <f t="shared" si="24"/>
        <v>302.14999999999998</v>
      </c>
      <c r="X105" s="2905">
        <f t="shared" si="24"/>
        <v>302.14999999999998</v>
      </c>
      <c r="Y105" s="2905">
        <f t="shared" si="24"/>
        <v>302.14999999999998</v>
      </c>
      <c r="Z105" s="2905">
        <f t="shared" si="24"/>
        <v>302.14999999999998</v>
      </c>
      <c r="AA105" s="2905">
        <f t="shared" si="24"/>
        <v>302.14999999999998</v>
      </c>
      <c r="AB105" s="2905">
        <f t="shared" si="24"/>
        <v>302.14999999999998</v>
      </c>
      <c r="AC105" s="2905">
        <f t="shared" si="24"/>
        <v>302.14999999999998</v>
      </c>
      <c r="AD105" s="2643"/>
    </row>
    <row r="106" spans="2:30" ht="14.25" thickBot="1" x14ac:dyDescent="0.3">
      <c r="B106" s="4988"/>
      <c r="C106" s="5012"/>
      <c r="D106" s="4999"/>
      <c r="E106" s="2907" t="s">
        <v>5082</v>
      </c>
      <c r="F106" s="2890" t="s">
        <v>5006</v>
      </c>
      <c r="G106" s="2895">
        <v>6</v>
      </c>
      <c r="H106" s="2916">
        <v>302.14999999999998</v>
      </c>
      <c r="I106" s="2917">
        <f t="shared" si="27"/>
        <v>1812.8999999999999</v>
      </c>
      <c r="J106" s="2889">
        <f t="shared" ref="J106:J111" si="28">+I106</f>
        <v>1812.8999999999999</v>
      </c>
      <c r="K106" s="2890" t="s">
        <v>5016</v>
      </c>
      <c r="L106" s="2898"/>
      <c r="M106" s="2898"/>
      <c r="N106" s="2898"/>
      <c r="O106" s="2898"/>
      <c r="P106" s="2905"/>
      <c r="Q106" s="2905"/>
      <c r="R106" s="2905">
        <f t="shared" si="24"/>
        <v>1812.8999999999999</v>
      </c>
      <c r="S106" s="2905">
        <f t="shared" si="24"/>
        <v>1812.8999999999999</v>
      </c>
      <c r="T106" s="2905">
        <f t="shared" si="24"/>
        <v>1812.8999999999999</v>
      </c>
      <c r="U106" s="2905">
        <f t="shared" si="24"/>
        <v>1812.8999999999999</v>
      </c>
      <c r="V106" s="2905">
        <f t="shared" si="24"/>
        <v>1812.8999999999999</v>
      </c>
      <c r="W106" s="2905">
        <f t="shared" si="24"/>
        <v>1812.8999999999999</v>
      </c>
      <c r="X106" s="2905">
        <f t="shared" si="24"/>
        <v>1812.8999999999999</v>
      </c>
      <c r="Y106" s="2905">
        <f t="shared" si="24"/>
        <v>1812.8999999999999</v>
      </c>
      <c r="Z106" s="2905">
        <f t="shared" si="24"/>
        <v>1812.8999999999999</v>
      </c>
      <c r="AA106" s="2905">
        <f t="shared" si="24"/>
        <v>1812.8999999999999</v>
      </c>
      <c r="AB106" s="2905">
        <f t="shared" si="24"/>
        <v>1812.8999999999999</v>
      </c>
      <c r="AC106" s="2905">
        <f t="shared" si="24"/>
        <v>1812.8999999999999</v>
      </c>
      <c r="AD106" s="2643"/>
    </row>
    <row r="107" spans="2:30" ht="14.25" thickBot="1" x14ac:dyDescent="0.3">
      <c r="B107" s="4988"/>
      <c r="C107" s="5012"/>
      <c r="D107" s="4999"/>
      <c r="E107" s="2907" t="s">
        <v>5083</v>
      </c>
      <c r="F107" s="2890" t="s">
        <v>5006</v>
      </c>
      <c r="G107" s="2895">
        <v>1</v>
      </c>
      <c r="H107" s="2916">
        <v>302.14999999999998</v>
      </c>
      <c r="I107" s="2917">
        <f t="shared" si="27"/>
        <v>302.14999999999998</v>
      </c>
      <c r="J107" s="2889">
        <f t="shared" si="28"/>
        <v>302.14999999999998</v>
      </c>
      <c r="K107" s="2890" t="s">
        <v>5016</v>
      </c>
      <c r="L107" s="2898"/>
      <c r="M107" s="2898"/>
      <c r="N107" s="2898"/>
      <c r="O107" s="2898"/>
      <c r="P107" s="2905"/>
      <c r="Q107" s="2905"/>
      <c r="R107" s="2905">
        <f t="shared" si="24"/>
        <v>302.14999999999998</v>
      </c>
      <c r="S107" s="2905">
        <f t="shared" si="24"/>
        <v>302.14999999999998</v>
      </c>
      <c r="T107" s="2905">
        <f t="shared" si="24"/>
        <v>302.14999999999998</v>
      </c>
      <c r="U107" s="2905">
        <f t="shared" si="24"/>
        <v>302.14999999999998</v>
      </c>
      <c r="V107" s="2905">
        <f t="shared" si="24"/>
        <v>302.14999999999998</v>
      </c>
      <c r="W107" s="2905">
        <f t="shared" si="24"/>
        <v>302.14999999999998</v>
      </c>
      <c r="X107" s="2905">
        <f t="shared" si="24"/>
        <v>302.14999999999998</v>
      </c>
      <c r="Y107" s="2905">
        <f t="shared" si="24"/>
        <v>302.14999999999998</v>
      </c>
      <c r="Z107" s="2905">
        <f t="shared" si="24"/>
        <v>302.14999999999998</v>
      </c>
      <c r="AA107" s="2905">
        <f t="shared" si="24"/>
        <v>302.14999999999998</v>
      </c>
      <c r="AB107" s="2905">
        <f t="shared" si="24"/>
        <v>302.14999999999998</v>
      </c>
      <c r="AC107" s="2905">
        <f t="shared" si="24"/>
        <v>302.14999999999998</v>
      </c>
      <c r="AD107" s="2643"/>
    </row>
    <row r="108" spans="2:30" ht="14.25" thickBot="1" x14ac:dyDescent="0.3">
      <c r="B108" s="4988"/>
      <c r="C108" s="5012"/>
      <c r="D108" s="4999"/>
      <c r="E108" s="2907" t="s">
        <v>5084</v>
      </c>
      <c r="F108" s="2890" t="s">
        <v>5006</v>
      </c>
      <c r="G108" s="2895">
        <v>35</v>
      </c>
      <c r="H108" s="2916">
        <v>691.65</v>
      </c>
      <c r="I108" s="2917">
        <f t="shared" si="27"/>
        <v>24207.75</v>
      </c>
      <c r="J108" s="2889">
        <f t="shared" si="28"/>
        <v>24207.75</v>
      </c>
      <c r="K108" s="2890" t="s">
        <v>5016</v>
      </c>
      <c r="L108" s="2898"/>
      <c r="M108" s="2898"/>
      <c r="N108" s="2898"/>
      <c r="O108" s="2898"/>
      <c r="P108" s="2905"/>
      <c r="Q108" s="2905"/>
      <c r="R108" s="2905">
        <f t="shared" si="24"/>
        <v>24207.75</v>
      </c>
      <c r="S108" s="2905">
        <f t="shared" si="24"/>
        <v>24207.75</v>
      </c>
      <c r="T108" s="2905">
        <f t="shared" si="24"/>
        <v>24207.75</v>
      </c>
      <c r="U108" s="2905">
        <f t="shared" si="24"/>
        <v>24207.75</v>
      </c>
      <c r="V108" s="2905">
        <f t="shared" si="24"/>
        <v>24207.75</v>
      </c>
      <c r="W108" s="2905">
        <f t="shared" si="24"/>
        <v>24207.75</v>
      </c>
      <c r="X108" s="2905">
        <f t="shared" si="24"/>
        <v>24207.75</v>
      </c>
      <c r="Y108" s="2905">
        <f t="shared" si="24"/>
        <v>24207.75</v>
      </c>
      <c r="Z108" s="2905">
        <f t="shared" si="24"/>
        <v>24207.75</v>
      </c>
      <c r="AA108" s="2905">
        <f t="shared" si="24"/>
        <v>24207.75</v>
      </c>
      <c r="AB108" s="2905">
        <f t="shared" si="24"/>
        <v>24207.75</v>
      </c>
      <c r="AC108" s="2905">
        <f t="shared" si="24"/>
        <v>24207.75</v>
      </c>
      <c r="AD108" s="2643"/>
    </row>
    <row r="109" spans="2:30" ht="14.25" thickBot="1" x14ac:dyDescent="0.3">
      <c r="B109" s="4988"/>
      <c r="C109" s="5012"/>
      <c r="D109" s="4999"/>
      <c r="E109" s="2907" t="s">
        <v>5084</v>
      </c>
      <c r="F109" s="2890" t="s">
        <v>5006</v>
      </c>
      <c r="G109" s="2895">
        <v>35</v>
      </c>
      <c r="H109" s="2916">
        <v>691.65</v>
      </c>
      <c r="I109" s="2917">
        <f t="shared" si="27"/>
        <v>24207.75</v>
      </c>
      <c r="J109" s="2889">
        <f t="shared" si="28"/>
        <v>24207.75</v>
      </c>
      <c r="K109" s="2890" t="s">
        <v>5016</v>
      </c>
      <c r="L109" s="2898"/>
      <c r="M109" s="2898"/>
      <c r="N109" s="2898"/>
      <c r="O109" s="2898"/>
      <c r="P109" s="2905"/>
      <c r="Q109" s="2905"/>
      <c r="R109" s="2905">
        <f t="shared" si="24"/>
        <v>24207.75</v>
      </c>
      <c r="S109" s="2905">
        <f t="shared" si="24"/>
        <v>24207.75</v>
      </c>
      <c r="T109" s="2905">
        <f t="shared" si="24"/>
        <v>24207.75</v>
      </c>
      <c r="U109" s="2905">
        <f t="shared" si="24"/>
        <v>24207.75</v>
      </c>
      <c r="V109" s="2905">
        <f t="shared" si="24"/>
        <v>24207.75</v>
      </c>
      <c r="W109" s="2905">
        <f t="shared" si="24"/>
        <v>24207.75</v>
      </c>
      <c r="X109" s="2905">
        <f t="shared" si="24"/>
        <v>24207.75</v>
      </c>
      <c r="Y109" s="2905">
        <f t="shared" si="24"/>
        <v>24207.75</v>
      </c>
      <c r="Z109" s="2905">
        <f t="shared" si="24"/>
        <v>24207.75</v>
      </c>
      <c r="AA109" s="2905">
        <f t="shared" si="24"/>
        <v>24207.75</v>
      </c>
      <c r="AB109" s="2905">
        <f t="shared" si="24"/>
        <v>24207.75</v>
      </c>
      <c r="AC109" s="2905">
        <f t="shared" si="24"/>
        <v>24207.75</v>
      </c>
      <c r="AD109" s="2643"/>
    </row>
    <row r="110" spans="2:30" ht="14.25" thickBot="1" x14ac:dyDescent="0.3">
      <c r="B110" s="4988"/>
      <c r="C110" s="5012"/>
      <c r="D110" s="4999"/>
      <c r="E110" s="2910" t="s">
        <v>5085</v>
      </c>
      <c r="F110" s="2911"/>
      <c r="G110" s="2919"/>
      <c r="H110" s="2913"/>
      <c r="I110" s="2914"/>
      <c r="J110" s="2915">
        <f t="shared" si="28"/>
        <v>0</v>
      </c>
      <c r="K110" s="2912"/>
      <c r="L110" s="2898"/>
      <c r="M110" s="2898"/>
      <c r="N110" s="2898"/>
      <c r="O110" s="2898"/>
      <c r="P110" s="2905"/>
      <c r="Q110" s="2905"/>
      <c r="R110" s="2905">
        <f t="shared" si="24"/>
        <v>0</v>
      </c>
      <c r="S110" s="2905">
        <f t="shared" si="24"/>
        <v>0</v>
      </c>
      <c r="T110" s="2905">
        <f t="shared" si="24"/>
        <v>0</v>
      </c>
      <c r="U110" s="2905">
        <f t="shared" si="24"/>
        <v>0</v>
      </c>
      <c r="V110" s="2905">
        <f t="shared" si="24"/>
        <v>0</v>
      </c>
      <c r="W110" s="2905">
        <f t="shared" si="24"/>
        <v>0</v>
      </c>
      <c r="X110" s="2905">
        <f t="shared" si="24"/>
        <v>0</v>
      </c>
      <c r="Y110" s="2905">
        <f t="shared" si="24"/>
        <v>0</v>
      </c>
      <c r="Z110" s="2905">
        <f t="shared" si="24"/>
        <v>0</v>
      </c>
      <c r="AA110" s="2905">
        <f t="shared" si="24"/>
        <v>0</v>
      </c>
      <c r="AB110" s="2905">
        <f t="shared" si="24"/>
        <v>0</v>
      </c>
      <c r="AC110" s="2905">
        <f t="shared" si="24"/>
        <v>0</v>
      </c>
      <c r="AD110" s="2643"/>
    </row>
    <row r="111" spans="2:30" ht="14.25" thickBot="1" x14ac:dyDescent="0.3">
      <c r="B111" s="4988"/>
      <c r="C111" s="5012"/>
      <c r="D111" s="4999"/>
      <c r="E111" s="2907" t="s">
        <v>5086</v>
      </c>
      <c r="F111" s="2890"/>
      <c r="G111" s="2895">
        <v>7</v>
      </c>
      <c r="H111" s="2916">
        <v>1375.2</v>
      </c>
      <c r="I111" s="2917">
        <f t="shared" ref="I111" si="29">G111*H111</f>
        <v>9626.4</v>
      </c>
      <c r="J111" s="2889">
        <f t="shared" si="28"/>
        <v>9626.4</v>
      </c>
      <c r="K111" s="2890" t="s">
        <v>5016</v>
      </c>
      <c r="L111" s="2898"/>
      <c r="M111" s="2898"/>
      <c r="N111" s="2898"/>
      <c r="O111" s="2898"/>
      <c r="P111" s="2905"/>
      <c r="Q111" s="2905"/>
      <c r="R111" s="2905">
        <f t="shared" si="24"/>
        <v>9626.4</v>
      </c>
      <c r="S111" s="2905">
        <f t="shared" si="24"/>
        <v>9626.4</v>
      </c>
      <c r="T111" s="2905">
        <f t="shared" si="24"/>
        <v>9626.4</v>
      </c>
      <c r="U111" s="2905">
        <f t="shared" si="24"/>
        <v>9626.4</v>
      </c>
      <c r="V111" s="2905">
        <f t="shared" si="24"/>
        <v>9626.4</v>
      </c>
      <c r="W111" s="2905">
        <f t="shared" si="24"/>
        <v>9626.4</v>
      </c>
      <c r="X111" s="2905">
        <f t="shared" si="24"/>
        <v>9626.4</v>
      </c>
      <c r="Y111" s="2905">
        <f t="shared" si="24"/>
        <v>9626.4</v>
      </c>
      <c r="Z111" s="2905">
        <f t="shared" si="24"/>
        <v>9626.4</v>
      </c>
      <c r="AA111" s="2905">
        <f t="shared" si="24"/>
        <v>9626.4</v>
      </c>
      <c r="AB111" s="2905">
        <f t="shared" si="24"/>
        <v>9626.4</v>
      </c>
      <c r="AC111" s="2905">
        <f t="shared" si="24"/>
        <v>9626.4</v>
      </c>
      <c r="AD111" s="2643"/>
    </row>
    <row r="112" spans="2:30" ht="14.25" thickBot="1" x14ac:dyDescent="0.3">
      <c r="B112" s="4988"/>
      <c r="C112" s="5012"/>
      <c r="D112" s="4999"/>
      <c r="E112" s="2910"/>
      <c r="F112" s="2911"/>
      <c r="G112" s="2912"/>
      <c r="H112" s="2913"/>
      <c r="I112" s="2914"/>
      <c r="J112" s="2915"/>
      <c r="K112" s="2912"/>
      <c r="L112" s="2898"/>
      <c r="M112" s="2898"/>
      <c r="N112" s="2898"/>
      <c r="O112" s="2898"/>
      <c r="P112" s="2905"/>
      <c r="Q112" s="2905"/>
      <c r="R112" s="2905">
        <f t="shared" si="24"/>
        <v>0</v>
      </c>
      <c r="S112" s="2905">
        <f t="shared" si="24"/>
        <v>0</v>
      </c>
      <c r="T112" s="2905">
        <f t="shared" si="24"/>
        <v>0</v>
      </c>
      <c r="U112" s="2905">
        <f t="shared" si="24"/>
        <v>0</v>
      </c>
      <c r="V112" s="2905">
        <f t="shared" si="24"/>
        <v>0</v>
      </c>
      <c r="W112" s="2905">
        <f t="shared" si="24"/>
        <v>0</v>
      </c>
      <c r="X112" s="2905">
        <f t="shared" si="24"/>
        <v>0</v>
      </c>
      <c r="Y112" s="2905">
        <f t="shared" si="24"/>
        <v>0</v>
      </c>
      <c r="Z112" s="2905">
        <f t="shared" si="24"/>
        <v>0</v>
      </c>
      <c r="AA112" s="2905">
        <f t="shared" si="24"/>
        <v>0</v>
      </c>
      <c r="AB112" s="2905">
        <f t="shared" si="24"/>
        <v>0</v>
      </c>
      <c r="AC112" s="2905">
        <f t="shared" si="24"/>
        <v>0</v>
      </c>
      <c r="AD112" s="2643"/>
    </row>
    <row r="113" spans="2:30" ht="14.25" thickBot="1" x14ac:dyDescent="0.3">
      <c r="B113" s="4988"/>
      <c r="C113" s="5012"/>
      <c r="D113" s="4999"/>
      <c r="E113" s="2907"/>
      <c r="F113" s="2890"/>
      <c r="G113" s="2895"/>
      <c r="H113" s="2916"/>
      <c r="I113" s="2917"/>
      <c r="J113" s="2889"/>
      <c r="K113" s="2890"/>
      <c r="L113" s="2898"/>
      <c r="M113" s="2898"/>
      <c r="N113" s="2898"/>
      <c r="O113" s="2898"/>
      <c r="P113" s="2905"/>
      <c r="Q113" s="2905"/>
      <c r="R113" s="2905">
        <f t="shared" si="24"/>
        <v>0</v>
      </c>
      <c r="S113" s="2905">
        <f t="shared" si="24"/>
        <v>0</v>
      </c>
      <c r="T113" s="2905">
        <f t="shared" si="24"/>
        <v>0</v>
      </c>
      <c r="U113" s="2905">
        <f t="shared" si="24"/>
        <v>0</v>
      </c>
      <c r="V113" s="2905">
        <f t="shared" si="24"/>
        <v>0</v>
      </c>
      <c r="W113" s="2905">
        <f t="shared" si="24"/>
        <v>0</v>
      </c>
      <c r="X113" s="2905">
        <f t="shared" si="24"/>
        <v>0</v>
      </c>
      <c r="Y113" s="2905">
        <f t="shared" si="24"/>
        <v>0</v>
      </c>
      <c r="Z113" s="2905">
        <f t="shared" si="24"/>
        <v>0</v>
      </c>
      <c r="AA113" s="2905">
        <f t="shared" si="24"/>
        <v>0</v>
      </c>
      <c r="AB113" s="2905">
        <f t="shared" si="24"/>
        <v>0</v>
      </c>
      <c r="AC113" s="2905">
        <f t="shared" si="24"/>
        <v>0</v>
      </c>
      <c r="AD113" s="2643"/>
    </row>
    <row r="114" spans="2:30" ht="14.25" thickBot="1" x14ac:dyDescent="0.3">
      <c r="B114" s="4988"/>
      <c r="C114" s="5012"/>
      <c r="D114" s="4999"/>
      <c r="E114" s="2907"/>
      <c r="F114" s="3481"/>
      <c r="G114" s="2909"/>
      <c r="H114" s="3515"/>
      <c r="I114" s="2908"/>
      <c r="J114" s="2897"/>
      <c r="K114" s="3480"/>
      <c r="L114" s="2898"/>
      <c r="M114" s="2898"/>
      <c r="N114" s="2898"/>
      <c r="O114" s="2898"/>
      <c r="P114" s="2905"/>
      <c r="Q114" s="2905"/>
      <c r="R114" s="2905"/>
      <c r="S114" s="2905"/>
      <c r="T114" s="2905"/>
      <c r="U114" s="2905"/>
      <c r="V114" s="2905"/>
      <c r="W114" s="2905"/>
      <c r="X114" s="2905"/>
      <c r="Y114" s="2905"/>
      <c r="Z114" s="2905"/>
      <c r="AA114" s="2905"/>
      <c r="AB114" s="2905"/>
      <c r="AC114" s="2905"/>
      <c r="AD114" s="2643"/>
    </row>
    <row r="115" spans="2:30" ht="14.25" thickBot="1" x14ac:dyDescent="0.3">
      <c r="B115" s="4988"/>
      <c r="C115" s="5012"/>
      <c r="D115" s="5002" t="s">
        <v>4272</v>
      </c>
      <c r="E115" s="2955"/>
      <c r="F115" s="3474"/>
      <c r="G115" s="2983"/>
      <c r="H115" s="2956"/>
      <c r="I115" s="2957"/>
      <c r="J115" s="2958">
        <f>SUM(J116:J118)</f>
        <v>5200</v>
      </c>
      <c r="K115" s="3474"/>
      <c r="L115" s="2959"/>
      <c r="M115" s="2960"/>
      <c r="N115" s="2960"/>
      <c r="O115" s="2960"/>
      <c r="P115" s="2961"/>
      <c r="Q115" s="2961"/>
      <c r="R115" s="2961">
        <f t="shared" ref="R115:AC115" si="30">SUM(R116:R118)</f>
        <v>5200</v>
      </c>
      <c r="S115" s="2961">
        <f t="shared" si="30"/>
        <v>5200</v>
      </c>
      <c r="T115" s="2961">
        <f t="shared" si="30"/>
        <v>5200</v>
      </c>
      <c r="U115" s="2961">
        <f t="shared" si="30"/>
        <v>5200</v>
      </c>
      <c r="V115" s="2961">
        <f t="shared" si="30"/>
        <v>5200</v>
      </c>
      <c r="W115" s="2961">
        <f t="shared" si="30"/>
        <v>5200</v>
      </c>
      <c r="X115" s="2961">
        <f t="shared" si="30"/>
        <v>5200</v>
      </c>
      <c r="Y115" s="2961">
        <f t="shared" si="30"/>
        <v>5200</v>
      </c>
      <c r="Z115" s="2961">
        <f t="shared" si="30"/>
        <v>5200</v>
      </c>
      <c r="AA115" s="2961">
        <f t="shared" si="30"/>
        <v>5200</v>
      </c>
      <c r="AB115" s="2961">
        <f t="shared" si="30"/>
        <v>5200</v>
      </c>
      <c r="AC115" s="2961">
        <f t="shared" si="30"/>
        <v>5200</v>
      </c>
      <c r="AD115" s="2643"/>
    </row>
    <row r="116" spans="2:30" ht="14.25" thickBot="1" x14ac:dyDescent="0.3">
      <c r="B116" s="4988"/>
      <c r="C116" s="5012"/>
      <c r="D116" s="5002"/>
      <c r="E116" s="2980" t="s">
        <v>5076</v>
      </c>
      <c r="F116" s="2962"/>
      <c r="G116" s="2965"/>
      <c r="H116" s="2981"/>
      <c r="I116" s="2982"/>
      <c r="J116" s="2964"/>
      <c r="K116" s="2965"/>
      <c r="L116" s="2966"/>
      <c r="M116" s="2966"/>
      <c r="N116" s="2966"/>
      <c r="O116" s="2966"/>
      <c r="P116" s="2966"/>
      <c r="Q116" s="2966"/>
      <c r="R116" s="2966"/>
      <c r="S116" s="2967"/>
      <c r="T116" s="2967"/>
      <c r="U116" s="2967"/>
      <c r="V116" s="2967"/>
      <c r="W116" s="2967"/>
      <c r="X116" s="2967"/>
      <c r="Y116" s="2967"/>
      <c r="Z116" s="2967"/>
      <c r="AA116" s="2967"/>
      <c r="AB116" s="2967"/>
      <c r="AC116" s="2967"/>
      <c r="AD116" s="2643"/>
    </row>
    <row r="117" spans="2:30" ht="14.25" thickBot="1" x14ac:dyDescent="0.3">
      <c r="B117" s="4988"/>
      <c r="C117" s="5012"/>
      <c r="D117" s="5002"/>
      <c r="E117" s="2976" t="s">
        <v>5087</v>
      </c>
      <c r="F117" s="2962"/>
      <c r="G117" s="2965">
        <v>8</v>
      </c>
      <c r="H117" s="2981">
        <v>650</v>
      </c>
      <c r="I117" s="2982">
        <f t="shared" ref="I117" si="31">G117*H117</f>
        <v>5200</v>
      </c>
      <c r="J117" s="2964">
        <f t="shared" ref="J117" si="32">I117</f>
        <v>5200</v>
      </c>
      <c r="K117" s="2965" t="s">
        <v>5034</v>
      </c>
      <c r="L117" s="2966"/>
      <c r="M117" s="2966"/>
      <c r="N117" s="2966"/>
      <c r="O117" s="2966"/>
      <c r="P117" s="2978"/>
      <c r="Q117" s="2978"/>
      <c r="R117" s="2978">
        <f t="shared" ref="R117:AC117" si="33">$J117</f>
        <v>5200</v>
      </c>
      <c r="S117" s="2978">
        <f t="shared" si="33"/>
        <v>5200</v>
      </c>
      <c r="T117" s="2978">
        <f t="shared" si="33"/>
        <v>5200</v>
      </c>
      <c r="U117" s="2978">
        <f t="shared" si="33"/>
        <v>5200</v>
      </c>
      <c r="V117" s="2978">
        <f t="shared" si="33"/>
        <v>5200</v>
      </c>
      <c r="W117" s="2978">
        <f t="shared" si="33"/>
        <v>5200</v>
      </c>
      <c r="X117" s="2978">
        <f t="shared" si="33"/>
        <v>5200</v>
      </c>
      <c r="Y117" s="2978">
        <f t="shared" si="33"/>
        <v>5200</v>
      </c>
      <c r="Z117" s="2978">
        <f t="shared" si="33"/>
        <v>5200</v>
      </c>
      <c r="AA117" s="2978">
        <f t="shared" si="33"/>
        <v>5200</v>
      </c>
      <c r="AB117" s="2978">
        <f t="shared" si="33"/>
        <v>5200</v>
      </c>
      <c r="AC117" s="2978">
        <f t="shared" si="33"/>
        <v>5200</v>
      </c>
      <c r="AD117" s="2643"/>
    </row>
    <row r="118" spans="2:30" ht="14.25" thickBot="1" x14ac:dyDescent="0.3">
      <c r="B118" s="4988"/>
      <c r="C118" s="5012"/>
      <c r="D118" s="5002"/>
      <c r="E118" s="2976"/>
      <c r="F118" s="2971"/>
      <c r="G118" s="2979"/>
      <c r="H118" s="3516"/>
      <c r="I118" s="2977"/>
      <c r="J118" s="2972"/>
      <c r="K118" s="2973"/>
      <c r="L118" s="2966"/>
      <c r="M118" s="2966"/>
      <c r="N118" s="2966"/>
      <c r="O118" s="2966"/>
      <c r="P118" s="2978"/>
      <c r="Q118" s="2978"/>
      <c r="R118" s="2978"/>
      <c r="S118" s="2978"/>
      <c r="T118" s="2978"/>
      <c r="U118" s="2978"/>
      <c r="V118" s="2978"/>
      <c r="W118" s="2978"/>
      <c r="X118" s="2978"/>
      <c r="Y118" s="2978"/>
      <c r="Z118" s="2978"/>
      <c r="AA118" s="2978"/>
      <c r="AB118" s="2978"/>
      <c r="AC118" s="2978"/>
      <c r="AD118" s="2643"/>
    </row>
    <row r="119" spans="2:30" ht="14.25" thickBot="1" x14ac:dyDescent="0.3">
      <c r="B119" s="4988"/>
      <c r="C119" s="3517" t="s">
        <v>5043</v>
      </c>
      <c r="D119" s="3518"/>
      <c r="E119" s="3519"/>
      <c r="F119" s="3517"/>
      <c r="G119" s="3517"/>
      <c r="H119" s="3520"/>
      <c r="I119" s="3521"/>
      <c r="J119" s="3522">
        <f>SUM(J98,J115)</f>
        <v>72785.34</v>
      </c>
      <c r="K119" s="3523"/>
      <c r="L119" s="3524"/>
      <c r="M119" s="3524"/>
      <c r="N119" s="3524"/>
      <c r="O119" s="3524"/>
      <c r="P119" s="3525"/>
      <c r="Q119" s="3525"/>
      <c r="R119" s="3525">
        <f t="shared" ref="R119:AC119" si="34">R115+R98</f>
        <v>72785.34</v>
      </c>
      <c r="S119" s="3525">
        <f t="shared" si="34"/>
        <v>72785.34</v>
      </c>
      <c r="T119" s="3525">
        <f t="shared" si="34"/>
        <v>72785.34</v>
      </c>
      <c r="U119" s="3525">
        <f t="shared" si="34"/>
        <v>72785.34</v>
      </c>
      <c r="V119" s="3525">
        <f t="shared" si="34"/>
        <v>72785.34</v>
      </c>
      <c r="W119" s="3525">
        <f t="shared" si="34"/>
        <v>72785.34</v>
      </c>
      <c r="X119" s="3525">
        <f t="shared" si="34"/>
        <v>72785.34</v>
      </c>
      <c r="Y119" s="3525">
        <f t="shared" si="34"/>
        <v>72785.34</v>
      </c>
      <c r="Z119" s="3525">
        <f t="shared" si="34"/>
        <v>72785.34</v>
      </c>
      <c r="AA119" s="3525">
        <f t="shared" si="34"/>
        <v>72785.34</v>
      </c>
      <c r="AB119" s="3525">
        <f t="shared" si="34"/>
        <v>72785.34</v>
      </c>
      <c r="AC119" s="3525">
        <f t="shared" si="34"/>
        <v>72785.34</v>
      </c>
      <c r="AD119" s="2643"/>
    </row>
    <row r="120" spans="2:30" ht="27.75" thickBot="1" x14ac:dyDescent="0.3">
      <c r="B120" s="4988"/>
      <c r="C120" s="3517" t="s">
        <v>5044</v>
      </c>
      <c r="D120" s="3518"/>
      <c r="E120" s="3519"/>
      <c r="F120" s="3517"/>
      <c r="G120" s="3517"/>
      <c r="H120" s="3520"/>
      <c r="I120" s="3521"/>
      <c r="J120" s="3521"/>
      <c r="K120" s="3523"/>
      <c r="L120" s="3526">
        <f>+J119</f>
        <v>72785.34</v>
      </c>
      <c r="M120" s="3524"/>
      <c r="N120" s="3524"/>
      <c r="O120" s="3524"/>
      <c r="P120" s="3527"/>
      <c r="Q120" s="3527"/>
      <c r="R120" s="3527">
        <f>R119/$L$120</f>
        <v>1</v>
      </c>
      <c r="S120" s="3527">
        <f t="shared" ref="S120:AC120" si="35">S119/$L$120</f>
        <v>1</v>
      </c>
      <c r="T120" s="3527">
        <f t="shared" si="35"/>
        <v>1</v>
      </c>
      <c r="U120" s="3527">
        <f t="shared" si="35"/>
        <v>1</v>
      </c>
      <c r="V120" s="3527">
        <f t="shared" si="35"/>
        <v>1</v>
      </c>
      <c r="W120" s="3527">
        <f t="shared" si="35"/>
        <v>1</v>
      </c>
      <c r="X120" s="3527">
        <f t="shared" si="35"/>
        <v>1</v>
      </c>
      <c r="Y120" s="3527">
        <f t="shared" si="35"/>
        <v>1</v>
      </c>
      <c r="Z120" s="3527">
        <f t="shared" si="35"/>
        <v>1</v>
      </c>
      <c r="AA120" s="3527">
        <f t="shared" si="35"/>
        <v>1</v>
      </c>
      <c r="AB120" s="3527">
        <f t="shared" si="35"/>
        <v>1</v>
      </c>
      <c r="AC120" s="3527">
        <f t="shared" si="35"/>
        <v>1</v>
      </c>
      <c r="AD120" s="2643"/>
    </row>
    <row r="121" spans="2:30" ht="14.25" thickBot="1" x14ac:dyDescent="0.3">
      <c r="B121" s="4988"/>
      <c r="C121" s="4989" t="s">
        <v>5882</v>
      </c>
      <c r="D121" s="4999" t="s">
        <v>4271</v>
      </c>
      <c r="E121" s="3529"/>
      <c r="F121" s="3530"/>
      <c r="G121" s="3530"/>
      <c r="H121" s="3531"/>
      <c r="I121" s="3532"/>
      <c r="J121" s="3533">
        <f>SUM(J122:J141)</f>
        <v>36185.86</v>
      </c>
      <c r="K121" s="3530"/>
      <c r="L121" s="3534"/>
      <c r="M121" s="3535"/>
      <c r="N121" s="3535"/>
      <c r="O121" s="3535"/>
      <c r="P121" s="3536"/>
      <c r="Q121" s="3536"/>
      <c r="R121" s="3536">
        <f t="shared" ref="R121:AC121" si="36">SUM(R122:R141)</f>
        <v>36185.86</v>
      </c>
      <c r="S121" s="3536">
        <f t="shared" si="36"/>
        <v>36185.86</v>
      </c>
      <c r="T121" s="3536">
        <f t="shared" si="36"/>
        <v>36185.86</v>
      </c>
      <c r="U121" s="3536">
        <f t="shared" si="36"/>
        <v>36185.86</v>
      </c>
      <c r="V121" s="3536">
        <f t="shared" si="36"/>
        <v>36185.86</v>
      </c>
      <c r="W121" s="3536">
        <f t="shared" si="36"/>
        <v>36185.86</v>
      </c>
      <c r="X121" s="3536">
        <f t="shared" si="36"/>
        <v>36185.86</v>
      </c>
      <c r="Y121" s="3536">
        <f t="shared" si="36"/>
        <v>36185.86</v>
      </c>
      <c r="Z121" s="3536">
        <f t="shared" si="36"/>
        <v>36185.86</v>
      </c>
      <c r="AA121" s="3536">
        <f t="shared" si="36"/>
        <v>36185.86</v>
      </c>
      <c r="AB121" s="3536">
        <f t="shared" si="36"/>
        <v>36185.86</v>
      </c>
      <c r="AC121" s="3536">
        <f t="shared" si="36"/>
        <v>36185.86</v>
      </c>
      <c r="AD121" s="2643"/>
    </row>
    <row r="122" spans="2:30" ht="14.25" thickBot="1" x14ac:dyDescent="0.3">
      <c r="B122" s="4988"/>
      <c r="C122" s="4989"/>
      <c r="D122" s="4999"/>
      <c r="E122" s="3555" t="s">
        <v>5885</v>
      </c>
      <c r="F122" s="3546"/>
      <c r="G122" s="3547"/>
      <c r="H122" s="3548"/>
      <c r="I122" s="3545"/>
      <c r="J122" s="3549"/>
      <c r="K122" s="3539"/>
      <c r="L122" s="3537"/>
      <c r="M122" s="3537"/>
      <c r="N122" s="3537"/>
      <c r="O122" s="3537"/>
      <c r="P122" s="3550"/>
      <c r="Q122" s="3550"/>
      <c r="R122" s="3550"/>
      <c r="S122" s="3550"/>
      <c r="T122" s="3550"/>
      <c r="U122" s="3550"/>
      <c r="V122" s="3550"/>
      <c r="W122" s="3550"/>
      <c r="X122" s="3550"/>
      <c r="Y122" s="3550"/>
      <c r="Z122" s="3550"/>
      <c r="AA122" s="3550"/>
      <c r="AB122" s="3550"/>
      <c r="AC122" s="3550"/>
      <c r="AD122" s="2643"/>
    </row>
    <row r="123" spans="2:30" ht="14.25" thickBot="1" x14ac:dyDescent="0.3">
      <c r="B123" s="4988"/>
      <c r="C123" s="4989"/>
      <c r="D123" s="4999"/>
      <c r="E123" s="3551" t="s">
        <v>5886</v>
      </c>
      <c r="F123" s="3546" t="s">
        <v>5006</v>
      </c>
      <c r="G123" s="3547">
        <v>0.25</v>
      </c>
      <c r="H123" s="3552">
        <v>18000</v>
      </c>
      <c r="I123" s="3541">
        <f t="shared" ref="I123:I140" si="37">G123*H123</f>
        <v>4500</v>
      </c>
      <c r="J123" s="3549">
        <f>I123</f>
        <v>4500</v>
      </c>
      <c r="K123" s="3539" t="s">
        <v>5034</v>
      </c>
      <c r="L123" s="3537"/>
      <c r="M123" s="3537"/>
      <c r="N123" s="3537"/>
      <c r="O123" s="3537"/>
      <c r="P123" s="3550"/>
      <c r="Q123" s="3550"/>
      <c r="R123" s="3550">
        <f t="shared" ref="R123:AC138" si="38">$J123</f>
        <v>4500</v>
      </c>
      <c r="S123" s="3550">
        <f t="shared" si="38"/>
        <v>4500</v>
      </c>
      <c r="T123" s="3550">
        <f t="shared" si="38"/>
        <v>4500</v>
      </c>
      <c r="U123" s="3550">
        <f t="shared" si="38"/>
        <v>4500</v>
      </c>
      <c r="V123" s="3550">
        <f t="shared" si="38"/>
        <v>4500</v>
      </c>
      <c r="W123" s="3550">
        <f t="shared" si="38"/>
        <v>4500</v>
      </c>
      <c r="X123" s="3550">
        <f t="shared" si="38"/>
        <v>4500</v>
      </c>
      <c r="Y123" s="3550">
        <f t="shared" si="38"/>
        <v>4500</v>
      </c>
      <c r="Z123" s="3550">
        <f t="shared" si="38"/>
        <v>4500</v>
      </c>
      <c r="AA123" s="3550">
        <f t="shared" si="38"/>
        <v>4500</v>
      </c>
      <c r="AB123" s="3550">
        <f t="shared" si="38"/>
        <v>4500</v>
      </c>
      <c r="AC123" s="3550">
        <f t="shared" si="38"/>
        <v>4500</v>
      </c>
      <c r="AD123" s="2643"/>
    </row>
    <row r="124" spans="2:30" ht="14.25" thickBot="1" x14ac:dyDescent="0.3">
      <c r="B124" s="4988"/>
      <c r="C124" s="4989"/>
      <c r="D124" s="4999"/>
      <c r="E124" s="3551" t="s">
        <v>5887</v>
      </c>
      <c r="F124" s="3546" t="s">
        <v>5006</v>
      </c>
      <c r="G124" s="3547">
        <v>0.25</v>
      </c>
      <c r="H124" s="3552">
        <v>18000</v>
      </c>
      <c r="I124" s="3541">
        <f t="shared" si="37"/>
        <v>4500</v>
      </c>
      <c r="J124" s="3549">
        <f t="shared" ref="J124:J140" si="39">I124</f>
        <v>4500</v>
      </c>
      <c r="K124" s="3539" t="s">
        <v>5034</v>
      </c>
      <c r="L124" s="3537"/>
      <c r="M124" s="3537"/>
      <c r="N124" s="3537"/>
      <c r="O124" s="3537"/>
      <c r="P124" s="3550"/>
      <c r="Q124" s="3550"/>
      <c r="R124" s="3550">
        <f t="shared" si="38"/>
        <v>4500</v>
      </c>
      <c r="S124" s="3550">
        <f t="shared" si="38"/>
        <v>4500</v>
      </c>
      <c r="T124" s="3550">
        <f t="shared" si="38"/>
        <v>4500</v>
      </c>
      <c r="U124" s="3550">
        <f t="shared" si="38"/>
        <v>4500</v>
      </c>
      <c r="V124" s="3550">
        <f t="shared" si="38"/>
        <v>4500</v>
      </c>
      <c r="W124" s="3550">
        <f t="shared" si="38"/>
        <v>4500</v>
      </c>
      <c r="X124" s="3550">
        <f t="shared" si="38"/>
        <v>4500</v>
      </c>
      <c r="Y124" s="3550">
        <f t="shared" si="38"/>
        <v>4500</v>
      </c>
      <c r="Z124" s="3550">
        <f t="shared" si="38"/>
        <v>4500</v>
      </c>
      <c r="AA124" s="3550">
        <f t="shared" si="38"/>
        <v>4500</v>
      </c>
      <c r="AB124" s="3550">
        <f t="shared" si="38"/>
        <v>4500</v>
      </c>
      <c r="AC124" s="3550">
        <f t="shared" si="38"/>
        <v>4500</v>
      </c>
      <c r="AD124" s="2643"/>
    </row>
    <row r="125" spans="2:30" ht="14.25" thickBot="1" x14ac:dyDescent="0.3">
      <c r="B125" s="4988"/>
      <c r="C125" s="4989"/>
      <c r="D125" s="4999"/>
      <c r="E125" s="3555" t="s">
        <v>5888</v>
      </c>
      <c r="F125" s="3546"/>
      <c r="G125" s="3547"/>
      <c r="H125" s="3548"/>
      <c r="I125" s="3541"/>
      <c r="J125" s="3549"/>
      <c r="K125" s="3538"/>
      <c r="L125" s="3537"/>
      <c r="M125" s="3537"/>
      <c r="N125" s="3537"/>
      <c r="O125" s="3537"/>
      <c r="P125" s="3550"/>
      <c r="Q125" s="3550"/>
      <c r="R125" s="3550">
        <f t="shared" si="38"/>
        <v>0</v>
      </c>
      <c r="S125" s="3550">
        <f t="shared" si="38"/>
        <v>0</v>
      </c>
      <c r="T125" s="3550">
        <f t="shared" si="38"/>
        <v>0</v>
      </c>
      <c r="U125" s="3550">
        <f t="shared" si="38"/>
        <v>0</v>
      </c>
      <c r="V125" s="3550">
        <f t="shared" si="38"/>
        <v>0</v>
      </c>
      <c r="W125" s="3550">
        <f t="shared" si="38"/>
        <v>0</v>
      </c>
      <c r="X125" s="3550">
        <f t="shared" si="38"/>
        <v>0</v>
      </c>
      <c r="Y125" s="3550">
        <f t="shared" si="38"/>
        <v>0</v>
      </c>
      <c r="Z125" s="3550">
        <f t="shared" si="38"/>
        <v>0</v>
      </c>
      <c r="AA125" s="3550">
        <f t="shared" si="38"/>
        <v>0</v>
      </c>
      <c r="AB125" s="3550">
        <f t="shared" si="38"/>
        <v>0</v>
      </c>
      <c r="AC125" s="3550">
        <f t="shared" si="38"/>
        <v>0</v>
      </c>
      <c r="AD125" s="2643"/>
    </row>
    <row r="126" spans="2:30" ht="14.25" thickBot="1" x14ac:dyDescent="0.3">
      <c r="B126" s="4988"/>
      <c r="C126" s="4989"/>
      <c r="D126" s="4999"/>
      <c r="E126" s="3551" t="s">
        <v>5889</v>
      </c>
      <c r="F126" s="3546" t="s">
        <v>5006</v>
      </c>
      <c r="G126" s="3547">
        <v>2</v>
      </c>
      <c r="H126" s="3552">
        <v>500</v>
      </c>
      <c r="I126" s="3541">
        <f t="shared" si="37"/>
        <v>1000</v>
      </c>
      <c r="J126" s="3549">
        <f t="shared" si="39"/>
        <v>1000</v>
      </c>
      <c r="K126" s="3539" t="s">
        <v>5058</v>
      </c>
      <c r="L126" s="3537"/>
      <c r="M126" s="3537"/>
      <c r="N126" s="3537"/>
      <c r="O126" s="3537"/>
      <c r="P126" s="3550"/>
      <c r="Q126" s="3550"/>
      <c r="R126" s="3550">
        <f t="shared" si="38"/>
        <v>1000</v>
      </c>
      <c r="S126" s="3550">
        <f t="shared" si="38"/>
        <v>1000</v>
      </c>
      <c r="T126" s="3550">
        <f t="shared" si="38"/>
        <v>1000</v>
      </c>
      <c r="U126" s="3550">
        <f t="shared" si="38"/>
        <v>1000</v>
      </c>
      <c r="V126" s="3550">
        <f t="shared" si="38"/>
        <v>1000</v>
      </c>
      <c r="W126" s="3550">
        <f t="shared" si="38"/>
        <v>1000</v>
      </c>
      <c r="X126" s="3550">
        <f t="shared" si="38"/>
        <v>1000</v>
      </c>
      <c r="Y126" s="3550">
        <f t="shared" si="38"/>
        <v>1000</v>
      </c>
      <c r="Z126" s="3550">
        <f t="shared" si="38"/>
        <v>1000</v>
      </c>
      <c r="AA126" s="3550">
        <f t="shared" si="38"/>
        <v>1000</v>
      </c>
      <c r="AB126" s="3550">
        <f t="shared" si="38"/>
        <v>1000</v>
      </c>
      <c r="AC126" s="3550">
        <f t="shared" si="38"/>
        <v>1000</v>
      </c>
      <c r="AD126" s="2643"/>
    </row>
    <row r="127" spans="2:30" ht="14.25" thickBot="1" x14ac:dyDescent="0.3">
      <c r="B127" s="4988"/>
      <c r="C127" s="4989"/>
      <c r="D127" s="4999"/>
      <c r="E127" s="3555" t="s">
        <v>5890</v>
      </c>
      <c r="F127" s="3546"/>
      <c r="G127" s="3547"/>
      <c r="H127" s="3548"/>
      <c r="I127" s="3541">
        <f t="shared" si="37"/>
        <v>0</v>
      </c>
      <c r="J127" s="3549">
        <f t="shared" si="39"/>
        <v>0</v>
      </c>
      <c r="K127" s="3538"/>
      <c r="L127" s="3537"/>
      <c r="M127" s="3537"/>
      <c r="N127" s="3537"/>
      <c r="O127" s="3537"/>
      <c r="P127" s="3550"/>
      <c r="Q127" s="3550"/>
      <c r="R127" s="3550">
        <f t="shared" si="38"/>
        <v>0</v>
      </c>
      <c r="S127" s="3550">
        <f t="shared" si="38"/>
        <v>0</v>
      </c>
      <c r="T127" s="3550">
        <f t="shared" si="38"/>
        <v>0</v>
      </c>
      <c r="U127" s="3550">
        <f t="shared" si="38"/>
        <v>0</v>
      </c>
      <c r="V127" s="3550">
        <f t="shared" si="38"/>
        <v>0</v>
      </c>
      <c r="W127" s="3550">
        <f t="shared" si="38"/>
        <v>0</v>
      </c>
      <c r="X127" s="3550">
        <f t="shared" si="38"/>
        <v>0</v>
      </c>
      <c r="Y127" s="3550">
        <f t="shared" si="38"/>
        <v>0</v>
      </c>
      <c r="Z127" s="3550">
        <f t="shared" si="38"/>
        <v>0</v>
      </c>
      <c r="AA127" s="3550">
        <f t="shared" si="38"/>
        <v>0</v>
      </c>
      <c r="AB127" s="3550">
        <f t="shared" si="38"/>
        <v>0</v>
      </c>
      <c r="AC127" s="3550">
        <f t="shared" si="38"/>
        <v>0</v>
      </c>
      <c r="AD127" s="2643"/>
    </row>
    <row r="128" spans="2:30" ht="14.25" thickBot="1" x14ac:dyDescent="0.3">
      <c r="B128" s="4988"/>
      <c r="C128" s="4989"/>
      <c r="D128" s="4999"/>
      <c r="E128" s="3551" t="s">
        <v>5079</v>
      </c>
      <c r="F128" s="3546" t="s">
        <v>5006</v>
      </c>
      <c r="G128" s="3547">
        <v>12</v>
      </c>
      <c r="H128" s="3552">
        <v>400</v>
      </c>
      <c r="I128" s="3541">
        <f t="shared" si="37"/>
        <v>4800</v>
      </c>
      <c r="J128" s="3549">
        <f t="shared" si="39"/>
        <v>4800</v>
      </c>
      <c r="K128" s="3539" t="s">
        <v>5891</v>
      </c>
      <c r="L128" s="3537"/>
      <c r="M128" s="3537"/>
      <c r="N128" s="3537"/>
      <c r="O128" s="3537"/>
      <c r="P128" s="3550"/>
      <c r="Q128" s="3550"/>
      <c r="R128" s="3550">
        <f t="shared" si="38"/>
        <v>4800</v>
      </c>
      <c r="S128" s="3550">
        <f t="shared" si="38"/>
        <v>4800</v>
      </c>
      <c r="T128" s="3550">
        <f t="shared" si="38"/>
        <v>4800</v>
      </c>
      <c r="U128" s="3550">
        <f t="shared" si="38"/>
        <v>4800</v>
      </c>
      <c r="V128" s="3550">
        <f t="shared" si="38"/>
        <v>4800</v>
      </c>
      <c r="W128" s="3550">
        <f t="shared" si="38"/>
        <v>4800</v>
      </c>
      <c r="X128" s="3550">
        <f t="shared" si="38"/>
        <v>4800</v>
      </c>
      <c r="Y128" s="3550">
        <f t="shared" si="38"/>
        <v>4800</v>
      </c>
      <c r="Z128" s="3550">
        <f t="shared" si="38"/>
        <v>4800</v>
      </c>
      <c r="AA128" s="3550">
        <f t="shared" si="38"/>
        <v>4800</v>
      </c>
      <c r="AB128" s="3550">
        <f t="shared" si="38"/>
        <v>4800</v>
      </c>
      <c r="AC128" s="3550">
        <f t="shared" si="38"/>
        <v>4800</v>
      </c>
      <c r="AD128" s="2643"/>
    </row>
    <row r="129" spans="2:30" ht="14.25" thickBot="1" x14ac:dyDescent="0.3">
      <c r="B129" s="4988"/>
      <c r="C129" s="4989"/>
      <c r="D129" s="4999"/>
      <c r="E129" s="3555" t="s">
        <v>5892</v>
      </c>
      <c r="F129" s="3546"/>
      <c r="G129" s="3547"/>
      <c r="H129" s="3548"/>
      <c r="I129" s="3541">
        <f t="shared" si="37"/>
        <v>0</v>
      </c>
      <c r="J129" s="3549">
        <f t="shared" si="39"/>
        <v>0</v>
      </c>
      <c r="K129" s="3538"/>
      <c r="L129" s="3537"/>
      <c r="M129" s="3537"/>
      <c r="N129" s="3537"/>
      <c r="O129" s="3537"/>
      <c r="P129" s="3550"/>
      <c r="Q129" s="3550"/>
      <c r="R129" s="3550">
        <f t="shared" si="38"/>
        <v>0</v>
      </c>
      <c r="S129" s="3550">
        <f t="shared" si="38"/>
        <v>0</v>
      </c>
      <c r="T129" s="3550">
        <f t="shared" si="38"/>
        <v>0</v>
      </c>
      <c r="U129" s="3550">
        <f t="shared" si="38"/>
        <v>0</v>
      </c>
      <c r="V129" s="3550">
        <f t="shared" si="38"/>
        <v>0</v>
      </c>
      <c r="W129" s="3550">
        <f t="shared" si="38"/>
        <v>0</v>
      </c>
      <c r="X129" s="3550">
        <f t="shared" si="38"/>
        <v>0</v>
      </c>
      <c r="Y129" s="3550">
        <f t="shared" si="38"/>
        <v>0</v>
      </c>
      <c r="Z129" s="3550">
        <f t="shared" si="38"/>
        <v>0</v>
      </c>
      <c r="AA129" s="3550">
        <f t="shared" si="38"/>
        <v>0</v>
      </c>
      <c r="AB129" s="3550">
        <f t="shared" si="38"/>
        <v>0</v>
      </c>
      <c r="AC129" s="3550">
        <f t="shared" si="38"/>
        <v>0</v>
      </c>
      <c r="AD129" s="2643"/>
    </row>
    <row r="130" spans="2:30" ht="14.25" thickBot="1" x14ac:dyDescent="0.3">
      <c r="B130" s="4988"/>
      <c r="C130" s="4989"/>
      <c r="D130" s="4999"/>
      <c r="E130" s="3551" t="s">
        <v>5893</v>
      </c>
      <c r="F130" s="3546" t="s">
        <v>5006</v>
      </c>
      <c r="G130" s="3547">
        <v>2</v>
      </c>
      <c r="H130" s="3552">
        <v>850</v>
      </c>
      <c r="I130" s="3541">
        <f t="shared" si="37"/>
        <v>1700</v>
      </c>
      <c r="J130" s="3549">
        <f t="shared" si="39"/>
        <v>1700</v>
      </c>
      <c r="K130" s="3539" t="s">
        <v>5105</v>
      </c>
      <c r="L130" s="3537"/>
      <c r="M130" s="3537"/>
      <c r="N130" s="3537"/>
      <c r="O130" s="3537"/>
      <c r="P130" s="3550"/>
      <c r="Q130" s="3550"/>
      <c r="R130" s="3550">
        <f t="shared" si="38"/>
        <v>1700</v>
      </c>
      <c r="S130" s="3550">
        <f t="shared" si="38"/>
        <v>1700</v>
      </c>
      <c r="T130" s="3550">
        <f t="shared" si="38"/>
        <v>1700</v>
      </c>
      <c r="U130" s="3550">
        <f t="shared" si="38"/>
        <v>1700</v>
      </c>
      <c r="V130" s="3550">
        <f t="shared" si="38"/>
        <v>1700</v>
      </c>
      <c r="W130" s="3550">
        <f t="shared" si="38"/>
        <v>1700</v>
      </c>
      <c r="X130" s="3550">
        <f t="shared" si="38"/>
        <v>1700</v>
      </c>
      <c r="Y130" s="3550">
        <f t="shared" si="38"/>
        <v>1700</v>
      </c>
      <c r="Z130" s="3550">
        <f t="shared" si="38"/>
        <v>1700</v>
      </c>
      <c r="AA130" s="3550">
        <f t="shared" si="38"/>
        <v>1700</v>
      </c>
      <c r="AB130" s="3550">
        <f t="shared" si="38"/>
        <v>1700</v>
      </c>
      <c r="AC130" s="3550">
        <f t="shared" si="38"/>
        <v>1700</v>
      </c>
      <c r="AD130" s="2643"/>
    </row>
    <row r="131" spans="2:30" ht="14.25" thickBot="1" x14ac:dyDescent="0.3">
      <c r="B131" s="4988"/>
      <c r="C131" s="4989"/>
      <c r="D131" s="4999"/>
      <c r="E131" s="3551" t="s">
        <v>5894</v>
      </c>
      <c r="F131" s="3546" t="s">
        <v>5006</v>
      </c>
      <c r="G131" s="3547">
        <v>2</v>
      </c>
      <c r="H131" s="3552">
        <v>4500</v>
      </c>
      <c r="I131" s="3541">
        <f t="shared" si="37"/>
        <v>9000</v>
      </c>
      <c r="J131" s="3549">
        <f t="shared" si="39"/>
        <v>9000</v>
      </c>
      <c r="K131" s="3539" t="s">
        <v>5105</v>
      </c>
      <c r="L131" s="3537"/>
      <c r="M131" s="3537"/>
      <c r="N131" s="3537"/>
      <c r="O131" s="3537"/>
      <c r="P131" s="3550"/>
      <c r="Q131" s="3550"/>
      <c r="R131" s="3550">
        <f t="shared" si="38"/>
        <v>9000</v>
      </c>
      <c r="S131" s="3550">
        <f t="shared" si="38"/>
        <v>9000</v>
      </c>
      <c r="T131" s="3550">
        <f t="shared" si="38"/>
        <v>9000</v>
      </c>
      <c r="U131" s="3550">
        <f t="shared" si="38"/>
        <v>9000</v>
      </c>
      <c r="V131" s="3550">
        <f t="shared" si="38"/>
        <v>9000</v>
      </c>
      <c r="W131" s="3550">
        <f t="shared" si="38"/>
        <v>9000</v>
      </c>
      <c r="X131" s="3550">
        <f t="shared" si="38"/>
        <v>9000</v>
      </c>
      <c r="Y131" s="3550">
        <f t="shared" si="38"/>
        <v>9000</v>
      </c>
      <c r="Z131" s="3550">
        <f t="shared" si="38"/>
        <v>9000</v>
      </c>
      <c r="AA131" s="3550">
        <f t="shared" si="38"/>
        <v>9000</v>
      </c>
      <c r="AB131" s="3550">
        <f t="shared" si="38"/>
        <v>9000</v>
      </c>
      <c r="AC131" s="3550">
        <f t="shared" si="38"/>
        <v>9000</v>
      </c>
      <c r="AD131" s="2643"/>
    </row>
    <row r="132" spans="2:30" ht="14.25" thickBot="1" x14ac:dyDescent="0.3">
      <c r="B132" s="4988"/>
      <c r="C132" s="4989"/>
      <c r="D132" s="4999"/>
      <c r="E132" s="3551" t="s">
        <v>5895</v>
      </c>
      <c r="F132" s="3546" t="s">
        <v>5006</v>
      </c>
      <c r="G132" s="3547">
        <v>4</v>
      </c>
      <c r="H132" s="3552">
        <v>403.44</v>
      </c>
      <c r="I132" s="3541">
        <f t="shared" si="37"/>
        <v>1613.76</v>
      </c>
      <c r="J132" s="3549">
        <f t="shared" si="39"/>
        <v>1613.76</v>
      </c>
      <c r="K132" s="3539" t="s">
        <v>5050</v>
      </c>
      <c r="L132" s="3537"/>
      <c r="M132" s="3537"/>
      <c r="N132" s="3537"/>
      <c r="O132" s="3537"/>
      <c r="P132" s="3550"/>
      <c r="Q132" s="3550"/>
      <c r="R132" s="3550">
        <f t="shared" si="38"/>
        <v>1613.76</v>
      </c>
      <c r="S132" s="3550">
        <f t="shared" si="38"/>
        <v>1613.76</v>
      </c>
      <c r="T132" s="3550">
        <f t="shared" si="38"/>
        <v>1613.76</v>
      </c>
      <c r="U132" s="3550">
        <f t="shared" si="38"/>
        <v>1613.76</v>
      </c>
      <c r="V132" s="3550">
        <f t="shared" si="38"/>
        <v>1613.76</v>
      </c>
      <c r="W132" s="3550">
        <f t="shared" si="38"/>
        <v>1613.76</v>
      </c>
      <c r="X132" s="3550">
        <f t="shared" si="38"/>
        <v>1613.76</v>
      </c>
      <c r="Y132" s="3550">
        <f t="shared" si="38"/>
        <v>1613.76</v>
      </c>
      <c r="Z132" s="3550">
        <f t="shared" si="38"/>
        <v>1613.76</v>
      </c>
      <c r="AA132" s="3550">
        <f t="shared" si="38"/>
        <v>1613.76</v>
      </c>
      <c r="AB132" s="3550">
        <f t="shared" si="38"/>
        <v>1613.76</v>
      </c>
      <c r="AC132" s="3550">
        <f t="shared" si="38"/>
        <v>1613.76</v>
      </c>
      <c r="AD132" s="2643"/>
    </row>
    <row r="133" spans="2:30" ht="14.25" thickBot="1" x14ac:dyDescent="0.3">
      <c r="B133" s="4988"/>
      <c r="C133" s="4989"/>
      <c r="D133" s="4999"/>
      <c r="E133" s="3551" t="s">
        <v>5896</v>
      </c>
      <c r="F133" s="3546" t="s">
        <v>5006</v>
      </c>
      <c r="G133" s="3547">
        <v>4</v>
      </c>
      <c r="H133" s="3552">
        <v>487.68</v>
      </c>
      <c r="I133" s="3541">
        <f t="shared" si="37"/>
        <v>1950.72</v>
      </c>
      <c r="J133" s="3549">
        <f t="shared" si="39"/>
        <v>1950.72</v>
      </c>
      <c r="K133" s="3539" t="s">
        <v>5050</v>
      </c>
      <c r="L133" s="3537"/>
      <c r="M133" s="3537"/>
      <c r="N133" s="3537"/>
      <c r="O133" s="3537"/>
      <c r="P133" s="3550"/>
      <c r="Q133" s="3550"/>
      <c r="R133" s="3550">
        <f t="shared" si="38"/>
        <v>1950.72</v>
      </c>
      <c r="S133" s="3550">
        <f t="shared" si="38"/>
        <v>1950.72</v>
      </c>
      <c r="T133" s="3550">
        <f t="shared" si="38"/>
        <v>1950.72</v>
      </c>
      <c r="U133" s="3550">
        <f t="shared" si="38"/>
        <v>1950.72</v>
      </c>
      <c r="V133" s="3550">
        <f t="shared" si="38"/>
        <v>1950.72</v>
      </c>
      <c r="W133" s="3550">
        <f t="shared" si="38"/>
        <v>1950.72</v>
      </c>
      <c r="X133" s="3550">
        <f t="shared" si="38"/>
        <v>1950.72</v>
      </c>
      <c r="Y133" s="3550">
        <f t="shared" si="38"/>
        <v>1950.72</v>
      </c>
      <c r="Z133" s="3550">
        <f t="shared" si="38"/>
        <v>1950.72</v>
      </c>
      <c r="AA133" s="3550">
        <f t="shared" si="38"/>
        <v>1950.72</v>
      </c>
      <c r="AB133" s="3550">
        <f t="shared" si="38"/>
        <v>1950.72</v>
      </c>
      <c r="AC133" s="3550">
        <f t="shared" si="38"/>
        <v>1950.72</v>
      </c>
      <c r="AD133" s="2643"/>
    </row>
    <row r="134" spans="2:30" ht="14.25" thickBot="1" x14ac:dyDescent="0.3">
      <c r="B134" s="4988"/>
      <c r="C134" s="4989"/>
      <c r="D134" s="4999"/>
      <c r="E134" s="3555" t="s">
        <v>5076</v>
      </c>
      <c r="F134" s="3546"/>
      <c r="G134" s="3547"/>
      <c r="H134" s="3548"/>
      <c r="I134" s="3541"/>
      <c r="J134" s="3549"/>
      <c r="K134" s="3538"/>
      <c r="L134" s="3537"/>
      <c r="M134" s="3537"/>
      <c r="N134" s="3537"/>
      <c r="O134" s="3537"/>
      <c r="P134" s="3550"/>
      <c r="Q134" s="3550"/>
      <c r="R134" s="3550">
        <f t="shared" si="38"/>
        <v>0</v>
      </c>
      <c r="S134" s="3550">
        <f t="shared" si="38"/>
        <v>0</v>
      </c>
      <c r="T134" s="3550">
        <f t="shared" si="38"/>
        <v>0</v>
      </c>
      <c r="U134" s="3550">
        <f t="shared" si="38"/>
        <v>0</v>
      </c>
      <c r="V134" s="3550">
        <f t="shared" si="38"/>
        <v>0</v>
      </c>
      <c r="W134" s="3550">
        <f t="shared" si="38"/>
        <v>0</v>
      </c>
      <c r="X134" s="3550">
        <f t="shared" si="38"/>
        <v>0</v>
      </c>
      <c r="Y134" s="3550">
        <f t="shared" si="38"/>
        <v>0</v>
      </c>
      <c r="Z134" s="3550">
        <f t="shared" si="38"/>
        <v>0</v>
      </c>
      <c r="AA134" s="3550">
        <f t="shared" si="38"/>
        <v>0</v>
      </c>
      <c r="AB134" s="3550">
        <f t="shared" si="38"/>
        <v>0</v>
      </c>
      <c r="AC134" s="3550">
        <f t="shared" si="38"/>
        <v>0</v>
      </c>
      <c r="AD134" s="2643"/>
    </row>
    <row r="135" spans="2:30" ht="14.25" thickBot="1" x14ac:dyDescent="0.3">
      <c r="B135" s="4988"/>
      <c r="C135" s="4989"/>
      <c r="D135" s="4999"/>
      <c r="E135" s="3553" t="s">
        <v>5077</v>
      </c>
      <c r="F135" s="3546" t="s">
        <v>5006</v>
      </c>
      <c r="G135" s="3547">
        <v>4</v>
      </c>
      <c r="H135" s="3554">
        <v>365.16</v>
      </c>
      <c r="I135" s="3541">
        <f t="shared" si="37"/>
        <v>1460.64</v>
      </c>
      <c r="J135" s="3549">
        <f t="shared" si="39"/>
        <v>1460.64</v>
      </c>
      <c r="K135" s="3539" t="s">
        <v>5050</v>
      </c>
      <c r="L135" s="3537"/>
      <c r="M135" s="3537"/>
      <c r="N135" s="3537"/>
      <c r="O135" s="3537"/>
      <c r="P135" s="3550"/>
      <c r="Q135" s="3550"/>
      <c r="R135" s="3550">
        <f t="shared" si="38"/>
        <v>1460.64</v>
      </c>
      <c r="S135" s="3550">
        <f t="shared" si="38"/>
        <v>1460.64</v>
      </c>
      <c r="T135" s="3550">
        <f t="shared" si="38"/>
        <v>1460.64</v>
      </c>
      <c r="U135" s="3550">
        <f t="shared" si="38"/>
        <v>1460.64</v>
      </c>
      <c r="V135" s="3550">
        <f t="shared" si="38"/>
        <v>1460.64</v>
      </c>
      <c r="W135" s="3550">
        <f t="shared" si="38"/>
        <v>1460.64</v>
      </c>
      <c r="X135" s="3550">
        <f t="shared" si="38"/>
        <v>1460.64</v>
      </c>
      <c r="Y135" s="3550">
        <f t="shared" si="38"/>
        <v>1460.64</v>
      </c>
      <c r="Z135" s="3550">
        <f t="shared" si="38"/>
        <v>1460.64</v>
      </c>
      <c r="AA135" s="3550">
        <f t="shared" si="38"/>
        <v>1460.64</v>
      </c>
      <c r="AB135" s="3550">
        <f t="shared" si="38"/>
        <v>1460.64</v>
      </c>
      <c r="AC135" s="3550">
        <f t="shared" si="38"/>
        <v>1460.64</v>
      </c>
      <c r="AD135" s="2643"/>
    </row>
    <row r="136" spans="2:30" ht="14.25" thickBot="1" x14ac:dyDescent="0.3">
      <c r="B136" s="4988"/>
      <c r="C136" s="4989"/>
      <c r="D136" s="4999"/>
      <c r="E136" s="3553" t="s">
        <v>5897</v>
      </c>
      <c r="F136" s="3546" t="s">
        <v>5006</v>
      </c>
      <c r="G136" s="3547">
        <v>2</v>
      </c>
      <c r="H136" s="3554">
        <v>115.63</v>
      </c>
      <c r="I136" s="3541">
        <f t="shared" si="37"/>
        <v>231.26</v>
      </c>
      <c r="J136" s="3549">
        <f t="shared" si="39"/>
        <v>231.26</v>
      </c>
      <c r="K136" s="3539" t="s">
        <v>5898</v>
      </c>
      <c r="L136" s="3537"/>
      <c r="M136" s="3537"/>
      <c r="N136" s="3537"/>
      <c r="O136" s="3537"/>
      <c r="P136" s="3550"/>
      <c r="Q136" s="3550"/>
      <c r="R136" s="3550">
        <f t="shared" si="38"/>
        <v>231.26</v>
      </c>
      <c r="S136" s="3550">
        <f t="shared" si="38"/>
        <v>231.26</v>
      </c>
      <c r="T136" s="3550">
        <f t="shared" si="38"/>
        <v>231.26</v>
      </c>
      <c r="U136" s="3550">
        <f t="shared" si="38"/>
        <v>231.26</v>
      </c>
      <c r="V136" s="3550">
        <f t="shared" si="38"/>
        <v>231.26</v>
      </c>
      <c r="W136" s="3550">
        <f t="shared" si="38"/>
        <v>231.26</v>
      </c>
      <c r="X136" s="3550">
        <f t="shared" si="38"/>
        <v>231.26</v>
      </c>
      <c r="Y136" s="3550">
        <f t="shared" si="38"/>
        <v>231.26</v>
      </c>
      <c r="Z136" s="3550">
        <f t="shared" si="38"/>
        <v>231.26</v>
      </c>
      <c r="AA136" s="3550">
        <f t="shared" si="38"/>
        <v>231.26</v>
      </c>
      <c r="AB136" s="3550">
        <f t="shared" si="38"/>
        <v>231.26</v>
      </c>
      <c r="AC136" s="3550">
        <f t="shared" si="38"/>
        <v>231.26</v>
      </c>
      <c r="AD136" s="2643"/>
    </row>
    <row r="137" spans="2:30" ht="14.25" thickBot="1" x14ac:dyDescent="0.3">
      <c r="B137" s="4988"/>
      <c r="C137" s="4989"/>
      <c r="D137" s="4999"/>
      <c r="E137" s="3555" t="s">
        <v>5899</v>
      </c>
      <c r="F137" s="3546"/>
      <c r="G137" s="3547"/>
      <c r="H137" s="3548"/>
      <c r="I137" s="3541">
        <f t="shared" si="37"/>
        <v>0</v>
      </c>
      <c r="J137" s="3549">
        <f t="shared" si="39"/>
        <v>0</v>
      </c>
      <c r="K137" s="3538"/>
      <c r="L137" s="3537"/>
      <c r="M137" s="3537"/>
      <c r="N137" s="3537"/>
      <c r="O137" s="3537"/>
      <c r="P137" s="3550"/>
      <c r="Q137" s="3550"/>
      <c r="R137" s="3550">
        <f t="shared" si="38"/>
        <v>0</v>
      </c>
      <c r="S137" s="3550">
        <f t="shared" si="38"/>
        <v>0</v>
      </c>
      <c r="T137" s="3550">
        <f t="shared" si="38"/>
        <v>0</v>
      </c>
      <c r="U137" s="3550">
        <f t="shared" si="38"/>
        <v>0</v>
      </c>
      <c r="V137" s="3550">
        <f t="shared" si="38"/>
        <v>0</v>
      </c>
      <c r="W137" s="3550">
        <f t="shared" si="38"/>
        <v>0</v>
      </c>
      <c r="X137" s="3550">
        <f t="shared" si="38"/>
        <v>0</v>
      </c>
      <c r="Y137" s="3550">
        <f t="shared" si="38"/>
        <v>0</v>
      </c>
      <c r="Z137" s="3550">
        <f t="shared" si="38"/>
        <v>0</v>
      </c>
      <c r="AA137" s="3550">
        <f t="shared" si="38"/>
        <v>0</v>
      </c>
      <c r="AB137" s="3550">
        <f t="shared" si="38"/>
        <v>0</v>
      </c>
      <c r="AC137" s="3550">
        <f t="shared" si="38"/>
        <v>0</v>
      </c>
      <c r="AD137" s="2643"/>
    </row>
    <row r="138" spans="2:30" ht="14.25" thickBot="1" x14ac:dyDescent="0.3">
      <c r="B138" s="4988"/>
      <c r="C138" s="4989"/>
      <c r="D138" s="4999"/>
      <c r="E138" s="3553" t="s">
        <v>5900</v>
      </c>
      <c r="F138" s="3546" t="s">
        <v>5006</v>
      </c>
      <c r="G138" s="3547">
        <v>2</v>
      </c>
      <c r="H138" s="3554">
        <v>387.82</v>
      </c>
      <c r="I138" s="3541">
        <f t="shared" si="37"/>
        <v>775.64</v>
      </c>
      <c r="J138" s="3549">
        <f t="shared" si="39"/>
        <v>775.64</v>
      </c>
      <c r="K138" s="3539" t="s">
        <v>5058</v>
      </c>
      <c r="L138" s="3537"/>
      <c r="M138" s="3537"/>
      <c r="N138" s="3537"/>
      <c r="O138" s="3537"/>
      <c r="P138" s="3550"/>
      <c r="Q138" s="3550"/>
      <c r="R138" s="3550">
        <f t="shared" si="38"/>
        <v>775.64</v>
      </c>
      <c r="S138" s="3550">
        <f t="shared" si="38"/>
        <v>775.64</v>
      </c>
      <c r="T138" s="3550">
        <f t="shared" si="38"/>
        <v>775.64</v>
      </c>
      <c r="U138" s="3550">
        <f t="shared" si="38"/>
        <v>775.64</v>
      </c>
      <c r="V138" s="3550">
        <f t="shared" si="38"/>
        <v>775.64</v>
      </c>
      <c r="W138" s="3550">
        <f t="shared" si="38"/>
        <v>775.64</v>
      </c>
      <c r="X138" s="3550">
        <f t="shared" si="38"/>
        <v>775.64</v>
      </c>
      <c r="Y138" s="3550">
        <f t="shared" si="38"/>
        <v>775.64</v>
      </c>
      <c r="Z138" s="3550">
        <f t="shared" si="38"/>
        <v>775.64</v>
      </c>
      <c r="AA138" s="3550">
        <f t="shared" si="38"/>
        <v>775.64</v>
      </c>
      <c r="AB138" s="3550">
        <f t="shared" si="38"/>
        <v>775.64</v>
      </c>
      <c r="AC138" s="3550">
        <f t="shared" si="38"/>
        <v>775.64</v>
      </c>
      <c r="AD138" s="2643"/>
    </row>
    <row r="139" spans="2:30" ht="14.25" thickBot="1" x14ac:dyDescent="0.3">
      <c r="B139" s="4988"/>
      <c r="C139" s="4989"/>
      <c r="D139" s="4999"/>
      <c r="E139" s="3555" t="s">
        <v>5901</v>
      </c>
      <c r="F139" s="3546"/>
      <c r="G139" s="3547"/>
      <c r="H139" s="3548"/>
      <c r="I139" s="3541">
        <f t="shared" si="37"/>
        <v>0</v>
      </c>
      <c r="J139" s="3549">
        <f t="shared" si="39"/>
        <v>0</v>
      </c>
      <c r="K139" s="3538"/>
      <c r="L139" s="3537"/>
      <c r="M139" s="3537"/>
      <c r="N139" s="3537"/>
      <c r="O139" s="3537"/>
      <c r="P139" s="3550"/>
      <c r="Q139" s="3550"/>
      <c r="R139" s="3550">
        <f t="shared" ref="R139:AC140" si="40">$J139</f>
        <v>0</v>
      </c>
      <c r="S139" s="3550">
        <f t="shared" si="40"/>
        <v>0</v>
      </c>
      <c r="T139" s="3550">
        <f t="shared" si="40"/>
        <v>0</v>
      </c>
      <c r="U139" s="3550">
        <f t="shared" si="40"/>
        <v>0</v>
      </c>
      <c r="V139" s="3550">
        <f t="shared" si="40"/>
        <v>0</v>
      </c>
      <c r="W139" s="3550">
        <f t="shared" si="40"/>
        <v>0</v>
      </c>
      <c r="X139" s="3550">
        <f t="shared" si="40"/>
        <v>0</v>
      </c>
      <c r="Y139" s="3550">
        <f t="shared" si="40"/>
        <v>0</v>
      </c>
      <c r="Z139" s="3550">
        <f t="shared" si="40"/>
        <v>0</v>
      </c>
      <c r="AA139" s="3550">
        <f t="shared" si="40"/>
        <v>0</v>
      </c>
      <c r="AB139" s="3550">
        <f t="shared" si="40"/>
        <v>0</v>
      </c>
      <c r="AC139" s="3550">
        <f t="shared" si="40"/>
        <v>0</v>
      </c>
      <c r="AD139" s="2643"/>
    </row>
    <row r="140" spans="2:30" ht="14.25" thickBot="1" x14ac:dyDescent="0.3">
      <c r="B140" s="4988"/>
      <c r="C140" s="4989"/>
      <c r="D140" s="4999"/>
      <c r="E140" s="3553" t="s">
        <v>5902</v>
      </c>
      <c r="F140" s="3546" t="s">
        <v>5006</v>
      </c>
      <c r="G140" s="3547">
        <v>3</v>
      </c>
      <c r="H140" s="3554">
        <v>1551.28</v>
      </c>
      <c r="I140" s="3541">
        <f t="shared" si="37"/>
        <v>4653.84</v>
      </c>
      <c r="J140" s="3549">
        <f t="shared" si="39"/>
        <v>4653.84</v>
      </c>
      <c r="K140" s="3539" t="s">
        <v>5056</v>
      </c>
      <c r="L140" s="3537"/>
      <c r="M140" s="3537"/>
      <c r="N140" s="3537"/>
      <c r="O140" s="3537"/>
      <c r="P140" s="3550"/>
      <c r="Q140" s="3550"/>
      <c r="R140" s="3550">
        <f t="shared" si="40"/>
        <v>4653.84</v>
      </c>
      <c r="S140" s="3550">
        <f t="shared" si="40"/>
        <v>4653.84</v>
      </c>
      <c r="T140" s="3550">
        <f t="shared" si="40"/>
        <v>4653.84</v>
      </c>
      <c r="U140" s="3550">
        <f t="shared" si="40"/>
        <v>4653.84</v>
      </c>
      <c r="V140" s="3550">
        <f t="shared" si="40"/>
        <v>4653.84</v>
      </c>
      <c r="W140" s="3550">
        <f t="shared" si="40"/>
        <v>4653.84</v>
      </c>
      <c r="X140" s="3550">
        <f t="shared" si="40"/>
        <v>4653.84</v>
      </c>
      <c r="Y140" s="3550">
        <f t="shared" si="40"/>
        <v>4653.84</v>
      </c>
      <c r="Z140" s="3550">
        <f t="shared" si="40"/>
        <v>4653.84</v>
      </c>
      <c r="AA140" s="3550">
        <f t="shared" si="40"/>
        <v>4653.84</v>
      </c>
      <c r="AB140" s="3550">
        <f t="shared" si="40"/>
        <v>4653.84</v>
      </c>
      <c r="AC140" s="3550">
        <f t="shared" si="40"/>
        <v>4653.84</v>
      </c>
      <c r="AD140" s="2643"/>
    </row>
    <row r="141" spans="2:30" ht="14.25" thickBot="1" x14ac:dyDescent="0.3">
      <c r="B141" s="4988"/>
      <c r="C141" s="4989"/>
      <c r="D141" s="4999"/>
      <c r="E141" s="3537"/>
      <c r="F141" s="3538"/>
      <c r="G141" s="3539"/>
      <c r="H141" s="3540"/>
      <c r="I141" s="3541"/>
      <c r="J141" s="3542"/>
      <c r="K141" s="3538"/>
      <c r="L141" s="3543"/>
      <c r="M141" s="3543"/>
      <c r="N141" s="3543"/>
      <c r="O141" s="3543"/>
      <c r="P141" s="3544"/>
      <c r="Q141" s="3544"/>
      <c r="R141" s="3544"/>
      <c r="S141" s="3544"/>
      <c r="T141" s="3544"/>
      <c r="U141" s="3544"/>
      <c r="V141" s="3544"/>
      <c r="W141" s="3544"/>
      <c r="X141" s="3544"/>
      <c r="Y141" s="3544"/>
      <c r="Z141" s="3544"/>
      <c r="AA141" s="3544"/>
      <c r="AB141" s="3544"/>
      <c r="AC141" s="3544"/>
      <c r="AD141" s="2643"/>
    </row>
    <row r="142" spans="2:30" ht="14.25" thickBot="1" x14ac:dyDescent="0.3">
      <c r="B142" s="4988"/>
      <c r="C142" s="4989"/>
      <c r="D142" s="5013" t="s">
        <v>4272</v>
      </c>
      <c r="E142" s="3556"/>
      <c r="F142" s="3557"/>
      <c r="G142" s="3558"/>
      <c r="H142" s="3559"/>
      <c r="I142" s="3560"/>
      <c r="J142" s="3561">
        <f>SUM(J143:J158)</f>
        <v>27684.28</v>
      </c>
      <c r="K142" s="3557"/>
      <c r="L142" s="3562"/>
      <c r="M142" s="3563"/>
      <c r="N142" s="3563"/>
      <c r="O142" s="3563"/>
      <c r="P142" s="3564"/>
      <c r="Q142" s="3564"/>
      <c r="R142" s="3564">
        <f t="shared" ref="R142:AC142" si="41">SUM(R143:R158)</f>
        <v>27684.28</v>
      </c>
      <c r="S142" s="3564">
        <f t="shared" si="41"/>
        <v>27684.28</v>
      </c>
      <c r="T142" s="3564">
        <f t="shared" si="41"/>
        <v>27684.28</v>
      </c>
      <c r="U142" s="3564">
        <f t="shared" si="41"/>
        <v>27684.28</v>
      </c>
      <c r="V142" s="3564">
        <f t="shared" si="41"/>
        <v>27684.28</v>
      </c>
      <c r="W142" s="3564">
        <f t="shared" si="41"/>
        <v>27684.28</v>
      </c>
      <c r="X142" s="3564">
        <f t="shared" si="41"/>
        <v>27684.28</v>
      </c>
      <c r="Y142" s="3564">
        <f t="shared" si="41"/>
        <v>27684.28</v>
      </c>
      <c r="Z142" s="3564">
        <f t="shared" si="41"/>
        <v>27684.28</v>
      </c>
      <c r="AA142" s="3564">
        <f t="shared" si="41"/>
        <v>27684.28</v>
      </c>
      <c r="AB142" s="3564">
        <f t="shared" si="41"/>
        <v>27684.28</v>
      </c>
      <c r="AC142" s="3564">
        <f t="shared" si="41"/>
        <v>27684.28</v>
      </c>
      <c r="AD142" s="2643"/>
    </row>
    <row r="143" spans="2:30" ht="14.25" thickBot="1" x14ac:dyDescent="0.3">
      <c r="B143" s="4988"/>
      <c r="C143" s="4989"/>
      <c r="D143" s="5013"/>
      <c r="E143" s="3588" t="s">
        <v>5890</v>
      </c>
      <c r="F143" s="3575"/>
      <c r="G143" s="3576"/>
      <c r="H143" s="3577"/>
      <c r="I143" s="3578"/>
      <c r="J143" s="3579"/>
      <c r="K143" s="3574"/>
      <c r="L143" s="3580"/>
      <c r="M143" s="3565"/>
      <c r="N143" s="3565"/>
      <c r="O143" s="3565"/>
      <c r="P143" s="3565"/>
      <c r="Q143" s="3565"/>
      <c r="R143" s="3565"/>
      <c r="S143" s="3581"/>
      <c r="T143" s="3581"/>
      <c r="U143" s="3581"/>
      <c r="V143" s="3581"/>
      <c r="W143" s="3581"/>
      <c r="X143" s="3581"/>
      <c r="Y143" s="3581"/>
      <c r="Z143" s="3581"/>
      <c r="AA143" s="3581"/>
      <c r="AB143" s="3581"/>
      <c r="AC143" s="3581"/>
      <c r="AD143" s="2643"/>
    </row>
    <row r="144" spans="2:30" ht="14.25" thickBot="1" x14ac:dyDescent="0.3">
      <c r="B144" s="4988"/>
      <c r="C144" s="4989"/>
      <c r="D144" s="5013"/>
      <c r="E144" s="3582" t="s">
        <v>5903</v>
      </c>
      <c r="F144" s="3575" t="s">
        <v>5006</v>
      </c>
      <c r="G144" s="3576">
        <v>3</v>
      </c>
      <c r="H144" s="3577">
        <v>631.84</v>
      </c>
      <c r="I144" s="3578">
        <f t="shared" ref="I144:I157" si="42">G144*H144</f>
        <v>1895.52</v>
      </c>
      <c r="J144" s="3583">
        <f t="shared" ref="J144:J157" si="43">I144</f>
        <v>1895.52</v>
      </c>
      <c r="K144" s="3574" t="s">
        <v>5105</v>
      </c>
      <c r="L144" s="3565"/>
      <c r="M144" s="3565"/>
      <c r="N144" s="3565"/>
      <c r="O144" s="3565"/>
      <c r="P144" s="3565"/>
      <c r="Q144" s="3565"/>
      <c r="R144" s="3590">
        <f>$J144</f>
        <v>1895.52</v>
      </c>
      <c r="S144" s="3590">
        <f t="shared" ref="S144:AC144" si="44">$J144</f>
        <v>1895.52</v>
      </c>
      <c r="T144" s="3590">
        <f t="shared" si="44"/>
        <v>1895.52</v>
      </c>
      <c r="U144" s="3590">
        <f t="shared" si="44"/>
        <v>1895.52</v>
      </c>
      <c r="V144" s="3590">
        <f t="shared" si="44"/>
        <v>1895.52</v>
      </c>
      <c r="W144" s="3590">
        <f t="shared" si="44"/>
        <v>1895.52</v>
      </c>
      <c r="X144" s="3590">
        <f t="shared" si="44"/>
        <v>1895.52</v>
      </c>
      <c r="Y144" s="3590">
        <f t="shared" si="44"/>
        <v>1895.52</v>
      </c>
      <c r="Z144" s="3590">
        <f t="shared" si="44"/>
        <v>1895.52</v>
      </c>
      <c r="AA144" s="3590">
        <f t="shared" si="44"/>
        <v>1895.52</v>
      </c>
      <c r="AB144" s="3590">
        <f t="shared" si="44"/>
        <v>1895.52</v>
      </c>
      <c r="AC144" s="3590">
        <f t="shared" si="44"/>
        <v>1895.52</v>
      </c>
      <c r="AD144" s="2643"/>
    </row>
    <row r="145" spans="2:30" s="2864" customFormat="1" ht="14.25" thickBot="1" x14ac:dyDescent="0.3">
      <c r="B145" s="2876"/>
      <c r="C145" s="4989"/>
      <c r="D145" s="5013"/>
      <c r="E145" s="3588" t="s">
        <v>5892</v>
      </c>
      <c r="F145" s="3575"/>
      <c r="G145" s="3576"/>
      <c r="H145" s="3577"/>
      <c r="I145" s="3578">
        <f t="shared" si="42"/>
        <v>0</v>
      </c>
      <c r="J145" s="3583">
        <f t="shared" si="43"/>
        <v>0</v>
      </c>
      <c r="K145" s="3574"/>
      <c r="L145" s="3565"/>
      <c r="M145" s="3565"/>
      <c r="N145" s="3565"/>
      <c r="O145" s="3565"/>
      <c r="P145" s="3565"/>
      <c r="Q145" s="3565"/>
      <c r="R145" s="3590">
        <f t="shared" ref="R145:AC157" si="45">$J145</f>
        <v>0</v>
      </c>
      <c r="S145" s="3590">
        <f t="shared" si="45"/>
        <v>0</v>
      </c>
      <c r="T145" s="3590">
        <f t="shared" si="45"/>
        <v>0</v>
      </c>
      <c r="U145" s="3590">
        <f t="shared" si="45"/>
        <v>0</v>
      </c>
      <c r="V145" s="3590">
        <f t="shared" si="45"/>
        <v>0</v>
      </c>
      <c r="W145" s="3590">
        <f t="shared" si="45"/>
        <v>0</v>
      </c>
      <c r="X145" s="3590">
        <f t="shared" si="45"/>
        <v>0</v>
      </c>
      <c r="Y145" s="3590">
        <f t="shared" si="45"/>
        <v>0</v>
      </c>
      <c r="Z145" s="3590">
        <f t="shared" si="45"/>
        <v>0</v>
      </c>
      <c r="AA145" s="3590">
        <f t="shared" si="45"/>
        <v>0</v>
      </c>
      <c r="AB145" s="3590">
        <f t="shared" si="45"/>
        <v>0</v>
      </c>
      <c r="AC145" s="3590">
        <f t="shared" si="45"/>
        <v>0</v>
      </c>
      <c r="AD145" s="2875"/>
    </row>
    <row r="146" spans="2:30" s="2864" customFormat="1" ht="14.25" thickBot="1" x14ac:dyDescent="0.3">
      <c r="B146" s="2876"/>
      <c r="C146" s="4989"/>
      <c r="D146" s="5013"/>
      <c r="E146" s="3582" t="s">
        <v>5903</v>
      </c>
      <c r="F146" s="3575" t="s">
        <v>5006</v>
      </c>
      <c r="G146" s="3576">
        <v>3</v>
      </c>
      <c r="H146" s="3577">
        <v>1267.3499999999999</v>
      </c>
      <c r="I146" s="3578">
        <f t="shared" si="42"/>
        <v>3802.0499999999997</v>
      </c>
      <c r="J146" s="3583">
        <f t="shared" si="43"/>
        <v>3802.0499999999997</v>
      </c>
      <c r="K146" s="3574" t="s">
        <v>5898</v>
      </c>
      <c r="L146" s="3565"/>
      <c r="M146" s="3565"/>
      <c r="N146" s="3565"/>
      <c r="O146" s="3565"/>
      <c r="P146" s="3565"/>
      <c r="Q146" s="3565"/>
      <c r="R146" s="3590">
        <f t="shared" si="45"/>
        <v>3802.0499999999997</v>
      </c>
      <c r="S146" s="3590">
        <f t="shared" si="45"/>
        <v>3802.0499999999997</v>
      </c>
      <c r="T146" s="3590">
        <f t="shared" si="45"/>
        <v>3802.0499999999997</v>
      </c>
      <c r="U146" s="3590">
        <f t="shared" si="45"/>
        <v>3802.0499999999997</v>
      </c>
      <c r="V146" s="3590">
        <f t="shared" si="45"/>
        <v>3802.0499999999997</v>
      </c>
      <c r="W146" s="3590">
        <f t="shared" si="45"/>
        <v>3802.0499999999997</v>
      </c>
      <c r="X146" s="3590">
        <f t="shared" si="45"/>
        <v>3802.0499999999997</v>
      </c>
      <c r="Y146" s="3590">
        <f t="shared" si="45"/>
        <v>3802.0499999999997</v>
      </c>
      <c r="Z146" s="3590">
        <f t="shared" si="45"/>
        <v>3802.0499999999997</v>
      </c>
      <c r="AA146" s="3590">
        <f t="shared" si="45"/>
        <v>3802.0499999999997</v>
      </c>
      <c r="AB146" s="3590">
        <f t="shared" si="45"/>
        <v>3802.0499999999997</v>
      </c>
      <c r="AC146" s="3590">
        <f t="shared" si="45"/>
        <v>3802.0499999999997</v>
      </c>
      <c r="AD146" s="2875"/>
    </row>
    <row r="147" spans="2:30" s="2864" customFormat="1" ht="14.25" thickBot="1" x14ac:dyDescent="0.3">
      <c r="B147" s="2876"/>
      <c r="C147" s="4989"/>
      <c r="D147" s="5013"/>
      <c r="E147" s="3584" t="s">
        <v>5904</v>
      </c>
      <c r="F147" s="3575" t="s">
        <v>5006</v>
      </c>
      <c r="G147" s="3576">
        <v>2</v>
      </c>
      <c r="H147" s="3577">
        <v>2534.5500000000002</v>
      </c>
      <c r="I147" s="3578">
        <f t="shared" si="42"/>
        <v>5069.1000000000004</v>
      </c>
      <c r="J147" s="3583">
        <f t="shared" si="43"/>
        <v>5069.1000000000004</v>
      </c>
      <c r="K147" s="3574" t="s">
        <v>5105</v>
      </c>
      <c r="L147" s="3565"/>
      <c r="M147" s="3565"/>
      <c r="N147" s="3565"/>
      <c r="O147" s="3565"/>
      <c r="P147" s="3565"/>
      <c r="Q147" s="3565"/>
      <c r="R147" s="3590">
        <f t="shared" si="45"/>
        <v>5069.1000000000004</v>
      </c>
      <c r="S147" s="3590">
        <f t="shared" si="45"/>
        <v>5069.1000000000004</v>
      </c>
      <c r="T147" s="3590">
        <f t="shared" si="45"/>
        <v>5069.1000000000004</v>
      </c>
      <c r="U147" s="3590">
        <f t="shared" si="45"/>
        <v>5069.1000000000004</v>
      </c>
      <c r="V147" s="3590">
        <f t="shared" si="45"/>
        <v>5069.1000000000004</v>
      </c>
      <c r="W147" s="3590">
        <f t="shared" si="45"/>
        <v>5069.1000000000004</v>
      </c>
      <c r="X147" s="3590">
        <f t="shared" si="45"/>
        <v>5069.1000000000004</v>
      </c>
      <c r="Y147" s="3590">
        <f t="shared" si="45"/>
        <v>5069.1000000000004</v>
      </c>
      <c r="Z147" s="3590">
        <f t="shared" si="45"/>
        <v>5069.1000000000004</v>
      </c>
      <c r="AA147" s="3590">
        <f t="shared" si="45"/>
        <v>5069.1000000000004</v>
      </c>
      <c r="AB147" s="3590">
        <f t="shared" si="45"/>
        <v>5069.1000000000004</v>
      </c>
      <c r="AC147" s="3590">
        <f t="shared" si="45"/>
        <v>5069.1000000000004</v>
      </c>
      <c r="AD147" s="2875"/>
    </row>
    <row r="148" spans="2:30" s="2864" customFormat="1" ht="14.25" thickBot="1" x14ac:dyDescent="0.3">
      <c r="B148" s="2876"/>
      <c r="C148" s="4989"/>
      <c r="D148" s="5013"/>
      <c r="E148" s="3582" t="s">
        <v>5905</v>
      </c>
      <c r="F148" s="3575" t="s">
        <v>5006</v>
      </c>
      <c r="G148" s="3576">
        <v>2</v>
      </c>
      <c r="H148" s="3577">
        <f>6991.56*0.25</f>
        <v>1747.89</v>
      </c>
      <c r="I148" s="3578">
        <f t="shared" si="42"/>
        <v>3495.78</v>
      </c>
      <c r="J148" s="3583">
        <f t="shared" si="43"/>
        <v>3495.78</v>
      </c>
      <c r="K148" s="3574" t="s">
        <v>5105</v>
      </c>
      <c r="L148" s="3565"/>
      <c r="M148" s="3565"/>
      <c r="N148" s="3565"/>
      <c r="O148" s="3565"/>
      <c r="P148" s="3565"/>
      <c r="Q148" s="3565"/>
      <c r="R148" s="3590">
        <f t="shared" si="45"/>
        <v>3495.78</v>
      </c>
      <c r="S148" s="3590">
        <f t="shared" si="45"/>
        <v>3495.78</v>
      </c>
      <c r="T148" s="3590">
        <f t="shared" si="45"/>
        <v>3495.78</v>
      </c>
      <c r="U148" s="3590">
        <f t="shared" si="45"/>
        <v>3495.78</v>
      </c>
      <c r="V148" s="3590">
        <f t="shared" si="45"/>
        <v>3495.78</v>
      </c>
      <c r="W148" s="3590">
        <f t="shared" si="45"/>
        <v>3495.78</v>
      </c>
      <c r="X148" s="3590">
        <f t="shared" si="45"/>
        <v>3495.78</v>
      </c>
      <c r="Y148" s="3590">
        <f t="shared" si="45"/>
        <v>3495.78</v>
      </c>
      <c r="Z148" s="3590">
        <f t="shared" si="45"/>
        <v>3495.78</v>
      </c>
      <c r="AA148" s="3590">
        <f t="shared" si="45"/>
        <v>3495.78</v>
      </c>
      <c r="AB148" s="3590">
        <f t="shared" si="45"/>
        <v>3495.78</v>
      </c>
      <c r="AC148" s="3590">
        <f t="shared" si="45"/>
        <v>3495.78</v>
      </c>
      <c r="AD148" s="2875"/>
    </row>
    <row r="149" spans="2:30" s="2864" customFormat="1" ht="14.25" thickBot="1" x14ac:dyDescent="0.3">
      <c r="B149" s="2876"/>
      <c r="C149" s="4989"/>
      <c r="D149" s="5013"/>
      <c r="E149" s="3582" t="s">
        <v>5906</v>
      </c>
      <c r="F149" s="3575" t="s">
        <v>5006</v>
      </c>
      <c r="G149" s="3576">
        <v>2</v>
      </c>
      <c r="H149" s="3577">
        <v>819.6</v>
      </c>
      <c r="I149" s="3578">
        <f t="shared" si="42"/>
        <v>1639.2</v>
      </c>
      <c r="J149" s="3583">
        <f t="shared" si="43"/>
        <v>1639.2</v>
      </c>
      <c r="K149" s="3574" t="s">
        <v>5105</v>
      </c>
      <c r="L149" s="3565"/>
      <c r="M149" s="3565"/>
      <c r="N149" s="3565"/>
      <c r="O149" s="3565"/>
      <c r="P149" s="3565"/>
      <c r="Q149" s="3565"/>
      <c r="R149" s="3590">
        <f t="shared" si="45"/>
        <v>1639.2</v>
      </c>
      <c r="S149" s="3590">
        <f t="shared" si="45"/>
        <v>1639.2</v>
      </c>
      <c r="T149" s="3590">
        <f t="shared" si="45"/>
        <v>1639.2</v>
      </c>
      <c r="U149" s="3590">
        <f t="shared" si="45"/>
        <v>1639.2</v>
      </c>
      <c r="V149" s="3590">
        <f t="shared" si="45"/>
        <v>1639.2</v>
      </c>
      <c r="W149" s="3590">
        <f t="shared" si="45"/>
        <v>1639.2</v>
      </c>
      <c r="X149" s="3590">
        <f t="shared" si="45"/>
        <v>1639.2</v>
      </c>
      <c r="Y149" s="3590">
        <f t="shared" si="45"/>
        <v>1639.2</v>
      </c>
      <c r="Z149" s="3590">
        <f t="shared" si="45"/>
        <v>1639.2</v>
      </c>
      <c r="AA149" s="3590">
        <f t="shared" si="45"/>
        <v>1639.2</v>
      </c>
      <c r="AB149" s="3590">
        <f t="shared" si="45"/>
        <v>1639.2</v>
      </c>
      <c r="AC149" s="3590">
        <f t="shared" si="45"/>
        <v>1639.2</v>
      </c>
      <c r="AD149" s="2875"/>
    </row>
    <row r="150" spans="2:30" s="2864" customFormat="1" ht="14.25" thickBot="1" x14ac:dyDescent="0.3">
      <c r="B150" s="2876"/>
      <c r="C150" s="4989"/>
      <c r="D150" s="5013"/>
      <c r="E150" s="3588" t="s">
        <v>5076</v>
      </c>
      <c r="F150" s="3575"/>
      <c r="G150" s="3576"/>
      <c r="H150" s="3577"/>
      <c r="I150" s="3578">
        <f t="shared" si="42"/>
        <v>0</v>
      </c>
      <c r="J150" s="3583">
        <f t="shared" si="43"/>
        <v>0</v>
      </c>
      <c r="K150" s="3574"/>
      <c r="L150" s="3565"/>
      <c r="M150" s="3565"/>
      <c r="N150" s="3565"/>
      <c r="O150" s="3565"/>
      <c r="P150" s="3565"/>
      <c r="Q150" s="3565"/>
      <c r="R150" s="3590">
        <f t="shared" si="45"/>
        <v>0</v>
      </c>
      <c r="S150" s="3590">
        <f t="shared" si="45"/>
        <v>0</v>
      </c>
      <c r="T150" s="3590">
        <f t="shared" si="45"/>
        <v>0</v>
      </c>
      <c r="U150" s="3590">
        <f t="shared" si="45"/>
        <v>0</v>
      </c>
      <c r="V150" s="3590">
        <f t="shared" si="45"/>
        <v>0</v>
      </c>
      <c r="W150" s="3590">
        <f t="shared" si="45"/>
        <v>0</v>
      </c>
      <c r="X150" s="3590">
        <f t="shared" si="45"/>
        <v>0</v>
      </c>
      <c r="Y150" s="3590">
        <f t="shared" si="45"/>
        <v>0</v>
      </c>
      <c r="Z150" s="3590">
        <f t="shared" si="45"/>
        <v>0</v>
      </c>
      <c r="AA150" s="3590">
        <f t="shared" si="45"/>
        <v>0</v>
      </c>
      <c r="AB150" s="3590">
        <f t="shared" si="45"/>
        <v>0</v>
      </c>
      <c r="AC150" s="3590">
        <f t="shared" si="45"/>
        <v>0</v>
      </c>
      <c r="AD150" s="2875"/>
    </row>
    <row r="151" spans="2:30" s="2864" customFormat="1" ht="14.25" thickBot="1" x14ac:dyDescent="0.3">
      <c r="B151" s="2876"/>
      <c r="C151" s="4989"/>
      <c r="D151" s="5013"/>
      <c r="E151" s="3584" t="s">
        <v>5087</v>
      </c>
      <c r="F151" s="3575" t="s">
        <v>5006</v>
      </c>
      <c r="G151" s="3576">
        <v>1</v>
      </c>
      <c r="H151" s="3577">
        <v>1178.98</v>
      </c>
      <c r="I151" s="3578">
        <f t="shared" si="42"/>
        <v>1178.98</v>
      </c>
      <c r="J151" s="3583">
        <f t="shared" si="43"/>
        <v>1178.98</v>
      </c>
      <c r="K151" s="3574" t="s">
        <v>5105</v>
      </c>
      <c r="L151" s="3565"/>
      <c r="M151" s="3565"/>
      <c r="N151" s="3565"/>
      <c r="O151" s="3565"/>
      <c r="P151" s="3565"/>
      <c r="Q151" s="3565"/>
      <c r="R151" s="3590">
        <f t="shared" si="45"/>
        <v>1178.98</v>
      </c>
      <c r="S151" s="3590">
        <f t="shared" si="45"/>
        <v>1178.98</v>
      </c>
      <c r="T151" s="3590">
        <f t="shared" si="45"/>
        <v>1178.98</v>
      </c>
      <c r="U151" s="3590">
        <f t="shared" si="45"/>
        <v>1178.98</v>
      </c>
      <c r="V151" s="3590">
        <f t="shared" si="45"/>
        <v>1178.98</v>
      </c>
      <c r="W151" s="3590">
        <f t="shared" si="45"/>
        <v>1178.98</v>
      </c>
      <c r="X151" s="3590">
        <f t="shared" si="45"/>
        <v>1178.98</v>
      </c>
      <c r="Y151" s="3590">
        <f t="shared" si="45"/>
        <v>1178.98</v>
      </c>
      <c r="Z151" s="3590">
        <f t="shared" si="45"/>
        <v>1178.98</v>
      </c>
      <c r="AA151" s="3590">
        <f t="shared" si="45"/>
        <v>1178.98</v>
      </c>
      <c r="AB151" s="3590">
        <f t="shared" si="45"/>
        <v>1178.98</v>
      </c>
      <c r="AC151" s="3590">
        <f t="shared" si="45"/>
        <v>1178.98</v>
      </c>
      <c r="AD151" s="2875"/>
    </row>
    <row r="152" spans="2:30" s="2864" customFormat="1" ht="14.25" thickBot="1" x14ac:dyDescent="0.3">
      <c r="B152" s="2876"/>
      <c r="C152" s="4989"/>
      <c r="D152" s="5013"/>
      <c r="E152" s="3588" t="s">
        <v>5907</v>
      </c>
      <c r="F152" s="3575"/>
      <c r="G152" s="3576"/>
      <c r="H152" s="3577"/>
      <c r="I152" s="3578">
        <f t="shared" si="42"/>
        <v>0</v>
      </c>
      <c r="J152" s="3583">
        <f t="shared" si="43"/>
        <v>0</v>
      </c>
      <c r="K152" s="3574"/>
      <c r="L152" s="3565"/>
      <c r="M152" s="3565"/>
      <c r="N152" s="3565"/>
      <c r="O152" s="3565"/>
      <c r="P152" s="3565"/>
      <c r="Q152" s="3565"/>
      <c r="R152" s="3590">
        <f t="shared" si="45"/>
        <v>0</v>
      </c>
      <c r="S152" s="3590">
        <f t="shared" si="45"/>
        <v>0</v>
      </c>
      <c r="T152" s="3590">
        <f t="shared" si="45"/>
        <v>0</v>
      </c>
      <c r="U152" s="3590">
        <f t="shared" si="45"/>
        <v>0</v>
      </c>
      <c r="V152" s="3590">
        <f t="shared" si="45"/>
        <v>0</v>
      </c>
      <c r="W152" s="3590">
        <f t="shared" si="45"/>
        <v>0</v>
      </c>
      <c r="X152" s="3590">
        <f t="shared" si="45"/>
        <v>0</v>
      </c>
      <c r="Y152" s="3590">
        <f t="shared" si="45"/>
        <v>0</v>
      </c>
      <c r="Z152" s="3590">
        <f t="shared" si="45"/>
        <v>0</v>
      </c>
      <c r="AA152" s="3590">
        <f t="shared" si="45"/>
        <v>0</v>
      </c>
      <c r="AB152" s="3590">
        <f t="shared" si="45"/>
        <v>0</v>
      </c>
      <c r="AC152" s="3590">
        <f t="shared" si="45"/>
        <v>0</v>
      </c>
      <c r="AD152" s="2875"/>
    </row>
    <row r="153" spans="2:30" s="2864" customFormat="1" ht="14.25" thickBot="1" x14ac:dyDescent="0.3">
      <c r="B153" s="2876"/>
      <c r="C153" s="4989"/>
      <c r="D153" s="5013"/>
      <c r="E153" s="3584" t="s">
        <v>5904</v>
      </c>
      <c r="F153" s="3575" t="s">
        <v>5006</v>
      </c>
      <c r="G153" s="3576">
        <v>2</v>
      </c>
      <c r="H153" s="3577">
        <f>2534.55/2</f>
        <v>1267.2750000000001</v>
      </c>
      <c r="I153" s="3578">
        <f t="shared" si="42"/>
        <v>2534.5500000000002</v>
      </c>
      <c r="J153" s="3583">
        <f t="shared" si="43"/>
        <v>2534.5500000000002</v>
      </c>
      <c r="K153" s="3574" t="s">
        <v>5908</v>
      </c>
      <c r="L153" s="3565"/>
      <c r="M153" s="3565"/>
      <c r="N153" s="3565"/>
      <c r="O153" s="3565"/>
      <c r="P153" s="3565"/>
      <c r="Q153" s="3565"/>
      <c r="R153" s="3590">
        <f t="shared" si="45"/>
        <v>2534.5500000000002</v>
      </c>
      <c r="S153" s="3590">
        <f t="shared" si="45"/>
        <v>2534.5500000000002</v>
      </c>
      <c r="T153" s="3590">
        <f t="shared" si="45"/>
        <v>2534.5500000000002</v>
      </c>
      <c r="U153" s="3590">
        <f t="shared" si="45"/>
        <v>2534.5500000000002</v>
      </c>
      <c r="V153" s="3590">
        <f t="shared" si="45"/>
        <v>2534.5500000000002</v>
      </c>
      <c r="W153" s="3590">
        <f t="shared" si="45"/>
        <v>2534.5500000000002</v>
      </c>
      <c r="X153" s="3590">
        <f t="shared" si="45"/>
        <v>2534.5500000000002</v>
      </c>
      <c r="Y153" s="3590">
        <f t="shared" si="45"/>
        <v>2534.5500000000002</v>
      </c>
      <c r="Z153" s="3590">
        <f t="shared" si="45"/>
        <v>2534.5500000000002</v>
      </c>
      <c r="AA153" s="3590">
        <f t="shared" si="45"/>
        <v>2534.5500000000002</v>
      </c>
      <c r="AB153" s="3590">
        <f t="shared" si="45"/>
        <v>2534.5500000000002</v>
      </c>
      <c r="AC153" s="3590">
        <f t="shared" si="45"/>
        <v>2534.5500000000002</v>
      </c>
      <c r="AD153" s="2875"/>
    </row>
    <row r="154" spans="2:30" s="2864" customFormat="1" ht="14.25" thickBot="1" x14ac:dyDescent="0.3">
      <c r="B154" s="2876"/>
      <c r="C154" s="4989"/>
      <c r="D154" s="5013"/>
      <c r="E154" s="3584" t="s">
        <v>5909</v>
      </c>
      <c r="F154" s="3575" t="s">
        <v>5006</v>
      </c>
      <c r="G154" s="3576">
        <v>2</v>
      </c>
      <c r="H154" s="3577">
        <v>1534.55</v>
      </c>
      <c r="I154" s="3578">
        <f t="shared" si="42"/>
        <v>3069.1</v>
      </c>
      <c r="J154" s="3583">
        <f t="shared" si="43"/>
        <v>3069.1</v>
      </c>
      <c r="K154" s="3574" t="s">
        <v>5908</v>
      </c>
      <c r="L154" s="3565"/>
      <c r="M154" s="3565"/>
      <c r="N154" s="3565"/>
      <c r="O154" s="3565"/>
      <c r="P154" s="3565"/>
      <c r="Q154" s="3565"/>
      <c r="R154" s="3590">
        <f t="shared" si="45"/>
        <v>3069.1</v>
      </c>
      <c r="S154" s="3590">
        <f t="shared" si="45"/>
        <v>3069.1</v>
      </c>
      <c r="T154" s="3590">
        <f t="shared" si="45"/>
        <v>3069.1</v>
      </c>
      <c r="U154" s="3590">
        <f t="shared" si="45"/>
        <v>3069.1</v>
      </c>
      <c r="V154" s="3590">
        <f t="shared" si="45"/>
        <v>3069.1</v>
      </c>
      <c r="W154" s="3590">
        <f t="shared" si="45"/>
        <v>3069.1</v>
      </c>
      <c r="X154" s="3590">
        <f t="shared" si="45"/>
        <v>3069.1</v>
      </c>
      <c r="Y154" s="3590">
        <f t="shared" si="45"/>
        <v>3069.1</v>
      </c>
      <c r="Z154" s="3590">
        <f t="shared" si="45"/>
        <v>3069.1</v>
      </c>
      <c r="AA154" s="3590">
        <f t="shared" si="45"/>
        <v>3069.1</v>
      </c>
      <c r="AB154" s="3590">
        <f t="shared" si="45"/>
        <v>3069.1</v>
      </c>
      <c r="AC154" s="3590">
        <f t="shared" si="45"/>
        <v>3069.1</v>
      </c>
      <c r="AD154" s="2875"/>
    </row>
    <row r="155" spans="2:30" s="2864" customFormat="1" ht="14.25" thickBot="1" x14ac:dyDescent="0.3">
      <c r="B155" s="2876"/>
      <c r="C155" s="4989"/>
      <c r="D155" s="5013"/>
      <c r="E155" s="3588" t="s">
        <v>5885</v>
      </c>
      <c r="F155" s="3575"/>
      <c r="G155" s="3576"/>
      <c r="H155" s="3585"/>
      <c r="I155" s="3578">
        <f t="shared" si="42"/>
        <v>0</v>
      </c>
      <c r="J155" s="3583">
        <f t="shared" si="43"/>
        <v>0</v>
      </c>
      <c r="K155" s="3574"/>
      <c r="L155" s="3565"/>
      <c r="M155" s="3565"/>
      <c r="N155" s="3565"/>
      <c r="O155" s="3565"/>
      <c r="P155" s="3565"/>
      <c r="Q155" s="3565"/>
      <c r="R155" s="3590">
        <f t="shared" si="45"/>
        <v>0</v>
      </c>
      <c r="S155" s="3590">
        <f t="shared" si="45"/>
        <v>0</v>
      </c>
      <c r="T155" s="3590">
        <f t="shared" si="45"/>
        <v>0</v>
      </c>
      <c r="U155" s="3590">
        <f t="shared" si="45"/>
        <v>0</v>
      </c>
      <c r="V155" s="3590">
        <f t="shared" si="45"/>
        <v>0</v>
      </c>
      <c r="W155" s="3590">
        <f t="shared" si="45"/>
        <v>0</v>
      </c>
      <c r="X155" s="3590">
        <f t="shared" si="45"/>
        <v>0</v>
      </c>
      <c r="Y155" s="3590">
        <f t="shared" si="45"/>
        <v>0</v>
      </c>
      <c r="Z155" s="3590">
        <f t="shared" si="45"/>
        <v>0</v>
      </c>
      <c r="AA155" s="3590">
        <f t="shared" si="45"/>
        <v>0</v>
      </c>
      <c r="AB155" s="3590">
        <f t="shared" si="45"/>
        <v>0</v>
      </c>
      <c r="AC155" s="3590">
        <f t="shared" si="45"/>
        <v>0</v>
      </c>
      <c r="AD155" s="2875"/>
    </row>
    <row r="156" spans="2:30" s="2864" customFormat="1" ht="14.25" thickBot="1" x14ac:dyDescent="0.3">
      <c r="B156" s="2876"/>
      <c r="C156" s="4989"/>
      <c r="D156" s="5013"/>
      <c r="E156" s="3582" t="s">
        <v>5886</v>
      </c>
      <c r="F156" s="3575" t="s">
        <v>5006</v>
      </c>
      <c r="G156" s="3576">
        <v>1</v>
      </c>
      <c r="H156" s="3586">
        <v>2500</v>
      </c>
      <c r="I156" s="3578">
        <f t="shared" si="42"/>
        <v>2500</v>
      </c>
      <c r="J156" s="3583">
        <f t="shared" si="43"/>
        <v>2500</v>
      </c>
      <c r="K156" s="3574" t="s">
        <v>5105</v>
      </c>
      <c r="L156" s="3565"/>
      <c r="M156" s="3565"/>
      <c r="N156" s="3565"/>
      <c r="O156" s="3565"/>
      <c r="P156" s="3587"/>
      <c r="Q156" s="3587"/>
      <c r="R156" s="3590">
        <f t="shared" si="45"/>
        <v>2500</v>
      </c>
      <c r="S156" s="3590">
        <f t="shared" si="45"/>
        <v>2500</v>
      </c>
      <c r="T156" s="3590">
        <f t="shared" si="45"/>
        <v>2500</v>
      </c>
      <c r="U156" s="3590">
        <f t="shared" si="45"/>
        <v>2500</v>
      </c>
      <c r="V156" s="3590">
        <f t="shared" si="45"/>
        <v>2500</v>
      </c>
      <c r="W156" s="3590">
        <f t="shared" si="45"/>
        <v>2500</v>
      </c>
      <c r="X156" s="3590">
        <f t="shared" si="45"/>
        <v>2500</v>
      </c>
      <c r="Y156" s="3590">
        <f t="shared" si="45"/>
        <v>2500</v>
      </c>
      <c r="Z156" s="3590">
        <f t="shared" si="45"/>
        <v>2500</v>
      </c>
      <c r="AA156" s="3590">
        <f t="shared" si="45"/>
        <v>2500</v>
      </c>
      <c r="AB156" s="3590">
        <f t="shared" si="45"/>
        <v>2500</v>
      </c>
      <c r="AC156" s="3590">
        <f t="shared" si="45"/>
        <v>2500</v>
      </c>
      <c r="AD156" s="2875"/>
    </row>
    <row r="157" spans="2:30" s="2864" customFormat="1" ht="14.25" thickBot="1" x14ac:dyDescent="0.3">
      <c r="B157" s="2876"/>
      <c r="C157" s="4989"/>
      <c r="D157" s="5013"/>
      <c r="E157" s="3582" t="s">
        <v>5887</v>
      </c>
      <c r="F157" s="3575" t="s">
        <v>5006</v>
      </c>
      <c r="G157" s="3576">
        <v>1</v>
      </c>
      <c r="H157" s="3586">
        <v>2500</v>
      </c>
      <c r="I157" s="3578">
        <f t="shared" si="42"/>
        <v>2500</v>
      </c>
      <c r="J157" s="3583">
        <f t="shared" si="43"/>
        <v>2500</v>
      </c>
      <c r="K157" s="3574" t="s">
        <v>5105</v>
      </c>
      <c r="L157" s="3565"/>
      <c r="M157" s="3565"/>
      <c r="N157" s="3565"/>
      <c r="O157" s="3565"/>
      <c r="P157" s="3587"/>
      <c r="Q157" s="3587"/>
      <c r="R157" s="3590">
        <f t="shared" si="45"/>
        <v>2500</v>
      </c>
      <c r="S157" s="3590">
        <f t="shared" si="45"/>
        <v>2500</v>
      </c>
      <c r="T157" s="3590">
        <f t="shared" si="45"/>
        <v>2500</v>
      </c>
      <c r="U157" s="3590">
        <f t="shared" si="45"/>
        <v>2500</v>
      </c>
      <c r="V157" s="3590">
        <f t="shared" si="45"/>
        <v>2500</v>
      </c>
      <c r="W157" s="3590">
        <f t="shared" si="45"/>
        <v>2500</v>
      </c>
      <c r="X157" s="3590">
        <f t="shared" si="45"/>
        <v>2500</v>
      </c>
      <c r="Y157" s="3590">
        <f t="shared" si="45"/>
        <v>2500</v>
      </c>
      <c r="Z157" s="3590">
        <f t="shared" si="45"/>
        <v>2500</v>
      </c>
      <c r="AA157" s="3590">
        <f t="shared" si="45"/>
        <v>2500</v>
      </c>
      <c r="AB157" s="3590">
        <f t="shared" si="45"/>
        <v>2500</v>
      </c>
      <c r="AC157" s="3590">
        <f t="shared" si="45"/>
        <v>2500</v>
      </c>
      <c r="AD157" s="2875"/>
    </row>
    <row r="158" spans="2:30" s="2864" customFormat="1" ht="14.25" thickBot="1" x14ac:dyDescent="0.3">
      <c r="B158" s="2876"/>
      <c r="C158" s="4989"/>
      <c r="D158" s="5013"/>
      <c r="E158" s="3565"/>
      <c r="F158" s="3566"/>
      <c r="G158" s="3567"/>
      <c r="H158" s="3568"/>
      <c r="I158" s="3569"/>
      <c r="J158" s="3570"/>
      <c r="K158" s="3571"/>
      <c r="L158" s="3572"/>
      <c r="M158" s="3572"/>
      <c r="N158" s="3572"/>
      <c r="O158" s="3572"/>
      <c r="P158" s="3573"/>
      <c r="Q158" s="3573"/>
      <c r="R158" s="3573"/>
      <c r="S158" s="3573"/>
      <c r="T158" s="3573"/>
      <c r="U158" s="3573"/>
      <c r="V158" s="3573"/>
      <c r="W158" s="3573"/>
      <c r="X158" s="3573"/>
      <c r="Y158" s="3573"/>
      <c r="Z158" s="3573"/>
      <c r="AA158" s="3573"/>
      <c r="AB158" s="3573"/>
      <c r="AC158" s="3573"/>
      <c r="AD158" s="2875"/>
    </row>
    <row r="159" spans="2:30" ht="14.25" thickBot="1" x14ac:dyDescent="0.3">
      <c r="B159" s="2874"/>
      <c r="C159" s="3472" t="s">
        <v>5043</v>
      </c>
      <c r="D159" s="2995"/>
      <c r="E159" s="2996"/>
      <c r="F159" s="3472"/>
      <c r="G159" s="3472"/>
      <c r="H159" s="2997"/>
      <c r="I159" s="2998"/>
      <c r="J159" s="2999">
        <f>SUM(J121,J142)</f>
        <v>63870.14</v>
      </c>
      <c r="K159" s="3000"/>
      <c r="L159" s="3001"/>
      <c r="M159" s="3001"/>
      <c r="N159" s="3001"/>
      <c r="O159" s="3001"/>
      <c r="P159" s="3002"/>
      <c r="Q159" s="3002"/>
      <c r="R159" s="3002">
        <f t="shared" ref="R159:AC159" si="46">R142+R121</f>
        <v>63870.14</v>
      </c>
      <c r="S159" s="3002">
        <f t="shared" si="46"/>
        <v>63870.14</v>
      </c>
      <c r="T159" s="3002">
        <f t="shared" si="46"/>
        <v>63870.14</v>
      </c>
      <c r="U159" s="3002">
        <f t="shared" si="46"/>
        <v>63870.14</v>
      </c>
      <c r="V159" s="3002">
        <f t="shared" si="46"/>
        <v>63870.14</v>
      </c>
      <c r="W159" s="3002">
        <f t="shared" si="46"/>
        <v>63870.14</v>
      </c>
      <c r="X159" s="3002">
        <f t="shared" si="46"/>
        <v>63870.14</v>
      </c>
      <c r="Y159" s="3002">
        <f t="shared" si="46"/>
        <v>63870.14</v>
      </c>
      <c r="Z159" s="3002">
        <f t="shared" si="46"/>
        <v>63870.14</v>
      </c>
      <c r="AA159" s="3002">
        <f t="shared" si="46"/>
        <v>63870.14</v>
      </c>
      <c r="AB159" s="3002">
        <f t="shared" si="46"/>
        <v>63870.14</v>
      </c>
      <c r="AC159" s="3002">
        <f t="shared" si="46"/>
        <v>63870.14</v>
      </c>
      <c r="AD159" s="2643"/>
    </row>
    <row r="160" spans="2:30" ht="27.75" thickBot="1" x14ac:dyDescent="0.3">
      <c r="B160" s="2874"/>
      <c r="C160" s="3472" t="s">
        <v>5044</v>
      </c>
      <c r="D160" s="2995"/>
      <c r="E160" s="2996"/>
      <c r="F160" s="3472"/>
      <c r="G160" s="3472"/>
      <c r="H160" s="2997"/>
      <c r="I160" s="2998"/>
      <c r="J160" s="2998"/>
      <c r="K160" s="3000"/>
      <c r="L160" s="3003">
        <f>+J159</f>
        <v>63870.14</v>
      </c>
      <c r="M160" s="3001"/>
      <c r="N160" s="3001"/>
      <c r="O160" s="3001"/>
      <c r="P160" s="3004"/>
      <c r="Q160" s="3004"/>
      <c r="R160" s="3004">
        <f>R159/$L$160</f>
        <v>1</v>
      </c>
      <c r="S160" s="3004">
        <f t="shared" ref="S160:AC160" si="47">S159/$L$160</f>
        <v>1</v>
      </c>
      <c r="T160" s="3004">
        <f t="shared" si="47"/>
        <v>1</v>
      </c>
      <c r="U160" s="3004">
        <f t="shared" si="47"/>
        <v>1</v>
      </c>
      <c r="V160" s="3004">
        <f t="shared" si="47"/>
        <v>1</v>
      </c>
      <c r="W160" s="3004">
        <f t="shared" si="47"/>
        <v>1</v>
      </c>
      <c r="X160" s="3004">
        <f t="shared" si="47"/>
        <v>1</v>
      </c>
      <c r="Y160" s="3004">
        <f t="shared" si="47"/>
        <v>1</v>
      </c>
      <c r="Z160" s="3004">
        <f t="shared" si="47"/>
        <v>1</v>
      </c>
      <c r="AA160" s="3004">
        <f t="shared" si="47"/>
        <v>1</v>
      </c>
      <c r="AB160" s="3004">
        <f t="shared" si="47"/>
        <v>1</v>
      </c>
      <c r="AC160" s="3004">
        <f t="shared" si="47"/>
        <v>1</v>
      </c>
      <c r="AD160" s="2643"/>
    </row>
    <row r="161" spans="2:30" ht="14.25" thickBot="1" x14ac:dyDescent="0.3">
      <c r="B161" s="2874"/>
      <c r="C161" s="5014" t="s">
        <v>5089</v>
      </c>
      <c r="D161" s="4999" t="s">
        <v>4271</v>
      </c>
      <c r="E161" s="2882"/>
      <c r="F161" s="3473"/>
      <c r="G161" s="3473"/>
      <c r="H161" s="2900"/>
      <c r="I161" s="2884"/>
      <c r="J161" s="2885">
        <f>SUM(J162:J176)</f>
        <v>151470</v>
      </c>
      <c r="K161" s="3473"/>
      <c r="L161" s="2886"/>
      <c r="M161" s="2891"/>
      <c r="N161" s="2891"/>
      <c r="O161" s="2891"/>
      <c r="P161" s="2887"/>
      <c r="Q161" s="2887"/>
      <c r="R161" s="2887">
        <f>SUM(R162:R176)</f>
        <v>151470</v>
      </c>
      <c r="S161" s="2887">
        <f t="shared" ref="S161:AC161" si="48">SUM(S162:S176)</f>
        <v>151470</v>
      </c>
      <c r="T161" s="2887">
        <f t="shared" si="48"/>
        <v>151470</v>
      </c>
      <c r="U161" s="2887">
        <f t="shared" si="48"/>
        <v>151470</v>
      </c>
      <c r="V161" s="2887">
        <f t="shared" si="48"/>
        <v>151470</v>
      </c>
      <c r="W161" s="2887">
        <f t="shared" si="48"/>
        <v>151470</v>
      </c>
      <c r="X161" s="2887">
        <f t="shared" si="48"/>
        <v>151470</v>
      </c>
      <c r="Y161" s="2887">
        <f t="shared" si="48"/>
        <v>151470</v>
      </c>
      <c r="Z161" s="2887">
        <f t="shared" si="48"/>
        <v>151470</v>
      </c>
      <c r="AA161" s="2887">
        <f t="shared" si="48"/>
        <v>151470</v>
      </c>
      <c r="AB161" s="2887">
        <f t="shared" si="48"/>
        <v>151470</v>
      </c>
      <c r="AC161" s="2887">
        <f t="shared" si="48"/>
        <v>151470</v>
      </c>
      <c r="AD161" s="2643"/>
    </row>
    <row r="162" spans="2:30" ht="14.25" thickBot="1" x14ac:dyDescent="0.3">
      <c r="B162" s="2874"/>
      <c r="C162" s="5014"/>
      <c r="D162" s="4999"/>
      <c r="E162" s="2893" t="s">
        <v>5090</v>
      </c>
      <c r="F162" s="3480" t="s">
        <v>5091</v>
      </c>
      <c r="G162" s="2909">
        <v>78</v>
      </c>
      <c r="H162" s="2920">
        <v>65</v>
      </c>
      <c r="I162" s="2921">
        <f>H162*G162</f>
        <v>5070</v>
      </c>
      <c r="J162" s="2921">
        <f>I162*3</f>
        <v>15210</v>
      </c>
      <c r="K162" s="2922" t="s">
        <v>5056</v>
      </c>
      <c r="L162" s="2898"/>
      <c r="M162" s="2898"/>
      <c r="N162" s="2898"/>
      <c r="O162" s="2898"/>
      <c r="P162" s="2905"/>
      <c r="Q162" s="2905"/>
      <c r="R162" s="2905">
        <f>$J162</f>
        <v>15210</v>
      </c>
      <c r="S162" s="2905">
        <f t="shared" ref="S162:AC162" si="49">$J162</f>
        <v>15210</v>
      </c>
      <c r="T162" s="2905">
        <f t="shared" si="49"/>
        <v>15210</v>
      </c>
      <c r="U162" s="2905">
        <f t="shared" si="49"/>
        <v>15210</v>
      </c>
      <c r="V162" s="2905">
        <f t="shared" si="49"/>
        <v>15210</v>
      </c>
      <c r="W162" s="2905">
        <f t="shared" si="49"/>
        <v>15210</v>
      </c>
      <c r="X162" s="2905">
        <f t="shared" si="49"/>
        <v>15210</v>
      </c>
      <c r="Y162" s="2905">
        <f t="shared" si="49"/>
        <v>15210</v>
      </c>
      <c r="Z162" s="2905">
        <f t="shared" si="49"/>
        <v>15210</v>
      </c>
      <c r="AA162" s="2905">
        <f t="shared" si="49"/>
        <v>15210</v>
      </c>
      <c r="AB162" s="2905">
        <f t="shared" si="49"/>
        <v>15210</v>
      </c>
      <c r="AC162" s="2905">
        <f t="shared" si="49"/>
        <v>15210</v>
      </c>
      <c r="AD162" s="2643"/>
    </row>
    <row r="163" spans="2:30" ht="14.25" thickBot="1" x14ac:dyDescent="0.3">
      <c r="B163" s="2874"/>
      <c r="C163" s="5014"/>
      <c r="D163" s="4999"/>
      <c r="E163" s="2923" t="s">
        <v>5092</v>
      </c>
      <c r="F163" s="3480" t="s">
        <v>5093</v>
      </c>
      <c r="G163" s="2909">
        <v>68</v>
      </c>
      <c r="H163" s="2920">
        <v>55</v>
      </c>
      <c r="I163" s="2921">
        <f t="shared" ref="I163:I175" si="50">H163*G163</f>
        <v>3740</v>
      </c>
      <c r="J163" s="2921">
        <f t="shared" ref="J163:J175" si="51">I163*3</f>
        <v>11220</v>
      </c>
      <c r="K163" s="2922" t="s">
        <v>5056</v>
      </c>
      <c r="L163" s="2898"/>
      <c r="M163" s="2898"/>
      <c r="N163" s="2898"/>
      <c r="O163" s="2898"/>
      <c r="P163" s="2905"/>
      <c r="Q163" s="2905"/>
      <c r="R163" s="2905">
        <f t="shared" ref="R163:AC175" si="52">$J163</f>
        <v>11220</v>
      </c>
      <c r="S163" s="2905">
        <f t="shared" si="52"/>
        <v>11220</v>
      </c>
      <c r="T163" s="2905">
        <f t="shared" si="52"/>
        <v>11220</v>
      </c>
      <c r="U163" s="2905">
        <f t="shared" si="52"/>
        <v>11220</v>
      </c>
      <c r="V163" s="2905">
        <f t="shared" si="52"/>
        <v>11220</v>
      </c>
      <c r="W163" s="2905">
        <f t="shared" si="52"/>
        <v>11220</v>
      </c>
      <c r="X163" s="2905">
        <f t="shared" si="52"/>
        <v>11220</v>
      </c>
      <c r="Y163" s="2905">
        <f t="shared" si="52"/>
        <v>11220</v>
      </c>
      <c r="Z163" s="2905">
        <f t="shared" si="52"/>
        <v>11220</v>
      </c>
      <c r="AA163" s="2905">
        <f t="shared" si="52"/>
        <v>11220</v>
      </c>
      <c r="AB163" s="2905">
        <f t="shared" si="52"/>
        <v>11220</v>
      </c>
      <c r="AC163" s="2905">
        <f t="shared" si="52"/>
        <v>11220</v>
      </c>
      <c r="AD163" s="2643"/>
    </row>
    <row r="164" spans="2:30" ht="14.25" thickBot="1" x14ac:dyDescent="0.3">
      <c r="B164" s="2874"/>
      <c r="C164" s="5014"/>
      <c r="D164" s="4999"/>
      <c r="E164" s="2923" t="s">
        <v>5094</v>
      </c>
      <c r="F164" s="3480" t="s">
        <v>5091</v>
      </c>
      <c r="G164" s="2909">
        <v>5</v>
      </c>
      <c r="H164" s="2920">
        <v>170</v>
      </c>
      <c r="I164" s="2921">
        <f t="shared" si="50"/>
        <v>850</v>
      </c>
      <c r="J164" s="2921">
        <f t="shared" si="51"/>
        <v>2550</v>
      </c>
      <c r="K164" s="2922" t="s">
        <v>5056</v>
      </c>
      <c r="L164" s="2898"/>
      <c r="M164" s="2898"/>
      <c r="N164" s="2898"/>
      <c r="O164" s="2898"/>
      <c r="P164" s="2905"/>
      <c r="Q164" s="2905"/>
      <c r="R164" s="2905">
        <f t="shared" si="52"/>
        <v>2550</v>
      </c>
      <c r="S164" s="2905">
        <f t="shared" si="52"/>
        <v>2550</v>
      </c>
      <c r="T164" s="2905">
        <f t="shared" si="52"/>
        <v>2550</v>
      </c>
      <c r="U164" s="2905">
        <f t="shared" si="52"/>
        <v>2550</v>
      </c>
      <c r="V164" s="2905">
        <f t="shared" si="52"/>
        <v>2550</v>
      </c>
      <c r="W164" s="2905">
        <f t="shared" si="52"/>
        <v>2550</v>
      </c>
      <c r="X164" s="2905">
        <f t="shared" si="52"/>
        <v>2550</v>
      </c>
      <c r="Y164" s="2905">
        <f t="shared" si="52"/>
        <v>2550</v>
      </c>
      <c r="Z164" s="2905">
        <f t="shared" si="52"/>
        <v>2550</v>
      </c>
      <c r="AA164" s="2905">
        <f t="shared" si="52"/>
        <v>2550</v>
      </c>
      <c r="AB164" s="2905">
        <f t="shared" si="52"/>
        <v>2550</v>
      </c>
      <c r="AC164" s="2905">
        <f t="shared" si="52"/>
        <v>2550</v>
      </c>
      <c r="AD164" s="2643"/>
    </row>
    <row r="165" spans="2:30" ht="14.25" customHeight="1" thickBot="1" x14ac:dyDescent="0.3">
      <c r="B165" s="2874"/>
      <c r="C165" s="5014"/>
      <c r="D165" s="4999"/>
      <c r="E165" s="2923" t="s">
        <v>5095</v>
      </c>
      <c r="F165" s="3480" t="s">
        <v>5093</v>
      </c>
      <c r="G165" s="2909">
        <v>6</v>
      </c>
      <c r="H165" s="2920">
        <v>75</v>
      </c>
      <c r="I165" s="2921">
        <f t="shared" si="50"/>
        <v>450</v>
      </c>
      <c r="J165" s="2921">
        <f t="shared" si="51"/>
        <v>1350</v>
      </c>
      <c r="K165" s="2922" t="s">
        <v>5056</v>
      </c>
      <c r="L165" s="2898"/>
      <c r="M165" s="2898"/>
      <c r="N165" s="2898"/>
      <c r="O165" s="2898"/>
      <c r="P165" s="2905"/>
      <c r="Q165" s="2905"/>
      <c r="R165" s="2905">
        <f t="shared" si="52"/>
        <v>1350</v>
      </c>
      <c r="S165" s="2905">
        <f t="shared" si="52"/>
        <v>1350</v>
      </c>
      <c r="T165" s="2905">
        <f t="shared" si="52"/>
        <v>1350</v>
      </c>
      <c r="U165" s="2905">
        <f t="shared" si="52"/>
        <v>1350</v>
      </c>
      <c r="V165" s="2905">
        <f t="shared" si="52"/>
        <v>1350</v>
      </c>
      <c r="W165" s="2905">
        <f t="shared" si="52"/>
        <v>1350</v>
      </c>
      <c r="X165" s="2905">
        <f t="shared" si="52"/>
        <v>1350</v>
      </c>
      <c r="Y165" s="2905">
        <f t="shared" si="52"/>
        <v>1350</v>
      </c>
      <c r="Z165" s="2905">
        <f t="shared" si="52"/>
        <v>1350</v>
      </c>
      <c r="AA165" s="2905">
        <f t="shared" si="52"/>
        <v>1350</v>
      </c>
      <c r="AB165" s="2905">
        <f t="shared" si="52"/>
        <v>1350</v>
      </c>
      <c r="AC165" s="2905">
        <f t="shared" si="52"/>
        <v>1350</v>
      </c>
      <c r="AD165" s="2643"/>
    </row>
    <row r="166" spans="2:30" ht="14.25" thickBot="1" x14ac:dyDescent="0.3">
      <c r="B166" s="2874"/>
      <c r="C166" s="5014"/>
      <c r="D166" s="4999"/>
      <c r="E166" s="2923" t="s">
        <v>5096</v>
      </c>
      <c r="F166" s="3480" t="s">
        <v>5006</v>
      </c>
      <c r="G166" s="2909">
        <v>3</v>
      </c>
      <c r="H166" s="2920">
        <v>900</v>
      </c>
      <c r="I166" s="2921">
        <f t="shared" si="50"/>
        <v>2700</v>
      </c>
      <c r="J166" s="2921">
        <f t="shared" si="51"/>
        <v>8100</v>
      </c>
      <c r="K166" s="2922" t="s">
        <v>5056</v>
      </c>
      <c r="L166" s="2898"/>
      <c r="M166" s="2898"/>
      <c r="N166" s="2898"/>
      <c r="O166" s="2898"/>
      <c r="P166" s="2905"/>
      <c r="Q166" s="2905"/>
      <c r="R166" s="2905">
        <f t="shared" si="52"/>
        <v>8100</v>
      </c>
      <c r="S166" s="2905">
        <f t="shared" si="52"/>
        <v>8100</v>
      </c>
      <c r="T166" s="2905">
        <f t="shared" si="52"/>
        <v>8100</v>
      </c>
      <c r="U166" s="2905">
        <f t="shared" si="52"/>
        <v>8100</v>
      </c>
      <c r="V166" s="2905">
        <f t="shared" si="52"/>
        <v>8100</v>
      </c>
      <c r="W166" s="2905">
        <f t="shared" si="52"/>
        <v>8100</v>
      </c>
      <c r="X166" s="2905">
        <f t="shared" si="52"/>
        <v>8100</v>
      </c>
      <c r="Y166" s="2905">
        <f t="shared" si="52"/>
        <v>8100</v>
      </c>
      <c r="Z166" s="2905">
        <f t="shared" si="52"/>
        <v>8100</v>
      </c>
      <c r="AA166" s="2905">
        <f t="shared" si="52"/>
        <v>8100</v>
      </c>
      <c r="AB166" s="2905">
        <f t="shared" si="52"/>
        <v>8100</v>
      </c>
      <c r="AC166" s="2905">
        <f t="shared" si="52"/>
        <v>8100</v>
      </c>
      <c r="AD166" s="2643"/>
    </row>
    <row r="167" spans="2:30" ht="14.25" thickBot="1" x14ac:dyDescent="0.3">
      <c r="B167" s="2874"/>
      <c r="C167" s="5014"/>
      <c r="D167" s="4999"/>
      <c r="E167" s="2923" t="s">
        <v>5097</v>
      </c>
      <c r="F167" s="3480" t="s">
        <v>5091</v>
      </c>
      <c r="G167" s="2909">
        <v>2</v>
      </c>
      <c r="H167" s="2920">
        <v>150</v>
      </c>
      <c r="I167" s="2921">
        <f t="shared" si="50"/>
        <v>300</v>
      </c>
      <c r="J167" s="2921">
        <f t="shared" si="51"/>
        <v>900</v>
      </c>
      <c r="K167" s="2922" t="s">
        <v>5056</v>
      </c>
      <c r="L167" s="2898"/>
      <c r="M167" s="2898"/>
      <c r="N167" s="2898"/>
      <c r="O167" s="2898"/>
      <c r="P167" s="2905"/>
      <c r="Q167" s="2905"/>
      <c r="R167" s="2905">
        <f t="shared" si="52"/>
        <v>900</v>
      </c>
      <c r="S167" s="2905">
        <f t="shared" si="52"/>
        <v>900</v>
      </c>
      <c r="T167" s="2905">
        <f t="shared" si="52"/>
        <v>900</v>
      </c>
      <c r="U167" s="2905">
        <f t="shared" si="52"/>
        <v>900</v>
      </c>
      <c r="V167" s="2905">
        <f t="shared" si="52"/>
        <v>900</v>
      </c>
      <c r="W167" s="2905">
        <f t="shared" si="52"/>
        <v>900</v>
      </c>
      <c r="X167" s="2905">
        <f t="shared" si="52"/>
        <v>900</v>
      </c>
      <c r="Y167" s="2905">
        <f t="shared" si="52"/>
        <v>900</v>
      </c>
      <c r="Z167" s="2905">
        <f t="shared" si="52"/>
        <v>900</v>
      </c>
      <c r="AA167" s="2905">
        <f t="shared" si="52"/>
        <v>900</v>
      </c>
      <c r="AB167" s="2905">
        <f t="shared" si="52"/>
        <v>900</v>
      </c>
      <c r="AC167" s="2905">
        <f t="shared" si="52"/>
        <v>900</v>
      </c>
      <c r="AD167" s="2643"/>
    </row>
    <row r="168" spans="2:30" ht="14.25" thickBot="1" x14ac:dyDescent="0.3">
      <c r="B168" s="2874"/>
      <c r="C168" s="5014"/>
      <c r="D168" s="4999"/>
      <c r="E168" s="2923" t="s">
        <v>5098</v>
      </c>
      <c r="F168" s="3480" t="s">
        <v>5099</v>
      </c>
      <c r="G168" s="2909">
        <v>1</v>
      </c>
      <c r="H168" s="2920">
        <v>2700</v>
      </c>
      <c r="I168" s="2921">
        <f t="shared" si="50"/>
        <v>2700</v>
      </c>
      <c r="J168" s="2921">
        <f t="shared" si="51"/>
        <v>8100</v>
      </c>
      <c r="K168" s="2922" t="s">
        <v>5056</v>
      </c>
      <c r="L168" s="2898"/>
      <c r="M168" s="2898"/>
      <c r="N168" s="2898"/>
      <c r="O168" s="2898"/>
      <c r="P168" s="2905"/>
      <c r="Q168" s="2905"/>
      <c r="R168" s="2905">
        <f t="shared" si="52"/>
        <v>8100</v>
      </c>
      <c r="S168" s="2905">
        <f t="shared" si="52"/>
        <v>8100</v>
      </c>
      <c r="T168" s="2905">
        <f t="shared" si="52"/>
        <v>8100</v>
      </c>
      <c r="U168" s="2905">
        <f t="shared" si="52"/>
        <v>8100</v>
      </c>
      <c r="V168" s="2905">
        <f t="shared" si="52"/>
        <v>8100</v>
      </c>
      <c r="W168" s="2905">
        <f t="shared" si="52"/>
        <v>8100</v>
      </c>
      <c r="X168" s="2905">
        <f t="shared" si="52"/>
        <v>8100</v>
      </c>
      <c r="Y168" s="2905">
        <f t="shared" si="52"/>
        <v>8100</v>
      </c>
      <c r="Z168" s="2905">
        <f t="shared" si="52"/>
        <v>8100</v>
      </c>
      <c r="AA168" s="2905">
        <f t="shared" si="52"/>
        <v>8100</v>
      </c>
      <c r="AB168" s="2905">
        <f t="shared" si="52"/>
        <v>8100</v>
      </c>
      <c r="AC168" s="2905">
        <f t="shared" si="52"/>
        <v>8100</v>
      </c>
      <c r="AD168" s="2643"/>
    </row>
    <row r="169" spans="2:30" s="2864" customFormat="1" ht="15.75" customHeight="1" thickBot="1" x14ac:dyDescent="0.3">
      <c r="B169" s="2876"/>
      <c r="C169" s="5014"/>
      <c r="D169" s="4999"/>
      <c r="E169" s="2923" t="s">
        <v>5100</v>
      </c>
      <c r="F169" s="3480" t="s">
        <v>5099</v>
      </c>
      <c r="G169" s="2909">
        <v>1</v>
      </c>
      <c r="H169" s="2920">
        <v>2700</v>
      </c>
      <c r="I169" s="2921">
        <f t="shared" si="50"/>
        <v>2700</v>
      </c>
      <c r="J169" s="2921">
        <f t="shared" si="51"/>
        <v>8100</v>
      </c>
      <c r="K169" s="2922" t="s">
        <v>5056</v>
      </c>
      <c r="L169" s="2898"/>
      <c r="M169" s="2898"/>
      <c r="N169" s="2898"/>
      <c r="O169" s="2898"/>
      <c r="P169" s="2905"/>
      <c r="Q169" s="2905"/>
      <c r="R169" s="2905">
        <f t="shared" si="52"/>
        <v>8100</v>
      </c>
      <c r="S169" s="2905">
        <f t="shared" si="52"/>
        <v>8100</v>
      </c>
      <c r="T169" s="2905">
        <f t="shared" si="52"/>
        <v>8100</v>
      </c>
      <c r="U169" s="2905">
        <f t="shared" si="52"/>
        <v>8100</v>
      </c>
      <c r="V169" s="2905">
        <f t="shared" si="52"/>
        <v>8100</v>
      </c>
      <c r="W169" s="2905">
        <f t="shared" si="52"/>
        <v>8100</v>
      </c>
      <c r="X169" s="2905">
        <f t="shared" si="52"/>
        <v>8100</v>
      </c>
      <c r="Y169" s="2905">
        <f t="shared" si="52"/>
        <v>8100</v>
      </c>
      <c r="Z169" s="2905">
        <f t="shared" si="52"/>
        <v>8100</v>
      </c>
      <c r="AA169" s="2905">
        <f t="shared" si="52"/>
        <v>8100</v>
      </c>
      <c r="AB169" s="2905">
        <f t="shared" si="52"/>
        <v>8100</v>
      </c>
      <c r="AC169" s="2905">
        <f t="shared" si="52"/>
        <v>8100</v>
      </c>
      <c r="AD169" s="2875"/>
    </row>
    <row r="170" spans="2:30" ht="14.25" thickBot="1" x14ac:dyDescent="0.3">
      <c r="B170" s="2874"/>
      <c r="C170" s="5014"/>
      <c r="D170" s="4999"/>
      <c r="E170" s="2923" t="s">
        <v>5101</v>
      </c>
      <c r="F170" s="3480" t="s">
        <v>5099</v>
      </c>
      <c r="G170" s="2909">
        <v>1</v>
      </c>
      <c r="H170" s="2920">
        <v>5600</v>
      </c>
      <c r="I170" s="2921">
        <f t="shared" si="50"/>
        <v>5600</v>
      </c>
      <c r="J170" s="2921">
        <f t="shared" si="51"/>
        <v>16800</v>
      </c>
      <c r="K170" s="2922" t="s">
        <v>5056</v>
      </c>
      <c r="L170" s="2898"/>
      <c r="M170" s="2898"/>
      <c r="N170" s="2898"/>
      <c r="O170" s="2898"/>
      <c r="P170" s="2905"/>
      <c r="Q170" s="2905"/>
      <c r="R170" s="2905">
        <f t="shared" si="52"/>
        <v>16800</v>
      </c>
      <c r="S170" s="2905">
        <f t="shared" si="52"/>
        <v>16800</v>
      </c>
      <c r="T170" s="2905">
        <f t="shared" si="52"/>
        <v>16800</v>
      </c>
      <c r="U170" s="2905">
        <f t="shared" si="52"/>
        <v>16800</v>
      </c>
      <c r="V170" s="2905">
        <f t="shared" si="52"/>
        <v>16800</v>
      </c>
      <c r="W170" s="2905">
        <f t="shared" si="52"/>
        <v>16800</v>
      </c>
      <c r="X170" s="2905">
        <f t="shared" si="52"/>
        <v>16800</v>
      </c>
      <c r="Y170" s="2905">
        <f t="shared" si="52"/>
        <v>16800</v>
      </c>
      <c r="Z170" s="2905">
        <f t="shared" si="52"/>
        <v>16800</v>
      </c>
      <c r="AA170" s="2905">
        <f t="shared" si="52"/>
        <v>16800</v>
      </c>
      <c r="AB170" s="2905">
        <f t="shared" si="52"/>
        <v>16800</v>
      </c>
      <c r="AC170" s="2905">
        <f t="shared" si="52"/>
        <v>16800</v>
      </c>
      <c r="AD170" s="2643"/>
    </row>
    <row r="171" spans="2:30" ht="14.25" thickBot="1" x14ac:dyDescent="0.3">
      <c r="B171" s="2874"/>
      <c r="C171" s="5014"/>
      <c r="D171" s="4999"/>
      <c r="E171" s="2923" t="s">
        <v>5102</v>
      </c>
      <c r="F171" s="3480" t="s">
        <v>5099</v>
      </c>
      <c r="G171" s="2909">
        <v>1</v>
      </c>
      <c r="H171" s="2920">
        <v>3200</v>
      </c>
      <c r="I171" s="2921">
        <f t="shared" si="50"/>
        <v>3200</v>
      </c>
      <c r="J171" s="2921">
        <f t="shared" si="51"/>
        <v>9600</v>
      </c>
      <c r="K171" s="2922" t="s">
        <v>5056</v>
      </c>
      <c r="L171" s="2898"/>
      <c r="M171" s="2898"/>
      <c r="N171" s="2898"/>
      <c r="O171" s="2898"/>
      <c r="P171" s="2905"/>
      <c r="Q171" s="2905"/>
      <c r="R171" s="2905">
        <f t="shared" si="52"/>
        <v>9600</v>
      </c>
      <c r="S171" s="2905">
        <f t="shared" si="52"/>
        <v>9600</v>
      </c>
      <c r="T171" s="2905">
        <f t="shared" si="52"/>
        <v>9600</v>
      </c>
      <c r="U171" s="2905">
        <f t="shared" si="52"/>
        <v>9600</v>
      </c>
      <c r="V171" s="2905">
        <f t="shared" si="52"/>
        <v>9600</v>
      </c>
      <c r="W171" s="2905">
        <f t="shared" si="52"/>
        <v>9600</v>
      </c>
      <c r="X171" s="2905">
        <f t="shared" si="52"/>
        <v>9600</v>
      </c>
      <c r="Y171" s="2905">
        <f t="shared" si="52"/>
        <v>9600</v>
      </c>
      <c r="Z171" s="2905">
        <f t="shared" si="52"/>
        <v>9600</v>
      </c>
      <c r="AA171" s="2905">
        <f t="shared" si="52"/>
        <v>9600</v>
      </c>
      <c r="AB171" s="2905">
        <f t="shared" si="52"/>
        <v>9600</v>
      </c>
      <c r="AC171" s="2905">
        <f t="shared" si="52"/>
        <v>9600</v>
      </c>
      <c r="AD171" s="2643"/>
    </row>
    <row r="172" spans="2:30" ht="14.25" thickBot="1" x14ac:dyDescent="0.3">
      <c r="B172" s="2874"/>
      <c r="C172" s="5014"/>
      <c r="D172" s="4999"/>
      <c r="E172" s="2923" t="s">
        <v>5103</v>
      </c>
      <c r="F172" s="3480" t="s">
        <v>5099</v>
      </c>
      <c r="G172" s="2909">
        <v>1</v>
      </c>
      <c r="H172" s="2920">
        <v>15000</v>
      </c>
      <c r="I172" s="2921">
        <f t="shared" si="50"/>
        <v>15000</v>
      </c>
      <c r="J172" s="2921">
        <f t="shared" si="51"/>
        <v>45000</v>
      </c>
      <c r="K172" s="2922" t="s">
        <v>5056</v>
      </c>
      <c r="L172" s="2898"/>
      <c r="M172" s="2898"/>
      <c r="N172" s="2898"/>
      <c r="O172" s="2898"/>
      <c r="P172" s="2905"/>
      <c r="Q172" s="2905"/>
      <c r="R172" s="2905">
        <f t="shared" si="52"/>
        <v>45000</v>
      </c>
      <c r="S172" s="2905">
        <f t="shared" si="52"/>
        <v>45000</v>
      </c>
      <c r="T172" s="2905">
        <f t="shared" si="52"/>
        <v>45000</v>
      </c>
      <c r="U172" s="2905">
        <f t="shared" si="52"/>
        <v>45000</v>
      </c>
      <c r="V172" s="2905">
        <f t="shared" si="52"/>
        <v>45000</v>
      </c>
      <c r="W172" s="2905">
        <f t="shared" si="52"/>
        <v>45000</v>
      </c>
      <c r="X172" s="2905">
        <f t="shared" si="52"/>
        <v>45000</v>
      </c>
      <c r="Y172" s="2905">
        <f t="shared" si="52"/>
        <v>45000</v>
      </c>
      <c r="Z172" s="2905">
        <f t="shared" si="52"/>
        <v>45000</v>
      </c>
      <c r="AA172" s="2905">
        <f t="shared" si="52"/>
        <v>45000</v>
      </c>
      <c r="AB172" s="2905">
        <f t="shared" si="52"/>
        <v>45000</v>
      </c>
      <c r="AC172" s="2905">
        <f t="shared" si="52"/>
        <v>45000</v>
      </c>
      <c r="AD172" s="2643"/>
    </row>
    <row r="173" spans="2:30" ht="14.25" thickBot="1" x14ac:dyDescent="0.3">
      <c r="B173" s="2874"/>
      <c r="C173" s="5014"/>
      <c r="D173" s="4999"/>
      <c r="E173" s="2923" t="s">
        <v>5104</v>
      </c>
      <c r="F173" s="3480" t="s">
        <v>5099</v>
      </c>
      <c r="G173" s="2909">
        <v>1</v>
      </c>
      <c r="H173" s="2920">
        <v>2400</v>
      </c>
      <c r="I173" s="2921">
        <f t="shared" si="50"/>
        <v>2400</v>
      </c>
      <c r="J173" s="2921">
        <f>I173*1</f>
        <v>2400</v>
      </c>
      <c r="K173" s="2922" t="s">
        <v>5105</v>
      </c>
      <c r="L173" s="2898"/>
      <c r="M173" s="2898"/>
      <c r="N173" s="2898"/>
      <c r="O173" s="2898"/>
      <c r="P173" s="2905"/>
      <c r="Q173" s="2905"/>
      <c r="R173" s="2905">
        <f t="shared" si="52"/>
        <v>2400</v>
      </c>
      <c r="S173" s="2905">
        <f t="shared" si="52"/>
        <v>2400</v>
      </c>
      <c r="T173" s="2905">
        <f t="shared" si="52"/>
        <v>2400</v>
      </c>
      <c r="U173" s="2905">
        <f t="shared" si="52"/>
        <v>2400</v>
      </c>
      <c r="V173" s="2905">
        <f t="shared" si="52"/>
        <v>2400</v>
      </c>
      <c r="W173" s="2905">
        <f t="shared" si="52"/>
        <v>2400</v>
      </c>
      <c r="X173" s="2905">
        <f t="shared" si="52"/>
        <v>2400</v>
      </c>
      <c r="Y173" s="2905">
        <f t="shared" si="52"/>
        <v>2400</v>
      </c>
      <c r="Z173" s="2905">
        <f t="shared" si="52"/>
        <v>2400</v>
      </c>
      <c r="AA173" s="2905">
        <f t="shared" si="52"/>
        <v>2400</v>
      </c>
      <c r="AB173" s="2905">
        <f t="shared" si="52"/>
        <v>2400</v>
      </c>
      <c r="AC173" s="2905">
        <f t="shared" si="52"/>
        <v>2400</v>
      </c>
      <c r="AD173" s="2643"/>
    </row>
    <row r="174" spans="2:30" ht="14.25" thickBot="1" x14ac:dyDescent="0.3">
      <c r="B174" s="2874"/>
      <c r="C174" s="5014"/>
      <c r="D174" s="4999"/>
      <c r="E174" s="2923" t="s">
        <v>5106</v>
      </c>
      <c r="F174" s="3480" t="s">
        <v>5099</v>
      </c>
      <c r="G174" s="2909">
        <v>1</v>
      </c>
      <c r="H174" s="2920">
        <v>6700</v>
      </c>
      <c r="I174" s="2921">
        <f t="shared" si="50"/>
        <v>6700</v>
      </c>
      <c r="J174" s="2921">
        <f t="shared" si="51"/>
        <v>20100</v>
      </c>
      <c r="K174" s="2922" t="s">
        <v>5056</v>
      </c>
      <c r="L174" s="2898"/>
      <c r="M174" s="2898"/>
      <c r="N174" s="2898"/>
      <c r="O174" s="2898"/>
      <c r="P174" s="2905"/>
      <c r="Q174" s="2905"/>
      <c r="R174" s="2905">
        <f t="shared" si="52"/>
        <v>20100</v>
      </c>
      <c r="S174" s="2905">
        <f t="shared" si="52"/>
        <v>20100</v>
      </c>
      <c r="T174" s="2905">
        <f t="shared" si="52"/>
        <v>20100</v>
      </c>
      <c r="U174" s="2905">
        <f t="shared" si="52"/>
        <v>20100</v>
      </c>
      <c r="V174" s="2905">
        <f t="shared" si="52"/>
        <v>20100</v>
      </c>
      <c r="W174" s="2905">
        <f t="shared" si="52"/>
        <v>20100</v>
      </c>
      <c r="X174" s="2905">
        <f t="shared" si="52"/>
        <v>20100</v>
      </c>
      <c r="Y174" s="2905">
        <f t="shared" si="52"/>
        <v>20100</v>
      </c>
      <c r="Z174" s="2905">
        <f t="shared" si="52"/>
        <v>20100</v>
      </c>
      <c r="AA174" s="2905">
        <f t="shared" si="52"/>
        <v>20100</v>
      </c>
      <c r="AB174" s="2905">
        <f t="shared" si="52"/>
        <v>20100</v>
      </c>
      <c r="AC174" s="2905">
        <f t="shared" si="52"/>
        <v>20100</v>
      </c>
      <c r="AD174" s="2643"/>
    </row>
    <row r="175" spans="2:30" ht="14.25" thickBot="1" x14ac:dyDescent="0.3">
      <c r="B175" s="2874"/>
      <c r="C175" s="5014"/>
      <c r="D175" s="4999"/>
      <c r="E175" s="2923" t="s">
        <v>5107</v>
      </c>
      <c r="F175" s="3480" t="s">
        <v>5093</v>
      </c>
      <c r="G175" s="2909">
        <v>8</v>
      </c>
      <c r="H175" s="2920">
        <v>85</v>
      </c>
      <c r="I175" s="2921">
        <f t="shared" si="50"/>
        <v>680</v>
      </c>
      <c r="J175" s="2921">
        <f t="shared" si="51"/>
        <v>2040</v>
      </c>
      <c r="K175" s="2922" t="s">
        <v>5056</v>
      </c>
      <c r="L175" s="2898"/>
      <c r="M175" s="2898"/>
      <c r="N175" s="2898"/>
      <c r="O175" s="2898"/>
      <c r="P175" s="2905"/>
      <c r="Q175" s="2905"/>
      <c r="R175" s="2905">
        <f t="shared" si="52"/>
        <v>2040</v>
      </c>
      <c r="S175" s="2905">
        <f t="shared" si="52"/>
        <v>2040</v>
      </c>
      <c r="T175" s="2905">
        <f t="shared" si="52"/>
        <v>2040</v>
      </c>
      <c r="U175" s="2905">
        <f t="shared" si="52"/>
        <v>2040</v>
      </c>
      <c r="V175" s="2905">
        <f t="shared" si="52"/>
        <v>2040</v>
      </c>
      <c r="W175" s="2905">
        <f t="shared" si="52"/>
        <v>2040</v>
      </c>
      <c r="X175" s="2905">
        <f t="shared" si="52"/>
        <v>2040</v>
      </c>
      <c r="Y175" s="2905">
        <f t="shared" si="52"/>
        <v>2040</v>
      </c>
      <c r="Z175" s="2905">
        <f t="shared" si="52"/>
        <v>2040</v>
      </c>
      <c r="AA175" s="2905">
        <f t="shared" si="52"/>
        <v>2040</v>
      </c>
      <c r="AB175" s="2905">
        <f t="shared" si="52"/>
        <v>2040</v>
      </c>
      <c r="AC175" s="2905">
        <f t="shared" si="52"/>
        <v>2040</v>
      </c>
      <c r="AD175" s="2643"/>
    </row>
    <row r="176" spans="2:30" ht="14.25" thickBot="1" x14ac:dyDescent="0.3">
      <c r="B176" s="2874"/>
      <c r="C176" s="5014"/>
      <c r="D176" s="4999"/>
      <c r="E176" s="2893"/>
      <c r="F176" s="3480"/>
      <c r="G176" s="2909"/>
      <c r="H176" s="2920"/>
      <c r="I176" s="2921"/>
      <c r="J176" s="2921"/>
      <c r="K176" s="3480"/>
      <c r="L176" s="2898"/>
      <c r="M176" s="2898"/>
      <c r="N176" s="2898"/>
      <c r="O176" s="2898"/>
      <c r="P176" s="2905"/>
      <c r="Q176" s="2905"/>
      <c r="R176" s="2905"/>
      <c r="S176" s="2905"/>
      <c r="T176" s="2905"/>
      <c r="U176" s="2905"/>
      <c r="V176" s="2905"/>
      <c r="W176" s="2905"/>
      <c r="X176" s="2905"/>
      <c r="Y176" s="2905"/>
      <c r="Z176" s="2905"/>
      <c r="AA176" s="2905"/>
      <c r="AB176" s="2905"/>
      <c r="AC176" s="2905"/>
      <c r="AD176" s="2643"/>
    </row>
    <row r="177" spans="2:30" ht="14.25" thickBot="1" x14ac:dyDescent="0.3">
      <c r="B177" s="2874"/>
      <c r="C177" s="5014"/>
      <c r="D177" s="5002" t="s">
        <v>4272</v>
      </c>
      <c r="E177" s="2955"/>
      <c r="F177" s="3474"/>
      <c r="G177" s="2983"/>
      <c r="H177" s="2956"/>
      <c r="I177" s="2957"/>
      <c r="J177" s="2958">
        <f>SUM(J178:J191)</f>
        <v>161827</v>
      </c>
      <c r="K177" s="3474"/>
      <c r="L177" s="2959"/>
      <c r="M177" s="2960"/>
      <c r="N177" s="2960"/>
      <c r="O177" s="2960"/>
      <c r="P177" s="2961"/>
      <c r="Q177" s="2961"/>
      <c r="R177" s="2961">
        <f>SUM(R178:R191)</f>
        <v>161827</v>
      </c>
      <c r="S177" s="2961">
        <f t="shared" ref="S177:AC177" si="53">SUM(S178:S191)</f>
        <v>161827</v>
      </c>
      <c r="T177" s="2961">
        <f t="shared" si="53"/>
        <v>161827</v>
      </c>
      <c r="U177" s="2961">
        <f t="shared" si="53"/>
        <v>161827</v>
      </c>
      <c r="V177" s="2961">
        <f t="shared" si="53"/>
        <v>161827</v>
      </c>
      <c r="W177" s="2961">
        <f t="shared" si="53"/>
        <v>161827</v>
      </c>
      <c r="X177" s="2961">
        <f t="shared" si="53"/>
        <v>161827</v>
      </c>
      <c r="Y177" s="2961">
        <f t="shared" si="53"/>
        <v>161827</v>
      </c>
      <c r="Z177" s="2961">
        <f t="shared" si="53"/>
        <v>161827</v>
      </c>
      <c r="AA177" s="2961">
        <f t="shared" si="53"/>
        <v>161827</v>
      </c>
      <c r="AB177" s="2961">
        <f t="shared" si="53"/>
        <v>161827</v>
      </c>
      <c r="AC177" s="2961">
        <f t="shared" si="53"/>
        <v>161827</v>
      </c>
      <c r="AD177" s="2643"/>
    </row>
    <row r="178" spans="2:30" ht="14.25" thickBot="1" x14ac:dyDescent="0.3">
      <c r="B178" s="2874"/>
      <c r="C178" s="5014"/>
      <c r="D178" s="5002"/>
      <c r="E178" s="2970" t="s">
        <v>5090</v>
      </c>
      <c r="F178" s="2973" t="s">
        <v>5091</v>
      </c>
      <c r="G178" s="2979">
        <v>7</v>
      </c>
      <c r="H178" s="3528">
        <v>3452</v>
      </c>
      <c r="I178" s="2972">
        <f>H178*G178</f>
        <v>24164</v>
      </c>
      <c r="J178" s="2972">
        <f>I178*3</f>
        <v>72492</v>
      </c>
      <c r="K178" s="2973" t="s">
        <v>5056</v>
      </c>
      <c r="L178" s="2966"/>
      <c r="M178" s="2966"/>
      <c r="N178" s="2966"/>
      <c r="O178" s="2966"/>
      <c r="P178" s="2966"/>
      <c r="Q178" s="2969"/>
      <c r="R178" s="2969">
        <f>$J178</f>
        <v>72492</v>
      </c>
      <c r="S178" s="2969">
        <f t="shared" ref="S178:AC178" si="54">$J178</f>
        <v>72492</v>
      </c>
      <c r="T178" s="2969">
        <f t="shared" si="54"/>
        <v>72492</v>
      </c>
      <c r="U178" s="2969">
        <f t="shared" si="54"/>
        <v>72492</v>
      </c>
      <c r="V178" s="2969">
        <f t="shared" si="54"/>
        <v>72492</v>
      </c>
      <c r="W178" s="2969">
        <f t="shared" si="54"/>
        <v>72492</v>
      </c>
      <c r="X178" s="2969">
        <f t="shared" si="54"/>
        <v>72492</v>
      </c>
      <c r="Y178" s="2969">
        <f t="shared" si="54"/>
        <v>72492</v>
      </c>
      <c r="Z178" s="2969">
        <f t="shared" si="54"/>
        <v>72492</v>
      </c>
      <c r="AA178" s="2969">
        <f t="shared" si="54"/>
        <v>72492</v>
      </c>
      <c r="AB178" s="2969">
        <f t="shared" si="54"/>
        <v>72492</v>
      </c>
      <c r="AC178" s="2969">
        <f t="shared" si="54"/>
        <v>72492</v>
      </c>
      <c r="AD178" s="2643"/>
    </row>
    <row r="179" spans="2:30" ht="14.25" thickBot="1" x14ac:dyDescent="0.3">
      <c r="B179" s="2874"/>
      <c r="C179" s="5014"/>
      <c r="D179" s="5002"/>
      <c r="E179" s="2970" t="s">
        <v>5092</v>
      </c>
      <c r="F179" s="2973" t="s">
        <v>5093</v>
      </c>
      <c r="G179" s="2979">
        <v>5</v>
      </c>
      <c r="H179" s="3528">
        <v>80</v>
      </c>
      <c r="I179" s="2972">
        <f t="shared" ref="I179:I190" si="55">H179*G179</f>
        <v>400</v>
      </c>
      <c r="J179" s="2972">
        <f>I179*1</f>
        <v>400</v>
      </c>
      <c r="K179" s="2973" t="s">
        <v>5105</v>
      </c>
      <c r="L179" s="2966"/>
      <c r="M179" s="2966"/>
      <c r="N179" s="2966"/>
      <c r="O179" s="2966"/>
      <c r="P179" s="2966"/>
      <c r="Q179" s="2969"/>
      <c r="R179" s="2969">
        <f t="shared" ref="R179:AC190" si="56">$J179</f>
        <v>400</v>
      </c>
      <c r="S179" s="2969">
        <f t="shared" si="56"/>
        <v>400</v>
      </c>
      <c r="T179" s="2969">
        <f t="shared" si="56"/>
        <v>400</v>
      </c>
      <c r="U179" s="2969">
        <f t="shared" si="56"/>
        <v>400</v>
      </c>
      <c r="V179" s="2969">
        <f t="shared" si="56"/>
        <v>400</v>
      </c>
      <c r="W179" s="2969">
        <f t="shared" si="56"/>
        <v>400</v>
      </c>
      <c r="X179" s="2969">
        <f t="shared" si="56"/>
        <v>400</v>
      </c>
      <c r="Y179" s="2969">
        <f t="shared" si="56"/>
        <v>400</v>
      </c>
      <c r="Z179" s="2969">
        <f t="shared" si="56"/>
        <v>400</v>
      </c>
      <c r="AA179" s="2969">
        <f t="shared" si="56"/>
        <v>400</v>
      </c>
      <c r="AB179" s="2969">
        <f t="shared" si="56"/>
        <v>400</v>
      </c>
      <c r="AC179" s="2969">
        <f t="shared" si="56"/>
        <v>400</v>
      </c>
      <c r="AD179" s="2643"/>
    </row>
    <row r="180" spans="2:30" ht="14.25" thickBot="1" x14ac:dyDescent="0.3">
      <c r="B180" s="2874"/>
      <c r="C180" s="5014"/>
      <c r="D180" s="5002"/>
      <c r="E180" s="2970" t="s">
        <v>5108</v>
      </c>
      <c r="F180" s="2973" t="s">
        <v>5091</v>
      </c>
      <c r="G180" s="2979">
        <v>4</v>
      </c>
      <c r="H180" s="3528">
        <v>4200</v>
      </c>
      <c r="I180" s="2972">
        <f t="shared" si="55"/>
        <v>16800</v>
      </c>
      <c r="J180" s="2972">
        <f>I180*1</f>
        <v>16800</v>
      </c>
      <c r="K180" s="2973" t="s">
        <v>5109</v>
      </c>
      <c r="L180" s="2966"/>
      <c r="M180" s="2966"/>
      <c r="N180" s="2966"/>
      <c r="O180" s="2966"/>
      <c r="P180" s="2966"/>
      <c r="Q180" s="2969"/>
      <c r="R180" s="2969">
        <f t="shared" si="56"/>
        <v>16800</v>
      </c>
      <c r="S180" s="2969">
        <f t="shared" si="56"/>
        <v>16800</v>
      </c>
      <c r="T180" s="2969">
        <f t="shared" si="56"/>
        <v>16800</v>
      </c>
      <c r="U180" s="2969">
        <f t="shared" si="56"/>
        <v>16800</v>
      </c>
      <c r="V180" s="2969">
        <f t="shared" si="56"/>
        <v>16800</v>
      </c>
      <c r="W180" s="2969">
        <f t="shared" si="56"/>
        <v>16800</v>
      </c>
      <c r="X180" s="2969">
        <f t="shared" si="56"/>
        <v>16800</v>
      </c>
      <c r="Y180" s="2969">
        <f t="shared" si="56"/>
        <v>16800</v>
      </c>
      <c r="Z180" s="2969">
        <f t="shared" si="56"/>
        <v>16800</v>
      </c>
      <c r="AA180" s="2969">
        <f t="shared" si="56"/>
        <v>16800</v>
      </c>
      <c r="AB180" s="2969">
        <f t="shared" si="56"/>
        <v>16800</v>
      </c>
      <c r="AC180" s="2969">
        <f t="shared" si="56"/>
        <v>16800</v>
      </c>
      <c r="AD180" s="2643"/>
    </row>
    <row r="181" spans="2:30" ht="14.25" thickBot="1" x14ac:dyDescent="0.3">
      <c r="B181" s="2874"/>
      <c r="C181" s="5014"/>
      <c r="D181" s="5002"/>
      <c r="E181" s="2970" t="s">
        <v>5094</v>
      </c>
      <c r="F181" s="2973" t="s">
        <v>5091</v>
      </c>
      <c r="G181" s="2979">
        <v>3</v>
      </c>
      <c r="H181" s="3528">
        <v>1600</v>
      </c>
      <c r="I181" s="2972">
        <f t="shared" si="55"/>
        <v>4800</v>
      </c>
      <c r="J181" s="2972">
        <f>I181*1</f>
        <v>4800</v>
      </c>
      <c r="K181" s="2973" t="s">
        <v>5109</v>
      </c>
      <c r="L181" s="2966"/>
      <c r="M181" s="2966"/>
      <c r="N181" s="2966"/>
      <c r="O181" s="2966"/>
      <c r="P181" s="2966"/>
      <c r="Q181" s="2969"/>
      <c r="R181" s="2969">
        <f t="shared" si="56"/>
        <v>4800</v>
      </c>
      <c r="S181" s="2969">
        <f t="shared" si="56"/>
        <v>4800</v>
      </c>
      <c r="T181" s="2969">
        <f t="shared" si="56"/>
        <v>4800</v>
      </c>
      <c r="U181" s="2969">
        <f t="shared" si="56"/>
        <v>4800</v>
      </c>
      <c r="V181" s="2969">
        <f t="shared" si="56"/>
        <v>4800</v>
      </c>
      <c r="W181" s="2969">
        <f t="shared" si="56"/>
        <v>4800</v>
      </c>
      <c r="X181" s="2969">
        <f t="shared" si="56"/>
        <v>4800</v>
      </c>
      <c r="Y181" s="2969">
        <f t="shared" si="56"/>
        <v>4800</v>
      </c>
      <c r="Z181" s="2969">
        <f t="shared" si="56"/>
        <v>4800</v>
      </c>
      <c r="AA181" s="2969">
        <f t="shared" si="56"/>
        <v>4800</v>
      </c>
      <c r="AB181" s="2969">
        <f t="shared" si="56"/>
        <v>4800</v>
      </c>
      <c r="AC181" s="2969">
        <f t="shared" si="56"/>
        <v>4800</v>
      </c>
      <c r="AD181" s="2643"/>
    </row>
    <row r="182" spans="2:30" ht="14.25" thickBot="1" x14ac:dyDescent="0.3">
      <c r="B182" s="2874"/>
      <c r="C182" s="5014"/>
      <c r="D182" s="5002"/>
      <c r="E182" s="2970" t="s">
        <v>5095</v>
      </c>
      <c r="F182" s="2973" t="s">
        <v>5093</v>
      </c>
      <c r="G182" s="2979">
        <v>5</v>
      </c>
      <c r="H182" s="3528">
        <v>55</v>
      </c>
      <c r="I182" s="2972">
        <f t="shared" si="55"/>
        <v>275</v>
      </c>
      <c r="J182" s="2972">
        <f t="shared" ref="J182" si="57">I182*3</f>
        <v>825</v>
      </c>
      <c r="K182" s="2973" t="s">
        <v>5056</v>
      </c>
      <c r="L182" s="2966"/>
      <c r="M182" s="2966"/>
      <c r="N182" s="2966"/>
      <c r="O182" s="2966"/>
      <c r="P182" s="2966"/>
      <c r="Q182" s="2969"/>
      <c r="R182" s="2969">
        <f t="shared" si="56"/>
        <v>825</v>
      </c>
      <c r="S182" s="2969">
        <f t="shared" si="56"/>
        <v>825</v>
      </c>
      <c r="T182" s="2969">
        <f t="shared" si="56"/>
        <v>825</v>
      </c>
      <c r="U182" s="2969">
        <f t="shared" si="56"/>
        <v>825</v>
      </c>
      <c r="V182" s="2969">
        <f t="shared" si="56"/>
        <v>825</v>
      </c>
      <c r="W182" s="2969">
        <f t="shared" si="56"/>
        <v>825</v>
      </c>
      <c r="X182" s="2969">
        <f t="shared" si="56"/>
        <v>825</v>
      </c>
      <c r="Y182" s="2969">
        <f t="shared" si="56"/>
        <v>825</v>
      </c>
      <c r="Z182" s="2969">
        <f t="shared" si="56"/>
        <v>825</v>
      </c>
      <c r="AA182" s="2969">
        <f t="shared" si="56"/>
        <v>825</v>
      </c>
      <c r="AB182" s="2969">
        <f t="shared" si="56"/>
        <v>825</v>
      </c>
      <c r="AC182" s="2969">
        <f t="shared" si="56"/>
        <v>825</v>
      </c>
      <c r="AD182" s="2643"/>
    </row>
    <row r="183" spans="2:30" ht="14.25" thickBot="1" x14ac:dyDescent="0.3">
      <c r="B183" s="2874"/>
      <c r="C183" s="5014"/>
      <c r="D183" s="5002"/>
      <c r="E183" s="2970" t="s">
        <v>5096</v>
      </c>
      <c r="F183" s="2973" t="s">
        <v>5110</v>
      </c>
      <c r="G183" s="2979">
        <v>3</v>
      </c>
      <c r="H183" s="3528">
        <v>7200</v>
      </c>
      <c r="I183" s="2972">
        <f t="shared" si="55"/>
        <v>21600</v>
      </c>
      <c r="J183" s="2972">
        <f>I183*1</f>
        <v>21600</v>
      </c>
      <c r="K183" s="2973" t="s">
        <v>5105</v>
      </c>
      <c r="L183" s="2966"/>
      <c r="M183" s="2966"/>
      <c r="N183" s="2966"/>
      <c r="O183" s="2966"/>
      <c r="P183" s="2966"/>
      <c r="Q183" s="2969"/>
      <c r="R183" s="2969">
        <f t="shared" si="56"/>
        <v>21600</v>
      </c>
      <c r="S183" s="2969">
        <f t="shared" si="56"/>
        <v>21600</v>
      </c>
      <c r="T183" s="2969">
        <f t="shared" si="56"/>
        <v>21600</v>
      </c>
      <c r="U183" s="2969">
        <f t="shared" si="56"/>
        <v>21600</v>
      </c>
      <c r="V183" s="2969">
        <f t="shared" si="56"/>
        <v>21600</v>
      </c>
      <c r="W183" s="2969">
        <f t="shared" si="56"/>
        <v>21600</v>
      </c>
      <c r="X183" s="2969">
        <f t="shared" si="56"/>
        <v>21600</v>
      </c>
      <c r="Y183" s="2969">
        <f t="shared" si="56"/>
        <v>21600</v>
      </c>
      <c r="Z183" s="2969">
        <f t="shared" si="56"/>
        <v>21600</v>
      </c>
      <c r="AA183" s="2969">
        <f t="shared" si="56"/>
        <v>21600</v>
      </c>
      <c r="AB183" s="2969">
        <f t="shared" si="56"/>
        <v>21600</v>
      </c>
      <c r="AC183" s="2969">
        <f t="shared" si="56"/>
        <v>21600</v>
      </c>
      <c r="AD183" s="2643"/>
    </row>
    <row r="184" spans="2:30" ht="14.25" thickBot="1" x14ac:dyDescent="0.3">
      <c r="B184" s="2874"/>
      <c r="C184" s="5014"/>
      <c r="D184" s="5002"/>
      <c r="E184" s="2970" t="s">
        <v>5107</v>
      </c>
      <c r="F184" s="2973" t="s">
        <v>5093</v>
      </c>
      <c r="G184" s="2979">
        <v>4</v>
      </c>
      <c r="H184" s="3528">
        <v>95</v>
      </c>
      <c r="I184" s="2972">
        <f t="shared" si="55"/>
        <v>380</v>
      </c>
      <c r="J184" s="2972">
        <f>I184*2</f>
        <v>760</v>
      </c>
      <c r="K184" s="2973" t="s">
        <v>5058</v>
      </c>
      <c r="L184" s="2966"/>
      <c r="M184" s="2966"/>
      <c r="N184" s="2966"/>
      <c r="O184" s="2966"/>
      <c r="P184" s="2966"/>
      <c r="Q184" s="2969"/>
      <c r="R184" s="2969">
        <f t="shared" si="56"/>
        <v>760</v>
      </c>
      <c r="S184" s="2969">
        <f t="shared" si="56"/>
        <v>760</v>
      </c>
      <c r="T184" s="2969">
        <f t="shared" si="56"/>
        <v>760</v>
      </c>
      <c r="U184" s="2969">
        <f t="shared" si="56"/>
        <v>760</v>
      </c>
      <c r="V184" s="2969">
        <f t="shared" si="56"/>
        <v>760</v>
      </c>
      <c r="W184" s="2969">
        <f t="shared" si="56"/>
        <v>760</v>
      </c>
      <c r="X184" s="2969">
        <f t="shared" si="56"/>
        <v>760</v>
      </c>
      <c r="Y184" s="2969">
        <f t="shared" si="56"/>
        <v>760</v>
      </c>
      <c r="Z184" s="2969">
        <f t="shared" si="56"/>
        <v>760</v>
      </c>
      <c r="AA184" s="2969">
        <f t="shared" si="56"/>
        <v>760</v>
      </c>
      <c r="AB184" s="2969">
        <f t="shared" si="56"/>
        <v>760</v>
      </c>
      <c r="AC184" s="2969">
        <f t="shared" si="56"/>
        <v>760</v>
      </c>
      <c r="AD184" s="2643"/>
    </row>
    <row r="185" spans="2:30" ht="14.25" thickBot="1" x14ac:dyDescent="0.3">
      <c r="B185" s="2874"/>
      <c r="C185" s="5014"/>
      <c r="D185" s="5002"/>
      <c r="E185" s="2970" t="s">
        <v>5111</v>
      </c>
      <c r="F185" s="2973" t="s">
        <v>5093</v>
      </c>
      <c r="G185" s="2979">
        <v>2</v>
      </c>
      <c r="H185" s="3528">
        <v>1500</v>
      </c>
      <c r="I185" s="2972">
        <f t="shared" si="55"/>
        <v>3000</v>
      </c>
      <c r="J185" s="2972">
        <f>I185*1</f>
        <v>3000</v>
      </c>
      <c r="K185" s="2973" t="s">
        <v>5105</v>
      </c>
      <c r="L185" s="2966"/>
      <c r="M185" s="2966"/>
      <c r="N185" s="2966"/>
      <c r="O185" s="2966"/>
      <c r="P185" s="2966"/>
      <c r="Q185" s="2969"/>
      <c r="R185" s="2969">
        <f t="shared" si="56"/>
        <v>3000</v>
      </c>
      <c r="S185" s="2969">
        <f t="shared" si="56"/>
        <v>3000</v>
      </c>
      <c r="T185" s="2969">
        <f t="shared" si="56"/>
        <v>3000</v>
      </c>
      <c r="U185" s="2969">
        <f t="shared" si="56"/>
        <v>3000</v>
      </c>
      <c r="V185" s="2969">
        <f t="shared" si="56"/>
        <v>3000</v>
      </c>
      <c r="W185" s="2969">
        <f t="shared" si="56"/>
        <v>3000</v>
      </c>
      <c r="X185" s="2969">
        <f t="shared" si="56"/>
        <v>3000</v>
      </c>
      <c r="Y185" s="2969">
        <f t="shared" si="56"/>
        <v>3000</v>
      </c>
      <c r="Z185" s="2969">
        <f t="shared" si="56"/>
        <v>3000</v>
      </c>
      <c r="AA185" s="2969">
        <f t="shared" si="56"/>
        <v>3000</v>
      </c>
      <c r="AB185" s="2969">
        <f t="shared" si="56"/>
        <v>3000</v>
      </c>
      <c r="AC185" s="2969">
        <f t="shared" si="56"/>
        <v>3000</v>
      </c>
      <c r="AD185" s="2643"/>
    </row>
    <row r="186" spans="2:30" ht="14.25" thickBot="1" x14ac:dyDescent="0.3">
      <c r="B186" s="2874"/>
      <c r="C186" s="5014"/>
      <c r="D186" s="5002"/>
      <c r="E186" s="2970" t="s">
        <v>5112</v>
      </c>
      <c r="F186" s="2973" t="s">
        <v>5099</v>
      </c>
      <c r="G186" s="2979">
        <v>1</v>
      </c>
      <c r="H186" s="3528">
        <v>2650</v>
      </c>
      <c r="I186" s="2972">
        <f t="shared" si="55"/>
        <v>2650</v>
      </c>
      <c r="J186" s="2972">
        <f t="shared" ref="J186:J189" si="58">I186*1</f>
        <v>2650</v>
      </c>
      <c r="K186" s="2973" t="s">
        <v>5105</v>
      </c>
      <c r="L186" s="2966"/>
      <c r="M186" s="2966"/>
      <c r="N186" s="2966"/>
      <c r="O186" s="2966"/>
      <c r="P186" s="2966"/>
      <c r="Q186" s="2969"/>
      <c r="R186" s="2969">
        <f t="shared" si="56"/>
        <v>2650</v>
      </c>
      <c r="S186" s="2969">
        <f t="shared" si="56"/>
        <v>2650</v>
      </c>
      <c r="T186" s="2969">
        <f t="shared" si="56"/>
        <v>2650</v>
      </c>
      <c r="U186" s="2969">
        <f t="shared" si="56"/>
        <v>2650</v>
      </c>
      <c r="V186" s="2969">
        <f t="shared" si="56"/>
        <v>2650</v>
      </c>
      <c r="W186" s="2969">
        <f t="shared" si="56"/>
        <v>2650</v>
      </c>
      <c r="X186" s="2969">
        <f t="shared" si="56"/>
        <v>2650</v>
      </c>
      <c r="Y186" s="2969">
        <f t="shared" si="56"/>
        <v>2650</v>
      </c>
      <c r="Z186" s="2969">
        <f t="shared" si="56"/>
        <v>2650</v>
      </c>
      <c r="AA186" s="2969">
        <f t="shared" si="56"/>
        <v>2650</v>
      </c>
      <c r="AB186" s="2969">
        <f t="shared" si="56"/>
        <v>2650</v>
      </c>
      <c r="AC186" s="2969">
        <f t="shared" si="56"/>
        <v>2650</v>
      </c>
      <c r="AD186" s="2643"/>
    </row>
    <row r="187" spans="2:30" ht="14.25" thickBot="1" x14ac:dyDescent="0.3">
      <c r="B187" s="2874"/>
      <c r="C187" s="5014"/>
      <c r="D187" s="5002"/>
      <c r="E187" s="2970" t="s">
        <v>5113</v>
      </c>
      <c r="F187" s="2973" t="s">
        <v>5099</v>
      </c>
      <c r="G187" s="2979">
        <v>1</v>
      </c>
      <c r="H187" s="3528">
        <v>5700</v>
      </c>
      <c r="I187" s="2972">
        <f t="shared" si="55"/>
        <v>5700</v>
      </c>
      <c r="J187" s="2972">
        <f t="shared" si="58"/>
        <v>5700</v>
      </c>
      <c r="K187" s="2973" t="s">
        <v>5105</v>
      </c>
      <c r="L187" s="2966"/>
      <c r="M187" s="2966"/>
      <c r="N187" s="2966"/>
      <c r="O187" s="2966"/>
      <c r="P187" s="2966"/>
      <c r="Q187" s="2969"/>
      <c r="R187" s="2969">
        <f t="shared" si="56"/>
        <v>5700</v>
      </c>
      <c r="S187" s="2969">
        <f t="shared" si="56"/>
        <v>5700</v>
      </c>
      <c r="T187" s="2969">
        <f t="shared" si="56"/>
        <v>5700</v>
      </c>
      <c r="U187" s="2969">
        <f t="shared" si="56"/>
        <v>5700</v>
      </c>
      <c r="V187" s="2969">
        <f t="shared" si="56"/>
        <v>5700</v>
      </c>
      <c r="W187" s="2969">
        <f t="shared" si="56"/>
        <v>5700</v>
      </c>
      <c r="X187" s="2969">
        <f t="shared" si="56"/>
        <v>5700</v>
      </c>
      <c r="Y187" s="2969">
        <f t="shared" si="56"/>
        <v>5700</v>
      </c>
      <c r="Z187" s="2969">
        <f t="shared" si="56"/>
        <v>5700</v>
      </c>
      <c r="AA187" s="2969">
        <f t="shared" si="56"/>
        <v>5700</v>
      </c>
      <c r="AB187" s="2969">
        <f t="shared" si="56"/>
        <v>5700</v>
      </c>
      <c r="AC187" s="2969">
        <f t="shared" si="56"/>
        <v>5700</v>
      </c>
      <c r="AD187" s="2643"/>
    </row>
    <row r="188" spans="2:30" ht="14.25" thickBot="1" x14ac:dyDescent="0.3">
      <c r="B188" s="2874"/>
      <c r="C188" s="5014"/>
      <c r="D188" s="5002"/>
      <c r="E188" s="2970" t="s">
        <v>5101</v>
      </c>
      <c r="F188" s="2973" t="s">
        <v>5099</v>
      </c>
      <c r="G188" s="2979">
        <v>1</v>
      </c>
      <c r="H188" s="3528">
        <v>11800</v>
      </c>
      <c r="I188" s="2972">
        <f t="shared" si="55"/>
        <v>11800</v>
      </c>
      <c r="J188" s="2972">
        <f t="shared" si="58"/>
        <v>11800</v>
      </c>
      <c r="K188" s="2973" t="s">
        <v>5105</v>
      </c>
      <c r="L188" s="2966"/>
      <c r="M188" s="2966"/>
      <c r="N188" s="2966"/>
      <c r="O188" s="2966"/>
      <c r="P188" s="2966"/>
      <c r="Q188" s="2969"/>
      <c r="R188" s="2969">
        <f t="shared" si="56"/>
        <v>11800</v>
      </c>
      <c r="S188" s="2969">
        <f t="shared" si="56"/>
        <v>11800</v>
      </c>
      <c r="T188" s="2969">
        <f t="shared" si="56"/>
        <v>11800</v>
      </c>
      <c r="U188" s="2969">
        <f t="shared" si="56"/>
        <v>11800</v>
      </c>
      <c r="V188" s="2969">
        <f t="shared" si="56"/>
        <v>11800</v>
      </c>
      <c r="W188" s="2969">
        <f t="shared" si="56"/>
        <v>11800</v>
      </c>
      <c r="X188" s="2969">
        <f t="shared" si="56"/>
        <v>11800</v>
      </c>
      <c r="Y188" s="2969">
        <f t="shared" si="56"/>
        <v>11800</v>
      </c>
      <c r="Z188" s="2969">
        <f t="shared" si="56"/>
        <v>11800</v>
      </c>
      <c r="AA188" s="2969">
        <f t="shared" si="56"/>
        <v>11800</v>
      </c>
      <c r="AB188" s="2969">
        <f t="shared" si="56"/>
        <v>11800</v>
      </c>
      <c r="AC188" s="2969">
        <f t="shared" si="56"/>
        <v>11800</v>
      </c>
      <c r="AD188" s="2643"/>
    </row>
    <row r="189" spans="2:30" ht="14.25" thickBot="1" x14ac:dyDescent="0.3">
      <c r="B189" s="2874"/>
      <c r="C189" s="5014"/>
      <c r="D189" s="5002"/>
      <c r="E189" s="2970" t="s">
        <v>5114</v>
      </c>
      <c r="F189" s="2973" t="s">
        <v>5099</v>
      </c>
      <c r="G189" s="2979">
        <v>1</v>
      </c>
      <c r="H189" s="3528">
        <v>4900</v>
      </c>
      <c r="I189" s="2972">
        <f t="shared" si="55"/>
        <v>4900</v>
      </c>
      <c r="J189" s="2972">
        <f t="shared" si="58"/>
        <v>4900</v>
      </c>
      <c r="K189" s="2973" t="s">
        <v>5105</v>
      </c>
      <c r="L189" s="2966"/>
      <c r="M189" s="2966"/>
      <c r="N189" s="2966"/>
      <c r="O189" s="2966"/>
      <c r="P189" s="2966"/>
      <c r="Q189" s="2969"/>
      <c r="R189" s="2969">
        <f t="shared" si="56"/>
        <v>4900</v>
      </c>
      <c r="S189" s="2969">
        <f t="shared" si="56"/>
        <v>4900</v>
      </c>
      <c r="T189" s="2969">
        <f t="shared" si="56"/>
        <v>4900</v>
      </c>
      <c r="U189" s="2969">
        <f t="shared" si="56"/>
        <v>4900</v>
      </c>
      <c r="V189" s="2969">
        <f t="shared" si="56"/>
        <v>4900</v>
      </c>
      <c r="W189" s="2969">
        <f t="shared" si="56"/>
        <v>4900</v>
      </c>
      <c r="X189" s="2969">
        <f t="shared" si="56"/>
        <v>4900</v>
      </c>
      <c r="Y189" s="2969">
        <f t="shared" si="56"/>
        <v>4900</v>
      </c>
      <c r="Z189" s="2969">
        <f t="shared" si="56"/>
        <v>4900</v>
      </c>
      <c r="AA189" s="2969">
        <f t="shared" si="56"/>
        <v>4900</v>
      </c>
      <c r="AB189" s="2969">
        <f t="shared" si="56"/>
        <v>4900</v>
      </c>
      <c r="AC189" s="2969">
        <f t="shared" si="56"/>
        <v>4900</v>
      </c>
      <c r="AD189" s="2643"/>
    </row>
    <row r="190" spans="2:30" ht="14.25" thickBot="1" x14ac:dyDescent="0.3">
      <c r="B190" s="2874"/>
      <c r="C190" s="5014"/>
      <c r="D190" s="5002"/>
      <c r="E190" s="2970" t="s">
        <v>5115</v>
      </c>
      <c r="F190" s="2973" t="s">
        <v>5099</v>
      </c>
      <c r="G190" s="2979">
        <v>1</v>
      </c>
      <c r="H190" s="3528">
        <v>16100</v>
      </c>
      <c r="I190" s="2972">
        <f t="shared" si="55"/>
        <v>16100</v>
      </c>
      <c r="J190" s="2972">
        <f>I190*1</f>
        <v>16100</v>
      </c>
      <c r="K190" s="2973" t="s">
        <v>5056</v>
      </c>
      <c r="L190" s="2966"/>
      <c r="M190" s="2966"/>
      <c r="N190" s="2966"/>
      <c r="O190" s="2966"/>
      <c r="P190" s="2966"/>
      <c r="Q190" s="2969"/>
      <c r="R190" s="2969">
        <f t="shared" si="56"/>
        <v>16100</v>
      </c>
      <c r="S190" s="2969">
        <f t="shared" si="56"/>
        <v>16100</v>
      </c>
      <c r="T190" s="2969">
        <f t="shared" si="56"/>
        <v>16100</v>
      </c>
      <c r="U190" s="2969">
        <f t="shared" si="56"/>
        <v>16100</v>
      </c>
      <c r="V190" s="2969">
        <f t="shared" si="56"/>
        <v>16100</v>
      </c>
      <c r="W190" s="2969">
        <f t="shared" si="56"/>
        <v>16100</v>
      </c>
      <c r="X190" s="2969">
        <f t="shared" si="56"/>
        <v>16100</v>
      </c>
      <c r="Y190" s="2969">
        <f t="shared" si="56"/>
        <v>16100</v>
      </c>
      <c r="Z190" s="2969">
        <f t="shared" si="56"/>
        <v>16100</v>
      </c>
      <c r="AA190" s="2969">
        <f t="shared" si="56"/>
        <v>16100</v>
      </c>
      <c r="AB190" s="2969">
        <f t="shared" si="56"/>
        <v>16100</v>
      </c>
      <c r="AC190" s="2969">
        <f t="shared" si="56"/>
        <v>16100</v>
      </c>
      <c r="AD190" s="2643"/>
    </row>
    <row r="191" spans="2:30" ht="14.25" thickBot="1" x14ac:dyDescent="0.3">
      <c r="B191" s="2874"/>
      <c r="C191" s="5014"/>
      <c r="D191" s="5002"/>
      <c r="E191" s="2970"/>
      <c r="F191" s="2973"/>
      <c r="G191" s="2979"/>
      <c r="H191" s="2984"/>
      <c r="I191" s="2972"/>
      <c r="J191" s="2972"/>
      <c r="K191" s="2973"/>
      <c r="L191" s="2966"/>
      <c r="M191" s="2966"/>
      <c r="N191" s="2966"/>
      <c r="O191" s="2966"/>
      <c r="P191" s="2966"/>
      <c r="Q191" s="2966"/>
      <c r="R191" s="2966"/>
      <c r="S191" s="2967"/>
      <c r="T191" s="2967"/>
      <c r="U191" s="2967"/>
      <c r="V191" s="2967"/>
      <c r="W191" s="2967"/>
      <c r="X191" s="2967"/>
      <c r="Y191" s="2967"/>
      <c r="Z191" s="2967"/>
      <c r="AA191" s="2967"/>
      <c r="AB191" s="2967"/>
      <c r="AC191" s="2967"/>
      <c r="AD191" s="2643"/>
    </row>
    <row r="192" spans="2:30" ht="14.25" thickBot="1" x14ac:dyDescent="0.3">
      <c r="B192" s="2874"/>
      <c r="C192" s="3475" t="s">
        <v>5043</v>
      </c>
      <c r="D192" s="2985"/>
      <c r="E192" s="2986"/>
      <c r="F192" s="3475"/>
      <c r="G192" s="3475"/>
      <c r="H192" s="3005"/>
      <c r="I192" s="3006"/>
      <c r="J192" s="3007">
        <f>SUM(J161,J177)</f>
        <v>313297</v>
      </c>
      <c r="K192" s="2990"/>
      <c r="L192" s="2991"/>
      <c r="M192" s="2991"/>
      <c r="N192" s="2991"/>
      <c r="O192" s="2991"/>
      <c r="P192" s="3008"/>
      <c r="Q192" s="3008"/>
      <c r="R192" s="3008">
        <f>SUM(R161,R177)</f>
        <v>313297</v>
      </c>
      <c r="S192" s="3008">
        <f t="shared" ref="S192:AC192" si="59">SUM(S161,S177)</f>
        <v>313297</v>
      </c>
      <c r="T192" s="3008">
        <f t="shared" si="59"/>
        <v>313297</v>
      </c>
      <c r="U192" s="3008">
        <f t="shared" si="59"/>
        <v>313297</v>
      </c>
      <c r="V192" s="3008">
        <f t="shared" si="59"/>
        <v>313297</v>
      </c>
      <c r="W192" s="3008">
        <f t="shared" si="59"/>
        <v>313297</v>
      </c>
      <c r="X192" s="3008">
        <f t="shared" si="59"/>
        <v>313297</v>
      </c>
      <c r="Y192" s="3008">
        <f t="shared" si="59"/>
        <v>313297</v>
      </c>
      <c r="Z192" s="3008">
        <f t="shared" si="59"/>
        <v>313297</v>
      </c>
      <c r="AA192" s="3008">
        <f t="shared" si="59"/>
        <v>313297</v>
      </c>
      <c r="AB192" s="3008">
        <f t="shared" si="59"/>
        <v>313297</v>
      </c>
      <c r="AC192" s="3008">
        <f t="shared" si="59"/>
        <v>313297</v>
      </c>
      <c r="AD192" s="2643"/>
    </row>
    <row r="193" spans="2:30" ht="27.75" thickBot="1" x14ac:dyDescent="0.3">
      <c r="B193" s="2874"/>
      <c r="C193" s="3475" t="s">
        <v>5044</v>
      </c>
      <c r="D193" s="2985"/>
      <c r="E193" s="2986"/>
      <c r="F193" s="3475"/>
      <c r="G193" s="3475"/>
      <c r="H193" s="3005"/>
      <c r="I193" s="3006"/>
      <c r="J193" s="3005"/>
      <c r="K193" s="2990"/>
      <c r="L193" s="2993">
        <f>+J192</f>
        <v>313297</v>
      </c>
      <c r="M193" s="2991"/>
      <c r="N193" s="2991"/>
      <c r="O193" s="2991"/>
      <c r="P193" s="2994"/>
      <c r="Q193" s="2994"/>
      <c r="R193" s="2994">
        <f>R192/$L$193</f>
        <v>1</v>
      </c>
      <c r="S193" s="2994">
        <f t="shared" ref="S193:AC193" si="60">S192/$L$193</f>
        <v>1</v>
      </c>
      <c r="T193" s="2994">
        <f t="shared" si="60"/>
        <v>1</v>
      </c>
      <c r="U193" s="2994">
        <f t="shared" si="60"/>
        <v>1</v>
      </c>
      <c r="V193" s="2994">
        <f t="shared" si="60"/>
        <v>1</v>
      </c>
      <c r="W193" s="2994">
        <f t="shared" si="60"/>
        <v>1</v>
      </c>
      <c r="X193" s="2994">
        <f t="shared" si="60"/>
        <v>1</v>
      </c>
      <c r="Y193" s="2994">
        <f t="shared" si="60"/>
        <v>1</v>
      </c>
      <c r="Z193" s="2994">
        <f t="shared" si="60"/>
        <v>1</v>
      </c>
      <c r="AA193" s="2994">
        <f t="shared" si="60"/>
        <v>1</v>
      </c>
      <c r="AB193" s="2994">
        <f t="shared" si="60"/>
        <v>1</v>
      </c>
      <c r="AC193" s="2994">
        <f t="shared" si="60"/>
        <v>1</v>
      </c>
      <c r="AD193" s="2643"/>
    </row>
    <row r="194" spans="2:30" ht="14.25" thickBot="1" x14ac:dyDescent="0.3">
      <c r="B194" s="2874"/>
      <c r="C194" s="2898"/>
      <c r="D194" s="2898"/>
      <c r="E194" s="2923"/>
      <c r="F194" s="3480"/>
      <c r="G194" s="3480"/>
      <c r="H194" s="2924"/>
      <c r="I194" s="2925"/>
      <c r="J194" s="2924"/>
      <c r="K194" s="3480"/>
      <c r="L194" s="2898"/>
      <c r="M194" s="2898"/>
      <c r="N194" s="2898"/>
      <c r="O194" s="2898"/>
      <c r="P194" s="2898"/>
      <c r="Q194" s="2898"/>
      <c r="R194" s="2898"/>
      <c r="S194" s="2898"/>
      <c r="T194" s="2898"/>
      <c r="U194" s="2898"/>
      <c r="V194" s="2898"/>
      <c r="W194" s="2898"/>
      <c r="X194" s="2898"/>
      <c r="Y194" s="2898"/>
      <c r="Z194" s="2898"/>
      <c r="AA194" s="2898"/>
      <c r="AB194" s="2898"/>
      <c r="AC194" s="2898"/>
      <c r="AD194" s="2643"/>
    </row>
    <row r="195" spans="2:30" ht="14.25" thickBot="1" x14ac:dyDescent="0.3">
      <c r="B195" s="2874"/>
      <c r="C195" s="5015" t="s">
        <v>0</v>
      </c>
      <c r="D195" s="5016"/>
      <c r="E195" s="5016"/>
      <c r="F195" s="5017"/>
      <c r="G195" s="3009"/>
      <c r="H195" s="3010"/>
      <c r="I195" s="3011"/>
      <c r="J195" s="3012">
        <f>J192+J159+J96+J61</f>
        <v>704780.94333333336</v>
      </c>
      <c r="K195" s="3013"/>
      <c r="L195" s="3014"/>
      <c r="M195" s="3014"/>
      <c r="N195" s="3014"/>
      <c r="O195" s="3014"/>
      <c r="P195" s="3015"/>
      <c r="Q195" s="3015"/>
      <c r="R195" s="3015">
        <f t="shared" ref="R195:AC195" si="61">R192+R159+R96+R61</f>
        <v>504419.82</v>
      </c>
      <c r="S195" s="3015">
        <f t="shared" si="61"/>
        <v>510022.65333333332</v>
      </c>
      <c r="T195" s="3015">
        <f t="shared" si="61"/>
        <v>522553.57</v>
      </c>
      <c r="U195" s="3015">
        <f t="shared" si="61"/>
        <v>514639.35999999999</v>
      </c>
      <c r="V195" s="3015">
        <f t="shared" si="61"/>
        <v>554427.65333333332</v>
      </c>
      <c r="W195" s="3015">
        <f t="shared" si="61"/>
        <v>509534.82</v>
      </c>
      <c r="X195" s="3015">
        <f t="shared" si="61"/>
        <v>517438.57</v>
      </c>
      <c r="Y195" s="3015">
        <f t="shared" si="61"/>
        <v>510022.65333333332</v>
      </c>
      <c r="Z195" s="3015">
        <f t="shared" si="61"/>
        <v>518434.68</v>
      </c>
      <c r="AA195" s="3015">
        <f t="shared" si="61"/>
        <v>663279.5</v>
      </c>
      <c r="AB195" s="3015">
        <f t="shared" si="61"/>
        <v>531906.40333333332</v>
      </c>
      <c r="AC195" s="3016">
        <f t="shared" si="61"/>
        <v>509534.82</v>
      </c>
      <c r="AD195" s="2643"/>
    </row>
    <row r="196" spans="2:30" x14ac:dyDescent="0.25">
      <c r="B196" s="2874"/>
      <c r="C196" s="2616"/>
      <c r="D196" s="2616"/>
      <c r="E196" s="2616"/>
      <c r="F196" s="2616"/>
      <c r="G196" s="2616"/>
      <c r="H196" s="2613"/>
      <c r="I196" s="2616"/>
      <c r="J196" s="2616"/>
      <c r="K196" s="2616"/>
      <c r="L196" s="2616"/>
      <c r="M196" s="2616"/>
      <c r="N196" s="2616"/>
      <c r="O196" s="2616"/>
      <c r="P196" s="2616"/>
      <c r="Q196" s="2616"/>
      <c r="R196" s="2616"/>
      <c r="S196" s="2616"/>
      <c r="T196" s="2616"/>
      <c r="U196" s="2616"/>
      <c r="V196" s="2616"/>
      <c r="W196" s="2616"/>
      <c r="X196" s="2616"/>
      <c r="Y196" s="2616"/>
      <c r="Z196" s="2616"/>
      <c r="AA196" s="2616"/>
      <c r="AB196" s="2616"/>
      <c r="AC196" s="2616"/>
      <c r="AD196" s="2643"/>
    </row>
    <row r="197" spans="2:30" x14ac:dyDescent="0.25">
      <c r="B197" s="2874"/>
      <c r="C197" s="2865" t="s">
        <v>5116</v>
      </c>
      <c r="D197" s="2616"/>
      <c r="E197" s="2863"/>
      <c r="F197" s="2613"/>
      <c r="G197" s="2613"/>
      <c r="H197" s="2614"/>
      <c r="I197" s="2615"/>
      <c r="J197" s="2614"/>
      <c r="K197" s="2613"/>
      <c r="L197" s="2616"/>
      <c r="M197" s="2616"/>
      <c r="N197" s="2616"/>
      <c r="O197" s="2616"/>
      <c r="P197" s="2616"/>
      <c r="Q197" s="2616"/>
      <c r="R197" s="2616"/>
      <c r="S197" s="2616"/>
      <c r="T197" s="2616"/>
      <c r="U197" s="2616"/>
      <c r="V197" s="2616"/>
      <c r="W197" s="2616"/>
      <c r="X197" s="2616"/>
      <c r="Y197" s="2616"/>
      <c r="Z197" s="2616"/>
      <c r="AA197" s="2616"/>
      <c r="AB197" s="2616"/>
      <c r="AC197" s="2616"/>
      <c r="AD197" s="2643"/>
    </row>
    <row r="198" spans="2:30" ht="14.25" thickBot="1" x14ac:dyDescent="0.3">
      <c r="B198" s="2874"/>
      <c r="C198" s="5018" t="s">
        <v>5117</v>
      </c>
      <c r="D198" s="5018"/>
      <c r="E198" s="5018"/>
      <c r="F198" s="5018"/>
      <c r="G198" s="5018"/>
      <c r="H198" s="5018"/>
      <c r="I198" s="5018"/>
      <c r="J198" s="5018"/>
      <c r="K198" s="5018"/>
      <c r="L198" s="5018"/>
      <c r="M198" s="5018"/>
      <c r="N198" s="5018"/>
      <c r="O198" s="5018"/>
      <c r="P198" s="5018"/>
      <c r="Q198" s="5018"/>
      <c r="R198" s="5018"/>
      <c r="S198" s="5018"/>
      <c r="T198" s="5018"/>
      <c r="U198" s="5018"/>
      <c r="V198" s="5018"/>
      <c r="W198" s="5018"/>
      <c r="X198" s="5018"/>
      <c r="Y198" s="5018"/>
      <c r="Z198" s="5018"/>
      <c r="AA198" s="3477"/>
      <c r="AB198" s="3477"/>
      <c r="AC198" s="3477"/>
      <c r="AD198" s="2643"/>
    </row>
    <row r="199" spans="2:30" ht="14.25" thickBot="1" x14ac:dyDescent="0.3">
      <c r="B199" s="2874"/>
      <c r="C199" s="5009" t="s">
        <v>298</v>
      </c>
      <c r="D199" s="4994" t="s">
        <v>5004</v>
      </c>
      <c r="E199" s="4994" t="s">
        <v>5005</v>
      </c>
      <c r="F199" s="4994" t="s">
        <v>5006</v>
      </c>
      <c r="G199" s="4994" t="s">
        <v>5007</v>
      </c>
      <c r="H199" s="5006" t="s">
        <v>5118</v>
      </c>
      <c r="I199" s="5021" t="s">
        <v>5119</v>
      </c>
      <c r="J199" s="5006" t="s">
        <v>5120</v>
      </c>
      <c r="K199" s="4994" t="s">
        <v>5123</v>
      </c>
      <c r="L199" s="4994" t="s">
        <v>5011</v>
      </c>
      <c r="M199" s="4549" t="s">
        <v>4303</v>
      </c>
      <c r="N199" s="4549"/>
      <c r="O199" s="4559" t="s">
        <v>4289</v>
      </c>
      <c r="P199" s="4559"/>
      <c r="Q199" s="4559"/>
      <c r="R199" s="4559"/>
      <c r="S199" s="4559"/>
      <c r="T199" s="4559"/>
      <c r="U199" s="4559"/>
      <c r="V199" s="4559"/>
      <c r="W199" s="4559"/>
      <c r="X199" s="4559"/>
      <c r="Y199" s="4559"/>
      <c r="Z199" s="4559"/>
      <c r="AA199" s="4559"/>
      <c r="AB199" s="4559"/>
      <c r="AC199" s="4990"/>
      <c r="AD199" s="2643"/>
    </row>
    <row r="200" spans="2:30" ht="14.25" thickBot="1" x14ac:dyDescent="0.3">
      <c r="B200" s="2874"/>
      <c r="C200" s="5024"/>
      <c r="D200" s="5025"/>
      <c r="E200" s="5025"/>
      <c r="F200" s="5025"/>
      <c r="G200" s="5025"/>
      <c r="H200" s="5020"/>
      <c r="I200" s="5022"/>
      <c r="J200" s="5020"/>
      <c r="K200" s="4995"/>
      <c r="L200" s="4995"/>
      <c r="M200" s="4550"/>
      <c r="N200" s="4550"/>
      <c r="O200" s="4991" t="s">
        <v>4288</v>
      </c>
      <c r="P200" s="4991"/>
      <c r="Q200" s="4991"/>
      <c r="R200" s="4992" t="s">
        <v>4302</v>
      </c>
      <c r="S200" s="4992"/>
      <c r="T200" s="4992"/>
      <c r="U200" s="4992"/>
      <c r="V200" s="4992"/>
      <c r="W200" s="4992"/>
      <c r="X200" s="4992"/>
      <c r="Y200" s="4992"/>
      <c r="Z200" s="4992"/>
      <c r="AA200" s="4992"/>
      <c r="AB200" s="4992"/>
      <c r="AC200" s="4993"/>
      <c r="AD200" s="2643"/>
    </row>
    <row r="201" spans="2:30" ht="14.25" thickBot="1" x14ac:dyDescent="0.3">
      <c r="B201" s="2874"/>
      <c r="C201" s="5024"/>
      <c r="D201" s="5025"/>
      <c r="E201" s="5025"/>
      <c r="F201" s="5025"/>
      <c r="G201" s="5025"/>
      <c r="H201" s="5020"/>
      <c r="I201" s="5022"/>
      <c r="J201" s="5020"/>
      <c r="K201" s="4995"/>
      <c r="L201" s="4995"/>
      <c r="M201" s="3465">
        <v>0</v>
      </c>
      <c r="N201" s="3465">
        <v>0</v>
      </c>
      <c r="O201" s="3765" t="s">
        <v>1961</v>
      </c>
      <c r="P201" s="3765" t="s">
        <v>1962</v>
      </c>
      <c r="Q201" s="3765" t="s">
        <v>1963</v>
      </c>
      <c r="R201" s="3765" t="s">
        <v>2001</v>
      </c>
      <c r="S201" s="3765" t="s">
        <v>2002</v>
      </c>
      <c r="T201" s="3765" t="s">
        <v>2003</v>
      </c>
      <c r="U201" s="3765" t="s">
        <v>2004</v>
      </c>
      <c r="V201" s="3765" t="s">
        <v>2005</v>
      </c>
      <c r="W201" s="3765" t="s">
        <v>2006</v>
      </c>
      <c r="X201" s="3765" t="s">
        <v>2007</v>
      </c>
      <c r="Y201" s="3765" t="s">
        <v>2008</v>
      </c>
      <c r="Z201" s="3765" t="s">
        <v>2009</v>
      </c>
      <c r="AA201" s="3765" t="s">
        <v>2010</v>
      </c>
      <c r="AB201" s="3765" t="s">
        <v>2011</v>
      </c>
      <c r="AC201" s="3766" t="s">
        <v>2012</v>
      </c>
      <c r="AD201" s="2643"/>
    </row>
    <row r="202" spans="2:30" ht="14.25" thickBot="1" x14ac:dyDescent="0.3">
      <c r="B202" s="2874"/>
      <c r="C202" s="5011"/>
      <c r="D202" s="4996"/>
      <c r="E202" s="4996"/>
      <c r="F202" s="4996"/>
      <c r="G202" s="4996"/>
      <c r="H202" s="5008"/>
      <c r="I202" s="5023"/>
      <c r="J202" s="5008"/>
      <c r="K202" s="4996"/>
      <c r="L202" s="4996"/>
      <c r="M202" s="2928">
        <v>2018</v>
      </c>
      <c r="N202" s="2928">
        <v>2019</v>
      </c>
      <c r="O202" s="2928">
        <v>2020</v>
      </c>
      <c r="P202" s="2928">
        <f>+O202+1</f>
        <v>2021</v>
      </c>
      <c r="Q202" s="2928">
        <f t="shared" ref="Q202:AC202" si="62">+P202+1</f>
        <v>2022</v>
      </c>
      <c r="R202" s="2928">
        <f t="shared" si="62"/>
        <v>2023</v>
      </c>
      <c r="S202" s="2928">
        <f t="shared" si="62"/>
        <v>2024</v>
      </c>
      <c r="T202" s="2928">
        <f t="shared" si="62"/>
        <v>2025</v>
      </c>
      <c r="U202" s="2928">
        <f t="shared" si="62"/>
        <v>2026</v>
      </c>
      <c r="V202" s="2928">
        <f t="shared" si="62"/>
        <v>2027</v>
      </c>
      <c r="W202" s="2928">
        <f t="shared" si="62"/>
        <v>2028</v>
      </c>
      <c r="X202" s="2928">
        <f t="shared" si="62"/>
        <v>2029</v>
      </c>
      <c r="Y202" s="2928">
        <f t="shared" si="62"/>
        <v>2030</v>
      </c>
      <c r="Z202" s="2928">
        <f t="shared" si="62"/>
        <v>2031</v>
      </c>
      <c r="AA202" s="2928">
        <f t="shared" si="62"/>
        <v>2032</v>
      </c>
      <c r="AB202" s="2928">
        <f t="shared" si="62"/>
        <v>2033</v>
      </c>
      <c r="AC202" s="2929">
        <f t="shared" si="62"/>
        <v>2034</v>
      </c>
      <c r="AD202" s="2643"/>
    </row>
    <row r="203" spans="2:30" ht="14.25" thickBot="1" x14ac:dyDescent="0.3">
      <c r="B203" s="2874"/>
      <c r="C203" s="5026" t="s">
        <v>5013</v>
      </c>
      <c r="D203" s="2898" t="s">
        <v>5121</v>
      </c>
      <c r="E203" s="3480"/>
      <c r="F203" s="3480"/>
      <c r="G203" s="3480"/>
      <c r="H203" s="2924"/>
      <c r="I203" s="2925"/>
      <c r="J203" s="2926">
        <f>+J61</f>
        <v>125672.80333333332</v>
      </c>
      <c r="K203" s="3480"/>
      <c r="L203" s="2927">
        <f>+L62</f>
        <v>125672.80333333332</v>
      </c>
      <c r="M203" s="2927"/>
      <c r="N203" s="2927"/>
      <c r="O203" s="2927"/>
      <c r="P203" s="2892"/>
      <c r="Q203" s="2892"/>
      <c r="R203" s="2892">
        <f t="shared" ref="R203:AC203" si="63">$L$203*R204</f>
        <v>87966.68</v>
      </c>
      <c r="S203" s="2892">
        <f t="shared" si="63"/>
        <v>93569.513333333321</v>
      </c>
      <c r="T203" s="2892">
        <f t="shared" si="63"/>
        <v>100985.43</v>
      </c>
      <c r="U203" s="2892">
        <f t="shared" si="63"/>
        <v>98186.22</v>
      </c>
      <c r="V203" s="2892">
        <f t="shared" si="63"/>
        <v>102434.51333333332</v>
      </c>
      <c r="W203" s="2892">
        <f t="shared" si="63"/>
        <v>87966.68</v>
      </c>
      <c r="X203" s="2892">
        <f t="shared" si="63"/>
        <v>100985.43</v>
      </c>
      <c r="Y203" s="2892">
        <f t="shared" si="63"/>
        <v>93569.513333333321</v>
      </c>
      <c r="Z203" s="2892">
        <f t="shared" si="63"/>
        <v>96866.54</v>
      </c>
      <c r="AA203" s="2892">
        <f t="shared" si="63"/>
        <v>89286.359999999986</v>
      </c>
      <c r="AB203" s="2892">
        <f t="shared" si="63"/>
        <v>115453.26333333332</v>
      </c>
      <c r="AC203" s="2892">
        <f t="shared" si="63"/>
        <v>87966.68</v>
      </c>
      <c r="AD203" s="2643"/>
    </row>
    <row r="204" spans="2:30" ht="14.25" thickBot="1" x14ac:dyDescent="0.3">
      <c r="B204" s="2874"/>
      <c r="C204" s="5026"/>
      <c r="D204" s="2944" t="s">
        <v>5044</v>
      </c>
      <c r="E204" s="2954"/>
      <c r="F204" s="2944"/>
      <c r="G204" s="2944"/>
      <c r="H204" s="2954"/>
      <c r="I204" s="2944"/>
      <c r="J204" s="3019">
        <f t="shared" ref="J204:J211" si="64">+L204</f>
        <v>0</v>
      </c>
      <c r="K204" s="2954"/>
      <c r="L204" s="2944"/>
      <c r="M204" s="2944"/>
      <c r="N204" s="2944"/>
      <c r="O204" s="2944"/>
      <c r="P204" s="3020"/>
      <c r="Q204" s="3020"/>
      <c r="R204" s="3020">
        <f t="shared" ref="R204:AC204" si="65">R62</f>
        <v>0.69996592474091657</v>
      </c>
      <c r="S204" s="3020">
        <f t="shared" si="65"/>
        <v>0.74454862827520807</v>
      </c>
      <c r="T204" s="3020">
        <f t="shared" si="65"/>
        <v>0.80355834612956967</v>
      </c>
      <c r="U204" s="3020">
        <f t="shared" si="65"/>
        <v>0.78128455318667345</v>
      </c>
      <c r="V204" s="3020">
        <f t="shared" si="65"/>
        <v>0.81508895016559013</v>
      </c>
      <c r="W204" s="3020">
        <f t="shared" si="65"/>
        <v>0.69996592474091657</v>
      </c>
      <c r="X204" s="3020">
        <f t="shared" si="65"/>
        <v>0.80355834612956967</v>
      </c>
      <c r="Y204" s="3020">
        <f t="shared" si="65"/>
        <v>0.74454862827520807</v>
      </c>
      <c r="Z204" s="3020">
        <f t="shared" si="65"/>
        <v>0.77078363361619406</v>
      </c>
      <c r="AA204" s="3020">
        <f t="shared" si="65"/>
        <v>0.71046684431139584</v>
      </c>
      <c r="AB204" s="3020">
        <f t="shared" si="65"/>
        <v>0.91868137155424323</v>
      </c>
      <c r="AC204" s="3020">
        <f t="shared" si="65"/>
        <v>0.69996592474091657</v>
      </c>
      <c r="AD204" s="2643"/>
    </row>
    <row r="205" spans="2:30" ht="14.25" thickBot="1" x14ac:dyDescent="0.3">
      <c r="B205" s="2874"/>
      <c r="C205" s="5019" t="s">
        <v>5122</v>
      </c>
      <c r="D205" s="2898" t="s">
        <v>5121</v>
      </c>
      <c r="E205" s="3480"/>
      <c r="F205" s="3480"/>
      <c r="G205" s="3480"/>
      <c r="H205" s="2924"/>
      <c r="I205" s="2925"/>
      <c r="J205" s="2926">
        <f t="shared" si="64"/>
        <v>201941</v>
      </c>
      <c r="K205" s="3480"/>
      <c r="L205" s="2927">
        <f>+J96</f>
        <v>201941</v>
      </c>
      <c r="M205" s="2927"/>
      <c r="N205" s="2927"/>
      <c r="O205" s="2927"/>
      <c r="P205" s="2892"/>
      <c r="Q205" s="2892"/>
      <c r="R205" s="2892">
        <f t="shared" ref="R205:AC205" si="66">$L$205*R206</f>
        <v>39286</v>
      </c>
      <c r="S205" s="2892">
        <f t="shared" si="66"/>
        <v>39286</v>
      </c>
      <c r="T205" s="2892">
        <f t="shared" si="66"/>
        <v>44401</v>
      </c>
      <c r="U205" s="2892">
        <f t="shared" si="66"/>
        <v>39286</v>
      </c>
      <c r="V205" s="2892">
        <f t="shared" si="66"/>
        <v>74826</v>
      </c>
      <c r="W205" s="2892">
        <f t="shared" si="66"/>
        <v>44401</v>
      </c>
      <c r="X205" s="2892">
        <f t="shared" si="66"/>
        <v>39286</v>
      </c>
      <c r="Y205" s="2892">
        <f t="shared" si="66"/>
        <v>39286</v>
      </c>
      <c r="Z205" s="2892">
        <f t="shared" si="66"/>
        <v>44401</v>
      </c>
      <c r="AA205" s="2892">
        <f t="shared" si="66"/>
        <v>196826</v>
      </c>
      <c r="AB205" s="2892">
        <f t="shared" si="66"/>
        <v>39286</v>
      </c>
      <c r="AC205" s="2892">
        <f t="shared" si="66"/>
        <v>44401</v>
      </c>
      <c r="AD205" s="2643"/>
    </row>
    <row r="206" spans="2:30" ht="14.25" thickBot="1" x14ac:dyDescent="0.3">
      <c r="B206" s="2874"/>
      <c r="C206" s="5019"/>
      <c r="D206" s="2944" t="s">
        <v>5044</v>
      </c>
      <c r="E206" s="2954"/>
      <c r="F206" s="2944"/>
      <c r="G206" s="2944"/>
      <c r="H206" s="2954"/>
      <c r="I206" s="2944"/>
      <c r="J206" s="3019">
        <f t="shared" si="64"/>
        <v>0</v>
      </c>
      <c r="K206" s="2954"/>
      <c r="L206" s="2944"/>
      <c r="M206" s="2944"/>
      <c r="N206" s="2944"/>
      <c r="O206" s="2944"/>
      <c r="P206" s="3020"/>
      <c r="Q206" s="3020"/>
      <c r="R206" s="3020">
        <f t="shared" ref="R206:AC206" si="67">R97</f>
        <v>0.19454197017940883</v>
      </c>
      <c r="S206" s="3020">
        <f t="shared" si="67"/>
        <v>0.19454197017940883</v>
      </c>
      <c r="T206" s="3020">
        <f t="shared" si="67"/>
        <v>0.21987115048454747</v>
      </c>
      <c r="U206" s="3020">
        <f t="shared" si="67"/>
        <v>0.19454197017940883</v>
      </c>
      <c r="V206" s="3020">
        <f t="shared" si="67"/>
        <v>0.37053396784209247</v>
      </c>
      <c r="W206" s="3020">
        <f t="shared" si="67"/>
        <v>0.21987115048454747</v>
      </c>
      <c r="X206" s="3020">
        <f t="shared" si="67"/>
        <v>0.19454197017940883</v>
      </c>
      <c r="Y206" s="3020">
        <f t="shared" si="67"/>
        <v>0.19454197017940883</v>
      </c>
      <c r="Z206" s="3020">
        <f t="shared" si="67"/>
        <v>0.21987115048454747</v>
      </c>
      <c r="AA206" s="3020">
        <f t="shared" si="67"/>
        <v>0.97467081969486136</v>
      </c>
      <c r="AB206" s="3020">
        <f t="shared" si="67"/>
        <v>0.19454197017940883</v>
      </c>
      <c r="AC206" s="3020">
        <f t="shared" si="67"/>
        <v>0.21987115048454747</v>
      </c>
      <c r="AD206" s="2643"/>
    </row>
    <row r="207" spans="2:30" ht="14.25" thickBot="1" x14ac:dyDescent="0.3">
      <c r="B207" s="2874"/>
      <c r="C207" s="5019" t="s">
        <v>5883</v>
      </c>
      <c r="D207" s="2898" t="s">
        <v>5121</v>
      </c>
      <c r="E207" s="3480"/>
      <c r="F207" s="2898"/>
      <c r="G207" s="2898"/>
      <c r="H207" s="3480"/>
      <c r="I207" s="2898"/>
      <c r="J207" s="2926">
        <f t="shared" si="64"/>
        <v>63870.14</v>
      </c>
      <c r="K207" s="3480"/>
      <c r="L207" s="2927">
        <f>+J159</f>
        <v>63870.14</v>
      </c>
      <c r="M207" s="2927"/>
      <c r="N207" s="2927"/>
      <c r="O207" s="2927"/>
      <c r="P207" s="2892"/>
      <c r="Q207" s="2892"/>
      <c r="R207" s="2892">
        <f t="shared" ref="R207:AC209" si="68">$L$207*R208</f>
        <v>63870.14</v>
      </c>
      <c r="S207" s="2892">
        <f t="shared" si="68"/>
        <v>63870.14</v>
      </c>
      <c r="T207" s="2892">
        <f t="shared" si="68"/>
        <v>63870.14</v>
      </c>
      <c r="U207" s="2892">
        <f t="shared" si="68"/>
        <v>63870.14</v>
      </c>
      <c r="V207" s="2892">
        <f t="shared" si="68"/>
        <v>63870.14</v>
      </c>
      <c r="W207" s="2892">
        <f t="shared" si="68"/>
        <v>63870.14</v>
      </c>
      <c r="X207" s="2892">
        <f t="shared" si="68"/>
        <v>63870.14</v>
      </c>
      <c r="Y207" s="2892">
        <f t="shared" si="68"/>
        <v>63870.14</v>
      </c>
      <c r="Z207" s="2892">
        <f t="shared" si="68"/>
        <v>63870.14</v>
      </c>
      <c r="AA207" s="2892">
        <f t="shared" si="68"/>
        <v>63870.14</v>
      </c>
      <c r="AB207" s="2892">
        <f t="shared" si="68"/>
        <v>63870.14</v>
      </c>
      <c r="AC207" s="2892">
        <f t="shared" si="68"/>
        <v>63870.14</v>
      </c>
      <c r="AD207" s="2643"/>
    </row>
    <row r="208" spans="2:30" ht="14.25" thickBot="1" x14ac:dyDescent="0.3">
      <c r="B208" s="2874"/>
      <c r="C208" s="5019"/>
      <c r="D208" s="2944" t="s">
        <v>5044</v>
      </c>
      <c r="E208" s="2954"/>
      <c r="F208" s="2944"/>
      <c r="G208" s="2944"/>
      <c r="H208" s="2954"/>
      <c r="I208" s="2944"/>
      <c r="J208" s="3019">
        <f t="shared" si="64"/>
        <v>0</v>
      </c>
      <c r="K208" s="2954"/>
      <c r="L208" s="2944"/>
      <c r="M208" s="2944"/>
      <c r="N208" s="2944"/>
      <c r="O208" s="2944"/>
      <c r="P208" s="3020"/>
      <c r="Q208" s="3020"/>
      <c r="R208" s="3020">
        <f t="shared" ref="R208:AC208" si="69">R160</f>
        <v>1</v>
      </c>
      <c r="S208" s="3020">
        <f t="shared" si="69"/>
        <v>1</v>
      </c>
      <c r="T208" s="3020">
        <f t="shared" si="69"/>
        <v>1</v>
      </c>
      <c r="U208" s="3020">
        <f t="shared" si="69"/>
        <v>1</v>
      </c>
      <c r="V208" s="3020">
        <f t="shared" si="69"/>
        <v>1</v>
      </c>
      <c r="W208" s="3020">
        <f t="shared" si="69"/>
        <v>1</v>
      </c>
      <c r="X208" s="3020">
        <f t="shared" si="69"/>
        <v>1</v>
      </c>
      <c r="Y208" s="3020">
        <f t="shared" si="69"/>
        <v>1</v>
      </c>
      <c r="Z208" s="3020">
        <f t="shared" si="69"/>
        <v>1</v>
      </c>
      <c r="AA208" s="3020">
        <f t="shared" si="69"/>
        <v>1</v>
      </c>
      <c r="AB208" s="3020">
        <f t="shared" si="69"/>
        <v>1</v>
      </c>
      <c r="AC208" s="3020">
        <f t="shared" si="69"/>
        <v>1</v>
      </c>
      <c r="AD208" s="2643"/>
    </row>
    <row r="209" spans="2:30" ht="14.25" thickBot="1" x14ac:dyDescent="0.3">
      <c r="B209" s="2874"/>
      <c r="C209" s="5019" t="s">
        <v>5884</v>
      </c>
      <c r="D209" s="2898" t="s">
        <v>5121</v>
      </c>
      <c r="E209" s="3480"/>
      <c r="F209" s="2898"/>
      <c r="G209" s="2898"/>
      <c r="H209" s="3480"/>
      <c r="I209" s="2898"/>
      <c r="J209" s="2926">
        <f t="shared" si="64"/>
        <v>151470</v>
      </c>
      <c r="K209" s="3480"/>
      <c r="L209" s="2927">
        <f>+J161</f>
        <v>151470</v>
      </c>
      <c r="M209" s="2927"/>
      <c r="N209" s="2927"/>
      <c r="O209" s="2927"/>
      <c r="P209" s="2892"/>
      <c r="Q209" s="2892"/>
      <c r="R209" s="2892">
        <f t="shared" si="68"/>
        <v>63870.14</v>
      </c>
      <c r="S209" s="2892">
        <f t="shared" si="68"/>
        <v>63870.14</v>
      </c>
      <c r="T209" s="2892">
        <f t="shared" si="68"/>
        <v>63870.14</v>
      </c>
      <c r="U209" s="2892">
        <f t="shared" si="68"/>
        <v>63870.14</v>
      </c>
      <c r="V209" s="2892">
        <f t="shared" si="68"/>
        <v>63870.14</v>
      </c>
      <c r="W209" s="2892">
        <f t="shared" si="68"/>
        <v>63870.14</v>
      </c>
      <c r="X209" s="2892">
        <f t="shared" si="68"/>
        <v>63870.14</v>
      </c>
      <c r="Y209" s="2892">
        <f t="shared" si="68"/>
        <v>63870.14</v>
      </c>
      <c r="Z209" s="2892">
        <f t="shared" si="68"/>
        <v>63870.14</v>
      </c>
      <c r="AA209" s="2892">
        <f t="shared" si="68"/>
        <v>63870.14</v>
      </c>
      <c r="AB209" s="2892">
        <f t="shared" si="68"/>
        <v>63870.14</v>
      </c>
      <c r="AC209" s="2892">
        <f t="shared" si="68"/>
        <v>63870.14</v>
      </c>
      <c r="AD209" s="2643"/>
    </row>
    <row r="210" spans="2:30" ht="14.25" thickBot="1" x14ac:dyDescent="0.3">
      <c r="B210" s="2874"/>
      <c r="C210" s="5019"/>
      <c r="D210" s="2944" t="s">
        <v>5044</v>
      </c>
      <c r="E210" s="2954"/>
      <c r="F210" s="2944"/>
      <c r="G210" s="2944"/>
      <c r="H210" s="2954"/>
      <c r="I210" s="2944"/>
      <c r="J210" s="3019">
        <f t="shared" si="64"/>
        <v>0</v>
      </c>
      <c r="K210" s="2954"/>
      <c r="L210" s="2944"/>
      <c r="M210" s="2944"/>
      <c r="N210" s="2944"/>
      <c r="O210" s="2944"/>
      <c r="P210" s="3020"/>
      <c r="Q210" s="3020"/>
      <c r="R210" s="3020">
        <f t="shared" ref="R210:AC210" si="70">R160</f>
        <v>1</v>
      </c>
      <c r="S210" s="3020">
        <f t="shared" si="70"/>
        <v>1</v>
      </c>
      <c r="T210" s="3020">
        <f t="shared" si="70"/>
        <v>1</v>
      </c>
      <c r="U210" s="3020">
        <f t="shared" si="70"/>
        <v>1</v>
      </c>
      <c r="V210" s="3020">
        <f t="shared" si="70"/>
        <v>1</v>
      </c>
      <c r="W210" s="3020">
        <f t="shared" si="70"/>
        <v>1</v>
      </c>
      <c r="X210" s="3020">
        <f t="shared" si="70"/>
        <v>1</v>
      </c>
      <c r="Y210" s="3020">
        <f t="shared" si="70"/>
        <v>1</v>
      </c>
      <c r="Z210" s="3020">
        <f t="shared" si="70"/>
        <v>1</v>
      </c>
      <c r="AA210" s="3020">
        <f t="shared" si="70"/>
        <v>1</v>
      </c>
      <c r="AB210" s="3020">
        <f t="shared" si="70"/>
        <v>1</v>
      </c>
      <c r="AC210" s="3020">
        <f t="shared" si="70"/>
        <v>1</v>
      </c>
      <c r="AD210" s="2643"/>
    </row>
    <row r="211" spans="2:30" ht="14.25" thickBot="1" x14ac:dyDescent="0.3">
      <c r="B211" s="2874"/>
      <c r="C211" s="5019" t="s">
        <v>5089</v>
      </c>
      <c r="D211" s="2898" t="s">
        <v>5121</v>
      </c>
      <c r="E211" s="3480"/>
      <c r="F211" s="2898"/>
      <c r="G211" s="2898"/>
      <c r="H211" s="3480"/>
      <c r="I211" s="2898"/>
      <c r="J211" s="2926">
        <f t="shared" si="64"/>
        <v>313297</v>
      </c>
      <c r="K211" s="3480"/>
      <c r="L211" s="2927">
        <f>+J192</f>
        <v>313297</v>
      </c>
      <c r="M211" s="2927"/>
      <c r="N211" s="2927"/>
      <c r="O211" s="2927"/>
      <c r="P211" s="2892"/>
      <c r="Q211" s="2892"/>
      <c r="R211" s="2892">
        <f t="shared" ref="R211:AC211" si="71">$L$211*R212</f>
        <v>313297</v>
      </c>
      <c r="S211" s="2892">
        <f t="shared" si="71"/>
        <v>313297</v>
      </c>
      <c r="T211" s="2892">
        <f t="shared" si="71"/>
        <v>313297</v>
      </c>
      <c r="U211" s="2892">
        <f t="shared" si="71"/>
        <v>313297</v>
      </c>
      <c r="V211" s="2892">
        <f t="shared" si="71"/>
        <v>313297</v>
      </c>
      <c r="W211" s="2892">
        <f t="shared" si="71"/>
        <v>313297</v>
      </c>
      <c r="X211" s="2892">
        <f t="shared" si="71"/>
        <v>313297</v>
      </c>
      <c r="Y211" s="2892">
        <f t="shared" si="71"/>
        <v>313297</v>
      </c>
      <c r="Z211" s="2892">
        <f t="shared" si="71"/>
        <v>313297</v>
      </c>
      <c r="AA211" s="2892">
        <f t="shared" si="71"/>
        <v>313297</v>
      </c>
      <c r="AB211" s="2892">
        <f t="shared" si="71"/>
        <v>313297</v>
      </c>
      <c r="AC211" s="2892">
        <f t="shared" si="71"/>
        <v>313297</v>
      </c>
      <c r="AD211" s="2643"/>
    </row>
    <row r="212" spans="2:30" ht="14.25" thickBot="1" x14ac:dyDescent="0.3">
      <c r="B212" s="2874"/>
      <c r="C212" s="5019"/>
      <c r="D212" s="2944" t="s">
        <v>5044</v>
      </c>
      <c r="E212" s="2954"/>
      <c r="F212" s="2944"/>
      <c r="G212" s="2944"/>
      <c r="H212" s="2954"/>
      <c r="I212" s="2944"/>
      <c r="J212" s="3021"/>
      <c r="K212" s="2954"/>
      <c r="L212" s="2944"/>
      <c r="M212" s="2944"/>
      <c r="N212" s="2944"/>
      <c r="O212" s="2944"/>
      <c r="P212" s="3020"/>
      <c r="Q212" s="3020"/>
      <c r="R212" s="3020">
        <f t="shared" ref="R212:AC212" si="72">R193</f>
        <v>1</v>
      </c>
      <c r="S212" s="3020">
        <f t="shared" si="72"/>
        <v>1</v>
      </c>
      <c r="T212" s="3020">
        <f t="shared" si="72"/>
        <v>1</v>
      </c>
      <c r="U212" s="3020">
        <f t="shared" si="72"/>
        <v>1</v>
      </c>
      <c r="V212" s="3020">
        <f t="shared" si="72"/>
        <v>1</v>
      </c>
      <c r="W212" s="3020">
        <f t="shared" si="72"/>
        <v>1</v>
      </c>
      <c r="X212" s="3020">
        <f t="shared" si="72"/>
        <v>1</v>
      </c>
      <c r="Y212" s="3020">
        <f t="shared" si="72"/>
        <v>1</v>
      </c>
      <c r="Z212" s="3020">
        <f t="shared" si="72"/>
        <v>1</v>
      </c>
      <c r="AA212" s="3020">
        <f t="shared" si="72"/>
        <v>1</v>
      </c>
      <c r="AB212" s="3020">
        <f t="shared" si="72"/>
        <v>1</v>
      </c>
      <c r="AC212" s="3020">
        <f t="shared" si="72"/>
        <v>1</v>
      </c>
      <c r="AD212" s="2643"/>
    </row>
    <row r="213" spans="2:30" ht="14.25" thickBot="1" x14ac:dyDescent="0.3">
      <c r="B213" s="2874"/>
      <c r="C213" s="5015" t="s">
        <v>0</v>
      </c>
      <c r="D213" s="5016"/>
      <c r="E213" s="5016"/>
      <c r="F213" s="5016"/>
      <c r="G213" s="5016"/>
      <c r="H213" s="5016"/>
      <c r="I213" s="5017"/>
      <c r="J213" s="3017">
        <f>+J203+J205+J207+J209+J211</f>
        <v>856250.94333333336</v>
      </c>
      <c r="K213" s="3013"/>
      <c r="L213" s="3014"/>
      <c r="M213" s="3018"/>
      <c r="N213" s="3018"/>
      <c r="O213" s="3018"/>
      <c r="P213" s="3018"/>
      <c r="Q213" s="3018"/>
      <c r="R213" s="3015">
        <f>+R203+R205+R207+R209+R211</f>
        <v>568289.96</v>
      </c>
      <c r="S213" s="3015">
        <f t="shared" ref="S213:AB213" si="73">+S203+S205+S207+S209+S211</f>
        <v>573892.79333333333</v>
      </c>
      <c r="T213" s="3015">
        <f t="shared" si="73"/>
        <v>586423.71</v>
      </c>
      <c r="U213" s="3015">
        <f t="shared" si="73"/>
        <v>578509.5</v>
      </c>
      <c r="V213" s="3015">
        <f t="shared" si="73"/>
        <v>618297.79333333333</v>
      </c>
      <c r="W213" s="3015">
        <f t="shared" si="73"/>
        <v>573404.96</v>
      </c>
      <c r="X213" s="3015">
        <f t="shared" si="73"/>
        <v>581308.71</v>
      </c>
      <c r="Y213" s="3015">
        <f t="shared" si="73"/>
        <v>573892.79333333333</v>
      </c>
      <c r="Z213" s="3015">
        <f t="shared" si="73"/>
        <v>582304.82000000007</v>
      </c>
      <c r="AA213" s="3015">
        <f t="shared" si="73"/>
        <v>727149.64</v>
      </c>
      <c r="AB213" s="3015">
        <f t="shared" si="73"/>
        <v>595776.54333333333</v>
      </c>
      <c r="AC213" s="3016">
        <f>+AC203+AC205+AC207+AC209+AC211</f>
        <v>573404.96</v>
      </c>
      <c r="AD213" s="2643"/>
    </row>
    <row r="214" spans="2:30" x14ac:dyDescent="0.25">
      <c r="B214" s="2874"/>
      <c r="C214" s="2866"/>
      <c r="D214" s="2616"/>
      <c r="E214" s="2616"/>
      <c r="F214" s="2616"/>
      <c r="G214" s="2616"/>
      <c r="H214" s="2613"/>
      <c r="I214" s="2616"/>
      <c r="J214" s="2616"/>
      <c r="K214" s="2613"/>
      <c r="L214" s="2616"/>
      <c r="M214" s="2616"/>
      <c r="N214" s="2616"/>
      <c r="O214" s="2616"/>
      <c r="P214" s="2616"/>
      <c r="Q214" s="2616"/>
      <c r="R214" s="2616"/>
      <c r="S214" s="2616"/>
      <c r="T214" s="2616"/>
      <c r="U214" s="2616"/>
      <c r="V214" s="2616"/>
      <c r="W214" s="2616"/>
      <c r="X214" s="2616"/>
      <c r="Y214" s="2616"/>
      <c r="Z214" s="2616"/>
      <c r="AA214" s="2616"/>
      <c r="AB214" s="2616"/>
      <c r="AC214" s="2616"/>
      <c r="AD214" s="2643"/>
    </row>
    <row r="215" spans="2:30" x14ac:dyDescent="0.25">
      <c r="B215" s="2874"/>
      <c r="C215" s="2616"/>
      <c r="D215" s="2616"/>
      <c r="E215" s="2616"/>
      <c r="F215" s="2616"/>
      <c r="G215" s="2616"/>
      <c r="H215" s="2613"/>
      <c r="I215" s="2616"/>
      <c r="J215" s="2616"/>
      <c r="K215" s="2616"/>
      <c r="L215" s="2616"/>
      <c r="M215" s="2616"/>
      <c r="N215" s="2616"/>
      <c r="O215" s="2616"/>
      <c r="P215" s="2616"/>
      <c r="Q215" s="2616"/>
      <c r="R215" s="2616"/>
      <c r="S215" s="2616"/>
      <c r="T215" s="2616"/>
      <c r="U215" s="2616"/>
      <c r="V215" s="2616"/>
      <c r="W215" s="2616"/>
      <c r="X215" s="2616"/>
      <c r="Y215" s="2616"/>
      <c r="Z215" s="2616"/>
      <c r="AA215" s="2616"/>
      <c r="AB215" s="2616"/>
      <c r="AC215" s="2616"/>
      <c r="AD215" s="2643"/>
    </row>
    <row r="216" spans="2:30" x14ac:dyDescent="0.25">
      <c r="B216" s="2874"/>
      <c r="C216" s="2616"/>
      <c r="D216" s="2616"/>
      <c r="E216" s="2616"/>
      <c r="F216" s="2616"/>
      <c r="G216" s="2616"/>
      <c r="H216" s="2613"/>
      <c r="I216" s="2616"/>
      <c r="J216" s="2616"/>
      <c r="K216" s="2616"/>
      <c r="L216" s="2616"/>
      <c r="M216" s="2616"/>
      <c r="N216" s="2616"/>
      <c r="O216" s="2616"/>
      <c r="P216" s="2616"/>
      <c r="Q216" s="2616"/>
      <c r="R216" s="2616"/>
      <c r="S216" s="2616"/>
      <c r="T216" s="2616"/>
      <c r="U216" s="2616"/>
      <c r="V216" s="2616"/>
      <c r="W216" s="2616"/>
      <c r="X216" s="2616"/>
      <c r="Y216" s="2616"/>
      <c r="Z216" s="2616"/>
      <c r="AA216" s="2616"/>
      <c r="AB216" s="2616"/>
      <c r="AC216" s="2616"/>
      <c r="AD216" s="2643"/>
    </row>
    <row r="217" spans="2:30" ht="14.25" thickBot="1" x14ac:dyDescent="0.3">
      <c r="B217" s="2877"/>
      <c r="C217" s="2878"/>
      <c r="D217" s="2878"/>
      <c r="E217" s="2878"/>
      <c r="F217" s="2878"/>
      <c r="G217" s="2878"/>
      <c r="H217" s="2879"/>
      <c r="I217" s="2878"/>
      <c r="J217" s="2878"/>
      <c r="K217" s="2878"/>
      <c r="L217" s="2878"/>
      <c r="M217" s="2878"/>
      <c r="N217" s="2878"/>
      <c r="O217" s="2878"/>
      <c r="P217" s="2878"/>
      <c r="Q217" s="2878"/>
      <c r="R217" s="2878"/>
      <c r="S217" s="2878"/>
      <c r="T217" s="2878"/>
      <c r="U217" s="2878"/>
      <c r="V217" s="2878"/>
      <c r="W217" s="2878"/>
      <c r="X217" s="2878"/>
      <c r="Y217" s="2878"/>
      <c r="Z217" s="2878"/>
      <c r="AA217" s="2878"/>
      <c r="AB217" s="2878"/>
      <c r="AC217" s="2878"/>
      <c r="AD217" s="2880"/>
    </row>
    <row r="218" spans="2:30" x14ac:dyDescent="0.25">
      <c r="E218" s="2858"/>
      <c r="F218" s="2858"/>
      <c r="G218" s="2858"/>
      <c r="H218" s="2860"/>
      <c r="I218" s="2858"/>
      <c r="J218" s="2858"/>
      <c r="K218" s="2858"/>
    </row>
    <row r="219" spans="2:30" x14ac:dyDescent="0.25">
      <c r="E219" s="2858"/>
      <c r="F219" s="2858"/>
      <c r="G219" s="2858"/>
      <c r="H219" s="2860"/>
      <c r="I219" s="2858"/>
      <c r="J219" s="2858"/>
      <c r="K219" s="2858"/>
    </row>
    <row r="220" spans="2:30" x14ac:dyDescent="0.25">
      <c r="E220" s="2858"/>
      <c r="F220" s="2858"/>
      <c r="G220" s="2858"/>
      <c r="H220" s="2860"/>
      <c r="I220" s="2858"/>
      <c r="J220" s="2858"/>
      <c r="K220" s="2858"/>
    </row>
    <row r="229" spans="5:11" x14ac:dyDescent="0.25">
      <c r="E229" s="2858"/>
      <c r="F229" s="2858"/>
      <c r="G229" s="2858"/>
      <c r="H229" s="2860"/>
      <c r="I229" s="2858"/>
      <c r="J229" s="2858"/>
      <c r="K229" s="2858"/>
    </row>
    <row r="230" spans="5:11" x14ac:dyDescent="0.25">
      <c r="E230" s="2858"/>
      <c r="F230" s="2858"/>
      <c r="G230" s="2858"/>
      <c r="H230" s="2860"/>
      <c r="I230" s="2858"/>
      <c r="J230" s="2858"/>
      <c r="K230" s="2858"/>
    </row>
    <row r="231" spans="5:11" x14ac:dyDescent="0.25">
      <c r="E231" s="2858"/>
      <c r="F231" s="2858"/>
      <c r="G231" s="2858"/>
      <c r="H231" s="2860"/>
      <c r="I231" s="2858"/>
      <c r="J231" s="2858"/>
      <c r="K231" s="2858"/>
    </row>
    <row r="234" spans="5:11" x14ac:dyDescent="0.25">
      <c r="E234" s="2858"/>
      <c r="F234" s="2858"/>
      <c r="G234" s="2858"/>
      <c r="H234" s="2860"/>
      <c r="I234" s="2858"/>
      <c r="J234" s="2858"/>
      <c r="K234" s="2858"/>
    </row>
    <row r="235" spans="5:11" x14ac:dyDescent="0.25">
      <c r="E235" s="2858"/>
      <c r="F235" s="2858"/>
      <c r="G235" s="2858"/>
      <c r="H235" s="2860"/>
      <c r="I235" s="2858"/>
      <c r="J235" s="2858"/>
      <c r="K235" s="2858"/>
    </row>
    <row r="238" spans="5:11" x14ac:dyDescent="0.25">
      <c r="E238" s="2858"/>
      <c r="F238" s="2858"/>
      <c r="G238" s="2858"/>
      <c r="H238" s="2860"/>
      <c r="I238" s="2858"/>
      <c r="J238" s="2858"/>
      <c r="K238" s="2858"/>
    </row>
    <row r="239" spans="5:11" x14ac:dyDescent="0.25">
      <c r="E239" s="2858"/>
      <c r="F239" s="2858"/>
      <c r="G239" s="2858"/>
      <c r="H239" s="2860"/>
      <c r="I239" s="2858"/>
      <c r="J239" s="2858"/>
      <c r="K239" s="2858"/>
    </row>
    <row r="240" spans="5:11" x14ac:dyDescent="0.25">
      <c r="E240" s="2858"/>
      <c r="F240" s="2858"/>
      <c r="G240" s="2858"/>
      <c r="H240" s="2860"/>
      <c r="I240" s="2858"/>
      <c r="J240" s="2858"/>
      <c r="K240" s="2858"/>
    </row>
    <row r="241" spans="5:11" x14ac:dyDescent="0.25">
      <c r="E241" s="2858"/>
      <c r="F241" s="2858"/>
      <c r="G241" s="2858"/>
      <c r="H241" s="2860"/>
      <c r="I241" s="2858"/>
      <c r="J241" s="2858"/>
      <c r="K241" s="2858"/>
    </row>
    <row r="242" spans="5:11" x14ac:dyDescent="0.25">
      <c r="E242" s="2858"/>
      <c r="F242" s="2858"/>
      <c r="G242" s="2858"/>
      <c r="H242" s="2860"/>
      <c r="I242" s="2858"/>
      <c r="J242" s="2858"/>
      <c r="K242" s="2858"/>
    </row>
    <row r="243" spans="5:11" x14ac:dyDescent="0.25">
      <c r="E243" s="2858"/>
      <c r="F243" s="2858"/>
      <c r="G243" s="2858"/>
      <c r="H243" s="2860"/>
      <c r="I243" s="2858"/>
      <c r="J243" s="2858"/>
      <c r="K243" s="2858"/>
    </row>
    <row r="244" spans="5:11" x14ac:dyDescent="0.25">
      <c r="E244" s="2858"/>
      <c r="F244" s="2858"/>
      <c r="G244" s="2858"/>
      <c r="H244" s="2860"/>
      <c r="I244" s="2858"/>
      <c r="J244" s="2858"/>
      <c r="K244" s="2858"/>
    </row>
    <row r="245" spans="5:11" x14ac:dyDescent="0.25">
      <c r="E245" s="2858"/>
      <c r="F245" s="2858"/>
      <c r="G245" s="2858"/>
      <c r="H245" s="2860"/>
      <c r="I245" s="2858"/>
      <c r="J245" s="2858"/>
      <c r="K245" s="2858"/>
    </row>
    <row r="246" spans="5:11" x14ac:dyDescent="0.25">
      <c r="E246" s="2858"/>
      <c r="F246" s="2858"/>
      <c r="G246" s="2858"/>
      <c r="H246" s="2860"/>
      <c r="I246" s="2858"/>
      <c r="J246" s="2858"/>
      <c r="K246" s="2858"/>
    </row>
    <row r="247" spans="5:11" x14ac:dyDescent="0.25">
      <c r="E247" s="2858"/>
      <c r="F247" s="2858"/>
      <c r="G247" s="2858"/>
      <c r="H247" s="2860"/>
      <c r="I247" s="2858"/>
      <c r="J247" s="2858"/>
      <c r="K247" s="2858"/>
    </row>
    <row r="248" spans="5:11" x14ac:dyDescent="0.25">
      <c r="E248" s="2858"/>
      <c r="F248" s="2858"/>
      <c r="G248" s="2858"/>
      <c r="H248" s="2860"/>
      <c r="I248" s="2858"/>
      <c r="J248" s="2858"/>
      <c r="K248" s="2858"/>
    </row>
    <row r="249" spans="5:11" x14ac:dyDescent="0.25">
      <c r="E249" s="2858"/>
      <c r="F249" s="2858"/>
      <c r="G249" s="2858"/>
      <c r="H249" s="2860"/>
      <c r="I249" s="2858"/>
      <c r="J249" s="2858"/>
      <c r="K249" s="2858"/>
    </row>
    <row r="250" spans="5:11" x14ac:dyDescent="0.25">
      <c r="E250" s="2858"/>
      <c r="F250" s="2858"/>
      <c r="G250" s="2858"/>
      <c r="H250" s="2860"/>
      <c r="I250" s="2858"/>
      <c r="J250" s="2858"/>
      <c r="K250" s="2858"/>
    </row>
    <row r="251" spans="5:11" x14ac:dyDescent="0.25">
      <c r="E251" s="2858"/>
      <c r="F251" s="2858"/>
      <c r="G251" s="2858"/>
      <c r="H251" s="2860"/>
      <c r="I251" s="2858"/>
      <c r="J251" s="2858"/>
      <c r="K251" s="2858"/>
    </row>
    <row r="252" spans="5:11" x14ac:dyDescent="0.25">
      <c r="E252" s="2858"/>
      <c r="F252" s="2858"/>
      <c r="G252" s="2858"/>
      <c r="H252" s="2860"/>
      <c r="I252" s="2858"/>
      <c r="J252" s="2858"/>
      <c r="K252" s="2858"/>
    </row>
    <row r="253" spans="5:11" x14ac:dyDescent="0.25">
      <c r="E253" s="2858"/>
      <c r="F253" s="2858"/>
      <c r="G253" s="2858"/>
      <c r="H253" s="2860"/>
      <c r="I253" s="2858"/>
      <c r="J253" s="2858"/>
      <c r="K253" s="2858"/>
    </row>
    <row r="254" spans="5:11" x14ac:dyDescent="0.25">
      <c r="E254" s="2858"/>
      <c r="F254" s="2858"/>
      <c r="G254" s="2858"/>
      <c r="H254" s="2860"/>
      <c r="I254" s="2858"/>
      <c r="J254" s="2858"/>
      <c r="K254" s="2858"/>
    </row>
    <row r="255" spans="5:11" x14ac:dyDescent="0.25">
      <c r="E255" s="2858"/>
      <c r="F255" s="2858"/>
      <c r="G255" s="2858"/>
      <c r="H255" s="2860"/>
      <c r="I255" s="2858"/>
      <c r="J255" s="2858"/>
      <c r="K255" s="2858"/>
    </row>
    <row r="256" spans="5:11" x14ac:dyDescent="0.25">
      <c r="E256" s="2858"/>
      <c r="F256" s="2858"/>
      <c r="G256" s="2858"/>
      <c r="H256" s="2860"/>
      <c r="I256" s="2858"/>
      <c r="J256" s="2858"/>
      <c r="K256" s="2858"/>
    </row>
    <row r="257" spans="5:11" x14ac:dyDescent="0.25">
      <c r="E257" s="2858"/>
      <c r="F257" s="2858"/>
      <c r="G257" s="2858"/>
      <c r="H257" s="2860"/>
      <c r="I257" s="2858"/>
      <c r="J257" s="2858"/>
      <c r="K257" s="2858"/>
    </row>
    <row r="262" spans="5:11" x14ac:dyDescent="0.25">
      <c r="E262" s="2858"/>
      <c r="F262" s="2858"/>
      <c r="G262" s="2858"/>
      <c r="H262" s="2860"/>
      <c r="I262" s="2858"/>
      <c r="J262" s="2858"/>
      <c r="K262" s="2858"/>
    </row>
    <row r="263" spans="5:11" x14ac:dyDescent="0.25">
      <c r="E263" s="2858"/>
      <c r="F263" s="2858"/>
      <c r="G263" s="2858"/>
      <c r="H263" s="2860"/>
      <c r="I263" s="2858"/>
      <c r="J263" s="2858"/>
      <c r="K263" s="2858"/>
    </row>
    <row r="265" spans="5:11" x14ac:dyDescent="0.25">
      <c r="E265" s="2858"/>
      <c r="F265" s="2858"/>
      <c r="G265" s="2858"/>
      <c r="H265" s="2860"/>
      <c r="I265" s="2858"/>
      <c r="J265" s="2858"/>
      <c r="K265" s="2858"/>
    </row>
    <row r="266" spans="5:11" x14ac:dyDescent="0.25">
      <c r="E266" s="2858"/>
      <c r="F266" s="2858"/>
      <c r="G266" s="2858"/>
      <c r="H266" s="2860"/>
      <c r="I266" s="2858"/>
      <c r="J266" s="2858"/>
      <c r="K266" s="2858"/>
    </row>
    <row r="267" spans="5:11" x14ac:dyDescent="0.25">
      <c r="E267" s="2858"/>
      <c r="F267" s="2858"/>
      <c r="G267" s="2858"/>
      <c r="H267" s="2860"/>
      <c r="I267" s="2858"/>
      <c r="J267" s="2858"/>
      <c r="K267" s="2858"/>
    </row>
    <row r="268" spans="5:11" x14ac:dyDescent="0.25">
      <c r="E268" s="2858"/>
      <c r="F268" s="2858"/>
      <c r="G268" s="2858"/>
      <c r="H268" s="2860"/>
      <c r="I268" s="2858"/>
      <c r="J268" s="2858"/>
      <c r="K268" s="2858"/>
    </row>
    <row r="271" spans="5:11" x14ac:dyDescent="0.25">
      <c r="E271" s="2858"/>
      <c r="F271" s="2858"/>
      <c r="G271" s="2858"/>
      <c r="H271" s="2860"/>
      <c r="I271" s="2858"/>
      <c r="J271" s="2858"/>
      <c r="K271" s="2858"/>
    </row>
    <row r="272" spans="5:11" x14ac:dyDescent="0.25">
      <c r="E272" s="2858"/>
      <c r="F272" s="2858"/>
      <c r="G272" s="2858"/>
      <c r="H272" s="2860"/>
      <c r="I272" s="2858"/>
      <c r="J272" s="2858"/>
      <c r="K272" s="2858"/>
    </row>
  </sheetData>
  <mergeCells count="61">
    <mergeCell ref="C213:I213"/>
    <mergeCell ref="C203:C204"/>
    <mergeCell ref="C205:C206"/>
    <mergeCell ref="C207:C208"/>
    <mergeCell ref="C209:C210"/>
    <mergeCell ref="M199:N200"/>
    <mergeCell ref="O199:AC199"/>
    <mergeCell ref="O200:Q200"/>
    <mergeCell ref="R200:AC200"/>
    <mergeCell ref="C211:C212"/>
    <mergeCell ref="H199:H202"/>
    <mergeCell ref="I199:I202"/>
    <mergeCell ref="J199:J202"/>
    <mergeCell ref="K199:K202"/>
    <mergeCell ref="L199:L202"/>
    <mergeCell ref="C199:C202"/>
    <mergeCell ref="D199:D202"/>
    <mergeCell ref="E199:E202"/>
    <mergeCell ref="F199:F202"/>
    <mergeCell ref="G199:G202"/>
    <mergeCell ref="C161:C191"/>
    <mergeCell ref="D161:D176"/>
    <mergeCell ref="D177:D191"/>
    <mergeCell ref="C195:F195"/>
    <mergeCell ref="C198:Z198"/>
    <mergeCell ref="C98:C118"/>
    <mergeCell ref="D98:D114"/>
    <mergeCell ref="D115:D118"/>
    <mergeCell ref="D121:D141"/>
    <mergeCell ref="D142:D158"/>
    <mergeCell ref="C8:AC8"/>
    <mergeCell ref="F11:V11"/>
    <mergeCell ref="F22:V22"/>
    <mergeCell ref="H32:H35"/>
    <mergeCell ref="I32:I35"/>
    <mergeCell ref="J32:J35"/>
    <mergeCell ref="L32:L35"/>
    <mergeCell ref="F13:F14"/>
    <mergeCell ref="E18:F18"/>
    <mergeCell ref="F24:F25"/>
    <mergeCell ref="C32:C35"/>
    <mergeCell ref="D32:D35"/>
    <mergeCell ref="E32:E35"/>
    <mergeCell ref="F32:F35"/>
    <mergeCell ref="G32:G35"/>
    <mergeCell ref="B100:B144"/>
    <mergeCell ref="C121:C158"/>
    <mergeCell ref="C30:AC30"/>
    <mergeCell ref="M32:N33"/>
    <mergeCell ref="O32:AC32"/>
    <mergeCell ref="O33:Q33"/>
    <mergeCell ref="R33:AC33"/>
    <mergeCell ref="K32:K35"/>
    <mergeCell ref="B65:B97"/>
    <mergeCell ref="B36:B60"/>
    <mergeCell ref="C36:C60"/>
    <mergeCell ref="D36:D47"/>
    <mergeCell ref="D48:D60"/>
    <mergeCell ref="C63:C95"/>
    <mergeCell ref="D63:D77"/>
    <mergeCell ref="D78:D95"/>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0A0FE6"/>
  </sheetPr>
  <dimension ref="B2:W71"/>
  <sheetViews>
    <sheetView topLeftCell="A40" zoomScaleNormal="100" workbookViewId="0">
      <selection activeCell="D52" sqref="D52"/>
    </sheetView>
  </sheetViews>
  <sheetFormatPr baseColWidth="10" defaultColWidth="11.5703125" defaultRowHeight="13.5" x14ac:dyDescent="0.25"/>
  <cols>
    <col min="1" max="1" width="11.5703125" style="997"/>
    <col min="2" max="2" width="4.7109375" style="997" customWidth="1"/>
    <col min="3" max="3" width="58" style="997" customWidth="1"/>
    <col min="4" max="4" width="14.28515625" style="3022" bestFit="1" customWidth="1"/>
    <col min="5" max="5" width="14.5703125" style="997" bestFit="1" customWidth="1"/>
    <col min="6" max="6" width="14.85546875" style="997" bestFit="1" customWidth="1"/>
    <col min="7" max="7" width="13.42578125" style="997" customWidth="1"/>
    <col min="8" max="8" width="14.28515625" style="997" bestFit="1" customWidth="1"/>
    <col min="9" max="10" width="13.42578125" style="997" customWidth="1"/>
    <col min="11" max="11" width="14.28515625" style="997" bestFit="1" customWidth="1"/>
    <col min="12" max="12" width="14.5703125" style="997" customWidth="1"/>
    <col min="13" max="15" width="13.42578125" style="997" customWidth="1"/>
    <col min="16" max="16" width="14.28515625" style="997" bestFit="1" customWidth="1"/>
    <col min="17" max="18" width="14.5703125" style="997" customWidth="1"/>
    <col min="19" max="19" width="4.85546875" style="997" customWidth="1"/>
    <col min="20" max="22" width="11.5703125" style="997"/>
    <col min="23" max="23" width="12.5703125" style="997" bestFit="1" customWidth="1"/>
    <col min="24" max="126" width="11.5703125" style="997"/>
    <col min="127" max="127" width="3.7109375" style="997" customWidth="1"/>
    <col min="128" max="128" width="40.7109375" style="997" customWidth="1"/>
    <col min="129" max="129" width="10.7109375" style="997" customWidth="1"/>
    <col min="130" max="144" width="9.7109375" style="997" customWidth="1"/>
    <col min="145" max="145" width="3.7109375" style="997" customWidth="1"/>
    <col min="146" max="146" width="40.7109375" style="997" customWidth="1"/>
    <col min="147" max="147" width="10.7109375" style="997" customWidth="1"/>
    <col min="148" max="162" width="9.7109375" style="997" customWidth="1"/>
    <col min="163" max="382" width="11.5703125" style="997"/>
    <col min="383" max="383" width="3.7109375" style="997" customWidth="1"/>
    <col min="384" max="384" width="40.7109375" style="997" customWidth="1"/>
    <col min="385" max="385" width="10.7109375" style="997" customWidth="1"/>
    <col min="386" max="400" width="9.7109375" style="997" customWidth="1"/>
    <col min="401" max="401" width="3.7109375" style="997" customWidth="1"/>
    <col min="402" max="402" width="40.7109375" style="997" customWidth="1"/>
    <col min="403" max="403" width="10.7109375" style="997" customWidth="1"/>
    <col min="404" max="418" width="9.7109375" style="997" customWidth="1"/>
    <col min="419" max="638" width="11.5703125" style="997"/>
    <col min="639" max="639" width="3.7109375" style="997" customWidth="1"/>
    <col min="640" max="640" width="40.7109375" style="997" customWidth="1"/>
    <col min="641" max="641" width="10.7109375" style="997" customWidth="1"/>
    <col min="642" max="656" width="9.7109375" style="997" customWidth="1"/>
    <col min="657" max="657" width="3.7109375" style="997" customWidth="1"/>
    <col min="658" max="658" width="40.7109375" style="997" customWidth="1"/>
    <col min="659" max="659" width="10.7109375" style="997" customWidth="1"/>
    <col min="660" max="674" width="9.7109375" style="997" customWidth="1"/>
    <col min="675" max="894" width="11.5703125" style="997"/>
    <col min="895" max="895" width="3.7109375" style="997" customWidth="1"/>
    <col min="896" max="896" width="40.7109375" style="997" customWidth="1"/>
    <col min="897" max="897" width="10.7109375" style="997" customWidth="1"/>
    <col min="898" max="912" width="9.7109375" style="997" customWidth="1"/>
    <col min="913" max="913" width="3.7109375" style="997" customWidth="1"/>
    <col min="914" max="914" width="40.7109375" style="997" customWidth="1"/>
    <col min="915" max="915" width="10.7109375" style="997" customWidth="1"/>
    <col min="916" max="930" width="9.7109375" style="997" customWidth="1"/>
    <col min="931" max="1150" width="11.5703125" style="997"/>
    <col min="1151" max="1151" width="3.7109375" style="997" customWidth="1"/>
    <col min="1152" max="1152" width="40.7109375" style="997" customWidth="1"/>
    <col min="1153" max="1153" width="10.7109375" style="997" customWidth="1"/>
    <col min="1154" max="1168" width="9.7109375" style="997" customWidth="1"/>
    <col min="1169" max="1169" width="3.7109375" style="997" customWidth="1"/>
    <col min="1170" max="1170" width="40.7109375" style="997" customWidth="1"/>
    <col min="1171" max="1171" width="10.7109375" style="997" customWidth="1"/>
    <col min="1172" max="1186" width="9.7109375" style="997" customWidth="1"/>
    <col min="1187" max="1406" width="11.5703125" style="997"/>
    <col min="1407" max="1407" width="3.7109375" style="997" customWidth="1"/>
    <col min="1408" max="1408" width="40.7109375" style="997" customWidth="1"/>
    <col min="1409" max="1409" width="10.7109375" style="997" customWidth="1"/>
    <col min="1410" max="1424" width="9.7109375" style="997" customWidth="1"/>
    <col min="1425" max="1425" width="3.7109375" style="997" customWidth="1"/>
    <col min="1426" max="1426" width="40.7109375" style="997" customWidth="1"/>
    <col min="1427" max="1427" width="10.7109375" style="997" customWidth="1"/>
    <col min="1428" max="1442" width="9.7109375" style="997" customWidth="1"/>
    <col min="1443" max="1662" width="11.5703125" style="997"/>
    <col min="1663" max="1663" width="3.7109375" style="997" customWidth="1"/>
    <col min="1664" max="1664" width="40.7109375" style="997" customWidth="1"/>
    <col min="1665" max="1665" width="10.7109375" style="997" customWidth="1"/>
    <col min="1666" max="1680" width="9.7109375" style="997" customWidth="1"/>
    <col min="1681" max="1681" width="3.7109375" style="997" customWidth="1"/>
    <col min="1682" max="1682" width="40.7109375" style="997" customWidth="1"/>
    <col min="1683" max="1683" width="10.7109375" style="997" customWidth="1"/>
    <col min="1684" max="1698" width="9.7109375" style="997" customWidth="1"/>
    <col min="1699" max="1918" width="11.5703125" style="997"/>
    <col min="1919" max="1919" width="3.7109375" style="997" customWidth="1"/>
    <col min="1920" max="1920" width="40.7109375" style="997" customWidth="1"/>
    <col min="1921" max="1921" width="10.7109375" style="997" customWidth="1"/>
    <col min="1922" max="1936" width="9.7109375" style="997" customWidth="1"/>
    <col min="1937" max="1937" width="3.7109375" style="997" customWidth="1"/>
    <col min="1938" max="1938" width="40.7109375" style="997" customWidth="1"/>
    <col min="1939" max="1939" width="10.7109375" style="997" customWidth="1"/>
    <col min="1940" max="1954" width="9.7109375" style="997" customWidth="1"/>
    <col min="1955" max="2174" width="11.5703125" style="997"/>
    <col min="2175" max="2175" width="3.7109375" style="997" customWidth="1"/>
    <col min="2176" max="2176" width="40.7109375" style="997" customWidth="1"/>
    <col min="2177" max="2177" width="10.7109375" style="997" customWidth="1"/>
    <col min="2178" max="2192" width="9.7109375" style="997" customWidth="1"/>
    <col min="2193" max="2193" width="3.7109375" style="997" customWidth="1"/>
    <col min="2194" max="2194" width="40.7109375" style="997" customWidth="1"/>
    <col min="2195" max="2195" width="10.7109375" style="997" customWidth="1"/>
    <col min="2196" max="2210" width="9.7109375" style="997" customWidth="1"/>
    <col min="2211" max="2430" width="11.5703125" style="997"/>
    <col min="2431" max="2431" width="3.7109375" style="997" customWidth="1"/>
    <col min="2432" max="2432" width="40.7109375" style="997" customWidth="1"/>
    <col min="2433" max="2433" width="10.7109375" style="997" customWidth="1"/>
    <col min="2434" max="2448" width="9.7109375" style="997" customWidth="1"/>
    <col min="2449" max="2449" width="3.7109375" style="997" customWidth="1"/>
    <col min="2450" max="2450" width="40.7109375" style="997" customWidth="1"/>
    <col min="2451" max="2451" width="10.7109375" style="997" customWidth="1"/>
    <col min="2452" max="2466" width="9.7109375" style="997" customWidth="1"/>
    <col min="2467" max="2686" width="11.5703125" style="997"/>
    <col min="2687" max="2687" width="3.7109375" style="997" customWidth="1"/>
    <col min="2688" max="2688" width="40.7109375" style="997" customWidth="1"/>
    <col min="2689" max="2689" width="10.7109375" style="997" customWidth="1"/>
    <col min="2690" max="2704" width="9.7109375" style="997" customWidth="1"/>
    <col min="2705" max="2705" width="3.7109375" style="997" customWidth="1"/>
    <col min="2706" max="2706" width="40.7109375" style="997" customWidth="1"/>
    <col min="2707" max="2707" width="10.7109375" style="997" customWidth="1"/>
    <col min="2708" max="2722" width="9.7109375" style="997" customWidth="1"/>
    <col min="2723" max="2942" width="11.5703125" style="997"/>
    <col min="2943" max="2943" width="3.7109375" style="997" customWidth="1"/>
    <col min="2944" max="2944" width="40.7109375" style="997" customWidth="1"/>
    <col min="2945" max="2945" width="10.7109375" style="997" customWidth="1"/>
    <col min="2946" max="2960" width="9.7109375" style="997" customWidth="1"/>
    <col min="2961" max="2961" width="3.7109375" style="997" customWidth="1"/>
    <col min="2962" max="2962" width="40.7109375" style="997" customWidth="1"/>
    <col min="2963" max="2963" width="10.7109375" style="997" customWidth="1"/>
    <col min="2964" max="2978" width="9.7109375" style="997" customWidth="1"/>
    <col min="2979" max="3198" width="11.5703125" style="997"/>
    <col min="3199" max="3199" width="3.7109375" style="997" customWidth="1"/>
    <col min="3200" max="3200" width="40.7109375" style="997" customWidth="1"/>
    <col min="3201" max="3201" width="10.7109375" style="997" customWidth="1"/>
    <col min="3202" max="3216" width="9.7109375" style="997" customWidth="1"/>
    <col min="3217" max="3217" width="3.7109375" style="997" customWidth="1"/>
    <col min="3218" max="3218" width="40.7109375" style="997" customWidth="1"/>
    <col min="3219" max="3219" width="10.7109375" style="997" customWidth="1"/>
    <col min="3220" max="3234" width="9.7109375" style="997" customWidth="1"/>
    <col min="3235" max="3454" width="11.5703125" style="997"/>
    <col min="3455" max="3455" width="3.7109375" style="997" customWidth="1"/>
    <col min="3456" max="3456" width="40.7109375" style="997" customWidth="1"/>
    <col min="3457" max="3457" width="10.7109375" style="997" customWidth="1"/>
    <col min="3458" max="3472" width="9.7109375" style="997" customWidth="1"/>
    <col min="3473" max="3473" width="3.7109375" style="997" customWidth="1"/>
    <col min="3474" max="3474" width="40.7109375" style="997" customWidth="1"/>
    <col min="3475" max="3475" width="10.7109375" style="997" customWidth="1"/>
    <col min="3476" max="3490" width="9.7109375" style="997" customWidth="1"/>
    <col min="3491" max="3710" width="11.5703125" style="997"/>
    <col min="3711" max="3711" width="3.7109375" style="997" customWidth="1"/>
    <col min="3712" max="3712" width="40.7109375" style="997" customWidth="1"/>
    <col min="3713" max="3713" width="10.7109375" style="997" customWidth="1"/>
    <col min="3714" max="3728" width="9.7109375" style="997" customWidth="1"/>
    <col min="3729" max="3729" width="3.7109375" style="997" customWidth="1"/>
    <col min="3730" max="3730" width="40.7109375" style="997" customWidth="1"/>
    <col min="3731" max="3731" width="10.7109375" style="997" customWidth="1"/>
    <col min="3732" max="3746" width="9.7109375" style="997" customWidth="1"/>
    <col min="3747" max="3966" width="11.5703125" style="997"/>
    <col min="3967" max="3967" width="3.7109375" style="997" customWidth="1"/>
    <col min="3968" max="3968" width="40.7109375" style="997" customWidth="1"/>
    <col min="3969" max="3969" width="10.7109375" style="997" customWidth="1"/>
    <col min="3970" max="3984" width="9.7109375" style="997" customWidth="1"/>
    <col min="3985" max="3985" width="3.7109375" style="997" customWidth="1"/>
    <col min="3986" max="3986" width="40.7109375" style="997" customWidth="1"/>
    <col min="3987" max="3987" width="10.7109375" style="997" customWidth="1"/>
    <col min="3988" max="4002" width="9.7109375" style="997" customWidth="1"/>
    <col min="4003" max="4222" width="11.5703125" style="997"/>
    <col min="4223" max="4223" width="3.7109375" style="997" customWidth="1"/>
    <col min="4224" max="4224" width="40.7109375" style="997" customWidth="1"/>
    <col min="4225" max="4225" width="10.7109375" style="997" customWidth="1"/>
    <col min="4226" max="4240" width="9.7109375" style="997" customWidth="1"/>
    <col min="4241" max="4241" width="3.7109375" style="997" customWidth="1"/>
    <col min="4242" max="4242" width="40.7109375" style="997" customWidth="1"/>
    <col min="4243" max="4243" width="10.7109375" style="997" customWidth="1"/>
    <col min="4244" max="4258" width="9.7109375" style="997" customWidth="1"/>
    <col min="4259" max="4478" width="11.5703125" style="997"/>
    <col min="4479" max="4479" width="3.7109375" style="997" customWidth="1"/>
    <col min="4480" max="4480" width="40.7109375" style="997" customWidth="1"/>
    <col min="4481" max="4481" width="10.7109375" style="997" customWidth="1"/>
    <col min="4482" max="4496" width="9.7109375" style="997" customWidth="1"/>
    <col min="4497" max="4497" width="3.7109375" style="997" customWidth="1"/>
    <col min="4498" max="4498" width="40.7109375" style="997" customWidth="1"/>
    <col min="4499" max="4499" width="10.7109375" style="997" customWidth="1"/>
    <col min="4500" max="4514" width="9.7109375" style="997" customWidth="1"/>
    <col min="4515" max="4734" width="11.5703125" style="997"/>
    <col min="4735" max="4735" width="3.7109375" style="997" customWidth="1"/>
    <col min="4736" max="4736" width="40.7109375" style="997" customWidth="1"/>
    <col min="4737" max="4737" width="10.7109375" style="997" customWidth="1"/>
    <col min="4738" max="4752" width="9.7109375" style="997" customWidth="1"/>
    <col min="4753" max="4753" width="3.7109375" style="997" customWidth="1"/>
    <col min="4754" max="4754" width="40.7109375" style="997" customWidth="1"/>
    <col min="4755" max="4755" width="10.7109375" style="997" customWidth="1"/>
    <col min="4756" max="4770" width="9.7109375" style="997" customWidth="1"/>
    <col min="4771" max="4990" width="11.5703125" style="997"/>
    <col min="4991" max="4991" width="3.7109375" style="997" customWidth="1"/>
    <col min="4992" max="4992" width="40.7109375" style="997" customWidth="1"/>
    <col min="4993" max="4993" width="10.7109375" style="997" customWidth="1"/>
    <col min="4994" max="5008" width="9.7109375" style="997" customWidth="1"/>
    <col min="5009" max="5009" width="3.7109375" style="997" customWidth="1"/>
    <col min="5010" max="5010" width="40.7109375" style="997" customWidth="1"/>
    <col min="5011" max="5011" width="10.7109375" style="997" customWidth="1"/>
    <col min="5012" max="5026" width="9.7109375" style="997" customWidth="1"/>
    <col min="5027" max="5246" width="11.5703125" style="997"/>
    <col min="5247" max="5247" width="3.7109375" style="997" customWidth="1"/>
    <col min="5248" max="5248" width="40.7109375" style="997" customWidth="1"/>
    <col min="5249" max="5249" width="10.7109375" style="997" customWidth="1"/>
    <col min="5250" max="5264" width="9.7109375" style="997" customWidth="1"/>
    <col min="5265" max="5265" width="3.7109375" style="997" customWidth="1"/>
    <col min="5266" max="5266" width="40.7109375" style="997" customWidth="1"/>
    <col min="5267" max="5267" width="10.7109375" style="997" customWidth="1"/>
    <col min="5268" max="5282" width="9.7109375" style="997" customWidth="1"/>
    <col min="5283" max="5502" width="11.5703125" style="997"/>
    <col min="5503" max="5503" width="3.7109375" style="997" customWidth="1"/>
    <col min="5504" max="5504" width="40.7109375" style="997" customWidth="1"/>
    <col min="5505" max="5505" width="10.7109375" style="997" customWidth="1"/>
    <col min="5506" max="5520" width="9.7109375" style="997" customWidth="1"/>
    <col min="5521" max="5521" width="3.7109375" style="997" customWidth="1"/>
    <col min="5522" max="5522" width="40.7109375" style="997" customWidth="1"/>
    <col min="5523" max="5523" width="10.7109375" style="997" customWidth="1"/>
    <col min="5524" max="5538" width="9.7109375" style="997" customWidth="1"/>
    <col min="5539" max="5758" width="11.5703125" style="997"/>
    <col min="5759" max="5759" width="3.7109375" style="997" customWidth="1"/>
    <col min="5760" max="5760" width="40.7109375" style="997" customWidth="1"/>
    <col min="5761" max="5761" width="10.7109375" style="997" customWidth="1"/>
    <col min="5762" max="5776" width="9.7109375" style="997" customWidth="1"/>
    <col min="5777" max="5777" width="3.7109375" style="997" customWidth="1"/>
    <col min="5778" max="5778" width="40.7109375" style="997" customWidth="1"/>
    <col min="5779" max="5779" width="10.7109375" style="997" customWidth="1"/>
    <col min="5780" max="5794" width="9.7109375" style="997" customWidth="1"/>
    <col min="5795" max="6014" width="11.5703125" style="997"/>
    <col min="6015" max="6015" width="3.7109375" style="997" customWidth="1"/>
    <col min="6016" max="6016" width="40.7109375" style="997" customWidth="1"/>
    <col min="6017" max="6017" width="10.7109375" style="997" customWidth="1"/>
    <col min="6018" max="6032" width="9.7109375" style="997" customWidth="1"/>
    <col min="6033" max="6033" width="3.7109375" style="997" customWidth="1"/>
    <col min="6034" max="6034" width="40.7109375" style="997" customWidth="1"/>
    <col min="6035" max="6035" width="10.7109375" style="997" customWidth="1"/>
    <col min="6036" max="6050" width="9.7109375" style="997" customWidth="1"/>
    <col min="6051" max="6270" width="11.5703125" style="997"/>
    <col min="6271" max="6271" width="3.7109375" style="997" customWidth="1"/>
    <col min="6272" max="6272" width="40.7109375" style="997" customWidth="1"/>
    <col min="6273" max="6273" width="10.7109375" style="997" customWidth="1"/>
    <col min="6274" max="6288" width="9.7109375" style="997" customWidth="1"/>
    <col min="6289" max="6289" width="3.7109375" style="997" customWidth="1"/>
    <col min="6290" max="6290" width="40.7109375" style="997" customWidth="1"/>
    <col min="6291" max="6291" width="10.7109375" style="997" customWidth="1"/>
    <col min="6292" max="6306" width="9.7109375" style="997" customWidth="1"/>
    <col min="6307" max="6526" width="11.5703125" style="997"/>
    <col min="6527" max="6527" width="3.7109375" style="997" customWidth="1"/>
    <col min="6528" max="6528" width="40.7109375" style="997" customWidth="1"/>
    <col min="6529" max="6529" width="10.7109375" style="997" customWidth="1"/>
    <col min="6530" max="6544" width="9.7109375" style="997" customWidth="1"/>
    <col min="6545" max="6545" width="3.7109375" style="997" customWidth="1"/>
    <col min="6546" max="6546" width="40.7109375" style="997" customWidth="1"/>
    <col min="6547" max="6547" width="10.7109375" style="997" customWidth="1"/>
    <col min="6548" max="6562" width="9.7109375" style="997" customWidth="1"/>
    <col min="6563" max="6782" width="11.5703125" style="997"/>
    <col min="6783" max="6783" width="3.7109375" style="997" customWidth="1"/>
    <col min="6784" max="6784" width="40.7109375" style="997" customWidth="1"/>
    <col min="6785" max="6785" width="10.7109375" style="997" customWidth="1"/>
    <col min="6786" max="6800" width="9.7109375" style="997" customWidth="1"/>
    <col min="6801" max="6801" width="3.7109375" style="997" customWidth="1"/>
    <col min="6802" max="6802" width="40.7109375" style="997" customWidth="1"/>
    <col min="6803" max="6803" width="10.7109375" style="997" customWidth="1"/>
    <col min="6804" max="6818" width="9.7109375" style="997" customWidth="1"/>
    <col min="6819" max="7038" width="11.5703125" style="997"/>
    <col min="7039" max="7039" width="3.7109375" style="997" customWidth="1"/>
    <col min="7040" max="7040" width="40.7109375" style="997" customWidth="1"/>
    <col min="7041" max="7041" width="10.7109375" style="997" customWidth="1"/>
    <col min="7042" max="7056" width="9.7109375" style="997" customWidth="1"/>
    <col min="7057" max="7057" width="3.7109375" style="997" customWidth="1"/>
    <col min="7058" max="7058" width="40.7109375" style="997" customWidth="1"/>
    <col min="7059" max="7059" width="10.7109375" style="997" customWidth="1"/>
    <col min="7060" max="7074" width="9.7109375" style="997" customWidth="1"/>
    <col min="7075" max="7294" width="11.5703125" style="997"/>
    <col min="7295" max="7295" width="3.7109375" style="997" customWidth="1"/>
    <col min="7296" max="7296" width="40.7109375" style="997" customWidth="1"/>
    <col min="7297" max="7297" width="10.7109375" style="997" customWidth="1"/>
    <col min="7298" max="7312" width="9.7109375" style="997" customWidth="1"/>
    <col min="7313" max="7313" width="3.7109375" style="997" customWidth="1"/>
    <col min="7314" max="7314" width="40.7109375" style="997" customWidth="1"/>
    <col min="7315" max="7315" width="10.7109375" style="997" customWidth="1"/>
    <col min="7316" max="7330" width="9.7109375" style="997" customWidth="1"/>
    <col min="7331" max="7550" width="11.5703125" style="997"/>
    <col min="7551" max="7551" width="3.7109375" style="997" customWidth="1"/>
    <col min="7552" max="7552" width="40.7109375" style="997" customWidth="1"/>
    <col min="7553" max="7553" width="10.7109375" style="997" customWidth="1"/>
    <col min="7554" max="7568" width="9.7109375" style="997" customWidth="1"/>
    <col min="7569" max="7569" width="3.7109375" style="997" customWidth="1"/>
    <col min="7570" max="7570" width="40.7109375" style="997" customWidth="1"/>
    <col min="7571" max="7571" width="10.7109375" style="997" customWidth="1"/>
    <col min="7572" max="7586" width="9.7109375" style="997" customWidth="1"/>
    <col min="7587" max="7806" width="11.5703125" style="997"/>
    <col min="7807" max="7807" width="3.7109375" style="997" customWidth="1"/>
    <col min="7808" max="7808" width="40.7109375" style="997" customWidth="1"/>
    <col min="7809" max="7809" width="10.7109375" style="997" customWidth="1"/>
    <col min="7810" max="7824" width="9.7109375" style="997" customWidth="1"/>
    <col min="7825" max="7825" width="3.7109375" style="997" customWidth="1"/>
    <col min="7826" max="7826" width="40.7109375" style="997" customWidth="1"/>
    <col min="7827" max="7827" width="10.7109375" style="997" customWidth="1"/>
    <col min="7828" max="7842" width="9.7109375" style="997" customWidth="1"/>
    <col min="7843" max="8062" width="11.5703125" style="997"/>
    <col min="8063" max="8063" width="3.7109375" style="997" customWidth="1"/>
    <col min="8064" max="8064" width="40.7109375" style="997" customWidth="1"/>
    <col min="8065" max="8065" width="10.7109375" style="997" customWidth="1"/>
    <col min="8066" max="8080" width="9.7109375" style="997" customWidth="1"/>
    <col min="8081" max="8081" width="3.7109375" style="997" customWidth="1"/>
    <col min="8082" max="8082" width="40.7109375" style="997" customWidth="1"/>
    <col min="8083" max="8083" width="10.7109375" style="997" customWidth="1"/>
    <col min="8084" max="8098" width="9.7109375" style="997" customWidth="1"/>
    <col min="8099" max="8318" width="11.5703125" style="997"/>
    <col min="8319" max="8319" width="3.7109375" style="997" customWidth="1"/>
    <col min="8320" max="8320" width="40.7109375" style="997" customWidth="1"/>
    <col min="8321" max="8321" width="10.7109375" style="997" customWidth="1"/>
    <col min="8322" max="8336" width="9.7109375" style="997" customWidth="1"/>
    <col min="8337" max="8337" width="3.7109375" style="997" customWidth="1"/>
    <col min="8338" max="8338" width="40.7109375" style="997" customWidth="1"/>
    <col min="8339" max="8339" width="10.7109375" style="997" customWidth="1"/>
    <col min="8340" max="8354" width="9.7109375" style="997" customWidth="1"/>
    <col min="8355" max="8574" width="11.5703125" style="997"/>
    <col min="8575" max="8575" width="3.7109375" style="997" customWidth="1"/>
    <col min="8576" max="8576" width="40.7109375" style="997" customWidth="1"/>
    <col min="8577" max="8577" width="10.7109375" style="997" customWidth="1"/>
    <col min="8578" max="8592" width="9.7109375" style="997" customWidth="1"/>
    <col min="8593" max="8593" width="3.7109375" style="997" customWidth="1"/>
    <col min="8594" max="8594" width="40.7109375" style="997" customWidth="1"/>
    <col min="8595" max="8595" width="10.7109375" style="997" customWidth="1"/>
    <col min="8596" max="8610" width="9.7109375" style="997" customWidth="1"/>
    <col min="8611" max="8830" width="11.5703125" style="997"/>
    <col min="8831" max="8831" width="3.7109375" style="997" customWidth="1"/>
    <col min="8832" max="8832" width="40.7109375" style="997" customWidth="1"/>
    <col min="8833" max="8833" width="10.7109375" style="997" customWidth="1"/>
    <col min="8834" max="8848" width="9.7109375" style="997" customWidth="1"/>
    <col min="8849" max="8849" width="3.7109375" style="997" customWidth="1"/>
    <col min="8850" max="8850" width="40.7109375" style="997" customWidth="1"/>
    <col min="8851" max="8851" width="10.7109375" style="997" customWidth="1"/>
    <col min="8852" max="8866" width="9.7109375" style="997" customWidth="1"/>
    <col min="8867" max="9086" width="11.5703125" style="997"/>
    <col min="9087" max="9087" width="3.7109375" style="997" customWidth="1"/>
    <col min="9088" max="9088" width="40.7109375" style="997" customWidth="1"/>
    <col min="9089" max="9089" width="10.7109375" style="997" customWidth="1"/>
    <col min="9090" max="9104" width="9.7109375" style="997" customWidth="1"/>
    <col min="9105" max="9105" width="3.7109375" style="997" customWidth="1"/>
    <col min="9106" max="9106" width="40.7109375" style="997" customWidth="1"/>
    <col min="9107" max="9107" width="10.7109375" style="997" customWidth="1"/>
    <col min="9108" max="9122" width="9.7109375" style="997" customWidth="1"/>
    <col min="9123" max="9342" width="11.5703125" style="997"/>
    <col min="9343" max="9343" width="3.7109375" style="997" customWidth="1"/>
    <col min="9344" max="9344" width="40.7109375" style="997" customWidth="1"/>
    <col min="9345" max="9345" width="10.7109375" style="997" customWidth="1"/>
    <col min="9346" max="9360" width="9.7109375" style="997" customWidth="1"/>
    <col min="9361" max="9361" width="3.7109375" style="997" customWidth="1"/>
    <col min="9362" max="9362" width="40.7109375" style="997" customWidth="1"/>
    <col min="9363" max="9363" width="10.7109375" style="997" customWidth="1"/>
    <col min="9364" max="9378" width="9.7109375" style="997" customWidth="1"/>
    <col min="9379" max="9598" width="11.5703125" style="997"/>
    <col min="9599" max="9599" width="3.7109375" style="997" customWidth="1"/>
    <col min="9600" max="9600" width="40.7109375" style="997" customWidth="1"/>
    <col min="9601" max="9601" width="10.7109375" style="997" customWidth="1"/>
    <col min="9602" max="9616" width="9.7109375" style="997" customWidth="1"/>
    <col min="9617" max="9617" width="3.7109375" style="997" customWidth="1"/>
    <col min="9618" max="9618" width="40.7109375" style="997" customWidth="1"/>
    <col min="9619" max="9619" width="10.7109375" style="997" customWidth="1"/>
    <col min="9620" max="9634" width="9.7109375" style="997" customWidth="1"/>
    <col min="9635" max="9854" width="11.5703125" style="997"/>
    <col min="9855" max="9855" width="3.7109375" style="997" customWidth="1"/>
    <col min="9856" max="9856" width="40.7109375" style="997" customWidth="1"/>
    <col min="9857" max="9857" width="10.7109375" style="997" customWidth="1"/>
    <col min="9858" max="9872" width="9.7109375" style="997" customWidth="1"/>
    <col min="9873" max="9873" width="3.7109375" style="997" customWidth="1"/>
    <col min="9874" max="9874" width="40.7109375" style="997" customWidth="1"/>
    <col min="9875" max="9875" width="10.7109375" style="997" customWidth="1"/>
    <col min="9876" max="9890" width="9.7109375" style="997" customWidth="1"/>
    <col min="9891" max="10110" width="11.5703125" style="997"/>
    <col min="10111" max="10111" width="3.7109375" style="997" customWidth="1"/>
    <col min="10112" max="10112" width="40.7109375" style="997" customWidth="1"/>
    <col min="10113" max="10113" width="10.7109375" style="997" customWidth="1"/>
    <col min="10114" max="10128" width="9.7109375" style="997" customWidth="1"/>
    <col min="10129" max="10129" width="3.7109375" style="997" customWidth="1"/>
    <col min="10130" max="10130" width="40.7109375" style="997" customWidth="1"/>
    <col min="10131" max="10131" width="10.7109375" style="997" customWidth="1"/>
    <col min="10132" max="10146" width="9.7109375" style="997" customWidth="1"/>
    <col min="10147" max="10366" width="11.5703125" style="997"/>
    <col min="10367" max="10367" width="3.7109375" style="997" customWidth="1"/>
    <col min="10368" max="10368" width="40.7109375" style="997" customWidth="1"/>
    <col min="10369" max="10369" width="10.7109375" style="997" customWidth="1"/>
    <col min="10370" max="10384" width="9.7109375" style="997" customWidth="1"/>
    <col min="10385" max="10385" width="3.7109375" style="997" customWidth="1"/>
    <col min="10386" max="10386" width="40.7109375" style="997" customWidth="1"/>
    <col min="10387" max="10387" width="10.7109375" style="997" customWidth="1"/>
    <col min="10388" max="10402" width="9.7109375" style="997" customWidth="1"/>
    <col min="10403" max="10622" width="11.5703125" style="997"/>
    <col min="10623" max="10623" width="3.7109375" style="997" customWidth="1"/>
    <col min="10624" max="10624" width="40.7109375" style="997" customWidth="1"/>
    <col min="10625" max="10625" width="10.7109375" style="997" customWidth="1"/>
    <col min="10626" max="10640" width="9.7109375" style="997" customWidth="1"/>
    <col min="10641" max="10641" width="3.7109375" style="997" customWidth="1"/>
    <col min="10642" max="10642" width="40.7109375" style="997" customWidth="1"/>
    <col min="10643" max="10643" width="10.7109375" style="997" customWidth="1"/>
    <col min="10644" max="10658" width="9.7109375" style="997" customWidth="1"/>
    <col min="10659" max="10878" width="11.5703125" style="997"/>
    <col min="10879" max="10879" width="3.7109375" style="997" customWidth="1"/>
    <col min="10880" max="10880" width="40.7109375" style="997" customWidth="1"/>
    <col min="10881" max="10881" width="10.7109375" style="997" customWidth="1"/>
    <col min="10882" max="10896" width="9.7109375" style="997" customWidth="1"/>
    <col min="10897" max="10897" width="3.7109375" style="997" customWidth="1"/>
    <col min="10898" max="10898" width="40.7109375" style="997" customWidth="1"/>
    <col min="10899" max="10899" width="10.7109375" style="997" customWidth="1"/>
    <col min="10900" max="10914" width="9.7109375" style="997" customWidth="1"/>
    <col min="10915" max="11134" width="11.5703125" style="997"/>
    <col min="11135" max="11135" width="3.7109375" style="997" customWidth="1"/>
    <col min="11136" max="11136" width="40.7109375" style="997" customWidth="1"/>
    <col min="11137" max="11137" width="10.7109375" style="997" customWidth="1"/>
    <col min="11138" max="11152" width="9.7109375" style="997" customWidth="1"/>
    <col min="11153" max="11153" width="3.7109375" style="997" customWidth="1"/>
    <col min="11154" max="11154" width="40.7109375" style="997" customWidth="1"/>
    <col min="11155" max="11155" width="10.7109375" style="997" customWidth="1"/>
    <col min="11156" max="11170" width="9.7109375" style="997" customWidth="1"/>
    <col min="11171" max="11390" width="11.5703125" style="997"/>
    <col min="11391" max="11391" width="3.7109375" style="997" customWidth="1"/>
    <col min="11392" max="11392" width="40.7109375" style="997" customWidth="1"/>
    <col min="11393" max="11393" width="10.7109375" style="997" customWidth="1"/>
    <col min="11394" max="11408" width="9.7109375" style="997" customWidth="1"/>
    <col min="11409" max="11409" width="3.7109375" style="997" customWidth="1"/>
    <col min="11410" max="11410" width="40.7109375" style="997" customWidth="1"/>
    <col min="11411" max="11411" width="10.7109375" style="997" customWidth="1"/>
    <col min="11412" max="11426" width="9.7109375" style="997" customWidth="1"/>
    <col min="11427" max="11646" width="11.5703125" style="997"/>
    <col min="11647" max="11647" width="3.7109375" style="997" customWidth="1"/>
    <col min="11648" max="11648" width="40.7109375" style="997" customWidth="1"/>
    <col min="11649" max="11649" width="10.7109375" style="997" customWidth="1"/>
    <col min="11650" max="11664" width="9.7109375" style="997" customWidth="1"/>
    <col min="11665" max="11665" width="3.7109375" style="997" customWidth="1"/>
    <col min="11666" max="11666" width="40.7109375" style="997" customWidth="1"/>
    <col min="11667" max="11667" width="10.7109375" style="997" customWidth="1"/>
    <col min="11668" max="11682" width="9.7109375" style="997" customWidth="1"/>
    <col min="11683" max="11902" width="11.5703125" style="997"/>
    <col min="11903" max="11903" width="3.7109375" style="997" customWidth="1"/>
    <col min="11904" max="11904" width="40.7109375" style="997" customWidth="1"/>
    <col min="11905" max="11905" width="10.7109375" style="997" customWidth="1"/>
    <col min="11906" max="11920" width="9.7109375" style="997" customWidth="1"/>
    <col min="11921" max="11921" width="3.7109375" style="997" customWidth="1"/>
    <col min="11922" max="11922" width="40.7109375" style="997" customWidth="1"/>
    <col min="11923" max="11923" width="10.7109375" style="997" customWidth="1"/>
    <col min="11924" max="11938" width="9.7109375" style="997" customWidth="1"/>
    <col min="11939" max="12158" width="11.5703125" style="997"/>
    <col min="12159" max="12159" width="3.7109375" style="997" customWidth="1"/>
    <col min="12160" max="12160" width="40.7109375" style="997" customWidth="1"/>
    <col min="12161" max="12161" width="10.7109375" style="997" customWidth="1"/>
    <col min="12162" max="12176" width="9.7109375" style="997" customWidth="1"/>
    <col min="12177" max="12177" width="3.7109375" style="997" customWidth="1"/>
    <col min="12178" max="12178" width="40.7109375" style="997" customWidth="1"/>
    <col min="12179" max="12179" width="10.7109375" style="997" customWidth="1"/>
    <col min="12180" max="12194" width="9.7109375" style="997" customWidth="1"/>
    <col min="12195" max="12414" width="11.5703125" style="997"/>
    <col min="12415" max="12415" width="3.7109375" style="997" customWidth="1"/>
    <col min="12416" max="12416" width="40.7109375" style="997" customWidth="1"/>
    <col min="12417" max="12417" width="10.7109375" style="997" customWidth="1"/>
    <col min="12418" max="12432" width="9.7109375" style="997" customWidth="1"/>
    <col min="12433" max="12433" width="3.7109375" style="997" customWidth="1"/>
    <col min="12434" max="12434" width="40.7109375" style="997" customWidth="1"/>
    <col min="12435" max="12435" width="10.7109375" style="997" customWidth="1"/>
    <col min="12436" max="12450" width="9.7109375" style="997" customWidth="1"/>
    <col min="12451" max="12670" width="11.5703125" style="997"/>
    <col min="12671" max="12671" width="3.7109375" style="997" customWidth="1"/>
    <col min="12672" max="12672" width="40.7109375" style="997" customWidth="1"/>
    <col min="12673" max="12673" width="10.7109375" style="997" customWidth="1"/>
    <col min="12674" max="12688" width="9.7109375" style="997" customWidth="1"/>
    <col min="12689" max="12689" width="3.7109375" style="997" customWidth="1"/>
    <col min="12690" max="12690" width="40.7109375" style="997" customWidth="1"/>
    <col min="12691" max="12691" width="10.7109375" style="997" customWidth="1"/>
    <col min="12692" max="12706" width="9.7109375" style="997" customWidth="1"/>
    <col min="12707" max="12926" width="11.5703125" style="997"/>
    <col min="12927" max="12927" width="3.7109375" style="997" customWidth="1"/>
    <col min="12928" max="12928" width="40.7109375" style="997" customWidth="1"/>
    <col min="12929" max="12929" width="10.7109375" style="997" customWidth="1"/>
    <col min="12930" max="12944" width="9.7109375" style="997" customWidth="1"/>
    <col min="12945" max="12945" width="3.7109375" style="997" customWidth="1"/>
    <col min="12946" max="12946" width="40.7109375" style="997" customWidth="1"/>
    <col min="12947" max="12947" width="10.7109375" style="997" customWidth="1"/>
    <col min="12948" max="12962" width="9.7109375" style="997" customWidth="1"/>
    <col min="12963" max="13182" width="11.5703125" style="997"/>
    <col min="13183" max="13183" width="3.7109375" style="997" customWidth="1"/>
    <col min="13184" max="13184" width="40.7109375" style="997" customWidth="1"/>
    <col min="13185" max="13185" width="10.7109375" style="997" customWidth="1"/>
    <col min="13186" max="13200" width="9.7109375" style="997" customWidth="1"/>
    <col min="13201" max="13201" width="3.7109375" style="997" customWidth="1"/>
    <col min="13202" max="13202" width="40.7109375" style="997" customWidth="1"/>
    <col min="13203" max="13203" width="10.7109375" style="997" customWidth="1"/>
    <col min="13204" max="13218" width="9.7109375" style="997" customWidth="1"/>
    <col min="13219" max="13438" width="11.5703125" style="997"/>
    <col min="13439" max="13439" width="3.7109375" style="997" customWidth="1"/>
    <col min="13440" max="13440" width="40.7109375" style="997" customWidth="1"/>
    <col min="13441" max="13441" width="10.7109375" style="997" customWidth="1"/>
    <col min="13442" max="13456" width="9.7109375" style="997" customWidth="1"/>
    <col min="13457" max="13457" width="3.7109375" style="997" customWidth="1"/>
    <col min="13458" max="13458" width="40.7109375" style="997" customWidth="1"/>
    <col min="13459" max="13459" width="10.7109375" style="997" customWidth="1"/>
    <col min="13460" max="13474" width="9.7109375" style="997" customWidth="1"/>
    <col min="13475" max="13694" width="11.5703125" style="997"/>
    <col min="13695" max="13695" width="3.7109375" style="997" customWidth="1"/>
    <col min="13696" max="13696" width="40.7109375" style="997" customWidth="1"/>
    <col min="13697" max="13697" width="10.7109375" style="997" customWidth="1"/>
    <col min="13698" max="13712" width="9.7109375" style="997" customWidth="1"/>
    <col min="13713" max="13713" width="3.7109375" style="997" customWidth="1"/>
    <col min="13714" max="13714" width="40.7109375" style="997" customWidth="1"/>
    <col min="13715" max="13715" width="10.7109375" style="997" customWidth="1"/>
    <col min="13716" max="13730" width="9.7109375" style="997" customWidth="1"/>
    <col min="13731" max="13950" width="11.5703125" style="997"/>
    <col min="13951" max="13951" width="3.7109375" style="997" customWidth="1"/>
    <col min="13952" max="13952" width="40.7109375" style="997" customWidth="1"/>
    <col min="13953" max="13953" width="10.7109375" style="997" customWidth="1"/>
    <col min="13954" max="13968" width="9.7109375" style="997" customWidth="1"/>
    <col min="13969" max="13969" width="3.7109375" style="997" customWidth="1"/>
    <col min="13970" max="13970" width="40.7109375" style="997" customWidth="1"/>
    <col min="13971" max="13971" width="10.7109375" style="997" customWidth="1"/>
    <col min="13972" max="13986" width="9.7109375" style="997" customWidth="1"/>
    <col min="13987" max="14206" width="11.5703125" style="997"/>
    <col min="14207" max="14207" width="3.7109375" style="997" customWidth="1"/>
    <col min="14208" max="14208" width="40.7109375" style="997" customWidth="1"/>
    <col min="14209" max="14209" width="10.7109375" style="997" customWidth="1"/>
    <col min="14210" max="14224" width="9.7109375" style="997" customWidth="1"/>
    <col min="14225" max="14225" width="3.7109375" style="997" customWidth="1"/>
    <col min="14226" max="14226" width="40.7109375" style="997" customWidth="1"/>
    <col min="14227" max="14227" width="10.7109375" style="997" customWidth="1"/>
    <col min="14228" max="14242" width="9.7109375" style="997" customWidth="1"/>
    <col min="14243" max="14462" width="11.5703125" style="997"/>
    <col min="14463" max="14463" width="3.7109375" style="997" customWidth="1"/>
    <col min="14464" max="14464" width="40.7109375" style="997" customWidth="1"/>
    <col min="14465" max="14465" width="10.7109375" style="997" customWidth="1"/>
    <col min="14466" max="14480" width="9.7109375" style="997" customWidth="1"/>
    <col min="14481" max="14481" width="3.7109375" style="997" customWidth="1"/>
    <col min="14482" max="14482" width="40.7109375" style="997" customWidth="1"/>
    <col min="14483" max="14483" width="10.7109375" style="997" customWidth="1"/>
    <col min="14484" max="14498" width="9.7109375" style="997" customWidth="1"/>
    <col min="14499" max="14718" width="11.5703125" style="997"/>
    <col min="14719" max="14719" width="3.7109375" style="997" customWidth="1"/>
    <col min="14720" max="14720" width="40.7109375" style="997" customWidth="1"/>
    <col min="14721" max="14721" width="10.7109375" style="997" customWidth="1"/>
    <col min="14722" max="14736" width="9.7109375" style="997" customWidth="1"/>
    <col min="14737" max="14737" width="3.7109375" style="997" customWidth="1"/>
    <col min="14738" max="14738" width="40.7109375" style="997" customWidth="1"/>
    <col min="14739" max="14739" width="10.7109375" style="997" customWidth="1"/>
    <col min="14740" max="14754" width="9.7109375" style="997" customWidth="1"/>
    <col min="14755" max="14974" width="11.5703125" style="997"/>
    <col min="14975" max="14975" width="3.7109375" style="997" customWidth="1"/>
    <col min="14976" max="14976" width="40.7109375" style="997" customWidth="1"/>
    <col min="14977" max="14977" width="10.7109375" style="997" customWidth="1"/>
    <col min="14978" max="14992" width="9.7109375" style="997" customWidth="1"/>
    <col min="14993" max="14993" width="3.7109375" style="997" customWidth="1"/>
    <col min="14994" max="14994" width="40.7109375" style="997" customWidth="1"/>
    <col min="14995" max="14995" width="10.7109375" style="997" customWidth="1"/>
    <col min="14996" max="15010" width="9.7109375" style="997" customWidth="1"/>
    <col min="15011" max="15230" width="11.5703125" style="997"/>
    <col min="15231" max="15231" width="3.7109375" style="997" customWidth="1"/>
    <col min="15232" max="15232" width="40.7109375" style="997" customWidth="1"/>
    <col min="15233" max="15233" width="10.7109375" style="997" customWidth="1"/>
    <col min="15234" max="15248" width="9.7109375" style="997" customWidth="1"/>
    <col min="15249" max="15249" width="3.7109375" style="997" customWidth="1"/>
    <col min="15250" max="15250" width="40.7109375" style="997" customWidth="1"/>
    <col min="15251" max="15251" width="10.7109375" style="997" customWidth="1"/>
    <col min="15252" max="15266" width="9.7109375" style="997" customWidth="1"/>
    <col min="15267" max="15486" width="11.5703125" style="997"/>
    <col min="15487" max="15487" width="3.7109375" style="997" customWidth="1"/>
    <col min="15488" max="15488" width="40.7109375" style="997" customWidth="1"/>
    <col min="15489" max="15489" width="10.7109375" style="997" customWidth="1"/>
    <col min="15490" max="15504" width="9.7109375" style="997" customWidth="1"/>
    <col min="15505" max="15505" width="3.7109375" style="997" customWidth="1"/>
    <col min="15506" max="15506" width="40.7109375" style="997" customWidth="1"/>
    <col min="15507" max="15507" width="10.7109375" style="997" customWidth="1"/>
    <col min="15508" max="15522" width="9.7109375" style="997" customWidth="1"/>
    <col min="15523" max="15742" width="11.5703125" style="997"/>
    <col min="15743" max="15743" width="3.7109375" style="997" customWidth="1"/>
    <col min="15744" max="15744" width="40.7109375" style="997" customWidth="1"/>
    <col min="15745" max="15745" width="10.7109375" style="997" customWidth="1"/>
    <col min="15746" max="15760" width="9.7109375" style="997" customWidth="1"/>
    <col min="15761" max="15761" width="3.7109375" style="997" customWidth="1"/>
    <col min="15762" max="15762" width="40.7109375" style="997" customWidth="1"/>
    <col min="15763" max="15763" width="10.7109375" style="997" customWidth="1"/>
    <col min="15764" max="15778" width="9.7109375" style="997" customWidth="1"/>
    <col min="15779" max="15998" width="11.5703125" style="997"/>
    <col min="15999" max="15999" width="3.7109375" style="997" customWidth="1"/>
    <col min="16000" max="16000" width="40.7109375" style="997" customWidth="1"/>
    <col min="16001" max="16001" width="10.7109375" style="997" customWidth="1"/>
    <col min="16002" max="16016" width="9.7109375" style="997" customWidth="1"/>
    <col min="16017" max="16017" width="3.7109375" style="997" customWidth="1"/>
    <col min="16018" max="16018" width="40.7109375" style="997" customWidth="1"/>
    <col min="16019" max="16019" width="10.7109375" style="997" customWidth="1"/>
    <col min="16020" max="16034" width="9.7109375" style="997" customWidth="1"/>
    <col min="16035" max="16384" width="11.5703125" style="997"/>
  </cols>
  <sheetData>
    <row r="2" spans="2:23" ht="14.25" thickBot="1" x14ac:dyDescent="0.3"/>
    <row r="3" spans="2:23" x14ac:dyDescent="0.25">
      <c r="B3" s="3038"/>
      <c r="C3" s="3039"/>
      <c r="D3" s="3040"/>
      <c r="E3" s="3041"/>
      <c r="F3" s="3041"/>
      <c r="G3" s="3042"/>
      <c r="H3" s="3042"/>
      <c r="I3" s="3042"/>
      <c r="J3" s="3042"/>
      <c r="K3" s="3042"/>
      <c r="L3" s="3042"/>
      <c r="M3" s="3042"/>
      <c r="N3" s="3042"/>
      <c r="O3" s="3042"/>
      <c r="P3" s="3042"/>
      <c r="Q3" s="3042"/>
      <c r="R3" s="3042"/>
      <c r="S3" s="3043"/>
    </row>
    <row r="4" spans="2:23" ht="14.25" thickBot="1" x14ac:dyDescent="0.3">
      <c r="B4" s="3044"/>
      <c r="C4" s="3023"/>
      <c r="D4" s="3024"/>
      <c r="E4" s="3025"/>
      <c r="F4" s="3025"/>
      <c r="G4" s="2498"/>
      <c r="H4" s="2498"/>
      <c r="I4" s="2498"/>
      <c r="J4" s="2498"/>
      <c r="K4" s="2498"/>
      <c r="L4" s="2498"/>
      <c r="M4" s="2498"/>
      <c r="N4" s="2498"/>
      <c r="O4" s="2498"/>
      <c r="P4" s="2498"/>
      <c r="Q4" s="2498"/>
      <c r="R4" s="2498"/>
      <c r="S4" s="3045"/>
    </row>
    <row r="5" spans="2:23" ht="14.25" thickBot="1" x14ac:dyDescent="0.3">
      <c r="B5" s="3044"/>
      <c r="C5" s="4906" t="s">
        <v>5152</v>
      </c>
      <c r="D5" s="4906"/>
      <c r="E5" s="4906"/>
      <c r="F5" s="4906"/>
      <c r="G5" s="4906"/>
      <c r="H5" s="4906"/>
      <c r="I5" s="4906"/>
      <c r="J5" s="4906"/>
      <c r="K5" s="4906"/>
      <c r="L5" s="4906"/>
      <c r="M5" s="4906"/>
      <c r="N5" s="4906"/>
      <c r="O5" s="4906"/>
      <c r="P5" s="4906"/>
      <c r="Q5" s="4906"/>
      <c r="R5" s="4906"/>
      <c r="S5" s="3045"/>
    </row>
    <row r="6" spans="2:23" x14ac:dyDescent="0.25">
      <c r="B6" s="3044"/>
      <c r="C6" s="3023"/>
      <c r="D6" s="3024"/>
      <c r="E6" s="3025"/>
      <c r="F6" s="3025"/>
      <c r="G6" s="2498"/>
      <c r="H6" s="2498"/>
      <c r="I6" s="2498"/>
      <c r="J6" s="2498"/>
      <c r="K6" s="2498"/>
      <c r="L6" s="2498"/>
      <c r="M6" s="2498"/>
      <c r="N6" s="2498"/>
      <c r="O6" s="2498"/>
      <c r="P6" s="2498"/>
      <c r="Q6" s="2498"/>
      <c r="R6" s="2498"/>
      <c r="S6" s="3045"/>
    </row>
    <row r="7" spans="2:23" x14ac:dyDescent="0.25">
      <c r="B7" s="3044"/>
      <c r="C7" s="3026"/>
      <c r="D7" s="3027"/>
      <c r="E7" s="2498"/>
      <c r="F7" s="2498"/>
      <c r="G7" s="2498"/>
      <c r="H7" s="2498"/>
      <c r="I7" s="2498"/>
      <c r="J7" s="2498"/>
      <c r="K7" s="2498"/>
      <c r="L7" s="2498"/>
      <c r="M7" s="2498"/>
      <c r="N7" s="2498"/>
      <c r="O7" s="2498"/>
      <c r="P7" s="2498"/>
      <c r="Q7" s="2498"/>
      <c r="R7" s="2498"/>
      <c r="S7" s="3045"/>
    </row>
    <row r="8" spans="2:23" x14ac:dyDescent="0.25">
      <c r="B8" s="3044"/>
      <c r="C8" s="5027" t="s">
        <v>5126</v>
      </c>
      <c r="D8" s="5027"/>
      <c r="E8" s="5027"/>
      <c r="F8" s="5027"/>
      <c r="G8" s="5027"/>
      <c r="H8" s="5027"/>
      <c r="I8" s="5027"/>
      <c r="J8" s="5027"/>
      <c r="K8" s="5027"/>
      <c r="L8" s="5027"/>
      <c r="M8" s="5027"/>
      <c r="N8" s="5027"/>
      <c r="O8" s="5027"/>
      <c r="P8" s="5027"/>
      <c r="Q8" s="5027"/>
      <c r="R8" s="5027"/>
      <c r="S8" s="3045"/>
    </row>
    <row r="9" spans="2:23" x14ac:dyDescent="0.25">
      <c r="B9" s="3044"/>
      <c r="C9" s="5028" t="s">
        <v>5127</v>
      </c>
      <c r="D9" s="5028"/>
      <c r="E9" s="5028"/>
      <c r="F9" s="5028"/>
      <c r="G9" s="5028"/>
      <c r="H9" s="5028"/>
      <c r="I9" s="5028"/>
      <c r="J9" s="5028"/>
      <c r="K9" s="5028"/>
      <c r="L9" s="5028"/>
      <c r="M9" s="5028"/>
      <c r="N9" s="5028"/>
      <c r="O9" s="5028"/>
      <c r="P9" s="5028"/>
      <c r="Q9" s="5028"/>
      <c r="R9" s="5028"/>
      <c r="S9" s="3045"/>
    </row>
    <row r="10" spans="2:23" ht="14.25" thickBot="1" x14ac:dyDescent="0.3">
      <c r="B10" s="3044"/>
      <c r="C10" s="3028"/>
      <c r="D10" s="3029"/>
      <c r="E10" s="3030"/>
      <c r="F10" s="3030"/>
      <c r="G10" s="3030"/>
      <c r="H10" s="3030"/>
      <c r="I10" s="3030"/>
      <c r="J10" s="3030"/>
      <c r="K10" s="3030"/>
      <c r="L10" s="3030"/>
      <c r="M10" s="3030"/>
      <c r="N10" s="3030"/>
      <c r="O10" s="3030"/>
      <c r="P10" s="3030"/>
      <c r="Q10" s="3030"/>
      <c r="R10" s="3030"/>
      <c r="S10" s="3045"/>
    </row>
    <row r="11" spans="2:23" s="1136" customFormat="1" ht="14.25" thickBot="1" x14ac:dyDescent="0.3">
      <c r="B11" s="3046"/>
      <c r="C11" s="4910" t="s">
        <v>1898</v>
      </c>
      <c r="D11" s="1743">
        <v>1</v>
      </c>
      <c r="E11" s="1743">
        <f t="shared" ref="E11:R12" si="0">D11+1</f>
        <v>2</v>
      </c>
      <c r="F11" s="1743">
        <f t="shared" si="0"/>
        <v>3</v>
      </c>
      <c r="G11" s="1743">
        <f t="shared" si="0"/>
        <v>4</v>
      </c>
      <c r="H11" s="1743">
        <f t="shared" si="0"/>
        <v>5</v>
      </c>
      <c r="I11" s="1743">
        <f t="shared" si="0"/>
        <v>6</v>
      </c>
      <c r="J11" s="1743">
        <f t="shared" si="0"/>
        <v>7</v>
      </c>
      <c r="K11" s="1743">
        <f t="shared" si="0"/>
        <v>8</v>
      </c>
      <c r="L11" s="1743">
        <f t="shared" si="0"/>
        <v>9</v>
      </c>
      <c r="M11" s="1743">
        <f t="shared" si="0"/>
        <v>10</v>
      </c>
      <c r="N11" s="1743">
        <f>M11+1</f>
        <v>11</v>
      </c>
      <c r="O11" s="1743">
        <f>N11+1</f>
        <v>12</v>
      </c>
      <c r="P11" s="1743">
        <f>O11+1</f>
        <v>13</v>
      </c>
      <c r="Q11" s="1743">
        <f>P11+1</f>
        <v>14</v>
      </c>
      <c r="R11" s="1744">
        <f>Q11+1</f>
        <v>15</v>
      </c>
      <c r="S11" s="3047"/>
    </row>
    <row r="12" spans="2:23" s="1125" customFormat="1" ht="15.75" customHeight="1" thickBot="1" x14ac:dyDescent="0.3">
      <c r="B12" s="3048"/>
      <c r="C12" s="4909"/>
      <c r="D12" s="1745">
        <v>2020</v>
      </c>
      <c r="E12" s="1745">
        <f t="shared" si="0"/>
        <v>2021</v>
      </c>
      <c r="F12" s="1745">
        <f>E12+1</f>
        <v>2022</v>
      </c>
      <c r="G12" s="1745">
        <f t="shared" si="0"/>
        <v>2023</v>
      </c>
      <c r="H12" s="1745">
        <f t="shared" si="0"/>
        <v>2024</v>
      </c>
      <c r="I12" s="1745">
        <f t="shared" si="0"/>
        <v>2025</v>
      </c>
      <c r="J12" s="1745">
        <f t="shared" si="0"/>
        <v>2026</v>
      </c>
      <c r="K12" s="1745">
        <f t="shared" si="0"/>
        <v>2027</v>
      </c>
      <c r="L12" s="1745">
        <f t="shared" si="0"/>
        <v>2028</v>
      </c>
      <c r="M12" s="1745">
        <f t="shared" si="0"/>
        <v>2029</v>
      </c>
      <c r="N12" s="1745">
        <f t="shared" si="0"/>
        <v>2030</v>
      </c>
      <c r="O12" s="1745">
        <f t="shared" si="0"/>
        <v>2031</v>
      </c>
      <c r="P12" s="1745">
        <f t="shared" si="0"/>
        <v>2032</v>
      </c>
      <c r="Q12" s="1745">
        <f t="shared" si="0"/>
        <v>2033</v>
      </c>
      <c r="R12" s="638">
        <f t="shared" si="0"/>
        <v>2034</v>
      </c>
      <c r="S12" s="1810"/>
    </row>
    <row r="13" spans="2:23" ht="14.25" thickBot="1" x14ac:dyDescent="0.3">
      <c r="B13" s="3044"/>
      <c r="C13" s="1767" t="s">
        <v>5128</v>
      </c>
      <c r="D13" s="3787">
        <f>SUM(D14)</f>
        <v>453635.02916666667</v>
      </c>
      <c r="E13" s="3787">
        <f>SUM(E14)</f>
        <v>20362873.211086605</v>
      </c>
      <c r="F13" s="3788">
        <v>0</v>
      </c>
      <c r="G13" s="3788">
        <v>0</v>
      </c>
      <c r="H13" s="3788">
        <v>0</v>
      </c>
      <c r="I13" s="3788">
        <v>0</v>
      </c>
      <c r="J13" s="3788">
        <v>0</v>
      </c>
      <c r="K13" s="3788">
        <v>0</v>
      </c>
      <c r="L13" s="3788">
        <v>0</v>
      </c>
      <c r="M13" s="3788">
        <v>0</v>
      </c>
      <c r="N13" s="3788">
        <v>0</v>
      </c>
      <c r="O13" s="3788">
        <v>0</v>
      </c>
      <c r="P13" s="3788">
        <v>0</v>
      </c>
      <c r="Q13" s="3788">
        <v>0</v>
      </c>
      <c r="R13" s="3788">
        <v>0</v>
      </c>
      <c r="S13" s="3045"/>
    </row>
    <row r="14" spans="2:23" ht="14.25" thickBot="1" x14ac:dyDescent="0.3">
      <c r="B14" s="3044"/>
      <c r="C14" s="3055" t="s">
        <v>5129</v>
      </c>
      <c r="D14" s="3786">
        <f>'28 Cronograma'!AV108</f>
        <v>453635.02916666667</v>
      </c>
      <c r="E14" s="3786">
        <f>'28 Cronograma'!AW108</f>
        <v>20362873.211086605</v>
      </c>
      <c r="F14" s="3786">
        <f>'28 Cronograma'!AX108</f>
        <v>7770074.7342839874</v>
      </c>
      <c r="G14" s="3789"/>
      <c r="H14" s="3789"/>
      <c r="I14" s="3789"/>
      <c r="J14" s="3789"/>
      <c r="K14" s="3789"/>
      <c r="L14" s="3789"/>
      <c r="M14" s="3789"/>
      <c r="N14" s="3789"/>
      <c r="O14" s="3789"/>
      <c r="P14" s="3789"/>
      <c r="Q14" s="3789"/>
      <c r="R14" s="3789"/>
      <c r="S14" s="3045"/>
      <c r="W14" s="3792">
        <f>SUM(D14:F14)</f>
        <v>28586582.974537257</v>
      </c>
    </row>
    <row r="15" spans="2:23" ht="14.25" thickBot="1" x14ac:dyDescent="0.3">
      <c r="B15" s="3044"/>
      <c r="C15" s="1767"/>
      <c r="D15" s="3788"/>
      <c r="E15" s="3788"/>
      <c r="F15" s="3788"/>
      <c r="G15" s="3788"/>
      <c r="H15" s="3788"/>
      <c r="I15" s="3788"/>
      <c r="J15" s="3788"/>
      <c r="K15" s="3788"/>
      <c r="L15" s="3788"/>
      <c r="M15" s="3788"/>
      <c r="N15" s="3788"/>
      <c r="O15" s="3788"/>
      <c r="P15" s="3788"/>
      <c r="Q15" s="3788"/>
      <c r="R15" s="3788"/>
      <c r="S15" s="3045"/>
      <c r="W15" s="3792"/>
    </row>
    <row r="16" spans="2:23" ht="14.25" thickBot="1" x14ac:dyDescent="0.3">
      <c r="B16" s="3044"/>
      <c r="C16" s="1767" t="s">
        <v>5130</v>
      </c>
      <c r="D16" s="3787"/>
      <c r="E16" s="3787"/>
      <c r="F16" s="3790"/>
      <c r="G16" s="3790">
        <f t="shared" ref="G16:R16" si="1">SUM(G17:G18)</f>
        <v>4316947.6201110007</v>
      </c>
      <c r="H16" s="3790">
        <f t="shared" si="1"/>
        <v>4552448.4268683344</v>
      </c>
      <c r="I16" s="3790">
        <f t="shared" si="1"/>
        <v>4653157.0556359999</v>
      </c>
      <c r="J16" s="3790">
        <f t="shared" si="1"/>
        <v>4645242.8456359999</v>
      </c>
      <c r="K16" s="3790">
        <f t="shared" si="1"/>
        <v>4685031.1389693338</v>
      </c>
      <c r="L16" s="3790">
        <f t="shared" si="1"/>
        <v>4676215.8071360001</v>
      </c>
      <c r="M16" s="3790">
        <f t="shared" si="1"/>
        <v>4701355.5278849993</v>
      </c>
      <c r="N16" s="3790">
        <f t="shared" si="1"/>
        <v>4844691.4989693332</v>
      </c>
      <c r="O16" s="3790">
        <f t="shared" si="1"/>
        <v>4853103.5256360006</v>
      </c>
      <c r="P16" s="3790">
        <f t="shared" si="1"/>
        <v>5033166.3456359999</v>
      </c>
      <c r="Q16" s="3790">
        <f t="shared" si="1"/>
        <v>4725388.4898443334</v>
      </c>
      <c r="R16" s="3790">
        <f t="shared" si="1"/>
        <v>4874056.8998349998</v>
      </c>
      <c r="S16" s="3045"/>
      <c r="W16" s="3792"/>
    </row>
    <row r="17" spans="2:23" ht="14.25" thickBot="1" x14ac:dyDescent="0.3">
      <c r="B17" s="3044"/>
      <c r="C17" s="3055" t="s">
        <v>5131</v>
      </c>
      <c r="D17" s="3786"/>
      <c r="E17" s="3786"/>
      <c r="F17" s="3786"/>
      <c r="G17" s="3786">
        <f>'26 Costos OyM CP'!H16</f>
        <v>3748236.1600000006</v>
      </c>
      <c r="H17" s="3786">
        <f>'26 Costos OyM CP'!I16</f>
        <v>3748236.1600000006</v>
      </c>
      <c r="I17" s="3786">
        <f>'26 Costos OyM CP'!J16</f>
        <v>3836397.68</v>
      </c>
      <c r="J17" s="3786">
        <f>'26 Costos OyM CP'!K16</f>
        <v>3836397.68</v>
      </c>
      <c r="K17" s="3786">
        <f>'26 Costos OyM CP'!L16</f>
        <v>3836397.68</v>
      </c>
      <c r="L17" s="3786">
        <f>'26 Costos OyM CP'!M16</f>
        <v>3890130.36</v>
      </c>
      <c r="M17" s="3786">
        <f>'26 Costos OyM CP'!N16</f>
        <v>3890130.36</v>
      </c>
      <c r="N17" s="3786">
        <f>'26 Costos OyM CP'!O16</f>
        <v>4040463.04</v>
      </c>
      <c r="O17" s="3786">
        <f>'26 Costos OyM CP'!P16</f>
        <v>4040463.04</v>
      </c>
      <c r="P17" s="3786">
        <f>'26 Costos OyM CP'!Q16</f>
        <v>4075681.04</v>
      </c>
      <c r="Q17" s="3786">
        <f>'26 Costos OyM CP'!R16</f>
        <v>4075681.04</v>
      </c>
      <c r="R17" s="3786">
        <f>'26 Costos OyM CP'!S16</f>
        <v>4075681.04</v>
      </c>
      <c r="S17" s="3045"/>
      <c r="W17" s="3792"/>
    </row>
    <row r="18" spans="2:23" ht="14.25" thickBot="1" x14ac:dyDescent="0.3">
      <c r="B18" s="3044"/>
      <c r="C18" s="3055" t="s">
        <v>5132</v>
      </c>
      <c r="D18" s="3786"/>
      <c r="E18" s="3786"/>
      <c r="F18" s="3786"/>
      <c r="G18" s="3786">
        <f>'26 Costos OyM CP'!H28</f>
        <v>568711.46011099999</v>
      </c>
      <c r="H18" s="3786">
        <f>'26 Costos OyM CP'!I28</f>
        <v>804212.26686833333</v>
      </c>
      <c r="I18" s="3786">
        <f>'26 Costos OyM CP'!J28</f>
        <v>816759.37563599995</v>
      </c>
      <c r="J18" s="3786">
        <f>'26 Costos OyM CP'!K28</f>
        <v>808845.16563599999</v>
      </c>
      <c r="K18" s="3786">
        <f>'26 Costos OyM CP'!L28</f>
        <v>848633.45896933333</v>
      </c>
      <c r="L18" s="3786">
        <f>'26 Costos OyM CP'!M28</f>
        <v>786085.44713600003</v>
      </c>
      <c r="M18" s="3786">
        <f>'26 Costos OyM CP'!N28</f>
        <v>811225.16788499989</v>
      </c>
      <c r="N18" s="3786">
        <f>'26 Costos OyM CP'!O28</f>
        <v>804228.45896933333</v>
      </c>
      <c r="O18" s="3786">
        <f>'26 Costos OyM CP'!P28</f>
        <v>812640.48563600006</v>
      </c>
      <c r="P18" s="3786">
        <f>'26 Costos OyM CP'!Q28</f>
        <v>957485.305636</v>
      </c>
      <c r="Q18" s="3786">
        <f>'26 Costos OyM CP'!R28</f>
        <v>649707.44984433334</v>
      </c>
      <c r="R18" s="3786">
        <f>'26 Costos OyM CP'!S28</f>
        <v>798375.85983500001</v>
      </c>
      <c r="S18" s="3045"/>
    </row>
    <row r="19" spans="2:23" ht="14.25" thickBot="1" x14ac:dyDescent="0.3">
      <c r="B19" s="3044"/>
      <c r="C19" s="3067" t="s">
        <v>5133</v>
      </c>
      <c r="D19" s="3791">
        <f>SUM(D13,D15,D16)</f>
        <v>453635.02916666667</v>
      </c>
      <c r="E19" s="3791">
        <f t="shared" ref="E19:R19" si="2">SUM(E13,E15,E16)</f>
        <v>20362873.211086605</v>
      </c>
      <c r="F19" s="3791">
        <f t="shared" si="2"/>
        <v>0</v>
      </c>
      <c r="G19" s="3791">
        <f t="shared" si="2"/>
        <v>4316947.6201110007</v>
      </c>
      <c r="H19" s="3791">
        <f t="shared" si="2"/>
        <v>4552448.4268683344</v>
      </c>
      <c r="I19" s="3791">
        <f t="shared" si="2"/>
        <v>4653157.0556359999</v>
      </c>
      <c r="J19" s="3791">
        <f t="shared" si="2"/>
        <v>4645242.8456359999</v>
      </c>
      <c r="K19" s="3791">
        <f t="shared" si="2"/>
        <v>4685031.1389693338</v>
      </c>
      <c r="L19" s="3791">
        <f t="shared" si="2"/>
        <v>4676215.8071360001</v>
      </c>
      <c r="M19" s="3791">
        <f t="shared" si="2"/>
        <v>4701355.5278849993</v>
      </c>
      <c r="N19" s="3791">
        <f t="shared" si="2"/>
        <v>4844691.4989693332</v>
      </c>
      <c r="O19" s="3791">
        <f t="shared" si="2"/>
        <v>4853103.5256360006</v>
      </c>
      <c r="P19" s="3791">
        <f t="shared" si="2"/>
        <v>5033166.3456359999</v>
      </c>
      <c r="Q19" s="3791">
        <f t="shared" si="2"/>
        <v>4725388.4898443334</v>
      </c>
      <c r="R19" s="3791">
        <f t="shared" si="2"/>
        <v>4874056.8998349998</v>
      </c>
      <c r="S19" s="3045"/>
    </row>
    <row r="20" spans="2:23" ht="14.25" thickBot="1" x14ac:dyDescent="0.3">
      <c r="B20" s="3044"/>
      <c r="C20" s="1767" t="s">
        <v>5964</v>
      </c>
      <c r="D20" s="3790">
        <f>SUM(D21:D22)</f>
        <v>1569155.0874999999</v>
      </c>
      <c r="E20" s="3790">
        <f t="shared" ref="E20:R20" si="3">SUM(E21:E22)</f>
        <v>1569155.0874999999</v>
      </c>
      <c r="F20" s="3790">
        <f t="shared" si="3"/>
        <v>1569155.0874999999</v>
      </c>
      <c r="G20" s="3790">
        <f t="shared" si="3"/>
        <v>1569155.0874999999</v>
      </c>
      <c r="H20" s="3790">
        <f t="shared" si="3"/>
        <v>1569155.0874999999</v>
      </c>
      <c r="I20" s="3790">
        <f t="shared" si="3"/>
        <v>1569155.0874999999</v>
      </c>
      <c r="J20" s="3790">
        <f t="shared" si="3"/>
        <v>1569155.0874999999</v>
      </c>
      <c r="K20" s="3790">
        <f t="shared" si="3"/>
        <v>1569155.0874999999</v>
      </c>
      <c r="L20" s="3790">
        <f t="shared" si="3"/>
        <v>1569155.0874999999</v>
      </c>
      <c r="M20" s="3790">
        <f t="shared" si="3"/>
        <v>1569155.0874999999</v>
      </c>
      <c r="N20" s="3790">
        <f t="shared" si="3"/>
        <v>1569155.0874999999</v>
      </c>
      <c r="O20" s="3790">
        <f t="shared" si="3"/>
        <v>1569155.0874999999</v>
      </c>
      <c r="P20" s="3790">
        <f t="shared" si="3"/>
        <v>1569155.0874999999</v>
      </c>
      <c r="Q20" s="3790">
        <f t="shared" si="3"/>
        <v>1569155.0874999999</v>
      </c>
      <c r="R20" s="3790">
        <f t="shared" si="3"/>
        <v>1569155.0874999999</v>
      </c>
      <c r="S20" s="3045"/>
    </row>
    <row r="21" spans="2:23" ht="14.25" thickBot="1" x14ac:dyDescent="0.3">
      <c r="B21" s="3044"/>
      <c r="C21" s="3055" t="s">
        <v>5131</v>
      </c>
      <c r="D21" s="3789">
        <f>'25 Costos OyM SP'!H27</f>
        <v>1514607.525625</v>
      </c>
      <c r="E21" s="3789">
        <f>'25 Costos OyM SP'!I27</f>
        <v>1514607.525625</v>
      </c>
      <c r="F21" s="3789">
        <f>'25 Costos OyM SP'!J27</f>
        <v>1514607.525625</v>
      </c>
      <c r="G21" s="3789">
        <f>'25 Costos OyM SP'!K27</f>
        <v>1514607.525625</v>
      </c>
      <c r="H21" s="3789">
        <f>'25 Costos OyM SP'!L27</f>
        <v>1514607.525625</v>
      </c>
      <c r="I21" s="3789">
        <f>'25 Costos OyM SP'!M27</f>
        <v>1514607.525625</v>
      </c>
      <c r="J21" s="3789">
        <f>'25 Costos OyM SP'!N27</f>
        <v>1514607.525625</v>
      </c>
      <c r="K21" s="3789">
        <f>'25 Costos OyM SP'!O27</f>
        <v>1514607.525625</v>
      </c>
      <c r="L21" s="3789">
        <f>'25 Costos OyM SP'!P27</f>
        <v>1514607.525625</v>
      </c>
      <c r="M21" s="3789">
        <f>'25 Costos OyM SP'!Q27</f>
        <v>1514607.525625</v>
      </c>
      <c r="N21" s="3789">
        <f>'25 Costos OyM SP'!R27</f>
        <v>1514607.525625</v>
      </c>
      <c r="O21" s="3789">
        <f>'25 Costos OyM SP'!S27</f>
        <v>1514607.525625</v>
      </c>
      <c r="P21" s="3789">
        <f>'25 Costos OyM SP'!T27</f>
        <v>1514607.525625</v>
      </c>
      <c r="Q21" s="3789">
        <f>'25 Costos OyM SP'!U27</f>
        <v>1514607.525625</v>
      </c>
      <c r="R21" s="3789">
        <f>'25 Costos OyM SP'!V27</f>
        <v>1514607.525625</v>
      </c>
      <c r="S21" s="3045"/>
    </row>
    <row r="22" spans="2:23" ht="14.25" thickBot="1" x14ac:dyDescent="0.3">
      <c r="B22" s="3044"/>
      <c r="C22" s="3055" t="s">
        <v>5132</v>
      </c>
      <c r="D22" s="3789">
        <f>'25 Costos OyM SP'!H37</f>
        <v>54547.561874999999</v>
      </c>
      <c r="E22" s="3789">
        <f>'25 Costos OyM SP'!I37</f>
        <v>54547.561874999999</v>
      </c>
      <c r="F22" s="3789">
        <f>'25 Costos OyM SP'!J37</f>
        <v>54547.561874999999</v>
      </c>
      <c r="G22" s="3789">
        <f>'25 Costos OyM SP'!K37</f>
        <v>54547.561874999999</v>
      </c>
      <c r="H22" s="3789">
        <f>'25 Costos OyM SP'!L37</f>
        <v>54547.561874999999</v>
      </c>
      <c r="I22" s="3789">
        <f>'25 Costos OyM SP'!M37</f>
        <v>54547.561874999999</v>
      </c>
      <c r="J22" s="3789">
        <f>'25 Costos OyM SP'!N37</f>
        <v>54547.561874999999</v>
      </c>
      <c r="K22" s="3789">
        <f>'25 Costos OyM SP'!O37</f>
        <v>54547.561874999999</v>
      </c>
      <c r="L22" s="3789">
        <f>'25 Costos OyM SP'!P37</f>
        <v>54547.561874999999</v>
      </c>
      <c r="M22" s="3789">
        <f>'25 Costos OyM SP'!Q37</f>
        <v>54547.561874999999</v>
      </c>
      <c r="N22" s="3789">
        <f>'25 Costos OyM SP'!R37</f>
        <v>54547.561874999999</v>
      </c>
      <c r="O22" s="3789">
        <f>'25 Costos OyM SP'!S37</f>
        <v>54547.561874999999</v>
      </c>
      <c r="P22" s="3789">
        <f>'25 Costos OyM SP'!T37</f>
        <v>54547.561874999999</v>
      </c>
      <c r="Q22" s="3789">
        <f>'25 Costos OyM SP'!U37</f>
        <v>54547.561874999999</v>
      </c>
      <c r="R22" s="3789">
        <f>'25 Costos OyM SP'!V37</f>
        <v>54547.561874999999</v>
      </c>
      <c r="S22" s="3045"/>
    </row>
    <row r="23" spans="2:23" ht="14.25" thickBot="1" x14ac:dyDescent="0.3">
      <c r="B23" s="3044"/>
      <c r="C23" s="3067" t="s">
        <v>5134</v>
      </c>
      <c r="D23" s="3791">
        <f>D20</f>
        <v>1569155.0874999999</v>
      </c>
      <c r="E23" s="3791">
        <f t="shared" ref="E23:R23" si="4">E20</f>
        <v>1569155.0874999999</v>
      </c>
      <c r="F23" s="3791">
        <f t="shared" si="4"/>
        <v>1569155.0874999999</v>
      </c>
      <c r="G23" s="3791">
        <f t="shared" si="4"/>
        <v>1569155.0874999999</v>
      </c>
      <c r="H23" s="3791">
        <f t="shared" si="4"/>
        <v>1569155.0874999999</v>
      </c>
      <c r="I23" s="3791">
        <f t="shared" si="4"/>
        <v>1569155.0874999999</v>
      </c>
      <c r="J23" s="3791">
        <f t="shared" si="4"/>
        <v>1569155.0874999999</v>
      </c>
      <c r="K23" s="3791">
        <f t="shared" si="4"/>
        <v>1569155.0874999999</v>
      </c>
      <c r="L23" s="3791">
        <f t="shared" si="4"/>
        <v>1569155.0874999999</v>
      </c>
      <c r="M23" s="3791">
        <f t="shared" si="4"/>
        <v>1569155.0874999999</v>
      </c>
      <c r="N23" s="3791">
        <f t="shared" si="4"/>
        <v>1569155.0874999999</v>
      </c>
      <c r="O23" s="3791">
        <f t="shared" si="4"/>
        <v>1569155.0874999999</v>
      </c>
      <c r="P23" s="3791">
        <f t="shared" si="4"/>
        <v>1569155.0874999999</v>
      </c>
      <c r="Q23" s="3791">
        <f t="shared" si="4"/>
        <v>1569155.0874999999</v>
      </c>
      <c r="R23" s="3791">
        <f t="shared" si="4"/>
        <v>1569155.0874999999</v>
      </c>
      <c r="S23" s="3045"/>
    </row>
    <row r="24" spans="2:23" ht="14.25" thickBot="1" x14ac:dyDescent="0.3">
      <c r="B24" s="3044"/>
      <c r="C24" s="3059"/>
      <c r="D24" s="3786"/>
      <c r="E24" s="3789"/>
      <c r="F24" s="3789"/>
      <c r="G24" s="3789"/>
      <c r="H24" s="3789"/>
      <c r="I24" s="3789"/>
      <c r="J24" s="3789"/>
      <c r="K24" s="3789"/>
      <c r="L24" s="3789"/>
      <c r="M24" s="3789"/>
      <c r="N24" s="3789"/>
      <c r="O24" s="3789"/>
      <c r="P24" s="3789"/>
      <c r="Q24" s="3789"/>
      <c r="R24" s="3789"/>
      <c r="S24" s="3045"/>
    </row>
    <row r="25" spans="2:23" ht="14.25" thickBot="1" x14ac:dyDescent="0.3">
      <c r="B25" s="3044"/>
      <c r="C25" s="3067" t="s">
        <v>5135</v>
      </c>
      <c r="D25" s="3791">
        <f>D19-D23</f>
        <v>-1115520.0583333331</v>
      </c>
      <c r="E25" s="3791">
        <f t="shared" ref="E25:R25" si="5">E19-E23</f>
        <v>18793718.123586606</v>
      </c>
      <c r="F25" s="3791">
        <f t="shared" si="5"/>
        <v>-1569155.0874999999</v>
      </c>
      <c r="G25" s="3791">
        <f t="shared" si="5"/>
        <v>2747792.5326110008</v>
      </c>
      <c r="H25" s="3791">
        <f t="shared" si="5"/>
        <v>2983293.3393683345</v>
      </c>
      <c r="I25" s="3791">
        <f t="shared" si="5"/>
        <v>3084001.968136</v>
      </c>
      <c r="J25" s="3791">
        <f t="shared" si="5"/>
        <v>3076087.758136</v>
      </c>
      <c r="K25" s="3791">
        <f t="shared" si="5"/>
        <v>3115876.0514693339</v>
      </c>
      <c r="L25" s="3791">
        <f t="shared" si="5"/>
        <v>3107060.7196360002</v>
      </c>
      <c r="M25" s="3791">
        <f t="shared" si="5"/>
        <v>3132200.4403849994</v>
      </c>
      <c r="N25" s="3791">
        <f t="shared" si="5"/>
        <v>3275536.4114693333</v>
      </c>
      <c r="O25" s="3791">
        <f t="shared" si="5"/>
        <v>3283948.4381360007</v>
      </c>
      <c r="P25" s="3791">
        <f t="shared" si="5"/>
        <v>3464011.258136</v>
      </c>
      <c r="Q25" s="3791">
        <f t="shared" si="5"/>
        <v>3156233.4023443335</v>
      </c>
      <c r="R25" s="3791">
        <f t="shared" si="5"/>
        <v>3304901.8123349999</v>
      </c>
      <c r="S25" s="3045"/>
    </row>
    <row r="26" spans="2:23" x14ac:dyDescent="0.25">
      <c r="B26" s="3044"/>
      <c r="C26" s="2482"/>
      <c r="D26" s="3027"/>
      <c r="E26" s="2498"/>
      <c r="F26" s="2498"/>
      <c r="G26" s="2498"/>
      <c r="H26" s="2498"/>
      <c r="I26" s="2498"/>
      <c r="J26" s="2498"/>
      <c r="K26" s="2498"/>
      <c r="L26" s="2498"/>
      <c r="M26" s="2498"/>
      <c r="N26" s="2498"/>
      <c r="O26" s="2498"/>
      <c r="P26" s="2498"/>
      <c r="Q26" s="2498"/>
      <c r="R26" s="2498"/>
      <c r="S26" s="3045"/>
    </row>
    <row r="27" spans="2:23" x14ac:dyDescent="0.25">
      <c r="B27" s="3044"/>
      <c r="C27" s="2482"/>
      <c r="D27" s="3027"/>
      <c r="E27" s="2498"/>
      <c r="F27" s="2498"/>
      <c r="G27" s="2498"/>
      <c r="H27" s="2498"/>
      <c r="I27" s="2498"/>
      <c r="J27" s="2498"/>
      <c r="K27" s="2498"/>
      <c r="L27" s="2498"/>
      <c r="M27" s="2498"/>
      <c r="N27" s="2498"/>
      <c r="O27" s="2498"/>
      <c r="P27" s="2498"/>
      <c r="Q27" s="2498"/>
      <c r="R27" s="2498"/>
      <c r="S27" s="3045"/>
    </row>
    <row r="28" spans="2:23" x14ac:dyDescent="0.25">
      <c r="B28" s="3044"/>
      <c r="C28" s="3035"/>
      <c r="D28" s="3036"/>
      <c r="E28" s="2498"/>
      <c r="F28" s="2498"/>
      <c r="G28" s="2498"/>
      <c r="H28" s="2498"/>
      <c r="I28" s="2498"/>
      <c r="J28" s="2498"/>
      <c r="K28" s="2498"/>
      <c r="L28" s="2498"/>
      <c r="M28" s="2498"/>
      <c r="N28" s="2498"/>
      <c r="O28" s="2498"/>
      <c r="P28" s="2498"/>
      <c r="Q28" s="2498"/>
      <c r="R28" s="2498"/>
      <c r="S28" s="3045"/>
    </row>
    <row r="29" spans="2:23" x14ac:dyDescent="0.25">
      <c r="B29" s="3044"/>
      <c r="C29" s="3035"/>
      <c r="D29" s="3036"/>
      <c r="E29" s="2498"/>
      <c r="F29" s="2498"/>
      <c r="G29" s="2498"/>
      <c r="H29" s="2498"/>
      <c r="I29" s="2498"/>
      <c r="J29" s="2498"/>
      <c r="K29" s="2498"/>
      <c r="L29" s="2498"/>
      <c r="M29" s="2498"/>
      <c r="N29" s="2498"/>
      <c r="O29" s="2498"/>
      <c r="P29" s="2498"/>
      <c r="Q29" s="2498"/>
      <c r="R29" s="2498"/>
      <c r="S29" s="3045"/>
    </row>
    <row r="30" spans="2:23" x14ac:dyDescent="0.25">
      <c r="B30" s="3044"/>
      <c r="C30" s="5027" t="s">
        <v>5136</v>
      </c>
      <c r="D30" s="5027"/>
      <c r="E30" s="5027"/>
      <c r="F30" s="5027"/>
      <c r="G30" s="5027"/>
      <c r="H30" s="5027"/>
      <c r="I30" s="5027"/>
      <c r="J30" s="5027"/>
      <c r="K30" s="5027"/>
      <c r="L30" s="5027"/>
      <c r="M30" s="5027"/>
      <c r="N30" s="5027"/>
      <c r="O30" s="5027"/>
      <c r="P30" s="5027"/>
      <c r="Q30" s="5027"/>
      <c r="R30" s="5027"/>
      <c r="S30" s="3045"/>
    </row>
    <row r="31" spans="2:23" x14ac:dyDescent="0.25">
      <c r="B31" s="3044"/>
      <c r="C31" s="5028" t="s">
        <v>5137</v>
      </c>
      <c r="D31" s="5028"/>
      <c r="E31" s="5028"/>
      <c r="F31" s="5028"/>
      <c r="G31" s="5028"/>
      <c r="H31" s="5028"/>
      <c r="I31" s="5028"/>
      <c r="J31" s="5028"/>
      <c r="K31" s="5028"/>
      <c r="L31" s="5028"/>
      <c r="M31" s="5028"/>
      <c r="N31" s="5028"/>
      <c r="O31" s="5028"/>
      <c r="P31" s="5028"/>
      <c r="Q31" s="5028"/>
      <c r="R31" s="5028"/>
      <c r="S31" s="3045"/>
    </row>
    <row r="32" spans="2:23" ht="14.25" thickBot="1" x14ac:dyDescent="0.3">
      <c r="B32" s="3044"/>
      <c r="C32" s="3028"/>
      <c r="D32" s="3037"/>
      <c r="E32" s="3028"/>
      <c r="F32" s="3028"/>
      <c r="G32" s="3028"/>
      <c r="H32" s="3028"/>
      <c r="I32" s="3028"/>
      <c r="J32" s="3028"/>
      <c r="K32" s="3028"/>
      <c r="L32" s="3028"/>
      <c r="M32" s="3028"/>
      <c r="N32" s="3028"/>
      <c r="O32" s="3028"/>
      <c r="P32" s="3028"/>
      <c r="Q32" s="3028"/>
      <c r="R32" s="3028"/>
      <c r="S32" s="3045"/>
    </row>
    <row r="33" spans="2:23" s="1136" customFormat="1" ht="14.25" thickBot="1" x14ac:dyDescent="0.3">
      <c r="B33" s="3046"/>
      <c r="C33" s="4910" t="s">
        <v>1898</v>
      </c>
      <c r="D33" s="1743">
        <v>1</v>
      </c>
      <c r="E33" s="1743">
        <f t="shared" ref="E33:R34" si="6">D33+1</f>
        <v>2</v>
      </c>
      <c r="F33" s="1743">
        <f t="shared" si="6"/>
        <v>3</v>
      </c>
      <c r="G33" s="1743">
        <f t="shared" si="6"/>
        <v>4</v>
      </c>
      <c r="H33" s="1743">
        <f t="shared" si="6"/>
        <v>5</v>
      </c>
      <c r="I33" s="1743">
        <f t="shared" si="6"/>
        <v>6</v>
      </c>
      <c r="J33" s="1743">
        <f t="shared" si="6"/>
        <v>7</v>
      </c>
      <c r="K33" s="1743">
        <f t="shared" si="6"/>
        <v>8</v>
      </c>
      <c r="L33" s="1743">
        <f t="shared" si="6"/>
        <v>9</v>
      </c>
      <c r="M33" s="1743">
        <f t="shared" si="6"/>
        <v>10</v>
      </c>
      <c r="N33" s="1743">
        <f t="shared" si="6"/>
        <v>11</v>
      </c>
      <c r="O33" s="1743">
        <f t="shared" si="6"/>
        <v>12</v>
      </c>
      <c r="P33" s="1743">
        <f t="shared" si="6"/>
        <v>13</v>
      </c>
      <c r="Q33" s="1743">
        <f t="shared" si="6"/>
        <v>14</v>
      </c>
      <c r="R33" s="1744">
        <f t="shared" si="6"/>
        <v>15</v>
      </c>
      <c r="S33" s="3047"/>
    </row>
    <row r="34" spans="2:23" s="1125" customFormat="1" ht="15.75" customHeight="1" thickBot="1" x14ac:dyDescent="0.3">
      <c r="B34" s="3048"/>
      <c r="C34" s="4909"/>
      <c r="D34" s="1745">
        <v>2020</v>
      </c>
      <c r="E34" s="1745">
        <f t="shared" si="6"/>
        <v>2021</v>
      </c>
      <c r="F34" s="1745">
        <f>E34+1</f>
        <v>2022</v>
      </c>
      <c r="G34" s="1745">
        <f t="shared" si="6"/>
        <v>2023</v>
      </c>
      <c r="H34" s="1745">
        <f t="shared" si="6"/>
        <v>2024</v>
      </c>
      <c r="I34" s="1745">
        <f t="shared" si="6"/>
        <v>2025</v>
      </c>
      <c r="J34" s="1745">
        <f t="shared" si="6"/>
        <v>2026</v>
      </c>
      <c r="K34" s="1745">
        <f t="shared" si="6"/>
        <v>2027</v>
      </c>
      <c r="L34" s="1745">
        <f t="shared" si="6"/>
        <v>2028</v>
      </c>
      <c r="M34" s="1745">
        <f t="shared" si="6"/>
        <v>2029</v>
      </c>
      <c r="N34" s="1745">
        <f t="shared" si="6"/>
        <v>2030</v>
      </c>
      <c r="O34" s="1745">
        <f t="shared" si="6"/>
        <v>2031</v>
      </c>
      <c r="P34" s="1745">
        <f t="shared" si="6"/>
        <v>2032</v>
      </c>
      <c r="Q34" s="1745">
        <f t="shared" si="6"/>
        <v>2033</v>
      </c>
      <c r="R34" s="638">
        <f t="shared" si="6"/>
        <v>2034</v>
      </c>
      <c r="S34" s="1810"/>
    </row>
    <row r="35" spans="2:23" ht="14.25" thickBot="1" x14ac:dyDescent="0.3">
      <c r="B35" s="3044"/>
      <c r="C35" s="1767" t="s">
        <v>5128</v>
      </c>
      <c r="D35" s="3053">
        <f>SUM(D36)</f>
        <v>420032.43441358022</v>
      </c>
      <c r="E35" s="3053">
        <f>SUM(E36)</f>
        <v>13756789.87618785</v>
      </c>
      <c r="F35" s="3053">
        <f>SUM(F36)</f>
        <v>5896454.4450262291</v>
      </c>
      <c r="G35" s="3054">
        <v>0</v>
      </c>
      <c r="H35" s="3054">
        <v>0</v>
      </c>
      <c r="I35" s="3054">
        <v>0</v>
      </c>
      <c r="J35" s="3054">
        <v>0</v>
      </c>
      <c r="K35" s="3054">
        <v>0</v>
      </c>
      <c r="L35" s="3054">
        <v>0</v>
      </c>
      <c r="M35" s="3054">
        <v>0</v>
      </c>
      <c r="N35" s="3054">
        <v>0</v>
      </c>
      <c r="O35" s="3054">
        <v>0</v>
      </c>
      <c r="P35" s="3054">
        <v>0</v>
      </c>
      <c r="Q35" s="3054">
        <v>0</v>
      </c>
      <c r="R35" s="3054">
        <v>0</v>
      </c>
      <c r="S35" s="3045"/>
      <c r="W35" s="3031">
        <f>SUM(D35:F35)</f>
        <v>20073276.755627658</v>
      </c>
    </row>
    <row r="36" spans="2:23" ht="14.25" thickBot="1" x14ac:dyDescent="0.3">
      <c r="B36" s="3044"/>
      <c r="C36" s="3055" t="s">
        <v>5129</v>
      </c>
      <c r="D36" s="3056">
        <f>'28 Cronograma'!AV131</f>
        <v>420032.43441358022</v>
      </c>
      <c r="E36" s="3056">
        <f>'28 Cronograma'!AW131</f>
        <v>13756789.87618785</v>
      </c>
      <c r="F36" s="3056">
        <f>'28 Cronograma'!AX131</f>
        <v>5896454.4450262291</v>
      </c>
      <c r="G36" s="3057"/>
      <c r="H36" s="3057"/>
      <c r="I36" s="3057"/>
      <c r="J36" s="3057"/>
      <c r="K36" s="3057"/>
      <c r="L36" s="3057"/>
      <c r="M36" s="3057"/>
      <c r="N36" s="3057"/>
      <c r="O36" s="3057"/>
      <c r="P36" s="3057"/>
      <c r="Q36" s="3057"/>
      <c r="R36" s="3057"/>
      <c r="S36" s="3045"/>
      <c r="W36" s="3031">
        <f>W35-'[11]23. Costos de Inversion'!O77</f>
        <v>-9946002.3187781535</v>
      </c>
    </row>
    <row r="37" spans="2:23" ht="14.25" thickBot="1" x14ac:dyDescent="0.3">
      <c r="B37" s="3044"/>
      <c r="C37" s="1767" t="s">
        <v>5138</v>
      </c>
      <c r="D37" s="3054"/>
      <c r="E37" s="3054"/>
      <c r="F37" s="3060"/>
      <c r="G37" s="3060"/>
      <c r="H37" s="3060"/>
      <c r="I37" s="3060"/>
      <c r="J37" s="3060"/>
      <c r="K37" s="3060"/>
      <c r="L37" s="3060"/>
      <c r="M37" s="3060"/>
      <c r="N37" s="3060"/>
      <c r="O37" s="3060"/>
      <c r="P37" s="3060"/>
      <c r="Q37" s="3060"/>
      <c r="R37" s="3060"/>
      <c r="S37" s="3045"/>
    </row>
    <row r="38" spans="2:23" ht="14.25" thickBot="1" x14ac:dyDescent="0.3">
      <c r="B38" s="3044"/>
      <c r="C38" s="1767" t="s">
        <v>5965</v>
      </c>
      <c r="D38" s="3053"/>
      <c r="E38" s="3053"/>
      <c r="F38" s="3058"/>
      <c r="G38" s="3058" t="e">
        <f t="shared" ref="G38:R38" si="7">SUM(G39:G40)</f>
        <v>#DIV/0!</v>
      </c>
      <c r="H38" s="3058" t="e">
        <f t="shared" si="7"/>
        <v>#DIV/0!</v>
      </c>
      <c r="I38" s="3058" t="e">
        <f t="shared" si="7"/>
        <v>#DIV/0!</v>
      </c>
      <c r="J38" s="3058" t="e">
        <f t="shared" si="7"/>
        <v>#DIV/0!</v>
      </c>
      <c r="K38" s="3058" t="e">
        <f t="shared" si="7"/>
        <v>#DIV/0!</v>
      </c>
      <c r="L38" s="3058" t="e">
        <f t="shared" si="7"/>
        <v>#DIV/0!</v>
      </c>
      <c r="M38" s="3058" t="e">
        <f t="shared" si="7"/>
        <v>#DIV/0!</v>
      </c>
      <c r="N38" s="3058" t="e">
        <f t="shared" si="7"/>
        <v>#DIV/0!</v>
      </c>
      <c r="O38" s="3058" t="e">
        <f t="shared" si="7"/>
        <v>#DIV/0!</v>
      </c>
      <c r="P38" s="3058" t="e">
        <f t="shared" si="7"/>
        <v>#DIV/0!</v>
      </c>
      <c r="Q38" s="3058" t="e">
        <f t="shared" si="7"/>
        <v>#DIV/0!</v>
      </c>
      <c r="R38" s="3058" t="e">
        <f t="shared" si="7"/>
        <v>#DIV/0!</v>
      </c>
      <c r="S38" s="3045"/>
    </row>
    <row r="39" spans="2:23" ht="14.25" thickBot="1" x14ac:dyDescent="0.3">
      <c r="B39" s="3044"/>
      <c r="C39" s="3055" t="s">
        <v>5131</v>
      </c>
      <c r="D39" s="3056"/>
      <c r="E39" s="3056"/>
      <c r="F39" s="3056"/>
      <c r="G39" s="3056" t="e">
        <f>'26 Costos OyM CP'!H43</f>
        <v>#DIV/0!</v>
      </c>
      <c r="H39" s="3056" t="e">
        <f>'26 Costos OyM CP'!I43</f>
        <v>#DIV/0!</v>
      </c>
      <c r="I39" s="3056" t="e">
        <f>'26 Costos OyM CP'!J43</f>
        <v>#DIV/0!</v>
      </c>
      <c r="J39" s="3056" t="e">
        <f>'26 Costos OyM CP'!K43</f>
        <v>#DIV/0!</v>
      </c>
      <c r="K39" s="3056" t="e">
        <f>'26 Costos OyM CP'!L43</f>
        <v>#DIV/0!</v>
      </c>
      <c r="L39" s="3056" t="e">
        <f>'26 Costos OyM CP'!M43</f>
        <v>#DIV/0!</v>
      </c>
      <c r="M39" s="3056" t="e">
        <f>'26 Costos OyM CP'!N43</f>
        <v>#DIV/0!</v>
      </c>
      <c r="N39" s="3056" t="e">
        <f>'26 Costos OyM CP'!O43</f>
        <v>#DIV/0!</v>
      </c>
      <c r="O39" s="3056" t="e">
        <f>'26 Costos OyM CP'!P43</f>
        <v>#DIV/0!</v>
      </c>
      <c r="P39" s="3056" t="e">
        <f>'26 Costos OyM CP'!Q43</f>
        <v>#DIV/0!</v>
      </c>
      <c r="Q39" s="3056" t="e">
        <f>'26 Costos OyM CP'!R43</f>
        <v>#DIV/0!</v>
      </c>
      <c r="R39" s="3056" t="e">
        <f>'26 Costos OyM CP'!S43</f>
        <v>#DIV/0!</v>
      </c>
      <c r="S39" s="3045"/>
    </row>
    <row r="40" spans="2:23" ht="14.25" thickBot="1" x14ac:dyDescent="0.3">
      <c r="B40" s="3044"/>
      <c r="C40" s="3055" t="s">
        <v>5132</v>
      </c>
      <c r="D40" s="3056"/>
      <c r="E40" s="3056"/>
      <c r="F40" s="3056"/>
      <c r="G40" s="3056">
        <f>'26 Costos OyM CP'!H56</f>
        <v>481958.86450084747</v>
      </c>
      <c r="H40" s="3056">
        <f>'26 Costos OyM CP'!I56</f>
        <v>681535.81937994354</v>
      </c>
      <c r="I40" s="3056">
        <f>'26 Costos OyM CP'!J56</f>
        <v>692168.96240338986</v>
      </c>
      <c r="J40" s="3056">
        <f>'26 Costos OyM CP'!K56</f>
        <v>685462.00477627129</v>
      </c>
      <c r="K40" s="3056">
        <f>'26 Costos OyM CP'!L56</f>
        <v>719180.89743163844</v>
      </c>
      <c r="L40" s="3056">
        <f>'26 Costos OyM CP'!M56</f>
        <v>666174.1077423729</v>
      </c>
      <c r="M40" s="3056">
        <f>'26 Costos OyM CP'!N56</f>
        <v>687478.95583474578</v>
      </c>
      <c r="N40" s="3056">
        <f>'26 Costos OyM CP'!O56</f>
        <v>681549.54149943509</v>
      </c>
      <c r="O40" s="3056">
        <f>'26 Costos OyM CP'!P56</f>
        <v>688678.37765762722</v>
      </c>
      <c r="P40" s="3056">
        <f>'26 Costos OyM CP'!Q56</f>
        <v>811428.22511525429</v>
      </c>
      <c r="Q40" s="3056">
        <f>'26 Costos OyM CP'!R56</f>
        <v>550599.53376638424</v>
      </c>
      <c r="R40" s="3056">
        <f>'26 Costos OyM CP'!S56</f>
        <v>676589.71172457631</v>
      </c>
      <c r="S40" s="3045"/>
    </row>
    <row r="41" spans="2:23" ht="14.25" thickBot="1" x14ac:dyDescent="0.3">
      <c r="B41" s="3044"/>
      <c r="C41" s="3067" t="s">
        <v>5133</v>
      </c>
      <c r="D41" s="3068">
        <f>D35+D37+D38</f>
        <v>420032.43441358022</v>
      </c>
      <c r="E41" s="3068">
        <f t="shared" ref="E41:R41" si="8">E35+E37+E38</f>
        <v>13756789.87618785</v>
      </c>
      <c r="F41" s="3068">
        <f t="shared" si="8"/>
        <v>5896454.4450262291</v>
      </c>
      <c r="G41" s="3068" t="e">
        <f t="shared" si="8"/>
        <v>#DIV/0!</v>
      </c>
      <c r="H41" s="3068" t="e">
        <f t="shared" si="8"/>
        <v>#DIV/0!</v>
      </c>
      <c r="I41" s="3068" t="e">
        <f t="shared" si="8"/>
        <v>#DIV/0!</v>
      </c>
      <c r="J41" s="3068" t="e">
        <f t="shared" si="8"/>
        <v>#DIV/0!</v>
      </c>
      <c r="K41" s="3068" t="e">
        <f t="shared" si="8"/>
        <v>#DIV/0!</v>
      </c>
      <c r="L41" s="3068" t="e">
        <f t="shared" si="8"/>
        <v>#DIV/0!</v>
      </c>
      <c r="M41" s="3068" t="e">
        <f t="shared" si="8"/>
        <v>#DIV/0!</v>
      </c>
      <c r="N41" s="3068" t="e">
        <f t="shared" si="8"/>
        <v>#DIV/0!</v>
      </c>
      <c r="O41" s="3068" t="e">
        <f t="shared" si="8"/>
        <v>#DIV/0!</v>
      </c>
      <c r="P41" s="3068" t="e">
        <f t="shared" si="8"/>
        <v>#DIV/0!</v>
      </c>
      <c r="Q41" s="3068" t="e">
        <f t="shared" si="8"/>
        <v>#DIV/0!</v>
      </c>
      <c r="R41" s="3068" t="e">
        <f t="shared" si="8"/>
        <v>#DIV/0!</v>
      </c>
      <c r="S41" s="3045"/>
    </row>
    <row r="42" spans="2:23" ht="14.25" thickBot="1" x14ac:dyDescent="0.3">
      <c r="B42" s="3044"/>
      <c r="C42" s="1767" t="s">
        <v>5964</v>
      </c>
      <c r="D42" s="3058">
        <f t="shared" ref="D42:F42" si="9">SUM(D43:D44)</f>
        <v>1435800.35977715</v>
      </c>
      <c r="E42" s="3058">
        <f t="shared" si="9"/>
        <v>1435800.35977715</v>
      </c>
      <c r="F42" s="3058">
        <f t="shared" si="9"/>
        <v>1435800.35977715</v>
      </c>
      <c r="G42" s="3058">
        <f t="shared" ref="G42:R42" si="10">SUM(G43:G44)</f>
        <v>1435800.35977715</v>
      </c>
      <c r="H42" s="3058">
        <f t="shared" si="10"/>
        <v>1435800.35977715</v>
      </c>
      <c r="I42" s="3058">
        <f t="shared" si="10"/>
        <v>1435800.35977715</v>
      </c>
      <c r="J42" s="3058">
        <f t="shared" si="10"/>
        <v>1435800.35977715</v>
      </c>
      <c r="K42" s="3058">
        <f t="shared" si="10"/>
        <v>1435800.35977715</v>
      </c>
      <c r="L42" s="3058">
        <f t="shared" si="10"/>
        <v>1435800.35977715</v>
      </c>
      <c r="M42" s="3058">
        <f t="shared" si="10"/>
        <v>1435800.35977715</v>
      </c>
      <c r="N42" s="3058">
        <f t="shared" si="10"/>
        <v>1435800.35977715</v>
      </c>
      <c r="O42" s="3058">
        <f t="shared" si="10"/>
        <v>1435800.35977715</v>
      </c>
      <c r="P42" s="3058">
        <f t="shared" si="10"/>
        <v>1435800.35977715</v>
      </c>
      <c r="Q42" s="3058">
        <f t="shared" si="10"/>
        <v>1435800.35977715</v>
      </c>
      <c r="R42" s="3058">
        <f t="shared" si="10"/>
        <v>1435800.35977715</v>
      </c>
      <c r="S42" s="3045"/>
    </row>
    <row r="43" spans="2:23" ht="14.25" thickBot="1" x14ac:dyDescent="0.3">
      <c r="B43" s="3044"/>
      <c r="C43" s="3055" t="s">
        <v>5131</v>
      </c>
      <c r="D43" s="3057">
        <f>'25 Costos OyM SP'!H53</f>
        <v>1389573.6124254551</v>
      </c>
      <c r="E43" s="3057">
        <f>'25 Costos OyM SP'!I53</f>
        <v>1389573.6124254551</v>
      </c>
      <c r="F43" s="3057">
        <f>'25 Costos OyM SP'!J53</f>
        <v>1389573.6124254551</v>
      </c>
      <c r="G43" s="3057">
        <f>'25 Costos OyM SP'!K53</f>
        <v>1389573.6124254551</v>
      </c>
      <c r="H43" s="3057">
        <f>'25 Costos OyM SP'!L53</f>
        <v>1389573.6124254551</v>
      </c>
      <c r="I43" s="3057">
        <f>'25 Costos OyM SP'!M53</f>
        <v>1389573.6124254551</v>
      </c>
      <c r="J43" s="3057">
        <f>'25 Costos OyM SP'!N53</f>
        <v>1389573.6124254551</v>
      </c>
      <c r="K43" s="3057">
        <f>'25 Costos OyM SP'!O53</f>
        <v>1389573.6124254551</v>
      </c>
      <c r="L43" s="3057">
        <f>'25 Costos OyM SP'!P53</f>
        <v>1389573.6124254551</v>
      </c>
      <c r="M43" s="3057">
        <f>'25 Costos OyM SP'!Q53</f>
        <v>1389573.6124254551</v>
      </c>
      <c r="N43" s="3057">
        <f>'25 Costos OyM SP'!R53</f>
        <v>1389573.6124254551</v>
      </c>
      <c r="O43" s="3057">
        <f>'25 Costos OyM SP'!S53</f>
        <v>1389573.6124254551</v>
      </c>
      <c r="P43" s="3057">
        <f>'25 Costos OyM SP'!T53</f>
        <v>1389573.6124254551</v>
      </c>
      <c r="Q43" s="3057">
        <f>'25 Costos OyM SP'!U53</f>
        <v>1389573.6124254551</v>
      </c>
      <c r="R43" s="3057">
        <f>'25 Costos OyM SP'!V53</f>
        <v>1389573.6124254551</v>
      </c>
      <c r="S43" s="3045"/>
    </row>
    <row r="44" spans="2:23" ht="14.25" thickBot="1" x14ac:dyDescent="0.3">
      <c r="B44" s="3044"/>
      <c r="C44" s="3055" t="s">
        <v>5132</v>
      </c>
      <c r="D44" s="3057">
        <f>'25 Costos OyM SP'!H63</f>
        <v>46226.747351694925</v>
      </c>
      <c r="E44" s="3057">
        <f>'25 Costos OyM SP'!I63</f>
        <v>46226.747351694925</v>
      </c>
      <c r="F44" s="3057">
        <f>'25 Costos OyM SP'!J63</f>
        <v>46226.747351694925</v>
      </c>
      <c r="G44" s="3057">
        <f>'25 Costos OyM SP'!K63</f>
        <v>46226.747351694925</v>
      </c>
      <c r="H44" s="3057">
        <f>'25 Costos OyM SP'!L63</f>
        <v>46226.747351694925</v>
      </c>
      <c r="I44" s="3057">
        <f>'25 Costos OyM SP'!M63</f>
        <v>46226.747351694925</v>
      </c>
      <c r="J44" s="3057">
        <f>'25 Costos OyM SP'!N63</f>
        <v>46226.747351694925</v>
      </c>
      <c r="K44" s="3057">
        <f>'25 Costos OyM SP'!O63</f>
        <v>46226.747351694925</v>
      </c>
      <c r="L44" s="3057">
        <f>'25 Costos OyM SP'!P63</f>
        <v>46226.747351694925</v>
      </c>
      <c r="M44" s="3057">
        <f>'25 Costos OyM SP'!Q63</f>
        <v>46226.747351694925</v>
      </c>
      <c r="N44" s="3057">
        <f>'25 Costos OyM SP'!R63</f>
        <v>46226.747351694925</v>
      </c>
      <c r="O44" s="3057">
        <f>'25 Costos OyM SP'!S63</f>
        <v>46226.747351694925</v>
      </c>
      <c r="P44" s="3057">
        <f>'25 Costos OyM SP'!T63</f>
        <v>46226.747351694925</v>
      </c>
      <c r="Q44" s="3057">
        <f>'25 Costos OyM SP'!U63</f>
        <v>46226.747351694925</v>
      </c>
      <c r="R44" s="3057">
        <f>'25 Costos OyM SP'!V63</f>
        <v>46226.747351694925</v>
      </c>
      <c r="S44" s="3045"/>
    </row>
    <row r="45" spans="2:23" ht="14.25" thickBot="1" x14ac:dyDescent="0.3">
      <c r="B45" s="3044"/>
      <c r="C45" s="3067" t="s">
        <v>5134</v>
      </c>
      <c r="D45" s="3068">
        <f t="shared" ref="D45:R45" si="11">D42</f>
        <v>1435800.35977715</v>
      </c>
      <c r="E45" s="3068">
        <f t="shared" si="11"/>
        <v>1435800.35977715</v>
      </c>
      <c r="F45" s="3068">
        <f t="shared" si="11"/>
        <v>1435800.35977715</v>
      </c>
      <c r="G45" s="3068">
        <f>G42</f>
        <v>1435800.35977715</v>
      </c>
      <c r="H45" s="3068">
        <f t="shared" si="11"/>
        <v>1435800.35977715</v>
      </c>
      <c r="I45" s="3068">
        <f t="shared" si="11"/>
        <v>1435800.35977715</v>
      </c>
      <c r="J45" s="3068">
        <f t="shared" si="11"/>
        <v>1435800.35977715</v>
      </c>
      <c r="K45" s="3068">
        <f t="shared" si="11"/>
        <v>1435800.35977715</v>
      </c>
      <c r="L45" s="3068">
        <f t="shared" si="11"/>
        <v>1435800.35977715</v>
      </c>
      <c r="M45" s="3068">
        <f t="shared" si="11"/>
        <v>1435800.35977715</v>
      </c>
      <c r="N45" s="3068">
        <f t="shared" si="11"/>
        <v>1435800.35977715</v>
      </c>
      <c r="O45" s="3068">
        <f t="shared" si="11"/>
        <v>1435800.35977715</v>
      </c>
      <c r="P45" s="3068">
        <f t="shared" si="11"/>
        <v>1435800.35977715</v>
      </c>
      <c r="Q45" s="3068">
        <f t="shared" si="11"/>
        <v>1435800.35977715</v>
      </c>
      <c r="R45" s="3068">
        <f t="shared" si="11"/>
        <v>1435800.35977715</v>
      </c>
      <c r="S45" s="3045"/>
    </row>
    <row r="46" spans="2:23" ht="14.25" thickBot="1" x14ac:dyDescent="0.3">
      <c r="B46" s="3044"/>
      <c r="C46" s="3059"/>
      <c r="D46" s="3056"/>
      <c r="E46" s="3057"/>
      <c r="F46" s="3057"/>
      <c r="G46" s="3057"/>
      <c r="H46" s="3057"/>
      <c r="I46" s="3057"/>
      <c r="J46" s="3057"/>
      <c r="K46" s="3057"/>
      <c r="L46" s="3057"/>
      <c r="M46" s="3057"/>
      <c r="N46" s="3057"/>
      <c r="O46" s="3057"/>
      <c r="P46" s="3057"/>
      <c r="Q46" s="3057"/>
      <c r="R46" s="3057"/>
      <c r="S46" s="3045"/>
    </row>
    <row r="47" spans="2:23" ht="14.25" thickBot="1" x14ac:dyDescent="0.3">
      <c r="B47" s="3044"/>
      <c r="C47" s="3067" t="s">
        <v>5135</v>
      </c>
      <c r="D47" s="3068">
        <f>D41-D45</f>
        <v>-1015767.9253635698</v>
      </c>
      <c r="E47" s="3068">
        <f t="shared" ref="E47:R47" si="12">E41-E45</f>
        <v>12320989.516410699</v>
      </c>
      <c r="F47" s="3068">
        <f t="shared" si="12"/>
        <v>4460654.0852490794</v>
      </c>
      <c r="G47" s="3068" t="e">
        <f>G41-G45</f>
        <v>#DIV/0!</v>
      </c>
      <c r="H47" s="3068" t="e">
        <f t="shared" si="12"/>
        <v>#DIV/0!</v>
      </c>
      <c r="I47" s="3068" t="e">
        <f t="shared" si="12"/>
        <v>#DIV/0!</v>
      </c>
      <c r="J47" s="3068" t="e">
        <f t="shared" si="12"/>
        <v>#DIV/0!</v>
      </c>
      <c r="K47" s="3068" t="e">
        <f t="shared" si="12"/>
        <v>#DIV/0!</v>
      </c>
      <c r="L47" s="3068" t="e">
        <f t="shared" si="12"/>
        <v>#DIV/0!</v>
      </c>
      <c r="M47" s="3068" t="e">
        <f t="shared" si="12"/>
        <v>#DIV/0!</v>
      </c>
      <c r="N47" s="3068" t="e">
        <f t="shared" si="12"/>
        <v>#DIV/0!</v>
      </c>
      <c r="O47" s="3068" t="e">
        <f t="shared" si="12"/>
        <v>#DIV/0!</v>
      </c>
      <c r="P47" s="3068" t="e">
        <f t="shared" si="12"/>
        <v>#DIV/0!</v>
      </c>
      <c r="Q47" s="3068" t="e">
        <f t="shared" si="12"/>
        <v>#DIV/0!</v>
      </c>
      <c r="R47" s="3068" t="e">
        <f t="shared" si="12"/>
        <v>#DIV/0!</v>
      </c>
      <c r="S47" s="3045"/>
    </row>
    <row r="48" spans="2:23" x14ac:dyDescent="0.25">
      <c r="B48" s="3044"/>
      <c r="C48" s="2482"/>
      <c r="D48" s="3027"/>
      <c r="E48" s="2498"/>
      <c r="F48" s="2498"/>
      <c r="G48" s="2498"/>
      <c r="H48" s="2498"/>
      <c r="I48" s="2498"/>
      <c r="J48" s="2498"/>
      <c r="K48" s="2498"/>
      <c r="L48" s="2498"/>
      <c r="M48" s="2498"/>
      <c r="N48" s="2498"/>
      <c r="O48" s="2498"/>
      <c r="P48" s="2498"/>
      <c r="Q48" s="2498"/>
      <c r="R48" s="2498"/>
      <c r="S48" s="3045"/>
    </row>
    <row r="49" spans="2:19" x14ac:dyDescent="0.25">
      <c r="B49" s="3044"/>
      <c r="C49" s="2482"/>
      <c r="D49" s="3027"/>
      <c r="E49" s="2498"/>
      <c r="F49" s="2498"/>
      <c r="G49" s="2498"/>
      <c r="H49" s="2498"/>
      <c r="I49" s="2498"/>
      <c r="J49" s="2498"/>
      <c r="K49" s="2498"/>
      <c r="L49" s="2498"/>
      <c r="M49" s="2498"/>
      <c r="N49" s="2498"/>
      <c r="O49" s="2498"/>
      <c r="P49" s="2498"/>
      <c r="Q49" s="2498"/>
      <c r="R49" s="2498"/>
      <c r="S49" s="3045"/>
    </row>
    <row r="50" spans="2:19" ht="14.25" thickBot="1" x14ac:dyDescent="0.3">
      <c r="B50" s="3044"/>
      <c r="C50" s="3034"/>
      <c r="D50" s="3032"/>
      <c r="E50" s="3032"/>
      <c r="F50" s="3033"/>
      <c r="G50" s="3033"/>
      <c r="H50" s="3033"/>
      <c r="I50" s="3033"/>
      <c r="J50" s="3033"/>
      <c r="K50" s="3033"/>
      <c r="L50" s="3033"/>
      <c r="M50" s="3033"/>
      <c r="N50" s="3033"/>
      <c r="O50" s="3033"/>
      <c r="P50" s="3033"/>
      <c r="Q50" s="3033"/>
      <c r="R50" s="3033"/>
      <c r="S50" s="3045"/>
    </row>
    <row r="51" spans="2:19" ht="15.75" customHeight="1" thickBot="1" x14ac:dyDescent="0.3">
      <c r="B51" s="3044"/>
      <c r="C51" s="4900" t="s">
        <v>5139</v>
      </c>
      <c r="D51" s="4902"/>
      <c r="E51" s="3032"/>
      <c r="F51" s="3033"/>
      <c r="G51" s="3033"/>
      <c r="H51" s="3033"/>
      <c r="I51" s="2795"/>
      <c r="J51" s="2795"/>
      <c r="K51" s="2795"/>
      <c r="L51" s="2795"/>
      <c r="M51" s="2795"/>
      <c r="N51" s="2795"/>
      <c r="O51" s="2795"/>
      <c r="P51" s="2795"/>
      <c r="Q51" s="2795"/>
      <c r="R51" s="2795"/>
      <c r="S51" s="3045"/>
    </row>
    <row r="52" spans="2:19" ht="14.25" thickBot="1" x14ac:dyDescent="0.3">
      <c r="B52" s="3044"/>
      <c r="C52" s="1149" t="s">
        <v>5140</v>
      </c>
      <c r="D52" s="3786" t="e">
        <f>NPV(8%,G47:R47)+D47+E47+F47</f>
        <v>#DIV/0!</v>
      </c>
      <c r="E52" s="3032"/>
      <c r="F52" s="3033"/>
      <c r="G52" s="3033"/>
      <c r="H52" s="3033"/>
      <c r="I52" s="2498"/>
      <c r="J52" s="2498"/>
      <c r="K52" s="2498"/>
      <c r="L52" s="2498"/>
      <c r="M52" s="2498"/>
      <c r="N52" s="2498"/>
      <c r="O52" s="2498"/>
      <c r="P52" s="2498"/>
      <c r="Q52" s="2498"/>
      <c r="R52" s="2498"/>
      <c r="S52" s="3045"/>
    </row>
    <row r="53" spans="2:19" ht="14.25" thickBot="1" x14ac:dyDescent="0.3">
      <c r="B53" s="3044"/>
      <c r="C53" s="1149" t="s">
        <v>3271</v>
      </c>
      <c r="D53" s="3066" t="e">
        <f>D52/D54</f>
        <v>#DIV/0!</v>
      </c>
      <c r="E53" s="3032"/>
      <c r="F53" s="3033"/>
      <c r="G53" s="3033"/>
      <c r="H53" s="3033"/>
      <c r="I53" s="2498"/>
      <c r="J53" s="2498"/>
      <c r="K53" s="2498"/>
      <c r="L53" s="2498"/>
      <c r="M53" s="2498"/>
      <c r="N53" s="2498"/>
      <c r="O53" s="2498"/>
      <c r="P53" s="2498"/>
      <c r="Q53" s="2498"/>
      <c r="R53" s="2498"/>
      <c r="S53" s="3045"/>
    </row>
    <row r="54" spans="2:19" ht="14.25" thickBot="1" x14ac:dyDescent="0.3">
      <c r="B54" s="3044"/>
      <c r="C54" s="1149" t="s">
        <v>5141</v>
      </c>
      <c r="D54" s="3835" t="e">
        <f>'20 Plan de PROD'!T96</f>
        <v>#DIV/0!</v>
      </c>
      <c r="E54" s="3032"/>
      <c r="F54" s="3033"/>
      <c r="G54" s="3033"/>
      <c r="H54" s="3033"/>
      <c r="I54" s="2498"/>
      <c r="J54" s="2498"/>
      <c r="K54" s="2498"/>
      <c r="L54" s="2498"/>
      <c r="M54" s="2498"/>
      <c r="N54" s="2498"/>
      <c r="O54" s="2498"/>
      <c r="P54" s="2498"/>
      <c r="Q54" s="2498"/>
      <c r="R54" s="2498"/>
      <c r="S54" s="3045"/>
    </row>
    <row r="55" spans="2:19" ht="14.25" thickBot="1" x14ac:dyDescent="0.3">
      <c r="B55" s="3044"/>
      <c r="C55" s="1149" t="s">
        <v>5142</v>
      </c>
      <c r="D55" s="3836">
        <f>SUM(D36:O36)</f>
        <v>20073276.755627658</v>
      </c>
      <c r="E55" s="3032"/>
      <c r="F55" s="3033"/>
      <c r="G55" s="3033"/>
      <c r="H55" s="3033"/>
      <c r="I55" s="2498"/>
      <c r="J55" s="2498"/>
      <c r="K55" s="2498"/>
      <c r="L55" s="2498"/>
      <c r="M55" s="2498"/>
      <c r="N55" s="2498"/>
      <c r="O55" s="2498"/>
      <c r="P55" s="2498"/>
      <c r="Q55" s="2498"/>
      <c r="R55" s="2498"/>
      <c r="S55" s="3045"/>
    </row>
    <row r="56" spans="2:19" x14ac:dyDescent="0.25">
      <c r="B56" s="3044"/>
      <c r="C56" s="2498"/>
      <c r="D56" s="3027"/>
      <c r="E56" s="3032"/>
      <c r="F56" s="3033"/>
      <c r="G56" s="3033"/>
      <c r="H56" s="3033"/>
      <c r="I56" s="2498"/>
      <c r="J56" s="2498"/>
      <c r="K56" s="2498"/>
      <c r="L56" s="2498"/>
      <c r="M56" s="2498"/>
      <c r="N56" s="2498"/>
      <c r="O56" s="2498"/>
      <c r="P56" s="2498"/>
      <c r="Q56" s="2498"/>
      <c r="R56" s="2498"/>
      <c r="S56" s="3045"/>
    </row>
    <row r="57" spans="2:19" x14ac:dyDescent="0.25">
      <c r="B57" s="3044"/>
      <c r="C57" s="2498"/>
      <c r="D57" s="3027"/>
      <c r="E57" s="3032"/>
      <c r="F57" s="3033"/>
      <c r="G57" s="3033"/>
      <c r="H57" s="3033"/>
      <c r="I57" s="2498"/>
      <c r="J57" s="2498"/>
      <c r="K57" s="2498"/>
      <c r="L57" s="2498"/>
      <c r="M57" s="2498"/>
      <c r="N57" s="2498"/>
      <c r="O57" s="2498"/>
      <c r="P57" s="2498"/>
      <c r="Q57" s="2498"/>
      <c r="R57" s="2498"/>
      <c r="S57" s="3045"/>
    </row>
    <row r="58" spans="2:19" ht="14.25" thickBot="1" x14ac:dyDescent="0.3">
      <c r="B58" s="3044"/>
      <c r="C58" s="2498"/>
      <c r="D58" s="3027"/>
      <c r="E58" s="2498"/>
      <c r="F58" s="2498"/>
      <c r="G58" s="2498"/>
      <c r="H58" s="2498"/>
      <c r="I58" s="2498"/>
      <c r="J58" s="2498"/>
      <c r="K58" s="2498"/>
      <c r="L58" s="2498"/>
      <c r="M58" s="2498"/>
      <c r="N58" s="2498"/>
      <c r="O58" s="2498"/>
      <c r="P58" s="2498"/>
      <c r="Q58" s="2498"/>
      <c r="R58" s="2498"/>
      <c r="S58" s="3045"/>
    </row>
    <row r="59" spans="2:19" ht="27.75" thickBot="1" x14ac:dyDescent="0.3">
      <c r="B59" s="3044"/>
      <c r="C59" s="1035" t="s">
        <v>5143</v>
      </c>
      <c r="D59" s="2479" t="s">
        <v>5144</v>
      </c>
      <c r="E59" s="2479" t="s">
        <v>5145</v>
      </c>
      <c r="F59" s="1036" t="s">
        <v>5146</v>
      </c>
      <c r="G59" s="2498"/>
      <c r="H59" s="2498"/>
      <c r="I59" s="2498"/>
      <c r="J59" s="2498"/>
      <c r="K59" s="2498"/>
      <c r="L59" s="2498"/>
      <c r="M59" s="2498"/>
      <c r="N59" s="2498"/>
      <c r="O59" s="2498"/>
      <c r="P59" s="2498"/>
      <c r="Q59" s="2498"/>
      <c r="R59" s="2498"/>
      <c r="S59" s="3045"/>
    </row>
    <row r="60" spans="2:19" ht="14.25" thickBot="1" x14ac:dyDescent="0.3">
      <c r="B60" s="3044"/>
      <c r="C60" s="2854" t="s">
        <v>5147</v>
      </c>
      <c r="D60" s="3061" t="e">
        <f>+D52</f>
        <v>#DIV/0!</v>
      </c>
      <c r="E60" s="3061" t="e">
        <f>D54</f>
        <v>#DIV/0!</v>
      </c>
      <c r="F60" s="3062" t="e">
        <f>+D53</f>
        <v>#DIV/0!</v>
      </c>
      <c r="G60" s="2498"/>
      <c r="H60" s="2498"/>
      <c r="I60" s="2498"/>
      <c r="J60" s="2498"/>
      <c r="K60" s="2498"/>
      <c r="L60" s="2498"/>
      <c r="M60" s="2498"/>
      <c r="N60" s="2498"/>
      <c r="O60" s="2498"/>
      <c r="P60" s="2498"/>
      <c r="Q60" s="2498"/>
      <c r="R60" s="2498"/>
      <c r="S60" s="3045"/>
    </row>
    <row r="61" spans="2:19" x14ac:dyDescent="0.25">
      <c r="B61" s="3044"/>
      <c r="C61" s="2498"/>
      <c r="D61" s="3027"/>
      <c r="E61" s="2498"/>
      <c r="F61" s="2498"/>
      <c r="G61" s="2498"/>
      <c r="H61" s="2498"/>
      <c r="I61" s="2498"/>
      <c r="J61" s="2498"/>
      <c r="K61" s="2498"/>
      <c r="L61" s="2498"/>
      <c r="M61" s="2498"/>
      <c r="N61" s="2498"/>
      <c r="O61" s="2498"/>
      <c r="P61" s="2498"/>
      <c r="Q61" s="2498"/>
      <c r="R61" s="2498"/>
      <c r="S61" s="3045"/>
    </row>
    <row r="62" spans="2:19" x14ac:dyDescent="0.25">
      <c r="B62" s="3044"/>
      <c r="C62" s="2498"/>
      <c r="D62" s="3027"/>
      <c r="E62" s="2498"/>
      <c r="F62" s="2498"/>
      <c r="G62" s="2498"/>
      <c r="H62" s="2498"/>
      <c r="I62" s="2498"/>
      <c r="J62" s="2498"/>
      <c r="K62" s="2498"/>
      <c r="L62" s="2498"/>
      <c r="M62" s="2498"/>
      <c r="N62" s="2498"/>
      <c r="O62" s="2498"/>
      <c r="P62" s="2498"/>
      <c r="Q62" s="2498"/>
      <c r="R62" s="2498"/>
      <c r="S62" s="3045"/>
    </row>
    <row r="63" spans="2:19" ht="14.25" thickBot="1" x14ac:dyDescent="0.3">
      <c r="B63" s="3044"/>
      <c r="C63" s="2498"/>
      <c r="D63" s="3027"/>
      <c r="E63" s="2498"/>
      <c r="F63" s="2498"/>
      <c r="G63" s="2498"/>
      <c r="H63" s="2498"/>
      <c r="I63" s="2498"/>
      <c r="J63" s="2498"/>
      <c r="K63" s="2498"/>
      <c r="L63" s="2498"/>
      <c r="M63" s="2498"/>
      <c r="N63" s="2498"/>
      <c r="O63" s="2498"/>
      <c r="P63" s="2498"/>
      <c r="Q63" s="2498"/>
      <c r="R63" s="2498"/>
      <c r="S63" s="3045"/>
    </row>
    <row r="64" spans="2:19" ht="14.25" thickBot="1" x14ac:dyDescent="0.3">
      <c r="B64" s="3044"/>
      <c r="C64" s="1188" t="s">
        <v>5148</v>
      </c>
      <c r="D64" s="2679" t="s">
        <v>5149</v>
      </c>
      <c r="E64" s="2498"/>
      <c r="F64" s="2498"/>
      <c r="G64" s="2498"/>
      <c r="H64" s="2498"/>
      <c r="I64" s="2498"/>
      <c r="J64" s="2498"/>
      <c r="K64" s="2498"/>
      <c r="L64" s="2498"/>
      <c r="M64" s="2498"/>
      <c r="N64" s="2498"/>
      <c r="O64" s="2498"/>
      <c r="P64" s="2498"/>
      <c r="Q64" s="2498"/>
      <c r="R64" s="2498"/>
      <c r="S64" s="3045"/>
    </row>
    <row r="65" spans="2:19" ht="14.25" thickBot="1" x14ac:dyDescent="0.3">
      <c r="B65" s="3044"/>
      <c r="C65" s="2462" t="s">
        <v>5150</v>
      </c>
      <c r="D65" s="3063">
        <v>0.08</v>
      </c>
      <c r="E65" s="2498"/>
      <c r="F65" s="2498"/>
      <c r="G65" s="2498"/>
      <c r="H65" s="2498"/>
      <c r="I65" s="2498"/>
      <c r="J65" s="2498"/>
      <c r="K65" s="2498"/>
      <c r="L65" s="2498"/>
      <c r="M65" s="2498"/>
      <c r="N65" s="2498"/>
      <c r="O65" s="2498"/>
      <c r="P65" s="2498"/>
      <c r="Q65" s="2498"/>
      <c r="R65" s="2498"/>
      <c r="S65" s="3045"/>
    </row>
    <row r="66" spans="2:19" ht="14.25" thickBot="1" x14ac:dyDescent="0.3">
      <c r="B66" s="3044"/>
      <c r="C66" s="3064" t="s">
        <v>5140</v>
      </c>
      <c r="D66" s="1787" t="e">
        <f>D52</f>
        <v>#DIV/0!</v>
      </c>
      <c r="E66" s="2498"/>
      <c r="F66" s="2498"/>
      <c r="G66" s="2498"/>
      <c r="H66" s="2498"/>
      <c r="I66" s="2498"/>
      <c r="J66" s="2498"/>
      <c r="K66" s="2498"/>
      <c r="L66" s="2498"/>
      <c r="M66" s="2498"/>
      <c r="N66" s="2498"/>
      <c r="O66" s="2498"/>
      <c r="P66" s="2498"/>
      <c r="Q66" s="2498"/>
      <c r="R66" s="2498"/>
      <c r="S66" s="3045"/>
    </row>
    <row r="67" spans="2:19" ht="14.25" thickBot="1" x14ac:dyDescent="0.3">
      <c r="B67" s="3044"/>
      <c r="C67" s="2674" t="s">
        <v>5141</v>
      </c>
      <c r="D67" s="1787" t="e">
        <f>D54</f>
        <v>#DIV/0!</v>
      </c>
      <c r="E67" s="2498"/>
      <c r="F67" s="2498"/>
      <c r="G67" s="2498"/>
      <c r="H67" s="2498"/>
      <c r="I67" s="2498"/>
      <c r="J67" s="2498"/>
      <c r="K67" s="2498"/>
      <c r="L67" s="2498"/>
      <c r="M67" s="2498"/>
      <c r="N67" s="2498"/>
      <c r="O67" s="2498"/>
      <c r="P67" s="2498"/>
      <c r="Q67" s="2498"/>
      <c r="R67" s="2498"/>
      <c r="S67" s="3045"/>
    </row>
    <row r="68" spans="2:19" ht="14.25" thickBot="1" x14ac:dyDescent="0.3">
      <c r="B68" s="3044"/>
      <c r="C68" s="3064" t="s">
        <v>3271</v>
      </c>
      <c r="D68" s="3065" t="e">
        <f>D53</f>
        <v>#DIV/0!</v>
      </c>
      <c r="E68" s="2498"/>
      <c r="F68" s="2498"/>
      <c r="G68" s="2498"/>
      <c r="H68" s="2498"/>
      <c r="I68" s="2498"/>
      <c r="J68" s="2498"/>
      <c r="K68" s="2498"/>
      <c r="L68" s="2498"/>
      <c r="M68" s="2498"/>
      <c r="N68" s="2498"/>
      <c r="O68" s="2498"/>
      <c r="P68" s="2498"/>
      <c r="Q68" s="2498"/>
      <c r="R68" s="2498"/>
      <c r="S68" s="3045"/>
    </row>
    <row r="69" spans="2:19" ht="14.25" thickBot="1" x14ac:dyDescent="0.3">
      <c r="B69" s="3044"/>
      <c r="C69" s="2854" t="s">
        <v>5151</v>
      </c>
      <c r="D69" s="3056">
        <f>D55</f>
        <v>20073276.755627658</v>
      </c>
      <c r="E69" s="2498"/>
      <c r="F69" s="2498"/>
      <c r="G69" s="2498"/>
      <c r="H69" s="2498"/>
      <c r="I69" s="2498"/>
      <c r="J69" s="2498"/>
      <c r="K69" s="2498"/>
      <c r="L69" s="2498"/>
      <c r="M69" s="2498"/>
      <c r="N69" s="2498"/>
      <c r="O69" s="2498"/>
      <c r="P69" s="2498"/>
      <c r="Q69" s="2498"/>
      <c r="R69" s="2498"/>
      <c r="S69" s="3045"/>
    </row>
    <row r="70" spans="2:19" x14ac:dyDescent="0.25">
      <c r="B70" s="3044"/>
      <c r="C70" s="2498"/>
      <c r="D70" s="3027"/>
      <c r="E70" s="2498"/>
      <c r="F70" s="2498"/>
      <c r="G70" s="2498"/>
      <c r="H70" s="2498"/>
      <c r="I70" s="2498"/>
      <c r="J70" s="2498"/>
      <c r="K70" s="2498"/>
      <c r="L70" s="2498"/>
      <c r="M70" s="2498"/>
      <c r="N70" s="2498"/>
      <c r="O70" s="2498"/>
      <c r="P70" s="2498"/>
      <c r="Q70" s="2498"/>
      <c r="R70" s="2498"/>
      <c r="S70" s="3045"/>
    </row>
    <row r="71" spans="2:19" ht="14.25" thickBot="1" x14ac:dyDescent="0.3">
      <c r="B71" s="3049"/>
      <c r="C71" s="3050"/>
      <c r="D71" s="3051"/>
      <c r="E71" s="3050"/>
      <c r="F71" s="3050"/>
      <c r="G71" s="3050"/>
      <c r="H71" s="3050"/>
      <c r="I71" s="3050"/>
      <c r="J71" s="3050"/>
      <c r="K71" s="3050"/>
      <c r="L71" s="3050"/>
      <c r="M71" s="3050"/>
      <c r="N71" s="3050"/>
      <c r="O71" s="3050"/>
      <c r="P71" s="3050"/>
      <c r="Q71" s="3050"/>
      <c r="R71" s="3050"/>
      <c r="S71" s="3052"/>
    </row>
  </sheetData>
  <mergeCells count="8">
    <mergeCell ref="C33:C34"/>
    <mergeCell ref="C51:D51"/>
    <mergeCell ref="C5:R5"/>
    <mergeCell ref="C8:R8"/>
    <mergeCell ref="C9:R9"/>
    <mergeCell ref="C30:R30"/>
    <mergeCell ref="C31:R31"/>
    <mergeCell ref="C11:C12"/>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FFFF00"/>
  </sheetPr>
  <dimension ref="A1:AZ134"/>
  <sheetViews>
    <sheetView topLeftCell="A28" zoomScale="85" zoomScaleNormal="85" workbookViewId="0">
      <selection activeCell="T20" sqref="T20:AE21"/>
    </sheetView>
  </sheetViews>
  <sheetFormatPr baseColWidth="10" defaultRowHeight="16.5" x14ac:dyDescent="0.25"/>
  <cols>
    <col min="1" max="1" width="8.28515625" style="1344" customWidth="1"/>
    <col min="2" max="2" width="14.85546875" style="1344" customWidth="1"/>
    <col min="3" max="3" width="39.85546875" style="1344" customWidth="1"/>
    <col min="4" max="5" width="15.140625" style="1344" customWidth="1"/>
    <col min="6" max="7" width="9.28515625" style="1344" bestFit="1" customWidth="1"/>
    <col min="8" max="8" width="11" style="1344" bestFit="1" customWidth="1"/>
    <col min="9" max="9" width="9.28515625" style="1344" bestFit="1" customWidth="1"/>
    <col min="10" max="13" width="10.5703125" style="1344" customWidth="1"/>
    <col min="14" max="23" width="10.7109375" style="1344" bestFit="1" customWidth="1"/>
    <col min="24" max="41" width="12.7109375" style="1344" customWidth="1"/>
    <col min="42" max="42" width="12.28515625" style="1344" bestFit="1" customWidth="1"/>
    <col min="43" max="44" width="11.42578125" style="1344"/>
    <col min="45" max="45" width="47.7109375" style="1344" customWidth="1"/>
    <col min="46" max="46" width="13.140625" style="1344" bestFit="1" customWidth="1"/>
    <col min="47" max="47" width="22.42578125" style="1344" customWidth="1"/>
    <col min="48" max="48" width="18.5703125" style="1344" customWidth="1"/>
    <col min="49" max="49" width="20.140625" style="1344" customWidth="1"/>
    <col min="50" max="50" width="18.5703125" style="1344" customWidth="1"/>
    <col min="51" max="51" width="20" style="1344" customWidth="1"/>
    <col min="52" max="250" width="11.42578125" style="1344"/>
    <col min="251" max="251" width="8.28515625" style="1344" customWidth="1"/>
    <col min="252" max="252" width="5.7109375" style="1344" customWidth="1"/>
    <col min="253" max="253" width="2.85546875" style="1344" customWidth="1"/>
    <col min="254" max="254" width="36.7109375" style="1344" customWidth="1"/>
    <col min="255" max="255" width="5.5703125" style="1344" customWidth="1"/>
    <col min="256" max="256" width="8.28515625" style="1344" customWidth="1"/>
    <col min="257" max="263" width="12.85546875" style="1344" customWidth="1"/>
    <col min="264" max="275" width="16.85546875" style="1344" customWidth="1"/>
    <col min="276" max="277" width="11.140625" style="1344" customWidth="1"/>
    <col min="278" max="292" width="6.5703125" style="1344" customWidth="1"/>
    <col min="293" max="506" width="11.42578125" style="1344"/>
    <col min="507" max="507" width="8.28515625" style="1344" customWidth="1"/>
    <col min="508" max="508" width="5.7109375" style="1344" customWidth="1"/>
    <col min="509" max="509" width="2.85546875" style="1344" customWidth="1"/>
    <col min="510" max="510" width="36.7109375" style="1344" customWidth="1"/>
    <col min="511" max="511" width="5.5703125" style="1344" customWidth="1"/>
    <col min="512" max="512" width="8.28515625" style="1344" customWidth="1"/>
    <col min="513" max="519" width="12.85546875" style="1344" customWidth="1"/>
    <col min="520" max="531" width="16.85546875" style="1344" customWidth="1"/>
    <col min="532" max="533" width="11.140625" style="1344" customWidth="1"/>
    <col min="534" max="548" width="6.5703125" style="1344" customWidth="1"/>
    <col min="549" max="762" width="11.42578125" style="1344"/>
    <col min="763" max="763" width="8.28515625" style="1344" customWidth="1"/>
    <col min="764" max="764" width="5.7109375" style="1344" customWidth="1"/>
    <col min="765" max="765" width="2.85546875" style="1344" customWidth="1"/>
    <col min="766" max="766" width="36.7109375" style="1344" customWidth="1"/>
    <col min="767" max="767" width="5.5703125" style="1344" customWidth="1"/>
    <col min="768" max="768" width="8.28515625" style="1344" customWidth="1"/>
    <col min="769" max="775" width="12.85546875" style="1344" customWidth="1"/>
    <col min="776" max="787" width="16.85546875" style="1344" customWidth="1"/>
    <col min="788" max="789" width="11.140625" style="1344" customWidth="1"/>
    <col min="790" max="804" width="6.5703125" style="1344" customWidth="1"/>
    <col min="805" max="1018" width="11.42578125" style="1344"/>
    <col min="1019" max="1019" width="8.28515625" style="1344" customWidth="1"/>
    <col min="1020" max="1020" width="5.7109375" style="1344" customWidth="1"/>
    <col min="1021" max="1021" width="2.85546875" style="1344" customWidth="1"/>
    <col min="1022" max="1022" width="36.7109375" style="1344" customWidth="1"/>
    <col min="1023" max="1023" width="5.5703125" style="1344" customWidth="1"/>
    <col min="1024" max="1024" width="8.28515625" style="1344" customWidth="1"/>
    <col min="1025" max="1031" width="12.85546875" style="1344" customWidth="1"/>
    <col min="1032" max="1043" width="16.85546875" style="1344" customWidth="1"/>
    <col min="1044" max="1045" width="11.140625" style="1344" customWidth="1"/>
    <col min="1046" max="1060" width="6.5703125" style="1344" customWidth="1"/>
    <col min="1061" max="1274" width="11.42578125" style="1344"/>
    <col min="1275" max="1275" width="8.28515625" style="1344" customWidth="1"/>
    <col min="1276" max="1276" width="5.7109375" style="1344" customWidth="1"/>
    <col min="1277" max="1277" width="2.85546875" style="1344" customWidth="1"/>
    <col min="1278" max="1278" width="36.7109375" style="1344" customWidth="1"/>
    <col min="1279" max="1279" width="5.5703125" style="1344" customWidth="1"/>
    <col min="1280" max="1280" width="8.28515625" style="1344" customWidth="1"/>
    <col min="1281" max="1287" width="12.85546875" style="1344" customWidth="1"/>
    <col min="1288" max="1299" width="16.85546875" style="1344" customWidth="1"/>
    <col min="1300" max="1301" width="11.140625" style="1344" customWidth="1"/>
    <col min="1302" max="1316" width="6.5703125" style="1344" customWidth="1"/>
    <col min="1317" max="1530" width="11.42578125" style="1344"/>
    <col min="1531" max="1531" width="8.28515625" style="1344" customWidth="1"/>
    <col min="1532" max="1532" width="5.7109375" style="1344" customWidth="1"/>
    <col min="1533" max="1533" width="2.85546875" style="1344" customWidth="1"/>
    <col min="1534" max="1534" width="36.7109375" style="1344" customWidth="1"/>
    <col min="1535" max="1535" width="5.5703125" style="1344" customWidth="1"/>
    <col min="1536" max="1536" width="8.28515625" style="1344" customWidth="1"/>
    <col min="1537" max="1543" width="12.85546875" style="1344" customWidth="1"/>
    <col min="1544" max="1555" width="16.85546875" style="1344" customWidth="1"/>
    <col min="1556" max="1557" width="11.140625" style="1344" customWidth="1"/>
    <col min="1558" max="1572" width="6.5703125" style="1344" customWidth="1"/>
    <col min="1573" max="1786" width="11.42578125" style="1344"/>
    <col min="1787" max="1787" width="8.28515625" style="1344" customWidth="1"/>
    <col min="1788" max="1788" width="5.7109375" style="1344" customWidth="1"/>
    <col min="1789" max="1789" width="2.85546875" style="1344" customWidth="1"/>
    <col min="1790" max="1790" width="36.7109375" style="1344" customWidth="1"/>
    <col min="1791" max="1791" width="5.5703125" style="1344" customWidth="1"/>
    <col min="1792" max="1792" width="8.28515625" style="1344" customWidth="1"/>
    <col min="1793" max="1799" width="12.85546875" style="1344" customWidth="1"/>
    <col min="1800" max="1811" width="16.85546875" style="1344" customWidth="1"/>
    <col min="1812" max="1813" width="11.140625" style="1344" customWidth="1"/>
    <col min="1814" max="1828" width="6.5703125" style="1344" customWidth="1"/>
    <col min="1829" max="2042" width="11.42578125" style="1344"/>
    <col min="2043" max="2043" width="8.28515625" style="1344" customWidth="1"/>
    <col min="2044" max="2044" width="5.7109375" style="1344" customWidth="1"/>
    <col min="2045" max="2045" width="2.85546875" style="1344" customWidth="1"/>
    <col min="2046" max="2046" width="36.7109375" style="1344" customWidth="1"/>
    <col min="2047" max="2047" width="5.5703125" style="1344" customWidth="1"/>
    <col min="2048" max="2048" width="8.28515625" style="1344" customWidth="1"/>
    <col min="2049" max="2055" width="12.85546875" style="1344" customWidth="1"/>
    <col min="2056" max="2067" width="16.85546875" style="1344" customWidth="1"/>
    <col min="2068" max="2069" width="11.140625" style="1344" customWidth="1"/>
    <col min="2070" max="2084" width="6.5703125" style="1344" customWidth="1"/>
    <col min="2085" max="2298" width="11.42578125" style="1344"/>
    <col min="2299" max="2299" width="8.28515625" style="1344" customWidth="1"/>
    <col min="2300" max="2300" width="5.7109375" style="1344" customWidth="1"/>
    <col min="2301" max="2301" width="2.85546875" style="1344" customWidth="1"/>
    <col min="2302" max="2302" width="36.7109375" style="1344" customWidth="1"/>
    <col min="2303" max="2303" width="5.5703125" style="1344" customWidth="1"/>
    <col min="2304" max="2304" width="8.28515625" style="1344" customWidth="1"/>
    <col min="2305" max="2311" width="12.85546875" style="1344" customWidth="1"/>
    <col min="2312" max="2323" width="16.85546875" style="1344" customWidth="1"/>
    <col min="2324" max="2325" width="11.140625" style="1344" customWidth="1"/>
    <col min="2326" max="2340" width="6.5703125" style="1344" customWidth="1"/>
    <col min="2341" max="2554" width="11.42578125" style="1344"/>
    <col min="2555" max="2555" width="8.28515625" style="1344" customWidth="1"/>
    <col min="2556" max="2556" width="5.7109375" style="1344" customWidth="1"/>
    <col min="2557" max="2557" width="2.85546875" style="1344" customWidth="1"/>
    <col min="2558" max="2558" width="36.7109375" style="1344" customWidth="1"/>
    <col min="2559" max="2559" width="5.5703125" style="1344" customWidth="1"/>
    <col min="2560" max="2560" width="8.28515625" style="1344" customWidth="1"/>
    <col min="2561" max="2567" width="12.85546875" style="1344" customWidth="1"/>
    <col min="2568" max="2579" width="16.85546875" style="1344" customWidth="1"/>
    <col min="2580" max="2581" width="11.140625" style="1344" customWidth="1"/>
    <col min="2582" max="2596" width="6.5703125" style="1344" customWidth="1"/>
    <col min="2597" max="2810" width="11.42578125" style="1344"/>
    <col min="2811" max="2811" width="8.28515625" style="1344" customWidth="1"/>
    <col min="2812" max="2812" width="5.7109375" style="1344" customWidth="1"/>
    <col min="2813" max="2813" width="2.85546875" style="1344" customWidth="1"/>
    <col min="2814" max="2814" width="36.7109375" style="1344" customWidth="1"/>
    <col min="2815" max="2815" width="5.5703125" style="1344" customWidth="1"/>
    <col min="2816" max="2816" width="8.28515625" style="1344" customWidth="1"/>
    <col min="2817" max="2823" width="12.85546875" style="1344" customWidth="1"/>
    <col min="2824" max="2835" width="16.85546875" style="1344" customWidth="1"/>
    <col min="2836" max="2837" width="11.140625" style="1344" customWidth="1"/>
    <col min="2838" max="2852" width="6.5703125" style="1344" customWidth="1"/>
    <col min="2853" max="3066" width="11.42578125" style="1344"/>
    <col min="3067" max="3067" width="8.28515625" style="1344" customWidth="1"/>
    <col min="3068" max="3068" width="5.7109375" style="1344" customWidth="1"/>
    <col min="3069" max="3069" width="2.85546875" style="1344" customWidth="1"/>
    <col min="3070" max="3070" width="36.7109375" style="1344" customWidth="1"/>
    <col min="3071" max="3071" width="5.5703125" style="1344" customWidth="1"/>
    <col min="3072" max="3072" width="8.28515625" style="1344" customWidth="1"/>
    <col min="3073" max="3079" width="12.85546875" style="1344" customWidth="1"/>
    <col min="3080" max="3091" width="16.85546875" style="1344" customWidth="1"/>
    <col min="3092" max="3093" width="11.140625" style="1344" customWidth="1"/>
    <col min="3094" max="3108" width="6.5703125" style="1344" customWidth="1"/>
    <col min="3109" max="3322" width="11.42578125" style="1344"/>
    <col min="3323" max="3323" width="8.28515625" style="1344" customWidth="1"/>
    <col min="3324" max="3324" width="5.7109375" style="1344" customWidth="1"/>
    <col min="3325" max="3325" width="2.85546875" style="1344" customWidth="1"/>
    <col min="3326" max="3326" width="36.7109375" style="1344" customWidth="1"/>
    <col min="3327" max="3327" width="5.5703125" style="1344" customWidth="1"/>
    <col min="3328" max="3328" width="8.28515625" style="1344" customWidth="1"/>
    <col min="3329" max="3335" width="12.85546875" style="1344" customWidth="1"/>
    <col min="3336" max="3347" width="16.85546875" style="1344" customWidth="1"/>
    <col min="3348" max="3349" width="11.140625" style="1344" customWidth="1"/>
    <col min="3350" max="3364" width="6.5703125" style="1344" customWidth="1"/>
    <col min="3365" max="3578" width="11.42578125" style="1344"/>
    <col min="3579" max="3579" width="8.28515625" style="1344" customWidth="1"/>
    <col min="3580" max="3580" width="5.7109375" style="1344" customWidth="1"/>
    <col min="3581" max="3581" width="2.85546875" style="1344" customWidth="1"/>
    <col min="3582" max="3582" width="36.7109375" style="1344" customWidth="1"/>
    <col min="3583" max="3583" width="5.5703125" style="1344" customWidth="1"/>
    <col min="3584" max="3584" width="8.28515625" style="1344" customWidth="1"/>
    <col min="3585" max="3591" width="12.85546875" style="1344" customWidth="1"/>
    <col min="3592" max="3603" width="16.85546875" style="1344" customWidth="1"/>
    <col min="3604" max="3605" width="11.140625" style="1344" customWidth="1"/>
    <col min="3606" max="3620" width="6.5703125" style="1344" customWidth="1"/>
    <col min="3621" max="3834" width="11.42578125" style="1344"/>
    <col min="3835" max="3835" width="8.28515625" style="1344" customWidth="1"/>
    <col min="3836" max="3836" width="5.7109375" style="1344" customWidth="1"/>
    <col min="3837" max="3837" width="2.85546875" style="1344" customWidth="1"/>
    <col min="3838" max="3838" width="36.7109375" style="1344" customWidth="1"/>
    <col min="3839" max="3839" width="5.5703125" style="1344" customWidth="1"/>
    <col min="3840" max="3840" width="8.28515625" style="1344" customWidth="1"/>
    <col min="3841" max="3847" width="12.85546875" style="1344" customWidth="1"/>
    <col min="3848" max="3859" width="16.85546875" style="1344" customWidth="1"/>
    <col min="3860" max="3861" width="11.140625" style="1344" customWidth="1"/>
    <col min="3862" max="3876" width="6.5703125" style="1344" customWidth="1"/>
    <col min="3877" max="4090" width="11.42578125" style="1344"/>
    <col min="4091" max="4091" width="8.28515625" style="1344" customWidth="1"/>
    <col min="4092" max="4092" width="5.7109375" style="1344" customWidth="1"/>
    <col min="4093" max="4093" width="2.85546875" style="1344" customWidth="1"/>
    <col min="4094" max="4094" width="36.7109375" style="1344" customWidth="1"/>
    <col min="4095" max="4095" width="5.5703125" style="1344" customWidth="1"/>
    <col min="4096" max="4096" width="8.28515625" style="1344" customWidth="1"/>
    <col min="4097" max="4103" width="12.85546875" style="1344" customWidth="1"/>
    <col min="4104" max="4115" width="16.85546875" style="1344" customWidth="1"/>
    <col min="4116" max="4117" width="11.140625" style="1344" customWidth="1"/>
    <col min="4118" max="4132" width="6.5703125" style="1344" customWidth="1"/>
    <col min="4133" max="4346" width="11.42578125" style="1344"/>
    <col min="4347" max="4347" width="8.28515625" style="1344" customWidth="1"/>
    <col min="4348" max="4348" width="5.7109375" style="1344" customWidth="1"/>
    <col min="4349" max="4349" width="2.85546875" style="1344" customWidth="1"/>
    <col min="4350" max="4350" width="36.7109375" style="1344" customWidth="1"/>
    <col min="4351" max="4351" width="5.5703125" style="1344" customWidth="1"/>
    <col min="4352" max="4352" width="8.28515625" style="1344" customWidth="1"/>
    <col min="4353" max="4359" width="12.85546875" style="1344" customWidth="1"/>
    <col min="4360" max="4371" width="16.85546875" style="1344" customWidth="1"/>
    <col min="4372" max="4373" width="11.140625" style="1344" customWidth="1"/>
    <col min="4374" max="4388" width="6.5703125" style="1344" customWidth="1"/>
    <col min="4389" max="4602" width="11.42578125" style="1344"/>
    <col min="4603" max="4603" width="8.28515625" style="1344" customWidth="1"/>
    <col min="4604" max="4604" width="5.7109375" style="1344" customWidth="1"/>
    <col min="4605" max="4605" width="2.85546875" style="1344" customWidth="1"/>
    <col min="4606" max="4606" width="36.7109375" style="1344" customWidth="1"/>
    <col min="4607" max="4607" width="5.5703125" style="1344" customWidth="1"/>
    <col min="4608" max="4608" width="8.28515625" style="1344" customWidth="1"/>
    <col min="4609" max="4615" width="12.85546875" style="1344" customWidth="1"/>
    <col min="4616" max="4627" width="16.85546875" style="1344" customWidth="1"/>
    <col min="4628" max="4629" width="11.140625" style="1344" customWidth="1"/>
    <col min="4630" max="4644" width="6.5703125" style="1344" customWidth="1"/>
    <col min="4645" max="4858" width="11.42578125" style="1344"/>
    <col min="4859" max="4859" width="8.28515625" style="1344" customWidth="1"/>
    <col min="4860" max="4860" width="5.7109375" style="1344" customWidth="1"/>
    <col min="4861" max="4861" width="2.85546875" style="1344" customWidth="1"/>
    <col min="4862" max="4862" width="36.7109375" style="1344" customWidth="1"/>
    <col min="4863" max="4863" width="5.5703125" style="1344" customWidth="1"/>
    <col min="4864" max="4864" width="8.28515625" style="1344" customWidth="1"/>
    <col min="4865" max="4871" width="12.85546875" style="1344" customWidth="1"/>
    <col min="4872" max="4883" width="16.85546875" style="1344" customWidth="1"/>
    <col min="4884" max="4885" width="11.140625" style="1344" customWidth="1"/>
    <col min="4886" max="4900" width="6.5703125" style="1344" customWidth="1"/>
    <col min="4901" max="5114" width="11.42578125" style="1344"/>
    <col min="5115" max="5115" width="8.28515625" style="1344" customWidth="1"/>
    <col min="5116" max="5116" width="5.7109375" style="1344" customWidth="1"/>
    <col min="5117" max="5117" width="2.85546875" style="1344" customWidth="1"/>
    <col min="5118" max="5118" width="36.7109375" style="1344" customWidth="1"/>
    <col min="5119" max="5119" width="5.5703125" style="1344" customWidth="1"/>
    <col min="5120" max="5120" width="8.28515625" style="1344" customWidth="1"/>
    <col min="5121" max="5127" width="12.85546875" style="1344" customWidth="1"/>
    <col min="5128" max="5139" width="16.85546875" style="1344" customWidth="1"/>
    <col min="5140" max="5141" width="11.140625" style="1344" customWidth="1"/>
    <col min="5142" max="5156" width="6.5703125" style="1344" customWidth="1"/>
    <col min="5157" max="5370" width="11.42578125" style="1344"/>
    <col min="5371" max="5371" width="8.28515625" style="1344" customWidth="1"/>
    <col min="5372" max="5372" width="5.7109375" style="1344" customWidth="1"/>
    <col min="5373" max="5373" width="2.85546875" style="1344" customWidth="1"/>
    <col min="5374" max="5374" width="36.7109375" style="1344" customWidth="1"/>
    <col min="5375" max="5375" width="5.5703125" style="1344" customWidth="1"/>
    <col min="5376" max="5376" width="8.28515625" style="1344" customWidth="1"/>
    <col min="5377" max="5383" width="12.85546875" style="1344" customWidth="1"/>
    <col min="5384" max="5395" width="16.85546875" style="1344" customWidth="1"/>
    <col min="5396" max="5397" width="11.140625" style="1344" customWidth="1"/>
    <col min="5398" max="5412" width="6.5703125" style="1344" customWidth="1"/>
    <col min="5413" max="5626" width="11.42578125" style="1344"/>
    <col min="5627" max="5627" width="8.28515625" style="1344" customWidth="1"/>
    <col min="5628" max="5628" width="5.7109375" style="1344" customWidth="1"/>
    <col min="5629" max="5629" width="2.85546875" style="1344" customWidth="1"/>
    <col min="5630" max="5630" width="36.7109375" style="1344" customWidth="1"/>
    <col min="5631" max="5631" width="5.5703125" style="1344" customWidth="1"/>
    <col min="5632" max="5632" width="8.28515625" style="1344" customWidth="1"/>
    <col min="5633" max="5639" width="12.85546875" style="1344" customWidth="1"/>
    <col min="5640" max="5651" width="16.85546875" style="1344" customWidth="1"/>
    <col min="5652" max="5653" width="11.140625" style="1344" customWidth="1"/>
    <col min="5654" max="5668" width="6.5703125" style="1344" customWidth="1"/>
    <col min="5669" max="5882" width="11.42578125" style="1344"/>
    <col min="5883" max="5883" width="8.28515625" style="1344" customWidth="1"/>
    <col min="5884" max="5884" width="5.7109375" style="1344" customWidth="1"/>
    <col min="5885" max="5885" width="2.85546875" style="1344" customWidth="1"/>
    <col min="5886" max="5886" width="36.7109375" style="1344" customWidth="1"/>
    <col min="5887" max="5887" width="5.5703125" style="1344" customWidth="1"/>
    <col min="5888" max="5888" width="8.28515625" style="1344" customWidth="1"/>
    <col min="5889" max="5895" width="12.85546875" style="1344" customWidth="1"/>
    <col min="5896" max="5907" width="16.85546875" style="1344" customWidth="1"/>
    <col min="5908" max="5909" width="11.140625" style="1344" customWidth="1"/>
    <col min="5910" max="5924" width="6.5703125" style="1344" customWidth="1"/>
    <col min="5925" max="6138" width="11.42578125" style="1344"/>
    <col min="6139" max="6139" width="8.28515625" style="1344" customWidth="1"/>
    <col min="6140" max="6140" width="5.7109375" style="1344" customWidth="1"/>
    <col min="6141" max="6141" width="2.85546875" style="1344" customWidth="1"/>
    <col min="6142" max="6142" width="36.7109375" style="1344" customWidth="1"/>
    <col min="6143" max="6143" width="5.5703125" style="1344" customWidth="1"/>
    <col min="6144" max="6144" width="8.28515625" style="1344" customWidth="1"/>
    <col min="6145" max="6151" width="12.85546875" style="1344" customWidth="1"/>
    <col min="6152" max="6163" width="16.85546875" style="1344" customWidth="1"/>
    <col min="6164" max="6165" width="11.140625" style="1344" customWidth="1"/>
    <col min="6166" max="6180" width="6.5703125" style="1344" customWidth="1"/>
    <col min="6181" max="6394" width="11.42578125" style="1344"/>
    <col min="6395" max="6395" width="8.28515625" style="1344" customWidth="1"/>
    <col min="6396" max="6396" width="5.7109375" style="1344" customWidth="1"/>
    <col min="6397" max="6397" width="2.85546875" style="1344" customWidth="1"/>
    <col min="6398" max="6398" width="36.7109375" style="1344" customWidth="1"/>
    <col min="6399" max="6399" width="5.5703125" style="1344" customWidth="1"/>
    <col min="6400" max="6400" width="8.28515625" style="1344" customWidth="1"/>
    <col min="6401" max="6407" width="12.85546875" style="1344" customWidth="1"/>
    <col min="6408" max="6419" width="16.85546875" style="1344" customWidth="1"/>
    <col min="6420" max="6421" width="11.140625" style="1344" customWidth="1"/>
    <col min="6422" max="6436" width="6.5703125" style="1344" customWidth="1"/>
    <col min="6437" max="6650" width="11.42578125" style="1344"/>
    <col min="6651" max="6651" width="8.28515625" style="1344" customWidth="1"/>
    <col min="6652" max="6652" width="5.7109375" style="1344" customWidth="1"/>
    <col min="6653" max="6653" width="2.85546875" style="1344" customWidth="1"/>
    <col min="6654" max="6654" width="36.7109375" style="1344" customWidth="1"/>
    <col min="6655" max="6655" width="5.5703125" style="1344" customWidth="1"/>
    <col min="6656" max="6656" width="8.28515625" style="1344" customWidth="1"/>
    <col min="6657" max="6663" width="12.85546875" style="1344" customWidth="1"/>
    <col min="6664" max="6675" width="16.85546875" style="1344" customWidth="1"/>
    <col min="6676" max="6677" width="11.140625" style="1344" customWidth="1"/>
    <col min="6678" max="6692" width="6.5703125" style="1344" customWidth="1"/>
    <col min="6693" max="6906" width="11.42578125" style="1344"/>
    <col min="6907" max="6907" width="8.28515625" style="1344" customWidth="1"/>
    <col min="6908" max="6908" width="5.7109375" style="1344" customWidth="1"/>
    <col min="6909" max="6909" width="2.85546875" style="1344" customWidth="1"/>
    <col min="6910" max="6910" width="36.7109375" style="1344" customWidth="1"/>
    <col min="6911" max="6911" width="5.5703125" style="1344" customWidth="1"/>
    <col min="6912" max="6912" width="8.28515625" style="1344" customWidth="1"/>
    <col min="6913" max="6919" width="12.85546875" style="1344" customWidth="1"/>
    <col min="6920" max="6931" width="16.85546875" style="1344" customWidth="1"/>
    <col min="6932" max="6933" width="11.140625" style="1344" customWidth="1"/>
    <col min="6934" max="6948" width="6.5703125" style="1344" customWidth="1"/>
    <col min="6949" max="7162" width="11.42578125" style="1344"/>
    <col min="7163" max="7163" width="8.28515625" style="1344" customWidth="1"/>
    <col min="7164" max="7164" width="5.7109375" style="1344" customWidth="1"/>
    <col min="7165" max="7165" width="2.85546875" style="1344" customWidth="1"/>
    <col min="7166" max="7166" width="36.7109375" style="1344" customWidth="1"/>
    <col min="7167" max="7167" width="5.5703125" style="1344" customWidth="1"/>
    <col min="7168" max="7168" width="8.28515625" style="1344" customWidth="1"/>
    <col min="7169" max="7175" width="12.85546875" style="1344" customWidth="1"/>
    <col min="7176" max="7187" width="16.85546875" style="1344" customWidth="1"/>
    <col min="7188" max="7189" width="11.140625" style="1344" customWidth="1"/>
    <col min="7190" max="7204" width="6.5703125" style="1344" customWidth="1"/>
    <col min="7205" max="7418" width="11.42578125" style="1344"/>
    <col min="7419" max="7419" width="8.28515625" style="1344" customWidth="1"/>
    <col min="7420" max="7420" width="5.7109375" style="1344" customWidth="1"/>
    <col min="7421" max="7421" width="2.85546875" style="1344" customWidth="1"/>
    <col min="7422" max="7422" width="36.7109375" style="1344" customWidth="1"/>
    <col min="7423" max="7423" width="5.5703125" style="1344" customWidth="1"/>
    <col min="7424" max="7424" width="8.28515625" style="1344" customWidth="1"/>
    <col min="7425" max="7431" width="12.85546875" style="1344" customWidth="1"/>
    <col min="7432" max="7443" width="16.85546875" style="1344" customWidth="1"/>
    <col min="7444" max="7445" width="11.140625" style="1344" customWidth="1"/>
    <col min="7446" max="7460" width="6.5703125" style="1344" customWidth="1"/>
    <col min="7461" max="7674" width="11.42578125" style="1344"/>
    <col min="7675" max="7675" width="8.28515625" style="1344" customWidth="1"/>
    <col min="7676" max="7676" width="5.7109375" style="1344" customWidth="1"/>
    <col min="7677" max="7677" width="2.85546875" style="1344" customWidth="1"/>
    <col min="7678" max="7678" width="36.7109375" style="1344" customWidth="1"/>
    <col min="7679" max="7679" width="5.5703125" style="1344" customWidth="1"/>
    <col min="7680" max="7680" width="8.28515625" style="1344" customWidth="1"/>
    <col min="7681" max="7687" width="12.85546875" style="1344" customWidth="1"/>
    <col min="7688" max="7699" width="16.85546875" style="1344" customWidth="1"/>
    <col min="7700" max="7701" width="11.140625" style="1344" customWidth="1"/>
    <col min="7702" max="7716" width="6.5703125" style="1344" customWidth="1"/>
    <col min="7717" max="7930" width="11.42578125" style="1344"/>
    <col min="7931" max="7931" width="8.28515625" style="1344" customWidth="1"/>
    <col min="7932" max="7932" width="5.7109375" style="1344" customWidth="1"/>
    <col min="7933" max="7933" width="2.85546875" style="1344" customWidth="1"/>
    <col min="7934" max="7934" width="36.7109375" style="1344" customWidth="1"/>
    <col min="7935" max="7935" width="5.5703125" style="1344" customWidth="1"/>
    <col min="7936" max="7936" width="8.28515625" style="1344" customWidth="1"/>
    <col min="7937" max="7943" width="12.85546875" style="1344" customWidth="1"/>
    <col min="7944" max="7955" width="16.85546875" style="1344" customWidth="1"/>
    <col min="7956" max="7957" width="11.140625" style="1344" customWidth="1"/>
    <col min="7958" max="7972" width="6.5703125" style="1344" customWidth="1"/>
    <col min="7973" max="8186" width="11.42578125" style="1344"/>
    <col min="8187" max="8187" width="8.28515625" style="1344" customWidth="1"/>
    <col min="8188" max="8188" width="5.7109375" style="1344" customWidth="1"/>
    <col min="8189" max="8189" width="2.85546875" style="1344" customWidth="1"/>
    <col min="8190" max="8190" width="36.7109375" style="1344" customWidth="1"/>
    <col min="8191" max="8191" width="5.5703125" style="1344" customWidth="1"/>
    <col min="8192" max="8192" width="8.28515625" style="1344" customWidth="1"/>
    <col min="8193" max="8199" width="12.85546875" style="1344" customWidth="1"/>
    <col min="8200" max="8211" width="16.85546875" style="1344" customWidth="1"/>
    <col min="8212" max="8213" width="11.140625" style="1344" customWidth="1"/>
    <col min="8214" max="8228" width="6.5703125" style="1344" customWidth="1"/>
    <col min="8229" max="8442" width="11.42578125" style="1344"/>
    <col min="8443" max="8443" width="8.28515625" style="1344" customWidth="1"/>
    <col min="8444" max="8444" width="5.7109375" style="1344" customWidth="1"/>
    <col min="8445" max="8445" width="2.85546875" style="1344" customWidth="1"/>
    <col min="8446" max="8446" width="36.7109375" style="1344" customWidth="1"/>
    <col min="8447" max="8447" width="5.5703125" style="1344" customWidth="1"/>
    <col min="8448" max="8448" width="8.28515625" style="1344" customWidth="1"/>
    <col min="8449" max="8455" width="12.85546875" style="1344" customWidth="1"/>
    <col min="8456" max="8467" width="16.85546875" style="1344" customWidth="1"/>
    <col min="8468" max="8469" width="11.140625" style="1344" customWidth="1"/>
    <col min="8470" max="8484" width="6.5703125" style="1344" customWidth="1"/>
    <col min="8485" max="8698" width="11.42578125" style="1344"/>
    <col min="8699" max="8699" width="8.28515625" style="1344" customWidth="1"/>
    <col min="8700" max="8700" width="5.7109375" style="1344" customWidth="1"/>
    <col min="8701" max="8701" width="2.85546875" style="1344" customWidth="1"/>
    <col min="8702" max="8702" width="36.7109375" style="1344" customWidth="1"/>
    <col min="8703" max="8703" width="5.5703125" style="1344" customWidth="1"/>
    <col min="8704" max="8704" width="8.28515625" style="1344" customWidth="1"/>
    <col min="8705" max="8711" width="12.85546875" style="1344" customWidth="1"/>
    <col min="8712" max="8723" width="16.85546875" style="1344" customWidth="1"/>
    <col min="8724" max="8725" width="11.140625" style="1344" customWidth="1"/>
    <col min="8726" max="8740" width="6.5703125" style="1344" customWidth="1"/>
    <col min="8741" max="8954" width="11.42578125" style="1344"/>
    <col min="8955" max="8955" width="8.28515625" style="1344" customWidth="1"/>
    <col min="8956" max="8956" width="5.7109375" style="1344" customWidth="1"/>
    <col min="8957" max="8957" width="2.85546875" style="1344" customWidth="1"/>
    <col min="8958" max="8958" width="36.7109375" style="1344" customWidth="1"/>
    <col min="8959" max="8959" width="5.5703125" style="1344" customWidth="1"/>
    <col min="8960" max="8960" width="8.28515625" style="1344" customWidth="1"/>
    <col min="8961" max="8967" width="12.85546875" style="1344" customWidth="1"/>
    <col min="8968" max="8979" width="16.85546875" style="1344" customWidth="1"/>
    <col min="8980" max="8981" width="11.140625" style="1344" customWidth="1"/>
    <col min="8982" max="8996" width="6.5703125" style="1344" customWidth="1"/>
    <col min="8997" max="9210" width="11.42578125" style="1344"/>
    <col min="9211" max="9211" width="8.28515625" style="1344" customWidth="1"/>
    <col min="9212" max="9212" width="5.7109375" style="1344" customWidth="1"/>
    <col min="9213" max="9213" width="2.85546875" style="1344" customWidth="1"/>
    <col min="9214" max="9214" width="36.7109375" style="1344" customWidth="1"/>
    <col min="9215" max="9215" width="5.5703125" style="1344" customWidth="1"/>
    <col min="9216" max="9216" width="8.28515625" style="1344" customWidth="1"/>
    <col min="9217" max="9223" width="12.85546875" style="1344" customWidth="1"/>
    <col min="9224" max="9235" width="16.85546875" style="1344" customWidth="1"/>
    <col min="9236" max="9237" width="11.140625" style="1344" customWidth="1"/>
    <col min="9238" max="9252" width="6.5703125" style="1344" customWidth="1"/>
    <col min="9253" max="9466" width="11.42578125" style="1344"/>
    <col min="9467" max="9467" width="8.28515625" style="1344" customWidth="1"/>
    <col min="9468" max="9468" width="5.7109375" style="1344" customWidth="1"/>
    <col min="9469" max="9469" width="2.85546875" style="1344" customWidth="1"/>
    <col min="9470" max="9470" width="36.7109375" style="1344" customWidth="1"/>
    <col min="9471" max="9471" width="5.5703125" style="1344" customWidth="1"/>
    <col min="9472" max="9472" width="8.28515625" style="1344" customWidth="1"/>
    <col min="9473" max="9479" width="12.85546875" style="1344" customWidth="1"/>
    <col min="9480" max="9491" width="16.85546875" style="1344" customWidth="1"/>
    <col min="9492" max="9493" width="11.140625" style="1344" customWidth="1"/>
    <col min="9494" max="9508" width="6.5703125" style="1344" customWidth="1"/>
    <col min="9509" max="9722" width="11.42578125" style="1344"/>
    <col min="9723" max="9723" width="8.28515625" style="1344" customWidth="1"/>
    <col min="9724" max="9724" width="5.7109375" style="1344" customWidth="1"/>
    <col min="9725" max="9725" width="2.85546875" style="1344" customWidth="1"/>
    <col min="9726" max="9726" width="36.7109375" style="1344" customWidth="1"/>
    <col min="9727" max="9727" width="5.5703125" style="1344" customWidth="1"/>
    <col min="9728" max="9728" width="8.28515625" style="1344" customWidth="1"/>
    <col min="9729" max="9735" width="12.85546875" style="1344" customWidth="1"/>
    <col min="9736" max="9747" width="16.85546875" style="1344" customWidth="1"/>
    <col min="9748" max="9749" width="11.140625" style="1344" customWidth="1"/>
    <col min="9750" max="9764" width="6.5703125" style="1344" customWidth="1"/>
    <col min="9765" max="9978" width="11.42578125" style="1344"/>
    <col min="9979" max="9979" width="8.28515625" style="1344" customWidth="1"/>
    <col min="9980" max="9980" width="5.7109375" style="1344" customWidth="1"/>
    <col min="9981" max="9981" width="2.85546875" style="1344" customWidth="1"/>
    <col min="9982" max="9982" width="36.7109375" style="1344" customWidth="1"/>
    <col min="9983" max="9983" width="5.5703125" style="1344" customWidth="1"/>
    <col min="9984" max="9984" width="8.28515625" style="1344" customWidth="1"/>
    <col min="9985" max="9991" width="12.85546875" style="1344" customWidth="1"/>
    <col min="9992" max="10003" width="16.85546875" style="1344" customWidth="1"/>
    <col min="10004" max="10005" width="11.140625" style="1344" customWidth="1"/>
    <col min="10006" max="10020" width="6.5703125" style="1344" customWidth="1"/>
    <col min="10021" max="10234" width="11.42578125" style="1344"/>
    <col min="10235" max="10235" width="8.28515625" style="1344" customWidth="1"/>
    <col min="10236" max="10236" width="5.7109375" style="1344" customWidth="1"/>
    <col min="10237" max="10237" width="2.85546875" style="1344" customWidth="1"/>
    <col min="10238" max="10238" width="36.7109375" style="1344" customWidth="1"/>
    <col min="10239" max="10239" width="5.5703125" style="1344" customWidth="1"/>
    <col min="10240" max="10240" width="8.28515625" style="1344" customWidth="1"/>
    <col min="10241" max="10247" width="12.85546875" style="1344" customWidth="1"/>
    <col min="10248" max="10259" width="16.85546875" style="1344" customWidth="1"/>
    <col min="10260" max="10261" width="11.140625" style="1344" customWidth="1"/>
    <col min="10262" max="10276" width="6.5703125" style="1344" customWidth="1"/>
    <col min="10277" max="10490" width="11.42578125" style="1344"/>
    <col min="10491" max="10491" width="8.28515625" style="1344" customWidth="1"/>
    <col min="10492" max="10492" width="5.7109375" style="1344" customWidth="1"/>
    <col min="10493" max="10493" width="2.85546875" style="1344" customWidth="1"/>
    <col min="10494" max="10494" width="36.7109375" style="1344" customWidth="1"/>
    <col min="10495" max="10495" width="5.5703125" style="1344" customWidth="1"/>
    <col min="10496" max="10496" width="8.28515625" style="1344" customWidth="1"/>
    <col min="10497" max="10503" width="12.85546875" style="1344" customWidth="1"/>
    <col min="10504" max="10515" width="16.85546875" style="1344" customWidth="1"/>
    <col min="10516" max="10517" width="11.140625" style="1344" customWidth="1"/>
    <col min="10518" max="10532" width="6.5703125" style="1344" customWidth="1"/>
    <col min="10533" max="10746" width="11.42578125" style="1344"/>
    <col min="10747" max="10747" width="8.28515625" style="1344" customWidth="1"/>
    <col min="10748" max="10748" width="5.7109375" style="1344" customWidth="1"/>
    <col min="10749" max="10749" width="2.85546875" style="1344" customWidth="1"/>
    <col min="10750" max="10750" width="36.7109375" style="1344" customWidth="1"/>
    <col min="10751" max="10751" width="5.5703125" style="1344" customWidth="1"/>
    <col min="10752" max="10752" width="8.28515625" style="1344" customWidth="1"/>
    <col min="10753" max="10759" width="12.85546875" style="1344" customWidth="1"/>
    <col min="10760" max="10771" width="16.85546875" style="1344" customWidth="1"/>
    <col min="10772" max="10773" width="11.140625" style="1344" customWidth="1"/>
    <col min="10774" max="10788" width="6.5703125" style="1344" customWidth="1"/>
    <col min="10789" max="11002" width="11.42578125" style="1344"/>
    <col min="11003" max="11003" width="8.28515625" style="1344" customWidth="1"/>
    <col min="11004" max="11004" width="5.7109375" style="1344" customWidth="1"/>
    <col min="11005" max="11005" width="2.85546875" style="1344" customWidth="1"/>
    <col min="11006" max="11006" width="36.7109375" style="1344" customWidth="1"/>
    <col min="11007" max="11007" width="5.5703125" style="1344" customWidth="1"/>
    <col min="11008" max="11008" width="8.28515625" style="1344" customWidth="1"/>
    <col min="11009" max="11015" width="12.85546875" style="1344" customWidth="1"/>
    <col min="11016" max="11027" width="16.85546875" style="1344" customWidth="1"/>
    <col min="11028" max="11029" width="11.140625" style="1344" customWidth="1"/>
    <col min="11030" max="11044" width="6.5703125" style="1344" customWidth="1"/>
    <col min="11045" max="11258" width="11.42578125" style="1344"/>
    <col min="11259" max="11259" width="8.28515625" style="1344" customWidth="1"/>
    <col min="11260" max="11260" width="5.7109375" style="1344" customWidth="1"/>
    <col min="11261" max="11261" width="2.85546875" style="1344" customWidth="1"/>
    <col min="11262" max="11262" width="36.7109375" style="1344" customWidth="1"/>
    <col min="11263" max="11263" width="5.5703125" style="1344" customWidth="1"/>
    <col min="11264" max="11264" width="8.28515625" style="1344" customWidth="1"/>
    <col min="11265" max="11271" width="12.85546875" style="1344" customWidth="1"/>
    <col min="11272" max="11283" width="16.85546875" style="1344" customWidth="1"/>
    <col min="11284" max="11285" width="11.140625" style="1344" customWidth="1"/>
    <col min="11286" max="11300" width="6.5703125" style="1344" customWidth="1"/>
    <col min="11301" max="11514" width="11.42578125" style="1344"/>
    <col min="11515" max="11515" width="8.28515625" style="1344" customWidth="1"/>
    <col min="11516" max="11516" width="5.7109375" style="1344" customWidth="1"/>
    <col min="11517" max="11517" width="2.85546875" style="1344" customWidth="1"/>
    <col min="11518" max="11518" width="36.7109375" style="1344" customWidth="1"/>
    <col min="11519" max="11519" width="5.5703125" style="1344" customWidth="1"/>
    <col min="11520" max="11520" width="8.28515625" style="1344" customWidth="1"/>
    <col min="11521" max="11527" width="12.85546875" style="1344" customWidth="1"/>
    <col min="11528" max="11539" width="16.85546875" style="1344" customWidth="1"/>
    <col min="11540" max="11541" width="11.140625" style="1344" customWidth="1"/>
    <col min="11542" max="11556" width="6.5703125" style="1344" customWidth="1"/>
    <col min="11557" max="11770" width="11.42578125" style="1344"/>
    <col min="11771" max="11771" width="8.28515625" style="1344" customWidth="1"/>
    <col min="11772" max="11772" width="5.7109375" style="1344" customWidth="1"/>
    <col min="11773" max="11773" width="2.85546875" style="1344" customWidth="1"/>
    <col min="11774" max="11774" width="36.7109375" style="1344" customWidth="1"/>
    <col min="11775" max="11775" width="5.5703125" style="1344" customWidth="1"/>
    <col min="11776" max="11776" width="8.28515625" style="1344" customWidth="1"/>
    <col min="11777" max="11783" width="12.85546875" style="1344" customWidth="1"/>
    <col min="11784" max="11795" width="16.85546875" style="1344" customWidth="1"/>
    <col min="11796" max="11797" width="11.140625" style="1344" customWidth="1"/>
    <col min="11798" max="11812" width="6.5703125" style="1344" customWidth="1"/>
    <col min="11813" max="12026" width="11.42578125" style="1344"/>
    <col min="12027" max="12027" width="8.28515625" style="1344" customWidth="1"/>
    <col min="12028" max="12028" width="5.7109375" style="1344" customWidth="1"/>
    <col min="12029" max="12029" width="2.85546875" style="1344" customWidth="1"/>
    <col min="12030" max="12030" width="36.7109375" style="1344" customWidth="1"/>
    <col min="12031" max="12031" width="5.5703125" style="1344" customWidth="1"/>
    <col min="12032" max="12032" width="8.28515625" style="1344" customWidth="1"/>
    <col min="12033" max="12039" width="12.85546875" style="1344" customWidth="1"/>
    <col min="12040" max="12051" width="16.85546875" style="1344" customWidth="1"/>
    <col min="12052" max="12053" width="11.140625" style="1344" customWidth="1"/>
    <col min="12054" max="12068" width="6.5703125" style="1344" customWidth="1"/>
    <col min="12069" max="12282" width="11.42578125" style="1344"/>
    <col min="12283" max="12283" width="8.28515625" style="1344" customWidth="1"/>
    <col min="12284" max="12284" width="5.7109375" style="1344" customWidth="1"/>
    <col min="12285" max="12285" width="2.85546875" style="1344" customWidth="1"/>
    <col min="12286" max="12286" width="36.7109375" style="1344" customWidth="1"/>
    <col min="12287" max="12287" width="5.5703125" style="1344" customWidth="1"/>
    <col min="12288" max="12288" width="8.28515625" style="1344" customWidth="1"/>
    <col min="12289" max="12295" width="12.85546875" style="1344" customWidth="1"/>
    <col min="12296" max="12307" width="16.85546875" style="1344" customWidth="1"/>
    <col min="12308" max="12309" width="11.140625" style="1344" customWidth="1"/>
    <col min="12310" max="12324" width="6.5703125" style="1344" customWidth="1"/>
    <col min="12325" max="12538" width="11.42578125" style="1344"/>
    <col min="12539" max="12539" width="8.28515625" style="1344" customWidth="1"/>
    <col min="12540" max="12540" width="5.7109375" style="1344" customWidth="1"/>
    <col min="12541" max="12541" width="2.85546875" style="1344" customWidth="1"/>
    <col min="12542" max="12542" width="36.7109375" style="1344" customWidth="1"/>
    <col min="12543" max="12543" width="5.5703125" style="1344" customWidth="1"/>
    <col min="12544" max="12544" width="8.28515625" style="1344" customWidth="1"/>
    <col min="12545" max="12551" width="12.85546875" style="1344" customWidth="1"/>
    <col min="12552" max="12563" width="16.85546875" style="1344" customWidth="1"/>
    <col min="12564" max="12565" width="11.140625" style="1344" customWidth="1"/>
    <col min="12566" max="12580" width="6.5703125" style="1344" customWidth="1"/>
    <col min="12581" max="12794" width="11.42578125" style="1344"/>
    <col min="12795" max="12795" width="8.28515625" style="1344" customWidth="1"/>
    <col min="12796" max="12796" width="5.7109375" style="1344" customWidth="1"/>
    <col min="12797" max="12797" width="2.85546875" style="1344" customWidth="1"/>
    <col min="12798" max="12798" width="36.7109375" style="1344" customWidth="1"/>
    <col min="12799" max="12799" width="5.5703125" style="1344" customWidth="1"/>
    <col min="12800" max="12800" width="8.28515625" style="1344" customWidth="1"/>
    <col min="12801" max="12807" width="12.85546875" style="1344" customWidth="1"/>
    <col min="12808" max="12819" width="16.85546875" style="1344" customWidth="1"/>
    <col min="12820" max="12821" width="11.140625" style="1344" customWidth="1"/>
    <col min="12822" max="12836" width="6.5703125" style="1344" customWidth="1"/>
    <col min="12837" max="13050" width="11.42578125" style="1344"/>
    <col min="13051" max="13051" width="8.28515625" style="1344" customWidth="1"/>
    <col min="13052" max="13052" width="5.7109375" style="1344" customWidth="1"/>
    <col min="13053" max="13053" width="2.85546875" style="1344" customWidth="1"/>
    <col min="13054" max="13054" width="36.7109375" style="1344" customWidth="1"/>
    <col min="13055" max="13055" width="5.5703125" style="1344" customWidth="1"/>
    <col min="13056" max="13056" width="8.28515625" style="1344" customWidth="1"/>
    <col min="13057" max="13063" width="12.85546875" style="1344" customWidth="1"/>
    <col min="13064" max="13075" width="16.85546875" style="1344" customWidth="1"/>
    <col min="13076" max="13077" width="11.140625" style="1344" customWidth="1"/>
    <col min="13078" max="13092" width="6.5703125" style="1344" customWidth="1"/>
    <col min="13093" max="13306" width="11.42578125" style="1344"/>
    <col min="13307" max="13307" width="8.28515625" style="1344" customWidth="1"/>
    <col min="13308" max="13308" width="5.7109375" style="1344" customWidth="1"/>
    <col min="13309" max="13309" width="2.85546875" style="1344" customWidth="1"/>
    <col min="13310" max="13310" width="36.7109375" style="1344" customWidth="1"/>
    <col min="13311" max="13311" width="5.5703125" style="1344" customWidth="1"/>
    <col min="13312" max="13312" width="8.28515625" style="1344" customWidth="1"/>
    <col min="13313" max="13319" width="12.85546875" style="1344" customWidth="1"/>
    <col min="13320" max="13331" width="16.85546875" style="1344" customWidth="1"/>
    <col min="13332" max="13333" width="11.140625" style="1344" customWidth="1"/>
    <col min="13334" max="13348" width="6.5703125" style="1344" customWidth="1"/>
    <col min="13349" max="13562" width="11.42578125" style="1344"/>
    <col min="13563" max="13563" width="8.28515625" style="1344" customWidth="1"/>
    <col min="13564" max="13564" width="5.7109375" style="1344" customWidth="1"/>
    <col min="13565" max="13565" width="2.85546875" style="1344" customWidth="1"/>
    <col min="13566" max="13566" width="36.7109375" style="1344" customWidth="1"/>
    <col min="13567" max="13567" width="5.5703125" style="1344" customWidth="1"/>
    <col min="13568" max="13568" width="8.28515625" style="1344" customWidth="1"/>
    <col min="13569" max="13575" width="12.85546875" style="1344" customWidth="1"/>
    <col min="13576" max="13587" width="16.85546875" style="1344" customWidth="1"/>
    <col min="13588" max="13589" width="11.140625" style="1344" customWidth="1"/>
    <col min="13590" max="13604" width="6.5703125" style="1344" customWidth="1"/>
    <col min="13605" max="13818" width="11.42578125" style="1344"/>
    <col min="13819" max="13819" width="8.28515625" style="1344" customWidth="1"/>
    <col min="13820" max="13820" width="5.7109375" style="1344" customWidth="1"/>
    <col min="13821" max="13821" width="2.85546875" style="1344" customWidth="1"/>
    <col min="13822" max="13822" width="36.7109375" style="1344" customWidth="1"/>
    <col min="13823" max="13823" width="5.5703125" style="1344" customWidth="1"/>
    <col min="13824" max="13824" width="8.28515625" style="1344" customWidth="1"/>
    <col min="13825" max="13831" width="12.85546875" style="1344" customWidth="1"/>
    <col min="13832" max="13843" width="16.85546875" style="1344" customWidth="1"/>
    <col min="13844" max="13845" width="11.140625" style="1344" customWidth="1"/>
    <col min="13846" max="13860" width="6.5703125" style="1344" customWidth="1"/>
    <col min="13861" max="14074" width="11.42578125" style="1344"/>
    <col min="14075" max="14075" width="8.28515625" style="1344" customWidth="1"/>
    <col min="14076" max="14076" width="5.7109375" style="1344" customWidth="1"/>
    <col min="14077" max="14077" width="2.85546875" style="1344" customWidth="1"/>
    <col min="14078" max="14078" width="36.7109375" style="1344" customWidth="1"/>
    <col min="14079" max="14079" width="5.5703125" style="1344" customWidth="1"/>
    <col min="14080" max="14080" width="8.28515625" style="1344" customWidth="1"/>
    <col min="14081" max="14087" width="12.85546875" style="1344" customWidth="1"/>
    <col min="14088" max="14099" width="16.85546875" style="1344" customWidth="1"/>
    <col min="14100" max="14101" width="11.140625" style="1344" customWidth="1"/>
    <col min="14102" max="14116" width="6.5703125" style="1344" customWidth="1"/>
    <col min="14117" max="14330" width="11.42578125" style="1344"/>
    <col min="14331" max="14331" width="8.28515625" style="1344" customWidth="1"/>
    <col min="14332" max="14332" width="5.7109375" style="1344" customWidth="1"/>
    <col min="14333" max="14333" width="2.85546875" style="1344" customWidth="1"/>
    <col min="14334" max="14334" width="36.7109375" style="1344" customWidth="1"/>
    <col min="14335" max="14335" width="5.5703125" style="1344" customWidth="1"/>
    <col min="14336" max="14336" width="8.28515625" style="1344" customWidth="1"/>
    <col min="14337" max="14343" width="12.85546875" style="1344" customWidth="1"/>
    <col min="14344" max="14355" width="16.85546875" style="1344" customWidth="1"/>
    <col min="14356" max="14357" width="11.140625" style="1344" customWidth="1"/>
    <col min="14358" max="14372" width="6.5703125" style="1344" customWidth="1"/>
    <col min="14373" max="14586" width="11.42578125" style="1344"/>
    <col min="14587" max="14587" width="8.28515625" style="1344" customWidth="1"/>
    <col min="14588" max="14588" width="5.7109375" style="1344" customWidth="1"/>
    <col min="14589" max="14589" width="2.85546875" style="1344" customWidth="1"/>
    <col min="14590" max="14590" width="36.7109375" style="1344" customWidth="1"/>
    <col min="14591" max="14591" width="5.5703125" style="1344" customWidth="1"/>
    <col min="14592" max="14592" width="8.28515625" style="1344" customWidth="1"/>
    <col min="14593" max="14599" width="12.85546875" style="1344" customWidth="1"/>
    <col min="14600" max="14611" width="16.85546875" style="1344" customWidth="1"/>
    <col min="14612" max="14613" width="11.140625" style="1344" customWidth="1"/>
    <col min="14614" max="14628" width="6.5703125" style="1344" customWidth="1"/>
    <col min="14629" max="14842" width="11.42578125" style="1344"/>
    <col min="14843" max="14843" width="8.28515625" style="1344" customWidth="1"/>
    <col min="14844" max="14844" width="5.7109375" style="1344" customWidth="1"/>
    <col min="14845" max="14845" width="2.85546875" style="1344" customWidth="1"/>
    <col min="14846" max="14846" width="36.7109375" style="1344" customWidth="1"/>
    <col min="14847" max="14847" width="5.5703125" style="1344" customWidth="1"/>
    <col min="14848" max="14848" width="8.28515625" style="1344" customWidth="1"/>
    <col min="14849" max="14855" width="12.85546875" style="1344" customWidth="1"/>
    <col min="14856" max="14867" width="16.85546875" style="1344" customWidth="1"/>
    <col min="14868" max="14869" width="11.140625" style="1344" customWidth="1"/>
    <col min="14870" max="14884" width="6.5703125" style="1344" customWidth="1"/>
    <col min="14885" max="15098" width="11.42578125" style="1344"/>
    <col min="15099" max="15099" width="8.28515625" style="1344" customWidth="1"/>
    <col min="15100" max="15100" width="5.7109375" style="1344" customWidth="1"/>
    <col min="15101" max="15101" width="2.85546875" style="1344" customWidth="1"/>
    <col min="15102" max="15102" width="36.7109375" style="1344" customWidth="1"/>
    <col min="15103" max="15103" width="5.5703125" style="1344" customWidth="1"/>
    <col min="15104" max="15104" width="8.28515625" style="1344" customWidth="1"/>
    <col min="15105" max="15111" width="12.85546875" style="1344" customWidth="1"/>
    <col min="15112" max="15123" width="16.85546875" style="1344" customWidth="1"/>
    <col min="15124" max="15125" width="11.140625" style="1344" customWidth="1"/>
    <col min="15126" max="15140" width="6.5703125" style="1344" customWidth="1"/>
    <col min="15141" max="15354" width="11.42578125" style="1344"/>
    <col min="15355" max="15355" width="8.28515625" style="1344" customWidth="1"/>
    <col min="15356" max="15356" width="5.7109375" style="1344" customWidth="1"/>
    <col min="15357" max="15357" width="2.85546875" style="1344" customWidth="1"/>
    <col min="15358" max="15358" width="36.7109375" style="1344" customWidth="1"/>
    <col min="15359" max="15359" width="5.5703125" style="1344" customWidth="1"/>
    <col min="15360" max="15360" width="8.28515625" style="1344" customWidth="1"/>
    <col min="15361" max="15367" width="12.85546875" style="1344" customWidth="1"/>
    <col min="15368" max="15379" width="16.85546875" style="1344" customWidth="1"/>
    <col min="15380" max="15381" width="11.140625" style="1344" customWidth="1"/>
    <col min="15382" max="15396" width="6.5703125" style="1344" customWidth="1"/>
    <col min="15397" max="15610" width="11.42578125" style="1344"/>
    <col min="15611" max="15611" width="8.28515625" style="1344" customWidth="1"/>
    <col min="15612" max="15612" width="5.7109375" style="1344" customWidth="1"/>
    <col min="15613" max="15613" width="2.85546875" style="1344" customWidth="1"/>
    <col min="15614" max="15614" width="36.7109375" style="1344" customWidth="1"/>
    <col min="15615" max="15615" width="5.5703125" style="1344" customWidth="1"/>
    <col min="15616" max="15616" width="8.28515625" style="1344" customWidth="1"/>
    <col min="15617" max="15623" width="12.85546875" style="1344" customWidth="1"/>
    <col min="15624" max="15635" width="16.85546875" style="1344" customWidth="1"/>
    <col min="15636" max="15637" width="11.140625" style="1344" customWidth="1"/>
    <col min="15638" max="15652" width="6.5703125" style="1344" customWidth="1"/>
    <col min="15653" max="15866" width="11.42578125" style="1344"/>
    <col min="15867" max="15867" width="8.28515625" style="1344" customWidth="1"/>
    <col min="15868" max="15868" width="5.7109375" style="1344" customWidth="1"/>
    <col min="15869" max="15869" width="2.85546875" style="1344" customWidth="1"/>
    <col min="15870" max="15870" width="36.7109375" style="1344" customWidth="1"/>
    <col min="15871" max="15871" width="5.5703125" style="1344" customWidth="1"/>
    <col min="15872" max="15872" width="8.28515625" style="1344" customWidth="1"/>
    <col min="15873" max="15879" width="12.85546875" style="1344" customWidth="1"/>
    <col min="15880" max="15891" width="16.85546875" style="1344" customWidth="1"/>
    <col min="15892" max="15893" width="11.140625" style="1344" customWidth="1"/>
    <col min="15894" max="15908" width="6.5703125" style="1344" customWidth="1"/>
    <col min="15909" max="16122" width="11.42578125" style="1344"/>
    <col min="16123" max="16123" width="8.28515625" style="1344" customWidth="1"/>
    <col min="16124" max="16124" width="5.7109375" style="1344" customWidth="1"/>
    <col min="16125" max="16125" width="2.85546875" style="1344" customWidth="1"/>
    <col min="16126" max="16126" width="36.7109375" style="1344" customWidth="1"/>
    <col min="16127" max="16127" width="5.5703125" style="1344" customWidth="1"/>
    <col min="16128" max="16128" width="8.28515625" style="1344" customWidth="1"/>
    <col min="16129" max="16135" width="12.85546875" style="1344" customWidth="1"/>
    <col min="16136" max="16147" width="16.85546875" style="1344" customWidth="1"/>
    <col min="16148" max="16149" width="11.140625" style="1344" customWidth="1"/>
    <col min="16150" max="16164" width="6.5703125" style="1344" customWidth="1"/>
    <col min="16165" max="16384" width="11.42578125" style="1344"/>
  </cols>
  <sheetData>
    <row r="1" spans="1:41" ht="17.25" thickBot="1" x14ac:dyDescent="0.3">
      <c r="A1" s="3098"/>
      <c r="B1" s="3098"/>
      <c r="C1" s="3098"/>
      <c r="D1" s="3098"/>
      <c r="E1" s="3098"/>
      <c r="F1" s="3098"/>
      <c r="G1" s="3098"/>
      <c r="H1" s="3098"/>
      <c r="I1" s="3098"/>
      <c r="J1" s="3098"/>
      <c r="K1" s="3098"/>
      <c r="L1" s="3098"/>
      <c r="M1" s="3098"/>
      <c r="N1" s="3098"/>
      <c r="O1" s="3098"/>
      <c r="P1" s="3098"/>
      <c r="Q1" s="3098"/>
      <c r="R1" s="3098"/>
      <c r="S1" s="3098"/>
      <c r="T1" s="3098"/>
      <c r="U1" s="3098"/>
      <c r="V1" s="3098"/>
      <c r="W1" s="3098"/>
      <c r="X1" s="3098"/>
      <c r="Y1" s="3098"/>
      <c r="Z1" s="3098"/>
      <c r="AA1" s="3098"/>
      <c r="AB1" s="3098"/>
      <c r="AC1" s="3098"/>
      <c r="AD1" s="3098"/>
      <c r="AE1" s="3098"/>
      <c r="AF1" s="3098"/>
      <c r="AG1" s="3098"/>
      <c r="AH1" s="3098"/>
      <c r="AI1" s="3098"/>
      <c r="AJ1" s="3098"/>
      <c r="AK1" s="3098"/>
      <c r="AL1" s="3098"/>
      <c r="AM1" s="3098"/>
      <c r="AN1" s="3098"/>
      <c r="AO1" s="3098"/>
    </row>
    <row r="2" spans="1:41" ht="18.75" customHeight="1" x14ac:dyDescent="0.25">
      <c r="B2" s="5047" t="s">
        <v>5923</v>
      </c>
      <c r="C2" s="5048"/>
      <c r="D2" s="5048"/>
      <c r="E2" s="5048"/>
      <c r="F2" s="5048"/>
      <c r="G2" s="5048"/>
      <c r="H2" s="5048"/>
      <c r="I2" s="5048"/>
      <c r="J2" s="5048"/>
      <c r="K2" s="5048"/>
      <c r="L2" s="5048"/>
      <c r="M2" s="5048"/>
      <c r="N2" s="5048"/>
      <c r="O2" s="5048"/>
      <c r="P2" s="5048"/>
      <c r="Q2" s="5048"/>
      <c r="R2" s="5048"/>
      <c r="S2" s="5048"/>
      <c r="T2" s="5048"/>
      <c r="U2" s="5048"/>
      <c r="V2" s="5048"/>
      <c r="W2" s="5048"/>
      <c r="X2" s="5048"/>
      <c r="Y2" s="5048"/>
      <c r="Z2" s="5048"/>
      <c r="AA2" s="5048"/>
      <c r="AB2" s="5048"/>
      <c r="AC2" s="5048"/>
      <c r="AD2" s="5048"/>
      <c r="AE2" s="5048"/>
      <c r="AF2" s="5048"/>
      <c r="AG2" s="5048"/>
      <c r="AH2" s="5048"/>
      <c r="AI2" s="5048"/>
      <c r="AJ2" s="5048"/>
      <c r="AK2" s="5048"/>
      <c r="AL2" s="5048"/>
      <c r="AM2" s="5048"/>
      <c r="AN2" s="5048"/>
      <c r="AO2" s="5049"/>
    </row>
    <row r="3" spans="1:41" x14ac:dyDescent="0.25">
      <c r="A3" s="3098"/>
      <c r="B3" s="3153"/>
      <c r="C3" s="3151"/>
      <c r="D3" s="3151"/>
      <c r="E3" s="3151"/>
      <c r="F3" s="3151"/>
      <c r="G3" s="3152"/>
      <c r="H3" s="3152"/>
      <c r="I3" s="3152"/>
      <c r="J3" s="3152"/>
      <c r="K3" s="3152"/>
      <c r="L3" s="3152"/>
      <c r="M3" s="3152"/>
      <c r="N3" s="3152"/>
      <c r="O3" s="3152"/>
      <c r="P3" s="3152"/>
      <c r="Q3" s="3152"/>
      <c r="R3" s="3152"/>
      <c r="S3" s="3152"/>
      <c r="T3" s="3152"/>
      <c r="U3" s="3152"/>
      <c r="V3" s="3152"/>
      <c r="W3" s="3152"/>
      <c r="X3" s="3152"/>
      <c r="Y3" s="3152"/>
      <c r="Z3" s="3152"/>
      <c r="AA3" s="3152"/>
      <c r="AB3" s="3152"/>
      <c r="AC3" s="3152"/>
      <c r="AD3" s="3152"/>
      <c r="AE3" s="3152"/>
      <c r="AF3" s="3152"/>
      <c r="AG3" s="3152"/>
      <c r="AH3" s="3152"/>
      <c r="AI3" s="3152"/>
      <c r="AJ3" s="3152"/>
      <c r="AK3" s="3152"/>
      <c r="AL3" s="3152"/>
      <c r="AM3" s="3152"/>
      <c r="AN3" s="3152"/>
      <c r="AO3" s="3715"/>
    </row>
    <row r="4" spans="1:41" ht="16.5" customHeight="1" x14ac:dyDescent="0.25">
      <c r="B4" s="3154" t="s">
        <v>5298</v>
      </c>
      <c r="C4" s="5050" t="s">
        <v>5347</v>
      </c>
      <c r="D4" s="5050"/>
      <c r="E4" s="5050"/>
      <c r="F4" s="5050"/>
      <c r="G4" s="5050"/>
      <c r="H4" s="5050"/>
      <c r="I4" s="5050"/>
      <c r="J4" s="5050"/>
      <c r="K4" s="5050"/>
      <c r="L4" s="5050"/>
      <c r="M4" s="5050"/>
      <c r="N4" s="5050"/>
      <c r="O4" s="5050"/>
      <c r="P4" s="5050"/>
      <c r="Q4" s="5050"/>
      <c r="R4" s="5050"/>
      <c r="S4" s="5050"/>
      <c r="T4" s="5050"/>
      <c r="U4" s="5050"/>
      <c r="V4" s="5050"/>
      <c r="W4" s="5050"/>
      <c r="X4" s="5050"/>
      <c r="Y4" s="5050"/>
      <c r="Z4" s="5050"/>
      <c r="AA4" s="5050"/>
      <c r="AB4" s="5050"/>
      <c r="AC4" s="5050"/>
      <c r="AD4" s="5050"/>
      <c r="AE4" s="5050"/>
      <c r="AF4" s="5050"/>
      <c r="AG4" s="5050"/>
      <c r="AH4" s="5050"/>
      <c r="AI4" s="5050"/>
      <c r="AJ4" s="5050"/>
      <c r="AK4" s="5050"/>
      <c r="AL4" s="5050"/>
      <c r="AM4" s="5050"/>
      <c r="AN4" s="5050"/>
      <c r="AO4" s="5051"/>
    </row>
    <row r="5" spans="1:41" x14ac:dyDescent="0.25">
      <c r="B5" s="3154" t="s">
        <v>5299</v>
      </c>
      <c r="C5" s="3160" t="s">
        <v>5348</v>
      </c>
      <c r="D5" s="3772"/>
      <c r="E5" s="3772"/>
      <c r="F5" s="3772"/>
      <c r="G5" s="3772"/>
      <c r="H5" s="3772"/>
      <c r="I5" s="3772"/>
      <c r="J5" s="3772"/>
      <c r="K5" s="3772"/>
      <c r="L5" s="3772"/>
      <c r="M5" s="3772"/>
      <c r="N5" s="3772"/>
      <c r="O5" s="3772"/>
      <c r="P5" s="3772"/>
      <c r="Q5" s="3772"/>
      <c r="R5" s="3772"/>
      <c r="S5" s="3772"/>
      <c r="T5" s="3772"/>
      <c r="U5" s="3772"/>
      <c r="V5" s="3772"/>
      <c r="W5" s="3772"/>
      <c r="X5" s="3772"/>
      <c r="Y5" s="3772"/>
      <c r="Z5" s="3772"/>
      <c r="AA5" s="3772"/>
      <c r="AB5" s="3772"/>
      <c r="AC5" s="3772"/>
      <c r="AD5" s="3772"/>
      <c r="AE5" s="3772"/>
      <c r="AF5" s="3772"/>
      <c r="AG5" s="3772"/>
      <c r="AH5" s="3772"/>
      <c r="AI5" s="3772"/>
      <c r="AJ5" s="3772"/>
      <c r="AK5" s="3772"/>
      <c r="AL5" s="3772"/>
      <c r="AM5" s="3772"/>
      <c r="AN5" s="3772"/>
      <c r="AO5" s="3773"/>
    </row>
    <row r="6" spans="1:41" x14ac:dyDescent="0.25">
      <c r="B6" s="3155" t="s">
        <v>5300</v>
      </c>
      <c r="C6" s="3101" t="s">
        <v>5349</v>
      </c>
      <c r="D6" s="3101"/>
      <c r="E6" s="3101"/>
      <c r="F6" s="3102"/>
      <c r="G6" s="3102"/>
      <c r="H6" s="3102"/>
      <c r="I6" s="3102"/>
      <c r="J6" s="3102"/>
      <c r="K6" s="3102"/>
      <c r="L6" s="3102"/>
      <c r="M6" s="3102"/>
      <c r="N6" s="3102"/>
      <c r="O6" s="3102"/>
      <c r="P6" s="3102"/>
      <c r="Q6" s="3102"/>
      <c r="R6" s="3102"/>
      <c r="S6" s="3102"/>
      <c r="T6" s="3102"/>
      <c r="U6" s="3102"/>
      <c r="V6" s="3102"/>
      <c r="W6" s="3102"/>
      <c r="X6" s="3102"/>
      <c r="Y6" s="3102"/>
      <c r="Z6" s="3102"/>
      <c r="AA6" s="3102"/>
      <c r="AB6" s="3102"/>
      <c r="AC6" s="3102"/>
      <c r="AD6" s="3102"/>
      <c r="AE6" s="3102"/>
      <c r="AF6" s="3102"/>
      <c r="AG6" s="3102"/>
      <c r="AH6" s="3102"/>
      <c r="AI6" s="3102"/>
      <c r="AJ6" s="3102"/>
      <c r="AK6" s="3102"/>
      <c r="AL6" s="3102"/>
      <c r="AM6" s="3102"/>
      <c r="AN6" s="3102"/>
      <c r="AO6" s="3716"/>
    </row>
    <row r="7" spans="1:41" ht="33" x14ac:dyDescent="0.25">
      <c r="B7" s="3156" t="s">
        <v>5301</v>
      </c>
      <c r="C7" s="3103" t="s">
        <v>5302</v>
      </c>
      <c r="D7" s="3103"/>
      <c r="E7" s="3103"/>
      <c r="F7" s="3152"/>
      <c r="G7" s="3152"/>
      <c r="H7" s="3152"/>
      <c r="I7" s="3152"/>
      <c r="J7" s="3152"/>
      <c r="K7" s="3152"/>
      <c r="L7" s="3152"/>
      <c r="M7" s="3152"/>
      <c r="N7" s="3152"/>
      <c r="O7" s="3152"/>
      <c r="P7" s="3152"/>
      <c r="Q7" s="3152"/>
      <c r="R7" s="3152"/>
      <c r="S7" s="3152"/>
      <c r="T7" s="3152"/>
      <c r="U7" s="3152"/>
      <c r="V7" s="3152"/>
      <c r="W7" s="3152"/>
      <c r="X7" s="3152"/>
      <c r="Y7" s="3152"/>
      <c r="Z7" s="3152"/>
      <c r="AA7" s="3152"/>
      <c r="AB7" s="3152"/>
      <c r="AC7" s="3152"/>
      <c r="AD7" s="3152"/>
      <c r="AE7" s="3152"/>
      <c r="AF7" s="3152"/>
      <c r="AG7" s="3152"/>
      <c r="AH7" s="3152"/>
      <c r="AI7" s="3152"/>
      <c r="AJ7" s="3152"/>
      <c r="AK7" s="3152"/>
      <c r="AL7" s="3152"/>
      <c r="AM7" s="3152"/>
      <c r="AN7" s="3152"/>
      <c r="AO7" s="3715"/>
    </row>
    <row r="8" spans="1:41" ht="17.25" thickBot="1" x14ac:dyDescent="0.3">
      <c r="B8" s="3157" t="s">
        <v>5303</v>
      </c>
      <c r="C8" s="3714">
        <f>E46</f>
        <v>28586582.974537253</v>
      </c>
      <c r="D8" s="3158"/>
      <c r="E8" s="3158"/>
      <c r="F8" s="3159"/>
      <c r="G8" s="3159"/>
      <c r="H8" s="3159"/>
      <c r="I8" s="3159"/>
      <c r="J8" s="3159"/>
      <c r="K8" s="3159"/>
      <c r="L8" s="3159"/>
      <c r="M8" s="3159"/>
      <c r="N8" s="3159"/>
      <c r="O8" s="3159"/>
      <c r="P8" s="3159"/>
      <c r="Q8" s="3159"/>
      <c r="R8" s="3159"/>
      <c r="S8" s="3159"/>
      <c r="T8" s="3159"/>
      <c r="U8" s="3159"/>
      <c r="V8" s="3159"/>
      <c r="W8" s="3159"/>
      <c r="X8" s="3159"/>
      <c r="Y8" s="3159"/>
      <c r="Z8" s="3152"/>
      <c r="AA8" s="3152"/>
      <c r="AB8" s="3152"/>
      <c r="AC8" s="3152"/>
      <c r="AD8" s="3152"/>
      <c r="AE8" s="3152"/>
      <c r="AF8" s="3152"/>
      <c r="AG8" s="3152"/>
      <c r="AH8" s="3152"/>
      <c r="AI8" s="3152"/>
      <c r="AJ8" s="3152"/>
      <c r="AK8" s="3152"/>
      <c r="AL8" s="3152"/>
      <c r="AM8" s="3152"/>
      <c r="AN8" s="3152"/>
      <c r="AO8" s="3715"/>
    </row>
    <row r="9" spans="1:41" ht="18.75" customHeight="1" x14ac:dyDescent="0.25">
      <c r="B9" s="5102" t="s">
        <v>5304</v>
      </c>
      <c r="C9" s="5103"/>
      <c r="D9" s="5103"/>
      <c r="E9" s="5103"/>
      <c r="F9" s="5103"/>
      <c r="G9" s="5103"/>
      <c r="H9" s="5103"/>
      <c r="I9" s="5103"/>
      <c r="J9" s="5103"/>
      <c r="K9" s="5103"/>
      <c r="L9" s="5103"/>
      <c r="M9" s="5103"/>
      <c r="N9" s="5103"/>
      <c r="O9" s="5103"/>
      <c r="P9" s="5103"/>
      <c r="Q9" s="5103"/>
      <c r="R9" s="5103"/>
      <c r="S9" s="5103"/>
      <c r="T9" s="5103"/>
      <c r="U9" s="5103"/>
      <c r="V9" s="5103"/>
      <c r="W9" s="5103"/>
      <c r="X9" s="5103"/>
      <c r="Y9" s="5103"/>
      <c r="Z9" s="5103"/>
      <c r="AA9" s="5103"/>
      <c r="AB9" s="5103"/>
      <c r="AC9" s="5103"/>
      <c r="AD9" s="5103"/>
      <c r="AE9" s="5103"/>
      <c r="AF9" s="5103"/>
      <c r="AG9" s="5103"/>
      <c r="AH9" s="5103"/>
      <c r="AI9" s="5103"/>
      <c r="AJ9" s="5103"/>
      <c r="AK9" s="5103"/>
      <c r="AL9" s="5103"/>
      <c r="AM9" s="5103"/>
      <c r="AN9" s="5103"/>
      <c r="AO9" s="5104"/>
    </row>
    <row r="10" spans="1:41" x14ac:dyDescent="0.25">
      <c r="B10" s="3155"/>
      <c r="C10" s="3104"/>
      <c r="D10" s="3104"/>
      <c r="E10" s="3104"/>
      <c r="F10" s="3152"/>
      <c r="G10" s="3152"/>
      <c r="H10" s="3152"/>
      <c r="I10" s="3152"/>
      <c r="J10" s="3152"/>
      <c r="K10" s="3152"/>
      <c r="L10" s="3152"/>
      <c r="M10" s="3152"/>
      <c r="N10" s="3152"/>
      <c r="O10" s="3152"/>
      <c r="P10" s="3152"/>
      <c r="Q10" s="3152"/>
      <c r="R10" s="3152"/>
      <c r="S10" s="3152"/>
      <c r="T10" s="3152"/>
      <c r="U10" s="3152"/>
      <c r="V10" s="3152"/>
      <c r="W10" s="3152"/>
      <c r="X10" s="3715"/>
      <c r="Y10" s="3152"/>
      <c r="Z10" s="3152"/>
      <c r="AA10" s="3152"/>
      <c r="AB10" s="3152"/>
      <c r="AC10" s="3152"/>
      <c r="AD10" s="3152"/>
      <c r="AE10" s="3152"/>
      <c r="AF10" s="3152"/>
      <c r="AG10" s="3152"/>
      <c r="AH10" s="3152"/>
      <c r="AI10" s="3152"/>
      <c r="AJ10" s="3152"/>
      <c r="AK10" s="3152"/>
      <c r="AL10" s="3152"/>
      <c r="AM10" s="3152"/>
      <c r="AN10" s="3152"/>
      <c r="AO10" s="3715"/>
    </row>
    <row r="11" spans="1:41" ht="17.25" customHeight="1" x14ac:dyDescent="0.25">
      <c r="A11" s="3098"/>
      <c r="B11" s="5096" t="s">
        <v>5305</v>
      </c>
      <c r="C11" s="5097"/>
      <c r="D11" s="5097"/>
      <c r="E11" s="5097"/>
      <c r="F11" s="5097"/>
      <c r="G11" s="5097"/>
      <c r="H11" s="5097"/>
      <c r="I11" s="5097"/>
      <c r="J11" s="5097"/>
      <c r="K11" s="5097"/>
      <c r="L11" s="5097"/>
      <c r="M11" s="5097"/>
      <c r="N11" s="5097"/>
      <c r="O11" s="5097"/>
      <c r="P11" s="5097"/>
      <c r="Q11" s="5097"/>
      <c r="R11" s="5097"/>
      <c r="S11" s="5097"/>
      <c r="T11" s="5097"/>
      <c r="U11" s="5097"/>
      <c r="V11" s="5097"/>
      <c r="W11" s="5097"/>
      <c r="X11" s="5097"/>
      <c r="Y11" s="5097"/>
      <c r="Z11" s="5097"/>
      <c r="AA11" s="5097"/>
      <c r="AB11" s="5097"/>
      <c r="AC11" s="5097"/>
      <c r="AD11" s="5097"/>
      <c r="AE11" s="5097"/>
      <c r="AF11" s="5097"/>
      <c r="AG11" s="5097"/>
      <c r="AH11" s="5097"/>
      <c r="AI11" s="5097"/>
      <c r="AJ11" s="5097"/>
      <c r="AK11" s="5097"/>
      <c r="AL11" s="5097"/>
      <c r="AM11" s="5097"/>
      <c r="AN11" s="5097"/>
      <c r="AO11" s="5098"/>
    </row>
    <row r="12" spans="1:41" ht="17.25" thickBot="1" x14ac:dyDescent="0.3">
      <c r="A12" s="3098"/>
      <c r="B12" s="5099"/>
      <c r="C12" s="5100"/>
      <c r="D12" s="5100"/>
      <c r="E12" s="5100"/>
      <c r="F12" s="5100"/>
      <c r="G12" s="5100"/>
      <c r="H12" s="5100"/>
      <c r="I12" s="5100"/>
      <c r="J12" s="5100"/>
      <c r="K12" s="5100"/>
      <c r="L12" s="5100"/>
      <c r="M12" s="5100"/>
      <c r="N12" s="5100"/>
      <c r="O12" s="5100"/>
      <c r="P12" s="5100"/>
      <c r="Q12" s="5100"/>
      <c r="R12" s="5100"/>
      <c r="S12" s="5100"/>
      <c r="T12" s="5100"/>
      <c r="U12" s="5100"/>
      <c r="V12" s="5100"/>
      <c r="W12" s="5100"/>
      <c r="X12" s="5100"/>
      <c r="Y12" s="5100"/>
      <c r="Z12" s="5100"/>
      <c r="AA12" s="5100"/>
      <c r="AB12" s="5100"/>
      <c r="AC12" s="5100"/>
      <c r="AD12" s="5100"/>
      <c r="AE12" s="5100"/>
      <c r="AF12" s="5100"/>
      <c r="AG12" s="5100"/>
      <c r="AH12" s="5100"/>
      <c r="AI12" s="5100"/>
      <c r="AJ12" s="5100"/>
      <c r="AK12" s="5100"/>
      <c r="AL12" s="5100"/>
      <c r="AM12" s="5100"/>
      <c r="AN12" s="5100"/>
      <c r="AO12" s="5101"/>
    </row>
    <row r="13" spans="1:41" ht="17.25" thickBot="1" x14ac:dyDescent="0.3">
      <c r="A13" s="3098"/>
      <c r="B13" s="5064" t="s">
        <v>62</v>
      </c>
      <c r="C13" s="5066" t="s">
        <v>5306</v>
      </c>
      <c r="D13" s="5086" t="s">
        <v>3850</v>
      </c>
      <c r="E13" s="5066" t="s">
        <v>5307</v>
      </c>
      <c r="F13" s="5032" t="s">
        <v>5308</v>
      </c>
      <c r="G13" s="5032"/>
      <c r="H13" s="5032"/>
      <c r="I13" s="5032"/>
      <c r="J13" s="5032"/>
      <c r="K13" s="5032"/>
      <c r="L13" s="5032"/>
      <c r="M13" s="5032"/>
      <c r="N13" s="5032"/>
      <c r="O13" s="5032"/>
      <c r="P13" s="5032"/>
      <c r="Q13" s="5032"/>
      <c r="R13" s="5035" t="s">
        <v>5309</v>
      </c>
      <c r="S13" s="5036"/>
      <c r="T13" s="5036"/>
      <c r="U13" s="5036"/>
      <c r="V13" s="5036"/>
      <c r="W13" s="5036"/>
      <c r="X13" s="5036"/>
      <c r="Y13" s="5036"/>
      <c r="Z13" s="5036"/>
      <c r="AA13" s="5036"/>
      <c r="AB13" s="5036"/>
      <c r="AC13" s="5062"/>
      <c r="AD13" s="5037" t="s">
        <v>5310</v>
      </c>
      <c r="AE13" s="5032"/>
      <c r="AF13" s="5032"/>
      <c r="AG13" s="5032"/>
      <c r="AH13" s="5032"/>
      <c r="AI13" s="5032"/>
      <c r="AJ13" s="5032"/>
      <c r="AK13" s="5032"/>
      <c r="AL13" s="5032"/>
      <c r="AM13" s="5032"/>
      <c r="AN13" s="5032"/>
      <c r="AO13" s="5061"/>
    </row>
    <row r="14" spans="1:41" ht="17.25" thickBot="1" x14ac:dyDescent="0.3">
      <c r="A14" s="3098"/>
      <c r="B14" s="5064"/>
      <c r="C14" s="5066"/>
      <c r="D14" s="5089"/>
      <c r="E14" s="5066"/>
      <c r="F14" s="5032" t="s">
        <v>5311</v>
      </c>
      <c r="G14" s="5032"/>
      <c r="H14" s="5032"/>
      <c r="I14" s="5032"/>
      <c r="J14" s="5032"/>
      <c r="K14" s="5032"/>
      <c r="L14" s="5032"/>
      <c r="M14" s="5032"/>
      <c r="N14" s="5032"/>
      <c r="O14" s="5032"/>
      <c r="P14" s="5032"/>
      <c r="Q14" s="5032"/>
      <c r="R14" s="5035" t="s">
        <v>5312</v>
      </c>
      <c r="S14" s="5036"/>
      <c r="T14" s="5036"/>
      <c r="U14" s="5036"/>
      <c r="V14" s="5036"/>
      <c r="W14" s="5036"/>
      <c r="X14" s="5036"/>
      <c r="Y14" s="5036"/>
      <c r="Z14" s="5036"/>
      <c r="AA14" s="5036"/>
      <c r="AB14" s="5036"/>
      <c r="AC14" s="5062"/>
      <c r="AD14" s="5037" t="s">
        <v>5313</v>
      </c>
      <c r="AE14" s="5032"/>
      <c r="AF14" s="5032"/>
      <c r="AG14" s="5032"/>
      <c r="AH14" s="5032"/>
      <c r="AI14" s="5032"/>
      <c r="AJ14" s="5032"/>
      <c r="AK14" s="5032"/>
      <c r="AL14" s="5032"/>
      <c r="AM14" s="5032"/>
      <c r="AN14" s="5032"/>
      <c r="AO14" s="5061"/>
    </row>
    <row r="15" spans="1:41" ht="17.25" thickBot="1" x14ac:dyDescent="0.3">
      <c r="A15" s="3098"/>
      <c r="B15" s="5064"/>
      <c r="C15" s="5066"/>
      <c r="D15" s="5089"/>
      <c r="E15" s="5066"/>
      <c r="F15" s="5034" t="s">
        <v>5314</v>
      </c>
      <c r="G15" s="5034"/>
      <c r="H15" s="5034"/>
      <c r="I15" s="5033" t="s">
        <v>5315</v>
      </c>
      <c r="J15" s="5033"/>
      <c r="K15" s="5033"/>
      <c r="L15" s="5034" t="s">
        <v>5316</v>
      </c>
      <c r="M15" s="5034"/>
      <c r="N15" s="5034"/>
      <c r="O15" s="5033" t="s">
        <v>5317</v>
      </c>
      <c r="P15" s="5033"/>
      <c r="Q15" s="5033"/>
      <c r="R15" s="5034" t="s">
        <v>5314</v>
      </c>
      <c r="S15" s="5034"/>
      <c r="T15" s="5034"/>
      <c r="U15" s="5033" t="s">
        <v>5315</v>
      </c>
      <c r="V15" s="5033"/>
      <c r="W15" s="5033"/>
      <c r="X15" s="5029" t="s">
        <v>5316</v>
      </c>
      <c r="Y15" s="5030"/>
      <c r="Z15" s="5031"/>
      <c r="AA15" s="5033" t="s">
        <v>5317</v>
      </c>
      <c r="AB15" s="5033"/>
      <c r="AC15" s="5063"/>
      <c r="AD15" s="5031" t="s">
        <v>5314</v>
      </c>
      <c r="AE15" s="5034"/>
      <c r="AF15" s="5034"/>
      <c r="AG15" s="5033" t="s">
        <v>5315</v>
      </c>
      <c r="AH15" s="5033"/>
      <c r="AI15" s="5033"/>
      <c r="AJ15" s="5034" t="s">
        <v>5316</v>
      </c>
      <c r="AK15" s="5034"/>
      <c r="AL15" s="5034"/>
      <c r="AM15" s="5033" t="s">
        <v>5317</v>
      </c>
      <c r="AN15" s="5033"/>
      <c r="AO15" s="5063"/>
    </row>
    <row r="16" spans="1:41" ht="17.25" thickBot="1" x14ac:dyDescent="0.3">
      <c r="A16" s="3098"/>
      <c r="B16" s="5065"/>
      <c r="C16" s="5067"/>
      <c r="D16" s="5087"/>
      <c r="E16" s="3767" t="s">
        <v>407</v>
      </c>
      <c r="F16" s="3106" t="s">
        <v>5318</v>
      </c>
      <c r="G16" s="3106" t="s">
        <v>5319</v>
      </c>
      <c r="H16" s="3106" t="s">
        <v>5320</v>
      </c>
      <c r="I16" s="3107" t="s">
        <v>5318</v>
      </c>
      <c r="J16" s="3107" t="s">
        <v>5319</v>
      </c>
      <c r="K16" s="3107" t="s">
        <v>5320</v>
      </c>
      <c r="L16" s="3106" t="s">
        <v>5318</v>
      </c>
      <c r="M16" s="3106" t="s">
        <v>5319</v>
      </c>
      <c r="N16" s="3106" t="s">
        <v>5320</v>
      </c>
      <c r="O16" s="3107" t="s">
        <v>5318</v>
      </c>
      <c r="P16" s="3107" t="s">
        <v>5319</v>
      </c>
      <c r="Q16" s="3107" t="s">
        <v>5320</v>
      </c>
      <c r="R16" s="3106" t="s">
        <v>5318</v>
      </c>
      <c r="S16" s="3106" t="s">
        <v>5319</v>
      </c>
      <c r="T16" s="3106" t="s">
        <v>5320</v>
      </c>
      <c r="U16" s="3107" t="s">
        <v>5318</v>
      </c>
      <c r="V16" s="3107" t="s">
        <v>5319</v>
      </c>
      <c r="W16" s="3107" t="s">
        <v>5320</v>
      </c>
      <c r="X16" s="3106" t="s">
        <v>5318</v>
      </c>
      <c r="Y16" s="3106" t="s">
        <v>5319</v>
      </c>
      <c r="Z16" s="3106" t="s">
        <v>5320</v>
      </c>
      <c r="AA16" s="3107" t="s">
        <v>5318</v>
      </c>
      <c r="AB16" s="3107" t="s">
        <v>5319</v>
      </c>
      <c r="AC16" s="3796" t="s">
        <v>5320</v>
      </c>
      <c r="AD16" s="3793" t="s">
        <v>5318</v>
      </c>
      <c r="AE16" s="3106" t="s">
        <v>5319</v>
      </c>
      <c r="AF16" s="3106" t="s">
        <v>5320</v>
      </c>
      <c r="AG16" s="3107" t="s">
        <v>5318</v>
      </c>
      <c r="AH16" s="3107" t="s">
        <v>5319</v>
      </c>
      <c r="AI16" s="3107" t="s">
        <v>5320</v>
      </c>
      <c r="AJ16" s="3106" t="s">
        <v>5318</v>
      </c>
      <c r="AK16" s="3106" t="s">
        <v>5319</v>
      </c>
      <c r="AL16" s="3106" t="s">
        <v>5320</v>
      </c>
      <c r="AM16" s="3107" t="s">
        <v>5318</v>
      </c>
      <c r="AN16" s="3107" t="s">
        <v>5319</v>
      </c>
      <c r="AO16" s="3796" t="s">
        <v>5320</v>
      </c>
    </row>
    <row r="17" spans="1:42" ht="17.25" thickBot="1" x14ac:dyDescent="0.3">
      <c r="A17" s="3098"/>
      <c r="B17" s="3764" t="s">
        <v>5321</v>
      </c>
      <c r="C17" s="3108" t="s">
        <v>5926</v>
      </c>
      <c r="D17" s="3109" t="s">
        <v>3890</v>
      </c>
      <c r="E17" s="3109">
        <v>6</v>
      </c>
      <c r="F17" s="3110"/>
      <c r="G17" s="3110"/>
      <c r="H17" s="3110"/>
      <c r="I17" s="5108" t="s">
        <v>5958</v>
      </c>
      <c r="J17" s="5109"/>
      <c r="K17" s="5109"/>
      <c r="L17" s="5109"/>
      <c r="M17" s="5109"/>
      <c r="N17" s="5110"/>
      <c r="O17" s="3110"/>
      <c r="P17" s="3110"/>
      <c r="Q17" s="3110"/>
      <c r="R17" s="3110"/>
      <c r="S17" s="3110"/>
      <c r="T17" s="3110"/>
      <c r="U17" s="3110"/>
      <c r="V17" s="3110"/>
      <c r="W17" s="3110"/>
      <c r="X17" s="3110"/>
      <c r="Y17" s="3110"/>
      <c r="Z17" s="3110"/>
      <c r="AA17" s="3110"/>
      <c r="AB17" s="3110"/>
      <c r="AC17" s="3110"/>
      <c r="AD17" s="3794"/>
      <c r="AE17" s="3110"/>
      <c r="AF17" s="3110"/>
      <c r="AG17" s="3110"/>
      <c r="AH17" s="3110"/>
      <c r="AI17" s="3110"/>
      <c r="AJ17" s="3110"/>
      <c r="AK17" s="3110"/>
      <c r="AL17" s="3110"/>
      <c r="AM17" s="3110"/>
      <c r="AN17" s="3110"/>
      <c r="AO17" s="3110"/>
    </row>
    <row r="18" spans="1:42" ht="17.25" thickBot="1" x14ac:dyDescent="0.3">
      <c r="A18" s="3098"/>
      <c r="B18" s="3764" t="s">
        <v>5323</v>
      </c>
      <c r="C18" s="3108" t="s">
        <v>5927</v>
      </c>
      <c r="D18" s="3109" t="s">
        <v>3890</v>
      </c>
      <c r="E18" s="3109">
        <v>6</v>
      </c>
      <c r="F18" s="3110"/>
      <c r="G18" s="3110"/>
      <c r="H18" s="3110"/>
      <c r="I18" s="5105" t="s">
        <v>5958</v>
      </c>
      <c r="J18" s="5106"/>
      <c r="K18" s="5106"/>
      <c r="L18" s="5106"/>
      <c r="M18" s="5106"/>
      <c r="N18" s="5107"/>
      <c r="O18" s="3110"/>
      <c r="P18" s="3110"/>
      <c r="Q18" s="3110"/>
      <c r="R18" s="3110"/>
      <c r="S18" s="3110"/>
      <c r="T18" s="3110"/>
      <c r="U18" s="3110"/>
      <c r="V18" s="3110"/>
      <c r="W18" s="3110"/>
      <c r="X18" s="3110"/>
      <c r="Y18" s="3110"/>
      <c r="Z18" s="3110"/>
      <c r="AA18" s="3110"/>
      <c r="AB18" s="3110"/>
      <c r="AC18" s="3110"/>
      <c r="AD18" s="3794"/>
      <c r="AE18" s="3110"/>
      <c r="AF18" s="3110"/>
      <c r="AG18" s="3110"/>
      <c r="AH18" s="3110"/>
      <c r="AI18" s="3110"/>
      <c r="AJ18" s="3110"/>
      <c r="AK18" s="3110"/>
      <c r="AL18" s="3110"/>
      <c r="AM18" s="3110"/>
      <c r="AN18" s="3110"/>
      <c r="AO18" s="3110"/>
    </row>
    <row r="19" spans="1:42" ht="17.25" thickBot="1" x14ac:dyDescent="0.3">
      <c r="A19" s="3098"/>
      <c r="B19" s="3764" t="s">
        <v>5324</v>
      </c>
      <c r="C19" s="3108" t="s">
        <v>5928</v>
      </c>
      <c r="D19" s="3109" t="s">
        <v>3890</v>
      </c>
      <c r="E19" s="3109">
        <v>2</v>
      </c>
      <c r="F19" s="3110"/>
      <c r="G19" s="3110"/>
      <c r="H19" s="3110"/>
      <c r="I19" s="3110"/>
      <c r="J19" s="3110"/>
      <c r="K19" s="3110"/>
      <c r="L19" s="5074" t="s">
        <v>5325</v>
      </c>
      <c r="M19" s="5075"/>
      <c r="N19" s="3110"/>
      <c r="O19" s="3110"/>
      <c r="P19" s="3110"/>
      <c r="Q19" s="3110"/>
      <c r="R19" s="3110"/>
      <c r="S19" s="3110"/>
      <c r="T19" s="3110"/>
      <c r="U19" s="3110"/>
      <c r="V19" s="3110"/>
      <c r="W19" s="3110"/>
      <c r="X19" s="3110"/>
      <c r="Y19" s="3110"/>
      <c r="Z19" s="3110"/>
      <c r="AA19" s="3110"/>
      <c r="AB19" s="3110"/>
      <c r="AC19" s="3110"/>
      <c r="AD19" s="3794"/>
      <c r="AE19" s="3110"/>
      <c r="AF19" s="3110"/>
      <c r="AG19" s="3110"/>
      <c r="AH19" s="3110"/>
      <c r="AI19" s="3110"/>
      <c r="AJ19" s="3110"/>
      <c r="AK19" s="3110"/>
      <c r="AL19" s="3110"/>
      <c r="AM19" s="3110"/>
      <c r="AN19" s="3110"/>
      <c r="AO19" s="3110"/>
    </row>
    <row r="20" spans="1:42" ht="17.25" thickBot="1" x14ac:dyDescent="0.3">
      <c r="A20" s="3098"/>
      <c r="B20" s="3764" t="s">
        <v>5326</v>
      </c>
      <c r="C20" s="3108" t="s">
        <v>5328</v>
      </c>
      <c r="D20" s="3109" t="s">
        <v>3856</v>
      </c>
      <c r="E20" s="3109">
        <v>12</v>
      </c>
      <c r="F20" s="3110"/>
      <c r="G20" s="3110"/>
      <c r="H20" s="3110"/>
      <c r="I20" s="3110"/>
      <c r="J20" s="3110"/>
      <c r="K20" s="3110"/>
      <c r="L20" s="3110"/>
      <c r="M20" s="3110"/>
      <c r="N20" s="3110"/>
      <c r="O20" s="3110"/>
      <c r="P20" s="3110"/>
      <c r="Q20" s="3110"/>
      <c r="R20" s="3110"/>
      <c r="S20" s="3110"/>
      <c r="T20" s="5052" t="s">
        <v>5329</v>
      </c>
      <c r="U20" s="5053"/>
      <c r="V20" s="5053"/>
      <c r="W20" s="5053"/>
      <c r="X20" s="5053"/>
      <c r="Y20" s="5053"/>
      <c r="Z20" s="5053"/>
      <c r="AA20" s="5053"/>
      <c r="AB20" s="5053"/>
      <c r="AC20" s="5053"/>
      <c r="AD20" s="5053"/>
      <c r="AE20" s="5054"/>
      <c r="AF20" s="3111"/>
      <c r="AG20" s="3111"/>
      <c r="AH20" s="3111"/>
      <c r="AI20" s="3111"/>
      <c r="AJ20" s="3111"/>
      <c r="AK20" s="3111"/>
      <c r="AL20" s="3111"/>
      <c r="AM20" s="3111"/>
      <c r="AN20" s="3111"/>
      <c r="AO20" s="3111"/>
    </row>
    <row r="21" spans="1:42" ht="17.25" thickBot="1" x14ac:dyDescent="0.3">
      <c r="A21" s="3098"/>
      <c r="B21" s="3764" t="s">
        <v>5327</v>
      </c>
      <c r="C21" s="3108" t="s">
        <v>5925</v>
      </c>
      <c r="D21" s="3109" t="s">
        <v>3903</v>
      </c>
      <c r="E21" s="3109">
        <v>4</v>
      </c>
      <c r="F21" s="3110"/>
      <c r="G21" s="3110"/>
      <c r="H21" s="3110"/>
      <c r="I21" s="3110"/>
      <c r="J21" s="3771"/>
      <c r="K21" s="3771"/>
      <c r="L21" s="3771"/>
      <c r="M21" s="3771"/>
      <c r="N21" s="3771"/>
      <c r="O21" s="3771"/>
      <c r="P21" s="3771"/>
      <c r="Q21" s="3771"/>
      <c r="R21" s="3771"/>
      <c r="S21" s="3771"/>
      <c r="T21" s="3771"/>
      <c r="U21" s="3771"/>
      <c r="V21" s="3771"/>
      <c r="W21" s="3771"/>
      <c r="X21" s="3771"/>
      <c r="Y21" s="3771"/>
      <c r="Z21" s="3114"/>
      <c r="AA21" s="3114"/>
      <c r="AB21" s="5111" t="s">
        <v>5322</v>
      </c>
      <c r="AC21" s="5112"/>
      <c r="AD21" s="5112"/>
      <c r="AE21" s="5113"/>
      <c r="AF21" s="3114"/>
      <c r="AG21" s="3114"/>
      <c r="AH21" s="3114"/>
      <c r="AI21" s="3114"/>
      <c r="AJ21" s="3114"/>
      <c r="AK21" s="3114"/>
      <c r="AL21" s="3114"/>
      <c r="AM21" s="3114"/>
      <c r="AN21" s="3114"/>
      <c r="AO21" s="3114"/>
    </row>
    <row r="22" spans="1:42" ht="33.75" thickBot="1" x14ac:dyDescent="0.3">
      <c r="A22" s="3098"/>
      <c r="B22" s="3764" t="s">
        <v>5330</v>
      </c>
      <c r="C22" s="3115" t="s">
        <v>5929</v>
      </c>
      <c r="D22" s="3737" t="s">
        <v>5953</v>
      </c>
      <c r="E22" s="3109">
        <v>4</v>
      </c>
      <c r="F22" s="3110"/>
      <c r="G22" s="3110"/>
      <c r="H22" s="3110"/>
      <c r="I22" s="3110"/>
      <c r="J22" s="3110"/>
      <c r="K22" s="3110"/>
      <c r="L22" s="3110"/>
      <c r="M22" s="3110"/>
      <c r="N22" s="3110"/>
      <c r="O22" s="3110"/>
      <c r="P22" s="3110"/>
      <c r="Q22" s="3110"/>
      <c r="R22" s="3110"/>
      <c r="S22" s="3110"/>
      <c r="T22" s="3110"/>
      <c r="U22" s="3110"/>
      <c r="V22" s="3111"/>
      <c r="W22" s="3111"/>
      <c r="X22" s="3111"/>
      <c r="Y22" s="3111"/>
      <c r="Z22" s="3111"/>
      <c r="AA22" s="3111"/>
      <c r="AB22" s="3111"/>
      <c r="AC22" s="3111"/>
      <c r="AD22" s="5076" t="s">
        <v>5322</v>
      </c>
      <c r="AE22" s="5077"/>
      <c r="AF22" s="5077"/>
      <c r="AG22" s="5078"/>
      <c r="AH22" s="3111"/>
      <c r="AI22" s="3111"/>
      <c r="AJ22" s="3111"/>
      <c r="AK22" s="3111"/>
      <c r="AL22" s="3111"/>
      <c r="AM22" s="3111"/>
      <c r="AN22" s="3111"/>
      <c r="AO22" s="3111"/>
    </row>
    <row r="23" spans="1:42" ht="17.25" thickBot="1" x14ac:dyDescent="0.3">
      <c r="A23" s="3098"/>
      <c r="B23" s="3764" t="s">
        <v>5331</v>
      </c>
      <c r="C23" s="3108" t="s">
        <v>5930</v>
      </c>
      <c r="D23" s="3109" t="s">
        <v>5955</v>
      </c>
      <c r="E23" s="3109">
        <v>9</v>
      </c>
      <c r="F23" s="3110"/>
      <c r="G23" s="3110"/>
      <c r="H23" s="3110"/>
      <c r="I23" s="3110"/>
      <c r="J23" s="3110"/>
      <c r="K23" s="3110"/>
      <c r="L23" s="3110"/>
      <c r="M23" s="3110"/>
      <c r="N23" s="3110"/>
      <c r="O23" s="3110"/>
      <c r="P23" s="3110"/>
      <c r="Q23" s="3110"/>
      <c r="R23" s="3110"/>
      <c r="S23" s="3110"/>
      <c r="T23" s="3110"/>
      <c r="U23" s="3110"/>
      <c r="V23" s="3110"/>
      <c r="W23" s="3110"/>
      <c r="X23" s="3110"/>
      <c r="Y23" s="3111"/>
      <c r="Z23" s="3111"/>
      <c r="AA23" s="3111"/>
      <c r="AB23" s="3111"/>
      <c r="AC23" s="5082" t="s">
        <v>5335</v>
      </c>
      <c r="AD23" s="5083"/>
      <c r="AE23" s="5083"/>
      <c r="AF23" s="5083"/>
      <c r="AG23" s="5083"/>
      <c r="AH23" s="5083"/>
      <c r="AI23" s="5083"/>
      <c r="AJ23" s="5083"/>
      <c r="AK23" s="5084"/>
      <c r="AL23" s="3111"/>
      <c r="AM23" s="3111"/>
      <c r="AN23" s="3111"/>
      <c r="AO23" s="3111"/>
    </row>
    <row r="24" spans="1:42" ht="17.25" thickBot="1" x14ac:dyDescent="0.3">
      <c r="A24" s="3098"/>
      <c r="B24" s="3764" t="s">
        <v>5332</v>
      </c>
      <c r="C24" s="3115" t="s">
        <v>5951</v>
      </c>
      <c r="D24" s="3109" t="s">
        <v>3890</v>
      </c>
      <c r="E24" s="3109">
        <v>12</v>
      </c>
      <c r="F24" s="3110"/>
      <c r="G24" s="3110"/>
      <c r="H24" s="3110"/>
      <c r="I24" s="3110"/>
      <c r="J24" s="3110"/>
      <c r="K24" s="3110"/>
      <c r="L24" s="3110"/>
      <c r="M24" s="3110"/>
      <c r="N24" s="3110"/>
      <c r="O24" s="3110"/>
      <c r="P24" s="3110"/>
      <c r="Q24" s="3110"/>
      <c r="R24" s="3110"/>
      <c r="S24" s="3110"/>
      <c r="T24" s="5058" t="s">
        <v>5329</v>
      </c>
      <c r="U24" s="5059"/>
      <c r="V24" s="5059"/>
      <c r="W24" s="5059"/>
      <c r="X24" s="5059"/>
      <c r="Y24" s="5059"/>
      <c r="Z24" s="5059"/>
      <c r="AA24" s="5059"/>
      <c r="AB24" s="5059"/>
      <c r="AC24" s="5059"/>
      <c r="AD24" s="5059"/>
      <c r="AE24" s="5060"/>
      <c r="AF24" s="3111"/>
      <c r="AG24" s="3111"/>
      <c r="AH24" s="3111"/>
      <c r="AI24" s="3111"/>
      <c r="AJ24" s="3111"/>
      <c r="AK24" s="3111"/>
      <c r="AL24" s="3111"/>
      <c r="AM24" s="3111"/>
      <c r="AN24" s="3111"/>
      <c r="AO24" s="3111"/>
    </row>
    <row r="25" spans="1:42" ht="17.25" thickBot="1" x14ac:dyDescent="0.3">
      <c r="A25" s="3098"/>
      <c r="B25" s="3764" t="s">
        <v>5333</v>
      </c>
      <c r="C25" s="3108" t="s">
        <v>5949</v>
      </c>
      <c r="D25" s="3109" t="s">
        <v>5954</v>
      </c>
      <c r="E25" s="3109">
        <v>12</v>
      </c>
      <c r="F25" s="3110"/>
      <c r="G25" s="3110"/>
      <c r="H25" s="3110"/>
      <c r="I25" s="3110"/>
      <c r="J25" s="3110"/>
      <c r="K25" s="3110"/>
      <c r="L25" s="3110"/>
      <c r="M25" s="3110"/>
      <c r="N25" s="3110"/>
      <c r="O25" s="3110"/>
      <c r="P25" s="3110"/>
      <c r="Q25" s="3110"/>
      <c r="R25" s="3110"/>
      <c r="S25" s="3110"/>
      <c r="T25" s="5055" t="s">
        <v>5329</v>
      </c>
      <c r="U25" s="5056"/>
      <c r="V25" s="5056"/>
      <c r="W25" s="5056"/>
      <c r="X25" s="5056"/>
      <c r="Y25" s="5056"/>
      <c r="Z25" s="5056"/>
      <c r="AA25" s="5056"/>
      <c r="AB25" s="5056"/>
      <c r="AC25" s="5056"/>
      <c r="AD25" s="5056"/>
      <c r="AE25" s="5057"/>
      <c r="AF25" s="3111"/>
      <c r="AG25" s="3111"/>
      <c r="AH25" s="3111"/>
      <c r="AI25" s="3111"/>
      <c r="AJ25" s="3111"/>
      <c r="AK25" s="3111"/>
      <c r="AL25" s="3111"/>
      <c r="AM25" s="3111"/>
      <c r="AN25" s="3111"/>
      <c r="AO25" s="3111"/>
    </row>
    <row r="26" spans="1:42" ht="17.25" thickBot="1" x14ac:dyDescent="0.3">
      <c r="A26" s="3098"/>
      <c r="B26" s="3764" t="s">
        <v>5334</v>
      </c>
      <c r="C26" s="3108" t="s">
        <v>5950</v>
      </c>
      <c r="D26" s="3109" t="s">
        <v>5955</v>
      </c>
      <c r="E26" s="3109">
        <v>3</v>
      </c>
      <c r="F26" s="3110"/>
      <c r="G26" s="3110"/>
      <c r="H26" s="3110"/>
      <c r="I26" s="3110"/>
      <c r="J26" s="3110"/>
      <c r="K26" s="3110"/>
      <c r="L26" s="3110"/>
      <c r="M26" s="3110"/>
      <c r="N26" s="3110"/>
      <c r="O26" s="3110"/>
      <c r="P26" s="3110"/>
      <c r="Q26" s="3110"/>
      <c r="R26" s="3110"/>
      <c r="S26" s="3110"/>
      <c r="T26" s="3110"/>
      <c r="U26" s="3111"/>
      <c r="V26" s="3111"/>
      <c r="W26" s="3111"/>
      <c r="X26" s="3111"/>
      <c r="Y26" s="3110"/>
      <c r="Z26" s="3110"/>
      <c r="AA26" s="3110"/>
      <c r="AB26" s="3110"/>
      <c r="AC26" s="3110"/>
      <c r="AD26" s="3110"/>
      <c r="AE26" s="3110"/>
      <c r="AF26" s="3110"/>
      <c r="AG26" s="3110"/>
      <c r="AH26" s="3110"/>
      <c r="AI26" s="3110"/>
      <c r="AJ26" s="3110"/>
      <c r="AK26" s="3110"/>
      <c r="AL26" s="5079" t="s">
        <v>5336</v>
      </c>
      <c r="AM26" s="5080"/>
      <c r="AN26" s="5081"/>
      <c r="AO26" s="3110"/>
    </row>
    <row r="27" spans="1:42" ht="17.25" thickBot="1" x14ac:dyDescent="0.3">
      <c r="A27" s="3098"/>
      <c r="B27" s="5088" t="s">
        <v>3949</v>
      </c>
      <c r="C27" s="5088"/>
      <c r="D27" s="3795"/>
      <c r="E27" s="3795" t="s">
        <v>5966</v>
      </c>
      <c r="F27" s="3116"/>
      <c r="G27" s="3116"/>
      <c r="H27" s="3116"/>
      <c r="I27" s="3116"/>
      <c r="J27" s="3116"/>
      <c r="K27" s="3116"/>
      <c r="L27" s="3116"/>
      <c r="M27" s="3116"/>
      <c r="N27" s="3116"/>
      <c r="O27" s="3116"/>
      <c r="P27" s="3116"/>
      <c r="Q27" s="3116"/>
      <c r="R27" s="3116"/>
      <c r="S27" s="3116"/>
      <c r="T27" s="3116"/>
      <c r="U27" s="3116"/>
      <c r="V27" s="3116"/>
      <c r="W27" s="3116"/>
      <c r="X27" s="3116"/>
      <c r="Y27" s="3116"/>
      <c r="Z27" s="3116"/>
      <c r="AA27" s="3116"/>
      <c r="AB27" s="3116"/>
      <c r="AC27" s="3116"/>
      <c r="AD27" s="3116"/>
      <c r="AE27" s="3116"/>
      <c r="AF27" s="3116"/>
      <c r="AG27" s="3116"/>
      <c r="AH27" s="3116"/>
      <c r="AI27" s="3116"/>
      <c r="AJ27" s="3116"/>
      <c r="AK27" s="3116"/>
      <c r="AL27" s="3116"/>
      <c r="AM27" s="3116"/>
      <c r="AN27" s="3116"/>
      <c r="AO27" s="3116"/>
    </row>
    <row r="30" spans="1:42" ht="17.25" thickBot="1" x14ac:dyDescent="0.3"/>
    <row r="31" spans="1:42" ht="17.25" thickBot="1" x14ac:dyDescent="0.3">
      <c r="B31" s="5041" t="s">
        <v>5305</v>
      </c>
      <c r="C31" s="5042"/>
      <c r="D31" s="5042"/>
      <c r="E31" s="5042"/>
      <c r="F31" s="5042"/>
      <c r="G31" s="5042"/>
      <c r="H31" s="5042"/>
      <c r="I31" s="5042"/>
      <c r="J31" s="5042"/>
      <c r="K31" s="5042"/>
      <c r="L31" s="5042"/>
      <c r="M31" s="5042"/>
      <c r="N31" s="5042"/>
      <c r="O31" s="5042"/>
      <c r="P31" s="5042"/>
      <c r="Q31" s="5042"/>
      <c r="R31" s="5042"/>
      <c r="S31" s="5042"/>
      <c r="T31" s="5042"/>
      <c r="U31" s="5042"/>
      <c r="V31" s="5042"/>
      <c r="W31" s="5042"/>
      <c r="X31" s="5042"/>
      <c r="Y31" s="5043"/>
      <c r="Z31" s="5043"/>
      <c r="AA31" s="5043"/>
      <c r="AB31" s="5043"/>
      <c r="AC31" s="5043"/>
      <c r="AD31" s="5043"/>
      <c r="AE31" s="5043"/>
      <c r="AF31" s="5043"/>
      <c r="AG31" s="5043"/>
      <c r="AH31" s="5043"/>
      <c r="AI31" s="5043"/>
      <c r="AJ31" s="5043"/>
      <c r="AK31" s="5043"/>
      <c r="AL31" s="5043"/>
      <c r="AM31" s="5043"/>
      <c r="AN31" s="5043"/>
      <c r="AO31" s="5043"/>
      <c r="AP31" s="5044"/>
    </row>
    <row r="32" spans="1:42" ht="17.25" thickBot="1" x14ac:dyDescent="0.3">
      <c r="B32" s="5064" t="s">
        <v>62</v>
      </c>
      <c r="C32" s="5066" t="s">
        <v>5306</v>
      </c>
      <c r="D32" s="5086" t="s">
        <v>3850</v>
      </c>
      <c r="E32" s="5093" t="s">
        <v>5337</v>
      </c>
      <c r="F32" s="5032" t="s">
        <v>5308</v>
      </c>
      <c r="G32" s="5032"/>
      <c r="H32" s="5032"/>
      <c r="I32" s="5032"/>
      <c r="J32" s="5032"/>
      <c r="K32" s="5032"/>
      <c r="L32" s="5032"/>
      <c r="M32" s="5032"/>
      <c r="N32" s="5032"/>
      <c r="O32" s="5032"/>
      <c r="P32" s="5032"/>
      <c r="Q32" s="5032"/>
      <c r="R32" s="5035" t="s">
        <v>5309</v>
      </c>
      <c r="S32" s="5036"/>
      <c r="T32" s="5036"/>
      <c r="U32" s="5036"/>
      <c r="V32" s="5036"/>
      <c r="W32" s="5036"/>
      <c r="X32" s="5036"/>
      <c r="Y32" s="5036"/>
      <c r="Z32" s="5036"/>
      <c r="AA32" s="5036"/>
      <c r="AB32" s="5036"/>
      <c r="AC32" s="5037"/>
      <c r="AD32" s="5032" t="s">
        <v>5310</v>
      </c>
      <c r="AE32" s="5032"/>
      <c r="AF32" s="5032"/>
      <c r="AG32" s="5032"/>
      <c r="AH32" s="5032"/>
      <c r="AI32" s="5032"/>
      <c r="AJ32" s="5032"/>
      <c r="AK32" s="5032"/>
      <c r="AL32" s="5032"/>
      <c r="AM32" s="5032"/>
      <c r="AN32" s="5032"/>
      <c r="AO32" s="5032"/>
      <c r="AP32" s="5070" t="s">
        <v>0</v>
      </c>
    </row>
    <row r="33" spans="2:51" ht="17.25" thickBot="1" x14ac:dyDescent="0.3">
      <c r="B33" s="5064"/>
      <c r="C33" s="5066"/>
      <c r="D33" s="5089"/>
      <c r="E33" s="5094"/>
      <c r="F33" s="5032" t="s">
        <v>5311</v>
      </c>
      <c r="G33" s="5032"/>
      <c r="H33" s="5032"/>
      <c r="I33" s="5032"/>
      <c r="J33" s="5032"/>
      <c r="K33" s="5032"/>
      <c r="L33" s="5032"/>
      <c r="M33" s="5032"/>
      <c r="N33" s="5032"/>
      <c r="O33" s="5032"/>
      <c r="P33" s="5032"/>
      <c r="Q33" s="5032"/>
      <c r="R33" s="5035" t="s">
        <v>5312</v>
      </c>
      <c r="S33" s="5036"/>
      <c r="T33" s="5036"/>
      <c r="U33" s="5036"/>
      <c r="V33" s="5036"/>
      <c r="W33" s="5036"/>
      <c r="X33" s="5036"/>
      <c r="Y33" s="5036"/>
      <c r="Z33" s="5036"/>
      <c r="AA33" s="5036"/>
      <c r="AB33" s="5036"/>
      <c r="AC33" s="5037"/>
      <c r="AD33" s="5032" t="s">
        <v>5313</v>
      </c>
      <c r="AE33" s="5032"/>
      <c r="AF33" s="5032"/>
      <c r="AG33" s="5032"/>
      <c r="AH33" s="5032"/>
      <c r="AI33" s="5032"/>
      <c r="AJ33" s="5032"/>
      <c r="AK33" s="5032"/>
      <c r="AL33" s="5032"/>
      <c r="AM33" s="5032"/>
      <c r="AN33" s="5032"/>
      <c r="AO33" s="5032"/>
      <c r="AP33" s="5070"/>
      <c r="AR33" s="4338" t="s">
        <v>5338</v>
      </c>
      <c r="AS33" s="4318"/>
      <c r="AT33" s="4318"/>
      <c r="AU33" s="4318"/>
      <c r="AV33" s="4318"/>
      <c r="AW33" s="4318"/>
      <c r="AX33" s="5085"/>
      <c r="AY33" s="4319"/>
    </row>
    <row r="34" spans="2:51" ht="17.25" thickBot="1" x14ac:dyDescent="0.3">
      <c r="B34" s="5064"/>
      <c r="C34" s="5066"/>
      <c r="D34" s="5089"/>
      <c r="E34" s="5094"/>
      <c r="F34" s="5034" t="s">
        <v>5314</v>
      </c>
      <c r="G34" s="5034"/>
      <c r="H34" s="5034"/>
      <c r="I34" s="5033" t="s">
        <v>5315</v>
      </c>
      <c r="J34" s="5033"/>
      <c r="K34" s="5033"/>
      <c r="L34" s="5034" t="s">
        <v>5316</v>
      </c>
      <c r="M34" s="5034"/>
      <c r="N34" s="5034"/>
      <c r="O34" s="5033" t="s">
        <v>5317</v>
      </c>
      <c r="P34" s="5033"/>
      <c r="Q34" s="5033"/>
      <c r="R34" s="5034" t="s">
        <v>5314</v>
      </c>
      <c r="S34" s="5034"/>
      <c r="T34" s="5034"/>
      <c r="U34" s="5033" t="s">
        <v>5315</v>
      </c>
      <c r="V34" s="5033"/>
      <c r="W34" s="5033"/>
      <c r="X34" s="5029" t="s">
        <v>5316</v>
      </c>
      <c r="Y34" s="5030"/>
      <c r="Z34" s="5031"/>
      <c r="AA34" s="5033" t="s">
        <v>5317</v>
      </c>
      <c r="AB34" s="5033"/>
      <c r="AC34" s="5033"/>
      <c r="AD34" s="5034" t="s">
        <v>5314</v>
      </c>
      <c r="AE34" s="5034"/>
      <c r="AF34" s="5034"/>
      <c r="AG34" s="5033" t="s">
        <v>5315</v>
      </c>
      <c r="AH34" s="5033"/>
      <c r="AI34" s="5033"/>
      <c r="AJ34" s="5034" t="s">
        <v>5316</v>
      </c>
      <c r="AK34" s="5034"/>
      <c r="AL34" s="5034"/>
      <c r="AM34" s="5033" t="s">
        <v>5317</v>
      </c>
      <c r="AN34" s="5033"/>
      <c r="AO34" s="5033"/>
      <c r="AP34" s="5070"/>
      <c r="AR34" s="5064" t="s">
        <v>62</v>
      </c>
      <c r="AS34" s="5066" t="s">
        <v>5306</v>
      </c>
      <c r="AT34" s="5086" t="s">
        <v>3850</v>
      </c>
      <c r="AU34" s="5068" t="s">
        <v>5337</v>
      </c>
      <c r="AV34" s="3105" t="s">
        <v>5308</v>
      </c>
      <c r="AW34" s="3105" t="s">
        <v>5309</v>
      </c>
      <c r="AX34" s="3778" t="s">
        <v>5310</v>
      </c>
      <c r="AY34" s="5070" t="s">
        <v>0</v>
      </c>
    </row>
    <row r="35" spans="2:51" ht="17.25" thickBot="1" x14ac:dyDescent="0.3">
      <c r="B35" s="5065"/>
      <c r="C35" s="5067"/>
      <c r="D35" s="5087"/>
      <c r="E35" s="5095"/>
      <c r="F35" s="3106" t="s">
        <v>5318</v>
      </c>
      <c r="G35" s="3106" t="s">
        <v>5319</v>
      </c>
      <c r="H35" s="3106" t="s">
        <v>5320</v>
      </c>
      <c r="I35" s="3107" t="s">
        <v>5318</v>
      </c>
      <c r="J35" s="3107" t="s">
        <v>5319</v>
      </c>
      <c r="K35" s="3107" t="s">
        <v>5320</v>
      </c>
      <c r="L35" s="3106" t="s">
        <v>5318</v>
      </c>
      <c r="M35" s="3106" t="s">
        <v>5319</v>
      </c>
      <c r="N35" s="3106" t="s">
        <v>5320</v>
      </c>
      <c r="O35" s="3107" t="s">
        <v>5318</v>
      </c>
      <c r="P35" s="3107" t="s">
        <v>5319</v>
      </c>
      <c r="Q35" s="3107" t="s">
        <v>5320</v>
      </c>
      <c r="R35" s="3106" t="s">
        <v>5318</v>
      </c>
      <c r="S35" s="3106" t="s">
        <v>5319</v>
      </c>
      <c r="T35" s="3106" t="s">
        <v>5320</v>
      </c>
      <c r="U35" s="3107" t="s">
        <v>5318</v>
      </c>
      <c r="V35" s="3107" t="s">
        <v>5319</v>
      </c>
      <c r="W35" s="3107" t="s">
        <v>5320</v>
      </c>
      <c r="X35" s="3106" t="s">
        <v>5318</v>
      </c>
      <c r="Y35" s="3106" t="s">
        <v>5319</v>
      </c>
      <c r="Z35" s="3106" t="s">
        <v>5320</v>
      </c>
      <c r="AA35" s="3107" t="s">
        <v>5318</v>
      </c>
      <c r="AB35" s="3107" t="s">
        <v>5319</v>
      </c>
      <c r="AC35" s="3107" t="s">
        <v>5320</v>
      </c>
      <c r="AD35" s="3106" t="s">
        <v>5318</v>
      </c>
      <c r="AE35" s="3106" t="s">
        <v>5319</v>
      </c>
      <c r="AF35" s="3106" t="s">
        <v>5320</v>
      </c>
      <c r="AG35" s="3107" t="s">
        <v>5318</v>
      </c>
      <c r="AH35" s="3107" t="s">
        <v>5319</v>
      </c>
      <c r="AI35" s="3107" t="s">
        <v>5320</v>
      </c>
      <c r="AJ35" s="3106" t="s">
        <v>5318</v>
      </c>
      <c r="AK35" s="3106" t="s">
        <v>5319</v>
      </c>
      <c r="AL35" s="3106" t="s">
        <v>5320</v>
      </c>
      <c r="AM35" s="3107" t="s">
        <v>5318</v>
      </c>
      <c r="AN35" s="3107" t="s">
        <v>5319</v>
      </c>
      <c r="AO35" s="3107" t="s">
        <v>5320</v>
      </c>
      <c r="AP35" s="5071"/>
      <c r="AR35" s="5065"/>
      <c r="AS35" s="5067"/>
      <c r="AT35" s="5087"/>
      <c r="AU35" s="5069"/>
      <c r="AV35" s="3106" t="s">
        <v>5311</v>
      </c>
      <c r="AW35" s="3106" t="s">
        <v>5312</v>
      </c>
      <c r="AX35" s="3106" t="s">
        <v>5313</v>
      </c>
      <c r="AY35" s="5071"/>
    </row>
    <row r="36" spans="2:51" ht="33.75" thickBot="1" x14ac:dyDescent="0.3">
      <c r="B36" s="3498" t="s">
        <v>5321</v>
      </c>
      <c r="C36" s="3115" t="s">
        <v>5926</v>
      </c>
      <c r="D36" s="3109" t="s">
        <v>3890</v>
      </c>
      <c r="E36" s="3712">
        <f t="shared" ref="E36:E45" si="0">E98</f>
        <v>348304.02916666667</v>
      </c>
      <c r="F36" s="3112"/>
      <c r="G36" s="3112"/>
      <c r="H36" s="3112"/>
      <c r="I36" s="3744">
        <f>I98/$E$36</f>
        <v>0.16666666666666666</v>
      </c>
      <c r="J36" s="3744">
        <f t="shared" ref="J36:N36" si="1">J98/$E$36</f>
        <v>0.16666666666666666</v>
      </c>
      <c r="K36" s="3744">
        <f t="shared" si="1"/>
        <v>0.16666666666666666</v>
      </c>
      <c r="L36" s="3744">
        <f t="shared" si="1"/>
        <v>0.16666666666666666</v>
      </c>
      <c r="M36" s="3744">
        <f t="shared" si="1"/>
        <v>0.16666666666666666</v>
      </c>
      <c r="N36" s="3744">
        <f t="shared" si="1"/>
        <v>0.16666666666666666</v>
      </c>
      <c r="O36" s="3112"/>
      <c r="P36" s="3112"/>
      <c r="Q36" s="3112"/>
      <c r="R36" s="3112"/>
      <c r="S36" s="3112"/>
      <c r="T36" s="3112"/>
      <c r="U36" s="3112"/>
      <c r="V36" s="3112"/>
      <c r="W36" s="3112"/>
      <c r="X36" s="3112"/>
      <c r="Y36" s="3112"/>
      <c r="Z36" s="3112"/>
      <c r="AA36" s="3112"/>
      <c r="AB36" s="3112"/>
      <c r="AC36" s="3112"/>
      <c r="AD36" s="3112"/>
      <c r="AE36" s="3112"/>
      <c r="AF36" s="3112"/>
      <c r="AG36" s="3112"/>
      <c r="AH36" s="3112"/>
      <c r="AI36" s="3112"/>
      <c r="AJ36" s="3112"/>
      <c r="AK36" s="3112"/>
      <c r="AL36" s="3112"/>
      <c r="AM36" s="3112"/>
      <c r="AN36" s="3112"/>
      <c r="AO36" s="3112"/>
      <c r="AP36" s="3118">
        <f>SUM(I36:AO36)</f>
        <v>0.99999999999999989</v>
      </c>
      <c r="AR36" s="1755">
        <v>1</v>
      </c>
      <c r="AS36" s="3108" t="str">
        <f>C36</f>
        <v>EXPEDIENTE TÉCNICO DE OBRA Y EQUIPAMIENTO</v>
      </c>
      <c r="AT36" s="3109" t="s">
        <v>3890</v>
      </c>
      <c r="AU36" s="3117">
        <f>E36</f>
        <v>348304.02916666667</v>
      </c>
      <c r="AV36" s="3833">
        <f>SUM(F36:Q36)</f>
        <v>0.99999999999999989</v>
      </c>
      <c r="AW36" s="3834"/>
      <c r="AX36" s="3834"/>
      <c r="AY36" s="3118">
        <f>SUM(AV36:AX36)</f>
        <v>0.99999999999999989</v>
      </c>
    </row>
    <row r="37" spans="2:51" ht="17.25" thickBot="1" x14ac:dyDescent="0.3">
      <c r="B37" s="3498" t="s">
        <v>5323</v>
      </c>
      <c r="C37" s="3115" t="s">
        <v>5927</v>
      </c>
      <c r="D37" s="3109" t="s">
        <v>3890</v>
      </c>
      <c r="E37" s="3712">
        <f t="shared" si="0"/>
        <v>87808</v>
      </c>
      <c r="F37" s="3112"/>
      <c r="G37" s="3112"/>
      <c r="H37" s="3112"/>
      <c r="I37" s="3745">
        <f>I99/$E$37</f>
        <v>0.16666666666666666</v>
      </c>
      <c r="J37" s="3745">
        <f t="shared" ref="J37:N37" si="2">J99/$E$37</f>
        <v>0.16666666666666666</v>
      </c>
      <c r="K37" s="3745">
        <f t="shared" si="2"/>
        <v>0.16666666666666666</v>
      </c>
      <c r="L37" s="3745">
        <f t="shared" si="2"/>
        <v>0.16666666666666666</v>
      </c>
      <c r="M37" s="3745">
        <f t="shared" si="2"/>
        <v>0.16666666666666666</v>
      </c>
      <c r="N37" s="3745">
        <f t="shared" si="2"/>
        <v>0.16666666666666666</v>
      </c>
      <c r="O37" s="3112"/>
      <c r="P37" s="3112"/>
      <c r="Q37" s="3112"/>
      <c r="R37" s="3112"/>
      <c r="S37" s="3112"/>
      <c r="T37" s="3112"/>
      <c r="U37" s="3112"/>
      <c r="V37" s="3112"/>
      <c r="W37" s="3112"/>
      <c r="X37" s="3112"/>
      <c r="Y37" s="3112"/>
      <c r="Z37" s="3112"/>
      <c r="AA37" s="3112"/>
      <c r="AB37" s="3112"/>
      <c r="AC37" s="3112"/>
      <c r="AD37" s="3112"/>
      <c r="AE37" s="3112"/>
      <c r="AF37" s="3112"/>
      <c r="AG37" s="3112"/>
      <c r="AH37" s="3112"/>
      <c r="AI37" s="3112"/>
      <c r="AJ37" s="3112"/>
      <c r="AK37" s="3112"/>
      <c r="AL37" s="3112"/>
      <c r="AM37" s="3112"/>
      <c r="AN37" s="3112"/>
      <c r="AO37" s="3112"/>
      <c r="AP37" s="3118">
        <f t="shared" ref="AP37:AP45" si="3">SUM(I37:AO37)</f>
        <v>0.99999999999999989</v>
      </c>
      <c r="AR37" s="1755">
        <v>2</v>
      </c>
      <c r="AS37" s="3108" t="str">
        <f t="shared" ref="AS37:AS45" si="4">C37</f>
        <v>SUPERVISIÓN DE EXPEDIENTE TÉCNICO</v>
      </c>
      <c r="AT37" s="3109" t="s">
        <v>3890</v>
      </c>
      <c r="AU37" s="3117">
        <f t="shared" ref="AU37:AU45" si="5">E37</f>
        <v>87808</v>
      </c>
      <c r="AV37" s="3833">
        <f t="shared" ref="AV37:AV39" si="6">SUM(F37:Q37)</f>
        <v>0.99999999999999989</v>
      </c>
      <c r="AW37" s="3834"/>
      <c r="AX37" s="3834"/>
      <c r="AY37" s="3118">
        <f t="shared" ref="AY37:AY45" si="7">SUM(AV37:AX37)</f>
        <v>0.99999999999999989</v>
      </c>
    </row>
    <row r="38" spans="2:51" ht="17.25" thickBot="1" x14ac:dyDescent="0.3">
      <c r="B38" s="3498" t="s">
        <v>5324</v>
      </c>
      <c r="C38" s="3115" t="s">
        <v>5928</v>
      </c>
      <c r="D38" s="3109" t="s">
        <v>3890</v>
      </c>
      <c r="E38" s="3712">
        <f t="shared" si="0"/>
        <v>17523</v>
      </c>
      <c r="F38" s="3112"/>
      <c r="G38" s="3112"/>
      <c r="H38" s="3112"/>
      <c r="K38" s="3112"/>
      <c r="L38" s="3746">
        <f>L100/$E$38</f>
        <v>0.5</v>
      </c>
      <c r="M38" s="3746">
        <f>M100/$E$38</f>
        <v>0.5</v>
      </c>
      <c r="N38" s="3112"/>
      <c r="O38" s="3112"/>
      <c r="P38" s="3112"/>
      <c r="Q38" s="3112"/>
      <c r="R38" s="3112"/>
      <c r="S38" s="3112"/>
      <c r="T38" s="3112"/>
      <c r="U38" s="3112"/>
      <c r="V38" s="3112"/>
      <c r="W38" s="3112"/>
      <c r="X38" s="3112"/>
      <c r="Y38" s="3112"/>
      <c r="Z38" s="3112"/>
      <c r="AA38" s="3112"/>
      <c r="AB38" s="3112"/>
      <c r="AC38" s="3112"/>
      <c r="AD38" s="3112"/>
      <c r="AE38" s="3112"/>
      <c r="AF38" s="3112"/>
      <c r="AG38" s="3112"/>
      <c r="AH38" s="3112"/>
      <c r="AI38" s="3112"/>
      <c r="AJ38" s="3112"/>
      <c r="AK38" s="3112"/>
      <c r="AL38" s="3112"/>
      <c r="AM38" s="3112"/>
      <c r="AN38" s="3112"/>
      <c r="AO38" s="3112"/>
      <c r="AP38" s="3118">
        <f t="shared" si="3"/>
        <v>1</v>
      </c>
      <c r="AR38" s="1755">
        <v>3</v>
      </c>
      <c r="AS38" s="3108" t="str">
        <f t="shared" si="4"/>
        <v>EXPEDIENTE TÉCNICO DE CAPACITACIÓN</v>
      </c>
      <c r="AT38" s="3109" t="s">
        <v>3890</v>
      </c>
      <c r="AU38" s="3117">
        <f t="shared" si="5"/>
        <v>17523</v>
      </c>
      <c r="AV38" s="3833">
        <f t="shared" si="6"/>
        <v>1</v>
      </c>
      <c r="AW38" s="3834"/>
      <c r="AX38" s="3834"/>
      <c r="AY38" s="3118">
        <f t="shared" si="7"/>
        <v>1</v>
      </c>
    </row>
    <row r="39" spans="2:51" ht="17.25" thickBot="1" x14ac:dyDescent="0.3">
      <c r="B39" s="3498" t="s">
        <v>5326</v>
      </c>
      <c r="C39" s="3115" t="s">
        <v>5328</v>
      </c>
      <c r="D39" s="3109" t="s">
        <v>3856</v>
      </c>
      <c r="E39" s="3712">
        <f t="shared" si="0"/>
        <v>18408796.040203921</v>
      </c>
      <c r="F39" s="3112"/>
      <c r="G39" s="3112"/>
      <c r="H39" s="3112"/>
      <c r="I39" s="3112"/>
      <c r="J39" s="3112"/>
      <c r="K39" s="3112"/>
      <c r="L39" s="3112"/>
      <c r="M39" s="3112"/>
      <c r="N39" s="3112"/>
      <c r="O39" s="3112"/>
      <c r="P39" s="3112"/>
      <c r="Q39" s="3112"/>
      <c r="R39" s="3112"/>
      <c r="S39" s="3112"/>
      <c r="T39" s="3747">
        <f t="shared" ref="T39:AE39" si="8">T101/$E$39</f>
        <v>8.3333333333333329E-2</v>
      </c>
      <c r="U39" s="3747">
        <f t="shared" si="8"/>
        <v>8.3333333333333329E-2</v>
      </c>
      <c r="V39" s="3747">
        <f t="shared" si="8"/>
        <v>8.3333333333333329E-2</v>
      </c>
      <c r="W39" s="3747">
        <f t="shared" si="8"/>
        <v>8.3333333333333329E-2</v>
      </c>
      <c r="X39" s="3747">
        <f t="shared" si="8"/>
        <v>8.3333333333333329E-2</v>
      </c>
      <c r="Y39" s="3747">
        <f t="shared" si="8"/>
        <v>8.3333333333333329E-2</v>
      </c>
      <c r="Z39" s="3747">
        <f t="shared" si="8"/>
        <v>8.3333333333333329E-2</v>
      </c>
      <c r="AA39" s="3747">
        <f t="shared" si="8"/>
        <v>8.3333333333333329E-2</v>
      </c>
      <c r="AB39" s="3747">
        <f t="shared" si="8"/>
        <v>8.3333333333333329E-2</v>
      </c>
      <c r="AC39" s="3747">
        <f t="shared" si="8"/>
        <v>8.3333333333333329E-2</v>
      </c>
      <c r="AD39" s="3747">
        <f t="shared" si="8"/>
        <v>8.3333333333333329E-2</v>
      </c>
      <c r="AE39" s="3747">
        <f t="shared" si="8"/>
        <v>8.3333333333333329E-2</v>
      </c>
      <c r="AF39" s="3748"/>
      <c r="AG39" s="3748"/>
      <c r="AH39" s="3748"/>
      <c r="AI39" s="3748"/>
      <c r="AJ39" s="3748"/>
      <c r="AK39" s="3748"/>
      <c r="AL39" s="3748"/>
      <c r="AM39" s="3748"/>
      <c r="AN39" s="3748"/>
      <c r="AO39" s="3748"/>
      <c r="AP39" s="3118">
        <f t="shared" si="3"/>
        <v>1</v>
      </c>
      <c r="AR39" s="3764">
        <v>4</v>
      </c>
      <c r="AS39" s="3108" t="str">
        <f t="shared" si="4"/>
        <v xml:space="preserve">EJECUCION DE OBRA </v>
      </c>
      <c r="AT39" s="3109" t="s">
        <v>3856</v>
      </c>
      <c r="AU39" s="3117">
        <f t="shared" si="5"/>
        <v>18408796.040203921</v>
      </c>
      <c r="AV39" s="3833">
        <f t="shared" si="6"/>
        <v>0</v>
      </c>
      <c r="AW39" s="3833">
        <f t="shared" ref="AW39:AW44" si="9">SUM(R39:AC39)</f>
        <v>0.83333333333333337</v>
      </c>
      <c r="AX39" s="3833">
        <f t="shared" ref="AX39:AX45" si="10">SUM(AD39:AO39)</f>
        <v>0.16666666666666666</v>
      </c>
      <c r="AY39" s="3118">
        <f t="shared" si="7"/>
        <v>1</v>
      </c>
    </row>
    <row r="40" spans="2:51" ht="17.25" thickBot="1" x14ac:dyDescent="0.3">
      <c r="B40" s="3498" t="s">
        <v>5327</v>
      </c>
      <c r="C40" s="3115" t="s">
        <v>5925</v>
      </c>
      <c r="D40" s="3109" t="s">
        <v>3903</v>
      </c>
      <c r="E40" s="3712">
        <f t="shared" si="0"/>
        <v>8873479.1885000002</v>
      </c>
      <c r="F40" s="3112"/>
      <c r="G40" s="3112"/>
      <c r="H40" s="3112"/>
      <c r="I40" s="3112"/>
      <c r="J40" s="3112"/>
      <c r="K40" s="3112"/>
      <c r="L40" s="3112"/>
      <c r="M40" s="3112"/>
      <c r="N40" s="3112"/>
      <c r="O40" s="3112"/>
      <c r="P40" s="3112"/>
      <c r="Q40" s="3112"/>
      <c r="R40" s="3112"/>
      <c r="S40" s="3112"/>
      <c r="T40" s="3112"/>
      <c r="U40" s="3112"/>
      <c r="V40" s="3112"/>
      <c r="W40" s="3112"/>
      <c r="X40" s="3112"/>
      <c r="Y40" s="3112"/>
      <c r="Z40" s="3112"/>
      <c r="AB40" s="3749">
        <v>0.2</v>
      </c>
      <c r="AC40" s="3749">
        <v>0.3</v>
      </c>
      <c r="AD40" s="3749">
        <v>0.4</v>
      </c>
      <c r="AE40" s="3749">
        <v>0.1</v>
      </c>
      <c r="AF40" s="3113"/>
      <c r="AG40" s="3113"/>
      <c r="AH40" s="3113"/>
      <c r="AI40" s="3113"/>
      <c r="AJ40" s="3113"/>
      <c r="AK40" s="3113"/>
      <c r="AL40" s="3113"/>
      <c r="AM40" s="3113"/>
      <c r="AN40" s="3113"/>
      <c r="AO40" s="3113"/>
      <c r="AP40" s="3118">
        <f t="shared" si="3"/>
        <v>1</v>
      </c>
      <c r="AR40" s="3764">
        <v>5</v>
      </c>
      <c r="AS40" s="3108" t="str">
        <f t="shared" si="4"/>
        <v xml:space="preserve">EQUIPAMIENTO (Incluye IGV) </v>
      </c>
      <c r="AT40" s="3109" t="s">
        <v>3903</v>
      </c>
      <c r="AU40" s="3117">
        <f t="shared" si="5"/>
        <v>8873479.1885000002</v>
      </c>
      <c r="AV40" s="3834"/>
      <c r="AW40" s="3833">
        <f t="shared" si="9"/>
        <v>0.5</v>
      </c>
      <c r="AX40" s="3833">
        <f t="shared" si="10"/>
        <v>0.5</v>
      </c>
      <c r="AY40" s="3118">
        <f t="shared" si="7"/>
        <v>1</v>
      </c>
    </row>
    <row r="41" spans="2:51" ht="33.75" customHeight="1" thickBot="1" x14ac:dyDescent="0.3">
      <c r="B41" s="3498" t="s">
        <v>5330</v>
      </c>
      <c r="C41" s="3115" t="s">
        <v>5929</v>
      </c>
      <c r="D41" s="3737" t="s">
        <v>5953</v>
      </c>
      <c r="E41" s="3712">
        <f t="shared" si="0"/>
        <v>84050</v>
      </c>
      <c r="F41" s="3112"/>
      <c r="G41" s="3112"/>
      <c r="H41" s="3112"/>
      <c r="I41" s="3112"/>
      <c r="J41" s="3112"/>
      <c r="K41" s="3112"/>
      <c r="L41" s="3112"/>
      <c r="M41" s="3112"/>
      <c r="N41" s="3112"/>
      <c r="O41" s="3112"/>
      <c r="P41" s="3112"/>
      <c r="Q41" s="3112"/>
      <c r="R41" s="3112"/>
      <c r="S41" s="3112"/>
      <c r="T41" s="3112"/>
      <c r="U41" s="3112"/>
      <c r="V41" s="3112"/>
      <c r="W41" s="3112"/>
      <c r="X41" s="3112"/>
      <c r="Y41" s="3112"/>
      <c r="Z41" s="3112"/>
      <c r="AA41" s="3112"/>
      <c r="AB41" s="3112"/>
      <c r="AC41" s="3112"/>
      <c r="AD41" s="3751">
        <v>0.21023200475907197</v>
      </c>
      <c r="AE41" s="3751">
        <v>0.27674003569303984</v>
      </c>
      <c r="AF41" s="3751">
        <v>0.23105294467578821</v>
      </c>
      <c r="AG41" s="3751">
        <v>0.28197501487209992</v>
      </c>
      <c r="AH41" s="3113"/>
      <c r="AI41" s="3113"/>
      <c r="AJ41" s="3113"/>
      <c r="AK41" s="3113"/>
      <c r="AL41" s="3113"/>
      <c r="AM41" s="3113"/>
      <c r="AN41" s="3113"/>
      <c r="AO41" s="3113"/>
      <c r="AP41" s="3118">
        <f t="shared" si="3"/>
        <v>1</v>
      </c>
      <c r="AR41" s="3764">
        <v>6</v>
      </c>
      <c r="AS41" s="3115" t="str">
        <f t="shared" si="4"/>
        <v>CAPACITACIÓN AL PERSONAL ASISTENCIAL Y ADMINISTRATIVO</v>
      </c>
      <c r="AT41" s="3737" t="s">
        <v>5956</v>
      </c>
      <c r="AU41" s="3117">
        <f t="shared" si="5"/>
        <v>84050</v>
      </c>
      <c r="AV41" s="3834"/>
      <c r="AW41" s="3834"/>
      <c r="AX41" s="3833">
        <f t="shared" si="10"/>
        <v>1</v>
      </c>
      <c r="AY41" s="3118">
        <f t="shared" si="7"/>
        <v>1</v>
      </c>
    </row>
    <row r="42" spans="2:51" ht="33.75" thickBot="1" x14ac:dyDescent="0.3">
      <c r="B42" s="3498" t="s">
        <v>5331</v>
      </c>
      <c r="C42" s="3115" t="s">
        <v>5930</v>
      </c>
      <c r="D42" s="3109" t="s">
        <v>5955</v>
      </c>
      <c r="E42" s="3712">
        <f t="shared" si="0"/>
        <v>30000</v>
      </c>
      <c r="F42" s="3112"/>
      <c r="G42" s="3112"/>
      <c r="H42" s="3112"/>
      <c r="I42" s="3112"/>
      <c r="J42" s="3750"/>
      <c r="K42" s="3112"/>
      <c r="L42" s="3112"/>
      <c r="M42" s="3112"/>
      <c r="N42" s="3112"/>
      <c r="O42" s="3112"/>
      <c r="P42" s="3112"/>
      <c r="Q42" s="3112"/>
      <c r="R42" s="3112"/>
      <c r="S42" s="3112"/>
      <c r="T42" s="3112"/>
      <c r="U42" s="3112"/>
      <c r="V42" s="3112"/>
      <c r="W42" s="3112"/>
      <c r="X42" s="3112"/>
      <c r="Y42" s="3112"/>
      <c r="Z42" s="3112"/>
      <c r="AA42" s="3112"/>
      <c r="AB42" s="3112"/>
      <c r="AC42" s="3752">
        <v>0.36666666666666664</v>
      </c>
      <c r="AD42" s="3752">
        <v>8.3333333333333332E-3</v>
      </c>
      <c r="AE42" s="3752">
        <v>0.17499999999999999</v>
      </c>
      <c r="AF42" s="3752">
        <v>8.3333333333333332E-3</v>
      </c>
      <c r="AG42" s="3752">
        <v>0.17499999999999999</v>
      </c>
      <c r="AH42" s="3752">
        <v>8.3333333333333332E-3</v>
      </c>
      <c r="AI42" s="3752">
        <v>0.125</v>
      </c>
      <c r="AJ42" s="3752">
        <v>8.3333333333333332E-3</v>
      </c>
      <c r="AK42" s="3752">
        <v>0.125</v>
      </c>
      <c r="AL42" s="3748"/>
      <c r="AM42" s="3748"/>
      <c r="AN42" s="3748"/>
      <c r="AO42" s="3748"/>
      <c r="AP42" s="3118">
        <f t="shared" si="3"/>
        <v>1</v>
      </c>
      <c r="AR42" s="3764">
        <v>7</v>
      </c>
      <c r="AS42" s="3115" t="str">
        <f t="shared" si="4"/>
        <v>PROMOCIÓN, SENSIBILIZACIÓN Y DIFUSIÓN DE LOS SERVICIOS DE SALUD</v>
      </c>
      <c r="AT42" s="3109" t="s">
        <v>5955</v>
      </c>
      <c r="AU42" s="3117">
        <f t="shared" si="5"/>
        <v>30000</v>
      </c>
      <c r="AV42" s="3834"/>
      <c r="AW42" s="3833">
        <f t="shared" si="9"/>
        <v>0.36666666666666664</v>
      </c>
      <c r="AX42" s="3833">
        <f t="shared" si="10"/>
        <v>0.6333333333333333</v>
      </c>
      <c r="AY42" s="3118">
        <f t="shared" si="7"/>
        <v>1</v>
      </c>
    </row>
    <row r="43" spans="2:51" ht="17.25" thickBot="1" x14ac:dyDescent="0.3">
      <c r="B43" s="3498" t="s">
        <v>5332</v>
      </c>
      <c r="C43" s="3115" t="s">
        <v>5951</v>
      </c>
      <c r="D43" s="3109" t="s">
        <v>3890</v>
      </c>
      <c r="E43" s="3712">
        <f t="shared" si="0"/>
        <v>30000</v>
      </c>
      <c r="F43" s="3112"/>
      <c r="G43" s="3112"/>
      <c r="H43" s="3112"/>
      <c r="I43" s="3112"/>
      <c r="J43" s="3112"/>
      <c r="K43" s="3112"/>
      <c r="L43" s="3112"/>
      <c r="M43" s="3112"/>
      <c r="N43" s="3112"/>
      <c r="O43" s="3112"/>
      <c r="P43" s="3112"/>
      <c r="Q43" s="3112"/>
      <c r="R43" s="3112"/>
      <c r="S43" s="3112"/>
      <c r="T43" s="3753">
        <f t="shared" ref="T43:AE43" si="11">T105/$E$105</f>
        <v>8.3333333333333329E-2</v>
      </c>
      <c r="U43" s="3753">
        <f t="shared" si="11"/>
        <v>8.3333333333333329E-2</v>
      </c>
      <c r="V43" s="3753">
        <f t="shared" si="11"/>
        <v>8.3333333333333329E-2</v>
      </c>
      <c r="W43" s="3753">
        <f t="shared" si="11"/>
        <v>8.3333333333333329E-2</v>
      </c>
      <c r="X43" s="3753">
        <f t="shared" si="11"/>
        <v>8.3333333333333329E-2</v>
      </c>
      <c r="Y43" s="3753">
        <f t="shared" si="11"/>
        <v>8.3333333333333329E-2</v>
      </c>
      <c r="Z43" s="3753">
        <f t="shared" si="11"/>
        <v>8.3333333333333329E-2</v>
      </c>
      <c r="AA43" s="3753">
        <f t="shared" si="11"/>
        <v>8.3333333333333329E-2</v>
      </c>
      <c r="AB43" s="3753">
        <f t="shared" si="11"/>
        <v>8.3333333333333329E-2</v>
      </c>
      <c r="AC43" s="3753">
        <f t="shared" si="11"/>
        <v>8.3333333333333329E-2</v>
      </c>
      <c r="AD43" s="3753">
        <f t="shared" si="11"/>
        <v>8.3333333333333329E-2</v>
      </c>
      <c r="AE43" s="3753">
        <f t="shared" si="11"/>
        <v>8.3333333333333329E-2</v>
      </c>
      <c r="AF43" s="3748"/>
      <c r="AG43" s="3748"/>
      <c r="AH43" s="3748"/>
      <c r="AI43" s="3748"/>
      <c r="AJ43" s="3748"/>
      <c r="AK43" s="3748"/>
      <c r="AL43" s="3748"/>
      <c r="AM43" s="3748"/>
      <c r="AN43" s="3748"/>
      <c r="AO43" s="3748"/>
      <c r="AP43" s="3118">
        <f t="shared" si="3"/>
        <v>1</v>
      </c>
      <c r="AR43" s="3764">
        <v>8</v>
      </c>
      <c r="AS43" s="3108" t="str">
        <f t="shared" si="4"/>
        <v xml:space="preserve">ESTUDIO DE IMPACTO AMBIENTAL </v>
      </c>
      <c r="AT43" s="3109" t="s">
        <v>3890</v>
      </c>
      <c r="AU43" s="3117">
        <f t="shared" si="5"/>
        <v>30000</v>
      </c>
      <c r="AV43" s="3834"/>
      <c r="AW43" s="3833">
        <f t="shared" si="9"/>
        <v>0.83333333333333337</v>
      </c>
      <c r="AX43" s="3833">
        <f t="shared" si="10"/>
        <v>0.16666666666666666</v>
      </c>
      <c r="AY43" s="3118">
        <f t="shared" si="7"/>
        <v>1</v>
      </c>
    </row>
    <row r="44" spans="2:51" ht="17.25" thickBot="1" x14ac:dyDescent="0.3">
      <c r="B44" s="3498" t="s">
        <v>5333</v>
      </c>
      <c r="C44" s="3115" t="s">
        <v>5949</v>
      </c>
      <c r="D44" s="3109" t="s">
        <v>5954</v>
      </c>
      <c r="E44" s="3712">
        <f t="shared" si="0"/>
        <v>659364.30000000005</v>
      </c>
      <c r="F44" s="3112"/>
      <c r="G44" s="3112"/>
      <c r="H44" s="3112"/>
      <c r="I44" s="3112"/>
      <c r="J44" s="3112"/>
      <c r="K44" s="3112"/>
      <c r="L44" s="3112"/>
      <c r="M44" s="3112"/>
      <c r="N44" s="3112"/>
      <c r="O44" s="3112"/>
      <c r="P44" s="3112"/>
      <c r="Q44" s="3112"/>
      <c r="R44" s="3112"/>
      <c r="S44" s="3112"/>
      <c r="T44" s="3762">
        <f t="shared" ref="T44:AE44" si="12">T106/$E$106</f>
        <v>8.3333333333333329E-2</v>
      </c>
      <c r="U44" s="3762">
        <f t="shared" si="12"/>
        <v>8.3333333333333329E-2</v>
      </c>
      <c r="V44" s="3762">
        <f t="shared" si="12"/>
        <v>8.3333333333333329E-2</v>
      </c>
      <c r="W44" s="3762">
        <f t="shared" si="12"/>
        <v>8.3333333333333329E-2</v>
      </c>
      <c r="X44" s="3762">
        <f t="shared" si="12"/>
        <v>8.3333333333333329E-2</v>
      </c>
      <c r="Y44" s="3762">
        <f t="shared" si="12"/>
        <v>8.3333333333333329E-2</v>
      </c>
      <c r="Z44" s="3762">
        <f t="shared" si="12"/>
        <v>8.3333333333333329E-2</v>
      </c>
      <c r="AA44" s="3762">
        <f t="shared" si="12"/>
        <v>8.3333333333333329E-2</v>
      </c>
      <c r="AB44" s="3762">
        <f t="shared" si="12"/>
        <v>8.3333333333333329E-2</v>
      </c>
      <c r="AC44" s="3762">
        <f t="shared" si="12"/>
        <v>8.3333333333333329E-2</v>
      </c>
      <c r="AD44" s="3762">
        <f t="shared" si="12"/>
        <v>8.3333333333333329E-2</v>
      </c>
      <c r="AE44" s="3762">
        <f t="shared" si="12"/>
        <v>8.3333333333333329E-2</v>
      </c>
      <c r="AF44" s="3748"/>
      <c r="AG44" s="3748"/>
      <c r="AH44" s="3748"/>
      <c r="AI44" s="3748"/>
      <c r="AJ44" s="3748"/>
      <c r="AK44" s="3748"/>
      <c r="AL44" s="3748"/>
      <c r="AM44" s="3748"/>
      <c r="AN44" s="3748"/>
      <c r="AO44" s="3748"/>
      <c r="AP44" s="3118">
        <f t="shared" si="3"/>
        <v>1</v>
      </c>
      <c r="AR44" s="3764">
        <v>9</v>
      </c>
      <c r="AS44" s="3108" t="str">
        <f t="shared" si="4"/>
        <v>SUPERVISIÓN</v>
      </c>
      <c r="AT44" s="3109" t="s">
        <v>5954</v>
      </c>
      <c r="AU44" s="3117">
        <f t="shared" si="5"/>
        <v>659364.30000000005</v>
      </c>
      <c r="AV44" s="3834"/>
      <c r="AW44" s="3833">
        <f t="shared" si="9"/>
        <v>0.83333333333333337</v>
      </c>
      <c r="AX44" s="3833">
        <f t="shared" si="10"/>
        <v>0.16666666666666666</v>
      </c>
      <c r="AY44" s="3118">
        <f t="shared" si="7"/>
        <v>1</v>
      </c>
    </row>
    <row r="45" spans="2:51" ht="17.25" thickBot="1" x14ac:dyDescent="0.3">
      <c r="B45" s="3498" t="s">
        <v>5334</v>
      </c>
      <c r="C45" s="3115" t="s">
        <v>5950</v>
      </c>
      <c r="D45" s="3109" t="s">
        <v>5955</v>
      </c>
      <c r="E45" s="3712">
        <f t="shared" si="0"/>
        <v>47258.416666666672</v>
      </c>
      <c r="F45" s="3112"/>
      <c r="G45" s="3112"/>
      <c r="H45" s="3112"/>
      <c r="I45" s="3112"/>
      <c r="J45" s="3112"/>
      <c r="K45" s="3112"/>
      <c r="L45" s="3112"/>
      <c r="M45" s="3112"/>
      <c r="N45" s="3112"/>
      <c r="O45" s="3112"/>
      <c r="P45" s="3112"/>
      <c r="Q45" s="3112"/>
      <c r="R45" s="3112"/>
      <c r="S45" s="3112"/>
      <c r="T45" s="3112"/>
      <c r="U45" s="3112"/>
      <c r="V45" s="3112"/>
      <c r="W45" s="3112"/>
      <c r="X45" s="3112"/>
      <c r="Y45" s="3112"/>
      <c r="Z45" s="3112"/>
      <c r="AA45" s="3112"/>
      <c r="AB45" s="3112"/>
      <c r="AC45" s="3112"/>
      <c r="AD45" s="3112"/>
      <c r="AE45" s="3112"/>
      <c r="AF45" s="3112"/>
      <c r="AG45" s="3112"/>
      <c r="AH45" s="3112"/>
      <c r="AI45" s="3112"/>
      <c r="AJ45" s="3112"/>
      <c r="AK45" s="3112"/>
      <c r="AL45" s="3744">
        <f>AL107/$E$45</f>
        <v>0.33333333333333331</v>
      </c>
      <c r="AM45" s="3744">
        <f>AM107/$E$45</f>
        <v>0.33333333333333331</v>
      </c>
      <c r="AN45" s="3744">
        <f>AN107/$E$45</f>
        <v>0.33333333333333331</v>
      </c>
      <c r="AO45" s="3748"/>
      <c r="AP45" s="3118">
        <f t="shared" si="3"/>
        <v>1</v>
      </c>
      <c r="AR45" s="3764">
        <v>10</v>
      </c>
      <c r="AS45" s="3108" t="str">
        <f t="shared" si="4"/>
        <v>LIQUIDACIÓN</v>
      </c>
      <c r="AT45" s="3109" t="s">
        <v>5955</v>
      </c>
      <c r="AU45" s="3117">
        <f t="shared" si="5"/>
        <v>47258.416666666672</v>
      </c>
      <c r="AV45" s="3834"/>
      <c r="AW45" s="3834"/>
      <c r="AX45" s="3833">
        <f t="shared" si="10"/>
        <v>1</v>
      </c>
      <c r="AY45" s="3118">
        <f t="shared" si="7"/>
        <v>1</v>
      </c>
    </row>
    <row r="46" spans="2:51" ht="17.25" thickBot="1" x14ac:dyDescent="0.3">
      <c r="B46" s="5072" t="s">
        <v>3949</v>
      </c>
      <c r="C46" s="5072"/>
      <c r="D46" s="3741"/>
      <c r="E46" s="3742">
        <f>SUM(E36:E45)</f>
        <v>28586582.974537253</v>
      </c>
      <c r="F46" s="3743"/>
      <c r="G46" s="3743"/>
      <c r="H46" s="3743"/>
      <c r="I46" s="3743"/>
      <c r="J46" s="3743"/>
      <c r="K46" s="3743"/>
      <c r="L46" s="3743"/>
      <c r="M46" s="3743"/>
      <c r="N46" s="3743"/>
      <c r="O46" s="3743"/>
      <c r="P46" s="3743"/>
      <c r="Q46" s="3743"/>
      <c r="R46" s="3743"/>
      <c r="S46" s="3743"/>
      <c r="T46" s="3743"/>
      <c r="U46" s="3743"/>
      <c r="V46" s="3743"/>
      <c r="W46" s="3743"/>
      <c r="X46" s="3743"/>
      <c r="Y46" s="3743"/>
      <c r="Z46" s="3743"/>
      <c r="AA46" s="3743"/>
      <c r="AB46" s="3743"/>
      <c r="AC46" s="3743"/>
      <c r="AD46" s="3743"/>
      <c r="AE46" s="3743"/>
      <c r="AF46" s="3743"/>
      <c r="AG46" s="3743"/>
      <c r="AH46" s="3743"/>
      <c r="AI46" s="3743"/>
      <c r="AJ46" s="3743"/>
      <c r="AK46" s="3743"/>
      <c r="AL46" s="3743"/>
      <c r="AM46" s="3743"/>
      <c r="AN46" s="3743"/>
      <c r="AO46" s="3743"/>
      <c r="AP46" s="3743"/>
      <c r="AR46" s="3780"/>
      <c r="AS46" s="3769" t="s">
        <v>3949</v>
      </c>
      <c r="AT46" s="3769"/>
      <c r="AU46" s="3781">
        <f>SUM(AU36:AU45)</f>
        <v>28586582.974537253</v>
      </c>
      <c r="AV46" s="3782"/>
      <c r="AW46" s="3782"/>
      <c r="AX46" s="3782"/>
      <c r="AY46" s="3782"/>
    </row>
    <row r="47" spans="2:51" ht="17.25" thickBot="1" x14ac:dyDescent="0.3">
      <c r="B47" s="5073" t="s">
        <v>5340</v>
      </c>
      <c r="C47" s="5073"/>
      <c r="D47" s="3119"/>
      <c r="E47" s="3119"/>
      <c r="F47" s="3112">
        <f t="shared" ref="F47:AO47" si="13">F108/$E$46</f>
        <v>0</v>
      </c>
      <c r="G47" s="3112">
        <f t="shared" si="13"/>
        <v>0</v>
      </c>
      <c r="H47" s="3112">
        <f t="shared" si="13"/>
        <v>0</v>
      </c>
      <c r="I47" s="3112">
        <f t="shared" si="13"/>
        <v>2.5426382110512119E-3</v>
      </c>
      <c r="J47" s="3112">
        <f t="shared" si="13"/>
        <v>2.5426382110512119E-3</v>
      </c>
      <c r="K47" s="3112">
        <f t="shared" si="13"/>
        <v>2.5426382110512119E-3</v>
      </c>
      <c r="L47" s="3112">
        <f t="shared" si="13"/>
        <v>2.8491281475295969E-3</v>
      </c>
      <c r="M47" s="3112">
        <f t="shared" si="13"/>
        <v>2.8491281475295969E-3</v>
      </c>
      <c r="N47" s="3112">
        <f t="shared" si="13"/>
        <v>2.5426382110512119E-3</v>
      </c>
      <c r="O47" s="3112">
        <f t="shared" si="13"/>
        <v>0</v>
      </c>
      <c r="P47" s="3112">
        <f t="shared" si="13"/>
        <v>0</v>
      </c>
      <c r="Q47" s="3112">
        <f t="shared" si="13"/>
        <v>0</v>
      </c>
      <c r="R47" s="3112">
        <f t="shared" si="13"/>
        <v>0</v>
      </c>
      <c r="S47" s="3112">
        <f t="shared" si="13"/>
        <v>0</v>
      </c>
      <c r="T47" s="3112">
        <f t="shared" si="13"/>
        <v>5.5673438238535142E-2</v>
      </c>
      <c r="U47" s="3112">
        <f t="shared" si="13"/>
        <v>5.5673438238535142E-2</v>
      </c>
      <c r="V47" s="3112">
        <f t="shared" si="13"/>
        <v>5.5673438238535142E-2</v>
      </c>
      <c r="W47" s="3112">
        <f t="shared" si="13"/>
        <v>5.5673438238535142E-2</v>
      </c>
      <c r="X47" s="3112">
        <f t="shared" si="13"/>
        <v>5.5673438238535142E-2</v>
      </c>
      <c r="Y47" s="3112">
        <f t="shared" si="13"/>
        <v>5.5673438238535142E-2</v>
      </c>
      <c r="Z47" s="3112">
        <f t="shared" si="13"/>
        <v>5.5673438238535142E-2</v>
      </c>
      <c r="AA47" s="3112">
        <f t="shared" si="13"/>
        <v>5.5673438238535142E-2</v>
      </c>
      <c r="AB47" s="3112">
        <f t="shared" si="13"/>
        <v>0.117754864314564</v>
      </c>
      <c r="AC47" s="3112">
        <f t="shared" si="13"/>
        <v>0.14918037325525063</v>
      </c>
      <c r="AD47" s="3112">
        <f t="shared" si="13"/>
        <v>0.18046315789749157</v>
      </c>
      <c r="AE47" s="3112">
        <f t="shared" si="13"/>
        <v>8.771147229338444E-2</v>
      </c>
      <c r="AF47" s="3112">
        <f t="shared" si="13"/>
        <v>6.8808503686923809E-4</v>
      </c>
      <c r="AG47" s="3112">
        <f t="shared" si="13"/>
        <v>1.0127128529417611E-3</v>
      </c>
      <c r="AH47" s="3112">
        <f t="shared" si="13"/>
        <v>8.7453614243675411E-6</v>
      </c>
      <c r="AI47" s="3112">
        <f t="shared" si="13"/>
        <v>1.3118042136551312E-4</v>
      </c>
      <c r="AJ47" s="3112">
        <f t="shared" si="13"/>
        <v>8.7453614243675411E-6</v>
      </c>
      <c r="AK47" s="3112">
        <f t="shared" si="13"/>
        <v>1.3118042136551312E-4</v>
      </c>
      <c r="AL47" s="3112">
        <f t="shared" si="13"/>
        <v>5.5105591212447301E-4</v>
      </c>
      <c r="AM47" s="3112">
        <f t="shared" si="13"/>
        <v>5.5105591212447301E-4</v>
      </c>
      <c r="AN47" s="3112">
        <f t="shared" si="13"/>
        <v>5.5105591212447301E-4</v>
      </c>
      <c r="AO47" s="3112">
        <f t="shared" si="13"/>
        <v>0</v>
      </c>
      <c r="AP47" s="3118">
        <f>SUM(F47:AO47)</f>
        <v>1.0000000000000002</v>
      </c>
      <c r="AR47" s="3110"/>
      <c r="AS47" s="3121" t="s">
        <v>5340</v>
      </c>
      <c r="AT47" s="3770"/>
      <c r="AU47" s="3119"/>
      <c r="AV47" s="3112">
        <f>AV108/$AU$46</f>
        <v>1.5868809139264042E-2</v>
      </c>
      <c r="AW47" s="3112">
        <f t="shared" ref="AW47:AX47" si="14">AW108/$AU$46</f>
        <v>0.71232274347809599</v>
      </c>
      <c r="AX47" s="3112">
        <f t="shared" si="14"/>
        <v>0.27180844738264021</v>
      </c>
      <c r="AY47" s="3112">
        <f>SUM(AV47:AX47)</f>
        <v>1.0000000000000002</v>
      </c>
    </row>
    <row r="48" spans="2:51" ht="17.25" thickBot="1" x14ac:dyDescent="0.3">
      <c r="B48" s="5073" t="s">
        <v>5341</v>
      </c>
      <c r="C48" s="5073"/>
      <c r="D48" s="3119"/>
      <c r="E48" s="3119"/>
      <c r="F48" s="3112">
        <f>F47</f>
        <v>0</v>
      </c>
      <c r="G48" s="3112">
        <f>G47+F48</f>
        <v>0</v>
      </c>
      <c r="H48" s="3112">
        <f t="shared" ref="H48:AO48" si="15">H47+G48</f>
        <v>0</v>
      </c>
      <c r="I48" s="3112">
        <f t="shared" si="15"/>
        <v>2.5426382110512119E-3</v>
      </c>
      <c r="J48" s="3112">
        <f t="shared" si="15"/>
        <v>5.0852764221024239E-3</v>
      </c>
      <c r="K48" s="3112">
        <f t="shared" si="15"/>
        <v>7.6279146331536358E-3</v>
      </c>
      <c r="L48" s="3112">
        <f t="shared" si="15"/>
        <v>1.0477042780683232E-2</v>
      </c>
      <c r="M48" s="3112">
        <f t="shared" si="15"/>
        <v>1.332617092821283E-2</v>
      </c>
      <c r="N48" s="3112">
        <f t="shared" si="15"/>
        <v>1.5868809139264042E-2</v>
      </c>
      <c r="O48" s="3112">
        <f t="shared" si="15"/>
        <v>1.5868809139264042E-2</v>
      </c>
      <c r="P48" s="3112">
        <f t="shared" si="15"/>
        <v>1.5868809139264042E-2</v>
      </c>
      <c r="Q48" s="3112">
        <f t="shared" si="15"/>
        <v>1.5868809139264042E-2</v>
      </c>
      <c r="R48" s="3112">
        <f t="shared" si="15"/>
        <v>1.5868809139264042E-2</v>
      </c>
      <c r="S48" s="3112">
        <f t="shared" si="15"/>
        <v>1.5868809139264042E-2</v>
      </c>
      <c r="T48" s="3112">
        <f t="shared" si="15"/>
        <v>7.1542247377799184E-2</v>
      </c>
      <c r="U48" s="3112">
        <f t="shared" si="15"/>
        <v>0.12721568561633434</v>
      </c>
      <c r="V48" s="3112">
        <f t="shared" si="15"/>
        <v>0.1828891238548695</v>
      </c>
      <c r="W48" s="3112">
        <f t="shared" si="15"/>
        <v>0.23856256209340465</v>
      </c>
      <c r="X48" s="3112">
        <f t="shared" si="15"/>
        <v>0.29423600033193981</v>
      </c>
      <c r="Y48" s="3112">
        <f t="shared" si="15"/>
        <v>0.34990943857047496</v>
      </c>
      <c r="Z48" s="3112">
        <f t="shared" si="15"/>
        <v>0.40558287680901012</v>
      </c>
      <c r="AA48" s="3112">
        <f t="shared" si="15"/>
        <v>0.46125631504754527</v>
      </c>
      <c r="AB48" s="3112">
        <f t="shared" si="15"/>
        <v>0.57901117936210933</v>
      </c>
      <c r="AC48" s="3112">
        <f t="shared" si="15"/>
        <v>0.72819155261735991</v>
      </c>
      <c r="AD48" s="3112">
        <f t="shared" si="15"/>
        <v>0.90865471051485147</v>
      </c>
      <c r="AE48" s="3112">
        <f t="shared" si="15"/>
        <v>0.99636618280823597</v>
      </c>
      <c r="AF48" s="3112">
        <f t="shared" si="15"/>
        <v>0.9970542678451052</v>
      </c>
      <c r="AG48" s="3112">
        <f t="shared" si="15"/>
        <v>0.998066980698047</v>
      </c>
      <c r="AH48" s="3112">
        <f t="shared" si="15"/>
        <v>0.99807572605947137</v>
      </c>
      <c r="AI48" s="3112">
        <f t="shared" si="15"/>
        <v>0.99820690648083688</v>
      </c>
      <c r="AJ48" s="3112">
        <f t="shared" si="15"/>
        <v>0.99821565184226124</v>
      </c>
      <c r="AK48" s="3112">
        <f t="shared" si="15"/>
        <v>0.99834683226362675</v>
      </c>
      <c r="AL48" s="3112">
        <f t="shared" si="15"/>
        <v>0.9988978881757512</v>
      </c>
      <c r="AM48" s="3112">
        <f t="shared" si="15"/>
        <v>0.99944894408787566</v>
      </c>
      <c r="AN48" s="3112">
        <f t="shared" si="15"/>
        <v>1.0000000000000002</v>
      </c>
      <c r="AO48" s="3112">
        <f t="shared" si="15"/>
        <v>1.0000000000000002</v>
      </c>
      <c r="AP48" s="3118"/>
      <c r="AR48" s="3110"/>
      <c r="AS48" s="3121" t="s">
        <v>5341</v>
      </c>
      <c r="AT48" s="3770"/>
      <c r="AU48" s="3119"/>
      <c r="AV48" s="3112">
        <f t="shared" ref="AV48:AW48" si="16">AV47+AU48</f>
        <v>1.5868809139264042E-2</v>
      </c>
      <c r="AW48" s="3112">
        <f t="shared" si="16"/>
        <v>0.72819155261736002</v>
      </c>
      <c r="AX48" s="3112"/>
      <c r="AY48" s="3112"/>
    </row>
    <row r="50" spans="2:51" ht="17.25" thickBot="1" x14ac:dyDescent="0.3"/>
    <row r="51" spans="2:51" ht="17.25" thickBot="1" x14ac:dyDescent="0.3">
      <c r="B51" s="5041" t="s">
        <v>5305</v>
      </c>
      <c r="C51" s="5042"/>
      <c r="D51" s="5042"/>
      <c r="E51" s="5042"/>
      <c r="F51" s="5042"/>
      <c r="G51" s="5042"/>
      <c r="H51" s="5042"/>
      <c r="I51" s="5042"/>
      <c r="J51" s="5042"/>
      <c r="K51" s="5042"/>
      <c r="L51" s="5042"/>
      <c r="M51" s="5042"/>
      <c r="N51" s="5042"/>
      <c r="O51" s="5042"/>
      <c r="P51" s="5042"/>
      <c r="Q51" s="5042"/>
      <c r="R51" s="5042"/>
      <c r="S51" s="5042"/>
      <c r="T51" s="5042"/>
      <c r="U51" s="5042"/>
      <c r="V51" s="5042"/>
      <c r="W51" s="5042"/>
      <c r="X51" s="5042"/>
      <c r="Y51" s="5043"/>
      <c r="Z51" s="5043"/>
      <c r="AA51" s="5043"/>
      <c r="AB51" s="5043"/>
      <c r="AC51" s="5043"/>
      <c r="AD51" s="5043"/>
      <c r="AE51" s="5043"/>
      <c r="AF51" s="5043"/>
      <c r="AG51" s="5043"/>
      <c r="AH51" s="5043"/>
      <c r="AI51" s="5043"/>
      <c r="AJ51" s="5043"/>
      <c r="AK51" s="5043"/>
      <c r="AL51" s="5043"/>
      <c r="AM51" s="5043"/>
      <c r="AN51" s="5043"/>
      <c r="AO51" s="5043"/>
      <c r="AP51" s="5044"/>
    </row>
    <row r="52" spans="2:51" ht="17.25" thickBot="1" x14ac:dyDescent="0.3">
      <c r="B52" s="5064" t="s">
        <v>62</v>
      </c>
      <c r="C52" s="5066" t="s">
        <v>5306</v>
      </c>
      <c r="D52" s="5086" t="s">
        <v>3850</v>
      </c>
      <c r="E52" s="5093" t="s">
        <v>5337</v>
      </c>
      <c r="F52" s="5032" t="s">
        <v>5308</v>
      </c>
      <c r="G52" s="5032"/>
      <c r="H52" s="5032"/>
      <c r="I52" s="5032"/>
      <c r="J52" s="5032"/>
      <c r="K52" s="5032"/>
      <c r="L52" s="5032"/>
      <c r="M52" s="5032"/>
      <c r="N52" s="5032"/>
      <c r="O52" s="5032"/>
      <c r="P52" s="5032"/>
      <c r="Q52" s="5032"/>
      <c r="R52" s="5035" t="s">
        <v>5309</v>
      </c>
      <c r="S52" s="5036"/>
      <c r="T52" s="5036"/>
      <c r="U52" s="5036"/>
      <c r="V52" s="5036"/>
      <c r="W52" s="5036"/>
      <c r="X52" s="5036"/>
      <c r="Y52" s="5036"/>
      <c r="Z52" s="5036"/>
      <c r="AA52" s="5036"/>
      <c r="AB52" s="5036"/>
      <c r="AC52" s="5037"/>
      <c r="AD52" s="5032" t="s">
        <v>5310</v>
      </c>
      <c r="AE52" s="5032"/>
      <c r="AF52" s="5032"/>
      <c r="AG52" s="5032"/>
      <c r="AH52" s="5032"/>
      <c r="AI52" s="5032"/>
      <c r="AJ52" s="5032"/>
      <c r="AK52" s="5032"/>
      <c r="AL52" s="5032"/>
      <c r="AM52" s="5032"/>
      <c r="AN52" s="5032"/>
      <c r="AO52" s="5032"/>
      <c r="AP52" s="5070" t="s">
        <v>0</v>
      </c>
    </row>
    <row r="53" spans="2:51" ht="17.25" thickBot="1" x14ac:dyDescent="0.3">
      <c r="B53" s="5064"/>
      <c r="C53" s="5066"/>
      <c r="D53" s="5089"/>
      <c r="E53" s="5094"/>
      <c r="F53" s="5032" t="s">
        <v>5311</v>
      </c>
      <c r="G53" s="5032"/>
      <c r="H53" s="5032"/>
      <c r="I53" s="5032"/>
      <c r="J53" s="5032"/>
      <c r="K53" s="5032"/>
      <c r="L53" s="5032"/>
      <c r="M53" s="5032"/>
      <c r="N53" s="5032"/>
      <c r="O53" s="5032"/>
      <c r="P53" s="5032"/>
      <c r="Q53" s="5032"/>
      <c r="R53" s="5035" t="s">
        <v>5312</v>
      </c>
      <c r="S53" s="5036"/>
      <c r="T53" s="5036"/>
      <c r="U53" s="5036"/>
      <c r="V53" s="5036"/>
      <c r="W53" s="5036"/>
      <c r="X53" s="5036"/>
      <c r="Y53" s="5036"/>
      <c r="Z53" s="5036"/>
      <c r="AA53" s="5036"/>
      <c r="AB53" s="5036"/>
      <c r="AC53" s="5037"/>
      <c r="AD53" s="5032" t="s">
        <v>5313</v>
      </c>
      <c r="AE53" s="5032"/>
      <c r="AF53" s="5032"/>
      <c r="AG53" s="5032"/>
      <c r="AH53" s="5032"/>
      <c r="AI53" s="5032"/>
      <c r="AJ53" s="5032"/>
      <c r="AK53" s="5032"/>
      <c r="AL53" s="5032"/>
      <c r="AM53" s="5032"/>
      <c r="AN53" s="5032"/>
      <c r="AO53" s="5032"/>
      <c r="AP53" s="5070"/>
      <c r="AR53" s="4338" t="s">
        <v>5338</v>
      </c>
      <c r="AS53" s="4318"/>
      <c r="AT53" s="4318"/>
      <c r="AU53" s="4318"/>
      <c r="AV53" s="4318"/>
      <c r="AW53" s="4318"/>
      <c r="AX53" s="5085"/>
      <c r="AY53" s="4319"/>
    </row>
    <row r="54" spans="2:51" ht="17.25" thickBot="1" x14ac:dyDescent="0.3">
      <c r="B54" s="5064"/>
      <c r="C54" s="5066"/>
      <c r="D54" s="5089"/>
      <c r="E54" s="5094"/>
      <c r="F54" s="5034" t="s">
        <v>5314</v>
      </c>
      <c r="G54" s="5034"/>
      <c r="H54" s="5034"/>
      <c r="I54" s="5033" t="s">
        <v>5315</v>
      </c>
      <c r="J54" s="5033"/>
      <c r="K54" s="5033"/>
      <c r="L54" s="5034" t="s">
        <v>5316</v>
      </c>
      <c r="M54" s="5034"/>
      <c r="N54" s="5034"/>
      <c r="O54" s="5033" t="s">
        <v>5317</v>
      </c>
      <c r="P54" s="5033"/>
      <c r="Q54" s="5033"/>
      <c r="R54" s="5034" t="s">
        <v>5314</v>
      </c>
      <c r="S54" s="5034"/>
      <c r="T54" s="5034"/>
      <c r="U54" s="5033" t="s">
        <v>5315</v>
      </c>
      <c r="V54" s="5033"/>
      <c r="W54" s="5033"/>
      <c r="X54" s="5029" t="s">
        <v>5316</v>
      </c>
      <c r="Y54" s="5030"/>
      <c r="Z54" s="5031"/>
      <c r="AA54" s="5033" t="s">
        <v>5317</v>
      </c>
      <c r="AB54" s="5033"/>
      <c r="AC54" s="5033"/>
      <c r="AD54" s="5034" t="s">
        <v>5314</v>
      </c>
      <c r="AE54" s="5034"/>
      <c r="AF54" s="5034"/>
      <c r="AG54" s="5033" t="s">
        <v>5315</v>
      </c>
      <c r="AH54" s="5033"/>
      <c r="AI54" s="5033"/>
      <c r="AJ54" s="5034" t="s">
        <v>5316</v>
      </c>
      <c r="AK54" s="5034"/>
      <c r="AL54" s="5034"/>
      <c r="AM54" s="5033" t="s">
        <v>5317</v>
      </c>
      <c r="AN54" s="5033"/>
      <c r="AO54" s="5033"/>
      <c r="AP54" s="5070"/>
      <c r="AR54" s="5064" t="s">
        <v>62</v>
      </c>
      <c r="AS54" s="5066" t="s">
        <v>5306</v>
      </c>
      <c r="AT54" s="5086" t="s">
        <v>3850</v>
      </c>
      <c r="AU54" s="5068" t="s">
        <v>5337</v>
      </c>
      <c r="AV54" s="3768" t="s">
        <v>5308</v>
      </c>
      <c r="AW54" s="3768" t="s">
        <v>5309</v>
      </c>
      <c r="AX54" s="3778" t="s">
        <v>5310</v>
      </c>
      <c r="AY54" s="5070" t="s">
        <v>0</v>
      </c>
    </row>
    <row r="55" spans="2:51" ht="17.25" thickBot="1" x14ac:dyDescent="0.3">
      <c r="B55" s="5065"/>
      <c r="C55" s="5067"/>
      <c r="D55" s="5087"/>
      <c r="E55" s="5095"/>
      <c r="F55" s="3106" t="s">
        <v>5318</v>
      </c>
      <c r="G55" s="3106" t="s">
        <v>5319</v>
      </c>
      <c r="H55" s="3106" t="s">
        <v>5320</v>
      </c>
      <c r="I55" s="3107" t="s">
        <v>5318</v>
      </c>
      <c r="J55" s="3107" t="s">
        <v>5319</v>
      </c>
      <c r="K55" s="3107" t="s">
        <v>5320</v>
      </c>
      <c r="L55" s="3106" t="s">
        <v>5318</v>
      </c>
      <c r="M55" s="3106" t="s">
        <v>5319</v>
      </c>
      <c r="N55" s="3106" t="s">
        <v>5320</v>
      </c>
      <c r="O55" s="3107" t="s">
        <v>5318</v>
      </c>
      <c r="P55" s="3107" t="s">
        <v>5319</v>
      </c>
      <c r="Q55" s="3107" t="s">
        <v>5320</v>
      </c>
      <c r="R55" s="3106" t="s">
        <v>5318</v>
      </c>
      <c r="S55" s="3106" t="s">
        <v>5319</v>
      </c>
      <c r="T55" s="3106" t="s">
        <v>5320</v>
      </c>
      <c r="U55" s="3107" t="s">
        <v>5318</v>
      </c>
      <c r="V55" s="3107" t="s">
        <v>5319</v>
      </c>
      <c r="W55" s="3107" t="s">
        <v>5320</v>
      </c>
      <c r="X55" s="3106" t="s">
        <v>5318</v>
      </c>
      <c r="Y55" s="3106" t="s">
        <v>5319</v>
      </c>
      <c r="Z55" s="3106" t="s">
        <v>5320</v>
      </c>
      <c r="AA55" s="3107" t="s">
        <v>5318</v>
      </c>
      <c r="AB55" s="3107" t="s">
        <v>5319</v>
      </c>
      <c r="AC55" s="3107" t="s">
        <v>5320</v>
      </c>
      <c r="AD55" s="3106" t="s">
        <v>5318</v>
      </c>
      <c r="AE55" s="3106" t="s">
        <v>5319</v>
      </c>
      <c r="AF55" s="3106" t="s">
        <v>5320</v>
      </c>
      <c r="AG55" s="3107" t="s">
        <v>5318</v>
      </c>
      <c r="AH55" s="3107" t="s">
        <v>5319</v>
      </c>
      <c r="AI55" s="3107" t="s">
        <v>5320</v>
      </c>
      <c r="AJ55" s="3106" t="s">
        <v>5318</v>
      </c>
      <c r="AK55" s="3106" t="s">
        <v>5319</v>
      </c>
      <c r="AL55" s="3106" t="s">
        <v>5320</v>
      </c>
      <c r="AM55" s="3107" t="s">
        <v>5318</v>
      </c>
      <c r="AN55" s="3107" t="s">
        <v>5319</v>
      </c>
      <c r="AO55" s="3107" t="s">
        <v>5320</v>
      </c>
      <c r="AP55" s="5071"/>
      <c r="AR55" s="5065"/>
      <c r="AS55" s="5067"/>
      <c r="AT55" s="5087"/>
      <c r="AU55" s="5069"/>
      <c r="AV55" s="3106" t="s">
        <v>5311</v>
      </c>
      <c r="AW55" s="3106" t="s">
        <v>5312</v>
      </c>
      <c r="AX55" s="3106" t="s">
        <v>5313</v>
      </c>
      <c r="AY55" s="5071"/>
    </row>
    <row r="56" spans="2:51" ht="17.25" thickBot="1" x14ac:dyDescent="0.3">
      <c r="B56" s="3764" t="s">
        <v>5321</v>
      </c>
      <c r="C56" s="3108" t="s">
        <v>5926</v>
      </c>
      <c r="D56" s="3109" t="s">
        <v>3890</v>
      </c>
      <c r="E56" s="3712">
        <f>E36</f>
        <v>348304.02916666667</v>
      </c>
      <c r="F56" s="3112"/>
      <c r="G56" s="3112"/>
      <c r="H56" s="3112"/>
      <c r="I56" s="3744">
        <f>I98/$E$66</f>
        <v>2.0306964137506356E-3</v>
      </c>
      <c r="J56" s="3744">
        <f t="shared" ref="J56:N56" si="17">J98/$E$66</f>
        <v>2.0306964137506356E-3</v>
      </c>
      <c r="K56" s="3744">
        <f t="shared" si="17"/>
        <v>2.0306964137506356E-3</v>
      </c>
      <c r="L56" s="3744">
        <f t="shared" si="17"/>
        <v>2.0306964137506356E-3</v>
      </c>
      <c r="M56" s="3744">
        <f t="shared" si="17"/>
        <v>2.0306964137506356E-3</v>
      </c>
      <c r="N56" s="3744">
        <f t="shared" si="17"/>
        <v>2.0306964137506356E-3</v>
      </c>
      <c r="O56" s="3112"/>
      <c r="P56" s="3112"/>
      <c r="Q56" s="3112"/>
      <c r="R56" s="3112"/>
      <c r="S56" s="3112"/>
      <c r="T56" s="3112"/>
      <c r="U56" s="3112"/>
      <c r="V56" s="3112"/>
      <c r="W56" s="3112"/>
      <c r="X56" s="3112"/>
      <c r="Y56" s="3112"/>
      <c r="Z56" s="3112"/>
      <c r="AA56" s="3112"/>
      <c r="AB56" s="3112"/>
      <c r="AC56" s="3112"/>
      <c r="AD56" s="3112"/>
      <c r="AE56" s="3112"/>
      <c r="AF56" s="3112"/>
      <c r="AG56" s="3112"/>
      <c r="AH56" s="3112"/>
      <c r="AI56" s="3112"/>
      <c r="AJ56" s="3112"/>
      <c r="AK56" s="3112"/>
      <c r="AL56" s="3112"/>
      <c r="AM56" s="3112"/>
      <c r="AN56" s="3112"/>
      <c r="AO56" s="3112"/>
      <c r="AP56" s="3112">
        <f>SUM(I56:AO56)</f>
        <v>1.2184178482503815E-2</v>
      </c>
      <c r="AR56" s="3764">
        <v>1</v>
      </c>
      <c r="AS56" s="3108" t="str">
        <f>C56</f>
        <v>EXPEDIENTE TÉCNICO DE OBRA Y EQUIPAMIENTO</v>
      </c>
      <c r="AT56" s="3109" t="s">
        <v>3890</v>
      </c>
      <c r="AU56" s="3117">
        <f>E56</f>
        <v>348304.02916666667</v>
      </c>
      <c r="AV56" s="3831">
        <f>SUM(F56:Q56)</f>
        <v>1.2184178482503815E-2</v>
      </c>
      <c r="AW56" s="3832"/>
      <c r="AX56" s="3832"/>
      <c r="AY56" s="3112">
        <f>SUM(AV56:AX56)</f>
        <v>1.2184178482503815E-2</v>
      </c>
    </row>
    <row r="57" spans="2:51" ht="17.25" thickBot="1" x14ac:dyDescent="0.3">
      <c r="B57" s="3764" t="s">
        <v>5323</v>
      </c>
      <c r="C57" s="3108" t="s">
        <v>5927</v>
      </c>
      <c r="D57" s="3109" t="s">
        <v>3890</v>
      </c>
      <c r="E57" s="3712">
        <f t="shared" ref="E57:E65" si="18">E37</f>
        <v>87808</v>
      </c>
      <c r="F57" s="3112"/>
      <c r="G57" s="3112"/>
      <c r="H57" s="3112"/>
      <c r="I57" s="3745">
        <f t="shared" ref="I57:N57" si="19">I99/$E$66</f>
        <v>5.119417973005766E-4</v>
      </c>
      <c r="J57" s="3745">
        <f t="shared" si="19"/>
        <v>5.119417973005766E-4</v>
      </c>
      <c r="K57" s="3745">
        <f t="shared" si="19"/>
        <v>5.119417973005766E-4</v>
      </c>
      <c r="L57" s="3745">
        <f t="shared" si="19"/>
        <v>5.119417973005766E-4</v>
      </c>
      <c r="M57" s="3745">
        <f t="shared" si="19"/>
        <v>5.119417973005766E-4</v>
      </c>
      <c r="N57" s="3745">
        <f t="shared" si="19"/>
        <v>5.119417973005766E-4</v>
      </c>
      <c r="O57" s="3112"/>
      <c r="P57" s="3112"/>
      <c r="Q57" s="3112"/>
      <c r="R57" s="3112"/>
      <c r="S57" s="3112"/>
      <c r="T57" s="3112"/>
      <c r="U57" s="3112"/>
      <c r="V57" s="3112"/>
      <c r="W57" s="3112"/>
      <c r="X57" s="3112"/>
      <c r="Y57" s="3112"/>
      <c r="Z57" s="3112"/>
      <c r="AA57" s="3112"/>
      <c r="AB57" s="3112"/>
      <c r="AC57" s="3112"/>
      <c r="AD57" s="3112"/>
      <c r="AE57" s="3112"/>
      <c r="AF57" s="3112"/>
      <c r="AG57" s="3112"/>
      <c r="AH57" s="3112"/>
      <c r="AI57" s="3112"/>
      <c r="AJ57" s="3112"/>
      <c r="AK57" s="3112"/>
      <c r="AL57" s="3112"/>
      <c r="AM57" s="3112"/>
      <c r="AN57" s="3112"/>
      <c r="AO57" s="3112"/>
      <c r="AP57" s="3112">
        <f t="shared" ref="AP57:AP65" si="20">SUM(I57:AO57)</f>
        <v>3.0716507838034592E-3</v>
      </c>
      <c r="AR57" s="3764">
        <v>2</v>
      </c>
      <c r="AS57" s="3108" t="str">
        <f t="shared" ref="AS57:AS65" si="21">C57</f>
        <v>SUPERVISIÓN DE EXPEDIENTE TÉCNICO</v>
      </c>
      <c r="AT57" s="3109" t="s">
        <v>3890</v>
      </c>
      <c r="AU57" s="3117">
        <f t="shared" ref="AU57:AU65" si="22">E57</f>
        <v>87808</v>
      </c>
      <c r="AV57" s="3831">
        <f t="shared" ref="AV57:AV59" si="23">SUM(F57:Q57)</f>
        <v>3.0716507838034592E-3</v>
      </c>
      <c r="AW57" s="3832"/>
      <c r="AX57" s="3832"/>
      <c r="AY57" s="3112">
        <f t="shared" ref="AY57:AY65" si="24">SUM(AV57:AX57)</f>
        <v>3.0716507838034592E-3</v>
      </c>
    </row>
    <row r="58" spans="2:51" ht="17.25" thickBot="1" x14ac:dyDescent="0.3">
      <c r="B58" s="3764" t="s">
        <v>5324</v>
      </c>
      <c r="C58" s="3108" t="s">
        <v>5928</v>
      </c>
      <c r="D58" s="3109" t="s">
        <v>3890</v>
      </c>
      <c r="E58" s="3712">
        <f t="shared" si="18"/>
        <v>17523</v>
      </c>
      <c r="F58" s="3112"/>
      <c r="G58" s="3112"/>
      <c r="H58" s="3112"/>
      <c r="I58" s="3112"/>
      <c r="J58" s="3112"/>
      <c r="L58" s="3746">
        <f>L100/$E$66</f>
        <v>3.0648993647838481E-4</v>
      </c>
      <c r="M58" s="3746">
        <f>M100/$E$66</f>
        <v>3.0648993647838481E-4</v>
      </c>
      <c r="N58" s="3112"/>
      <c r="O58" s="3112"/>
      <c r="P58" s="3112"/>
      <c r="Q58" s="3112"/>
      <c r="R58" s="3112"/>
      <c r="S58" s="3112"/>
      <c r="T58" s="3112"/>
      <c r="U58" s="3112"/>
      <c r="V58" s="3112"/>
      <c r="W58" s="3112"/>
      <c r="X58" s="3112"/>
      <c r="Y58" s="3112"/>
      <c r="Z58" s="3112"/>
      <c r="AA58" s="3112"/>
      <c r="AB58" s="3112"/>
      <c r="AC58" s="3112"/>
      <c r="AD58" s="3112"/>
      <c r="AE58" s="3112"/>
      <c r="AF58" s="3112"/>
      <c r="AG58" s="3112"/>
      <c r="AH58" s="3112"/>
      <c r="AI58" s="3112"/>
      <c r="AJ58" s="3112"/>
      <c r="AK58" s="3112"/>
      <c r="AL58" s="3112"/>
      <c r="AM58" s="3112"/>
      <c r="AN58" s="3112"/>
      <c r="AO58" s="3112"/>
      <c r="AP58" s="3112">
        <f t="shared" si="20"/>
        <v>6.1297987295676963E-4</v>
      </c>
      <c r="AR58" s="3764">
        <v>3</v>
      </c>
      <c r="AS58" s="3108" t="str">
        <f t="shared" si="21"/>
        <v>EXPEDIENTE TÉCNICO DE CAPACITACIÓN</v>
      </c>
      <c r="AT58" s="3109" t="s">
        <v>3890</v>
      </c>
      <c r="AU58" s="3117">
        <f t="shared" si="22"/>
        <v>17523</v>
      </c>
      <c r="AV58" s="3831">
        <f t="shared" si="23"/>
        <v>6.1297987295676963E-4</v>
      </c>
      <c r="AW58" s="3832"/>
      <c r="AX58" s="3832"/>
      <c r="AY58" s="3112">
        <f t="shared" si="24"/>
        <v>6.1297987295676963E-4</v>
      </c>
    </row>
    <row r="59" spans="2:51" ht="17.25" thickBot="1" x14ac:dyDescent="0.3">
      <c r="B59" s="3764" t="s">
        <v>5326</v>
      </c>
      <c r="C59" s="3108" t="s">
        <v>5328</v>
      </c>
      <c r="D59" s="3109" t="s">
        <v>3856</v>
      </c>
      <c r="E59" s="3712">
        <f t="shared" si="18"/>
        <v>18408796.040203921</v>
      </c>
      <c r="F59" s="3112"/>
      <c r="G59" s="3112"/>
      <c r="H59" s="3112"/>
      <c r="I59" s="3112"/>
      <c r="J59" s="3112"/>
      <c r="K59" s="3112"/>
      <c r="L59" s="3112"/>
      <c r="M59" s="3112"/>
      <c r="N59" s="3112"/>
      <c r="O59" s="3112"/>
      <c r="P59" s="3112"/>
      <c r="Q59" s="3112"/>
      <c r="R59" s="3112"/>
      <c r="S59" s="3112"/>
      <c r="T59" s="3747">
        <f t="shared" ref="T59:AE59" si="25">T101/$E$66</f>
        <v>5.3663858253016436E-2</v>
      </c>
      <c r="U59" s="3747">
        <f t="shared" si="25"/>
        <v>5.3663858253016436E-2</v>
      </c>
      <c r="V59" s="3747">
        <f t="shared" si="25"/>
        <v>5.3663858253016436E-2</v>
      </c>
      <c r="W59" s="3747">
        <f t="shared" si="25"/>
        <v>5.3663858253016436E-2</v>
      </c>
      <c r="X59" s="3747">
        <f t="shared" si="25"/>
        <v>5.3663858253016436E-2</v>
      </c>
      <c r="Y59" s="3747">
        <f t="shared" si="25"/>
        <v>5.3663858253016436E-2</v>
      </c>
      <c r="Z59" s="3747">
        <f t="shared" si="25"/>
        <v>5.3663858253016436E-2</v>
      </c>
      <c r="AA59" s="3747">
        <f t="shared" si="25"/>
        <v>5.3663858253016436E-2</v>
      </c>
      <c r="AB59" s="3747">
        <f t="shared" si="25"/>
        <v>5.3663858253016436E-2</v>
      </c>
      <c r="AC59" s="3747">
        <f t="shared" si="25"/>
        <v>5.3663858253016436E-2</v>
      </c>
      <c r="AD59" s="3747">
        <f t="shared" si="25"/>
        <v>5.3663858253016436E-2</v>
      </c>
      <c r="AE59" s="3747">
        <f t="shared" si="25"/>
        <v>5.3663858253016436E-2</v>
      </c>
      <c r="AF59" s="3748"/>
      <c r="AG59" s="3748"/>
      <c r="AH59" s="3748"/>
      <c r="AI59" s="3748"/>
      <c r="AJ59" s="3748"/>
      <c r="AK59" s="3748"/>
      <c r="AL59" s="3748"/>
      <c r="AM59" s="3748"/>
      <c r="AN59" s="3748"/>
      <c r="AO59" s="3748"/>
      <c r="AP59" s="3112">
        <f t="shared" si="20"/>
        <v>0.64396629903619729</v>
      </c>
      <c r="AR59" s="3764">
        <v>4</v>
      </c>
      <c r="AS59" s="3108" t="str">
        <f t="shared" si="21"/>
        <v xml:space="preserve">EJECUCION DE OBRA </v>
      </c>
      <c r="AT59" s="3109" t="s">
        <v>3856</v>
      </c>
      <c r="AU59" s="3117">
        <f t="shared" si="22"/>
        <v>18408796.040203921</v>
      </c>
      <c r="AV59" s="3831">
        <f t="shared" si="23"/>
        <v>0</v>
      </c>
      <c r="AW59" s="3831">
        <f t="shared" ref="AW59:AW60" si="26">SUM(R59:AC59)</f>
        <v>0.53663858253016439</v>
      </c>
      <c r="AX59" s="3831">
        <f t="shared" ref="AX59:AX65" si="27">SUM(AD59:AO59)</f>
        <v>0.10732771650603287</v>
      </c>
      <c r="AY59" s="3112">
        <f t="shared" si="24"/>
        <v>0.64396629903619729</v>
      </c>
    </row>
    <row r="60" spans="2:51" ht="17.25" thickBot="1" x14ac:dyDescent="0.3">
      <c r="B60" s="3764" t="s">
        <v>5327</v>
      </c>
      <c r="C60" s="3108" t="s">
        <v>5925</v>
      </c>
      <c r="D60" s="3109" t="s">
        <v>3903</v>
      </c>
      <c r="E60" s="3712">
        <f t="shared" si="18"/>
        <v>8873479.1885000002</v>
      </c>
      <c r="F60" s="3112"/>
      <c r="G60" s="3112"/>
      <c r="H60" s="3112"/>
      <c r="I60" s="3112"/>
      <c r="J60" s="3112"/>
      <c r="K60" s="3112"/>
      <c r="L60" s="3112"/>
      <c r="M60" s="3112"/>
      <c r="N60" s="3112"/>
      <c r="O60" s="3112"/>
      <c r="P60" s="3112"/>
      <c r="Q60" s="3112"/>
      <c r="R60" s="3112"/>
      <c r="S60" s="3112"/>
      <c r="T60" s="3112"/>
      <c r="U60" s="3112"/>
      <c r="V60" s="3112"/>
      <c r="W60" s="3112"/>
      <c r="X60" s="3113"/>
      <c r="Y60" s="3113"/>
      <c r="Z60" s="3113"/>
      <c r="AA60" s="3113"/>
      <c r="AB60" s="3749">
        <f>AB102/$E$66</f>
        <v>6.2081426076028873E-2</v>
      </c>
      <c r="AC60" s="3749">
        <f>AC102/$E$66</f>
        <v>9.3122139114043309E-2</v>
      </c>
      <c r="AD60" s="3749">
        <f>AD102/$E$66</f>
        <v>0.12416285215205775</v>
      </c>
      <c r="AE60" s="3749">
        <f>AE102/$E$66</f>
        <v>3.1040713038014436E-2</v>
      </c>
      <c r="AF60" s="3113"/>
      <c r="AG60" s="3113"/>
      <c r="AH60" s="3113"/>
      <c r="AI60" s="3113"/>
      <c r="AJ60" s="3113"/>
      <c r="AK60" s="3113"/>
      <c r="AL60" s="3113"/>
      <c r="AM60" s="3113"/>
      <c r="AN60" s="3113"/>
      <c r="AO60" s="3113"/>
      <c r="AP60" s="3112">
        <f t="shared" si="20"/>
        <v>0.31040713038014434</v>
      </c>
      <c r="AR60" s="3764">
        <v>5</v>
      </c>
      <c r="AS60" s="3108" t="str">
        <f t="shared" si="21"/>
        <v xml:space="preserve">EQUIPAMIENTO (Incluye IGV) </v>
      </c>
      <c r="AT60" s="3109" t="s">
        <v>3903</v>
      </c>
      <c r="AU60" s="3117">
        <f t="shared" si="22"/>
        <v>8873479.1885000002</v>
      </c>
      <c r="AV60" s="3832"/>
      <c r="AW60" s="3831">
        <f t="shared" si="26"/>
        <v>0.15520356519007217</v>
      </c>
      <c r="AX60" s="3831">
        <f t="shared" si="27"/>
        <v>0.15520356519007217</v>
      </c>
      <c r="AY60" s="3112">
        <f t="shared" si="24"/>
        <v>0.31040713038014434</v>
      </c>
    </row>
    <row r="61" spans="2:51" ht="33.75" thickBot="1" x14ac:dyDescent="0.3">
      <c r="B61" s="3764" t="s">
        <v>5330</v>
      </c>
      <c r="C61" s="3115" t="s">
        <v>5929</v>
      </c>
      <c r="D61" s="3737" t="s">
        <v>5953</v>
      </c>
      <c r="E61" s="3712">
        <f t="shared" si="18"/>
        <v>84050</v>
      </c>
      <c r="F61" s="3112"/>
      <c r="G61" s="3112"/>
      <c r="H61" s="3112"/>
      <c r="I61" s="3112"/>
      <c r="J61" s="3112"/>
      <c r="K61" s="3112"/>
      <c r="L61" s="3112"/>
      <c r="M61" s="3112"/>
      <c r="N61" s="3112"/>
      <c r="O61" s="3112"/>
      <c r="P61" s="3112"/>
      <c r="Q61" s="3112"/>
      <c r="R61" s="3112"/>
      <c r="S61" s="3112"/>
      <c r="T61" s="3112"/>
      <c r="U61" s="3112"/>
      <c r="V61" s="3112"/>
      <c r="W61" s="3112"/>
      <c r="X61" s="3748"/>
      <c r="Y61" s="3748"/>
      <c r="Z61" s="3748"/>
      <c r="AA61" s="3748"/>
      <c r="AB61" s="3748"/>
      <c r="AC61" s="3748"/>
      <c r="AD61" s="3751">
        <f t="shared" ref="AD61:AG62" si="28">AD103/$E$66</f>
        <v>6.1812214547429778E-4</v>
      </c>
      <c r="AE61" s="3751">
        <f t="shared" si="28"/>
        <v>8.1366842692315593E-4</v>
      </c>
      <c r="AF61" s="3751">
        <f t="shared" si="28"/>
        <v>6.7933967544487055E-4</v>
      </c>
      <c r="AG61" s="3751">
        <f t="shared" si="28"/>
        <v>8.2906026303004269E-4</v>
      </c>
      <c r="AH61" s="3748"/>
      <c r="AI61" s="3748"/>
      <c r="AJ61" s="3748"/>
      <c r="AK61" s="3748"/>
      <c r="AL61" s="3748"/>
      <c r="AM61" s="3748"/>
      <c r="AN61" s="3748"/>
      <c r="AO61" s="3748"/>
      <c r="AP61" s="3112">
        <f t="shared" si="20"/>
        <v>2.9401905108723666E-3</v>
      </c>
      <c r="AR61" s="3764">
        <v>6</v>
      </c>
      <c r="AS61" s="3115" t="str">
        <f t="shared" si="21"/>
        <v>CAPACITACIÓN AL PERSONAL ASISTENCIAL Y ADMINISTRATIVO</v>
      </c>
      <c r="AT61" s="3737" t="s">
        <v>5956</v>
      </c>
      <c r="AU61" s="3117">
        <f t="shared" si="22"/>
        <v>84050</v>
      </c>
      <c r="AV61" s="3832"/>
      <c r="AW61" s="3832"/>
      <c r="AX61" s="3831">
        <f t="shared" si="27"/>
        <v>2.9401905108723666E-3</v>
      </c>
      <c r="AY61" s="3112">
        <f t="shared" si="24"/>
        <v>2.9401905108723666E-3</v>
      </c>
    </row>
    <row r="62" spans="2:51" ht="33.75" thickBot="1" x14ac:dyDescent="0.3">
      <c r="B62" s="3764" t="s">
        <v>5331</v>
      </c>
      <c r="C62" s="3115" t="s">
        <v>5930</v>
      </c>
      <c r="D62" s="3109" t="s">
        <v>5955</v>
      </c>
      <c r="E62" s="3712">
        <f t="shared" si="18"/>
        <v>30000</v>
      </c>
      <c r="F62" s="3112"/>
      <c r="G62" s="3112"/>
      <c r="H62" s="3112"/>
      <c r="I62" s="3112"/>
      <c r="J62" s="3750"/>
      <c r="K62" s="3750"/>
      <c r="L62" s="3750"/>
      <c r="M62" s="3750"/>
      <c r="N62" s="3750"/>
      <c r="O62" s="3750"/>
      <c r="P62" s="3750"/>
      <c r="Q62" s="3750"/>
      <c r="R62" s="3750"/>
      <c r="S62" s="3750"/>
      <c r="T62" s="3750"/>
      <c r="U62" s="3750"/>
      <c r="V62" s="3112"/>
      <c r="W62" s="3112"/>
      <c r="X62" s="3748"/>
      <c r="Y62" s="3748"/>
      <c r="Z62" s="3748"/>
      <c r="AA62" s="3748"/>
      <c r="AB62" s="3748"/>
      <c r="AC62" s="3752">
        <f>AC104/$E$66</f>
        <v>3.8479590267217177E-4</v>
      </c>
      <c r="AD62" s="3752">
        <f t="shared" si="28"/>
        <v>8.7453614243675411E-6</v>
      </c>
      <c r="AE62" s="3752">
        <f t="shared" si="28"/>
        <v>1.8365258991171835E-4</v>
      </c>
      <c r="AF62" s="3752">
        <f t="shared" si="28"/>
        <v>8.7453614243675411E-6</v>
      </c>
      <c r="AG62" s="3752">
        <f t="shared" si="28"/>
        <v>1.8365258991171835E-4</v>
      </c>
      <c r="AH62" s="3752">
        <f>AH104/$E$66</f>
        <v>8.7453614243675411E-6</v>
      </c>
      <c r="AI62" s="3752">
        <f>AI104/$E$66</f>
        <v>1.3118042136551312E-4</v>
      </c>
      <c r="AJ62" s="3752">
        <f>AJ104/$E$66</f>
        <v>8.7453614243675411E-6</v>
      </c>
      <c r="AK62" s="3752">
        <f>AK104/$E$66</f>
        <v>1.3118042136551312E-4</v>
      </c>
      <c r="AL62" s="3748"/>
      <c r="AM62" s="3748"/>
      <c r="AN62" s="3748"/>
      <c r="AO62" s="3748"/>
      <c r="AP62" s="3112">
        <f t="shared" si="20"/>
        <v>1.0494433709241047E-3</v>
      </c>
      <c r="AR62" s="3764">
        <v>7</v>
      </c>
      <c r="AS62" s="3115" t="str">
        <f t="shared" si="21"/>
        <v>PROMOCIÓN, SENSIBILIZACIÓN Y DIFUSIÓN DE LOS SERVICIOS DE SALUD</v>
      </c>
      <c r="AT62" s="3109" t="s">
        <v>5955</v>
      </c>
      <c r="AU62" s="3117">
        <f t="shared" si="22"/>
        <v>30000</v>
      </c>
      <c r="AV62" s="3832"/>
      <c r="AW62" s="3831">
        <f t="shared" ref="AW62:AW64" si="29">SUM(R62:AC62)</f>
        <v>3.8479590267217177E-4</v>
      </c>
      <c r="AX62" s="3831">
        <f t="shared" si="27"/>
        <v>6.6464746825193309E-4</v>
      </c>
      <c r="AY62" s="3112">
        <f t="shared" si="24"/>
        <v>1.049443370924105E-3</v>
      </c>
    </row>
    <row r="63" spans="2:51" ht="17.25" thickBot="1" x14ac:dyDescent="0.3">
      <c r="B63" s="3764" t="s">
        <v>5332</v>
      </c>
      <c r="C63" s="3115" t="s">
        <v>5951</v>
      </c>
      <c r="D63" s="3109" t="s">
        <v>3890</v>
      </c>
      <c r="E63" s="3712">
        <f t="shared" si="18"/>
        <v>30000</v>
      </c>
      <c r="F63" s="3112"/>
      <c r="G63" s="3112"/>
      <c r="H63" s="3112"/>
      <c r="I63" s="3112"/>
      <c r="J63" s="3112"/>
      <c r="K63" s="3112"/>
      <c r="L63" s="3112"/>
      <c r="M63" s="3112"/>
      <c r="N63" s="3112"/>
      <c r="O63" s="3112"/>
      <c r="P63" s="3112"/>
      <c r="Q63" s="3112"/>
      <c r="R63" s="3112"/>
      <c r="S63" s="3112"/>
      <c r="T63" s="3753">
        <f t="shared" ref="T63:AB63" si="30">T105/$E$66</f>
        <v>8.7453614243675405E-5</v>
      </c>
      <c r="U63" s="3753">
        <f t="shared" si="30"/>
        <v>8.7453614243675405E-5</v>
      </c>
      <c r="V63" s="3753">
        <f t="shared" si="30"/>
        <v>8.7453614243675405E-5</v>
      </c>
      <c r="W63" s="3753">
        <f t="shared" si="30"/>
        <v>8.7453614243675405E-5</v>
      </c>
      <c r="X63" s="3753">
        <f t="shared" si="30"/>
        <v>8.7453614243675405E-5</v>
      </c>
      <c r="Y63" s="3753">
        <f t="shared" si="30"/>
        <v>8.7453614243675405E-5</v>
      </c>
      <c r="Z63" s="3753">
        <f t="shared" si="30"/>
        <v>8.7453614243675405E-5</v>
      </c>
      <c r="AA63" s="3753">
        <f t="shared" si="30"/>
        <v>8.7453614243675405E-5</v>
      </c>
      <c r="AB63" s="3753">
        <f t="shared" si="30"/>
        <v>8.7453614243675405E-5</v>
      </c>
      <c r="AC63" s="3753">
        <f>AC105/$E$66</f>
        <v>8.7453614243675405E-5</v>
      </c>
      <c r="AD63" s="3753">
        <f>AD105/$E$66</f>
        <v>8.7453614243675405E-5</v>
      </c>
      <c r="AE63" s="3753">
        <f>AE105/$E$66</f>
        <v>8.7453614243675405E-5</v>
      </c>
      <c r="AF63" s="3748"/>
      <c r="AG63" s="3748"/>
      <c r="AH63" s="3748"/>
      <c r="AI63" s="3748"/>
      <c r="AJ63" s="3748"/>
      <c r="AK63" s="3748"/>
      <c r="AL63" s="3748"/>
      <c r="AM63" s="3748"/>
      <c r="AN63" s="3748"/>
      <c r="AO63" s="3748"/>
      <c r="AP63" s="3112">
        <f t="shared" si="20"/>
        <v>1.0494433709241047E-3</v>
      </c>
      <c r="AR63" s="3764">
        <v>8</v>
      </c>
      <c r="AS63" s="3108" t="str">
        <f t="shared" si="21"/>
        <v xml:space="preserve">ESTUDIO DE IMPACTO AMBIENTAL </v>
      </c>
      <c r="AT63" s="3109" t="s">
        <v>3890</v>
      </c>
      <c r="AU63" s="3117">
        <f t="shared" si="22"/>
        <v>30000</v>
      </c>
      <c r="AV63" s="3832"/>
      <c r="AW63" s="3831">
        <f t="shared" si="29"/>
        <v>8.7453614243675388E-4</v>
      </c>
      <c r="AX63" s="3831">
        <f t="shared" si="27"/>
        <v>1.7490722848735081E-4</v>
      </c>
      <c r="AY63" s="3112">
        <f t="shared" si="24"/>
        <v>1.0494433709241047E-3</v>
      </c>
    </row>
    <row r="64" spans="2:51" ht="17.25" thickBot="1" x14ac:dyDescent="0.3">
      <c r="B64" s="3764" t="s">
        <v>5333</v>
      </c>
      <c r="C64" s="3108" t="s">
        <v>5949</v>
      </c>
      <c r="D64" s="3109" t="s">
        <v>5954</v>
      </c>
      <c r="E64" s="3712">
        <f t="shared" si="18"/>
        <v>659364.30000000005</v>
      </c>
      <c r="F64" s="3112"/>
      <c r="G64" s="3112"/>
      <c r="H64" s="3112"/>
      <c r="I64" s="3112"/>
      <c r="J64" s="3112"/>
      <c r="K64" s="3112"/>
      <c r="L64" s="3112"/>
      <c r="M64" s="3112"/>
      <c r="N64" s="3112"/>
      <c r="O64" s="3112"/>
      <c r="P64" s="3112"/>
      <c r="Q64" s="3112"/>
      <c r="R64" s="3112"/>
      <c r="S64" s="3112"/>
      <c r="T64" s="3762">
        <f t="shared" ref="T64:AB64" si="31">T106/$E$66</f>
        <v>1.9221263712750356E-3</v>
      </c>
      <c r="U64" s="3762">
        <f t="shared" si="31"/>
        <v>1.9221263712750356E-3</v>
      </c>
      <c r="V64" s="3762">
        <f t="shared" si="31"/>
        <v>1.9221263712750356E-3</v>
      </c>
      <c r="W64" s="3762">
        <f t="shared" si="31"/>
        <v>1.9221263712750356E-3</v>
      </c>
      <c r="X64" s="3762">
        <f t="shared" si="31"/>
        <v>1.9221263712750356E-3</v>
      </c>
      <c r="Y64" s="3762">
        <f t="shared" si="31"/>
        <v>1.9221263712750356E-3</v>
      </c>
      <c r="Z64" s="3762">
        <f t="shared" si="31"/>
        <v>1.9221263712750356E-3</v>
      </c>
      <c r="AA64" s="3762">
        <f t="shared" si="31"/>
        <v>1.9221263712750356E-3</v>
      </c>
      <c r="AB64" s="3762">
        <f t="shared" si="31"/>
        <v>1.9221263712750356E-3</v>
      </c>
      <c r="AC64" s="3762">
        <f>AC106/$E$66</f>
        <v>1.9221263712750356E-3</v>
      </c>
      <c r="AD64" s="3762">
        <f>AD106/$E$66</f>
        <v>1.9221263712750356E-3</v>
      </c>
      <c r="AE64" s="3762">
        <f>AE106/$E$66</f>
        <v>1.9221263712750356E-3</v>
      </c>
      <c r="AF64" s="3748"/>
      <c r="AG64" s="3748"/>
      <c r="AH64" s="3748"/>
      <c r="AI64" s="3748"/>
      <c r="AJ64" s="3748"/>
      <c r="AK64" s="3748"/>
      <c r="AL64" s="3748"/>
      <c r="AM64" s="3748"/>
      <c r="AN64" s="3748"/>
      <c r="AO64" s="3748"/>
      <c r="AP64" s="3112">
        <f t="shared" si="20"/>
        <v>2.306551645530042E-2</v>
      </c>
      <c r="AR64" s="3764">
        <v>9</v>
      </c>
      <c r="AS64" s="3108" t="str">
        <f t="shared" si="21"/>
        <v>SUPERVISIÓN</v>
      </c>
      <c r="AT64" s="3109" t="s">
        <v>5954</v>
      </c>
      <c r="AU64" s="3117">
        <f t="shared" si="22"/>
        <v>659364.30000000005</v>
      </c>
      <c r="AV64" s="3832"/>
      <c r="AW64" s="3831">
        <f t="shared" si="29"/>
        <v>1.9221263712750351E-2</v>
      </c>
      <c r="AX64" s="3831">
        <f t="shared" si="27"/>
        <v>3.8442527425500712E-3</v>
      </c>
      <c r="AY64" s="3112">
        <f t="shared" si="24"/>
        <v>2.3065516455300424E-2</v>
      </c>
    </row>
    <row r="65" spans="2:52" ht="17.25" thickBot="1" x14ac:dyDescent="0.3">
      <c r="B65" s="3764" t="s">
        <v>5334</v>
      </c>
      <c r="C65" s="3108" t="s">
        <v>5950</v>
      </c>
      <c r="D65" s="3109" t="s">
        <v>5955</v>
      </c>
      <c r="E65" s="3712">
        <f t="shared" si="18"/>
        <v>47258.416666666672</v>
      </c>
      <c r="F65" s="3112"/>
      <c r="G65" s="3112"/>
      <c r="H65" s="3112"/>
      <c r="I65" s="3112"/>
      <c r="J65" s="3112"/>
      <c r="K65" s="3112"/>
      <c r="L65" s="3112"/>
      <c r="M65" s="3112"/>
      <c r="N65" s="3112"/>
      <c r="O65" s="3112"/>
      <c r="P65" s="3112"/>
      <c r="Q65" s="3112"/>
      <c r="R65" s="3112"/>
      <c r="S65" s="3112"/>
      <c r="T65" s="3112"/>
      <c r="U65" s="3112"/>
      <c r="V65" s="3112"/>
      <c r="W65" s="3112"/>
      <c r="X65" s="3112"/>
      <c r="Y65" s="3112"/>
      <c r="Z65" s="3112"/>
      <c r="AA65" s="3112"/>
      <c r="AB65" s="3112"/>
      <c r="AC65" s="3112"/>
      <c r="AD65" s="3112"/>
      <c r="AE65" s="3112"/>
      <c r="AF65" s="3112"/>
      <c r="AG65" s="3112"/>
      <c r="AH65" s="3112"/>
      <c r="AI65" s="3112"/>
      <c r="AJ65" s="3112"/>
      <c r="AK65" s="3112"/>
      <c r="AL65" s="3744">
        <f>AL107/$E$66</f>
        <v>5.5105591212447301E-4</v>
      </c>
      <c r="AM65" s="3744">
        <f>AM107/$E$66</f>
        <v>5.5105591212447301E-4</v>
      </c>
      <c r="AN65" s="3744">
        <f>AN107/$E$66</f>
        <v>5.5105591212447301E-4</v>
      </c>
      <c r="AO65" s="3112"/>
      <c r="AP65" s="3112">
        <f t="shared" si="20"/>
        <v>1.6531677363734189E-3</v>
      </c>
      <c r="AR65" s="3764">
        <v>10</v>
      </c>
      <c r="AS65" s="3108" t="str">
        <f t="shared" si="21"/>
        <v>LIQUIDACIÓN</v>
      </c>
      <c r="AT65" s="3109" t="s">
        <v>5955</v>
      </c>
      <c r="AU65" s="3117">
        <f t="shared" si="22"/>
        <v>47258.416666666672</v>
      </c>
      <c r="AV65" s="3832"/>
      <c r="AW65" s="3832"/>
      <c r="AX65" s="3831">
        <f t="shared" si="27"/>
        <v>1.6531677363734189E-3</v>
      </c>
      <c r="AY65" s="3112">
        <f t="shared" si="24"/>
        <v>1.6531677363734189E-3</v>
      </c>
    </row>
    <row r="66" spans="2:52" ht="17.25" thickBot="1" x14ac:dyDescent="0.3">
      <c r="B66" s="5072" t="s">
        <v>3949</v>
      </c>
      <c r="C66" s="5072"/>
      <c r="D66" s="3741"/>
      <c r="E66" s="3742">
        <f>SUM(E56:E65)</f>
        <v>28586582.974537253</v>
      </c>
      <c r="F66" s="3785">
        <f>SUM(F56:F65)</f>
        <v>0</v>
      </c>
      <c r="G66" s="3785">
        <f t="shared" ref="G66:AO66" si="32">SUM(G56:G65)</f>
        <v>0</v>
      </c>
      <c r="H66" s="3785">
        <f t="shared" si="32"/>
        <v>0</v>
      </c>
      <c r="I66" s="3785">
        <f t="shared" si="32"/>
        <v>2.5426382110512119E-3</v>
      </c>
      <c r="J66" s="3785">
        <f t="shared" si="32"/>
        <v>2.5426382110512119E-3</v>
      </c>
      <c r="K66" s="3785">
        <f t="shared" si="32"/>
        <v>2.5426382110512119E-3</v>
      </c>
      <c r="L66" s="3785">
        <f t="shared" si="32"/>
        <v>2.8491281475295969E-3</v>
      </c>
      <c r="M66" s="3785">
        <f t="shared" si="32"/>
        <v>2.8491281475295969E-3</v>
      </c>
      <c r="N66" s="3785">
        <f t="shared" si="32"/>
        <v>2.5426382110512119E-3</v>
      </c>
      <c r="O66" s="3785">
        <f t="shared" si="32"/>
        <v>0</v>
      </c>
      <c r="P66" s="3785">
        <f t="shared" si="32"/>
        <v>0</v>
      </c>
      <c r="Q66" s="3785">
        <f t="shared" si="32"/>
        <v>0</v>
      </c>
      <c r="R66" s="3785">
        <f t="shared" si="32"/>
        <v>0</v>
      </c>
      <c r="S66" s="3785">
        <f t="shared" si="32"/>
        <v>0</v>
      </c>
      <c r="T66" s="3785">
        <f t="shared" si="32"/>
        <v>5.5673438238535149E-2</v>
      </c>
      <c r="U66" s="3785">
        <f t="shared" si="32"/>
        <v>5.5673438238535149E-2</v>
      </c>
      <c r="V66" s="3785">
        <f t="shared" si="32"/>
        <v>5.5673438238535149E-2</v>
      </c>
      <c r="W66" s="3785">
        <f t="shared" si="32"/>
        <v>5.5673438238535149E-2</v>
      </c>
      <c r="X66" s="3785">
        <f t="shared" si="32"/>
        <v>5.5673438238535149E-2</v>
      </c>
      <c r="Y66" s="3785">
        <f t="shared" si="32"/>
        <v>5.5673438238535149E-2</v>
      </c>
      <c r="Z66" s="3785">
        <f t="shared" si="32"/>
        <v>5.5673438238535149E-2</v>
      </c>
      <c r="AA66" s="3785">
        <f t="shared" si="32"/>
        <v>5.5673438238535149E-2</v>
      </c>
      <c r="AB66" s="3785">
        <f t="shared" si="32"/>
        <v>0.11775486431456401</v>
      </c>
      <c r="AC66" s="3785">
        <f t="shared" si="32"/>
        <v>0.14918037325525063</v>
      </c>
      <c r="AD66" s="3785">
        <f t="shared" si="32"/>
        <v>0.18046315789749157</v>
      </c>
      <c r="AE66" s="3785">
        <f t="shared" si="32"/>
        <v>8.7711472293384454E-2</v>
      </c>
      <c r="AF66" s="3785">
        <f t="shared" si="32"/>
        <v>6.8808503686923809E-4</v>
      </c>
      <c r="AG66" s="3785">
        <f t="shared" si="32"/>
        <v>1.0127128529417611E-3</v>
      </c>
      <c r="AH66" s="3785">
        <f t="shared" si="32"/>
        <v>8.7453614243675411E-6</v>
      </c>
      <c r="AI66" s="3785">
        <f t="shared" si="32"/>
        <v>1.3118042136551312E-4</v>
      </c>
      <c r="AJ66" s="3785">
        <f t="shared" si="32"/>
        <v>8.7453614243675411E-6</v>
      </c>
      <c r="AK66" s="3785">
        <f t="shared" si="32"/>
        <v>1.3118042136551312E-4</v>
      </c>
      <c r="AL66" s="3785">
        <f t="shared" si="32"/>
        <v>5.5105591212447301E-4</v>
      </c>
      <c r="AM66" s="3785">
        <f t="shared" si="32"/>
        <v>5.5105591212447301E-4</v>
      </c>
      <c r="AN66" s="3785">
        <f t="shared" si="32"/>
        <v>5.5105591212447301E-4</v>
      </c>
      <c r="AO66" s="3785">
        <f t="shared" si="32"/>
        <v>0</v>
      </c>
      <c r="AP66" s="3785">
        <f>SUM(AP56:AP65)</f>
        <v>1</v>
      </c>
      <c r="AR66" s="3780"/>
      <c r="AS66" s="3769" t="s">
        <v>3949</v>
      </c>
      <c r="AT66" s="3769"/>
      <c r="AU66" s="3781">
        <f>SUM(AU56:AU65)</f>
        <v>28586582.974537253</v>
      </c>
      <c r="AV66" s="3782">
        <f>SUM(AV56:AV65)</f>
        <v>1.5868809139264042E-2</v>
      </c>
      <c r="AW66" s="3782">
        <f t="shared" ref="AW66:AX66" si="33">SUM(AW56:AW65)</f>
        <v>0.71232274347809577</v>
      </c>
      <c r="AX66" s="3782">
        <f t="shared" si="33"/>
        <v>0.27180844738264021</v>
      </c>
      <c r="AY66" s="3782">
        <f>SUM(AV66:AX66)</f>
        <v>1</v>
      </c>
    </row>
    <row r="67" spans="2:52" ht="17.25" thickBot="1" x14ac:dyDescent="0.3">
      <c r="B67" s="5073" t="s">
        <v>5340</v>
      </c>
      <c r="C67" s="5073"/>
      <c r="D67" s="3119"/>
      <c r="E67" s="3119"/>
      <c r="F67" s="3112">
        <f>F66</f>
        <v>0</v>
      </c>
      <c r="G67" s="3112">
        <f t="shared" ref="G67:W67" si="34">G66</f>
        <v>0</v>
      </c>
      <c r="H67" s="3112">
        <f t="shared" si="34"/>
        <v>0</v>
      </c>
      <c r="I67" s="3112">
        <f t="shared" si="34"/>
        <v>2.5426382110512119E-3</v>
      </c>
      <c r="J67" s="3112">
        <f t="shared" si="34"/>
        <v>2.5426382110512119E-3</v>
      </c>
      <c r="K67" s="3112">
        <f t="shared" si="34"/>
        <v>2.5426382110512119E-3</v>
      </c>
      <c r="L67" s="3112">
        <f t="shared" si="34"/>
        <v>2.8491281475295969E-3</v>
      </c>
      <c r="M67" s="3112">
        <f t="shared" si="34"/>
        <v>2.8491281475295969E-3</v>
      </c>
      <c r="N67" s="3112">
        <f t="shared" si="34"/>
        <v>2.5426382110512119E-3</v>
      </c>
      <c r="O67" s="3112">
        <f t="shared" si="34"/>
        <v>0</v>
      </c>
      <c r="P67" s="3112">
        <f t="shared" si="34"/>
        <v>0</v>
      </c>
      <c r="Q67" s="3112">
        <f t="shared" si="34"/>
        <v>0</v>
      </c>
      <c r="R67" s="3112">
        <f t="shared" si="34"/>
        <v>0</v>
      </c>
      <c r="S67" s="3112">
        <f t="shared" si="34"/>
        <v>0</v>
      </c>
      <c r="T67" s="3112">
        <f t="shared" si="34"/>
        <v>5.5673438238535149E-2</v>
      </c>
      <c r="U67" s="3112">
        <f t="shared" si="34"/>
        <v>5.5673438238535149E-2</v>
      </c>
      <c r="V67" s="3112">
        <f t="shared" si="34"/>
        <v>5.5673438238535149E-2</v>
      </c>
      <c r="W67" s="3112">
        <f t="shared" si="34"/>
        <v>5.5673438238535149E-2</v>
      </c>
      <c r="X67" s="3112">
        <f>X66</f>
        <v>5.5673438238535149E-2</v>
      </c>
      <c r="Y67" s="3112">
        <f t="shared" ref="Y67:AP67" si="35">Y66</f>
        <v>5.5673438238535149E-2</v>
      </c>
      <c r="Z67" s="3112">
        <f t="shared" si="35"/>
        <v>5.5673438238535149E-2</v>
      </c>
      <c r="AA67" s="3112">
        <f t="shared" si="35"/>
        <v>5.5673438238535149E-2</v>
      </c>
      <c r="AB67" s="3112">
        <f t="shared" si="35"/>
        <v>0.11775486431456401</v>
      </c>
      <c r="AC67" s="3112">
        <f t="shared" si="35"/>
        <v>0.14918037325525063</v>
      </c>
      <c r="AD67" s="3112">
        <f t="shared" si="35"/>
        <v>0.18046315789749157</v>
      </c>
      <c r="AE67" s="3112">
        <f t="shared" si="35"/>
        <v>8.7711472293384454E-2</v>
      </c>
      <c r="AF67" s="3112">
        <f t="shared" si="35"/>
        <v>6.8808503686923809E-4</v>
      </c>
      <c r="AG67" s="3112">
        <f t="shared" si="35"/>
        <v>1.0127128529417611E-3</v>
      </c>
      <c r="AH67" s="3112">
        <f t="shared" si="35"/>
        <v>8.7453614243675411E-6</v>
      </c>
      <c r="AI67" s="3112">
        <f t="shared" si="35"/>
        <v>1.3118042136551312E-4</v>
      </c>
      <c r="AJ67" s="3112">
        <f t="shared" si="35"/>
        <v>8.7453614243675411E-6</v>
      </c>
      <c r="AK67" s="3112">
        <f t="shared" si="35"/>
        <v>1.3118042136551312E-4</v>
      </c>
      <c r="AL67" s="3112">
        <f t="shared" si="35"/>
        <v>5.5105591212447301E-4</v>
      </c>
      <c r="AM67" s="3112">
        <f t="shared" si="35"/>
        <v>5.5105591212447301E-4</v>
      </c>
      <c r="AN67" s="3112">
        <f t="shared" si="35"/>
        <v>5.5105591212447301E-4</v>
      </c>
      <c r="AO67" s="3112">
        <f t="shared" si="35"/>
        <v>0</v>
      </c>
      <c r="AP67" s="3112">
        <f t="shared" si="35"/>
        <v>1</v>
      </c>
      <c r="AR67" s="3110"/>
      <c r="AS67" s="3770" t="s">
        <v>5340</v>
      </c>
      <c r="AT67" s="3770"/>
      <c r="AU67" s="3119"/>
      <c r="AV67" s="3112">
        <f>AV66</f>
        <v>1.5868809139264042E-2</v>
      </c>
      <c r="AW67" s="3112">
        <f t="shared" ref="AW67:AX67" si="36">AW66</f>
        <v>0.71232274347809577</v>
      </c>
      <c r="AX67" s="3112">
        <f t="shared" si="36"/>
        <v>0.27180844738264021</v>
      </c>
      <c r="AY67" s="3112">
        <f>SUM(AV67:AX67)</f>
        <v>1</v>
      </c>
    </row>
    <row r="68" spans="2:52" ht="17.25" thickBot="1" x14ac:dyDescent="0.3">
      <c r="B68" s="5073" t="s">
        <v>5341</v>
      </c>
      <c r="C68" s="5073"/>
      <c r="D68" s="3119"/>
      <c r="E68" s="3119"/>
      <c r="F68" s="3112">
        <f>F67</f>
        <v>0</v>
      </c>
      <c r="G68" s="3112">
        <f>G67+F68</f>
        <v>0</v>
      </c>
      <c r="H68" s="3112">
        <f t="shared" ref="H68" si="37">H67+G68</f>
        <v>0</v>
      </c>
      <c r="I68" s="3112">
        <f t="shared" ref="I68" si="38">I67+H68</f>
        <v>2.5426382110512119E-3</v>
      </c>
      <c r="J68" s="3112">
        <f t="shared" ref="J68" si="39">J67+I68</f>
        <v>5.0852764221024239E-3</v>
      </c>
      <c r="K68" s="3112">
        <f t="shared" ref="K68" si="40">K67+J68</f>
        <v>7.6279146331536358E-3</v>
      </c>
      <c r="L68" s="3112">
        <f t="shared" ref="L68" si="41">L67+K68</f>
        <v>1.0477042780683232E-2</v>
      </c>
      <c r="M68" s="3112">
        <f t="shared" ref="M68" si="42">M67+L68</f>
        <v>1.332617092821283E-2</v>
      </c>
      <c r="N68" s="3112">
        <f t="shared" ref="N68" si="43">N67+M68</f>
        <v>1.5868809139264042E-2</v>
      </c>
      <c r="O68" s="3112">
        <f t="shared" ref="O68" si="44">O67+N68</f>
        <v>1.5868809139264042E-2</v>
      </c>
      <c r="P68" s="3112">
        <f t="shared" ref="P68" si="45">P67+O68</f>
        <v>1.5868809139264042E-2</v>
      </c>
      <c r="Q68" s="3112">
        <f t="shared" ref="Q68" si="46">Q67+P68</f>
        <v>1.5868809139264042E-2</v>
      </c>
      <c r="R68" s="3112">
        <f t="shared" ref="R68" si="47">R67+Q68</f>
        <v>1.5868809139264042E-2</v>
      </c>
      <c r="S68" s="3112">
        <f t="shared" ref="S68" si="48">S67+R68</f>
        <v>1.5868809139264042E-2</v>
      </c>
      <c r="T68" s="3112">
        <f t="shared" ref="T68" si="49">T67+S68</f>
        <v>7.1542247377799184E-2</v>
      </c>
      <c r="U68" s="3112">
        <f t="shared" ref="U68" si="50">U67+T68</f>
        <v>0.12721568561633434</v>
      </c>
      <c r="V68" s="3112">
        <f t="shared" ref="V68" si="51">V67+U68</f>
        <v>0.1828891238548695</v>
      </c>
      <c r="W68" s="3112">
        <f t="shared" ref="W68" si="52">W67+V68</f>
        <v>0.23856256209340465</v>
      </c>
      <c r="X68" s="3112">
        <f t="shared" ref="X68" si="53">X67+W68</f>
        <v>0.29423600033193981</v>
      </c>
      <c r="Y68" s="3112">
        <f t="shared" ref="Y68" si="54">Y67+X68</f>
        <v>0.34990943857047496</v>
      </c>
      <c r="Z68" s="3112">
        <f t="shared" ref="Z68" si="55">Z67+Y68</f>
        <v>0.40558287680901012</v>
      </c>
      <c r="AA68" s="3112">
        <f t="shared" ref="AA68" si="56">AA67+Z68</f>
        <v>0.46125631504754527</v>
      </c>
      <c r="AB68" s="3112">
        <f t="shared" ref="AB68" si="57">AB67+AA68</f>
        <v>0.57901117936210933</v>
      </c>
      <c r="AC68" s="3112">
        <f t="shared" ref="AC68" si="58">AC67+AB68</f>
        <v>0.72819155261735991</v>
      </c>
      <c r="AD68" s="3112">
        <f t="shared" ref="AD68" si="59">AD67+AC68</f>
        <v>0.90865471051485147</v>
      </c>
      <c r="AE68" s="3112">
        <f t="shared" ref="AE68" si="60">AE67+AD68</f>
        <v>0.99636618280823597</v>
      </c>
      <c r="AF68" s="3112">
        <f t="shared" ref="AF68" si="61">AF67+AE68</f>
        <v>0.9970542678451052</v>
      </c>
      <c r="AG68" s="3112">
        <f t="shared" ref="AG68" si="62">AG67+AF68</f>
        <v>0.998066980698047</v>
      </c>
      <c r="AH68" s="3112">
        <f t="shared" ref="AH68" si="63">AH67+AG68</f>
        <v>0.99807572605947137</v>
      </c>
      <c r="AI68" s="3112">
        <f t="shared" ref="AI68" si="64">AI67+AH68</f>
        <v>0.99820690648083688</v>
      </c>
      <c r="AJ68" s="3112">
        <f t="shared" ref="AJ68" si="65">AJ67+AI68</f>
        <v>0.99821565184226124</v>
      </c>
      <c r="AK68" s="3112">
        <f t="shared" ref="AK68" si="66">AK67+AJ68</f>
        <v>0.99834683226362675</v>
      </c>
      <c r="AL68" s="3112">
        <f t="shared" ref="AL68" si="67">AL67+AK68</f>
        <v>0.9988978881757512</v>
      </c>
      <c r="AM68" s="3112">
        <f t="shared" ref="AM68" si="68">AM67+AL68</f>
        <v>0.99944894408787566</v>
      </c>
      <c r="AN68" s="3112">
        <f t="shared" ref="AN68" si="69">AN67+AM68</f>
        <v>1.0000000000000002</v>
      </c>
      <c r="AO68" s="3112">
        <f t="shared" ref="AO68" si="70">AO67+AN68</f>
        <v>1.0000000000000002</v>
      </c>
      <c r="AP68" s="3112"/>
      <c r="AR68" s="3110"/>
      <c r="AS68" s="3770" t="s">
        <v>5341</v>
      </c>
      <c r="AT68" s="3770"/>
      <c r="AU68" s="3119"/>
      <c r="AV68" s="3112">
        <f t="shared" ref="AV68" si="71">AV67+AU68</f>
        <v>1.5868809139264042E-2</v>
      </c>
      <c r="AW68" s="3112">
        <f t="shared" ref="AW68:AX68" si="72">AW67+AV68</f>
        <v>0.72819155261735979</v>
      </c>
      <c r="AX68" s="3112">
        <f t="shared" si="72"/>
        <v>1</v>
      </c>
      <c r="AY68" s="3112"/>
    </row>
    <row r="71" spans="2:52" ht="17.25" thickBot="1" x14ac:dyDescent="0.3"/>
    <row r="72" spans="2:52" ht="17.25" thickBot="1" x14ac:dyDescent="0.3">
      <c r="B72" s="5041" t="s">
        <v>5342</v>
      </c>
      <c r="C72" s="5042"/>
      <c r="D72" s="5042"/>
      <c r="E72" s="5042"/>
      <c r="F72" s="5042"/>
      <c r="G72" s="5042"/>
      <c r="H72" s="5042"/>
      <c r="I72" s="5042"/>
      <c r="J72" s="5042"/>
      <c r="K72" s="5042"/>
      <c r="L72" s="5042"/>
      <c r="M72" s="5042"/>
      <c r="N72" s="5042"/>
      <c r="O72" s="5042"/>
      <c r="P72" s="5042"/>
      <c r="Q72" s="5042"/>
      <c r="R72" s="5042"/>
      <c r="S72" s="5042"/>
      <c r="T72" s="5042"/>
      <c r="U72" s="5042"/>
      <c r="V72" s="5042"/>
      <c r="W72" s="5042"/>
      <c r="X72" s="5042"/>
      <c r="Y72" s="5043"/>
      <c r="Z72" s="5043"/>
      <c r="AA72" s="5043"/>
      <c r="AB72" s="5043"/>
      <c r="AC72" s="5043"/>
      <c r="AD72" s="5043"/>
      <c r="AE72" s="5043"/>
      <c r="AF72" s="5043"/>
      <c r="AG72" s="5043"/>
      <c r="AH72" s="5043"/>
      <c r="AI72" s="5043"/>
      <c r="AJ72" s="5043"/>
      <c r="AK72" s="5043"/>
      <c r="AL72" s="5043"/>
      <c r="AM72" s="5043"/>
      <c r="AN72" s="5043"/>
      <c r="AO72" s="5043"/>
      <c r="AP72" s="5044"/>
    </row>
    <row r="73" spans="2:52" ht="17.25" thickBot="1" x14ac:dyDescent="0.3">
      <c r="B73" s="5064" t="s">
        <v>62</v>
      </c>
      <c r="C73" s="5066" t="s">
        <v>5306</v>
      </c>
      <c r="D73" s="5086" t="s">
        <v>3850</v>
      </c>
      <c r="E73" s="5093" t="s">
        <v>5337</v>
      </c>
      <c r="F73" s="5032" t="s">
        <v>5308</v>
      </c>
      <c r="G73" s="5032"/>
      <c r="H73" s="5032"/>
      <c r="I73" s="5032"/>
      <c r="J73" s="5032"/>
      <c r="K73" s="5032"/>
      <c r="L73" s="5032"/>
      <c r="M73" s="5032"/>
      <c r="N73" s="5032"/>
      <c r="O73" s="5032"/>
      <c r="P73" s="5032"/>
      <c r="Q73" s="5032"/>
      <c r="R73" s="5035" t="s">
        <v>5309</v>
      </c>
      <c r="S73" s="5036"/>
      <c r="T73" s="5036"/>
      <c r="U73" s="5036"/>
      <c r="V73" s="5036"/>
      <c r="W73" s="5036"/>
      <c r="X73" s="5036"/>
      <c r="Y73" s="5036"/>
      <c r="Z73" s="5036"/>
      <c r="AA73" s="5036"/>
      <c r="AB73" s="5036"/>
      <c r="AC73" s="5037"/>
      <c r="AD73" s="5032" t="s">
        <v>5310</v>
      </c>
      <c r="AE73" s="5032"/>
      <c r="AF73" s="5032"/>
      <c r="AG73" s="5032"/>
      <c r="AH73" s="5032"/>
      <c r="AI73" s="5032"/>
      <c r="AJ73" s="5032"/>
      <c r="AK73" s="5032"/>
      <c r="AL73" s="5032"/>
      <c r="AM73" s="5032"/>
      <c r="AN73" s="5032"/>
      <c r="AO73" s="5032"/>
      <c r="AP73" s="5070" t="s">
        <v>0</v>
      </c>
    </row>
    <row r="74" spans="2:52" ht="17.25" thickBot="1" x14ac:dyDescent="0.3">
      <c r="B74" s="5064"/>
      <c r="C74" s="5066"/>
      <c r="D74" s="5089"/>
      <c r="E74" s="5094"/>
      <c r="F74" s="5032" t="s">
        <v>5311</v>
      </c>
      <c r="G74" s="5032"/>
      <c r="H74" s="5032"/>
      <c r="I74" s="5032"/>
      <c r="J74" s="5032"/>
      <c r="K74" s="5032"/>
      <c r="L74" s="5032"/>
      <c r="M74" s="5032"/>
      <c r="N74" s="5032"/>
      <c r="O74" s="5032"/>
      <c r="P74" s="5032"/>
      <c r="Q74" s="5032"/>
      <c r="R74" s="5035" t="s">
        <v>5312</v>
      </c>
      <c r="S74" s="5036"/>
      <c r="T74" s="5036"/>
      <c r="U74" s="5036"/>
      <c r="V74" s="5036"/>
      <c r="W74" s="5036"/>
      <c r="X74" s="5036"/>
      <c r="Y74" s="5036"/>
      <c r="Z74" s="5036"/>
      <c r="AA74" s="5036"/>
      <c r="AB74" s="5036"/>
      <c r="AC74" s="5037"/>
      <c r="AD74" s="5032" t="s">
        <v>5313</v>
      </c>
      <c r="AE74" s="5032"/>
      <c r="AF74" s="5032"/>
      <c r="AG74" s="5032"/>
      <c r="AH74" s="5032"/>
      <c r="AI74" s="5032"/>
      <c r="AJ74" s="5032"/>
      <c r="AK74" s="5032"/>
      <c r="AL74" s="5032"/>
      <c r="AM74" s="5032"/>
      <c r="AN74" s="5032"/>
      <c r="AO74" s="5032"/>
      <c r="AP74" s="5070"/>
      <c r="AR74" s="4338" t="s">
        <v>5338</v>
      </c>
      <c r="AS74" s="4318"/>
      <c r="AT74" s="4318"/>
      <c r="AU74" s="4318"/>
      <c r="AV74" s="4318"/>
      <c r="AW74" s="4318"/>
      <c r="AX74" s="5085"/>
      <c r="AY74" s="4319"/>
    </row>
    <row r="75" spans="2:52" ht="17.25" thickBot="1" x14ac:dyDescent="0.3">
      <c r="B75" s="5064"/>
      <c r="C75" s="5066"/>
      <c r="D75" s="5089"/>
      <c r="E75" s="5094"/>
      <c r="F75" s="5034" t="s">
        <v>5314</v>
      </c>
      <c r="G75" s="5034"/>
      <c r="H75" s="5034"/>
      <c r="I75" s="5033" t="s">
        <v>5315</v>
      </c>
      <c r="J75" s="5033"/>
      <c r="K75" s="5033"/>
      <c r="L75" s="5034" t="s">
        <v>5316</v>
      </c>
      <c r="M75" s="5034"/>
      <c r="N75" s="5034"/>
      <c r="O75" s="5033" t="s">
        <v>5317</v>
      </c>
      <c r="P75" s="5033"/>
      <c r="Q75" s="5033"/>
      <c r="R75" s="5034" t="s">
        <v>5314</v>
      </c>
      <c r="S75" s="5034"/>
      <c r="T75" s="5034"/>
      <c r="U75" s="5033" t="s">
        <v>5315</v>
      </c>
      <c r="V75" s="5033"/>
      <c r="W75" s="5033"/>
      <c r="X75" s="5029" t="s">
        <v>5316</v>
      </c>
      <c r="Y75" s="5030"/>
      <c r="Z75" s="5031"/>
      <c r="AA75" s="5033" t="s">
        <v>5317</v>
      </c>
      <c r="AB75" s="5033"/>
      <c r="AC75" s="5033"/>
      <c r="AD75" s="5034" t="s">
        <v>5314</v>
      </c>
      <c r="AE75" s="5034"/>
      <c r="AF75" s="5034"/>
      <c r="AG75" s="5033" t="s">
        <v>5315</v>
      </c>
      <c r="AH75" s="5033"/>
      <c r="AI75" s="5033"/>
      <c r="AJ75" s="5034" t="s">
        <v>5316</v>
      </c>
      <c r="AK75" s="5034"/>
      <c r="AL75" s="5034"/>
      <c r="AM75" s="5033" t="s">
        <v>5317</v>
      </c>
      <c r="AN75" s="5033"/>
      <c r="AO75" s="5033"/>
      <c r="AP75" s="5070"/>
      <c r="AR75" s="5064" t="s">
        <v>62</v>
      </c>
      <c r="AS75" s="5066" t="s">
        <v>5306</v>
      </c>
      <c r="AT75" s="5086" t="s">
        <v>3850</v>
      </c>
      <c r="AU75" s="5068" t="s">
        <v>5337</v>
      </c>
      <c r="AV75" s="3105" t="s">
        <v>5308</v>
      </c>
      <c r="AW75" s="3105" t="s">
        <v>5309</v>
      </c>
      <c r="AX75" s="3778" t="s">
        <v>5310</v>
      </c>
      <c r="AY75" s="5070" t="s">
        <v>0</v>
      </c>
    </row>
    <row r="76" spans="2:52" ht="17.25" thickBot="1" x14ac:dyDescent="0.3">
      <c r="B76" s="5065"/>
      <c r="C76" s="5067"/>
      <c r="D76" s="5087"/>
      <c r="E76" s="5095"/>
      <c r="F76" s="3106" t="s">
        <v>5318</v>
      </c>
      <c r="G76" s="3106" t="s">
        <v>5319</v>
      </c>
      <c r="H76" s="3106" t="s">
        <v>5320</v>
      </c>
      <c r="I76" s="3107" t="s">
        <v>5318</v>
      </c>
      <c r="J76" s="3107" t="s">
        <v>5319</v>
      </c>
      <c r="K76" s="3107" t="s">
        <v>5320</v>
      </c>
      <c r="L76" s="3106" t="s">
        <v>5318</v>
      </c>
      <c r="M76" s="3106" t="s">
        <v>5319</v>
      </c>
      <c r="N76" s="3106" t="s">
        <v>5320</v>
      </c>
      <c r="O76" s="3107" t="s">
        <v>5318</v>
      </c>
      <c r="P76" s="3107" t="s">
        <v>5319</v>
      </c>
      <c r="Q76" s="3107" t="s">
        <v>5320</v>
      </c>
      <c r="R76" s="3106" t="s">
        <v>5318</v>
      </c>
      <c r="S76" s="3106" t="s">
        <v>5319</v>
      </c>
      <c r="T76" s="3106" t="s">
        <v>5320</v>
      </c>
      <c r="U76" s="3107" t="s">
        <v>5318</v>
      </c>
      <c r="V76" s="3107" t="s">
        <v>5319</v>
      </c>
      <c r="W76" s="3107" t="s">
        <v>5320</v>
      </c>
      <c r="X76" s="3106" t="s">
        <v>5318</v>
      </c>
      <c r="Y76" s="3106" t="s">
        <v>5319</v>
      </c>
      <c r="Z76" s="3106" t="s">
        <v>5320</v>
      </c>
      <c r="AA76" s="3107" t="s">
        <v>5318</v>
      </c>
      <c r="AB76" s="3107" t="s">
        <v>5319</v>
      </c>
      <c r="AC76" s="3107" t="s">
        <v>5320</v>
      </c>
      <c r="AD76" s="3106" t="s">
        <v>5318</v>
      </c>
      <c r="AE76" s="3106" t="s">
        <v>5319</v>
      </c>
      <c r="AF76" s="3106" t="s">
        <v>5320</v>
      </c>
      <c r="AG76" s="3107" t="s">
        <v>5318</v>
      </c>
      <c r="AH76" s="3107" t="s">
        <v>5319</v>
      </c>
      <c r="AI76" s="3107" t="s">
        <v>5320</v>
      </c>
      <c r="AJ76" s="3106" t="s">
        <v>5318</v>
      </c>
      <c r="AK76" s="3106" t="s">
        <v>5319</v>
      </c>
      <c r="AL76" s="3106" t="s">
        <v>5320</v>
      </c>
      <c r="AM76" s="3107" t="s">
        <v>5318</v>
      </c>
      <c r="AN76" s="3107" t="s">
        <v>5319</v>
      </c>
      <c r="AO76" s="3107" t="s">
        <v>5320</v>
      </c>
      <c r="AP76" s="5071"/>
      <c r="AR76" s="5065"/>
      <c r="AS76" s="5067"/>
      <c r="AT76" s="5087"/>
      <c r="AU76" s="5069"/>
      <c r="AV76" s="3106" t="s">
        <v>5311</v>
      </c>
      <c r="AW76" s="3106" t="s">
        <v>5312</v>
      </c>
      <c r="AX76" s="3106" t="s">
        <v>5313</v>
      </c>
      <c r="AY76" s="5071"/>
    </row>
    <row r="77" spans="2:52" ht="17.25" thickBot="1" x14ac:dyDescent="0.3">
      <c r="B77" s="3498" t="s">
        <v>5321</v>
      </c>
      <c r="C77" s="3108" t="s">
        <v>5926</v>
      </c>
      <c r="D77" s="3109" t="s">
        <v>3890</v>
      </c>
      <c r="E77" s="3712">
        <f t="shared" ref="E77:E86" si="73">E98</f>
        <v>348304.02916666667</v>
      </c>
      <c r="F77" s="3120"/>
      <c r="G77" s="3120"/>
      <c r="H77" s="3120"/>
      <c r="I77" s="3122">
        <f>1/6</f>
        <v>0.16666666666666666</v>
      </c>
      <c r="J77" s="3122">
        <f t="shared" ref="J77:N77" si="74">1/6</f>
        <v>0.16666666666666666</v>
      </c>
      <c r="K77" s="3122">
        <f t="shared" si="74"/>
        <v>0.16666666666666666</v>
      </c>
      <c r="L77" s="3122">
        <f t="shared" si="74"/>
        <v>0.16666666666666666</v>
      </c>
      <c r="M77" s="3122">
        <f t="shared" si="74"/>
        <v>0.16666666666666666</v>
      </c>
      <c r="N77" s="3122">
        <f t="shared" si="74"/>
        <v>0.16666666666666666</v>
      </c>
      <c r="O77" s="3120"/>
      <c r="P77" s="3120"/>
      <c r="Q77" s="3120"/>
      <c r="R77" s="3120"/>
      <c r="S77" s="3120"/>
      <c r="T77" s="3120"/>
      <c r="U77" s="3120"/>
      <c r="V77" s="3120"/>
      <c r="W77" s="3120"/>
      <c r="X77" s="3120"/>
      <c r="Y77" s="3120"/>
      <c r="Z77" s="3120"/>
      <c r="AA77" s="3120"/>
      <c r="AB77" s="3120"/>
      <c r="AC77" s="3120"/>
      <c r="AD77" s="3120"/>
      <c r="AE77" s="3120"/>
      <c r="AF77" s="3120"/>
      <c r="AG77" s="3120"/>
      <c r="AH77" s="3120"/>
      <c r="AI77" s="3120"/>
      <c r="AJ77" s="3120"/>
      <c r="AK77" s="3120"/>
      <c r="AL77" s="3120"/>
      <c r="AM77" s="3120"/>
      <c r="AN77" s="3120"/>
      <c r="AO77" s="3120"/>
      <c r="AP77" s="3120">
        <f>SUM(I77:AO77)</f>
        <v>0.99999999999999989</v>
      </c>
      <c r="AR77" s="3124">
        <v>1</v>
      </c>
      <c r="AS77" s="3136" t="s">
        <v>5926</v>
      </c>
      <c r="AT77" s="3109" t="s">
        <v>3890</v>
      </c>
      <c r="AU77" s="3126">
        <f>E77</f>
        <v>348304.02916666667</v>
      </c>
      <c r="AV77" s="3829">
        <f>SUM(F77:Q77)</f>
        <v>0.99999999999999989</v>
      </c>
      <c r="AW77" s="3830"/>
      <c r="AX77" s="3830"/>
      <c r="AY77" s="3127">
        <f>SUM(AV77:AX77)</f>
        <v>0.99999999999999989</v>
      </c>
      <c r="AZ77" s="3128"/>
    </row>
    <row r="78" spans="2:52" ht="17.25" thickBot="1" x14ac:dyDescent="0.3">
      <c r="B78" s="3498" t="s">
        <v>5323</v>
      </c>
      <c r="C78" s="3108" t="s">
        <v>5927</v>
      </c>
      <c r="D78" s="3109" t="s">
        <v>3890</v>
      </c>
      <c r="E78" s="3712">
        <f t="shared" si="73"/>
        <v>87808</v>
      </c>
      <c r="F78" s="3120"/>
      <c r="G78" s="3120"/>
      <c r="H78" s="3120"/>
      <c r="I78" s="3129">
        <f>1/6</f>
        <v>0.16666666666666666</v>
      </c>
      <c r="J78" s="3129">
        <v>0.16666666666666666</v>
      </c>
      <c r="K78" s="3129">
        <v>0.16666666666666666</v>
      </c>
      <c r="L78" s="3129">
        <v>0.16666666666666666</v>
      </c>
      <c r="M78" s="3129">
        <v>0.16666666666666666</v>
      </c>
      <c r="N78" s="3129">
        <v>0.16666666666666666</v>
      </c>
      <c r="O78" s="3120"/>
      <c r="P78" s="3120"/>
      <c r="Q78" s="3120"/>
      <c r="R78" s="3120"/>
      <c r="S78" s="3120"/>
      <c r="T78" s="3120"/>
      <c r="U78" s="3120"/>
      <c r="V78" s="3120"/>
      <c r="W78" s="3120"/>
      <c r="X78" s="3120"/>
      <c r="Y78" s="3120"/>
      <c r="Z78" s="3120"/>
      <c r="AA78" s="3120"/>
      <c r="AB78" s="3120"/>
      <c r="AC78" s="3120"/>
      <c r="AD78" s="3120"/>
      <c r="AE78" s="3120"/>
      <c r="AF78" s="3120"/>
      <c r="AG78" s="3120"/>
      <c r="AH78" s="3120"/>
      <c r="AI78" s="3120"/>
      <c r="AJ78" s="3120"/>
      <c r="AK78" s="3120"/>
      <c r="AL78" s="3120"/>
      <c r="AM78" s="3120"/>
      <c r="AN78" s="3120"/>
      <c r="AO78" s="3120"/>
      <c r="AP78" s="3120">
        <f t="shared" ref="AP78:AP79" si="75">SUM(I78:AO78)</f>
        <v>0.99999999999999989</v>
      </c>
      <c r="AR78" s="3124">
        <v>2</v>
      </c>
      <c r="AS78" s="3136" t="s">
        <v>5927</v>
      </c>
      <c r="AT78" s="3109" t="s">
        <v>3890</v>
      </c>
      <c r="AU78" s="3126">
        <f t="shared" ref="AU78:AU86" si="76">E78</f>
        <v>87808</v>
      </c>
      <c r="AV78" s="3829">
        <f t="shared" ref="AV78:AV79" si="77">SUM(F78:Q78)</f>
        <v>0.99999999999999989</v>
      </c>
      <c r="AW78" s="3830"/>
      <c r="AX78" s="3830"/>
      <c r="AY78" s="3127">
        <f t="shared" ref="AY78:AY86" si="78">SUM(AV78:AX78)</f>
        <v>0.99999999999999989</v>
      </c>
      <c r="AZ78" s="3128"/>
    </row>
    <row r="79" spans="2:52" ht="17.25" thickBot="1" x14ac:dyDescent="0.3">
      <c r="B79" s="3498" t="s">
        <v>5324</v>
      </c>
      <c r="C79" s="3108" t="s">
        <v>5928</v>
      </c>
      <c r="D79" s="3109" t="s">
        <v>3890</v>
      </c>
      <c r="E79" s="3712">
        <f t="shared" si="73"/>
        <v>17523</v>
      </c>
      <c r="F79" s="3120"/>
      <c r="G79" s="3120"/>
      <c r="H79" s="3120"/>
      <c r="J79" s="3120"/>
      <c r="K79" s="3120"/>
      <c r="L79" s="3130">
        <v>0.5</v>
      </c>
      <c r="M79" s="3130">
        <v>0.5</v>
      </c>
      <c r="N79" s="3120"/>
      <c r="O79" s="3120"/>
      <c r="P79" s="3120"/>
      <c r="Q79" s="3120"/>
      <c r="R79" s="3120"/>
      <c r="S79" s="3120"/>
      <c r="T79" s="3120">
        <v>1</v>
      </c>
      <c r="U79" s="3120">
        <v>2</v>
      </c>
      <c r="V79" s="3120">
        <v>3</v>
      </c>
      <c r="W79" s="3120">
        <v>4</v>
      </c>
      <c r="X79" s="3120">
        <v>5</v>
      </c>
      <c r="Y79" s="3120">
        <v>6</v>
      </c>
      <c r="Z79" s="3120">
        <v>7</v>
      </c>
      <c r="AA79" s="3120">
        <v>8</v>
      </c>
      <c r="AB79" s="3120">
        <v>9</v>
      </c>
      <c r="AC79" s="3120">
        <v>10</v>
      </c>
      <c r="AD79" s="3120">
        <v>11</v>
      </c>
      <c r="AE79" s="3120">
        <v>12</v>
      </c>
      <c r="AF79" s="3120"/>
      <c r="AG79" s="3120"/>
      <c r="AH79" s="3120"/>
      <c r="AI79" s="3120"/>
      <c r="AJ79" s="3120"/>
      <c r="AK79" s="3120"/>
      <c r="AL79" s="3120"/>
      <c r="AM79" s="3120"/>
      <c r="AN79" s="3120"/>
      <c r="AO79" s="3120"/>
      <c r="AP79" s="3120">
        <f t="shared" si="75"/>
        <v>79</v>
      </c>
      <c r="AR79" s="3124">
        <v>3</v>
      </c>
      <c r="AS79" s="3136" t="s">
        <v>5928</v>
      </c>
      <c r="AT79" s="3109" t="s">
        <v>3890</v>
      </c>
      <c r="AU79" s="3126">
        <f t="shared" si="76"/>
        <v>17523</v>
      </c>
      <c r="AV79" s="3829">
        <f t="shared" si="77"/>
        <v>1</v>
      </c>
      <c r="AW79" s="3829">
        <f t="shared" ref="AW79:AW85" si="79">SUM(R79:AC79)</f>
        <v>55</v>
      </c>
      <c r="AX79" s="3829">
        <f t="shared" ref="AX79:AX86" si="80">SUM(AD79:AO79)</f>
        <v>23</v>
      </c>
      <c r="AY79" s="3127">
        <f t="shared" si="78"/>
        <v>79</v>
      </c>
      <c r="AZ79" s="3128"/>
    </row>
    <row r="80" spans="2:52" ht="17.25" thickBot="1" x14ac:dyDescent="0.3">
      <c r="B80" s="3498" t="s">
        <v>5326</v>
      </c>
      <c r="C80" s="3108" t="s">
        <v>5328</v>
      </c>
      <c r="D80" s="3109" t="s">
        <v>3856</v>
      </c>
      <c r="E80" s="3712">
        <f t="shared" si="73"/>
        <v>18408796.040203921</v>
      </c>
      <c r="F80" s="3120"/>
      <c r="G80" s="3120"/>
      <c r="H80" s="3120"/>
      <c r="I80" s="3120"/>
      <c r="J80" s="3120"/>
      <c r="K80" s="3120"/>
      <c r="L80" s="3120"/>
      <c r="M80" s="3120"/>
      <c r="N80" s="3120"/>
      <c r="O80" s="3120"/>
      <c r="P80" s="3120"/>
      <c r="Q80" s="3120"/>
      <c r="R80" s="3120"/>
      <c r="S80" s="3120"/>
      <c r="T80" s="3132">
        <f>SUM('28.1 Cronograma Valorizado'!J64:K64)</f>
        <v>557.31371428571424</v>
      </c>
      <c r="U80" s="3132">
        <f>SUM('28.1 Cronograma Valorizado'!L64:M64)</f>
        <v>551.79954761904776</v>
      </c>
      <c r="V80" s="3132">
        <f>SUM('28.1 Cronograma Valorizado'!N64:O64)</f>
        <v>578.75288095238102</v>
      </c>
      <c r="W80" s="3132">
        <f>SUM('28.1 Cronograma Valorizado'!P64:Q64)</f>
        <v>332.82288095238096</v>
      </c>
      <c r="X80" s="3132">
        <f>SUM('28.1 Cronograma Valorizado'!R64:S64)</f>
        <v>363.26371428571429</v>
      </c>
      <c r="Y80" s="3132">
        <f>SUM('28.1 Cronograma Valorizado'!T64:U64)</f>
        <v>288.70154761904763</v>
      </c>
      <c r="Z80" s="3132">
        <f>SUM('28.1 Cronograma Valorizado'!V64:W64)</f>
        <v>364.79571428571433</v>
      </c>
      <c r="AA80" s="3132">
        <f>SUM('28.1 Cronograma Valorizado'!X64:Y64)</f>
        <v>328.82000000000005</v>
      </c>
      <c r="AB80" s="3132">
        <f>SUM('28.1 Cronograma Valorizado'!Z64:AA64)</f>
        <v>378.17583333333334</v>
      </c>
      <c r="AC80" s="3132">
        <f>SUM('28.1 Cronograma Valorizado'!AB64:AC64)</f>
        <v>408.57749999999999</v>
      </c>
      <c r="AD80" s="3132">
        <f>SUM('28.1 Cronograma Valorizado'!AD64:AE64)</f>
        <v>128.58833333333334</v>
      </c>
      <c r="AE80" s="3132">
        <f>SUM('28.1 Cronograma Valorizado'!AF64:AG64)</f>
        <v>128.58833333333334</v>
      </c>
      <c r="AF80" s="3123"/>
      <c r="AG80" s="3123"/>
      <c r="AH80" s="3123"/>
      <c r="AI80" s="3123"/>
      <c r="AJ80" s="3123"/>
      <c r="AK80" s="3123"/>
      <c r="AL80" s="3123"/>
      <c r="AM80" s="3123"/>
      <c r="AN80" s="3123"/>
      <c r="AO80" s="3123"/>
      <c r="AP80" s="3120">
        <f>SUM(I80:AO80)</f>
        <v>4410.2000000000007</v>
      </c>
      <c r="AR80" s="3124">
        <v>4</v>
      </c>
      <c r="AS80" s="3136" t="s">
        <v>5328</v>
      </c>
      <c r="AT80" s="3109" t="s">
        <v>3856</v>
      </c>
      <c r="AU80" s="3126">
        <f t="shared" si="76"/>
        <v>18408796.040203921</v>
      </c>
      <c r="AV80" s="3830"/>
      <c r="AW80" s="3829">
        <f t="shared" si="79"/>
        <v>4153.0233333333344</v>
      </c>
      <c r="AX80" s="3829">
        <f t="shared" si="80"/>
        <v>257.17666666666668</v>
      </c>
      <c r="AY80" s="3127">
        <f t="shared" si="78"/>
        <v>4410.2000000000007</v>
      </c>
      <c r="AZ80" s="3128"/>
    </row>
    <row r="81" spans="1:52" ht="17.25" thickBot="1" x14ac:dyDescent="0.3">
      <c r="B81" s="3498" t="s">
        <v>5327</v>
      </c>
      <c r="C81" s="3108" t="s">
        <v>5925</v>
      </c>
      <c r="D81" s="3109" t="s">
        <v>3903</v>
      </c>
      <c r="E81" s="3712">
        <f t="shared" si="73"/>
        <v>8873479.1885000002</v>
      </c>
      <c r="F81" s="3120"/>
      <c r="G81" s="3120"/>
      <c r="H81" s="3120"/>
      <c r="I81" s="3120"/>
      <c r="J81" s="3120"/>
      <c r="K81" s="3120"/>
      <c r="L81" s="3120"/>
      <c r="M81" s="3120"/>
      <c r="N81" s="3120"/>
      <c r="O81" s="3120"/>
      <c r="P81" s="3120"/>
      <c r="Q81" s="3120"/>
      <c r="R81" s="3120"/>
      <c r="S81" s="3120"/>
      <c r="T81" s="3120"/>
      <c r="U81" s="3120"/>
      <c r="V81" s="3120"/>
      <c r="W81" s="3120"/>
      <c r="X81" s="3133"/>
      <c r="Y81" s="3133"/>
      <c r="Z81" s="3133"/>
      <c r="AA81" s="3133"/>
      <c r="AB81" s="3134">
        <f>AB40*'23. Costos de Inversion'!$F$48</f>
        <v>356.3</v>
      </c>
      <c r="AC81" s="3134">
        <f>AC40*'23. Costos de Inversion'!$F$48</f>
        <v>534.44999999999993</v>
      </c>
      <c r="AD81" s="3134">
        <f>AD40*'23. Costos de Inversion'!$F$48</f>
        <v>712.6</v>
      </c>
      <c r="AE81" s="3134">
        <f>AE40*'23. Costos de Inversion'!$F$48</f>
        <v>178.15</v>
      </c>
      <c r="AF81" s="3133"/>
      <c r="AG81" s="3133"/>
      <c r="AH81" s="3133"/>
      <c r="AI81" s="3133"/>
      <c r="AJ81" s="3133"/>
      <c r="AK81" s="3133"/>
      <c r="AL81" s="3133"/>
      <c r="AM81" s="3133"/>
      <c r="AN81" s="3133"/>
      <c r="AO81" s="3133"/>
      <c r="AP81" s="3127">
        <f t="shared" ref="AP81:AP86" si="81">SUM(I81:AO81)</f>
        <v>1781.5</v>
      </c>
      <c r="AR81" s="3124">
        <v>5</v>
      </c>
      <c r="AS81" s="3136" t="s">
        <v>5925</v>
      </c>
      <c r="AT81" s="3109" t="s">
        <v>3903</v>
      </c>
      <c r="AU81" s="3126">
        <f t="shared" si="76"/>
        <v>8873479.1885000002</v>
      </c>
      <c r="AV81" s="3830"/>
      <c r="AW81" s="3829">
        <f t="shared" si="79"/>
        <v>890.75</v>
      </c>
      <c r="AX81" s="3829">
        <f t="shared" si="80"/>
        <v>890.75</v>
      </c>
      <c r="AY81" s="3127">
        <f t="shared" si="78"/>
        <v>1781.5</v>
      </c>
      <c r="AZ81" s="3128"/>
    </row>
    <row r="82" spans="1:52" ht="33.75" thickBot="1" x14ac:dyDescent="0.3">
      <c r="B82" s="3498" t="s">
        <v>5330</v>
      </c>
      <c r="C82" s="3115" t="s">
        <v>5929</v>
      </c>
      <c r="D82" s="3737" t="s">
        <v>5953</v>
      </c>
      <c r="E82" s="3712">
        <f t="shared" si="73"/>
        <v>84050</v>
      </c>
      <c r="F82" s="3120"/>
      <c r="G82" s="3120"/>
      <c r="H82" s="3120"/>
      <c r="I82" s="3120"/>
      <c r="J82" s="3120"/>
      <c r="K82" s="3120"/>
      <c r="L82" s="3120"/>
      <c r="M82" s="3120"/>
      <c r="N82" s="3120"/>
      <c r="O82" s="3120"/>
      <c r="P82" s="3120"/>
      <c r="Q82" s="3120"/>
      <c r="R82" s="3120"/>
      <c r="S82" s="3120"/>
      <c r="T82" s="3120"/>
      <c r="U82" s="3120"/>
      <c r="V82" s="3120"/>
      <c r="W82" s="3120"/>
      <c r="X82" s="3123"/>
      <c r="Y82" s="3123"/>
      <c r="Z82" s="3123"/>
      <c r="AA82" s="3123"/>
      <c r="AB82" s="3123"/>
      <c r="AC82" s="3123"/>
      <c r="AD82" s="3720">
        <v>4</v>
      </c>
      <c r="AE82" s="3720">
        <v>5</v>
      </c>
      <c r="AF82" s="3720">
        <v>4</v>
      </c>
      <c r="AG82" s="3720">
        <v>5</v>
      </c>
      <c r="AH82" s="3123"/>
      <c r="AI82" s="3123"/>
      <c r="AJ82" s="3123"/>
      <c r="AK82" s="3123"/>
      <c r="AL82" s="3123"/>
      <c r="AM82" s="3123"/>
      <c r="AN82" s="3123"/>
      <c r="AO82" s="3123"/>
      <c r="AP82" s="3120">
        <f t="shared" si="81"/>
        <v>18</v>
      </c>
      <c r="AR82" s="3124">
        <v>6</v>
      </c>
      <c r="AS82" s="3136" t="s">
        <v>5929</v>
      </c>
      <c r="AT82" s="3737" t="s">
        <v>5956</v>
      </c>
      <c r="AU82" s="3126">
        <f t="shared" si="76"/>
        <v>84050</v>
      </c>
      <c r="AV82" s="3830"/>
      <c r="AW82" s="3830"/>
      <c r="AX82" s="3829">
        <f t="shared" si="80"/>
        <v>18</v>
      </c>
      <c r="AY82" s="3127">
        <f t="shared" si="78"/>
        <v>18</v>
      </c>
      <c r="AZ82" s="3128"/>
    </row>
    <row r="83" spans="1:52" ht="33.75" thickBot="1" x14ac:dyDescent="0.3">
      <c r="B83" s="3498" t="s">
        <v>5331</v>
      </c>
      <c r="C83" s="3115" t="s">
        <v>5930</v>
      </c>
      <c r="D83" s="3109" t="s">
        <v>5955</v>
      </c>
      <c r="E83" s="3712">
        <f t="shared" si="73"/>
        <v>30000</v>
      </c>
      <c r="F83" s="3120"/>
      <c r="G83" s="3120"/>
      <c r="H83" s="3120"/>
      <c r="I83" s="3120"/>
      <c r="J83" s="3131"/>
      <c r="K83" s="3120"/>
      <c r="L83" s="3120"/>
      <c r="M83" s="3120"/>
      <c r="N83" s="3120"/>
      <c r="O83" s="3120"/>
      <c r="P83" s="3120"/>
      <c r="Q83" s="3120"/>
      <c r="R83" s="3120"/>
      <c r="S83" s="3120"/>
      <c r="T83" s="3120"/>
      <c r="U83" s="3120"/>
      <c r="V83" s="3120"/>
      <c r="W83" s="3120"/>
      <c r="X83" s="3123"/>
      <c r="Y83" s="3123"/>
      <c r="Z83" s="3123"/>
      <c r="AA83" s="3123"/>
      <c r="AB83" s="3123"/>
      <c r="AC83" s="3736">
        <v>1</v>
      </c>
      <c r="AD83" s="3736">
        <v>1</v>
      </c>
      <c r="AE83" s="3736">
        <v>1</v>
      </c>
      <c r="AF83" s="3736">
        <v>1</v>
      </c>
      <c r="AG83" s="3736">
        <v>1</v>
      </c>
      <c r="AH83" s="3736">
        <v>1</v>
      </c>
      <c r="AI83" s="3736">
        <v>1</v>
      </c>
      <c r="AJ83" s="3736">
        <v>1</v>
      </c>
      <c r="AK83" s="3736">
        <v>1</v>
      </c>
      <c r="AL83" s="3123"/>
      <c r="AM83" s="3123"/>
      <c r="AN83" s="3123"/>
      <c r="AO83" s="3123"/>
      <c r="AP83" s="3120">
        <f t="shared" si="81"/>
        <v>9</v>
      </c>
      <c r="AR83" s="3124">
        <v>7</v>
      </c>
      <c r="AS83" s="3136" t="s">
        <v>5930</v>
      </c>
      <c r="AT83" s="3109" t="s">
        <v>5955</v>
      </c>
      <c r="AU83" s="3126">
        <f t="shared" si="76"/>
        <v>30000</v>
      </c>
      <c r="AV83" s="3830"/>
      <c r="AW83" s="3829">
        <f t="shared" si="79"/>
        <v>1</v>
      </c>
      <c r="AX83" s="3829">
        <f t="shared" si="80"/>
        <v>8</v>
      </c>
      <c r="AY83" s="3127">
        <f t="shared" si="78"/>
        <v>9</v>
      </c>
      <c r="AZ83" s="3128"/>
    </row>
    <row r="84" spans="1:52" ht="17.25" thickBot="1" x14ac:dyDescent="0.3">
      <c r="B84" s="3498" t="s">
        <v>5332</v>
      </c>
      <c r="C84" s="3115" t="s">
        <v>5951</v>
      </c>
      <c r="D84" s="3109" t="s">
        <v>3890</v>
      </c>
      <c r="E84" s="3712">
        <f t="shared" si="73"/>
        <v>30000</v>
      </c>
      <c r="F84" s="3120"/>
      <c r="G84" s="3120"/>
      <c r="H84" s="3120"/>
      <c r="I84" s="3120"/>
      <c r="J84" s="3120"/>
      <c r="K84" s="3120"/>
      <c r="L84" s="3120"/>
      <c r="M84" s="3120"/>
      <c r="N84" s="3120"/>
      <c r="O84" s="3120"/>
      <c r="P84" s="3120"/>
      <c r="Q84" s="3120"/>
      <c r="R84" s="3120"/>
      <c r="S84" s="3120"/>
      <c r="T84" s="3135">
        <f>1/12</f>
        <v>8.3333333333333329E-2</v>
      </c>
      <c r="U84" s="3135">
        <f t="shared" ref="U84:AE84" si="82">1/12</f>
        <v>8.3333333333333329E-2</v>
      </c>
      <c r="V84" s="3135">
        <f t="shared" si="82"/>
        <v>8.3333333333333329E-2</v>
      </c>
      <c r="W84" s="3135">
        <f t="shared" si="82"/>
        <v>8.3333333333333329E-2</v>
      </c>
      <c r="X84" s="3135">
        <f t="shared" si="82"/>
        <v>8.3333333333333329E-2</v>
      </c>
      <c r="Y84" s="3135">
        <f t="shared" si="82"/>
        <v>8.3333333333333329E-2</v>
      </c>
      <c r="Z84" s="3135">
        <f t="shared" si="82"/>
        <v>8.3333333333333329E-2</v>
      </c>
      <c r="AA84" s="3135">
        <f t="shared" si="82"/>
        <v>8.3333333333333329E-2</v>
      </c>
      <c r="AB84" s="3135">
        <f t="shared" si="82"/>
        <v>8.3333333333333329E-2</v>
      </c>
      <c r="AC84" s="3135">
        <f t="shared" si="82"/>
        <v>8.3333333333333329E-2</v>
      </c>
      <c r="AD84" s="3135">
        <f t="shared" si="82"/>
        <v>8.3333333333333329E-2</v>
      </c>
      <c r="AE84" s="3135">
        <f t="shared" si="82"/>
        <v>8.3333333333333329E-2</v>
      </c>
      <c r="AF84" s="3123"/>
      <c r="AG84" s="3123"/>
      <c r="AH84" s="3123"/>
      <c r="AI84" s="3123"/>
      <c r="AJ84" s="3123"/>
      <c r="AK84" s="3123"/>
      <c r="AL84" s="3123"/>
      <c r="AM84" s="3123"/>
      <c r="AN84" s="3123"/>
      <c r="AO84" s="3123"/>
      <c r="AP84" s="3120">
        <f t="shared" si="81"/>
        <v>1</v>
      </c>
      <c r="AR84" s="3124">
        <v>8</v>
      </c>
      <c r="AS84" s="3136" t="s">
        <v>5951</v>
      </c>
      <c r="AT84" s="3109" t="s">
        <v>3890</v>
      </c>
      <c r="AU84" s="3126">
        <f t="shared" si="76"/>
        <v>30000</v>
      </c>
      <c r="AV84" s="3830"/>
      <c r="AW84" s="3141">
        <f t="shared" si="79"/>
        <v>0.83333333333333337</v>
      </c>
      <c r="AX84" s="3141">
        <f t="shared" si="80"/>
        <v>0.16666666666666666</v>
      </c>
      <c r="AY84" s="3127">
        <f t="shared" si="78"/>
        <v>1</v>
      </c>
      <c r="AZ84" s="3128"/>
    </row>
    <row r="85" spans="1:52" ht="17.25" thickBot="1" x14ac:dyDescent="0.3">
      <c r="B85" s="3498" t="s">
        <v>5333</v>
      </c>
      <c r="C85" s="3108" t="s">
        <v>5949</v>
      </c>
      <c r="D85" s="3109" t="s">
        <v>5954</v>
      </c>
      <c r="E85" s="3712">
        <f t="shared" si="73"/>
        <v>659364.30000000005</v>
      </c>
      <c r="F85" s="3120"/>
      <c r="G85" s="3120"/>
      <c r="H85" s="3120"/>
      <c r="I85" s="3120"/>
      <c r="J85" s="3120"/>
      <c r="K85" s="3120"/>
      <c r="L85" s="3120"/>
      <c r="M85" s="3120"/>
      <c r="N85" s="3120"/>
      <c r="O85" s="3120"/>
      <c r="P85" s="3120"/>
      <c r="Q85" s="3120"/>
      <c r="R85" s="3120"/>
      <c r="S85" s="3120"/>
      <c r="T85" s="3763">
        <v>1</v>
      </c>
      <c r="U85" s="3763">
        <v>1</v>
      </c>
      <c r="V85" s="3763">
        <v>1</v>
      </c>
      <c r="W85" s="3763">
        <v>1</v>
      </c>
      <c r="X85" s="3763">
        <v>1</v>
      </c>
      <c r="Y85" s="3763">
        <v>1</v>
      </c>
      <c r="Z85" s="3763">
        <v>1</v>
      </c>
      <c r="AA85" s="3763">
        <v>1</v>
      </c>
      <c r="AB85" s="3763">
        <v>1</v>
      </c>
      <c r="AC85" s="3763">
        <v>1</v>
      </c>
      <c r="AD85" s="3763">
        <v>1</v>
      </c>
      <c r="AE85" s="3763">
        <v>1</v>
      </c>
      <c r="AF85" s="3123"/>
      <c r="AG85" s="3123"/>
      <c r="AH85" s="3123"/>
      <c r="AI85" s="3123"/>
      <c r="AJ85" s="3123"/>
      <c r="AK85" s="3123"/>
      <c r="AL85" s="3123"/>
      <c r="AM85" s="3123"/>
      <c r="AN85" s="3123"/>
      <c r="AO85" s="3123"/>
      <c r="AP85" s="3120">
        <f t="shared" si="81"/>
        <v>12</v>
      </c>
      <c r="AR85" s="3124">
        <v>9</v>
      </c>
      <c r="AS85" s="3136" t="s">
        <v>5949</v>
      </c>
      <c r="AT85" s="3109" t="s">
        <v>5954</v>
      </c>
      <c r="AU85" s="3126">
        <f t="shared" si="76"/>
        <v>659364.30000000005</v>
      </c>
      <c r="AV85" s="3830"/>
      <c r="AW85" s="3829">
        <f t="shared" si="79"/>
        <v>10</v>
      </c>
      <c r="AX85" s="3829">
        <f t="shared" si="80"/>
        <v>2</v>
      </c>
      <c r="AY85" s="3127">
        <f t="shared" si="78"/>
        <v>12</v>
      </c>
      <c r="AZ85" s="3128"/>
    </row>
    <row r="86" spans="1:52" ht="17.25" thickBot="1" x14ac:dyDescent="0.3">
      <c r="B86" s="3498" t="s">
        <v>5334</v>
      </c>
      <c r="C86" s="3108" t="s">
        <v>5950</v>
      </c>
      <c r="D86" s="3109" t="s">
        <v>5955</v>
      </c>
      <c r="E86" s="3712">
        <f t="shared" si="73"/>
        <v>47258.416666666672</v>
      </c>
      <c r="F86" s="3120"/>
      <c r="G86" s="3120"/>
      <c r="H86" s="3120"/>
      <c r="I86" s="3120"/>
      <c r="J86" s="3120"/>
      <c r="K86" s="3120"/>
      <c r="L86" s="3120"/>
      <c r="M86" s="3120"/>
      <c r="N86" s="3120"/>
      <c r="O86" s="3120"/>
      <c r="P86" s="3120"/>
      <c r="Q86" s="3120"/>
      <c r="R86" s="3120"/>
      <c r="S86" s="3120"/>
      <c r="T86" s="3120"/>
      <c r="U86" s="3120"/>
      <c r="V86" s="3120"/>
      <c r="W86" s="3120"/>
      <c r="X86" s="3120"/>
      <c r="Y86" s="3120"/>
      <c r="Z86" s="3120"/>
      <c r="AA86" s="3120"/>
      <c r="AB86" s="3120"/>
      <c r="AC86" s="3120"/>
      <c r="AD86" s="3120"/>
      <c r="AE86" s="3120"/>
      <c r="AF86" s="3120"/>
      <c r="AG86" s="3120"/>
      <c r="AH86" s="3120"/>
      <c r="AI86" s="3120"/>
      <c r="AJ86" s="3120"/>
      <c r="AK86" s="3120"/>
      <c r="AL86" s="3122">
        <f>'[12]Cronograma Valorizado'!$F$49*'[12]28 Cronograma'!AA47</f>
        <v>0.33333333333333331</v>
      </c>
      <c r="AM86" s="3122">
        <f>'[12]Cronograma Valorizado'!$F$49*'[12]28 Cronograma'!AB47</f>
        <v>0.33333333333333331</v>
      </c>
      <c r="AN86" s="3122">
        <f>'[12]Cronograma Valorizado'!$F$49*'[12]28 Cronograma'!AC47</f>
        <v>0.33333333333333331</v>
      </c>
      <c r="AO86" s="3123"/>
      <c r="AP86" s="3120">
        <f t="shared" si="81"/>
        <v>1</v>
      </c>
      <c r="AR86" s="3124">
        <v>10</v>
      </c>
      <c r="AS86" s="3136" t="s">
        <v>5950</v>
      </c>
      <c r="AT86" s="3109" t="s">
        <v>5955</v>
      </c>
      <c r="AU86" s="3126">
        <f t="shared" si="76"/>
        <v>47258.416666666672</v>
      </c>
      <c r="AV86" s="3830"/>
      <c r="AW86" s="3830"/>
      <c r="AX86" s="3829">
        <f t="shared" si="80"/>
        <v>1</v>
      </c>
      <c r="AY86" s="3127">
        <f t="shared" si="78"/>
        <v>1</v>
      </c>
      <c r="AZ86" s="3128"/>
    </row>
    <row r="87" spans="1:52" ht="17.25" thickBot="1" x14ac:dyDescent="0.3">
      <c r="B87" s="5072" t="s">
        <v>3949</v>
      </c>
      <c r="C87" s="5072"/>
      <c r="D87" s="3743"/>
      <c r="E87" s="3742">
        <f>SUM(E77:E86)</f>
        <v>28586582.974537253</v>
      </c>
      <c r="F87" s="3743"/>
      <c r="G87" s="3743"/>
      <c r="H87" s="3743"/>
      <c r="I87" s="3743"/>
      <c r="J87" s="3743"/>
      <c r="K87" s="3743"/>
      <c r="L87" s="3743"/>
      <c r="M87" s="3743"/>
      <c r="N87" s="3743"/>
      <c r="O87" s="3743"/>
      <c r="P87" s="3743"/>
      <c r="Q87" s="3743"/>
      <c r="R87" s="3743"/>
      <c r="S87" s="3743"/>
      <c r="T87" s="3743"/>
      <c r="U87" s="3743"/>
      <c r="V87" s="3743"/>
      <c r="W87" s="3743"/>
      <c r="X87" s="3743"/>
      <c r="Y87" s="3743"/>
      <c r="Z87" s="3743"/>
      <c r="AA87" s="3743"/>
      <c r="AB87" s="3743"/>
      <c r="AC87" s="3743"/>
      <c r="AD87" s="3743"/>
      <c r="AE87" s="3743"/>
      <c r="AF87" s="3743"/>
      <c r="AG87" s="3743"/>
      <c r="AH87" s="3743"/>
      <c r="AI87" s="3743"/>
      <c r="AJ87" s="3743"/>
      <c r="AK87" s="3743"/>
      <c r="AL87" s="3743"/>
      <c r="AM87" s="3743"/>
      <c r="AN87" s="3743"/>
      <c r="AO87" s="3743"/>
      <c r="AP87" s="3743"/>
    </row>
    <row r="90" spans="1:52" ht="17.25" thickBot="1" x14ac:dyDescent="0.3"/>
    <row r="91" spans="1:52" ht="17.25" thickBot="1" x14ac:dyDescent="0.3">
      <c r="B91" s="5090" t="s">
        <v>5344</v>
      </c>
      <c r="C91" s="5091"/>
      <c r="D91" s="5091"/>
      <c r="E91" s="5091"/>
      <c r="F91" s="5091"/>
      <c r="G91" s="5091"/>
      <c r="H91" s="5091"/>
      <c r="I91" s="5091"/>
      <c r="J91" s="5091"/>
      <c r="K91" s="5091"/>
      <c r="L91" s="5091"/>
      <c r="M91" s="5091"/>
      <c r="N91" s="5091"/>
      <c r="O91" s="5091"/>
      <c r="P91" s="5091"/>
      <c r="Q91" s="5091"/>
      <c r="R91" s="5091"/>
      <c r="S91" s="5091"/>
      <c r="T91" s="5091"/>
      <c r="U91" s="5091"/>
      <c r="V91" s="5091"/>
      <c r="W91" s="5091"/>
      <c r="X91" s="5091"/>
      <c r="Y91" s="5091"/>
      <c r="Z91" s="5091"/>
      <c r="AA91" s="5091"/>
      <c r="AB91" s="5091"/>
      <c r="AC91" s="5091"/>
      <c r="AD91" s="5091"/>
      <c r="AE91" s="5091"/>
      <c r="AF91" s="5091"/>
      <c r="AG91" s="5091"/>
      <c r="AH91" s="5091"/>
      <c r="AI91" s="5091"/>
      <c r="AJ91" s="5091"/>
      <c r="AK91" s="5091"/>
      <c r="AL91" s="5091"/>
      <c r="AM91" s="5091"/>
      <c r="AN91" s="5091"/>
      <c r="AO91" s="5091"/>
      <c r="AP91" s="5092"/>
    </row>
    <row r="92" spans="1:52" ht="17.25" thickBot="1" x14ac:dyDescent="0.3">
      <c r="A92" s="3098"/>
      <c r="B92" s="3098"/>
      <c r="C92" s="3099"/>
      <c r="D92" s="3099"/>
      <c r="E92" s="3099"/>
      <c r="F92" s="3099"/>
      <c r="G92" s="3100"/>
      <c r="H92" s="3100"/>
      <c r="I92" s="3100"/>
      <c r="J92" s="3100"/>
      <c r="K92" s="3100"/>
      <c r="L92" s="3100"/>
      <c r="M92" s="3100"/>
      <c r="N92" s="3100"/>
      <c r="O92" s="3100"/>
      <c r="P92" s="3100"/>
      <c r="Q92" s="3100"/>
      <c r="R92" s="3100"/>
      <c r="S92" s="3100"/>
      <c r="T92" s="3100"/>
      <c r="U92" s="3100"/>
      <c r="V92" s="3100"/>
      <c r="W92" s="3100"/>
      <c r="X92" s="3100"/>
      <c r="Y92" s="3100"/>
      <c r="Z92" s="3100"/>
      <c r="AA92" s="3100"/>
      <c r="AB92" s="3100"/>
      <c r="AC92" s="3100"/>
      <c r="AD92" s="3100"/>
      <c r="AE92" s="3100"/>
      <c r="AF92" s="3100"/>
      <c r="AG92" s="3100"/>
      <c r="AH92" s="3100"/>
      <c r="AI92" s="3100"/>
      <c r="AJ92" s="3100"/>
      <c r="AK92" s="3100"/>
      <c r="AL92" s="3100"/>
      <c r="AM92" s="3100"/>
      <c r="AN92" s="3100"/>
      <c r="AO92" s="3100"/>
    </row>
    <row r="93" spans="1:52" ht="17.25" thickBot="1" x14ac:dyDescent="0.3">
      <c r="A93" s="3098"/>
      <c r="B93" s="5041" t="s">
        <v>5305</v>
      </c>
      <c r="C93" s="5042"/>
      <c r="D93" s="5042"/>
      <c r="E93" s="5042"/>
      <c r="F93" s="5042"/>
      <c r="G93" s="5042"/>
      <c r="H93" s="5042"/>
      <c r="I93" s="5042"/>
      <c r="J93" s="5042"/>
      <c r="K93" s="5042"/>
      <c r="L93" s="5042"/>
      <c r="M93" s="5042"/>
      <c r="N93" s="5042"/>
      <c r="O93" s="5042"/>
      <c r="P93" s="5042"/>
      <c r="Q93" s="5042"/>
      <c r="R93" s="5042"/>
      <c r="S93" s="5042"/>
      <c r="T93" s="5042"/>
      <c r="U93" s="5042"/>
      <c r="V93" s="5042"/>
      <c r="W93" s="5042"/>
      <c r="X93" s="5042"/>
      <c r="Y93" s="5043"/>
      <c r="Z93" s="5043"/>
      <c r="AA93" s="5043"/>
      <c r="AB93" s="5043"/>
      <c r="AC93" s="5043"/>
      <c r="AD93" s="5043"/>
      <c r="AE93" s="5043"/>
      <c r="AF93" s="5043"/>
      <c r="AG93" s="5043"/>
      <c r="AH93" s="5043"/>
      <c r="AI93" s="5043"/>
      <c r="AJ93" s="5043"/>
      <c r="AK93" s="5043"/>
      <c r="AL93" s="5043"/>
      <c r="AM93" s="5043"/>
      <c r="AN93" s="5043"/>
      <c r="AO93" s="5043"/>
      <c r="AP93" s="5044"/>
    </row>
    <row r="94" spans="1:52" ht="17.25" thickBot="1" x14ac:dyDescent="0.3">
      <c r="A94" s="3098"/>
      <c r="B94" s="5064" t="s">
        <v>62</v>
      </c>
      <c r="C94" s="5066" t="s">
        <v>5306</v>
      </c>
      <c r="D94" s="5086" t="s">
        <v>3850</v>
      </c>
      <c r="E94" s="5068" t="s">
        <v>5337</v>
      </c>
      <c r="F94" s="5032" t="s">
        <v>5308</v>
      </c>
      <c r="G94" s="5032"/>
      <c r="H94" s="5032"/>
      <c r="I94" s="5032"/>
      <c r="J94" s="5032"/>
      <c r="K94" s="5032"/>
      <c r="L94" s="5032"/>
      <c r="M94" s="5032"/>
      <c r="N94" s="5032"/>
      <c r="O94" s="5032"/>
      <c r="P94" s="5032"/>
      <c r="Q94" s="5032"/>
      <c r="R94" s="5035" t="s">
        <v>5309</v>
      </c>
      <c r="S94" s="5036"/>
      <c r="T94" s="5036"/>
      <c r="U94" s="5036"/>
      <c r="V94" s="5036"/>
      <c r="W94" s="5036"/>
      <c r="X94" s="5036"/>
      <c r="Y94" s="5036"/>
      <c r="Z94" s="5036"/>
      <c r="AA94" s="5036"/>
      <c r="AB94" s="5036"/>
      <c r="AC94" s="5037"/>
      <c r="AD94" s="5032" t="s">
        <v>5310</v>
      </c>
      <c r="AE94" s="5032"/>
      <c r="AF94" s="5032"/>
      <c r="AG94" s="5032"/>
      <c r="AH94" s="5032"/>
      <c r="AI94" s="5032"/>
      <c r="AJ94" s="5032"/>
      <c r="AK94" s="5032"/>
      <c r="AL94" s="5032"/>
      <c r="AM94" s="5032"/>
      <c r="AN94" s="5032"/>
      <c r="AO94" s="5032"/>
      <c r="AP94" s="5070" t="s">
        <v>0</v>
      </c>
    </row>
    <row r="95" spans="1:52" ht="17.25" thickBot="1" x14ac:dyDescent="0.3">
      <c r="A95" s="3098"/>
      <c r="B95" s="5064"/>
      <c r="C95" s="5066"/>
      <c r="D95" s="5089"/>
      <c r="E95" s="5068"/>
      <c r="F95" s="5032" t="s">
        <v>5311</v>
      </c>
      <c r="G95" s="5032"/>
      <c r="H95" s="5032"/>
      <c r="I95" s="5032"/>
      <c r="J95" s="5032"/>
      <c r="K95" s="5032"/>
      <c r="L95" s="5032"/>
      <c r="M95" s="5032"/>
      <c r="N95" s="5032"/>
      <c r="O95" s="5032"/>
      <c r="P95" s="5032"/>
      <c r="Q95" s="5032"/>
      <c r="R95" s="5035" t="s">
        <v>5312</v>
      </c>
      <c r="S95" s="5036"/>
      <c r="T95" s="5036"/>
      <c r="U95" s="5036"/>
      <c r="V95" s="5036"/>
      <c r="W95" s="5036"/>
      <c r="X95" s="5036"/>
      <c r="Y95" s="5036"/>
      <c r="Z95" s="5036"/>
      <c r="AA95" s="5036"/>
      <c r="AB95" s="5036"/>
      <c r="AC95" s="5037"/>
      <c r="AD95" s="5032" t="s">
        <v>5313</v>
      </c>
      <c r="AE95" s="5032"/>
      <c r="AF95" s="5032"/>
      <c r="AG95" s="5032"/>
      <c r="AH95" s="5032"/>
      <c r="AI95" s="5032"/>
      <c r="AJ95" s="5032"/>
      <c r="AK95" s="5032"/>
      <c r="AL95" s="5032"/>
      <c r="AM95" s="5032"/>
      <c r="AN95" s="5032"/>
      <c r="AO95" s="5032"/>
      <c r="AP95" s="5070"/>
      <c r="AR95" s="4338" t="s">
        <v>5345</v>
      </c>
      <c r="AS95" s="4318"/>
      <c r="AT95" s="4318"/>
      <c r="AU95" s="4318"/>
      <c r="AV95" s="4318"/>
      <c r="AW95" s="4318"/>
      <c r="AX95" s="5085"/>
      <c r="AY95" s="4319"/>
    </row>
    <row r="96" spans="1:52" ht="17.25" thickBot="1" x14ac:dyDescent="0.3">
      <c r="A96" s="3098"/>
      <c r="B96" s="5064"/>
      <c r="C96" s="5066"/>
      <c r="D96" s="5089"/>
      <c r="E96" s="5068"/>
      <c r="F96" s="5034" t="s">
        <v>5314</v>
      </c>
      <c r="G96" s="5034"/>
      <c r="H96" s="5034"/>
      <c r="I96" s="5033" t="s">
        <v>5315</v>
      </c>
      <c r="J96" s="5033"/>
      <c r="K96" s="5033"/>
      <c r="L96" s="5034" t="s">
        <v>5316</v>
      </c>
      <c r="M96" s="5034"/>
      <c r="N96" s="5034"/>
      <c r="O96" s="5033" t="s">
        <v>5317</v>
      </c>
      <c r="P96" s="5033"/>
      <c r="Q96" s="5033"/>
      <c r="R96" s="5034" t="s">
        <v>5314</v>
      </c>
      <c r="S96" s="5034"/>
      <c r="T96" s="5034"/>
      <c r="U96" s="5033" t="s">
        <v>5315</v>
      </c>
      <c r="V96" s="5033"/>
      <c r="W96" s="5033"/>
      <c r="X96" s="5029" t="s">
        <v>5316</v>
      </c>
      <c r="Y96" s="5030"/>
      <c r="Z96" s="5031"/>
      <c r="AA96" s="5033" t="s">
        <v>5317</v>
      </c>
      <c r="AB96" s="5033"/>
      <c r="AC96" s="5033"/>
      <c r="AD96" s="5034" t="s">
        <v>5314</v>
      </c>
      <c r="AE96" s="5034"/>
      <c r="AF96" s="5034"/>
      <c r="AG96" s="5033" t="s">
        <v>5315</v>
      </c>
      <c r="AH96" s="5033"/>
      <c r="AI96" s="5033"/>
      <c r="AJ96" s="5034" t="s">
        <v>5316</v>
      </c>
      <c r="AK96" s="5034"/>
      <c r="AL96" s="5034"/>
      <c r="AM96" s="5033" t="s">
        <v>5317</v>
      </c>
      <c r="AN96" s="5033"/>
      <c r="AO96" s="5033"/>
      <c r="AP96" s="5070"/>
      <c r="AR96" s="5064" t="s">
        <v>62</v>
      </c>
      <c r="AS96" s="5066" t="s">
        <v>5306</v>
      </c>
      <c r="AT96" s="5086" t="s">
        <v>3850</v>
      </c>
      <c r="AU96" s="5068" t="s">
        <v>5337</v>
      </c>
      <c r="AV96" s="3105" t="s">
        <v>5308</v>
      </c>
      <c r="AW96" s="3105" t="s">
        <v>5309</v>
      </c>
      <c r="AX96" s="3778" t="s">
        <v>5310</v>
      </c>
      <c r="AY96" s="5070" t="s">
        <v>0</v>
      </c>
    </row>
    <row r="97" spans="1:52" ht="17.25" thickBot="1" x14ac:dyDescent="0.3">
      <c r="A97" s="3098"/>
      <c r="B97" s="5065"/>
      <c r="C97" s="5067"/>
      <c r="D97" s="5087"/>
      <c r="E97" s="5069"/>
      <c r="F97" s="3106" t="s">
        <v>5318</v>
      </c>
      <c r="G97" s="3106" t="s">
        <v>5319</v>
      </c>
      <c r="H97" s="3106" t="s">
        <v>5320</v>
      </c>
      <c r="I97" s="3107" t="s">
        <v>5318</v>
      </c>
      <c r="J97" s="3107" t="s">
        <v>5319</v>
      </c>
      <c r="K97" s="3107" t="s">
        <v>5320</v>
      </c>
      <c r="L97" s="3106" t="s">
        <v>5318</v>
      </c>
      <c r="M97" s="3106" t="s">
        <v>5319</v>
      </c>
      <c r="N97" s="3106" t="s">
        <v>5320</v>
      </c>
      <c r="O97" s="3107" t="s">
        <v>5318</v>
      </c>
      <c r="P97" s="3107" t="s">
        <v>5319</v>
      </c>
      <c r="Q97" s="3107" t="s">
        <v>5320</v>
      </c>
      <c r="R97" s="3106" t="s">
        <v>5318</v>
      </c>
      <c r="S97" s="3106" t="s">
        <v>5319</v>
      </c>
      <c r="T97" s="3106" t="s">
        <v>5320</v>
      </c>
      <c r="U97" s="3107" t="s">
        <v>5318</v>
      </c>
      <c r="V97" s="3107" t="s">
        <v>5319</v>
      </c>
      <c r="W97" s="3107" t="s">
        <v>5320</v>
      </c>
      <c r="X97" s="3106" t="s">
        <v>5318</v>
      </c>
      <c r="Y97" s="3106" t="s">
        <v>5319</v>
      </c>
      <c r="Z97" s="3106" t="s">
        <v>5320</v>
      </c>
      <c r="AA97" s="3107" t="s">
        <v>5318</v>
      </c>
      <c r="AB97" s="3107" t="s">
        <v>5319</v>
      </c>
      <c r="AC97" s="3107" t="s">
        <v>5320</v>
      </c>
      <c r="AD97" s="3106" t="s">
        <v>5318</v>
      </c>
      <c r="AE97" s="3106" t="s">
        <v>5319</v>
      </c>
      <c r="AF97" s="3106" t="s">
        <v>5320</v>
      </c>
      <c r="AG97" s="3107" t="s">
        <v>5318</v>
      </c>
      <c r="AH97" s="3107" t="s">
        <v>5319</v>
      </c>
      <c r="AI97" s="3107" t="s">
        <v>5320</v>
      </c>
      <c r="AJ97" s="3106" t="s">
        <v>5318</v>
      </c>
      <c r="AK97" s="3106" t="s">
        <v>5319</v>
      </c>
      <c r="AL97" s="3106" t="s">
        <v>5320</v>
      </c>
      <c r="AM97" s="3107" t="s">
        <v>5318</v>
      </c>
      <c r="AN97" s="3107" t="s">
        <v>5319</v>
      </c>
      <c r="AO97" s="3107" t="s">
        <v>5320</v>
      </c>
      <c r="AP97" s="5071"/>
      <c r="AR97" s="5065"/>
      <c r="AS97" s="5067"/>
      <c r="AT97" s="5087"/>
      <c r="AU97" s="5069"/>
      <c r="AV97" s="3106" t="s">
        <v>5311</v>
      </c>
      <c r="AW97" s="3106" t="s">
        <v>5312</v>
      </c>
      <c r="AX97" s="3106" t="s">
        <v>5313</v>
      </c>
      <c r="AY97" s="5071"/>
    </row>
    <row r="98" spans="1:52" ht="17.25" thickBot="1" x14ac:dyDescent="0.3">
      <c r="A98" s="3098"/>
      <c r="B98" s="3498" t="s">
        <v>5321</v>
      </c>
      <c r="C98" s="3108" t="s">
        <v>5926</v>
      </c>
      <c r="D98" s="3109" t="s">
        <v>3890</v>
      </c>
      <c r="E98" s="3712">
        <f>'23. Costos de Inversion'!G54</f>
        <v>348304.02916666667</v>
      </c>
      <c r="F98" s="3138"/>
      <c r="G98" s="3138"/>
      <c r="H98" s="3138"/>
      <c r="I98" s="3137">
        <f>$E$98/6</f>
        <v>58050.671527777777</v>
      </c>
      <c r="J98" s="3137">
        <f t="shared" ref="J98:N98" si="83">$E$98/6</f>
        <v>58050.671527777777</v>
      </c>
      <c r="K98" s="3137">
        <f t="shared" si="83"/>
        <v>58050.671527777777</v>
      </c>
      <c r="L98" s="3137">
        <f t="shared" si="83"/>
        <v>58050.671527777777</v>
      </c>
      <c r="M98" s="3137">
        <f t="shared" si="83"/>
        <v>58050.671527777777</v>
      </c>
      <c r="N98" s="3137">
        <f t="shared" si="83"/>
        <v>58050.671527777777</v>
      </c>
      <c r="O98" s="3138"/>
      <c r="P98" s="3138"/>
      <c r="Q98" s="3138"/>
      <c r="R98" s="3138"/>
      <c r="S98" s="3138"/>
      <c r="T98" s="3138"/>
      <c r="U98" s="3138"/>
      <c r="V98" s="3138"/>
      <c r="W98" s="3138"/>
      <c r="X98" s="3138"/>
      <c r="Y98" s="3138"/>
      <c r="Z98" s="3138"/>
      <c r="AA98" s="3138"/>
      <c r="AB98" s="3138"/>
      <c r="AC98" s="3138"/>
      <c r="AD98" s="3138"/>
      <c r="AE98" s="3138"/>
      <c r="AF98" s="3138"/>
      <c r="AG98" s="3138"/>
      <c r="AH98" s="3138"/>
      <c r="AI98" s="3138"/>
      <c r="AJ98" s="3138"/>
      <c r="AK98" s="3138"/>
      <c r="AL98" s="3138"/>
      <c r="AM98" s="3138"/>
      <c r="AN98" s="3138"/>
      <c r="AO98" s="3138"/>
      <c r="AP98" s="3140">
        <f>SUM(I98:AO98)</f>
        <v>348304.02916666667</v>
      </c>
      <c r="AQ98" s="3128"/>
      <c r="AR98" s="3784">
        <v>1</v>
      </c>
      <c r="AS98" s="3125" t="s">
        <v>5926</v>
      </c>
      <c r="AT98" s="3109" t="s">
        <v>3890</v>
      </c>
      <c r="AU98" s="3126">
        <f>E98</f>
        <v>348304.02916666667</v>
      </c>
      <c r="AV98" s="3141">
        <f>SUM(F98:Q98)</f>
        <v>348304.02916666667</v>
      </c>
      <c r="AW98" s="3143"/>
      <c r="AX98" s="3143"/>
      <c r="AY98" s="3140">
        <f>SUM(AV98:AX98)</f>
        <v>348304.02916666667</v>
      </c>
    </row>
    <row r="99" spans="1:52" ht="17.25" thickBot="1" x14ac:dyDescent="0.3">
      <c r="A99" s="3098"/>
      <c r="B99" s="3498" t="s">
        <v>5323</v>
      </c>
      <c r="C99" s="3108" t="s">
        <v>5927</v>
      </c>
      <c r="D99" s="3109" t="s">
        <v>3890</v>
      </c>
      <c r="E99" s="3712">
        <f>'23. Costos de Inversion'!G55</f>
        <v>87808</v>
      </c>
      <c r="F99" s="3138"/>
      <c r="G99" s="3138"/>
      <c r="H99" s="3138"/>
      <c r="I99" s="3142">
        <f>$E$99/6</f>
        <v>14634.666666666666</v>
      </c>
      <c r="J99" s="3142">
        <f t="shared" ref="J99:N99" si="84">$E$99/6</f>
        <v>14634.666666666666</v>
      </c>
      <c r="K99" s="3142">
        <f t="shared" si="84"/>
        <v>14634.666666666666</v>
      </c>
      <c r="L99" s="3142">
        <f t="shared" si="84"/>
        <v>14634.666666666666</v>
      </c>
      <c r="M99" s="3142">
        <f t="shared" si="84"/>
        <v>14634.666666666666</v>
      </c>
      <c r="N99" s="3142">
        <f t="shared" si="84"/>
        <v>14634.666666666666</v>
      </c>
      <c r="O99" s="3138"/>
      <c r="P99" s="3138"/>
      <c r="Q99" s="3138"/>
      <c r="R99" s="3138"/>
      <c r="S99" s="3138"/>
      <c r="T99" s="3138"/>
      <c r="U99" s="3138"/>
      <c r="V99" s="3138"/>
      <c r="W99" s="3138"/>
      <c r="X99" s="3138"/>
      <c r="Y99" s="3138"/>
      <c r="Z99" s="3138"/>
      <c r="AA99" s="3138"/>
      <c r="AB99" s="3138"/>
      <c r="AC99" s="3138"/>
      <c r="AD99" s="3138"/>
      <c r="AE99" s="3138"/>
      <c r="AF99" s="3138"/>
      <c r="AG99" s="3138"/>
      <c r="AH99" s="3138"/>
      <c r="AI99" s="3138"/>
      <c r="AJ99" s="3138"/>
      <c r="AK99" s="3138"/>
      <c r="AL99" s="3138"/>
      <c r="AM99" s="3138"/>
      <c r="AN99" s="3138"/>
      <c r="AO99" s="3138"/>
      <c r="AP99" s="3140">
        <f t="shared" ref="AP99:AP107" si="85">SUM(I99:AO99)</f>
        <v>87808</v>
      </c>
      <c r="AQ99" s="3128"/>
      <c r="AR99" s="3784">
        <v>2</v>
      </c>
      <c r="AS99" s="3125" t="s">
        <v>5927</v>
      </c>
      <c r="AT99" s="3109" t="s">
        <v>3890</v>
      </c>
      <c r="AU99" s="3126">
        <f t="shared" ref="AU99:AU107" si="86">E99</f>
        <v>87808</v>
      </c>
      <c r="AV99" s="3141">
        <f t="shared" ref="AV99:AV100" si="87">SUM(F99:Q99)</f>
        <v>87808</v>
      </c>
      <c r="AW99" s="3143"/>
      <c r="AX99" s="3143"/>
      <c r="AY99" s="3140">
        <f t="shared" ref="AY99:AY107" si="88">SUM(AV99:AX99)</f>
        <v>87808</v>
      </c>
      <c r="AZ99" s="3144"/>
    </row>
    <row r="100" spans="1:52" ht="17.25" thickBot="1" x14ac:dyDescent="0.3">
      <c r="A100" s="3098"/>
      <c r="B100" s="3498" t="s">
        <v>5324</v>
      </c>
      <c r="C100" s="3108" t="s">
        <v>5928</v>
      </c>
      <c r="D100" s="3109" t="s">
        <v>3890</v>
      </c>
      <c r="E100" s="3712">
        <f>'23. Costos de Inversion'!G56</f>
        <v>17523</v>
      </c>
      <c r="F100" s="3138"/>
      <c r="G100" s="3138"/>
      <c r="H100" s="3138"/>
      <c r="I100" s="3138"/>
      <c r="J100" s="3138"/>
      <c r="K100" s="3138"/>
      <c r="L100" s="3145">
        <f>E100/2</f>
        <v>8761.5</v>
      </c>
      <c r="M100" s="3145">
        <f>E100/2</f>
        <v>8761.5</v>
      </c>
      <c r="N100" s="3138"/>
      <c r="O100" s="3138"/>
      <c r="P100" s="3138"/>
      <c r="Q100" s="3138"/>
      <c r="R100" s="3138"/>
      <c r="S100" s="3138"/>
      <c r="T100" s="3138"/>
      <c r="U100" s="3138"/>
      <c r="V100" s="3138"/>
      <c r="W100" s="3138"/>
      <c r="X100" s="3138"/>
      <c r="Y100" s="3138"/>
      <c r="Z100" s="3138"/>
      <c r="AA100" s="3138"/>
      <c r="AB100" s="3138"/>
      <c r="AC100" s="3138"/>
      <c r="AD100" s="3138"/>
      <c r="AE100" s="3138"/>
      <c r="AF100" s="3138"/>
      <c r="AG100" s="3138"/>
      <c r="AH100" s="3138"/>
      <c r="AI100" s="3138"/>
      <c r="AJ100" s="3138"/>
      <c r="AK100" s="3138"/>
      <c r="AL100" s="3138"/>
      <c r="AM100" s="3138"/>
      <c r="AN100" s="3138"/>
      <c r="AO100" s="3138"/>
      <c r="AP100" s="3140">
        <f t="shared" si="85"/>
        <v>17523</v>
      </c>
      <c r="AQ100" s="3128"/>
      <c r="AR100" s="3784">
        <v>3</v>
      </c>
      <c r="AS100" s="3125" t="s">
        <v>5928</v>
      </c>
      <c r="AT100" s="3109" t="s">
        <v>3890</v>
      </c>
      <c r="AU100" s="3126">
        <f t="shared" si="86"/>
        <v>17523</v>
      </c>
      <c r="AV100" s="3141">
        <f t="shared" si="87"/>
        <v>17523</v>
      </c>
      <c r="AW100" s="3143"/>
      <c r="AX100" s="3143"/>
      <c r="AY100" s="3140">
        <f t="shared" si="88"/>
        <v>17523</v>
      </c>
      <c r="AZ100" s="3144"/>
    </row>
    <row r="101" spans="1:52" ht="17.25" thickBot="1" x14ac:dyDescent="0.3">
      <c r="A101" s="3098"/>
      <c r="B101" s="3498" t="s">
        <v>5326</v>
      </c>
      <c r="C101" s="3108" t="s">
        <v>5328</v>
      </c>
      <c r="D101" s="3109" t="s">
        <v>3856</v>
      </c>
      <c r="E101" s="3712">
        <f>'23. Costos de Inversion'!G46</f>
        <v>18408796.040203921</v>
      </c>
      <c r="F101" s="3138"/>
      <c r="G101" s="3138"/>
      <c r="H101" s="3138"/>
      <c r="I101" s="3138"/>
      <c r="J101" s="3138"/>
      <c r="K101" s="3138"/>
      <c r="L101" s="3138"/>
      <c r="M101" s="3138"/>
      <c r="N101" s="3138"/>
      <c r="O101" s="3138"/>
      <c r="P101" s="3138"/>
      <c r="Q101" s="3138"/>
      <c r="R101" s="3138"/>
      <c r="S101" s="3138"/>
      <c r="T101" s="3147">
        <f t="shared" ref="T101:AE101" si="89">$E$101/12</f>
        <v>1534066.33668366</v>
      </c>
      <c r="U101" s="3147">
        <f t="shared" si="89"/>
        <v>1534066.33668366</v>
      </c>
      <c r="V101" s="3147">
        <f t="shared" si="89"/>
        <v>1534066.33668366</v>
      </c>
      <c r="W101" s="3147">
        <f t="shared" si="89"/>
        <v>1534066.33668366</v>
      </c>
      <c r="X101" s="3147">
        <f t="shared" si="89"/>
        <v>1534066.33668366</v>
      </c>
      <c r="Y101" s="3147">
        <f t="shared" si="89"/>
        <v>1534066.33668366</v>
      </c>
      <c r="Z101" s="3147">
        <f t="shared" si="89"/>
        <v>1534066.33668366</v>
      </c>
      <c r="AA101" s="3147">
        <f t="shared" si="89"/>
        <v>1534066.33668366</v>
      </c>
      <c r="AB101" s="3147">
        <f t="shared" si="89"/>
        <v>1534066.33668366</v>
      </c>
      <c r="AC101" s="3147">
        <f t="shared" si="89"/>
        <v>1534066.33668366</v>
      </c>
      <c r="AD101" s="3147">
        <f t="shared" si="89"/>
        <v>1534066.33668366</v>
      </c>
      <c r="AE101" s="3147">
        <f t="shared" si="89"/>
        <v>1534066.33668366</v>
      </c>
      <c r="AF101" s="3139"/>
      <c r="AG101" s="3139"/>
      <c r="AH101" s="3139"/>
      <c r="AI101" s="3139"/>
      <c r="AJ101" s="3139"/>
      <c r="AK101" s="3139"/>
      <c r="AL101" s="3139"/>
      <c r="AM101" s="3139"/>
      <c r="AN101" s="3139"/>
      <c r="AO101" s="3139"/>
      <c r="AP101" s="3140">
        <f t="shared" si="85"/>
        <v>18408796.040203925</v>
      </c>
      <c r="AQ101" s="3128"/>
      <c r="AR101" s="3784">
        <v>4</v>
      </c>
      <c r="AS101" s="3125" t="s">
        <v>5328</v>
      </c>
      <c r="AT101" s="3109" t="s">
        <v>3856</v>
      </c>
      <c r="AU101" s="3126">
        <f t="shared" si="86"/>
        <v>18408796.040203921</v>
      </c>
      <c r="AV101" s="3143"/>
      <c r="AW101" s="3141">
        <f t="shared" ref="AW101:AW106" si="90">SUM(R101:AC101)</f>
        <v>15340663.366836604</v>
      </c>
      <c r="AX101" s="3141">
        <f t="shared" ref="AX101:AX107" si="91">SUM(AD101:AO101)</f>
        <v>3068132.6733673201</v>
      </c>
      <c r="AY101" s="3140">
        <f t="shared" si="88"/>
        <v>18408796.040203925</v>
      </c>
      <c r="AZ101" s="3144"/>
    </row>
    <row r="102" spans="1:52" ht="17.25" thickBot="1" x14ac:dyDescent="0.3">
      <c r="A102" s="3098"/>
      <c r="B102" s="3498" t="s">
        <v>5327</v>
      </c>
      <c r="C102" s="3108" t="s">
        <v>5925</v>
      </c>
      <c r="D102" s="3109" t="s">
        <v>3903</v>
      </c>
      <c r="E102" s="3712">
        <f>'23. Costos de Inversion'!G47</f>
        <v>8873479.1885000002</v>
      </c>
      <c r="F102" s="3138"/>
      <c r="G102" s="3138"/>
      <c r="H102" s="3138"/>
      <c r="I102" s="3138"/>
      <c r="J102" s="3138"/>
      <c r="K102" s="3138"/>
      <c r="L102" s="3138"/>
      <c r="M102" s="3138"/>
      <c r="N102" s="3138"/>
      <c r="O102" s="3138"/>
      <c r="P102" s="3138"/>
      <c r="Q102" s="3138"/>
      <c r="R102" s="3138"/>
      <c r="S102" s="3138"/>
      <c r="T102" s="3119"/>
      <c r="U102" s="3119"/>
      <c r="V102" s="3119"/>
      <c r="W102" s="3119"/>
      <c r="X102" s="3119"/>
      <c r="Y102" s="3119"/>
      <c r="Z102" s="3119"/>
      <c r="AA102" s="3119"/>
      <c r="AB102" s="3148">
        <f>$E$102*AB40</f>
        <v>1774695.8377</v>
      </c>
      <c r="AC102" s="3148">
        <f>$E$102*AC40</f>
        <v>2662043.75655</v>
      </c>
      <c r="AD102" s="3148">
        <f>$E$102*AD40</f>
        <v>3549391.6754000001</v>
      </c>
      <c r="AE102" s="3148">
        <f>$E$102*AE40</f>
        <v>887347.91885000002</v>
      </c>
      <c r="AF102" s="3149"/>
      <c r="AG102" s="3149"/>
      <c r="AH102" s="3149"/>
      <c r="AI102" s="3149"/>
      <c r="AJ102" s="3149"/>
      <c r="AK102" s="3149"/>
      <c r="AL102" s="3149"/>
      <c r="AM102" s="3149"/>
      <c r="AN102" s="3149"/>
      <c r="AO102" s="3149"/>
      <c r="AP102" s="3140">
        <f t="shared" si="85"/>
        <v>8873479.1885000002</v>
      </c>
      <c r="AQ102" s="3128"/>
      <c r="AR102" s="3784">
        <v>5</v>
      </c>
      <c r="AS102" s="3125" t="s">
        <v>5925</v>
      </c>
      <c r="AT102" s="3109" t="s">
        <v>3903</v>
      </c>
      <c r="AU102" s="3126">
        <f t="shared" si="86"/>
        <v>8873479.1885000002</v>
      </c>
      <c r="AV102" s="3143"/>
      <c r="AW102" s="3141">
        <f t="shared" si="90"/>
        <v>4436739.5942500001</v>
      </c>
      <c r="AX102" s="3141">
        <f t="shared" si="91"/>
        <v>4436739.5942500001</v>
      </c>
      <c r="AY102" s="3140">
        <f t="shared" si="88"/>
        <v>8873479.1885000002</v>
      </c>
      <c r="AZ102" s="3144"/>
    </row>
    <row r="103" spans="1:52" ht="33.75" thickBot="1" x14ac:dyDescent="0.3">
      <c r="A103" s="3098"/>
      <c r="B103" s="3498" t="s">
        <v>5330</v>
      </c>
      <c r="C103" s="3115" t="s">
        <v>5929</v>
      </c>
      <c r="D103" s="3737" t="s">
        <v>5953</v>
      </c>
      <c r="E103" s="3712">
        <f>'23. Costos de Inversion'!G49</f>
        <v>84050</v>
      </c>
      <c r="F103" s="3138"/>
      <c r="G103" s="3138"/>
      <c r="H103" s="3138"/>
      <c r="I103" s="3138"/>
      <c r="J103" s="3146"/>
      <c r="K103" s="3138"/>
      <c r="L103" s="3138"/>
      <c r="M103" s="3138"/>
      <c r="N103" s="3138"/>
      <c r="O103" s="3138"/>
      <c r="P103" s="3138"/>
      <c r="Q103" s="3138"/>
      <c r="R103" s="3138"/>
      <c r="S103" s="3138"/>
      <c r="T103" s="3138"/>
      <c r="U103" s="3138"/>
      <c r="V103" s="3138"/>
      <c r="W103" s="3138"/>
      <c r="X103" s="3138"/>
      <c r="Y103" s="3139"/>
      <c r="Z103" s="3139"/>
      <c r="AA103" s="3139"/>
      <c r="AB103" s="3139"/>
      <c r="AC103" s="3139"/>
      <c r="AD103" s="3721">
        <f>$E$103*AD41</f>
        <v>17670</v>
      </c>
      <c r="AE103" s="3721">
        <f>$E$103*AE41</f>
        <v>23260</v>
      </c>
      <c r="AF103" s="3721">
        <f>$E$103*AF41</f>
        <v>19420</v>
      </c>
      <c r="AG103" s="3721">
        <f>$E$103*AG41</f>
        <v>23699.999999999996</v>
      </c>
      <c r="AH103" s="3139"/>
      <c r="AI103" s="3139"/>
      <c r="AJ103" s="3139"/>
      <c r="AK103" s="3139"/>
      <c r="AL103" s="3139"/>
      <c r="AM103" s="3139"/>
      <c r="AN103" s="3139"/>
      <c r="AO103" s="3139"/>
      <c r="AP103" s="3140">
        <f t="shared" si="85"/>
        <v>84050</v>
      </c>
      <c r="AQ103" s="3128"/>
      <c r="AR103" s="3784">
        <v>6</v>
      </c>
      <c r="AS103" s="3136" t="s">
        <v>5929</v>
      </c>
      <c r="AT103" s="3737" t="s">
        <v>5956</v>
      </c>
      <c r="AU103" s="3126">
        <f t="shared" si="86"/>
        <v>84050</v>
      </c>
      <c r="AV103" s="3143"/>
      <c r="AW103" s="3143"/>
      <c r="AX103" s="3141">
        <f t="shared" si="91"/>
        <v>84050</v>
      </c>
      <c r="AY103" s="3140">
        <f t="shared" si="88"/>
        <v>84050</v>
      </c>
      <c r="AZ103" s="3144"/>
    </row>
    <row r="104" spans="1:52" ht="33.75" thickBot="1" x14ac:dyDescent="0.3">
      <c r="A104" s="3098"/>
      <c r="B104" s="3498" t="s">
        <v>5331</v>
      </c>
      <c r="C104" s="3115" t="s">
        <v>5930</v>
      </c>
      <c r="D104" s="3109" t="s">
        <v>5955</v>
      </c>
      <c r="E104" s="3712">
        <f>'23. Costos de Inversion'!G51</f>
        <v>30000</v>
      </c>
      <c r="F104" s="3138"/>
      <c r="G104" s="3138"/>
      <c r="H104" s="3138"/>
      <c r="I104" s="3138"/>
      <c r="J104" s="3138"/>
      <c r="K104" s="3138"/>
      <c r="L104" s="3138"/>
      <c r="M104" s="3138"/>
      <c r="N104" s="3138"/>
      <c r="O104" s="3138"/>
      <c r="P104" s="3138"/>
      <c r="Q104" s="3138"/>
      <c r="R104" s="3138"/>
      <c r="S104" s="3138"/>
      <c r="T104" s="3138"/>
      <c r="U104" s="3138"/>
      <c r="V104" s="3138"/>
      <c r="W104" s="3138"/>
      <c r="X104" s="3139"/>
      <c r="Y104" s="3139"/>
      <c r="Z104" s="3139"/>
      <c r="AA104" s="3139"/>
      <c r="AB104" s="3139"/>
      <c r="AC104" s="3735">
        <f t="shared" ref="AC104:AK104" si="92">$E$104*AC42</f>
        <v>11000</v>
      </c>
      <c r="AD104" s="3735">
        <f t="shared" si="92"/>
        <v>250</v>
      </c>
      <c r="AE104" s="3735">
        <f t="shared" si="92"/>
        <v>5250</v>
      </c>
      <c r="AF104" s="3735">
        <f t="shared" si="92"/>
        <v>250</v>
      </c>
      <c r="AG104" s="3735">
        <f t="shared" si="92"/>
        <v>5250</v>
      </c>
      <c r="AH104" s="3735">
        <f t="shared" si="92"/>
        <v>250</v>
      </c>
      <c r="AI104" s="3735">
        <f t="shared" si="92"/>
        <v>3750</v>
      </c>
      <c r="AJ104" s="3735">
        <f t="shared" si="92"/>
        <v>250</v>
      </c>
      <c r="AK104" s="3735">
        <f t="shared" si="92"/>
        <v>3750</v>
      </c>
      <c r="AL104" s="3139"/>
      <c r="AM104" s="3139"/>
      <c r="AN104" s="3139"/>
      <c r="AO104" s="3139"/>
      <c r="AP104" s="3140">
        <f t="shared" si="85"/>
        <v>30000</v>
      </c>
      <c r="AQ104" s="3128"/>
      <c r="AR104" s="3784">
        <v>7</v>
      </c>
      <c r="AS104" s="3136" t="s">
        <v>5930</v>
      </c>
      <c r="AT104" s="3109" t="s">
        <v>5955</v>
      </c>
      <c r="AU104" s="3126">
        <f t="shared" si="86"/>
        <v>30000</v>
      </c>
      <c r="AV104" s="3143"/>
      <c r="AW104" s="3141">
        <f t="shared" si="90"/>
        <v>11000</v>
      </c>
      <c r="AX104" s="3141">
        <f t="shared" si="91"/>
        <v>19000</v>
      </c>
      <c r="AY104" s="3140">
        <f t="shared" si="88"/>
        <v>30000</v>
      </c>
      <c r="AZ104" s="3144"/>
    </row>
    <row r="105" spans="1:52" ht="17.25" thickBot="1" x14ac:dyDescent="0.3">
      <c r="A105" s="3098"/>
      <c r="B105" s="3498" t="s">
        <v>5332</v>
      </c>
      <c r="C105" s="3115" t="s">
        <v>5951</v>
      </c>
      <c r="D105" s="3109" t="s">
        <v>3890</v>
      </c>
      <c r="E105" s="3712">
        <f>'23. Costos de Inversion'!G57</f>
        <v>30000</v>
      </c>
      <c r="F105" s="3138"/>
      <c r="G105" s="3138"/>
      <c r="H105" s="3138"/>
      <c r="I105" s="3138"/>
      <c r="J105" s="3138"/>
      <c r="K105" s="3138"/>
      <c r="L105" s="3138"/>
      <c r="M105" s="3138"/>
      <c r="N105" s="3138"/>
      <c r="O105" s="3138"/>
      <c r="P105" s="3138"/>
      <c r="Q105" s="3138"/>
      <c r="R105" s="3138"/>
      <c r="S105" s="3138"/>
      <c r="T105" s="3150">
        <f>$E$105/12</f>
        <v>2500</v>
      </c>
      <c r="U105" s="3150">
        <f t="shared" ref="U105:AE105" si="93">$E$105/12</f>
        <v>2500</v>
      </c>
      <c r="V105" s="3150">
        <f t="shared" si="93"/>
        <v>2500</v>
      </c>
      <c r="W105" s="3150">
        <f t="shared" si="93"/>
        <v>2500</v>
      </c>
      <c r="X105" s="3150">
        <f t="shared" si="93"/>
        <v>2500</v>
      </c>
      <c r="Y105" s="3150">
        <f t="shared" si="93"/>
        <v>2500</v>
      </c>
      <c r="Z105" s="3150">
        <f t="shared" si="93"/>
        <v>2500</v>
      </c>
      <c r="AA105" s="3150">
        <f t="shared" si="93"/>
        <v>2500</v>
      </c>
      <c r="AB105" s="3150">
        <f t="shared" si="93"/>
        <v>2500</v>
      </c>
      <c r="AC105" s="3150">
        <f t="shared" si="93"/>
        <v>2500</v>
      </c>
      <c r="AD105" s="3150">
        <f t="shared" si="93"/>
        <v>2500</v>
      </c>
      <c r="AE105" s="3150">
        <f t="shared" si="93"/>
        <v>2500</v>
      </c>
      <c r="AF105" s="3139"/>
      <c r="AG105" s="3139"/>
      <c r="AH105" s="3139"/>
      <c r="AI105" s="3139"/>
      <c r="AJ105" s="3139"/>
      <c r="AK105" s="3139"/>
      <c r="AL105" s="3139"/>
      <c r="AM105" s="3139"/>
      <c r="AN105" s="3139"/>
      <c r="AO105" s="3139"/>
      <c r="AP105" s="3140">
        <f t="shared" si="85"/>
        <v>30000</v>
      </c>
      <c r="AQ105" s="3128"/>
      <c r="AR105" s="3784">
        <v>8</v>
      </c>
      <c r="AS105" s="3125" t="s">
        <v>5951</v>
      </c>
      <c r="AT105" s="3109" t="s">
        <v>3890</v>
      </c>
      <c r="AU105" s="3126">
        <f t="shared" si="86"/>
        <v>30000</v>
      </c>
      <c r="AV105" s="3143"/>
      <c r="AW105" s="3141">
        <f t="shared" si="90"/>
        <v>25000</v>
      </c>
      <c r="AX105" s="3141">
        <f t="shared" si="91"/>
        <v>5000</v>
      </c>
      <c r="AY105" s="3140">
        <f t="shared" si="88"/>
        <v>30000</v>
      </c>
      <c r="AZ105" s="3144"/>
    </row>
    <row r="106" spans="1:52" ht="17.25" thickBot="1" x14ac:dyDescent="0.3">
      <c r="A106" s="3098"/>
      <c r="B106" s="3498" t="s">
        <v>5333</v>
      </c>
      <c r="C106" s="3108" t="s">
        <v>5949</v>
      </c>
      <c r="D106" s="3109" t="s">
        <v>5954</v>
      </c>
      <c r="E106" s="3712">
        <f>'23. Costos de Inversion'!G58</f>
        <v>659364.30000000005</v>
      </c>
      <c r="F106" s="3138"/>
      <c r="G106" s="3138"/>
      <c r="H106" s="3138"/>
      <c r="I106" s="3138"/>
      <c r="J106" s="3138"/>
      <c r="K106" s="3138"/>
      <c r="L106" s="3138"/>
      <c r="M106" s="3138"/>
      <c r="N106" s="3138"/>
      <c r="O106" s="3138"/>
      <c r="P106" s="3138"/>
      <c r="Q106" s="3138"/>
      <c r="R106" s="3138"/>
      <c r="S106" s="3138"/>
      <c r="T106" s="3733">
        <f t="shared" ref="T106:AE106" si="94">$E$106/12</f>
        <v>54947.025000000001</v>
      </c>
      <c r="U106" s="3733">
        <f t="shared" si="94"/>
        <v>54947.025000000001</v>
      </c>
      <c r="V106" s="3733">
        <f t="shared" si="94"/>
        <v>54947.025000000001</v>
      </c>
      <c r="W106" s="3733">
        <f t="shared" si="94"/>
        <v>54947.025000000001</v>
      </c>
      <c r="X106" s="3733">
        <f t="shared" si="94"/>
        <v>54947.025000000001</v>
      </c>
      <c r="Y106" s="3733">
        <f t="shared" si="94"/>
        <v>54947.025000000001</v>
      </c>
      <c r="Z106" s="3733">
        <f t="shared" si="94"/>
        <v>54947.025000000001</v>
      </c>
      <c r="AA106" s="3733">
        <f t="shared" si="94"/>
        <v>54947.025000000001</v>
      </c>
      <c r="AB106" s="3733">
        <f t="shared" si="94"/>
        <v>54947.025000000001</v>
      </c>
      <c r="AC106" s="3733">
        <f t="shared" si="94"/>
        <v>54947.025000000001</v>
      </c>
      <c r="AD106" s="3733">
        <f t="shared" si="94"/>
        <v>54947.025000000001</v>
      </c>
      <c r="AE106" s="3733">
        <f t="shared" si="94"/>
        <v>54947.025000000001</v>
      </c>
      <c r="AF106" s="3139"/>
      <c r="AG106" s="3139"/>
      <c r="AH106" s="3139"/>
      <c r="AI106" s="3139"/>
      <c r="AJ106" s="3139"/>
      <c r="AK106" s="3139"/>
      <c r="AL106" s="3139"/>
      <c r="AM106" s="3139"/>
      <c r="AN106" s="3139"/>
      <c r="AO106" s="3139"/>
      <c r="AP106" s="3140">
        <f t="shared" si="85"/>
        <v>659364.30000000016</v>
      </c>
      <c r="AQ106" s="3128"/>
      <c r="AR106" s="3784">
        <v>9</v>
      </c>
      <c r="AS106" s="3125" t="s">
        <v>5949</v>
      </c>
      <c r="AT106" s="3109" t="s">
        <v>5954</v>
      </c>
      <c r="AU106" s="3126">
        <f t="shared" si="86"/>
        <v>659364.30000000005</v>
      </c>
      <c r="AV106" s="3143"/>
      <c r="AW106" s="3141">
        <f t="shared" si="90"/>
        <v>549470.25000000012</v>
      </c>
      <c r="AX106" s="3141">
        <f t="shared" si="91"/>
        <v>109894.05</v>
      </c>
      <c r="AY106" s="3140">
        <f t="shared" si="88"/>
        <v>659364.30000000016</v>
      </c>
      <c r="AZ106" s="3144"/>
    </row>
    <row r="107" spans="1:52" ht="17.25" thickBot="1" x14ac:dyDescent="0.3">
      <c r="A107" s="3098"/>
      <c r="B107" s="3498" t="s">
        <v>5334</v>
      </c>
      <c r="C107" s="3108" t="s">
        <v>5950</v>
      </c>
      <c r="D107" s="3109" t="s">
        <v>5955</v>
      </c>
      <c r="E107" s="3712">
        <f>'23. Costos de Inversion'!G59</f>
        <v>47258.416666666672</v>
      </c>
      <c r="F107" s="3138"/>
      <c r="G107" s="3138"/>
      <c r="H107" s="3138"/>
      <c r="I107" s="3138"/>
      <c r="J107" s="3138"/>
      <c r="K107" s="3138"/>
      <c r="L107" s="3138"/>
      <c r="M107" s="3138"/>
      <c r="N107" s="3138"/>
      <c r="O107" s="3138"/>
      <c r="P107" s="3138"/>
      <c r="Q107" s="3138"/>
      <c r="R107" s="3138"/>
      <c r="S107" s="3138"/>
      <c r="T107" s="3138"/>
      <c r="U107" s="3138"/>
      <c r="V107" s="3138"/>
      <c r="W107" s="3138"/>
      <c r="X107" s="3138"/>
      <c r="Y107" s="3138"/>
      <c r="Z107" s="3138"/>
      <c r="AA107" s="3138"/>
      <c r="AB107" s="3138"/>
      <c r="AC107" s="3138"/>
      <c r="AD107" s="3138"/>
      <c r="AE107" s="3138"/>
      <c r="AF107" s="3138"/>
      <c r="AG107" s="3138"/>
      <c r="AH107" s="3138"/>
      <c r="AI107" s="3138"/>
      <c r="AJ107" s="3138"/>
      <c r="AK107" s="3138"/>
      <c r="AL107" s="3754">
        <f>$E$107/3</f>
        <v>15752.805555555557</v>
      </c>
      <c r="AM107" s="3754">
        <f>$E$107/3</f>
        <v>15752.805555555557</v>
      </c>
      <c r="AN107" s="3754">
        <f>$E$107/3</f>
        <v>15752.805555555557</v>
      </c>
      <c r="AO107" s="3139"/>
      <c r="AP107" s="3140">
        <f t="shared" si="85"/>
        <v>47258.416666666672</v>
      </c>
      <c r="AQ107" s="3128"/>
      <c r="AR107" s="3784">
        <v>10</v>
      </c>
      <c r="AS107" s="3125" t="s">
        <v>5950</v>
      </c>
      <c r="AT107" s="3109" t="s">
        <v>5955</v>
      </c>
      <c r="AU107" s="3126">
        <f t="shared" si="86"/>
        <v>47258.416666666672</v>
      </c>
      <c r="AV107" s="3143"/>
      <c r="AW107" s="3143"/>
      <c r="AX107" s="3141">
        <f t="shared" si="91"/>
        <v>47258.416666666672</v>
      </c>
      <c r="AY107" s="3140">
        <f t="shared" si="88"/>
        <v>47258.416666666672</v>
      </c>
      <c r="AZ107" s="3144"/>
    </row>
    <row r="108" spans="1:52" ht="17.25" thickBot="1" x14ac:dyDescent="0.3">
      <c r="A108" s="3098"/>
      <c r="B108" s="5045" t="s">
        <v>0</v>
      </c>
      <c r="C108" s="5045"/>
      <c r="D108" s="3739"/>
      <c r="E108" s="3740">
        <f t="shared" ref="E108:AN108" si="95">SUM(E98:E107)</f>
        <v>28586582.974537253</v>
      </c>
      <c r="F108" s="3734">
        <f t="shared" si="95"/>
        <v>0</v>
      </c>
      <c r="G108" s="3734">
        <f t="shared" si="95"/>
        <v>0</v>
      </c>
      <c r="H108" s="3734">
        <f t="shared" si="95"/>
        <v>0</v>
      </c>
      <c r="I108" s="3734">
        <f t="shared" si="95"/>
        <v>72685.338194444441</v>
      </c>
      <c r="J108" s="3734">
        <f>SUM(J98:J107)</f>
        <v>72685.338194444441</v>
      </c>
      <c r="K108" s="3734">
        <f>SUM(K98:K107)</f>
        <v>72685.338194444441</v>
      </c>
      <c r="L108" s="3734">
        <f>SUM(L98:L107)</f>
        <v>81446.838194444441</v>
      </c>
      <c r="M108" s="3734">
        <f t="shared" si="95"/>
        <v>81446.838194444441</v>
      </c>
      <c r="N108" s="3734">
        <f t="shared" si="95"/>
        <v>72685.338194444441</v>
      </c>
      <c r="O108" s="3734">
        <f t="shared" si="95"/>
        <v>0</v>
      </c>
      <c r="P108" s="3734">
        <f t="shared" si="95"/>
        <v>0</v>
      </c>
      <c r="Q108" s="3734">
        <f t="shared" si="95"/>
        <v>0</v>
      </c>
      <c r="R108" s="3734">
        <f t="shared" si="95"/>
        <v>0</v>
      </c>
      <c r="S108" s="3734">
        <f t="shared" si="95"/>
        <v>0</v>
      </c>
      <c r="T108" s="3734">
        <f t="shared" si="95"/>
        <v>1591513.36168366</v>
      </c>
      <c r="U108" s="3734">
        <f t="shared" si="95"/>
        <v>1591513.36168366</v>
      </c>
      <c r="V108" s="3734">
        <f t="shared" si="95"/>
        <v>1591513.36168366</v>
      </c>
      <c r="W108" s="3734">
        <f t="shared" si="95"/>
        <v>1591513.36168366</v>
      </c>
      <c r="X108" s="3734">
        <f t="shared" si="95"/>
        <v>1591513.36168366</v>
      </c>
      <c r="Y108" s="3734">
        <f t="shared" si="95"/>
        <v>1591513.36168366</v>
      </c>
      <c r="Z108" s="3734">
        <f t="shared" si="95"/>
        <v>1591513.36168366</v>
      </c>
      <c r="AA108" s="3734">
        <f t="shared" si="95"/>
        <v>1591513.36168366</v>
      </c>
      <c r="AB108" s="3734">
        <f t="shared" si="95"/>
        <v>3366209.1993836598</v>
      </c>
      <c r="AC108" s="3734">
        <f t="shared" si="95"/>
        <v>4264557.1182336602</v>
      </c>
      <c r="AD108" s="3734">
        <f t="shared" si="95"/>
        <v>5158825.0370836603</v>
      </c>
      <c r="AE108" s="3734">
        <f t="shared" si="95"/>
        <v>2507371.2805336597</v>
      </c>
      <c r="AF108" s="3734">
        <f t="shared" si="95"/>
        <v>19670</v>
      </c>
      <c r="AG108" s="3734">
        <f t="shared" si="95"/>
        <v>28949.999999999996</v>
      </c>
      <c r="AH108" s="3734">
        <f t="shared" si="95"/>
        <v>250</v>
      </c>
      <c r="AI108" s="3734">
        <f t="shared" si="95"/>
        <v>3750</v>
      </c>
      <c r="AJ108" s="3734">
        <f t="shared" si="95"/>
        <v>250</v>
      </c>
      <c r="AK108" s="3734">
        <f t="shared" si="95"/>
        <v>3750</v>
      </c>
      <c r="AL108" s="3734">
        <f t="shared" si="95"/>
        <v>15752.805555555557</v>
      </c>
      <c r="AM108" s="3734">
        <f t="shared" si="95"/>
        <v>15752.805555555557</v>
      </c>
      <c r="AN108" s="3734">
        <f t="shared" si="95"/>
        <v>15752.805555555557</v>
      </c>
      <c r="AO108" s="3734"/>
      <c r="AP108" s="3755">
        <f>SUM(F108:AO108)</f>
        <v>28586582.97453725</v>
      </c>
      <c r="AQ108" s="3128"/>
      <c r="AR108" s="3780"/>
      <c r="AS108" s="3769" t="s">
        <v>3949</v>
      </c>
      <c r="AT108" s="3769"/>
      <c r="AU108" s="3781">
        <f>SUM(AU98:AU107)</f>
        <v>28586582.974537253</v>
      </c>
      <c r="AV108" s="3743">
        <f>SUM(AV98:AV107)</f>
        <v>453635.02916666667</v>
      </c>
      <c r="AW108" s="3743">
        <f t="shared" ref="AW108:AX108" si="96">SUM(AW98:AW107)</f>
        <v>20362873.211086605</v>
      </c>
      <c r="AX108" s="3743">
        <f t="shared" si="96"/>
        <v>7770074.7342839874</v>
      </c>
      <c r="AY108" s="3783">
        <f>SUM(AY98:AY107)</f>
        <v>28586582.974537261</v>
      </c>
      <c r="AZ108" s="3144"/>
    </row>
    <row r="109" spans="1:52" ht="17.25" thickBot="1" x14ac:dyDescent="0.3">
      <c r="B109" s="5046" t="s">
        <v>5340</v>
      </c>
      <c r="C109" s="5046"/>
      <c r="D109" s="1347" t="s">
        <v>1426</v>
      </c>
      <c r="E109" s="1347"/>
      <c r="F109" s="3717">
        <f t="shared" ref="F109:AN109" si="97">F108/$E$108</f>
        <v>0</v>
      </c>
      <c r="G109" s="3717">
        <f t="shared" si="97"/>
        <v>0</v>
      </c>
      <c r="H109" s="3717">
        <f t="shared" si="97"/>
        <v>0</v>
      </c>
      <c r="I109" s="3717">
        <f t="shared" si="97"/>
        <v>2.5426382110512119E-3</v>
      </c>
      <c r="J109" s="3717">
        <f t="shared" si="97"/>
        <v>2.5426382110512119E-3</v>
      </c>
      <c r="K109" s="3717">
        <f t="shared" si="97"/>
        <v>2.5426382110512119E-3</v>
      </c>
      <c r="L109" s="3717">
        <f t="shared" si="97"/>
        <v>2.8491281475295969E-3</v>
      </c>
      <c r="M109" s="3717">
        <f t="shared" si="97"/>
        <v>2.8491281475295969E-3</v>
      </c>
      <c r="N109" s="3717">
        <f t="shared" si="97"/>
        <v>2.5426382110512119E-3</v>
      </c>
      <c r="O109" s="3717">
        <f t="shared" si="97"/>
        <v>0</v>
      </c>
      <c r="P109" s="3717">
        <f t="shared" si="97"/>
        <v>0</v>
      </c>
      <c r="Q109" s="3717">
        <f t="shared" si="97"/>
        <v>0</v>
      </c>
      <c r="R109" s="3717">
        <f t="shared" si="97"/>
        <v>0</v>
      </c>
      <c r="S109" s="3717">
        <f t="shared" si="97"/>
        <v>0</v>
      </c>
      <c r="T109" s="3717">
        <f t="shared" si="97"/>
        <v>5.5673438238535142E-2</v>
      </c>
      <c r="U109" s="3717">
        <f t="shared" si="97"/>
        <v>5.5673438238535142E-2</v>
      </c>
      <c r="V109" s="3717">
        <f t="shared" si="97"/>
        <v>5.5673438238535142E-2</v>
      </c>
      <c r="W109" s="3717">
        <f t="shared" si="97"/>
        <v>5.5673438238535142E-2</v>
      </c>
      <c r="X109" s="3717">
        <f t="shared" si="97"/>
        <v>5.5673438238535142E-2</v>
      </c>
      <c r="Y109" s="3717">
        <f t="shared" si="97"/>
        <v>5.5673438238535142E-2</v>
      </c>
      <c r="Z109" s="3717">
        <f t="shared" si="97"/>
        <v>5.5673438238535142E-2</v>
      </c>
      <c r="AA109" s="3717">
        <f t="shared" si="97"/>
        <v>5.5673438238535142E-2</v>
      </c>
      <c r="AB109" s="3717">
        <f t="shared" si="97"/>
        <v>0.117754864314564</v>
      </c>
      <c r="AC109" s="3717">
        <f t="shared" si="97"/>
        <v>0.14918037325525063</v>
      </c>
      <c r="AD109" s="3717">
        <f t="shared" si="97"/>
        <v>0.18046315789749157</v>
      </c>
      <c r="AE109" s="3717">
        <f t="shared" si="97"/>
        <v>8.771147229338444E-2</v>
      </c>
      <c r="AF109" s="3717">
        <f t="shared" si="97"/>
        <v>6.8808503686923809E-4</v>
      </c>
      <c r="AG109" s="3717">
        <f t="shared" si="97"/>
        <v>1.0127128529417611E-3</v>
      </c>
      <c r="AH109" s="3717">
        <f t="shared" si="97"/>
        <v>8.7453614243675411E-6</v>
      </c>
      <c r="AI109" s="3717">
        <f t="shared" si="97"/>
        <v>1.3118042136551312E-4</v>
      </c>
      <c r="AJ109" s="3717">
        <f t="shared" si="97"/>
        <v>8.7453614243675411E-6</v>
      </c>
      <c r="AK109" s="3717">
        <f t="shared" si="97"/>
        <v>1.3118042136551312E-4</v>
      </c>
      <c r="AL109" s="3717">
        <f t="shared" si="97"/>
        <v>5.5105591212447301E-4</v>
      </c>
      <c r="AM109" s="3717">
        <f t="shared" si="97"/>
        <v>5.5105591212447301E-4</v>
      </c>
      <c r="AN109" s="3717">
        <f t="shared" si="97"/>
        <v>5.5105591212447301E-4</v>
      </c>
      <c r="AO109" s="3717">
        <f t="shared" ref="AO109" si="98">AO108/$E$108</f>
        <v>0</v>
      </c>
      <c r="AP109" s="3112">
        <f>SUM(F109:AO109)</f>
        <v>1.0000000000000002</v>
      </c>
      <c r="AR109" s="3110"/>
      <c r="AS109" s="3121" t="s">
        <v>5340</v>
      </c>
      <c r="AT109" s="3770"/>
      <c r="AU109" s="3119"/>
      <c r="AV109" s="3112">
        <f>AV108/$AU$108</f>
        <v>1.5868809139264042E-2</v>
      </c>
      <c r="AW109" s="3112">
        <f t="shared" ref="AW109:AX109" si="99">AW108/$AU$108</f>
        <v>0.71232274347809599</v>
      </c>
      <c r="AX109" s="3112">
        <f t="shared" si="99"/>
        <v>0.27180844738264021</v>
      </c>
      <c r="AY109" s="3112">
        <f>SUM(AV109:AX109)</f>
        <v>1.0000000000000002</v>
      </c>
    </row>
    <row r="110" spans="1:52" ht="17.25" thickBot="1" x14ac:dyDescent="0.3">
      <c r="B110" s="5046" t="s">
        <v>5341</v>
      </c>
      <c r="C110" s="5046"/>
      <c r="D110" s="1347" t="s">
        <v>1426</v>
      </c>
      <c r="E110" s="1347"/>
      <c r="F110" s="3718">
        <f>F109</f>
        <v>0</v>
      </c>
      <c r="G110" s="3718">
        <f>F110+G109</f>
        <v>0</v>
      </c>
      <c r="H110" s="3718">
        <f t="shared" ref="H110:AO110" si="100">G110+H109</f>
        <v>0</v>
      </c>
      <c r="I110" s="3718">
        <f t="shared" si="100"/>
        <v>2.5426382110512119E-3</v>
      </c>
      <c r="J110" s="3718">
        <f t="shared" si="100"/>
        <v>5.0852764221024239E-3</v>
      </c>
      <c r="K110" s="3718">
        <f t="shared" si="100"/>
        <v>7.6279146331536358E-3</v>
      </c>
      <c r="L110" s="3718">
        <f t="shared" si="100"/>
        <v>1.0477042780683232E-2</v>
      </c>
      <c r="M110" s="3718">
        <f t="shared" si="100"/>
        <v>1.332617092821283E-2</v>
      </c>
      <c r="N110" s="3718">
        <f t="shared" si="100"/>
        <v>1.5868809139264042E-2</v>
      </c>
      <c r="O110" s="3718">
        <f t="shared" si="100"/>
        <v>1.5868809139264042E-2</v>
      </c>
      <c r="P110" s="3718">
        <f t="shared" si="100"/>
        <v>1.5868809139264042E-2</v>
      </c>
      <c r="Q110" s="3718">
        <f t="shared" si="100"/>
        <v>1.5868809139264042E-2</v>
      </c>
      <c r="R110" s="3718">
        <f t="shared" si="100"/>
        <v>1.5868809139264042E-2</v>
      </c>
      <c r="S110" s="3718">
        <f t="shared" si="100"/>
        <v>1.5868809139264042E-2</v>
      </c>
      <c r="T110" s="3718">
        <f t="shared" si="100"/>
        <v>7.1542247377799184E-2</v>
      </c>
      <c r="U110" s="3718">
        <f t="shared" si="100"/>
        <v>0.12721568561633434</v>
      </c>
      <c r="V110" s="3718">
        <f t="shared" si="100"/>
        <v>0.1828891238548695</v>
      </c>
      <c r="W110" s="3718">
        <f t="shared" si="100"/>
        <v>0.23856256209340465</v>
      </c>
      <c r="X110" s="3718">
        <f t="shared" si="100"/>
        <v>0.29423600033193981</v>
      </c>
      <c r="Y110" s="3718">
        <f t="shared" si="100"/>
        <v>0.34990943857047496</v>
      </c>
      <c r="Z110" s="3718">
        <f t="shared" si="100"/>
        <v>0.40558287680901012</v>
      </c>
      <c r="AA110" s="3718">
        <f t="shared" si="100"/>
        <v>0.46125631504754527</v>
      </c>
      <c r="AB110" s="3718">
        <f t="shared" si="100"/>
        <v>0.57901117936210933</v>
      </c>
      <c r="AC110" s="3718">
        <f t="shared" si="100"/>
        <v>0.72819155261735991</v>
      </c>
      <c r="AD110" s="3718">
        <f t="shared" si="100"/>
        <v>0.90865471051485147</v>
      </c>
      <c r="AE110" s="3718">
        <f t="shared" si="100"/>
        <v>0.99636618280823597</v>
      </c>
      <c r="AF110" s="3718">
        <f t="shared" si="100"/>
        <v>0.9970542678451052</v>
      </c>
      <c r="AG110" s="3718">
        <f t="shared" si="100"/>
        <v>0.998066980698047</v>
      </c>
      <c r="AH110" s="3718">
        <f t="shared" si="100"/>
        <v>0.99807572605947137</v>
      </c>
      <c r="AI110" s="3718">
        <f t="shared" si="100"/>
        <v>0.99820690648083688</v>
      </c>
      <c r="AJ110" s="3718">
        <f t="shared" si="100"/>
        <v>0.99821565184226124</v>
      </c>
      <c r="AK110" s="3718">
        <f t="shared" si="100"/>
        <v>0.99834683226362675</v>
      </c>
      <c r="AL110" s="3718">
        <f t="shared" si="100"/>
        <v>0.9988978881757512</v>
      </c>
      <c r="AM110" s="3718">
        <f t="shared" si="100"/>
        <v>0.99944894408787566</v>
      </c>
      <c r="AN110" s="3718">
        <f t="shared" si="100"/>
        <v>1.0000000000000002</v>
      </c>
      <c r="AO110" s="3761">
        <f t="shared" si="100"/>
        <v>1.0000000000000002</v>
      </c>
      <c r="AP110" s="3112"/>
      <c r="AR110" s="3110"/>
      <c r="AS110" s="3121" t="s">
        <v>5341</v>
      </c>
      <c r="AT110" s="3770"/>
      <c r="AU110" s="3119"/>
      <c r="AV110" s="3112">
        <f>AV109</f>
        <v>1.5868809139264042E-2</v>
      </c>
      <c r="AW110" s="3112">
        <f t="shared" ref="AW110:AX110" si="101">AW109+AV110</f>
        <v>0.72819155261736002</v>
      </c>
      <c r="AX110" s="3112">
        <f t="shared" si="101"/>
        <v>1.0000000000000002</v>
      </c>
      <c r="AY110" s="3112"/>
    </row>
    <row r="113" spans="2:51" ht="17.25" thickBot="1" x14ac:dyDescent="0.3"/>
    <row r="114" spans="2:51" ht="18.75" thickBot="1" x14ac:dyDescent="0.3">
      <c r="B114" s="5038" t="s">
        <v>5346</v>
      </c>
      <c r="C114" s="5039"/>
      <c r="D114" s="5039"/>
      <c r="E114" s="5039"/>
      <c r="F114" s="5039"/>
      <c r="G114" s="5039"/>
      <c r="H114" s="5039"/>
      <c r="I114" s="5039"/>
      <c r="J114" s="5039"/>
      <c r="K114" s="5039"/>
      <c r="L114" s="5039"/>
      <c r="M114" s="5039"/>
      <c r="N114" s="5039"/>
      <c r="O114" s="5039"/>
      <c r="P114" s="5039"/>
      <c r="Q114" s="5039"/>
      <c r="R114" s="5039"/>
      <c r="S114" s="5039"/>
      <c r="T114" s="5039"/>
      <c r="U114" s="5039"/>
      <c r="V114" s="5039"/>
      <c r="W114" s="5039"/>
      <c r="X114" s="5039"/>
      <c r="Y114" s="5039"/>
      <c r="Z114" s="5039"/>
      <c r="AA114" s="5039"/>
      <c r="AB114" s="5039"/>
      <c r="AC114" s="5039"/>
      <c r="AD114" s="5039"/>
      <c r="AE114" s="5039"/>
      <c r="AF114" s="5039"/>
      <c r="AG114" s="5039"/>
      <c r="AH114" s="5039"/>
      <c r="AI114" s="5039"/>
      <c r="AJ114" s="5039"/>
      <c r="AK114" s="5039"/>
      <c r="AL114" s="5039"/>
      <c r="AM114" s="5039"/>
      <c r="AN114" s="5039"/>
      <c r="AO114" s="5039"/>
      <c r="AP114" s="5040"/>
    </row>
    <row r="115" spans="2:51" ht="17.25" thickBot="1" x14ac:dyDescent="0.3">
      <c r="B115" s="3098"/>
      <c r="C115" s="3099"/>
      <c r="D115" s="3099"/>
      <c r="E115" s="3099"/>
      <c r="F115" s="3099"/>
      <c r="G115" s="3100"/>
      <c r="H115" s="3100"/>
      <c r="I115" s="3100"/>
      <c r="J115" s="3100"/>
      <c r="K115" s="3100"/>
      <c r="L115" s="3100"/>
      <c r="M115" s="3100"/>
      <c r="N115" s="3100"/>
      <c r="O115" s="3100"/>
      <c r="P115" s="3100"/>
      <c r="Q115" s="3100"/>
      <c r="R115" s="3100"/>
      <c r="S115" s="3100"/>
      <c r="T115" s="3100"/>
      <c r="U115" s="3100"/>
      <c r="V115" s="3100"/>
      <c r="W115" s="3100"/>
      <c r="X115" s="3100"/>
      <c r="Y115" s="3100"/>
      <c r="Z115" s="3100"/>
      <c r="AA115" s="3100"/>
      <c r="AB115" s="3100"/>
      <c r="AC115" s="3100"/>
      <c r="AD115" s="3100"/>
      <c r="AE115" s="3100"/>
      <c r="AF115" s="3100"/>
      <c r="AG115" s="3100"/>
      <c r="AH115" s="3100"/>
      <c r="AI115" s="3100"/>
      <c r="AJ115" s="3100"/>
      <c r="AK115" s="3100"/>
      <c r="AL115" s="3100"/>
      <c r="AM115" s="3100"/>
      <c r="AN115" s="3100"/>
      <c r="AO115" s="3100"/>
    </row>
    <row r="116" spans="2:51" ht="17.25" thickBot="1" x14ac:dyDescent="0.3">
      <c r="B116" s="5041" t="s">
        <v>5305</v>
      </c>
      <c r="C116" s="5042"/>
      <c r="D116" s="5042"/>
      <c r="E116" s="5042"/>
      <c r="F116" s="5042"/>
      <c r="G116" s="5042"/>
      <c r="H116" s="5042"/>
      <c r="I116" s="5042"/>
      <c r="J116" s="5042"/>
      <c r="K116" s="5042"/>
      <c r="L116" s="5042"/>
      <c r="M116" s="5042"/>
      <c r="N116" s="5042"/>
      <c r="O116" s="5042"/>
      <c r="P116" s="5042"/>
      <c r="Q116" s="5042"/>
      <c r="R116" s="5042"/>
      <c r="S116" s="5042"/>
      <c r="T116" s="5042"/>
      <c r="U116" s="5042"/>
      <c r="V116" s="5042"/>
      <c r="W116" s="5042"/>
      <c r="X116" s="5042"/>
      <c r="Y116" s="5043"/>
      <c r="Z116" s="5043"/>
      <c r="AA116" s="5043"/>
      <c r="AB116" s="5043"/>
      <c r="AC116" s="5043"/>
      <c r="AD116" s="5043"/>
      <c r="AE116" s="5043"/>
      <c r="AF116" s="5043"/>
      <c r="AG116" s="5043"/>
      <c r="AH116" s="5043"/>
      <c r="AI116" s="5043"/>
      <c r="AJ116" s="5043"/>
      <c r="AK116" s="5043"/>
      <c r="AL116" s="5043"/>
      <c r="AM116" s="5043"/>
      <c r="AN116" s="5043"/>
      <c r="AO116" s="5043"/>
      <c r="AP116" s="5044"/>
    </row>
    <row r="117" spans="2:51" ht="17.25" thickBot="1" x14ac:dyDescent="0.3">
      <c r="B117" s="5064" t="s">
        <v>62</v>
      </c>
      <c r="C117" s="5066" t="s">
        <v>5306</v>
      </c>
      <c r="D117" s="5086" t="s">
        <v>3850</v>
      </c>
      <c r="E117" s="5068" t="s">
        <v>5337</v>
      </c>
      <c r="F117" s="5032" t="s">
        <v>5308</v>
      </c>
      <c r="G117" s="5032"/>
      <c r="H117" s="5032"/>
      <c r="I117" s="5032"/>
      <c r="J117" s="5032"/>
      <c r="K117" s="5032"/>
      <c r="L117" s="5032"/>
      <c r="M117" s="5032"/>
      <c r="N117" s="5032"/>
      <c r="O117" s="5032"/>
      <c r="P117" s="5032"/>
      <c r="Q117" s="5032"/>
      <c r="R117" s="5035" t="s">
        <v>5309</v>
      </c>
      <c r="S117" s="5036"/>
      <c r="T117" s="5036"/>
      <c r="U117" s="5036"/>
      <c r="V117" s="5036"/>
      <c r="W117" s="5036"/>
      <c r="X117" s="5036"/>
      <c r="Y117" s="5036"/>
      <c r="Z117" s="5036"/>
      <c r="AA117" s="5036"/>
      <c r="AB117" s="5036"/>
      <c r="AC117" s="5037"/>
      <c r="AD117" s="5032" t="s">
        <v>5310</v>
      </c>
      <c r="AE117" s="5032"/>
      <c r="AF117" s="5032"/>
      <c r="AG117" s="5032"/>
      <c r="AH117" s="5032"/>
      <c r="AI117" s="5032"/>
      <c r="AJ117" s="5032"/>
      <c r="AK117" s="5032"/>
      <c r="AL117" s="5032"/>
      <c r="AM117" s="5032"/>
      <c r="AN117" s="5032"/>
      <c r="AO117" s="5032"/>
      <c r="AP117" s="5070" t="s">
        <v>0</v>
      </c>
    </row>
    <row r="118" spans="2:51" ht="17.25" thickBot="1" x14ac:dyDescent="0.3">
      <c r="B118" s="5064"/>
      <c r="C118" s="5066"/>
      <c r="D118" s="5089"/>
      <c r="E118" s="5068"/>
      <c r="F118" s="5032" t="s">
        <v>5311</v>
      </c>
      <c r="G118" s="5032"/>
      <c r="H118" s="5032"/>
      <c r="I118" s="5032"/>
      <c r="J118" s="5032"/>
      <c r="K118" s="5032"/>
      <c r="L118" s="5032"/>
      <c r="M118" s="5032"/>
      <c r="N118" s="5032"/>
      <c r="O118" s="5032"/>
      <c r="P118" s="5032"/>
      <c r="Q118" s="5032"/>
      <c r="R118" s="5035" t="s">
        <v>5312</v>
      </c>
      <c r="S118" s="5036"/>
      <c r="T118" s="5036"/>
      <c r="U118" s="5036"/>
      <c r="V118" s="5036"/>
      <c r="W118" s="5036"/>
      <c r="X118" s="5036"/>
      <c r="Y118" s="5036"/>
      <c r="Z118" s="5036"/>
      <c r="AA118" s="5036"/>
      <c r="AB118" s="5036"/>
      <c r="AC118" s="5037"/>
      <c r="AD118" s="5032" t="s">
        <v>5313</v>
      </c>
      <c r="AE118" s="5032"/>
      <c r="AF118" s="5032"/>
      <c r="AG118" s="5032"/>
      <c r="AH118" s="5032"/>
      <c r="AI118" s="5032"/>
      <c r="AJ118" s="5032"/>
      <c r="AK118" s="5032"/>
      <c r="AL118" s="5032"/>
      <c r="AM118" s="5032"/>
      <c r="AN118" s="5032"/>
      <c r="AO118" s="5032"/>
      <c r="AP118" s="5070"/>
      <c r="AR118" s="4338" t="s">
        <v>5957</v>
      </c>
      <c r="AS118" s="4318"/>
      <c r="AT118" s="4318"/>
      <c r="AU118" s="4318"/>
      <c r="AV118" s="4318"/>
      <c r="AW118" s="4318"/>
      <c r="AX118" s="5085"/>
      <c r="AY118" s="4319"/>
    </row>
    <row r="119" spans="2:51" ht="17.25" thickBot="1" x14ac:dyDescent="0.3">
      <c r="B119" s="5064"/>
      <c r="C119" s="5066"/>
      <c r="D119" s="5089"/>
      <c r="E119" s="5068"/>
      <c r="F119" s="5034" t="s">
        <v>5314</v>
      </c>
      <c r="G119" s="5034"/>
      <c r="H119" s="5034"/>
      <c r="I119" s="5033" t="s">
        <v>5315</v>
      </c>
      <c r="J119" s="5033"/>
      <c r="K119" s="5033"/>
      <c r="L119" s="5034" t="s">
        <v>5316</v>
      </c>
      <c r="M119" s="5034"/>
      <c r="N119" s="5034"/>
      <c r="O119" s="5033" t="s">
        <v>5317</v>
      </c>
      <c r="P119" s="5033"/>
      <c r="Q119" s="5033"/>
      <c r="R119" s="5034" t="s">
        <v>5314</v>
      </c>
      <c r="S119" s="5034"/>
      <c r="T119" s="5034"/>
      <c r="U119" s="5033" t="s">
        <v>5315</v>
      </c>
      <c r="V119" s="5033"/>
      <c r="W119" s="5033"/>
      <c r="X119" s="5029" t="s">
        <v>5316</v>
      </c>
      <c r="Y119" s="5030"/>
      <c r="Z119" s="5031"/>
      <c r="AA119" s="5033" t="s">
        <v>5317</v>
      </c>
      <c r="AB119" s="5033"/>
      <c r="AC119" s="5033"/>
      <c r="AD119" s="5034" t="s">
        <v>5314</v>
      </c>
      <c r="AE119" s="5034"/>
      <c r="AF119" s="5034"/>
      <c r="AG119" s="5033" t="s">
        <v>5315</v>
      </c>
      <c r="AH119" s="5033"/>
      <c r="AI119" s="5033"/>
      <c r="AJ119" s="5034" t="s">
        <v>5316</v>
      </c>
      <c r="AK119" s="5034"/>
      <c r="AL119" s="5034"/>
      <c r="AM119" s="5033" t="s">
        <v>5317</v>
      </c>
      <c r="AN119" s="5033"/>
      <c r="AO119" s="5033"/>
      <c r="AP119" s="5070"/>
      <c r="AR119" s="5064" t="s">
        <v>62</v>
      </c>
      <c r="AS119" s="5066" t="s">
        <v>5306</v>
      </c>
      <c r="AT119" s="5086" t="s">
        <v>3850</v>
      </c>
      <c r="AU119" s="5068" t="s">
        <v>5337</v>
      </c>
      <c r="AV119" s="3105" t="s">
        <v>5308</v>
      </c>
      <c r="AW119" s="3105" t="s">
        <v>5309</v>
      </c>
      <c r="AX119" s="3778" t="s">
        <v>5310</v>
      </c>
      <c r="AY119" s="5070" t="s">
        <v>0</v>
      </c>
    </row>
    <row r="120" spans="2:51" ht="17.25" thickBot="1" x14ac:dyDescent="0.3">
      <c r="B120" s="5065"/>
      <c r="C120" s="5067"/>
      <c r="D120" s="5087"/>
      <c r="E120" s="5069"/>
      <c r="F120" s="3106" t="s">
        <v>5318</v>
      </c>
      <c r="G120" s="3106" t="s">
        <v>5319</v>
      </c>
      <c r="H120" s="3106" t="s">
        <v>5320</v>
      </c>
      <c r="I120" s="3107" t="s">
        <v>5318</v>
      </c>
      <c r="J120" s="3107" t="s">
        <v>5319</v>
      </c>
      <c r="K120" s="3107" t="s">
        <v>5320</v>
      </c>
      <c r="L120" s="3106" t="s">
        <v>5318</v>
      </c>
      <c r="M120" s="3106" t="s">
        <v>5319</v>
      </c>
      <c r="N120" s="3106" t="s">
        <v>5320</v>
      </c>
      <c r="O120" s="3107" t="s">
        <v>5318</v>
      </c>
      <c r="P120" s="3107" t="s">
        <v>5319</v>
      </c>
      <c r="Q120" s="3107" t="s">
        <v>5320</v>
      </c>
      <c r="R120" s="3106" t="s">
        <v>5318</v>
      </c>
      <c r="S120" s="3106" t="s">
        <v>5319</v>
      </c>
      <c r="T120" s="3106" t="s">
        <v>5320</v>
      </c>
      <c r="U120" s="3107" t="s">
        <v>5318</v>
      </c>
      <c r="V120" s="3107" t="s">
        <v>5319</v>
      </c>
      <c r="W120" s="3107" t="s">
        <v>5320</v>
      </c>
      <c r="X120" s="3106" t="s">
        <v>5318</v>
      </c>
      <c r="Y120" s="3106" t="s">
        <v>5319</v>
      </c>
      <c r="Z120" s="3106" t="s">
        <v>5320</v>
      </c>
      <c r="AA120" s="3107" t="s">
        <v>5318</v>
      </c>
      <c r="AB120" s="3107" t="s">
        <v>5319</v>
      </c>
      <c r="AC120" s="3107" t="s">
        <v>5320</v>
      </c>
      <c r="AD120" s="3106" t="s">
        <v>5318</v>
      </c>
      <c r="AE120" s="3106" t="s">
        <v>5319</v>
      </c>
      <c r="AF120" s="3106" t="s">
        <v>5320</v>
      </c>
      <c r="AG120" s="3107" t="s">
        <v>5318</v>
      </c>
      <c r="AH120" s="3107" t="s">
        <v>5319</v>
      </c>
      <c r="AI120" s="3107" t="s">
        <v>5320</v>
      </c>
      <c r="AJ120" s="3106" t="s">
        <v>5318</v>
      </c>
      <c r="AK120" s="3106" t="s">
        <v>5319</v>
      </c>
      <c r="AL120" s="3106" t="s">
        <v>5320</v>
      </c>
      <c r="AM120" s="3107" t="s">
        <v>5318</v>
      </c>
      <c r="AN120" s="3107" t="s">
        <v>5319</v>
      </c>
      <c r="AO120" s="3107" t="s">
        <v>5320</v>
      </c>
      <c r="AP120" s="5071"/>
      <c r="AR120" s="5065"/>
      <c r="AS120" s="5067"/>
      <c r="AT120" s="5087"/>
      <c r="AU120" s="5069"/>
      <c r="AV120" s="3106" t="s">
        <v>5311</v>
      </c>
      <c r="AW120" s="3106" t="s">
        <v>5312</v>
      </c>
      <c r="AX120" s="3106" t="s">
        <v>5313</v>
      </c>
      <c r="AY120" s="5071"/>
    </row>
    <row r="121" spans="2:51" ht="17.25" thickBot="1" x14ac:dyDescent="0.3">
      <c r="B121" s="3498" t="s">
        <v>5321</v>
      </c>
      <c r="C121" s="3108" t="s">
        <v>5926</v>
      </c>
      <c r="D121" s="3109" t="s">
        <v>3890</v>
      </c>
      <c r="E121" s="3712">
        <f>'23. Costos de Inversion'!P54</f>
        <v>322503.73070987652</v>
      </c>
      <c r="F121" s="3138"/>
      <c r="G121" s="3138"/>
      <c r="H121" s="3138"/>
      <c r="I121" s="3137">
        <f>$E$121/6</f>
        <v>53750.621784979419</v>
      </c>
      <c r="J121" s="3137">
        <f t="shared" ref="J121:N121" si="102">$E$121/6</f>
        <v>53750.621784979419</v>
      </c>
      <c r="K121" s="3137">
        <f t="shared" si="102"/>
        <v>53750.621784979419</v>
      </c>
      <c r="L121" s="3137">
        <f t="shared" si="102"/>
        <v>53750.621784979419</v>
      </c>
      <c r="M121" s="3137">
        <f t="shared" si="102"/>
        <v>53750.621784979419</v>
      </c>
      <c r="N121" s="3137">
        <f t="shared" si="102"/>
        <v>53750.621784979419</v>
      </c>
      <c r="O121" s="3138"/>
      <c r="P121" s="3138"/>
      <c r="Q121" s="3138"/>
      <c r="R121" s="3138"/>
      <c r="S121" s="3138"/>
      <c r="T121" s="3138"/>
      <c r="U121" s="3138"/>
      <c r="V121" s="3138"/>
      <c r="W121" s="3138"/>
      <c r="X121" s="3138"/>
      <c r="Y121" s="3138"/>
      <c r="Z121" s="3138"/>
      <c r="AA121" s="3138"/>
      <c r="AB121" s="3138"/>
      <c r="AC121" s="3138"/>
      <c r="AD121" s="3138"/>
      <c r="AE121" s="3138"/>
      <c r="AF121" s="3138"/>
      <c r="AG121" s="3138"/>
      <c r="AH121" s="3138"/>
      <c r="AI121" s="3138"/>
      <c r="AJ121" s="3138"/>
      <c r="AK121" s="3138"/>
      <c r="AL121" s="3138"/>
      <c r="AM121" s="3138"/>
      <c r="AN121" s="3138"/>
      <c r="AO121" s="3138"/>
      <c r="AP121" s="3140">
        <f>SUM(I121:AO121)</f>
        <v>322503.73070987652</v>
      </c>
      <c r="AQ121" s="3128"/>
      <c r="AR121" s="3764">
        <v>1</v>
      </c>
      <c r="AS121" s="3115" t="s">
        <v>5926</v>
      </c>
      <c r="AT121" s="3109" t="s">
        <v>3890</v>
      </c>
      <c r="AU121" s="3117">
        <f>E121</f>
        <v>322503.73070987652</v>
      </c>
      <c r="AV121" s="3141">
        <f>SUM(F121:Q121)</f>
        <v>322503.73070987652</v>
      </c>
      <c r="AW121" s="3143"/>
      <c r="AX121" s="3143"/>
      <c r="AY121" s="3140">
        <f>SUM(AV121:AX121)</f>
        <v>322503.73070987652</v>
      </c>
    </row>
    <row r="122" spans="2:51" ht="17.25" thickBot="1" x14ac:dyDescent="0.3">
      <c r="B122" s="3498" t="s">
        <v>5323</v>
      </c>
      <c r="C122" s="3108" t="s">
        <v>5927</v>
      </c>
      <c r="D122" s="3109" t="s">
        <v>3890</v>
      </c>
      <c r="E122" s="3712">
        <f>'23. Costos de Inversion'!P55</f>
        <v>81303.703703703693</v>
      </c>
      <c r="F122" s="3138"/>
      <c r="G122" s="3138"/>
      <c r="H122" s="3138"/>
      <c r="I122" s="3142">
        <f>$E$122/6</f>
        <v>13550.617283950616</v>
      </c>
      <c r="J122" s="3142">
        <f t="shared" ref="J122:N122" si="103">$E$122/6</f>
        <v>13550.617283950616</v>
      </c>
      <c r="K122" s="3142">
        <f t="shared" si="103"/>
        <v>13550.617283950616</v>
      </c>
      <c r="L122" s="3142">
        <f t="shared" si="103"/>
        <v>13550.617283950616</v>
      </c>
      <c r="M122" s="3142">
        <f t="shared" si="103"/>
        <v>13550.617283950616</v>
      </c>
      <c r="N122" s="3142">
        <f t="shared" si="103"/>
        <v>13550.617283950616</v>
      </c>
      <c r="O122" s="3138"/>
      <c r="P122" s="3138"/>
      <c r="Q122" s="3138"/>
      <c r="R122" s="3138"/>
      <c r="S122" s="3138"/>
      <c r="T122" s="3138"/>
      <c r="U122" s="3138"/>
      <c r="V122" s="3138"/>
      <c r="W122" s="3138"/>
      <c r="X122" s="3138"/>
      <c r="Y122" s="3138"/>
      <c r="Z122" s="3138"/>
      <c r="AA122" s="3138"/>
      <c r="AB122" s="3138"/>
      <c r="AC122" s="3138"/>
      <c r="AD122" s="3138"/>
      <c r="AE122" s="3138"/>
      <c r="AF122" s="3138"/>
      <c r="AG122" s="3138"/>
      <c r="AH122" s="3138"/>
      <c r="AI122" s="3138"/>
      <c r="AJ122" s="3138"/>
      <c r="AK122" s="3138"/>
      <c r="AL122" s="3138"/>
      <c r="AM122" s="3138"/>
      <c r="AN122" s="3138"/>
      <c r="AO122" s="3138"/>
      <c r="AP122" s="3140">
        <f t="shared" ref="AP122:AP130" si="104">SUM(I122:AO122)</f>
        <v>81303.703703703693</v>
      </c>
      <c r="AQ122" s="3128"/>
      <c r="AR122" s="3764">
        <v>2</v>
      </c>
      <c r="AS122" s="3115" t="s">
        <v>5927</v>
      </c>
      <c r="AT122" s="3109" t="s">
        <v>3890</v>
      </c>
      <c r="AU122" s="3117">
        <f t="shared" ref="AU122:AU130" si="105">E122</f>
        <v>81303.703703703693</v>
      </c>
      <c r="AV122" s="3141">
        <f t="shared" ref="AV122:AV123" si="106">SUM(F122:Q122)</f>
        <v>81303.703703703693</v>
      </c>
      <c r="AW122" s="3143"/>
      <c r="AX122" s="3143"/>
      <c r="AY122" s="3140">
        <f t="shared" ref="AY122:AY130" si="107">SUM(AV122:AX122)</f>
        <v>81303.703703703693</v>
      </c>
    </row>
    <row r="123" spans="2:51" ht="17.25" thickBot="1" x14ac:dyDescent="0.3">
      <c r="B123" s="3498" t="s">
        <v>5324</v>
      </c>
      <c r="C123" s="3108" t="s">
        <v>5928</v>
      </c>
      <c r="D123" s="3109" t="s">
        <v>3890</v>
      </c>
      <c r="E123" s="3712">
        <f>'23. Costos de Inversion'!P56</f>
        <v>16224.999999999998</v>
      </c>
      <c r="F123" s="3138"/>
      <c r="G123" s="3138"/>
      <c r="H123" s="3138"/>
      <c r="J123" s="3119"/>
      <c r="K123" s="3119"/>
      <c r="L123" s="3145">
        <f>E123/2</f>
        <v>8112.4999999999991</v>
      </c>
      <c r="M123" s="3145">
        <f>E123/2</f>
        <v>8112.4999999999991</v>
      </c>
      <c r="N123" s="3138"/>
      <c r="O123" s="3138"/>
      <c r="P123" s="3138"/>
      <c r="Q123" s="3138"/>
      <c r="R123" s="3138"/>
      <c r="S123" s="3138"/>
      <c r="T123" s="3138"/>
      <c r="U123" s="3138"/>
      <c r="V123" s="3138"/>
      <c r="W123" s="3138"/>
      <c r="X123" s="3138"/>
      <c r="Y123" s="3138"/>
      <c r="Z123" s="3138"/>
      <c r="AA123" s="3138"/>
      <c r="AB123" s="3138"/>
      <c r="AC123" s="3138"/>
      <c r="AD123" s="3138"/>
      <c r="AE123" s="3138"/>
      <c r="AF123" s="3138"/>
      <c r="AG123" s="3138"/>
      <c r="AH123" s="3138"/>
      <c r="AI123" s="3138"/>
      <c r="AJ123" s="3138"/>
      <c r="AK123" s="3138"/>
      <c r="AL123" s="3138"/>
      <c r="AM123" s="3138"/>
      <c r="AN123" s="3138"/>
      <c r="AO123" s="3138"/>
      <c r="AP123" s="3140">
        <f t="shared" si="104"/>
        <v>16224.999999999998</v>
      </c>
      <c r="AQ123" s="3128"/>
      <c r="AR123" s="3764">
        <v>3</v>
      </c>
      <c r="AS123" s="3115" t="s">
        <v>5928</v>
      </c>
      <c r="AT123" s="3109" t="s">
        <v>3890</v>
      </c>
      <c r="AU123" s="3117">
        <f t="shared" si="105"/>
        <v>16224.999999999998</v>
      </c>
      <c r="AV123" s="3141">
        <f t="shared" si="106"/>
        <v>16224.999999999998</v>
      </c>
      <c r="AW123" s="3143"/>
      <c r="AX123" s="3143"/>
      <c r="AY123" s="3140">
        <f t="shared" si="107"/>
        <v>16224.999999999998</v>
      </c>
    </row>
    <row r="124" spans="2:51" ht="17.25" thickBot="1" x14ac:dyDescent="0.3">
      <c r="B124" s="3498" t="s">
        <v>5326</v>
      </c>
      <c r="C124" s="3108" t="s">
        <v>5328</v>
      </c>
      <c r="D124" s="3109" t="s">
        <v>3856</v>
      </c>
      <c r="E124" s="3712">
        <f>'23. Costos de Inversion'!P46</f>
        <v>11345686.781001689</v>
      </c>
      <c r="F124" s="3138"/>
      <c r="G124" s="3138"/>
      <c r="H124" s="3138"/>
      <c r="I124" s="3138"/>
      <c r="J124" s="3138"/>
      <c r="K124" s="3138"/>
      <c r="L124" s="3138"/>
      <c r="M124" s="3138"/>
      <c r="N124" s="3138"/>
      <c r="O124" s="3138"/>
      <c r="P124" s="3138"/>
      <c r="Q124" s="3138"/>
      <c r="R124" s="3138"/>
      <c r="S124" s="3138"/>
      <c r="T124" s="3147">
        <f t="shared" ref="T124:AE124" si="108">$E$124/12</f>
        <v>945473.89841680741</v>
      </c>
      <c r="U124" s="3147">
        <f t="shared" si="108"/>
        <v>945473.89841680741</v>
      </c>
      <c r="V124" s="3147">
        <f t="shared" si="108"/>
        <v>945473.89841680741</v>
      </c>
      <c r="W124" s="3147">
        <f t="shared" si="108"/>
        <v>945473.89841680741</v>
      </c>
      <c r="X124" s="3147">
        <f t="shared" si="108"/>
        <v>945473.89841680741</v>
      </c>
      <c r="Y124" s="3147">
        <f t="shared" si="108"/>
        <v>945473.89841680741</v>
      </c>
      <c r="Z124" s="3147">
        <f t="shared" si="108"/>
        <v>945473.89841680741</v>
      </c>
      <c r="AA124" s="3147">
        <f t="shared" si="108"/>
        <v>945473.89841680741</v>
      </c>
      <c r="AB124" s="3147">
        <f t="shared" si="108"/>
        <v>945473.89841680741</v>
      </c>
      <c r="AC124" s="3147">
        <f t="shared" si="108"/>
        <v>945473.89841680741</v>
      </c>
      <c r="AD124" s="3147">
        <f t="shared" si="108"/>
        <v>945473.89841680741</v>
      </c>
      <c r="AE124" s="3147">
        <f t="shared" si="108"/>
        <v>945473.89841680741</v>
      </c>
      <c r="AF124" s="3139"/>
      <c r="AG124" s="3139"/>
      <c r="AH124" s="3139"/>
      <c r="AI124" s="3139"/>
      <c r="AJ124" s="3139"/>
      <c r="AK124" s="3139"/>
      <c r="AL124" s="3139"/>
      <c r="AM124" s="3139"/>
      <c r="AN124" s="3139"/>
      <c r="AO124" s="3139"/>
      <c r="AP124" s="3140">
        <f t="shared" si="104"/>
        <v>11345686.781001693</v>
      </c>
      <c r="AQ124" s="3128"/>
      <c r="AR124" s="3764">
        <v>4</v>
      </c>
      <c r="AS124" s="3115" t="s">
        <v>5328</v>
      </c>
      <c r="AT124" s="3109" t="s">
        <v>3856</v>
      </c>
      <c r="AU124" s="3117">
        <f t="shared" si="105"/>
        <v>11345686.781001689</v>
      </c>
      <c r="AV124" s="3143"/>
      <c r="AW124" s="3141">
        <f t="shared" ref="AW124:AW125" si="109">SUM(R124:AC124)</f>
        <v>9454738.9841680769</v>
      </c>
      <c r="AX124" s="3141">
        <f t="shared" ref="AX124:AX130" si="110">SUM(AD124:AO124)</f>
        <v>1890947.7968336148</v>
      </c>
      <c r="AY124" s="3140">
        <f t="shared" si="107"/>
        <v>11345686.781001691</v>
      </c>
    </row>
    <row r="125" spans="2:51" ht="17.25" thickBot="1" x14ac:dyDescent="0.3">
      <c r="B125" s="3498" t="s">
        <v>5327</v>
      </c>
      <c r="C125" s="3108" t="s">
        <v>5925</v>
      </c>
      <c r="D125" s="3109" t="s">
        <v>3903</v>
      </c>
      <c r="E125" s="3712">
        <f>'23. Costos de Inversion'!P48</f>
        <v>7519897.6173728826</v>
      </c>
      <c r="F125" s="3138"/>
      <c r="G125" s="3138"/>
      <c r="H125" s="3138"/>
      <c r="I125" s="3138"/>
      <c r="J125" s="3138"/>
      <c r="K125" s="3138"/>
      <c r="L125" s="3138"/>
      <c r="M125" s="3138"/>
      <c r="N125" s="3138"/>
      <c r="O125" s="3138"/>
      <c r="P125" s="3138"/>
      <c r="Q125" s="3138"/>
      <c r="R125" s="3138"/>
      <c r="S125" s="3138"/>
      <c r="T125" s="3119"/>
      <c r="U125" s="3119"/>
      <c r="V125" s="3119"/>
      <c r="W125" s="3119"/>
      <c r="X125" s="3119"/>
      <c r="Y125" s="3119"/>
      <c r="Z125" s="3119"/>
      <c r="AA125" s="3119"/>
      <c r="AB125" s="3148">
        <f>$E$125*AB40</f>
        <v>1503979.5234745767</v>
      </c>
      <c r="AC125" s="3148">
        <f>$E$125*AC40</f>
        <v>2255969.2852118649</v>
      </c>
      <c r="AD125" s="3148">
        <f>$E$125*AD40</f>
        <v>3007959.0469491533</v>
      </c>
      <c r="AE125" s="3148">
        <f>$E$125*AE40</f>
        <v>751989.76173728833</v>
      </c>
      <c r="AF125" s="3149"/>
      <c r="AG125" s="3149"/>
      <c r="AH125" s="3149"/>
      <c r="AI125" s="3149"/>
      <c r="AJ125" s="3149"/>
      <c r="AK125" s="3149"/>
      <c r="AL125" s="3149"/>
      <c r="AM125" s="3149"/>
      <c r="AN125" s="3149"/>
      <c r="AO125" s="3149"/>
      <c r="AP125" s="3140">
        <f t="shared" si="104"/>
        <v>7519897.6173728826</v>
      </c>
      <c r="AQ125" s="3128"/>
      <c r="AR125" s="3764">
        <v>5</v>
      </c>
      <c r="AS125" s="3115" t="s">
        <v>5925</v>
      </c>
      <c r="AT125" s="3109" t="s">
        <v>3903</v>
      </c>
      <c r="AU125" s="3117">
        <f t="shared" si="105"/>
        <v>7519897.6173728826</v>
      </c>
      <c r="AV125" s="3143"/>
      <c r="AW125" s="3141">
        <f t="shared" si="109"/>
        <v>3759948.8086864417</v>
      </c>
      <c r="AX125" s="3141">
        <f t="shared" si="110"/>
        <v>3759948.8086864417</v>
      </c>
      <c r="AY125" s="3140">
        <f t="shared" si="107"/>
        <v>7519897.6173728835</v>
      </c>
    </row>
    <row r="126" spans="2:51" ht="33.75" thickBot="1" x14ac:dyDescent="0.3">
      <c r="B126" s="3498" t="s">
        <v>5330</v>
      </c>
      <c r="C126" s="3108" t="s">
        <v>5929</v>
      </c>
      <c r="D126" s="3737" t="s">
        <v>5953</v>
      </c>
      <c r="E126" s="3712">
        <f>'23. Costos de Inversion'!P49</f>
        <v>77824.074074074058</v>
      </c>
      <c r="F126" s="3138"/>
      <c r="G126" s="3138"/>
      <c r="H126" s="3138"/>
      <c r="I126" s="3138"/>
      <c r="J126" s="3138"/>
      <c r="K126" s="3138"/>
      <c r="L126" s="3138"/>
      <c r="M126" s="3138"/>
      <c r="N126" s="3138"/>
      <c r="O126" s="3138"/>
      <c r="P126" s="3138"/>
      <c r="Q126" s="3138"/>
      <c r="R126" s="3138"/>
      <c r="S126" s="3138"/>
      <c r="T126" s="3138"/>
      <c r="U126" s="3138"/>
      <c r="V126" s="3138"/>
      <c r="W126" s="3138"/>
      <c r="X126" s="3139"/>
      <c r="Y126" s="3139"/>
      <c r="Z126" s="3139"/>
      <c r="AA126" s="3139"/>
      <c r="AB126" s="3139"/>
      <c r="AC126" s="3139"/>
      <c r="AD126" s="3721">
        <f>$E$126*AD41</f>
        <v>16361.111111111108</v>
      </c>
      <c r="AE126" s="3721">
        <f>$E$126*AE41</f>
        <v>21537.037037037033</v>
      </c>
      <c r="AF126" s="3721">
        <f>$E$126*AF41</f>
        <v>17981.481481481478</v>
      </c>
      <c r="AG126" s="3721">
        <f>$E$126*AG41</f>
        <v>21944.444444444438</v>
      </c>
      <c r="AH126" s="3139"/>
      <c r="AI126" s="3139"/>
      <c r="AJ126" s="3139"/>
      <c r="AK126" s="3139"/>
      <c r="AL126" s="3139"/>
      <c r="AM126" s="3139"/>
      <c r="AN126" s="3139"/>
      <c r="AO126" s="3139"/>
      <c r="AP126" s="3140">
        <f t="shared" si="104"/>
        <v>77824.074074074058</v>
      </c>
      <c r="AQ126" s="3128"/>
      <c r="AR126" s="3764">
        <v>6</v>
      </c>
      <c r="AS126" s="3115" t="s">
        <v>5929</v>
      </c>
      <c r="AT126" s="3737" t="s">
        <v>5956</v>
      </c>
      <c r="AU126" s="3117">
        <f t="shared" si="105"/>
        <v>77824.074074074058</v>
      </c>
      <c r="AV126" s="3143"/>
      <c r="AW126" s="3143"/>
      <c r="AX126" s="3141">
        <f t="shared" si="110"/>
        <v>77824.074074074058</v>
      </c>
      <c r="AY126" s="3140">
        <f t="shared" si="107"/>
        <v>77824.074074074058</v>
      </c>
    </row>
    <row r="127" spans="2:51" ht="33.75" thickBot="1" x14ac:dyDescent="0.3">
      <c r="B127" s="3498" t="s">
        <v>5331</v>
      </c>
      <c r="C127" s="3108" t="s">
        <v>5930</v>
      </c>
      <c r="D127" s="3109" t="s">
        <v>5955</v>
      </c>
      <c r="E127" s="3712">
        <f>'23. Costos de Inversion'!P51</f>
        <v>27777.777777777774</v>
      </c>
      <c r="F127" s="3138"/>
      <c r="G127" s="3138"/>
      <c r="H127" s="3138"/>
      <c r="I127" s="3138"/>
      <c r="J127" s="3146"/>
      <c r="K127" s="3146"/>
      <c r="L127" s="3146"/>
      <c r="M127" s="3146"/>
      <c r="N127" s="3146"/>
      <c r="O127" s="3146"/>
      <c r="P127" s="3146"/>
      <c r="Q127" s="3146"/>
      <c r="R127" s="3146"/>
      <c r="S127" s="3146"/>
      <c r="T127" s="3146"/>
      <c r="U127" s="3146"/>
      <c r="V127" s="3146"/>
      <c r="W127" s="3139"/>
      <c r="X127" s="3139"/>
      <c r="Y127" s="3139"/>
      <c r="Z127" s="3139"/>
      <c r="AA127" s="3139"/>
      <c r="AB127" s="3139"/>
      <c r="AC127" s="3735">
        <f t="shared" ref="AC127:AK127" si="111">$E$127*AC42</f>
        <v>10185.185185185182</v>
      </c>
      <c r="AD127" s="3735">
        <f t="shared" si="111"/>
        <v>231.48148148148144</v>
      </c>
      <c r="AE127" s="3735">
        <f t="shared" si="111"/>
        <v>4861.1111111111104</v>
      </c>
      <c r="AF127" s="3735">
        <f t="shared" si="111"/>
        <v>231.48148148148144</v>
      </c>
      <c r="AG127" s="3735">
        <f t="shared" si="111"/>
        <v>4861.1111111111104</v>
      </c>
      <c r="AH127" s="3735">
        <f t="shared" si="111"/>
        <v>231.48148148148144</v>
      </c>
      <c r="AI127" s="3735">
        <f t="shared" si="111"/>
        <v>3472.2222222222217</v>
      </c>
      <c r="AJ127" s="3735">
        <f t="shared" si="111"/>
        <v>231.48148148148144</v>
      </c>
      <c r="AK127" s="3735">
        <f t="shared" si="111"/>
        <v>3472.2222222222217</v>
      </c>
      <c r="AL127" s="3139"/>
      <c r="AM127" s="3139"/>
      <c r="AN127" s="3139"/>
      <c r="AO127" s="3139"/>
      <c r="AP127" s="3140">
        <f t="shared" si="104"/>
        <v>27777.777777777774</v>
      </c>
      <c r="AQ127" s="3128"/>
      <c r="AR127" s="3764">
        <v>7</v>
      </c>
      <c r="AS127" s="3115" t="s">
        <v>5930</v>
      </c>
      <c r="AT127" s="3109" t="s">
        <v>5955</v>
      </c>
      <c r="AU127" s="3117">
        <f t="shared" si="105"/>
        <v>27777.777777777774</v>
      </c>
      <c r="AV127" s="3143"/>
      <c r="AW127" s="3141">
        <f t="shared" ref="AW127:AW129" si="112">SUM(R127:AC127)</f>
        <v>10185.185185185182</v>
      </c>
      <c r="AX127" s="3141">
        <f t="shared" si="110"/>
        <v>17592.592592592591</v>
      </c>
      <c r="AY127" s="3140">
        <f t="shared" si="107"/>
        <v>27777.777777777774</v>
      </c>
    </row>
    <row r="128" spans="2:51" ht="17.25" thickBot="1" x14ac:dyDescent="0.3">
      <c r="B128" s="3498" t="s">
        <v>5332</v>
      </c>
      <c r="C128" s="3115" t="s">
        <v>5951</v>
      </c>
      <c r="D128" s="3109" t="s">
        <v>3890</v>
      </c>
      <c r="E128" s="3712">
        <f>'23. Costos de Inversion'!P57</f>
        <v>27777.777777777774</v>
      </c>
      <c r="F128" s="3138"/>
      <c r="G128" s="3138"/>
      <c r="H128" s="3138"/>
      <c r="I128" s="3138"/>
      <c r="J128" s="3138"/>
      <c r="K128" s="3138"/>
      <c r="L128" s="3138"/>
      <c r="M128" s="3138"/>
      <c r="N128" s="3138"/>
      <c r="O128" s="3138"/>
      <c r="P128" s="3138"/>
      <c r="Q128" s="3138"/>
      <c r="R128" s="3138"/>
      <c r="S128" s="3138"/>
      <c r="T128" s="3150">
        <f>$E$128/12</f>
        <v>2314.8148148148143</v>
      </c>
      <c r="U128" s="3150">
        <f t="shared" ref="U128:AE128" si="113">$E$128/12</f>
        <v>2314.8148148148143</v>
      </c>
      <c r="V128" s="3150">
        <f t="shared" si="113"/>
        <v>2314.8148148148143</v>
      </c>
      <c r="W128" s="3150">
        <f t="shared" si="113"/>
        <v>2314.8148148148143</v>
      </c>
      <c r="X128" s="3150">
        <f t="shared" si="113"/>
        <v>2314.8148148148143</v>
      </c>
      <c r="Y128" s="3150">
        <f t="shared" si="113"/>
        <v>2314.8148148148143</v>
      </c>
      <c r="Z128" s="3150">
        <f t="shared" si="113"/>
        <v>2314.8148148148143</v>
      </c>
      <c r="AA128" s="3150">
        <f t="shared" si="113"/>
        <v>2314.8148148148143</v>
      </c>
      <c r="AB128" s="3150">
        <f t="shared" si="113"/>
        <v>2314.8148148148143</v>
      </c>
      <c r="AC128" s="3150">
        <f t="shared" si="113"/>
        <v>2314.8148148148143</v>
      </c>
      <c r="AD128" s="3150">
        <f t="shared" si="113"/>
        <v>2314.8148148148143</v>
      </c>
      <c r="AE128" s="3150">
        <f t="shared" si="113"/>
        <v>2314.8148148148143</v>
      </c>
      <c r="AF128" s="3139"/>
      <c r="AG128" s="3139"/>
      <c r="AH128" s="3139"/>
      <c r="AI128" s="3139"/>
      <c r="AJ128" s="3139"/>
      <c r="AK128" s="3139"/>
      <c r="AL128" s="3139"/>
      <c r="AM128" s="3139"/>
      <c r="AN128" s="3139"/>
      <c r="AO128" s="3139"/>
      <c r="AP128" s="3140">
        <f t="shared" si="104"/>
        <v>27777.77777777777</v>
      </c>
      <c r="AQ128" s="3128"/>
      <c r="AR128" s="3764">
        <v>8</v>
      </c>
      <c r="AS128" s="3115" t="s">
        <v>5951</v>
      </c>
      <c r="AT128" s="3109" t="s">
        <v>3890</v>
      </c>
      <c r="AU128" s="3117">
        <f t="shared" si="105"/>
        <v>27777.777777777774</v>
      </c>
      <c r="AV128" s="3143"/>
      <c r="AW128" s="3141">
        <f t="shared" si="112"/>
        <v>23148.148148148142</v>
      </c>
      <c r="AX128" s="3141">
        <f t="shared" si="110"/>
        <v>4629.6296296296287</v>
      </c>
      <c r="AY128" s="3140">
        <f t="shared" si="107"/>
        <v>27777.77777777777</v>
      </c>
    </row>
    <row r="129" spans="2:51" ht="17.25" thickBot="1" x14ac:dyDescent="0.3">
      <c r="B129" s="3498" t="s">
        <v>5333</v>
      </c>
      <c r="C129" s="3108" t="s">
        <v>5949</v>
      </c>
      <c r="D129" s="3109" t="s">
        <v>5954</v>
      </c>
      <c r="E129" s="3712">
        <f>'23. Costos de Inversion'!P58</f>
        <v>610522.5</v>
      </c>
      <c r="F129" s="3138"/>
      <c r="G129" s="3138"/>
      <c r="H129" s="3138"/>
      <c r="I129" s="3138"/>
      <c r="J129" s="3138"/>
      <c r="K129" s="3138"/>
      <c r="L129" s="3138"/>
      <c r="M129" s="3138"/>
      <c r="N129" s="3138"/>
      <c r="O129" s="3138"/>
      <c r="P129" s="3138"/>
      <c r="Q129" s="3138"/>
      <c r="R129" s="3138"/>
      <c r="S129" s="3138"/>
      <c r="T129" s="3733">
        <f>$E$129/12</f>
        <v>50876.875</v>
      </c>
      <c r="U129" s="3733">
        <f t="shared" ref="U129:AE129" si="114">$E$129/12</f>
        <v>50876.875</v>
      </c>
      <c r="V129" s="3733">
        <f t="shared" si="114"/>
        <v>50876.875</v>
      </c>
      <c r="W129" s="3733">
        <f t="shared" si="114"/>
        <v>50876.875</v>
      </c>
      <c r="X129" s="3733">
        <f t="shared" si="114"/>
        <v>50876.875</v>
      </c>
      <c r="Y129" s="3733">
        <f t="shared" si="114"/>
        <v>50876.875</v>
      </c>
      <c r="Z129" s="3733">
        <f t="shared" si="114"/>
        <v>50876.875</v>
      </c>
      <c r="AA129" s="3733">
        <f t="shared" si="114"/>
        <v>50876.875</v>
      </c>
      <c r="AB129" s="3733">
        <f t="shared" si="114"/>
        <v>50876.875</v>
      </c>
      <c r="AC129" s="3733">
        <f t="shared" si="114"/>
        <v>50876.875</v>
      </c>
      <c r="AD129" s="3733">
        <f t="shared" si="114"/>
        <v>50876.875</v>
      </c>
      <c r="AE129" s="3733">
        <f t="shared" si="114"/>
        <v>50876.875</v>
      </c>
      <c r="AF129" s="3139"/>
      <c r="AG129" s="3139"/>
      <c r="AH129" s="3139"/>
      <c r="AI129" s="3139"/>
      <c r="AJ129" s="3139"/>
      <c r="AK129" s="3139"/>
      <c r="AL129" s="3139"/>
      <c r="AM129" s="3139"/>
      <c r="AN129" s="3139"/>
      <c r="AO129" s="3139"/>
      <c r="AP129" s="3140">
        <f t="shared" si="104"/>
        <v>610522.5</v>
      </c>
      <c r="AQ129" s="3128"/>
      <c r="AR129" s="3764">
        <v>9</v>
      </c>
      <c r="AS129" s="3115" t="s">
        <v>5949</v>
      </c>
      <c r="AT129" s="3109" t="s">
        <v>5954</v>
      </c>
      <c r="AU129" s="3117">
        <f t="shared" si="105"/>
        <v>610522.5</v>
      </c>
      <c r="AV129" s="3143"/>
      <c r="AW129" s="3141">
        <f t="shared" si="112"/>
        <v>508768.75</v>
      </c>
      <c r="AX129" s="3141">
        <f t="shared" si="110"/>
        <v>101753.75</v>
      </c>
      <c r="AY129" s="3140">
        <f t="shared" si="107"/>
        <v>610522.5</v>
      </c>
    </row>
    <row r="130" spans="2:51" ht="17.25" thickBot="1" x14ac:dyDescent="0.3">
      <c r="B130" s="3498" t="s">
        <v>5334</v>
      </c>
      <c r="C130" s="3108" t="s">
        <v>5950</v>
      </c>
      <c r="D130" s="3109" t="s">
        <v>5955</v>
      </c>
      <c r="E130" s="3712">
        <f>'23. Costos de Inversion'!P59</f>
        <v>43757.793209876545</v>
      </c>
      <c r="F130" s="3138"/>
      <c r="G130" s="3138"/>
      <c r="H130" s="3138"/>
      <c r="I130" s="3138"/>
      <c r="J130" s="3138"/>
      <c r="K130" s="3138"/>
      <c r="L130" s="3138"/>
      <c r="M130" s="3138"/>
      <c r="N130" s="3138"/>
      <c r="O130" s="3138"/>
      <c r="P130" s="3138"/>
      <c r="Q130" s="3138"/>
      <c r="R130" s="3138"/>
      <c r="S130" s="3138"/>
      <c r="T130" s="3138"/>
      <c r="U130" s="3138"/>
      <c r="V130" s="3138"/>
      <c r="W130" s="3138"/>
      <c r="X130" s="3138"/>
      <c r="Y130" s="3138"/>
      <c r="Z130" s="3138"/>
      <c r="AA130" s="3138"/>
      <c r="AB130" s="3138"/>
      <c r="AC130" s="3138"/>
      <c r="AD130" s="3138"/>
      <c r="AE130" s="3138"/>
      <c r="AF130" s="3138"/>
      <c r="AG130" s="3138"/>
      <c r="AH130" s="3138"/>
      <c r="AI130" s="3138"/>
      <c r="AJ130" s="3138"/>
      <c r="AK130" s="3138"/>
      <c r="AL130" s="3754">
        <f>$E$130/3</f>
        <v>14585.931069958848</v>
      </c>
      <c r="AM130" s="3754">
        <f>$E$130/3</f>
        <v>14585.931069958848</v>
      </c>
      <c r="AN130" s="3754">
        <f>$E$130/3</f>
        <v>14585.931069958848</v>
      </c>
      <c r="AO130" s="3139"/>
      <c r="AP130" s="3140">
        <f t="shared" si="104"/>
        <v>43757.793209876545</v>
      </c>
      <c r="AQ130" s="3128"/>
      <c r="AR130" s="3764">
        <v>10</v>
      </c>
      <c r="AS130" s="3115" t="s">
        <v>5950</v>
      </c>
      <c r="AT130" s="3109" t="s">
        <v>5955</v>
      </c>
      <c r="AU130" s="3117">
        <f t="shared" si="105"/>
        <v>43757.793209876545</v>
      </c>
      <c r="AV130" s="3143"/>
      <c r="AW130" s="3143"/>
      <c r="AX130" s="3141">
        <f t="shared" si="110"/>
        <v>43757.793209876545</v>
      </c>
      <c r="AY130" s="3140">
        <f t="shared" si="107"/>
        <v>43757.793209876545</v>
      </c>
    </row>
    <row r="131" spans="2:51" ht="17.25" thickBot="1" x14ac:dyDescent="0.3">
      <c r="B131" s="5045" t="s">
        <v>0</v>
      </c>
      <c r="C131" s="5045"/>
      <c r="D131" s="3739"/>
      <c r="E131" s="3734">
        <f>SUM(E121:E130)</f>
        <v>20073276.755627654</v>
      </c>
      <c r="F131" s="3734">
        <f>SUM(F121:F130)</f>
        <v>0</v>
      </c>
      <c r="G131" s="3734">
        <f>SUM(G121:G130)</f>
        <v>0</v>
      </c>
      <c r="H131" s="3734">
        <f>SUM(H121:H130)</f>
        <v>0</v>
      </c>
      <c r="I131" s="3734">
        <f>SUM(I121:I130)</f>
        <v>67301.239068930037</v>
      </c>
      <c r="J131" s="3734">
        <f>SUM(J121:J129)</f>
        <v>67301.239068930037</v>
      </c>
      <c r="K131" s="3734">
        <f>SUM(K121:K129)</f>
        <v>67301.239068930037</v>
      </c>
      <c r="L131" s="3734">
        <f>SUM(L121:L129)</f>
        <v>75413.739068930037</v>
      </c>
      <c r="M131" s="3734">
        <f t="shared" ref="M131:R131" si="115">SUM(M121:M129)</f>
        <v>75413.739068930037</v>
      </c>
      <c r="N131" s="3734">
        <f t="shared" si="115"/>
        <v>67301.239068930037</v>
      </c>
      <c r="O131" s="3734">
        <f t="shared" si="115"/>
        <v>0</v>
      </c>
      <c r="P131" s="3734">
        <f t="shared" si="115"/>
        <v>0</v>
      </c>
      <c r="Q131" s="3734">
        <f t="shared" si="115"/>
        <v>0</v>
      </c>
      <c r="R131" s="3734">
        <f t="shared" si="115"/>
        <v>0</v>
      </c>
      <c r="S131" s="3734">
        <f t="shared" ref="S131:AO131" si="116">SUM(S121:S130)</f>
        <v>0</v>
      </c>
      <c r="T131" s="3734">
        <f t="shared" si="116"/>
        <v>998665.58823162224</v>
      </c>
      <c r="U131" s="3734">
        <f t="shared" si="116"/>
        <v>998665.58823162224</v>
      </c>
      <c r="V131" s="3734">
        <f t="shared" si="116"/>
        <v>998665.58823162224</v>
      </c>
      <c r="W131" s="3734">
        <f t="shared" si="116"/>
        <v>998665.58823162224</v>
      </c>
      <c r="X131" s="3734">
        <f t="shared" si="116"/>
        <v>998665.58823162224</v>
      </c>
      <c r="Y131" s="3734">
        <f t="shared" si="116"/>
        <v>998665.58823162224</v>
      </c>
      <c r="Z131" s="3734">
        <f t="shared" si="116"/>
        <v>998665.58823162224</v>
      </c>
      <c r="AA131" s="3734">
        <f t="shared" si="116"/>
        <v>998665.58823162224</v>
      </c>
      <c r="AB131" s="3734">
        <f t="shared" si="116"/>
        <v>2502645.1117061987</v>
      </c>
      <c r="AC131" s="3734">
        <f t="shared" si="116"/>
        <v>3264820.0586286723</v>
      </c>
      <c r="AD131" s="3734">
        <f t="shared" si="116"/>
        <v>4023217.2277733679</v>
      </c>
      <c r="AE131" s="3734">
        <f t="shared" si="116"/>
        <v>1777053.4981170588</v>
      </c>
      <c r="AF131" s="3734">
        <f t="shared" si="116"/>
        <v>18212.96296296296</v>
      </c>
      <c r="AG131" s="3734">
        <f t="shared" si="116"/>
        <v>26805.555555555547</v>
      </c>
      <c r="AH131" s="3734">
        <f t="shared" si="116"/>
        <v>231.48148148148144</v>
      </c>
      <c r="AI131" s="3734">
        <f t="shared" si="116"/>
        <v>3472.2222222222217</v>
      </c>
      <c r="AJ131" s="3734">
        <f t="shared" si="116"/>
        <v>231.48148148148144</v>
      </c>
      <c r="AK131" s="3734">
        <f t="shared" si="116"/>
        <v>3472.2222222222217</v>
      </c>
      <c r="AL131" s="3734">
        <f t="shared" si="116"/>
        <v>14585.931069958848</v>
      </c>
      <c r="AM131" s="3734">
        <f t="shared" si="116"/>
        <v>14585.931069958848</v>
      </c>
      <c r="AN131" s="3734">
        <f t="shared" si="116"/>
        <v>14585.931069958848</v>
      </c>
      <c r="AO131" s="3734">
        <f t="shared" si="116"/>
        <v>0</v>
      </c>
      <c r="AP131" s="3755">
        <f>SUM(F131:AO131)</f>
        <v>20073276.755627662</v>
      </c>
      <c r="AQ131" s="3128"/>
      <c r="AR131" s="3780"/>
      <c r="AS131" s="3769" t="s">
        <v>3949</v>
      </c>
      <c r="AT131" s="3769"/>
      <c r="AU131" s="3781">
        <f>SUM(AU121:AU130)</f>
        <v>20073276.755627654</v>
      </c>
      <c r="AV131" s="3743">
        <f>SUM(AV121:AV130)</f>
        <v>420032.43441358022</v>
      </c>
      <c r="AW131" s="3743">
        <f t="shared" ref="AW131:AX131" si="117">SUM(AW121:AW130)</f>
        <v>13756789.87618785</v>
      </c>
      <c r="AX131" s="3743">
        <f t="shared" si="117"/>
        <v>5896454.4450262291</v>
      </c>
      <c r="AY131" s="3783">
        <f>SUM(AY121:AY130)</f>
        <v>20073276.755627658</v>
      </c>
    </row>
    <row r="132" spans="2:51" ht="17.25" thickBot="1" x14ac:dyDescent="0.3">
      <c r="B132" s="5046" t="s">
        <v>5340</v>
      </c>
      <c r="C132" s="5046"/>
      <c r="D132" s="1347" t="s">
        <v>1426</v>
      </c>
      <c r="E132" s="1347"/>
      <c r="F132" s="3717">
        <f t="shared" ref="F132:I132" si="118">F131/$E$131</f>
        <v>0</v>
      </c>
      <c r="G132" s="3717">
        <f t="shared" si="118"/>
        <v>0</v>
      </c>
      <c r="H132" s="3717">
        <f t="shared" si="118"/>
        <v>0</v>
      </c>
      <c r="I132" s="3717">
        <f t="shared" si="118"/>
        <v>3.3527779190341586E-3</v>
      </c>
      <c r="J132" s="3717">
        <f t="shared" ref="J132:AP132" si="119">J131/$E$131</f>
        <v>3.3527779190341586E-3</v>
      </c>
      <c r="K132" s="3717">
        <f t="shared" si="119"/>
        <v>3.3527779190341586E-3</v>
      </c>
      <c r="L132" s="3717">
        <f t="shared" si="119"/>
        <v>3.7569221999486147E-3</v>
      </c>
      <c r="M132" s="3717">
        <f t="shared" si="119"/>
        <v>3.7569221999486147E-3</v>
      </c>
      <c r="N132" s="3717">
        <f t="shared" si="119"/>
        <v>3.3527779190341586E-3</v>
      </c>
      <c r="O132" s="3717">
        <f t="shared" si="119"/>
        <v>0</v>
      </c>
      <c r="P132" s="3717">
        <f t="shared" si="119"/>
        <v>0</v>
      </c>
      <c r="Q132" s="3717">
        <f t="shared" si="119"/>
        <v>0</v>
      </c>
      <c r="R132" s="3717">
        <f t="shared" si="119"/>
        <v>0</v>
      </c>
      <c r="S132" s="3717">
        <f t="shared" si="119"/>
        <v>0</v>
      </c>
      <c r="T132" s="3717">
        <f t="shared" si="119"/>
        <v>4.975099981878349E-2</v>
      </c>
      <c r="U132" s="3717">
        <f t="shared" si="119"/>
        <v>4.975099981878349E-2</v>
      </c>
      <c r="V132" s="3717">
        <f t="shared" si="119"/>
        <v>4.975099981878349E-2</v>
      </c>
      <c r="W132" s="3717">
        <f t="shared" si="119"/>
        <v>4.975099981878349E-2</v>
      </c>
      <c r="X132" s="3717">
        <f t="shared" si="119"/>
        <v>4.975099981878349E-2</v>
      </c>
      <c r="Y132" s="3717">
        <f t="shared" si="119"/>
        <v>4.975099981878349E-2</v>
      </c>
      <c r="Z132" s="3717">
        <f t="shared" si="119"/>
        <v>4.975099981878349E-2</v>
      </c>
      <c r="AA132" s="3717">
        <f t="shared" si="119"/>
        <v>4.975099981878349E-2</v>
      </c>
      <c r="AB132" s="3717">
        <f t="shared" si="119"/>
        <v>0.12467546490657377</v>
      </c>
      <c r="AC132" s="3717">
        <f t="shared" si="119"/>
        <v>0.16264509767760571</v>
      </c>
      <c r="AD132" s="3717">
        <f t="shared" si="119"/>
        <v>0.20042653109166328</v>
      </c>
      <c r="AE132" s="3717">
        <f t="shared" si="119"/>
        <v>8.8528321496830459E-2</v>
      </c>
      <c r="AF132" s="3717">
        <f t="shared" si="119"/>
        <v>9.0732386070733844E-4</v>
      </c>
      <c r="AG132" s="3717">
        <f t="shared" si="119"/>
        <v>1.3353851432372874E-3</v>
      </c>
      <c r="AH132" s="3717">
        <f t="shared" si="119"/>
        <v>1.1531823344018027E-5</v>
      </c>
      <c r="AI132" s="3717">
        <f t="shared" si="119"/>
        <v>1.7297735016027043E-4</v>
      </c>
      <c r="AJ132" s="3717">
        <f t="shared" si="119"/>
        <v>1.1531823344018027E-5</v>
      </c>
      <c r="AK132" s="3717">
        <f t="shared" si="119"/>
        <v>1.7297735016027043E-4</v>
      </c>
      <c r="AL132" s="3717">
        <f t="shared" si="119"/>
        <v>7.2663428335732988E-4</v>
      </c>
      <c r="AM132" s="3717">
        <f t="shared" si="119"/>
        <v>7.2663428335732988E-4</v>
      </c>
      <c r="AN132" s="3717">
        <f t="shared" si="119"/>
        <v>7.2663428335732988E-4</v>
      </c>
      <c r="AO132" s="3717">
        <f t="shared" si="119"/>
        <v>0</v>
      </c>
      <c r="AP132" s="3798">
        <f t="shared" si="119"/>
        <v>1.0000000000000004</v>
      </c>
      <c r="AR132" s="3110"/>
      <c r="AS132" s="3121" t="s">
        <v>5340</v>
      </c>
      <c r="AT132" s="3770"/>
      <c r="AU132" s="3119"/>
      <c r="AV132" s="3112">
        <f>AV131/$AU$131</f>
        <v>2.0924956076033865E-2</v>
      </c>
      <c r="AW132" s="3112">
        <f>AW131/$AU$131</f>
        <v>0.6853285611344474</v>
      </c>
      <c r="AX132" s="3112">
        <f>AX131/$AU$131</f>
        <v>0.29374648278951893</v>
      </c>
      <c r="AY132" s="3112">
        <f>SUM(AV132:AX132)</f>
        <v>1.0000000000000002</v>
      </c>
    </row>
    <row r="133" spans="2:51" ht="17.25" thickBot="1" x14ac:dyDescent="0.3">
      <c r="B133" s="5046" t="s">
        <v>5341</v>
      </c>
      <c r="C133" s="5046"/>
      <c r="D133" s="1347" t="s">
        <v>1426</v>
      </c>
      <c r="E133" s="1347"/>
      <c r="F133" s="3718">
        <f>F132</f>
        <v>0</v>
      </c>
      <c r="G133" s="3718">
        <f>G132+F133</f>
        <v>0</v>
      </c>
      <c r="H133" s="3718">
        <f t="shared" ref="H133:AO133" si="120">H132+G133</f>
        <v>0</v>
      </c>
      <c r="I133" s="3718">
        <f t="shared" si="120"/>
        <v>3.3527779190341586E-3</v>
      </c>
      <c r="J133" s="3718">
        <f t="shared" si="120"/>
        <v>6.7055558380683172E-3</v>
      </c>
      <c r="K133" s="3718">
        <f t="shared" si="120"/>
        <v>1.0058333757102475E-2</v>
      </c>
      <c r="L133" s="3718">
        <f t="shared" si="120"/>
        <v>1.381525595705109E-2</v>
      </c>
      <c r="M133" s="3718">
        <f t="shared" si="120"/>
        <v>1.7572178156999706E-2</v>
      </c>
      <c r="N133" s="3718">
        <f t="shared" si="120"/>
        <v>2.0924956076033865E-2</v>
      </c>
      <c r="O133" s="3718">
        <f t="shared" si="120"/>
        <v>2.0924956076033865E-2</v>
      </c>
      <c r="P133" s="3718">
        <f t="shared" si="120"/>
        <v>2.0924956076033865E-2</v>
      </c>
      <c r="Q133" s="3718">
        <f t="shared" si="120"/>
        <v>2.0924956076033865E-2</v>
      </c>
      <c r="R133" s="3718">
        <f t="shared" si="120"/>
        <v>2.0924956076033865E-2</v>
      </c>
      <c r="S133" s="3718">
        <f t="shared" si="120"/>
        <v>2.0924956076033865E-2</v>
      </c>
      <c r="T133" s="3718">
        <f t="shared" si="120"/>
        <v>7.0675955894817358E-2</v>
      </c>
      <c r="U133" s="3718">
        <f t="shared" si="120"/>
        <v>0.12042695571360085</v>
      </c>
      <c r="V133" s="3718">
        <f t="shared" si="120"/>
        <v>0.17017795553238435</v>
      </c>
      <c r="W133" s="3718">
        <f t="shared" si="120"/>
        <v>0.21992895535116785</v>
      </c>
      <c r="X133" s="3718">
        <f t="shared" si="120"/>
        <v>0.26967995516995136</v>
      </c>
      <c r="Y133" s="3718">
        <f t="shared" si="120"/>
        <v>0.31943095498873486</v>
      </c>
      <c r="Z133" s="3718">
        <f t="shared" si="120"/>
        <v>0.36918195480751836</v>
      </c>
      <c r="AA133" s="3718">
        <f t="shared" si="120"/>
        <v>0.41893295462630187</v>
      </c>
      <c r="AB133" s="3718">
        <f t="shared" si="120"/>
        <v>0.54360841953287564</v>
      </c>
      <c r="AC133" s="3718">
        <f t="shared" si="120"/>
        <v>0.70625351721048135</v>
      </c>
      <c r="AD133" s="3718">
        <f t="shared" si="120"/>
        <v>0.90668004830214466</v>
      </c>
      <c r="AE133" s="3718">
        <f t="shared" si="120"/>
        <v>0.99520836979897509</v>
      </c>
      <c r="AF133" s="3718">
        <f t="shared" si="120"/>
        <v>0.99611569365968244</v>
      </c>
      <c r="AG133" s="3718">
        <f t="shared" si="120"/>
        <v>0.99745107880291972</v>
      </c>
      <c r="AH133" s="3718">
        <f t="shared" si="120"/>
        <v>0.99746261062626373</v>
      </c>
      <c r="AI133" s="3718">
        <f t="shared" si="120"/>
        <v>0.99763558797642404</v>
      </c>
      <c r="AJ133" s="3718">
        <f t="shared" si="120"/>
        <v>0.99764711979976806</v>
      </c>
      <c r="AK133" s="3718">
        <f t="shared" si="120"/>
        <v>0.99782009714992836</v>
      </c>
      <c r="AL133" s="3718">
        <f t="shared" si="120"/>
        <v>0.99854673143328565</v>
      </c>
      <c r="AM133" s="3718">
        <f t="shared" si="120"/>
        <v>0.99927336571664294</v>
      </c>
      <c r="AN133" s="3718">
        <f t="shared" si="120"/>
        <v>1.0000000000000002</v>
      </c>
      <c r="AO133" s="3761">
        <f t="shared" si="120"/>
        <v>1.0000000000000002</v>
      </c>
      <c r="AP133" s="3718"/>
      <c r="AR133" s="3110"/>
      <c r="AS133" s="3121" t="s">
        <v>5341</v>
      </c>
      <c r="AT133" s="3770"/>
      <c r="AU133" s="3119"/>
      <c r="AV133" s="3112">
        <f>AV132</f>
        <v>2.0924956076033865E-2</v>
      </c>
      <c r="AW133" s="3112">
        <f t="shared" ref="AW133:AX133" si="121">AW132+AV133</f>
        <v>0.70625351721048124</v>
      </c>
      <c r="AX133" s="3112">
        <f t="shared" si="121"/>
        <v>1.0000000000000002</v>
      </c>
      <c r="AY133" s="3112"/>
    </row>
    <row r="134" spans="2:51" x14ac:dyDescent="0.25">
      <c r="AP134" s="3128"/>
    </row>
  </sheetData>
  <mergeCells count="202">
    <mergeCell ref="AD94:AO94"/>
    <mergeCell ref="R95:AC95"/>
    <mergeCell ref="AD95:AO95"/>
    <mergeCell ref="B11:AO12"/>
    <mergeCell ref="B9:AO9"/>
    <mergeCell ref="L15:N15"/>
    <mergeCell ref="O15:Q15"/>
    <mergeCell ref="R15:T15"/>
    <mergeCell ref="U15:W15"/>
    <mergeCell ref="E13:E15"/>
    <mergeCell ref="D13:D16"/>
    <mergeCell ref="I18:N18"/>
    <mergeCell ref="I17:N17"/>
    <mergeCell ref="R13:AC13"/>
    <mergeCell ref="I15:K15"/>
    <mergeCell ref="B52:B55"/>
    <mergeCell ref="C52:C55"/>
    <mergeCell ref="D52:D55"/>
    <mergeCell ref="E52:E55"/>
    <mergeCell ref="F52:Q52"/>
    <mergeCell ref="AB21:AE21"/>
    <mergeCell ref="R73:AC73"/>
    <mergeCell ref="AD73:AO73"/>
    <mergeCell ref="R74:AC74"/>
    <mergeCell ref="AY34:AY35"/>
    <mergeCell ref="B46:C46"/>
    <mergeCell ref="B47:C47"/>
    <mergeCell ref="B48:C48"/>
    <mergeCell ref="AR33:AY33"/>
    <mergeCell ref="F34:H34"/>
    <mergeCell ref="I34:K34"/>
    <mergeCell ref="L34:N34"/>
    <mergeCell ref="O34:Q34"/>
    <mergeCell ref="R34:T34"/>
    <mergeCell ref="U34:W34"/>
    <mergeCell ref="AR34:AR35"/>
    <mergeCell ref="D32:D35"/>
    <mergeCell ref="B32:B35"/>
    <mergeCell ref="C32:C35"/>
    <mergeCell ref="E32:E35"/>
    <mergeCell ref="F32:Q32"/>
    <mergeCell ref="AP32:AP35"/>
    <mergeCell ref="F33:Q33"/>
    <mergeCell ref="AT34:AT35"/>
    <mergeCell ref="AY75:AY76"/>
    <mergeCell ref="B87:C87"/>
    <mergeCell ref="B91:AP91"/>
    <mergeCell ref="B93:AP93"/>
    <mergeCell ref="D73:D76"/>
    <mergeCell ref="D94:D97"/>
    <mergeCell ref="AR74:AY74"/>
    <mergeCell ref="F75:H75"/>
    <mergeCell ref="I75:K75"/>
    <mergeCell ref="L75:N75"/>
    <mergeCell ref="O75:Q75"/>
    <mergeCell ref="R75:T75"/>
    <mergeCell ref="U75:W75"/>
    <mergeCell ref="AR75:AR76"/>
    <mergeCell ref="B73:B76"/>
    <mergeCell ref="C73:C76"/>
    <mergeCell ref="E73:E76"/>
    <mergeCell ref="F73:Q73"/>
    <mergeCell ref="AP73:AP76"/>
    <mergeCell ref="F74:Q74"/>
    <mergeCell ref="AS96:AS97"/>
    <mergeCell ref="AU96:AU97"/>
    <mergeCell ref="AS75:AS76"/>
    <mergeCell ref="AY96:AY97"/>
    <mergeCell ref="AY119:AY120"/>
    <mergeCell ref="B131:C131"/>
    <mergeCell ref="B132:C132"/>
    <mergeCell ref="B133:C133"/>
    <mergeCell ref="AR118:AY118"/>
    <mergeCell ref="F119:H119"/>
    <mergeCell ref="I119:K119"/>
    <mergeCell ref="L119:N119"/>
    <mergeCell ref="O119:Q119"/>
    <mergeCell ref="R119:T119"/>
    <mergeCell ref="U119:W119"/>
    <mergeCell ref="AR119:AR120"/>
    <mergeCell ref="B117:B120"/>
    <mergeCell ref="C117:C120"/>
    <mergeCell ref="E117:E120"/>
    <mergeCell ref="F117:Q117"/>
    <mergeCell ref="AP117:AP120"/>
    <mergeCell ref="F118:Q118"/>
    <mergeCell ref="D117:D120"/>
    <mergeCell ref="X119:Z119"/>
    <mergeCell ref="AA119:AC119"/>
    <mergeCell ref="AD119:AF119"/>
    <mergeCell ref="AT119:AT120"/>
    <mergeCell ref="AS119:AS120"/>
    <mergeCell ref="AU75:AU76"/>
    <mergeCell ref="B72:AP72"/>
    <mergeCell ref="AS34:AS35"/>
    <mergeCell ref="AU34:AU35"/>
    <mergeCell ref="B31:AP31"/>
    <mergeCell ref="B27:C27"/>
    <mergeCell ref="B94:B97"/>
    <mergeCell ref="C94:C97"/>
    <mergeCell ref="E94:E97"/>
    <mergeCell ref="F94:Q94"/>
    <mergeCell ref="AR95:AY95"/>
    <mergeCell ref="F96:H96"/>
    <mergeCell ref="I96:K96"/>
    <mergeCell ref="L96:N96"/>
    <mergeCell ref="O96:Q96"/>
    <mergeCell ref="R96:T96"/>
    <mergeCell ref="U96:W96"/>
    <mergeCell ref="AR96:AR97"/>
    <mergeCell ref="AP94:AP97"/>
    <mergeCell ref="F95:Q95"/>
    <mergeCell ref="R94:AC94"/>
    <mergeCell ref="AT75:AT76"/>
    <mergeCell ref="AT96:AT97"/>
    <mergeCell ref="B51:AP51"/>
    <mergeCell ref="AP52:AP55"/>
    <mergeCell ref="F53:Q53"/>
    <mergeCell ref="AR53:AY53"/>
    <mergeCell ref="F54:H54"/>
    <mergeCell ref="I54:K54"/>
    <mergeCell ref="L54:N54"/>
    <mergeCell ref="O54:Q54"/>
    <mergeCell ref="R54:T54"/>
    <mergeCell ref="U54:W54"/>
    <mergeCell ref="AR54:AR55"/>
    <mergeCell ref="AS54:AS55"/>
    <mergeCell ref="AT54:AT55"/>
    <mergeCell ref="AU54:AU55"/>
    <mergeCell ref="AM54:AO54"/>
    <mergeCell ref="AU119:AU120"/>
    <mergeCell ref="AY54:AY55"/>
    <mergeCell ref="B66:C66"/>
    <mergeCell ref="B67:C67"/>
    <mergeCell ref="B68:C68"/>
    <mergeCell ref="X34:Z34"/>
    <mergeCell ref="L19:M19"/>
    <mergeCell ref="AA34:AC34"/>
    <mergeCell ref="R32:AC32"/>
    <mergeCell ref="R33:AC33"/>
    <mergeCell ref="AD32:AO32"/>
    <mergeCell ref="AD33:AO33"/>
    <mergeCell ref="AD34:AF34"/>
    <mergeCell ref="AG34:AI34"/>
    <mergeCell ref="AJ34:AL34"/>
    <mergeCell ref="AM34:AO34"/>
    <mergeCell ref="X54:Z54"/>
    <mergeCell ref="AA54:AC54"/>
    <mergeCell ref="AD54:AF54"/>
    <mergeCell ref="AG54:AI54"/>
    <mergeCell ref="AJ54:AL54"/>
    <mergeCell ref="AD22:AG22"/>
    <mergeCell ref="AL26:AN26"/>
    <mergeCell ref="AC23:AK23"/>
    <mergeCell ref="B110:C110"/>
    <mergeCell ref="B2:AO2"/>
    <mergeCell ref="C4:AO4"/>
    <mergeCell ref="T20:AE20"/>
    <mergeCell ref="T25:AE25"/>
    <mergeCell ref="T24:AE24"/>
    <mergeCell ref="R52:AC52"/>
    <mergeCell ref="AD52:AO52"/>
    <mergeCell ref="R53:AC53"/>
    <mergeCell ref="AD53:AO53"/>
    <mergeCell ref="AD13:AO13"/>
    <mergeCell ref="R14:AC14"/>
    <mergeCell ref="AD14:AO14"/>
    <mergeCell ref="X15:Z15"/>
    <mergeCell ref="AA15:AC15"/>
    <mergeCell ref="AD15:AF15"/>
    <mergeCell ref="AG15:AI15"/>
    <mergeCell ref="AJ15:AL15"/>
    <mergeCell ref="AM15:AO15"/>
    <mergeCell ref="B13:B16"/>
    <mergeCell ref="C13:C16"/>
    <mergeCell ref="F13:Q13"/>
    <mergeCell ref="F14:Q14"/>
    <mergeCell ref="F15:H15"/>
    <mergeCell ref="X96:Z96"/>
    <mergeCell ref="AD74:AO74"/>
    <mergeCell ref="X75:Z75"/>
    <mergeCell ref="AA75:AC75"/>
    <mergeCell ref="AD75:AF75"/>
    <mergeCell ref="AG75:AI75"/>
    <mergeCell ref="AJ75:AL75"/>
    <mergeCell ref="AM75:AO75"/>
    <mergeCell ref="AG119:AI119"/>
    <mergeCell ref="AJ119:AL119"/>
    <mergeCell ref="AM119:AO119"/>
    <mergeCell ref="AA96:AC96"/>
    <mergeCell ref="AD96:AF96"/>
    <mergeCell ref="AG96:AI96"/>
    <mergeCell ref="AJ96:AL96"/>
    <mergeCell ref="AM96:AO96"/>
    <mergeCell ref="R117:AC117"/>
    <mergeCell ref="AD117:AO117"/>
    <mergeCell ref="R118:AC118"/>
    <mergeCell ref="AD118:AO118"/>
    <mergeCell ref="B114:AP114"/>
    <mergeCell ref="B116:AP116"/>
    <mergeCell ref="B108:C108"/>
    <mergeCell ref="B109:C109"/>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AJ75"/>
  <sheetViews>
    <sheetView zoomScale="85" zoomScaleNormal="85" workbookViewId="0">
      <selection activeCell="G55" sqref="G55:G56"/>
    </sheetView>
  </sheetViews>
  <sheetFormatPr baseColWidth="10" defaultColWidth="11.42578125" defaultRowHeight="12.75" x14ac:dyDescent="0.25"/>
  <cols>
    <col min="1" max="1" width="5.140625" style="3182" customWidth="1"/>
    <col min="2" max="2" width="13.7109375" style="3174" customWidth="1"/>
    <col min="3" max="3" width="50.7109375" style="213" customWidth="1"/>
    <col min="4" max="4" width="19.7109375" style="3174" customWidth="1"/>
    <col min="5" max="5" width="17" style="3174" customWidth="1"/>
    <col min="6" max="6" width="9.7109375" style="3174" customWidth="1"/>
    <col min="7" max="7" width="14" style="3174" customWidth="1"/>
    <col min="8" max="8" width="13" style="3178" customWidth="1"/>
    <col min="9" max="9" width="12.5703125" style="208" customWidth="1"/>
    <col min="10" max="10" width="11.42578125" style="3165" customWidth="1"/>
    <col min="11" max="11" width="9.7109375" style="3679" customWidth="1"/>
    <col min="12" max="12" width="15" style="3165" customWidth="1"/>
    <col min="13" max="13" width="9.7109375" style="3679" customWidth="1"/>
    <col min="14" max="14" width="10.5703125" style="3806" customWidth="1"/>
    <col min="15" max="15" width="9.7109375" style="3679" customWidth="1"/>
    <col min="16" max="16" width="12.28515625" style="3806" customWidth="1"/>
    <col min="17" max="17" width="9.7109375" style="3679" customWidth="1"/>
    <col min="18" max="18" width="12.140625" style="3806" customWidth="1"/>
    <col min="19" max="19" width="9.7109375" style="3679" customWidth="1"/>
    <col min="20" max="20" width="13" style="3806" customWidth="1"/>
    <col min="21" max="21" width="9.7109375" style="3679" customWidth="1"/>
    <col min="22" max="22" width="12.140625" style="3806" customWidth="1"/>
    <col min="23" max="23" width="9.7109375" style="3679" customWidth="1"/>
    <col min="24" max="24" width="13.28515625" style="3806" customWidth="1"/>
    <col min="25" max="25" width="9.7109375" style="3679" customWidth="1"/>
    <col min="26" max="26" width="11.85546875" style="3806" customWidth="1"/>
    <col min="27" max="27" width="9.7109375" style="3679" customWidth="1"/>
    <col min="28" max="28" width="12" style="3165" customWidth="1"/>
    <col min="29" max="29" width="9.28515625" style="3679" customWidth="1"/>
    <col min="30" max="30" width="12" style="3165" customWidth="1"/>
    <col min="31" max="31" width="11.140625" style="3679" customWidth="1"/>
    <col min="32" max="32" width="11.5703125" style="3165" customWidth="1"/>
    <col min="33" max="33" width="10.5703125" style="3679" customWidth="1"/>
    <col min="34" max="34" width="11.42578125" style="3165"/>
    <col min="35" max="35" width="11.42578125" style="3679"/>
    <col min="36" max="255" width="11.42578125" style="213"/>
    <col min="256" max="256" width="5.140625" style="213" customWidth="1"/>
    <col min="257" max="257" width="11" style="213" customWidth="1"/>
    <col min="258" max="258" width="67.7109375" style="213" customWidth="1"/>
    <col min="259" max="259" width="4.5703125" style="213" customWidth="1"/>
    <col min="260" max="260" width="10.140625" style="213" customWidth="1"/>
    <col min="261" max="261" width="9.7109375" style="213" customWidth="1"/>
    <col min="262" max="262" width="14" style="213" customWidth="1"/>
    <col min="263" max="263" width="13" style="213" customWidth="1"/>
    <col min="264" max="264" width="12.5703125" style="213" customWidth="1"/>
    <col min="265" max="265" width="11.42578125" style="213" customWidth="1"/>
    <col min="266" max="266" width="9.7109375" style="213" customWidth="1"/>
    <col min="267" max="267" width="10.85546875" style="213" customWidth="1"/>
    <col min="268" max="268" width="9.7109375" style="213" customWidth="1"/>
    <col min="269" max="269" width="10.5703125" style="213" customWidth="1"/>
    <col min="270" max="270" width="9.7109375" style="213" customWidth="1"/>
    <col min="271" max="271" width="12.28515625" style="213" customWidth="1"/>
    <col min="272" max="272" width="9.7109375" style="213" customWidth="1"/>
    <col min="273" max="273" width="12.140625" style="213" customWidth="1"/>
    <col min="274" max="274" width="9.7109375" style="213" customWidth="1"/>
    <col min="275" max="275" width="13" style="213" customWidth="1"/>
    <col min="276" max="276" width="9.7109375" style="213" customWidth="1"/>
    <col min="277" max="277" width="12.140625" style="213" customWidth="1"/>
    <col min="278" max="278" width="9.7109375" style="213" customWidth="1"/>
    <col min="279" max="279" width="13.28515625" style="213" customWidth="1"/>
    <col min="280" max="280" width="9.7109375" style="213" customWidth="1"/>
    <col min="281" max="281" width="11.85546875" style="213" customWidth="1"/>
    <col min="282" max="282" width="9.7109375" style="213" customWidth="1"/>
    <col min="283" max="283" width="12" style="213" customWidth="1"/>
    <col min="284" max="284" width="9.28515625" style="213" customWidth="1"/>
    <col min="285" max="285" width="12" style="213" customWidth="1"/>
    <col min="286" max="286" width="11.140625" style="213" customWidth="1"/>
    <col min="287" max="287" width="11.5703125" style="213" customWidth="1"/>
    <col min="288" max="288" width="10.5703125" style="213" customWidth="1"/>
    <col min="289" max="511" width="11.42578125" style="213"/>
    <col min="512" max="512" width="5.140625" style="213" customWidth="1"/>
    <col min="513" max="513" width="11" style="213" customWidth="1"/>
    <col min="514" max="514" width="67.7109375" style="213" customWidth="1"/>
    <col min="515" max="515" width="4.5703125" style="213" customWidth="1"/>
    <col min="516" max="516" width="10.140625" style="213" customWidth="1"/>
    <col min="517" max="517" width="9.7109375" style="213" customWidth="1"/>
    <col min="518" max="518" width="14" style="213" customWidth="1"/>
    <col min="519" max="519" width="13" style="213" customWidth="1"/>
    <col min="520" max="520" width="12.5703125" style="213" customWidth="1"/>
    <col min="521" max="521" width="11.42578125" style="213" customWidth="1"/>
    <col min="522" max="522" width="9.7109375" style="213" customWidth="1"/>
    <col min="523" max="523" width="10.85546875" style="213" customWidth="1"/>
    <col min="524" max="524" width="9.7109375" style="213" customWidth="1"/>
    <col min="525" max="525" width="10.5703125" style="213" customWidth="1"/>
    <col min="526" max="526" width="9.7109375" style="213" customWidth="1"/>
    <col min="527" max="527" width="12.28515625" style="213" customWidth="1"/>
    <col min="528" max="528" width="9.7109375" style="213" customWidth="1"/>
    <col min="529" max="529" width="12.140625" style="213" customWidth="1"/>
    <col min="530" max="530" width="9.7109375" style="213" customWidth="1"/>
    <col min="531" max="531" width="13" style="213" customWidth="1"/>
    <col min="532" max="532" width="9.7109375" style="213" customWidth="1"/>
    <col min="533" max="533" width="12.140625" style="213" customWidth="1"/>
    <col min="534" max="534" width="9.7109375" style="213" customWidth="1"/>
    <col min="535" max="535" width="13.28515625" style="213" customWidth="1"/>
    <col min="536" max="536" width="9.7109375" style="213" customWidth="1"/>
    <col min="537" max="537" width="11.85546875" style="213" customWidth="1"/>
    <col min="538" max="538" width="9.7109375" style="213" customWidth="1"/>
    <col min="539" max="539" width="12" style="213" customWidth="1"/>
    <col min="540" max="540" width="9.28515625" style="213" customWidth="1"/>
    <col min="541" max="541" width="12" style="213" customWidth="1"/>
    <col min="542" max="542" width="11.140625" style="213" customWidth="1"/>
    <col min="543" max="543" width="11.5703125" style="213" customWidth="1"/>
    <col min="544" max="544" width="10.5703125" style="213" customWidth="1"/>
    <col min="545" max="767" width="11.42578125" style="213"/>
    <col min="768" max="768" width="5.140625" style="213" customWidth="1"/>
    <col min="769" max="769" width="11" style="213" customWidth="1"/>
    <col min="770" max="770" width="67.7109375" style="213" customWidth="1"/>
    <col min="771" max="771" width="4.5703125" style="213" customWidth="1"/>
    <col min="772" max="772" width="10.140625" style="213" customWidth="1"/>
    <col min="773" max="773" width="9.7109375" style="213" customWidth="1"/>
    <col min="774" max="774" width="14" style="213" customWidth="1"/>
    <col min="775" max="775" width="13" style="213" customWidth="1"/>
    <col min="776" max="776" width="12.5703125" style="213" customWidth="1"/>
    <col min="777" max="777" width="11.42578125" style="213" customWidth="1"/>
    <col min="778" max="778" width="9.7109375" style="213" customWidth="1"/>
    <col min="779" max="779" width="10.85546875" style="213" customWidth="1"/>
    <col min="780" max="780" width="9.7109375" style="213" customWidth="1"/>
    <col min="781" max="781" width="10.5703125" style="213" customWidth="1"/>
    <col min="782" max="782" width="9.7109375" style="213" customWidth="1"/>
    <col min="783" max="783" width="12.28515625" style="213" customWidth="1"/>
    <col min="784" max="784" width="9.7109375" style="213" customWidth="1"/>
    <col min="785" max="785" width="12.140625" style="213" customWidth="1"/>
    <col min="786" max="786" width="9.7109375" style="213" customWidth="1"/>
    <col min="787" max="787" width="13" style="213" customWidth="1"/>
    <col min="788" max="788" width="9.7109375" style="213" customWidth="1"/>
    <col min="789" max="789" width="12.140625" style="213" customWidth="1"/>
    <col min="790" max="790" width="9.7109375" style="213" customWidth="1"/>
    <col min="791" max="791" width="13.28515625" style="213" customWidth="1"/>
    <col min="792" max="792" width="9.7109375" style="213" customWidth="1"/>
    <col min="793" max="793" width="11.85546875" style="213" customWidth="1"/>
    <col min="794" max="794" width="9.7109375" style="213" customWidth="1"/>
    <col min="795" max="795" width="12" style="213" customWidth="1"/>
    <col min="796" max="796" width="9.28515625" style="213" customWidth="1"/>
    <col min="797" max="797" width="12" style="213" customWidth="1"/>
    <col min="798" max="798" width="11.140625" style="213" customWidth="1"/>
    <col min="799" max="799" width="11.5703125" style="213" customWidth="1"/>
    <col min="800" max="800" width="10.5703125" style="213" customWidth="1"/>
    <col min="801" max="1023" width="11.42578125" style="213"/>
    <col min="1024" max="1024" width="5.140625" style="213" customWidth="1"/>
    <col min="1025" max="1025" width="11" style="213" customWidth="1"/>
    <col min="1026" max="1026" width="67.7109375" style="213" customWidth="1"/>
    <col min="1027" max="1027" width="4.5703125" style="213" customWidth="1"/>
    <col min="1028" max="1028" width="10.140625" style="213" customWidth="1"/>
    <col min="1029" max="1029" width="9.7109375" style="213" customWidth="1"/>
    <col min="1030" max="1030" width="14" style="213" customWidth="1"/>
    <col min="1031" max="1031" width="13" style="213" customWidth="1"/>
    <col min="1032" max="1032" width="12.5703125" style="213" customWidth="1"/>
    <col min="1033" max="1033" width="11.42578125" style="213" customWidth="1"/>
    <col min="1034" max="1034" width="9.7109375" style="213" customWidth="1"/>
    <col min="1035" max="1035" width="10.85546875" style="213" customWidth="1"/>
    <col min="1036" max="1036" width="9.7109375" style="213" customWidth="1"/>
    <col min="1037" max="1037" width="10.5703125" style="213" customWidth="1"/>
    <col min="1038" max="1038" width="9.7109375" style="213" customWidth="1"/>
    <col min="1039" max="1039" width="12.28515625" style="213" customWidth="1"/>
    <col min="1040" max="1040" width="9.7109375" style="213" customWidth="1"/>
    <col min="1041" max="1041" width="12.140625" style="213" customWidth="1"/>
    <col min="1042" max="1042" width="9.7109375" style="213" customWidth="1"/>
    <col min="1043" max="1043" width="13" style="213" customWidth="1"/>
    <col min="1044" max="1044" width="9.7109375" style="213" customWidth="1"/>
    <col min="1045" max="1045" width="12.140625" style="213" customWidth="1"/>
    <col min="1046" max="1046" width="9.7109375" style="213" customWidth="1"/>
    <col min="1047" max="1047" width="13.28515625" style="213" customWidth="1"/>
    <col min="1048" max="1048" width="9.7109375" style="213" customWidth="1"/>
    <col min="1049" max="1049" width="11.85546875" style="213" customWidth="1"/>
    <col min="1050" max="1050" width="9.7109375" style="213" customWidth="1"/>
    <col min="1051" max="1051" width="12" style="213" customWidth="1"/>
    <col min="1052" max="1052" width="9.28515625" style="213" customWidth="1"/>
    <col min="1053" max="1053" width="12" style="213" customWidth="1"/>
    <col min="1054" max="1054" width="11.140625" style="213" customWidth="1"/>
    <col min="1055" max="1055" width="11.5703125" style="213" customWidth="1"/>
    <col min="1056" max="1056" width="10.5703125" style="213" customWidth="1"/>
    <col min="1057" max="1279" width="11.42578125" style="213"/>
    <col min="1280" max="1280" width="5.140625" style="213" customWidth="1"/>
    <col min="1281" max="1281" width="11" style="213" customWidth="1"/>
    <col min="1282" max="1282" width="67.7109375" style="213" customWidth="1"/>
    <col min="1283" max="1283" width="4.5703125" style="213" customWidth="1"/>
    <col min="1284" max="1284" width="10.140625" style="213" customWidth="1"/>
    <col min="1285" max="1285" width="9.7109375" style="213" customWidth="1"/>
    <col min="1286" max="1286" width="14" style="213" customWidth="1"/>
    <col min="1287" max="1287" width="13" style="213" customWidth="1"/>
    <col min="1288" max="1288" width="12.5703125" style="213" customWidth="1"/>
    <col min="1289" max="1289" width="11.42578125" style="213" customWidth="1"/>
    <col min="1290" max="1290" width="9.7109375" style="213" customWidth="1"/>
    <col min="1291" max="1291" width="10.85546875" style="213" customWidth="1"/>
    <col min="1292" max="1292" width="9.7109375" style="213" customWidth="1"/>
    <col min="1293" max="1293" width="10.5703125" style="213" customWidth="1"/>
    <col min="1294" max="1294" width="9.7109375" style="213" customWidth="1"/>
    <col min="1295" max="1295" width="12.28515625" style="213" customWidth="1"/>
    <col min="1296" max="1296" width="9.7109375" style="213" customWidth="1"/>
    <col min="1297" max="1297" width="12.140625" style="213" customWidth="1"/>
    <col min="1298" max="1298" width="9.7109375" style="213" customWidth="1"/>
    <col min="1299" max="1299" width="13" style="213" customWidth="1"/>
    <col min="1300" max="1300" width="9.7109375" style="213" customWidth="1"/>
    <col min="1301" max="1301" width="12.140625" style="213" customWidth="1"/>
    <col min="1302" max="1302" width="9.7109375" style="213" customWidth="1"/>
    <col min="1303" max="1303" width="13.28515625" style="213" customWidth="1"/>
    <col min="1304" max="1304" width="9.7109375" style="213" customWidth="1"/>
    <col min="1305" max="1305" width="11.85546875" style="213" customWidth="1"/>
    <col min="1306" max="1306" width="9.7109375" style="213" customWidth="1"/>
    <col min="1307" max="1307" width="12" style="213" customWidth="1"/>
    <col min="1308" max="1308" width="9.28515625" style="213" customWidth="1"/>
    <col min="1309" max="1309" width="12" style="213" customWidth="1"/>
    <col min="1310" max="1310" width="11.140625" style="213" customWidth="1"/>
    <col min="1311" max="1311" width="11.5703125" style="213" customWidth="1"/>
    <col min="1312" max="1312" width="10.5703125" style="213" customWidth="1"/>
    <col min="1313" max="1535" width="11.42578125" style="213"/>
    <col min="1536" max="1536" width="5.140625" style="213" customWidth="1"/>
    <col min="1537" max="1537" width="11" style="213" customWidth="1"/>
    <col min="1538" max="1538" width="67.7109375" style="213" customWidth="1"/>
    <col min="1539" max="1539" width="4.5703125" style="213" customWidth="1"/>
    <col min="1540" max="1540" width="10.140625" style="213" customWidth="1"/>
    <col min="1541" max="1541" width="9.7109375" style="213" customWidth="1"/>
    <col min="1542" max="1542" width="14" style="213" customWidth="1"/>
    <col min="1543" max="1543" width="13" style="213" customWidth="1"/>
    <col min="1544" max="1544" width="12.5703125" style="213" customWidth="1"/>
    <col min="1545" max="1545" width="11.42578125" style="213" customWidth="1"/>
    <col min="1546" max="1546" width="9.7109375" style="213" customWidth="1"/>
    <col min="1547" max="1547" width="10.85546875" style="213" customWidth="1"/>
    <col min="1548" max="1548" width="9.7109375" style="213" customWidth="1"/>
    <col min="1549" max="1549" width="10.5703125" style="213" customWidth="1"/>
    <col min="1550" max="1550" width="9.7109375" style="213" customWidth="1"/>
    <col min="1551" max="1551" width="12.28515625" style="213" customWidth="1"/>
    <col min="1552" max="1552" width="9.7109375" style="213" customWidth="1"/>
    <col min="1553" max="1553" width="12.140625" style="213" customWidth="1"/>
    <col min="1554" max="1554" width="9.7109375" style="213" customWidth="1"/>
    <col min="1555" max="1555" width="13" style="213" customWidth="1"/>
    <col min="1556" max="1556" width="9.7109375" style="213" customWidth="1"/>
    <col min="1557" max="1557" width="12.140625" style="213" customWidth="1"/>
    <col min="1558" max="1558" width="9.7109375" style="213" customWidth="1"/>
    <col min="1559" max="1559" width="13.28515625" style="213" customWidth="1"/>
    <col min="1560" max="1560" width="9.7109375" style="213" customWidth="1"/>
    <col min="1561" max="1561" width="11.85546875" style="213" customWidth="1"/>
    <col min="1562" max="1562" width="9.7109375" style="213" customWidth="1"/>
    <col min="1563" max="1563" width="12" style="213" customWidth="1"/>
    <col min="1564" max="1564" width="9.28515625" style="213" customWidth="1"/>
    <col min="1565" max="1565" width="12" style="213" customWidth="1"/>
    <col min="1566" max="1566" width="11.140625" style="213" customWidth="1"/>
    <col min="1567" max="1567" width="11.5703125" style="213" customWidth="1"/>
    <col min="1568" max="1568" width="10.5703125" style="213" customWidth="1"/>
    <col min="1569" max="1791" width="11.42578125" style="213"/>
    <col min="1792" max="1792" width="5.140625" style="213" customWidth="1"/>
    <col min="1793" max="1793" width="11" style="213" customWidth="1"/>
    <col min="1794" max="1794" width="67.7109375" style="213" customWidth="1"/>
    <col min="1795" max="1795" width="4.5703125" style="213" customWidth="1"/>
    <col min="1796" max="1796" width="10.140625" style="213" customWidth="1"/>
    <col min="1797" max="1797" width="9.7109375" style="213" customWidth="1"/>
    <col min="1798" max="1798" width="14" style="213" customWidth="1"/>
    <col min="1799" max="1799" width="13" style="213" customWidth="1"/>
    <col min="1800" max="1800" width="12.5703125" style="213" customWidth="1"/>
    <col min="1801" max="1801" width="11.42578125" style="213" customWidth="1"/>
    <col min="1802" max="1802" width="9.7109375" style="213" customWidth="1"/>
    <col min="1803" max="1803" width="10.85546875" style="213" customWidth="1"/>
    <col min="1804" max="1804" width="9.7109375" style="213" customWidth="1"/>
    <col min="1805" max="1805" width="10.5703125" style="213" customWidth="1"/>
    <col min="1806" max="1806" width="9.7109375" style="213" customWidth="1"/>
    <col min="1807" max="1807" width="12.28515625" style="213" customWidth="1"/>
    <col min="1808" max="1808" width="9.7109375" style="213" customWidth="1"/>
    <col min="1809" max="1809" width="12.140625" style="213" customWidth="1"/>
    <col min="1810" max="1810" width="9.7109375" style="213" customWidth="1"/>
    <col min="1811" max="1811" width="13" style="213" customWidth="1"/>
    <col min="1812" max="1812" width="9.7109375" style="213" customWidth="1"/>
    <col min="1813" max="1813" width="12.140625" style="213" customWidth="1"/>
    <col min="1814" max="1814" width="9.7109375" style="213" customWidth="1"/>
    <col min="1815" max="1815" width="13.28515625" style="213" customWidth="1"/>
    <col min="1816" max="1816" width="9.7109375" style="213" customWidth="1"/>
    <col min="1817" max="1817" width="11.85546875" style="213" customWidth="1"/>
    <col min="1818" max="1818" width="9.7109375" style="213" customWidth="1"/>
    <col min="1819" max="1819" width="12" style="213" customWidth="1"/>
    <col min="1820" max="1820" width="9.28515625" style="213" customWidth="1"/>
    <col min="1821" max="1821" width="12" style="213" customWidth="1"/>
    <col min="1822" max="1822" width="11.140625" style="213" customWidth="1"/>
    <col min="1823" max="1823" width="11.5703125" style="213" customWidth="1"/>
    <col min="1824" max="1824" width="10.5703125" style="213" customWidth="1"/>
    <col min="1825" max="2047" width="11.42578125" style="213"/>
    <col min="2048" max="2048" width="5.140625" style="213" customWidth="1"/>
    <col min="2049" max="2049" width="11" style="213" customWidth="1"/>
    <col min="2050" max="2050" width="67.7109375" style="213" customWidth="1"/>
    <col min="2051" max="2051" width="4.5703125" style="213" customWidth="1"/>
    <col min="2052" max="2052" width="10.140625" style="213" customWidth="1"/>
    <col min="2053" max="2053" width="9.7109375" style="213" customWidth="1"/>
    <col min="2054" max="2054" width="14" style="213" customWidth="1"/>
    <col min="2055" max="2055" width="13" style="213" customWidth="1"/>
    <col min="2056" max="2056" width="12.5703125" style="213" customWidth="1"/>
    <col min="2057" max="2057" width="11.42578125" style="213" customWidth="1"/>
    <col min="2058" max="2058" width="9.7109375" style="213" customWidth="1"/>
    <col min="2059" max="2059" width="10.85546875" style="213" customWidth="1"/>
    <col min="2060" max="2060" width="9.7109375" style="213" customWidth="1"/>
    <col min="2061" max="2061" width="10.5703125" style="213" customWidth="1"/>
    <col min="2062" max="2062" width="9.7109375" style="213" customWidth="1"/>
    <col min="2063" max="2063" width="12.28515625" style="213" customWidth="1"/>
    <col min="2064" max="2064" width="9.7109375" style="213" customWidth="1"/>
    <col min="2065" max="2065" width="12.140625" style="213" customWidth="1"/>
    <col min="2066" max="2066" width="9.7109375" style="213" customWidth="1"/>
    <col min="2067" max="2067" width="13" style="213" customWidth="1"/>
    <col min="2068" max="2068" width="9.7109375" style="213" customWidth="1"/>
    <col min="2069" max="2069" width="12.140625" style="213" customWidth="1"/>
    <col min="2070" max="2070" width="9.7109375" style="213" customWidth="1"/>
    <col min="2071" max="2071" width="13.28515625" style="213" customWidth="1"/>
    <col min="2072" max="2072" width="9.7109375" style="213" customWidth="1"/>
    <col min="2073" max="2073" width="11.85546875" style="213" customWidth="1"/>
    <col min="2074" max="2074" width="9.7109375" style="213" customWidth="1"/>
    <col min="2075" max="2075" width="12" style="213" customWidth="1"/>
    <col min="2076" max="2076" width="9.28515625" style="213" customWidth="1"/>
    <col min="2077" max="2077" width="12" style="213" customWidth="1"/>
    <col min="2078" max="2078" width="11.140625" style="213" customWidth="1"/>
    <col min="2079" max="2079" width="11.5703125" style="213" customWidth="1"/>
    <col min="2080" max="2080" width="10.5703125" style="213" customWidth="1"/>
    <col min="2081" max="2303" width="11.42578125" style="213"/>
    <col min="2304" max="2304" width="5.140625" style="213" customWidth="1"/>
    <col min="2305" max="2305" width="11" style="213" customWidth="1"/>
    <col min="2306" max="2306" width="67.7109375" style="213" customWidth="1"/>
    <col min="2307" max="2307" width="4.5703125" style="213" customWidth="1"/>
    <col min="2308" max="2308" width="10.140625" style="213" customWidth="1"/>
    <col min="2309" max="2309" width="9.7109375" style="213" customWidth="1"/>
    <col min="2310" max="2310" width="14" style="213" customWidth="1"/>
    <col min="2311" max="2311" width="13" style="213" customWidth="1"/>
    <col min="2312" max="2312" width="12.5703125" style="213" customWidth="1"/>
    <col min="2313" max="2313" width="11.42578125" style="213" customWidth="1"/>
    <col min="2314" max="2314" width="9.7109375" style="213" customWidth="1"/>
    <col min="2315" max="2315" width="10.85546875" style="213" customWidth="1"/>
    <col min="2316" max="2316" width="9.7109375" style="213" customWidth="1"/>
    <col min="2317" max="2317" width="10.5703125" style="213" customWidth="1"/>
    <col min="2318" max="2318" width="9.7109375" style="213" customWidth="1"/>
    <col min="2319" max="2319" width="12.28515625" style="213" customWidth="1"/>
    <col min="2320" max="2320" width="9.7109375" style="213" customWidth="1"/>
    <col min="2321" max="2321" width="12.140625" style="213" customWidth="1"/>
    <col min="2322" max="2322" width="9.7109375" style="213" customWidth="1"/>
    <col min="2323" max="2323" width="13" style="213" customWidth="1"/>
    <col min="2324" max="2324" width="9.7109375" style="213" customWidth="1"/>
    <col min="2325" max="2325" width="12.140625" style="213" customWidth="1"/>
    <col min="2326" max="2326" width="9.7109375" style="213" customWidth="1"/>
    <col min="2327" max="2327" width="13.28515625" style="213" customWidth="1"/>
    <col min="2328" max="2328" width="9.7109375" style="213" customWidth="1"/>
    <col min="2329" max="2329" width="11.85546875" style="213" customWidth="1"/>
    <col min="2330" max="2330" width="9.7109375" style="213" customWidth="1"/>
    <col min="2331" max="2331" width="12" style="213" customWidth="1"/>
    <col min="2332" max="2332" width="9.28515625" style="213" customWidth="1"/>
    <col min="2333" max="2333" width="12" style="213" customWidth="1"/>
    <col min="2334" max="2334" width="11.140625" style="213" customWidth="1"/>
    <col min="2335" max="2335" width="11.5703125" style="213" customWidth="1"/>
    <col min="2336" max="2336" width="10.5703125" style="213" customWidth="1"/>
    <col min="2337" max="2559" width="11.42578125" style="213"/>
    <col min="2560" max="2560" width="5.140625" style="213" customWidth="1"/>
    <col min="2561" max="2561" width="11" style="213" customWidth="1"/>
    <col min="2562" max="2562" width="67.7109375" style="213" customWidth="1"/>
    <col min="2563" max="2563" width="4.5703125" style="213" customWidth="1"/>
    <col min="2564" max="2564" width="10.140625" style="213" customWidth="1"/>
    <col min="2565" max="2565" width="9.7109375" style="213" customWidth="1"/>
    <col min="2566" max="2566" width="14" style="213" customWidth="1"/>
    <col min="2567" max="2567" width="13" style="213" customWidth="1"/>
    <col min="2568" max="2568" width="12.5703125" style="213" customWidth="1"/>
    <col min="2569" max="2569" width="11.42578125" style="213" customWidth="1"/>
    <col min="2570" max="2570" width="9.7109375" style="213" customWidth="1"/>
    <col min="2571" max="2571" width="10.85546875" style="213" customWidth="1"/>
    <col min="2572" max="2572" width="9.7109375" style="213" customWidth="1"/>
    <col min="2573" max="2573" width="10.5703125" style="213" customWidth="1"/>
    <col min="2574" max="2574" width="9.7109375" style="213" customWidth="1"/>
    <col min="2575" max="2575" width="12.28515625" style="213" customWidth="1"/>
    <col min="2576" max="2576" width="9.7109375" style="213" customWidth="1"/>
    <col min="2577" max="2577" width="12.140625" style="213" customWidth="1"/>
    <col min="2578" max="2578" width="9.7109375" style="213" customWidth="1"/>
    <col min="2579" max="2579" width="13" style="213" customWidth="1"/>
    <col min="2580" max="2580" width="9.7109375" style="213" customWidth="1"/>
    <col min="2581" max="2581" width="12.140625" style="213" customWidth="1"/>
    <col min="2582" max="2582" width="9.7109375" style="213" customWidth="1"/>
    <col min="2583" max="2583" width="13.28515625" style="213" customWidth="1"/>
    <col min="2584" max="2584" width="9.7109375" style="213" customWidth="1"/>
    <col min="2585" max="2585" width="11.85546875" style="213" customWidth="1"/>
    <col min="2586" max="2586" width="9.7109375" style="213" customWidth="1"/>
    <col min="2587" max="2587" width="12" style="213" customWidth="1"/>
    <col min="2588" max="2588" width="9.28515625" style="213" customWidth="1"/>
    <col min="2589" max="2589" width="12" style="213" customWidth="1"/>
    <col min="2590" max="2590" width="11.140625" style="213" customWidth="1"/>
    <col min="2591" max="2591" width="11.5703125" style="213" customWidth="1"/>
    <col min="2592" max="2592" width="10.5703125" style="213" customWidth="1"/>
    <col min="2593" max="2815" width="11.42578125" style="213"/>
    <col min="2816" max="2816" width="5.140625" style="213" customWidth="1"/>
    <col min="2817" max="2817" width="11" style="213" customWidth="1"/>
    <col min="2818" max="2818" width="67.7109375" style="213" customWidth="1"/>
    <col min="2819" max="2819" width="4.5703125" style="213" customWidth="1"/>
    <col min="2820" max="2820" width="10.140625" style="213" customWidth="1"/>
    <col min="2821" max="2821" width="9.7109375" style="213" customWidth="1"/>
    <col min="2822" max="2822" width="14" style="213" customWidth="1"/>
    <col min="2823" max="2823" width="13" style="213" customWidth="1"/>
    <col min="2824" max="2824" width="12.5703125" style="213" customWidth="1"/>
    <col min="2825" max="2825" width="11.42578125" style="213" customWidth="1"/>
    <col min="2826" max="2826" width="9.7109375" style="213" customWidth="1"/>
    <col min="2827" max="2827" width="10.85546875" style="213" customWidth="1"/>
    <col min="2828" max="2828" width="9.7109375" style="213" customWidth="1"/>
    <col min="2829" max="2829" width="10.5703125" style="213" customWidth="1"/>
    <col min="2830" max="2830" width="9.7109375" style="213" customWidth="1"/>
    <col min="2831" max="2831" width="12.28515625" style="213" customWidth="1"/>
    <col min="2832" max="2832" width="9.7109375" style="213" customWidth="1"/>
    <col min="2833" max="2833" width="12.140625" style="213" customWidth="1"/>
    <col min="2834" max="2834" width="9.7109375" style="213" customWidth="1"/>
    <col min="2835" max="2835" width="13" style="213" customWidth="1"/>
    <col min="2836" max="2836" width="9.7109375" style="213" customWidth="1"/>
    <col min="2837" max="2837" width="12.140625" style="213" customWidth="1"/>
    <col min="2838" max="2838" width="9.7109375" style="213" customWidth="1"/>
    <col min="2839" max="2839" width="13.28515625" style="213" customWidth="1"/>
    <col min="2840" max="2840" width="9.7109375" style="213" customWidth="1"/>
    <col min="2841" max="2841" width="11.85546875" style="213" customWidth="1"/>
    <col min="2842" max="2842" width="9.7109375" style="213" customWidth="1"/>
    <col min="2843" max="2843" width="12" style="213" customWidth="1"/>
    <col min="2844" max="2844" width="9.28515625" style="213" customWidth="1"/>
    <col min="2845" max="2845" width="12" style="213" customWidth="1"/>
    <col min="2846" max="2846" width="11.140625" style="213" customWidth="1"/>
    <col min="2847" max="2847" width="11.5703125" style="213" customWidth="1"/>
    <col min="2848" max="2848" width="10.5703125" style="213" customWidth="1"/>
    <col min="2849" max="3071" width="11.42578125" style="213"/>
    <col min="3072" max="3072" width="5.140625" style="213" customWidth="1"/>
    <col min="3073" max="3073" width="11" style="213" customWidth="1"/>
    <col min="3074" max="3074" width="67.7109375" style="213" customWidth="1"/>
    <col min="3075" max="3075" width="4.5703125" style="213" customWidth="1"/>
    <col min="3076" max="3076" width="10.140625" style="213" customWidth="1"/>
    <col min="3077" max="3077" width="9.7109375" style="213" customWidth="1"/>
    <col min="3078" max="3078" width="14" style="213" customWidth="1"/>
    <col min="3079" max="3079" width="13" style="213" customWidth="1"/>
    <col min="3080" max="3080" width="12.5703125" style="213" customWidth="1"/>
    <col min="3081" max="3081" width="11.42578125" style="213" customWidth="1"/>
    <col min="3082" max="3082" width="9.7109375" style="213" customWidth="1"/>
    <col min="3083" max="3083" width="10.85546875" style="213" customWidth="1"/>
    <col min="3084" max="3084" width="9.7109375" style="213" customWidth="1"/>
    <col min="3085" max="3085" width="10.5703125" style="213" customWidth="1"/>
    <col min="3086" max="3086" width="9.7109375" style="213" customWidth="1"/>
    <col min="3087" max="3087" width="12.28515625" style="213" customWidth="1"/>
    <col min="3088" max="3088" width="9.7109375" style="213" customWidth="1"/>
    <col min="3089" max="3089" width="12.140625" style="213" customWidth="1"/>
    <col min="3090" max="3090" width="9.7109375" style="213" customWidth="1"/>
    <col min="3091" max="3091" width="13" style="213" customWidth="1"/>
    <col min="3092" max="3092" width="9.7109375" style="213" customWidth="1"/>
    <col min="3093" max="3093" width="12.140625" style="213" customWidth="1"/>
    <col min="3094" max="3094" width="9.7109375" style="213" customWidth="1"/>
    <col min="3095" max="3095" width="13.28515625" style="213" customWidth="1"/>
    <col min="3096" max="3096" width="9.7109375" style="213" customWidth="1"/>
    <col min="3097" max="3097" width="11.85546875" style="213" customWidth="1"/>
    <col min="3098" max="3098" width="9.7109375" style="213" customWidth="1"/>
    <col min="3099" max="3099" width="12" style="213" customWidth="1"/>
    <col min="3100" max="3100" width="9.28515625" style="213" customWidth="1"/>
    <col min="3101" max="3101" width="12" style="213" customWidth="1"/>
    <col min="3102" max="3102" width="11.140625" style="213" customWidth="1"/>
    <col min="3103" max="3103" width="11.5703125" style="213" customWidth="1"/>
    <col min="3104" max="3104" width="10.5703125" style="213" customWidth="1"/>
    <col min="3105" max="3327" width="11.42578125" style="213"/>
    <col min="3328" max="3328" width="5.140625" style="213" customWidth="1"/>
    <col min="3329" max="3329" width="11" style="213" customWidth="1"/>
    <col min="3330" max="3330" width="67.7109375" style="213" customWidth="1"/>
    <col min="3331" max="3331" width="4.5703125" style="213" customWidth="1"/>
    <col min="3332" max="3332" width="10.140625" style="213" customWidth="1"/>
    <col min="3333" max="3333" width="9.7109375" style="213" customWidth="1"/>
    <col min="3334" max="3334" width="14" style="213" customWidth="1"/>
    <col min="3335" max="3335" width="13" style="213" customWidth="1"/>
    <col min="3336" max="3336" width="12.5703125" style="213" customWidth="1"/>
    <col min="3337" max="3337" width="11.42578125" style="213" customWidth="1"/>
    <col min="3338" max="3338" width="9.7109375" style="213" customWidth="1"/>
    <col min="3339" max="3339" width="10.85546875" style="213" customWidth="1"/>
    <col min="3340" max="3340" width="9.7109375" style="213" customWidth="1"/>
    <col min="3341" max="3341" width="10.5703125" style="213" customWidth="1"/>
    <col min="3342" max="3342" width="9.7109375" style="213" customWidth="1"/>
    <col min="3343" max="3343" width="12.28515625" style="213" customWidth="1"/>
    <col min="3344" max="3344" width="9.7109375" style="213" customWidth="1"/>
    <col min="3345" max="3345" width="12.140625" style="213" customWidth="1"/>
    <col min="3346" max="3346" width="9.7109375" style="213" customWidth="1"/>
    <col min="3347" max="3347" width="13" style="213" customWidth="1"/>
    <col min="3348" max="3348" width="9.7109375" style="213" customWidth="1"/>
    <col min="3349" max="3349" width="12.140625" style="213" customWidth="1"/>
    <col min="3350" max="3350" width="9.7109375" style="213" customWidth="1"/>
    <col min="3351" max="3351" width="13.28515625" style="213" customWidth="1"/>
    <col min="3352" max="3352" width="9.7109375" style="213" customWidth="1"/>
    <col min="3353" max="3353" width="11.85546875" style="213" customWidth="1"/>
    <col min="3354" max="3354" width="9.7109375" style="213" customWidth="1"/>
    <col min="3355" max="3355" width="12" style="213" customWidth="1"/>
    <col min="3356" max="3356" width="9.28515625" style="213" customWidth="1"/>
    <col min="3357" max="3357" width="12" style="213" customWidth="1"/>
    <col min="3358" max="3358" width="11.140625" style="213" customWidth="1"/>
    <col min="3359" max="3359" width="11.5703125" style="213" customWidth="1"/>
    <col min="3360" max="3360" width="10.5703125" style="213" customWidth="1"/>
    <col min="3361" max="3583" width="11.42578125" style="213"/>
    <col min="3584" max="3584" width="5.140625" style="213" customWidth="1"/>
    <col min="3585" max="3585" width="11" style="213" customWidth="1"/>
    <col min="3586" max="3586" width="67.7109375" style="213" customWidth="1"/>
    <col min="3587" max="3587" width="4.5703125" style="213" customWidth="1"/>
    <col min="3588" max="3588" width="10.140625" style="213" customWidth="1"/>
    <col min="3589" max="3589" width="9.7109375" style="213" customWidth="1"/>
    <col min="3590" max="3590" width="14" style="213" customWidth="1"/>
    <col min="3591" max="3591" width="13" style="213" customWidth="1"/>
    <col min="3592" max="3592" width="12.5703125" style="213" customWidth="1"/>
    <col min="3593" max="3593" width="11.42578125" style="213" customWidth="1"/>
    <col min="3594" max="3594" width="9.7109375" style="213" customWidth="1"/>
    <col min="3595" max="3595" width="10.85546875" style="213" customWidth="1"/>
    <col min="3596" max="3596" width="9.7109375" style="213" customWidth="1"/>
    <col min="3597" max="3597" width="10.5703125" style="213" customWidth="1"/>
    <col min="3598" max="3598" width="9.7109375" style="213" customWidth="1"/>
    <col min="3599" max="3599" width="12.28515625" style="213" customWidth="1"/>
    <col min="3600" max="3600" width="9.7109375" style="213" customWidth="1"/>
    <col min="3601" max="3601" width="12.140625" style="213" customWidth="1"/>
    <col min="3602" max="3602" width="9.7109375" style="213" customWidth="1"/>
    <col min="3603" max="3603" width="13" style="213" customWidth="1"/>
    <col min="3604" max="3604" width="9.7109375" style="213" customWidth="1"/>
    <col min="3605" max="3605" width="12.140625" style="213" customWidth="1"/>
    <col min="3606" max="3606" width="9.7109375" style="213" customWidth="1"/>
    <col min="3607" max="3607" width="13.28515625" style="213" customWidth="1"/>
    <col min="3608" max="3608" width="9.7109375" style="213" customWidth="1"/>
    <col min="3609" max="3609" width="11.85546875" style="213" customWidth="1"/>
    <col min="3610" max="3610" width="9.7109375" style="213" customWidth="1"/>
    <col min="3611" max="3611" width="12" style="213" customWidth="1"/>
    <col min="3612" max="3612" width="9.28515625" style="213" customWidth="1"/>
    <col min="3613" max="3613" width="12" style="213" customWidth="1"/>
    <col min="3614" max="3614" width="11.140625" style="213" customWidth="1"/>
    <col min="3615" max="3615" width="11.5703125" style="213" customWidth="1"/>
    <col min="3616" max="3616" width="10.5703125" style="213" customWidth="1"/>
    <col min="3617" max="3839" width="11.42578125" style="213"/>
    <col min="3840" max="3840" width="5.140625" style="213" customWidth="1"/>
    <col min="3841" max="3841" width="11" style="213" customWidth="1"/>
    <col min="3842" max="3842" width="67.7109375" style="213" customWidth="1"/>
    <col min="3843" max="3843" width="4.5703125" style="213" customWidth="1"/>
    <col min="3844" max="3844" width="10.140625" style="213" customWidth="1"/>
    <col min="3845" max="3845" width="9.7109375" style="213" customWidth="1"/>
    <col min="3846" max="3846" width="14" style="213" customWidth="1"/>
    <col min="3847" max="3847" width="13" style="213" customWidth="1"/>
    <col min="3848" max="3848" width="12.5703125" style="213" customWidth="1"/>
    <col min="3849" max="3849" width="11.42578125" style="213" customWidth="1"/>
    <col min="3850" max="3850" width="9.7109375" style="213" customWidth="1"/>
    <col min="3851" max="3851" width="10.85546875" style="213" customWidth="1"/>
    <col min="3852" max="3852" width="9.7109375" style="213" customWidth="1"/>
    <col min="3853" max="3853" width="10.5703125" style="213" customWidth="1"/>
    <col min="3854" max="3854" width="9.7109375" style="213" customWidth="1"/>
    <col min="3855" max="3855" width="12.28515625" style="213" customWidth="1"/>
    <col min="3856" max="3856" width="9.7109375" style="213" customWidth="1"/>
    <col min="3857" max="3857" width="12.140625" style="213" customWidth="1"/>
    <col min="3858" max="3858" width="9.7109375" style="213" customWidth="1"/>
    <col min="3859" max="3859" width="13" style="213" customWidth="1"/>
    <col min="3860" max="3860" width="9.7109375" style="213" customWidth="1"/>
    <col min="3861" max="3861" width="12.140625" style="213" customWidth="1"/>
    <col min="3862" max="3862" width="9.7109375" style="213" customWidth="1"/>
    <col min="3863" max="3863" width="13.28515625" style="213" customWidth="1"/>
    <col min="3864" max="3864" width="9.7109375" style="213" customWidth="1"/>
    <col min="3865" max="3865" width="11.85546875" style="213" customWidth="1"/>
    <col min="3866" max="3866" width="9.7109375" style="213" customWidth="1"/>
    <col min="3867" max="3867" width="12" style="213" customWidth="1"/>
    <col min="3868" max="3868" width="9.28515625" style="213" customWidth="1"/>
    <col min="3869" max="3869" width="12" style="213" customWidth="1"/>
    <col min="3870" max="3870" width="11.140625" style="213" customWidth="1"/>
    <col min="3871" max="3871" width="11.5703125" style="213" customWidth="1"/>
    <col min="3872" max="3872" width="10.5703125" style="213" customWidth="1"/>
    <col min="3873" max="4095" width="11.42578125" style="213"/>
    <col min="4096" max="4096" width="5.140625" style="213" customWidth="1"/>
    <col min="4097" max="4097" width="11" style="213" customWidth="1"/>
    <col min="4098" max="4098" width="67.7109375" style="213" customWidth="1"/>
    <col min="4099" max="4099" width="4.5703125" style="213" customWidth="1"/>
    <col min="4100" max="4100" width="10.140625" style="213" customWidth="1"/>
    <col min="4101" max="4101" width="9.7109375" style="213" customWidth="1"/>
    <col min="4102" max="4102" width="14" style="213" customWidth="1"/>
    <col min="4103" max="4103" width="13" style="213" customWidth="1"/>
    <col min="4104" max="4104" width="12.5703125" style="213" customWidth="1"/>
    <col min="4105" max="4105" width="11.42578125" style="213" customWidth="1"/>
    <col min="4106" max="4106" width="9.7109375" style="213" customWidth="1"/>
    <col min="4107" max="4107" width="10.85546875" style="213" customWidth="1"/>
    <col min="4108" max="4108" width="9.7109375" style="213" customWidth="1"/>
    <col min="4109" max="4109" width="10.5703125" style="213" customWidth="1"/>
    <col min="4110" max="4110" width="9.7109375" style="213" customWidth="1"/>
    <col min="4111" max="4111" width="12.28515625" style="213" customWidth="1"/>
    <col min="4112" max="4112" width="9.7109375" style="213" customWidth="1"/>
    <col min="4113" max="4113" width="12.140625" style="213" customWidth="1"/>
    <col min="4114" max="4114" width="9.7109375" style="213" customWidth="1"/>
    <col min="4115" max="4115" width="13" style="213" customWidth="1"/>
    <col min="4116" max="4116" width="9.7109375" style="213" customWidth="1"/>
    <col min="4117" max="4117" width="12.140625" style="213" customWidth="1"/>
    <col min="4118" max="4118" width="9.7109375" style="213" customWidth="1"/>
    <col min="4119" max="4119" width="13.28515625" style="213" customWidth="1"/>
    <col min="4120" max="4120" width="9.7109375" style="213" customWidth="1"/>
    <col min="4121" max="4121" width="11.85546875" style="213" customWidth="1"/>
    <col min="4122" max="4122" width="9.7109375" style="213" customWidth="1"/>
    <col min="4123" max="4123" width="12" style="213" customWidth="1"/>
    <col min="4124" max="4124" width="9.28515625" style="213" customWidth="1"/>
    <col min="4125" max="4125" width="12" style="213" customWidth="1"/>
    <col min="4126" max="4126" width="11.140625" style="213" customWidth="1"/>
    <col min="4127" max="4127" width="11.5703125" style="213" customWidth="1"/>
    <col min="4128" max="4128" width="10.5703125" style="213" customWidth="1"/>
    <col min="4129" max="4351" width="11.42578125" style="213"/>
    <col min="4352" max="4352" width="5.140625" style="213" customWidth="1"/>
    <col min="4353" max="4353" width="11" style="213" customWidth="1"/>
    <col min="4354" max="4354" width="67.7109375" style="213" customWidth="1"/>
    <col min="4355" max="4355" width="4.5703125" style="213" customWidth="1"/>
    <col min="4356" max="4356" width="10.140625" style="213" customWidth="1"/>
    <col min="4357" max="4357" width="9.7109375" style="213" customWidth="1"/>
    <col min="4358" max="4358" width="14" style="213" customWidth="1"/>
    <col min="4359" max="4359" width="13" style="213" customWidth="1"/>
    <col min="4360" max="4360" width="12.5703125" style="213" customWidth="1"/>
    <col min="4361" max="4361" width="11.42578125" style="213" customWidth="1"/>
    <col min="4362" max="4362" width="9.7109375" style="213" customWidth="1"/>
    <col min="4363" max="4363" width="10.85546875" style="213" customWidth="1"/>
    <col min="4364" max="4364" width="9.7109375" style="213" customWidth="1"/>
    <col min="4365" max="4365" width="10.5703125" style="213" customWidth="1"/>
    <col min="4366" max="4366" width="9.7109375" style="213" customWidth="1"/>
    <col min="4367" max="4367" width="12.28515625" style="213" customWidth="1"/>
    <col min="4368" max="4368" width="9.7109375" style="213" customWidth="1"/>
    <col min="4369" max="4369" width="12.140625" style="213" customWidth="1"/>
    <col min="4370" max="4370" width="9.7109375" style="213" customWidth="1"/>
    <col min="4371" max="4371" width="13" style="213" customWidth="1"/>
    <col min="4372" max="4372" width="9.7109375" style="213" customWidth="1"/>
    <col min="4373" max="4373" width="12.140625" style="213" customWidth="1"/>
    <col min="4374" max="4374" width="9.7109375" style="213" customWidth="1"/>
    <col min="4375" max="4375" width="13.28515625" style="213" customWidth="1"/>
    <col min="4376" max="4376" width="9.7109375" style="213" customWidth="1"/>
    <col min="4377" max="4377" width="11.85546875" style="213" customWidth="1"/>
    <col min="4378" max="4378" width="9.7109375" style="213" customWidth="1"/>
    <col min="4379" max="4379" width="12" style="213" customWidth="1"/>
    <col min="4380" max="4380" width="9.28515625" style="213" customWidth="1"/>
    <col min="4381" max="4381" width="12" style="213" customWidth="1"/>
    <col min="4382" max="4382" width="11.140625" style="213" customWidth="1"/>
    <col min="4383" max="4383" width="11.5703125" style="213" customWidth="1"/>
    <col min="4384" max="4384" width="10.5703125" style="213" customWidth="1"/>
    <col min="4385" max="4607" width="11.42578125" style="213"/>
    <col min="4608" max="4608" width="5.140625" style="213" customWidth="1"/>
    <col min="4609" max="4609" width="11" style="213" customWidth="1"/>
    <col min="4610" max="4610" width="67.7109375" style="213" customWidth="1"/>
    <col min="4611" max="4611" width="4.5703125" style="213" customWidth="1"/>
    <col min="4612" max="4612" width="10.140625" style="213" customWidth="1"/>
    <col min="4613" max="4613" width="9.7109375" style="213" customWidth="1"/>
    <col min="4614" max="4614" width="14" style="213" customWidth="1"/>
    <col min="4615" max="4615" width="13" style="213" customWidth="1"/>
    <col min="4616" max="4616" width="12.5703125" style="213" customWidth="1"/>
    <col min="4617" max="4617" width="11.42578125" style="213" customWidth="1"/>
    <col min="4618" max="4618" width="9.7109375" style="213" customWidth="1"/>
    <col min="4619" max="4619" width="10.85546875" style="213" customWidth="1"/>
    <col min="4620" max="4620" width="9.7109375" style="213" customWidth="1"/>
    <col min="4621" max="4621" width="10.5703125" style="213" customWidth="1"/>
    <col min="4622" max="4622" width="9.7109375" style="213" customWidth="1"/>
    <col min="4623" max="4623" width="12.28515625" style="213" customWidth="1"/>
    <col min="4624" max="4624" width="9.7109375" style="213" customWidth="1"/>
    <col min="4625" max="4625" width="12.140625" style="213" customWidth="1"/>
    <col min="4626" max="4626" width="9.7109375" style="213" customWidth="1"/>
    <col min="4627" max="4627" width="13" style="213" customWidth="1"/>
    <col min="4628" max="4628" width="9.7109375" style="213" customWidth="1"/>
    <col min="4629" max="4629" width="12.140625" style="213" customWidth="1"/>
    <col min="4630" max="4630" width="9.7109375" style="213" customWidth="1"/>
    <col min="4631" max="4631" width="13.28515625" style="213" customWidth="1"/>
    <col min="4632" max="4632" width="9.7109375" style="213" customWidth="1"/>
    <col min="4633" max="4633" width="11.85546875" style="213" customWidth="1"/>
    <col min="4634" max="4634" width="9.7109375" style="213" customWidth="1"/>
    <col min="4635" max="4635" width="12" style="213" customWidth="1"/>
    <col min="4636" max="4636" width="9.28515625" style="213" customWidth="1"/>
    <col min="4637" max="4637" width="12" style="213" customWidth="1"/>
    <col min="4638" max="4638" width="11.140625" style="213" customWidth="1"/>
    <col min="4639" max="4639" width="11.5703125" style="213" customWidth="1"/>
    <col min="4640" max="4640" width="10.5703125" style="213" customWidth="1"/>
    <col min="4641" max="4863" width="11.42578125" style="213"/>
    <col min="4864" max="4864" width="5.140625" style="213" customWidth="1"/>
    <col min="4865" max="4865" width="11" style="213" customWidth="1"/>
    <col min="4866" max="4866" width="67.7109375" style="213" customWidth="1"/>
    <col min="4867" max="4867" width="4.5703125" style="213" customWidth="1"/>
    <col min="4868" max="4868" width="10.140625" style="213" customWidth="1"/>
    <col min="4869" max="4869" width="9.7109375" style="213" customWidth="1"/>
    <col min="4870" max="4870" width="14" style="213" customWidth="1"/>
    <col min="4871" max="4871" width="13" style="213" customWidth="1"/>
    <col min="4872" max="4872" width="12.5703125" style="213" customWidth="1"/>
    <col min="4873" max="4873" width="11.42578125" style="213" customWidth="1"/>
    <col min="4874" max="4874" width="9.7109375" style="213" customWidth="1"/>
    <col min="4875" max="4875" width="10.85546875" style="213" customWidth="1"/>
    <col min="4876" max="4876" width="9.7109375" style="213" customWidth="1"/>
    <col min="4877" max="4877" width="10.5703125" style="213" customWidth="1"/>
    <col min="4878" max="4878" width="9.7109375" style="213" customWidth="1"/>
    <col min="4879" max="4879" width="12.28515625" style="213" customWidth="1"/>
    <col min="4880" max="4880" width="9.7109375" style="213" customWidth="1"/>
    <col min="4881" max="4881" width="12.140625" style="213" customWidth="1"/>
    <col min="4882" max="4882" width="9.7109375" style="213" customWidth="1"/>
    <col min="4883" max="4883" width="13" style="213" customWidth="1"/>
    <col min="4884" max="4884" width="9.7109375" style="213" customWidth="1"/>
    <col min="4885" max="4885" width="12.140625" style="213" customWidth="1"/>
    <col min="4886" max="4886" width="9.7109375" style="213" customWidth="1"/>
    <col min="4887" max="4887" width="13.28515625" style="213" customWidth="1"/>
    <col min="4888" max="4888" width="9.7109375" style="213" customWidth="1"/>
    <col min="4889" max="4889" width="11.85546875" style="213" customWidth="1"/>
    <col min="4890" max="4890" width="9.7109375" style="213" customWidth="1"/>
    <col min="4891" max="4891" width="12" style="213" customWidth="1"/>
    <col min="4892" max="4892" width="9.28515625" style="213" customWidth="1"/>
    <col min="4893" max="4893" width="12" style="213" customWidth="1"/>
    <col min="4894" max="4894" width="11.140625" style="213" customWidth="1"/>
    <col min="4895" max="4895" width="11.5703125" style="213" customWidth="1"/>
    <col min="4896" max="4896" width="10.5703125" style="213" customWidth="1"/>
    <col min="4897" max="5119" width="11.42578125" style="213"/>
    <col min="5120" max="5120" width="5.140625" style="213" customWidth="1"/>
    <col min="5121" max="5121" width="11" style="213" customWidth="1"/>
    <col min="5122" max="5122" width="67.7109375" style="213" customWidth="1"/>
    <col min="5123" max="5123" width="4.5703125" style="213" customWidth="1"/>
    <col min="5124" max="5124" width="10.140625" style="213" customWidth="1"/>
    <col min="5125" max="5125" width="9.7109375" style="213" customWidth="1"/>
    <col min="5126" max="5126" width="14" style="213" customWidth="1"/>
    <col min="5127" max="5127" width="13" style="213" customWidth="1"/>
    <col min="5128" max="5128" width="12.5703125" style="213" customWidth="1"/>
    <col min="5129" max="5129" width="11.42578125" style="213" customWidth="1"/>
    <col min="5130" max="5130" width="9.7109375" style="213" customWidth="1"/>
    <col min="5131" max="5131" width="10.85546875" style="213" customWidth="1"/>
    <col min="5132" max="5132" width="9.7109375" style="213" customWidth="1"/>
    <col min="5133" max="5133" width="10.5703125" style="213" customWidth="1"/>
    <col min="5134" max="5134" width="9.7109375" style="213" customWidth="1"/>
    <col min="5135" max="5135" width="12.28515625" style="213" customWidth="1"/>
    <col min="5136" max="5136" width="9.7109375" style="213" customWidth="1"/>
    <col min="5137" max="5137" width="12.140625" style="213" customWidth="1"/>
    <col min="5138" max="5138" width="9.7109375" style="213" customWidth="1"/>
    <col min="5139" max="5139" width="13" style="213" customWidth="1"/>
    <col min="5140" max="5140" width="9.7109375" style="213" customWidth="1"/>
    <col min="5141" max="5141" width="12.140625" style="213" customWidth="1"/>
    <col min="5142" max="5142" width="9.7109375" style="213" customWidth="1"/>
    <col min="5143" max="5143" width="13.28515625" style="213" customWidth="1"/>
    <col min="5144" max="5144" width="9.7109375" style="213" customWidth="1"/>
    <col min="5145" max="5145" width="11.85546875" style="213" customWidth="1"/>
    <col min="5146" max="5146" width="9.7109375" style="213" customWidth="1"/>
    <col min="5147" max="5147" width="12" style="213" customWidth="1"/>
    <col min="5148" max="5148" width="9.28515625" style="213" customWidth="1"/>
    <col min="5149" max="5149" width="12" style="213" customWidth="1"/>
    <col min="5150" max="5150" width="11.140625" style="213" customWidth="1"/>
    <col min="5151" max="5151" width="11.5703125" style="213" customWidth="1"/>
    <col min="5152" max="5152" width="10.5703125" style="213" customWidth="1"/>
    <col min="5153" max="5375" width="11.42578125" style="213"/>
    <col min="5376" max="5376" width="5.140625" style="213" customWidth="1"/>
    <col min="5377" max="5377" width="11" style="213" customWidth="1"/>
    <col min="5378" max="5378" width="67.7109375" style="213" customWidth="1"/>
    <col min="5379" max="5379" width="4.5703125" style="213" customWidth="1"/>
    <col min="5380" max="5380" width="10.140625" style="213" customWidth="1"/>
    <col min="5381" max="5381" width="9.7109375" style="213" customWidth="1"/>
    <col min="5382" max="5382" width="14" style="213" customWidth="1"/>
    <col min="5383" max="5383" width="13" style="213" customWidth="1"/>
    <col min="5384" max="5384" width="12.5703125" style="213" customWidth="1"/>
    <col min="5385" max="5385" width="11.42578125" style="213" customWidth="1"/>
    <col min="5386" max="5386" width="9.7109375" style="213" customWidth="1"/>
    <col min="5387" max="5387" width="10.85546875" style="213" customWidth="1"/>
    <col min="5388" max="5388" width="9.7109375" style="213" customWidth="1"/>
    <col min="5389" max="5389" width="10.5703125" style="213" customWidth="1"/>
    <col min="5390" max="5390" width="9.7109375" style="213" customWidth="1"/>
    <col min="5391" max="5391" width="12.28515625" style="213" customWidth="1"/>
    <col min="5392" max="5392" width="9.7109375" style="213" customWidth="1"/>
    <col min="5393" max="5393" width="12.140625" style="213" customWidth="1"/>
    <col min="5394" max="5394" width="9.7109375" style="213" customWidth="1"/>
    <col min="5395" max="5395" width="13" style="213" customWidth="1"/>
    <col min="5396" max="5396" width="9.7109375" style="213" customWidth="1"/>
    <col min="5397" max="5397" width="12.140625" style="213" customWidth="1"/>
    <col min="5398" max="5398" width="9.7109375" style="213" customWidth="1"/>
    <col min="5399" max="5399" width="13.28515625" style="213" customWidth="1"/>
    <col min="5400" max="5400" width="9.7109375" style="213" customWidth="1"/>
    <col min="5401" max="5401" width="11.85546875" style="213" customWidth="1"/>
    <col min="5402" max="5402" width="9.7109375" style="213" customWidth="1"/>
    <col min="5403" max="5403" width="12" style="213" customWidth="1"/>
    <col min="5404" max="5404" width="9.28515625" style="213" customWidth="1"/>
    <col min="5405" max="5405" width="12" style="213" customWidth="1"/>
    <col min="5406" max="5406" width="11.140625" style="213" customWidth="1"/>
    <col min="5407" max="5407" width="11.5703125" style="213" customWidth="1"/>
    <col min="5408" max="5408" width="10.5703125" style="213" customWidth="1"/>
    <col min="5409" max="5631" width="11.42578125" style="213"/>
    <col min="5632" max="5632" width="5.140625" style="213" customWidth="1"/>
    <col min="5633" max="5633" width="11" style="213" customWidth="1"/>
    <col min="5634" max="5634" width="67.7109375" style="213" customWidth="1"/>
    <col min="5635" max="5635" width="4.5703125" style="213" customWidth="1"/>
    <col min="5636" max="5636" width="10.140625" style="213" customWidth="1"/>
    <col min="5637" max="5637" width="9.7109375" style="213" customWidth="1"/>
    <col min="5638" max="5638" width="14" style="213" customWidth="1"/>
    <col min="5639" max="5639" width="13" style="213" customWidth="1"/>
    <col min="5640" max="5640" width="12.5703125" style="213" customWidth="1"/>
    <col min="5641" max="5641" width="11.42578125" style="213" customWidth="1"/>
    <col min="5642" max="5642" width="9.7109375" style="213" customWidth="1"/>
    <col min="5643" max="5643" width="10.85546875" style="213" customWidth="1"/>
    <col min="5644" max="5644" width="9.7109375" style="213" customWidth="1"/>
    <col min="5645" max="5645" width="10.5703125" style="213" customWidth="1"/>
    <col min="5646" max="5646" width="9.7109375" style="213" customWidth="1"/>
    <col min="5647" max="5647" width="12.28515625" style="213" customWidth="1"/>
    <col min="5648" max="5648" width="9.7109375" style="213" customWidth="1"/>
    <col min="5649" max="5649" width="12.140625" style="213" customWidth="1"/>
    <col min="5650" max="5650" width="9.7109375" style="213" customWidth="1"/>
    <col min="5651" max="5651" width="13" style="213" customWidth="1"/>
    <col min="5652" max="5652" width="9.7109375" style="213" customWidth="1"/>
    <col min="5653" max="5653" width="12.140625" style="213" customWidth="1"/>
    <col min="5654" max="5654" width="9.7109375" style="213" customWidth="1"/>
    <col min="5655" max="5655" width="13.28515625" style="213" customWidth="1"/>
    <col min="5656" max="5656" width="9.7109375" style="213" customWidth="1"/>
    <col min="5657" max="5657" width="11.85546875" style="213" customWidth="1"/>
    <col min="5658" max="5658" width="9.7109375" style="213" customWidth="1"/>
    <col min="5659" max="5659" width="12" style="213" customWidth="1"/>
    <col min="5660" max="5660" width="9.28515625" style="213" customWidth="1"/>
    <col min="5661" max="5661" width="12" style="213" customWidth="1"/>
    <col min="5662" max="5662" width="11.140625" style="213" customWidth="1"/>
    <col min="5663" max="5663" width="11.5703125" style="213" customWidth="1"/>
    <col min="5664" max="5664" width="10.5703125" style="213" customWidth="1"/>
    <col min="5665" max="5887" width="11.42578125" style="213"/>
    <col min="5888" max="5888" width="5.140625" style="213" customWidth="1"/>
    <col min="5889" max="5889" width="11" style="213" customWidth="1"/>
    <col min="5890" max="5890" width="67.7109375" style="213" customWidth="1"/>
    <col min="5891" max="5891" width="4.5703125" style="213" customWidth="1"/>
    <col min="5892" max="5892" width="10.140625" style="213" customWidth="1"/>
    <col min="5893" max="5893" width="9.7109375" style="213" customWidth="1"/>
    <col min="5894" max="5894" width="14" style="213" customWidth="1"/>
    <col min="5895" max="5895" width="13" style="213" customWidth="1"/>
    <col min="5896" max="5896" width="12.5703125" style="213" customWidth="1"/>
    <col min="5897" max="5897" width="11.42578125" style="213" customWidth="1"/>
    <col min="5898" max="5898" width="9.7109375" style="213" customWidth="1"/>
    <col min="5899" max="5899" width="10.85546875" style="213" customWidth="1"/>
    <col min="5900" max="5900" width="9.7109375" style="213" customWidth="1"/>
    <col min="5901" max="5901" width="10.5703125" style="213" customWidth="1"/>
    <col min="5902" max="5902" width="9.7109375" style="213" customWidth="1"/>
    <col min="5903" max="5903" width="12.28515625" style="213" customWidth="1"/>
    <col min="5904" max="5904" width="9.7109375" style="213" customWidth="1"/>
    <col min="5905" max="5905" width="12.140625" style="213" customWidth="1"/>
    <col min="5906" max="5906" width="9.7109375" style="213" customWidth="1"/>
    <col min="5907" max="5907" width="13" style="213" customWidth="1"/>
    <col min="5908" max="5908" width="9.7109375" style="213" customWidth="1"/>
    <col min="5909" max="5909" width="12.140625" style="213" customWidth="1"/>
    <col min="5910" max="5910" width="9.7109375" style="213" customWidth="1"/>
    <col min="5911" max="5911" width="13.28515625" style="213" customWidth="1"/>
    <col min="5912" max="5912" width="9.7109375" style="213" customWidth="1"/>
    <col min="5913" max="5913" width="11.85546875" style="213" customWidth="1"/>
    <col min="5914" max="5914" width="9.7109375" style="213" customWidth="1"/>
    <col min="5915" max="5915" width="12" style="213" customWidth="1"/>
    <col min="5916" max="5916" width="9.28515625" style="213" customWidth="1"/>
    <col min="5917" max="5917" width="12" style="213" customWidth="1"/>
    <col min="5918" max="5918" width="11.140625" style="213" customWidth="1"/>
    <col min="5919" max="5919" width="11.5703125" style="213" customWidth="1"/>
    <col min="5920" max="5920" width="10.5703125" style="213" customWidth="1"/>
    <col min="5921" max="6143" width="11.42578125" style="213"/>
    <col min="6144" max="6144" width="5.140625" style="213" customWidth="1"/>
    <col min="6145" max="6145" width="11" style="213" customWidth="1"/>
    <col min="6146" max="6146" width="67.7109375" style="213" customWidth="1"/>
    <col min="6147" max="6147" width="4.5703125" style="213" customWidth="1"/>
    <col min="6148" max="6148" width="10.140625" style="213" customWidth="1"/>
    <col min="6149" max="6149" width="9.7109375" style="213" customWidth="1"/>
    <col min="6150" max="6150" width="14" style="213" customWidth="1"/>
    <col min="6151" max="6151" width="13" style="213" customWidth="1"/>
    <col min="6152" max="6152" width="12.5703125" style="213" customWidth="1"/>
    <col min="6153" max="6153" width="11.42578125" style="213" customWidth="1"/>
    <col min="6154" max="6154" width="9.7109375" style="213" customWidth="1"/>
    <col min="6155" max="6155" width="10.85546875" style="213" customWidth="1"/>
    <col min="6156" max="6156" width="9.7109375" style="213" customWidth="1"/>
    <col min="6157" max="6157" width="10.5703125" style="213" customWidth="1"/>
    <col min="6158" max="6158" width="9.7109375" style="213" customWidth="1"/>
    <col min="6159" max="6159" width="12.28515625" style="213" customWidth="1"/>
    <col min="6160" max="6160" width="9.7109375" style="213" customWidth="1"/>
    <col min="6161" max="6161" width="12.140625" style="213" customWidth="1"/>
    <col min="6162" max="6162" width="9.7109375" style="213" customWidth="1"/>
    <col min="6163" max="6163" width="13" style="213" customWidth="1"/>
    <col min="6164" max="6164" width="9.7109375" style="213" customWidth="1"/>
    <col min="6165" max="6165" width="12.140625" style="213" customWidth="1"/>
    <col min="6166" max="6166" width="9.7109375" style="213" customWidth="1"/>
    <col min="6167" max="6167" width="13.28515625" style="213" customWidth="1"/>
    <col min="6168" max="6168" width="9.7109375" style="213" customWidth="1"/>
    <col min="6169" max="6169" width="11.85546875" style="213" customWidth="1"/>
    <col min="6170" max="6170" width="9.7109375" style="213" customWidth="1"/>
    <col min="6171" max="6171" width="12" style="213" customWidth="1"/>
    <col min="6172" max="6172" width="9.28515625" style="213" customWidth="1"/>
    <col min="6173" max="6173" width="12" style="213" customWidth="1"/>
    <col min="6174" max="6174" width="11.140625" style="213" customWidth="1"/>
    <col min="6175" max="6175" width="11.5703125" style="213" customWidth="1"/>
    <col min="6176" max="6176" width="10.5703125" style="213" customWidth="1"/>
    <col min="6177" max="6399" width="11.42578125" style="213"/>
    <col min="6400" max="6400" width="5.140625" style="213" customWidth="1"/>
    <col min="6401" max="6401" width="11" style="213" customWidth="1"/>
    <col min="6402" max="6402" width="67.7109375" style="213" customWidth="1"/>
    <col min="6403" max="6403" width="4.5703125" style="213" customWidth="1"/>
    <col min="6404" max="6404" width="10.140625" style="213" customWidth="1"/>
    <col min="6405" max="6405" width="9.7109375" style="213" customWidth="1"/>
    <col min="6406" max="6406" width="14" style="213" customWidth="1"/>
    <col min="6407" max="6407" width="13" style="213" customWidth="1"/>
    <col min="6408" max="6408" width="12.5703125" style="213" customWidth="1"/>
    <col min="6409" max="6409" width="11.42578125" style="213" customWidth="1"/>
    <col min="6410" max="6410" width="9.7109375" style="213" customWidth="1"/>
    <col min="6411" max="6411" width="10.85546875" style="213" customWidth="1"/>
    <col min="6412" max="6412" width="9.7109375" style="213" customWidth="1"/>
    <col min="6413" max="6413" width="10.5703125" style="213" customWidth="1"/>
    <col min="6414" max="6414" width="9.7109375" style="213" customWidth="1"/>
    <col min="6415" max="6415" width="12.28515625" style="213" customWidth="1"/>
    <col min="6416" max="6416" width="9.7109375" style="213" customWidth="1"/>
    <col min="6417" max="6417" width="12.140625" style="213" customWidth="1"/>
    <col min="6418" max="6418" width="9.7109375" style="213" customWidth="1"/>
    <col min="6419" max="6419" width="13" style="213" customWidth="1"/>
    <col min="6420" max="6420" width="9.7109375" style="213" customWidth="1"/>
    <col min="6421" max="6421" width="12.140625" style="213" customWidth="1"/>
    <col min="6422" max="6422" width="9.7109375" style="213" customWidth="1"/>
    <col min="6423" max="6423" width="13.28515625" style="213" customWidth="1"/>
    <col min="6424" max="6424" width="9.7109375" style="213" customWidth="1"/>
    <col min="6425" max="6425" width="11.85546875" style="213" customWidth="1"/>
    <col min="6426" max="6426" width="9.7109375" style="213" customWidth="1"/>
    <col min="6427" max="6427" width="12" style="213" customWidth="1"/>
    <col min="6428" max="6428" width="9.28515625" style="213" customWidth="1"/>
    <col min="6429" max="6429" width="12" style="213" customWidth="1"/>
    <col min="6430" max="6430" width="11.140625" style="213" customWidth="1"/>
    <col min="6431" max="6431" width="11.5703125" style="213" customWidth="1"/>
    <col min="6432" max="6432" width="10.5703125" style="213" customWidth="1"/>
    <col min="6433" max="6655" width="11.42578125" style="213"/>
    <col min="6656" max="6656" width="5.140625" style="213" customWidth="1"/>
    <col min="6657" max="6657" width="11" style="213" customWidth="1"/>
    <col min="6658" max="6658" width="67.7109375" style="213" customWidth="1"/>
    <col min="6659" max="6659" width="4.5703125" style="213" customWidth="1"/>
    <col min="6660" max="6660" width="10.140625" style="213" customWidth="1"/>
    <col min="6661" max="6661" width="9.7109375" style="213" customWidth="1"/>
    <col min="6662" max="6662" width="14" style="213" customWidth="1"/>
    <col min="6663" max="6663" width="13" style="213" customWidth="1"/>
    <col min="6664" max="6664" width="12.5703125" style="213" customWidth="1"/>
    <col min="6665" max="6665" width="11.42578125" style="213" customWidth="1"/>
    <col min="6666" max="6666" width="9.7109375" style="213" customWidth="1"/>
    <col min="6667" max="6667" width="10.85546875" style="213" customWidth="1"/>
    <col min="6668" max="6668" width="9.7109375" style="213" customWidth="1"/>
    <col min="6669" max="6669" width="10.5703125" style="213" customWidth="1"/>
    <col min="6670" max="6670" width="9.7109375" style="213" customWidth="1"/>
    <col min="6671" max="6671" width="12.28515625" style="213" customWidth="1"/>
    <col min="6672" max="6672" width="9.7109375" style="213" customWidth="1"/>
    <col min="6673" max="6673" width="12.140625" style="213" customWidth="1"/>
    <col min="6674" max="6674" width="9.7109375" style="213" customWidth="1"/>
    <col min="6675" max="6675" width="13" style="213" customWidth="1"/>
    <col min="6676" max="6676" width="9.7109375" style="213" customWidth="1"/>
    <col min="6677" max="6677" width="12.140625" style="213" customWidth="1"/>
    <col min="6678" max="6678" width="9.7109375" style="213" customWidth="1"/>
    <col min="6679" max="6679" width="13.28515625" style="213" customWidth="1"/>
    <col min="6680" max="6680" width="9.7109375" style="213" customWidth="1"/>
    <col min="6681" max="6681" width="11.85546875" style="213" customWidth="1"/>
    <col min="6682" max="6682" width="9.7109375" style="213" customWidth="1"/>
    <col min="6683" max="6683" width="12" style="213" customWidth="1"/>
    <col min="6684" max="6684" width="9.28515625" style="213" customWidth="1"/>
    <col min="6685" max="6685" width="12" style="213" customWidth="1"/>
    <col min="6686" max="6686" width="11.140625" style="213" customWidth="1"/>
    <col min="6687" max="6687" width="11.5703125" style="213" customWidth="1"/>
    <col min="6688" max="6688" width="10.5703125" style="213" customWidth="1"/>
    <col min="6689" max="6911" width="11.42578125" style="213"/>
    <col min="6912" max="6912" width="5.140625" style="213" customWidth="1"/>
    <col min="6913" max="6913" width="11" style="213" customWidth="1"/>
    <col min="6914" max="6914" width="67.7109375" style="213" customWidth="1"/>
    <col min="6915" max="6915" width="4.5703125" style="213" customWidth="1"/>
    <col min="6916" max="6916" width="10.140625" style="213" customWidth="1"/>
    <col min="6917" max="6917" width="9.7109375" style="213" customWidth="1"/>
    <col min="6918" max="6918" width="14" style="213" customWidth="1"/>
    <col min="6919" max="6919" width="13" style="213" customWidth="1"/>
    <col min="6920" max="6920" width="12.5703125" style="213" customWidth="1"/>
    <col min="6921" max="6921" width="11.42578125" style="213" customWidth="1"/>
    <col min="6922" max="6922" width="9.7109375" style="213" customWidth="1"/>
    <col min="6923" max="6923" width="10.85546875" style="213" customWidth="1"/>
    <col min="6924" max="6924" width="9.7109375" style="213" customWidth="1"/>
    <col min="6925" max="6925" width="10.5703125" style="213" customWidth="1"/>
    <col min="6926" max="6926" width="9.7109375" style="213" customWidth="1"/>
    <col min="6927" max="6927" width="12.28515625" style="213" customWidth="1"/>
    <col min="6928" max="6928" width="9.7109375" style="213" customWidth="1"/>
    <col min="6929" max="6929" width="12.140625" style="213" customWidth="1"/>
    <col min="6930" max="6930" width="9.7109375" style="213" customWidth="1"/>
    <col min="6931" max="6931" width="13" style="213" customWidth="1"/>
    <col min="6932" max="6932" width="9.7109375" style="213" customWidth="1"/>
    <col min="6933" max="6933" width="12.140625" style="213" customWidth="1"/>
    <col min="6934" max="6934" width="9.7109375" style="213" customWidth="1"/>
    <col min="6935" max="6935" width="13.28515625" style="213" customWidth="1"/>
    <col min="6936" max="6936" width="9.7109375" style="213" customWidth="1"/>
    <col min="6937" max="6937" width="11.85546875" style="213" customWidth="1"/>
    <col min="6938" max="6938" width="9.7109375" style="213" customWidth="1"/>
    <col min="6939" max="6939" width="12" style="213" customWidth="1"/>
    <col min="6940" max="6940" width="9.28515625" style="213" customWidth="1"/>
    <col min="6941" max="6941" width="12" style="213" customWidth="1"/>
    <col min="6942" max="6942" width="11.140625" style="213" customWidth="1"/>
    <col min="6943" max="6943" width="11.5703125" style="213" customWidth="1"/>
    <col min="6944" max="6944" width="10.5703125" style="213" customWidth="1"/>
    <col min="6945" max="7167" width="11.42578125" style="213"/>
    <col min="7168" max="7168" width="5.140625" style="213" customWidth="1"/>
    <col min="7169" max="7169" width="11" style="213" customWidth="1"/>
    <col min="7170" max="7170" width="67.7109375" style="213" customWidth="1"/>
    <col min="7171" max="7171" width="4.5703125" style="213" customWidth="1"/>
    <col min="7172" max="7172" width="10.140625" style="213" customWidth="1"/>
    <col min="7173" max="7173" width="9.7109375" style="213" customWidth="1"/>
    <col min="7174" max="7174" width="14" style="213" customWidth="1"/>
    <col min="7175" max="7175" width="13" style="213" customWidth="1"/>
    <col min="7176" max="7176" width="12.5703125" style="213" customWidth="1"/>
    <col min="7177" max="7177" width="11.42578125" style="213" customWidth="1"/>
    <col min="7178" max="7178" width="9.7109375" style="213" customWidth="1"/>
    <col min="7179" max="7179" width="10.85546875" style="213" customWidth="1"/>
    <col min="7180" max="7180" width="9.7109375" style="213" customWidth="1"/>
    <col min="7181" max="7181" width="10.5703125" style="213" customWidth="1"/>
    <col min="7182" max="7182" width="9.7109375" style="213" customWidth="1"/>
    <col min="7183" max="7183" width="12.28515625" style="213" customWidth="1"/>
    <col min="7184" max="7184" width="9.7109375" style="213" customWidth="1"/>
    <col min="7185" max="7185" width="12.140625" style="213" customWidth="1"/>
    <col min="7186" max="7186" width="9.7109375" style="213" customWidth="1"/>
    <col min="7187" max="7187" width="13" style="213" customWidth="1"/>
    <col min="7188" max="7188" width="9.7109375" style="213" customWidth="1"/>
    <col min="7189" max="7189" width="12.140625" style="213" customWidth="1"/>
    <col min="7190" max="7190" width="9.7109375" style="213" customWidth="1"/>
    <col min="7191" max="7191" width="13.28515625" style="213" customWidth="1"/>
    <col min="7192" max="7192" width="9.7109375" style="213" customWidth="1"/>
    <col min="7193" max="7193" width="11.85546875" style="213" customWidth="1"/>
    <col min="7194" max="7194" width="9.7109375" style="213" customWidth="1"/>
    <col min="7195" max="7195" width="12" style="213" customWidth="1"/>
    <col min="7196" max="7196" width="9.28515625" style="213" customWidth="1"/>
    <col min="7197" max="7197" width="12" style="213" customWidth="1"/>
    <col min="7198" max="7198" width="11.140625" style="213" customWidth="1"/>
    <col min="7199" max="7199" width="11.5703125" style="213" customWidth="1"/>
    <col min="7200" max="7200" width="10.5703125" style="213" customWidth="1"/>
    <col min="7201" max="7423" width="11.42578125" style="213"/>
    <col min="7424" max="7424" width="5.140625" style="213" customWidth="1"/>
    <col min="7425" max="7425" width="11" style="213" customWidth="1"/>
    <col min="7426" max="7426" width="67.7109375" style="213" customWidth="1"/>
    <col min="7427" max="7427" width="4.5703125" style="213" customWidth="1"/>
    <col min="7428" max="7428" width="10.140625" style="213" customWidth="1"/>
    <col min="7429" max="7429" width="9.7109375" style="213" customWidth="1"/>
    <col min="7430" max="7430" width="14" style="213" customWidth="1"/>
    <col min="7431" max="7431" width="13" style="213" customWidth="1"/>
    <col min="7432" max="7432" width="12.5703125" style="213" customWidth="1"/>
    <col min="7433" max="7433" width="11.42578125" style="213" customWidth="1"/>
    <col min="7434" max="7434" width="9.7109375" style="213" customWidth="1"/>
    <col min="7435" max="7435" width="10.85546875" style="213" customWidth="1"/>
    <col min="7436" max="7436" width="9.7109375" style="213" customWidth="1"/>
    <col min="7437" max="7437" width="10.5703125" style="213" customWidth="1"/>
    <col min="7438" max="7438" width="9.7109375" style="213" customWidth="1"/>
    <col min="7439" max="7439" width="12.28515625" style="213" customWidth="1"/>
    <col min="7440" max="7440" width="9.7109375" style="213" customWidth="1"/>
    <col min="7441" max="7441" width="12.140625" style="213" customWidth="1"/>
    <col min="7442" max="7442" width="9.7109375" style="213" customWidth="1"/>
    <col min="7443" max="7443" width="13" style="213" customWidth="1"/>
    <col min="7444" max="7444" width="9.7109375" style="213" customWidth="1"/>
    <col min="7445" max="7445" width="12.140625" style="213" customWidth="1"/>
    <col min="7446" max="7446" width="9.7109375" style="213" customWidth="1"/>
    <col min="7447" max="7447" width="13.28515625" style="213" customWidth="1"/>
    <col min="7448" max="7448" width="9.7109375" style="213" customWidth="1"/>
    <col min="7449" max="7449" width="11.85546875" style="213" customWidth="1"/>
    <col min="7450" max="7450" width="9.7109375" style="213" customWidth="1"/>
    <col min="7451" max="7451" width="12" style="213" customWidth="1"/>
    <col min="7452" max="7452" width="9.28515625" style="213" customWidth="1"/>
    <col min="7453" max="7453" width="12" style="213" customWidth="1"/>
    <col min="7454" max="7454" width="11.140625" style="213" customWidth="1"/>
    <col min="7455" max="7455" width="11.5703125" style="213" customWidth="1"/>
    <col min="7456" max="7456" width="10.5703125" style="213" customWidth="1"/>
    <col min="7457" max="7679" width="11.42578125" style="213"/>
    <col min="7680" max="7680" width="5.140625" style="213" customWidth="1"/>
    <col min="7681" max="7681" width="11" style="213" customWidth="1"/>
    <col min="7682" max="7682" width="67.7109375" style="213" customWidth="1"/>
    <col min="7683" max="7683" width="4.5703125" style="213" customWidth="1"/>
    <col min="7684" max="7684" width="10.140625" style="213" customWidth="1"/>
    <col min="7685" max="7685" width="9.7109375" style="213" customWidth="1"/>
    <col min="7686" max="7686" width="14" style="213" customWidth="1"/>
    <col min="7687" max="7687" width="13" style="213" customWidth="1"/>
    <col min="7688" max="7688" width="12.5703125" style="213" customWidth="1"/>
    <col min="7689" max="7689" width="11.42578125" style="213" customWidth="1"/>
    <col min="7690" max="7690" width="9.7109375" style="213" customWidth="1"/>
    <col min="7691" max="7691" width="10.85546875" style="213" customWidth="1"/>
    <col min="7692" max="7692" width="9.7109375" style="213" customWidth="1"/>
    <col min="7693" max="7693" width="10.5703125" style="213" customWidth="1"/>
    <col min="7694" max="7694" width="9.7109375" style="213" customWidth="1"/>
    <col min="7695" max="7695" width="12.28515625" style="213" customWidth="1"/>
    <col min="7696" max="7696" width="9.7109375" style="213" customWidth="1"/>
    <col min="7697" max="7697" width="12.140625" style="213" customWidth="1"/>
    <col min="7698" max="7698" width="9.7109375" style="213" customWidth="1"/>
    <col min="7699" max="7699" width="13" style="213" customWidth="1"/>
    <col min="7700" max="7700" width="9.7109375" style="213" customWidth="1"/>
    <col min="7701" max="7701" width="12.140625" style="213" customWidth="1"/>
    <col min="7702" max="7702" width="9.7109375" style="213" customWidth="1"/>
    <col min="7703" max="7703" width="13.28515625" style="213" customWidth="1"/>
    <col min="7704" max="7704" width="9.7109375" style="213" customWidth="1"/>
    <col min="7705" max="7705" width="11.85546875" style="213" customWidth="1"/>
    <col min="7706" max="7706" width="9.7109375" style="213" customWidth="1"/>
    <col min="7707" max="7707" width="12" style="213" customWidth="1"/>
    <col min="7708" max="7708" width="9.28515625" style="213" customWidth="1"/>
    <col min="7709" max="7709" width="12" style="213" customWidth="1"/>
    <col min="7710" max="7710" width="11.140625" style="213" customWidth="1"/>
    <col min="7711" max="7711" width="11.5703125" style="213" customWidth="1"/>
    <col min="7712" max="7712" width="10.5703125" style="213" customWidth="1"/>
    <col min="7713" max="7935" width="11.42578125" style="213"/>
    <col min="7936" max="7936" width="5.140625" style="213" customWidth="1"/>
    <col min="7937" max="7937" width="11" style="213" customWidth="1"/>
    <col min="7938" max="7938" width="67.7109375" style="213" customWidth="1"/>
    <col min="7939" max="7939" width="4.5703125" style="213" customWidth="1"/>
    <col min="7940" max="7940" width="10.140625" style="213" customWidth="1"/>
    <col min="7941" max="7941" width="9.7109375" style="213" customWidth="1"/>
    <col min="7942" max="7942" width="14" style="213" customWidth="1"/>
    <col min="7943" max="7943" width="13" style="213" customWidth="1"/>
    <col min="7944" max="7944" width="12.5703125" style="213" customWidth="1"/>
    <col min="7945" max="7945" width="11.42578125" style="213" customWidth="1"/>
    <col min="7946" max="7946" width="9.7109375" style="213" customWidth="1"/>
    <col min="7947" max="7947" width="10.85546875" style="213" customWidth="1"/>
    <col min="7948" max="7948" width="9.7109375" style="213" customWidth="1"/>
    <col min="7949" max="7949" width="10.5703125" style="213" customWidth="1"/>
    <col min="7950" max="7950" width="9.7109375" style="213" customWidth="1"/>
    <col min="7951" max="7951" width="12.28515625" style="213" customWidth="1"/>
    <col min="7952" max="7952" width="9.7109375" style="213" customWidth="1"/>
    <col min="7953" max="7953" width="12.140625" style="213" customWidth="1"/>
    <col min="7954" max="7954" width="9.7109375" style="213" customWidth="1"/>
    <col min="7955" max="7955" width="13" style="213" customWidth="1"/>
    <col min="7956" max="7956" width="9.7109375" style="213" customWidth="1"/>
    <col min="7957" max="7957" width="12.140625" style="213" customWidth="1"/>
    <col min="7958" max="7958" width="9.7109375" style="213" customWidth="1"/>
    <col min="7959" max="7959" width="13.28515625" style="213" customWidth="1"/>
    <col min="7960" max="7960" width="9.7109375" style="213" customWidth="1"/>
    <col min="7961" max="7961" width="11.85546875" style="213" customWidth="1"/>
    <col min="7962" max="7962" width="9.7109375" style="213" customWidth="1"/>
    <col min="7963" max="7963" width="12" style="213" customWidth="1"/>
    <col min="7964" max="7964" width="9.28515625" style="213" customWidth="1"/>
    <col min="7965" max="7965" width="12" style="213" customWidth="1"/>
    <col min="7966" max="7966" width="11.140625" style="213" customWidth="1"/>
    <col min="7967" max="7967" width="11.5703125" style="213" customWidth="1"/>
    <col min="7968" max="7968" width="10.5703125" style="213" customWidth="1"/>
    <col min="7969" max="8191" width="11.42578125" style="213"/>
    <col min="8192" max="8192" width="5.140625" style="213" customWidth="1"/>
    <col min="8193" max="8193" width="11" style="213" customWidth="1"/>
    <col min="8194" max="8194" width="67.7109375" style="213" customWidth="1"/>
    <col min="8195" max="8195" width="4.5703125" style="213" customWidth="1"/>
    <col min="8196" max="8196" width="10.140625" style="213" customWidth="1"/>
    <col min="8197" max="8197" width="9.7109375" style="213" customWidth="1"/>
    <col min="8198" max="8198" width="14" style="213" customWidth="1"/>
    <col min="8199" max="8199" width="13" style="213" customWidth="1"/>
    <col min="8200" max="8200" width="12.5703125" style="213" customWidth="1"/>
    <col min="8201" max="8201" width="11.42578125" style="213" customWidth="1"/>
    <col min="8202" max="8202" width="9.7109375" style="213" customWidth="1"/>
    <col min="8203" max="8203" width="10.85546875" style="213" customWidth="1"/>
    <col min="8204" max="8204" width="9.7109375" style="213" customWidth="1"/>
    <col min="8205" max="8205" width="10.5703125" style="213" customWidth="1"/>
    <col min="8206" max="8206" width="9.7109375" style="213" customWidth="1"/>
    <col min="8207" max="8207" width="12.28515625" style="213" customWidth="1"/>
    <col min="8208" max="8208" width="9.7109375" style="213" customWidth="1"/>
    <col min="8209" max="8209" width="12.140625" style="213" customWidth="1"/>
    <col min="8210" max="8210" width="9.7109375" style="213" customWidth="1"/>
    <col min="8211" max="8211" width="13" style="213" customWidth="1"/>
    <col min="8212" max="8212" width="9.7109375" style="213" customWidth="1"/>
    <col min="8213" max="8213" width="12.140625" style="213" customWidth="1"/>
    <col min="8214" max="8214" width="9.7109375" style="213" customWidth="1"/>
    <col min="8215" max="8215" width="13.28515625" style="213" customWidth="1"/>
    <col min="8216" max="8216" width="9.7109375" style="213" customWidth="1"/>
    <col min="8217" max="8217" width="11.85546875" style="213" customWidth="1"/>
    <col min="8218" max="8218" width="9.7109375" style="213" customWidth="1"/>
    <col min="8219" max="8219" width="12" style="213" customWidth="1"/>
    <col min="8220" max="8220" width="9.28515625" style="213" customWidth="1"/>
    <col min="8221" max="8221" width="12" style="213" customWidth="1"/>
    <col min="8222" max="8222" width="11.140625" style="213" customWidth="1"/>
    <col min="8223" max="8223" width="11.5703125" style="213" customWidth="1"/>
    <col min="8224" max="8224" width="10.5703125" style="213" customWidth="1"/>
    <col min="8225" max="8447" width="11.42578125" style="213"/>
    <col min="8448" max="8448" width="5.140625" style="213" customWidth="1"/>
    <col min="8449" max="8449" width="11" style="213" customWidth="1"/>
    <col min="8450" max="8450" width="67.7109375" style="213" customWidth="1"/>
    <col min="8451" max="8451" width="4.5703125" style="213" customWidth="1"/>
    <col min="8452" max="8452" width="10.140625" style="213" customWidth="1"/>
    <col min="8453" max="8453" width="9.7109375" style="213" customWidth="1"/>
    <col min="8454" max="8454" width="14" style="213" customWidth="1"/>
    <col min="8455" max="8455" width="13" style="213" customWidth="1"/>
    <col min="8456" max="8456" width="12.5703125" style="213" customWidth="1"/>
    <col min="8457" max="8457" width="11.42578125" style="213" customWidth="1"/>
    <col min="8458" max="8458" width="9.7109375" style="213" customWidth="1"/>
    <col min="8459" max="8459" width="10.85546875" style="213" customWidth="1"/>
    <col min="8460" max="8460" width="9.7109375" style="213" customWidth="1"/>
    <col min="8461" max="8461" width="10.5703125" style="213" customWidth="1"/>
    <col min="8462" max="8462" width="9.7109375" style="213" customWidth="1"/>
    <col min="8463" max="8463" width="12.28515625" style="213" customWidth="1"/>
    <col min="8464" max="8464" width="9.7109375" style="213" customWidth="1"/>
    <col min="8465" max="8465" width="12.140625" style="213" customWidth="1"/>
    <col min="8466" max="8466" width="9.7109375" style="213" customWidth="1"/>
    <col min="8467" max="8467" width="13" style="213" customWidth="1"/>
    <col min="8468" max="8468" width="9.7109375" style="213" customWidth="1"/>
    <col min="8469" max="8469" width="12.140625" style="213" customWidth="1"/>
    <col min="8470" max="8470" width="9.7109375" style="213" customWidth="1"/>
    <col min="8471" max="8471" width="13.28515625" style="213" customWidth="1"/>
    <col min="8472" max="8472" width="9.7109375" style="213" customWidth="1"/>
    <col min="8473" max="8473" width="11.85546875" style="213" customWidth="1"/>
    <col min="8474" max="8474" width="9.7109375" style="213" customWidth="1"/>
    <col min="8475" max="8475" width="12" style="213" customWidth="1"/>
    <col min="8476" max="8476" width="9.28515625" style="213" customWidth="1"/>
    <col min="8477" max="8477" width="12" style="213" customWidth="1"/>
    <col min="8478" max="8478" width="11.140625" style="213" customWidth="1"/>
    <col min="8479" max="8479" width="11.5703125" style="213" customWidth="1"/>
    <col min="8480" max="8480" width="10.5703125" style="213" customWidth="1"/>
    <col min="8481" max="8703" width="11.42578125" style="213"/>
    <col min="8704" max="8704" width="5.140625" style="213" customWidth="1"/>
    <col min="8705" max="8705" width="11" style="213" customWidth="1"/>
    <col min="8706" max="8706" width="67.7109375" style="213" customWidth="1"/>
    <col min="8707" max="8707" width="4.5703125" style="213" customWidth="1"/>
    <col min="8708" max="8708" width="10.140625" style="213" customWidth="1"/>
    <col min="8709" max="8709" width="9.7109375" style="213" customWidth="1"/>
    <col min="8710" max="8710" width="14" style="213" customWidth="1"/>
    <col min="8711" max="8711" width="13" style="213" customWidth="1"/>
    <col min="8712" max="8712" width="12.5703125" style="213" customWidth="1"/>
    <col min="8713" max="8713" width="11.42578125" style="213" customWidth="1"/>
    <col min="8714" max="8714" width="9.7109375" style="213" customWidth="1"/>
    <col min="8715" max="8715" width="10.85546875" style="213" customWidth="1"/>
    <col min="8716" max="8716" width="9.7109375" style="213" customWidth="1"/>
    <col min="8717" max="8717" width="10.5703125" style="213" customWidth="1"/>
    <col min="8718" max="8718" width="9.7109375" style="213" customWidth="1"/>
    <col min="8719" max="8719" width="12.28515625" style="213" customWidth="1"/>
    <col min="8720" max="8720" width="9.7109375" style="213" customWidth="1"/>
    <col min="8721" max="8721" width="12.140625" style="213" customWidth="1"/>
    <col min="8722" max="8722" width="9.7109375" style="213" customWidth="1"/>
    <col min="8723" max="8723" width="13" style="213" customWidth="1"/>
    <col min="8724" max="8724" width="9.7109375" style="213" customWidth="1"/>
    <col min="8725" max="8725" width="12.140625" style="213" customWidth="1"/>
    <col min="8726" max="8726" width="9.7109375" style="213" customWidth="1"/>
    <col min="8727" max="8727" width="13.28515625" style="213" customWidth="1"/>
    <col min="8728" max="8728" width="9.7109375" style="213" customWidth="1"/>
    <col min="8729" max="8729" width="11.85546875" style="213" customWidth="1"/>
    <col min="8730" max="8730" width="9.7109375" style="213" customWidth="1"/>
    <col min="8731" max="8731" width="12" style="213" customWidth="1"/>
    <col min="8732" max="8732" width="9.28515625" style="213" customWidth="1"/>
    <col min="8733" max="8733" width="12" style="213" customWidth="1"/>
    <col min="8734" max="8734" width="11.140625" style="213" customWidth="1"/>
    <col min="8735" max="8735" width="11.5703125" style="213" customWidth="1"/>
    <col min="8736" max="8736" width="10.5703125" style="213" customWidth="1"/>
    <col min="8737" max="8959" width="11.42578125" style="213"/>
    <col min="8960" max="8960" width="5.140625" style="213" customWidth="1"/>
    <col min="8961" max="8961" width="11" style="213" customWidth="1"/>
    <col min="8962" max="8962" width="67.7109375" style="213" customWidth="1"/>
    <col min="8963" max="8963" width="4.5703125" style="213" customWidth="1"/>
    <col min="8964" max="8964" width="10.140625" style="213" customWidth="1"/>
    <col min="8965" max="8965" width="9.7109375" style="213" customWidth="1"/>
    <col min="8966" max="8966" width="14" style="213" customWidth="1"/>
    <col min="8967" max="8967" width="13" style="213" customWidth="1"/>
    <col min="8968" max="8968" width="12.5703125" style="213" customWidth="1"/>
    <col min="8969" max="8969" width="11.42578125" style="213" customWidth="1"/>
    <col min="8970" max="8970" width="9.7109375" style="213" customWidth="1"/>
    <col min="8971" max="8971" width="10.85546875" style="213" customWidth="1"/>
    <col min="8972" max="8972" width="9.7109375" style="213" customWidth="1"/>
    <col min="8973" max="8973" width="10.5703125" style="213" customWidth="1"/>
    <col min="8974" max="8974" width="9.7109375" style="213" customWidth="1"/>
    <col min="8975" max="8975" width="12.28515625" style="213" customWidth="1"/>
    <col min="8976" max="8976" width="9.7109375" style="213" customWidth="1"/>
    <col min="8977" max="8977" width="12.140625" style="213" customWidth="1"/>
    <col min="8978" max="8978" width="9.7109375" style="213" customWidth="1"/>
    <col min="8979" max="8979" width="13" style="213" customWidth="1"/>
    <col min="8980" max="8980" width="9.7109375" style="213" customWidth="1"/>
    <col min="8981" max="8981" width="12.140625" style="213" customWidth="1"/>
    <col min="8982" max="8982" width="9.7109375" style="213" customWidth="1"/>
    <col min="8983" max="8983" width="13.28515625" style="213" customWidth="1"/>
    <col min="8984" max="8984" width="9.7109375" style="213" customWidth="1"/>
    <col min="8985" max="8985" width="11.85546875" style="213" customWidth="1"/>
    <col min="8986" max="8986" width="9.7109375" style="213" customWidth="1"/>
    <col min="8987" max="8987" width="12" style="213" customWidth="1"/>
    <col min="8988" max="8988" width="9.28515625" style="213" customWidth="1"/>
    <col min="8989" max="8989" width="12" style="213" customWidth="1"/>
    <col min="8990" max="8990" width="11.140625" style="213" customWidth="1"/>
    <col min="8991" max="8991" width="11.5703125" style="213" customWidth="1"/>
    <col min="8992" max="8992" width="10.5703125" style="213" customWidth="1"/>
    <col min="8993" max="9215" width="11.42578125" style="213"/>
    <col min="9216" max="9216" width="5.140625" style="213" customWidth="1"/>
    <col min="9217" max="9217" width="11" style="213" customWidth="1"/>
    <col min="9218" max="9218" width="67.7109375" style="213" customWidth="1"/>
    <col min="9219" max="9219" width="4.5703125" style="213" customWidth="1"/>
    <col min="9220" max="9220" width="10.140625" style="213" customWidth="1"/>
    <col min="9221" max="9221" width="9.7109375" style="213" customWidth="1"/>
    <col min="9222" max="9222" width="14" style="213" customWidth="1"/>
    <col min="9223" max="9223" width="13" style="213" customWidth="1"/>
    <col min="9224" max="9224" width="12.5703125" style="213" customWidth="1"/>
    <col min="9225" max="9225" width="11.42578125" style="213" customWidth="1"/>
    <col min="9226" max="9226" width="9.7109375" style="213" customWidth="1"/>
    <col min="9227" max="9227" width="10.85546875" style="213" customWidth="1"/>
    <col min="9228" max="9228" width="9.7109375" style="213" customWidth="1"/>
    <col min="9229" max="9229" width="10.5703125" style="213" customWidth="1"/>
    <col min="9230" max="9230" width="9.7109375" style="213" customWidth="1"/>
    <col min="9231" max="9231" width="12.28515625" style="213" customWidth="1"/>
    <col min="9232" max="9232" width="9.7109375" style="213" customWidth="1"/>
    <col min="9233" max="9233" width="12.140625" style="213" customWidth="1"/>
    <col min="9234" max="9234" width="9.7109375" style="213" customWidth="1"/>
    <col min="9235" max="9235" width="13" style="213" customWidth="1"/>
    <col min="9236" max="9236" width="9.7109375" style="213" customWidth="1"/>
    <col min="9237" max="9237" width="12.140625" style="213" customWidth="1"/>
    <col min="9238" max="9238" width="9.7109375" style="213" customWidth="1"/>
    <col min="9239" max="9239" width="13.28515625" style="213" customWidth="1"/>
    <col min="9240" max="9240" width="9.7109375" style="213" customWidth="1"/>
    <col min="9241" max="9241" width="11.85546875" style="213" customWidth="1"/>
    <col min="9242" max="9242" width="9.7109375" style="213" customWidth="1"/>
    <col min="9243" max="9243" width="12" style="213" customWidth="1"/>
    <col min="9244" max="9244" width="9.28515625" style="213" customWidth="1"/>
    <col min="9245" max="9245" width="12" style="213" customWidth="1"/>
    <col min="9246" max="9246" width="11.140625" style="213" customWidth="1"/>
    <col min="9247" max="9247" width="11.5703125" style="213" customWidth="1"/>
    <col min="9248" max="9248" width="10.5703125" style="213" customWidth="1"/>
    <col min="9249" max="9471" width="11.42578125" style="213"/>
    <col min="9472" max="9472" width="5.140625" style="213" customWidth="1"/>
    <col min="9473" max="9473" width="11" style="213" customWidth="1"/>
    <col min="9474" max="9474" width="67.7109375" style="213" customWidth="1"/>
    <col min="9475" max="9475" width="4.5703125" style="213" customWidth="1"/>
    <col min="9476" max="9476" width="10.140625" style="213" customWidth="1"/>
    <col min="9477" max="9477" width="9.7109375" style="213" customWidth="1"/>
    <col min="9478" max="9478" width="14" style="213" customWidth="1"/>
    <col min="9479" max="9479" width="13" style="213" customWidth="1"/>
    <col min="9480" max="9480" width="12.5703125" style="213" customWidth="1"/>
    <col min="9481" max="9481" width="11.42578125" style="213" customWidth="1"/>
    <col min="9482" max="9482" width="9.7109375" style="213" customWidth="1"/>
    <col min="9483" max="9483" width="10.85546875" style="213" customWidth="1"/>
    <col min="9484" max="9484" width="9.7109375" style="213" customWidth="1"/>
    <col min="9485" max="9485" width="10.5703125" style="213" customWidth="1"/>
    <col min="9486" max="9486" width="9.7109375" style="213" customWidth="1"/>
    <col min="9487" max="9487" width="12.28515625" style="213" customWidth="1"/>
    <col min="9488" max="9488" width="9.7109375" style="213" customWidth="1"/>
    <col min="9489" max="9489" width="12.140625" style="213" customWidth="1"/>
    <col min="9490" max="9490" width="9.7109375" style="213" customWidth="1"/>
    <col min="9491" max="9491" width="13" style="213" customWidth="1"/>
    <col min="9492" max="9492" width="9.7109375" style="213" customWidth="1"/>
    <col min="9493" max="9493" width="12.140625" style="213" customWidth="1"/>
    <col min="9494" max="9494" width="9.7109375" style="213" customWidth="1"/>
    <col min="9495" max="9495" width="13.28515625" style="213" customWidth="1"/>
    <col min="9496" max="9496" width="9.7109375" style="213" customWidth="1"/>
    <col min="9497" max="9497" width="11.85546875" style="213" customWidth="1"/>
    <col min="9498" max="9498" width="9.7109375" style="213" customWidth="1"/>
    <col min="9499" max="9499" width="12" style="213" customWidth="1"/>
    <col min="9500" max="9500" width="9.28515625" style="213" customWidth="1"/>
    <col min="9501" max="9501" width="12" style="213" customWidth="1"/>
    <col min="9502" max="9502" width="11.140625" style="213" customWidth="1"/>
    <col min="9503" max="9503" width="11.5703125" style="213" customWidth="1"/>
    <col min="9504" max="9504" width="10.5703125" style="213" customWidth="1"/>
    <col min="9505" max="9727" width="11.42578125" style="213"/>
    <col min="9728" max="9728" width="5.140625" style="213" customWidth="1"/>
    <col min="9729" max="9729" width="11" style="213" customWidth="1"/>
    <col min="9730" max="9730" width="67.7109375" style="213" customWidth="1"/>
    <col min="9731" max="9731" width="4.5703125" style="213" customWidth="1"/>
    <col min="9732" max="9732" width="10.140625" style="213" customWidth="1"/>
    <col min="9733" max="9733" width="9.7109375" style="213" customWidth="1"/>
    <col min="9734" max="9734" width="14" style="213" customWidth="1"/>
    <col min="9735" max="9735" width="13" style="213" customWidth="1"/>
    <col min="9736" max="9736" width="12.5703125" style="213" customWidth="1"/>
    <col min="9737" max="9737" width="11.42578125" style="213" customWidth="1"/>
    <col min="9738" max="9738" width="9.7109375" style="213" customWidth="1"/>
    <col min="9739" max="9739" width="10.85546875" style="213" customWidth="1"/>
    <col min="9740" max="9740" width="9.7109375" style="213" customWidth="1"/>
    <col min="9741" max="9741" width="10.5703125" style="213" customWidth="1"/>
    <col min="9742" max="9742" width="9.7109375" style="213" customWidth="1"/>
    <col min="9743" max="9743" width="12.28515625" style="213" customWidth="1"/>
    <col min="9744" max="9744" width="9.7109375" style="213" customWidth="1"/>
    <col min="9745" max="9745" width="12.140625" style="213" customWidth="1"/>
    <col min="9746" max="9746" width="9.7109375" style="213" customWidth="1"/>
    <col min="9747" max="9747" width="13" style="213" customWidth="1"/>
    <col min="9748" max="9748" width="9.7109375" style="213" customWidth="1"/>
    <col min="9749" max="9749" width="12.140625" style="213" customWidth="1"/>
    <col min="9750" max="9750" width="9.7109375" style="213" customWidth="1"/>
    <col min="9751" max="9751" width="13.28515625" style="213" customWidth="1"/>
    <col min="9752" max="9752" width="9.7109375" style="213" customWidth="1"/>
    <col min="9753" max="9753" width="11.85546875" style="213" customWidth="1"/>
    <col min="9754" max="9754" width="9.7109375" style="213" customWidth="1"/>
    <col min="9755" max="9755" width="12" style="213" customWidth="1"/>
    <col min="9756" max="9756" width="9.28515625" style="213" customWidth="1"/>
    <col min="9757" max="9757" width="12" style="213" customWidth="1"/>
    <col min="9758" max="9758" width="11.140625" style="213" customWidth="1"/>
    <col min="9759" max="9759" width="11.5703125" style="213" customWidth="1"/>
    <col min="9760" max="9760" width="10.5703125" style="213" customWidth="1"/>
    <col min="9761" max="9983" width="11.42578125" style="213"/>
    <col min="9984" max="9984" width="5.140625" style="213" customWidth="1"/>
    <col min="9985" max="9985" width="11" style="213" customWidth="1"/>
    <col min="9986" max="9986" width="67.7109375" style="213" customWidth="1"/>
    <col min="9987" max="9987" width="4.5703125" style="213" customWidth="1"/>
    <col min="9988" max="9988" width="10.140625" style="213" customWidth="1"/>
    <col min="9989" max="9989" width="9.7109375" style="213" customWidth="1"/>
    <col min="9990" max="9990" width="14" style="213" customWidth="1"/>
    <col min="9991" max="9991" width="13" style="213" customWidth="1"/>
    <col min="9992" max="9992" width="12.5703125" style="213" customWidth="1"/>
    <col min="9993" max="9993" width="11.42578125" style="213" customWidth="1"/>
    <col min="9994" max="9994" width="9.7109375" style="213" customWidth="1"/>
    <col min="9995" max="9995" width="10.85546875" style="213" customWidth="1"/>
    <col min="9996" max="9996" width="9.7109375" style="213" customWidth="1"/>
    <col min="9997" max="9997" width="10.5703125" style="213" customWidth="1"/>
    <col min="9998" max="9998" width="9.7109375" style="213" customWidth="1"/>
    <col min="9999" max="9999" width="12.28515625" style="213" customWidth="1"/>
    <col min="10000" max="10000" width="9.7109375" style="213" customWidth="1"/>
    <col min="10001" max="10001" width="12.140625" style="213" customWidth="1"/>
    <col min="10002" max="10002" width="9.7109375" style="213" customWidth="1"/>
    <col min="10003" max="10003" width="13" style="213" customWidth="1"/>
    <col min="10004" max="10004" width="9.7109375" style="213" customWidth="1"/>
    <col min="10005" max="10005" width="12.140625" style="213" customWidth="1"/>
    <col min="10006" max="10006" width="9.7109375" style="213" customWidth="1"/>
    <col min="10007" max="10007" width="13.28515625" style="213" customWidth="1"/>
    <col min="10008" max="10008" width="9.7109375" style="213" customWidth="1"/>
    <col min="10009" max="10009" width="11.85546875" style="213" customWidth="1"/>
    <col min="10010" max="10010" width="9.7109375" style="213" customWidth="1"/>
    <col min="10011" max="10011" width="12" style="213" customWidth="1"/>
    <col min="10012" max="10012" width="9.28515625" style="213" customWidth="1"/>
    <col min="10013" max="10013" width="12" style="213" customWidth="1"/>
    <col min="10014" max="10014" width="11.140625" style="213" customWidth="1"/>
    <col min="10015" max="10015" width="11.5703125" style="213" customWidth="1"/>
    <col min="10016" max="10016" width="10.5703125" style="213" customWidth="1"/>
    <col min="10017" max="10239" width="11.42578125" style="213"/>
    <col min="10240" max="10240" width="5.140625" style="213" customWidth="1"/>
    <col min="10241" max="10241" width="11" style="213" customWidth="1"/>
    <col min="10242" max="10242" width="67.7109375" style="213" customWidth="1"/>
    <col min="10243" max="10243" width="4.5703125" style="213" customWidth="1"/>
    <col min="10244" max="10244" width="10.140625" style="213" customWidth="1"/>
    <col min="10245" max="10245" width="9.7109375" style="213" customWidth="1"/>
    <col min="10246" max="10246" width="14" style="213" customWidth="1"/>
    <col min="10247" max="10247" width="13" style="213" customWidth="1"/>
    <col min="10248" max="10248" width="12.5703125" style="213" customWidth="1"/>
    <col min="10249" max="10249" width="11.42578125" style="213" customWidth="1"/>
    <col min="10250" max="10250" width="9.7109375" style="213" customWidth="1"/>
    <col min="10251" max="10251" width="10.85546875" style="213" customWidth="1"/>
    <col min="10252" max="10252" width="9.7109375" style="213" customWidth="1"/>
    <col min="10253" max="10253" width="10.5703125" style="213" customWidth="1"/>
    <col min="10254" max="10254" width="9.7109375" style="213" customWidth="1"/>
    <col min="10255" max="10255" width="12.28515625" style="213" customWidth="1"/>
    <col min="10256" max="10256" width="9.7109375" style="213" customWidth="1"/>
    <col min="10257" max="10257" width="12.140625" style="213" customWidth="1"/>
    <col min="10258" max="10258" width="9.7109375" style="213" customWidth="1"/>
    <col min="10259" max="10259" width="13" style="213" customWidth="1"/>
    <col min="10260" max="10260" width="9.7109375" style="213" customWidth="1"/>
    <col min="10261" max="10261" width="12.140625" style="213" customWidth="1"/>
    <col min="10262" max="10262" width="9.7109375" style="213" customWidth="1"/>
    <col min="10263" max="10263" width="13.28515625" style="213" customWidth="1"/>
    <col min="10264" max="10264" width="9.7109375" style="213" customWidth="1"/>
    <col min="10265" max="10265" width="11.85546875" style="213" customWidth="1"/>
    <col min="10266" max="10266" width="9.7109375" style="213" customWidth="1"/>
    <col min="10267" max="10267" width="12" style="213" customWidth="1"/>
    <col min="10268" max="10268" width="9.28515625" style="213" customWidth="1"/>
    <col min="10269" max="10269" width="12" style="213" customWidth="1"/>
    <col min="10270" max="10270" width="11.140625" style="213" customWidth="1"/>
    <col min="10271" max="10271" width="11.5703125" style="213" customWidth="1"/>
    <col min="10272" max="10272" width="10.5703125" style="213" customWidth="1"/>
    <col min="10273" max="10495" width="11.42578125" style="213"/>
    <col min="10496" max="10496" width="5.140625" style="213" customWidth="1"/>
    <col min="10497" max="10497" width="11" style="213" customWidth="1"/>
    <col min="10498" max="10498" width="67.7109375" style="213" customWidth="1"/>
    <col min="10499" max="10499" width="4.5703125" style="213" customWidth="1"/>
    <col min="10500" max="10500" width="10.140625" style="213" customWidth="1"/>
    <col min="10501" max="10501" width="9.7109375" style="213" customWidth="1"/>
    <col min="10502" max="10502" width="14" style="213" customWidth="1"/>
    <col min="10503" max="10503" width="13" style="213" customWidth="1"/>
    <col min="10504" max="10504" width="12.5703125" style="213" customWidth="1"/>
    <col min="10505" max="10505" width="11.42578125" style="213" customWidth="1"/>
    <col min="10506" max="10506" width="9.7109375" style="213" customWidth="1"/>
    <col min="10507" max="10507" width="10.85546875" style="213" customWidth="1"/>
    <col min="10508" max="10508" width="9.7109375" style="213" customWidth="1"/>
    <col min="10509" max="10509" width="10.5703125" style="213" customWidth="1"/>
    <col min="10510" max="10510" width="9.7109375" style="213" customWidth="1"/>
    <col min="10511" max="10511" width="12.28515625" style="213" customWidth="1"/>
    <col min="10512" max="10512" width="9.7109375" style="213" customWidth="1"/>
    <col min="10513" max="10513" width="12.140625" style="213" customWidth="1"/>
    <col min="10514" max="10514" width="9.7109375" style="213" customWidth="1"/>
    <col min="10515" max="10515" width="13" style="213" customWidth="1"/>
    <col min="10516" max="10516" width="9.7109375" style="213" customWidth="1"/>
    <col min="10517" max="10517" width="12.140625" style="213" customWidth="1"/>
    <col min="10518" max="10518" width="9.7109375" style="213" customWidth="1"/>
    <col min="10519" max="10519" width="13.28515625" style="213" customWidth="1"/>
    <col min="10520" max="10520" width="9.7109375" style="213" customWidth="1"/>
    <col min="10521" max="10521" width="11.85546875" style="213" customWidth="1"/>
    <col min="10522" max="10522" width="9.7109375" style="213" customWidth="1"/>
    <col min="10523" max="10523" width="12" style="213" customWidth="1"/>
    <col min="10524" max="10524" width="9.28515625" style="213" customWidth="1"/>
    <col min="10525" max="10525" width="12" style="213" customWidth="1"/>
    <col min="10526" max="10526" width="11.140625" style="213" customWidth="1"/>
    <col min="10527" max="10527" width="11.5703125" style="213" customWidth="1"/>
    <col min="10528" max="10528" width="10.5703125" style="213" customWidth="1"/>
    <col min="10529" max="10751" width="11.42578125" style="213"/>
    <col min="10752" max="10752" width="5.140625" style="213" customWidth="1"/>
    <col min="10753" max="10753" width="11" style="213" customWidth="1"/>
    <col min="10754" max="10754" width="67.7109375" style="213" customWidth="1"/>
    <col min="10755" max="10755" width="4.5703125" style="213" customWidth="1"/>
    <col min="10756" max="10756" width="10.140625" style="213" customWidth="1"/>
    <col min="10757" max="10757" width="9.7109375" style="213" customWidth="1"/>
    <col min="10758" max="10758" width="14" style="213" customWidth="1"/>
    <col min="10759" max="10759" width="13" style="213" customWidth="1"/>
    <col min="10760" max="10760" width="12.5703125" style="213" customWidth="1"/>
    <col min="10761" max="10761" width="11.42578125" style="213" customWidth="1"/>
    <col min="10762" max="10762" width="9.7109375" style="213" customWidth="1"/>
    <col min="10763" max="10763" width="10.85546875" style="213" customWidth="1"/>
    <col min="10764" max="10764" width="9.7109375" style="213" customWidth="1"/>
    <col min="10765" max="10765" width="10.5703125" style="213" customWidth="1"/>
    <col min="10766" max="10766" width="9.7109375" style="213" customWidth="1"/>
    <col min="10767" max="10767" width="12.28515625" style="213" customWidth="1"/>
    <col min="10768" max="10768" width="9.7109375" style="213" customWidth="1"/>
    <col min="10769" max="10769" width="12.140625" style="213" customWidth="1"/>
    <col min="10770" max="10770" width="9.7109375" style="213" customWidth="1"/>
    <col min="10771" max="10771" width="13" style="213" customWidth="1"/>
    <col min="10772" max="10772" width="9.7109375" style="213" customWidth="1"/>
    <col min="10773" max="10773" width="12.140625" style="213" customWidth="1"/>
    <col min="10774" max="10774" width="9.7109375" style="213" customWidth="1"/>
    <col min="10775" max="10775" width="13.28515625" style="213" customWidth="1"/>
    <col min="10776" max="10776" width="9.7109375" style="213" customWidth="1"/>
    <col min="10777" max="10777" width="11.85546875" style="213" customWidth="1"/>
    <col min="10778" max="10778" width="9.7109375" style="213" customWidth="1"/>
    <col min="10779" max="10779" width="12" style="213" customWidth="1"/>
    <col min="10780" max="10780" width="9.28515625" style="213" customWidth="1"/>
    <col min="10781" max="10781" width="12" style="213" customWidth="1"/>
    <col min="10782" max="10782" width="11.140625" style="213" customWidth="1"/>
    <col min="10783" max="10783" width="11.5703125" style="213" customWidth="1"/>
    <col min="10784" max="10784" width="10.5703125" style="213" customWidth="1"/>
    <col min="10785" max="11007" width="11.42578125" style="213"/>
    <col min="11008" max="11008" width="5.140625" style="213" customWidth="1"/>
    <col min="11009" max="11009" width="11" style="213" customWidth="1"/>
    <col min="11010" max="11010" width="67.7109375" style="213" customWidth="1"/>
    <col min="11011" max="11011" width="4.5703125" style="213" customWidth="1"/>
    <col min="11012" max="11012" width="10.140625" style="213" customWidth="1"/>
    <col min="11013" max="11013" width="9.7109375" style="213" customWidth="1"/>
    <col min="11014" max="11014" width="14" style="213" customWidth="1"/>
    <col min="11015" max="11015" width="13" style="213" customWidth="1"/>
    <col min="11016" max="11016" width="12.5703125" style="213" customWidth="1"/>
    <col min="11017" max="11017" width="11.42578125" style="213" customWidth="1"/>
    <col min="11018" max="11018" width="9.7109375" style="213" customWidth="1"/>
    <col min="11019" max="11019" width="10.85546875" style="213" customWidth="1"/>
    <col min="11020" max="11020" width="9.7109375" style="213" customWidth="1"/>
    <col min="11021" max="11021" width="10.5703125" style="213" customWidth="1"/>
    <col min="11022" max="11022" width="9.7109375" style="213" customWidth="1"/>
    <col min="11023" max="11023" width="12.28515625" style="213" customWidth="1"/>
    <col min="11024" max="11024" width="9.7109375" style="213" customWidth="1"/>
    <col min="11025" max="11025" width="12.140625" style="213" customWidth="1"/>
    <col min="11026" max="11026" width="9.7109375" style="213" customWidth="1"/>
    <col min="11027" max="11027" width="13" style="213" customWidth="1"/>
    <col min="11028" max="11028" width="9.7109375" style="213" customWidth="1"/>
    <col min="11029" max="11029" width="12.140625" style="213" customWidth="1"/>
    <col min="11030" max="11030" width="9.7109375" style="213" customWidth="1"/>
    <col min="11031" max="11031" width="13.28515625" style="213" customWidth="1"/>
    <col min="11032" max="11032" width="9.7109375" style="213" customWidth="1"/>
    <col min="11033" max="11033" width="11.85546875" style="213" customWidth="1"/>
    <col min="11034" max="11034" width="9.7109375" style="213" customWidth="1"/>
    <col min="11035" max="11035" width="12" style="213" customWidth="1"/>
    <col min="11036" max="11036" width="9.28515625" style="213" customWidth="1"/>
    <col min="11037" max="11037" width="12" style="213" customWidth="1"/>
    <col min="11038" max="11038" width="11.140625" style="213" customWidth="1"/>
    <col min="11039" max="11039" width="11.5703125" style="213" customWidth="1"/>
    <col min="11040" max="11040" width="10.5703125" style="213" customWidth="1"/>
    <col min="11041" max="11263" width="11.42578125" style="213"/>
    <col min="11264" max="11264" width="5.140625" style="213" customWidth="1"/>
    <col min="11265" max="11265" width="11" style="213" customWidth="1"/>
    <col min="11266" max="11266" width="67.7109375" style="213" customWidth="1"/>
    <col min="11267" max="11267" width="4.5703125" style="213" customWidth="1"/>
    <col min="11268" max="11268" width="10.140625" style="213" customWidth="1"/>
    <col min="11269" max="11269" width="9.7109375" style="213" customWidth="1"/>
    <col min="11270" max="11270" width="14" style="213" customWidth="1"/>
    <col min="11271" max="11271" width="13" style="213" customWidth="1"/>
    <col min="11272" max="11272" width="12.5703125" style="213" customWidth="1"/>
    <col min="11273" max="11273" width="11.42578125" style="213" customWidth="1"/>
    <col min="11274" max="11274" width="9.7109375" style="213" customWidth="1"/>
    <col min="11275" max="11275" width="10.85546875" style="213" customWidth="1"/>
    <col min="11276" max="11276" width="9.7109375" style="213" customWidth="1"/>
    <col min="11277" max="11277" width="10.5703125" style="213" customWidth="1"/>
    <col min="11278" max="11278" width="9.7109375" style="213" customWidth="1"/>
    <col min="11279" max="11279" width="12.28515625" style="213" customWidth="1"/>
    <col min="11280" max="11280" width="9.7109375" style="213" customWidth="1"/>
    <col min="11281" max="11281" width="12.140625" style="213" customWidth="1"/>
    <col min="11282" max="11282" width="9.7109375" style="213" customWidth="1"/>
    <col min="11283" max="11283" width="13" style="213" customWidth="1"/>
    <col min="11284" max="11284" width="9.7109375" style="213" customWidth="1"/>
    <col min="11285" max="11285" width="12.140625" style="213" customWidth="1"/>
    <col min="11286" max="11286" width="9.7109375" style="213" customWidth="1"/>
    <col min="11287" max="11287" width="13.28515625" style="213" customWidth="1"/>
    <col min="11288" max="11288" width="9.7109375" style="213" customWidth="1"/>
    <col min="11289" max="11289" width="11.85546875" style="213" customWidth="1"/>
    <col min="11290" max="11290" width="9.7109375" style="213" customWidth="1"/>
    <col min="11291" max="11291" width="12" style="213" customWidth="1"/>
    <col min="11292" max="11292" width="9.28515625" style="213" customWidth="1"/>
    <col min="11293" max="11293" width="12" style="213" customWidth="1"/>
    <col min="11294" max="11294" width="11.140625" style="213" customWidth="1"/>
    <col min="11295" max="11295" width="11.5703125" style="213" customWidth="1"/>
    <col min="11296" max="11296" width="10.5703125" style="213" customWidth="1"/>
    <col min="11297" max="11519" width="11.42578125" style="213"/>
    <col min="11520" max="11520" width="5.140625" style="213" customWidth="1"/>
    <col min="11521" max="11521" width="11" style="213" customWidth="1"/>
    <col min="11522" max="11522" width="67.7109375" style="213" customWidth="1"/>
    <col min="11523" max="11523" width="4.5703125" style="213" customWidth="1"/>
    <col min="11524" max="11524" width="10.140625" style="213" customWidth="1"/>
    <col min="11525" max="11525" width="9.7109375" style="213" customWidth="1"/>
    <col min="11526" max="11526" width="14" style="213" customWidth="1"/>
    <col min="11527" max="11527" width="13" style="213" customWidth="1"/>
    <col min="11528" max="11528" width="12.5703125" style="213" customWidth="1"/>
    <col min="11529" max="11529" width="11.42578125" style="213" customWidth="1"/>
    <col min="11530" max="11530" width="9.7109375" style="213" customWidth="1"/>
    <col min="11531" max="11531" width="10.85546875" style="213" customWidth="1"/>
    <col min="11532" max="11532" width="9.7109375" style="213" customWidth="1"/>
    <col min="11533" max="11533" width="10.5703125" style="213" customWidth="1"/>
    <col min="11534" max="11534" width="9.7109375" style="213" customWidth="1"/>
    <col min="11535" max="11535" width="12.28515625" style="213" customWidth="1"/>
    <col min="11536" max="11536" width="9.7109375" style="213" customWidth="1"/>
    <col min="11537" max="11537" width="12.140625" style="213" customWidth="1"/>
    <col min="11538" max="11538" width="9.7109375" style="213" customWidth="1"/>
    <col min="11539" max="11539" width="13" style="213" customWidth="1"/>
    <col min="11540" max="11540" width="9.7109375" style="213" customWidth="1"/>
    <col min="11541" max="11541" width="12.140625" style="213" customWidth="1"/>
    <col min="11542" max="11542" width="9.7109375" style="213" customWidth="1"/>
    <col min="11543" max="11543" width="13.28515625" style="213" customWidth="1"/>
    <col min="11544" max="11544" width="9.7109375" style="213" customWidth="1"/>
    <col min="11545" max="11545" width="11.85546875" style="213" customWidth="1"/>
    <col min="11546" max="11546" width="9.7109375" style="213" customWidth="1"/>
    <col min="11547" max="11547" width="12" style="213" customWidth="1"/>
    <col min="11548" max="11548" width="9.28515625" style="213" customWidth="1"/>
    <col min="11549" max="11549" width="12" style="213" customWidth="1"/>
    <col min="11550" max="11550" width="11.140625" style="213" customWidth="1"/>
    <col min="11551" max="11551" width="11.5703125" style="213" customWidth="1"/>
    <col min="11552" max="11552" width="10.5703125" style="213" customWidth="1"/>
    <col min="11553" max="11775" width="11.42578125" style="213"/>
    <col min="11776" max="11776" width="5.140625" style="213" customWidth="1"/>
    <col min="11777" max="11777" width="11" style="213" customWidth="1"/>
    <col min="11778" max="11778" width="67.7109375" style="213" customWidth="1"/>
    <col min="11779" max="11779" width="4.5703125" style="213" customWidth="1"/>
    <col min="11780" max="11780" width="10.140625" style="213" customWidth="1"/>
    <col min="11781" max="11781" width="9.7109375" style="213" customWidth="1"/>
    <col min="11782" max="11782" width="14" style="213" customWidth="1"/>
    <col min="11783" max="11783" width="13" style="213" customWidth="1"/>
    <col min="11784" max="11784" width="12.5703125" style="213" customWidth="1"/>
    <col min="11785" max="11785" width="11.42578125" style="213" customWidth="1"/>
    <col min="11786" max="11786" width="9.7109375" style="213" customWidth="1"/>
    <col min="11787" max="11787" width="10.85546875" style="213" customWidth="1"/>
    <col min="11788" max="11788" width="9.7109375" style="213" customWidth="1"/>
    <col min="11789" max="11789" width="10.5703125" style="213" customWidth="1"/>
    <col min="11790" max="11790" width="9.7109375" style="213" customWidth="1"/>
    <col min="11791" max="11791" width="12.28515625" style="213" customWidth="1"/>
    <col min="11792" max="11792" width="9.7109375" style="213" customWidth="1"/>
    <col min="11793" max="11793" width="12.140625" style="213" customWidth="1"/>
    <col min="11794" max="11794" width="9.7109375" style="213" customWidth="1"/>
    <col min="11795" max="11795" width="13" style="213" customWidth="1"/>
    <col min="11796" max="11796" width="9.7109375" style="213" customWidth="1"/>
    <col min="11797" max="11797" width="12.140625" style="213" customWidth="1"/>
    <col min="11798" max="11798" width="9.7109375" style="213" customWidth="1"/>
    <col min="11799" max="11799" width="13.28515625" style="213" customWidth="1"/>
    <col min="11800" max="11800" width="9.7109375" style="213" customWidth="1"/>
    <col min="11801" max="11801" width="11.85546875" style="213" customWidth="1"/>
    <col min="11802" max="11802" width="9.7109375" style="213" customWidth="1"/>
    <col min="11803" max="11803" width="12" style="213" customWidth="1"/>
    <col min="11804" max="11804" width="9.28515625" style="213" customWidth="1"/>
    <col min="11805" max="11805" width="12" style="213" customWidth="1"/>
    <col min="11806" max="11806" width="11.140625" style="213" customWidth="1"/>
    <col min="11807" max="11807" width="11.5703125" style="213" customWidth="1"/>
    <col min="11808" max="11808" width="10.5703125" style="213" customWidth="1"/>
    <col min="11809" max="12031" width="11.42578125" style="213"/>
    <col min="12032" max="12032" width="5.140625" style="213" customWidth="1"/>
    <col min="12033" max="12033" width="11" style="213" customWidth="1"/>
    <col min="12034" max="12034" width="67.7109375" style="213" customWidth="1"/>
    <col min="12035" max="12035" width="4.5703125" style="213" customWidth="1"/>
    <col min="12036" max="12036" width="10.140625" style="213" customWidth="1"/>
    <col min="12037" max="12037" width="9.7109375" style="213" customWidth="1"/>
    <col min="12038" max="12038" width="14" style="213" customWidth="1"/>
    <col min="12039" max="12039" width="13" style="213" customWidth="1"/>
    <col min="12040" max="12040" width="12.5703125" style="213" customWidth="1"/>
    <col min="12041" max="12041" width="11.42578125" style="213" customWidth="1"/>
    <col min="12042" max="12042" width="9.7109375" style="213" customWidth="1"/>
    <col min="12043" max="12043" width="10.85546875" style="213" customWidth="1"/>
    <col min="12044" max="12044" width="9.7109375" style="213" customWidth="1"/>
    <col min="12045" max="12045" width="10.5703125" style="213" customWidth="1"/>
    <col min="12046" max="12046" width="9.7109375" style="213" customWidth="1"/>
    <col min="12047" max="12047" width="12.28515625" style="213" customWidth="1"/>
    <col min="12048" max="12048" width="9.7109375" style="213" customWidth="1"/>
    <col min="12049" max="12049" width="12.140625" style="213" customWidth="1"/>
    <col min="12050" max="12050" width="9.7109375" style="213" customWidth="1"/>
    <col min="12051" max="12051" width="13" style="213" customWidth="1"/>
    <col min="12052" max="12052" width="9.7109375" style="213" customWidth="1"/>
    <col min="12053" max="12053" width="12.140625" style="213" customWidth="1"/>
    <col min="12054" max="12054" width="9.7109375" style="213" customWidth="1"/>
    <col min="12055" max="12055" width="13.28515625" style="213" customWidth="1"/>
    <col min="12056" max="12056" width="9.7109375" style="213" customWidth="1"/>
    <col min="12057" max="12057" width="11.85546875" style="213" customWidth="1"/>
    <col min="12058" max="12058" width="9.7109375" style="213" customWidth="1"/>
    <col min="12059" max="12059" width="12" style="213" customWidth="1"/>
    <col min="12060" max="12060" width="9.28515625" style="213" customWidth="1"/>
    <col min="12061" max="12061" width="12" style="213" customWidth="1"/>
    <col min="12062" max="12062" width="11.140625" style="213" customWidth="1"/>
    <col min="12063" max="12063" width="11.5703125" style="213" customWidth="1"/>
    <col min="12064" max="12064" width="10.5703125" style="213" customWidth="1"/>
    <col min="12065" max="12287" width="11.42578125" style="213"/>
    <col min="12288" max="12288" width="5.140625" style="213" customWidth="1"/>
    <col min="12289" max="12289" width="11" style="213" customWidth="1"/>
    <col min="12290" max="12290" width="67.7109375" style="213" customWidth="1"/>
    <col min="12291" max="12291" width="4.5703125" style="213" customWidth="1"/>
    <col min="12292" max="12292" width="10.140625" style="213" customWidth="1"/>
    <col min="12293" max="12293" width="9.7109375" style="213" customWidth="1"/>
    <col min="12294" max="12294" width="14" style="213" customWidth="1"/>
    <col min="12295" max="12295" width="13" style="213" customWidth="1"/>
    <col min="12296" max="12296" width="12.5703125" style="213" customWidth="1"/>
    <col min="12297" max="12297" width="11.42578125" style="213" customWidth="1"/>
    <col min="12298" max="12298" width="9.7109375" style="213" customWidth="1"/>
    <col min="12299" max="12299" width="10.85546875" style="213" customWidth="1"/>
    <col min="12300" max="12300" width="9.7109375" style="213" customWidth="1"/>
    <col min="12301" max="12301" width="10.5703125" style="213" customWidth="1"/>
    <col min="12302" max="12302" width="9.7109375" style="213" customWidth="1"/>
    <col min="12303" max="12303" width="12.28515625" style="213" customWidth="1"/>
    <col min="12304" max="12304" width="9.7109375" style="213" customWidth="1"/>
    <col min="12305" max="12305" width="12.140625" style="213" customWidth="1"/>
    <col min="12306" max="12306" width="9.7109375" style="213" customWidth="1"/>
    <col min="12307" max="12307" width="13" style="213" customWidth="1"/>
    <col min="12308" max="12308" width="9.7109375" style="213" customWidth="1"/>
    <col min="12309" max="12309" width="12.140625" style="213" customWidth="1"/>
    <col min="12310" max="12310" width="9.7109375" style="213" customWidth="1"/>
    <col min="12311" max="12311" width="13.28515625" style="213" customWidth="1"/>
    <col min="12312" max="12312" width="9.7109375" style="213" customWidth="1"/>
    <col min="12313" max="12313" width="11.85546875" style="213" customWidth="1"/>
    <col min="12314" max="12314" width="9.7109375" style="213" customWidth="1"/>
    <col min="12315" max="12315" width="12" style="213" customWidth="1"/>
    <col min="12316" max="12316" width="9.28515625" style="213" customWidth="1"/>
    <col min="12317" max="12317" width="12" style="213" customWidth="1"/>
    <col min="12318" max="12318" width="11.140625" style="213" customWidth="1"/>
    <col min="12319" max="12319" width="11.5703125" style="213" customWidth="1"/>
    <col min="12320" max="12320" width="10.5703125" style="213" customWidth="1"/>
    <col min="12321" max="12543" width="11.42578125" style="213"/>
    <col min="12544" max="12544" width="5.140625" style="213" customWidth="1"/>
    <col min="12545" max="12545" width="11" style="213" customWidth="1"/>
    <col min="12546" max="12546" width="67.7109375" style="213" customWidth="1"/>
    <col min="12547" max="12547" width="4.5703125" style="213" customWidth="1"/>
    <col min="12548" max="12548" width="10.140625" style="213" customWidth="1"/>
    <col min="12549" max="12549" width="9.7109375" style="213" customWidth="1"/>
    <col min="12550" max="12550" width="14" style="213" customWidth="1"/>
    <col min="12551" max="12551" width="13" style="213" customWidth="1"/>
    <col min="12552" max="12552" width="12.5703125" style="213" customWidth="1"/>
    <col min="12553" max="12553" width="11.42578125" style="213" customWidth="1"/>
    <col min="12554" max="12554" width="9.7109375" style="213" customWidth="1"/>
    <col min="12555" max="12555" width="10.85546875" style="213" customWidth="1"/>
    <col min="12556" max="12556" width="9.7109375" style="213" customWidth="1"/>
    <col min="12557" max="12557" width="10.5703125" style="213" customWidth="1"/>
    <col min="12558" max="12558" width="9.7109375" style="213" customWidth="1"/>
    <col min="12559" max="12559" width="12.28515625" style="213" customWidth="1"/>
    <col min="12560" max="12560" width="9.7109375" style="213" customWidth="1"/>
    <col min="12561" max="12561" width="12.140625" style="213" customWidth="1"/>
    <col min="12562" max="12562" width="9.7109375" style="213" customWidth="1"/>
    <col min="12563" max="12563" width="13" style="213" customWidth="1"/>
    <col min="12564" max="12564" width="9.7109375" style="213" customWidth="1"/>
    <col min="12565" max="12565" width="12.140625" style="213" customWidth="1"/>
    <col min="12566" max="12566" width="9.7109375" style="213" customWidth="1"/>
    <col min="12567" max="12567" width="13.28515625" style="213" customWidth="1"/>
    <col min="12568" max="12568" width="9.7109375" style="213" customWidth="1"/>
    <col min="12569" max="12569" width="11.85546875" style="213" customWidth="1"/>
    <col min="12570" max="12570" width="9.7109375" style="213" customWidth="1"/>
    <col min="12571" max="12571" width="12" style="213" customWidth="1"/>
    <col min="12572" max="12572" width="9.28515625" style="213" customWidth="1"/>
    <col min="12573" max="12573" width="12" style="213" customWidth="1"/>
    <col min="12574" max="12574" width="11.140625" style="213" customWidth="1"/>
    <col min="12575" max="12575" width="11.5703125" style="213" customWidth="1"/>
    <col min="12576" max="12576" width="10.5703125" style="213" customWidth="1"/>
    <col min="12577" max="12799" width="11.42578125" style="213"/>
    <col min="12800" max="12800" width="5.140625" style="213" customWidth="1"/>
    <col min="12801" max="12801" width="11" style="213" customWidth="1"/>
    <col min="12802" max="12802" width="67.7109375" style="213" customWidth="1"/>
    <col min="12803" max="12803" width="4.5703125" style="213" customWidth="1"/>
    <col min="12804" max="12804" width="10.140625" style="213" customWidth="1"/>
    <col min="12805" max="12805" width="9.7109375" style="213" customWidth="1"/>
    <col min="12806" max="12806" width="14" style="213" customWidth="1"/>
    <col min="12807" max="12807" width="13" style="213" customWidth="1"/>
    <col min="12808" max="12808" width="12.5703125" style="213" customWidth="1"/>
    <col min="12809" max="12809" width="11.42578125" style="213" customWidth="1"/>
    <col min="12810" max="12810" width="9.7109375" style="213" customWidth="1"/>
    <col min="12811" max="12811" width="10.85546875" style="213" customWidth="1"/>
    <col min="12812" max="12812" width="9.7109375" style="213" customWidth="1"/>
    <col min="12813" max="12813" width="10.5703125" style="213" customWidth="1"/>
    <col min="12814" max="12814" width="9.7109375" style="213" customWidth="1"/>
    <col min="12815" max="12815" width="12.28515625" style="213" customWidth="1"/>
    <col min="12816" max="12816" width="9.7109375" style="213" customWidth="1"/>
    <col min="12817" max="12817" width="12.140625" style="213" customWidth="1"/>
    <col min="12818" max="12818" width="9.7109375" style="213" customWidth="1"/>
    <col min="12819" max="12819" width="13" style="213" customWidth="1"/>
    <col min="12820" max="12820" width="9.7109375" style="213" customWidth="1"/>
    <col min="12821" max="12821" width="12.140625" style="213" customWidth="1"/>
    <col min="12822" max="12822" width="9.7109375" style="213" customWidth="1"/>
    <col min="12823" max="12823" width="13.28515625" style="213" customWidth="1"/>
    <col min="12824" max="12824" width="9.7109375" style="213" customWidth="1"/>
    <col min="12825" max="12825" width="11.85546875" style="213" customWidth="1"/>
    <col min="12826" max="12826" width="9.7109375" style="213" customWidth="1"/>
    <col min="12827" max="12827" width="12" style="213" customWidth="1"/>
    <col min="12828" max="12828" width="9.28515625" style="213" customWidth="1"/>
    <col min="12829" max="12829" width="12" style="213" customWidth="1"/>
    <col min="12830" max="12830" width="11.140625" style="213" customWidth="1"/>
    <col min="12831" max="12831" width="11.5703125" style="213" customWidth="1"/>
    <col min="12832" max="12832" width="10.5703125" style="213" customWidth="1"/>
    <col min="12833" max="13055" width="11.42578125" style="213"/>
    <col min="13056" max="13056" width="5.140625" style="213" customWidth="1"/>
    <col min="13057" max="13057" width="11" style="213" customWidth="1"/>
    <col min="13058" max="13058" width="67.7109375" style="213" customWidth="1"/>
    <col min="13059" max="13059" width="4.5703125" style="213" customWidth="1"/>
    <col min="13060" max="13060" width="10.140625" style="213" customWidth="1"/>
    <col min="13061" max="13061" width="9.7109375" style="213" customWidth="1"/>
    <col min="13062" max="13062" width="14" style="213" customWidth="1"/>
    <col min="13063" max="13063" width="13" style="213" customWidth="1"/>
    <col min="13064" max="13064" width="12.5703125" style="213" customWidth="1"/>
    <col min="13065" max="13065" width="11.42578125" style="213" customWidth="1"/>
    <col min="13066" max="13066" width="9.7109375" style="213" customWidth="1"/>
    <col min="13067" max="13067" width="10.85546875" style="213" customWidth="1"/>
    <col min="13068" max="13068" width="9.7109375" style="213" customWidth="1"/>
    <col min="13069" max="13069" width="10.5703125" style="213" customWidth="1"/>
    <col min="13070" max="13070" width="9.7109375" style="213" customWidth="1"/>
    <col min="13071" max="13071" width="12.28515625" style="213" customWidth="1"/>
    <col min="13072" max="13072" width="9.7109375" style="213" customWidth="1"/>
    <col min="13073" max="13073" width="12.140625" style="213" customWidth="1"/>
    <col min="13074" max="13074" width="9.7109375" style="213" customWidth="1"/>
    <col min="13075" max="13075" width="13" style="213" customWidth="1"/>
    <col min="13076" max="13076" width="9.7109375" style="213" customWidth="1"/>
    <col min="13077" max="13077" width="12.140625" style="213" customWidth="1"/>
    <col min="13078" max="13078" width="9.7109375" style="213" customWidth="1"/>
    <col min="13079" max="13079" width="13.28515625" style="213" customWidth="1"/>
    <col min="13080" max="13080" width="9.7109375" style="213" customWidth="1"/>
    <col min="13081" max="13081" width="11.85546875" style="213" customWidth="1"/>
    <col min="13082" max="13082" width="9.7109375" style="213" customWidth="1"/>
    <col min="13083" max="13083" width="12" style="213" customWidth="1"/>
    <col min="13084" max="13084" width="9.28515625" style="213" customWidth="1"/>
    <col min="13085" max="13085" width="12" style="213" customWidth="1"/>
    <col min="13086" max="13086" width="11.140625" style="213" customWidth="1"/>
    <col min="13087" max="13087" width="11.5703125" style="213" customWidth="1"/>
    <col min="13088" max="13088" width="10.5703125" style="213" customWidth="1"/>
    <col min="13089" max="13311" width="11.42578125" style="213"/>
    <col min="13312" max="13312" width="5.140625" style="213" customWidth="1"/>
    <col min="13313" max="13313" width="11" style="213" customWidth="1"/>
    <col min="13314" max="13314" width="67.7109375" style="213" customWidth="1"/>
    <col min="13315" max="13315" width="4.5703125" style="213" customWidth="1"/>
    <col min="13316" max="13316" width="10.140625" style="213" customWidth="1"/>
    <col min="13317" max="13317" width="9.7109375" style="213" customWidth="1"/>
    <col min="13318" max="13318" width="14" style="213" customWidth="1"/>
    <col min="13319" max="13319" width="13" style="213" customWidth="1"/>
    <col min="13320" max="13320" width="12.5703125" style="213" customWidth="1"/>
    <col min="13321" max="13321" width="11.42578125" style="213" customWidth="1"/>
    <col min="13322" max="13322" width="9.7109375" style="213" customWidth="1"/>
    <col min="13323" max="13323" width="10.85546875" style="213" customWidth="1"/>
    <col min="13324" max="13324" width="9.7109375" style="213" customWidth="1"/>
    <col min="13325" max="13325" width="10.5703125" style="213" customWidth="1"/>
    <col min="13326" max="13326" width="9.7109375" style="213" customWidth="1"/>
    <col min="13327" max="13327" width="12.28515625" style="213" customWidth="1"/>
    <col min="13328" max="13328" width="9.7109375" style="213" customWidth="1"/>
    <col min="13329" max="13329" width="12.140625" style="213" customWidth="1"/>
    <col min="13330" max="13330" width="9.7109375" style="213" customWidth="1"/>
    <col min="13331" max="13331" width="13" style="213" customWidth="1"/>
    <col min="13332" max="13332" width="9.7109375" style="213" customWidth="1"/>
    <col min="13333" max="13333" width="12.140625" style="213" customWidth="1"/>
    <col min="13334" max="13334" width="9.7109375" style="213" customWidth="1"/>
    <col min="13335" max="13335" width="13.28515625" style="213" customWidth="1"/>
    <col min="13336" max="13336" width="9.7109375" style="213" customWidth="1"/>
    <col min="13337" max="13337" width="11.85546875" style="213" customWidth="1"/>
    <col min="13338" max="13338" width="9.7109375" style="213" customWidth="1"/>
    <col min="13339" max="13339" width="12" style="213" customWidth="1"/>
    <col min="13340" max="13340" width="9.28515625" style="213" customWidth="1"/>
    <col min="13341" max="13341" width="12" style="213" customWidth="1"/>
    <col min="13342" max="13342" width="11.140625" style="213" customWidth="1"/>
    <col min="13343" max="13343" width="11.5703125" style="213" customWidth="1"/>
    <col min="13344" max="13344" width="10.5703125" style="213" customWidth="1"/>
    <col min="13345" max="13567" width="11.42578125" style="213"/>
    <col min="13568" max="13568" width="5.140625" style="213" customWidth="1"/>
    <col min="13569" max="13569" width="11" style="213" customWidth="1"/>
    <col min="13570" max="13570" width="67.7109375" style="213" customWidth="1"/>
    <col min="13571" max="13571" width="4.5703125" style="213" customWidth="1"/>
    <col min="13572" max="13572" width="10.140625" style="213" customWidth="1"/>
    <col min="13573" max="13573" width="9.7109375" style="213" customWidth="1"/>
    <col min="13574" max="13574" width="14" style="213" customWidth="1"/>
    <col min="13575" max="13575" width="13" style="213" customWidth="1"/>
    <col min="13576" max="13576" width="12.5703125" style="213" customWidth="1"/>
    <col min="13577" max="13577" width="11.42578125" style="213" customWidth="1"/>
    <col min="13578" max="13578" width="9.7109375" style="213" customWidth="1"/>
    <col min="13579" max="13579" width="10.85546875" style="213" customWidth="1"/>
    <col min="13580" max="13580" width="9.7109375" style="213" customWidth="1"/>
    <col min="13581" max="13581" width="10.5703125" style="213" customWidth="1"/>
    <col min="13582" max="13582" width="9.7109375" style="213" customWidth="1"/>
    <col min="13583" max="13583" width="12.28515625" style="213" customWidth="1"/>
    <col min="13584" max="13584" width="9.7109375" style="213" customWidth="1"/>
    <col min="13585" max="13585" width="12.140625" style="213" customWidth="1"/>
    <col min="13586" max="13586" width="9.7109375" style="213" customWidth="1"/>
    <col min="13587" max="13587" width="13" style="213" customWidth="1"/>
    <col min="13588" max="13588" width="9.7109375" style="213" customWidth="1"/>
    <col min="13589" max="13589" width="12.140625" style="213" customWidth="1"/>
    <col min="13590" max="13590" width="9.7109375" style="213" customWidth="1"/>
    <col min="13591" max="13591" width="13.28515625" style="213" customWidth="1"/>
    <col min="13592" max="13592" width="9.7109375" style="213" customWidth="1"/>
    <col min="13593" max="13593" width="11.85546875" style="213" customWidth="1"/>
    <col min="13594" max="13594" width="9.7109375" style="213" customWidth="1"/>
    <col min="13595" max="13595" width="12" style="213" customWidth="1"/>
    <col min="13596" max="13596" width="9.28515625" style="213" customWidth="1"/>
    <col min="13597" max="13597" width="12" style="213" customWidth="1"/>
    <col min="13598" max="13598" width="11.140625" style="213" customWidth="1"/>
    <col min="13599" max="13599" width="11.5703125" style="213" customWidth="1"/>
    <col min="13600" max="13600" width="10.5703125" style="213" customWidth="1"/>
    <col min="13601" max="13823" width="11.42578125" style="213"/>
    <col min="13824" max="13824" width="5.140625" style="213" customWidth="1"/>
    <col min="13825" max="13825" width="11" style="213" customWidth="1"/>
    <col min="13826" max="13826" width="67.7109375" style="213" customWidth="1"/>
    <col min="13827" max="13827" width="4.5703125" style="213" customWidth="1"/>
    <col min="13828" max="13828" width="10.140625" style="213" customWidth="1"/>
    <col min="13829" max="13829" width="9.7109375" style="213" customWidth="1"/>
    <col min="13830" max="13830" width="14" style="213" customWidth="1"/>
    <col min="13831" max="13831" width="13" style="213" customWidth="1"/>
    <col min="13832" max="13832" width="12.5703125" style="213" customWidth="1"/>
    <col min="13833" max="13833" width="11.42578125" style="213" customWidth="1"/>
    <col min="13834" max="13834" width="9.7109375" style="213" customWidth="1"/>
    <col min="13835" max="13835" width="10.85546875" style="213" customWidth="1"/>
    <col min="13836" max="13836" width="9.7109375" style="213" customWidth="1"/>
    <col min="13837" max="13837" width="10.5703125" style="213" customWidth="1"/>
    <col min="13838" max="13838" width="9.7109375" style="213" customWidth="1"/>
    <col min="13839" max="13839" width="12.28515625" style="213" customWidth="1"/>
    <col min="13840" max="13840" width="9.7109375" style="213" customWidth="1"/>
    <col min="13841" max="13841" width="12.140625" style="213" customWidth="1"/>
    <col min="13842" max="13842" width="9.7109375" style="213" customWidth="1"/>
    <col min="13843" max="13843" width="13" style="213" customWidth="1"/>
    <col min="13844" max="13844" width="9.7109375" style="213" customWidth="1"/>
    <col min="13845" max="13845" width="12.140625" style="213" customWidth="1"/>
    <col min="13846" max="13846" width="9.7109375" style="213" customWidth="1"/>
    <col min="13847" max="13847" width="13.28515625" style="213" customWidth="1"/>
    <col min="13848" max="13848" width="9.7109375" style="213" customWidth="1"/>
    <col min="13849" max="13849" width="11.85546875" style="213" customWidth="1"/>
    <col min="13850" max="13850" width="9.7109375" style="213" customWidth="1"/>
    <col min="13851" max="13851" width="12" style="213" customWidth="1"/>
    <col min="13852" max="13852" width="9.28515625" style="213" customWidth="1"/>
    <col min="13853" max="13853" width="12" style="213" customWidth="1"/>
    <col min="13854" max="13854" width="11.140625" style="213" customWidth="1"/>
    <col min="13855" max="13855" width="11.5703125" style="213" customWidth="1"/>
    <col min="13856" max="13856" width="10.5703125" style="213" customWidth="1"/>
    <col min="13857" max="14079" width="11.42578125" style="213"/>
    <col min="14080" max="14080" width="5.140625" style="213" customWidth="1"/>
    <col min="14081" max="14081" width="11" style="213" customWidth="1"/>
    <col min="14082" max="14082" width="67.7109375" style="213" customWidth="1"/>
    <col min="14083" max="14083" width="4.5703125" style="213" customWidth="1"/>
    <col min="14084" max="14084" width="10.140625" style="213" customWidth="1"/>
    <col min="14085" max="14085" width="9.7109375" style="213" customWidth="1"/>
    <col min="14086" max="14086" width="14" style="213" customWidth="1"/>
    <col min="14087" max="14087" width="13" style="213" customWidth="1"/>
    <col min="14088" max="14088" width="12.5703125" style="213" customWidth="1"/>
    <col min="14089" max="14089" width="11.42578125" style="213" customWidth="1"/>
    <col min="14090" max="14090" width="9.7109375" style="213" customWidth="1"/>
    <col min="14091" max="14091" width="10.85546875" style="213" customWidth="1"/>
    <col min="14092" max="14092" width="9.7109375" style="213" customWidth="1"/>
    <col min="14093" max="14093" width="10.5703125" style="213" customWidth="1"/>
    <col min="14094" max="14094" width="9.7109375" style="213" customWidth="1"/>
    <col min="14095" max="14095" width="12.28515625" style="213" customWidth="1"/>
    <col min="14096" max="14096" width="9.7109375" style="213" customWidth="1"/>
    <col min="14097" max="14097" width="12.140625" style="213" customWidth="1"/>
    <col min="14098" max="14098" width="9.7109375" style="213" customWidth="1"/>
    <col min="14099" max="14099" width="13" style="213" customWidth="1"/>
    <col min="14100" max="14100" width="9.7109375" style="213" customWidth="1"/>
    <col min="14101" max="14101" width="12.140625" style="213" customWidth="1"/>
    <col min="14102" max="14102" width="9.7109375" style="213" customWidth="1"/>
    <col min="14103" max="14103" width="13.28515625" style="213" customWidth="1"/>
    <col min="14104" max="14104" width="9.7109375" style="213" customWidth="1"/>
    <col min="14105" max="14105" width="11.85546875" style="213" customWidth="1"/>
    <col min="14106" max="14106" width="9.7109375" style="213" customWidth="1"/>
    <col min="14107" max="14107" width="12" style="213" customWidth="1"/>
    <col min="14108" max="14108" width="9.28515625" style="213" customWidth="1"/>
    <col min="14109" max="14109" width="12" style="213" customWidth="1"/>
    <col min="14110" max="14110" width="11.140625" style="213" customWidth="1"/>
    <col min="14111" max="14111" width="11.5703125" style="213" customWidth="1"/>
    <col min="14112" max="14112" width="10.5703125" style="213" customWidth="1"/>
    <col min="14113" max="14335" width="11.42578125" style="213"/>
    <col min="14336" max="14336" width="5.140625" style="213" customWidth="1"/>
    <col min="14337" max="14337" width="11" style="213" customWidth="1"/>
    <col min="14338" max="14338" width="67.7109375" style="213" customWidth="1"/>
    <col min="14339" max="14339" width="4.5703125" style="213" customWidth="1"/>
    <col min="14340" max="14340" width="10.140625" style="213" customWidth="1"/>
    <col min="14341" max="14341" width="9.7109375" style="213" customWidth="1"/>
    <col min="14342" max="14342" width="14" style="213" customWidth="1"/>
    <col min="14343" max="14343" width="13" style="213" customWidth="1"/>
    <col min="14344" max="14344" width="12.5703125" style="213" customWidth="1"/>
    <col min="14345" max="14345" width="11.42578125" style="213" customWidth="1"/>
    <col min="14346" max="14346" width="9.7109375" style="213" customWidth="1"/>
    <col min="14347" max="14347" width="10.85546875" style="213" customWidth="1"/>
    <col min="14348" max="14348" width="9.7109375" style="213" customWidth="1"/>
    <col min="14349" max="14349" width="10.5703125" style="213" customWidth="1"/>
    <col min="14350" max="14350" width="9.7109375" style="213" customWidth="1"/>
    <col min="14351" max="14351" width="12.28515625" style="213" customWidth="1"/>
    <col min="14352" max="14352" width="9.7109375" style="213" customWidth="1"/>
    <col min="14353" max="14353" width="12.140625" style="213" customWidth="1"/>
    <col min="14354" max="14354" width="9.7109375" style="213" customWidth="1"/>
    <col min="14355" max="14355" width="13" style="213" customWidth="1"/>
    <col min="14356" max="14356" width="9.7109375" style="213" customWidth="1"/>
    <col min="14357" max="14357" width="12.140625" style="213" customWidth="1"/>
    <col min="14358" max="14358" width="9.7109375" style="213" customWidth="1"/>
    <col min="14359" max="14359" width="13.28515625" style="213" customWidth="1"/>
    <col min="14360" max="14360" width="9.7109375" style="213" customWidth="1"/>
    <col min="14361" max="14361" width="11.85546875" style="213" customWidth="1"/>
    <col min="14362" max="14362" width="9.7109375" style="213" customWidth="1"/>
    <col min="14363" max="14363" width="12" style="213" customWidth="1"/>
    <col min="14364" max="14364" width="9.28515625" style="213" customWidth="1"/>
    <col min="14365" max="14365" width="12" style="213" customWidth="1"/>
    <col min="14366" max="14366" width="11.140625" style="213" customWidth="1"/>
    <col min="14367" max="14367" width="11.5703125" style="213" customWidth="1"/>
    <col min="14368" max="14368" width="10.5703125" style="213" customWidth="1"/>
    <col min="14369" max="14591" width="11.42578125" style="213"/>
    <col min="14592" max="14592" width="5.140625" style="213" customWidth="1"/>
    <col min="14593" max="14593" width="11" style="213" customWidth="1"/>
    <col min="14594" max="14594" width="67.7109375" style="213" customWidth="1"/>
    <col min="14595" max="14595" width="4.5703125" style="213" customWidth="1"/>
    <col min="14596" max="14596" width="10.140625" style="213" customWidth="1"/>
    <col min="14597" max="14597" width="9.7109375" style="213" customWidth="1"/>
    <col min="14598" max="14598" width="14" style="213" customWidth="1"/>
    <col min="14599" max="14599" width="13" style="213" customWidth="1"/>
    <col min="14600" max="14600" width="12.5703125" style="213" customWidth="1"/>
    <col min="14601" max="14601" width="11.42578125" style="213" customWidth="1"/>
    <col min="14602" max="14602" width="9.7109375" style="213" customWidth="1"/>
    <col min="14603" max="14603" width="10.85546875" style="213" customWidth="1"/>
    <col min="14604" max="14604" width="9.7109375" style="213" customWidth="1"/>
    <col min="14605" max="14605" width="10.5703125" style="213" customWidth="1"/>
    <col min="14606" max="14606" width="9.7109375" style="213" customWidth="1"/>
    <col min="14607" max="14607" width="12.28515625" style="213" customWidth="1"/>
    <col min="14608" max="14608" width="9.7109375" style="213" customWidth="1"/>
    <col min="14609" max="14609" width="12.140625" style="213" customWidth="1"/>
    <col min="14610" max="14610" width="9.7109375" style="213" customWidth="1"/>
    <col min="14611" max="14611" width="13" style="213" customWidth="1"/>
    <col min="14612" max="14612" width="9.7109375" style="213" customWidth="1"/>
    <col min="14613" max="14613" width="12.140625" style="213" customWidth="1"/>
    <col min="14614" max="14614" width="9.7109375" style="213" customWidth="1"/>
    <col min="14615" max="14615" width="13.28515625" style="213" customWidth="1"/>
    <col min="14616" max="14616" width="9.7109375" style="213" customWidth="1"/>
    <col min="14617" max="14617" width="11.85546875" style="213" customWidth="1"/>
    <col min="14618" max="14618" width="9.7109375" style="213" customWidth="1"/>
    <col min="14619" max="14619" width="12" style="213" customWidth="1"/>
    <col min="14620" max="14620" width="9.28515625" style="213" customWidth="1"/>
    <col min="14621" max="14621" width="12" style="213" customWidth="1"/>
    <col min="14622" max="14622" width="11.140625" style="213" customWidth="1"/>
    <col min="14623" max="14623" width="11.5703125" style="213" customWidth="1"/>
    <col min="14624" max="14624" width="10.5703125" style="213" customWidth="1"/>
    <col min="14625" max="14847" width="11.42578125" style="213"/>
    <col min="14848" max="14848" width="5.140625" style="213" customWidth="1"/>
    <col min="14849" max="14849" width="11" style="213" customWidth="1"/>
    <col min="14850" max="14850" width="67.7109375" style="213" customWidth="1"/>
    <col min="14851" max="14851" width="4.5703125" style="213" customWidth="1"/>
    <col min="14852" max="14852" width="10.140625" style="213" customWidth="1"/>
    <col min="14853" max="14853" width="9.7109375" style="213" customWidth="1"/>
    <col min="14854" max="14854" width="14" style="213" customWidth="1"/>
    <col min="14855" max="14855" width="13" style="213" customWidth="1"/>
    <col min="14856" max="14856" width="12.5703125" style="213" customWidth="1"/>
    <col min="14857" max="14857" width="11.42578125" style="213" customWidth="1"/>
    <col min="14858" max="14858" width="9.7109375" style="213" customWidth="1"/>
    <col min="14859" max="14859" width="10.85546875" style="213" customWidth="1"/>
    <col min="14860" max="14860" width="9.7109375" style="213" customWidth="1"/>
    <col min="14861" max="14861" width="10.5703125" style="213" customWidth="1"/>
    <col min="14862" max="14862" width="9.7109375" style="213" customWidth="1"/>
    <col min="14863" max="14863" width="12.28515625" style="213" customWidth="1"/>
    <col min="14864" max="14864" width="9.7109375" style="213" customWidth="1"/>
    <col min="14865" max="14865" width="12.140625" style="213" customWidth="1"/>
    <col min="14866" max="14866" width="9.7109375" style="213" customWidth="1"/>
    <col min="14867" max="14867" width="13" style="213" customWidth="1"/>
    <col min="14868" max="14868" width="9.7109375" style="213" customWidth="1"/>
    <col min="14869" max="14869" width="12.140625" style="213" customWidth="1"/>
    <col min="14870" max="14870" width="9.7109375" style="213" customWidth="1"/>
    <col min="14871" max="14871" width="13.28515625" style="213" customWidth="1"/>
    <col min="14872" max="14872" width="9.7109375" style="213" customWidth="1"/>
    <col min="14873" max="14873" width="11.85546875" style="213" customWidth="1"/>
    <col min="14874" max="14874" width="9.7109375" style="213" customWidth="1"/>
    <col min="14875" max="14875" width="12" style="213" customWidth="1"/>
    <col min="14876" max="14876" width="9.28515625" style="213" customWidth="1"/>
    <col min="14877" max="14877" width="12" style="213" customWidth="1"/>
    <col min="14878" max="14878" width="11.140625" style="213" customWidth="1"/>
    <col min="14879" max="14879" width="11.5703125" style="213" customWidth="1"/>
    <col min="14880" max="14880" width="10.5703125" style="213" customWidth="1"/>
    <col min="14881" max="15103" width="11.42578125" style="213"/>
    <col min="15104" max="15104" width="5.140625" style="213" customWidth="1"/>
    <col min="15105" max="15105" width="11" style="213" customWidth="1"/>
    <col min="15106" max="15106" width="67.7109375" style="213" customWidth="1"/>
    <col min="15107" max="15107" width="4.5703125" style="213" customWidth="1"/>
    <col min="15108" max="15108" width="10.140625" style="213" customWidth="1"/>
    <col min="15109" max="15109" width="9.7109375" style="213" customWidth="1"/>
    <col min="15110" max="15110" width="14" style="213" customWidth="1"/>
    <col min="15111" max="15111" width="13" style="213" customWidth="1"/>
    <col min="15112" max="15112" width="12.5703125" style="213" customWidth="1"/>
    <col min="15113" max="15113" width="11.42578125" style="213" customWidth="1"/>
    <col min="15114" max="15114" width="9.7109375" style="213" customWidth="1"/>
    <col min="15115" max="15115" width="10.85546875" style="213" customWidth="1"/>
    <col min="15116" max="15116" width="9.7109375" style="213" customWidth="1"/>
    <col min="15117" max="15117" width="10.5703125" style="213" customWidth="1"/>
    <col min="15118" max="15118" width="9.7109375" style="213" customWidth="1"/>
    <col min="15119" max="15119" width="12.28515625" style="213" customWidth="1"/>
    <col min="15120" max="15120" width="9.7109375" style="213" customWidth="1"/>
    <col min="15121" max="15121" width="12.140625" style="213" customWidth="1"/>
    <col min="15122" max="15122" width="9.7109375" style="213" customWidth="1"/>
    <col min="15123" max="15123" width="13" style="213" customWidth="1"/>
    <col min="15124" max="15124" width="9.7109375" style="213" customWidth="1"/>
    <col min="15125" max="15125" width="12.140625" style="213" customWidth="1"/>
    <col min="15126" max="15126" width="9.7109375" style="213" customWidth="1"/>
    <col min="15127" max="15127" width="13.28515625" style="213" customWidth="1"/>
    <col min="15128" max="15128" width="9.7109375" style="213" customWidth="1"/>
    <col min="15129" max="15129" width="11.85546875" style="213" customWidth="1"/>
    <col min="15130" max="15130" width="9.7109375" style="213" customWidth="1"/>
    <col min="15131" max="15131" width="12" style="213" customWidth="1"/>
    <col min="15132" max="15132" width="9.28515625" style="213" customWidth="1"/>
    <col min="15133" max="15133" width="12" style="213" customWidth="1"/>
    <col min="15134" max="15134" width="11.140625" style="213" customWidth="1"/>
    <col min="15135" max="15135" width="11.5703125" style="213" customWidth="1"/>
    <col min="15136" max="15136" width="10.5703125" style="213" customWidth="1"/>
    <col min="15137" max="15359" width="11.42578125" style="213"/>
    <col min="15360" max="15360" width="5.140625" style="213" customWidth="1"/>
    <col min="15361" max="15361" width="11" style="213" customWidth="1"/>
    <col min="15362" max="15362" width="67.7109375" style="213" customWidth="1"/>
    <col min="15363" max="15363" width="4.5703125" style="213" customWidth="1"/>
    <col min="15364" max="15364" width="10.140625" style="213" customWidth="1"/>
    <col min="15365" max="15365" width="9.7109375" style="213" customWidth="1"/>
    <col min="15366" max="15366" width="14" style="213" customWidth="1"/>
    <col min="15367" max="15367" width="13" style="213" customWidth="1"/>
    <col min="15368" max="15368" width="12.5703125" style="213" customWidth="1"/>
    <col min="15369" max="15369" width="11.42578125" style="213" customWidth="1"/>
    <col min="15370" max="15370" width="9.7109375" style="213" customWidth="1"/>
    <col min="15371" max="15371" width="10.85546875" style="213" customWidth="1"/>
    <col min="15372" max="15372" width="9.7109375" style="213" customWidth="1"/>
    <col min="15373" max="15373" width="10.5703125" style="213" customWidth="1"/>
    <col min="15374" max="15374" width="9.7109375" style="213" customWidth="1"/>
    <col min="15375" max="15375" width="12.28515625" style="213" customWidth="1"/>
    <col min="15376" max="15376" width="9.7109375" style="213" customWidth="1"/>
    <col min="15377" max="15377" width="12.140625" style="213" customWidth="1"/>
    <col min="15378" max="15378" width="9.7109375" style="213" customWidth="1"/>
    <col min="15379" max="15379" width="13" style="213" customWidth="1"/>
    <col min="15380" max="15380" width="9.7109375" style="213" customWidth="1"/>
    <col min="15381" max="15381" width="12.140625" style="213" customWidth="1"/>
    <col min="15382" max="15382" width="9.7109375" style="213" customWidth="1"/>
    <col min="15383" max="15383" width="13.28515625" style="213" customWidth="1"/>
    <col min="15384" max="15384" width="9.7109375" style="213" customWidth="1"/>
    <col min="15385" max="15385" width="11.85546875" style="213" customWidth="1"/>
    <col min="15386" max="15386" width="9.7109375" style="213" customWidth="1"/>
    <col min="15387" max="15387" width="12" style="213" customWidth="1"/>
    <col min="15388" max="15388" width="9.28515625" style="213" customWidth="1"/>
    <col min="15389" max="15389" width="12" style="213" customWidth="1"/>
    <col min="15390" max="15390" width="11.140625" style="213" customWidth="1"/>
    <col min="15391" max="15391" width="11.5703125" style="213" customWidth="1"/>
    <col min="15392" max="15392" width="10.5703125" style="213" customWidth="1"/>
    <col min="15393" max="15615" width="11.42578125" style="213"/>
    <col min="15616" max="15616" width="5.140625" style="213" customWidth="1"/>
    <col min="15617" max="15617" width="11" style="213" customWidth="1"/>
    <col min="15618" max="15618" width="67.7109375" style="213" customWidth="1"/>
    <col min="15619" max="15619" width="4.5703125" style="213" customWidth="1"/>
    <col min="15620" max="15620" width="10.140625" style="213" customWidth="1"/>
    <col min="15621" max="15621" width="9.7109375" style="213" customWidth="1"/>
    <col min="15622" max="15622" width="14" style="213" customWidth="1"/>
    <col min="15623" max="15623" width="13" style="213" customWidth="1"/>
    <col min="15624" max="15624" width="12.5703125" style="213" customWidth="1"/>
    <col min="15625" max="15625" width="11.42578125" style="213" customWidth="1"/>
    <col min="15626" max="15626" width="9.7109375" style="213" customWidth="1"/>
    <col min="15627" max="15627" width="10.85546875" style="213" customWidth="1"/>
    <col min="15628" max="15628" width="9.7109375" style="213" customWidth="1"/>
    <col min="15629" max="15629" width="10.5703125" style="213" customWidth="1"/>
    <col min="15630" max="15630" width="9.7109375" style="213" customWidth="1"/>
    <col min="15631" max="15631" width="12.28515625" style="213" customWidth="1"/>
    <col min="15632" max="15632" width="9.7109375" style="213" customWidth="1"/>
    <col min="15633" max="15633" width="12.140625" style="213" customWidth="1"/>
    <col min="15634" max="15634" width="9.7109375" style="213" customWidth="1"/>
    <col min="15635" max="15635" width="13" style="213" customWidth="1"/>
    <col min="15636" max="15636" width="9.7109375" style="213" customWidth="1"/>
    <col min="15637" max="15637" width="12.140625" style="213" customWidth="1"/>
    <col min="15638" max="15638" width="9.7109375" style="213" customWidth="1"/>
    <col min="15639" max="15639" width="13.28515625" style="213" customWidth="1"/>
    <col min="15640" max="15640" width="9.7109375" style="213" customWidth="1"/>
    <col min="15641" max="15641" width="11.85546875" style="213" customWidth="1"/>
    <col min="15642" max="15642" width="9.7109375" style="213" customWidth="1"/>
    <col min="15643" max="15643" width="12" style="213" customWidth="1"/>
    <col min="15644" max="15644" width="9.28515625" style="213" customWidth="1"/>
    <col min="15645" max="15645" width="12" style="213" customWidth="1"/>
    <col min="15646" max="15646" width="11.140625" style="213" customWidth="1"/>
    <col min="15647" max="15647" width="11.5703125" style="213" customWidth="1"/>
    <col min="15648" max="15648" width="10.5703125" style="213" customWidth="1"/>
    <col min="15649" max="15871" width="11.42578125" style="213"/>
    <col min="15872" max="15872" width="5.140625" style="213" customWidth="1"/>
    <col min="15873" max="15873" width="11" style="213" customWidth="1"/>
    <col min="15874" max="15874" width="67.7109375" style="213" customWidth="1"/>
    <col min="15875" max="15875" width="4.5703125" style="213" customWidth="1"/>
    <col min="15876" max="15876" width="10.140625" style="213" customWidth="1"/>
    <col min="15877" max="15877" width="9.7109375" style="213" customWidth="1"/>
    <col min="15878" max="15878" width="14" style="213" customWidth="1"/>
    <col min="15879" max="15879" width="13" style="213" customWidth="1"/>
    <col min="15880" max="15880" width="12.5703125" style="213" customWidth="1"/>
    <col min="15881" max="15881" width="11.42578125" style="213" customWidth="1"/>
    <col min="15882" max="15882" width="9.7109375" style="213" customWidth="1"/>
    <col min="15883" max="15883" width="10.85546875" style="213" customWidth="1"/>
    <col min="15884" max="15884" width="9.7109375" style="213" customWidth="1"/>
    <col min="15885" max="15885" width="10.5703125" style="213" customWidth="1"/>
    <col min="15886" max="15886" width="9.7109375" style="213" customWidth="1"/>
    <col min="15887" max="15887" width="12.28515625" style="213" customWidth="1"/>
    <col min="15888" max="15888" width="9.7109375" style="213" customWidth="1"/>
    <col min="15889" max="15889" width="12.140625" style="213" customWidth="1"/>
    <col min="15890" max="15890" width="9.7109375" style="213" customWidth="1"/>
    <col min="15891" max="15891" width="13" style="213" customWidth="1"/>
    <col min="15892" max="15892" width="9.7109375" style="213" customWidth="1"/>
    <col min="15893" max="15893" width="12.140625" style="213" customWidth="1"/>
    <col min="15894" max="15894" width="9.7109375" style="213" customWidth="1"/>
    <col min="15895" max="15895" width="13.28515625" style="213" customWidth="1"/>
    <col min="15896" max="15896" width="9.7109375" style="213" customWidth="1"/>
    <col min="15897" max="15897" width="11.85546875" style="213" customWidth="1"/>
    <col min="15898" max="15898" width="9.7109375" style="213" customWidth="1"/>
    <col min="15899" max="15899" width="12" style="213" customWidth="1"/>
    <col min="15900" max="15900" width="9.28515625" style="213" customWidth="1"/>
    <col min="15901" max="15901" width="12" style="213" customWidth="1"/>
    <col min="15902" max="15902" width="11.140625" style="213" customWidth="1"/>
    <col min="15903" max="15903" width="11.5703125" style="213" customWidth="1"/>
    <col min="15904" max="15904" width="10.5703125" style="213" customWidth="1"/>
    <col min="15905" max="16127" width="11.42578125" style="213"/>
    <col min="16128" max="16128" width="5.140625" style="213" customWidth="1"/>
    <col min="16129" max="16129" width="11" style="213" customWidth="1"/>
    <col min="16130" max="16130" width="67.7109375" style="213" customWidth="1"/>
    <col min="16131" max="16131" width="4.5703125" style="213" customWidth="1"/>
    <col min="16132" max="16132" width="10.140625" style="213" customWidth="1"/>
    <col min="16133" max="16133" width="9.7109375" style="213" customWidth="1"/>
    <col min="16134" max="16134" width="14" style="213" customWidth="1"/>
    <col min="16135" max="16135" width="13" style="213" customWidth="1"/>
    <col min="16136" max="16136" width="12.5703125" style="213" customWidth="1"/>
    <col min="16137" max="16137" width="11.42578125" style="213" customWidth="1"/>
    <col min="16138" max="16138" width="9.7109375" style="213" customWidth="1"/>
    <col min="16139" max="16139" width="10.85546875" style="213" customWidth="1"/>
    <col min="16140" max="16140" width="9.7109375" style="213" customWidth="1"/>
    <col min="16141" max="16141" width="10.5703125" style="213" customWidth="1"/>
    <col min="16142" max="16142" width="9.7109375" style="213" customWidth="1"/>
    <col min="16143" max="16143" width="12.28515625" style="213" customWidth="1"/>
    <col min="16144" max="16144" width="9.7109375" style="213" customWidth="1"/>
    <col min="16145" max="16145" width="12.140625" style="213" customWidth="1"/>
    <col min="16146" max="16146" width="9.7109375" style="213" customWidth="1"/>
    <col min="16147" max="16147" width="13" style="213" customWidth="1"/>
    <col min="16148" max="16148" width="9.7109375" style="213" customWidth="1"/>
    <col min="16149" max="16149" width="12.140625" style="213" customWidth="1"/>
    <col min="16150" max="16150" width="9.7109375" style="213" customWidth="1"/>
    <col min="16151" max="16151" width="13.28515625" style="213" customWidth="1"/>
    <col min="16152" max="16152" width="9.7109375" style="213" customWidth="1"/>
    <col min="16153" max="16153" width="11.85546875" style="213" customWidth="1"/>
    <col min="16154" max="16154" width="9.7109375" style="213" customWidth="1"/>
    <col min="16155" max="16155" width="12" style="213" customWidth="1"/>
    <col min="16156" max="16156" width="9.28515625" style="213" customWidth="1"/>
    <col min="16157" max="16157" width="12" style="213" customWidth="1"/>
    <col min="16158" max="16158" width="11.140625" style="213" customWidth="1"/>
    <col min="16159" max="16159" width="11.5703125" style="213" customWidth="1"/>
    <col min="16160" max="16160" width="10.5703125" style="213" customWidth="1"/>
    <col min="16161" max="16384" width="11.42578125" style="213"/>
  </cols>
  <sheetData>
    <row r="1" spans="1:36" s="3165" customFormat="1" ht="14.25" thickBot="1" x14ac:dyDescent="0.3">
      <c r="A1" s="3687"/>
      <c r="B1" s="3166"/>
      <c r="D1" s="3166"/>
      <c r="E1" s="3166"/>
      <c r="F1" s="3166"/>
      <c r="G1" s="3166"/>
      <c r="H1" s="3166"/>
      <c r="K1" s="3679"/>
      <c r="M1" s="3679"/>
      <c r="N1" s="3806"/>
      <c r="O1" s="3679"/>
      <c r="P1" s="3806"/>
      <c r="Q1" s="3679"/>
      <c r="R1" s="3806"/>
      <c r="S1" s="3679"/>
      <c r="T1" s="3806"/>
      <c r="U1" s="3679"/>
      <c r="V1" s="3806"/>
      <c r="W1" s="3679"/>
      <c r="X1" s="3806"/>
      <c r="Y1" s="3679"/>
      <c r="Z1" s="3806"/>
      <c r="AA1" s="3679"/>
      <c r="AC1" s="3679"/>
      <c r="AE1" s="3679"/>
      <c r="AG1" s="3679"/>
      <c r="AI1" s="3679"/>
    </row>
    <row r="2" spans="1:36" s="3165" customFormat="1" ht="15.75" customHeight="1" thickBot="1" x14ac:dyDescent="0.3">
      <c r="A2" s="3181"/>
      <c r="B2" s="5144" t="s">
        <v>5351</v>
      </c>
      <c r="C2" s="5145"/>
      <c r="D2" s="5145"/>
      <c r="E2" s="5145"/>
      <c r="F2" s="5145"/>
      <c r="G2" s="5145"/>
      <c r="H2" s="5145"/>
      <c r="I2" s="5145"/>
      <c r="J2" s="5145"/>
      <c r="K2" s="5145"/>
      <c r="L2" s="5145"/>
      <c r="M2" s="5145"/>
      <c r="N2" s="5145"/>
      <c r="O2" s="5145"/>
      <c r="P2" s="5145"/>
      <c r="Q2" s="5145"/>
      <c r="R2" s="5145"/>
      <c r="S2" s="5145"/>
      <c r="T2" s="5145"/>
      <c r="U2" s="5145"/>
      <c r="V2" s="5145"/>
      <c r="W2" s="5145"/>
      <c r="X2" s="5145"/>
      <c r="Y2" s="5145"/>
      <c r="Z2" s="5145"/>
      <c r="AA2" s="5145"/>
      <c r="AB2" s="5145"/>
      <c r="AC2" s="5145"/>
      <c r="AD2" s="5145"/>
      <c r="AE2" s="5145"/>
      <c r="AF2" s="5145"/>
      <c r="AG2" s="5145"/>
      <c r="AH2" s="5145"/>
      <c r="AI2" s="5146"/>
    </row>
    <row r="3" spans="1:36" s="3165" customFormat="1" x14ac:dyDescent="0.25">
      <c r="A3" s="3181"/>
      <c r="B3" s="3186"/>
      <c r="C3" s="3181"/>
      <c r="D3" s="3187"/>
      <c r="E3" s="3187"/>
      <c r="F3" s="3187"/>
      <c r="G3" s="3187"/>
      <c r="H3" s="3187"/>
      <c r="I3" s="3181"/>
      <c r="J3" s="3181"/>
      <c r="K3" s="2287"/>
      <c r="L3" s="3181"/>
      <c r="M3" s="2287"/>
      <c r="N3" s="3807"/>
      <c r="O3" s="2287"/>
      <c r="P3" s="3807"/>
      <c r="Q3" s="2287"/>
      <c r="R3" s="3807"/>
      <c r="S3" s="2287"/>
      <c r="T3" s="3807"/>
      <c r="U3" s="2287"/>
      <c r="V3" s="3807"/>
      <c r="W3" s="2287"/>
      <c r="X3" s="3807"/>
      <c r="Y3" s="2287"/>
      <c r="Z3" s="3807"/>
      <c r="AA3" s="2287"/>
      <c r="AB3" s="3181"/>
      <c r="AC3" s="2287"/>
      <c r="AD3" s="3181"/>
      <c r="AE3" s="2287"/>
      <c r="AF3" s="3181"/>
      <c r="AG3" s="2287"/>
      <c r="AH3" s="3181"/>
      <c r="AI3" s="3817"/>
    </row>
    <row r="4" spans="1:36" s="3165" customFormat="1" ht="13.5" customHeight="1" x14ac:dyDescent="0.25">
      <c r="A4" s="3181"/>
      <c r="B4" s="3154" t="s">
        <v>5298</v>
      </c>
      <c r="C4" s="5050" t="s">
        <v>5347</v>
      </c>
      <c r="D4" s="5050"/>
      <c r="E4" s="5050"/>
      <c r="F4" s="5050"/>
      <c r="G4" s="5050"/>
      <c r="H4" s="5050"/>
      <c r="I4" s="5050"/>
      <c r="J4" s="5050"/>
      <c r="K4" s="5050"/>
      <c r="L4" s="5050"/>
      <c r="M4" s="5050"/>
      <c r="N4" s="5050"/>
      <c r="O4" s="5050"/>
      <c r="P4" s="5050"/>
      <c r="Q4" s="5050"/>
      <c r="R4" s="5050"/>
      <c r="S4" s="5050"/>
      <c r="T4" s="5050"/>
      <c r="U4" s="5050"/>
      <c r="V4" s="5050"/>
      <c r="W4" s="5050"/>
      <c r="X4" s="5050"/>
      <c r="Y4" s="5050"/>
      <c r="Z4" s="3807"/>
      <c r="AA4" s="2287"/>
      <c r="AB4" s="3181"/>
      <c r="AC4" s="2287"/>
      <c r="AD4" s="3181"/>
      <c r="AE4" s="2287"/>
      <c r="AF4" s="3181"/>
      <c r="AG4" s="2287"/>
      <c r="AH4" s="3181"/>
      <c r="AI4" s="3817"/>
    </row>
    <row r="5" spans="1:36" s="3165" customFormat="1" ht="13.5" x14ac:dyDescent="0.25">
      <c r="A5" s="3181"/>
      <c r="B5" s="3154" t="s">
        <v>5299</v>
      </c>
      <c r="C5" s="3160" t="s">
        <v>5348</v>
      </c>
      <c r="D5" s="3499"/>
      <c r="E5" s="3499"/>
      <c r="F5" s="3499"/>
      <c r="G5" s="3499"/>
      <c r="H5" s="3499"/>
      <c r="I5" s="3499"/>
      <c r="J5" s="3772"/>
      <c r="K5" s="3809"/>
      <c r="L5" s="3772"/>
      <c r="M5" s="3809"/>
      <c r="N5" s="3772"/>
      <c r="O5" s="3809"/>
      <c r="P5" s="3772"/>
      <c r="Q5" s="3809"/>
      <c r="R5" s="3772"/>
      <c r="S5" s="3809"/>
      <c r="T5" s="3772"/>
      <c r="U5" s="3809"/>
      <c r="V5" s="3772"/>
      <c r="W5" s="3809"/>
      <c r="X5" s="3772"/>
      <c r="Y5" s="3809"/>
      <c r="Z5" s="3807"/>
      <c r="AA5" s="2287"/>
      <c r="AB5" s="3181"/>
      <c r="AC5" s="2287"/>
      <c r="AD5" s="3181"/>
      <c r="AE5" s="2287"/>
      <c r="AF5" s="3181"/>
      <c r="AG5" s="2287"/>
      <c r="AH5" s="3181"/>
      <c r="AI5" s="3817"/>
    </row>
    <row r="6" spans="1:36" s="3165" customFormat="1" ht="13.5" x14ac:dyDescent="0.25">
      <c r="A6" s="3181"/>
      <c r="B6" s="3183" t="s">
        <v>5300</v>
      </c>
      <c r="C6" s="3167" t="s">
        <v>5349</v>
      </c>
      <c r="D6" s="3167"/>
      <c r="E6" s="3168"/>
      <c r="F6" s="3168"/>
      <c r="G6" s="3168"/>
      <c r="H6" s="3168"/>
      <c r="I6" s="3168"/>
      <c r="J6" s="3797"/>
      <c r="K6" s="3810"/>
      <c r="L6" s="3797"/>
      <c r="M6" s="3810"/>
      <c r="N6" s="3797"/>
      <c r="O6" s="3810"/>
      <c r="P6" s="3797"/>
      <c r="Q6" s="3810"/>
      <c r="R6" s="3797"/>
      <c r="S6" s="3810"/>
      <c r="T6" s="3797"/>
      <c r="U6" s="3810"/>
      <c r="V6" s="3797"/>
      <c r="W6" s="3810"/>
      <c r="X6" s="3797"/>
      <c r="Y6" s="3810"/>
      <c r="Z6" s="3807"/>
      <c r="AA6" s="2287"/>
      <c r="AB6" s="3181"/>
      <c r="AC6" s="2287"/>
      <c r="AD6" s="3181"/>
      <c r="AE6" s="2287"/>
      <c r="AF6" s="3181"/>
      <c r="AG6" s="2287"/>
      <c r="AH6" s="3181"/>
      <c r="AI6" s="3817"/>
    </row>
    <row r="7" spans="1:36" s="3165" customFormat="1" ht="27" x14ac:dyDescent="0.25">
      <c r="A7" s="3181"/>
      <c r="B7" s="3184" t="s">
        <v>5301</v>
      </c>
      <c r="C7" s="3169" t="s">
        <v>5302</v>
      </c>
      <c r="D7" s="3169"/>
      <c r="E7" s="3185"/>
      <c r="F7" s="3185"/>
      <c r="G7" s="3185"/>
      <c r="H7" s="3185"/>
      <c r="I7" s="3185"/>
      <c r="J7" s="3800"/>
      <c r="K7" s="3811"/>
      <c r="L7" s="3800"/>
      <c r="M7" s="3811"/>
      <c r="N7" s="3800"/>
      <c r="O7" s="3811"/>
      <c r="P7" s="3800"/>
      <c r="Q7" s="3811"/>
      <c r="R7" s="3800"/>
      <c r="S7" s="3811"/>
      <c r="T7" s="3800"/>
      <c r="U7" s="3811"/>
      <c r="V7" s="3800"/>
      <c r="W7" s="3811"/>
      <c r="X7" s="3800"/>
      <c r="Y7" s="3811"/>
      <c r="Z7" s="3807"/>
      <c r="AA7" s="2287"/>
      <c r="AB7" s="3181"/>
      <c r="AC7" s="2287"/>
      <c r="AD7" s="3181"/>
      <c r="AE7" s="2287"/>
      <c r="AF7" s="3181"/>
      <c r="AG7" s="2287"/>
      <c r="AH7" s="3181"/>
      <c r="AI7" s="3817"/>
    </row>
    <row r="8" spans="1:36" s="3165" customFormat="1" ht="13.5" x14ac:dyDescent="0.25">
      <c r="A8" s="3181"/>
      <c r="B8" s="3183" t="s">
        <v>5303</v>
      </c>
      <c r="C8" s="3686">
        <f>I65</f>
        <v>14010827.839237938</v>
      </c>
      <c r="D8" s="3170"/>
      <c r="E8" s="3185"/>
      <c r="F8" s="3185"/>
      <c r="G8" s="3185"/>
      <c r="H8" s="3185"/>
      <c r="I8" s="3185"/>
      <c r="J8" s="3800"/>
      <c r="K8" s="3811"/>
      <c r="L8" s="3800"/>
      <c r="M8" s="3811"/>
      <c r="N8" s="3800"/>
      <c r="O8" s="3811"/>
      <c r="P8" s="3800"/>
      <c r="Q8" s="3811"/>
      <c r="R8" s="3800"/>
      <c r="S8" s="3811"/>
      <c r="T8" s="3800"/>
      <c r="U8" s="3811"/>
      <c r="V8" s="3800"/>
      <c r="W8" s="3811"/>
      <c r="X8" s="3800"/>
      <c r="Y8" s="3811"/>
      <c r="Z8" s="3807"/>
      <c r="AA8" s="2287"/>
      <c r="AB8" s="3181"/>
      <c r="AC8" s="2287"/>
      <c r="AD8" s="3181"/>
      <c r="AE8" s="2287"/>
      <c r="AF8" s="3181"/>
      <c r="AG8" s="2287"/>
      <c r="AH8" s="3181"/>
      <c r="AI8" s="3817"/>
    </row>
    <row r="9" spans="1:36" s="3165" customFormat="1" ht="14.25" thickBot="1" x14ac:dyDescent="0.3">
      <c r="A9" s="3181"/>
      <c r="B9" s="3682"/>
      <c r="C9" s="3683"/>
      <c r="D9" s="3683"/>
      <c r="E9" s="3684"/>
      <c r="F9" s="3684"/>
      <c r="G9" s="3684"/>
      <c r="H9" s="3684"/>
      <c r="I9" s="3684"/>
      <c r="J9" s="3801"/>
      <c r="K9" s="3812"/>
      <c r="L9" s="3801"/>
      <c r="M9" s="3812"/>
      <c r="N9" s="3801"/>
      <c r="O9" s="3812"/>
      <c r="P9" s="3801"/>
      <c r="Q9" s="3812"/>
      <c r="R9" s="3801"/>
      <c r="S9" s="3812"/>
      <c r="T9" s="3801"/>
      <c r="U9" s="3812"/>
      <c r="V9" s="3801"/>
      <c r="W9" s="3812"/>
      <c r="X9" s="3801"/>
      <c r="Y9" s="3812"/>
      <c r="Z9" s="3808"/>
      <c r="AA9" s="3816"/>
      <c r="AB9" s="3685"/>
      <c r="AC9" s="3816"/>
      <c r="AD9" s="3685"/>
      <c r="AE9" s="3816"/>
      <c r="AF9" s="3685"/>
      <c r="AG9" s="3816"/>
      <c r="AH9" s="3685"/>
      <c r="AI9" s="3818"/>
    </row>
    <row r="10" spans="1:36" ht="13.5" thickBot="1" x14ac:dyDescent="0.3">
      <c r="B10" s="5158" t="s">
        <v>3723</v>
      </c>
      <c r="C10" s="5160" t="s">
        <v>5352</v>
      </c>
      <c r="D10" s="5160" t="s">
        <v>5353</v>
      </c>
      <c r="E10" s="5162" t="s">
        <v>5918</v>
      </c>
      <c r="F10" s="5163"/>
      <c r="G10" s="5162" t="s">
        <v>5919</v>
      </c>
      <c r="H10" s="5163"/>
      <c r="I10" s="5160" t="s">
        <v>0</v>
      </c>
      <c r="J10" s="5157" t="s">
        <v>5354</v>
      </c>
      <c r="K10" s="5157"/>
      <c r="L10" s="5157" t="s">
        <v>5355</v>
      </c>
      <c r="M10" s="5157"/>
      <c r="N10" s="5157" t="s">
        <v>5356</v>
      </c>
      <c r="O10" s="5157"/>
      <c r="P10" s="5157" t="s">
        <v>5357</v>
      </c>
      <c r="Q10" s="5157"/>
      <c r="R10" s="5157" t="s">
        <v>5358</v>
      </c>
      <c r="S10" s="5157"/>
      <c r="T10" s="5157" t="s">
        <v>5359</v>
      </c>
      <c r="U10" s="5157"/>
      <c r="V10" s="5157" t="s">
        <v>5360</v>
      </c>
      <c r="W10" s="5157"/>
      <c r="X10" s="5157" t="s">
        <v>5361</v>
      </c>
      <c r="Y10" s="5157"/>
      <c r="Z10" s="5157" t="s">
        <v>5362</v>
      </c>
      <c r="AA10" s="5157"/>
      <c r="AB10" s="5157" t="s">
        <v>5363</v>
      </c>
      <c r="AC10" s="5157"/>
      <c r="AD10" s="5157" t="s">
        <v>5364</v>
      </c>
      <c r="AE10" s="5157"/>
      <c r="AF10" s="5157" t="s">
        <v>5365</v>
      </c>
      <c r="AG10" s="5157"/>
      <c r="AH10" s="5157" t="s">
        <v>0</v>
      </c>
      <c r="AI10" s="5165"/>
    </row>
    <row r="11" spans="1:36" ht="13.5" thickBot="1" x14ac:dyDescent="0.3">
      <c r="B11" s="5159"/>
      <c r="C11" s="5161"/>
      <c r="D11" s="5161"/>
      <c r="E11" s="3171" t="s">
        <v>3850</v>
      </c>
      <c r="F11" s="3171" t="s">
        <v>3847</v>
      </c>
      <c r="G11" s="3171" t="s">
        <v>3850</v>
      </c>
      <c r="H11" s="3482" t="s">
        <v>3847</v>
      </c>
      <c r="I11" s="5161"/>
      <c r="J11" s="3802" t="s">
        <v>5961</v>
      </c>
      <c r="K11" s="3813" t="s">
        <v>5961</v>
      </c>
      <c r="L11" s="3802" t="s">
        <v>5961</v>
      </c>
      <c r="M11" s="3813" t="s">
        <v>5366</v>
      </c>
      <c r="N11" s="3802" t="s">
        <v>5961</v>
      </c>
      <c r="O11" s="3813" t="s">
        <v>5366</v>
      </c>
      <c r="P11" s="3802" t="s">
        <v>5961</v>
      </c>
      <c r="Q11" s="3813" t="s">
        <v>5366</v>
      </c>
      <c r="R11" s="3802" t="s">
        <v>5961</v>
      </c>
      <c r="S11" s="3813" t="s">
        <v>5366</v>
      </c>
      <c r="T11" s="3802" t="s">
        <v>5961</v>
      </c>
      <c r="U11" s="3813" t="s">
        <v>5366</v>
      </c>
      <c r="V11" s="3802" t="s">
        <v>5961</v>
      </c>
      <c r="W11" s="3813" t="s">
        <v>5366</v>
      </c>
      <c r="X11" s="3802" t="s">
        <v>5961</v>
      </c>
      <c r="Y11" s="3813" t="s">
        <v>5366</v>
      </c>
      <c r="Z11" s="3802" t="s">
        <v>5961</v>
      </c>
      <c r="AA11" s="3813" t="s">
        <v>5366</v>
      </c>
      <c r="AB11" s="3802" t="s">
        <v>5961</v>
      </c>
      <c r="AC11" s="3813" t="s">
        <v>5366</v>
      </c>
      <c r="AD11" s="3802" t="s">
        <v>5961</v>
      </c>
      <c r="AE11" s="3813" t="s">
        <v>5366</v>
      </c>
      <c r="AF11" s="3802" t="s">
        <v>5961</v>
      </c>
      <c r="AG11" s="3813" t="s">
        <v>5366</v>
      </c>
      <c r="AH11" s="3802" t="s">
        <v>5961</v>
      </c>
      <c r="AI11" s="3819" t="s">
        <v>5366</v>
      </c>
    </row>
    <row r="12" spans="1:36" ht="13.5" thickBot="1" x14ac:dyDescent="0.3">
      <c r="A12" s="5155"/>
      <c r="B12" s="5156" t="s">
        <v>5367</v>
      </c>
      <c r="C12" s="5156"/>
      <c r="D12" s="5156"/>
      <c r="E12" s="5156"/>
      <c r="F12" s="5156"/>
      <c r="G12" s="5156"/>
      <c r="H12" s="5156"/>
      <c r="I12" s="3677">
        <f>SUM(I13:I61)</f>
        <v>14010827.839237938</v>
      </c>
      <c r="J12" s="3484"/>
      <c r="K12" s="3814"/>
      <c r="L12" s="3484"/>
      <c r="M12" s="3814"/>
      <c r="N12" s="3484"/>
      <c r="O12" s="3814"/>
      <c r="P12" s="3484"/>
      <c r="Q12" s="3814"/>
      <c r="R12" s="3484"/>
      <c r="S12" s="3814"/>
      <c r="T12" s="3484"/>
      <c r="U12" s="3814"/>
      <c r="V12" s="3484"/>
      <c r="W12" s="3814"/>
      <c r="X12" s="3484"/>
      <c r="Y12" s="3814"/>
      <c r="Z12" s="3484"/>
      <c r="AA12" s="3814"/>
      <c r="AB12" s="3484"/>
      <c r="AC12" s="3814"/>
      <c r="AD12" s="3484"/>
      <c r="AE12" s="3814"/>
      <c r="AF12" s="3484"/>
      <c r="AG12" s="3814"/>
      <c r="AH12" s="3484"/>
      <c r="AI12" s="3814"/>
      <c r="AJ12" s="3165"/>
    </row>
    <row r="13" spans="1:36" ht="13.5" thickBot="1" x14ac:dyDescent="0.3">
      <c r="A13" s="5155"/>
      <c r="B13" s="5140" t="str">
        <f>'23. Costos de Inversion'!C16</f>
        <v>01.01.00</v>
      </c>
      <c r="C13" s="5138" t="str">
        <f>'23. Costos de Inversion'!D16</f>
        <v>UPSS CONSULTA EXTERNA</v>
      </c>
      <c r="D13" s="5124" t="s">
        <v>5339</v>
      </c>
      <c r="E13" s="5128" t="s">
        <v>5368</v>
      </c>
      <c r="F13" s="5120">
        <v>15</v>
      </c>
      <c r="G13" s="5134" t="s">
        <v>3856</v>
      </c>
      <c r="H13" s="5116">
        <f>'23. Costos de Inversion'!F16</f>
        <v>674.16000000000031</v>
      </c>
      <c r="I13" s="5118">
        <f>'23. Costos de Inversion'!G16</f>
        <v>1263772.8723418335</v>
      </c>
      <c r="J13" s="3803">
        <f>I13/3</f>
        <v>421257.62411394453</v>
      </c>
      <c r="K13" s="3815">
        <f>J13/$I$12</f>
        <v>3.006657628996012E-2</v>
      </c>
      <c r="L13" s="3803">
        <f>I13/3</f>
        <v>421257.62411394453</v>
      </c>
      <c r="M13" s="3815">
        <f>L13/$I$12</f>
        <v>3.006657628996012E-2</v>
      </c>
      <c r="N13" s="3803">
        <f>I13/3</f>
        <v>421257.62411394453</v>
      </c>
      <c r="O13" s="3815">
        <f>N13/$I$12</f>
        <v>3.006657628996012E-2</v>
      </c>
      <c r="P13" s="3484"/>
      <c r="Q13" s="3484"/>
      <c r="R13" s="3484"/>
      <c r="S13" s="3484"/>
      <c r="T13" s="3484"/>
      <c r="U13" s="3484"/>
      <c r="V13" s="3484"/>
      <c r="W13" s="3484"/>
      <c r="X13" s="3484"/>
      <c r="Y13" s="3484"/>
      <c r="Z13" s="3484"/>
      <c r="AA13" s="3484"/>
      <c r="AB13" s="3484"/>
      <c r="AC13" s="3484"/>
      <c r="AD13" s="3484"/>
      <c r="AE13" s="3484"/>
      <c r="AF13" s="3484"/>
      <c r="AG13" s="3484"/>
      <c r="AH13" s="3799">
        <f t="shared" ref="AH13:AH61" si="0">J13+L13+N13+P13+R13+T13+V13+X13+Z13+AB13+AD13+AF13</f>
        <v>1263772.8723418335</v>
      </c>
      <c r="AI13" s="3820">
        <f t="shared" ref="AI13:AI61" si="1">K13+M13+O13+Q13+S13+U13+W13+Y13+AA13+AC13+AE13+AG13</f>
        <v>9.0199728869880355E-2</v>
      </c>
      <c r="AJ13" s="3165"/>
    </row>
    <row r="14" spans="1:36" ht="15.75" customHeight="1" thickBot="1" x14ac:dyDescent="0.3">
      <c r="A14" s="5155"/>
      <c r="B14" s="5141"/>
      <c r="C14" s="5139"/>
      <c r="D14" s="5125"/>
      <c r="E14" s="5129"/>
      <c r="F14" s="5121"/>
      <c r="G14" s="5135"/>
      <c r="H14" s="5117"/>
      <c r="I14" s="5119"/>
      <c r="J14" s="3821">
        <f>$H$13/3</f>
        <v>224.72000000000011</v>
      </c>
      <c r="K14" s="3822">
        <f>J14/'23. Costos de Inversion'!$F$68</f>
        <v>5.0954605233322771E-2</v>
      </c>
      <c r="L14" s="3821">
        <f>$H$13/3</f>
        <v>224.72000000000011</v>
      </c>
      <c r="M14" s="3822">
        <f>L14/'23. Costos de Inversion'!$F$68</f>
        <v>5.0954605233322771E-2</v>
      </c>
      <c r="N14" s="3821">
        <f>$H$13/3</f>
        <v>224.72000000000011</v>
      </c>
      <c r="O14" s="3822">
        <f>N14/'23. Costos de Inversion'!$F$68</f>
        <v>5.0954605233322771E-2</v>
      </c>
      <c r="P14" s="3484"/>
      <c r="Q14" s="3484"/>
      <c r="R14" s="3484"/>
      <c r="S14" s="3484"/>
      <c r="T14" s="3484"/>
      <c r="U14" s="3484"/>
      <c r="V14" s="3484"/>
      <c r="W14" s="3484"/>
      <c r="X14" s="3484"/>
      <c r="Y14" s="3484"/>
      <c r="Z14" s="3484"/>
      <c r="AA14" s="3484"/>
      <c r="AB14" s="3484"/>
      <c r="AC14" s="3484"/>
      <c r="AD14" s="3484"/>
      <c r="AE14" s="3484"/>
      <c r="AF14" s="3484"/>
      <c r="AG14" s="3484"/>
      <c r="AH14" s="3823">
        <f t="shared" si="0"/>
        <v>674.16000000000031</v>
      </c>
      <c r="AI14" s="3824">
        <f t="shared" si="1"/>
        <v>0.15286381569996832</v>
      </c>
      <c r="AJ14" s="3165"/>
    </row>
    <row r="15" spans="1:36" ht="13.5" thickBot="1" x14ac:dyDescent="0.3">
      <c r="A15" s="5155"/>
      <c r="B15" s="5140" t="str">
        <f>'23. Costos de Inversion'!C17</f>
        <v>01.02.00</v>
      </c>
      <c r="C15" s="5138" t="str">
        <f>'23. Costos de Inversion'!D17</f>
        <v>UPSS PATOLOGIA CLINICA</v>
      </c>
      <c r="D15" s="5124" t="s">
        <v>5339</v>
      </c>
      <c r="E15" s="5128" t="s">
        <v>5920</v>
      </c>
      <c r="F15" s="5120">
        <v>3</v>
      </c>
      <c r="G15" s="5122" t="s">
        <v>3856</v>
      </c>
      <c r="H15" s="5116">
        <f>'23. Costos de Inversion'!F17</f>
        <v>172.53000000000003</v>
      </c>
      <c r="I15" s="5118">
        <f>'23. Costos de Inversion'!G17</f>
        <v>427019.93957126245</v>
      </c>
      <c r="J15" s="3484"/>
      <c r="K15" s="3484"/>
      <c r="L15" s="3803">
        <f>$I$15/4</f>
        <v>106754.98489281561</v>
      </c>
      <c r="M15" s="3815">
        <f>L15/$I$12</f>
        <v>7.6194630408521324E-3</v>
      </c>
      <c r="N15" s="3803">
        <f>$I$15/4</f>
        <v>106754.98489281561</v>
      </c>
      <c r="O15" s="3815">
        <f>N15/$I$12</f>
        <v>7.6194630408521324E-3</v>
      </c>
      <c r="P15" s="3803">
        <f>$I$15/4</f>
        <v>106754.98489281561</v>
      </c>
      <c r="Q15" s="3815">
        <f>P15/$I$12</f>
        <v>7.6194630408521324E-3</v>
      </c>
      <c r="R15" s="3803">
        <f>$I$15/4</f>
        <v>106754.98489281561</v>
      </c>
      <c r="S15" s="3815">
        <f>R15/$I$12</f>
        <v>7.6194630408521324E-3</v>
      </c>
      <c r="T15" s="3484"/>
      <c r="U15" s="3484"/>
      <c r="V15" s="3484"/>
      <c r="W15" s="3484"/>
      <c r="X15" s="3484"/>
      <c r="Y15" s="3484"/>
      <c r="Z15" s="3484"/>
      <c r="AA15" s="3484"/>
      <c r="AB15" s="3484"/>
      <c r="AC15" s="3484"/>
      <c r="AD15" s="3484"/>
      <c r="AE15" s="3484"/>
      <c r="AF15" s="3484"/>
      <c r="AG15" s="3484"/>
      <c r="AH15" s="3799">
        <f t="shared" si="0"/>
        <v>427019.93957126245</v>
      </c>
      <c r="AI15" s="3820">
        <f t="shared" si="1"/>
        <v>3.0477852163408529E-2</v>
      </c>
      <c r="AJ15" s="3165"/>
    </row>
    <row r="16" spans="1:36" ht="15.75" customHeight="1" thickBot="1" x14ac:dyDescent="0.3">
      <c r="A16" s="5155"/>
      <c r="B16" s="5141"/>
      <c r="C16" s="5139"/>
      <c r="D16" s="5125"/>
      <c r="E16" s="5129"/>
      <c r="F16" s="5121"/>
      <c r="G16" s="5123"/>
      <c r="H16" s="5117"/>
      <c r="I16" s="5119"/>
      <c r="J16" s="3484"/>
      <c r="K16" s="3484"/>
      <c r="L16" s="3821">
        <f>$H$15/4</f>
        <v>43.132500000000007</v>
      </c>
      <c r="M16" s="3822">
        <f>L16/'23. Costos de Inversion'!$F$68</f>
        <v>9.7801686998322066E-3</v>
      </c>
      <c r="N16" s="3821">
        <f>$H$15/4</f>
        <v>43.132500000000007</v>
      </c>
      <c r="O16" s="3822">
        <f>N16/'23. Costos de Inversion'!$F$68</f>
        <v>9.7801686998322066E-3</v>
      </c>
      <c r="P16" s="3821">
        <f>$H$15/4</f>
        <v>43.132500000000007</v>
      </c>
      <c r="Q16" s="3822">
        <f>P16/'23. Costos de Inversion'!$F$68</f>
        <v>9.7801686998322066E-3</v>
      </c>
      <c r="R16" s="3821">
        <f>$H$15/4</f>
        <v>43.132500000000007</v>
      </c>
      <c r="S16" s="3822">
        <f>R16/'23. Costos de Inversion'!$F$68</f>
        <v>9.7801686998322066E-3</v>
      </c>
      <c r="T16" s="3484"/>
      <c r="U16" s="3484"/>
      <c r="V16" s="3484"/>
      <c r="W16" s="3484"/>
      <c r="X16" s="3484"/>
      <c r="Y16" s="3484"/>
      <c r="Z16" s="3484"/>
      <c r="AA16" s="3484"/>
      <c r="AB16" s="3484"/>
      <c r="AC16" s="3484"/>
      <c r="AD16" s="3484"/>
      <c r="AE16" s="3484"/>
      <c r="AF16" s="3484"/>
      <c r="AG16" s="3484"/>
      <c r="AH16" s="3823">
        <f t="shared" ref="AH16" si="2">J16+L16+N16+P16+R16+T16+V16+X16+Z16+AB16+AD16+AF16</f>
        <v>172.53000000000003</v>
      </c>
      <c r="AI16" s="3824">
        <f t="shared" ref="AI16" si="3">K16+M16+O16+Q16+S16+U16+W16+Y16+AA16+AC16+AE16+AG16</f>
        <v>3.9120674799328826E-2</v>
      </c>
      <c r="AJ16" s="3165"/>
    </row>
    <row r="17" spans="1:36" ht="13.5" thickBot="1" x14ac:dyDescent="0.3">
      <c r="A17" s="5155"/>
      <c r="B17" s="5140" t="str">
        <f>'23. Costos de Inversion'!C18</f>
        <v>01.03.00</v>
      </c>
      <c r="C17" s="5138" t="str">
        <f>'23. Costos de Inversion'!D18</f>
        <v>UPSS FARMACIA</v>
      </c>
      <c r="D17" s="5124" t="s">
        <v>5339</v>
      </c>
      <c r="E17" s="5128" t="s">
        <v>1815</v>
      </c>
      <c r="F17" s="5120">
        <v>5</v>
      </c>
      <c r="G17" s="5122" t="s">
        <v>3856</v>
      </c>
      <c r="H17" s="5116">
        <f>'23. Costos de Inversion'!F18</f>
        <v>112.79000000000002</v>
      </c>
      <c r="I17" s="5118">
        <f>'23. Costos de Inversion'!G18</f>
        <v>274279.44040538202</v>
      </c>
      <c r="J17" s="3484"/>
      <c r="K17" s="3484"/>
      <c r="L17" s="3484"/>
      <c r="M17" s="3484"/>
      <c r="N17" s="3803">
        <f>$I$17/4</f>
        <v>68569.860101345505</v>
      </c>
      <c r="O17" s="3815">
        <f>N17/$I$12</f>
        <v>4.89406199891434E-3</v>
      </c>
      <c r="P17" s="3803">
        <f>$I$17/4</f>
        <v>68569.860101345505</v>
      </c>
      <c r="Q17" s="3815">
        <f>P17/$I$12</f>
        <v>4.89406199891434E-3</v>
      </c>
      <c r="R17" s="3803">
        <f>$I$17/4</f>
        <v>68569.860101345505</v>
      </c>
      <c r="S17" s="3815">
        <f>R17/$I$12</f>
        <v>4.89406199891434E-3</v>
      </c>
      <c r="T17" s="3803">
        <f>$I$17/4</f>
        <v>68569.860101345505</v>
      </c>
      <c r="U17" s="3815">
        <f>T17/$I$12</f>
        <v>4.89406199891434E-3</v>
      </c>
      <c r="V17" s="3484"/>
      <c r="W17" s="3484"/>
      <c r="X17" s="3484"/>
      <c r="Y17" s="3484"/>
      <c r="Z17" s="3484"/>
      <c r="AA17" s="3484"/>
      <c r="AB17" s="3484"/>
      <c r="AC17" s="3484"/>
      <c r="AD17" s="3484"/>
      <c r="AE17" s="3484"/>
      <c r="AF17" s="3484"/>
      <c r="AG17" s="3484"/>
      <c r="AH17" s="3799">
        <f t="shared" si="0"/>
        <v>274279.44040538202</v>
      </c>
      <c r="AI17" s="3820">
        <f t="shared" si="1"/>
        <v>1.957624799565736E-2</v>
      </c>
      <c r="AJ17" s="3165"/>
    </row>
    <row r="18" spans="1:36" ht="15.75" customHeight="1" thickBot="1" x14ac:dyDescent="0.3">
      <c r="A18" s="5155"/>
      <c r="B18" s="5141"/>
      <c r="C18" s="5139"/>
      <c r="D18" s="5125"/>
      <c r="E18" s="5129"/>
      <c r="F18" s="5121"/>
      <c r="G18" s="5123"/>
      <c r="H18" s="5117"/>
      <c r="I18" s="5119"/>
      <c r="J18" s="3484"/>
      <c r="K18" s="3484"/>
      <c r="L18" s="3484"/>
      <c r="M18" s="3484"/>
      <c r="N18" s="3821">
        <f>$H$17/4</f>
        <v>28.197500000000005</v>
      </c>
      <c r="O18" s="3822">
        <f>N18/'23. Costos de Inversion'!$F$68</f>
        <v>6.3937009659425876E-3</v>
      </c>
      <c r="P18" s="3821">
        <f>$H$17/4</f>
        <v>28.197500000000005</v>
      </c>
      <c r="Q18" s="3822">
        <f>P18/'23. Costos de Inversion'!$F$68</f>
        <v>6.3937009659425876E-3</v>
      </c>
      <c r="R18" s="3821">
        <f>$H$17/4</f>
        <v>28.197500000000005</v>
      </c>
      <c r="S18" s="3822">
        <f>R18/'23. Costos de Inversion'!$F$68</f>
        <v>6.3937009659425876E-3</v>
      </c>
      <c r="T18" s="3821">
        <f>$H$17/4</f>
        <v>28.197500000000005</v>
      </c>
      <c r="U18" s="3822">
        <f>T18/'23. Costos de Inversion'!$F$68</f>
        <v>6.3937009659425876E-3</v>
      </c>
      <c r="V18" s="3484"/>
      <c r="W18" s="3484"/>
      <c r="X18" s="3484"/>
      <c r="Y18" s="3484"/>
      <c r="Z18" s="3484"/>
      <c r="AA18" s="3484"/>
      <c r="AB18" s="3484"/>
      <c r="AC18" s="3484"/>
      <c r="AD18" s="3484"/>
      <c r="AE18" s="3484"/>
      <c r="AF18" s="3484"/>
      <c r="AG18" s="3484"/>
      <c r="AH18" s="3823">
        <f t="shared" ref="AH18" si="4">J18+L18+N18+P18+R18+T18+V18+X18+Z18+AB18+AD18+AF18</f>
        <v>112.79000000000002</v>
      </c>
      <c r="AI18" s="3824">
        <f t="shared" ref="AI18" si="5">K18+M18+O18+Q18+S18+U18+W18+Y18+AA18+AC18+AE18+AG18</f>
        <v>2.5574803863770351E-2</v>
      </c>
      <c r="AJ18" s="3165"/>
    </row>
    <row r="19" spans="1:36" ht="13.5" thickBot="1" x14ac:dyDescent="0.3">
      <c r="A19" s="5155"/>
      <c r="B19" s="5140" t="str">
        <f>'23. Costos de Inversion'!C19</f>
        <v>01.04.00</v>
      </c>
      <c r="C19" s="5138" t="str">
        <f>'23. Costos de Inversion'!D19</f>
        <v>UPSS FAMILIAR Y COMUNITARIA</v>
      </c>
      <c r="D19" s="5124" t="s">
        <v>5339</v>
      </c>
      <c r="E19" s="5128" t="s">
        <v>1815</v>
      </c>
      <c r="F19" s="5120">
        <v>1</v>
      </c>
      <c r="G19" s="5122" t="s">
        <v>3856</v>
      </c>
      <c r="H19" s="5116">
        <f>'23. Costos de Inversion'!F19</f>
        <v>30.32</v>
      </c>
      <c r="I19" s="5118">
        <f>'23. Costos de Inversion'!G19</f>
        <v>44247.997197752993</v>
      </c>
      <c r="J19" s="3803">
        <f>$I$19/5</f>
        <v>8849.5994395505986</v>
      </c>
      <c r="K19" s="3815">
        <f>J19/$I$12</f>
        <v>6.3162573554482679E-4</v>
      </c>
      <c r="L19" s="3803">
        <f>$I$19/5</f>
        <v>8849.5994395505986</v>
      </c>
      <c r="M19" s="3815">
        <f>L19/$I$12</f>
        <v>6.3162573554482679E-4</v>
      </c>
      <c r="N19" s="3803">
        <f>$I$19/5</f>
        <v>8849.5994395505986</v>
      </c>
      <c r="O19" s="3815">
        <f>N19/$I$12</f>
        <v>6.3162573554482679E-4</v>
      </c>
      <c r="P19" s="3803">
        <f>$I$19/5</f>
        <v>8849.5994395505986</v>
      </c>
      <c r="Q19" s="3815">
        <f>P19/$I$12</f>
        <v>6.3162573554482679E-4</v>
      </c>
      <c r="R19" s="3803">
        <f>$I$19/5</f>
        <v>8849.5994395505986</v>
      </c>
      <c r="S19" s="3815">
        <f>R19/$I$12</f>
        <v>6.3162573554482679E-4</v>
      </c>
      <c r="T19" s="3805"/>
      <c r="U19" s="3815"/>
      <c r="V19" s="3484"/>
      <c r="W19" s="3484"/>
      <c r="X19" s="3484"/>
      <c r="Y19" s="3484"/>
      <c r="Z19" s="3484"/>
      <c r="AA19" s="3484"/>
      <c r="AB19" s="3484"/>
      <c r="AC19" s="3484"/>
      <c r="AD19" s="3484"/>
      <c r="AE19" s="3484"/>
      <c r="AF19" s="3484"/>
      <c r="AG19" s="3484"/>
      <c r="AH19" s="3799">
        <f t="shared" si="0"/>
        <v>44247.997197752993</v>
      </c>
      <c r="AI19" s="3820">
        <f t="shared" si="1"/>
        <v>3.1581286777241338E-3</v>
      </c>
      <c r="AJ19" s="3165"/>
    </row>
    <row r="20" spans="1:36" ht="15.75" customHeight="1" thickBot="1" x14ac:dyDescent="0.3">
      <c r="A20" s="5155"/>
      <c r="B20" s="5141"/>
      <c r="C20" s="5139"/>
      <c r="D20" s="5125"/>
      <c r="E20" s="5129"/>
      <c r="F20" s="5121"/>
      <c r="G20" s="5123"/>
      <c r="H20" s="5117"/>
      <c r="I20" s="5119"/>
      <c r="J20" s="3821">
        <f>$H$19/5</f>
        <v>6.0640000000000001</v>
      </c>
      <c r="K20" s="3822">
        <f>J20/'23. Costos de Inversion'!$F$68</f>
        <v>1.3749943313228423E-3</v>
      </c>
      <c r="L20" s="3821">
        <f>$H$19/5</f>
        <v>6.0640000000000001</v>
      </c>
      <c r="M20" s="3822">
        <f>L20/'23. Costos de Inversion'!$F$68</f>
        <v>1.3749943313228423E-3</v>
      </c>
      <c r="N20" s="3821">
        <f>$H$19/5</f>
        <v>6.0640000000000001</v>
      </c>
      <c r="O20" s="3822">
        <f>N20/'23. Costos de Inversion'!$F$68</f>
        <v>1.3749943313228423E-3</v>
      </c>
      <c r="P20" s="3821">
        <f>$H$19/5</f>
        <v>6.0640000000000001</v>
      </c>
      <c r="Q20" s="3822">
        <f>P20/'23. Costos de Inversion'!$F$68</f>
        <v>1.3749943313228423E-3</v>
      </c>
      <c r="R20" s="3821">
        <f>$H$19/5</f>
        <v>6.0640000000000001</v>
      </c>
      <c r="S20" s="3822">
        <f>R20/'23. Costos de Inversion'!$F$68</f>
        <v>1.3749943313228423E-3</v>
      </c>
      <c r="T20" s="3484"/>
      <c r="U20" s="3484"/>
      <c r="V20" s="3484"/>
      <c r="W20" s="3484"/>
      <c r="X20" s="3484"/>
      <c r="Y20" s="3484"/>
      <c r="Z20" s="3484"/>
      <c r="AA20" s="3484"/>
      <c r="AB20" s="3484"/>
      <c r="AC20" s="3484"/>
      <c r="AD20" s="3484"/>
      <c r="AE20" s="3484"/>
      <c r="AF20" s="3484"/>
      <c r="AG20" s="3484"/>
      <c r="AH20" s="3823">
        <f t="shared" ref="AH20" si="6">J20+L20+N20+P20+R20+T20+V20+X20+Z20+AB20+AD20+AF20</f>
        <v>30.32</v>
      </c>
      <c r="AI20" s="3824">
        <f t="shared" ref="AI20" si="7">K20+M20+O20+Q20+S20+U20+W20+Y20+AA20+AC20+AE20+AG20</f>
        <v>6.8749716566142115E-3</v>
      </c>
      <c r="AJ20" s="3165"/>
    </row>
    <row r="21" spans="1:36" ht="13.5" thickBot="1" x14ac:dyDescent="0.3">
      <c r="A21" s="5155"/>
      <c r="B21" s="5140" t="str">
        <f>'23. Costos de Inversion'!C20</f>
        <v>01.05.00</v>
      </c>
      <c r="C21" s="5138" t="str">
        <f>'23. Costos de Inversion'!D20</f>
        <v>UPSS URGENCIAS Y EMERGENCIAS</v>
      </c>
      <c r="D21" s="5124" t="s">
        <v>5339</v>
      </c>
      <c r="E21" s="5128" t="s">
        <v>1815</v>
      </c>
      <c r="F21" s="5120">
        <v>3</v>
      </c>
      <c r="G21" s="5122" t="s">
        <v>3856</v>
      </c>
      <c r="H21" s="5116">
        <f>'23. Costos de Inversion'!F20</f>
        <v>95.63</v>
      </c>
      <c r="I21" s="5118">
        <f>'23. Costos de Inversion'!G20</f>
        <v>266858.3920944347</v>
      </c>
      <c r="J21" s="3484"/>
      <c r="K21" s="3484"/>
      <c r="L21" s="3484"/>
      <c r="M21" s="3484"/>
      <c r="N21" s="3484"/>
      <c r="O21" s="3484"/>
      <c r="P21" s="3484"/>
      <c r="Q21" s="3484"/>
      <c r="R21" s="3484"/>
      <c r="S21" s="3484"/>
      <c r="T21" s="3803">
        <f>$I$21/3</f>
        <v>88952.797364811573</v>
      </c>
      <c r="U21" s="3815">
        <f>T21/$I$12</f>
        <v>6.3488609228139516E-3</v>
      </c>
      <c r="V21" s="3803">
        <f>$I$21/3</f>
        <v>88952.797364811573</v>
      </c>
      <c r="W21" s="3815">
        <f>V21/$I$12</f>
        <v>6.3488609228139516E-3</v>
      </c>
      <c r="X21" s="3803">
        <f>$I$21/3</f>
        <v>88952.797364811573</v>
      </c>
      <c r="Y21" s="3815">
        <f>X21/$I$12</f>
        <v>6.3488609228139516E-3</v>
      </c>
      <c r="Z21" s="3484"/>
      <c r="AA21" s="3484"/>
      <c r="AB21" s="3484"/>
      <c r="AC21" s="3484"/>
      <c r="AD21" s="3484"/>
      <c r="AE21" s="3484"/>
      <c r="AF21" s="3484"/>
      <c r="AG21" s="3484"/>
      <c r="AH21" s="3799">
        <f t="shared" si="0"/>
        <v>266858.3920944347</v>
      </c>
      <c r="AI21" s="3820">
        <f t="shared" si="1"/>
        <v>1.9046582768441855E-2</v>
      </c>
      <c r="AJ21" s="3165"/>
    </row>
    <row r="22" spans="1:36" ht="15.75" customHeight="1" thickBot="1" x14ac:dyDescent="0.3">
      <c r="A22" s="5155"/>
      <c r="B22" s="5141"/>
      <c r="C22" s="5139"/>
      <c r="D22" s="5125"/>
      <c r="E22" s="5129"/>
      <c r="F22" s="5121"/>
      <c r="G22" s="5123"/>
      <c r="H22" s="5117"/>
      <c r="I22" s="5119"/>
      <c r="J22" s="3484"/>
      <c r="K22" s="3484"/>
      <c r="L22" s="3484"/>
      <c r="M22" s="3484"/>
      <c r="N22" s="3484"/>
      <c r="O22" s="3484"/>
      <c r="P22" s="3484"/>
      <c r="Q22" s="3484"/>
      <c r="R22" s="3484"/>
      <c r="S22" s="3484"/>
      <c r="T22" s="3821">
        <f>$H$21/3</f>
        <v>31.876666666666665</v>
      </c>
      <c r="U22" s="3822">
        <f>T22/'23. Costos de Inversion'!$F$68</f>
        <v>7.2279412876211195E-3</v>
      </c>
      <c r="V22" s="3821">
        <f>$H$21/3</f>
        <v>31.876666666666665</v>
      </c>
      <c r="W22" s="3822">
        <f>V22/'23. Costos de Inversion'!$F$68</f>
        <v>7.2279412876211195E-3</v>
      </c>
      <c r="X22" s="3821">
        <f>$H$21/3</f>
        <v>31.876666666666665</v>
      </c>
      <c r="Y22" s="3822">
        <f>X22/'23. Costos de Inversion'!$F$68</f>
        <v>7.2279412876211195E-3</v>
      </c>
      <c r="Z22" s="3484"/>
      <c r="AA22" s="3484"/>
      <c r="AB22" s="3484"/>
      <c r="AC22" s="3484"/>
      <c r="AD22" s="3484"/>
      <c r="AE22" s="3484"/>
      <c r="AF22" s="3484"/>
      <c r="AG22" s="3484"/>
      <c r="AH22" s="3823">
        <f t="shared" ref="AH22" si="8">J22+L22+N22+P22+R22+T22+V22+X22+Z22+AB22+AD22+AF22</f>
        <v>95.63</v>
      </c>
      <c r="AI22" s="3824">
        <f t="shared" ref="AI22" si="9">K22+M22+O22+Q22+S22+U22+W22+Y22+AA22+AC22+AE22+AG22</f>
        <v>2.1683823862863359E-2</v>
      </c>
      <c r="AJ22" s="3165"/>
    </row>
    <row r="23" spans="1:36" ht="13.5" thickBot="1" x14ac:dyDescent="0.3">
      <c r="A23" s="5155"/>
      <c r="B23" s="5140" t="str">
        <f>'23. Costos de Inversion'!C21</f>
        <v>01.06.00</v>
      </c>
      <c r="C23" s="5138" t="str">
        <f>'23. Costos de Inversion'!D21</f>
        <v>UPSS GESTANTE EN PERIODO DE PARTO</v>
      </c>
      <c r="D23" s="5124" t="s">
        <v>5339</v>
      </c>
      <c r="E23" s="5128" t="s">
        <v>5369</v>
      </c>
      <c r="F23" s="5120">
        <v>5</v>
      </c>
      <c r="G23" s="5122" t="s">
        <v>3856</v>
      </c>
      <c r="H23" s="5116">
        <f>'23. Costos de Inversion'!F21</f>
        <v>251.70999999999995</v>
      </c>
      <c r="I23" s="5118">
        <f>'23. Costos de Inversion'!G21</f>
        <v>1034390.4391878255</v>
      </c>
      <c r="J23" s="3484"/>
      <c r="K23" s="3484"/>
      <c r="L23" s="3484"/>
      <c r="M23" s="3484"/>
      <c r="N23" s="3803">
        <f>$I$23/3</f>
        <v>344796.81306260853</v>
      </c>
      <c r="O23" s="3815">
        <f>N23/$I$12</f>
        <v>2.4609310528888945E-2</v>
      </c>
      <c r="P23" s="3803">
        <f>$I$23/3</f>
        <v>344796.81306260853</v>
      </c>
      <c r="Q23" s="3815">
        <f>P23/$I$12</f>
        <v>2.4609310528888945E-2</v>
      </c>
      <c r="R23" s="3803">
        <f>$I$23/3</f>
        <v>344796.81306260853</v>
      </c>
      <c r="S23" s="3815">
        <f>R23/$I$12</f>
        <v>2.4609310528888945E-2</v>
      </c>
      <c r="T23" s="3484"/>
      <c r="U23" s="3484"/>
      <c r="V23" s="3484"/>
      <c r="W23" s="3484"/>
      <c r="X23" s="3484"/>
      <c r="Y23" s="3484"/>
      <c r="Z23" s="3484"/>
      <c r="AA23" s="3484"/>
      <c r="AB23" s="3484"/>
      <c r="AC23" s="3484"/>
      <c r="AD23" s="3484"/>
      <c r="AE23" s="3484"/>
      <c r="AF23" s="3484"/>
      <c r="AG23" s="3484"/>
      <c r="AH23" s="3799">
        <f t="shared" si="0"/>
        <v>1034390.4391878257</v>
      </c>
      <c r="AI23" s="3820">
        <f t="shared" si="1"/>
        <v>7.382793158666684E-2</v>
      </c>
      <c r="AJ23" s="3165"/>
    </row>
    <row r="24" spans="1:36" ht="15.75" customHeight="1" thickBot="1" x14ac:dyDescent="0.3">
      <c r="A24" s="5155"/>
      <c r="B24" s="5141"/>
      <c r="C24" s="5139"/>
      <c r="D24" s="5125"/>
      <c r="E24" s="5129"/>
      <c r="F24" s="5121"/>
      <c r="G24" s="5123"/>
      <c r="H24" s="5117"/>
      <c r="I24" s="5119"/>
      <c r="J24" s="3484"/>
      <c r="K24" s="3484"/>
      <c r="L24" s="3484"/>
      <c r="M24" s="3484"/>
      <c r="N24" s="3821">
        <f>$H$23/3</f>
        <v>83.903333333333322</v>
      </c>
      <c r="O24" s="3822">
        <f>N24/'23. Costos de Inversion'!$F$68</f>
        <v>1.9024836364186049E-2</v>
      </c>
      <c r="P24" s="3821">
        <f>$H$23/3</f>
        <v>83.903333333333322</v>
      </c>
      <c r="Q24" s="3822">
        <f>P24/'23. Costos de Inversion'!$F$68</f>
        <v>1.9024836364186049E-2</v>
      </c>
      <c r="R24" s="3821">
        <f>$H$23/3</f>
        <v>83.903333333333322</v>
      </c>
      <c r="S24" s="3822">
        <f>R24/'23. Costos de Inversion'!$F$68</f>
        <v>1.9024836364186049E-2</v>
      </c>
      <c r="T24" s="3484"/>
      <c r="U24" s="3484"/>
      <c r="V24" s="3484"/>
      <c r="W24" s="3484"/>
      <c r="X24" s="3484"/>
      <c r="Y24" s="3484"/>
      <c r="Z24" s="3484"/>
      <c r="AA24" s="3484"/>
      <c r="AB24" s="3484"/>
      <c r="AC24" s="3484"/>
      <c r="AD24" s="3484"/>
      <c r="AE24" s="3484"/>
      <c r="AF24" s="3484"/>
      <c r="AG24" s="3484"/>
      <c r="AH24" s="3823">
        <f t="shared" ref="AH24" si="10">J24+L24+N24+P24+R24+T24+V24+X24+Z24+AB24+AD24+AF24</f>
        <v>251.70999999999998</v>
      </c>
      <c r="AI24" s="3824">
        <f t="shared" ref="AI24" si="11">K24+M24+O24+Q24+S24+U24+W24+Y24+AA24+AC24+AE24+AG24</f>
        <v>5.7074509092558151E-2</v>
      </c>
      <c r="AJ24" s="3165"/>
    </row>
    <row r="25" spans="1:36" ht="13.5" thickBot="1" x14ac:dyDescent="0.3">
      <c r="A25" s="5155"/>
      <c r="B25" s="5140" t="str">
        <f>'23. Costos de Inversion'!C22</f>
        <v>01.07.00</v>
      </c>
      <c r="C25" s="5138" t="str">
        <f>'23. Costos de Inversion'!D22</f>
        <v>UPSS INTERNAMIENTO</v>
      </c>
      <c r="D25" s="5124" t="s">
        <v>5339</v>
      </c>
      <c r="E25" s="5128" t="s">
        <v>5369</v>
      </c>
      <c r="F25" s="5120">
        <v>5</v>
      </c>
      <c r="G25" s="5122" t="s">
        <v>3856</v>
      </c>
      <c r="H25" s="5116">
        <f>'23. Costos de Inversion'!F22</f>
        <v>189.56999999999996</v>
      </c>
      <c r="I25" s="5118">
        <f>'23. Costos de Inversion'!G22</f>
        <v>558680.13796759036</v>
      </c>
      <c r="J25" s="3803">
        <f>I25</f>
        <v>558680.13796759036</v>
      </c>
      <c r="K25" s="3815">
        <f>J25/$I$12</f>
        <v>3.987488422368464E-2</v>
      </c>
      <c r="L25" s="3484"/>
      <c r="M25" s="3484"/>
      <c r="N25" s="3484"/>
      <c r="O25" s="3484"/>
      <c r="P25" s="3484"/>
      <c r="Q25" s="3484"/>
      <c r="R25" s="3484"/>
      <c r="S25" s="3484"/>
      <c r="T25" s="3484"/>
      <c r="U25" s="3484"/>
      <c r="V25" s="3484"/>
      <c r="W25" s="3484"/>
      <c r="X25" s="3484"/>
      <c r="Y25" s="3484"/>
      <c r="Z25" s="3484"/>
      <c r="AA25" s="3484"/>
      <c r="AB25" s="3484"/>
      <c r="AC25" s="3484"/>
      <c r="AD25" s="3484"/>
      <c r="AE25" s="3484"/>
      <c r="AF25" s="3484"/>
      <c r="AG25" s="3484"/>
      <c r="AH25" s="3799">
        <f t="shared" si="0"/>
        <v>558680.13796759036</v>
      </c>
      <c r="AI25" s="3820">
        <f t="shared" si="1"/>
        <v>3.987488422368464E-2</v>
      </c>
      <c r="AJ25" s="3165"/>
    </row>
    <row r="26" spans="1:36" ht="15.75" customHeight="1" thickBot="1" x14ac:dyDescent="0.3">
      <c r="A26" s="5155"/>
      <c r="B26" s="5141"/>
      <c r="C26" s="5139"/>
      <c r="D26" s="5125"/>
      <c r="E26" s="5129"/>
      <c r="F26" s="5121"/>
      <c r="G26" s="5123"/>
      <c r="H26" s="5117"/>
      <c r="I26" s="5119"/>
      <c r="J26" s="3821">
        <f>$H$25/1</f>
        <v>189.56999999999996</v>
      </c>
      <c r="K26" s="3822">
        <f>J26/'23. Costos de Inversion'!$F$68</f>
        <v>4.2984445149879806E-2</v>
      </c>
      <c r="L26" s="3484"/>
      <c r="M26" s="3484"/>
      <c r="N26" s="3484"/>
      <c r="O26" s="3484"/>
      <c r="P26" s="3484"/>
      <c r="Q26" s="3484"/>
      <c r="R26" s="3484"/>
      <c r="S26" s="3484"/>
      <c r="T26" s="3484"/>
      <c r="U26" s="3484"/>
      <c r="V26" s="3484"/>
      <c r="W26" s="3484"/>
      <c r="X26" s="3484"/>
      <c r="Y26" s="3484"/>
      <c r="Z26" s="3484"/>
      <c r="AA26" s="3484"/>
      <c r="AB26" s="3484"/>
      <c r="AC26" s="3484"/>
      <c r="AD26" s="3484"/>
      <c r="AE26" s="3484"/>
      <c r="AF26" s="3484"/>
      <c r="AG26" s="3484"/>
      <c r="AH26" s="3823">
        <f t="shared" ref="AH26" si="12">J26+L26+N26+P26+R26+T26+V26+X26+Z26+AB26+AD26+AF26</f>
        <v>189.56999999999996</v>
      </c>
      <c r="AI26" s="3824">
        <f t="shared" ref="AI26" si="13">K26+M26+O26+Q26+S26+U26+W26+Y26+AA26+AC26+AE26+AG26</f>
        <v>4.2984445149879806E-2</v>
      </c>
      <c r="AJ26" s="3165"/>
    </row>
    <row r="27" spans="1:36" ht="13.5" thickBot="1" x14ac:dyDescent="0.3">
      <c r="A27" s="5155"/>
      <c r="B27" s="5140" t="str">
        <f>'23. Costos de Inversion'!C23</f>
        <v>01.08.00</v>
      </c>
      <c r="C27" s="5138" t="str">
        <f>'23. Costos de Inversion'!D23</f>
        <v>UPSS RADIOLOGIA Y ECOGRAFIA</v>
      </c>
      <c r="D27" s="5124" t="s">
        <v>5339</v>
      </c>
      <c r="E27" s="5128" t="s">
        <v>1815</v>
      </c>
      <c r="F27" s="5120">
        <v>4</v>
      </c>
      <c r="G27" s="5122" t="s">
        <v>3856</v>
      </c>
      <c r="H27" s="5116">
        <f>'23. Costos de Inversion'!F23</f>
        <v>96.59</v>
      </c>
      <c r="I27" s="5118">
        <f>'23. Costos de Inversion'!G23</f>
        <v>317430.04016313917</v>
      </c>
      <c r="J27" s="3484"/>
      <c r="K27" s="3484"/>
      <c r="L27" s="3484"/>
      <c r="M27" s="3484"/>
      <c r="N27" s="3484"/>
      <c r="O27" s="3484"/>
      <c r="P27" s="3484"/>
      <c r="Q27" s="3484"/>
      <c r="R27" s="3803">
        <f>$I$27/4</f>
        <v>79357.510040784793</v>
      </c>
      <c r="S27" s="3815">
        <f>R27/$I$12</f>
        <v>5.6640129299526908E-3</v>
      </c>
      <c r="T27" s="3803">
        <f>$I$27/4</f>
        <v>79357.510040784793</v>
      </c>
      <c r="U27" s="3815">
        <f>T27/$I$12</f>
        <v>5.6640129299526908E-3</v>
      </c>
      <c r="V27" s="3803">
        <f>$I$27/4</f>
        <v>79357.510040784793</v>
      </c>
      <c r="W27" s="3815">
        <f>V27/$I$12</f>
        <v>5.6640129299526908E-3</v>
      </c>
      <c r="X27" s="3803">
        <f>$I$27/4</f>
        <v>79357.510040784793</v>
      </c>
      <c r="Y27" s="3815">
        <f>X27/$I$12</f>
        <v>5.6640129299526908E-3</v>
      </c>
      <c r="Z27" s="3484"/>
      <c r="AA27" s="3484"/>
      <c r="AB27" s="3484"/>
      <c r="AC27" s="3484"/>
      <c r="AD27" s="3484"/>
      <c r="AE27" s="3484"/>
      <c r="AF27" s="3484"/>
      <c r="AG27" s="3484"/>
      <c r="AH27" s="3799">
        <f t="shared" si="0"/>
        <v>317430.04016313917</v>
      </c>
      <c r="AI27" s="3820">
        <f t="shared" si="1"/>
        <v>2.2656051719810763E-2</v>
      </c>
      <c r="AJ27" s="3165"/>
    </row>
    <row r="28" spans="1:36" ht="15.75" customHeight="1" thickBot="1" x14ac:dyDescent="0.3">
      <c r="A28" s="5155"/>
      <c r="B28" s="5141"/>
      <c r="C28" s="5139"/>
      <c r="D28" s="5125"/>
      <c r="E28" s="5129"/>
      <c r="F28" s="5121"/>
      <c r="G28" s="5123"/>
      <c r="H28" s="5117"/>
      <c r="I28" s="5119"/>
      <c r="J28" s="3484"/>
      <c r="K28" s="3484"/>
      <c r="L28" s="3484"/>
      <c r="M28" s="3484"/>
      <c r="N28" s="3484"/>
      <c r="O28" s="3484"/>
      <c r="P28" s="3484"/>
      <c r="Q28" s="3484"/>
      <c r="R28" s="3821">
        <f>$H$27/4</f>
        <v>24.147500000000001</v>
      </c>
      <c r="S28" s="3822">
        <f>R28/'23. Costos de Inversion'!$F$68</f>
        <v>5.4753752664278253E-3</v>
      </c>
      <c r="T28" s="3821">
        <f>$H$27/4</f>
        <v>24.147500000000001</v>
      </c>
      <c r="U28" s="3822">
        <f>T28/'23. Costos de Inversion'!$F$68</f>
        <v>5.4753752664278253E-3</v>
      </c>
      <c r="V28" s="3821">
        <f>$H$27/4</f>
        <v>24.147500000000001</v>
      </c>
      <c r="W28" s="3822">
        <f>V28/'23. Costos de Inversion'!$F$68</f>
        <v>5.4753752664278253E-3</v>
      </c>
      <c r="X28" s="3821">
        <f>$H$27/4</f>
        <v>24.147500000000001</v>
      </c>
      <c r="Y28" s="3822">
        <f>X28/'23. Costos de Inversion'!$F$68</f>
        <v>5.4753752664278253E-3</v>
      </c>
      <c r="Z28" s="3484"/>
      <c r="AA28" s="3484"/>
      <c r="AB28" s="3484"/>
      <c r="AC28" s="3484"/>
      <c r="AD28" s="3484"/>
      <c r="AE28" s="3484"/>
      <c r="AF28" s="3484"/>
      <c r="AG28" s="3484"/>
      <c r="AH28" s="3823">
        <f t="shared" ref="AH28" si="14">J28+L28+N28+P28+R28+T28+V28+X28+Z28+AB28+AD28+AF28</f>
        <v>96.59</v>
      </c>
      <c r="AI28" s="3824">
        <f t="shared" ref="AI28" si="15">K28+M28+O28+Q28+S28+U28+W28+Y28+AA28+AC28+AE28+AG28</f>
        <v>2.1901501065711301E-2</v>
      </c>
      <c r="AJ28" s="3165"/>
    </row>
    <row r="29" spans="1:36" ht="13.5" thickBot="1" x14ac:dyDescent="0.3">
      <c r="A29" s="5155"/>
      <c r="B29" s="5140" t="str">
        <f>'23. Costos de Inversion'!C24</f>
        <v>01.09.00</v>
      </c>
      <c r="C29" s="5138" t="str">
        <f>'23. Costos de Inversion'!D24</f>
        <v>UPSS DESINFECCION Y ESTERILIZACIÓN</v>
      </c>
      <c r="D29" s="5124" t="s">
        <v>5339</v>
      </c>
      <c r="E29" s="5128" t="s">
        <v>1815</v>
      </c>
      <c r="F29" s="5120">
        <v>3</v>
      </c>
      <c r="G29" s="5122" t="s">
        <v>3856</v>
      </c>
      <c r="H29" s="5116">
        <f>'23. Costos de Inversion'!F24</f>
        <v>82.570000000000007</v>
      </c>
      <c r="I29" s="5118">
        <f>'23. Costos de Inversion'!G24</f>
        <v>479353.70394585317</v>
      </c>
      <c r="J29" s="3803">
        <f>$I$29/7</f>
        <v>68479.100563693311</v>
      </c>
      <c r="K29" s="3815">
        <f>J29/$I$12</f>
        <v>4.8875841848484208E-3</v>
      </c>
      <c r="L29" s="3803">
        <f>$I$29/7</f>
        <v>68479.100563693311</v>
      </c>
      <c r="M29" s="3815">
        <f>L29/$I$12</f>
        <v>4.8875841848484208E-3</v>
      </c>
      <c r="N29" s="3803">
        <f>$I$29/7</f>
        <v>68479.100563693311</v>
      </c>
      <c r="O29" s="3815">
        <f>N29/$I$12</f>
        <v>4.8875841848484208E-3</v>
      </c>
      <c r="P29" s="3803">
        <f>$I$29/7</f>
        <v>68479.100563693311</v>
      </c>
      <c r="Q29" s="3815">
        <f>P29/$I$12</f>
        <v>4.8875841848484208E-3</v>
      </c>
      <c r="R29" s="3803">
        <f>$I$29/7</f>
        <v>68479.100563693311</v>
      </c>
      <c r="S29" s="3815">
        <f>R29/$I$12</f>
        <v>4.8875841848484208E-3</v>
      </c>
      <c r="T29" s="3803">
        <f>$I$29/7</f>
        <v>68479.100563693311</v>
      </c>
      <c r="U29" s="3815">
        <f>T29/$I$12</f>
        <v>4.8875841848484208E-3</v>
      </c>
      <c r="V29" s="3803">
        <f>$I$29/7</f>
        <v>68479.100563693311</v>
      </c>
      <c r="W29" s="3815">
        <f>V29/$I$12</f>
        <v>4.8875841848484208E-3</v>
      </c>
      <c r="X29" s="3484"/>
      <c r="Y29" s="3484"/>
      <c r="Z29" s="3484"/>
      <c r="AA29" s="3484"/>
      <c r="AB29" s="3484"/>
      <c r="AC29" s="3484"/>
      <c r="AD29" s="3484"/>
      <c r="AE29" s="3484"/>
      <c r="AF29" s="3484"/>
      <c r="AG29" s="3484"/>
      <c r="AH29" s="3799">
        <f t="shared" si="0"/>
        <v>479353.70394585322</v>
      </c>
      <c r="AI29" s="3820">
        <f t="shared" si="1"/>
        <v>3.4213089293938945E-2</v>
      </c>
      <c r="AJ29" s="3165"/>
    </row>
    <row r="30" spans="1:36" ht="15.75" customHeight="1" thickBot="1" x14ac:dyDescent="0.3">
      <c r="A30" s="5155"/>
      <c r="B30" s="5141"/>
      <c r="C30" s="5139"/>
      <c r="D30" s="5125"/>
      <c r="E30" s="5129"/>
      <c r="F30" s="5121"/>
      <c r="G30" s="5123"/>
      <c r="H30" s="5117"/>
      <c r="I30" s="5119"/>
      <c r="J30" s="3821">
        <f>$H$29/7</f>
        <v>11.795714285714286</v>
      </c>
      <c r="K30" s="3822">
        <f>J30/'23. Costos de Inversion'!$F$68</f>
        <v>2.6746438451123043E-3</v>
      </c>
      <c r="L30" s="3821">
        <f>$H$29/7</f>
        <v>11.795714285714286</v>
      </c>
      <c r="M30" s="3822">
        <f>L30/'23. Costos de Inversion'!$F$68</f>
        <v>2.6746438451123043E-3</v>
      </c>
      <c r="N30" s="3821">
        <f>$H$29/7</f>
        <v>11.795714285714286</v>
      </c>
      <c r="O30" s="3822">
        <f>N30/'23. Costos de Inversion'!$F$68</f>
        <v>2.6746438451123043E-3</v>
      </c>
      <c r="P30" s="3821">
        <f>$H$29/7</f>
        <v>11.795714285714286</v>
      </c>
      <c r="Q30" s="3822">
        <f>P30/'23. Costos de Inversion'!$F$68</f>
        <v>2.6746438451123043E-3</v>
      </c>
      <c r="R30" s="3821">
        <f>$H$29/7</f>
        <v>11.795714285714286</v>
      </c>
      <c r="S30" s="3822">
        <f>R30/'23. Costos de Inversion'!$F$68</f>
        <v>2.6746438451123043E-3</v>
      </c>
      <c r="T30" s="3821">
        <f>$H$29/7</f>
        <v>11.795714285714286</v>
      </c>
      <c r="U30" s="3822">
        <f>T30/'23. Costos de Inversion'!$F$68</f>
        <v>2.6746438451123043E-3</v>
      </c>
      <c r="V30" s="3821">
        <f>$H$29/7</f>
        <v>11.795714285714286</v>
      </c>
      <c r="W30" s="3822">
        <f>V30/'23. Costos de Inversion'!$F$68</f>
        <v>2.6746438451123043E-3</v>
      </c>
      <c r="X30" s="3484"/>
      <c r="Y30" s="3484"/>
      <c r="Z30" s="3484"/>
      <c r="AA30" s="3484"/>
      <c r="AB30" s="3484"/>
      <c r="AC30" s="3484"/>
      <c r="AD30" s="3484"/>
      <c r="AE30" s="3484"/>
      <c r="AF30" s="3484"/>
      <c r="AG30" s="3484"/>
      <c r="AH30" s="3823">
        <f t="shared" ref="AH30" si="16">J30+L30+N30+P30+R30+T30+V30+X30+Z30+AB30+AD30+AF30</f>
        <v>82.57</v>
      </c>
      <c r="AI30" s="3824">
        <f t="shared" ref="AI30" si="17">K30+M30+O30+Q30+S30+U30+W30+Y30+AA30+AC30+AE30+AG30</f>
        <v>1.8722506915786131E-2</v>
      </c>
      <c r="AJ30" s="3165"/>
    </row>
    <row r="31" spans="1:36" ht="13.5" thickBot="1" x14ac:dyDescent="0.3">
      <c r="A31" s="5155"/>
      <c r="B31" s="5140" t="str">
        <f>'23. Costos de Inversion'!C25</f>
        <v>01.10.00</v>
      </c>
      <c r="C31" s="5138" t="str">
        <f>'23. Costos de Inversion'!D25</f>
        <v>UPS ADMINISTRACION</v>
      </c>
      <c r="D31" s="5124" t="s">
        <v>5339</v>
      </c>
      <c r="E31" s="5128" t="s">
        <v>1815</v>
      </c>
      <c r="F31" s="5120">
        <v>4</v>
      </c>
      <c r="G31" s="5122" t="s">
        <v>3856</v>
      </c>
      <c r="H31" s="5116">
        <f>'23. Costos de Inversion'!F25</f>
        <v>107.83000000000001</v>
      </c>
      <c r="I31" s="5118">
        <f>'23. Costos de Inversion'!G25</f>
        <v>248076.04274105051</v>
      </c>
      <c r="J31" s="3803">
        <f>I31</f>
        <v>248076.04274105051</v>
      </c>
      <c r="K31" s="3815">
        <f>J31/$I$12</f>
        <v>1.77060231977373E-2</v>
      </c>
      <c r="L31" s="3484"/>
      <c r="M31" s="3484"/>
      <c r="N31" s="3484"/>
      <c r="O31" s="3484"/>
      <c r="P31" s="3484"/>
      <c r="Q31" s="3484"/>
      <c r="R31" s="3484"/>
      <c r="S31" s="3484"/>
      <c r="T31" s="3484"/>
      <c r="U31" s="3484"/>
      <c r="V31" s="3484"/>
      <c r="W31" s="3484"/>
      <c r="X31" s="3484"/>
      <c r="Y31" s="3484"/>
      <c r="Z31" s="3484"/>
      <c r="AA31" s="3484"/>
      <c r="AB31" s="3484"/>
      <c r="AC31" s="3484"/>
      <c r="AD31" s="3484"/>
      <c r="AE31" s="3484"/>
      <c r="AF31" s="3484"/>
      <c r="AG31" s="3484"/>
      <c r="AH31" s="3799">
        <f t="shared" si="0"/>
        <v>248076.04274105051</v>
      </c>
      <c r="AI31" s="3820">
        <f t="shared" si="1"/>
        <v>1.77060231977373E-2</v>
      </c>
      <c r="AJ31" s="3165"/>
    </row>
    <row r="32" spans="1:36" ht="15.75" customHeight="1" thickBot="1" x14ac:dyDescent="0.3">
      <c r="A32" s="5155"/>
      <c r="B32" s="5141"/>
      <c r="C32" s="5139"/>
      <c r="D32" s="5125"/>
      <c r="E32" s="5129"/>
      <c r="F32" s="5121"/>
      <c r="G32" s="5123"/>
      <c r="H32" s="5117"/>
      <c r="I32" s="5119"/>
      <c r="J32" s="3821">
        <f>$H$31/1</f>
        <v>107.83000000000001</v>
      </c>
      <c r="K32" s="3822">
        <f>J32/'23. Costos de Inversion'!$F$68</f>
        <v>2.4450138315722642E-2</v>
      </c>
      <c r="L32" s="3484"/>
      <c r="M32" s="3484"/>
      <c r="N32" s="3484"/>
      <c r="O32" s="3484"/>
      <c r="P32" s="3484"/>
      <c r="Q32" s="3484"/>
      <c r="R32" s="3484"/>
      <c r="S32" s="3484"/>
      <c r="T32" s="3484"/>
      <c r="U32" s="3484"/>
      <c r="V32" s="3484"/>
      <c r="W32" s="3484"/>
      <c r="X32" s="3484"/>
      <c r="Y32" s="3484"/>
      <c r="Z32" s="3484"/>
      <c r="AA32" s="3484"/>
      <c r="AB32" s="3484"/>
      <c r="AC32" s="3484"/>
      <c r="AD32" s="3484"/>
      <c r="AE32" s="3484"/>
      <c r="AF32" s="3484"/>
      <c r="AG32" s="3484"/>
      <c r="AH32" s="3823">
        <f t="shared" ref="AH32" si="18">J32+L32+N32+P32+R32+T32+V32+X32+Z32+AB32+AD32+AF32</f>
        <v>107.83000000000001</v>
      </c>
      <c r="AI32" s="3824">
        <f t="shared" ref="AI32" si="19">K32+M32+O32+Q32+S32+U32+W32+Y32+AA32+AC32+AE32+AG32</f>
        <v>2.4450138315722642E-2</v>
      </c>
      <c r="AJ32" s="3165"/>
    </row>
    <row r="33" spans="1:36" ht="13.5" thickBot="1" x14ac:dyDescent="0.3">
      <c r="A33" s="5155"/>
      <c r="B33" s="5140" t="str">
        <f>'23. Costos de Inversion'!C26</f>
        <v>01.11.00</v>
      </c>
      <c r="C33" s="5138" t="str">
        <f>'23. Costos de Inversion'!D26</f>
        <v>UPS GESTIÓN DE LA INFORMACIÓN</v>
      </c>
      <c r="D33" s="5124" t="s">
        <v>5339</v>
      </c>
      <c r="E33" s="5128" t="s">
        <v>1815</v>
      </c>
      <c r="F33" s="5120">
        <v>6</v>
      </c>
      <c r="G33" s="5122" t="s">
        <v>3856</v>
      </c>
      <c r="H33" s="5116">
        <f>'23. Costos de Inversion'!F26</f>
        <v>77.140000000000015</v>
      </c>
      <c r="I33" s="5118">
        <f>'23. Costos de Inversion'!G26</f>
        <v>1368531.4691004611</v>
      </c>
      <c r="J33" s="3484"/>
      <c r="K33" s="3484"/>
      <c r="L33" s="3484"/>
      <c r="M33" s="3484"/>
      <c r="N33" s="3484"/>
      <c r="O33" s="3484"/>
      <c r="P33" s="3484"/>
      <c r="Q33" s="3484"/>
      <c r="R33" s="3803">
        <f>$I$33/6</f>
        <v>228088.57818341019</v>
      </c>
      <c r="S33" s="3815">
        <f>R33/$I$12</f>
        <v>1.6279450493613099E-2</v>
      </c>
      <c r="T33" s="3803">
        <f>$I$33/6</f>
        <v>228088.57818341019</v>
      </c>
      <c r="U33" s="3815">
        <f>T33/$I$12</f>
        <v>1.6279450493613099E-2</v>
      </c>
      <c r="V33" s="3803">
        <f>$I$33/6</f>
        <v>228088.57818341019</v>
      </c>
      <c r="W33" s="3815">
        <f>V33/$I$12</f>
        <v>1.6279450493613099E-2</v>
      </c>
      <c r="X33" s="3803">
        <f>$I$33/6</f>
        <v>228088.57818341019</v>
      </c>
      <c r="Y33" s="3815">
        <f>X33/$I$12</f>
        <v>1.6279450493613099E-2</v>
      </c>
      <c r="Z33" s="3803">
        <f>$I$33/6</f>
        <v>228088.57818341019</v>
      </c>
      <c r="AA33" s="3815">
        <f>Z33/$I$12</f>
        <v>1.6279450493613099E-2</v>
      </c>
      <c r="AB33" s="3803">
        <f>$I$33/6</f>
        <v>228088.57818341019</v>
      </c>
      <c r="AC33" s="3815">
        <f>AB33/$I$12</f>
        <v>1.6279450493613099E-2</v>
      </c>
      <c r="AD33" s="3484"/>
      <c r="AE33" s="3484"/>
      <c r="AF33" s="3484"/>
      <c r="AG33" s="3484"/>
      <c r="AH33" s="3799">
        <f t="shared" si="0"/>
        <v>1368531.4691004611</v>
      </c>
      <c r="AI33" s="3820">
        <f t="shared" si="1"/>
        <v>9.7676702961678588E-2</v>
      </c>
      <c r="AJ33" s="3165"/>
    </row>
    <row r="34" spans="1:36" ht="15.75" customHeight="1" thickBot="1" x14ac:dyDescent="0.3">
      <c r="A34" s="5155"/>
      <c r="B34" s="5141"/>
      <c r="C34" s="5139"/>
      <c r="D34" s="5125"/>
      <c r="E34" s="5129"/>
      <c r="F34" s="5121"/>
      <c r="G34" s="5123"/>
      <c r="H34" s="5117"/>
      <c r="I34" s="5119"/>
      <c r="J34" s="3484"/>
      <c r="K34" s="3484"/>
      <c r="L34" s="3484"/>
      <c r="M34" s="3484"/>
      <c r="N34" s="3484"/>
      <c r="O34" s="3484"/>
      <c r="P34" s="3484"/>
      <c r="Q34" s="3484"/>
      <c r="R34" s="3821">
        <f>$H$33/6</f>
        <v>12.856666666666669</v>
      </c>
      <c r="S34" s="3822">
        <f>R34/'23. Costos de Inversion'!$F$68</f>
        <v>2.9152117061962421E-3</v>
      </c>
      <c r="T34" s="3821">
        <f>$H$33/6</f>
        <v>12.856666666666669</v>
      </c>
      <c r="U34" s="3822">
        <f>T34/'23. Costos de Inversion'!$F$68</f>
        <v>2.9152117061962421E-3</v>
      </c>
      <c r="V34" s="3821">
        <f>$H$33/6</f>
        <v>12.856666666666669</v>
      </c>
      <c r="W34" s="3822">
        <f>V34/'23. Costos de Inversion'!$F$68</f>
        <v>2.9152117061962421E-3</v>
      </c>
      <c r="X34" s="3821">
        <f>$H$33/6</f>
        <v>12.856666666666669</v>
      </c>
      <c r="Y34" s="3822">
        <f>X34/'23. Costos de Inversion'!$F$68</f>
        <v>2.9152117061962421E-3</v>
      </c>
      <c r="Z34" s="3821">
        <f>$H$33/6</f>
        <v>12.856666666666669</v>
      </c>
      <c r="AA34" s="3822">
        <f>Z34/'23. Costos de Inversion'!$F$68</f>
        <v>2.9152117061962421E-3</v>
      </c>
      <c r="AB34" s="3821">
        <f>$H$33/6</f>
        <v>12.856666666666669</v>
      </c>
      <c r="AC34" s="3822">
        <f>AB34/'23. Costos de Inversion'!$F$68</f>
        <v>2.9152117061962421E-3</v>
      </c>
      <c r="AD34" s="3484"/>
      <c r="AE34" s="3484"/>
      <c r="AF34" s="3484"/>
      <c r="AG34" s="3484"/>
      <c r="AH34" s="3823">
        <f t="shared" ref="AH34" si="20">J34+L34+N34+P34+R34+T34+V34+X34+Z34+AB34+AD34+AF34</f>
        <v>77.140000000000015</v>
      </c>
      <c r="AI34" s="3824">
        <f t="shared" ref="AI34" si="21">K34+M34+O34+Q34+S34+U34+W34+Y34+AA34+AC34+AE34+AG34</f>
        <v>1.7491270237177451E-2</v>
      </c>
      <c r="AJ34" s="3165"/>
    </row>
    <row r="35" spans="1:36" ht="13.5" thickBot="1" x14ac:dyDescent="0.3">
      <c r="A35" s="5155"/>
      <c r="B35" s="5140" t="str">
        <f>'23. Costos de Inversion'!C27</f>
        <v>01.12.00</v>
      </c>
      <c r="C35" s="5138" t="str">
        <f>'23. Costos de Inversion'!D27</f>
        <v>UPS TRANSPORTE</v>
      </c>
      <c r="D35" s="5124" t="s">
        <v>5339</v>
      </c>
      <c r="E35" s="5128" t="s">
        <v>1815</v>
      </c>
      <c r="F35" s="5120">
        <v>3</v>
      </c>
      <c r="G35" s="5122" t="s">
        <v>3856</v>
      </c>
      <c r="H35" s="5116">
        <f>'23. Costos de Inversion'!F27</f>
        <v>77.2</v>
      </c>
      <c r="I35" s="5118">
        <f>'23. Costos de Inversion'!G27</f>
        <v>100631.88190815208</v>
      </c>
      <c r="J35" s="3484"/>
      <c r="K35" s="3484"/>
      <c r="L35" s="3803">
        <f>I35</f>
        <v>100631.88190815208</v>
      </c>
      <c r="M35" s="3815">
        <f>L35/$I$12</f>
        <v>7.1824365457070338E-3</v>
      </c>
      <c r="N35" s="3484"/>
      <c r="O35" s="3484"/>
      <c r="P35" s="3484"/>
      <c r="Q35" s="3484"/>
      <c r="R35" s="3484"/>
      <c r="S35" s="3484"/>
      <c r="T35" s="3484"/>
      <c r="U35" s="3484"/>
      <c r="V35" s="3484"/>
      <c r="W35" s="3484"/>
      <c r="X35" s="3484"/>
      <c r="Y35" s="3484"/>
      <c r="Z35" s="3484"/>
      <c r="AA35" s="3484"/>
      <c r="AB35" s="3484"/>
      <c r="AC35" s="3484"/>
      <c r="AD35" s="3484"/>
      <c r="AE35" s="3484"/>
      <c r="AF35" s="3484"/>
      <c r="AG35" s="3484"/>
      <c r="AH35" s="3799">
        <f t="shared" si="0"/>
        <v>100631.88190815208</v>
      </c>
      <c r="AI35" s="3820">
        <f t="shared" si="1"/>
        <v>7.1824365457070338E-3</v>
      </c>
      <c r="AJ35" s="3165"/>
    </row>
    <row r="36" spans="1:36" ht="15.75" customHeight="1" thickBot="1" x14ac:dyDescent="0.3">
      <c r="A36" s="5155"/>
      <c r="B36" s="5141"/>
      <c r="C36" s="5139"/>
      <c r="D36" s="5125"/>
      <c r="E36" s="5129"/>
      <c r="F36" s="5121"/>
      <c r="G36" s="5123"/>
      <c r="H36" s="5117"/>
      <c r="I36" s="5119"/>
      <c r="J36" s="3484"/>
      <c r="K36" s="3484"/>
      <c r="L36" s="3821">
        <f>$H$35/1</f>
        <v>77.2</v>
      </c>
      <c r="M36" s="3822">
        <f>L36/'23. Costos de Inversion'!$F$68</f>
        <v>1.7504875062355447E-2</v>
      </c>
      <c r="N36" s="3484"/>
      <c r="O36" s="3484"/>
      <c r="P36" s="3484"/>
      <c r="Q36" s="3484"/>
      <c r="R36" s="3484"/>
      <c r="S36" s="3484"/>
      <c r="T36" s="3484"/>
      <c r="U36" s="3484"/>
      <c r="V36" s="3484"/>
      <c r="W36" s="3484"/>
      <c r="X36" s="3484"/>
      <c r="Y36" s="3484"/>
      <c r="Z36" s="3484"/>
      <c r="AA36" s="3484"/>
      <c r="AB36" s="3484"/>
      <c r="AC36" s="3484"/>
      <c r="AD36" s="3484"/>
      <c r="AE36" s="3484"/>
      <c r="AF36" s="3484"/>
      <c r="AG36" s="3484"/>
      <c r="AH36" s="3823">
        <f t="shared" ref="AH36" si="22">J36+L36+N36+P36+R36+T36+V36+X36+Z36+AB36+AD36+AF36</f>
        <v>77.2</v>
      </c>
      <c r="AI36" s="3824">
        <f t="shared" ref="AI36" si="23">K36+M36+O36+Q36+S36+U36+W36+Y36+AA36+AC36+AE36+AG36</f>
        <v>1.7504875062355447E-2</v>
      </c>
      <c r="AJ36" s="3165"/>
    </row>
    <row r="37" spans="1:36" ht="13.5" thickBot="1" x14ac:dyDescent="0.3">
      <c r="A37" s="5155"/>
      <c r="B37" s="5140" t="str">
        <f>'23. Costos de Inversion'!C28</f>
        <v>01.13.00</v>
      </c>
      <c r="C37" s="5138" t="str">
        <f>'23. Costos de Inversion'!D28</f>
        <v>UPS CASA DE FUERZA</v>
      </c>
      <c r="D37" s="5124" t="s">
        <v>5339</v>
      </c>
      <c r="E37" s="5128" t="s">
        <v>1815</v>
      </c>
      <c r="F37" s="5120">
        <v>9</v>
      </c>
      <c r="G37" s="5122" t="s">
        <v>3856</v>
      </c>
      <c r="H37" s="5116">
        <f>'23. Costos de Inversion'!F28</f>
        <v>164.99</v>
      </c>
      <c r="I37" s="5118">
        <f>'23. Costos de Inversion'!G28</f>
        <v>2126072.0821556132</v>
      </c>
      <c r="J37" s="3484"/>
      <c r="K37" s="3484"/>
      <c r="L37" s="3803">
        <f>I37</f>
        <v>2126072.0821556132</v>
      </c>
      <c r="M37" s="3815">
        <f>L37/$I$12</f>
        <v>0.15174492946101695</v>
      </c>
      <c r="N37" s="3484"/>
      <c r="O37" s="3484"/>
      <c r="P37" s="3484"/>
      <c r="Q37" s="3484"/>
      <c r="R37" s="3484"/>
      <c r="S37" s="3484"/>
      <c r="T37" s="3484"/>
      <c r="U37" s="3484"/>
      <c r="V37" s="3484"/>
      <c r="W37" s="3484"/>
      <c r="X37" s="3484"/>
      <c r="Y37" s="3484"/>
      <c r="Z37" s="3484"/>
      <c r="AA37" s="3484"/>
      <c r="AB37" s="3484"/>
      <c r="AC37" s="3484"/>
      <c r="AD37" s="3484"/>
      <c r="AE37" s="3484"/>
      <c r="AF37" s="3484"/>
      <c r="AG37" s="3484"/>
      <c r="AH37" s="3799">
        <f t="shared" si="0"/>
        <v>2126072.0821556132</v>
      </c>
      <c r="AI37" s="3820">
        <f t="shared" si="1"/>
        <v>0.15174492946101695</v>
      </c>
      <c r="AJ37" s="3165"/>
    </row>
    <row r="38" spans="1:36" ht="15.75" customHeight="1" thickBot="1" x14ac:dyDescent="0.3">
      <c r="A38" s="5155"/>
      <c r="B38" s="5141"/>
      <c r="C38" s="5139"/>
      <c r="D38" s="5125"/>
      <c r="E38" s="5129"/>
      <c r="F38" s="5121"/>
      <c r="G38" s="5123"/>
      <c r="H38" s="5117"/>
      <c r="I38" s="5119"/>
      <c r="J38" s="3484"/>
      <c r="K38" s="3484"/>
      <c r="L38" s="3821">
        <f>$H$37/1</f>
        <v>164.99</v>
      </c>
      <c r="M38" s="3822">
        <f>L38/'23. Costos de Inversion'!$F$68</f>
        <v>3.7411001768627272E-2</v>
      </c>
      <c r="N38" s="3484"/>
      <c r="O38" s="3484"/>
      <c r="P38" s="3484"/>
      <c r="Q38" s="3484"/>
      <c r="R38" s="3484"/>
      <c r="S38" s="3484"/>
      <c r="T38" s="3484"/>
      <c r="U38" s="3484"/>
      <c r="V38" s="3484"/>
      <c r="W38" s="3484"/>
      <c r="X38" s="3484"/>
      <c r="Y38" s="3484"/>
      <c r="Z38" s="3484"/>
      <c r="AA38" s="3484"/>
      <c r="AB38" s="3484"/>
      <c r="AC38" s="3484"/>
      <c r="AD38" s="3484"/>
      <c r="AE38" s="3484"/>
      <c r="AF38" s="3484"/>
      <c r="AG38" s="3484"/>
      <c r="AH38" s="3823">
        <f t="shared" ref="AH38" si="24">J38+L38+N38+P38+R38+T38+V38+X38+Z38+AB38+AD38+AF38</f>
        <v>164.99</v>
      </c>
      <c r="AI38" s="3824">
        <f t="shared" ref="AI38" si="25">K38+M38+O38+Q38+S38+U38+W38+Y38+AA38+AC38+AE38+AG38</f>
        <v>3.7411001768627272E-2</v>
      </c>
      <c r="AJ38" s="3165"/>
    </row>
    <row r="39" spans="1:36" ht="13.5" thickBot="1" x14ac:dyDescent="0.3">
      <c r="A39" s="5155"/>
      <c r="B39" s="5140" t="str">
        <f>'23. Costos de Inversion'!C29</f>
        <v>01.14.00</v>
      </c>
      <c r="C39" s="5138" t="str">
        <f>'23. Costos de Inversion'!D29</f>
        <v>UPS CADENA DE FRÍO</v>
      </c>
      <c r="D39" s="5124" t="s">
        <v>5339</v>
      </c>
      <c r="E39" s="5128" t="s">
        <v>1815</v>
      </c>
      <c r="F39" s="5120">
        <v>1</v>
      </c>
      <c r="G39" s="5122" t="s">
        <v>3856</v>
      </c>
      <c r="H39" s="5116">
        <f>'23. Costos de Inversion'!F29</f>
        <v>21.21</v>
      </c>
      <c r="I39" s="5118">
        <f>'23. Costos de Inversion'!G29</f>
        <v>35424.074074067241</v>
      </c>
      <c r="J39" s="3484"/>
      <c r="K39" s="3484"/>
      <c r="L39" s="3484"/>
      <c r="M39" s="3484"/>
      <c r="N39" s="3803">
        <f>I39</f>
        <v>35424.074074067241</v>
      </c>
      <c r="O39" s="3815">
        <f>N39/$I$12</f>
        <v>2.5283355473729088E-3</v>
      </c>
      <c r="P39" s="3484"/>
      <c r="Q39" s="3484"/>
      <c r="R39" s="3484"/>
      <c r="S39" s="3484"/>
      <c r="T39" s="3484"/>
      <c r="U39" s="3484"/>
      <c r="V39" s="3484"/>
      <c r="W39" s="3484"/>
      <c r="X39" s="3484"/>
      <c r="Y39" s="3484"/>
      <c r="Z39" s="3484"/>
      <c r="AA39" s="3484"/>
      <c r="AB39" s="3484"/>
      <c r="AC39" s="3484"/>
      <c r="AD39" s="3484"/>
      <c r="AE39" s="3484"/>
      <c r="AF39" s="3484"/>
      <c r="AG39" s="3484"/>
      <c r="AH39" s="3799">
        <f t="shared" si="0"/>
        <v>35424.074074067241</v>
      </c>
      <c r="AI39" s="3820">
        <f t="shared" si="1"/>
        <v>2.5283355473729088E-3</v>
      </c>
      <c r="AJ39" s="3165"/>
    </row>
    <row r="40" spans="1:36" ht="15.75" customHeight="1" thickBot="1" x14ac:dyDescent="0.3">
      <c r="A40" s="5155"/>
      <c r="B40" s="5141"/>
      <c r="C40" s="5139"/>
      <c r="D40" s="5125"/>
      <c r="E40" s="5129"/>
      <c r="F40" s="5121"/>
      <c r="G40" s="5123"/>
      <c r="H40" s="5117"/>
      <c r="I40" s="5119"/>
      <c r="J40" s="3484"/>
      <c r="K40" s="3484"/>
      <c r="L40" s="3484"/>
      <c r="M40" s="3484"/>
      <c r="N40" s="3821">
        <f>$H$39/1</f>
        <v>21.21</v>
      </c>
      <c r="O40" s="3822">
        <f>N40/'23. Costos de Inversion'!$F$68</f>
        <v>4.8093057004217491E-3</v>
      </c>
      <c r="P40" s="3484"/>
      <c r="Q40" s="3484"/>
      <c r="R40" s="3484"/>
      <c r="S40" s="3484"/>
      <c r="T40" s="3484"/>
      <c r="U40" s="3484"/>
      <c r="V40" s="3484"/>
      <c r="W40" s="3484"/>
      <c r="X40" s="3484"/>
      <c r="Y40" s="3484"/>
      <c r="Z40" s="3484"/>
      <c r="AA40" s="3484"/>
      <c r="AB40" s="3484"/>
      <c r="AC40" s="3484"/>
      <c r="AD40" s="3484"/>
      <c r="AE40" s="3484"/>
      <c r="AF40" s="3484"/>
      <c r="AG40" s="3484"/>
      <c r="AH40" s="3823">
        <f t="shared" ref="AH40" si="26">J40+L40+N40+P40+R40+T40+V40+X40+Z40+AB40+AD40+AF40</f>
        <v>21.21</v>
      </c>
      <c r="AI40" s="3824">
        <f t="shared" ref="AI40" si="27">K40+M40+O40+Q40+S40+U40+W40+Y40+AA40+AC40+AE40+AG40</f>
        <v>4.8093057004217491E-3</v>
      </c>
      <c r="AJ40" s="3165"/>
    </row>
    <row r="41" spans="1:36" ht="13.5" thickBot="1" x14ac:dyDescent="0.3">
      <c r="A41" s="5155"/>
      <c r="B41" s="5140" t="str">
        <f>'23. Costos de Inversion'!C30</f>
        <v>01.15.00</v>
      </c>
      <c r="C41" s="5138" t="str">
        <f>'23. Costos de Inversion'!D30</f>
        <v>UPS CENTRAL DE GASES</v>
      </c>
      <c r="D41" s="5124" t="s">
        <v>5339</v>
      </c>
      <c r="E41" s="5128" t="s">
        <v>1815</v>
      </c>
      <c r="F41" s="5120">
        <v>2</v>
      </c>
      <c r="G41" s="5122" t="s">
        <v>3856</v>
      </c>
      <c r="H41" s="5116">
        <f>'23. Costos de Inversion'!F30</f>
        <v>19.690000000000001</v>
      </c>
      <c r="I41" s="5118">
        <f>'23. Costos de Inversion'!G30</f>
        <v>136489.9273912803</v>
      </c>
      <c r="J41" s="3484"/>
      <c r="K41" s="3484"/>
      <c r="L41" s="3803">
        <f>$I$41/3</f>
        <v>45496.642463760101</v>
      </c>
      <c r="M41" s="3815">
        <f>L41/$I$12</f>
        <v>3.2472486983491982E-3</v>
      </c>
      <c r="N41" s="3803">
        <f>$I$41/3</f>
        <v>45496.642463760101</v>
      </c>
      <c r="O41" s="3815">
        <f>N41/$I$12</f>
        <v>3.2472486983491982E-3</v>
      </c>
      <c r="P41" s="3803">
        <f>$I$41/3</f>
        <v>45496.642463760101</v>
      </c>
      <c r="Q41" s="3815">
        <f>P41/$I$12</f>
        <v>3.2472486983491982E-3</v>
      </c>
      <c r="R41" s="3484"/>
      <c r="S41" s="3484"/>
      <c r="T41" s="3484"/>
      <c r="U41" s="3484"/>
      <c r="V41" s="3484"/>
      <c r="W41" s="3484"/>
      <c r="X41" s="3484"/>
      <c r="Y41" s="3484"/>
      <c r="Z41" s="3484"/>
      <c r="AA41" s="3484"/>
      <c r="AB41" s="3484"/>
      <c r="AC41" s="3484"/>
      <c r="AD41" s="3484"/>
      <c r="AE41" s="3484"/>
      <c r="AF41" s="3484"/>
      <c r="AG41" s="3484"/>
      <c r="AH41" s="3799">
        <f t="shared" si="0"/>
        <v>136489.9273912803</v>
      </c>
      <c r="AI41" s="3820">
        <f t="shared" si="1"/>
        <v>9.7417460950475938E-3</v>
      </c>
      <c r="AJ41" s="3165"/>
    </row>
    <row r="42" spans="1:36" ht="15.75" customHeight="1" thickBot="1" x14ac:dyDescent="0.3">
      <c r="A42" s="5155"/>
      <c r="B42" s="5141"/>
      <c r="C42" s="5139"/>
      <c r="D42" s="5125"/>
      <c r="E42" s="5129"/>
      <c r="F42" s="5121"/>
      <c r="G42" s="5123"/>
      <c r="H42" s="5117"/>
      <c r="I42" s="5119"/>
      <c r="J42" s="3484"/>
      <c r="K42" s="3484"/>
      <c r="L42" s="3821">
        <f>$H$41/3</f>
        <v>6.5633333333333335</v>
      </c>
      <c r="M42" s="3822">
        <f>L42/'23. Costos de Inversion'!$F$68</f>
        <v>1.4882167097486129E-3</v>
      </c>
      <c r="N42" s="3821">
        <f>$H$41/3</f>
        <v>6.5633333333333335</v>
      </c>
      <c r="O42" s="3822">
        <f>N42/'23. Costos de Inversion'!$F$68</f>
        <v>1.4882167097486129E-3</v>
      </c>
      <c r="P42" s="3821">
        <f>$H$41/3</f>
        <v>6.5633333333333335</v>
      </c>
      <c r="Q42" s="3822">
        <f>P42/'23. Costos de Inversion'!$F$68</f>
        <v>1.4882167097486129E-3</v>
      </c>
      <c r="R42" s="3484"/>
      <c r="S42" s="3484"/>
      <c r="T42" s="3484"/>
      <c r="U42" s="3484"/>
      <c r="V42" s="3484"/>
      <c r="W42" s="3484"/>
      <c r="X42" s="3484"/>
      <c r="Y42" s="3484"/>
      <c r="Z42" s="3484"/>
      <c r="AA42" s="3484"/>
      <c r="AB42" s="3484"/>
      <c r="AC42" s="3484"/>
      <c r="AD42" s="3484"/>
      <c r="AE42" s="3484"/>
      <c r="AF42" s="3484"/>
      <c r="AG42" s="3484"/>
      <c r="AH42" s="3823">
        <f t="shared" ref="AH42" si="28">J42+L42+N42+P42+R42+T42+V42+X42+Z42+AB42+AD42+AF42</f>
        <v>19.690000000000001</v>
      </c>
      <c r="AI42" s="3824">
        <f t="shared" ref="AI42" si="29">K42+M42+O42+Q42+S42+U42+W42+Y42+AA42+AC42+AE42+AG42</f>
        <v>4.4646501292458386E-3</v>
      </c>
      <c r="AJ42" s="3165"/>
    </row>
    <row r="43" spans="1:36" ht="13.5" thickBot="1" x14ac:dyDescent="0.3">
      <c r="A43" s="5155"/>
      <c r="B43" s="5140" t="str">
        <f>'23. Costos de Inversion'!C31</f>
        <v>01.16.00</v>
      </c>
      <c r="C43" s="5138" t="str">
        <f>'23. Costos de Inversion'!D31</f>
        <v>UPS ALMACEN</v>
      </c>
      <c r="D43" s="5124" t="s">
        <v>5339</v>
      </c>
      <c r="E43" s="5128" t="s">
        <v>1815</v>
      </c>
      <c r="F43" s="5120">
        <v>4</v>
      </c>
      <c r="G43" s="5122" t="s">
        <v>3856</v>
      </c>
      <c r="H43" s="5116">
        <f>'23. Costos de Inversion'!F31</f>
        <v>55.120000000000005</v>
      </c>
      <c r="I43" s="5118">
        <f>'23. Costos de Inversion'!G31</f>
        <v>84136.284911344017</v>
      </c>
      <c r="J43" s="3484"/>
      <c r="K43" s="3484"/>
      <c r="L43" s="3484"/>
      <c r="M43" s="3484"/>
      <c r="N43" s="3484"/>
      <c r="O43" s="3484"/>
      <c r="P43" s="3484"/>
      <c r="Q43" s="3484"/>
      <c r="R43" s="3484"/>
      <c r="S43" s="3484"/>
      <c r="T43" s="3484"/>
      <c r="U43" s="3484"/>
      <c r="V43" s="3484"/>
      <c r="W43" s="3484"/>
      <c r="X43" s="3484"/>
      <c r="Y43" s="3484"/>
      <c r="Z43" s="3484"/>
      <c r="AA43" s="3484"/>
      <c r="AB43" s="3803">
        <f>I43</f>
        <v>84136.284911344017</v>
      </c>
      <c r="AC43" s="3815">
        <f>AB43/$I$12</f>
        <v>6.0050901971485694E-3</v>
      </c>
      <c r="AD43" s="3484"/>
      <c r="AE43" s="3484"/>
      <c r="AF43" s="3484"/>
      <c r="AG43" s="3484"/>
      <c r="AH43" s="3799">
        <f t="shared" si="0"/>
        <v>84136.284911344017</v>
      </c>
      <c r="AI43" s="3820">
        <f t="shared" si="1"/>
        <v>6.0050901971485694E-3</v>
      </c>
      <c r="AJ43" s="3165"/>
    </row>
    <row r="44" spans="1:36" ht="15.75" customHeight="1" thickBot="1" x14ac:dyDescent="0.3">
      <c r="A44" s="5155"/>
      <c r="B44" s="5141"/>
      <c r="C44" s="5139"/>
      <c r="D44" s="5125"/>
      <c r="E44" s="5129"/>
      <c r="F44" s="5121"/>
      <c r="G44" s="5123"/>
      <c r="H44" s="5117"/>
      <c r="I44" s="5119"/>
      <c r="J44" s="3484"/>
      <c r="K44" s="3484"/>
      <c r="L44" s="3484"/>
      <c r="M44" s="3484"/>
      <c r="N44" s="3484"/>
      <c r="O44" s="3484"/>
      <c r="P44" s="3484"/>
      <c r="Q44" s="3484"/>
      <c r="R44" s="3484"/>
      <c r="S44" s="3484"/>
      <c r="T44" s="3484"/>
      <c r="U44" s="3484"/>
      <c r="V44" s="3484"/>
      <c r="W44" s="3484"/>
      <c r="X44" s="3484"/>
      <c r="Y44" s="3484"/>
      <c r="Z44" s="3484"/>
      <c r="AA44" s="3484"/>
      <c r="AB44" s="3821">
        <f>$H$43/1</f>
        <v>55.120000000000005</v>
      </c>
      <c r="AC44" s="3822">
        <f>AB44/'23. Costos de Inversion'!$F$68</f>
        <v>1.2498299396852749E-2</v>
      </c>
      <c r="AD44" s="3484"/>
      <c r="AE44" s="3484"/>
      <c r="AF44" s="3484"/>
      <c r="AG44" s="3484"/>
      <c r="AH44" s="3823">
        <f t="shared" ref="AH44" si="30">J44+L44+N44+P44+R44+T44+V44+X44+Z44+AB44+AD44+AF44</f>
        <v>55.120000000000005</v>
      </c>
      <c r="AI44" s="3824">
        <f t="shared" ref="AI44" si="31">K44+M44+O44+Q44+S44+U44+W44+Y44+AA44+AC44+AE44+AG44</f>
        <v>1.2498299396852749E-2</v>
      </c>
      <c r="AJ44" s="3165"/>
    </row>
    <row r="45" spans="1:36" ht="13.5" thickBot="1" x14ac:dyDescent="0.3">
      <c r="A45" s="5155"/>
      <c r="B45" s="5140" t="str">
        <f>'23. Costos de Inversion'!C32</f>
        <v>01.17.00</v>
      </c>
      <c r="C45" s="5138" t="str">
        <f>'23. Costos de Inversion'!D32</f>
        <v>UPS LAVANDERÍA</v>
      </c>
      <c r="D45" s="5124" t="s">
        <v>5339</v>
      </c>
      <c r="E45" s="5128" t="s">
        <v>1815</v>
      </c>
      <c r="F45" s="5120">
        <v>7</v>
      </c>
      <c r="G45" s="5122" t="s">
        <v>3856</v>
      </c>
      <c r="H45" s="5116">
        <f>'23. Costos de Inversion'!F32</f>
        <v>50.51</v>
      </c>
      <c r="I45" s="5118">
        <f>'23. Costos de Inversion'!G32</f>
        <v>101921.97121889828</v>
      </c>
      <c r="J45" s="3484"/>
      <c r="K45" s="3484"/>
      <c r="L45" s="3484"/>
      <c r="M45" s="3484"/>
      <c r="N45" s="3484"/>
      <c r="O45" s="3484"/>
      <c r="P45" s="3484"/>
      <c r="Q45" s="3484"/>
      <c r="R45" s="3484"/>
      <c r="S45" s="3484"/>
      <c r="T45" s="3484"/>
      <c r="U45" s="3484"/>
      <c r="V45" s="3484"/>
      <c r="W45" s="3484"/>
      <c r="X45" s="3484"/>
      <c r="Y45" s="3484"/>
      <c r="Z45" s="3484"/>
      <c r="AA45" s="3484"/>
      <c r="AB45" s="3803">
        <f>I45</f>
        <v>101921.97121889828</v>
      </c>
      <c r="AC45" s="3815">
        <f>AB45/$I$12</f>
        <v>7.2745145674734035E-3</v>
      </c>
      <c r="AD45" s="3484"/>
      <c r="AE45" s="3484"/>
      <c r="AF45" s="3484"/>
      <c r="AG45" s="3484"/>
      <c r="AH45" s="3799">
        <f t="shared" si="0"/>
        <v>101921.97121889828</v>
      </c>
      <c r="AI45" s="3820">
        <f t="shared" si="1"/>
        <v>7.2745145674734035E-3</v>
      </c>
      <c r="AJ45" s="3165"/>
    </row>
    <row r="46" spans="1:36" ht="15.75" customHeight="1" thickBot="1" x14ac:dyDescent="0.3">
      <c r="A46" s="5155"/>
      <c r="B46" s="5141"/>
      <c r="C46" s="5139"/>
      <c r="D46" s="5125"/>
      <c r="E46" s="5129"/>
      <c r="F46" s="5121"/>
      <c r="G46" s="5123"/>
      <c r="H46" s="5117"/>
      <c r="I46" s="5119"/>
      <c r="J46" s="3484"/>
      <c r="K46" s="3484"/>
      <c r="L46" s="3484"/>
      <c r="M46" s="3484"/>
      <c r="N46" s="3484"/>
      <c r="O46" s="3484"/>
      <c r="P46" s="3484"/>
      <c r="Q46" s="3484"/>
      <c r="R46" s="3484"/>
      <c r="S46" s="3484"/>
      <c r="T46" s="3484"/>
      <c r="U46" s="3484"/>
      <c r="V46" s="3484"/>
      <c r="W46" s="3484"/>
      <c r="X46" s="3484"/>
      <c r="Y46" s="3484"/>
      <c r="Z46" s="3484"/>
      <c r="AA46" s="3484"/>
      <c r="AB46" s="3821">
        <f>$H$45/1</f>
        <v>50.51</v>
      </c>
      <c r="AC46" s="3822">
        <f>AB46/'23. Costos de Inversion'!$F$68</f>
        <v>1.1452995329010019E-2</v>
      </c>
      <c r="AD46" s="3484"/>
      <c r="AE46" s="3484"/>
      <c r="AF46" s="3484"/>
      <c r="AG46" s="3484"/>
      <c r="AH46" s="3823">
        <f t="shared" ref="AH46" si="32">J46+L46+N46+P46+R46+T46+V46+X46+Z46+AB46+AD46+AF46</f>
        <v>50.51</v>
      </c>
      <c r="AI46" s="3824">
        <f t="shared" ref="AI46" si="33">K46+M46+O46+Q46+S46+U46+W46+Y46+AA46+AC46+AE46+AG46</f>
        <v>1.1452995329010019E-2</v>
      </c>
      <c r="AJ46" s="3165"/>
    </row>
    <row r="47" spans="1:36" ht="13.5" thickBot="1" x14ac:dyDescent="0.3">
      <c r="A47" s="5155"/>
      <c r="B47" s="5140" t="str">
        <f>'23. Costos de Inversion'!C33</f>
        <v>01.18.00</v>
      </c>
      <c r="C47" s="5138" t="str">
        <f>'23. Costos de Inversion'!D33</f>
        <v>UPS TALLER DE MANTENIMIENTO</v>
      </c>
      <c r="D47" s="5124" t="s">
        <v>5339</v>
      </c>
      <c r="E47" s="5128" t="s">
        <v>1815</v>
      </c>
      <c r="F47" s="5120">
        <v>5</v>
      </c>
      <c r="G47" s="5122" t="s">
        <v>3856</v>
      </c>
      <c r="H47" s="5116">
        <f>'23. Costos de Inversion'!F33</f>
        <v>41.68</v>
      </c>
      <c r="I47" s="5118">
        <f>'23. Costos de Inversion'!G33</f>
        <v>63694.120308561047</v>
      </c>
      <c r="J47" s="3484"/>
      <c r="K47" s="3484"/>
      <c r="L47" s="3484"/>
      <c r="M47" s="3484"/>
      <c r="N47" s="3484"/>
      <c r="O47" s="3484"/>
      <c r="P47" s="3484"/>
      <c r="Q47" s="3484"/>
      <c r="R47" s="3484"/>
      <c r="S47" s="3484"/>
      <c r="T47" s="3803">
        <f>$I$47/5</f>
        <v>12738.82406171221</v>
      </c>
      <c r="U47" s="3815">
        <f>T47/$I$12</f>
        <v>9.0921280368862819E-4</v>
      </c>
      <c r="V47" s="3803">
        <f>$I$47/5</f>
        <v>12738.82406171221</v>
      </c>
      <c r="W47" s="3815">
        <f>V47/$I$12</f>
        <v>9.0921280368862819E-4</v>
      </c>
      <c r="X47" s="3803">
        <f>$I$47/5</f>
        <v>12738.82406171221</v>
      </c>
      <c r="Y47" s="3815">
        <f>X47/$I$12</f>
        <v>9.0921280368862819E-4</v>
      </c>
      <c r="Z47" s="3803">
        <f>$I$47/5</f>
        <v>12738.82406171221</v>
      </c>
      <c r="AA47" s="3815">
        <f>Z47/$I$12</f>
        <v>9.0921280368862819E-4</v>
      </c>
      <c r="AB47" s="3803">
        <f>$I$47/5</f>
        <v>12738.82406171221</v>
      </c>
      <c r="AC47" s="3815">
        <f>AB47/$I$12</f>
        <v>9.0921280368862819E-4</v>
      </c>
      <c r="AD47" s="3484"/>
      <c r="AE47" s="3484"/>
      <c r="AF47" s="3484"/>
      <c r="AG47" s="3484"/>
      <c r="AH47" s="3799">
        <f t="shared" si="0"/>
        <v>63694.120308561047</v>
      </c>
      <c r="AI47" s="3820">
        <f t="shared" si="1"/>
        <v>4.5460640184431409E-3</v>
      </c>
      <c r="AJ47" s="3165"/>
    </row>
    <row r="48" spans="1:36" ht="15.75" customHeight="1" thickBot="1" x14ac:dyDescent="0.3">
      <c r="A48" s="5155"/>
      <c r="B48" s="5141"/>
      <c r="C48" s="5139"/>
      <c r="D48" s="5125"/>
      <c r="E48" s="5129"/>
      <c r="F48" s="5121"/>
      <c r="G48" s="5123"/>
      <c r="H48" s="5117"/>
      <c r="I48" s="5119"/>
      <c r="J48" s="3484"/>
      <c r="K48" s="3484"/>
      <c r="L48" s="3484"/>
      <c r="M48" s="3484"/>
      <c r="N48" s="3484"/>
      <c r="O48" s="3484"/>
      <c r="P48" s="3484"/>
      <c r="Q48" s="3484"/>
      <c r="R48" s="3484"/>
      <c r="S48" s="3484"/>
      <c r="T48" s="3821">
        <f>$H$47/5</f>
        <v>8.3360000000000003</v>
      </c>
      <c r="U48" s="3822">
        <f>T48/'23. Costos de Inversion'!$F$68</f>
        <v>1.8901637113963082E-3</v>
      </c>
      <c r="V48" s="3821">
        <f>$H$47/5</f>
        <v>8.3360000000000003</v>
      </c>
      <c r="W48" s="3822">
        <f>V48/'23. Costos de Inversion'!$F$68</f>
        <v>1.8901637113963082E-3</v>
      </c>
      <c r="X48" s="3821">
        <f>$H$47/5</f>
        <v>8.3360000000000003</v>
      </c>
      <c r="Y48" s="3822">
        <f>X48/'23. Costos de Inversion'!$F$68</f>
        <v>1.8901637113963082E-3</v>
      </c>
      <c r="Z48" s="3821">
        <f>$H$47/5</f>
        <v>8.3360000000000003</v>
      </c>
      <c r="AA48" s="3822">
        <f>Z48/'23. Costos de Inversion'!$F$68</f>
        <v>1.8901637113963082E-3</v>
      </c>
      <c r="AB48" s="3821">
        <f>$H$47/5</f>
        <v>8.3360000000000003</v>
      </c>
      <c r="AC48" s="3822">
        <f>AB48/'23. Costos de Inversion'!$F$68</f>
        <v>1.8901637113963082E-3</v>
      </c>
      <c r="AD48" s="3484"/>
      <c r="AE48" s="3484"/>
      <c r="AF48" s="3484"/>
      <c r="AG48" s="3484"/>
      <c r="AH48" s="3823">
        <f t="shared" ref="AH48" si="34">J48+L48+N48+P48+R48+T48+V48+X48+Z48+AB48+AD48+AF48</f>
        <v>41.68</v>
      </c>
      <c r="AI48" s="3824">
        <f t="shared" ref="AI48" si="35">K48+M48+O48+Q48+S48+U48+W48+Y48+AA48+AC48+AE48+AG48</f>
        <v>9.4508185569815405E-3</v>
      </c>
      <c r="AJ48" s="3165"/>
    </row>
    <row r="49" spans="1:36" ht="13.5" thickBot="1" x14ac:dyDescent="0.3">
      <c r="A49" s="5155"/>
      <c r="B49" s="5140" t="str">
        <f>'23. Costos de Inversion'!C34</f>
        <v>01.19.00</v>
      </c>
      <c r="C49" s="5138" t="str">
        <f>'23. Costos de Inversion'!D34</f>
        <v>UPS SALUD AMBIENTAL</v>
      </c>
      <c r="D49" s="5124" t="s">
        <v>5339</v>
      </c>
      <c r="E49" s="5128" t="s">
        <v>1815</v>
      </c>
      <c r="F49" s="5120">
        <v>6</v>
      </c>
      <c r="G49" s="5122" t="s">
        <v>3856</v>
      </c>
      <c r="H49" s="5116">
        <f>'23. Costos de Inversion'!F34</f>
        <v>73.3</v>
      </c>
      <c r="I49" s="5118">
        <f>'23. Costos de Inversion'!G34</f>
        <v>100798.06031931238</v>
      </c>
      <c r="J49" s="3484"/>
      <c r="K49" s="3484"/>
      <c r="L49" s="3484"/>
      <c r="M49" s="3484"/>
      <c r="N49" s="3484"/>
      <c r="O49" s="3484"/>
      <c r="P49" s="3484"/>
      <c r="Q49" s="3484"/>
      <c r="R49" s="3484"/>
      <c r="S49" s="3484"/>
      <c r="T49" s="3803">
        <f>$I$49/4</f>
        <v>25199.515079828096</v>
      </c>
      <c r="U49" s="3815">
        <f>T49/$I$12</f>
        <v>1.7985743147350471E-3</v>
      </c>
      <c r="V49" s="3803">
        <f>$I$49/4</f>
        <v>25199.515079828096</v>
      </c>
      <c r="W49" s="3815">
        <f>V49/$I$12</f>
        <v>1.7985743147350471E-3</v>
      </c>
      <c r="X49" s="3803">
        <f>$I$49/4</f>
        <v>25199.515079828096</v>
      </c>
      <c r="Y49" s="3815">
        <f>X49/$I$12</f>
        <v>1.7985743147350471E-3</v>
      </c>
      <c r="Z49" s="3803">
        <f>$I$49/4</f>
        <v>25199.515079828096</v>
      </c>
      <c r="AA49" s="3815">
        <f>Z49/$I$12</f>
        <v>1.7985743147350471E-3</v>
      </c>
      <c r="AB49" s="3484"/>
      <c r="AC49" s="3484"/>
      <c r="AD49" s="3484"/>
      <c r="AE49" s="3484"/>
      <c r="AF49" s="3484"/>
      <c r="AG49" s="3484"/>
      <c r="AH49" s="3799">
        <f t="shared" si="0"/>
        <v>100798.06031931238</v>
      </c>
      <c r="AI49" s="3820">
        <f t="shared" si="1"/>
        <v>7.1942972589401884E-3</v>
      </c>
      <c r="AJ49" s="3165"/>
    </row>
    <row r="50" spans="1:36" ht="15.75" customHeight="1" thickBot="1" x14ac:dyDescent="0.3">
      <c r="A50" s="5155"/>
      <c r="B50" s="5141"/>
      <c r="C50" s="5139"/>
      <c r="D50" s="5125"/>
      <c r="E50" s="5129"/>
      <c r="F50" s="5121"/>
      <c r="G50" s="5123"/>
      <c r="H50" s="5117"/>
      <c r="I50" s="5119"/>
      <c r="J50" s="3484"/>
      <c r="K50" s="3484"/>
      <c r="L50" s="3484"/>
      <c r="M50" s="3484"/>
      <c r="N50" s="3484"/>
      <c r="O50" s="3484"/>
      <c r="P50" s="3484"/>
      <c r="Q50" s="3484"/>
      <c r="R50" s="3484"/>
      <c r="S50" s="3484"/>
      <c r="T50" s="3821">
        <f>$H$49/4</f>
        <v>18.324999999999999</v>
      </c>
      <c r="U50" s="3822">
        <f>T50/'23. Costos de Inversion'!$F$68</f>
        <v>4.1551403564464191E-3</v>
      </c>
      <c r="V50" s="3821">
        <f>$H$49/4</f>
        <v>18.324999999999999</v>
      </c>
      <c r="W50" s="3822">
        <f>V50/'23. Costos de Inversion'!$F$68</f>
        <v>4.1551403564464191E-3</v>
      </c>
      <c r="X50" s="3821">
        <f>$H$49/4</f>
        <v>18.324999999999999</v>
      </c>
      <c r="Y50" s="3822">
        <f>X50/'23. Costos de Inversion'!$F$68</f>
        <v>4.1551403564464191E-3</v>
      </c>
      <c r="Z50" s="3821">
        <f>$H$49/4</f>
        <v>18.324999999999999</v>
      </c>
      <c r="AA50" s="3822">
        <f>Z50/'23. Costos de Inversion'!$F$68</f>
        <v>4.1551403564464191E-3</v>
      </c>
      <c r="AB50" s="3484"/>
      <c r="AC50" s="3484"/>
      <c r="AD50" s="3484"/>
      <c r="AE50" s="3484"/>
      <c r="AF50" s="3484"/>
      <c r="AG50" s="3484"/>
      <c r="AH50" s="3823">
        <f t="shared" ref="AH50" si="36">J50+L50+N50+P50+R50+T50+V50+X50+Z50+AB50+AD50+AF50</f>
        <v>73.3</v>
      </c>
      <c r="AI50" s="3824">
        <f t="shared" ref="AI50" si="37">K50+M50+O50+Q50+S50+U50+W50+Y50+AA50+AC50+AE50+AG50</f>
        <v>1.6620561425785677E-2</v>
      </c>
      <c r="AJ50" s="3165"/>
    </row>
    <row r="51" spans="1:36" ht="13.5" thickBot="1" x14ac:dyDescent="0.3">
      <c r="A51" s="5155"/>
      <c r="B51" s="5140" t="str">
        <f>'23. Costos de Inversion'!C35</f>
        <v>01.20.00</v>
      </c>
      <c r="C51" s="5138" t="str">
        <f>'23. Costos de Inversion'!D35</f>
        <v>UPS SALA DE USO MÚLTIPLE</v>
      </c>
      <c r="D51" s="5124" t="s">
        <v>5339</v>
      </c>
      <c r="E51" s="5128" t="s">
        <v>1815</v>
      </c>
      <c r="F51" s="5120">
        <v>2</v>
      </c>
      <c r="G51" s="5122" t="s">
        <v>3856</v>
      </c>
      <c r="H51" s="5116">
        <f>'23. Costos de Inversion'!F35</f>
        <v>105.38000000000001</v>
      </c>
      <c r="I51" s="5118">
        <f>'23. Costos de Inversion'!G35</f>
        <v>147021.8918870716</v>
      </c>
      <c r="J51" s="3484"/>
      <c r="K51" s="3484"/>
      <c r="L51" s="3484"/>
      <c r="M51" s="3484"/>
      <c r="N51" s="3484"/>
      <c r="O51" s="3484"/>
      <c r="P51" s="3484"/>
      <c r="Q51" s="3484"/>
      <c r="R51" s="3484"/>
      <c r="S51" s="3484"/>
      <c r="T51" s="3484"/>
      <c r="U51" s="3484"/>
      <c r="V51" s="3484"/>
      <c r="W51" s="3484"/>
      <c r="X51" s="3484"/>
      <c r="Y51" s="3484"/>
      <c r="Z51" s="3803">
        <f>I51</f>
        <v>147021.8918870716</v>
      </c>
      <c r="AA51" s="3815">
        <f>Z51/$I$12</f>
        <v>1.0493447894301459E-2</v>
      </c>
      <c r="AB51" s="3484"/>
      <c r="AC51" s="3484"/>
      <c r="AD51" s="3484"/>
      <c r="AE51" s="3484"/>
      <c r="AF51" s="3484"/>
      <c r="AG51" s="3484"/>
      <c r="AH51" s="3799">
        <f t="shared" si="0"/>
        <v>147021.8918870716</v>
      </c>
      <c r="AI51" s="3820">
        <f t="shared" si="1"/>
        <v>1.0493447894301459E-2</v>
      </c>
      <c r="AJ51" s="3165"/>
    </row>
    <row r="52" spans="1:36" ht="15.75" customHeight="1" thickBot="1" x14ac:dyDescent="0.3">
      <c r="A52" s="5155"/>
      <c r="B52" s="5141"/>
      <c r="C52" s="5139"/>
      <c r="D52" s="5125"/>
      <c r="E52" s="5129"/>
      <c r="F52" s="5121"/>
      <c r="G52" s="5123"/>
      <c r="H52" s="5117"/>
      <c r="I52" s="5119"/>
      <c r="J52" s="3484"/>
      <c r="K52" s="3484"/>
      <c r="L52" s="3484"/>
      <c r="M52" s="3484"/>
      <c r="N52" s="3484"/>
      <c r="O52" s="3484"/>
      <c r="P52" s="3484"/>
      <c r="Q52" s="3484"/>
      <c r="R52" s="3484"/>
      <c r="S52" s="3484"/>
      <c r="T52" s="3484"/>
      <c r="U52" s="3484"/>
      <c r="V52" s="3484"/>
      <c r="W52" s="3484"/>
      <c r="X52" s="3484"/>
      <c r="Y52" s="3484"/>
      <c r="Z52" s="3821">
        <f>$H$51/1</f>
        <v>105.38000000000001</v>
      </c>
      <c r="AA52" s="3822">
        <f>Z52/'23. Costos de Inversion'!$F$68</f>
        <v>2.3894607954287786E-2</v>
      </c>
      <c r="AB52" s="3484"/>
      <c r="AC52" s="3484"/>
      <c r="AD52" s="3484"/>
      <c r="AE52" s="3484"/>
      <c r="AF52" s="3484"/>
      <c r="AG52" s="3484"/>
      <c r="AH52" s="3823">
        <f t="shared" ref="AH52" si="38">J52+L52+N52+P52+R52+T52+V52+X52+Z52+AB52+AD52+AF52</f>
        <v>105.38000000000001</v>
      </c>
      <c r="AI52" s="3824">
        <f t="shared" ref="AI52" si="39">K52+M52+O52+Q52+S52+U52+W52+Y52+AA52+AC52+AE52+AG52</f>
        <v>2.3894607954287786E-2</v>
      </c>
      <c r="AJ52" s="3165"/>
    </row>
    <row r="53" spans="1:36" ht="13.5" thickBot="1" x14ac:dyDescent="0.3">
      <c r="A53" s="5155"/>
      <c r="B53" s="5140" t="str">
        <f>'23. Costos de Inversion'!C36</f>
        <v>01.21.00</v>
      </c>
      <c r="C53" s="5138" t="str">
        <f>'23. Costos de Inversion'!D36</f>
        <v>UPS CASA MATERNA</v>
      </c>
      <c r="D53" s="5124" t="s">
        <v>5339</v>
      </c>
      <c r="E53" s="5128" t="s">
        <v>1815</v>
      </c>
      <c r="F53" s="5120">
        <v>6</v>
      </c>
      <c r="G53" s="5122" t="s">
        <v>3856</v>
      </c>
      <c r="H53" s="5116">
        <f>'23. Costos de Inversion'!F36</f>
        <v>173.34</v>
      </c>
      <c r="I53" s="5118">
        <f>'23. Costos de Inversion'!G36</f>
        <v>192806.64628300822</v>
      </c>
      <c r="J53" s="3803">
        <f>$I$53/10</f>
        <v>19280.664628300823</v>
      </c>
      <c r="K53" s="3815">
        <f>J53/$I$12</f>
        <v>1.3761260112200135E-3</v>
      </c>
      <c r="L53" s="3803">
        <f>$I$53/10</f>
        <v>19280.664628300823</v>
      </c>
      <c r="M53" s="3815">
        <f>L53/$I$12</f>
        <v>1.3761260112200135E-3</v>
      </c>
      <c r="N53" s="3803">
        <f>$I$53/10</f>
        <v>19280.664628300823</v>
      </c>
      <c r="O53" s="3815">
        <f>N53/$I$12</f>
        <v>1.3761260112200135E-3</v>
      </c>
      <c r="P53" s="3803">
        <f>$I$53/10</f>
        <v>19280.664628300823</v>
      </c>
      <c r="Q53" s="3815">
        <f>P53/$I$12</f>
        <v>1.3761260112200135E-3</v>
      </c>
      <c r="R53" s="3803">
        <f>$I$53/10</f>
        <v>19280.664628300823</v>
      </c>
      <c r="S53" s="3815">
        <f>R53/$I$12</f>
        <v>1.3761260112200135E-3</v>
      </c>
      <c r="T53" s="3803">
        <f>$I$53/10</f>
        <v>19280.664628300823</v>
      </c>
      <c r="U53" s="3815">
        <f>T53/$I$12</f>
        <v>1.3761260112200135E-3</v>
      </c>
      <c r="V53" s="3803">
        <f>$I$53/10</f>
        <v>19280.664628300823</v>
      </c>
      <c r="W53" s="3815">
        <f>V53/$I$12</f>
        <v>1.3761260112200135E-3</v>
      </c>
      <c r="X53" s="3803">
        <f>$I$53/10</f>
        <v>19280.664628300823</v>
      </c>
      <c r="Y53" s="3815">
        <f>X53/$I$12</f>
        <v>1.3761260112200135E-3</v>
      </c>
      <c r="Z53" s="3803">
        <f>$I$53/10</f>
        <v>19280.664628300823</v>
      </c>
      <c r="AA53" s="3815">
        <f>Z53/$I$12</f>
        <v>1.3761260112200135E-3</v>
      </c>
      <c r="AB53" s="3803">
        <f>$I$53/10</f>
        <v>19280.664628300823</v>
      </c>
      <c r="AC53" s="3815">
        <f>AB53/$I$12</f>
        <v>1.3761260112200135E-3</v>
      </c>
      <c r="AD53" s="3484"/>
      <c r="AE53" s="3484"/>
      <c r="AF53" s="3484"/>
      <c r="AG53" s="3484"/>
      <c r="AH53" s="3799">
        <f t="shared" si="0"/>
        <v>192806.64628300819</v>
      </c>
      <c r="AI53" s="3820">
        <f t="shared" si="1"/>
        <v>1.3761260112200132E-2</v>
      </c>
      <c r="AJ53" s="3165"/>
    </row>
    <row r="54" spans="1:36" ht="15.75" customHeight="1" thickBot="1" x14ac:dyDescent="0.3">
      <c r="A54" s="3774"/>
      <c r="B54" s="5141"/>
      <c r="C54" s="5139"/>
      <c r="D54" s="5125"/>
      <c r="E54" s="5129"/>
      <c r="F54" s="5121"/>
      <c r="G54" s="5123"/>
      <c r="H54" s="5117"/>
      <c r="I54" s="5119"/>
      <c r="J54" s="3821">
        <f>$H$53/10</f>
        <v>17.334</v>
      </c>
      <c r="K54" s="3822">
        <f>J54/'23. Costos de Inversion'!$F$68</f>
        <v>3.9304339939231769E-3</v>
      </c>
      <c r="L54" s="3821">
        <f>$H$53/10</f>
        <v>17.334</v>
      </c>
      <c r="M54" s="3822">
        <f>L54/'23. Costos de Inversion'!$F$68</f>
        <v>3.9304339939231769E-3</v>
      </c>
      <c r="N54" s="3821">
        <f>$H$53/10</f>
        <v>17.334</v>
      </c>
      <c r="O54" s="3822">
        <f>N54/'23. Costos de Inversion'!$F$68</f>
        <v>3.9304339939231769E-3</v>
      </c>
      <c r="P54" s="3821">
        <f>$H$53/10</f>
        <v>17.334</v>
      </c>
      <c r="Q54" s="3822">
        <f>P54/'23. Costos de Inversion'!$F$68</f>
        <v>3.9304339939231769E-3</v>
      </c>
      <c r="R54" s="3821">
        <f>$H$53/10</f>
        <v>17.334</v>
      </c>
      <c r="S54" s="3822">
        <f>R54/'23. Costos de Inversion'!$F$68</f>
        <v>3.9304339939231769E-3</v>
      </c>
      <c r="T54" s="3821">
        <f>$H$53/10</f>
        <v>17.334</v>
      </c>
      <c r="U54" s="3822">
        <f>T54/'23. Costos de Inversion'!$F$68</f>
        <v>3.9304339939231769E-3</v>
      </c>
      <c r="V54" s="3821">
        <f>$H$53/10</f>
        <v>17.334</v>
      </c>
      <c r="W54" s="3822">
        <f>V54/'23. Costos de Inversion'!$F$68</f>
        <v>3.9304339939231769E-3</v>
      </c>
      <c r="X54" s="3821">
        <f>$H$53/10</f>
        <v>17.334</v>
      </c>
      <c r="Y54" s="3822">
        <f>X54/'23. Costos de Inversion'!$F$68</f>
        <v>3.9304339939231769E-3</v>
      </c>
      <c r="Z54" s="3821">
        <f>$H$53/10</f>
        <v>17.334</v>
      </c>
      <c r="AA54" s="3822">
        <f>Z54/'23. Costos de Inversion'!$F$68</f>
        <v>3.9304339939231769E-3</v>
      </c>
      <c r="AB54" s="3821">
        <f>$H$53/10</f>
        <v>17.334</v>
      </c>
      <c r="AC54" s="3822">
        <f>AB54/'23. Costos de Inversion'!$F$68</f>
        <v>3.9304339939231769E-3</v>
      </c>
      <c r="AD54" s="3484"/>
      <c r="AE54" s="3484"/>
      <c r="AF54" s="3484"/>
      <c r="AG54" s="3484"/>
      <c r="AH54" s="3823">
        <f t="shared" ref="AH54" si="40">J54+L54+N54+P54+R54+T54+V54+X54+Z54+AB54+AD54+AF54</f>
        <v>173.34</v>
      </c>
      <c r="AI54" s="3824">
        <f t="shared" ref="AI54" si="41">K54+M54+O54+Q54+S54+U54+W54+Y54+AA54+AC54+AE54+AG54</f>
        <v>3.9304339939231769E-2</v>
      </c>
      <c r="AJ54" s="3165"/>
    </row>
    <row r="55" spans="1:36" ht="13.5" thickBot="1" x14ac:dyDescent="0.3">
      <c r="A55" s="3483"/>
      <c r="B55" s="5140" t="str">
        <f>'23. Costos de Inversion'!C37</f>
        <v>01.22.00</v>
      </c>
      <c r="C55" s="5138" t="str">
        <f>'23. Costos de Inversion'!D37</f>
        <v>UPS RESIDENCIA DE PERSONAL</v>
      </c>
      <c r="D55" s="5124" t="s">
        <v>5339</v>
      </c>
      <c r="E55" s="5128" t="s">
        <v>1815</v>
      </c>
      <c r="F55" s="5120">
        <v>7</v>
      </c>
      <c r="G55" s="5122" t="s">
        <v>3856</v>
      </c>
      <c r="H55" s="5116">
        <f>'23. Costos de Inversion'!F37</f>
        <v>145.43</v>
      </c>
      <c r="I55" s="5118">
        <f>'23. Costos de Inversion'!G37</f>
        <v>251633.04544910754</v>
      </c>
      <c r="J55" s="3484"/>
      <c r="K55" s="3484"/>
      <c r="L55" s="3484"/>
      <c r="M55" s="3484"/>
      <c r="N55" s="3484"/>
      <c r="O55" s="3484"/>
      <c r="P55" s="3484"/>
      <c r="Q55" s="3484"/>
      <c r="R55" s="3484"/>
      <c r="S55" s="3484"/>
      <c r="T55" s="3484"/>
      <c r="U55" s="3484"/>
      <c r="V55" s="3484"/>
      <c r="W55" s="3484"/>
      <c r="X55" s="3484"/>
      <c r="Y55" s="3484"/>
      <c r="Z55" s="3484"/>
      <c r="AA55" s="3484"/>
      <c r="AB55" s="3803">
        <f>$I$55/3</f>
        <v>83877.681816369179</v>
      </c>
      <c r="AC55" s="3815">
        <f>AB55/$I$12</f>
        <v>5.9866328227562724E-3</v>
      </c>
      <c r="AD55" s="3803">
        <f>$I$55/3</f>
        <v>83877.681816369179</v>
      </c>
      <c r="AE55" s="3815">
        <f>AD55/$I$12</f>
        <v>5.9866328227562724E-3</v>
      </c>
      <c r="AF55" s="3803">
        <f>$I$55/3</f>
        <v>83877.681816369179</v>
      </c>
      <c r="AG55" s="3815">
        <f>AF55/$I$12</f>
        <v>5.9866328227562724E-3</v>
      </c>
      <c r="AH55" s="3799">
        <f t="shared" si="0"/>
        <v>251633.04544910754</v>
      </c>
      <c r="AI55" s="3820">
        <f t="shared" si="1"/>
        <v>1.7959898468268818E-2</v>
      </c>
      <c r="AJ55" s="3165"/>
    </row>
    <row r="56" spans="1:36" ht="15.75" customHeight="1" thickBot="1" x14ac:dyDescent="0.3">
      <c r="A56" s="3774"/>
      <c r="B56" s="5141"/>
      <c r="C56" s="5139"/>
      <c r="D56" s="5125"/>
      <c r="E56" s="5129"/>
      <c r="F56" s="5121"/>
      <c r="G56" s="5123"/>
      <c r="H56" s="5117"/>
      <c r="I56" s="5119"/>
      <c r="J56" s="3484"/>
      <c r="K56" s="3484"/>
      <c r="L56" s="3484"/>
      <c r="M56" s="3484"/>
      <c r="N56" s="3484"/>
      <c r="O56" s="3484"/>
      <c r="P56" s="3484"/>
      <c r="Q56" s="3484"/>
      <c r="R56" s="3484"/>
      <c r="S56" s="3484"/>
      <c r="T56" s="3484"/>
      <c r="U56" s="3484"/>
      <c r="V56" s="3484"/>
      <c r="W56" s="3484"/>
      <c r="X56" s="3484"/>
      <c r="Y56" s="3484"/>
      <c r="Z56" s="3484"/>
      <c r="AA56" s="3484"/>
      <c r="AB56" s="3821">
        <f>$H$55/3</f>
        <v>48.476666666666667</v>
      </c>
      <c r="AC56" s="3822">
        <f>AB56/'23. Costos de Inversion'!$F$68</f>
        <v>1.0991942920200141E-2</v>
      </c>
      <c r="AD56" s="3821">
        <f>$H$55/3</f>
        <v>48.476666666666667</v>
      </c>
      <c r="AE56" s="3822">
        <f>AD56/'23. Costos de Inversion'!$F$68</f>
        <v>1.0991942920200141E-2</v>
      </c>
      <c r="AF56" s="3821">
        <f>$H$55/3</f>
        <v>48.476666666666667</v>
      </c>
      <c r="AG56" s="3822">
        <f>AF56/'23. Costos de Inversion'!$F$68</f>
        <v>1.0991942920200141E-2</v>
      </c>
      <c r="AH56" s="3823">
        <f t="shared" ref="AH56" si="42">J56+L56+N56+P56+R56+T56+V56+X56+Z56+AB56+AD56+AF56</f>
        <v>145.43</v>
      </c>
      <c r="AI56" s="3824">
        <f t="shared" ref="AI56" si="43">K56+M56+O56+Q56+S56+U56+W56+Y56+AA56+AC56+AE56+AG56</f>
        <v>3.2975828760600422E-2</v>
      </c>
      <c r="AJ56" s="3165"/>
    </row>
    <row r="57" spans="1:36" ht="13.5" thickBot="1" x14ac:dyDescent="0.3">
      <c r="A57" s="3483"/>
      <c r="B57" s="5140" t="str">
        <f>'23. Costos de Inversion'!C38</f>
        <v>01.23.00</v>
      </c>
      <c r="C57" s="5138" t="str">
        <f>'23. Costos de Inversion'!D38</f>
        <v>SEGURIDAD</v>
      </c>
      <c r="D57" s="5124" t="s">
        <v>5339</v>
      </c>
      <c r="E57" s="5128" t="s">
        <v>1815</v>
      </c>
      <c r="F57" s="5120">
        <v>2</v>
      </c>
      <c r="G57" s="5122" t="s">
        <v>3856</v>
      </c>
      <c r="H57" s="5116">
        <f>'23. Costos de Inversion'!F38</f>
        <v>24.18</v>
      </c>
      <c r="I57" s="5118">
        <f>'23. Costos de Inversion'!G38</f>
        <v>21010.700172918587</v>
      </c>
      <c r="J57" s="3484"/>
      <c r="K57" s="3484"/>
      <c r="L57" s="3484"/>
      <c r="M57" s="3484"/>
      <c r="N57" s="3484"/>
      <c r="O57" s="3484"/>
      <c r="P57" s="3484"/>
      <c r="Q57" s="3484"/>
      <c r="R57" s="3484"/>
      <c r="S57" s="3484"/>
      <c r="T57" s="3484"/>
      <c r="U57" s="3484"/>
      <c r="V57" s="3803">
        <f>$I$57/1</f>
        <v>21010.700172918587</v>
      </c>
      <c r="W57" s="3815">
        <f>V57/$I$12</f>
        <v>1.4996044783361908E-3</v>
      </c>
      <c r="X57" s="3484"/>
      <c r="Y57" s="3484"/>
      <c r="Z57" s="3484"/>
      <c r="AA57" s="3484"/>
      <c r="AB57" s="3484"/>
      <c r="AC57" s="3484"/>
      <c r="AD57" s="3484"/>
      <c r="AE57" s="3484"/>
      <c r="AF57" s="3484"/>
      <c r="AG57" s="3484"/>
      <c r="AH57" s="3799">
        <f t="shared" si="0"/>
        <v>21010.700172918587</v>
      </c>
      <c r="AI57" s="3820">
        <f t="shared" si="1"/>
        <v>1.4996044783361908E-3</v>
      </c>
      <c r="AJ57" s="3165"/>
    </row>
    <row r="58" spans="1:36" ht="15.75" customHeight="1" thickBot="1" x14ac:dyDescent="0.3">
      <c r="A58" s="3774"/>
      <c r="B58" s="5141"/>
      <c r="C58" s="5139"/>
      <c r="D58" s="5125"/>
      <c r="E58" s="5129"/>
      <c r="F58" s="5121"/>
      <c r="G58" s="5123"/>
      <c r="H58" s="5117"/>
      <c r="I58" s="5119"/>
      <c r="J58" s="3484"/>
      <c r="K58" s="3484"/>
      <c r="L58" s="3484"/>
      <c r="M58" s="3484"/>
      <c r="N58" s="3484"/>
      <c r="O58" s="3484"/>
      <c r="P58" s="3484"/>
      <c r="Q58" s="3484"/>
      <c r="R58" s="3484"/>
      <c r="S58" s="3484"/>
      <c r="T58" s="3484"/>
      <c r="U58" s="3484"/>
      <c r="V58" s="3821">
        <f>$H$57/1</f>
        <v>24.18</v>
      </c>
      <c r="W58" s="3822">
        <f>V58/'23. Costos de Inversion'!$F$68</f>
        <v>5.4827445467325736E-3</v>
      </c>
      <c r="X58" s="3484"/>
      <c r="Y58" s="3484"/>
      <c r="Z58" s="3484"/>
      <c r="AA58" s="3484"/>
      <c r="AB58" s="3484"/>
      <c r="AC58" s="3484"/>
      <c r="AD58" s="3484"/>
      <c r="AE58" s="3484"/>
      <c r="AF58" s="3484"/>
      <c r="AG58" s="3484"/>
      <c r="AH58" s="3823">
        <f t="shared" ref="AH58" si="44">J58+L58+N58+P58+R58+T58+V58+X58+Z58+AB58+AD58+AF58</f>
        <v>24.18</v>
      </c>
      <c r="AI58" s="3824">
        <f t="shared" ref="AI58" si="45">K58+M58+O58+Q58+S58+U58+W58+Y58+AA58+AC58+AE58+AG58</f>
        <v>5.4827445467325736E-3</v>
      </c>
      <c r="AJ58" s="3165"/>
    </row>
    <row r="59" spans="1:36" ht="13.5" thickBot="1" x14ac:dyDescent="0.3">
      <c r="A59" s="3483"/>
      <c r="B59" s="5140" t="str">
        <f>'23. Costos de Inversion'!C39</f>
        <v>01.24.00</v>
      </c>
      <c r="C59" s="5142" t="s">
        <v>5962</v>
      </c>
      <c r="D59" s="5134" t="s">
        <v>5339</v>
      </c>
      <c r="E59" s="5126" t="s">
        <v>5370</v>
      </c>
      <c r="F59" s="5136">
        <v>6</v>
      </c>
      <c r="G59" s="5122" t="s">
        <v>3856</v>
      </c>
      <c r="H59" s="5116">
        <f>'23. Costos de Inversion'!F39</f>
        <v>480.67</v>
      </c>
      <c r="I59" s="5118">
        <f>'23. Costos de Inversion'!G39</f>
        <v>545179.75528201566</v>
      </c>
      <c r="J59" s="3484"/>
      <c r="K59" s="3484"/>
      <c r="L59" s="3484"/>
      <c r="M59" s="3484"/>
      <c r="N59" s="3484"/>
      <c r="O59" s="3484"/>
      <c r="P59" s="3484"/>
      <c r="Q59" s="3484"/>
      <c r="R59" s="3484"/>
      <c r="S59" s="3484"/>
      <c r="T59" s="3484"/>
      <c r="U59" s="3484"/>
      <c r="V59" s="3803">
        <f>$I$59/6</f>
        <v>90863.292547002609</v>
      </c>
      <c r="W59" s="3815">
        <f>V59/$I$12</f>
        <v>6.4852194024207456E-3</v>
      </c>
      <c r="X59" s="3803">
        <f>$I$59/6</f>
        <v>90863.292547002609</v>
      </c>
      <c r="Y59" s="3815">
        <f>X59/$I$12</f>
        <v>6.4852194024207456E-3</v>
      </c>
      <c r="Z59" s="3803">
        <f>$I$59/6</f>
        <v>90863.292547002609</v>
      </c>
      <c r="AA59" s="3815">
        <f>Z59/$I$12</f>
        <v>6.4852194024207456E-3</v>
      </c>
      <c r="AB59" s="3803">
        <f>$I$59/6</f>
        <v>90863.292547002609</v>
      </c>
      <c r="AC59" s="3815">
        <f>AB59/$I$12</f>
        <v>6.4852194024207456E-3</v>
      </c>
      <c r="AD59" s="3803">
        <f>$I$59/6</f>
        <v>90863.292547002609</v>
      </c>
      <c r="AE59" s="3815">
        <f>AD59/$I$12</f>
        <v>6.4852194024207456E-3</v>
      </c>
      <c r="AF59" s="3803">
        <f>$I$59/6</f>
        <v>90863.292547002609</v>
      </c>
      <c r="AG59" s="3815">
        <f>AF59/$I$12</f>
        <v>6.4852194024207456E-3</v>
      </c>
      <c r="AH59" s="3799">
        <f t="shared" si="0"/>
        <v>545179.75528201566</v>
      </c>
      <c r="AI59" s="3820">
        <f t="shared" si="1"/>
        <v>3.8911316414524472E-2</v>
      </c>
      <c r="AJ59" s="3165"/>
    </row>
    <row r="60" spans="1:36" ht="15.75" customHeight="1" thickBot="1" x14ac:dyDescent="0.3">
      <c r="A60" s="3774"/>
      <c r="B60" s="5141"/>
      <c r="C60" s="5143"/>
      <c r="D60" s="5135"/>
      <c r="E60" s="5127"/>
      <c r="F60" s="5137"/>
      <c r="G60" s="5123"/>
      <c r="H60" s="5117"/>
      <c r="I60" s="5119"/>
      <c r="J60" s="3484"/>
      <c r="K60" s="3484"/>
      <c r="L60" s="3484"/>
      <c r="M60" s="3484"/>
      <c r="N60" s="3484"/>
      <c r="O60" s="3484"/>
      <c r="P60" s="3484"/>
      <c r="Q60" s="3484"/>
      <c r="R60" s="3484"/>
      <c r="S60" s="3484"/>
      <c r="T60" s="3484"/>
      <c r="U60" s="3484"/>
      <c r="V60" s="3821">
        <f>$H$59/6</f>
        <v>80.111666666666665</v>
      </c>
      <c r="W60" s="3822">
        <f>V60/'23. Costos de Inversion'!$F$68</f>
        <v>1.8165086995298774E-2</v>
      </c>
      <c r="X60" s="3821">
        <f>$H$59/6</f>
        <v>80.111666666666665</v>
      </c>
      <c r="Y60" s="3822">
        <f>X60/'23. Costos de Inversion'!$F$68</f>
        <v>1.8165086995298774E-2</v>
      </c>
      <c r="Z60" s="3821">
        <f>$H$59/6</f>
        <v>80.111666666666665</v>
      </c>
      <c r="AA60" s="3822">
        <f>Z60/'23. Costos de Inversion'!$F$68</f>
        <v>1.8165086995298774E-2</v>
      </c>
      <c r="AB60" s="3821">
        <f>$H$59/6</f>
        <v>80.111666666666665</v>
      </c>
      <c r="AC60" s="3822">
        <f>AB60/'23. Costos de Inversion'!$F$68</f>
        <v>1.8165086995298774E-2</v>
      </c>
      <c r="AD60" s="3821">
        <f>$H$59/6</f>
        <v>80.111666666666665</v>
      </c>
      <c r="AE60" s="3822">
        <f>AD60/'23. Costos de Inversion'!$F$68</f>
        <v>1.8165086995298774E-2</v>
      </c>
      <c r="AF60" s="3821">
        <f>$H$59/6</f>
        <v>80.111666666666665</v>
      </c>
      <c r="AG60" s="3822">
        <f>AF60/'23. Costos de Inversion'!$F$68</f>
        <v>1.8165086995298774E-2</v>
      </c>
      <c r="AH60" s="3823">
        <f t="shared" ref="AH60" si="46">J60+L60+N60+P60+R60+T60+V60+X60+Z60+AB60+AD60+AF60</f>
        <v>480.67</v>
      </c>
      <c r="AI60" s="3824">
        <f t="shared" ref="AI60" si="47">K60+M60+O60+Q60+S60+U60+W60+Y60+AA60+AC60+AE60+AG60</f>
        <v>0.10899052197179264</v>
      </c>
      <c r="AJ60" s="3165"/>
    </row>
    <row r="61" spans="1:36" ht="13.5" thickBot="1" x14ac:dyDescent="0.3">
      <c r="A61" s="3483"/>
      <c r="B61" s="5140" t="str">
        <f>'23. Costos de Inversion'!C40</f>
        <v>01.25.00</v>
      </c>
      <c r="C61" s="5142" t="str">
        <f>'23. Costos de Inversion'!D40</f>
        <v>OBRAS COMPLEMENTARIAS E INSTALACIONES FIJAS Y  PERMANENTES</v>
      </c>
      <c r="D61" s="5132" t="s">
        <v>5921</v>
      </c>
      <c r="E61" s="5126" t="s">
        <v>5370</v>
      </c>
      <c r="F61" s="5136">
        <v>17</v>
      </c>
      <c r="G61" s="5130" t="s">
        <v>3856</v>
      </c>
      <c r="H61" s="5114">
        <v>1086.6600000000001</v>
      </c>
      <c r="I61" s="5118">
        <f>'23. Costos de Inversion'!G40</f>
        <v>3821366.9231599998</v>
      </c>
      <c r="J61" s="3484"/>
      <c r="K61" s="3484"/>
      <c r="L61" s="3484"/>
      <c r="M61" s="3484"/>
      <c r="N61" s="3803">
        <f>$I$61/8</f>
        <v>477670.86539499997</v>
      </c>
      <c r="O61" s="3815">
        <f>N61/$I$12</f>
        <v>3.409297943532371E-2</v>
      </c>
      <c r="P61" s="3803">
        <f>$I$61/8</f>
        <v>477670.86539499997</v>
      </c>
      <c r="Q61" s="3815">
        <f>P61/$I$12</f>
        <v>3.409297943532371E-2</v>
      </c>
      <c r="R61" s="3803">
        <f>$I$61/8</f>
        <v>477670.86539499997</v>
      </c>
      <c r="S61" s="3815">
        <f>R61/$I$12</f>
        <v>3.409297943532371E-2</v>
      </c>
      <c r="T61" s="3803">
        <f>$I$61/8</f>
        <v>477670.86539499997</v>
      </c>
      <c r="U61" s="3815">
        <f>T61/$I$12</f>
        <v>3.409297943532371E-2</v>
      </c>
      <c r="V61" s="3803">
        <f>$I$61/8</f>
        <v>477670.86539499997</v>
      </c>
      <c r="W61" s="3815">
        <f>V61/$I$12</f>
        <v>3.409297943532371E-2</v>
      </c>
      <c r="X61" s="3803">
        <f>$I$61/8</f>
        <v>477670.86539499997</v>
      </c>
      <c r="Y61" s="3815">
        <f>X61/$I$12</f>
        <v>3.409297943532371E-2</v>
      </c>
      <c r="Z61" s="3803">
        <f>$I$61/8</f>
        <v>477670.86539499997</v>
      </c>
      <c r="AA61" s="3815">
        <f>Z61/$I$12</f>
        <v>3.409297943532371E-2</v>
      </c>
      <c r="AB61" s="3803">
        <f>$I$61/8</f>
        <v>477670.86539499997</v>
      </c>
      <c r="AC61" s="3815">
        <f>AB61/$I$12</f>
        <v>3.409297943532371E-2</v>
      </c>
      <c r="AD61" s="3484"/>
      <c r="AE61" s="3484"/>
      <c r="AF61" s="3484"/>
      <c r="AG61" s="3484"/>
      <c r="AH61" s="3799">
        <f t="shared" si="0"/>
        <v>3821366.9231600007</v>
      </c>
      <c r="AI61" s="3820">
        <f t="shared" si="1"/>
        <v>0.27274383548258968</v>
      </c>
      <c r="AJ61" s="3165"/>
    </row>
    <row r="62" spans="1:36" ht="15.75" customHeight="1" thickBot="1" x14ac:dyDescent="0.3">
      <c r="A62" s="3774"/>
      <c r="B62" s="5141"/>
      <c r="C62" s="5143"/>
      <c r="D62" s="5133"/>
      <c r="E62" s="5127"/>
      <c r="F62" s="5137"/>
      <c r="G62" s="5131"/>
      <c r="H62" s="5115"/>
      <c r="I62" s="5119"/>
      <c r="J62" s="3484"/>
      <c r="K62" s="3484"/>
      <c r="L62" s="3484"/>
      <c r="M62" s="3484"/>
      <c r="N62" s="3821">
        <f>$H$61/8</f>
        <v>135.83250000000001</v>
      </c>
      <c r="O62" s="3822">
        <f>N62/'23. Costos de Inversion'!$F$68</f>
        <v>3.0799623599836741E-2</v>
      </c>
      <c r="P62" s="3821">
        <f>$H$61/8</f>
        <v>135.83250000000001</v>
      </c>
      <c r="Q62" s="3822">
        <f>P62/'23. Costos de Inversion'!$F$68</f>
        <v>3.0799623599836741E-2</v>
      </c>
      <c r="R62" s="3821">
        <f>$H$61/8</f>
        <v>135.83250000000001</v>
      </c>
      <c r="S62" s="3822">
        <f>R62/'23. Costos de Inversion'!$F$68</f>
        <v>3.0799623599836741E-2</v>
      </c>
      <c r="T62" s="3821">
        <f>$H$61/8</f>
        <v>135.83250000000001</v>
      </c>
      <c r="U62" s="3822">
        <f>T62/'23. Costos de Inversion'!$F$68</f>
        <v>3.0799623599836741E-2</v>
      </c>
      <c r="V62" s="3821">
        <f>$H$61/8</f>
        <v>135.83250000000001</v>
      </c>
      <c r="W62" s="3822">
        <f>V62/'23. Costos de Inversion'!$F$68</f>
        <v>3.0799623599836741E-2</v>
      </c>
      <c r="X62" s="3821">
        <f>$H$61/8</f>
        <v>135.83250000000001</v>
      </c>
      <c r="Y62" s="3822">
        <f>X62/'23. Costos de Inversion'!$F$68</f>
        <v>3.0799623599836741E-2</v>
      </c>
      <c r="Z62" s="3821">
        <f>$H$61/8</f>
        <v>135.83250000000001</v>
      </c>
      <c r="AA62" s="3822">
        <f>Z62/'23. Costos de Inversion'!$F$68</f>
        <v>3.0799623599836741E-2</v>
      </c>
      <c r="AB62" s="3821">
        <f>$H$61/8</f>
        <v>135.83250000000001</v>
      </c>
      <c r="AC62" s="3822">
        <f>AB62/'23. Costos de Inversion'!$F$68</f>
        <v>3.0799623599836741E-2</v>
      </c>
      <c r="AD62" s="3484"/>
      <c r="AE62" s="3484"/>
      <c r="AF62" s="3484"/>
      <c r="AG62" s="3484"/>
      <c r="AH62" s="3823">
        <f t="shared" ref="AH62" si="48">J62+L62+N62+P62+R62+T62+V62+X62+Z62+AB62+AD62+AF62</f>
        <v>1086.6600000000001</v>
      </c>
      <c r="AI62" s="3824">
        <f t="shared" ref="AI62" si="49">K62+M62+O62+Q62+S62+U62+W62+Y62+AA62+AC62+AE62+AG62</f>
        <v>0.2463969887986939</v>
      </c>
      <c r="AJ62" s="3165"/>
    </row>
    <row r="63" spans="1:36" ht="15.75" customHeight="1" thickBot="1" x14ac:dyDescent="0.3">
      <c r="B63" s="3825"/>
      <c r="C63" s="5154" t="s">
        <v>5371</v>
      </c>
      <c r="D63" s="5154"/>
      <c r="E63" s="5154"/>
      <c r="F63" s="5154"/>
      <c r="G63" s="5154"/>
      <c r="H63" s="5154"/>
      <c r="I63" s="3826">
        <f>I12</f>
        <v>14010827.839237938</v>
      </c>
      <c r="J63" s="5153">
        <f>J13+J15+J17+J19+J21+J23+J25+J27+J29+J31+J33+J35+J37+J39+J41+J43+J45+J47+J49+J51+J53+J55+J57+J59+J61</f>
        <v>1324623.1694541301</v>
      </c>
      <c r="K63" s="5153"/>
      <c r="L63" s="5153">
        <f>L13+L15+L17+L19+L21+L23+L25+L27+L29+L31+L33+L35+L37+L39+L41+L43+L45+L47+L49+L51+L53+L55+L57+L59+L61</f>
        <v>2896822.58016583</v>
      </c>
      <c r="M63" s="5153"/>
      <c r="N63" s="5153">
        <f>N13+N15+N17+N19+N21+N23+N25+N27+N29+N31+N33+N35+N37+N39+N41+N43+N45+N47+N49+N51+N53+N55+N57+N59+N61</f>
        <v>1596580.2287350863</v>
      </c>
      <c r="O63" s="5153"/>
      <c r="P63" s="5153">
        <f>P13+P15+P17+P19+P21+P23+P25+P27+P29+P31+P33+P35+P37+P39+P41+P43+P45+P47+P49+P51+P53+P55+P57+P59+P61</f>
        <v>1139898.5305470745</v>
      </c>
      <c r="Q63" s="5153"/>
      <c r="R63" s="5153">
        <f>R13+R15+R17+R19+R21+R23+R25+R27+R29+R31+R33+R35+R37+R39+R41+R43+R45+R47+R49+R51+R53+R55+R57+R59+R61</f>
        <v>1401847.9763075095</v>
      </c>
      <c r="S63" s="5153"/>
      <c r="T63" s="5153">
        <f>T13+T15+T17+T19+T21+T23+T25+T27+T29+T31+T33+T35+T37+T39+T41+T43+T45+T47+T49+T51+T53+T55+T57+T59+T61</f>
        <v>1068337.7154188864</v>
      </c>
      <c r="U63" s="5153"/>
      <c r="V63" s="5153">
        <f>V13+V15+V17+V19+V21+V23+V25+V27+V29+V31+V33+V35+V37+V39+V41+V43+V45+V47+V49+V51+V53+V55+V57+V59+V61</f>
        <v>1111641.8480374622</v>
      </c>
      <c r="W63" s="5153"/>
      <c r="X63" s="5153">
        <f>X13+X15+X17+X19+X21+X23+X25+X27+X29+X31+X33+X35+X37+X39+X41+X43+X45+X47+X49+X51+X53+X55+X57+X59+X61</f>
        <v>1022152.0473008503</v>
      </c>
      <c r="Y63" s="5153"/>
      <c r="Z63" s="5153">
        <f>Z13+Z15+Z17+Z19+Z21+Z23+Z25+Z27+Z29+Z31+Z33+Z35+Z37+Z39+Z41+Z43+Z45+Z47+Z49+Z51+Z53+Z55+Z57+Z59+Z61</f>
        <v>1000863.6317823255</v>
      </c>
      <c r="AA63" s="5153"/>
      <c r="AB63" s="5153">
        <f>AB13+AB15+AB17+AB19+AB21+AB23+AB25+AB27+AB29+AB31+AB33+AB35+AB37+AB39+AB41+AB43+AB45+AB47+AB49+AB51+AB53+AB55+AB57+AB59+AB61</f>
        <v>1098578.1627620372</v>
      </c>
      <c r="AC63" s="5153"/>
      <c r="AD63" s="5153">
        <f>AD13+AD15+AD17+AD19+AD21+AD23+AD25+AD27+AD29+AD31+AD33+AD35+AD37+AD39+AD41+AD43+AD45+AD47+AD49+AD51+AD53+AD55+AD57+AD59+AD61</f>
        <v>174740.97436337179</v>
      </c>
      <c r="AE63" s="5153"/>
      <c r="AF63" s="5153">
        <f>AF13+AF15+AF17+AF19+AF21+AF23+AF25+AF27+AF29+AF31+AF33+AF35+AF37+AF39+AF41+AF43+AF45+AF47+AF49+AF51+AF53+AF55+AF57+AF59+AF61</f>
        <v>174740.97436337179</v>
      </c>
      <c r="AG63" s="5153"/>
      <c r="AH63" s="5147">
        <f>J63+L63+N63+P63+R63+T63+V63+X63+Z63+AB63+AD63+AF63</f>
        <v>14010827.839237936</v>
      </c>
      <c r="AI63" s="5148"/>
      <c r="AJ63" s="3165"/>
    </row>
    <row r="64" spans="1:36" ht="15.75" customHeight="1" thickBot="1" x14ac:dyDescent="0.3">
      <c r="B64" s="3825"/>
      <c r="C64" s="5154" t="s">
        <v>5963</v>
      </c>
      <c r="D64" s="5154"/>
      <c r="E64" s="5154"/>
      <c r="F64" s="5154"/>
      <c r="G64" s="5154"/>
      <c r="H64" s="5154"/>
      <c r="I64" s="3826"/>
      <c r="J64" s="5153">
        <f>J14+J16+J18+J20+J22+J24+J26+J28+J30+J32+J34+J36+J38+J40+J42+J44+J46+J48+J50+J52+J54+J56+J58+J60+J62</f>
        <v>557.31371428571424</v>
      </c>
      <c r="K64" s="5153"/>
      <c r="L64" s="5153">
        <f>L14+L16+L18+L20+L22+L24+L26+L28+L30+L32+L34+L36+L38+L40+L42+L44+L46+L48+L50+L52+L54+L56+L58+L60+L62</f>
        <v>551.79954761904776</v>
      </c>
      <c r="M64" s="5153"/>
      <c r="N64" s="5153">
        <f>N14+N16+N18+N20+N22+N24+N26+N28+N30+N32+N34+N36+N38+N40+N42+N44+N46+N48+N50+N52+N54+N56+N58+N60+N62</f>
        <v>578.75288095238102</v>
      </c>
      <c r="O64" s="5153"/>
      <c r="P64" s="5153">
        <f>P14+P16+P18+P20+P22+P24+P26+P28+P30+P32+P34+P36+P38+P40+P42+P44+P46+P48+P50+P52+P54+P56+P58+P60+P62</f>
        <v>332.82288095238096</v>
      </c>
      <c r="Q64" s="5153"/>
      <c r="R64" s="5153">
        <f>R14+R16+R18+R20+R22+R24+R26+R28+R30+R32+R34+R36+R38+R40+R42+R44+R46+R48+R50+R52+R54+R56+R58+R60+R62</f>
        <v>363.26371428571429</v>
      </c>
      <c r="S64" s="5153"/>
      <c r="T64" s="5153">
        <f>T14+T16+T18+T20+T22+T24+T26+T28+T30+T32+T34+T36+T38+T40+T42+T44+T46+T48+T50+T52+T54+T56+T58+T60+T62</f>
        <v>288.70154761904763</v>
      </c>
      <c r="U64" s="5153"/>
      <c r="V64" s="5153">
        <f>V14+V16+V18+V20+V22+V24+V26+V28+V30+V32+V34+V36+V38+V40+V42+V44+V46+V48+V50+V52+V54+V56+V58+V60+V62</f>
        <v>364.79571428571433</v>
      </c>
      <c r="W64" s="5153"/>
      <c r="X64" s="5153">
        <f>X14+X16+X18+X20+X22+X24+X26+X28+X30+X32+X34+X36+X38+X40+X42+X44+X46+X48+X50+X52+X54+X56+X58+X60+X62</f>
        <v>328.82000000000005</v>
      </c>
      <c r="Y64" s="5153"/>
      <c r="Z64" s="5153">
        <f>Z14+Z16+Z18+Z20+Z22+Z24+Z26+Z28+Z30+Z32+Z34+Z36+Z38+Z40+Z42+Z44+Z46+Z48+Z50+Z52+Z54+Z56+Z58+Z60+Z62</f>
        <v>378.17583333333334</v>
      </c>
      <c r="AA64" s="5153"/>
      <c r="AB64" s="5153">
        <f>AB14+AB16+AB18+AB20+AB22+AB24+AB26+AB28+AB30+AB32+AB34+AB36+AB38+AB40+AB42+AB44+AB46+AB48+AB50+AB52+AB54+AB56+AB58+AB60+AB62</f>
        <v>408.57749999999999</v>
      </c>
      <c r="AC64" s="5153"/>
      <c r="AD64" s="5153">
        <f>AD14+AD16+AD18+AD20+AD22+AD24+AD26+AD28+AD30+AD32+AD34+AD36+AD38+AD40+AD42+AD44+AD46+AD48+AD50+AD52+AD54+AD56+AD58+AD60+AD62</f>
        <v>128.58833333333334</v>
      </c>
      <c r="AE64" s="5153"/>
      <c r="AF64" s="5153">
        <f>AF14+AF16+AF18+AF20+AF22+AF24+AF26+AF28+AF30+AF32+AF34+AF36+AF38+AF40+AF42+AF44+AF46+AF48+AF50+AF52+AF54+AF56+AF58+AF60+AF62</f>
        <v>128.58833333333334</v>
      </c>
      <c r="AG64" s="5153"/>
      <c r="AH64" s="5153">
        <f>AH14+AH16+AH18+AH20+AH22+AH24+AH26+AH28+AH30+AH32+AH34+AH36+AH38+AH40+AH42+AH44+AH46+AH48+AH50+AH52+AH54+AH56+AH58+AH60+AH62</f>
        <v>4410.2000000000007</v>
      </c>
      <c r="AI64" s="5153"/>
      <c r="AJ64" s="3165"/>
    </row>
    <row r="65" spans="1:36" ht="13.5" thickBot="1" x14ac:dyDescent="0.3">
      <c r="B65" s="3827"/>
      <c r="C65" s="5152" t="s">
        <v>5922</v>
      </c>
      <c r="D65" s="5152"/>
      <c r="E65" s="5152"/>
      <c r="F65" s="5152"/>
      <c r="G65" s="5152"/>
      <c r="H65" s="5152"/>
      <c r="I65" s="3828">
        <f>I63</f>
        <v>14010827.839237938</v>
      </c>
      <c r="J65" s="5151">
        <f>SUM(J63)</f>
        <v>1324623.1694541301</v>
      </c>
      <c r="K65" s="5151"/>
      <c r="L65" s="5151">
        <f t="shared" ref="L65" si="50">SUM(L63)</f>
        <v>2896822.58016583</v>
      </c>
      <c r="M65" s="5151"/>
      <c r="N65" s="5151">
        <f t="shared" ref="N65" si="51">SUM(N63)</f>
        <v>1596580.2287350863</v>
      </c>
      <c r="O65" s="5151"/>
      <c r="P65" s="5151">
        <f t="shared" ref="P65" si="52">SUM(P63)</f>
        <v>1139898.5305470745</v>
      </c>
      <c r="Q65" s="5151"/>
      <c r="R65" s="5151">
        <f t="shared" ref="R65" si="53">SUM(R63)</f>
        <v>1401847.9763075095</v>
      </c>
      <c r="S65" s="5151"/>
      <c r="T65" s="5151">
        <f t="shared" ref="T65" si="54">SUM(T63)</f>
        <v>1068337.7154188864</v>
      </c>
      <c r="U65" s="5151"/>
      <c r="V65" s="5151">
        <f t="shared" ref="V65" si="55">SUM(V63)</f>
        <v>1111641.8480374622</v>
      </c>
      <c r="W65" s="5151"/>
      <c r="X65" s="5151">
        <f t="shared" ref="X65" si="56">SUM(X63)</f>
        <v>1022152.0473008503</v>
      </c>
      <c r="Y65" s="5151"/>
      <c r="Z65" s="5151">
        <f t="shared" ref="Z65" si="57">SUM(Z63)</f>
        <v>1000863.6317823255</v>
      </c>
      <c r="AA65" s="5151"/>
      <c r="AB65" s="5151">
        <f t="shared" ref="AB65" si="58">SUM(AB63)</f>
        <v>1098578.1627620372</v>
      </c>
      <c r="AC65" s="5151"/>
      <c r="AD65" s="5151">
        <f t="shared" ref="AD65" si="59">SUM(AD63)</f>
        <v>174740.97436337179</v>
      </c>
      <c r="AE65" s="5151"/>
      <c r="AF65" s="5151">
        <f t="shared" ref="AF65" si="60">SUM(AF63)</f>
        <v>174740.97436337179</v>
      </c>
      <c r="AG65" s="5151"/>
      <c r="AH65" s="5151">
        <f t="shared" ref="AH65" si="61">SUM(AH63)</f>
        <v>14010827.839237936</v>
      </c>
      <c r="AI65" s="5164"/>
      <c r="AJ65" s="3165"/>
    </row>
    <row r="66" spans="1:36" ht="13.5" thickBot="1" x14ac:dyDescent="0.3">
      <c r="B66" s="3172"/>
      <c r="C66" s="5150" t="s">
        <v>5340</v>
      </c>
      <c r="D66" s="5150"/>
      <c r="E66" s="5150"/>
      <c r="F66" s="5150"/>
      <c r="G66" s="5150"/>
      <c r="H66" s="5150"/>
      <c r="I66" s="3173"/>
      <c r="J66" s="5149">
        <f>+J65/$I$65</f>
        <v>9.454281964299531E-2</v>
      </c>
      <c r="K66" s="5149"/>
      <c r="L66" s="5149">
        <f>+L65/$I$65</f>
        <v>0.20675598996749867</v>
      </c>
      <c r="M66" s="5149"/>
      <c r="N66" s="5149">
        <f>+N65/$I$65</f>
        <v>0.11395331147127462</v>
      </c>
      <c r="O66" s="5149"/>
      <c r="P66" s="5149">
        <f>+P65/$I$65</f>
        <v>8.1358399633941592E-2</v>
      </c>
      <c r="Q66" s="5149"/>
      <c r="R66" s="5149">
        <f>+R65/$I$65</f>
        <v>0.10005461435915819</v>
      </c>
      <c r="S66" s="5149"/>
      <c r="T66" s="5149">
        <f>+T65/$I$65</f>
        <v>7.6250863095109894E-2</v>
      </c>
      <c r="U66" s="5149"/>
      <c r="V66" s="5149">
        <f>+V65/$I$65</f>
        <v>7.9341624976952504E-2</v>
      </c>
      <c r="W66" s="5149"/>
      <c r="X66" s="5149">
        <f>+X65/$I$65</f>
        <v>7.2954436313767884E-2</v>
      </c>
      <c r="Y66" s="5149"/>
      <c r="Z66" s="5149">
        <f>+Z65/$I$65</f>
        <v>7.1435010355302697E-2</v>
      </c>
      <c r="AA66" s="5149"/>
      <c r="AB66" s="5149">
        <f>+AB65/$I$65</f>
        <v>7.8409225733644436E-2</v>
      </c>
      <c r="AC66" s="5149"/>
      <c r="AD66" s="5149">
        <f>+AD65/$I$65</f>
        <v>1.2471852225177018E-2</v>
      </c>
      <c r="AE66" s="5149"/>
      <c r="AF66" s="5149">
        <f>+AF65/$I$65</f>
        <v>1.2471852225177018E-2</v>
      </c>
      <c r="AG66" s="5149"/>
      <c r="AH66" s="5149">
        <f>+AH65/$I$65</f>
        <v>0.99999999999999989</v>
      </c>
      <c r="AI66" s="5149"/>
      <c r="AJ66" s="3165"/>
    </row>
    <row r="67" spans="1:36" ht="13.5" thickBot="1" x14ac:dyDescent="0.3">
      <c r="B67" s="3172"/>
      <c r="C67" s="5150" t="s">
        <v>5373</v>
      </c>
      <c r="D67" s="5150"/>
      <c r="E67" s="5150"/>
      <c r="F67" s="5150"/>
      <c r="G67" s="5150"/>
      <c r="H67" s="5150"/>
      <c r="I67" s="3173"/>
      <c r="J67" s="5149">
        <f>J66</f>
        <v>9.454281964299531E-2</v>
      </c>
      <c r="K67" s="5149"/>
      <c r="L67" s="5149">
        <f>+J67+L66</f>
        <v>0.30129880961049399</v>
      </c>
      <c r="M67" s="5149"/>
      <c r="N67" s="5149">
        <f>+L67+N66</f>
        <v>0.41525212108176862</v>
      </c>
      <c r="O67" s="5149"/>
      <c r="P67" s="5149">
        <f>+N67+P66</f>
        <v>0.49661052071571021</v>
      </c>
      <c r="Q67" s="5149"/>
      <c r="R67" s="5149">
        <f>+P67+R66</f>
        <v>0.5966651350748684</v>
      </c>
      <c r="S67" s="5149"/>
      <c r="T67" s="5149">
        <f>+R67+T66</f>
        <v>0.67291599816997827</v>
      </c>
      <c r="U67" s="5149"/>
      <c r="V67" s="5149">
        <f>+T67+V66</f>
        <v>0.75225762314693079</v>
      </c>
      <c r="W67" s="5149"/>
      <c r="X67" s="5149">
        <f>+V67+X66</f>
        <v>0.82521205946069864</v>
      </c>
      <c r="Y67" s="5149"/>
      <c r="Z67" s="5149">
        <f>+X67+Z66</f>
        <v>0.8966470698160014</v>
      </c>
      <c r="AA67" s="5149"/>
      <c r="AB67" s="5149">
        <f>+Z67+AB66</f>
        <v>0.97505629554964579</v>
      </c>
      <c r="AC67" s="5149"/>
      <c r="AD67" s="5149">
        <f>+AB67+AD66</f>
        <v>0.98752814777482278</v>
      </c>
      <c r="AE67" s="5149"/>
      <c r="AF67" s="5149">
        <f>+AD67+AF66</f>
        <v>0.99999999999999978</v>
      </c>
      <c r="AG67" s="5149"/>
      <c r="AH67" s="5149">
        <f>+AG67+AH66</f>
        <v>0.99999999999999989</v>
      </c>
      <c r="AI67" s="5149"/>
      <c r="AJ67" s="3165"/>
    </row>
    <row r="68" spans="1:36" s="3679" customFormat="1" x14ac:dyDescent="0.25">
      <c r="A68" s="2287"/>
      <c r="B68" s="3678"/>
      <c r="D68" s="3678"/>
      <c r="E68" s="3678"/>
      <c r="F68" s="3678"/>
      <c r="G68" s="3678"/>
      <c r="H68" s="3680"/>
      <c r="I68" s="3681"/>
      <c r="J68" s="3804"/>
      <c r="L68" s="3804"/>
      <c r="N68" s="3804"/>
      <c r="P68" s="3804"/>
      <c r="R68" s="3804"/>
      <c r="T68" s="3804"/>
      <c r="V68" s="3804"/>
      <c r="X68" s="3804"/>
      <c r="Z68" s="3804"/>
      <c r="AB68" s="3804"/>
      <c r="AD68" s="3804"/>
      <c r="AF68" s="3804"/>
      <c r="AH68" s="3804"/>
    </row>
    <row r="69" spans="1:36" s="3679" customFormat="1" x14ac:dyDescent="0.25">
      <c r="A69" s="2287"/>
      <c r="B69" s="3678"/>
      <c r="D69" s="3678"/>
      <c r="E69" s="3678"/>
      <c r="F69" s="3678"/>
      <c r="G69" s="3678"/>
      <c r="H69" s="3680"/>
      <c r="I69" s="3681"/>
      <c r="J69" s="3804"/>
      <c r="L69" s="3804"/>
      <c r="N69" s="3804"/>
      <c r="P69" s="3804"/>
      <c r="R69" s="3804"/>
      <c r="T69" s="3804"/>
      <c r="V69" s="3804"/>
      <c r="X69" s="3804"/>
      <c r="Z69" s="3804"/>
      <c r="AB69" s="3804"/>
      <c r="AD69" s="3804"/>
      <c r="AF69" s="3804"/>
      <c r="AH69" s="3804"/>
    </row>
    <row r="70" spans="1:36" x14ac:dyDescent="0.25">
      <c r="C70" s="3175"/>
      <c r="D70" s="3176"/>
      <c r="E70" s="3176"/>
      <c r="F70" s="3177"/>
      <c r="G70" s="3177"/>
      <c r="I70" s="3179"/>
    </row>
    <row r="71" spans="1:36" x14ac:dyDescent="0.25">
      <c r="C71" s="3176"/>
      <c r="D71" s="3176"/>
      <c r="E71" s="3176"/>
      <c r="F71" s="3176"/>
      <c r="G71" s="3176"/>
      <c r="I71" s="3180"/>
    </row>
    <row r="72" spans="1:36" x14ac:dyDescent="0.25">
      <c r="C72" s="3175"/>
      <c r="D72" s="3176"/>
      <c r="E72" s="3176"/>
      <c r="F72" s="3177"/>
      <c r="G72" s="3177"/>
      <c r="I72" s="3179"/>
    </row>
    <row r="73" spans="1:36" x14ac:dyDescent="0.25">
      <c r="C73" s="3176"/>
      <c r="D73" s="3176"/>
      <c r="E73" s="3176"/>
      <c r="F73" s="3176"/>
      <c r="G73" s="3176"/>
    </row>
    <row r="74" spans="1:36" x14ac:dyDescent="0.25">
      <c r="C74" s="3175"/>
      <c r="D74" s="3176"/>
      <c r="E74" s="3176"/>
      <c r="F74" s="3177"/>
      <c r="G74" s="3177"/>
    </row>
    <row r="75" spans="1:36" x14ac:dyDescent="0.25">
      <c r="C75" s="3176"/>
      <c r="D75" s="3176"/>
      <c r="E75" s="3176"/>
      <c r="F75" s="3176"/>
      <c r="G75" s="3176"/>
    </row>
  </sheetData>
  <mergeCells count="293">
    <mergeCell ref="AF63:AG63"/>
    <mergeCell ref="AH65:AI65"/>
    <mergeCell ref="AH66:AI66"/>
    <mergeCell ref="AH67:AI67"/>
    <mergeCell ref="AH10:AI10"/>
    <mergeCell ref="AF10:AG10"/>
    <mergeCell ref="AF65:AG65"/>
    <mergeCell ref="C64:H64"/>
    <mergeCell ref="J64:K64"/>
    <mergeCell ref="L64:M64"/>
    <mergeCell ref="N64:O64"/>
    <mergeCell ref="P64:Q64"/>
    <mergeCell ref="R64:S64"/>
    <mergeCell ref="T64:U64"/>
    <mergeCell ref="V64:W64"/>
    <mergeCell ref="X64:Y64"/>
    <mergeCell ref="Z64:AA64"/>
    <mergeCell ref="AB64:AC64"/>
    <mergeCell ref="AD64:AE64"/>
    <mergeCell ref="AF64:AG64"/>
    <mergeCell ref="AH64:AI64"/>
    <mergeCell ref="Z10:AA10"/>
    <mergeCell ref="AB10:AC10"/>
    <mergeCell ref="AD10:AE10"/>
    <mergeCell ref="T10:U10"/>
    <mergeCell ref="V10:W10"/>
    <mergeCell ref="X10:Y10"/>
    <mergeCell ref="C4:Y4"/>
    <mergeCell ref="C10:C11"/>
    <mergeCell ref="D10:D11"/>
    <mergeCell ref="E10:F10"/>
    <mergeCell ref="G10:H10"/>
    <mergeCell ref="I10:I11"/>
    <mergeCell ref="J10:K10"/>
    <mergeCell ref="L10:M10"/>
    <mergeCell ref="A12:A53"/>
    <mergeCell ref="B12:H12"/>
    <mergeCell ref="N10:O10"/>
    <mergeCell ref="P10:Q10"/>
    <mergeCell ref="R10:S10"/>
    <mergeCell ref="B10:B11"/>
    <mergeCell ref="I13:I14"/>
    <mergeCell ref="H13:H14"/>
    <mergeCell ref="G13:G14"/>
    <mergeCell ref="F13:F14"/>
    <mergeCell ref="E13:E14"/>
    <mergeCell ref="D13:D14"/>
    <mergeCell ref="C13:C14"/>
    <mergeCell ref="B13:B14"/>
    <mergeCell ref="I27:I28"/>
    <mergeCell ref="I25:I26"/>
    <mergeCell ref="H25:H26"/>
    <mergeCell ref="G25:G26"/>
    <mergeCell ref="F25:F26"/>
    <mergeCell ref="E25:E26"/>
    <mergeCell ref="D25:D26"/>
    <mergeCell ref="C25:C26"/>
    <mergeCell ref="B25:B26"/>
    <mergeCell ref="H27:H28"/>
    <mergeCell ref="C65:H65"/>
    <mergeCell ref="J65:K65"/>
    <mergeCell ref="L65:M65"/>
    <mergeCell ref="N65:O65"/>
    <mergeCell ref="P65:Q65"/>
    <mergeCell ref="AB63:AC63"/>
    <mergeCell ref="AD63:AE63"/>
    <mergeCell ref="T63:U63"/>
    <mergeCell ref="V63:W63"/>
    <mergeCell ref="X63:Y63"/>
    <mergeCell ref="Z63:AA63"/>
    <mergeCell ref="R63:S63"/>
    <mergeCell ref="C63:H63"/>
    <mergeCell ref="J63:K63"/>
    <mergeCell ref="L63:M63"/>
    <mergeCell ref="N63:O63"/>
    <mergeCell ref="P63:Q63"/>
    <mergeCell ref="R66:S66"/>
    <mergeCell ref="T66:U66"/>
    <mergeCell ref="V66:W66"/>
    <mergeCell ref="X66:Y66"/>
    <mergeCell ref="Z66:AA66"/>
    <mergeCell ref="AB66:AC66"/>
    <mergeCell ref="R65:S65"/>
    <mergeCell ref="T65:U65"/>
    <mergeCell ref="V65:W65"/>
    <mergeCell ref="X65:Y65"/>
    <mergeCell ref="Z65:AA65"/>
    <mergeCell ref="B2:AI2"/>
    <mergeCell ref="AH63:AI63"/>
    <mergeCell ref="Z67:AA67"/>
    <mergeCell ref="AB67:AC67"/>
    <mergeCell ref="AD67:AE67"/>
    <mergeCell ref="AF67:AG67"/>
    <mergeCell ref="AF66:AG66"/>
    <mergeCell ref="C67:H67"/>
    <mergeCell ref="J67:K67"/>
    <mergeCell ref="L67:M67"/>
    <mergeCell ref="N67:O67"/>
    <mergeCell ref="P67:Q67"/>
    <mergeCell ref="R67:S67"/>
    <mergeCell ref="T67:U67"/>
    <mergeCell ref="V67:W67"/>
    <mergeCell ref="X67:Y67"/>
    <mergeCell ref="AB65:AC65"/>
    <mergeCell ref="AD65:AE65"/>
    <mergeCell ref="AD66:AE66"/>
    <mergeCell ref="C66:H66"/>
    <mergeCell ref="J66:K66"/>
    <mergeCell ref="L66:M66"/>
    <mergeCell ref="N66:O66"/>
    <mergeCell ref="P66:Q66"/>
    <mergeCell ref="I23:I24"/>
    <mergeCell ref="H23:H24"/>
    <mergeCell ref="G23:G24"/>
    <mergeCell ref="F23:F24"/>
    <mergeCell ref="E23:E24"/>
    <mergeCell ref="I15:I16"/>
    <mergeCell ref="H15:H16"/>
    <mergeCell ref="G15:G16"/>
    <mergeCell ref="F15:F16"/>
    <mergeCell ref="E15:E16"/>
    <mergeCell ref="I17:I18"/>
    <mergeCell ref="H17:H18"/>
    <mergeCell ref="G17:G18"/>
    <mergeCell ref="F17:F18"/>
    <mergeCell ref="E17:E18"/>
    <mergeCell ref="I19:I20"/>
    <mergeCell ref="I21:I22"/>
    <mergeCell ref="H21:H22"/>
    <mergeCell ref="G21:G22"/>
    <mergeCell ref="F21:F22"/>
    <mergeCell ref="E21:E22"/>
    <mergeCell ref="B15:B16"/>
    <mergeCell ref="B61:B62"/>
    <mergeCell ref="B59:B60"/>
    <mergeCell ref="B57:B58"/>
    <mergeCell ref="B55:B56"/>
    <mergeCell ref="B53:B54"/>
    <mergeCell ref="B51:B52"/>
    <mergeCell ref="B49:B50"/>
    <mergeCell ref="B47:B48"/>
    <mergeCell ref="B45:B46"/>
    <mergeCell ref="B43:B44"/>
    <mergeCell ref="B41:B42"/>
    <mergeCell ref="B39:B40"/>
    <mergeCell ref="B37:B38"/>
    <mergeCell ref="B23:B24"/>
    <mergeCell ref="B21:B22"/>
    <mergeCell ref="B19:B20"/>
    <mergeCell ref="B17:B18"/>
    <mergeCell ref="C43:C44"/>
    <mergeCell ref="C41:C42"/>
    <mergeCell ref="C39:C40"/>
    <mergeCell ref="H19:H20"/>
    <mergeCell ref="G19:G20"/>
    <mergeCell ref="F19:F20"/>
    <mergeCell ref="E19:E20"/>
    <mergeCell ref="D15:D16"/>
    <mergeCell ref="C15:C16"/>
    <mergeCell ref="D23:D24"/>
    <mergeCell ref="C23:C24"/>
    <mergeCell ref="C27:C28"/>
    <mergeCell ref="C21:C22"/>
    <mergeCell ref="D19:D20"/>
    <mergeCell ref="C19:C20"/>
    <mergeCell ref="D17:D18"/>
    <mergeCell ref="C17:C18"/>
    <mergeCell ref="G27:G28"/>
    <mergeCell ref="F27:F28"/>
    <mergeCell ref="E27:E28"/>
    <mergeCell ref="D27:D28"/>
    <mergeCell ref="D21:D22"/>
    <mergeCell ref="D39:D40"/>
    <mergeCell ref="D37:D38"/>
    <mergeCell ref="C61:C62"/>
    <mergeCell ref="C59:C60"/>
    <mergeCell ref="C57:C58"/>
    <mergeCell ref="C55:C56"/>
    <mergeCell ref="C53:C54"/>
    <mergeCell ref="C51:C52"/>
    <mergeCell ref="C49:C50"/>
    <mergeCell ref="C47:C48"/>
    <mergeCell ref="C45:C46"/>
    <mergeCell ref="C37:C38"/>
    <mergeCell ref="C35:C36"/>
    <mergeCell ref="B27:B28"/>
    <mergeCell ref="C33:C34"/>
    <mergeCell ref="C31:C32"/>
    <mergeCell ref="C29:C30"/>
    <mergeCell ref="B35:B36"/>
    <mergeCell ref="B33:B34"/>
    <mergeCell ref="B31:B32"/>
    <mergeCell ref="B29:B30"/>
    <mergeCell ref="F33:F34"/>
    <mergeCell ref="F61:F62"/>
    <mergeCell ref="F59:F60"/>
    <mergeCell ref="F57:F58"/>
    <mergeCell ref="F55:F56"/>
    <mergeCell ref="F53:F54"/>
    <mergeCell ref="F51:F52"/>
    <mergeCell ref="F49:F50"/>
    <mergeCell ref="F47:F48"/>
    <mergeCell ref="F45:F46"/>
    <mergeCell ref="F43:F44"/>
    <mergeCell ref="D47:D48"/>
    <mergeCell ref="D45:D46"/>
    <mergeCell ref="D43:D44"/>
    <mergeCell ref="G61:G62"/>
    <mergeCell ref="G59:G60"/>
    <mergeCell ref="G57:G58"/>
    <mergeCell ref="G55:G56"/>
    <mergeCell ref="G53:G54"/>
    <mergeCell ref="F35:F36"/>
    <mergeCell ref="D61:D62"/>
    <mergeCell ref="D59:D60"/>
    <mergeCell ref="D57:D58"/>
    <mergeCell ref="D55:D56"/>
    <mergeCell ref="D53:D54"/>
    <mergeCell ref="F41:F42"/>
    <mergeCell ref="F39:F40"/>
    <mergeCell ref="F37:F38"/>
    <mergeCell ref="D31:D32"/>
    <mergeCell ref="D29:D30"/>
    <mergeCell ref="E61:E62"/>
    <mergeCell ref="E59:E60"/>
    <mergeCell ref="E57:E58"/>
    <mergeCell ref="E55:E56"/>
    <mergeCell ref="E53:E54"/>
    <mergeCell ref="E51:E52"/>
    <mergeCell ref="E49:E50"/>
    <mergeCell ref="E47:E48"/>
    <mergeCell ref="E45:E46"/>
    <mergeCell ref="E43:E44"/>
    <mergeCell ref="E41:E42"/>
    <mergeCell ref="E39:E40"/>
    <mergeCell ref="E37:E38"/>
    <mergeCell ref="E35:E36"/>
    <mergeCell ref="D41:D42"/>
    <mergeCell ref="E33:E34"/>
    <mergeCell ref="E31:E32"/>
    <mergeCell ref="E29:E30"/>
    <mergeCell ref="D35:D36"/>
    <mergeCell ref="D33:D34"/>
    <mergeCell ref="D51:D52"/>
    <mergeCell ref="D49:D50"/>
    <mergeCell ref="F31:F32"/>
    <mergeCell ref="F29:F30"/>
    <mergeCell ref="H51:H52"/>
    <mergeCell ref="H49:H50"/>
    <mergeCell ref="H47:H48"/>
    <mergeCell ref="H45:H46"/>
    <mergeCell ref="H43:H44"/>
    <mergeCell ref="H41:H42"/>
    <mergeCell ref="H39:H40"/>
    <mergeCell ref="H37:H38"/>
    <mergeCell ref="H35:H36"/>
    <mergeCell ref="H33:H34"/>
    <mergeCell ref="G51:G52"/>
    <mergeCell ref="G49:G50"/>
    <mergeCell ref="G47:G48"/>
    <mergeCell ref="G45:G46"/>
    <mergeCell ref="G37:G38"/>
    <mergeCell ref="G35:G36"/>
    <mergeCell ref="G33:G34"/>
    <mergeCell ref="G31:G32"/>
    <mergeCell ref="G29:G30"/>
    <mergeCell ref="G43:G44"/>
    <mergeCell ref="G41:G42"/>
    <mergeCell ref="G39:G40"/>
    <mergeCell ref="H61:H62"/>
    <mergeCell ref="H59:H60"/>
    <mergeCell ref="H57:H58"/>
    <mergeCell ref="H55:H56"/>
    <mergeCell ref="H53:H54"/>
    <mergeCell ref="I33:I34"/>
    <mergeCell ref="I31:I32"/>
    <mergeCell ref="I29:I30"/>
    <mergeCell ref="H31:H32"/>
    <mergeCell ref="H29:H30"/>
    <mergeCell ref="I61:I62"/>
    <mergeCell ref="I59:I60"/>
    <mergeCell ref="I57:I58"/>
    <mergeCell ref="I55:I56"/>
    <mergeCell ref="I53:I54"/>
    <mergeCell ref="I51:I52"/>
    <mergeCell ref="I49:I50"/>
    <mergeCell ref="I47:I48"/>
    <mergeCell ref="I45:I46"/>
    <mergeCell ref="I43:I44"/>
    <mergeCell ref="I41:I42"/>
    <mergeCell ref="I39:I40"/>
    <mergeCell ref="I37:I38"/>
    <mergeCell ref="I35:I36"/>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FFFF00"/>
  </sheetPr>
  <dimension ref="A1:T57"/>
  <sheetViews>
    <sheetView zoomScale="70" zoomScaleNormal="70" workbookViewId="0">
      <selection activeCell="T30" sqref="T30"/>
    </sheetView>
  </sheetViews>
  <sheetFormatPr baseColWidth="10" defaultColWidth="11.5703125" defaultRowHeight="13.5" x14ac:dyDescent="0.25"/>
  <cols>
    <col min="1" max="2" width="4.7109375" style="691" customWidth="1"/>
    <col min="3" max="3" width="39.5703125" style="691" customWidth="1"/>
    <col min="4" max="19" width="8.42578125" style="691" customWidth="1"/>
    <col min="20" max="16384" width="11.5703125" style="691"/>
  </cols>
  <sheetData>
    <row r="1" spans="1:20" x14ac:dyDescent="0.25">
      <c r="A1" s="2447"/>
    </row>
    <row r="2" spans="1:20" ht="14.25" customHeight="1" x14ac:dyDescent="0.25">
      <c r="A2" s="2592"/>
      <c r="B2" s="3163"/>
    </row>
    <row r="3" spans="1:20" ht="14.25" thickBot="1" x14ac:dyDescent="0.3"/>
    <row r="4" spans="1:20" ht="14.25" thickBot="1" x14ac:dyDescent="0.3">
      <c r="C4" s="4907" t="s">
        <v>5350</v>
      </c>
      <c r="D4" s="4907"/>
      <c r="E4" s="4907"/>
      <c r="F4" s="4907"/>
      <c r="G4" s="4907"/>
      <c r="H4" s="4907"/>
      <c r="I4" s="4907"/>
      <c r="J4" s="4907"/>
      <c r="K4" s="4907"/>
      <c r="L4" s="4907"/>
      <c r="M4" s="4907"/>
      <c r="N4" s="4907"/>
      <c r="O4" s="4907"/>
      <c r="P4" s="4907"/>
      <c r="Q4" s="4907"/>
      <c r="R4" s="4907"/>
      <c r="S4" s="4907"/>
      <c r="T4" s="4907"/>
    </row>
    <row r="5" spans="1:20" ht="14.25" thickBot="1" x14ac:dyDescent="0.3">
      <c r="C5" s="4907"/>
      <c r="D5" s="4907"/>
      <c r="E5" s="4907"/>
      <c r="F5" s="4907"/>
      <c r="G5" s="4907"/>
      <c r="H5" s="4907"/>
      <c r="I5" s="4907"/>
      <c r="J5" s="4907"/>
      <c r="K5" s="4907"/>
      <c r="L5" s="4907"/>
      <c r="M5" s="4907"/>
      <c r="N5" s="4907"/>
      <c r="O5" s="4907"/>
      <c r="P5" s="4907"/>
      <c r="Q5" s="4907"/>
      <c r="R5" s="4907"/>
      <c r="S5" s="4907"/>
      <c r="T5" s="4907"/>
    </row>
    <row r="6" spans="1:20" ht="14.25" thickBot="1" x14ac:dyDescent="0.3">
      <c r="C6" s="3161"/>
      <c r="D6" s="3162"/>
      <c r="E6" s="3162"/>
      <c r="F6" s="3162"/>
      <c r="G6" s="3162"/>
      <c r="H6" s="3162"/>
      <c r="I6" s="3162"/>
      <c r="J6" s="3162"/>
      <c r="K6" s="3162"/>
      <c r="L6" s="3162"/>
      <c r="M6" s="3162"/>
      <c r="N6" s="3162"/>
      <c r="O6" s="3162"/>
      <c r="P6" s="3162"/>
      <c r="Q6" s="3162"/>
      <c r="R6" s="3162"/>
      <c r="S6" s="3162"/>
    </row>
    <row r="7" spans="1:20" ht="14.25" thickBot="1" x14ac:dyDescent="0.3">
      <c r="C7" s="4460" t="s">
        <v>418</v>
      </c>
      <c r="D7" s="1756" t="s">
        <v>1960</v>
      </c>
      <c r="E7" s="1756" t="s">
        <v>1960</v>
      </c>
      <c r="F7" s="1756" t="s">
        <v>1961</v>
      </c>
      <c r="G7" s="1756" t="s">
        <v>1962</v>
      </c>
      <c r="H7" s="1756" t="s">
        <v>1963</v>
      </c>
      <c r="I7" s="1756" t="s">
        <v>2001</v>
      </c>
      <c r="J7" s="1756" t="s">
        <v>2002</v>
      </c>
      <c r="K7" s="1756" t="s">
        <v>2003</v>
      </c>
      <c r="L7" s="1756" t="s">
        <v>2004</v>
      </c>
      <c r="M7" s="1756" t="s">
        <v>2005</v>
      </c>
      <c r="N7" s="1756" t="s">
        <v>2006</v>
      </c>
      <c r="O7" s="1756" t="s">
        <v>2007</v>
      </c>
      <c r="P7" s="1756" t="s">
        <v>2008</v>
      </c>
      <c r="Q7" s="1756" t="s">
        <v>2009</v>
      </c>
      <c r="R7" s="1756" t="s">
        <v>2010</v>
      </c>
      <c r="S7" s="1756" t="s">
        <v>2011</v>
      </c>
      <c r="T7" s="1747" t="s">
        <v>2012</v>
      </c>
    </row>
    <row r="8" spans="1:20" ht="14.25" thickBot="1" x14ac:dyDescent="0.3">
      <c r="C8" s="4461"/>
      <c r="D8" s="1605">
        <v>2018</v>
      </c>
      <c r="E8" s="1605">
        <f t="shared" ref="E8:T8" si="0">+D8+1</f>
        <v>2019</v>
      </c>
      <c r="F8" s="1605">
        <f t="shared" si="0"/>
        <v>2020</v>
      </c>
      <c r="G8" s="1605">
        <f t="shared" si="0"/>
        <v>2021</v>
      </c>
      <c r="H8" s="1605">
        <f t="shared" si="0"/>
        <v>2022</v>
      </c>
      <c r="I8" s="1605">
        <f t="shared" si="0"/>
        <v>2023</v>
      </c>
      <c r="J8" s="1605">
        <f t="shared" si="0"/>
        <v>2024</v>
      </c>
      <c r="K8" s="1605">
        <f t="shared" si="0"/>
        <v>2025</v>
      </c>
      <c r="L8" s="1605">
        <f t="shared" si="0"/>
        <v>2026</v>
      </c>
      <c r="M8" s="1605">
        <f t="shared" si="0"/>
        <v>2027</v>
      </c>
      <c r="N8" s="1605">
        <f t="shared" si="0"/>
        <v>2028</v>
      </c>
      <c r="O8" s="1605">
        <f t="shared" si="0"/>
        <v>2029</v>
      </c>
      <c r="P8" s="1605">
        <f t="shared" si="0"/>
        <v>2030</v>
      </c>
      <c r="Q8" s="1605">
        <f t="shared" si="0"/>
        <v>2031</v>
      </c>
      <c r="R8" s="1605">
        <f t="shared" si="0"/>
        <v>2032</v>
      </c>
      <c r="S8" s="1605">
        <f t="shared" si="0"/>
        <v>2033</v>
      </c>
      <c r="T8" s="1184">
        <f t="shared" si="0"/>
        <v>2034</v>
      </c>
    </row>
    <row r="9" spans="1:20" ht="14.25" thickBot="1" x14ac:dyDescent="0.3">
      <c r="C9" s="2597" t="s">
        <v>71</v>
      </c>
      <c r="D9" s="2598"/>
      <c r="E9" s="2598"/>
      <c r="F9" s="2598"/>
      <c r="G9" s="2598"/>
      <c r="H9" s="2598"/>
      <c r="I9" s="2598"/>
      <c r="J9" s="2598"/>
      <c r="K9" s="2598"/>
      <c r="L9" s="2598"/>
      <c r="M9" s="2598"/>
      <c r="N9" s="2598"/>
      <c r="O9" s="2598"/>
      <c r="P9" s="2598"/>
      <c r="Q9" s="2598"/>
      <c r="R9" s="2598"/>
      <c r="S9" s="2598"/>
      <c r="T9" s="2598"/>
    </row>
    <row r="10" spans="1:20" ht="14.25" thickBot="1" x14ac:dyDescent="0.3">
      <c r="C10" s="1758" t="str">
        <f>'14 Dda Consolidda'!D10</f>
        <v>Consulta ambulatoria por médico general</v>
      </c>
      <c r="D10" s="3164">
        <f>'14 Dda Consolidda'!E10</f>
        <v>727.39241737423697</v>
      </c>
      <c r="E10" s="3164">
        <f>'14 Dda Consolidda'!F10</f>
        <v>733.00749502117742</v>
      </c>
      <c r="F10" s="3164">
        <f>'14 Dda Consolidda'!G10</f>
        <v>738.62681520914748</v>
      </c>
      <c r="G10" s="3164">
        <f>'14 Dda Consolidda'!H10</f>
        <v>744.25038038300841</v>
      </c>
      <c r="H10" s="3164">
        <f>'14 Dda Consolidda'!I10</f>
        <v>749.87819298887825</v>
      </c>
      <c r="I10" s="3164">
        <f>'14 Dda Consolidda'!J10</f>
        <v>755.5102554741336</v>
      </c>
      <c r="J10" s="3164">
        <f>'14 Dda Consolidda'!K10</f>
        <v>761.14657028741021</v>
      </c>
      <c r="K10" s="3164">
        <f>'14 Dda Consolidda'!L10</f>
        <v>766.78713987860363</v>
      </c>
      <c r="L10" s="3164">
        <f>'14 Dda Consolidda'!M10</f>
        <v>772.43196669886925</v>
      </c>
      <c r="M10" s="3164">
        <f>'14 Dda Consolidda'!N10</f>
        <v>778.08105320062305</v>
      </c>
      <c r="N10" s="3164">
        <f>'14 Dda Consolidda'!O10</f>
        <v>783.73440183754235</v>
      </c>
      <c r="O10" s="3164">
        <f>'14 Dda Consolidda'!P10</f>
        <v>789.39201506456743</v>
      </c>
      <c r="P10" s="3164">
        <f>'14 Dda Consolidda'!Q10</f>
        <v>795.05389533790003</v>
      </c>
      <c r="Q10" s="3164">
        <f>'14 Dda Consolidda'!R10</f>
        <v>800.72004511500563</v>
      </c>
      <c r="R10" s="3164">
        <f>'14 Dda Consolidda'!S10</f>
        <v>806.39046685461324</v>
      </c>
      <c r="S10" s="3164">
        <f>'14 Dda Consolidda'!T10</f>
        <v>812.06516301671672</v>
      </c>
      <c r="T10" s="3164">
        <f>'14 Dda Consolidda'!U10</f>
        <v>817.74413606257485</v>
      </c>
    </row>
    <row r="11" spans="1:20" ht="31.5" customHeight="1" thickBot="1" x14ac:dyDescent="0.3">
      <c r="C11" s="1758" t="str">
        <f>'14 Dda Consolidda'!D11</f>
        <v>Consulta ambulatoria por médico especialista en Ginecología y Obstetricia</v>
      </c>
      <c r="D11" s="3164">
        <f>'14 Dda Consolidda'!E11</f>
        <v>0</v>
      </c>
      <c r="E11" s="3164">
        <f>'14 Dda Consolidda'!F11</f>
        <v>0</v>
      </c>
      <c r="F11" s="3164">
        <f>'14 Dda Consolidda'!G11</f>
        <v>0</v>
      </c>
      <c r="G11" s="3164">
        <f>'14 Dda Consolidda'!H11</f>
        <v>0</v>
      </c>
      <c r="H11" s="3164">
        <f>'14 Dda Consolidda'!I11</f>
        <v>0</v>
      </c>
      <c r="I11" s="3164">
        <f>'14 Dda Consolidda'!J11</f>
        <v>0</v>
      </c>
      <c r="J11" s="3164">
        <f>'14 Dda Consolidda'!K11</f>
        <v>0</v>
      </c>
      <c r="K11" s="3164">
        <f>'14 Dda Consolidda'!L11</f>
        <v>0</v>
      </c>
      <c r="L11" s="3164">
        <f>'14 Dda Consolidda'!M11</f>
        <v>0</v>
      </c>
      <c r="M11" s="3164">
        <f>'14 Dda Consolidda'!N11</f>
        <v>0</v>
      </c>
      <c r="N11" s="3164">
        <f>'14 Dda Consolidda'!O11</f>
        <v>0</v>
      </c>
      <c r="O11" s="3164">
        <f>'14 Dda Consolidda'!P11</f>
        <v>0</v>
      </c>
      <c r="P11" s="3164">
        <f>'14 Dda Consolidda'!Q11</f>
        <v>0</v>
      </c>
      <c r="Q11" s="3164">
        <f>'14 Dda Consolidda'!R11</f>
        <v>0</v>
      </c>
      <c r="R11" s="3164">
        <f>'14 Dda Consolidda'!S11</f>
        <v>0</v>
      </c>
      <c r="S11" s="3164">
        <f>'14 Dda Consolidda'!T11</f>
        <v>0</v>
      </c>
      <c r="T11" s="3164">
        <f>'14 Dda Consolidda'!U11</f>
        <v>0</v>
      </c>
    </row>
    <row r="12" spans="1:20" ht="31.5" customHeight="1" thickBot="1" x14ac:dyDescent="0.3">
      <c r="C12" s="1758" t="str">
        <f>'14 Dda Consolidda'!D12</f>
        <v>Consulta ambulatoria por médico especialista en Pediatría</v>
      </c>
      <c r="D12" s="3164" t="e">
        <f>'14 Dda Consolidda'!E12</f>
        <v>#DIV/0!</v>
      </c>
      <c r="E12" s="3164" t="e">
        <f>'14 Dda Consolidda'!F12</f>
        <v>#DIV/0!</v>
      </c>
      <c r="F12" s="3164" t="e">
        <f>'14 Dda Consolidda'!G12</f>
        <v>#DIV/0!</v>
      </c>
      <c r="G12" s="3164" t="e">
        <f>'14 Dda Consolidda'!H12</f>
        <v>#DIV/0!</v>
      </c>
      <c r="H12" s="3164" t="e">
        <f>'14 Dda Consolidda'!I12</f>
        <v>#DIV/0!</v>
      </c>
      <c r="I12" s="3164" t="e">
        <f>'14 Dda Consolidda'!J12</f>
        <v>#DIV/0!</v>
      </c>
      <c r="J12" s="3164" t="e">
        <f>'14 Dda Consolidda'!K12</f>
        <v>#DIV/0!</v>
      </c>
      <c r="K12" s="3164" t="e">
        <f>'14 Dda Consolidda'!L12</f>
        <v>#DIV/0!</v>
      </c>
      <c r="L12" s="3164" t="e">
        <f>'14 Dda Consolidda'!M12</f>
        <v>#DIV/0!</v>
      </c>
      <c r="M12" s="3164" t="e">
        <f>'14 Dda Consolidda'!N12</f>
        <v>#DIV/0!</v>
      </c>
      <c r="N12" s="3164" t="e">
        <f>'14 Dda Consolidda'!O12</f>
        <v>#DIV/0!</v>
      </c>
      <c r="O12" s="3164" t="e">
        <f>'14 Dda Consolidda'!P12</f>
        <v>#DIV/0!</v>
      </c>
      <c r="P12" s="3164" t="e">
        <f>'14 Dda Consolidda'!Q12</f>
        <v>#DIV/0!</v>
      </c>
      <c r="Q12" s="3164" t="e">
        <f>'14 Dda Consolidda'!R12</f>
        <v>#DIV/0!</v>
      </c>
      <c r="R12" s="3164" t="e">
        <f>'14 Dda Consolidda'!S12</f>
        <v>#DIV/0!</v>
      </c>
      <c r="S12" s="3164" t="e">
        <f>'14 Dda Consolidda'!T12</f>
        <v>#DIV/0!</v>
      </c>
      <c r="T12" s="3164" t="e">
        <f>'14 Dda Consolidda'!U12</f>
        <v>#DIV/0!</v>
      </c>
    </row>
    <row r="13" spans="1:20" ht="31.5" customHeight="1" thickBot="1" x14ac:dyDescent="0.3">
      <c r="C13" s="1758" t="str">
        <f>'14 Dda Consolidda'!D13</f>
        <v>Consulta ambulatoria por médico especialista en Medicina Familiar</v>
      </c>
      <c r="D13" s="3164">
        <f>'14 Dda Consolidda'!E13</f>
        <v>404.7510590293648</v>
      </c>
      <c r="E13" s="3164">
        <f>'14 Dda Consolidda'!F13</f>
        <v>407.87551918298493</v>
      </c>
      <c r="F13" s="3164">
        <f>'14 Dda Consolidda'!G13</f>
        <v>411.00234006093183</v>
      </c>
      <c r="G13" s="3164">
        <f>'14 Dda Consolidda'!H13</f>
        <v>414.13152302362653</v>
      </c>
      <c r="H13" s="3164">
        <f>'14 Dda Consolidda'!I13</f>
        <v>417.26306943219009</v>
      </c>
      <c r="I13" s="3164">
        <f>'14 Dda Consolidda'!J13</f>
        <v>420.39698064844322</v>
      </c>
      <c r="J13" s="3164">
        <f>'14 Dda Consolidda'!K13</f>
        <v>423.53325803490776</v>
      </c>
      <c r="K13" s="3164">
        <f>'14 Dda Consolidda'!L13</f>
        <v>426.67190295480634</v>
      </c>
      <c r="L13" s="3164">
        <f>'14 Dda Consolidda'!M13</f>
        <v>429.81291677206247</v>
      </c>
      <c r="M13" s="3164">
        <f>'14 Dda Consolidda'!N13</f>
        <v>432.95630085130153</v>
      </c>
      <c r="N13" s="3164">
        <f>'14 Dda Consolidda'!O13</f>
        <v>436.10205655785035</v>
      </c>
      <c r="O13" s="3164">
        <f>'14 Dda Consolidda'!P13</f>
        <v>439.25018525773851</v>
      </c>
      <c r="P13" s="3164">
        <f>'14 Dda Consolidda'!Q13</f>
        <v>442.40068831769804</v>
      </c>
      <c r="Q13" s="3164">
        <f>'14 Dda Consolidda'!R13</f>
        <v>445.55356710516355</v>
      </c>
      <c r="R13" s="3164">
        <f>'14 Dda Consolidda'!S13</f>
        <v>448.70882298827303</v>
      </c>
      <c r="S13" s="3164">
        <f>'14 Dda Consolidda'!T13</f>
        <v>451.86645733586835</v>
      </c>
      <c r="T13" s="3164">
        <f>'14 Dda Consolidda'!U13</f>
        <v>455.02647151749488</v>
      </c>
    </row>
    <row r="14" spans="1:20" ht="14.25" thickBot="1" x14ac:dyDescent="0.3">
      <c r="C14" s="1758" t="str">
        <f>'14 Dda Consolidda'!D14</f>
        <v>Teleconsultas de especialidades médicas</v>
      </c>
      <c r="D14" s="3164" t="e">
        <f>'14 Dda Consolidda'!E14</f>
        <v>#DIV/0!</v>
      </c>
      <c r="E14" s="3164" t="e">
        <f>'14 Dda Consolidda'!F14</f>
        <v>#DIV/0!</v>
      </c>
      <c r="F14" s="3164" t="e">
        <f>'14 Dda Consolidda'!G14</f>
        <v>#DIV/0!</v>
      </c>
      <c r="G14" s="3164" t="e">
        <f>'14 Dda Consolidda'!H14</f>
        <v>#DIV/0!</v>
      </c>
      <c r="H14" s="3164" t="e">
        <f>'14 Dda Consolidda'!I14</f>
        <v>#DIV/0!</v>
      </c>
      <c r="I14" s="3164" t="e">
        <f>'14 Dda Consolidda'!J14</f>
        <v>#DIV/0!</v>
      </c>
      <c r="J14" s="3164" t="e">
        <f>'14 Dda Consolidda'!K14</f>
        <v>#DIV/0!</v>
      </c>
      <c r="K14" s="3164" t="e">
        <f>'14 Dda Consolidda'!L14</f>
        <v>#DIV/0!</v>
      </c>
      <c r="L14" s="3164" t="e">
        <f>'14 Dda Consolidda'!M14</f>
        <v>#DIV/0!</v>
      </c>
      <c r="M14" s="3164" t="e">
        <f>'14 Dda Consolidda'!N14</f>
        <v>#DIV/0!</v>
      </c>
      <c r="N14" s="3164" t="e">
        <f>'14 Dda Consolidda'!O14</f>
        <v>#DIV/0!</v>
      </c>
      <c r="O14" s="3164" t="e">
        <f>'14 Dda Consolidda'!P14</f>
        <v>#DIV/0!</v>
      </c>
      <c r="P14" s="3164" t="e">
        <f>'14 Dda Consolidda'!Q14</f>
        <v>#DIV/0!</v>
      </c>
      <c r="Q14" s="3164" t="e">
        <f>'14 Dda Consolidda'!R14</f>
        <v>#DIV/0!</v>
      </c>
      <c r="R14" s="3164" t="e">
        <f>'14 Dda Consolidda'!S14</f>
        <v>#DIV/0!</v>
      </c>
      <c r="S14" s="3164" t="e">
        <f>'14 Dda Consolidda'!T14</f>
        <v>#DIV/0!</v>
      </c>
      <c r="T14" s="3164" t="e">
        <f>'14 Dda Consolidda'!U14</f>
        <v>#DIV/0!</v>
      </c>
    </row>
    <row r="15" spans="1:20" ht="14.25" thickBot="1" x14ac:dyDescent="0.3">
      <c r="C15" s="2600" t="s">
        <v>1225</v>
      </c>
      <c r="D15" s="2599"/>
      <c r="E15" s="2599"/>
      <c r="F15" s="2599"/>
      <c r="G15" s="2599"/>
      <c r="H15" s="2599"/>
      <c r="I15" s="2599"/>
      <c r="J15" s="2599"/>
      <c r="K15" s="2599"/>
      <c r="L15" s="2599"/>
      <c r="M15" s="2599"/>
      <c r="N15" s="2599"/>
      <c r="O15" s="2599"/>
      <c r="P15" s="2599"/>
      <c r="Q15" s="2599"/>
      <c r="R15" s="2599"/>
      <c r="S15" s="2599"/>
      <c r="T15" s="2599"/>
    </row>
    <row r="16" spans="1:20" ht="14.25" thickBot="1" x14ac:dyDescent="0.3">
      <c r="C16" s="1758" t="str">
        <f>'14 Dda Consolidda'!D16</f>
        <v xml:space="preserve">Enfermería- CRED </v>
      </c>
      <c r="D16" s="1786">
        <f>'14 Dda Consolidda'!E16</f>
        <v>443.09966654316389</v>
      </c>
      <c r="E16" s="1786">
        <f>'14 Dda Consolidda'!F16</f>
        <v>443.27137091960986</v>
      </c>
      <c r="F16" s="1786">
        <f>'14 Dda Consolidda'!G16</f>
        <v>443.44314183276333</v>
      </c>
      <c r="G16" s="1786">
        <f>'14 Dda Consolidda'!H16</f>
        <v>443.61497930840773</v>
      </c>
      <c r="H16" s="1786">
        <f>'14 Dda Consolidda'!I16</f>
        <v>443.78688337233649</v>
      </c>
      <c r="I16" s="1786">
        <f>'14 Dda Consolidda'!J16</f>
        <v>443.95885405035307</v>
      </c>
      <c r="J16" s="1786">
        <f>'14 Dda Consolidda'!K16</f>
        <v>444.13089136827091</v>
      </c>
      <c r="K16" s="1786">
        <f>'14 Dda Consolidda'!L16</f>
        <v>444.30299535191352</v>
      </c>
      <c r="L16" s="1786">
        <f>'14 Dda Consolidda'!M16</f>
        <v>444.47516602711431</v>
      </c>
      <c r="M16" s="1786">
        <f>'14 Dda Consolidda'!N16</f>
        <v>444.64740341971674</v>
      </c>
      <c r="N16" s="1786">
        <f>'14 Dda Consolidda'!O16</f>
        <v>444.81970755557433</v>
      </c>
      <c r="O16" s="1786">
        <f>'14 Dda Consolidda'!P16</f>
        <v>444.99207846055054</v>
      </c>
      <c r="P16" s="1786">
        <f>'14 Dda Consolidda'!Q16</f>
        <v>445.16451616051893</v>
      </c>
      <c r="Q16" s="1786">
        <f>'14 Dda Consolidda'!R16</f>
        <v>445.33702068136307</v>
      </c>
      <c r="R16" s="1786">
        <f>'14 Dda Consolidda'!S16</f>
        <v>445.50959204897651</v>
      </c>
      <c r="S16" s="1786">
        <f>'14 Dda Consolidda'!T16</f>
        <v>445.68223028926286</v>
      </c>
      <c r="T16" s="1786">
        <f>'14 Dda Consolidda'!U16</f>
        <v>445.85493542813578</v>
      </c>
    </row>
    <row r="17" spans="3:20" ht="14.25" thickBot="1" x14ac:dyDescent="0.3">
      <c r="C17" s="1758" t="str">
        <f>'14 Dda Consolidda'!D17</f>
        <v>Inmunizaciones</v>
      </c>
      <c r="D17" s="1786">
        <f>'14 Dda Consolidda'!E17</f>
        <v>1155.2201406658853</v>
      </c>
      <c r="E17" s="1786">
        <f>'14 Dda Consolidda'!F17</f>
        <v>1155.6677969583361</v>
      </c>
      <c r="F17" s="1786">
        <f>'14 Dda Consolidda'!G17</f>
        <v>1156.1156267208894</v>
      </c>
      <c r="G17" s="1786">
        <f>'14 Dda Consolidda'!H17</f>
        <v>1156.5636300207659</v>
      </c>
      <c r="H17" s="1786">
        <f>'14 Dda Consolidda'!I17</f>
        <v>1157.011806925213</v>
      </c>
      <c r="I17" s="1786">
        <f>'14 Dda Consolidda'!J17</f>
        <v>1157.4601575015035</v>
      </c>
      <c r="J17" s="1786">
        <f>'14 Dda Consolidda'!K17</f>
        <v>1157.9086818169365</v>
      </c>
      <c r="K17" s="1786">
        <f>'14 Dda Consolidda'!L17</f>
        <v>1158.3573799388371</v>
      </c>
      <c r="L17" s="1786">
        <f>'14 Dda Consolidda'!M17</f>
        <v>1158.8062519345569</v>
      </c>
      <c r="M17" s="1786">
        <f>'14 Dda Consolidda'!N17</f>
        <v>1159.2552978714732</v>
      </c>
      <c r="N17" s="1786">
        <f>'14 Dda Consolidda'!O17</f>
        <v>1159.7045178169892</v>
      </c>
      <c r="O17" s="1786">
        <f>'14 Dda Consolidda'!P17</f>
        <v>1160.1539118385349</v>
      </c>
      <c r="P17" s="1786">
        <f>'14 Dda Consolidda'!Q17</f>
        <v>1160.6034800035657</v>
      </c>
      <c r="Q17" s="1786">
        <f>'14 Dda Consolidda'!R17</f>
        <v>1161.0532223795637</v>
      </c>
      <c r="R17" s="1786">
        <f>'14 Dda Consolidda'!S17</f>
        <v>1161.5031390340368</v>
      </c>
      <c r="S17" s="1786">
        <f>'14 Dda Consolidda'!T17</f>
        <v>1161.9532300345193</v>
      </c>
      <c r="T17" s="1786">
        <f>'14 Dda Consolidda'!U17</f>
        <v>1162.4034954485714</v>
      </c>
    </row>
    <row r="18" spans="3:20" ht="14.25" thickBot="1" x14ac:dyDescent="0.3">
      <c r="C18" s="1758" t="str">
        <f>'14 Dda Consolidda'!D18</f>
        <v xml:space="preserve">Estimulacion Temprana </v>
      </c>
      <c r="D18" s="1786">
        <f>'14 Dda Consolidda'!E18</f>
        <v>136.02556502408294</v>
      </c>
      <c r="E18" s="1786">
        <f>'14 Dda Consolidda'!F18</f>
        <v>136.07827592997322</v>
      </c>
      <c r="F18" s="1786">
        <f>'14 Dda Consolidda'!G18</f>
        <v>136.13100726172684</v>
      </c>
      <c r="G18" s="1786">
        <f>'14 Dda Consolidda'!H18</f>
        <v>136.18375902725893</v>
      </c>
      <c r="H18" s="1786">
        <f>'14 Dda Consolidda'!I18</f>
        <v>136.23653123448776</v>
      </c>
      <c r="I18" s="1786">
        <f>'14 Dda Consolidda'!J18</f>
        <v>136.28932389133465</v>
      </c>
      <c r="J18" s="1786">
        <f>'14 Dda Consolidda'!K18</f>
        <v>136.34213700572394</v>
      </c>
      <c r="K18" s="1786">
        <f>'14 Dda Consolidda'!L18</f>
        <v>136.39497058558311</v>
      </c>
      <c r="L18" s="1786">
        <f>'14 Dda Consolidda'!M18</f>
        <v>136.44782463884266</v>
      </c>
      <c r="M18" s="1786">
        <f>'14 Dda Consolidda'!N18</f>
        <v>136.5006991734362</v>
      </c>
      <c r="N18" s="1786">
        <f>'14 Dda Consolidda'!O18</f>
        <v>136.55359419730038</v>
      </c>
      <c r="O18" s="1786">
        <f>'14 Dda Consolidda'!P18</f>
        <v>136.60650971837495</v>
      </c>
      <c r="P18" s="1786">
        <f>'14 Dda Consolidda'!Q18</f>
        <v>136.65944574460275</v>
      </c>
      <c r="Q18" s="1786">
        <f>'14 Dda Consolidda'!R18</f>
        <v>136.71240228392966</v>
      </c>
      <c r="R18" s="1786">
        <f>'14 Dda Consolidda'!S18</f>
        <v>136.76537934430465</v>
      </c>
      <c r="S18" s="1786">
        <f>'14 Dda Consolidda'!T18</f>
        <v>136.81837693367979</v>
      </c>
      <c r="T18" s="1786">
        <f>'14 Dda Consolidda'!U18</f>
        <v>136.8713950600102</v>
      </c>
    </row>
    <row r="19" spans="3:20" ht="14.25" thickBot="1" x14ac:dyDescent="0.3">
      <c r="C19" s="1758" t="str">
        <f>'14 Dda Consolidda'!D19</f>
        <v xml:space="preserve">Diferenciado de TBC  </v>
      </c>
      <c r="D19" s="1786" t="e">
        <f>'14 Dda Consolidda'!E19</f>
        <v>#DIV/0!</v>
      </c>
      <c r="E19" s="1786" t="e">
        <f>'14 Dda Consolidda'!F19</f>
        <v>#DIV/0!</v>
      </c>
      <c r="F19" s="1786" t="e">
        <f>'14 Dda Consolidda'!G19</f>
        <v>#DIV/0!</v>
      </c>
      <c r="G19" s="1786" t="e">
        <f>'14 Dda Consolidda'!H19</f>
        <v>#DIV/0!</v>
      </c>
      <c r="H19" s="1786" t="e">
        <f>'14 Dda Consolidda'!I19</f>
        <v>#DIV/0!</v>
      </c>
      <c r="I19" s="1786" t="e">
        <f>'14 Dda Consolidda'!J19</f>
        <v>#DIV/0!</v>
      </c>
      <c r="J19" s="1786" t="e">
        <f>'14 Dda Consolidda'!K19</f>
        <v>#DIV/0!</v>
      </c>
      <c r="K19" s="1786" t="e">
        <f>'14 Dda Consolidda'!L19</f>
        <v>#DIV/0!</v>
      </c>
      <c r="L19" s="1786" t="e">
        <f>'14 Dda Consolidda'!M19</f>
        <v>#DIV/0!</v>
      </c>
      <c r="M19" s="1786" t="e">
        <f>'14 Dda Consolidda'!N19</f>
        <v>#DIV/0!</v>
      </c>
      <c r="N19" s="1786" t="e">
        <f>'14 Dda Consolidda'!O19</f>
        <v>#DIV/0!</v>
      </c>
      <c r="O19" s="1786" t="e">
        <f>'14 Dda Consolidda'!P19</f>
        <v>#DIV/0!</v>
      </c>
      <c r="P19" s="1786" t="e">
        <f>'14 Dda Consolidda'!Q19</f>
        <v>#DIV/0!</v>
      </c>
      <c r="Q19" s="1786" t="e">
        <f>'14 Dda Consolidda'!R19</f>
        <v>#DIV/0!</v>
      </c>
      <c r="R19" s="1786" t="e">
        <f>'14 Dda Consolidda'!S19</f>
        <v>#DIV/0!</v>
      </c>
      <c r="S19" s="1786" t="e">
        <f>'14 Dda Consolidda'!T19</f>
        <v>#DIV/0!</v>
      </c>
      <c r="T19" s="1786" t="e">
        <f>'14 Dda Consolidda'!U19</f>
        <v>#DIV/0!</v>
      </c>
    </row>
    <row r="20" spans="3:20" ht="14.25" thickBot="1" x14ac:dyDescent="0.3">
      <c r="C20" s="1758" t="str">
        <f>'14 Dda Consolidda'!D20</f>
        <v xml:space="preserve"> ITS/VIH/SIDA </v>
      </c>
      <c r="D20" s="1786" t="e">
        <f>'14 Dda Consolidda'!E20</f>
        <v>#REF!</v>
      </c>
      <c r="E20" s="1786" t="e">
        <f>'14 Dda Consolidda'!F20</f>
        <v>#REF!</v>
      </c>
      <c r="F20" s="1786" t="e">
        <f>'14 Dda Consolidda'!G20</f>
        <v>#REF!</v>
      </c>
      <c r="G20" s="1786" t="e">
        <f>'14 Dda Consolidda'!H20</f>
        <v>#REF!</v>
      </c>
      <c r="H20" s="1786" t="e">
        <f>'14 Dda Consolidda'!I20</f>
        <v>#REF!</v>
      </c>
      <c r="I20" s="1786" t="e">
        <f>'14 Dda Consolidda'!J20</f>
        <v>#REF!</v>
      </c>
      <c r="J20" s="1786" t="e">
        <f>'14 Dda Consolidda'!K20</f>
        <v>#REF!</v>
      </c>
      <c r="K20" s="1786" t="e">
        <f>'14 Dda Consolidda'!L20</f>
        <v>#REF!</v>
      </c>
      <c r="L20" s="1786" t="e">
        <f>'14 Dda Consolidda'!M20</f>
        <v>#REF!</v>
      </c>
      <c r="M20" s="1786" t="e">
        <f>'14 Dda Consolidda'!N20</f>
        <v>#REF!</v>
      </c>
      <c r="N20" s="1786" t="e">
        <f>'14 Dda Consolidda'!O20</f>
        <v>#REF!</v>
      </c>
      <c r="O20" s="1786" t="e">
        <f>'14 Dda Consolidda'!P20</f>
        <v>#REF!</v>
      </c>
      <c r="P20" s="1786" t="e">
        <f>'14 Dda Consolidda'!Q20</f>
        <v>#REF!</v>
      </c>
      <c r="Q20" s="1786" t="e">
        <f>'14 Dda Consolidda'!R20</f>
        <v>#REF!</v>
      </c>
      <c r="R20" s="1786" t="e">
        <f>'14 Dda Consolidda'!S20</f>
        <v>#REF!</v>
      </c>
      <c r="S20" s="1786" t="e">
        <f>'14 Dda Consolidda'!T20</f>
        <v>#REF!</v>
      </c>
      <c r="T20" s="1786" t="e">
        <f>'14 Dda Consolidda'!U20</f>
        <v>#REF!</v>
      </c>
    </row>
    <row r="21" spans="3:20" ht="14.25" thickBot="1" x14ac:dyDescent="0.3">
      <c r="C21" s="1758" t="str">
        <f>'14 Dda Consolidda'!D21</f>
        <v>Adolescente</v>
      </c>
      <c r="D21" s="1786">
        <f>'14 Dda Consolidda'!E21</f>
        <v>280.27982157439425</v>
      </c>
      <c r="E21" s="1786">
        <f>'14 Dda Consolidda'!F21</f>
        <v>280.66726211446218</v>
      </c>
      <c r="F21" s="1786">
        <f>'14 Dda Consolidda'!G21</f>
        <v>281.05496083927909</v>
      </c>
      <c r="G21" s="1786">
        <f>'14 Dda Consolidda'!H21</f>
        <v>281.44291789076323</v>
      </c>
      <c r="H21" s="1786">
        <f>'14 Dda Consolidda'!I21</f>
        <v>281.83113341090382</v>
      </c>
      <c r="I21" s="1786">
        <f>'14 Dda Consolidda'!J21</f>
        <v>282.21960754176155</v>
      </c>
      <c r="J21" s="1786">
        <f>'14 Dda Consolidda'!K21</f>
        <v>282.60834042546833</v>
      </c>
      <c r="K21" s="1786">
        <f>'14 Dda Consolidda'!L21</f>
        <v>282.99733220422746</v>
      </c>
      <c r="L21" s="1786">
        <f>'14 Dda Consolidda'!M21</f>
        <v>283.38658302031342</v>
      </c>
      <c r="M21" s="1786">
        <f>'14 Dda Consolidda'!N21</f>
        <v>283.77609301607214</v>
      </c>
      <c r="N21" s="1786">
        <f>'14 Dda Consolidda'!O21</f>
        <v>284.16586233392115</v>
      </c>
      <c r="O21" s="1786">
        <f>'14 Dda Consolidda'!P21</f>
        <v>284.55589111634924</v>
      </c>
      <c r="P21" s="1786">
        <f>'14 Dda Consolidda'!Q21</f>
        <v>284.94617950591675</v>
      </c>
      <c r="Q21" s="1786">
        <f>'14 Dda Consolidda'!R21</f>
        <v>285.33672764525556</v>
      </c>
      <c r="R21" s="1786">
        <f>'14 Dda Consolidda'!S21</f>
        <v>285.72753567706911</v>
      </c>
      <c r="S21" s="1786">
        <f>'14 Dda Consolidda'!T21</f>
        <v>286.11860374413237</v>
      </c>
      <c r="T21" s="1786">
        <f>'14 Dda Consolidda'!U21</f>
        <v>286.509931989292</v>
      </c>
    </row>
    <row r="22" spans="3:20" ht="14.25" thickBot="1" x14ac:dyDescent="0.3">
      <c r="C22" s="1758" t="str">
        <f>'14 Dda Consolidda'!D22</f>
        <v>Adulto Mayor</v>
      </c>
      <c r="D22" s="1786">
        <f>'14 Dda Consolidda'!E22</f>
        <v>153.0723640893867</v>
      </c>
      <c r="E22" s="1786">
        <f>'14 Dda Consolidda'!F22</f>
        <v>153.1316807551656</v>
      </c>
      <c r="F22" s="1786">
        <f>'14 Dda Consolidda'!G22</f>
        <v>153.19102040658831</v>
      </c>
      <c r="G22" s="1786">
        <f>'14 Dda Consolidda'!H22</f>
        <v>153.25038305256194</v>
      </c>
      <c r="H22" s="1786">
        <f>'14 Dda Consolidda'!I22</f>
        <v>153.30976870199706</v>
      </c>
      <c r="I22" s="1786">
        <f>'14 Dda Consolidda'!J22</f>
        <v>153.36917736380767</v>
      </c>
      <c r="J22" s="1786">
        <f>'14 Dda Consolidda'!K22</f>
        <v>153.42860904691122</v>
      </c>
      <c r="K22" s="1786">
        <f>'14 Dda Consolidda'!L22</f>
        <v>153.48806376022864</v>
      </c>
      <c r="L22" s="1786">
        <f>'14 Dda Consolidda'!M22</f>
        <v>153.54754151268435</v>
      </c>
      <c r="M22" s="1786">
        <f>'14 Dda Consolidda'!N22</f>
        <v>153.60704231320611</v>
      </c>
      <c r="N22" s="1786">
        <f>'14 Dda Consolidda'!O22</f>
        <v>153.66656617072528</v>
      </c>
      <c r="O22" s="1786">
        <f>'14 Dda Consolidda'!P22</f>
        <v>153.72611309417658</v>
      </c>
      <c r="P22" s="1786">
        <f>'14 Dda Consolidda'!Q22</f>
        <v>153.78568309249823</v>
      </c>
      <c r="Q22" s="1786">
        <f>'14 Dda Consolidda'!R22</f>
        <v>153.84527617463192</v>
      </c>
      <c r="R22" s="1786">
        <f>'14 Dda Consolidda'!S22</f>
        <v>153.90489234952281</v>
      </c>
      <c r="S22" s="1786">
        <f>'14 Dda Consolidda'!T22</f>
        <v>153.96453162611945</v>
      </c>
      <c r="T22" s="1786">
        <f>'14 Dda Consolidda'!U22</f>
        <v>154.02419401337403</v>
      </c>
    </row>
    <row r="23" spans="3:20" ht="14.25" thickBot="1" x14ac:dyDescent="0.3">
      <c r="C23" s="1758" t="str">
        <f>'14 Dda Consolidda'!D23</f>
        <v>Enf. No Transmisibles</v>
      </c>
      <c r="D23" s="1786">
        <f>'14 Dda Consolidda'!E23</f>
        <v>0</v>
      </c>
      <c r="E23" s="1786">
        <f>'14 Dda Consolidda'!F23</f>
        <v>0</v>
      </c>
      <c r="F23" s="1786">
        <f>'14 Dda Consolidda'!G23</f>
        <v>0</v>
      </c>
      <c r="G23" s="1786">
        <f>'14 Dda Consolidda'!H23</f>
        <v>0</v>
      </c>
      <c r="H23" s="1786">
        <f>'14 Dda Consolidda'!I23</f>
        <v>0</v>
      </c>
      <c r="I23" s="1786">
        <f>'14 Dda Consolidda'!J23</f>
        <v>0</v>
      </c>
      <c r="J23" s="1786">
        <f>'14 Dda Consolidda'!K23</f>
        <v>0</v>
      </c>
      <c r="K23" s="1786">
        <f>'14 Dda Consolidda'!L23</f>
        <v>0</v>
      </c>
      <c r="L23" s="1786">
        <f>'14 Dda Consolidda'!M23</f>
        <v>0</v>
      </c>
      <c r="M23" s="1786">
        <f>'14 Dda Consolidda'!N23</f>
        <v>0</v>
      </c>
      <c r="N23" s="1786">
        <f>'14 Dda Consolidda'!O23</f>
        <v>0</v>
      </c>
      <c r="O23" s="1786">
        <f>'14 Dda Consolidda'!P23</f>
        <v>0</v>
      </c>
      <c r="P23" s="1786">
        <f>'14 Dda Consolidda'!Q23</f>
        <v>0</v>
      </c>
      <c r="Q23" s="1786">
        <f>'14 Dda Consolidda'!R23</f>
        <v>0</v>
      </c>
      <c r="R23" s="1786">
        <f>'14 Dda Consolidda'!S23</f>
        <v>0</v>
      </c>
      <c r="S23" s="1786">
        <f>'14 Dda Consolidda'!T23</f>
        <v>0</v>
      </c>
      <c r="T23" s="1786">
        <f>'14 Dda Consolidda'!U23</f>
        <v>0</v>
      </c>
    </row>
    <row r="24" spans="3:20" ht="14.25" thickBot="1" x14ac:dyDescent="0.3">
      <c r="C24" s="1758" t="str">
        <f>'14 Dda Consolidda'!D24</f>
        <v>Cancer</v>
      </c>
      <c r="D24" s="1786">
        <f>'14 Dda Consolidda'!E24</f>
        <v>763.60836253827313</v>
      </c>
      <c r="E24" s="1786">
        <f>'14 Dda Consolidda'!F24</f>
        <v>763.90426638934468</v>
      </c>
      <c r="F24" s="1786">
        <f>'14 Dda Consolidda'!G24</f>
        <v>764.20028490533241</v>
      </c>
      <c r="G24" s="1786">
        <f>'14 Dda Consolidda'!H24</f>
        <v>764.49641813067012</v>
      </c>
      <c r="H24" s="1786">
        <f>'14 Dda Consolidda'!I24</f>
        <v>764.79266610980869</v>
      </c>
      <c r="I24" s="1786">
        <f>'14 Dda Consolidda'!J24</f>
        <v>765.08902888721559</v>
      </c>
      <c r="J24" s="1786">
        <f>'14 Dda Consolidda'!K24</f>
        <v>765.38550650737636</v>
      </c>
      <c r="K24" s="1786">
        <f>'14 Dda Consolidda'!L24</f>
        <v>765.68209901479315</v>
      </c>
      <c r="L24" s="1786">
        <f>'14 Dda Consolidda'!M24</f>
        <v>765.97880645398595</v>
      </c>
      <c r="M24" s="1786">
        <f>'14 Dda Consolidda'!N24</f>
        <v>766.27562886949158</v>
      </c>
      <c r="N24" s="1786">
        <f>'14 Dda Consolidda'!O24</f>
        <v>766.5725663058638</v>
      </c>
      <c r="O24" s="1786">
        <f>'14 Dda Consolidda'!P24</f>
        <v>766.86961880767456</v>
      </c>
      <c r="P24" s="1786">
        <f>'14 Dda Consolidda'!Q24</f>
        <v>767.16678641951228</v>
      </c>
      <c r="Q24" s="1786">
        <f>'14 Dda Consolidda'!R24</f>
        <v>767.46406918598302</v>
      </c>
      <c r="R24" s="1786">
        <f>'14 Dda Consolidda'!S24</f>
        <v>767.76146715171001</v>
      </c>
      <c r="S24" s="1786">
        <f>'14 Dda Consolidda'!T24</f>
        <v>768.05898036133374</v>
      </c>
      <c r="T24" s="1786">
        <f>'14 Dda Consolidda'!U24</f>
        <v>768.35660885951245</v>
      </c>
    </row>
    <row r="25" spans="3:20" ht="14.25" thickBot="1" x14ac:dyDescent="0.3">
      <c r="C25" s="1758" t="str">
        <f>'14 Dda Consolidda'!D25</f>
        <v>CPN</v>
      </c>
      <c r="D25" s="1786">
        <f>'14 Dda Consolidda'!E25</f>
        <v>342</v>
      </c>
      <c r="E25" s="1786">
        <f>'14 Dda Consolidda'!F25</f>
        <v>342.13252751283397</v>
      </c>
      <c r="F25" s="1786">
        <f>'14 Dda Consolidda'!G25</f>
        <v>342.26510638105287</v>
      </c>
      <c r="G25" s="1786">
        <f>'14 Dda Consolidda'!H25</f>
        <v>342.39773662455735</v>
      </c>
      <c r="H25" s="1786">
        <f>'14 Dda Consolidda'!I25</f>
        <v>342.53041826325568</v>
      </c>
      <c r="I25" s="1786">
        <f>'14 Dda Consolidda'!J25</f>
        <v>342.66315131706392</v>
      </c>
      <c r="J25" s="1786">
        <f>'14 Dda Consolidda'!K25</f>
        <v>342.79593580590569</v>
      </c>
      <c r="K25" s="1786">
        <f>'14 Dda Consolidda'!L25</f>
        <v>342.92877174971261</v>
      </c>
      <c r="L25" s="1786">
        <f>'14 Dda Consolidda'!M25</f>
        <v>343.06165916842366</v>
      </c>
      <c r="M25" s="1786">
        <f>'14 Dda Consolidda'!N25</f>
        <v>343.19459808198593</v>
      </c>
      <c r="N25" s="1786">
        <f>'14 Dda Consolidda'!O25</f>
        <v>343.32758851035396</v>
      </c>
      <c r="O25" s="1786">
        <f>'14 Dda Consolidda'!P25</f>
        <v>343.46063047349008</v>
      </c>
      <c r="P25" s="1786">
        <f>'14 Dda Consolidda'!Q25</f>
        <v>343.59372399136447</v>
      </c>
      <c r="Q25" s="1786">
        <f>'14 Dda Consolidda'!R25</f>
        <v>343.72686908395491</v>
      </c>
      <c r="R25" s="1786">
        <f>'14 Dda Consolidda'!S25</f>
        <v>343.86006577124704</v>
      </c>
      <c r="S25" s="1786">
        <f>'14 Dda Consolidda'!T25</f>
        <v>343.99331407323416</v>
      </c>
      <c r="T25" s="1786">
        <f>'14 Dda Consolidda'!U25</f>
        <v>344.12661400991732</v>
      </c>
    </row>
    <row r="26" spans="3:20" ht="14.25" thickBot="1" x14ac:dyDescent="0.3">
      <c r="C26" s="1758" t="str">
        <f>'14 Dda Consolidda'!D26</f>
        <v>PPFF</v>
      </c>
      <c r="D26" s="1786">
        <f>'14 Dda Consolidda'!E26</f>
        <v>974.02368000000001</v>
      </c>
      <c r="E26" s="1786">
        <f>'14 Dda Consolidda'!F26</f>
        <v>974.40112133260743</v>
      </c>
      <c r="F26" s="1786">
        <f>'14 Dda Consolidda'!G26</f>
        <v>974.77870892650458</v>
      </c>
      <c r="G26" s="1786">
        <f>'14 Dda Consolidda'!H26</f>
        <v>975.15644283836889</v>
      </c>
      <c r="H26" s="1786">
        <f>'14 Dda Consolidda'!I26</f>
        <v>975.5343231248994</v>
      </c>
      <c r="I26" s="1786">
        <f>'14 Dda Consolidda'!J26</f>
        <v>975.91234984281709</v>
      </c>
      <c r="J26" s="1786">
        <f>'14 Dda Consolidda'!K26</f>
        <v>976.29052304886568</v>
      </c>
      <c r="K26" s="1786">
        <f>'14 Dda Consolidda'!L26</f>
        <v>976.66884279981025</v>
      </c>
      <c r="L26" s="1786">
        <f>'14 Dda Consolidda'!M26</f>
        <v>977.04730915243795</v>
      </c>
      <c r="M26" s="1786">
        <f>'14 Dda Consolidda'!N26</f>
        <v>977.42592216355808</v>
      </c>
      <c r="N26" s="1786">
        <f>'14 Dda Consolidda'!O26</f>
        <v>977.80468189000203</v>
      </c>
      <c r="O26" s="1786">
        <f>'14 Dda Consolidda'!P26</f>
        <v>978.18358838862264</v>
      </c>
      <c r="P26" s="1786">
        <f>'14 Dda Consolidda'!Q26</f>
        <v>978.56264171629562</v>
      </c>
      <c r="Q26" s="1786">
        <f>'14 Dda Consolidda'!R26</f>
        <v>978.94184192991804</v>
      </c>
      <c r="R26" s="1786">
        <f>'14 Dda Consolidda'!S26</f>
        <v>979.3211890864095</v>
      </c>
      <c r="S26" s="1786">
        <f>'14 Dda Consolidda'!T26</f>
        <v>979.70068324271119</v>
      </c>
      <c r="T26" s="1786">
        <f>'14 Dda Consolidda'!U26</f>
        <v>980.08032445578692</v>
      </c>
    </row>
    <row r="27" spans="3:20" ht="14.25" thickBot="1" x14ac:dyDescent="0.3">
      <c r="C27" s="1758" t="str">
        <f>'14 Dda Consolidda'!D27</f>
        <v>Psicoprofilaxis</v>
      </c>
      <c r="D27" s="1786">
        <f>'14 Dda Consolidda'!E27</f>
        <v>228</v>
      </c>
      <c r="E27" s="1786">
        <f>'14 Dda Consolidda'!F27</f>
        <v>228.08835167522264</v>
      </c>
      <c r="F27" s="1786">
        <f>'14 Dda Consolidda'!G27</f>
        <v>228.17673758736859</v>
      </c>
      <c r="G27" s="1786">
        <f>'14 Dda Consolidda'!H27</f>
        <v>228.26515774970488</v>
      </c>
      <c r="H27" s="1786">
        <f>'14 Dda Consolidda'!I27</f>
        <v>228.3536121755038</v>
      </c>
      <c r="I27" s="1786">
        <f>'14 Dda Consolidda'!J27</f>
        <v>228.4421008780426</v>
      </c>
      <c r="J27" s="1786">
        <f>'14 Dda Consolidda'!K27</f>
        <v>228.53062387060379</v>
      </c>
      <c r="K27" s="1786">
        <f>'14 Dda Consolidda'!L27</f>
        <v>228.61918116647507</v>
      </c>
      <c r="L27" s="1786">
        <f>'14 Dda Consolidda'!M27</f>
        <v>228.70777277894911</v>
      </c>
      <c r="M27" s="1786">
        <f>'14 Dda Consolidda'!N27</f>
        <v>228.79639872132395</v>
      </c>
      <c r="N27" s="1786">
        <f>'14 Dda Consolidda'!O27</f>
        <v>228.88505900690262</v>
      </c>
      <c r="O27" s="1786">
        <f>'14 Dda Consolidda'!P27</f>
        <v>228.97375364899341</v>
      </c>
      <c r="P27" s="1786">
        <f>'14 Dda Consolidda'!Q27</f>
        <v>229.06248266090964</v>
      </c>
      <c r="Q27" s="1786">
        <f>'14 Dda Consolidda'!R27</f>
        <v>229.15124605596992</v>
      </c>
      <c r="R27" s="1786">
        <f>'14 Dda Consolidda'!S27</f>
        <v>229.24004384749804</v>
      </c>
      <c r="S27" s="1786">
        <f>'14 Dda Consolidda'!T27</f>
        <v>229.32887604882279</v>
      </c>
      <c r="T27" s="1786">
        <f>'14 Dda Consolidda'!U27</f>
        <v>229.41774267327821</v>
      </c>
    </row>
    <row r="28" spans="3:20" ht="14.25" thickBot="1" x14ac:dyDescent="0.3">
      <c r="C28" s="1758" t="str">
        <f>'14 Dda Consolidda'!D28</f>
        <v>Odontología preventiva</v>
      </c>
      <c r="D28" s="1786">
        <f>'14 Dda Consolidda'!E28</f>
        <v>493.25628435343401</v>
      </c>
      <c r="E28" s="1786">
        <f>'14 Dda Consolidda'!F28</f>
        <v>495.24996846508338</v>
      </c>
      <c r="F28" s="1786">
        <f>'14 Dda Consolidda'!G28</f>
        <v>497.25171081433285</v>
      </c>
      <c r="G28" s="1786">
        <f>'14 Dda Consolidda'!H28</f>
        <v>499.26154397163464</v>
      </c>
      <c r="H28" s="1786">
        <f>'14 Dda Consolidda'!I28</f>
        <v>501.27950063908702</v>
      </c>
      <c r="I28" s="1786">
        <f>'14 Dda Consolidda'!J28</f>
        <v>503.30561365096622</v>
      </c>
      <c r="J28" s="1786">
        <f>'14 Dda Consolidda'!K28</f>
        <v>505.33991597426086</v>
      </c>
      <c r="K28" s="1786">
        <f>'14 Dda Consolidda'!L28</f>
        <v>507.38244070920825</v>
      </c>
      <c r="L28" s="1786">
        <f>'14 Dda Consolidda'!M28</f>
        <v>509.4332210898329</v>
      </c>
      <c r="M28" s="1786">
        <f>'14 Dda Consolidda'!N28</f>
        <v>511.49229048448746</v>
      </c>
      <c r="N28" s="1786">
        <f>'14 Dda Consolidda'!O28</f>
        <v>513.55968239639549</v>
      </c>
      <c r="O28" s="1786">
        <f>'14 Dda Consolidda'!P28</f>
        <v>515.63543046419659</v>
      </c>
      <c r="P28" s="1786">
        <f>'14 Dda Consolidda'!Q28</f>
        <v>517.71956846249395</v>
      </c>
      <c r="Q28" s="1786">
        <f>'14 Dda Consolidda'!R28</f>
        <v>519.81213030240372</v>
      </c>
      <c r="R28" s="1786">
        <f>'14 Dda Consolidda'!S28</f>
        <v>521.91315003210661</v>
      </c>
      <c r="S28" s="1786">
        <f>'14 Dda Consolidda'!T28</f>
        <v>524.02266183740244</v>
      </c>
      <c r="T28" s="1786">
        <f>'14 Dda Consolidda'!U28</f>
        <v>526.14070004226562</v>
      </c>
    </row>
    <row r="29" spans="3:20" ht="14.25" thickBot="1" x14ac:dyDescent="0.3">
      <c r="C29" s="1758" t="str">
        <f>'14 Dda Consolidda'!D29</f>
        <v>Odontología recuperativa</v>
      </c>
      <c r="D29" s="1786">
        <f>'14 Dda Consolidda'!E29</f>
        <v>119.63085488552655</v>
      </c>
      <c r="E29" s="1786">
        <f>'14 Dda Consolidda'!F29</f>
        <v>120.55434064521725</v>
      </c>
      <c r="F29" s="1786">
        <f>'14 Dda Consolidda'!G29</f>
        <v>121.47852415594045</v>
      </c>
      <c r="G29" s="1786">
        <f>'14 Dda Consolidda'!H29</f>
        <v>122.40340581979112</v>
      </c>
      <c r="H29" s="1786">
        <f>'14 Dda Consolidda'!I29</f>
        <v>123.32898603907097</v>
      </c>
      <c r="I29" s="1786">
        <f>'14 Dda Consolidda'!J29</f>
        <v>124.25526521628865</v>
      </c>
      <c r="J29" s="1786">
        <f>'14 Dda Consolidda'!K29</f>
        <v>125.18224375415994</v>
      </c>
      <c r="K29" s="1786">
        <f>'14 Dda Consolidda'!L29</f>
        <v>126.1099220556078</v>
      </c>
      <c r="L29" s="1786">
        <f>'14 Dda Consolidda'!M29</f>
        <v>127.03830052376233</v>
      </c>
      <c r="M29" s="1786">
        <f>'14 Dda Consolidda'!N29</f>
        <v>127.96737956196105</v>
      </c>
      <c r="N29" s="1786">
        <f>'14 Dda Consolidda'!O29</f>
        <v>128.89715957374889</v>
      </c>
      <c r="O29" s="1786">
        <f>'14 Dda Consolidda'!P29</f>
        <v>129.82764096287838</v>
      </c>
      <c r="P29" s="1786">
        <f>'14 Dda Consolidda'!Q29</f>
        <v>130.75882413330976</v>
      </c>
      <c r="Q29" s="1786">
        <f>'14 Dda Consolidda'!R29</f>
        <v>131.69070948921089</v>
      </c>
      <c r="R29" s="1786">
        <f>'14 Dda Consolidda'!S29</f>
        <v>132.62329743495758</v>
      </c>
      <c r="S29" s="1786">
        <f>'14 Dda Consolidda'!T29</f>
        <v>133.55658837513352</v>
      </c>
      <c r="T29" s="1786">
        <f>'14 Dda Consolidda'!U29</f>
        <v>134.49058271453052</v>
      </c>
    </row>
    <row r="30" spans="3:20" ht="14.25" thickBot="1" x14ac:dyDescent="0.3">
      <c r="C30" s="1758" t="str">
        <f>'14 Dda Consolidda'!D30</f>
        <v>Psicología</v>
      </c>
      <c r="D30" s="1786">
        <f>'14 Dda Consolidda'!E30</f>
        <v>76</v>
      </c>
      <c r="E30" s="1786">
        <f>'14 Dda Consolidda'!F30</f>
        <v>76.029450558407547</v>
      </c>
      <c r="F30" s="1786">
        <f>'14 Dda Consolidda'!G30</f>
        <v>76.058912529122864</v>
      </c>
      <c r="G30" s="1786">
        <f>'14 Dda Consolidda'!H30</f>
        <v>76.088385916568299</v>
      </c>
      <c r="H30" s="1786">
        <f>'14 Dda Consolidda'!I30</f>
        <v>76.117870725167933</v>
      </c>
      <c r="I30" s="1786">
        <f>'14 Dda Consolidda'!J30</f>
        <v>76.147366959347536</v>
      </c>
      <c r="J30" s="1786">
        <f>'14 Dda Consolidda'!K30</f>
        <v>76.176874623534601</v>
      </c>
      <c r="K30" s="1786">
        <f>'14 Dda Consolidda'!L30</f>
        <v>76.206393722158353</v>
      </c>
      <c r="L30" s="1786">
        <f>'14 Dda Consolidda'!M30</f>
        <v>76.235924259649707</v>
      </c>
      <c r="M30" s="1786">
        <f>'14 Dda Consolidda'!N30</f>
        <v>76.265466240441313</v>
      </c>
      <c r="N30" s="1786">
        <f>'14 Dda Consolidda'!O30</f>
        <v>76.295019668967541</v>
      </c>
      <c r="O30" s="1786">
        <f>'14 Dda Consolidda'!P30</f>
        <v>76.324584549664465</v>
      </c>
      <c r="P30" s="1786">
        <f>'14 Dda Consolidda'!Q30</f>
        <v>76.354160886969879</v>
      </c>
      <c r="Q30" s="1786">
        <f>'14 Dda Consolidda'!R30</f>
        <v>76.383748685323312</v>
      </c>
      <c r="R30" s="1786">
        <f>'14 Dda Consolidda'!S30</f>
        <v>76.41334794916601</v>
      </c>
      <c r="S30" s="1786">
        <f>'14 Dda Consolidda'!T30</f>
        <v>76.442958682940926</v>
      </c>
      <c r="T30" s="1786">
        <f>'14 Dda Consolidda'!U30</f>
        <v>76.472580891092733</v>
      </c>
    </row>
    <row r="31" spans="3:20" ht="14.25" thickBot="1" x14ac:dyDescent="0.3">
      <c r="C31" s="1758" t="str">
        <f>'14 Dda Consolidda'!D31</f>
        <v>Nutrición</v>
      </c>
      <c r="D31" s="1786" t="e">
        <f>'14 Dda Consolidda'!E31</f>
        <v>#DIV/0!</v>
      </c>
      <c r="E31" s="1786" t="e">
        <f>'14 Dda Consolidda'!F31</f>
        <v>#DIV/0!</v>
      </c>
      <c r="F31" s="1786" t="e">
        <f>'14 Dda Consolidda'!G31</f>
        <v>#DIV/0!</v>
      </c>
      <c r="G31" s="1786" t="e">
        <f>'14 Dda Consolidda'!H31</f>
        <v>#DIV/0!</v>
      </c>
      <c r="H31" s="1786" t="e">
        <f>'14 Dda Consolidda'!I31</f>
        <v>#DIV/0!</v>
      </c>
      <c r="I31" s="1786" t="e">
        <f>'14 Dda Consolidda'!J31</f>
        <v>#DIV/0!</v>
      </c>
      <c r="J31" s="1786" t="e">
        <f>'14 Dda Consolidda'!K31</f>
        <v>#DIV/0!</v>
      </c>
      <c r="K31" s="1786" t="e">
        <f>'14 Dda Consolidda'!L31</f>
        <v>#DIV/0!</v>
      </c>
      <c r="L31" s="1786" t="e">
        <f>'14 Dda Consolidda'!M31</f>
        <v>#DIV/0!</v>
      </c>
      <c r="M31" s="1786" t="e">
        <f>'14 Dda Consolidda'!N31</f>
        <v>#DIV/0!</v>
      </c>
      <c r="N31" s="1786" t="e">
        <f>'14 Dda Consolidda'!O31</f>
        <v>#DIV/0!</v>
      </c>
      <c r="O31" s="1786" t="e">
        <f>'14 Dda Consolidda'!P31</f>
        <v>#DIV/0!</v>
      </c>
      <c r="P31" s="1786" t="e">
        <f>'14 Dda Consolidda'!Q31</f>
        <v>#DIV/0!</v>
      </c>
      <c r="Q31" s="1786" t="e">
        <f>'14 Dda Consolidda'!R31</f>
        <v>#DIV/0!</v>
      </c>
      <c r="R31" s="1786" t="e">
        <f>'14 Dda Consolidda'!S31</f>
        <v>#DIV/0!</v>
      </c>
      <c r="S31" s="1786" t="e">
        <f>'14 Dda Consolidda'!T31</f>
        <v>#DIV/0!</v>
      </c>
      <c r="T31" s="1786" t="e">
        <f>'14 Dda Consolidda'!U31</f>
        <v>#DIV/0!</v>
      </c>
    </row>
    <row r="32" spans="3:20" ht="14.25" thickBot="1" x14ac:dyDescent="0.3">
      <c r="C32" s="1758" t="str">
        <f>'14 Dda Consolidda'!D32</f>
        <v>Tópico de Procedimientos</v>
      </c>
      <c r="D32" s="1786" t="e">
        <f>'14 Dda Consolidda'!E32</f>
        <v>#DIV/0!</v>
      </c>
      <c r="E32" s="1786" t="e">
        <f>'14 Dda Consolidda'!F32</f>
        <v>#DIV/0!</v>
      </c>
      <c r="F32" s="1786" t="e">
        <f>'14 Dda Consolidda'!G32</f>
        <v>#DIV/0!</v>
      </c>
      <c r="G32" s="1786" t="e">
        <f>'14 Dda Consolidda'!H32</f>
        <v>#DIV/0!</v>
      </c>
      <c r="H32" s="1786" t="e">
        <f>'14 Dda Consolidda'!I32</f>
        <v>#DIV/0!</v>
      </c>
      <c r="I32" s="1786" t="e">
        <f>'14 Dda Consolidda'!J32</f>
        <v>#DIV/0!</v>
      </c>
      <c r="J32" s="1786" t="e">
        <f>'14 Dda Consolidda'!K32</f>
        <v>#DIV/0!</v>
      </c>
      <c r="K32" s="1786" t="e">
        <f>'14 Dda Consolidda'!L32</f>
        <v>#DIV/0!</v>
      </c>
      <c r="L32" s="1786" t="e">
        <f>'14 Dda Consolidda'!M32</f>
        <v>#DIV/0!</v>
      </c>
      <c r="M32" s="1786" t="e">
        <f>'14 Dda Consolidda'!N32</f>
        <v>#DIV/0!</v>
      </c>
      <c r="N32" s="1786" t="e">
        <f>'14 Dda Consolidda'!O32</f>
        <v>#DIV/0!</v>
      </c>
      <c r="O32" s="1786" t="e">
        <f>'14 Dda Consolidda'!P32</f>
        <v>#DIV/0!</v>
      </c>
      <c r="P32" s="1786" t="e">
        <f>'14 Dda Consolidda'!Q32</f>
        <v>#DIV/0!</v>
      </c>
      <c r="Q32" s="1786" t="e">
        <f>'14 Dda Consolidda'!R32</f>
        <v>#DIV/0!</v>
      </c>
      <c r="R32" s="1786" t="e">
        <f>'14 Dda Consolidda'!S32</f>
        <v>#DIV/0!</v>
      </c>
      <c r="S32" s="1786" t="e">
        <f>'14 Dda Consolidda'!T32</f>
        <v>#DIV/0!</v>
      </c>
      <c r="T32" s="1786" t="e">
        <f>'14 Dda Consolidda'!U32</f>
        <v>#DIV/0!</v>
      </c>
    </row>
    <row r="33" spans="3:20" ht="14.25" thickBot="1" x14ac:dyDescent="0.3">
      <c r="C33" s="1758" t="str">
        <f>'14 Dda Consolidda'!D33</f>
        <v>Sala de Atencion Extramural</v>
      </c>
      <c r="D33" s="1786" t="e">
        <f>'14 Dda Consolidda'!E33</f>
        <v>#REF!</v>
      </c>
      <c r="E33" s="1786" t="e">
        <f>'14 Dda Consolidda'!F33</f>
        <v>#REF!</v>
      </c>
      <c r="F33" s="1786" t="e">
        <f>'14 Dda Consolidda'!G33</f>
        <v>#REF!</v>
      </c>
      <c r="G33" s="1786" t="e">
        <f>'14 Dda Consolidda'!H33</f>
        <v>#REF!</v>
      </c>
      <c r="H33" s="1786" t="e">
        <f>'14 Dda Consolidda'!I33</f>
        <v>#REF!</v>
      </c>
      <c r="I33" s="1786" t="e">
        <f>'14 Dda Consolidda'!J33</f>
        <v>#REF!</v>
      </c>
      <c r="J33" s="1786" t="e">
        <f>'14 Dda Consolidda'!K33</f>
        <v>#REF!</v>
      </c>
      <c r="K33" s="1786" t="e">
        <f>'14 Dda Consolidda'!L33</f>
        <v>#REF!</v>
      </c>
      <c r="L33" s="1786" t="e">
        <f>'14 Dda Consolidda'!M33</f>
        <v>#REF!</v>
      </c>
      <c r="M33" s="1786" t="e">
        <f>'14 Dda Consolidda'!N33</f>
        <v>#REF!</v>
      </c>
      <c r="N33" s="1786" t="e">
        <f>'14 Dda Consolidda'!O33</f>
        <v>#REF!</v>
      </c>
      <c r="O33" s="1786" t="e">
        <f>'14 Dda Consolidda'!P33</f>
        <v>#REF!</v>
      </c>
      <c r="P33" s="1786" t="e">
        <f>'14 Dda Consolidda'!Q33</f>
        <v>#REF!</v>
      </c>
      <c r="Q33" s="1786" t="e">
        <f>'14 Dda Consolidda'!R33</f>
        <v>#REF!</v>
      </c>
      <c r="R33" s="1786" t="e">
        <f>'14 Dda Consolidda'!S33</f>
        <v>#REF!</v>
      </c>
      <c r="S33" s="1786" t="e">
        <f>'14 Dda Consolidda'!T33</f>
        <v>#REF!</v>
      </c>
      <c r="T33" s="1786" t="e">
        <f>'14 Dda Consolidda'!U33</f>
        <v>#REF!</v>
      </c>
    </row>
    <row r="34" spans="3:20" ht="14.25" thickBot="1" x14ac:dyDescent="0.3">
      <c r="C34" s="2600" t="s">
        <v>61</v>
      </c>
      <c r="D34" s="2599"/>
      <c r="E34" s="2599"/>
      <c r="F34" s="2599"/>
      <c r="G34" s="2599"/>
      <c r="H34" s="2599"/>
      <c r="I34" s="2599"/>
      <c r="J34" s="2599"/>
      <c r="K34" s="2599"/>
      <c r="L34" s="2599"/>
      <c r="M34" s="2599"/>
      <c r="N34" s="2599"/>
      <c r="O34" s="2599"/>
      <c r="P34" s="2599"/>
      <c r="Q34" s="2599"/>
      <c r="R34" s="2599"/>
      <c r="S34" s="2599"/>
      <c r="T34" s="2599"/>
    </row>
    <row r="35" spans="3:20" ht="14.25" thickBot="1" x14ac:dyDescent="0.3">
      <c r="C35" s="1758" t="str">
        <f>'14 Dda Consolidda'!D35</f>
        <v xml:space="preserve">Topico de Urgencias y Emergencias </v>
      </c>
      <c r="D35" s="1786" t="e">
        <f>'14 Dda Consolidda'!E35</f>
        <v>#DIV/0!</v>
      </c>
      <c r="E35" s="1786" t="e">
        <f>'14 Dda Consolidda'!F35</f>
        <v>#DIV/0!</v>
      </c>
      <c r="F35" s="1786" t="e">
        <f>'14 Dda Consolidda'!G35</f>
        <v>#DIV/0!</v>
      </c>
      <c r="G35" s="1786" t="e">
        <f>'14 Dda Consolidda'!H35</f>
        <v>#DIV/0!</v>
      </c>
      <c r="H35" s="1786" t="e">
        <f>'14 Dda Consolidda'!I35</f>
        <v>#DIV/0!</v>
      </c>
      <c r="I35" s="1786" t="e">
        <f>'14 Dda Consolidda'!J35</f>
        <v>#DIV/0!</v>
      </c>
      <c r="J35" s="1786" t="e">
        <f>'14 Dda Consolidda'!K35</f>
        <v>#DIV/0!</v>
      </c>
      <c r="K35" s="1786" t="e">
        <f>'14 Dda Consolidda'!L35</f>
        <v>#DIV/0!</v>
      </c>
      <c r="L35" s="1786" t="e">
        <f>'14 Dda Consolidda'!M35</f>
        <v>#DIV/0!</v>
      </c>
      <c r="M35" s="1786" t="e">
        <f>'14 Dda Consolidda'!N35</f>
        <v>#DIV/0!</v>
      </c>
      <c r="N35" s="1786" t="e">
        <f>'14 Dda Consolidda'!O35</f>
        <v>#DIV/0!</v>
      </c>
      <c r="O35" s="1786" t="e">
        <f>'14 Dda Consolidda'!P35</f>
        <v>#DIV/0!</v>
      </c>
      <c r="P35" s="1786" t="e">
        <f>'14 Dda Consolidda'!Q35</f>
        <v>#DIV/0!</v>
      </c>
      <c r="Q35" s="1786" t="e">
        <f>'14 Dda Consolidda'!R35</f>
        <v>#DIV/0!</v>
      </c>
      <c r="R35" s="1786" t="e">
        <f>'14 Dda Consolidda'!S35</f>
        <v>#DIV/0!</v>
      </c>
      <c r="S35" s="1786" t="e">
        <f>'14 Dda Consolidda'!T35</f>
        <v>#DIV/0!</v>
      </c>
      <c r="T35" s="1786" t="e">
        <f>'14 Dda Consolidda'!U35</f>
        <v>#DIV/0!</v>
      </c>
    </row>
    <row r="36" spans="3:20" ht="14.25" thickBot="1" x14ac:dyDescent="0.3">
      <c r="C36" s="1758" t="str">
        <f>'14 Dda Consolidda'!D36</f>
        <v>Observacion</v>
      </c>
      <c r="D36" s="1786" t="e">
        <f>'14 Dda Consolidda'!E36</f>
        <v>#DIV/0!</v>
      </c>
      <c r="E36" s="1786" t="e">
        <f>'14 Dda Consolidda'!F36</f>
        <v>#DIV/0!</v>
      </c>
      <c r="F36" s="1786" t="e">
        <f>'14 Dda Consolidda'!G36</f>
        <v>#DIV/0!</v>
      </c>
      <c r="G36" s="1786" t="e">
        <f>'14 Dda Consolidda'!H36</f>
        <v>#DIV/0!</v>
      </c>
      <c r="H36" s="1786" t="e">
        <f>'14 Dda Consolidda'!I36</f>
        <v>#DIV/0!</v>
      </c>
      <c r="I36" s="1786" t="e">
        <f>'14 Dda Consolidda'!J36</f>
        <v>#DIV/0!</v>
      </c>
      <c r="J36" s="1786" t="e">
        <f>'14 Dda Consolidda'!K36</f>
        <v>#DIV/0!</v>
      </c>
      <c r="K36" s="1786" t="e">
        <f>'14 Dda Consolidda'!L36</f>
        <v>#DIV/0!</v>
      </c>
      <c r="L36" s="1786" t="e">
        <f>'14 Dda Consolidda'!M36</f>
        <v>#DIV/0!</v>
      </c>
      <c r="M36" s="1786" t="e">
        <f>'14 Dda Consolidda'!N36</f>
        <v>#DIV/0!</v>
      </c>
      <c r="N36" s="1786" t="e">
        <f>'14 Dda Consolidda'!O36</f>
        <v>#DIV/0!</v>
      </c>
      <c r="O36" s="1786" t="e">
        <f>'14 Dda Consolidda'!P36</f>
        <v>#DIV/0!</v>
      </c>
      <c r="P36" s="1786" t="e">
        <f>'14 Dda Consolidda'!Q36</f>
        <v>#DIV/0!</v>
      </c>
      <c r="Q36" s="1786" t="e">
        <f>'14 Dda Consolidda'!R36</f>
        <v>#DIV/0!</v>
      </c>
      <c r="R36" s="1786" t="e">
        <f>'14 Dda Consolidda'!S36</f>
        <v>#DIV/0!</v>
      </c>
      <c r="S36" s="1786" t="e">
        <f>'14 Dda Consolidda'!T36</f>
        <v>#DIV/0!</v>
      </c>
      <c r="T36" s="1786" t="e">
        <f>'14 Dda Consolidda'!U36</f>
        <v>#DIV/0!</v>
      </c>
    </row>
    <row r="37" spans="3:20" ht="14.25" thickBot="1" x14ac:dyDescent="0.3">
      <c r="C37" s="2600" t="s">
        <v>1974</v>
      </c>
      <c r="D37" s="2599"/>
      <c r="E37" s="2599"/>
      <c r="F37" s="2599"/>
      <c r="G37" s="2599"/>
      <c r="H37" s="2599"/>
      <c r="I37" s="2599"/>
      <c r="J37" s="2599"/>
      <c r="K37" s="2599"/>
      <c r="L37" s="2599"/>
      <c r="M37" s="2599"/>
      <c r="N37" s="2599"/>
      <c r="O37" s="2599"/>
      <c r="P37" s="2599"/>
      <c r="Q37" s="2599"/>
      <c r="R37" s="2599"/>
      <c r="S37" s="2599"/>
      <c r="T37" s="2599"/>
    </row>
    <row r="38" spans="3:20" ht="14.25" thickBot="1" x14ac:dyDescent="0.3">
      <c r="C38" s="1757" t="str">
        <f>'14 Dda Consolidda'!D38</f>
        <v>Sala de Partos</v>
      </c>
      <c r="D38" s="1786">
        <f>'14 Dda Consolidda'!E38</f>
        <v>43.927999999999997</v>
      </c>
      <c r="E38" s="1786">
        <f>'14 Dda Consolidda'!F38</f>
        <v>43.945022422759564</v>
      </c>
      <c r="F38" s="1786">
        <f>'14 Dda Consolidda'!G38</f>
        <v>43.962051441833012</v>
      </c>
      <c r="G38" s="1786">
        <f>'14 Dda Consolidda'!H38</f>
        <v>43.979087059776482</v>
      </c>
      <c r="H38" s="1786">
        <f>'14 Dda Consolidda'!I38</f>
        <v>43.99612927914707</v>
      </c>
      <c r="I38" s="1786">
        <f>'14 Dda Consolidda'!J38</f>
        <v>44.013178102502877</v>
      </c>
      <c r="J38" s="1786">
        <f>'14 Dda Consolidda'!K38</f>
        <v>44.030233532403003</v>
      </c>
      <c r="K38" s="1786">
        <f>'14 Dda Consolidda'!L38</f>
        <v>44.047295571407531</v>
      </c>
      <c r="L38" s="1786">
        <f>'14 Dda Consolidda'!M38</f>
        <v>44.064364222077536</v>
      </c>
      <c r="M38" s="1786">
        <f>'14 Dda Consolidda'!N38</f>
        <v>44.081439486975071</v>
      </c>
      <c r="N38" s="1786">
        <f>'14 Dda Consolidda'!O38</f>
        <v>44.098521368663235</v>
      </c>
      <c r="O38" s="1786">
        <f>'14 Dda Consolidda'!P38</f>
        <v>44.115609869706063</v>
      </c>
      <c r="P38" s="1786">
        <f>'14 Dda Consolidda'!Q38</f>
        <v>44.132704992668593</v>
      </c>
      <c r="Q38" s="1786">
        <f>'14 Dda Consolidda'!R38</f>
        <v>44.149806740116873</v>
      </c>
      <c r="R38" s="1786">
        <f>'14 Dda Consolidda'!S38</f>
        <v>44.16691511461795</v>
      </c>
      <c r="S38" s="1786">
        <f>'14 Dda Consolidda'!T38</f>
        <v>44.184030118739855</v>
      </c>
      <c r="T38" s="1786">
        <f>'14 Dda Consolidda'!U38</f>
        <v>44.201151755051598</v>
      </c>
    </row>
    <row r="39" spans="3:20" ht="14.25" thickBot="1" x14ac:dyDescent="0.3">
      <c r="C39" s="1757" t="str">
        <f>'14 Dda Consolidda'!D39</f>
        <v>Atención inmediata del recién nacido</v>
      </c>
      <c r="D39" s="1786">
        <f>'14 Dda Consolidda'!E39</f>
        <v>43.927999999999997</v>
      </c>
      <c r="E39" s="1786">
        <f>'14 Dda Consolidda'!F39</f>
        <v>43.945022422759564</v>
      </c>
      <c r="F39" s="1786">
        <f>'14 Dda Consolidda'!G39</f>
        <v>43.962051441833012</v>
      </c>
      <c r="G39" s="1786">
        <f>'14 Dda Consolidda'!H39</f>
        <v>43.979087059776482</v>
      </c>
      <c r="H39" s="1786">
        <f>'14 Dda Consolidda'!I39</f>
        <v>43.99612927914707</v>
      </c>
      <c r="I39" s="1786">
        <f>'14 Dda Consolidda'!J39</f>
        <v>44.013178102502877</v>
      </c>
      <c r="J39" s="1786">
        <f>'14 Dda Consolidda'!K39</f>
        <v>44.030233532403003</v>
      </c>
      <c r="K39" s="1786">
        <f>'14 Dda Consolidda'!L39</f>
        <v>44.047295571407531</v>
      </c>
      <c r="L39" s="1786">
        <f>'14 Dda Consolidda'!M39</f>
        <v>44.064364222077536</v>
      </c>
      <c r="M39" s="1786">
        <f>'14 Dda Consolidda'!N39</f>
        <v>44.081439486975071</v>
      </c>
      <c r="N39" s="1786">
        <f>'14 Dda Consolidda'!O39</f>
        <v>44.098521368663235</v>
      </c>
      <c r="O39" s="1786">
        <f>'14 Dda Consolidda'!P39</f>
        <v>44.115609869706063</v>
      </c>
      <c r="P39" s="1786">
        <f>'14 Dda Consolidda'!Q39</f>
        <v>44.132704992668593</v>
      </c>
      <c r="Q39" s="1786">
        <f>'14 Dda Consolidda'!R39</f>
        <v>44.149806740116873</v>
      </c>
      <c r="R39" s="1786">
        <f>'14 Dda Consolidda'!S39</f>
        <v>44.16691511461795</v>
      </c>
      <c r="S39" s="1786">
        <f>'14 Dda Consolidda'!T39</f>
        <v>44.184030118739855</v>
      </c>
      <c r="T39" s="1786">
        <f>'14 Dda Consolidda'!U39</f>
        <v>44.201151755051598</v>
      </c>
    </row>
    <row r="40" spans="3:20" ht="14.25" thickBot="1" x14ac:dyDescent="0.3">
      <c r="C40" s="2600" t="s">
        <v>427</v>
      </c>
      <c r="D40" s="2599"/>
      <c r="E40" s="2599"/>
      <c r="F40" s="2599"/>
      <c r="G40" s="2599"/>
      <c r="H40" s="2599"/>
      <c r="I40" s="2599"/>
      <c r="J40" s="2599"/>
      <c r="K40" s="2599"/>
      <c r="L40" s="2599"/>
      <c r="M40" s="2599"/>
      <c r="N40" s="2599"/>
      <c r="O40" s="2599"/>
      <c r="P40" s="2599"/>
      <c r="Q40" s="2599"/>
      <c r="R40" s="2599"/>
      <c r="S40" s="2599"/>
      <c r="T40" s="2599"/>
    </row>
    <row r="41" spans="3:20" ht="14.25" thickBot="1" x14ac:dyDescent="0.3">
      <c r="C41" s="1757" t="str">
        <f>'14 Dda Consolidda'!D41</f>
        <v>Internamiento Varones</v>
      </c>
      <c r="D41" s="1786" t="e">
        <f>'14 Dda Consolidda'!E41</f>
        <v>#DIV/0!</v>
      </c>
      <c r="E41" s="1786" t="e">
        <f>'14 Dda Consolidda'!F41</f>
        <v>#DIV/0!</v>
      </c>
      <c r="F41" s="1786" t="e">
        <f>'14 Dda Consolidda'!G41</f>
        <v>#DIV/0!</v>
      </c>
      <c r="G41" s="1786" t="e">
        <f>'14 Dda Consolidda'!H41</f>
        <v>#DIV/0!</v>
      </c>
      <c r="H41" s="1786" t="e">
        <f>'14 Dda Consolidda'!I41</f>
        <v>#DIV/0!</v>
      </c>
      <c r="I41" s="1786" t="e">
        <f>'14 Dda Consolidda'!J41</f>
        <v>#DIV/0!</v>
      </c>
      <c r="J41" s="1786" t="e">
        <f>'14 Dda Consolidda'!K41</f>
        <v>#DIV/0!</v>
      </c>
      <c r="K41" s="1786" t="e">
        <f>'14 Dda Consolidda'!L41</f>
        <v>#DIV/0!</v>
      </c>
      <c r="L41" s="1786" t="e">
        <f>'14 Dda Consolidda'!M41</f>
        <v>#DIV/0!</v>
      </c>
      <c r="M41" s="1786" t="e">
        <f>'14 Dda Consolidda'!N41</f>
        <v>#DIV/0!</v>
      </c>
      <c r="N41" s="1786" t="e">
        <f>'14 Dda Consolidda'!O41</f>
        <v>#DIV/0!</v>
      </c>
      <c r="O41" s="1786" t="e">
        <f>'14 Dda Consolidda'!P41</f>
        <v>#DIV/0!</v>
      </c>
      <c r="P41" s="1786" t="e">
        <f>'14 Dda Consolidda'!Q41</f>
        <v>#DIV/0!</v>
      </c>
      <c r="Q41" s="1786" t="e">
        <f>'14 Dda Consolidda'!R41</f>
        <v>#DIV/0!</v>
      </c>
      <c r="R41" s="1786" t="e">
        <f>'14 Dda Consolidda'!S41</f>
        <v>#DIV/0!</v>
      </c>
      <c r="S41" s="1786" t="e">
        <f>'14 Dda Consolidda'!T41</f>
        <v>#DIV/0!</v>
      </c>
      <c r="T41" s="1786" t="e">
        <f>'14 Dda Consolidda'!U41</f>
        <v>#DIV/0!</v>
      </c>
    </row>
    <row r="42" spans="3:20" ht="14.25" thickBot="1" x14ac:dyDescent="0.3">
      <c r="C42" s="1757" t="str">
        <f>'14 Dda Consolidda'!D42</f>
        <v>Internamiento Mujeres</v>
      </c>
      <c r="D42" s="1786" t="e">
        <f>'14 Dda Consolidda'!E42</f>
        <v>#DIV/0!</v>
      </c>
      <c r="E42" s="1786" t="e">
        <f>'14 Dda Consolidda'!F42</f>
        <v>#DIV/0!</v>
      </c>
      <c r="F42" s="1786" t="e">
        <f>'14 Dda Consolidda'!G42</f>
        <v>#DIV/0!</v>
      </c>
      <c r="G42" s="1786" t="e">
        <f>'14 Dda Consolidda'!H42</f>
        <v>#DIV/0!</v>
      </c>
      <c r="H42" s="1786" t="e">
        <f>'14 Dda Consolidda'!I42</f>
        <v>#DIV/0!</v>
      </c>
      <c r="I42" s="1786" t="e">
        <f>'14 Dda Consolidda'!J42</f>
        <v>#DIV/0!</v>
      </c>
      <c r="J42" s="1786" t="e">
        <f>'14 Dda Consolidda'!K42</f>
        <v>#DIV/0!</v>
      </c>
      <c r="K42" s="1786" t="e">
        <f>'14 Dda Consolidda'!L42</f>
        <v>#DIV/0!</v>
      </c>
      <c r="L42" s="1786" t="e">
        <f>'14 Dda Consolidda'!M42</f>
        <v>#DIV/0!</v>
      </c>
      <c r="M42" s="1786" t="e">
        <f>'14 Dda Consolidda'!N42</f>
        <v>#DIV/0!</v>
      </c>
      <c r="N42" s="1786" t="e">
        <f>'14 Dda Consolidda'!O42</f>
        <v>#DIV/0!</v>
      </c>
      <c r="O42" s="1786" t="e">
        <f>'14 Dda Consolidda'!P42</f>
        <v>#DIV/0!</v>
      </c>
      <c r="P42" s="1786" t="e">
        <f>'14 Dda Consolidda'!Q42</f>
        <v>#DIV/0!</v>
      </c>
      <c r="Q42" s="1786" t="e">
        <f>'14 Dda Consolidda'!R42</f>
        <v>#DIV/0!</v>
      </c>
      <c r="R42" s="1786" t="e">
        <f>'14 Dda Consolidda'!S42</f>
        <v>#DIV/0!</v>
      </c>
      <c r="S42" s="1786" t="e">
        <f>'14 Dda Consolidda'!T42</f>
        <v>#DIV/0!</v>
      </c>
      <c r="T42" s="1786" t="e">
        <f>'14 Dda Consolidda'!U42</f>
        <v>#DIV/0!</v>
      </c>
    </row>
    <row r="43" spans="3:20" ht="14.25" thickBot="1" x14ac:dyDescent="0.3">
      <c r="C43" s="1757" t="str">
        <f>'14 Dda Consolidda'!D43</f>
        <v>Internamiento Niños</v>
      </c>
      <c r="D43" s="1786" t="e">
        <f>'14 Dda Consolidda'!E43</f>
        <v>#DIV/0!</v>
      </c>
      <c r="E43" s="1786" t="e">
        <f>'14 Dda Consolidda'!F43</f>
        <v>#DIV/0!</v>
      </c>
      <c r="F43" s="1786" t="e">
        <f>'14 Dda Consolidda'!G43</f>
        <v>#DIV/0!</v>
      </c>
      <c r="G43" s="1786" t="e">
        <f>'14 Dda Consolidda'!H43</f>
        <v>#DIV/0!</v>
      </c>
      <c r="H43" s="1786" t="e">
        <f>'14 Dda Consolidda'!I43</f>
        <v>#DIV/0!</v>
      </c>
      <c r="I43" s="1786" t="e">
        <f>'14 Dda Consolidda'!J43</f>
        <v>#DIV/0!</v>
      </c>
      <c r="J43" s="1786" t="e">
        <f>'14 Dda Consolidda'!K43</f>
        <v>#DIV/0!</v>
      </c>
      <c r="K43" s="1786" t="e">
        <f>'14 Dda Consolidda'!L43</f>
        <v>#DIV/0!</v>
      </c>
      <c r="L43" s="1786" t="e">
        <f>'14 Dda Consolidda'!M43</f>
        <v>#DIV/0!</v>
      </c>
      <c r="M43" s="1786" t="e">
        <f>'14 Dda Consolidda'!N43</f>
        <v>#DIV/0!</v>
      </c>
      <c r="N43" s="1786" t="e">
        <f>'14 Dda Consolidda'!O43</f>
        <v>#DIV/0!</v>
      </c>
      <c r="O43" s="1786" t="e">
        <f>'14 Dda Consolidda'!P43</f>
        <v>#DIV/0!</v>
      </c>
      <c r="P43" s="1786" t="e">
        <f>'14 Dda Consolidda'!Q43</f>
        <v>#DIV/0!</v>
      </c>
      <c r="Q43" s="1786" t="e">
        <f>'14 Dda Consolidda'!R43</f>
        <v>#DIV/0!</v>
      </c>
      <c r="R43" s="1786" t="e">
        <f>'14 Dda Consolidda'!S43</f>
        <v>#DIV/0!</v>
      </c>
      <c r="S43" s="1786" t="e">
        <f>'14 Dda Consolidda'!T43</f>
        <v>#DIV/0!</v>
      </c>
      <c r="T43" s="1786" t="e">
        <f>'14 Dda Consolidda'!U43</f>
        <v>#DIV/0!</v>
      </c>
    </row>
    <row r="44" spans="3:20" ht="14.25" thickBot="1" x14ac:dyDescent="0.3">
      <c r="C44" s="1757" t="str">
        <f>'14 Dda Consolidda'!D44</f>
        <v>Internamiento Obstétrico</v>
      </c>
      <c r="D44" s="1786">
        <f>'14 Dda Consolidda'!E44</f>
        <v>43.927999999999997</v>
      </c>
      <c r="E44" s="1786">
        <f>'14 Dda Consolidda'!F44</f>
        <v>43.945022422759564</v>
      </c>
      <c r="F44" s="1786">
        <f>'14 Dda Consolidda'!G44</f>
        <v>43.962051441833012</v>
      </c>
      <c r="G44" s="1786">
        <f>'14 Dda Consolidda'!H44</f>
        <v>43.979087059776482</v>
      </c>
      <c r="H44" s="1786">
        <f>'14 Dda Consolidda'!I44</f>
        <v>43.99612927914707</v>
      </c>
      <c r="I44" s="1786">
        <f>'14 Dda Consolidda'!J44</f>
        <v>44.013178102502877</v>
      </c>
      <c r="J44" s="1786">
        <f>'14 Dda Consolidda'!K44</f>
        <v>44.030233532403003</v>
      </c>
      <c r="K44" s="1786">
        <f>'14 Dda Consolidda'!L44</f>
        <v>44.047295571407531</v>
      </c>
      <c r="L44" s="1786">
        <f>'14 Dda Consolidda'!M44</f>
        <v>44.064364222077536</v>
      </c>
      <c r="M44" s="1786">
        <f>'14 Dda Consolidda'!N44</f>
        <v>44.081439486975071</v>
      </c>
      <c r="N44" s="1786">
        <f>'14 Dda Consolidda'!O44</f>
        <v>44.098521368663235</v>
      </c>
      <c r="O44" s="1786">
        <f>'14 Dda Consolidda'!P44</f>
        <v>44.115609869706063</v>
      </c>
      <c r="P44" s="1786">
        <f>'14 Dda Consolidda'!Q44</f>
        <v>44.132704992668593</v>
      </c>
      <c r="Q44" s="1786">
        <f>'14 Dda Consolidda'!R44</f>
        <v>44.149806740116873</v>
      </c>
      <c r="R44" s="1786">
        <f>'14 Dda Consolidda'!S44</f>
        <v>44.16691511461795</v>
      </c>
      <c r="S44" s="1786">
        <f>'14 Dda Consolidda'!T44</f>
        <v>44.184030118739855</v>
      </c>
      <c r="T44" s="1786">
        <f>'14 Dda Consolidda'!U44</f>
        <v>44.201151755051598</v>
      </c>
    </row>
    <row r="45" spans="3:20" ht="14.25" thickBot="1" x14ac:dyDescent="0.3">
      <c r="C45" s="1757" t="str">
        <f>'14 Dda Consolidda'!D45</f>
        <v>Monitoreo del Recién Nacido</v>
      </c>
      <c r="D45" s="1786" t="e">
        <f>'14 Dda Consolidda'!E45</f>
        <v>#DIV/0!</v>
      </c>
      <c r="E45" s="1786" t="e">
        <f>'14 Dda Consolidda'!F45</f>
        <v>#DIV/0!</v>
      </c>
      <c r="F45" s="1786" t="e">
        <f>'14 Dda Consolidda'!G45</f>
        <v>#DIV/0!</v>
      </c>
      <c r="G45" s="1786" t="e">
        <f>'14 Dda Consolidda'!H45</f>
        <v>#DIV/0!</v>
      </c>
      <c r="H45" s="1786" t="e">
        <f>'14 Dda Consolidda'!I45</f>
        <v>#DIV/0!</v>
      </c>
      <c r="I45" s="1786" t="e">
        <f>'14 Dda Consolidda'!J45</f>
        <v>#DIV/0!</v>
      </c>
      <c r="J45" s="1786" t="e">
        <f>'14 Dda Consolidda'!K45</f>
        <v>#DIV/0!</v>
      </c>
      <c r="K45" s="1786" t="e">
        <f>'14 Dda Consolidda'!L45</f>
        <v>#DIV/0!</v>
      </c>
      <c r="L45" s="1786" t="e">
        <f>'14 Dda Consolidda'!M45</f>
        <v>#DIV/0!</v>
      </c>
      <c r="M45" s="1786" t="e">
        <f>'14 Dda Consolidda'!N45</f>
        <v>#DIV/0!</v>
      </c>
      <c r="N45" s="1786" t="e">
        <f>'14 Dda Consolidda'!O45</f>
        <v>#DIV/0!</v>
      </c>
      <c r="O45" s="1786" t="e">
        <f>'14 Dda Consolidda'!P45</f>
        <v>#DIV/0!</v>
      </c>
      <c r="P45" s="1786" t="e">
        <f>'14 Dda Consolidda'!Q45</f>
        <v>#DIV/0!</v>
      </c>
      <c r="Q45" s="1786" t="e">
        <f>'14 Dda Consolidda'!R45</f>
        <v>#DIV/0!</v>
      </c>
      <c r="R45" s="1786" t="e">
        <f>'14 Dda Consolidda'!S45</f>
        <v>#DIV/0!</v>
      </c>
      <c r="S45" s="1786" t="e">
        <f>'14 Dda Consolidda'!T45</f>
        <v>#DIV/0!</v>
      </c>
      <c r="T45" s="1786" t="e">
        <f>'14 Dda Consolidda'!U45</f>
        <v>#DIV/0!</v>
      </c>
    </row>
    <row r="46" spans="3:20" ht="14.25" thickBot="1" x14ac:dyDescent="0.3">
      <c r="C46" s="2846" t="s">
        <v>1224</v>
      </c>
      <c r="D46" s="2599"/>
      <c r="E46" s="2599"/>
      <c r="F46" s="2599"/>
      <c r="G46" s="2599"/>
      <c r="H46" s="2599"/>
      <c r="I46" s="2599"/>
      <c r="J46" s="2599"/>
      <c r="K46" s="2599"/>
      <c r="L46" s="2599"/>
      <c r="M46" s="2599"/>
      <c r="N46" s="2599"/>
      <c r="O46" s="2599"/>
      <c r="P46" s="2599"/>
      <c r="Q46" s="2599"/>
      <c r="R46" s="2599"/>
      <c r="S46" s="2599"/>
      <c r="T46" s="2599"/>
    </row>
    <row r="47" spans="3:20" ht="14.25" thickBot="1" x14ac:dyDescent="0.3">
      <c r="C47" s="1758" t="str">
        <f>'14 Dda Consolidda'!D47</f>
        <v>Laboratorio Clínico Tipo I-4 </v>
      </c>
      <c r="D47" s="1786" t="e">
        <f>'14 Dda Consolidda'!E47</f>
        <v>#DIV/0!</v>
      </c>
      <c r="E47" s="1786" t="e">
        <f>'14 Dda Consolidda'!F47</f>
        <v>#DIV/0!</v>
      </c>
      <c r="F47" s="1786" t="e">
        <f>'14 Dda Consolidda'!G47</f>
        <v>#DIV/0!</v>
      </c>
      <c r="G47" s="1786" t="e">
        <f>'14 Dda Consolidda'!H47</f>
        <v>#DIV/0!</v>
      </c>
      <c r="H47" s="1786" t="e">
        <f>'14 Dda Consolidda'!I47</f>
        <v>#DIV/0!</v>
      </c>
      <c r="I47" s="1786" t="e">
        <f>'14 Dda Consolidda'!J47</f>
        <v>#DIV/0!</v>
      </c>
      <c r="J47" s="1786" t="e">
        <f>'14 Dda Consolidda'!K47</f>
        <v>#DIV/0!</v>
      </c>
      <c r="K47" s="1786" t="e">
        <f>'14 Dda Consolidda'!L47</f>
        <v>#DIV/0!</v>
      </c>
      <c r="L47" s="1786" t="e">
        <f>'14 Dda Consolidda'!M47</f>
        <v>#DIV/0!</v>
      </c>
      <c r="M47" s="1786" t="e">
        <f>'14 Dda Consolidda'!N47</f>
        <v>#DIV/0!</v>
      </c>
      <c r="N47" s="1786" t="e">
        <f>'14 Dda Consolidda'!O47</f>
        <v>#DIV/0!</v>
      </c>
      <c r="O47" s="1786" t="e">
        <f>'14 Dda Consolidda'!P47</f>
        <v>#DIV/0!</v>
      </c>
      <c r="P47" s="1786" t="e">
        <f>'14 Dda Consolidda'!Q47</f>
        <v>#DIV/0!</v>
      </c>
      <c r="Q47" s="1786" t="e">
        <f>'14 Dda Consolidda'!R47</f>
        <v>#DIV/0!</v>
      </c>
      <c r="R47" s="1786" t="e">
        <f>'14 Dda Consolidda'!S47</f>
        <v>#DIV/0!</v>
      </c>
      <c r="S47" s="1786" t="e">
        <f>'14 Dda Consolidda'!T47</f>
        <v>#DIV/0!</v>
      </c>
      <c r="T47" s="1786" t="e">
        <f>'14 Dda Consolidda'!U47</f>
        <v>#DIV/0!</v>
      </c>
    </row>
    <row r="48" spans="3:20" ht="14.25" thickBot="1" x14ac:dyDescent="0.3">
      <c r="C48" s="1758" t="str">
        <f>'14 Dda Consolidda'!D48</f>
        <v>Radiología convencional simple</v>
      </c>
      <c r="D48" s="1786" t="e">
        <f>'14 Dda Consolidda'!E48</f>
        <v>#DIV/0!</v>
      </c>
      <c r="E48" s="1786" t="e">
        <f>'14 Dda Consolidda'!F48</f>
        <v>#DIV/0!</v>
      </c>
      <c r="F48" s="1786" t="e">
        <f>'14 Dda Consolidda'!G48</f>
        <v>#DIV/0!</v>
      </c>
      <c r="G48" s="1786" t="e">
        <f>'14 Dda Consolidda'!H48</f>
        <v>#DIV/0!</v>
      </c>
      <c r="H48" s="1786" t="e">
        <f>'14 Dda Consolidda'!I48</f>
        <v>#DIV/0!</v>
      </c>
      <c r="I48" s="1786" t="e">
        <f>'14 Dda Consolidda'!J48</f>
        <v>#DIV/0!</v>
      </c>
      <c r="J48" s="1786" t="e">
        <f>'14 Dda Consolidda'!K48</f>
        <v>#DIV/0!</v>
      </c>
      <c r="K48" s="1786" t="e">
        <f>'14 Dda Consolidda'!L48</f>
        <v>#DIV/0!</v>
      </c>
      <c r="L48" s="1786" t="e">
        <f>'14 Dda Consolidda'!M48</f>
        <v>#DIV/0!</v>
      </c>
      <c r="M48" s="1786" t="e">
        <f>'14 Dda Consolidda'!N48</f>
        <v>#DIV/0!</v>
      </c>
      <c r="N48" s="1786" t="e">
        <f>'14 Dda Consolidda'!O48</f>
        <v>#DIV/0!</v>
      </c>
      <c r="O48" s="1786" t="e">
        <f>'14 Dda Consolidda'!P48</f>
        <v>#DIV/0!</v>
      </c>
      <c r="P48" s="1786" t="e">
        <f>'14 Dda Consolidda'!Q48</f>
        <v>#DIV/0!</v>
      </c>
      <c r="Q48" s="1786" t="e">
        <f>'14 Dda Consolidda'!R48</f>
        <v>#DIV/0!</v>
      </c>
      <c r="R48" s="1786" t="e">
        <f>'14 Dda Consolidda'!S48</f>
        <v>#DIV/0!</v>
      </c>
      <c r="S48" s="1786" t="e">
        <f>'14 Dda Consolidda'!T48</f>
        <v>#DIV/0!</v>
      </c>
      <c r="T48" s="1786" t="e">
        <f>'14 Dda Consolidda'!U48</f>
        <v>#DIV/0!</v>
      </c>
    </row>
    <row r="49" spans="3:20" ht="14.25" thickBot="1" x14ac:dyDescent="0.3">
      <c r="C49" s="1758" t="str">
        <f>'14 Dda Consolidda'!D49</f>
        <v>Ecografía General</v>
      </c>
      <c r="D49" s="1786" t="e">
        <f>'14 Dda Consolidda'!E49</f>
        <v>#DIV/0!</v>
      </c>
      <c r="E49" s="1786" t="e">
        <f>'14 Dda Consolidda'!F49</f>
        <v>#DIV/0!</v>
      </c>
      <c r="F49" s="1786" t="e">
        <f>'14 Dda Consolidda'!G49</f>
        <v>#DIV/0!</v>
      </c>
      <c r="G49" s="1786" t="e">
        <f>'14 Dda Consolidda'!H49</f>
        <v>#DIV/0!</v>
      </c>
      <c r="H49" s="1786" t="e">
        <f>'14 Dda Consolidda'!I49</f>
        <v>#DIV/0!</v>
      </c>
      <c r="I49" s="1786" t="e">
        <f>'14 Dda Consolidda'!J49</f>
        <v>#DIV/0!</v>
      </c>
      <c r="J49" s="1786" t="e">
        <f>'14 Dda Consolidda'!K49</f>
        <v>#DIV/0!</v>
      </c>
      <c r="K49" s="1786" t="e">
        <f>'14 Dda Consolidda'!L49</f>
        <v>#DIV/0!</v>
      </c>
      <c r="L49" s="1786" t="e">
        <f>'14 Dda Consolidda'!M49</f>
        <v>#DIV/0!</v>
      </c>
      <c r="M49" s="1786" t="e">
        <f>'14 Dda Consolidda'!N49</f>
        <v>#DIV/0!</v>
      </c>
      <c r="N49" s="1786" t="e">
        <f>'14 Dda Consolidda'!O49</f>
        <v>#DIV/0!</v>
      </c>
      <c r="O49" s="1786" t="e">
        <f>'14 Dda Consolidda'!P49</f>
        <v>#DIV/0!</v>
      </c>
      <c r="P49" s="1786" t="e">
        <f>'14 Dda Consolidda'!Q49</f>
        <v>#DIV/0!</v>
      </c>
      <c r="Q49" s="1786" t="e">
        <f>'14 Dda Consolidda'!R49</f>
        <v>#DIV/0!</v>
      </c>
      <c r="R49" s="1786" t="e">
        <f>'14 Dda Consolidda'!S49</f>
        <v>#DIV/0!</v>
      </c>
      <c r="S49" s="1786" t="e">
        <f>'14 Dda Consolidda'!T49</f>
        <v>#DIV/0!</v>
      </c>
      <c r="T49" s="1786" t="e">
        <f>'14 Dda Consolidda'!U49</f>
        <v>#DIV/0!</v>
      </c>
    </row>
    <row r="50" spans="3:20" ht="14.25" thickBot="1" x14ac:dyDescent="0.3">
      <c r="C50" s="1758" t="str">
        <f>'14 Dda Consolidda'!D50</f>
        <v>Ecografía Obstétrica</v>
      </c>
      <c r="D50" s="1786">
        <f>'14 Dda Consolidda'!E50</f>
        <v>228</v>
      </c>
      <c r="E50" s="1786">
        <f>'14 Dda Consolidda'!F50</f>
        <v>228.08835167522264</v>
      </c>
      <c r="F50" s="1786">
        <f>'14 Dda Consolidda'!G50</f>
        <v>228.17673758736859</v>
      </c>
      <c r="G50" s="1786">
        <f>'14 Dda Consolidda'!H50</f>
        <v>228.26515774970488</v>
      </c>
      <c r="H50" s="1786">
        <f>'14 Dda Consolidda'!I50</f>
        <v>228.3536121755038</v>
      </c>
      <c r="I50" s="1786">
        <f>'14 Dda Consolidda'!J50</f>
        <v>228.4421008780426</v>
      </c>
      <c r="J50" s="1786">
        <f>'14 Dda Consolidda'!K50</f>
        <v>228.53062387060379</v>
      </c>
      <c r="K50" s="1786">
        <f>'14 Dda Consolidda'!L50</f>
        <v>228.61918116647507</v>
      </c>
      <c r="L50" s="1786">
        <f>'14 Dda Consolidda'!M50</f>
        <v>228.70777277894911</v>
      </c>
      <c r="M50" s="1786">
        <f>'14 Dda Consolidda'!N50</f>
        <v>228.79639872132395</v>
      </c>
      <c r="N50" s="1786">
        <f>'14 Dda Consolidda'!O50</f>
        <v>228.88505900690262</v>
      </c>
      <c r="O50" s="1786">
        <f>'14 Dda Consolidda'!P50</f>
        <v>228.97375364899341</v>
      </c>
      <c r="P50" s="1786">
        <f>'14 Dda Consolidda'!Q50</f>
        <v>229.06248266090964</v>
      </c>
      <c r="Q50" s="1786">
        <f>'14 Dda Consolidda'!R50</f>
        <v>229.15124605596992</v>
      </c>
      <c r="R50" s="1786">
        <f>'14 Dda Consolidda'!S50</f>
        <v>229.24004384749804</v>
      </c>
      <c r="S50" s="1786">
        <f>'14 Dda Consolidda'!T50</f>
        <v>229.32887604882279</v>
      </c>
      <c r="T50" s="1786">
        <f>'14 Dda Consolidda'!U50</f>
        <v>229.41774267327821</v>
      </c>
    </row>
    <row r="51" spans="3:20" ht="14.25" thickBot="1" x14ac:dyDescent="0.3">
      <c r="C51" s="1758" t="str">
        <f>'14 Dda Consolidda'!D51</f>
        <v>Atención Rehabilitadora de discapacidades leves y moderadas</v>
      </c>
      <c r="D51" s="1786">
        <f>'14 Dda Consolidda'!E51</f>
        <v>18.296161739879938</v>
      </c>
      <c r="E51" s="1786">
        <f>'14 Dda Consolidda'!F51</f>
        <v>18.303251636984598</v>
      </c>
      <c r="F51" s="1786">
        <f>'14 Dda Consolidda'!G51</f>
        <v>18.310344281476482</v>
      </c>
      <c r="G51" s="1786">
        <f>'14 Dda Consolidda'!H51</f>
        <v>18.317439674420221</v>
      </c>
      <c r="H51" s="1786">
        <f>'14 Dda Consolidda'!I51</f>
        <v>18.324537816880856</v>
      </c>
      <c r="I51" s="1786">
        <f>'14 Dda Consolidda'!J51</f>
        <v>18.331638709923844</v>
      </c>
      <c r="J51" s="1786">
        <f>'14 Dda Consolidda'!K51</f>
        <v>18.338742354615068</v>
      </c>
      <c r="K51" s="1786">
        <f>'14 Dda Consolidda'!L51</f>
        <v>18.3458487520208</v>
      </c>
      <c r="L51" s="1786">
        <f>'14 Dda Consolidda'!M51</f>
        <v>18.352957903207738</v>
      </c>
      <c r="M51" s="1786">
        <f>'14 Dda Consolidda'!N51</f>
        <v>18.360069809243001</v>
      </c>
      <c r="N51" s="1786">
        <f>'14 Dda Consolidda'!O51</f>
        <v>18.367184471194101</v>
      </c>
      <c r="O51" s="1786">
        <f>'14 Dda Consolidda'!P51</f>
        <v>18.374301890128983</v>
      </c>
      <c r="P51" s="1786">
        <f>'14 Dda Consolidda'!Q51</f>
        <v>18.381422067115999</v>
      </c>
      <c r="Q51" s="1786">
        <f>'14 Dda Consolidda'!R51</f>
        <v>18.388545003223911</v>
      </c>
      <c r="R51" s="1786">
        <f>'14 Dda Consolidda'!S51</f>
        <v>18.395670699521901</v>
      </c>
      <c r="S51" s="1786">
        <f>'14 Dda Consolidda'!T51</f>
        <v>18.402799157079563</v>
      </c>
      <c r="T51" s="1786">
        <f>'14 Dda Consolidda'!U51</f>
        <v>18.409930376966905</v>
      </c>
    </row>
    <row r="52" spans="3:20" ht="14.25" thickBot="1" x14ac:dyDescent="0.3">
      <c r="C52" s="1758" t="str">
        <f>'14 Dda Consolidda'!D52</f>
        <v>Desinfección y esterilización</v>
      </c>
      <c r="D52" s="1786" t="e">
        <f>'14 Dda Consolidda'!E52</f>
        <v>#DIV/0!</v>
      </c>
      <c r="E52" s="1786" t="e">
        <f>'14 Dda Consolidda'!F52</f>
        <v>#DIV/0!</v>
      </c>
      <c r="F52" s="1786" t="e">
        <f>'14 Dda Consolidda'!G52</f>
        <v>#DIV/0!</v>
      </c>
      <c r="G52" s="1786" t="e">
        <f>'14 Dda Consolidda'!H52</f>
        <v>#DIV/0!</v>
      </c>
      <c r="H52" s="1786" t="e">
        <f>'14 Dda Consolidda'!I52</f>
        <v>#DIV/0!</v>
      </c>
      <c r="I52" s="1786" t="e">
        <f>'14 Dda Consolidda'!J52</f>
        <v>#DIV/0!</v>
      </c>
      <c r="J52" s="1786" t="e">
        <f>'14 Dda Consolidda'!K52</f>
        <v>#DIV/0!</v>
      </c>
      <c r="K52" s="1786" t="e">
        <f>'14 Dda Consolidda'!L52</f>
        <v>#DIV/0!</v>
      </c>
      <c r="L52" s="1786" t="e">
        <f>'14 Dda Consolidda'!M52</f>
        <v>#DIV/0!</v>
      </c>
      <c r="M52" s="1786" t="e">
        <f>'14 Dda Consolidda'!N52</f>
        <v>#DIV/0!</v>
      </c>
      <c r="N52" s="1786" t="e">
        <f>'14 Dda Consolidda'!O52</f>
        <v>#DIV/0!</v>
      </c>
      <c r="O52" s="1786" t="e">
        <f>'14 Dda Consolidda'!P52</f>
        <v>#DIV/0!</v>
      </c>
      <c r="P52" s="1786" t="e">
        <f>'14 Dda Consolidda'!Q52</f>
        <v>#DIV/0!</v>
      </c>
      <c r="Q52" s="1786" t="e">
        <f>'14 Dda Consolidda'!R52</f>
        <v>#DIV/0!</v>
      </c>
      <c r="R52" s="1786" t="e">
        <f>'14 Dda Consolidda'!S52</f>
        <v>#DIV/0!</v>
      </c>
      <c r="S52" s="1786" t="e">
        <f>'14 Dda Consolidda'!T52</f>
        <v>#DIV/0!</v>
      </c>
      <c r="T52" s="1786" t="e">
        <f>'14 Dda Consolidda'!U52</f>
        <v>#DIV/0!</v>
      </c>
    </row>
    <row r="53" spans="3:20" ht="14.25" thickBot="1" x14ac:dyDescent="0.3">
      <c r="C53" s="1758" t="str">
        <f>'14 Dda Consolidda'!D53</f>
        <v>Farmacia</v>
      </c>
      <c r="D53" s="1786" t="e">
        <f>'14 Dda Consolidda'!E53</f>
        <v>#DIV/0!</v>
      </c>
      <c r="E53" s="1786" t="e">
        <f>'14 Dda Consolidda'!F53</f>
        <v>#DIV/0!</v>
      </c>
      <c r="F53" s="1786" t="e">
        <f>'14 Dda Consolidda'!G53</f>
        <v>#DIV/0!</v>
      </c>
      <c r="G53" s="1786" t="e">
        <f>'14 Dda Consolidda'!H53</f>
        <v>#DIV/0!</v>
      </c>
      <c r="H53" s="1786" t="e">
        <f>'14 Dda Consolidda'!I53</f>
        <v>#DIV/0!</v>
      </c>
      <c r="I53" s="1786" t="e">
        <f>'14 Dda Consolidda'!J53</f>
        <v>#DIV/0!</v>
      </c>
      <c r="J53" s="1786" t="e">
        <f>'14 Dda Consolidda'!K53</f>
        <v>#DIV/0!</v>
      </c>
      <c r="K53" s="1786" t="e">
        <f>'14 Dda Consolidda'!L53</f>
        <v>#DIV/0!</v>
      </c>
      <c r="L53" s="1786" t="e">
        <f>'14 Dda Consolidda'!M53</f>
        <v>#DIV/0!</v>
      </c>
      <c r="M53" s="1786" t="e">
        <f>'14 Dda Consolidda'!N53</f>
        <v>#DIV/0!</v>
      </c>
      <c r="N53" s="1786" t="e">
        <f>'14 Dda Consolidda'!O53</f>
        <v>#DIV/0!</v>
      </c>
      <c r="O53" s="1786" t="e">
        <f>'14 Dda Consolidda'!P53</f>
        <v>#DIV/0!</v>
      </c>
      <c r="P53" s="1786" t="e">
        <f>'14 Dda Consolidda'!Q53</f>
        <v>#DIV/0!</v>
      </c>
      <c r="Q53" s="1786" t="e">
        <f>'14 Dda Consolidda'!R53</f>
        <v>#DIV/0!</v>
      </c>
      <c r="R53" s="1786" t="e">
        <f>'14 Dda Consolidda'!S53</f>
        <v>#DIV/0!</v>
      </c>
      <c r="S53" s="1786" t="e">
        <f>'14 Dda Consolidda'!T53</f>
        <v>#DIV/0!</v>
      </c>
      <c r="T53" s="1786" t="e">
        <f>'14 Dda Consolidda'!U53</f>
        <v>#DIV/0!</v>
      </c>
    </row>
    <row r="54" spans="3:20" ht="14.25" thickBot="1" x14ac:dyDescent="0.3">
      <c r="C54" s="1188" t="s">
        <v>150</v>
      </c>
      <c r="D54" s="1189" t="e">
        <f>SUM(D10:D53)</f>
        <v>#DIV/0!</v>
      </c>
      <c r="E54" s="1189" t="e">
        <f t="shared" ref="E54:T54" si="1">SUM(E10:E53)</f>
        <v>#DIV/0!</v>
      </c>
      <c r="F54" s="1189" t="e">
        <f t="shared" si="1"/>
        <v>#DIV/0!</v>
      </c>
      <c r="G54" s="1189" t="e">
        <f t="shared" si="1"/>
        <v>#DIV/0!</v>
      </c>
      <c r="H54" s="1189" t="e">
        <f t="shared" si="1"/>
        <v>#DIV/0!</v>
      </c>
      <c r="I54" s="1189" t="e">
        <f t="shared" si="1"/>
        <v>#DIV/0!</v>
      </c>
      <c r="J54" s="1189" t="e">
        <f t="shared" si="1"/>
        <v>#DIV/0!</v>
      </c>
      <c r="K54" s="1189" t="e">
        <f t="shared" si="1"/>
        <v>#DIV/0!</v>
      </c>
      <c r="L54" s="1189" t="e">
        <f t="shared" si="1"/>
        <v>#DIV/0!</v>
      </c>
      <c r="M54" s="1189" t="e">
        <f t="shared" si="1"/>
        <v>#DIV/0!</v>
      </c>
      <c r="N54" s="1189" t="e">
        <f t="shared" si="1"/>
        <v>#DIV/0!</v>
      </c>
      <c r="O54" s="1189" t="e">
        <f t="shared" si="1"/>
        <v>#DIV/0!</v>
      </c>
      <c r="P54" s="1189" t="e">
        <f t="shared" si="1"/>
        <v>#DIV/0!</v>
      </c>
      <c r="Q54" s="1189" t="e">
        <f t="shared" si="1"/>
        <v>#DIV/0!</v>
      </c>
      <c r="R54" s="1189" t="e">
        <f t="shared" si="1"/>
        <v>#DIV/0!</v>
      </c>
      <c r="S54" s="1189" t="e">
        <f t="shared" si="1"/>
        <v>#DIV/0!</v>
      </c>
      <c r="T54" s="1190" t="e">
        <f t="shared" si="1"/>
        <v>#DIV/0!</v>
      </c>
    </row>
    <row r="55" spans="3:20" x14ac:dyDescent="0.25">
      <c r="C55" s="691" t="s">
        <v>1983</v>
      </c>
      <c r="G55" s="1296"/>
    </row>
    <row r="57" spans="3:20" x14ac:dyDescent="0.25">
      <c r="D57" s="1174" t="e">
        <f>D54-D53</f>
        <v>#DIV/0!</v>
      </c>
      <c r="E57" s="1174" t="e">
        <f t="shared" ref="E57:T57" si="2">E54-E53</f>
        <v>#DIV/0!</v>
      </c>
      <c r="F57" s="1174" t="e">
        <f t="shared" si="2"/>
        <v>#DIV/0!</v>
      </c>
      <c r="G57" s="1174" t="e">
        <f t="shared" si="2"/>
        <v>#DIV/0!</v>
      </c>
      <c r="H57" s="1174" t="e">
        <f t="shared" si="2"/>
        <v>#DIV/0!</v>
      </c>
      <c r="I57" s="1174" t="e">
        <f t="shared" si="2"/>
        <v>#DIV/0!</v>
      </c>
      <c r="J57" s="1174" t="e">
        <f t="shared" si="2"/>
        <v>#DIV/0!</v>
      </c>
      <c r="K57" s="1174" t="e">
        <f t="shared" si="2"/>
        <v>#DIV/0!</v>
      </c>
      <c r="L57" s="1174" t="e">
        <f t="shared" si="2"/>
        <v>#DIV/0!</v>
      </c>
      <c r="M57" s="1174" t="e">
        <f t="shared" si="2"/>
        <v>#DIV/0!</v>
      </c>
      <c r="N57" s="1174" t="e">
        <f t="shared" si="2"/>
        <v>#DIV/0!</v>
      </c>
      <c r="O57" s="1174" t="e">
        <f t="shared" si="2"/>
        <v>#DIV/0!</v>
      </c>
      <c r="P57" s="1174" t="e">
        <f t="shared" si="2"/>
        <v>#DIV/0!</v>
      </c>
      <c r="Q57" s="1174" t="e">
        <f t="shared" si="2"/>
        <v>#DIV/0!</v>
      </c>
      <c r="R57" s="1174" t="e">
        <f t="shared" si="2"/>
        <v>#DIV/0!</v>
      </c>
      <c r="S57" s="1174" t="e">
        <f t="shared" si="2"/>
        <v>#DIV/0!</v>
      </c>
      <c r="T57" s="1174" t="e">
        <f t="shared" si="2"/>
        <v>#DIV/0!</v>
      </c>
    </row>
  </sheetData>
  <mergeCells count="2">
    <mergeCell ref="C4:T5"/>
    <mergeCell ref="C7:C8"/>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009900"/>
  </sheetPr>
  <dimension ref="B2:M103"/>
  <sheetViews>
    <sheetView workbookViewId="0">
      <selection activeCell="F70" sqref="F70"/>
    </sheetView>
  </sheetViews>
  <sheetFormatPr baseColWidth="10" defaultColWidth="9.140625" defaultRowHeight="13.5" x14ac:dyDescent="0.25"/>
  <cols>
    <col min="1" max="1" width="9.140625" style="1832"/>
    <col min="2" max="2" width="3.7109375" style="1832" customWidth="1"/>
    <col min="3" max="3" width="22.7109375" style="1832" customWidth="1"/>
    <col min="4" max="4" width="13.7109375" style="1832" customWidth="1"/>
    <col min="5" max="5" width="12.140625" style="1832" customWidth="1"/>
    <col min="6" max="6" width="10.7109375" style="1832" customWidth="1"/>
    <col min="7" max="7" width="8.7109375" style="1832" customWidth="1"/>
    <col min="8" max="8" width="16" style="1832" customWidth="1"/>
    <col min="9" max="9" width="15.140625" style="1832" customWidth="1"/>
    <col min="10" max="10" width="13.7109375" style="1832" customWidth="1"/>
    <col min="11" max="11" width="10.7109375" style="1832" customWidth="1"/>
    <col min="12" max="12" width="16.85546875" style="1832" customWidth="1"/>
    <col min="13" max="13" width="3" style="1832" customWidth="1"/>
    <col min="14" max="14" width="9.140625" style="1832" customWidth="1"/>
    <col min="15" max="16384" width="9.140625" style="1832"/>
  </cols>
  <sheetData>
    <row r="2" spans="2:13" ht="14.25" thickBot="1" x14ac:dyDescent="0.3">
      <c r="M2" s="529"/>
    </row>
    <row r="3" spans="2:13" x14ac:dyDescent="0.25">
      <c r="B3" s="1829"/>
      <c r="C3" s="524"/>
      <c r="D3" s="524"/>
      <c r="E3" s="524"/>
      <c r="F3" s="524"/>
      <c r="G3" s="524"/>
      <c r="H3" s="524"/>
      <c r="I3" s="524"/>
      <c r="J3" s="524"/>
      <c r="K3" s="524"/>
      <c r="L3" s="524"/>
      <c r="M3" s="1831"/>
    </row>
    <row r="4" spans="2:13" x14ac:dyDescent="0.25">
      <c r="B4" s="1833"/>
      <c r="C4" s="4894" t="s">
        <v>5374</v>
      </c>
      <c r="D4" s="4894"/>
      <c r="E4" s="4894"/>
      <c r="F4" s="4894"/>
      <c r="G4" s="4894"/>
      <c r="H4" s="4894"/>
      <c r="I4" s="4894"/>
      <c r="J4" s="4894"/>
      <c r="K4" s="4894"/>
      <c r="L4" s="4894"/>
      <c r="M4" s="1836"/>
    </row>
    <row r="5" spans="2:13" x14ac:dyDescent="0.25">
      <c r="B5" s="1833"/>
      <c r="C5" s="529"/>
      <c r="D5" s="529"/>
      <c r="E5" s="529"/>
      <c r="F5" s="529"/>
      <c r="G5" s="529"/>
      <c r="H5" s="529"/>
      <c r="I5" s="529"/>
      <c r="J5" s="529"/>
      <c r="K5" s="529"/>
      <c r="L5" s="529"/>
      <c r="M5" s="1836"/>
    </row>
    <row r="6" spans="2:13" x14ac:dyDescent="0.25">
      <c r="B6" s="1833"/>
      <c r="C6" s="5173" t="s">
        <v>5375</v>
      </c>
      <c r="D6" s="5174"/>
      <c r="E6" s="5175"/>
      <c r="F6" s="3188"/>
      <c r="G6" s="529"/>
      <c r="H6" s="5173" t="s">
        <v>5376</v>
      </c>
      <c r="I6" s="5174"/>
      <c r="J6" s="5175"/>
      <c r="K6" s="3189"/>
      <c r="L6" s="3189"/>
      <c r="M6" s="1836"/>
    </row>
    <row r="7" spans="2:13" ht="27" x14ac:dyDescent="0.25">
      <c r="B7" s="1833"/>
      <c r="C7" s="3190" t="s">
        <v>5377</v>
      </c>
      <c r="D7" s="3191" t="s">
        <v>5141</v>
      </c>
      <c r="E7" s="3192" t="s">
        <v>5378</v>
      </c>
      <c r="F7" s="529"/>
      <c r="G7" s="529"/>
      <c r="H7" s="3190" t="s">
        <v>5379</v>
      </c>
      <c r="I7" s="3191" t="s">
        <v>5380</v>
      </c>
      <c r="J7" s="3192" t="s">
        <v>5378</v>
      </c>
      <c r="K7" s="529"/>
      <c r="L7" s="529"/>
      <c r="M7" s="1836"/>
    </row>
    <row r="8" spans="2:13" x14ac:dyDescent="0.25">
      <c r="B8" s="1833"/>
      <c r="C8" s="3193">
        <v>-0.25</v>
      </c>
      <c r="D8" s="3194" t="e">
        <f>+D$13*(1+C8)</f>
        <v>#DIV/0!</v>
      </c>
      <c r="E8" s="3194" t="e">
        <f t="shared" ref="E8:E10" si="0">I$13/D8</f>
        <v>#DIV/0!</v>
      </c>
      <c r="F8" s="529"/>
      <c r="G8" s="529"/>
      <c r="H8" s="3193">
        <v>0.5</v>
      </c>
      <c r="I8" s="3195" t="e">
        <f>+I$13*(1+H8)</f>
        <v>#DIV/0!</v>
      </c>
      <c r="J8" s="3194" t="e">
        <f t="shared" ref="J8:J10" si="1">I8/D$13</f>
        <v>#DIV/0!</v>
      </c>
      <c r="K8" s="529"/>
      <c r="L8" s="529"/>
      <c r="M8" s="1836"/>
    </row>
    <row r="9" spans="2:13" x14ac:dyDescent="0.25">
      <c r="B9" s="1833"/>
      <c r="C9" s="3193">
        <v>-0.2</v>
      </c>
      <c r="D9" s="3194" t="e">
        <f>+D$13*(1+C9)</f>
        <v>#DIV/0!</v>
      </c>
      <c r="E9" s="3194" t="e">
        <f t="shared" si="0"/>
        <v>#DIV/0!</v>
      </c>
      <c r="F9" s="529"/>
      <c r="G9" s="529"/>
      <c r="H9" s="3193">
        <v>0.4</v>
      </c>
      <c r="I9" s="3195" t="e">
        <f>+I$13*(1+H9)</f>
        <v>#DIV/0!</v>
      </c>
      <c r="J9" s="3194" t="e">
        <f t="shared" si="1"/>
        <v>#DIV/0!</v>
      </c>
      <c r="K9" s="529"/>
      <c r="L9" s="529"/>
      <c r="M9" s="1836"/>
    </row>
    <row r="10" spans="2:13" x14ac:dyDescent="0.25">
      <c r="B10" s="1833"/>
      <c r="C10" s="3193">
        <v>-0.15</v>
      </c>
      <c r="D10" s="3194" t="e">
        <f>+D$13*(1+C10)</f>
        <v>#DIV/0!</v>
      </c>
      <c r="E10" s="3194" t="e">
        <f t="shared" si="0"/>
        <v>#DIV/0!</v>
      </c>
      <c r="F10" s="529"/>
      <c r="G10" s="529"/>
      <c r="H10" s="3193">
        <v>0.3</v>
      </c>
      <c r="I10" s="3195" t="e">
        <f>+I$13*(1+H10)</f>
        <v>#DIV/0!</v>
      </c>
      <c r="J10" s="3194" t="e">
        <f t="shared" si="1"/>
        <v>#DIV/0!</v>
      </c>
      <c r="K10" s="529"/>
      <c r="L10" s="529"/>
      <c r="M10" s="1836"/>
    </row>
    <row r="11" spans="2:13" x14ac:dyDescent="0.25">
      <c r="B11" s="1833"/>
      <c r="C11" s="3193">
        <v>-0.1</v>
      </c>
      <c r="D11" s="3194" t="e">
        <f>+D$13*(1+C11)</f>
        <v>#DIV/0!</v>
      </c>
      <c r="E11" s="3194" t="e">
        <f>I$13/D11</f>
        <v>#DIV/0!</v>
      </c>
      <c r="F11" s="529"/>
      <c r="G11" s="529"/>
      <c r="H11" s="3193">
        <v>0.2</v>
      </c>
      <c r="I11" s="3195" t="e">
        <f>+I$13*(1+H11)</f>
        <v>#DIV/0!</v>
      </c>
      <c r="J11" s="3194" t="e">
        <f>I11/D$13</f>
        <v>#DIV/0!</v>
      </c>
      <c r="K11" s="529"/>
      <c r="L11" s="529"/>
      <c r="M11" s="1836"/>
    </row>
    <row r="12" spans="2:13" x14ac:dyDescent="0.25">
      <c r="B12" s="1833"/>
      <c r="C12" s="3193">
        <v>-0.05</v>
      </c>
      <c r="D12" s="3194" t="e">
        <f>+D$13*(1+C12)</f>
        <v>#DIV/0!</v>
      </c>
      <c r="E12" s="3194" t="e">
        <f>I13/D12</f>
        <v>#DIV/0!</v>
      </c>
      <c r="F12" s="529"/>
      <c r="G12" s="529"/>
      <c r="H12" s="3193">
        <v>0.1</v>
      </c>
      <c r="I12" s="3195" t="e">
        <f>+I$13*(1+H12)</f>
        <v>#DIV/0!</v>
      </c>
      <c r="J12" s="3194" t="e">
        <f>I12/D13</f>
        <v>#DIV/0!</v>
      </c>
      <c r="K12" s="529"/>
      <c r="L12" s="529"/>
      <c r="M12" s="1836"/>
    </row>
    <row r="13" spans="2:13" x14ac:dyDescent="0.25">
      <c r="B13" s="1833"/>
      <c r="C13" s="3196">
        <v>0</v>
      </c>
      <c r="D13" s="3197" t="e">
        <f>D40</f>
        <v>#DIV/0!</v>
      </c>
      <c r="E13" s="3197" t="e">
        <f>I$13/D13</f>
        <v>#DIV/0!</v>
      </c>
      <c r="F13" s="529"/>
      <c r="G13" s="529"/>
      <c r="H13" s="3196">
        <v>0</v>
      </c>
      <c r="I13" s="3197" t="e">
        <f>D39</f>
        <v>#DIV/0!</v>
      </c>
      <c r="J13" s="3197" t="e">
        <f>I13/D$13</f>
        <v>#DIV/0!</v>
      </c>
      <c r="K13" s="529"/>
      <c r="L13" s="529"/>
      <c r="M13" s="1836"/>
    </row>
    <row r="14" spans="2:13" x14ac:dyDescent="0.25">
      <c r="B14" s="1833"/>
      <c r="C14" s="3193">
        <v>0.05</v>
      </c>
      <c r="D14" s="3194" t="e">
        <f>+D$13*(1+C14)</f>
        <v>#DIV/0!</v>
      </c>
      <c r="E14" s="3194" t="e">
        <f>I$13/D14</f>
        <v>#DIV/0!</v>
      </c>
      <c r="F14" s="529"/>
      <c r="G14" s="529"/>
      <c r="H14" s="3193">
        <v>-0.1</v>
      </c>
      <c r="I14" s="3195" t="e">
        <f>+I$13*(1+H14)</f>
        <v>#DIV/0!</v>
      </c>
      <c r="J14" s="3194" t="e">
        <f t="shared" ref="J14:J18" si="2">I14/D$13</f>
        <v>#DIV/0!</v>
      </c>
      <c r="K14" s="529"/>
      <c r="L14" s="529"/>
      <c r="M14" s="1836"/>
    </row>
    <row r="15" spans="2:13" x14ac:dyDescent="0.25">
      <c r="B15" s="1833"/>
      <c r="C15" s="3193">
        <v>0.1</v>
      </c>
      <c r="D15" s="3194" t="e">
        <f>+D$13*(1+C15)</f>
        <v>#DIV/0!</v>
      </c>
      <c r="E15" s="3194" t="e">
        <f t="shared" ref="E15:E18" si="3">I$13/D15</f>
        <v>#DIV/0!</v>
      </c>
      <c r="F15" s="529"/>
      <c r="G15" s="529"/>
      <c r="H15" s="3193">
        <v>-0.2</v>
      </c>
      <c r="I15" s="3195" t="e">
        <f>+I$13*(1+H15)</f>
        <v>#DIV/0!</v>
      </c>
      <c r="J15" s="3194" t="e">
        <f t="shared" si="2"/>
        <v>#DIV/0!</v>
      </c>
      <c r="K15" s="529"/>
      <c r="L15" s="529"/>
      <c r="M15" s="1836"/>
    </row>
    <row r="16" spans="2:13" x14ac:dyDescent="0.25">
      <c r="B16" s="1833"/>
      <c r="C16" s="3193">
        <v>0.15</v>
      </c>
      <c r="D16" s="3194" t="e">
        <f>+D$13*(1+C16)</f>
        <v>#DIV/0!</v>
      </c>
      <c r="E16" s="3194" t="e">
        <f t="shared" si="3"/>
        <v>#DIV/0!</v>
      </c>
      <c r="F16" s="529"/>
      <c r="G16" s="529"/>
      <c r="H16" s="3193">
        <v>-0.3</v>
      </c>
      <c r="I16" s="3195" t="e">
        <f>+I$13*(1+H16)</f>
        <v>#DIV/0!</v>
      </c>
      <c r="J16" s="3194" t="e">
        <f t="shared" si="2"/>
        <v>#DIV/0!</v>
      </c>
      <c r="K16" s="529"/>
      <c r="L16" s="529"/>
      <c r="M16" s="1836"/>
    </row>
    <row r="17" spans="2:13" x14ac:dyDescent="0.25">
      <c r="B17" s="1833"/>
      <c r="C17" s="3193">
        <v>0.2</v>
      </c>
      <c r="D17" s="3194" t="e">
        <f>+D$13*(1+C17)</f>
        <v>#DIV/0!</v>
      </c>
      <c r="E17" s="3194" t="e">
        <f t="shared" si="3"/>
        <v>#DIV/0!</v>
      </c>
      <c r="F17" s="529"/>
      <c r="G17" s="529"/>
      <c r="H17" s="3193">
        <v>-0.4</v>
      </c>
      <c r="I17" s="3195" t="e">
        <f>+I$13*(1+H17)</f>
        <v>#DIV/0!</v>
      </c>
      <c r="J17" s="3194" t="e">
        <f t="shared" si="2"/>
        <v>#DIV/0!</v>
      </c>
      <c r="K17" s="529"/>
      <c r="L17" s="529"/>
      <c r="M17" s="1836"/>
    </row>
    <row r="18" spans="2:13" x14ac:dyDescent="0.25">
      <c r="B18" s="1833"/>
      <c r="C18" s="3193">
        <v>0.25</v>
      </c>
      <c r="D18" s="3194" t="e">
        <f>+D$13*(1+C18)</f>
        <v>#DIV/0!</v>
      </c>
      <c r="E18" s="3194" t="e">
        <f t="shared" si="3"/>
        <v>#DIV/0!</v>
      </c>
      <c r="F18" s="529"/>
      <c r="G18" s="529"/>
      <c r="H18" s="3193">
        <v>-0.5</v>
      </c>
      <c r="I18" s="3195" t="e">
        <f>+I$13*(1+H18)</f>
        <v>#DIV/0!</v>
      </c>
      <c r="J18" s="3194" t="e">
        <f t="shared" si="2"/>
        <v>#DIV/0!</v>
      </c>
      <c r="K18" s="529"/>
      <c r="L18" s="529"/>
      <c r="M18" s="1836"/>
    </row>
    <row r="19" spans="2:13" x14ac:dyDescent="0.25">
      <c r="B19" s="1833"/>
      <c r="C19" s="529"/>
      <c r="D19" s="529"/>
      <c r="E19" s="529"/>
      <c r="F19" s="529"/>
      <c r="G19" s="529"/>
      <c r="H19" s="529"/>
      <c r="I19" s="529"/>
      <c r="J19" s="529"/>
      <c r="K19" s="529"/>
      <c r="L19" s="529"/>
      <c r="M19" s="1836"/>
    </row>
    <row r="20" spans="2:13" x14ac:dyDescent="0.25">
      <c r="B20" s="1833"/>
      <c r="C20" s="529"/>
      <c r="D20" s="529"/>
      <c r="E20" s="529"/>
      <c r="F20" s="529"/>
      <c r="G20" s="529"/>
      <c r="H20" s="529"/>
      <c r="I20" s="529"/>
      <c r="J20" s="529"/>
      <c r="K20" s="529"/>
      <c r="L20" s="529"/>
      <c r="M20" s="1836"/>
    </row>
    <row r="21" spans="2:13" x14ac:dyDescent="0.25">
      <c r="B21" s="1833"/>
      <c r="C21" s="529"/>
      <c r="D21" s="529"/>
      <c r="E21" s="529"/>
      <c r="F21" s="529"/>
      <c r="G21" s="529"/>
      <c r="H21" s="529"/>
      <c r="I21" s="529"/>
      <c r="J21" s="529"/>
      <c r="K21" s="529"/>
      <c r="L21" s="529"/>
      <c r="M21" s="1836"/>
    </row>
    <row r="22" spans="2:13" x14ac:dyDescent="0.25">
      <c r="B22" s="1833"/>
      <c r="C22" s="529"/>
      <c r="D22" s="529"/>
      <c r="E22" s="529"/>
      <c r="F22" s="529"/>
      <c r="G22" s="529"/>
      <c r="H22" s="529"/>
      <c r="I22" s="529"/>
      <c r="J22" s="529"/>
      <c r="K22" s="529"/>
      <c r="L22" s="529"/>
      <c r="M22" s="1836"/>
    </row>
    <row r="23" spans="2:13" x14ac:dyDescent="0.25">
      <c r="B23" s="1833"/>
      <c r="C23" s="529"/>
      <c r="D23" s="529"/>
      <c r="E23" s="529"/>
      <c r="F23" s="529"/>
      <c r="G23" s="529"/>
      <c r="H23" s="529"/>
      <c r="I23" s="529"/>
      <c r="J23" s="529"/>
      <c r="K23" s="529"/>
      <c r="L23" s="529"/>
      <c r="M23" s="1836"/>
    </row>
    <row r="24" spans="2:13" x14ac:dyDescent="0.25">
      <c r="B24" s="1833"/>
      <c r="C24" s="529"/>
      <c r="D24" s="529"/>
      <c r="E24" s="529"/>
      <c r="F24" s="529"/>
      <c r="G24" s="529"/>
      <c r="H24" s="529"/>
      <c r="I24" s="529"/>
      <c r="J24" s="529"/>
      <c r="K24" s="529"/>
      <c r="L24" s="529"/>
      <c r="M24" s="1836"/>
    </row>
    <row r="25" spans="2:13" x14ac:dyDescent="0.25">
      <c r="B25" s="1833"/>
      <c r="C25" s="529"/>
      <c r="D25" s="529"/>
      <c r="E25" s="529"/>
      <c r="F25" s="529"/>
      <c r="G25" s="529"/>
      <c r="H25" s="529"/>
      <c r="I25" s="529"/>
      <c r="J25" s="529"/>
      <c r="K25" s="529"/>
      <c r="L25" s="529"/>
      <c r="M25" s="1836"/>
    </row>
    <row r="26" spans="2:13" x14ac:dyDescent="0.25">
      <c r="B26" s="1833"/>
      <c r="C26" s="529"/>
      <c r="D26" s="529"/>
      <c r="E26" s="529"/>
      <c r="F26" s="529"/>
      <c r="G26" s="529"/>
      <c r="H26" s="529"/>
      <c r="I26" s="529"/>
      <c r="J26" s="529"/>
      <c r="K26" s="529"/>
      <c r="L26" s="529"/>
      <c r="M26" s="1836"/>
    </row>
    <row r="27" spans="2:13" x14ac:dyDescent="0.25">
      <c r="B27" s="1833"/>
      <c r="C27" s="529"/>
      <c r="D27" s="529"/>
      <c r="E27" s="529"/>
      <c r="F27" s="529"/>
      <c r="G27" s="529"/>
      <c r="H27" s="529"/>
      <c r="I27" s="529"/>
      <c r="J27" s="529"/>
      <c r="K27" s="529"/>
      <c r="L27" s="529"/>
      <c r="M27" s="1836"/>
    </row>
    <row r="28" spans="2:13" x14ac:dyDescent="0.25">
      <c r="B28" s="1833"/>
      <c r="C28" s="529"/>
      <c r="D28" s="529"/>
      <c r="E28" s="529"/>
      <c r="F28" s="529"/>
      <c r="G28" s="529"/>
      <c r="H28" s="529"/>
      <c r="I28" s="529"/>
      <c r="J28" s="529"/>
      <c r="K28" s="529"/>
      <c r="L28" s="529"/>
      <c r="M28" s="1836"/>
    </row>
    <row r="29" spans="2:13" x14ac:dyDescent="0.25">
      <c r="B29" s="1833"/>
      <c r="C29" s="529"/>
      <c r="D29" s="529"/>
      <c r="E29" s="529"/>
      <c r="F29" s="529"/>
      <c r="G29" s="529"/>
      <c r="H29" s="529"/>
      <c r="I29" s="529"/>
      <c r="J29" s="529"/>
      <c r="K29" s="529"/>
      <c r="L29" s="529"/>
      <c r="M29" s="1836"/>
    </row>
    <row r="30" spans="2:13" x14ac:dyDescent="0.25">
      <c r="B30" s="1833"/>
      <c r="C30" s="529"/>
      <c r="D30" s="529"/>
      <c r="E30" s="529"/>
      <c r="F30" s="529"/>
      <c r="G30" s="529"/>
      <c r="H30" s="529"/>
      <c r="I30" s="529"/>
      <c r="J30" s="529"/>
      <c r="K30" s="529"/>
      <c r="L30" s="529"/>
      <c r="M30" s="1836"/>
    </row>
    <row r="31" spans="2:13" x14ac:dyDescent="0.25">
      <c r="B31" s="1833"/>
      <c r="C31" s="529"/>
      <c r="D31" s="529"/>
      <c r="E31" s="529"/>
      <c r="F31" s="529"/>
      <c r="G31" s="529"/>
      <c r="H31" s="529"/>
      <c r="I31" s="529"/>
      <c r="J31" s="529"/>
      <c r="K31" s="529"/>
      <c r="L31" s="529"/>
      <c r="M31" s="1836"/>
    </row>
    <row r="32" spans="2:13" x14ac:dyDescent="0.25">
      <c r="B32" s="1833"/>
      <c r="C32" s="529"/>
      <c r="D32" s="529"/>
      <c r="E32" s="529"/>
      <c r="F32" s="529"/>
      <c r="G32" s="529"/>
      <c r="H32" s="529"/>
      <c r="I32" s="529"/>
      <c r="J32" s="529"/>
      <c r="K32" s="529"/>
      <c r="L32" s="529"/>
      <c r="M32" s="1836"/>
    </row>
    <row r="33" spans="2:13" x14ac:dyDescent="0.25">
      <c r="B33" s="1833"/>
      <c r="C33" s="529"/>
      <c r="D33" s="529"/>
      <c r="E33" s="529"/>
      <c r="F33" s="529"/>
      <c r="G33" s="529"/>
      <c r="H33" s="529"/>
      <c r="I33" s="529"/>
      <c r="J33" s="529"/>
      <c r="K33" s="529"/>
      <c r="L33" s="529"/>
      <c r="M33" s="1836"/>
    </row>
    <row r="34" spans="2:13" x14ac:dyDescent="0.25">
      <c r="B34" s="1833"/>
      <c r="C34" s="529"/>
      <c r="D34" s="529"/>
      <c r="E34" s="529"/>
      <c r="F34" s="529"/>
      <c r="G34" s="529"/>
      <c r="H34" s="529"/>
      <c r="I34" s="529"/>
      <c r="J34" s="529"/>
      <c r="K34" s="529"/>
      <c r="L34" s="529"/>
      <c r="M34" s="1836"/>
    </row>
    <row r="35" spans="2:13" x14ac:dyDescent="0.25">
      <c r="B35" s="1833"/>
      <c r="C35" s="529"/>
      <c r="D35" s="529"/>
      <c r="E35" s="529"/>
      <c r="F35" s="529"/>
      <c r="G35" s="529"/>
      <c r="H35" s="529"/>
      <c r="I35" s="529"/>
      <c r="J35" s="529"/>
      <c r="K35" s="529"/>
      <c r="L35" s="529"/>
      <c r="M35" s="1836"/>
    </row>
    <row r="36" spans="2:13" x14ac:dyDescent="0.25">
      <c r="B36" s="1833"/>
      <c r="C36" s="529" t="s">
        <v>5381</v>
      </c>
      <c r="D36" s="529"/>
      <c r="E36" s="529"/>
      <c r="F36" s="529"/>
      <c r="G36" s="529"/>
      <c r="H36" s="529" t="s">
        <v>5381</v>
      </c>
      <c r="I36" s="529"/>
      <c r="J36" s="529"/>
      <c r="K36" s="529"/>
      <c r="L36" s="529"/>
      <c r="M36" s="1836"/>
    </row>
    <row r="37" spans="2:13" x14ac:dyDescent="0.25">
      <c r="B37" s="1833"/>
      <c r="C37" s="529"/>
      <c r="D37" s="529"/>
      <c r="E37" s="529"/>
      <c r="F37" s="529"/>
      <c r="G37" s="529"/>
      <c r="H37" s="529"/>
      <c r="I37" s="529"/>
      <c r="J37" s="529"/>
      <c r="K37" s="529"/>
      <c r="L37" s="529"/>
      <c r="M37" s="1836"/>
    </row>
    <row r="38" spans="2:13" ht="27" x14ac:dyDescent="0.25">
      <c r="B38" s="1833"/>
      <c r="C38" s="3198" t="s">
        <v>298</v>
      </c>
      <c r="D38" s="3199" t="s">
        <v>5382</v>
      </c>
      <c r="F38" s="529"/>
      <c r="G38" s="529"/>
      <c r="H38" s="529"/>
      <c r="I38" s="529"/>
      <c r="J38" s="529"/>
      <c r="K38" s="529"/>
      <c r="L38" s="529"/>
      <c r="M38" s="1836"/>
    </row>
    <row r="39" spans="2:13" x14ac:dyDescent="0.25">
      <c r="B39" s="1833"/>
      <c r="C39" s="3200" t="s">
        <v>5383</v>
      </c>
      <c r="D39" s="3201" t="e">
        <f>'27 Costos INCREM'!D52</f>
        <v>#DIV/0!</v>
      </c>
      <c r="F39" s="529"/>
      <c r="G39" s="529"/>
      <c r="H39" s="529"/>
      <c r="I39" s="529"/>
      <c r="J39" s="529"/>
      <c r="K39" s="529"/>
      <c r="L39" s="529"/>
      <c r="M39" s="1836"/>
    </row>
    <row r="40" spans="2:13" x14ac:dyDescent="0.25">
      <c r="B40" s="1833"/>
      <c r="C40" s="3202" t="s">
        <v>5384</v>
      </c>
      <c r="D40" s="3203" t="e">
        <f>'27 Costos INCREM'!D68</f>
        <v>#DIV/0!</v>
      </c>
      <c r="F40" s="529"/>
      <c r="G40" s="529"/>
      <c r="H40" s="529"/>
      <c r="I40" s="529"/>
      <c r="J40" s="529"/>
      <c r="K40" s="529"/>
      <c r="L40" s="529"/>
      <c r="M40" s="1836"/>
    </row>
    <row r="41" spans="2:13" x14ac:dyDescent="0.25">
      <c r="B41" s="1833"/>
      <c r="C41" s="3204" t="s">
        <v>5385</v>
      </c>
      <c r="D41" s="3205" t="e">
        <f>D39/D40</f>
        <v>#DIV/0!</v>
      </c>
      <c r="F41" s="529"/>
      <c r="G41" s="529"/>
      <c r="H41" s="529"/>
      <c r="I41" s="529"/>
      <c r="J41" s="529"/>
      <c r="K41" s="529"/>
      <c r="L41" s="529"/>
      <c r="M41" s="1836"/>
    </row>
    <row r="42" spans="2:13" ht="14.25" thickBot="1" x14ac:dyDescent="0.3">
      <c r="B42" s="3206"/>
      <c r="C42" s="3207"/>
      <c r="D42" s="3207"/>
      <c r="E42" s="3207"/>
      <c r="F42" s="3207"/>
      <c r="G42" s="3207"/>
      <c r="H42" s="3207"/>
      <c r="I42" s="3207"/>
      <c r="J42" s="3207"/>
      <c r="K42" s="3207"/>
      <c r="L42" s="3207"/>
      <c r="M42" s="3208"/>
    </row>
    <row r="45" spans="2:13" x14ac:dyDescent="0.25">
      <c r="C45" s="5176" t="s">
        <v>5386</v>
      </c>
      <c r="D45" s="5176"/>
      <c r="E45" s="5176"/>
      <c r="F45" s="5176"/>
    </row>
    <row r="46" spans="2:13" x14ac:dyDescent="0.25">
      <c r="C46" s="5177" t="s">
        <v>5387</v>
      </c>
      <c r="D46" s="5179" t="s">
        <v>5147</v>
      </c>
      <c r="E46" s="5179"/>
      <c r="F46" s="5180"/>
    </row>
    <row r="47" spans="2:13" x14ac:dyDescent="0.25">
      <c r="C47" s="5178"/>
      <c r="D47" s="3209" t="s">
        <v>5388</v>
      </c>
      <c r="E47" s="3209" t="s">
        <v>5141</v>
      </c>
      <c r="F47" s="3210" t="s">
        <v>5389</v>
      </c>
    </row>
    <row r="48" spans="2:13" x14ac:dyDescent="0.25">
      <c r="C48" s="3211">
        <v>-0.25</v>
      </c>
      <c r="D48" s="3212" t="e">
        <f>+D51*(1+C48)</f>
        <v>#DIV/0!</v>
      </c>
      <c r="E48" s="3213" t="e">
        <f>E49</f>
        <v>#DIV/0!</v>
      </c>
      <c r="F48" s="3214" t="e">
        <f t="shared" ref="F48:F58" si="4">+D48/E48</f>
        <v>#DIV/0!</v>
      </c>
    </row>
    <row r="49" spans="3:6" x14ac:dyDescent="0.25">
      <c r="C49" s="3211">
        <v>-0.2</v>
      </c>
      <c r="D49" s="3212" t="e">
        <f>+D52*(1+C49)</f>
        <v>#DIV/0!</v>
      </c>
      <c r="E49" s="3213" t="e">
        <f>E50</f>
        <v>#DIV/0!</v>
      </c>
      <c r="F49" s="3214" t="e">
        <f t="shared" si="4"/>
        <v>#DIV/0!</v>
      </c>
    </row>
    <row r="50" spans="3:6" x14ac:dyDescent="0.25">
      <c r="C50" s="3211">
        <v>-0.15</v>
      </c>
      <c r="D50" s="3212" t="e">
        <f>+D53*(1+C50)</f>
        <v>#DIV/0!</v>
      </c>
      <c r="E50" s="3213" t="e">
        <f>+E51</f>
        <v>#DIV/0!</v>
      </c>
      <c r="F50" s="3214" t="e">
        <f t="shared" si="4"/>
        <v>#DIV/0!</v>
      </c>
    </row>
    <row r="51" spans="3:6" x14ac:dyDescent="0.25">
      <c r="C51" s="3211">
        <v>-0.1</v>
      </c>
      <c r="D51" s="3212" t="e">
        <f>+D53*(1+C51)</f>
        <v>#DIV/0!</v>
      </c>
      <c r="E51" s="3213" t="e">
        <f>+E52</f>
        <v>#DIV/0!</v>
      </c>
      <c r="F51" s="3214" t="e">
        <f t="shared" si="4"/>
        <v>#DIV/0!</v>
      </c>
    </row>
    <row r="52" spans="3:6" x14ac:dyDescent="0.25">
      <c r="C52" s="3211">
        <v>-0.05</v>
      </c>
      <c r="D52" s="3212" t="e">
        <f>+D53*(1+C52)</f>
        <v>#DIV/0!</v>
      </c>
      <c r="E52" s="3213" t="e">
        <f>+E53</f>
        <v>#DIV/0!</v>
      </c>
      <c r="F52" s="3214" t="e">
        <f t="shared" si="4"/>
        <v>#DIV/0!</v>
      </c>
    </row>
    <row r="53" spans="3:6" x14ac:dyDescent="0.25">
      <c r="C53" s="3215">
        <v>0</v>
      </c>
      <c r="D53" s="3216" t="e">
        <f>'27 Costos INCREM'!D52</f>
        <v>#DIV/0!</v>
      </c>
      <c r="E53" s="3217" t="e">
        <f>'27 Costos INCREM'!D54</f>
        <v>#DIV/0!</v>
      </c>
      <c r="F53" s="3218" t="e">
        <f t="shared" si="4"/>
        <v>#DIV/0!</v>
      </c>
    </row>
    <row r="54" spans="3:6" x14ac:dyDescent="0.25">
      <c r="C54" s="3211">
        <v>0.05</v>
      </c>
      <c r="D54" s="3212" t="e">
        <f>+D53*(1+C54)</f>
        <v>#DIV/0!</v>
      </c>
      <c r="E54" s="3213" t="e">
        <f>+E53</f>
        <v>#DIV/0!</v>
      </c>
      <c r="F54" s="3214" t="e">
        <f t="shared" si="4"/>
        <v>#DIV/0!</v>
      </c>
    </row>
    <row r="55" spans="3:6" x14ac:dyDescent="0.25">
      <c r="C55" s="3211">
        <v>0.1</v>
      </c>
      <c r="D55" s="3212" t="e">
        <f>+D53*(1+C55)</f>
        <v>#DIV/0!</v>
      </c>
      <c r="E55" s="3213" t="e">
        <f>+E54</f>
        <v>#DIV/0!</v>
      </c>
      <c r="F55" s="3214" t="e">
        <f t="shared" si="4"/>
        <v>#DIV/0!</v>
      </c>
    </row>
    <row r="56" spans="3:6" x14ac:dyDescent="0.25">
      <c r="C56" s="3211">
        <v>0.15</v>
      </c>
      <c r="D56" s="3212" t="e">
        <f>+D53*(1+C56)</f>
        <v>#DIV/0!</v>
      </c>
      <c r="E56" s="3213" t="e">
        <f>+E55</f>
        <v>#DIV/0!</v>
      </c>
      <c r="F56" s="3214" t="e">
        <f t="shared" si="4"/>
        <v>#DIV/0!</v>
      </c>
    </row>
    <row r="57" spans="3:6" x14ac:dyDescent="0.25">
      <c r="C57" s="3211">
        <v>0.2</v>
      </c>
      <c r="D57" s="3212" t="e">
        <f>+D54*(1+C57)</f>
        <v>#DIV/0!</v>
      </c>
      <c r="E57" s="3213" t="e">
        <f>E56</f>
        <v>#DIV/0!</v>
      </c>
      <c r="F57" s="3214" t="e">
        <f t="shared" si="4"/>
        <v>#DIV/0!</v>
      </c>
    </row>
    <row r="58" spans="3:6" x14ac:dyDescent="0.25">
      <c r="C58" s="3211">
        <v>0.25</v>
      </c>
      <c r="D58" s="3212" t="e">
        <f>+D55*(1+C58)</f>
        <v>#DIV/0!</v>
      </c>
      <c r="E58" s="3213" t="e">
        <f>E57</f>
        <v>#DIV/0!</v>
      </c>
      <c r="F58" s="3214" t="e">
        <f t="shared" si="4"/>
        <v>#DIV/0!</v>
      </c>
    </row>
    <row r="59" spans="3:6" x14ac:dyDescent="0.25">
      <c r="C59" s="3219" t="s">
        <v>5390</v>
      </c>
      <c r="D59" s="3219"/>
      <c r="E59" s="3219"/>
      <c r="F59" s="3219"/>
    </row>
    <row r="62" spans="3:6" x14ac:dyDescent="0.25">
      <c r="C62" s="5168" t="s">
        <v>5391</v>
      </c>
      <c r="D62" s="5168"/>
      <c r="E62" s="5168"/>
      <c r="F62" s="5168"/>
    </row>
    <row r="63" spans="3:6" x14ac:dyDescent="0.25">
      <c r="C63" s="5169" t="s">
        <v>5392</v>
      </c>
      <c r="D63" s="5170" t="s">
        <v>5141</v>
      </c>
      <c r="E63" s="5170" t="s">
        <v>5393</v>
      </c>
      <c r="F63" s="5171" t="s">
        <v>3271</v>
      </c>
    </row>
    <row r="64" spans="3:6" x14ac:dyDescent="0.25">
      <c r="C64" s="5169"/>
      <c r="D64" s="5170"/>
      <c r="E64" s="5170"/>
      <c r="F64" s="5171"/>
    </row>
    <row r="65" spans="3:6" x14ac:dyDescent="0.25">
      <c r="C65" s="3220">
        <f t="shared" ref="C65:C71" si="5">C66+2.5%</f>
        <v>1.1999999999999993</v>
      </c>
      <c r="D65" s="3221" t="e">
        <f>$D$73*C65</f>
        <v>#DIV/0!</v>
      </c>
      <c r="E65" s="3221" t="e">
        <f t="shared" ref="E65:E71" si="6">E66</f>
        <v>#DIV/0!</v>
      </c>
      <c r="F65" s="3222" t="e">
        <f>E65/D65</f>
        <v>#DIV/0!</v>
      </c>
    </row>
    <row r="66" spans="3:6" x14ac:dyDescent="0.25">
      <c r="C66" s="3220">
        <f t="shared" si="5"/>
        <v>1.1749999999999994</v>
      </c>
      <c r="D66" s="3221" t="e">
        <f t="shared" ref="D66:D72" si="7">$D$73*C66</f>
        <v>#DIV/0!</v>
      </c>
      <c r="E66" s="3221" t="e">
        <f t="shared" si="6"/>
        <v>#DIV/0!</v>
      </c>
      <c r="F66" s="3222" t="e">
        <f t="shared" ref="F66:F81" si="8">E66/D66</f>
        <v>#DIV/0!</v>
      </c>
    </row>
    <row r="67" spans="3:6" x14ac:dyDescent="0.25">
      <c r="C67" s="3220">
        <f t="shared" si="5"/>
        <v>1.1499999999999995</v>
      </c>
      <c r="D67" s="3221" t="e">
        <f t="shared" si="7"/>
        <v>#DIV/0!</v>
      </c>
      <c r="E67" s="3221" t="e">
        <f t="shared" si="6"/>
        <v>#DIV/0!</v>
      </c>
      <c r="F67" s="3222" t="e">
        <f t="shared" si="8"/>
        <v>#DIV/0!</v>
      </c>
    </row>
    <row r="68" spans="3:6" x14ac:dyDescent="0.25">
      <c r="C68" s="3220">
        <f t="shared" si="5"/>
        <v>1.1249999999999996</v>
      </c>
      <c r="D68" s="3221" t="e">
        <f t="shared" si="7"/>
        <v>#DIV/0!</v>
      </c>
      <c r="E68" s="3221" t="e">
        <f t="shared" si="6"/>
        <v>#DIV/0!</v>
      </c>
      <c r="F68" s="3222" t="e">
        <f t="shared" si="8"/>
        <v>#DIV/0!</v>
      </c>
    </row>
    <row r="69" spans="3:6" x14ac:dyDescent="0.25">
      <c r="C69" s="3220">
        <f t="shared" si="5"/>
        <v>1.0999999999999996</v>
      </c>
      <c r="D69" s="3221" t="e">
        <f t="shared" si="7"/>
        <v>#DIV/0!</v>
      </c>
      <c r="E69" s="3221" t="e">
        <f t="shared" si="6"/>
        <v>#DIV/0!</v>
      </c>
      <c r="F69" s="3222" t="e">
        <f t="shared" si="8"/>
        <v>#DIV/0!</v>
      </c>
    </row>
    <row r="70" spans="3:6" x14ac:dyDescent="0.25">
      <c r="C70" s="3220">
        <f t="shared" si="5"/>
        <v>1.0749999999999997</v>
      </c>
      <c r="D70" s="3221" t="e">
        <f t="shared" si="7"/>
        <v>#DIV/0!</v>
      </c>
      <c r="E70" s="3221" t="e">
        <f t="shared" si="6"/>
        <v>#DIV/0!</v>
      </c>
      <c r="F70" s="3222" t="e">
        <f t="shared" si="8"/>
        <v>#DIV/0!</v>
      </c>
    </row>
    <row r="71" spans="3:6" x14ac:dyDescent="0.25">
      <c r="C71" s="3220">
        <f t="shared" si="5"/>
        <v>1.0499999999999998</v>
      </c>
      <c r="D71" s="3221" t="e">
        <f t="shared" si="7"/>
        <v>#DIV/0!</v>
      </c>
      <c r="E71" s="3221" t="e">
        <f t="shared" si="6"/>
        <v>#DIV/0!</v>
      </c>
      <c r="F71" s="3222" t="e">
        <f t="shared" si="8"/>
        <v>#DIV/0!</v>
      </c>
    </row>
    <row r="72" spans="3:6" x14ac:dyDescent="0.25">
      <c r="C72" s="3220">
        <f>C73+2.5%</f>
        <v>1.0249999999999999</v>
      </c>
      <c r="D72" s="3221" t="e">
        <f t="shared" si="7"/>
        <v>#DIV/0!</v>
      </c>
      <c r="E72" s="3221" t="e">
        <f>E73</f>
        <v>#DIV/0!</v>
      </c>
      <c r="F72" s="3222" t="e">
        <f t="shared" si="8"/>
        <v>#DIV/0!</v>
      </c>
    </row>
    <row r="73" spans="3:6" x14ac:dyDescent="0.25">
      <c r="C73" s="3837">
        <v>1</v>
      </c>
      <c r="D73" s="3838" t="e">
        <f>E53</f>
        <v>#DIV/0!</v>
      </c>
      <c r="E73" s="3838" t="e">
        <f>D53</f>
        <v>#DIV/0!</v>
      </c>
      <c r="F73" s="3839" t="e">
        <f>E73/D73</f>
        <v>#DIV/0!</v>
      </c>
    </row>
    <row r="74" spans="3:6" x14ac:dyDescent="0.25">
      <c r="C74" s="3220">
        <f>C73-2.5%</f>
        <v>0.97499999999999998</v>
      </c>
      <c r="D74" s="3221" t="e">
        <f>$D$73*C74</f>
        <v>#DIV/0!</v>
      </c>
      <c r="E74" s="3221" t="e">
        <f>E73</f>
        <v>#DIV/0!</v>
      </c>
      <c r="F74" s="3222" t="e">
        <f t="shared" si="8"/>
        <v>#DIV/0!</v>
      </c>
    </row>
    <row r="75" spans="3:6" x14ac:dyDescent="0.25">
      <c r="C75" s="3220">
        <f t="shared" ref="C75:C81" si="9">C74-2.5%</f>
        <v>0.95</v>
      </c>
      <c r="D75" s="3221" t="e">
        <f t="shared" ref="D75:D81" si="10">$D$73*C75</f>
        <v>#DIV/0!</v>
      </c>
      <c r="E75" s="3221" t="e">
        <f t="shared" ref="E75:E81" si="11">E74</f>
        <v>#DIV/0!</v>
      </c>
      <c r="F75" s="3222" t="e">
        <f t="shared" si="8"/>
        <v>#DIV/0!</v>
      </c>
    </row>
    <row r="76" spans="3:6" x14ac:dyDescent="0.25">
      <c r="C76" s="3220">
        <f t="shared" si="9"/>
        <v>0.92499999999999993</v>
      </c>
      <c r="D76" s="3221" t="e">
        <f t="shared" si="10"/>
        <v>#DIV/0!</v>
      </c>
      <c r="E76" s="3221" t="e">
        <f t="shared" si="11"/>
        <v>#DIV/0!</v>
      </c>
      <c r="F76" s="3222" t="e">
        <f t="shared" si="8"/>
        <v>#DIV/0!</v>
      </c>
    </row>
    <row r="77" spans="3:6" x14ac:dyDescent="0.25">
      <c r="C77" s="3220">
        <f t="shared" si="9"/>
        <v>0.89999999999999991</v>
      </c>
      <c r="D77" s="3221" t="e">
        <f t="shared" si="10"/>
        <v>#DIV/0!</v>
      </c>
      <c r="E77" s="3221" t="e">
        <f t="shared" si="11"/>
        <v>#DIV/0!</v>
      </c>
      <c r="F77" s="3222" t="e">
        <f t="shared" si="8"/>
        <v>#DIV/0!</v>
      </c>
    </row>
    <row r="78" spans="3:6" x14ac:dyDescent="0.25">
      <c r="C78" s="3220">
        <f t="shared" si="9"/>
        <v>0.87499999999999989</v>
      </c>
      <c r="D78" s="3221" t="e">
        <f t="shared" si="10"/>
        <v>#DIV/0!</v>
      </c>
      <c r="E78" s="3221" t="e">
        <f t="shared" si="11"/>
        <v>#DIV/0!</v>
      </c>
      <c r="F78" s="3222" t="e">
        <f t="shared" si="8"/>
        <v>#DIV/0!</v>
      </c>
    </row>
    <row r="79" spans="3:6" x14ac:dyDescent="0.25">
      <c r="C79" s="3220">
        <f t="shared" si="9"/>
        <v>0.84999999999999987</v>
      </c>
      <c r="D79" s="3221" t="e">
        <f t="shared" si="10"/>
        <v>#DIV/0!</v>
      </c>
      <c r="E79" s="3221" t="e">
        <f t="shared" si="11"/>
        <v>#DIV/0!</v>
      </c>
      <c r="F79" s="3222" t="e">
        <f t="shared" si="8"/>
        <v>#DIV/0!</v>
      </c>
    </row>
    <row r="80" spans="3:6" x14ac:dyDescent="0.25">
      <c r="C80" s="3220">
        <f t="shared" si="9"/>
        <v>0.82499999999999984</v>
      </c>
      <c r="D80" s="3221" t="e">
        <f t="shared" si="10"/>
        <v>#DIV/0!</v>
      </c>
      <c r="E80" s="3221" t="e">
        <f t="shared" si="11"/>
        <v>#DIV/0!</v>
      </c>
      <c r="F80" s="3222" t="e">
        <f t="shared" si="8"/>
        <v>#DIV/0!</v>
      </c>
    </row>
    <row r="81" spans="3:7" x14ac:dyDescent="0.25">
      <c r="C81" s="3220">
        <f t="shared" si="9"/>
        <v>0.79999999999999982</v>
      </c>
      <c r="D81" s="3221" t="e">
        <f t="shared" si="10"/>
        <v>#DIV/0!</v>
      </c>
      <c r="E81" s="3221" t="e">
        <f t="shared" si="11"/>
        <v>#DIV/0!</v>
      </c>
      <c r="F81" s="3222" t="e">
        <f t="shared" si="8"/>
        <v>#DIV/0!</v>
      </c>
    </row>
    <row r="84" spans="3:7" x14ac:dyDescent="0.25">
      <c r="C84" s="5172" t="s">
        <v>5394</v>
      </c>
      <c r="D84" s="5172"/>
      <c r="E84" s="5172"/>
      <c r="F84" s="5172"/>
      <c r="G84" s="5172"/>
    </row>
    <row r="85" spans="3:7" x14ac:dyDescent="0.25">
      <c r="C85" s="4518" t="s">
        <v>5392</v>
      </c>
      <c r="D85" s="4519" t="s">
        <v>5141</v>
      </c>
      <c r="E85" s="4519" t="s">
        <v>5395</v>
      </c>
      <c r="F85" s="4519" t="s">
        <v>5147</v>
      </c>
      <c r="G85" s="4520"/>
    </row>
    <row r="86" spans="3:7" x14ac:dyDescent="0.25">
      <c r="C86" s="5166"/>
      <c r="D86" s="5167"/>
      <c r="E86" s="5167"/>
      <c r="F86" s="1276" t="s">
        <v>5393</v>
      </c>
      <c r="G86" s="1277" t="s">
        <v>3271</v>
      </c>
    </row>
    <row r="87" spans="3:7" x14ac:dyDescent="0.25">
      <c r="C87" s="3223">
        <f t="shared" ref="C87:C93" si="12">C88+2.5%</f>
        <v>1.1999999999999993</v>
      </c>
      <c r="D87" s="3224" t="e">
        <f t="shared" ref="D87:D93" si="13">D88</f>
        <v>#DIV/0!</v>
      </c>
      <c r="E87" s="3225" t="e">
        <f>$D$54*C87</f>
        <v>#DIV/0!</v>
      </c>
      <c r="F87" s="3225" t="e">
        <f>$F$95*C87</f>
        <v>#DIV/0!</v>
      </c>
      <c r="G87" s="3225" t="e">
        <f>F87/D87</f>
        <v>#DIV/0!</v>
      </c>
    </row>
    <row r="88" spans="3:7" x14ac:dyDescent="0.25">
      <c r="C88" s="3223">
        <f t="shared" si="12"/>
        <v>1.1749999999999994</v>
      </c>
      <c r="D88" s="3224" t="e">
        <f t="shared" si="13"/>
        <v>#DIV/0!</v>
      </c>
      <c r="E88" s="3225" t="e">
        <f t="shared" ref="E88:E94" si="14">$D$54*C88</f>
        <v>#DIV/0!</v>
      </c>
      <c r="F88" s="3225" t="e">
        <f t="shared" ref="F88:F94" si="15">$F$95*C88</f>
        <v>#DIV/0!</v>
      </c>
      <c r="G88" s="3225" t="e">
        <f t="shared" ref="G88:G103" si="16">F88/D88</f>
        <v>#DIV/0!</v>
      </c>
    </row>
    <row r="89" spans="3:7" x14ac:dyDescent="0.25">
      <c r="C89" s="3223">
        <f t="shared" si="12"/>
        <v>1.1499999999999995</v>
      </c>
      <c r="D89" s="3224" t="e">
        <f t="shared" si="13"/>
        <v>#DIV/0!</v>
      </c>
      <c r="E89" s="3225" t="e">
        <f t="shared" si="14"/>
        <v>#DIV/0!</v>
      </c>
      <c r="F89" s="3225" t="e">
        <f t="shared" si="15"/>
        <v>#DIV/0!</v>
      </c>
      <c r="G89" s="3225" t="e">
        <f t="shared" si="16"/>
        <v>#DIV/0!</v>
      </c>
    </row>
    <row r="90" spans="3:7" x14ac:dyDescent="0.25">
      <c r="C90" s="3223">
        <f t="shared" si="12"/>
        <v>1.1249999999999996</v>
      </c>
      <c r="D90" s="3224" t="e">
        <f t="shared" si="13"/>
        <v>#DIV/0!</v>
      </c>
      <c r="E90" s="3225" t="e">
        <f t="shared" si="14"/>
        <v>#DIV/0!</v>
      </c>
      <c r="F90" s="3225" t="e">
        <f t="shared" si="15"/>
        <v>#DIV/0!</v>
      </c>
      <c r="G90" s="3225" t="e">
        <f t="shared" si="16"/>
        <v>#DIV/0!</v>
      </c>
    </row>
    <row r="91" spans="3:7" x14ac:dyDescent="0.25">
      <c r="C91" s="3223">
        <f t="shared" si="12"/>
        <v>1.0999999999999996</v>
      </c>
      <c r="D91" s="3224" t="e">
        <f t="shared" si="13"/>
        <v>#DIV/0!</v>
      </c>
      <c r="E91" s="3225" t="e">
        <f t="shared" si="14"/>
        <v>#DIV/0!</v>
      </c>
      <c r="F91" s="3225" t="e">
        <f t="shared" si="15"/>
        <v>#DIV/0!</v>
      </c>
      <c r="G91" s="3225" t="e">
        <f t="shared" si="16"/>
        <v>#DIV/0!</v>
      </c>
    </row>
    <row r="92" spans="3:7" x14ac:dyDescent="0.25">
      <c r="C92" s="3223">
        <f t="shared" si="12"/>
        <v>1.0749999999999997</v>
      </c>
      <c r="D92" s="3224" t="e">
        <f t="shared" si="13"/>
        <v>#DIV/0!</v>
      </c>
      <c r="E92" s="3225" t="e">
        <f t="shared" si="14"/>
        <v>#DIV/0!</v>
      </c>
      <c r="F92" s="3225" t="e">
        <f t="shared" si="15"/>
        <v>#DIV/0!</v>
      </c>
      <c r="G92" s="3225" t="e">
        <f t="shared" si="16"/>
        <v>#DIV/0!</v>
      </c>
    </row>
    <row r="93" spans="3:7" x14ac:dyDescent="0.25">
      <c r="C93" s="3223">
        <f t="shared" si="12"/>
        <v>1.0499999999999998</v>
      </c>
      <c r="D93" s="3224" t="e">
        <f t="shared" si="13"/>
        <v>#DIV/0!</v>
      </c>
      <c r="E93" s="3225" t="e">
        <f t="shared" si="14"/>
        <v>#DIV/0!</v>
      </c>
      <c r="F93" s="3225" t="e">
        <f t="shared" si="15"/>
        <v>#DIV/0!</v>
      </c>
      <c r="G93" s="3225" t="e">
        <f t="shared" si="16"/>
        <v>#DIV/0!</v>
      </c>
    </row>
    <row r="94" spans="3:7" x14ac:dyDescent="0.25">
      <c r="C94" s="3223">
        <f>C95+2.5%</f>
        <v>1.0249999999999999</v>
      </c>
      <c r="D94" s="3224" t="e">
        <f>D95</f>
        <v>#DIV/0!</v>
      </c>
      <c r="E94" s="3225" t="e">
        <f t="shared" si="14"/>
        <v>#DIV/0!</v>
      </c>
      <c r="F94" s="3225" t="e">
        <f t="shared" si="15"/>
        <v>#DIV/0!</v>
      </c>
      <c r="G94" s="3225" t="e">
        <f t="shared" si="16"/>
        <v>#DIV/0!</v>
      </c>
    </row>
    <row r="95" spans="3:7" x14ac:dyDescent="0.25">
      <c r="C95" s="3226">
        <v>1</v>
      </c>
      <c r="D95" s="3227" t="e">
        <f>D73</f>
        <v>#DIV/0!</v>
      </c>
      <c r="E95" s="3228">
        <f>'27 Costos INCREM'!D55</f>
        <v>20073276.755627658</v>
      </c>
      <c r="F95" s="3228" t="e">
        <f>E73</f>
        <v>#DIV/0!</v>
      </c>
      <c r="G95" s="3228" t="e">
        <f>F95/D95</f>
        <v>#DIV/0!</v>
      </c>
    </row>
    <row r="96" spans="3:7" x14ac:dyDescent="0.25">
      <c r="C96" s="3223">
        <f>C95-2.5%</f>
        <v>0.97499999999999998</v>
      </c>
      <c r="D96" s="3224" t="e">
        <f>D95</f>
        <v>#DIV/0!</v>
      </c>
      <c r="E96" s="3225" t="e">
        <f>$D$54*C96</f>
        <v>#DIV/0!</v>
      </c>
      <c r="F96" s="3225" t="e">
        <f>$F$95*C96</f>
        <v>#DIV/0!</v>
      </c>
      <c r="G96" s="3225" t="e">
        <f t="shared" si="16"/>
        <v>#DIV/0!</v>
      </c>
    </row>
    <row r="97" spans="3:7" x14ac:dyDescent="0.25">
      <c r="C97" s="3223">
        <f t="shared" ref="C97:C103" si="17">C96-2.5%</f>
        <v>0.95</v>
      </c>
      <c r="D97" s="3224" t="e">
        <f t="shared" ref="D97:D103" si="18">D96</f>
        <v>#DIV/0!</v>
      </c>
      <c r="E97" s="3225" t="e">
        <f t="shared" ref="E97:E103" si="19">$D$54*C97</f>
        <v>#DIV/0!</v>
      </c>
      <c r="F97" s="3225" t="e">
        <f t="shared" ref="F97:F103" si="20">$F$95*C97</f>
        <v>#DIV/0!</v>
      </c>
      <c r="G97" s="3225" t="e">
        <f t="shared" si="16"/>
        <v>#DIV/0!</v>
      </c>
    </row>
    <row r="98" spans="3:7" x14ac:dyDescent="0.25">
      <c r="C98" s="3223">
        <f t="shared" si="17"/>
        <v>0.92499999999999993</v>
      </c>
      <c r="D98" s="3224" t="e">
        <f t="shared" si="18"/>
        <v>#DIV/0!</v>
      </c>
      <c r="E98" s="3225" t="e">
        <f t="shared" si="19"/>
        <v>#DIV/0!</v>
      </c>
      <c r="F98" s="3225" t="e">
        <f t="shared" si="20"/>
        <v>#DIV/0!</v>
      </c>
      <c r="G98" s="3225" t="e">
        <f t="shared" si="16"/>
        <v>#DIV/0!</v>
      </c>
    </row>
    <row r="99" spans="3:7" x14ac:dyDescent="0.25">
      <c r="C99" s="3223">
        <f t="shared" si="17"/>
        <v>0.89999999999999991</v>
      </c>
      <c r="D99" s="3224" t="e">
        <f t="shared" si="18"/>
        <v>#DIV/0!</v>
      </c>
      <c r="E99" s="3225" t="e">
        <f t="shared" si="19"/>
        <v>#DIV/0!</v>
      </c>
      <c r="F99" s="3225" t="e">
        <f t="shared" si="20"/>
        <v>#DIV/0!</v>
      </c>
      <c r="G99" s="3225" t="e">
        <f t="shared" si="16"/>
        <v>#DIV/0!</v>
      </c>
    </row>
    <row r="100" spans="3:7" x14ac:dyDescent="0.25">
      <c r="C100" s="3223">
        <f t="shared" si="17"/>
        <v>0.87499999999999989</v>
      </c>
      <c r="D100" s="3224" t="e">
        <f t="shared" si="18"/>
        <v>#DIV/0!</v>
      </c>
      <c r="E100" s="3225" t="e">
        <f t="shared" si="19"/>
        <v>#DIV/0!</v>
      </c>
      <c r="F100" s="3225" t="e">
        <f t="shared" si="20"/>
        <v>#DIV/0!</v>
      </c>
      <c r="G100" s="3225" t="e">
        <f t="shared" si="16"/>
        <v>#DIV/0!</v>
      </c>
    </row>
    <row r="101" spans="3:7" x14ac:dyDescent="0.25">
      <c r="C101" s="3223">
        <f t="shared" si="17"/>
        <v>0.84999999999999987</v>
      </c>
      <c r="D101" s="3224" t="e">
        <f t="shared" si="18"/>
        <v>#DIV/0!</v>
      </c>
      <c r="E101" s="3225" t="e">
        <f t="shared" si="19"/>
        <v>#DIV/0!</v>
      </c>
      <c r="F101" s="3225" t="e">
        <f t="shared" si="20"/>
        <v>#DIV/0!</v>
      </c>
      <c r="G101" s="3225" t="e">
        <f t="shared" si="16"/>
        <v>#DIV/0!</v>
      </c>
    </row>
    <row r="102" spans="3:7" x14ac:dyDescent="0.25">
      <c r="C102" s="3223">
        <f t="shared" si="17"/>
        <v>0.82499999999999984</v>
      </c>
      <c r="D102" s="3224" t="e">
        <f t="shared" si="18"/>
        <v>#DIV/0!</v>
      </c>
      <c r="E102" s="3225" t="e">
        <f t="shared" si="19"/>
        <v>#DIV/0!</v>
      </c>
      <c r="F102" s="3225" t="e">
        <f t="shared" si="20"/>
        <v>#DIV/0!</v>
      </c>
      <c r="G102" s="3225" t="e">
        <f t="shared" si="16"/>
        <v>#DIV/0!</v>
      </c>
    </row>
    <row r="103" spans="3:7" x14ac:dyDescent="0.25">
      <c r="C103" s="3223">
        <f t="shared" si="17"/>
        <v>0.79999999999999982</v>
      </c>
      <c r="D103" s="3224" t="e">
        <f t="shared" si="18"/>
        <v>#DIV/0!</v>
      </c>
      <c r="E103" s="3225" t="e">
        <f t="shared" si="19"/>
        <v>#DIV/0!</v>
      </c>
      <c r="F103" s="3225" t="e">
        <f t="shared" si="20"/>
        <v>#DIV/0!</v>
      </c>
      <c r="G103" s="3225" t="e">
        <f t="shared" si="16"/>
        <v>#DIV/0!</v>
      </c>
    </row>
  </sheetData>
  <mergeCells count="16">
    <mergeCell ref="C4:L4"/>
    <mergeCell ref="C6:E6"/>
    <mergeCell ref="H6:J6"/>
    <mergeCell ref="C45:F45"/>
    <mergeCell ref="C46:C47"/>
    <mergeCell ref="D46:F46"/>
    <mergeCell ref="C85:C86"/>
    <mergeCell ref="D85:D86"/>
    <mergeCell ref="E85:E86"/>
    <mergeCell ref="F85:G85"/>
    <mergeCell ref="C62:F62"/>
    <mergeCell ref="C63:C64"/>
    <mergeCell ref="D63:D64"/>
    <mergeCell ref="E63:E64"/>
    <mergeCell ref="F63:F64"/>
    <mergeCell ref="C84:G84"/>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FFC000"/>
  </sheetPr>
  <dimension ref="A1:AU69"/>
  <sheetViews>
    <sheetView topLeftCell="B1" zoomScale="85" zoomScaleNormal="85" workbookViewId="0">
      <selection activeCell="AA7" sqref="AA7"/>
    </sheetView>
  </sheetViews>
  <sheetFormatPr baseColWidth="10" defaultColWidth="11.5703125" defaultRowHeight="12.75" x14ac:dyDescent="0.25"/>
  <cols>
    <col min="1" max="1" width="11" style="3069" customWidth="1"/>
    <col min="2" max="2" width="5.140625" style="3069" customWidth="1"/>
    <col min="3" max="3" width="6" style="3069" customWidth="1"/>
    <col min="4" max="4" width="45.140625" style="3069" customWidth="1"/>
    <col min="5" max="5" width="6.42578125" style="3069" customWidth="1"/>
    <col min="6" max="41" width="2.7109375" style="3069" customWidth="1"/>
    <col min="42" max="42" width="12.85546875" style="3069" customWidth="1"/>
    <col min="43" max="43" width="14.140625" style="3069" customWidth="1"/>
    <col min="44" max="44" width="23.7109375" style="3069" customWidth="1"/>
    <col min="45" max="45" width="15.28515625" style="3069" customWidth="1"/>
    <col min="46" max="46" width="22.7109375" style="3069" customWidth="1"/>
    <col min="47" max="47" width="13.85546875" style="3069" customWidth="1"/>
    <col min="48" max="211" width="11.5703125" style="3069"/>
    <col min="212" max="212" width="3.7109375" style="3069" customWidth="1"/>
    <col min="213" max="213" width="63.7109375" style="3069" customWidth="1"/>
    <col min="214" max="214" width="8.5703125" style="3069" customWidth="1"/>
    <col min="215" max="215" width="8.42578125" style="3069" customWidth="1"/>
    <col min="216" max="216" width="5.7109375" style="3069" customWidth="1"/>
    <col min="217" max="217" width="6" style="3069" customWidth="1"/>
    <col min="218" max="218" width="1.85546875" style="3069" customWidth="1"/>
    <col min="219" max="229" width="2.140625" style="3069" customWidth="1"/>
    <col min="230" max="253" width="2.7109375" style="3069" bestFit="1" customWidth="1"/>
    <col min="254" max="467" width="11.5703125" style="3069"/>
    <col min="468" max="468" width="3.7109375" style="3069" customWidth="1"/>
    <col min="469" max="469" width="63.7109375" style="3069" customWidth="1"/>
    <col min="470" max="470" width="8.5703125" style="3069" customWidth="1"/>
    <col min="471" max="471" width="8.42578125" style="3069" customWidth="1"/>
    <col min="472" max="472" width="5.7109375" style="3069" customWidth="1"/>
    <col min="473" max="473" width="6" style="3069" customWidth="1"/>
    <col min="474" max="474" width="1.85546875" style="3069" customWidth="1"/>
    <col min="475" max="485" width="2.140625" style="3069" customWidth="1"/>
    <col min="486" max="509" width="2.7109375" style="3069" bestFit="1" customWidth="1"/>
    <col min="510" max="723" width="11.5703125" style="3069"/>
    <col min="724" max="724" width="3.7109375" style="3069" customWidth="1"/>
    <col min="725" max="725" width="63.7109375" style="3069" customWidth="1"/>
    <col min="726" max="726" width="8.5703125" style="3069" customWidth="1"/>
    <col min="727" max="727" width="8.42578125" style="3069" customWidth="1"/>
    <col min="728" max="728" width="5.7109375" style="3069" customWidth="1"/>
    <col min="729" max="729" width="6" style="3069" customWidth="1"/>
    <col min="730" max="730" width="1.85546875" style="3069" customWidth="1"/>
    <col min="731" max="741" width="2.140625" style="3069" customWidth="1"/>
    <col min="742" max="765" width="2.7109375" style="3069" bestFit="1" customWidth="1"/>
    <col min="766" max="979" width="11.5703125" style="3069"/>
    <col min="980" max="980" width="3.7109375" style="3069" customWidth="1"/>
    <col min="981" max="981" width="63.7109375" style="3069" customWidth="1"/>
    <col min="982" max="982" width="8.5703125" style="3069" customWidth="1"/>
    <col min="983" max="983" width="8.42578125" style="3069" customWidth="1"/>
    <col min="984" max="984" width="5.7109375" style="3069" customWidth="1"/>
    <col min="985" max="985" width="6" style="3069" customWidth="1"/>
    <col min="986" max="986" width="1.85546875" style="3069" customWidth="1"/>
    <col min="987" max="997" width="2.140625" style="3069" customWidth="1"/>
    <col min="998" max="1021" width="2.7109375" style="3069" bestFit="1" customWidth="1"/>
    <col min="1022" max="1235" width="11.5703125" style="3069"/>
    <col min="1236" max="1236" width="3.7109375" style="3069" customWidth="1"/>
    <col min="1237" max="1237" width="63.7109375" style="3069" customWidth="1"/>
    <col min="1238" max="1238" width="8.5703125" style="3069" customWidth="1"/>
    <col min="1239" max="1239" width="8.42578125" style="3069" customWidth="1"/>
    <col min="1240" max="1240" width="5.7109375" style="3069" customWidth="1"/>
    <col min="1241" max="1241" width="6" style="3069" customWidth="1"/>
    <col min="1242" max="1242" width="1.85546875" style="3069" customWidth="1"/>
    <col min="1243" max="1253" width="2.140625" style="3069" customWidth="1"/>
    <col min="1254" max="1277" width="2.7109375" style="3069" bestFit="1" customWidth="1"/>
    <col min="1278" max="1491" width="11.5703125" style="3069"/>
    <col min="1492" max="1492" width="3.7109375" style="3069" customWidth="1"/>
    <col min="1493" max="1493" width="63.7109375" style="3069" customWidth="1"/>
    <col min="1494" max="1494" width="8.5703125" style="3069" customWidth="1"/>
    <col min="1495" max="1495" width="8.42578125" style="3069" customWidth="1"/>
    <col min="1496" max="1496" width="5.7109375" style="3069" customWidth="1"/>
    <col min="1497" max="1497" width="6" style="3069" customWidth="1"/>
    <col min="1498" max="1498" width="1.85546875" style="3069" customWidth="1"/>
    <col min="1499" max="1509" width="2.140625" style="3069" customWidth="1"/>
    <col min="1510" max="1533" width="2.7109375" style="3069" bestFit="1" customWidth="1"/>
    <col min="1534" max="1747" width="11.5703125" style="3069"/>
    <col min="1748" max="1748" width="3.7109375" style="3069" customWidth="1"/>
    <col min="1749" max="1749" width="63.7109375" style="3069" customWidth="1"/>
    <col min="1750" max="1750" width="8.5703125" style="3069" customWidth="1"/>
    <col min="1751" max="1751" width="8.42578125" style="3069" customWidth="1"/>
    <col min="1752" max="1752" width="5.7109375" style="3069" customWidth="1"/>
    <col min="1753" max="1753" width="6" style="3069" customWidth="1"/>
    <col min="1754" max="1754" width="1.85546875" style="3069" customWidth="1"/>
    <col min="1755" max="1765" width="2.140625" style="3069" customWidth="1"/>
    <col min="1766" max="1789" width="2.7109375" style="3069" bestFit="1" customWidth="1"/>
    <col min="1790" max="2003" width="11.5703125" style="3069"/>
    <col min="2004" max="2004" width="3.7109375" style="3069" customWidth="1"/>
    <col min="2005" max="2005" width="63.7109375" style="3069" customWidth="1"/>
    <col min="2006" max="2006" width="8.5703125" style="3069" customWidth="1"/>
    <col min="2007" max="2007" width="8.42578125" style="3069" customWidth="1"/>
    <col min="2008" max="2008" width="5.7109375" style="3069" customWidth="1"/>
    <col min="2009" max="2009" width="6" style="3069" customWidth="1"/>
    <col min="2010" max="2010" width="1.85546875" style="3069" customWidth="1"/>
    <col min="2011" max="2021" width="2.140625" style="3069" customWidth="1"/>
    <col min="2022" max="2045" width="2.7109375" style="3069" bestFit="1" customWidth="1"/>
    <col min="2046" max="2259" width="11.5703125" style="3069"/>
    <col min="2260" max="2260" width="3.7109375" style="3069" customWidth="1"/>
    <col min="2261" max="2261" width="63.7109375" style="3069" customWidth="1"/>
    <col min="2262" max="2262" width="8.5703125" style="3069" customWidth="1"/>
    <col min="2263" max="2263" width="8.42578125" style="3069" customWidth="1"/>
    <col min="2264" max="2264" width="5.7109375" style="3069" customWidth="1"/>
    <col min="2265" max="2265" width="6" style="3069" customWidth="1"/>
    <col min="2266" max="2266" width="1.85546875" style="3069" customWidth="1"/>
    <col min="2267" max="2277" width="2.140625" style="3069" customWidth="1"/>
    <col min="2278" max="2301" width="2.7109375" style="3069" bestFit="1" customWidth="1"/>
    <col min="2302" max="2515" width="11.5703125" style="3069"/>
    <col min="2516" max="2516" width="3.7109375" style="3069" customWidth="1"/>
    <col min="2517" max="2517" width="63.7109375" style="3069" customWidth="1"/>
    <col min="2518" max="2518" width="8.5703125" style="3069" customWidth="1"/>
    <col min="2519" max="2519" width="8.42578125" style="3069" customWidth="1"/>
    <col min="2520" max="2520" width="5.7109375" style="3069" customWidth="1"/>
    <col min="2521" max="2521" width="6" style="3069" customWidth="1"/>
    <col min="2522" max="2522" width="1.85546875" style="3069" customWidth="1"/>
    <col min="2523" max="2533" width="2.140625" style="3069" customWidth="1"/>
    <col min="2534" max="2557" width="2.7109375" style="3069" bestFit="1" customWidth="1"/>
    <col min="2558" max="2771" width="11.5703125" style="3069"/>
    <col min="2772" max="2772" width="3.7109375" style="3069" customWidth="1"/>
    <col min="2773" max="2773" width="63.7109375" style="3069" customWidth="1"/>
    <col min="2774" max="2774" width="8.5703125" style="3069" customWidth="1"/>
    <col min="2775" max="2775" width="8.42578125" style="3069" customWidth="1"/>
    <col min="2776" max="2776" width="5.7109375" style="3069" customWidth="1"/>
    <col min="2777" max="2777" width="6" style="3069" customWidth="1"/>
    <col min="2778" max="2778" width="1.85546875" style="3069" customWidth="1"/>
    <col min="2779" max="2789" width="2.140625" style="3069" customWidth="1"/>
    <col min="2790" max="2813" width="2.7109375" style="3069" bestFit="1" customWidth="1"/>
    <col min="2814" max="3027" width="11.5703125" style="3069"/>
    <col min="3028" max="3028" width="3.7109375" style="3069" customWidth="1"/>
    <col min="3029" max="3029" width="63.7109375" style="3069" customWidth="1"/>
    <col min="3030" max="3030" width="8.5703125" style="3069" customWidth="1"/>
    <col min="3031" max="3031" width="8.42578125" style="3069" customWidth="1"/>
    <col min="3032" max="3032" width="5.7109375" style="3069" customWidth="1"/>
    <col min="3033" max="3033" width="6" style="3069" customWidth="1"/>
    <col min="3034" max="3034" width="1.85546875" style="3069" customWidth="1"/>
    <col min="3035" max="3045" width="2.140625" style="3069" customWidth="1"/>
    <col min="3046" max="3069" width="2.7109375" style="3069" bestFit="1" customWidth="1"/>
    <col min="3070" max="3283" width="11.5703125" style="3069"/>
    <col min="3284" max="3284" width="3.7109375" style="3069" customWidth="1"/>
    <col min="3285" max="3285" width="63.7109375" style="3069" customWidth="1"/>
    <col min="3286" max="3286" width="8.5703125" style="3069" customWidth="1"/>
    <col min="3287" max="3287" width="8.42578125" style="3069" customWidth="1"/>
    <col min="3288" max="3288" width="5.7109375" style="3069" customWidth="1"/>
    <col min="3289" max="3289" width="6" style="3069" customWidth="1"/>
    <col min="3290" max="3290" width="1.85546875" style="3069" customWidth="1"/>
    <col min="3291" max="3301" width="2.140625" style="3069" customWidth="1"/>
    <col min="3302" max="3325" width="2.7109375" style="3069" bestFit="1" customWidth="1"/>
    <col min="3326" max="3539" width="11.5703125" style="3069"/>
    <col min="3540" max="3540" width="3.7109375" style="3069" customWidth="1"/>
    <col min="3541" max="3541" width="63.7109375" style="3069" customWidth="1"/>
    <col min="3542" max="3542" width="8.5703125" style="3069" customWidth="1"/>
    <col min="3543" max="3543" width="8.42578125" style="3069" customWidth="1"/>
    <col min="3544" max="3544" width="5.7109375" style="3069" customWidth="1"/>
    <col min="3545" max="3545" width="6" style="3069" customWidth="1"/>
    <col min="3546" max="3546" width="1.85546875" style="3069" customWidth="1"/>
    <col min="3547" max="3557" width="2.140625" style="3069" customWidth="1"/>
    <col min="3558" max="3581" width="2.7109375" style="3069" bestFit="1" customWidth="1"/>
    <col min="3582" max="3795" width="11.5703125" style="3069"/>
    <col min="3796" max="3796" width="3.7109375" style="3069" customWidth="1"/>
    <col min="3797" max="3797" width="63.7109375" style="3069" customWidth="1"/>
    <col min="3798" max="3798" width="8.5703125" style="3069" customWidth="1"/>
    <col min="3799" max="3799" width="8.42578125" style="3069" customWidth="1"/>
    <col min="3800" max="3800" width="5.7109375" style="3069" customWidth="1"/>
    <col min="3801" max="3801" width="6" style="3069" customWidth="1"/>
    <col min="3802" max="3802" width="1.85546875" style="3069" customWidth="1"/>
    <col min="3803" max="3813" width="2.140625" style="3069" customWidth="1"/>
    <col min="3814" max="3837" width="2.7109375" style="3069" bestFit="1" customWidth="1"/>
    <col min="3838" max="4051" width="11.5703125" style="3069"/>
    <col min="4052" max="4052" width="3.7109375" style="3069" customWidth="1"/>
    <col min="4053" max="4053" width="63.7109375" style="3069" customWidth="1"/>
    <col min="4054" max="4054" width="8.5703125" style="3069" customWidth="1"/>
    <col min="4055" max="4055" width="8.42578125" style="3069" customWidth="1"/>
    <col min="4056" max="4056" width="5.7109375" style="3069" customWidth="1"/>
    <col min="4057" max="4057" width="6" style="3069" customWidth="1"/>
    <col min="4058" max="4058" width="1.85546875" style="3069" customWidth="1"/>
    <col min="4059" max="4069" width="2.140625" style="3069" customWidth="1"/>
    <col min="4070" max="4093" width="2.7109375" style="3069" bestFit="1" customWidth="1"/>
    <col min="4094" max="4307" width="11.5703125" style="3069"/>
    <col min="4308" max="4308" width="3.7109375" style="3069" customWidth="1"/>
    <col min="4309" max="4309" width="63.7109375" style="3069" customWidth="1"/>
    <col min="4310" max="4310" width="8.5703125" style="3069" customWidth="1"/>
    <col min="4311" max="4311" width="8.42578125" style="3069" customWidth="1"/>
    <col min="4312" max="4312" width="5.7109375" style="3069" customWidth="1"/>
    <col min="4313" max="4313" width="6" style="3069" customWidth="1"/>
    <col min="4314" max="4314" width="1.85546875" style="3069" customWidth="1"/>
    <col min="4315" max="4325" width="2.140625" style="3069" customWidth="1"/>
    <col min="4326" max="4349" width="2.7109375" style="3069" bestFit="1" customWidth="1"/>
    <col min="4350" max="4563" width="11.5703125" style="3069"/>
    <col min="4564" max="4564" width="3.7109375" style="3069" customWidth="1"/>
    <col min="4565" max="4565" width="63.7109375" style="3069" customWidth="1"/>
    <col min="4566" max="4566" width="8.5703125" style="3069" customWidth="1"/>
    <col min="4567" max="4567" width="8.42578125" style="3069" customWidth="1"/>
    <col min="4568" max="4568" width="5.7109375" style="3069" customWidth="1"/>
    <col min="4569" max="4569" width="6" style="3069" customWidth="1"/>
    <col min="4570" max="4570" width="1.85546875" style="3069" customWidth="1"/>
    <col min="4571" max="4581" width="2.140625" style="3069" customWidth="1"/>
    <col min="4582" max="4605" width="2.7109375" style="3069" bestFit="1" customWidth="1"/>
    <col min="4606" max="4819" width="11.5703125" style="3069"/>
    <col min="4820" max="4820" width="3.7109375" style="3069" customWidth="1"/>
    <col min="4821" max="4821" width="63.7109375" style="3069" customWidth="1"/>
    <col min="4822" max="4822" width="8.5703125" style="3069" customWidth="1"/>
    <col min="4823" max="4823" width="8.42578125" style="3069" customWidth="1"/>
    <col min="4824" max="4824" width="5.7109375" style="3069" customWidth="1"/>
    <col min="4825" max="4825" width="6" style="3069" customWidth="1"/>
    <col min="4826" max="4826" width="1.85546875" style="3069" customWidth="1"/>
    <col min="4827" max="4837" width="2.140625" style="3069" customWidth="1"/>
    <col min="4838" max="4861" width="2.7109375" style="3069" bestFit="1" customWidth="1"/>
    <col min="4862" max="5075" width="11.5703125" style="3069"/>
    <col min="5076" max="5076" width="3.7109375" style="3069" customWidth="1"/>
    <col min="5077" max="5077" width="63.7109375" style="3069" customWidth="1"/>
    <col min="5078" max="5078" width="8.5703125" style="3069" customWidth="1"/>
    <col min="5079" max="5079" width="8.42578125" style="3069" customWidth="1"/>
    <col min="5080" max="5080" width="5.7109375" style="3069" customWidth="1"/>
    <col min="5081" max="5081" width="6" style="3069" customWidth="1"/>
    <col min="5082" max="5082" width="1.85546875" style="3069" customWidth="1"/>
    <col min="5083" max="5093" width="2.140625" style="3069" customWidth="1"/>
    <col min="5094" max="5117" width="2.7109375" style="3069" bestFit="1" customWidth="1"/>
    <col min="5118" max="5331" width="11.5703125" style="3069"/>
    <col min="5332" max="5332" width="3.7109375" style="3069" customWidth="1"/>
    <col min="5333" max="5333" width="63.7109375" style="3069" customWidth="1"/>
    <col min="5334" max="5334" width="8.5703125" style="3069" customWidth="1"/>
    <col min="5335" max="5335" width="8.42578125" style="3069" customWidth="1"/>
    <col min="5336" max="5336" width="5.7109375" style="3069" customWidth="1"/>
    <col min="5337" max="5337" width="6" style="3069" customWidth="1"/>
    <col min="5338" max="5338" width="1.85546875" style="3069" customWidth="1"/>
    <col min="5339" max="5349" width="2.140625" style="3069" customWidth="1"/>
    <col min="5350" max="5373" width="2.7109375" style="3069" bestFit="1" customWidth="1"/>
    <col min="5374" max="5587" width="11.5703125" style="3069"/>
    <col min="5588" max="5588" width="3.7109375" style="3069" customWidth="1"/>
    <col min="5589" max="5589" width="63.7109375" style="3069" customWidth="1"/>
    <col min="5590" max="5590" width="8.5703125" style="3069" customWidth="1"/>
    <col min="5591" max="5591" width="8.42578125" style="3069" customWidth="1"/>
    <col min="5592" max="5592" width="5.7109375" style="3069" customWidth="1"/>
    <col min="5593" max="5593" width="6" style="3069" customWidth="1"/>
    <col min="5594" max="5594" width="1.85546875" style="3069" customWidth="1"/>
    <col min="5595" max="5605" width="2.140625" style="3069" customWidth="1"/>
    <col min="5606" max="5629" width="2.7109375" style="3069" bestFit="1" customWidth="1"/>
    <col min="5630" max="5843" width="11.5703125" style="3069"/>
    <col min="5844" max="5844" width="3.7109375" style="3069" customWidth="1"/>
    <col min="5845" max="5845" width="63.7109375" style="3069" customWidth="1"/>
    <col min="5846" max="5846" width="8.5703125" style="3069" customWidth="1"/>
    <col min="5847" max="5847" width="8.42578125" style="3069" customWidth="1"/>
    <col min="5848" max="5848" width="5.7109375" style="3069" customWidth="1"/>
    <col min="5849" max="5849" width="6" style="3069" customWidth="1"/>
    <col min="5850" max="5850" width="1.85546875" style="3069" customWidth="1"/>
    <col min="5851" max="5861" width="2.140625" style="3069" customWidth="1"/>
    <col min="5862" max="5885" width="2.7109375" style="3069" bestFit="1" customWidth="1"/>
    <col min="5886" max="6099" width="11.5703125" style="3069"/>
    <col min="6100" max="6100" width="3.7109375" style="3069" customWidth="1"/>
    <col min="6101" max="6101" width="63.7109375" style="3069" customWidth="1"/>
    <col min="6102" max="6102" width="8.5703125" style="3069" customWidth="1"/>
    <col min="6103" max="6103" width="8.42578125" style="3069" customWidth="1"/>
    <col min="6104" max="6104" width="5.7109375" style="3069" customWidth="1"/>
    <col min="6105" max="6105" width="6" style="3069" customWidth="1"/>
    <col min="6106" max="6106" width="1.85546875" style="3069" customWidth="1"/>
    <col min="6107" max="6117" width="2.140625" style="3069" customWidth="1"/>
    <col min="6118" max="6141" width="2.7109375" style="3069" bestFit="1" customWidth="1"/>
    <col min="6142" max="6355" width="11.5703125" style="3069"/>
    <col min="6356" max="6356" width="3.7109375" style="3069" customWidth="1"/>
    <col min="6357" max="6357" width="63.7109375" style="3069" customWidth="1"/>
    <col min="6358" max="6358" width="8.5703125" style="3069" customWidth="1"/>
    <col min="6359" max="6359" width="8.42578125" style="3069" customWidth="1"/>
    <col min="6360" max="6360" width="5.7109375" style="3069" customWidth="1"/>
    <col min="6361" max="6361" width="6" style="3069" customWidth="1"/>
    <col min="6362" max="6362" width="1.85546875" style="3069" customWidth="1"/>
    <col min="6363" max="6373" width="2.140625" style="3069" customWidth="1"/>
    <col min="6374" max="6397" width="2.7109375" style="3069" bestFit="1" customWidth="1"/>
    <col min="6398" max="6611" width="11.5703125" style="3069"/>
    <col min="6612" max="6612" width="3.7109375" style="3069" customWidth="1"/>
    <col min="6613" max="6613" width="63.7109375" style="3069" customWidth="1"/>
    <col min="6614" max="6614" width="8.5703125" style="3069" customWidth="1"/>
    <col min="6615" max="6615" width="8.42578125" style="3069" customWidth="1"/>
    <col min="6616" max="6616" width="5.7109375" style="3069" customWidth="1"/>
    <col min="6617" max="6617" width="6" style="3069" customWidth="1"/>
    <col min="6618" max="6618" width="1.85546875" style="3069" customWidth="1"/>
    <col min="6619" max="6629" width="2.140625" style="3069" customWidth="1"/>
    <col min="6630" max="6653" width="2.7109375" style="3069" bestFit="1" customWidth="1"/>
    <col min="6654" max="6867" width="11.5703125" style="3069"/>
    <col min="6868" max="6868" width="3.7109375" style="3069" customWidth="1"/>
    <col min="6869" max="6869" width="63.7109375" style="3069" customWidth="1"/>
    <col min="6870" max="6870" width="8.5703125" style="3069" customWidth="1"/>
    <col min="6871" max="6871" width="8.42578125" style="3069" customWidth="1"/>
    <col min="6872" max="6872" width="5.7109375" style="3069" customWidth="1"/>
    <col min="6873" max="6873" width="6" style="3069" customWidth="1"/>
    <col min="6874" max="6874" width="1.85546875" style="3069" customWidth="1"/>
    <col min="6875" max="6885" width="2.140625" style="3069" customWidth="1"/>
    <col min="6886" max="6909" width="2.7109375" style="3069" bestFit="1" customWidth="1"/>
    <col min="6910" max="7123" width="11.5703125" style="3069"/>
    <col min="7124" max="7124" width="3.7109375" style="3069" customWidth="1"/>
    <col min="7125" max="7125" width="63.7109375" style="3069" customWidth="1"/>
    <col min="7126" max="7126" width="8.5703125" style="3069" customWidth="1"/>
    <col min="7127" max="7127" width="8.42578125" style="3069" customWidth="1"/>
    <col min="7128" max="7128" width="5.7109375" style="3069" customWidth="1"/>
    <col min="7129" max="7129" width="6" style="3069" customWidth="1"/>
    <col min="7130" max="7130" width="1.85546875" style="3069" customWidth="1"/>
    <col min="7131" max="7141" width="2.140625" style="3069" customWidth="1"/>
    <col min="7142" max="7165" width="2.7109375" style="3069" bestFit="1" customWidth="1"/>
    <col min="7166" max="7379" width="11.5703125" style="3069"/>
    <col min="7380" max="7380" width="3.7109375" style="3069" customWidth="1"/>
    <col min="7381" max="7381" width="63.7109375" style="3069" customWidth="1"/>
    <col min="7382" max="7382" width="8.5703125" style="3069" customWidth="1"/>
    <col min="7383" max="7383" width="8.42578125" style="3069" customWidth="1"/>
    <col min="7384" max="7384" width="5.7109375" style="3069" customWidth="1"/>
    <col min="7385" max="7385" width="6" style="3069" customWidth="1"/>
    <col min="7386" max="7386" width="1.85546875" style="3069" customWidth="1"/>
    <col min="7387" max="7397" width="2.140625" style="3069" customWidth="1"/>
    <col min="7398" max="7421" width="2.7109375" style="3069" bestFit="1" customWidth="1"/>
    <col min="7422" max="7635" width="11.5703125" style="3069"/>
    <col min="7636" max="7636" width="3.7109375" style="3069" customWidth="1"/>
    <col min="7637" max="7637" width="63.7109375" style="3069" customWidth="1"/>
    <col min="7638" max="7638" width="8.5703125" style="3069" customWidth="1"/>
    <col min="7639" max="7639" width="8.42578125" style="3069" customWidth="1"/>
    <col min="7640" max="7640" width="5.7109375" style="3069" customWidth="1"/>
    <col min="7641" max="7641" width="6" style="3069" customWidth="1"/>
    <col min="7642" max="7642" width="1.85546875" style="3069" customWidth="1"/>
    <col min="7643" max="7653" width="2.140625" style="3069" customWidth="1"/>
    <col min="7654" max="7677" width="2.7109375" style="3069" bestFit="1" customWidth="1"/>
    <col min="7678" max="7891" width="11.5703125" style="3069"/>
    <col min="7892" max="7892" width="3.7109375" style="3069" customWidth="1"/>
    <col min="7893" max="7893" width="63.7109375" style="3069" customWidth="1"/>
    <col min="7894" max="7894" width="8.5703125" style="3069" customWidth="1"/>
    <col min="7895" max="7895" width="8.42578125" style="3069" customWidth="1"/>
    <col min="7896" max="7896" width="5.7109375" style="3069" customWidth="1"/>
    <col min="7897" max="7897" width="6" style="3069" customWidth="1"/>
    <col min="7898" max="7898" width="1.85546875" style="3069" customWidth="1"/>
    <col min="7899" max="7909" width="2.140625" style="3069" customWidth="1"/>
    <col min="7910" max="7933" width="2.7109375" style="3069" bestFit="1" customWidth="1"/>
    <col min="7934" max="8147" width="11.5703125" style="3069"/>
    <col min="8148" max="8148" width="3.7109375" style="3069" customWidth="1"/>
    <col min="8149" max="8149" width="63.7109375" style="3069" customWidth="1"/>
    <col min="8150" max="8150" width="8.5703125" style="3069" customWidth="1"/>
    <col min="8151" max="8151" width="8.42578125" style="3069" customWidth="1"/>
    <col min="8152" max="8152" width="5.7109375" style="3069" customWidth="1"/>
    <col min="8153" max="8153" width="6" style="3069" customWidth="1"/>
    <col min="8154" max="8154" width="1.85546875" style="3069" customWidth="1"/>
    <col min="8155" max="8165" width="2.140625" style="3069" customWidth="1"/>
    <col min="8166" max="8189" width="2.7109375" style="3069" bestFit="1" customWidth="1"/>
    <col min="8190" max="8403" width="11.5703125" style="3069"/>
    <col min="8404" max="8404" width="3.7109375" style="3069" customWidth="1"/>
    <col min="8405" max="8405" width="63.7109375" style="3069" customWidth="1"/>
    <col min="8406" max="8406" width="8.5703125" style="3069" customWidth="1"/>
    <col min="8407" max="8407" width="8.42578125" style="3069" customWidth="1"/>
    <col min="8408" max="8408" width="5.7109375" style="3069" customWidth="1"/>
    <col min="8409" max="8409" width="6" style="3069" customWidth="1"/>
    <col min="8410" max="8410" width="1.85546875" style="3069" customWidth="1"/>
    <col min="8411" max="8421" width="2.140625" style="3069" customWidth="1"/>
    <col min="8422" max="8445" width="2.7109375" style="3069" bestFit="1" customWidth="1"/>
    <col min="8446" max="8659" width="11.5703125" style="3069"/>
    <col min="8660" max="8660" width="3.7109375" style="3069" customWidth="1"/>
    <col min="8661" max="8661" width="63.7109375" style="3069" customWidth="1"/>
    <col min="8662" max="8662" width="8.5703125" style="3069" customWidth="1"/>
    <col min="8663" max="8663" width="8.42578125" style="3069" customWidth="1"/>
    <col min="8664" max="8664" width="5.7109375" style="3069" customWidth="1"/>
    <col min="8665" max="8665" width="6" style="3069" customWidth="1"/>
    <col min="8666" max="8666" width="1.85546875" style="3069" customWidth="1"/>
    <col min="8667" max="8677" width="2.140625" style="3069" customWidth="1"/>
    <col min="8678" max="8701" width="2.7109375" style="3069" bestFit="1" customWidth="1"/>
    <col min="8702" max="8915" width="11.5703125" style="3069"/>
    <col min="8916" max="8916" width="3.7109375" style="3069" customWidth="1"/>
    <col min="8917" max="8917" width="63.7109375" style="3069" customWidth="1"/>
    <col min="8918" max="8918" width="8.5703125" style="3069" customWidth="1"/>
    <col min="8919" max="8919" width="8.42578125" style="3069" customWidth="1"/>
    <col min="8920" max="8920" width="5.7109375" style="3069" customWidth="1"/>
    <col min="8921" max="8921" width="6" style="3069" customWidth="1"/>
    <col min="8922" max="8922" width="1.85546875" style="3069" customWidth="1"/>
    <col min="8923" max="8933" width="2.140625" style="3069" customWidth="1"/>
    <col min="8934" max="8957" width="2.7109375" style="3069" bestFit="1" customWidth="1"/>
    <col min="8958" max="9171" width="11.5703125" style="3069"/>
    <col min="9172" max="9172" width="3.7109375" style="3069" customWidth="1"/>
    <col min="9173" max="9173" width="63.7109375" style="3069" customWidth="1"/>
    <col min="9174" max="9174" width="8.5703125" style="3069" customWidth="1"/>
    <col min="9175" max="9175" width="8.42578125" style="3069" customWidth="1"/>
    <col min="9176" max="9176" width="5.7109375" style="3069" customWidth="1"/>
    <col min="9177" max="9177" width="6" style="3069" customWidth="1"/>
    <col min="9178" max="9178" width="1.85546875" style="3069" customWidth="1"/>
    <col min="9179" max="9189" width="2.140625" style="3069" customWidth="1"/>
    <col min="9190" max="9213" width="2.7109375" style="3069" bestFit="1" customWidth="1"/>
    <col min="9214" max="9427" width="11.5703125" style="3069"/>
    <col min="9428" max="9428" width="3.7109375" style="3069" customWidth="1"/>
    <col min="9429" max="9429" width="63.7109375" style="3069" customWidth="1"/>
    <col min="9430" max="9430" width="8.5703125" style="3069" customWidth="1"/>
    <col min="9431" max="9431" width="8.42578125" style="3069" customWidth="1"/>
    <col min="9432" max="9432" width="5.7109375" style="3069" customWidth="1"/>
    <col min="9433" max="9433" width="6" style="3069" customWidth="1"/>
    <col min="9434" max="9434" width="1.85546875" style="3069" customWidth="1"/>
    <col min="9435" max="9445" width="2.140625" style="3069" customWidth="1"/>
    <col min="9446" max="9469" width="2.7109375" style="3069" bestFit="1" customWidth="1"/>
    <col min="9470" max="9683" width="11.5703125" style="3069"/>
    <col min="9684" max="9684" width="3.7109375" style="3069" customWidth="1"/>
    <col min="9685" max="9685" width="63.7109375" style="3069" customWidth="1"/>
    <col min="9686" max="9686" width="8.5703125" style="3069" customWidth="1"/>
    <col min="9687" max="9687" width="8.42578125" style="3069" customWidth="1"/>
    <col min="9688" max="9688" width="5.7109375" style="3069" customWidth="1"/>
    <col min="9689" max="9689" width="6" style="3069" customWidth="1"/>
    <col min="9690" max="9690" width="1.85546875" style="3069" customWidth="1"/>
    <col min="9691" max="9701" width="2.140625" style="3069" customWidth="1"/>
    <col min="9702" max="9725" width="2.7109375" style="3069" bestFit="1" customWidth="1"/>
    <col min="9726" max="9939" width="11.5703125" style="3069"/>
    <col min="9940" max="9940" width="3.7109375" style="3069" customWidth="1"/>
    <col min="9941" max="9941" width="63.7109375" style="3069" customWidth="1"/>
    <col min="9942" max="9942" width="8.5703125" style="3069" customWidth="1"/>
    <col min="9943" max="9943" width="8.42578125" style="3069" customWidth="1"/>
    <col min="9944" max="9944" width="5.7109375" style="3069" customWidth="1"/>
    <col min="9945" max="9945" width="6" style="3069" customWidth="1"/>
    <col min="9946" max="9946" width="1.85546875" style="3069" customWidth="1"/>
    <col min="9947" max="9957" width="2.140625" style="3069" customWidth="1"/>
    <col min="9958" max="9981" width="2.7109375" style="3069" bestFit="1" customWidth="1"/>
    <col min="9982" max="10195" width="11.5703125" style="3069"/>
    <col min="10196" max="10196" width="3.7109375" style="3069" customWidth="1"/>
    <col min="10197" max="10197" width="63.7109375" style="3069" customWidth="1"/>
    <col min="10198" max="10198" width="8.5703125" style="3069" customWidth="1"/>
    <col min="10199" max="10199" width="8.42578125" style="3069" customWidth="1"/>
    <col min="10200" max="10200" width="5.7109375" style="3069" customWidth="1"/>
    <col min="10201" max="10201" width="6" style="3069" customWidth="1"/>
    <col min="10202" max="10202" width="1.85546875" style="3069" customWidth="1"/>
    <col min="10203" max="10213" width="2.140625" style="3069" customWidth="1"/>
    <col min="10214" max="10237" width="2.7109375" style="3069" bestFit="1" customWidth="1"/>
    <col min="10238" max="10451" width="11.5703125" style="3069"/>
    <col min="10452" max="10452" width="3.7109375" style="3069" customWidth="1"/>
    <col min="10453" max="10453" width="63.7109375" style="3069" customWidth="1"/>
    <col min="10454" max="10454" width="8.5703125" style="3069" customWidth="1"/>
    <col min="10455" max="10455" width="8.42578125" style="3069" customWidth="1"/>
    <col min="10456" max="10456" width="5.7109375" style="3069" customWidth="1"/>
    <col min="10457" max="10457" width="6" style="3069" customWidth="1"/>
    <col min="10458" max="10458" width="1.85546875" style="3069" customWidth="1"/>
    <col min="10459" max="10469" width="2.140625" style="3069" customWidth="1"/>
    <col min="10470" max="10493" width="2.7109375" style="3069" bestFit="1" customWidth="1"/>
    <col min="10494" max="10707" width="11.5703125" style="3069"/>
    <col min="10708" max="10708" width="3.7109375" style="3069" customWidth="1"/>
    <col min="10709" max="10709" width="63.7109375" style="3069" customWidth="1"/>
    <col min="10710" max="10710" width="8.5703125" style="3069" customWidth="1"/>
    <col min="10711" max="10711" width="8.42578125" style="3069" customWidth="1"/>
    <col min="10712" max="10712" width="5.7109375" style="3069" customWidth="1"/>
    <col min="10713" max="10713" width="6" style="3069" customWidth="1"/>
    <col min="10714" max="10714" width="1.85546875" style="3069" customWidth="1"/>
    <col min="10715" max="10725" width="2.140625" style="3069" customWidth="1"/>
    <col min="10726" max="10749" width="2.7109375" style="3069" bestFit="1" customWidth="1"/>
    <col min="10750" max="10963" width="11.5703125" style="3069"/>
    <col min="10964" max="10964" width="3.7109375" style="3069" customWidth="1"/>
    <col min="10965" max="10965" width="63.7109375" style="3069" customWidth="1"/>
    <col min="10966" max="10966" width="8.5703125" style="3069" customWidth="1"/>
    <col min="10967" max="10967" width="8.42578125" style="3069" customWidth="1"/>
    <col min="10968" max="10968" width="5.7109375" style="3069" customWidth="1"/>
    <col min="10969" max="10969" width="6" style="3069" customWidth="1"/>
    <col min="10970" max="10970" width="1.85546875" style="3069" customWidth="1"/>
    <col min="10971" max="10981" width="2.140625" style="3069" customWidth="1"/>
    <col min="10982" max="11005" width="2.7109375" style="3069" bestFit="1" customWidth="1"/>
    <col min="11006" max="11219" width="11.5703125" style="3069"/>
    <col min="11220" max="11220" width="3.7109375" style="3069" customWidth="1"/>
    <col min="11221" max="11221" width="63.7109375" style="3069" customWidth="1"/>
    <col min="11222" max="11222" width="8.5703125" style="3069" customWidth="1"/>
    <col min="11223" max="11223" width="8.42578125" style="3069" customWidth="1"/>
    <col min="11224" max="11224" width="5.7109375" style="3069" customWidth="1"/>
    <col min="11225" max="11225" width="6" style="3069" customWidth="1"/>
    <col min="11226" max="11226" width="1.85546875" style="3069" customWidth="1"/>
    <col min="11227" max="11237" width="2.140625" style="3069" customWidth="1"/>
    <col min="11238" max="11261" width="2.7109375" style="3069" bestFit="1" customWidth="1"/>
    <col min="11262" max="11475" width="11.5703125" style="3069"/>
    <col min="11476" max="11476" width="3.7109375" style="3069" customWidth="1"/>
    <col min="11477" max="11477" width="63.7109375" style="3069" customWidth="1"/>
    <col min="11478" max="11478" width="8.5703125" style="3069" customWidth="1"/>
    <col min="11479" max="11479" width="8.42578125" style="3069" customWidth="1"/>
    <col min="11480" max="11480" width="5.7109375" style="3069" customWidth="1"/>
    <col min="11481" max="11481" width="6" style="3069" customWidth="1"/>
    <col min="11482" max="11482" width="1.85546875" style="3069" customWidth="1"/>
    <col min="11483" max="11493" width="2.140625" style="3069" customWidth="1"/>
    <col min="11494" max="11517" width="2.7109375" style="3069" bestFit="1" customWidth="1"/>
    <col min="11518" max="11731" width="11.5703125" style="3069"/>
    <col min="11732" max="11732" width="3.7109375" style="3069" customWidth="1"/>
    <col min="11733" max="11733" width="63.7109375" style="3069" customWidth="1"/>
    <col min="11734" max="11734" width="8.5703125" style="3069" customWidth="1"/>
    <col min="11735" max="11735" width="8.42578125" style="3069" customWidth="1"/>
    <col min="11736" max="11736" width="5.7109375" style="3069" customWidth="1"/>
    <col min="11737" max="11737" width="6" style="3069" customWidth="1"/>
    <col min="11738" max="11738" width="1.85546875" style="3069" customWidth="1"/>
    <col min="11739" max="11749" width="2.140625" style="3069" customWidth="1"/>
    <col min="11750" max="11773" width="2.7109375" style="3069" bestFit="1" customWidth="1"/>
    <col min="11774" max="11987" width="11.5703125" style="3069"/>
    <col min="11988" max="11988" width="3.7109375" style="3069" customWidth="1"/>
    <col min="11989" max="11989" width="63.7109375" style="3069" customWidth="1"/>
    <col min="11990" max="11990" width="8.5703125" style="3069" customWidth="1"/>
    <col min="11991" max="11991" width="8.42578125" style="3069" customWidth="1"/>
    <col min="11992" max="11992" width="5.7109375" style="3069" customWidth="1"/>
    <col min="11993" max="11993" width="6" style="3069" customWidth="1"/>
    <col min="11994" max="11994" width="1.85546875" style="3069" customWidth="1"/>
    <col min="11995" max="12005" width="2.140625" style="3069" customWidth="1"/>
    <col min="12006" max="12029" width="2.7109375" style="3069" bestFit="1" customWidth="1"/>
    <col min="12030" max="12243" width="11.5703125" style="3069"/>
    <col min="12244" max="12244" width="3.7109375" style="3069" customWidth="1"/>
    <col min="12245" max="12245" width="63.7109375" style="3069" customWidth="1"/>
    <col min="12246" max="12246" width="8.5703125" style="3069" customWidth="1"/>
    <col min="12247" max="12247" width="8.42578125" style="3069" customWidth="1"/>
    <col min="12248" max="12248" width="5.7109375" style="3069" customWidth="1"/>
    <col min="12249" max="12249" width="6" style="3069" customWidth="1"/>
    <col min="12250" max="12250" width="1.85546875" style="3069" customWidth="1"/>
    <col min="12251" max="12261" width="2.140625" style="3069" customWidth="1"/>
    <col min="12262" max="12285" width="2.7109375" style="3069" bestFit="1" customWidth="1"/>
    <col min="12286" max="12499" width="11.5703125" style="3069"/>
    <col min="12500" max="12500" width="3.7109375" style="3069" customWidth="1"/>
    <col min="12501" max="12501" width="63.7109375" style="3069" customWidth="1"/>
    <col min="12502" max="12502" width="8.5703125" style="3069" customWidth="1"/>
    <col min="12503" max="12503" width="8.42578125" style="3069" customWidth="1"/>
    <col min="12504" max="12504" width="5.7109375" style="3069" customWidth="1"/>
    <col min="12505" max="12505" width="6" style="3069" customWidth="1"/>
    <col min="12506" max="12506" width="1.85546875" style="3069" customWidth="1"/>
    <col min="12507" max="12517" width="2.140625" style="3069" customWidth="1"/>
    <col min="12518" max="12541" width="2.7109375" style="3069" bestFit="1" customWidth="1"/>
    <col min="12542" max="12755" width="11.5703125" style="3069"/>
    <col min="12756" max="12756" width="3.7109375" style="3069" customWidth="1"/>
    <col min="12757" max="12757" width="63.7109375" style="3069" customWidth="1"/>
    <col min="12758" max="12758" width="8.5703125" style="3069" customWidth="1"/>
    <col min="12759" max="12759" width="8.42578125" style="3069" customWidth="1"/>
    <col min="12760" max="12760" width="5.7109375" style="3069" customWidth="1"/>
    <col min="12761" max="12761" width="6" style="3069" customWidth="1"/>
    <col min="12762" max="12762" width="1.85546875" style="3069" customWidth="1"/>
    <col min="12763" max="12773" width="2.140625" style="3069" customWidth="1"/>
    <col min="12774" max="12797" width="2.7109375" style="3069" bestFit="1" customWidth="1"/>
    <col min="12798" max="13011" width="11.5703125" style="3069"/>
    <col min="13012" max="13012" width="3.7109375" style="3069" customWidth="1"/>
    <col min="13013" max="13013" width="63.7109375" style="3069" customWidth="1"/>
    <col min="13014" max="13014" width="8.5703125" style="3069" customWidth="1"/>
    <col min="13015" max="13015" width="8.42578125" style="3069" customWidth="1"/>
    <col min="13016" max="13016" width="5.7109375" style="3069" customWidth="1"/>
    <col min="13017" max="13017" width="6" style="3069" customWidth="1"/>
    <col min="13018" max="13018" width="1.85546875" style="3069" customWidth="1"/>
    <col min="13019" max="13029" width="2.140625" style="3069" customWidth="1"/>
    <col min="13030" max="13053" width="2.7109375" style="3069" bestFit="1" customWidth="1"/>
    <col min="13054" max="13267" width="11.5703125" style="3069"/>
    <col min="13268" max="13268" width="3.7109375" style="3069" customWidth="1"/>
    <col min="13269" max="13269" width="63.7109375" style="3069" customWidth="1"/>
    <col min="13270" max="13270" width="8.5703125" style="3069" customWidth="1"/>
    <col min="13271" max="13271" width="8.42578125" style="3069" customWidth="1"/>
    <col min="13272" max="13272" width="5.7109375" style="3069" customWidth="1"/>
    <col min="13273" max="13273" width="6" style="3069" customWidth="1"/>
    <col min="13274" max="13274" width="1.85546875" style="3069" customWidth="1"/>
    <col min="13275" max="13285" width="2.140625" style="3069" customWidth="1"/>
    <col min="13286" max="13309" width="2.7109375" style="3069" bestFit="1" customWidth="1"/>
    <col min="13310" max="13523" width="11.5703125" style="3069"/>
    <col min="13524" max="13524" width="3.7109375" style="3069" customWidth="1"/>
    <col min="13525" max="13525" width="63.7109375" style="3069" customWidth="1"/>
    <col min="13526" max="13526" width="8.5703125" style="3069" customWidth="1"/>
    <col min="13527" max="13527" width="8.42578125" style="3069" customWidth="1"/>
    <col min="13528" max="13528" width="5.7109375" style="3069" customWidth="1"/>
    <col min="13529" max="13529" width="6" style="3069" customWidth="1"/>
    <col min="13530" max="13530" width="1.85546875" style="3069" customWidth="1"/>
    <col min="13531" max="13541" width="2.140625" style="3069" customWidth="1"/>
    <col min="13542" max="13565" width="2.7109375" style="3069" bestFit="1" customWidth="1"/>
    <col min="13566" max="13779" width="11.5703125" style="3069"/>
    <col min="13780" max="13780" width="3.7109375" style="3069" customWidth="1"/>
    <col min="13781" max="13781" width="63.7109375" style="3069" customWidth="1"/>
    <col min="13782" max="13782" width="8.5703125" style="3069" customWidth="1"/>
    <col min="13783" max="13783" width="8.42578125" style="3069" customWidth="1"/>
    <col min="13784" max="13784" width="5.7109375" style="3069" customWidth="1"/>
    <col min="13785" max="13785" width="6" style="3069" customWidth="1"/>
    <col min="13786" max="13786" width="1.85546875" style="3069" customWidth="1"/>
    <col min="13787" max="13797" width="2.140625" style="3069" customWidth="1"/>
    <col min="13798" max="13821" width="2.7109375" style="3069" bestFit="1" customWidth="1"/>
    <col min="13822" max="14035" width="11.5703125" style="3069"/>
    <col min="14036" max="14036" width="3.7109375" style="3069" customWidth="1"/>
    <col min="14037" max="14037" width="63.7109375" style="3069" customWidth="1"/>
    <col min="14038" max="14038" width="8.5703125" style="3069" customWidth="1"/>
    <col min="14039" max="14039" width="8.42578125" style="3069" customWidth="1"/>
    <col min="14040" max="14040" width="5.7109375" style="3069" customWidth="1"/>
    <col min="14041" max="14041" width="6" style="3069" customWidth="1"/>
    <col min="14042" max="14042" width="1.85546875" style="3069" customWidth="1"/>
    <col min="14043" max="14053" width="2.140625" style="3069" customWidth="1"/>
    <col min="14054" max="14077" width="2.7109375" style="3069" bestFit="1" customWidth="1"/>
    <col min="14078" max="14291" width="11.5703125" style="3069"/>
    <col min="14292" max="14292" width="3.7109375" style="3069" customWidth="1"/>
    <col min="14293" max="14293" width="63.7109375" style="3069" customWidth="1"/>
    <col min="14294" max="14294" width="8.5703125" style="3069" customWidth="1"/>
    <col min="14295" max="14295" width="8.42578125" style="3069" customWidth="1"/>
    <col min="14296" max="14296" width="5.7109375" style="3069" customWidth="1"/>
    <col min="14297" max="14297" width="6" style="3069" customWidth="1"/>
    <col min="14298" max="14298" width="1.85546875" style="3069" customWidth="1"/>
    <col min="14299" max="14309" width="2.140625" style="3069" customWidth="1"/>
    <col min="14310" max="14333" width="2.7109375" style="3069" bestFit="1" customWidth="1"/>
    <col min="14334" max="14547" width="11.5703125" style="3069"/>
    <col min="14548" max="14548" width="3.7109375" style="3069" customWidth="1"/>
    <col min="14549" max="14549" width="63.7109375" style="3069" customWidth="1"/>
    <col min="14550" max="14550" width="8.5703125" style="3069" customWidth="1"/>
    <col min="14551" max="14551" width="8.42578125" style="3069" customWidth="1"/>
    <col min="14552" max="14552" width="5.7109375" style="3069" customWidth="1"/>
    <col min="14553" max="14553" width="6" style="3069" customWidth="1"/>
    <col min="14554" max="14554" width="1.85546875" style="3069" customWidth="1"/>
    <col min="14555" max="14565" width="2.140625" style="3069" customWidth="1"/>
    <col min="14566" max="14589" width="2.7109375" style="3069" bestFit="1" customWidth="1"/>
    <col min="14590" max="14803" width="11.5703125" style="3069"/>
    <col min="14804" max="14804" width="3.7109375" style="3069" customWidth="1"/>
    <col min="14805" max="14805" width="63.7109375" style="3069" customWidth="1"/>
    <col min="14806" max="14806" width="8.5703125" style="3069" customWidth="1"/>
    <col min="14807" max="14807" width="8.42578125" style="3069" customWidth="1"/>
    <col min="14808" max="14808" width="5.7109375" style="3069" customWidth="1"/>
    <col min="14809" max="14809" width="6" style="3069" customWidth="1"/>
    <col min="14810" max="14810" width="1.85546875" style="3069" customWidth="1"/>
    <col min="14811" max="14821" width="2.140625" style="3069" customWidth="1"/>
    <col min="14822" max="14845" width="2.7109375" style="3069" bestFit="1" customWidth="1"/>
    <col min="14846" max="15059" width="11.5703125" style="3069"/>
    <col min="15060" max="15060" width="3.7109375" style="3069" customWidth="1"/>
    <col min="15061" max="15061" width="63.7109375" style="3069" customWidth="1"/>
    <col min="15062" max="15062" width="8.5703125" style="3069" customWidth="1"/>
    <col min="15063" max="15063" width="8.42578125" style="3069" customWidth="1"/>
    <col min="15064" max="15064" width="5.7109375" style="3069" customWidth="1"/>
    <col min="15065" max="15065" width="6" style="3069" customWidth="1"/>
    <col min="15066" max="15066" width="1.85546875" style="3069" customWidth="1"/>
    <col min="15067" max="15077" width="2.140625" style="3069" customWidth="1"/>
    <col min="15078" max="15101" width="2.7109375" style="3069" bestFit="1" customWidth="1"/>
    <col min="15102" max="15315" width="11.5703125" style="3069"/>
    <col min="15316" max="15316" width="3.7109375" style="3069" customWidth="1"/>
    <col min="15317" max="15317" width="63.7109375" style="3069" customWidth="1"/>
    <col min="15318" max="15318" width="8.5703125" style="3069" customWidth="1"/>
    <col min="15319" max="15319" width="8.42578125" style="3069" customWidth="1"/>
    <col min="15320" max="15320" width="5.7109375" style="3069" customWidth="1"/>
    <col min="15321" max="15321" width="6" style="3069" customWidth="1"/>
    <col min="15322" max="15322" width="1.85546875" style="3069" customWidth="1"/>
    <col min="15323" max="15333" width="2.140625" style="3069" customWidth="1"/>
    <col min="15334" max="15357" width="2.7109375" style="3069" bestFit="1" customWidth="1"/>
    <col min="15358" max="15571" width="11.5703125" style="3069"/>
    <col min="15572" max="15572" width="3.7109375" style="3069" customWidth="1"/>
    <col min="15573" max="15573" width="63.7109375" style="3069" customWidth="1"/>
    <col min="15574" max="15574" width="8.5703125" style="3069" customWidth="1"/>
    <col min="15575" max="15575" width="8.42578125" style="3069" customWidth="1"/>
    <col min="15576" max="15576" width="5.7109375" style="3069" customWidth="1"/>
    <col min="15577" max="15577" width="6" style="3069" customWidth="1"/>
    <col min="15578" max="15578" width="1.85546875" style="3069" customWidth="1"/>
    <col min="15579" max="15589" width="2.140625" style="3069" customWidth="1"/>
    <col min="15590" max="15613" width="2.7109375" style="3069" bestFit="1" customWidth="1"/>
    <col min="15614" max="15827" width="11.5703125" style="3069"/>
    <col min="15828" max="15828" width="3.7109375" style="3069" customWidth="1"/>
    <col min="15829" max="15829" width="63.7109375" style="3069" customWidth="1"/>
    <col min="15830" max="15830" width="8.5703125" style="3069" customWidth="1"/>
    <col min="15831" max="15831" width="8.42578125" style="3069" customWidth="1"/>
    <col min="15832" max="15832" width="5.7109375" style="3069" customWidth="1"/>
    <col min="15833" max="15833" width="6" style="3069" customWidth="1"/>
    <col min="15834" max="15834" width="1.85546875" style="3069" customWidth="1"/>
    <col min="15835" max="15845" width="2.140625" style="3069" customWidth="1"/>
    <col min="15846" max="15869" width="2.7109375" style="3069" bestFit="1" customWidth="1"/>
    <col min="15870" max="16083" width="11.5703125" style="3069"/>
    <col min="16084" max="16084" width="3.7109375" style="3069" customWidth="1"/>
    <col min="16085" max="16085" width="63.7109375" style="3069" customWidth="1"/>
    <col min="16086" max="16086" width="8.5703125" style="3069" customWidth="1"/>
    <col min="16087" max="16087" width="8.42578125" style="3069" customWidth="1"/>
    <col min="16088" max="16088" width="5.7109375" style="3069" customWidth="1"/>
    <col min="16089" max="16089" width="6" style="3069" customWidth="1"/>
    <col min="16090" max="16090" width="1.85546875" style="3069" customWidth="1"/>
    <col min="16091" max="16101" width="2.140625" style="3069" customWidth="1"/>
    <col min="16102" max="16125" width="2.7109375" style="3069" bestFit="1" customWidth="1"/>
    <col min="16126" max="16384" width="11.5703125" style="3069"/>
  </cols>
  <sheetData>
    <row r="1" spans="1:47" ht="13.5" x14ac:dyDescent="0.25">
      <c r="A1" s="2590" t="s">
        <v>5737</v>
      </c>
    </row>
    <row r="2" spans="1:47" ht="13.5" thickBot="1" x14ac:dyDescent="0.3">
      <c r="F2" s="3070"/>
      <c r="G2" s="3070"/>
      <c r="H2" s="3070"/>
      <c r="I2" s="3070"/>
      <c r="J2" s="3070"/>
      <c r="K2" s="3070"/>
      <c r="L2" s="3070"/>
      <c r="M2" s="3070"/>
      <c r="N2" s="3070"/>
      <c r="O2" s="3070"/>
      <c r="P2" s="3070"/>
      <c r="Q2" s="3070"/>
      <c r="R2" s="3070"/>
      <c r="S2" s="3070"/>
      <c r="T2" s="3070"/>
      <c r="U2" s="3070"/>
      <c r="V2" s="3070"/>
      <c r="W2" s="3070"/>
      <c r="X2" s="3070"/>
      <c r="Y2" s="3070"/>
      <c r="Z2" s="3070"/>
      <c r="AA2" s="3070"/>
      <c r="AB2" s="3070"/>
      <c r="AC2" s="3070"/>
      <c r="AD2" s="3070"/>
      <c r="AE2" s="3070"/>
      <c r="AF2" s="3070"/>
      <c r="AG2" s="3070"/>
      <c r="AH2" s="3070"/>
      <c r="AI2" s="3070"/>
      <c r="AJ2" s="3070"/>
      <c r="AK2" s="3070"/>
      <c r="AL2" s="3070"/>
      <c r="AM2" s="3070"/>
      <c r="AN2" s="3070"/>
      <c r="AO2" s="3070"/>
      <c r="AP2" s="2848"/>
      <c r="AQ2" s="2848"/>
      <c r="AR2" s="2848"/>
      <c r="AS2" s="2848"/>
      <c r="AT2" s="2848"/>
      <c r="AU2" s="2848"/>
    </row>
    <row r="3" spans="1:47" ht="24.75" customHeight="1" thickBot="1" x14ac:dyDescent="0.3">
      <c r="D3" s="5191" t="s">
        <v>5280</v>
      </c>
      <c r="E3" s="5192"/>
      <c r="F3" s="5192"/>
      <c r="G3" s="5192"/>
      <c r="H3" s="5192"/>
      <c r="I3" s="5192"/>
      <c r="J3" s="5192"/>
      <c r="K3" s="5192"/>
      <c r="L3" s="5192"/>
      <c r="M3" s="5192"/>
      <c r="N3" s="5192"/>
      <c r="O3" s="5192"/>
      <c r="P3" s="5192"/>
      <c r="Q3" s="5192"/>
      <c r="R3" s="5192"/>
      <c r="S3" s="5192"/>
      <c r="T3" s="5192"/>
      <c r="U3" s="5192"/>
      <c r="V3" s="5192"/>
      <c r="W3" s="5192"/>
      <c r="X3" s="5192"/>
      <c r="Y3" s="5192"/>
      <c r="Z3" s="5192"/>
      <c r="AA3" s="5192"/>
      <c r="AB3" s="5192"/>
      <c r="AC3" s="5192"/>
      <c r="AD3" s="5192"/>
      <c r="AE3" s="5192"/>
      <c r="AF3" s="5192"/>
      <c r="AG3" s="5192"/>
      <c r="AH3" s="5192"/>
      <c r="AI3" s="5192"/>
      <c r="AJ3" s="5192"/>
      <c r="AK3" s="5192"/>
      <c r="AL3" s="5192"/>
      <c r="AM3" s="5192"/>
      <c r="AN3" s="5192"/>
      <c r="AO3" s="5192"/>
      <c r="AP3" s="5192"/>
      <c r="AQ3" s="5192"/>
      <c r="AR3" s="5192"/>
      <c r="AS3" s="5192"/>
      <c r="AT3" s="5192"/>
      <c r="AU3" s="5193"/>
    </row>
    <row r="4" spans="1:47" ht="22.5" customHeight="1" thickBot="1" x14ac:dyDescent="0.3">
      <c r="D4" s="5194" t="s">
        <v>298</v>
      </c>
      <c r="E4" s="5196" t="s">
        <v>3892</v>
      </c>
      <c r="F4" s="5198">
        <v>2020</v>
      </c>
      <c r="G4" s="5198"/>
      <c r="H4" s="5198"/>
      <c r="I4" s="5198"/>
      <c r="J4" s="5198"/>
      <c r="K4" s="5198"/>
      <c r="L4" s="5198"/>
      <c r="M4" s="5198"/>
      <c r="N4" s="5198"/>
      <c r="O4" s="5198"/>
      <c r="P4" s="5198"/>
      <c r="Q4" s="5198"/>
      <c r="R4" s="5198">
        <f>F4+1</f>
        <v>2021</v>
      </c>
      <c r="S4" s="5198"/>
      <c r="T4" s="5198"/>
      <c r="U4" s="5198"/>
      <c r="V4" s="5198"/>
      <c r="W4" s="5198"/>
      <c r="X4" s="5198"/>
      <c r="Y4" s="5198"/>
      <c r="Z4" s="5198"/>
      <c r="AA4" s="5198"/>
      <c r="AB4" s="5198"/>
      <c r="AC4" s="5198"/>
      <c r="AD4" s="5198">
        <f>R4+1</f>
        <v>2022</v>
      </c>
      <c r="AE4" s="5198"/>
      <c r="AF4" s="5198"/>
      <c r="AG4" s="5198"/>
      <c r="AH4" s="5198"/>
      <c r="AI4" s="5198"/>
      <c r="AJ4" s="5198"/>
      <c r="AK4" s="5198"/>
      <c r="AL4" s="5198"/>
      <c r="AM4" s="5198"/>
      <c r="AN4" s="5198"/>
      <c r="AO4" s="5198"/>
      <c r="AP4" s="5196" t="s">
        <v>5153</v>
      </c>
      <c r="AQ4" s="5185" t="s">
        <v>5154</v>
      </c>
      <c r="AR4" s="5185" t="s">
        <v>5155</v>
      </c>
      <c r="AS4" s="5185" t="s">
        <v>5156</v>
      </c>
      <c r="AT4" s="5185" t="s">
        <v>5157</v>
      </c>
      <c r="AU4" s="5187" t="s">
        <v>5158</v>
      </c>
    </row>
    <row r="5" spans="1:47" s="3071" customFormat="1" ht="22.5" customHeight="1" thickBot="1" x14ac:dyDescent="0.3">
      <c r="D5" s="5195"/>
      <c r="E5" s="5197"/>
      <c r="F5" s="3072">
        <v>1</v>
      </c>
      <c r="G5" s="3072">
        <f>F5+1</f>
        <v>2</v>
      </c>
      <c r="H5" s="3072">
        <f t="shared" ref="H5:AO5" si="0">G5+1</f>
        <v>3</v>
      </c>
      <c r="I5" s="3072">
        <f t="shared" si="0"/>
        <v>4</v>
      </c>
      <c r="J5" s="3072">
        <f t="shared" si="0"/>
        <v>5</v>
      </c>
      <c r="K5" s="3072">
        <f t="shared" si="0"/>
        <v>6</v>
      </c>
      <c r="L5" s="3072">
        <f t="shared" si="0"/>
        <v>7</v>
      </c>
      <c r="M5" s="3072">
        <f t="shared" si="0"/>
        <v>8</v>
      </c>
      <c r="N5" s="3072">
        <f t="shared" si="0"/>
        <v>9</v>
      </c>
      <c r="O5" s="3072">
        <f t="shared" si="0"/>
        <v>10</v>
      </c>
      <c r="P5" s="3072">
        <f t="shared" si="0"/>
        <v>11</v>
      </c>
      <c r="Q5" s="3072">
        <f t="shared" si="0"/>
        <v>12</v>
      </c>
      <c r="R5" s="3072">
        <v>1</v>
      </c>
      <c r="S5" s="3072">
        <f>R5+1</f>
        <v>2</v>
      </c>
      <c r="T5" s="3072">
        <f t="shared" ref="T5:AB5" si="1">S5+1</f>
        <v>3</v>
      </c>
      <c r="U5" s="3072">
        <f t="shared" si="1"/>
        <v>4</v>
      </c>
      <c r="V5" s="3072">
        <f t="shared" si="1"/>
        <v>5</v>
      </c>
      <c r="W5" s="3072">
        <f t="shared" si="1"/>
        <v>6</v>
      </c>
      <c r="X5" s="3072">
        <f t="shared" si="1"/>
        <v>7</v>
      </c>
      <c r="Y5" s="3072">
        <f t="shared" si="1"/>
        <v>8</v>
      </c>
      <c r="Z5" s="3072">
        <f t="shared" si="1"/>
        <v>9</v>
      </c>
      <c r="AA5" s="3072">
        <f t="shared" si="1"/>
        <v>10</v>
      </c>
      <c r="AB5" s="3072">
        <f t="shared" si="1"/>
        <v>11</v>
      </c>
      <c r="AC5" s="3072">
        <f>AB5+1</f>
        <v>12</v>
      </c>
      <c r="AD5" s="3072">
        <v>1</v>
      </c>
      <c r="AE5" s="3072">
        <f t="shared" si="0"/>
        <v>2</v>
      </c>
      <c r="AF5" s="3072">
        <f t="shared" si="0"/>
        <v>3</v>
      </c>
      <c r="AG5" s="3072">
        <f t="shared" si="0"/>
        <v>4</v>
      </c>
      <c r="AH5" s="3072">
        <f t="shared" si="0"/>
        <v>5</v>
      </c>
      <c r="AI5" s="3072">
        <f t="shared" si="0"/>
        <v>6</v>
      </c>
      <c r="AJ5" s="3072">
        <f t="shared" si="0"/>
        <v>7</v>
      </c>
      <c r="AK5" s="3072">
        <f t="shared" si="0"/>
        <v>8</v>
      </c>
      <c r="AL5" s="3072">
        <f t="shared" si="0"/>
        <v>9</v>
      </c>
      <c r="AM5" s="3072">
        <f t="shared" si="0"/>
        <v>10</v>
      </c>
      <c r="AN5" s="3072">
        <f t="shared" si="0"/>
        <v>11</v>
      </c>
      <c r="AO5" s="3072">
        <f t="shared" si="0"/>
        <v>12</v>
      </c>
      <c r="AP5" s="5197"/>
      <c r="AQ5" s="5186"/>
      <c r="AR5" s="5186"/>
      <c r="AS5" s="5186"/>
      <c r="AT5" s="5186"/>
      <c r="AU5" s="5188"/>
    </row>
    <row r="6" spans="1:47" ht="13.5" thickBot="1" x14ac:dyDescent="0.3">
      <c r="D6" s="5181" t="s">
        <v>5159</v>
      </c>
      <c r="E6" s="5181"/>
      <c r="F6" s="5181"/>
      <c r="G6" s="5181"/>
      <c r="H6" s="5181"/>
      <c r="I6" s="5181"/>
      <c r="J6" s="5181"/>
      <c r="K6" s="5181"/>
      <c r="L6" s="5181"/>
      <c r="M6" s="5181"/>
      <c r="N6" s="5181"/>
      <c r="O6" s="5181"/>
      <c r="P6" s="5181"/>
      <c r="Q6" s="5181"/>
      <c r="R6" s="5181"/>
      <c r="S6" s="5181"/>
      <c r="T6" s="5181"/>
      <c r="U6" s="5181"/>
      <c r="V6" s="5181"/>
      <c r="W6" s="5181"/>
      <c r="X6" s="5181"/>
      <c r="Y6" s="5181"/>
      <c r="Z6" s="5181"/>
      <c r="AA6" s="5181"/>
      <c r="AB6" s="5181"/>
      <c r="AC6" s="5181"/>
      <c r="AD6" s="5181"/>
      <c r="AE6" s="5181"/>
      <c r="AF6" s="5181"/>
      <c r="AG6" s="5181"/>
      <c r="AH6" s="5181"/>
      <c r="AI6" s="5181"/>
      <c r="AJ6" s="5181"/>
      <c r="AK6" s="5181"/>
      <c r="AL6" s="5181"/>
      <c r="AM6" s="5181"/>
      <c r="AN6" s="5181"/>
      <c r="AO6" s="5181"/>
      <c r="AP6" s="5181"/>
      <c r="AQ6" s="5181"/>
      <c r="AR6" s="5181"/>
      <c r="AS6" s="5181"/>
      <c r="AT6" s="5181"/>
      <c r="AU6" s="5181"/>
    </row>
    <row r="7" spans="1:47" ht="64.5" thickBot="1" x14ac:dyDescent="0.3">
      <c r="B7" s="5182">
        <v>1</v>
      </c>
      <c r="D7" s="3073" t="s">
        <v>5160</v>
      </c>
      <c r="E7" s="3074">
        <f t="shared" ref="E7:E16" si="2">COUNTA(F7:AO7)</f>
        <v>1</v>
      </c>
      <c r="F7" s="3096" t="s">
        <v>3718</v>
      </c>
      <c r="G7" s="3075"/>
      <c r="H7" s="3075"/>
      <c r="I7" s="3075"/>
      <c r="J7" s="3075"/>
      <c r="K7" s="3075"/>
      <c r="L7" s="3075"/>
      <c r="M7" s="3076"/>
      <c r="N7" s="3076"/>
      <c r="O7" s="3075"/>
      <c r="P7" s="3075"/>
      <c r="Q7" s="3075"/>
      <c r="R7" s="3075"/>
      <c r="S7" s="3075"/>
      <c r="T7" s="3075"/>
      <c r="U7" s="3075"/>
      <c r="V7" s="3075"/>
      <c r="W7" s="3075"/>
      <c r="X7" s="3075"/>
      <c r="Y7" s="3075"/>
      <c r="Z7" s="3075"/>
      <c r="AA7" s="3075"/>
      <c r="AB7" s="3075"/>
      <c r="AC7" s="3075"/>
      <c r="AD7" s="3075"/>
      <c r="AE7" s="3075"/>
      <c r="AF7" s="3075"/>
      <c r="AG7" s="3075"/>
      <c r="AH7" s="3075"/>
      <c r="AI7" s="3075"/>
      <c r="AJ7" s="3075"/>
      <c r="AK7" s="3075"/>
      <c r="AL7" s="3075"/>
      <c r="AM7" s="3075"/>
      <c r="AN7" s="3075"/>
      <c r="AO7" s="3075"/>
      <c r="AP7" s="3077" t="s">
        <v>5161</v>
      </c>
      <c r="AQ7" s="3078" t="s">
        <v>5162</v>
      </c>
      <c r="AR7" s="3079" t="s">
        <v>5163</v>
      </c>
      <c r="AS7" s="3079" t="s">
        <v>5164</v>
      </c>
      <c r="AT7" s="3079" t="s">
        <v>5165</v>
      </c>
      <c r="AU7" s="3079" t="s">
        <v>5166</v>
      </c>
    </row>
    <row r="8" spans="1:47" ht="64.5" thickBot="1" x14ac:dyDescent="0.3">
      <c r="B8" s="5183"/>
      <c r="D8" s="3080" t="s">
        <v>5960</v>
      </c>
      <c r="E8" s="3074">
        <f t="shared" si="2"/>
        <v>2</v>
      </c>
      <c r="F8" s="3075"/>
      <c r="G8" s="3096" t="s">
        <v>3718</v>
      </c>
      <c r="H8" s="3096" t="s">
        <v>3718</v>
      </c>
      <c r="I8" s="3075"/>
      <c r="J8" s="3075"/>
      <c r="K8" s="3075"/>
      <c r="L8" s="3075"/>
      <c r="M8" s="3076"/>
      <c r="N8" s="3076"/>
      <c r="O8" s="3075"/>
      <c r="P8" s="3075"/>
      <c r="Q8" s="3075"/>
      <c r="R8" s="3075"/>
      <c r="S8" s="3075"/>
      <c r="T8" s="3075"/>
      <c r="U8" s="3075"/>
      <c r="V8" s="3075"/>
      <c r="W8" s="3075"/>
      <c r="X8" s="3075"/>
      <c r="Y8" s="3075"/>
      <c r="Z8" s="3075"/>
      <c r="AA8" s="3075"/>
      <c r="AB8" s="3075"/>
      <c r="AC8" s="3075"/>
      <c r="AD8" s="3075"/>
      <c r="AE8" s="3075"/>
      <c r="AF8" s="3075"/>
      <c r="AG8" s="3075"/>
      <c r="AH8" s="3075"/>
      <c r="AI8" s="3075"/>
      <c r="AJ8" s="3075"/>
      <c r="AK8" s="3075"/>
      <c r="AL8" s="3075"/>
      <c r="AM8" s="3075"/>
      <c r="AN8" s="3075"/>
      <c r="AO8" s="3075"/>
      <c r="AP8" s="3077" t="s">
        <v>5167</v>
      </c>
      <c r="AQ8" s="3078" t="s">
        <v>5168</v>
      </c>
      <c r="AR8" s="3079" t="s">
        <v>5163</v>
      </c>
      <c r="AS8" s="3079" t="s">
        <v>5164</v>
      </c>
      <c r="AT8" s="3079" t="s">
        <v>5165</v>
      </c>
      <c r="AU8" s="3079" t="s">
        <v>5166</v>
      </c>
    </row>
    <row r="9" spans="1:47" ht="39" thickBot="1" x14ac:dyDescent="0.3">
      <c r="B9" s="5183"/>
      <c r="D9" s="3073" t="s">
        <v>5169</v>
      </c>
      <c r="E9" s="3074">
        <f t="shared" si="2"/>
        <v>6</v>
      </c>
      <c r="F9" s="3076"/>
      <c r="G9" s="3076"/>
      <c r="I9" s="3096" t="s">
        <v>3718</v>
      </c>
      <c r="J9" s="3096" t="s">
        <v>3718</v>
      </c>
      <c r="K9" s="3096" t="s">
        <v>3718</v>
      </c>
      <c r="L9" s="3096" t="s">
        <v>3718</v>
      </c>
      <c r="M9" s="3096" t="s">
        <v>3718</v>
      </c>
      <c r="N9" s="3096" t="s">
        <v>3718</v>
      </c>
      <c r="O9" s="3081"/>
      <c r="P9" s="3081"/>
      <c r="Q9" s="3081"/>
      <c r="R9" s="3076"/>
      <c r="S9" s="3076"/>
      <c r="T9" s="3076"/>
      <c r="U9" s="3076"/>
      <c r="V9" s="3076"/>
      <c r="W9" s="3076"/>
      <c r="X9" s="3076"/>
      <c r="Y9" s="3076"/>
      <c r="Z9" s="3076"/>
      <c r="AA9" s="3076"/>
      <c r="AB9" s="3076"/>
      <c r="AC9" s="3076"/>
      <c r="AD9" s="3076"/>
      <c r="AE9" s="3076"/>
      <c r="AF9" s="3076"/>
      <c r="AG9" s="3076"/>
      <c r="AH9" s="3076"/>
      <c r="AI9" s="3076"/>
      <c r="AJ9" s="3076"/>
      <c r="AK9" s="3076"/>
      <c r="AL9" s="3076"/>
      <c r="AM9" s="3076"/>
      <c r="AN9" s="3076"/>
      <c r="AO9" s="3076"/>
      <c r="AP9" s="3077" t="s">
        <v>5161</v>
      </c>
      <c r="AQ9" s="3078" t="s">
        <v>5282</v>
      </c>
      <c r="AR9" s="3079" t="s">
        <v>5170</v>
      </c>
      <c r="AS9" s="3079" t="s">
        <v>5171</v>
      </c>
      <c r="AT9" s="3079" t="s">
        <v>5172</v>
      </c>
      <c r="AU9" s="3079" t="s">
        <v>5173</v>
      </c>
    </row>
    <row r="10" spans="1:47" ht="51.75" thickBot="1" x14ac:dyDescent="0.3">
      <c r="B10" s="5183"/>
      <c r="D10" s="3073" t="s">
        <v>5174</v>
      </c>
      <c r="E10" s="3074">
        <f t="shared" si="2"/>
        <v>6</v>
      </c>
      <c r="F10" s="3076"/>
      <c r="G10" s="3076"/>
      <c r="H10" s="3076"/>
      <c r="I10" s="3096" t="s">
        <v>3718</v>
      </c>
      <c r="J10" s="3096" t="s">
        <v>3718</v>
      </c>
      <c r="K10" s="3096" t="s">
        <v>3718</v>
      </c>
      <c r="L10" s="3096" t="s">
        <v>3718</v>
      </c>
      <c r="M10" s="3096" t="s">
        <v>3718</v>
      </c>
      <c r="N10" s="3096" t="s">
        <v>3718</v>
      </c>
      <c r="O10" s="3081"/>
      <c r="P10" s="3081"/>
      <c r="Q10" s="3081"/>
      <c r="R10" s="3076"/>
      <c r="S10" s="3076"/>
      <c r="T10" s="3076"/>
      <c r="U10" s="3076"/>
      <c r="V10" s="3076"/>
      <c r="W10" s="3076"/>
      <c r="X10" s="3076"/>
      <c r="Y10" s="3076"/>
      <c r="Z10" s="3076"/>
      <c r="AA10" s="3076"/>
      <c r="AB10" s="3076"/>
      <c r="AC10" s="3076"/>
      <c r="AD10" s="3076"/>
      <c r="AE10" s="3076"/>
      <c r="AF10" s="3076"/>
      <c r="AG10" s="3076"/>
      <c r="AH10" s="3076"/>
      <c r="AI10" s="3076"/>
      <c r="AJ10" s="3076"/>
      <c r="AK10" s="3076"/>
      <c r="AL10" s="3076"/>
      <c r="AM10" s="3076"/>
      <c r="AN10" s="3076"/>
      <c r="AO10" s="3076"/>
      <c r="AP10" s="3077" t="s">
        <v>5161</v>
      </c>
      <c r="AQ10" s="3078" t="s">
        <v>5175</v>
      </c>
      <c r="AR10" s="3079" t="s">
        <v>5176</v>
      </c>
      <c r="AS10" s="3079" t="s">
        <v>5171</v>
      </c>
      <c r="AT10" s="3079" t="s">
        <v>5177</v>
      </c>
      <c r="AU10" s="3079" t="s">
        <v>5173</v>
      </c>
    </row>
    <row r="11" spans="1:47" ht="39" thickBot="1" x14ac:dyDescent="0.3">
      <c r="B11" s="5183"/>
      <c r="D11" s="3073" t="s">
        <v>5178</v>
      </c>
      <c r="E11" s="3074">
        <f t="shared" si="2"/>
        <v>3</v>
      </c>
      <c r="F11" s="3076"/>
      <c r="G11" s="3076"/>
      <c r="H11" s="3076"/>
      <c r="I11" s="3076"/>
      <c r="J11" s="3076"/>
      <c r="K11" s="3076"/>
      <c r="L11" s="3096" t="s">
        <v>3718</v>
      </c>
      <c r="M11" s="3096" t="s">
        <v>3718</v>
      </c>
      <c r="N11" s="3096" t="s">
        <v>3718</v>
      </c>
      <c r="O11" s="3081"/>
      <c r="P11" s="3081"/>
      <c r="Q11" s="3081"/>
      <c r="R11" s="3076"/>
      <c r="S11" s="3076"/>
      <c r="T11" s="3076"/>
      <c r="U11" s="3076"/>
      <c r="V11" s="3076"/>
      <c r="W11" s="3076"/>
      <c r="X11" s="3076"/>
      <c r="Y11" s="3076"/>
      <c r="Z11" s="3076"/>
      <c r="AA11" s="3076"/>
      <c r="AB11" s="3076"/>
      <c r="AC11" s="3076"/>
      <c r="AD11" s="3076"/>
      <c r="AE11" s="3076"/>
      <c r="AF11" s="3076"/>
      <c r="AG11" s="3076"/>
      <c r="AH11" s="3076"/>
      <c r="AI11" s="3076"/>
      <c r="AJ11" s="3076"/>
      <c r="AK11" s="3076"/>
      <c r="AL11" s="3076"/>
      <c r="AM11" s="3076"/>
      <c r="AN11" s="3076"/>
      <c r="AO11" s="3076"/>
      <c r="AP11" s="3077" t="s">
        <v>5161</v>
      </c>
      <c r="AQ11" s="3078" t="s">
        <v>5281</v>
      </c>
      <c r="AR11" s="3079" t="s">
        <v>5170</v>
      </c>
      <c r="AS11" s="3079" t="s">
        <v>5171</v>
      </c>
      <c r="AT11" s="3079" t="s">
        <v>5172</v>
      </c>
      <c r="AU11" s="3079" t="s">
        <v>5173</v>
      </c>
    </row>
    <row r="12" spans="1:47" ht="77.25" thickBot="1" x14ac:dyDescent="0.3">
      <c r="B12" s="5183"/>
      <c r="D12" s="3073" t="s">
        <v>5179</v>
      </c>
      <c r="E12" s="3074">
        <f t="shared" si="2"/>
        <v>1</v>
      </c>
      <c r="F12" s="3076"/>
      <c r="G12" s="3076"/>
      <c r="H12" s="3076"/>
      <c r="I12" s="3076"/>
      <c r="J12" s="3076"/>
      <c r="L12" s="3081"/>
      <c r="M12" s="3081"/>
      <c r="N12" s="3081"/>
      <c r="O12" s="3096" t="s">
        <v>3718</v>
      </c>
      <c r="P12" s="3082"/>
      <c r="Q12" s="3081"/>
      <c r="R12" s="3076"/>
      <c r="S12" s="3076"/>
      <c r="T12" s="3076"/>
      <c r="U12" s="3076"/>
      <c r="V12" s="3076"/>
      <c r="W12" s="3076"/>
      <c r="X12" s="3076"/>
      <c r="Y12" s="3076"/>
      <c r="Z12" s="3076"/>
      <c r="AA12" s="3076"/>
      <c r="AB12" s="3076"/>
      <c r="AC12" s="3076"/>
      <c r="AD12" s="3076"/>
      <c r="AE12" s="3076"/>
      <c r="AF12" s="3076"/>
      <c r="AG12" s="3076"/>
      <c r="AH12" s="3076"/>
      <c r="AI12" s="3076"/>
      <c r="AJ12" s="3076"/>
      <c r="AK12" s="3076"/>
      <c r="AL12" s="3076"/>
      <c r="AM12" s="3076"/>
      <c r="AN12" s="3076"/>
      <c r="AO12" s="3076"/>
      <c r="AP12" s="3077" t="s">
        <v>5161</v>
      </c>
      <c r="AQ12" s="3078" t="s">
        <v>5283</v>
      </c>
      <c r="AR12" s="3079" t="s">
        <v>5180</v>
      </c>
      <c r="AS12" s="3079" t="s">
        <v>5171</v>
      </c>
      <c r="AT12" s="3079" t="s">
        <v>5177</v>
      </c>
      <c r="AU12" s="3079" t="s">
        <v>5173</v>
      </c>
    </row>
    <row r="13" spans="1:47" ht="64.5" thickBot="1" x14ac:dyDescent="0.3">
      <c r="B13" s="5183"/>
      <c r="D13" s="3080" t="s">
        <v>5181</v>
      </c>
      <c r="E13" s="3074">
        <f t="shared" si="2"/>
        <v>1</v>
      </c>
      <c r="F13" s="3076"/>
      <c r="G13" s="3076"/>
      <c r="H13" s="3076"/>
      <c r="I13" s="3076"/>
      <c r="J13" s="3076"/>
      <c r="K13" s="3081"/>
      <c r="M13" s="3081"/>
      <c r="N13" s="3081"/>
      <c r="O13" s="3096" t="s">
        <v>3718</v>
      </c>
      <c r="P13" s="3082"/>
      <c r="Q13" s="3081"/>
      <c r="R13" s="3076"/>
      <c r="S13" s="3076"/>
      <c r="T13" s="3076"/>
      <c r="U13" s="3076"/>
      <c r="V13" s="3076"/>
      <c r="W13" s="3076"/>
      <c r="X13" s="3076"/>
      <c r="Y13" s="3076"/>
      <c r="Z13" s="3076"/>
      <c r="AA13" s="3076"/>
      <c r="AB13" s="3076"/>
      <c r="AC13" s="3076"/>
      <c r="AD13" s="3075"/>
      <c r="AE13" s="3075"/>
      <c r="AF13" s="3075"/>
      <c r="AG13" s="3075"/>
      <c r="AH13" s="3075"/>
      <c r="AI13" s="3075"/>
      <c r="AJ13" s="3075"/>
      <c r="AK13" s="3075"/>
      <c r="AL13" s="3075"/>
      <c r="AM13" s="3075"/>
      <c r="AN13" s="3075"/>
      <c r="AO13" s="3075"/>
      <c r="AP13" s="3077" t="s">
        <v>5161</v>
      </c>
      <c r="AQ13" s="3078" t="s">
        <v>5283</v>
      </c>
      <c r="AR13" s="3079" t="s">
        <v>5182</v>
      </c>
      <c r="AS13" s="3079" t="s">
        <v>5171</v>
      </c>
      <c r="AT13" s="3079" t="s">
        <v>5172</v>
      </c>
      <c r="AU13" s="3079" t="s">
        <v>5183</v>
      </c>
    </row>
    <row r="14" spans="1:47" ht="64.5" thickBot="1" x14ac:dyDescent="0.3">
      <c r="B14" s="5183"/>
      <c r="D14" s="3080" t="s">
        <v>5184</v>
      </c>
      <c r="E14" s="3074">
        <f t="shared" si="2"/>
        <v>1</v>
      </c>
      <c r="F14" s="3075"/>
      <c r="G14" s="3075"/>
      <c r="H14" s="3075"/>
      <c r="I14" s="3075"/>
      <c r="J14" s="3075"/>
      <c r="K14" s="3082"/>
      <c r="L14" s="3082"/>
      <c r="N14" s="3081"/>
      <c r="O14" s="3096" t="s">
        <v>3718</v>
      </c>
      <c r="P14" s="3082"/>
      <c r="Q14" s="3081"/>
      <c r="R14" s="3076"/>
      <c r="S14" s="3076"/>
      <c r="T14" s="3076"/>
      <c r="U14" s="3076"/>
      <c r="V14" s="3076"/>
      <c r="W14" s="3076"/>
      <c r="X14" s="3076"/>
      <c r="Y14" s="3076"/>
      <c r="Z14" s="3076"/>
      <c r="AA14" s="3076"/>
      <c r="AB14" s="3076"/>
      <c r="AC14" s="3076"/>
      <c r="AD14" s="3075"/>
      <c r="AE14" s="3075"/>
      <c r="AF14" s="3075"/>
      <c r="AG14" s="3075"/>
      <c r="AH14" s="3075"/>
      <c r="AI14" s="3075"/>
      <c r="AJ14" s="3075"/>
      <c r="AK14" s="3075"/>
      <c r="AL14" s="3075"/>
      <c r="AM14" s="3075"/>
      <c r="AN14" s="3075"/>
      <c r="AO14" s="3075"/>
      <c r="AP14" s="3077" t="s">
        <v>5161</v>
      </c>
      <c r="AQ14" s="3078" t="s">
        <v>5284</v>
      </c>
      <c r="AR14" s="3079" t="s">
        <v>5185</v>
      </c>
      <c r="AS14" s="3079" t="s">
        <v>5171</v>
      </c>
      <c r="AT14" s="3079" t="s">
        <v>5186</v>
      </c>
      <c r="AU14" s="3079" t="s">
        <v>5183</v>
      </c>
    </row>
    <row r="15" spans="1:47" ht="64.5" thickBot="1" x14ac:dyDescent="0.3">
      <c r="B15" s="5183"/>
      <c r="D15" s="3080" t="s">
        <v>5187</v>
      </c>
      <c r="E15" s="3074">
        <f t="shared" si="2"/>
        <v>1</v>
      </c>
      <c r="F15" s="3075"/>
      <c r="G15" s="3075"/>
      <c r="H15" s="3075"/>
      <c r="I15" s="3075"/>
      <c r="J15" s="3075"/>
      <c r="K15" s="3082"/>
      <c r="L15" s="3082"/>
      <c r="M15" s="3082"/>
      <c r="N15" s="3082"/>
      <c r="O15" s="3081"/>
      <c r="P15" s="3096" t="s">
        <v>3718</v>
      </c>
      <c r="Q15" s="3081"/>
      <c r="R15" s="3076"/>
      <c r="S15" s="3076"/>
      <c r="T15" s="3076"/>
      <c r="U15" s="3076"/>
      <c r="V15" s="3076"/>
      <c r="W15" s="3076"/>
      <c r="X15" s="3076"/>
      <c r="Y15" s="3076"/>
      <c r="Z15" s="3076"/>
      <c r="AA15" s="3076"/>
      <c r="AB15" s="3076"/>
      <c r="AC15" s="3076"/>
      <c r="AD15" s="3075"/>
      <c r="AE15" s="3075"/>
      <c r="AF15" s="3075"/>
      <c r="AG15" s="3075"/>
      <c r="AH15" s="3075"/>
      <c r="AI15" s="3075"/>
      <c r="AJ15" s="3075"/>
      <c r="AK15" s="3075"/>
      <c r="AL15" s="3075"/>
      <c r="AM15" s="3075"/>
      <c r="AN15" s="3075"/>
      <c r="AO15" s="3075"/>
      <c r="AP15" s="3077" t="s">
        <v>5161</v>
      </c>
      <c r="AQ15" s="3078" t="s">
        <v>5285</v>
      </c>
      <c r="AR15" s="3079" t="s">
        <v>5182</v>
      </c>
      <c r="AS15" s="3079" t="s">
        <v>5171</v>
      </c>
      <c r="AT15" s="3079" t="s">
        <v>5188</v>
      </c>
      <c r="AU15" s="3079" t="s">
        <v>5183</v>
      </c>
    </row>
    <row r="16" spans="1:47" ht="64.5" thickBot="1" x14ac:dyDescent="0.3">
      <c r="B16" s="5184"/>
      <c r="D16" s="3073" t="s">
        <v>5189</v>
      </c>
      <c r="E16" s="3074">
        <f t="shared" si="2"/>
        <v>1</v>
      </c>
      <c r="F16" s="3075"/>
      <c r="G16" s="3075"/>
      <c r="H16" s="3075"/>
      <c r="I16" s="3075"/>
      <c r="J16" s="3075"/>
      <c r="K16" s="3082"/>
      <c r="L16" s="3082"/>
      <c r="M16" s="3082"/>
      <c r="N16" s="3082"/>
      <c r="O16" s="3081"/>
      <c r="P16" s="3096" t="s">
        <v>3718</v>
      </c>
      <c r="Q16" s="3081"/>
      <c r="R16" s="3076"/>
      <c r="S16" s="3076"/>
      <c r="T16" s="3076"/>
      <c r="U16" s="3076"/>
      <c r="V16" s="3076"/>
      <c r="W16" s="3076"/>
      <c r="X16" s="3076"/>
      <c r="Y16" s="3076"/>
      <c r="Z16" s="3076"/>
      <c r="AA16" s="3076"/>
      <c r="AB16" s="3076"/>
      <c r="AC16" s="3076"/>
      <c r="AD16" s="3075"/>
      <c r="AE16" s="3075"/>
      <c r="AF16" s="3075"/>
      <c r="AG16" s="3075"/>
      <c r="AH16" s="3075"/>
      <c r="AI16" s="3075"/>
      <c r="AJ16" s="3075"/>
      <c r="AK16" s="3075"/>
      <c r="AL16" s="3075"/>
      <c r="AM16" s="3075"/>
      <c r="AN16" s="3075"/>
      <c r="AO16" s="3075"/>
      <c r="AP16" s="3077" t="s">
        <v>5161</v>
      </c>
      <c r="AQ16" s="3078" t="s">
        <v>5190</v>
      </c>
      <c r="AR16" s="3079" t="s">
        <v>5182</v>
      </c>
      <c r="AS16" s="3079" t="s">
        <v>5171</v>
      </c>
      <c r="AT16" s="3079" t="s">
        <v>5188</v>
      </c>
      <c r="AU16" s="3079" t="s">
        <v>5183</v>
      </c>
    </row>
    <row r="17" spans="2:47" ht="13.5" thickBot="1" x14ac:dyDescent="0.3">
      <c r="D17" s="5181" t="s">
        <v>5191</v>
      </c>
      <c r="E17" s="5181"/>
      <c r="F17" s="5181"/>
      <c r="G17" s="5181"/>
      <c r="H17" s="5181"/>
      <c r="I17" s="5181"/>
      <c r="J17" s="5181"/>
      <c r="K17" s="5181"/>
      <c r="L17" s="5181"/>
      <c r="M17" s="5181"/>
      <c r="N17" s="5181"/>
      <c r="O17" s="5181"/>
      <c r="P17" s="5181"/>
      <c r="Q17" s="5181"/>
      <c r="R17" s="5181"/>
      <c r="S17" s="5181"/>
      <c r="T17" s="5181"/>
      <c r="U17" s="5181"/>
      <c r="V17" s="5181"/>
      <c r="W17" s="5181"/>
      <c r="X17" s="5181"/>
      <c r="Y17" s="5181"/>
      <c r="Z17" s="5181"/>
      <c r="AA17" s="5181"/>
      <c r="AB17" s="5181"/>
      <c r="AC17" s="5181"/>
      <c r="AD17" s="5181"/>
      <c r="AE17" s="5181"/>
      <c r="AF17" s="5181"/>
      <c r="AG17" s="5181"/>
      <c r="AH17" s="5181"/>
      <c r="AI17" s="5181"/>
      <c r="AJ17" s="5181"/>
      <c r="AK17" s="5181"/>
      <c r="AL17" s="5181"/>
      <c r="AM17" s="5181"/>
      <c r="AN17" s="5181"/>
      <c r="AO17" s="5181"/>
      <c r="AP17" s="5181"/>
      <c r="AQ17" s="5181"/>
      <c r="AR17" s="5181"/>
      <c r="AS17" s="5181"/>
      <c r="AT17" s="5181"/>
      <c r="AU17" s="5181"/>
    </row>
    <row r="18" spans="2:47" ht="64.5" thickBot="1" x14ac:dyDescent="0.3">
      <c r="B18" s="5182">
        <v>2</v>
      </c>
      <c r="D18" s="3080" t="s">
        <v>5160</v>
      </c>
      <c r="E18" s="3074">
        <f>COUNTA(F18:AO18)</f>
        <v>1</v>
      </c>
      <c r="F18" s="3096" t="s">
        <v>3718</v>
      </c>
      <c r="G18" s="3081"/>
      <c r="H18" s="3081"/>
      <c r="I18" s="3081"/>
      <c r="J18" s="3081"/>
      <c r="K18" s="3081"/>
      <c r="L18" s="3081"/>
      <c r="M18" s="3081"/>
      <c r="N18" s="3081"/>
      <c r="O18" s="3081"/>
      <c r="P18" s="3081"/>
      <c r="R18" s="3081"/>
      <c r="S18" s="3076"/>
      <c r="T18" s="3076"/>
      <c r="U18" s="3076"/>
      <c r="V18" s="3076"/>
      <c r="W18" s="3076"/>
      <c r="X18" s="3076"/>
      <c r="Y18" s="3076"/>
      <c r="Z18" s="3076"/>
      <c r="AA18" s="3076"/>
      <c r="AB18" s="3076"/>
      <c r="AC18" s="3076"/>
      <c r="AD18" s="3076"/>
      <c r="AE18" s="3076"/>
      <c r="AF18" s="3076"/>
      <c r="AG18" s="3076"/>
      <c r="AH18" s="3076"/>
      <c r="AI18" s="3076"/>
      <c r="AJ18" s="3076"/>
      <c r="AK18" s="3076"/>
      <c r="AL18" s="3076"/>
      <c r="AM18" s="3076"/>
      <c r="AN18" s="3076"/>
      <c r="AO18" s="3076"/>
      <c r="AP18" s="3077" t="s">
        <v>5161</v>
      </c>
      <c r="AQ18" s="3078" t="s">
        <v>5286</v>
      </c>
      <c r="AR18" s="3079" t="s">
        <v>5163</v>
      </c>
      <c r="AS18" s="3079" t="s">
        <v>5164</v>
      </c>
      <c r="AT18" s="3079" t="s">
        <v>5165</v>
      </c>
      <c r="AU18" s="3079" t="s">
        <v>5166</v>
      </c>
    </row>
    <row r="19" spans="2:47" ht="90" thickBot="1" x14ac:dyDescent="0.3">
      <c r="B19" s="5183"/>
      <c r="D19" s="3080" t="s">
        <v>5959</v>
      </c>
      <c r="E19" s="3074">
        <f>COUNTA(G19:AO19)</f>
        <v>2</v>
      </c>
      <c r="G19" s="3096" t="s">
        <v>3718</v>
      </c>
      <c r="H19" s="3096" t="s">
        <v>3718</v>
      </c>
      <c r="I19" s="3081"/>
      <c r="J19" s="3081"/>
      <c r="K19" s="3081"/>
      <c r="L19" s="3081"/>
      <c r="M19" s="3081"/>
      <c r="N19" s="3081"/>
      <c r="O19" s="3081"/>
      <c r="P19" s="3081"/>
      <c r="Q19" s="3081"/>
      <c r="R19" s="3081"/>
      <c r="S19" s="3081"/>
      <c r="T19" s="3081"/>
      <c r="U19" s="3081"/>
      <c r="V19" s="3076"/>
      <c r="W19" s="3076"/>
      <c r="X19" s="3076"/>
      <c r="Y19" s="3076"/>
      <c r="Z19" s="3076"/>
      <c r="AA19" s="3076"/>
      <c r="AB19" s="3076"/>
      <c r="AC19" s="3076"/>
      <c r="AD19" s="3076"/>
      <c r="AE19" s="3076"/>
      <c r="AF19" s="3076"/>
      <c r="AG19" s="3076"/>
      <c r="AH19" s="3076"/>
      <c r="AI19" s="3076"/>
      <c r="AJ19" s="3076"/>
      <c r="AK19" s="3076"/>
      <c r="AL19" s="3076"/>
      <c r="AM19" s="3076"/>
      <c r="AN19" s="3076"/>
      <c r="AO19" s="3076"/>
      <c r="AP19" s="3077" t="s">
        <v>5167</v>
      </c>
      <c r="AQ19" s="3079" t="s">
        <v>5287</v>
      </c>
      <c r="AR19" s="3079" t="s">
        <v>5163</v>
      </c>
      <c r="AS19" s="3079" t="s">
        <v>5164</v>
      </c>
      <c r="AT19" s="3079" t="s">
        <v>5165</v>
      </c>
      <c r="AU19" s="3079" t="s">
        <v>5166</v>
      </c>
    </row>
    <row r="20" spans="2:47" ht="39" thickBot="1" x14ac:dyDescent="0.3">
      <c r="B20" s="5183"/>
      <c r="D20" s="3080" t="s">
        <v>5192</v>
      </c>
      <c r="E20" s="3074">
        <f>COUNTA(F20:AO20)</f>
        <v>6</v>
      </c>
      <c r="F20" s="3082"/>
      <c r="G20" s="3081"/>
      <c r="I20" s="3096" t="s">
        <v>3718</v>
      </c>
      <c r="J20" s="3096" t="s">
        <v>3718</v>
      </c>
      <c r="K20" s="3096" t="s">
        <v>3718</v>
      </c>
      <c r="L20" s="3096" t="s">
        <v>3718</v>
      </c>
      <c r="M20" s="3096" t="s">
        <v>3718</v>
      </c>
      <c r="N20" s="3096" t="s">
        <v>3718</v>
      </c>
      <c r="O20" s="3081"/>
      <c r="P20" s="3081"/>
      <c r="Q20" s="3081"/>
      <c r="R20" s="3081"/>
      <c r="S20" s="3076"/>
      <c r="T20" s="3076"/>
      <c r="U20" s="3076"/>
      <c r="V20" s="3076"/>
      <c r="W20" s="3076"/>
      <c r="X20" s="3076"/>
      <c r="Y20" s="3076"/>
      <c r="Z20" s="3076"/>
      <c r="AA20" s="3076"/>
      <c r="AB20" s="3076"/>
      <c r="AC20" s="3076"/>
      <c r="AD20" s="3076"/>
      <c r="AE20" s="3076"/>
      <c r="AF20" s="3076"/>
      <c r="AG20" s="3076"/>
      <c r="AH20" s="3076"/>
      <c r="AI20" s="3076"/>
      <c r="AJ20" s="3076"/>
      <c r="AK20" s="3076"/>
      <c r="AL20" s="3076"/>
      <c r="AM20" s="3076"/>
      <c r="AN20" s="3076"/>
      <c r="AO20" s="3076"/>
      <c r="AP20" s="3077" t="s">
        <v>5167</v>
      </c>
      <c r="AQ20" s="3079" t="s">
        <v>5288</v>
      </c>
      <c r="AR20" s="3079" t="s">
        <v>5194</v>
      </c>
      <c r="AS20" s="3079" t="s">
        <v>5194</v>
      </c>
      <c r="AT20" s="3079" t="s">
        <v>5195</v>
      </c>
      <c r="AU20" s="3079" t="s">
        <v>5196</v>
      </c>
    </row>
    <row r="21" spans="2:47" ht="64.5" thickBot="1" x14ac:dyDescent="0.3">
      <c r="B21" s="5184"/>
      <c r="D21" s="3080" t="s">
        <v>5197</v>
      </c>
      <c r="E21" s="3074">
        <f>COUNTA(F21:AO21)</f>
        <v>1</v>
      </c>
      <c r="F21" s="3082"/>
      <c r="G21" s="3082"/>
      <c r="H21" s="3082"/>
      <c r="I21" s="3082"/>
      <c r="J21" s="3082"/>
      <c r="M21" s="3083"/>
      <c r="N21" s="3081"/>
      <c r="O21" s="3096" t="s">
        <v>3718</v>
      </c>
      <c r="P21" s="3081"/>
      <c r="Q21" s="3081"/>
      <c r="R21" s="3081"/>
      <c r="S21" s="3076"/>
      <c r="T21" s="3076"/>
      <c r="U21" s="3076"/>
      <c r="V21" s="3076"/>
      <c r="W21" s="3076"/>
      <c r="X21" s="3076"/>
      <c r="Y21" s="3076"/>
      <c r="Z21" s="3076"/>
      <c r="AA21" s="3076"/>
      <c r="AB21" s="3076"/>
      <c r="AC21" s="3076"/>
      <c r="AD21" s="3076"/>
      <c r="AE21" s="3076"/>
      <c r="AF21" s="3076"/>
      <c r="AG21" s="3076"/>
      <c r="AH21" s="3076"/>
      <c r="AI21" s="3076"/>
      <c r="AJ21" s="3076"/>
      <c r="AK21" s="3076"/>
      <c r="AL21" s="3076"/>
      <c r="AM21" s="3076"/>
      <c r="AN21" s="3076"/>
      <c r="AO21" s="3076"/>
      <c r="AP21" s="3077" t="s">
        <v>5161</v>
      </c>
      <c r="AQ21" s="3079" t="s">
        <v>5198</v>
      </c>
      <c r="AR21" s="3079" t="s">
        <v>5182</v>
      </c>
      <c r="AS21" s="3079" t="s">
        <v>5295</v>
      </c>
      <c r="AT21" s="3079" t="s">
        <v>5188</v>
      </c>
      <c r="AU21" s="3079" t="s">
        <v>5196</v>
      </c>
    </row>
    <row r="22" spans="2:47" ht="13.5" thickBot="1" x14ac:dyDescent="0.3">
      <c r="B22" s="2847"/>
      <c r="D22" s="5181" t="s">
        <v>5199</v>
      </c>
      <c r="E22" s="5181"/>
      <c r="F22" s="5181"/>
      <c r="G22" s="5181"/>
      <c r="H22" s="5181"/>
      <c r="I22" s="5181"/>
      <c r="J22" s="5181"/>
      <c r="K22" s="5181"/>
      <c r="L22" s="5181"/>
      <c r="M22" s="5181"/>
      <c r="N22" s="5181"/>
      <c r="O22" s="5181"/>
      <c r="P22" s="5181"/>
      <c r="Q22" s="5181"/>
      <c r="R22" s="5181"/>
      <c r="S22" s="5181"/>
      <c r="T22" s="5181"/>
      <c r="U22" s="5181"/>
      <c r="V22" s="5181"/>
      <c r="W22" s="5181"/>
      <c r="X22" s="5181"/>
      <c r="Y22" s="5181"/>
      <c r="Z22" s="5181"/>
      <c r="AA22" s="5181"/>
      <c r="AB22" s="5181"/>
      <c r="AC22" s="5181"/>
      <c r="AD22" s="5181"/>
      <c r="AE22" s="5181"/>
      <c r="AF22" s="5181"/>
      <c r="AG22" s="5181"/>
      <c r="AH22" s="5181"/>
      <c r="AI22" s="5181"/>
      <c r="AJ22" s="5181"/>
      <c r="AK22" s="5181"/>
      <c r="AL22" s="5181"/>
      <c r="AM22" s="5181"/>
      <c r="AN22" s="5181"/>
      <c r="AO22" s="5181"/>
      <c r="AP22" s="5181"/>
      <c r="AQ22" s="5181"/>
      <c r="AR22" s="5181"/>
      <c r="AS22" s="5181"/>
      <c r="AT22" s="5181"/>
      <c r="AU22" s="5181"/>
    </row>
    <row r="23" spans="2:47" ht="64.5" thickBot="1" x14ac:dyDescent="0.3">
      <c r="B23" s="5182">
        <v>3</v>
      </c>
      <c r="D23" s="3073" t="s">
        <v>5160</v>
      </c>
      <c r="E23" s="3074">
        <f>COUNTA(F23:AO23)</f>
        <v>1</v>
      </c>
      <c r="F23" s="3076"/>
      <c r="G23" s="3075"/>
      <c r="H23" s="3075"/>
      <c r="I23" s="3075"/>
      <c r="J23" s="3075"/>
      <c r="K23" s="3075"/>
      <c r="L23" s="3075"/>
      <c r="M23" s="3076"/>
      <c r="N23" s="3076"/>
      <c r="P23" s="3081"/>
      <c r="Q23" s="3096" t="s">
        <v>3718</v>
      </c>
      <c r="R23" s="3081"/>
      <c r="S23" s="3081"/>
      <c r="T23" s="3081"/>
      <c r="U23" s="3081"/>
      <c r="V23" s="3081"/>
      <c r="W23" s="3081"/>
      <c r="X23" s="3081"/>
      <c r="Y23" s="3081"/>
      <c r="Z23" s="3081"/>
      <c r="AA23" s="3081"/>
      <c r="AB23" s="3081"/>
      <c r="AC23" s="3081"/>
      <c r="AD23" s="3082"/>
      <c r="AE23" s="3082"/>
      <c r="AF23" s="3082"/>
      <c r="AG23" s="3082"/>
      <c r="AH23" s="3082"/>
      <c r="AI23" s="3082"/>
      <c r="AJ23" s="3082"/>
      <c r="AK23" s="3075"/>
      <c r="AL23" s="3075"/>
      <c r="AM23" s="3075"/>
      <c r="AN23" s="3075"/>
      <c r="AO23" s="3075"/>
      <c r="AP23" s="3077" t="s">
        <v>5161</v>
      </c>
      <c r="AQ23" s="3078" t="s">
        <v>5286</v>
      </c>
      <c r="AR23" s="3079" t="s">
        <v>5163</v>
      </c>
      <c r="AS23" s="3079" t="s">
        <v>5164</v>
      </c>
      <c r="AT23" s="3079" t="s">
        <v>5165</v>
      </c>
      <c r="AU23" s="3079" t="s">
        <v>5166</v>
      </c>
    </row>
    <row r="24" spans="2:47" ht="64.5" thickBot="1" x14ac:dyDescent="0.3">
      <c r="B24" s="5183"/>
      <c r="D24" s="3080" t="s">
        <v>5200</v>
      </c>
      <c r="E24" s="3074">
        <f>COUNTA(F24:AO24)</f>
        <v>2</v>
      </c>
      <c r="F24" s="3075"/>
      <c r="G24" s="3076"/>
      <c r="H24" s="3076"/>
      <c r="I24" s="3075"/>
      <c r="J24" s="3075"/>
      <c r="K24" s="3075"/>
      <c r="L24" s="3075"/>
      <c r="M24" s="3076"/>
      <c r="N24" s="3076"/>
      <c r="O24" s="3075"/>
      <c r="P24" s="3075"/>
      <c r="Q24" s="3075"/>
      <c r="R24" s="3096" t="s">
        <v>3718</v>
      </c>
      <c r="S24" s="3096" t="s">
        <v>3718</v>
      </c>
      <c r="T24" s="3081"/>
      <c r="U24" s="3081"/>
      <c r="V24" s="3081"/>
      <c r="W24" s="3081"/>
      <c r="X24" s="3081"/>
      <c r="Y24" s="3081"/>
      <c r="Z24" s="3081"/>
      <c r="AA24" s="3081"/>
      <c r="AB24" s="3081"/>
      <c r="AC24" s="3081"/>
      <c r="AD24" s="3081"/>
      <c r="AE24" s="3082"/>
      <c r="AF24" s="3082"/>
      <c r="AG24" s="3082"/>
      <c r="AH24" s="3082"/>
      <c r="AI24" s="3082"/>
      <c r="AJ24" s="3082"/>
      <c r="AK24" s="3075"/>
      <c r="AL24" s="3075"/>
      <c r="AM24" s="3075"/>
      <c r="AN24" s="3075"/>
      <c r="AO24" s="3075"/>
      <c r="AP24" s="3077" t="s">
        <v>5167</v>
      </c>
      <c r="AQ24" s="3078" t="s">
        <v>5168</v>
      </c>
      <c r="AR24" s="3079" t="s">
        <v>5163</v>
      </c>
      <c r="AS24" s="3079" t="s">
        <v>5164</v>
      </c>
      <c r="AT24" s="3079" t="s">
        <v>5165</v>
      </c>
      <c r="AU24" s="3079" t="s">
        <v>5166</v>
      </c>
    </row>
    <row r="25" spans="2:47" ht="51.75" thickBot="1" x14ac:dyDescent="0.3">
      <c r="B25" s="5183"/>
      <c r="D25" s="3080" t="s">
        <v>5201</v>
      </c>
      <c r="E25" s="3074">
        <f>COUNTA(F25:AO25)</f>
        <v>12</v>
      </c>
      <c r="F25" s="3076"/>
      <c r="G25" s="3076"/>
      <c r="H25" s="3076"/>
      <c r="I25" s="3076"/>
      <c r="J25" s="3076"/>
      <c r="K25" s="3076"/>
      <c r="L25" s="3076"/>
      <c r="M25" s="3076"/>
      <c r="N25" s="3076"/>
      <c r="O25" s="3076"/>
      <c r="P25" s="3081"/>
      <c r="Q25" s="3081"/>
      <c r="R25" s="3081"/>
      <c r="S25" s="3081"/>
      <c r="T25" s="3096" t="s">
        <v>3718</v>
      </c>
      <c r="U25" s="3096" t="s">
        <v>3718</v>
      </c>
      <c r="V25" s="3096" t="s">
        <v>3718</v>
      </c>
      <c r="W25" s="3096" t="s">
        <v>3718</v>
      </c>
      <c r="X25" s="3096" t="s">
        <v>3718</v>
      </c>
      <c r="Y25" s="3096" t="s">
        <v>3718</v>
      </c>
      <c r="Z25" s="3096" t="s">
        <v>3718</v>
      </c>
      <c r="AA25" s="3096" t="s">
        <v>3718</v>
      </c>
      <c r="AB25" s="3096" t="s">
        <v>3718</v>
      </c>
      <c r="AC25" s="3096" t="s">
        <v>3718</v>
      </c>
      <c r="AD25" s="3096" t="s">
        <v>3718</v>
      </c>
      <c r="AE25" s="3096" t="s">
        <v>3718</v>
      </c>
      <c r="AF25" s="3081"/>
      <c r="AG25" s="3081"/>
      <c r="AH25" s="3081"/>
      <c r="AI25" s="3081"/>
      <c r="AJ25" s="3081"/>
      <c r="AK25" s="3076"/>
      <c r="AL25" s="3076"/>
      <c r="AM25" s="3076"/>
      <c r="AN25" s="3076"/>
      <c r="AO25" s="3076"/>
      <c r="AP25" s="3077" t="s">
        <v>5167</v>
      </c>
      <c r="AQ25" s="3078" t="s">
        <v>5202</v>
      </c>
      <c r="AR25" s="3079" t="s">
        <v>5203</v>
      </c>
      <c r="AS25" s="3079" t="s">
        <v>5204</v>
      </c>
      <c r="AT25" s="3079" t="s">
        <v>5205</v>
      </c>
      <c r="AU25" s="3079" t="s">
        <v>5206</v>
      </c>
    </row>
    <row r="26" spans="2:47" ht="90" thickBot="1" x14ac:dyDescent="0.3">
      <c r="B26" s="5183"/>
      <c r="D26" s="3080" t="s">
        <v>5207</v>
      </c>
      <c r="E26" s="3074">
        <f>COUNTA(F26:AO26)</f>
        <v>12</v>
      </c>
      <c r="F26" s="3076"/>
      <c r="G26" s="3076"/>
      <c r="H26" s="3076"/>
      <c r="I26" s="3076"/>
      <c r="J26" s="3076"/>
      <c r="K26" s="3076"/>
      <c r="L26" s="3076"/>
      <c r="M26" s="3076"/>
      <c r="N26" s="3076"/>
      <c r="O26" s="3076"/>
      <c r="P26" s="3081"/>
      <c r="Q26" s="3081"/>
      <c r="R26" s="3081"/>
      <c r="S26" s="3081"/>
      <c r="T26" s="3096" t="s">
        <v>3718</v>
      </c>
      <c r="U26" s="3096" t="s">
        <v>3718</v>
      </c>
      <c r="V26" s="3096" t="s">
        <v>3718</v>
      </c>
      <c r="W26" s="3096" t="s">
        <v>3718</v>
      </c>
      <c r="X26" s="3096" t="s">
        <v>3718</v>
      </c>
      <c r="Y26" s="3096" t="s">
        <v>3718</v>
      </c>
      <c r="Z26" s="3096" t="s">
        <v>3718</v>
      </c>
      <c r="AA26" s="3096" t="s">
        <v>3718</v>
      </c>
      <c r="AB26" s="3096" t="s">
        <v>3718</v>
      </c>
      <c r="AC26" s="3096" t="s">
        <v>3718</v>
      </c>
      <c r="AD26" s="3096" t="s">
        <v>3718</v>
      </c>
      <c r="AE26" s="3096" t="s">
        <v>3718</v>
      </c>
      <c r="AF26" s="3081"/>
      <c r="AG26" s="3081"/>
      <c r="AH26" s="3081"/>
      <c r="AI26" s="3081"/>
      <c r="AJ26" s="3081"/>
      <c r="AK26" s="3076"/>
      <c r="AL26" s="3076"/>
      <c r="AM26" s="3076"/>
      <c r="AN26" s="3076"/>
      <c r="AO26" s="3076"/>
      <c r="AP26" s="3077" t="s">
        <v>5167</v>
      </c>
      <c r="AQ26" s="3078" t="s">
        <v>5202</v>
      </c>
      <c r="AR26" s="3079" t="s">
        <v>5203</v>
      </c>
      <c r="AS26" s="3079" t="s">
        <v>5296</v>
      </c>
      <c r="AT26" s="3079" t="s">
        <v>5205</v>
      </c>
      <c r="AU26" s="3079" t="s">
        <v>5206</v>
      </c>
    </row>
    <row r="27" spans="2:47" ht="64.5" thickBot="1" x14ac:dyDescent="0.3">
      <c r="B27" s="5184"/>
      <c r="D27" s="3080" t="s">
        <v>5208</v>
      </c>
      <c r="E27" s="3074">
        <f>COUNTA(F27:AO27)</f>
        <v>2</v>
      </c>
      <c r="F27" s="3075"/>
      <c r="G27" s="3075"/>
      <c r="H27" s="3075"/>
      <c r="I27" s="3075"/>
      <c r="J27" s="3075"/>
      <c r="K27" s="3075"/>
      <c r="L27" s="3075"/>
      <c r="M27" s="3075"/>
      <c r="N27" s="3075"/>
      <c r="O27" s="3075"/>
      <c r="P27" s="3082"/>
      <c r="Q27" s="3082"/>
      <c r="R27" s="3082"/>
      <c r="S27" s="3082"/>
      <c r="T27" s="3082"/>
      <c r="U27" s="3082"/>
      <c r="V27" s="3082"/>
      <c r="W27" s="3082"/>
      <c r="X27" s="3082"/>
      <c r="Y27" s="3082"/>
      <c r="Z27" s="3082"/>
      <c r="AA27" s="3082"/>
      <c r="AB27" s="3082"/>
      <c r="AC27" s="3082"/>
      <c r="AD27" s="3082"/>
      <c r="AE27" s="3082"/>
      <c r="AF27" s="3096" t="s">
        <v>3718</v>
      </c>
      <c r="AG27" s="3096" t="s">
        <v>3718</v>
      </c>
      <c r="AH27" s="3081"/>
      <c r="AI27" s="3082"/>
      <c r="AJ27" s="3082"/>
      <c r="AK27" s="3075"/>
      <c r="AL27" s="3075"/>
      <c r="AM27" s="3076"/>
      <c r="AN27" s="3076"/>
      <c r="AO27" s="3076"/>
      <c r="AP27" s="3077" t="s">
        <v>5161</v>
      </c>
      <c r="AQ27" s="3079" t="s">
        <v>5198</v>
      </c>
      <c r="AR27" s="3079" t="s">
        <v>5163</v>
      </c>
      <c r="AS27" s="3079" t="s">
        <v>5297</v>
      </c>
      <c r="AT27" s="3079" t="s">
        <v>5210</v>
      </c>
      <c r="AU27" s="3079" t="s">
        <v>5211</v>
      </c>
    </row>
    <row r="28" spans="2:47" ht="13.5" thickBot="1" x14ac:dyDescent="0.3">
      <c r="B28" s="2847"/>
      <c r="D28" s="5181" t="s">
        <v>5212</v>
      </c>
      <c r="E28" s="5181"/>
      <c r="F28" s="5181"/>
      <c r="G28" s="5181"/>
      <c r="H28" s="5181"/>
      <c r="I28" s="5181"/>
      <c r="J28" s="5181"/>
      <c r="K28" s="5181"/>
      <c r="L28" s="5181"/>
      <c r="M28" s="5181"/>
      <c r="N28" s="5181"/>
      <c r="O28" s="5181"/>
      <c r="P28" s="5181"/>
      <c r="Q28" s="5181"/>
      <c r="R28" s="5181"/>
      <c r="S28" s="5181"/>
      <c r="T28" s="5181"/>
      <c r="U28" s="5181"/>
      <c r="V28" s="5181"/>
      <c r="W28" s="5181"/>
      <c r="X28" s="5181"/>
      <c r="Y28" s="5181"/>
      <c r="Z28" s="5181"/>
      <c r="AA28" s="5181"/>
      <c r="AB28" s="5181"/>
      <c r="AC28" s="5181"/>
      <c r="AD28" s="5181"/>
      <c r="AE28" s="5181"/>
      <c r="AF28" s="5181"/>
      <c r="AG28" s="5181"/>
      <c r="AH28" s="5181"/>
      <c r="AI28" s="5181"/>
      <c r="AJ28" s="5181"/>
      <c r="AK28" s="5181"/>
      <c r="AL28" s="5181"/>
      <c r="AM28" s="5181"/>
      <c r="AN28" s="5181"/>
      <c r="AO28" s="5181"/>
      <c r="AP28" s="5181"/>
      <c r="AQ28" s="5181"/>
      <c r="AR28" s="5181"/>
      <c r="AS28" s="5181"/>
      <c r="AT28" s="5181"/>
      <c r="AU28" s="5181"/>
    </row>
    <row r="29" spans="2:47" ht="39" thickBot="1" x14ac:dyDescent="0.3">
      <c r="B29" s="5189">
        <v>4</v>
      </c>
      <c r="D29" s="3080" t="s">
        <v>5160</v>
      </c>
      <c r="E29" s="3074">
        <f>COUNTA(F29:AO29)</f>
        <v>1</v>
      </c>
      <c r="F29" s="3084"/>
      <c r="G29" s="3084"/>
      <c r="H29" s="3084"/>
      <c r="I29" s="3084"/>
      <c r="J29" s="3084"/>
      <c r="K29" s="3084"/>
      <c r="L29" s="3084"/>
      <c r="M29" s="3084"/>
      <c r="N29" s="3084"/>
      <c r="O29" s="3084"/>
      <c r="P29" s="3084"/>
      <c r="Q29" s="3084"/>
      <c r="R29" s="3084"/>
      <c r="S29" s="3084"/>
      <c r="T29" s="3084"/>
      <c r="U29" s="3084"/>
      <c r="V29" s="3081"/>
      <c r="W29" s="3085"/>
      <c r="X29" s="3085"/>
      <c r="Y29" s="3097" t="s">
        <v>3718</v>
      </c>
      <c r="Z29" s="3086"/>
      <c r="AA29" s="3085"/>
      <c r="AB29" s="3085"/>
      <c r="AC29" s="3086"/>
      <c r="AD29" s="3086"/>
      <c r="AE29" s="3086"/>
      <c r="AF29" s="3086"/>
      <c r="AG29" s="3086"/>
      <c r="AH29" s="3086"/>
      <c r="AI29" s="3085"/>
      <c r="AJ29" s="3085"/>
      <c r="AK29" s="3081"/>
      <c r="AL29" s="3084"/>
      <c r="AM29" s="3084"/>
      <c r="AN29" s="3087"/>
      <c r="AO29" s="3087"/>
      <c r="AP29" s="3088" t="s">
        <v>5161</v>
      </c>
      <c r="AQ29" s="3079" t="s">
        <v>5213</v>
      </c>
      <c r="AR29" s="3079" t="s">
        <v>5294</v>
      </c>
      <c r="AS29" s="3079" t="s">
        <v>5294</v>
      </c>
      <c r="AT29" s="3079" t="s">
        <v>5214</v>
      </c>
      <c r="AU29" s="3079" t="s">
        <v>5214</v>
      </c>
    </row>
    <row r="30" spans="2:47" ht="13.5" customHeight="1" thickBot="1" x14ac:dyDescent="0.3">
      <c r="B30" s="5190"/>
      <c r="D30" s="3080" t="s">
        <v>5215</v>
      </c>
      <c r="E30" s="3074">
        <f>COUNTA(F30:AO30)</f>
        <v>2</v>
      </c>
      <c r="F30" s="3087"/>
      <c r="G30" s="3087"/>
      <c r="H30" s="3087"/>
      <c r="I30" s="3087"/>
      <c r="J30" s="3087"/>
      <c r="K30" s="3087"/>
      <c r="L30" s="3087"/>
      <c r="M30" s="3087"/>
      <c r="N30" s="3087"/>
      <c r="O30" s="3087"/>
      <c r="P30" s="3087"/>
      <c r="Q30" s="3084"/>
      <c r="R30" s="3084"/>
      <c r="S30" s="3084"/>
      <c r="T30" s="3084"/>
      <c r="U30" s="3084"/>
      <c r="V30" s="3085"/>
      <c r="W30" s="3081"/>
      <c r="X30" s="3081"/>
      <c r="Y30" s="3081"/>
      <c r="Z30" s="3097" t="s">
        <v>3718</v>
      </c>
      <c r="AA30" s="3097" t="s">
        <v>3718</v>
      </c>
      <c r="AB30" s="3085"/>
      <c r="AC30" s="3086"/>
      <c r="AD30" s="3086"/>
      <c r="AE30" s="3086"/>
      <c r="AF30" s="3086"/>
      <c r="AG30" s="3086"/>
      <c r="AH30" s="3086"/>
      <c r="AI30" s="3085"/>
      <c r="AJ30" s="3085"/>
      <c r="AK30" s="3085"/>
      <c r="AL30" s="3076"/>
      <c r="AM30" s="3084"/>
      <c r="AN30" s="3084"/>
      <c r="AO30" s="3084"/>
      <c r="AP30" s="3088" t="s">
        <v>5167</v>
      </c>
      <c r="AQ30" s="3079" t="s">
        <v>5216</v>
      </c>
      <c r="AR30" s="3079" t="s">
        <v>5217</v>
      </c>
      <c r="AS30" s="3079" t="s">
        <v>5217</v>
      </c>
      <c r="AT30" s="3079" t="s">
        <v>5214</v>
      </c>
      <c r="AU30" s="3079" t="s">
        <v>5214</v>
      </c>
    </row>
    <row r="31" spans="2:47" ht="39" thickBot="1" x14ac:dyDescent="0.3">
      <c r="B31" s="5190"/>
      <c r="D31" s="3089" t="s">
        <v>5218</v>
      </c>
      <c r="E31" s="3074">
        <v>1</v>
      </c>
      <c r="F31" s="3087"/>
      <c r="G31" s="3087"/>
      <c r="H31" s="3087"/>
      <c r="I31" s="3087"/>
      <c r="J31" s="3087"/>
      <c r="K31" s="3087"/>
      <c r="L31" s="3087"/>
      <c r="M31" s="3087"/>
      <c r="N31" s="3087"/>
      <c r="O31" s="3087"/>
      <c r="P31" s="3087"/>
      <c r="Q31" s="3087"/>
      <c r="R31" s="3087"/>
      <c r="S31" s="3087"/>
      <c r="T31" s="3087"/>
      <c r="U31" s="3087"/>
      <c r="V31" s="3085"/>
      <c r="W31" s="3085"/>
      <c r="X31" s="3085"/>
      <c r="Y31" s="3085"/>
      <c r="Z31" s="3086"/>
      <c r="AA31" s="3086"/>
      <c r="AB31" s="3097" t="s">
        <v>3718</v>
      </c>
      <c r="AC31" s="3097" t="s">
        <v>3718</v>
      </c>
      <c r="AD31" s="3097" t="s">
        <v>3718</v>
      </c>
      <c r="AE31" s="3097" t="s">
        <v>3718</v>
      </c>
      <c r="AF31" s="3085"/>
      <c r="AG31" s="3085"/>
      <c r="AH31" s="3085"/>
      <c r="AI31" s="3085"/>
      <c r="AJ31" s="3085"/>
      <c r="AK31" s="3085"/>
      <c r="AL31" s="3087"/>
      <c r="AM31" s="3084"/>
      <c r="AN31" s="3087"/>
      <c r="AO31" s="3087"/>
      <c r="AP31" s="3077" t="s">
        <v>5167</v>
      </c>
      <c r="AQ31" s="3077" t="s">
        <v>5289</v>
      </c>
      <c r="AR31" s="3079" t="s">
        <v>5203</v>
      </c>
      <c r="AS31" s="3079" t="s">
        <v>5204</v>
      </c>
      <c r="AT31" s="3079" t="s">
        <v>5205</v>
      </c>
      <c r="AU31" s="3079" t="s">
        <v>5219</v>
      </c>
    </row>
    <row r="32" spans="2:47" ht="39" thickBot="1" x14ac:dyDescent="0.3">
      <c r="B32" s="5190"/>
      <c r="D32" s="3089" t="s">
        <v>5220</v>
      </c>
      <c r="E32" s="3074">
        <v>2</v>
      </c>
      <c r="F32" s="3087"/>
      <c r="G32" s="3087"/>
      <c r="H32" s="3087"/>
      <c r="I32" s="3087"/>
      <c r="J32" s="3087"/>
      <c r="K32" s="3087"/>
      <c r="L32" s="3087"/>
      <c r="M32" s="3087"/>
      <c r="N32" s="3087"/>
      <c r="O32" s="3087"/>
      <c r="P32" s="3087"/>
      <c r="Q32" s="3087"/>
      <c r="R32" s="3087"/>
      <c r="S32" s="3087"/>
      <c r="T32" s="3087"/>
      <c r="U32" s="3087"/>
      <c r="V32" s="3085"/>
      <c r="W32" s="3085"/>
      <c r="X32" s="3085"/>
      <c r="Y32" s="3085"/>
      <c r="Z32" s="3085"/>
      <c r="AA32" s="3085"/>
      <c r="AB32" s="3085"/>
      <c r="AC32" s="3085"/>
      <c r="AD32" s="3097" t="s">
        <v>3718</v>
      </c>
      <c r="AE32" s="3097" t="s">
        <v>3718</v>
      </c>
      <c r="AF32" s="3085"/>
      <c r="AG32" s="3085"/>
      <c r="AH32" s="3085"/>
      <c r="AI32" s="3085"/>
      <c r="AJ32" s="3085"/>
      <c r="AK32" s="3085"/>
      <c r="AL32" s="3087"/>
      <c r="AM32" s="3084"/>
      <c r="AN32" s="3084"/>
      <c r="AO32" s="3087"/>
      <c r="AP32" s="3077" t="s">
        <v>5167</v>
      </c>
      <c r="AQ32" s="3077" t="s">
        <v>5290</v>
      </c>
      <c r="AR32" s="3079" t="s">
        <v>5203</v>
      </c>
      <c r="AS32" s="3079" t="s">
        <v>5204</v>
      </c>
      <c r="AT32" s="3079" t="s">
        <v>5205</v>
      </c>
      <c r="AU32" s="3079" t="s">
        <v>5219</v>
      </c>
    </row>
    <row r="33" spans="2:47" ht="39" thickBot="1" x14ac:dyDescent="0.3">
      <c r="B33" s="5190"/>
      <c r="D33" s="3089" t="s">
        <v>5221</v>
      </c>
      <c r="E33" s="3074">
        <v>2</v>
      </c>
      <c r="F33" s="3087"/>
      <c r="G33" s="3087"/>
      <c r="H33" s="3087"/>
      <c r="I33" s="3087"/>
      <c r="J33" s="3087"/>
      <c r="K33" s="3087"/>
      <c r="L33" s="3087"/>
      <c r="M33" s="3087"/>
      <c r="N33" s="3087"/>
      <c r="O33" s="3087"/>
      <c r="P33" s="3087"/>
      <c r="Q33" s="3087"/>
      <c r="R33" s="3087"/>
      <c r="S33" s="3087"/>
      <c r="T33" s="3087"/>
      <c r="U33" s="3087"/>
      <c r="V33" s="3085"/>
      <c r="W33" s="3085"/>
      <c r="X33" s="3085"/>
      <c r="Y33" s="3085"/>
      <c r="Z33" s="3085"/>
      <c r="AA33" s="3085"/>
      <c r="AB33" s="3085"/>
      <c r="AC33" s="3097" t="s">
        <v>3718</v>
      </c>
      <c r="AD33" s="3097" t="s">
        <v>3718</v>
      </c>
      <c r="AE33" s="3097" t="s">
        <v>3718</v>
      </c>
      <c r="AF33" s="3085"/>
      <c r="AG33" s="3085"/>
      <c r="AH33" s="3085"/>
      <c r="AI33" s="3085"/>
      <c r="AJ33" s="3085"/>
      <c r="AK33" s="3085"/>
      <c r="AL33" s="3087"/>
      <c r="AM33" s="3084"/>
      <c r="AN33" s="3084"/>
      <c r="AO33" s="3087"/>
      <c r="AP33" s="3077" t="s">
        <v>5167</v>
      </c>
      <c r="AQ33" s="3077" t="s">
        <v>5291</v>
      </c>
      <c r="AR33" s="3079" t="s">
        <v>5203</v>
      </c>
      <c r="AS33" s="3079" t="s">
        <v>5204</v>
      </c>
      <c r="AT33" s="3079" t="s">
        <v>5205</v>
      </c>
      <c r="AU33" s="3079" t="s">
        <v>5219</v>
      </c>
    </row>
    <row r="34" spans="2:47" ht="39" thickBot="1" x14ac:dyDescent="0.3">
      <c r="B34" s="5190"/>
      <c r="D34" s="3089" t="s">
        <v>5222</v>
      </c>
      <c r="E34" s="3074">
        <v>2</v>
      </c>
      <c r="F34" s="3087"/>
      <c r="G34" s="3087"/>
      <c r="H34" s="3087"/>
      <c r="I34" s="3087"/>
      <c r="J34" s="3087"/>
      <c r="K34" s="3087"/>
      <c r="L34" s="3087"/>
      <c r="M34" s="3087"/>
      <c r="N34" s="3087"/>
      <c r="O34" s="3087"/>
      <c r="P34" s="3087"/>
      <c r="Q34" s="3087"/>
      <c r="R34" s="3087"/>
      <c r="S34" s="3087"/>
      <c r="T34" s="3087"/>
      <c r="U34" s="3087"/>
      <c r="V34" s="3085"/>
      <c r="W34" s="3085"/>
      <c r="X34" s="3085"/>
      <c r="Y34" s="3085"/>
      <c r="Z34" s="3085"/>
      <c r="AA34" s="3085"/>
      <c r="AB34" s="3085"/>
      <c r="AC34" s="3085"/>
      <c r="AD34" s="3097" t="s">
        <v>3718</v>
      </c>
      <c r="AE34" s="3097" t="s">
        <v>3718</v>
      </c>
      <c r="AF34" s="3085"/>
      <c r="AG34" s="3085"/>
      <c r="AH34" s="3085"/>
      <c r="AI34" s="3085"/>
      <c r="AJ34" s="3085"/>
      <c r="AK34" s="3085"/>
      <c r="AL34" s="3087"/>
      <c r="AM34" s="3084"/>
      <c r="AN34" s="3084"/>
      <c r="AO34" s="3087"/>
      <c r="AP34" s="3077" t="s">
        <v>5167</v>
      </c>
      <c r="AQ34" s="3077" t="s">
        <v>5223</v>
      </c>
      <c r="AR34" s="3079" t="s">
        <v>5224</v>
      </c>
      <c r="AS34" s="3079" t="s">
        <v>5204</v>
      </c>
      <c r="AT34" s="3079" t="s">
        <v>5205</v>
      </c>
      <c r="AU34" s="3079" t="s">
        <v>5219</v>
      </c>
    </row>
    <row r="35" spans="2:47" ht="13.5" thickBot="1" x14ac:dyDescent="0.3">
      <c r="B35" s="2847"/>
      <c r="D35" s="5181" t="s">
        <v>5225</v>
      </c>
      <c r="E35" s="5181"/>
      <c r="F35" s="5181"/>
      <c r="G35" s="5181"/>
      <c r="H35" s="5181"/>
      <c r="I35" s="5181"/>
      <c r="J35" s="5181"/>
      <c r="K35" s="5181"/>
      <c r="L35" s="5181"/>
      <c r="M35" s="5181"/>
      <c r="N35" s="5181"/>
      <c r="O35" s="5181"/>
      <c r="P35" s="5181"/>
      <c r="Q35" s="5181"/>
      <c r="R35" s="5181"/>
      <c r="S35" s="5181"/>
      <c r="T35" s="5181"/>
      <c r="U35" s="5181"/>
      <c r="V35" s="5181"/>
      <c r="W35" s="5181"/>
      <c r="X35" s="5181"/>
      <c r="Y35" s="5181"/>
      <c r="Z35" s="5181"/>
      <c r="AA35" s="5181"/>
      <c r="AB35" s="5181"/>
      <c r="AC35" s="5181"/>
      <c r="AD35" s="5181"/>
      <c r="AE35" s="5181"/>
      <c r="AF35" s="5181"/>
      <c r="AG35" s="5181"/>
      <c r="AH35" s="5181"/>
      <c r="AI35" s="5181"/>
      <c r="AJ35" s="5181"/>
      <c r="AK35" s="5181"/>
      <c r="AL35" s="5181"/>
      <c r="AM35" s="5181"/>
      <c r="AN35" s="5181"/>
      <c r="AO35" s="5181"/>
      <c r="AP35" s="5181"/>
      <c r="AQ35" s="5181"/>
      <c r="AR35" s="5181"/>
      <c r="AS35" s="5181"/>
      <c r="AT35" s="5181"/>
      <c r="AU35" s="5181"/>
    </row>
    <row r="36" spans="2:47" ht="64.5" thickBot="1" x14ac:dyDescent="0.3">
      <c r="B36" s="5182">
        <v>5</v>
      </c>
      <c r="D36" s="3073" t="s">
        <v>5160</v>
      </c>
      <c r="E36" s="3074">
        <f>COUNTA(F36:AO36)</f>
        <v>1</v>
      </c>
      <c r="F36" s="3096" t="s">
        <v>3718</v>
      </c>
      <c r="G36" s="3075"/>
      <c r="H36" s="3075"/>
      <c r="I36" s="3075"/>
      <c r="J36" s="3075"/>
      <c r="K36" s="3075"/>
      <c r="L36" s="3075"/>
      <c r="N36" s="3076"/>
      <c r="O36" s="3090"/>
      <c r="P36" s="3076"/>
      <c r="Q36" s="3076"/>
      <c r="R36" s="3076"/>
      <c r="S36" s="3075"/>
      <c r="T36" s="3076"/>
      <c r="U36" s="3075"/>
      <c r="V36" s="3075"/>
      <c r="W36" s="3075"/>
      <c r="X36" s="3075"/>
      <c r="Y36" s="3075"/>
      <c r="Z36" s="3076"/>
      <c r="AA36" s="3076"/>
      <c r="AB36" s="3076"/>
      <c r="AC36" s="3076"/>
      <c r="AD36" s="3076"/>
      <c r="AE36" s="3076"/>
      <c r="AF36" s="3076"/>
      <c r="AG36" s="3076"/>
      <c r="AH36" s="3076"/>
      <c r="AI36" s="3076"/>
      <c r="AJ36" s="3076"/>
      <c r="AK36" s="3076"/>
      <c r="AL36" s="3076"/>
      <c r="AM36" s="3076"/>
      <c r="AN36" s="3076"/>
      <c r="AO36" s="3076"/>
      <c r="AP36" s="3088" t="s">
        <v>5161</v>
      </c>
      <c r="AQ36" s="3078" t="s">
        <v>5286</v>
      </c>
      <c r="AR36" s="3079" t="s">
        <v>5226</v>
      </c>
      <c r="AS36" s="3079" t="s">
        <v>5164</v>
      </c>
      <c r="AT36" s="3079" t="s">
        <v>5227</v>
      </c>
      <c r="AU36" s="3079" t="s">
        <v>5211</v>
      </c>
    </row>
    <row r="37" spans="2:47" ht="64.5" thickBot="1" x14ac:dyDescent="0.3">
      <c r="B37" s="5183"/>
      <c r="D37" s="3073" t="s">
        <v>5228</v>
      </c>
      <c r="E37" s="3074">
        <f t="shared" ref="E37:E41" si="3">COUNTA(F37:AO37)</f>
        <v>2</v>
      </c>
      <c r="F37" s="3075"/>
      <c r="G37" s="3096" t="s">
        <v>3718</v>
      </c>
      <c r="H37" s="3096" t="s">
        <v>3718</v>
      </c>
      <c r="I37" s="3091"/>
      <c r="J37" s="3091"/>
      <c r="K37" s="3091"/>
      <c r="L37" s="3091"/>
      <c r="M37" s="3091"/>
      <c r="N37" s="3091"/>
      <c r="O37" s="3091"/>
      <c r="P37" s="3091"/>
      <c r="Q37" s="3091"/>
      <c r="R37" s="3091"/>
      <c r="S37" s="3091"/>
      <c r="T37" s="3075"/>
      <c r="U37" s="3091"/>
      <c r="V37" s="3091"/>
      <c r="W37" s="3091"/>
      <c r="X37" s="3091"/>
      <c r="Y37" s="3091"/>
      <c r="Z37" s="3075"/>
      <c r="AA37" s="3075"/>
      <c r="AB37" s="3075"/>
      <c r="AC37" s="3075"/>
      <c r="AD37" s="3075"/>
      <c r="AE37" s="3075"/>
      <c r="AF37" s="3075"/>
      <c r="AG37" s="3075"/>
      <c r="AH37" s="3075"/>
      <c r="AI37" s="3075"/>
      <c r="AJ37" s="3075"/>
      <c r="AK37" s="3075"/>
      <c r="AL37" s="3076"/>
      <c r="AM37" s="3076"/>
      <c r="AN37" s="3076"/>
      <c r="AO37" s="3075"/>
      <c r="AP37" s="3088" t="s">
        <v>5167</v>
      </c>
      <c r="AQ37" s="3079" t="s">
        <v>5293</v>
      </c>
      <c r="AR37" s="3079" t="s">
        <v>5226</v>
      </c>
      <c r="AS37" s="3079" t="s">
        <v>5164</v>
      </c>
      <c r="AT37" s="3079" t="s">
        <v>5227</v>
      </c>
      <c r="AU37" s="3079" t="s">
        <v>5211</v>
      </c>
    </row>
    <row r="38" spans="2:47" ht="39" thickBot="1" x14ac:dyDescent="0.3">
      <c r="B38" s="5183"/>
      <c r="D38" s="3080" t="s">
        <v>5230</v>
      </c>
      <c r="E38" s="3092">
        <f t="shared" si="3"/>
        <v>2</v>
      </c>
      <c r="F38" s="3075"/>
      <c r="G38" s="3075"/>
      <c r="H38" s="3075"/>
      <c r="I38" s="3075"/>
      <c r="J38" s="3075"/>
      <c r="K38" s="3075"/>
      <c r="L38" s="3096" t="s">
        <v>3718</v>
      </c>
      <c r="M38" s="3096" t="s">
        <v>3718</v>
      </c>
      <c r="N38" s="3091"/>
      <c r="O38" s="3091"/>
      <c r="P38" s="3076"/>
      <c r="Q38" s="3076"/>
      <c r="R38" s="3075"/>
      <c r="S38" s="3075"/>
      <c r="T38" s="3075"/>
      <c r="U38" s="3075"/>
      <c r="V38" s="3075"/>
      <c r="W38" s="3075"/>
      <c r="X38" s="3076"/>
      <c r="Y38" s="3076"/>
      <c r="Z38" s="3076"/>
      <c r="AA38" s="3076"/>
      <c r="AB38" s="3076"/>
      <c r="AC38" s="3076"/>
      <c r="AD38" s="3076"/>
      <c r="AE38" s="3076"/>
      <c r="AF38" s="3075"/>
      <c r="AG38" s="3075"/>
      <c r="AH38" s="3075"/>
      <c r="AI38" s="3075"/>
      <c r="AJ38" s="3075"/>
      <c r="AK38" s="3075"/>
      <c r="AL38" s="3075"/>
      <c r="AM38" s="3075"/>
      <c r="AN38" s="3075"/>
      <c r="AO38" s="3075"/>
      <c r="AP38" s="3088" t="s">
        <v>5161</v>
      </c>
      <c r="AQ38" s="3079" t="s">
        <v>5292</v>
      </c>
      <c r="AR38" s="3079" t="s">
        <v>5232</v>
      </c>
      <c r="AS38" s="3079" t="s">
        <v>5233</v>
      </c>
      <c r="AT38" s="3079" t="s">
        <v>5234</v>
      </c>
      <c r="AU38" s="3079" t="s">
        <v>5183</v>
      </c>
    </row>
    <row r="39" spans="2:47" ht="64.5" thickBot="1" x14ac:dyDescent="0.3">
      <c r="B39" s="5183"/>
      <c r="D39" s="3073" t="s">
        <v>5235</v>
      </c>
      <c r="E39" s="3074">
        <f t="shared" si="3"/>
        <v>1</v>
      </c>
      <c r="F39" s="3076"/>
      <c r="G39" s="3091"/>
      <c r="H39" s="3091"/>
      <c r="I39" s="3091"/>
      <c r="J39" s="3091"/>
      <c r="K39" s="3091"/>
      <c r="L39" s="3091"/>
      <c r="M39" s="3091"/>
      <c r="N39" s="3076"/>
      <c r="O39" s="3096" t="s">
        <v>3718</v>
      </c>
      <c r="Q39" s="3076"/>
      <c r="R39" s="3076"/>
      <c r="S39" s="3091"/>
      <c r="T39" s="3076"/>
      <c r="U39" s="3091"/>
      <c r="V39" s="3091"/>
      <c r="W39" s="3091"/>
      <c r="X39" s="3076"/>
      <c r="Y39" s="3076"/>
      <c r="Z39" s="3076"/>
      <c r="AA39" s="3076"/>
      <c r="AB39" s="3076"/>
      <c r="AC39" s="3076"/>
      <c r="AD39" s="3076"/>
      <c r="AE39" s="3076"/>
      <c r="AF39" s="3076"/>
      <c r="AG39" s="3075"/>
      <c r="AH39" s="3076"/>
      <c r="AI39" s="3076"/>
      <c r="AJ39" s="3076"/>
      <c r="AK39" s="3076"/>
      <c r="AL39" s="3076"/>
      <c r="AM39" s="3076"/>
      <c r="AN39" s="3076"/>
      <c r="AO39" s="3075"/>
      <c r="AP39" s="3088" t="s">
        <v>5161</v>
      </c>
      <c r="AQ39" s="3079" t="s">
        <v>5236</v>
      </c>
      <c r="AR39" s="3079" t="s">
        <v>5226</v>
      </c>
      <c r="AS39" s="3079" t="s">
        <v>5164</v>
      </c>
      <c r="AT39" s="3079" t="s">
        <v>5227</v>
      </c>
      <c r="AU39" s="3079" t="s">
        <v>5183</v>
      </c>
    </row>
    <row r="40" spans="2:47" ht="64.5" thickBot="1" x14ac:dyDescent="0.3">
      <c r="B40" s="5183"/>
      <c r="D40" s="3080" t="s">
        <v>5237</v>
      </c>
      <c r="E40" s="3074">
        <f t="shared" si="3"/>
        <v>1</v>
      </c>
      <c r="F40" s="3075"/>
      <c r="G40" s="3075"/>
      <c r="H40" s="3075"/>
      <c r="I40" s="3075"/>
      <c r="J40" s="3075"/>
      <c r="K40" s="3075"/>
      <c r="L40" s="3075"/>
      <c r="M40" s="3075"/>
      <c r="N40" s="3075"/>
      <c r="O40" s="3075"/>
      <c r="P40" s="3096" t="s">
        <v>3718</v>
      </c>
      <c r="Q40" s="3075"/>
      <c r="R40" s="3075"/>
      <c r="S40" s="3075"/>
      <c r="T40" s="3075"/>
      <c r="U40" s="3075"/>
      <c r="V40" s="3075"/>
      <c r="W40" s="3075"/>
      <c r="X40" s="3075"/>
      <c r="Y40" s="3075"/>
      <c r="Z40" s="3076"/>
      <c r="AA40" s="3076"/>
      <c r="AB40" s="3076"/>
      <c r="AC40" s="3076"/>
      <c r="AD40" s="3076"/>
      <c r="AE40" s="3075"/>
      <c r="AF40" s="3076"/>
      <c r="AG40" s="3075"/>
      <c r="AH40" s="3075"/>
      <c r="AI40" s="3075"/>
      <c r="AJ40" s="3075"/>
      <c r="AK40" s="3075"/>
      <c r="AL40" s="3075"/>
      <c r="AM40" s="3075"/>
      <c r="AN40" s="3075"/>
      <c r="AO40" s="3075"/>
      <c r="AP40" s="3088" t="s">
        <v>5161</v>
      </c>
      <c r="AQ40" s="3079" t="s">
        <v>5238</v>
      </c>
      <c r="AR40" s="3079" t="s">
        <v>5226</v>
      </c>
      <c r="AS40" s="3079" t="s">
        <v>5164</v>
      </c>
      <c r="AT40" s="3079" t="s">
        <v>5227</v>
      </c>
      <c r="AU40" s="3079" t="s">
        <v>5183</v>
      </c>
    </row>
    <row r="41" spans="2:47" ht="64.5" thickBot="1" x14ac:dyDescent="0.3">
      <c r="B41" s="5184"/>
      <c r="D41" s="3089" t="s">
        <v>5239</v>
      </c>
      <c r="E41" s="3074">
        <f t="shared" si="3"/>
        <v>1</v>
      </c>
      <c r="F41" s="3075"/>
      <c r="G41" s="3075"/>
      <c r="H41" s="3075"/>
      <c r="I41" s="3075"/>
      <c r="J41" s="3075"/>
      <c r="K41" s="3075"/>
      <c r="L41" s="3075"/>
      <c r="M41" s="3075"/>
      <c r="N41" s="3075"/>
      <c r="O41" s="3075"/>
      <c r="P41" s="3075"/>
      <c r="Q41" s="3096" t="s">
        <v>3718</v>
      </c>
      <c r="R41" s="3075"/>
      <c r="S41" s="3075"/>
      <c r="T41" s="3075"/>
      <c r="U41" s="3075"/>
      <c r="V41" s="3075"/>
      <c r="W41" s="3075"/>
      <c r="X41" s="3075"/>
      <c r="Y41" s="3075"/>
      <c r="Z41" s="3081"/>
      <c r="AA41" s="3081"/>
      <c r="AB41" s="3081"/>
      <c r="AC41" s="3081"/>
      <c r="AD41" s="3081"/>
      <c r="AE41" s="3081"/>
      <c r="AF41" s="3081"/>
      <c r="AG41" s="3081"/>
      <c r="AH41" s="3076"/>
      <c r="AI41" s="3076"/>
      <c r="AJ41" s="3076"/>
      <c r="AK41" s="3076"/>
      <c r="AL41" s="3076"/>
      <c r="AM41" s="3075"/>
      <c r="AN41" s="3075"/>
      <c r="AO41" s="3075"/>
      <c r="AP41" s="3088" t="s">
        <v>5167</v>
      </c>
      <c r="AQ41" s="3079" t="s">
        <v>5240</v>
      </c>
      <c r="AR41" s="3079" t="s">
        <v>5226</v>
      </c>
      <c r="AS41" s="3079" t="s">
        <v>5164</v>
      </c>
      <c r="AT41" s="3079" t="s">
        <v>5227</v>
      </c>
      <c r="AU41" s="3079" t="s">
        <v>5183</v>
      </c>
    </row>
    <row r="42" spans="2:47" ht="13.5" thickBot="1" x14ac:dyDescent="0.3">
      <c r="B42" s="2847"/>
      <c r="D42" s="5181" t="s">
        <v>5241</v>
      </c>
      <c r="E42" s="5181"/>
      <c r="F42" s="5181"/>
      <c r="G42" s="5181"/>
      <c r="H42" s="5181"/>
      <c r="I42" s="5181"/>
      <c r="J42" s="5181"/>
      <c r="K42" s="5181"/>
      <c r="L42" s="5181"/>
      <c r="M42" s="5181"/>
      <c r="N42" s="5181"/>
      <c r="O42" s="5181"/>
      <c r="P42" s="5181"/>
      <c r="Q42" s="5181"/>
      <c r="R42" s="5181"/>
      <c r="S42" s="5181"/>
      <c r="T42" s="5181"/>
      <c r="U42" s="5181"/>
      <c r="V42" s="5181"/>
      <c r="W42" s="5181"/>
      <c r="X42" s="5181"/>
      <c r="Y42" s="5181"/>
      <c r="Z42" s="5181"/>
      <c r="AA42" s="5181"/>
      <c r="AB42" s="5181"/>
      <c r="AC42" s="5181"/>
      <c r="AD42" s="5181"/>
      <c r="AE42" s="5181"/>
      <c r="AF42" s="5181"/>
      <c r="AG42" s="5181"/>
      <c r="AH42" s="5181"/>
      <c r="AI42" s="5181"/>
      <c r="AJ42" s="5181"/>
      <c r="AK42" s="5181"/>
      <c r="AL42" s="5181"/>
      <c r="AM42" s="5181"/>
      <c r="AN42" s="5181"/>
      <c r="AO42" s="5181"/>
      <c r="AP42" s="5181"/>
      <c r="AQ42" s="5181"/>
      <c r="AR42" s="5181"/>
      <c r="AS42" s="5181"/>
      <c r="AT42" s="5181"/>
      <c r="AU42" s="5181"/>
    </row>
    <row r="43" spans="2:47" ht="64.5" thickBot="1" x14ac:dyDescent="0.3">
      <c r="B43" s="5182">
        <v>6</v>
      </c>
      <c r="D43" s="3073" t="s">
        <v>5160</v>
      </c>
      <c r="E43" s="3074">
        <f t="shared" ref="E43:E48" si="4">COUNTA(F43:AO43)</f>
        <v>1</v>
      </c>
      <c r="F43" s="3076"/>
      <c r="G43" s="3075"/>
      <c r="H43" s="3075"/>
      <c r="I43" s="3075"/>
      <c r="J43" s="3075"/>
      <c r="K43" s="3075"/>
      <c r="L43" s="3075"/>
      <c r="M43" s="3075"/>
      <c r="N43" s="3076"/>
      <c r="O43" s="3076"/>
      <c r="P43" s="3076"/>
      <c r="Q43" s="3076"/>
      <c r="R43" s="3076"/>
      <c r="S43" s="3076"/>
      <c r="T43" s="3076"/>
      <c r="U43" s="3076"/>
      <c r="V43" s="3076"/>
      <c r="W43" s="3076"/>
      <c r="X43" s="3076"/>
      <c r="Y43" s="3096" t="s">
        <v>3718</v>
      </c>
      <c r="Z43" s="3081"/>
      <c r="AA43" s="3076"/>
      <c r="AB43" s="3076"/>
      <c r="AC43" s="3076"/>
      <c r="AD43" s="3076"/>
      <c r="AE43" s="3076"/>
      <c r="AF43" s="3076"/>
      <c r="AG43" s="3076"/>
      <c r="AH43" s="3076"/>
      <c r="AI43" s="3076"/>
      <c r="AJ43" s="3076"/>
      <c r="AK43" s="3076"/>
      <c r="AL43" s="3076"/>
      <c r="AM43" s="3076"/>
      <c r="AN43" s="3076"/>
      <c r="AO43" s="3076"/>
      <c r="AP43" s="3088" t="s">
        <v>5161</v>
      </c>
      <c r="AQ43" s="3078" t="s">
        <v>5162</v>
      </c>
      <c r="AR43" s="3079" t="s">
        <v>5226</v>
      </c>
      <c r="AS43" s="3079" t="s">
        <v>5164</v>
      </c>
      <c r="AT43" s="3079" t="s">
        <v>5227</v>
      </c>
      <c r="AU43" s="3079" t="s">
        <v>5211</v>
      </c>
    </row>
    <row r="44" spans="2:47" ht="64.5" thickBot="1" x14ac:dyDescent="0.3">
      <c r="B44" s="5183"/>
      <c r="D44" s="3073" t="s">
        <v>5242</v>
      </c>
      <c r="E44" s="3074">
        <f t="shared" si="4"/>
        <v>2</v>
      </c>
      <c r="F44" s="3075"/>
      <c r="G44" s="3091"/>
      <c r="H44" s="3091"/>
      <c r="I44" s="3091"/>
      <c r="J44" s="3091"/>
      <c r="K44" s="3091"/>
      <c r="L44" s="3091"/>
      <c r="M44" s="3091"/>
      <c r="N44" s="3075"/>
      <c r="O44" s="3075"/>
      <c r="P44" s="3075"/>
      <c r="Q44" s="3075"/>
      <c r="R44" s="3075"/>
      <c r="S44" s="3075"/>
      <c r="T44" s="3075"/>
      <c r="U44" s="3075"/>
      <c r="V44" s="3075"/>
      <c r="W44" s="3075"/>
      <c r="X44" s="3075"/>
      <c r="Y44" s="3076"/>
      <c r="Z44" s="3096" t="s">
        <v>3718</v>
      </c>
      <c r="AA44" s="3096" t="s">
        <v>3718</v>
      </c>
      <c r="AB44" s="3076"/>
      <c r="AC44" s="3076"/>
      <c r="AD44" s="3076"/>
      <c r="AE44" s="3076"/>
      <c r="AF44" s="3075"/>
      <c r="AG44" s="3075"/>
      <c r="AH44" s="3075"/>
      <c r="AI44" s="3075"/>
      <c r="AJ44" s="3075"/>
      <c r="AK44" s="3075"/>
      <c r="AL44" s="3076"/>
      <c r="AM44" s="3076"/>
      <c r="AN44" s="3076"/>
      <c r="AO44" s="3075"/>
      <c r="AP44" s="3088" t="s">
        <v>5167</v>
      </c>
      <c r="AQ44" s="3079" t="s">
        <v>5229</v>
      </c>
      <c r="AR44" s="3079" t="s">
        <v>5226</v>
      </c>
      <c r="AS44" s="3079" t="s">
        <v>5164</v>
      </c>
      <c r="AT44" s="3079" t="s">
        <v>5227</v>
      </c>
      <c r="AU44" s="3079" t="s">
        <v>5211</v>
      </c>
    </row>
    <row r="45" spans="2:47" ht="39" thickBot="1" x14ac:dyDescent="0.3">
      <c r="B45" s="5183"/>
      <c r="D45" s="3080" t="s">
        <v>5243</v>
      </c>
      <c r="E45" s="3092">
        <f t="shared" si="4"/>
        <v>1</v>
      </c>
      <c r="F45" s="3075"/>
      <c r="G45" s="3075"/>
      <c r="H45" s="3075"/>
      <c r="I45" s="3075"/>
      <c r="J45" s="3075"/>
      <c r="K45" s="3075"/>
      <c r="L45" s="3075"/>
      <c r="M45" s="3075"/>
      <c r="N45" s="3075"/>
      <c r="O45" s="3075"/>
      <c r="P45" s="3075"/>
      <c r="Q45" s="3075"/>
      <c r="R45" s="3075"/>
      <c r="S45" s="3075"/>
      <c r="T45" s="3075"/>
      <c r="U45" s="3075"/>
      <c r="V45" s="3075"/>
      <c r="W45" s="3075"/>
      <c r="X45" s="3075"/>
      <c r="Y45" s="3075"/>
      <c r="Z45" s="3076"/>
      <c r="AA45" s="3076"/>
      <c r="AB45" s="3096" t="s">
        <v>3718</v>
      </c>
      <c r="AC45" s="3076"/>
      <c r="AD45" s="3076"/>
      <c r="AE45" s="3076"/>
      <c r="AF45" s="3075"/>
      <c r="AG45" s="3075"/>
      <c r="AH45" s="3075"/>
      <c r="AI45" s="3075"/>
      <c r="AJ45" s="3075"/>
      <c r="AK45" s="3075"/>
      <c r="AL45" s="3076"/>
      <c r="AM45" s="3075"/>
      <c r="AN45" s="3075"/>
      <c r="AO45" s="3075"/>
      <c r="AP45" s="3088" t="s">
        <v>5161</v>
      </c>
      <c r="AQ45" s="3079" t="s">
        <v>5231</v>
      </c>
      <c r="AR45" s="3079" t="s">
        <v>5232</v>
      </c>
      <c r="AS45" s="3079" t="s">
        <v>5233</v>
      </c>
      <c r="AT45" s="3079" t="s">
        <v>5234</v>
      </c>
      <c r="AU45" s="3079" t="s">
        <v>5183</v>
      </c>
    </row>
    <row r="46" spans="2:47" ht="64.5" thickBot="1" x14ac:dyDescent="0.3">
      <c r="B46" s="5183"/>
      <c r="D46" s="3073" t="s">
        <v>5244</v>
      </c>
      <c r="E46" s="3074">
        <f t="shared" si="4"/>
        <v>1</v>
      </c>
      <c r="F46" s="3076"/>
      <c r="G46" s="3091"/>
      <c r="H46" s="3091"/>
      <c r="I46" s="3091"/>
      <c r="J46" s="3091"/>
      <c r="K46" s="3091"/>
      <c r="L46" s="3091"/>
      <c r="M46" s="3091"/>
      <c r="N46" s="3076"/>
      <c r="O46" s="3076"/>
      <c r="P46" s="3076"/>
      <c r="Q46" s="3076"/>
      <c r="R46" s="3076"/>
      <c r="S46" s="3076"/>
      <c r="T46" s="3076"/>
      <c r="U46" s="3076"/>
      <c r="V46" s="3076"/>
      <c r="W46" s="3076"/>
      <c r="X46" s="3076"/>
      <c r="Y46" s="3076"/>
      <c r="Z46" s="3076"/>
      <c r="AA46" s="3076"/>
      <c r="AB46" s="3076"/>
      <c r="AC46" s="3096" t="s">
        <v>3718</v>
      </c>
      <c r="AD46" s="3076"/>
      <c r="AE46" s="3076"/>
      <c r="AF46" s="3076"/>
      <c r="AG46" s="3076"/>
      <c r="AH46" s="3076"/>
      <c r="AI46" s="3076"/>
      <c r="AJ46" s="3076"/>
      <c r="AK46" s="3076"/>
      <c r="AL46" s="3076"/>
      <c r="AM46" s="3076"/>
      <c r="AN46" s="3076"/>
      <c r="AO46" s="3075"/>
      <c r="AP46" s="3088" t="s">
        <v>5161</v>
      </c>
      <c r="AQ46" s="3079" t="s">
        <v>5236</v>
      </c>
      <c r="AR46" s="3079" t="s">
        <v>5226</v>
      </c>
      <c r="AS46" s="3079" t="s">
        <v>5164</v>
      </c>
      <c r="AT46" s="3079" t="s">
        <v>5227</v>
      </c>
      <c r="AU46" s="3079" t="s">
        <v>5183</v>
      </c>
    </row>
    <row r="47" spans="2:47" ht="64.5" thickBot="1" x14ac:dyDescent="0.3">
      <c r="B47" s="5183"/>
      <c r="D47" s="3080" t="s">
        <v>5245</v>
      </c>
      <c r="E47" s="3074">
        <f t="shared" si="4"/>
        <v>1</v>
      </c>
      <c r="F47" s="3075"/>
      <c r="G47" s="3075"/>
      <c r="H47" s="3075"/>
      <c r="I47" s="3075"/>
      <c r="J47" s="3075"/>
      <c r="K47" s="3075"/>
      <c r="L47" s="3075"/>
      <c r="M47" s="3075"/>
      <c r="N47" s="3075"/>
      <c r="O47" s="3075"/>
      <c r="P47" s="3075"/>
      <c r="Q47" s="3075"/>
      <c r="R47" s="3075"/>
      <c r="S47" s="3075"/>
      <c r="T47" s="3075"/>
      <c r="U47" s="3075"/>
      <c r="V47" s="3075"/>
      <c r="W47" s="3075"/>
      <c r="X47" s="3075"/>
      <c r="Y47" s="3075"/>
      <c r="Z47" s="3075"/>
      <c r="AA47" s="3075"/>
      <c r="AB47" s="3075"/>
      <c r="AC47" s="3096" t="s">
        <v>3718</v>
      </c>
      <c r="AD47" s="3075"/>
      <c r="AE47" s="3075"/>
      <c r="AF47" s="3075"/>
      <c r="AG47" s="3075"/>
      <c r="AH47" s="3075"/>
      <c r="AI47" s="3075"/>
      <c r="AJ47" s="3075"/>
      <c r="AK47" s="3075"/>
      <c r="AL47" s="3076"/>
      <c r="AM47" s="3075"/>
      <c r="AN47" s="3075"/>
      <c r="AO47" s="3075"/>
      <c r="AP47" s="3088" t="s">
        <v>5161</v>
      </c>
      <c r="AQ47" s="3079" t="s">
        <v>5238</v>
      </c>
      <c r="AR47" s="3079" t="s">
        <v>5226</v>
      </c>
      <c r="AS47" s="3079" t="s">
        <v>5164</v>
      </c>
      <c r="AT47" s="3079" t="s">
        <v>5227</v>
      </c>
      <c r="AU47" s="3079" t="s">
        <v>5183</v>
      </c>
    </row>
    <row r="48" spans="2:47" ht="64.5" thickBot="1" x14ac:dyDescent="0.3">
      <c r="B48" s="5184"/>
      <c r="D48" s="3089" t="s">
        <v>5246</v>
      </c>
      <c r="E48" s="3074">
        <f t="shared" si="4"/>
        <v>4</v>
      </c>
      <c r="F48" s="3075"/>
      <c r="G48" s="3075"/>
      <c r="H48" s="3075"/>
      <c r="I48" s="3075"/>
      <c r="J48" s="3075"/>
      <c r="K48" s="3075"/>
      <c r="L48" s="3075"/>
      <c r="M48" s="3075"/>
      <c r="N48" s="3075"/>
      <c r="O48" s="3075"/>
      <c r="P48" s="3075"/>
      <c r="Q48" s="3075"/>
      <c r="R48" s="3075"/>
      <c r="S48" s="3075"/>
      <c r="T48" s="3075"/>
      <c r="U48" s="3075"/>
      <c r="V48" s="3075"/>
      <c r="W48" s="3075"/>
      <c r="X48" s="3075"/>
      <c r="Y48" s="3075"/>
      <c r="Z48" s="3075"/>
      <c r="AA48" s="3075"/>
      <c r="AB48" s="3075"/>
      <c r="AC48" s="3081"/>
      <c r="AD48" s="3096" t="s">
        <v>3718</v>
      </c>
      <c r="AE48" s="3096" t="s">
        <v>3718</v>
      </c>
      <c r="AF48" s="3096" t="s">
        <v>3718</v>
      </c>
      <c r="AG48" s="3096" t="s">
        <v>3718</v>
      </c>
      <c r="AH48" s="3075"/>
      <c r="AI48" s="3075"/>
      <c r="AJ48" s="3075"/>
      <c r="AK48" s="3075"/>
      <c r="AL48" s="3076"/>
      <c r="AM48" s="3075"/>
      <c r="AN48" s="3075"/>
      <c r="AO48" s="3075"/>
      <c r="AP48" s="3088" t="s">
        <v>5167</v>
      </c>
      <c r="AQ48" s="3079" t="s">
        <v>5240</v>
      </c>
      <c r="AR48" s="3079" t="s">
        <v>5226</v>
      </c>
      <c r="AS48" s="3079" t="s">
        <v>5164</v>
      </c>
      <c r="AT48" s="3079" t="s">
        <v>5227</v>
      </c>
      <c r="AU48" s="3079" t="s">
        <v>5183</v>
      </c>
    </row>
    <row r="49" spans="2:47" ht="13.5" thickBot="1" x14ac:dyDescent="0.3">
      <c r="D49" s="5181" t="s">
        <v>5247</v>
      </c>
      <c r="E49" s="5181"/>
      <c r="F49" s="5181"/>
      <c r="G49" s="5181"/>
      <c r="H49" s="5181"/>
      <c r="I49" s="5181"/>
      <c r="J49" s="5181"/>
      <c r="K49" s="5181"/>
      <c r="L49" s="5181"/>
      <c r="M49" s="5181"/>
      <c r="N49" s="5181"/>
      <c r="O49" s="5181"/>
      <c r="P49" s="5181"/>
      <c r="Q49" s="5181"/>
      <c r="R49" s="5181"/>
      <c r="S49" s="5181"/>
      <c r="T49" s="5181"/>
      <c r="U49" s="5181"/>
      <c r="V49" s="5181"/>
      <c r="W49" s="5181"/>
      <c r="X49" s="5181"/>
      <c r="Y49" s="5181"/>
      <c r="Z49" s="5181"/>
      <c r="AA49" s="5181"/>
      <c r="AB49" s="5181"/>
      <c r="AC49" s="5181"/>
      <c r="AD49" s="5181"/>
      <c r="AE49" s="5181"/>
      <c r="AF49" s="5181"/>
      <c r="AG49" s="5181"/>
      <c r="AH49" s="5181"/>
      <c r="AI49" s="5181"/>
      <c r="AJ49" s="5181"/>
      <c r="AK49" s="5181"/>
      <c r="AL49" s="5181"/>
      <c r="AM49" s="5181"/>
      <c r="AN49" s="5181"/>
      <c r="AO49" s="5181"/>
      <c r="AP49" s="5181"/>
      <c r="AQ49" s="5181"/>
      <c r="AR49" s="5181"/>
      <c r="AS49" s="5181"/>
      <c r="AT49" s="5181"/>
      <c r="AU49" s="5181"/>
    </row>
    <row r="50" spans="2:47" ht="64.5" thickBot="1" x14ac:dyDescent="0.3">
      <c r="B50" s="5182">
        <v>7</v>
      </c>
      <c r="D50" s="3073" t="s">
        <v>5160</v>
      </c>
      <c r="E50" s="3074">
        <f>COUNTA(F50:AO50)</f>
        <v>1</v>
      </c>
      <c r="F50" s="3076"/>
      <c r="G50" s="3076"/>
      <c r="H50" s="3076"/>
      <c r="I50" s="3076"/>
      <c r="J50" s="3076"/>
      <c r="K50" s="3076"/>
      <c r="L50" s="3076"/>
      <c r="M50" s="3076"/>
      <c r="N50" s="3076"/>
      <c r="O50" s="3076"/>
      <c r="P50" s="3076"/>
      <c r="Q50" s="3076"/>
      <c r="R50" s="3076"/>
      <c r="S50" s="3076"/>
      <c r="T50" s="3076"/>
      <c r="U50" s="3076"/>
      <c r="V50" s="3076"/>
      <c r="W50" s="3076"/>
      <c r="X50" s="3081"/>
      <c r="Y50" s="3096" t="s">
        <v>3718</v>
      </c>
      <c r="Z50" s="3081"/>
      <c r="AA50" s="3076"/>
      <c r="AB50" s="3076"/>
      <c r="AC50" s="3076"/>
      <c r="AD50" s="3076"/>
      <c r="AE50" s="3076"/>
      <c r="AF50" s="3076"/>
      <c r="AG50" s="3076"/>
      <c r="AH50" s="3076"/>
      <c r="AI50" s="3076"/>
      <c r="AJ50" s="3076"/>
      <c r="AK50" s="3076"/>
      <c r="AL50" s="3076"/>
      <c r="AM50" s="3076"/>
      <c r="AN50" s="3076"/>
      <c r="AO50" s="3076"/>
      <c r="AP50" s="3088" t="s">
        <v>5161</v>
      </c>
      <c r="AQ50" s="3078" t="s">
        <v>5162</v>
      </c>
      <c r="AR50" s="3079" t="s">
        <v>5226</v>
      </c>
      <c r="AS50" s="3079" t="s">
        <v>5164</v>
      </c>
      <c r="AT50" s="3079" t="s">
        <v>5227</v>
      </c>
      <c r="AU50" s="3079" t="s">
        <v>5183</v>
      </c>
    </row>
    <row r="51" spans="2:47" ht="64.5" thickBot="1" x14ac:dyDescent="0.3">
      <c r="B51" s="5183"/>
      <c r="D51" s="3073" t="s">
        <v>5248</v>
      </c>
      <c r="E51" s="3074">
        <f>COUNTA(F51:AO51)</f>
        <v>2</v>
      </c>
      <c r="F51" s="3076"/>
      <c r="G51" s="3076"/>
      <c r="H51" s="3076"/>
      <c r="I51" s="3076"/>
      <c r="J51" s="3076"/>
      <c r="K51" s="3076"/>
      <c r="L51" s="3076"/>
      <c r="M51" s="3076"/>
      <c r="N51" s="3076"/>
      <c r="O51" s="3076"/>
      <c r="P51" s="3076"/>
      <c r="Q51" s="3076"/>
      <c r="R51" s="3076"/>
      <c r="S51" s="3076"/>
      <c r="T51" s="3076"/>
      <c r="U51" s="3076"/>
      <c r="V51" s="3076"/>
      <c r="W51" s="3076"/>
      <c r="X51" s="3091"/>
      <c r="Y51" s="3076"/>
      <c r="Z51" s="3096" t="s">
        <v>3718</v>
      </c>
      <c r="AA51" s="3096" t="s">
        <v>3718</v>
      </c>
      <c r="AB51" s="3076"/>
      <c r="AC51" s="3076"/>
      <c r="AD51" s="3075"/>
      <c r="AE51" s="3075"/>
      <c r="AF51" s="3076"/>
      <c r="AG51" s="3076"/>
      <c r="AH51" s="3076"/>
      <c r="AI51" s="3076"/>
      <c r="AJ51" s="3076"/>
      <c r="AK51" s="3076"/>
      <c r="AL51" s="3076"/>
      <c r="AM51" s="3076"/>
      <c r="AN51" s="3076"/>
      <c r="AO51" s="3076"/>
      <c r="AP51" s="3088" t="s">
        <v>5167</v>
      </c>
      <c r="AQ51" s="3079" t="s">
        <v>5249</v>
      </c>
      <c r="AR51" s="3079" t="s">
        <v>5226</v>
      </c>
      <c r="AS51" s="3079" t="s">
        <v>5164</v>
      </c>
      <c r="AT51" s="3079" t="s">
        <v>5227</v>
      </c>
      <c r="AU51" s="3079" t="s">
        <v>5183</v>
      </c>
    </row>
    <row r="52" spans="2:47" s="213" customFormat="1" ht="39" thickBot="1" x14ac:dyDescent="0.3">
      <c r="B52" s="5183"/>
      <c r="D52" s="3073" t="s">
        <v>5250</v>
      </c>
      <c r="E52" s="3074">
        <f>COUNTA(F52:AO52)</f>
        <v>1</v>
      </c>
      <c r="F52" s="3076"/>
      <c r="G52" s="3076"/>
      <c r="H52" s="3076"/>
      <c r="I52" s="3076"/>
      <c r="J52" s="3076"/>
      <c r="K52" s="3076"/>
      <c r="L52" s="3076"/>
      <c r="M52" s="3076"/>
      <c r="N52" s="3076"/>
      <c r="O52" s="3076"/>
      <c r="P52" s="3076"/>
      <c r="Q52" s="3076"/>
      <c r="R52" s="3076"/>
      <c r="S52" s="3076"/>
      <c r="T52" s="3076"/>
      <c r="U52" s="3076"/>
      <c r="V52" s="3076"/>
      <c r="W52" s="3076"/>
      <c r="X52" s="3094"/>
      <c r="Y52" s="3075"/>
      <c r="Z52" s="3076"/>
      <c r="AA52" s="3076"/>
      <c r="AB52" s="3096" t="s">
        <v>3718</v>
      </c>
      <c r="AC52" s="3076"/>
      <c r="AD52" s="3076"/>
      <c r="AE52" s="3076"/>
      <c r="AF52" s="3076"/>
      <c r="AG52" s="3076"/>
      <c r="AH52" s="3076"/>
      <c r="AI52" s="3076"/>
      <c r="AJ52" s="3076"/>
      <c r="AK52" s="3076"/>
      <c r="AL52" s="3076"/>
      <c r="AM52" s="3076"/>
      <c r="AN52" s="3076"/>
      <c r="AO52" s="3076"/>
      <c r="AP52" s="3088" t="s">
        <v>5161</v>
      </c>
      <c r="AQ52" s="3079" t="s">
        <v>5251</v>
      </c>
      <c r="AR52" s="3079" t="s">
        <v>5252</v>
      </c>
      <c r="AS52" s="3079" t="s">
        <v>5233</v>
      </c>
      <c r="AT52" s="3079" t="s">
        <v>5253</v>
      </c>
      <c r="AU52" s="3079" t="s">
        <v>5183</v>
      </c>
    </row>
    <row r="53" spans="2:47" s="213" customFormat="1" ht="64.5" thickBot="1" x14ac:dyDescent="0.3">
      <c r="B53" s="5183"/>
      <c r="D53" s="3073" t="s">
        <v>5254</v>
      </c>
      <c r="E53" s="3074">
        <f>COUNTA(F53:AO53)</f>
        <v>1</v>
      </c>
      <c r="F53" s="3076"/>
      <c r="G53" s="3076"/>
      <c r="H53" s="3076"/>
      <c r="I53" s="3076"/>
      <c r="J53" s="3076"/>
      <c r="K53" s="3076"/>
      <c r="L53" s="3076"/>
      <c r="M53" s="3076"/>
      <c r="N53" s="3076"/>
      <c r="O53" s="3076"/>
      <c r="P53" s="3076"/>
      <c r="Q53" s="3076"/>
      <c r="R53" s="3076"/>
      <c r="S53" s="3076"/>
      <c r="T53" s="3076"/>
      <c r="U53" s="3076"/>
      <c r="V53" s="3076"/>
      <c r="W53" s="3076"/>
      <c r="X53" s="3094"/>
      <c r="Y53" s="3076"/>
      <c r="Z53" s="3076"/>
      <c r="AA53" s="3076"/>
      <c r="AB53" s="3076"/>
      <c r="AC53" s="3096" t="s">
        <v>3718</v>
      </c>
      <c r="AD53" s="3076"/>
      <c r="AE53" s="3076"/>
      <c r="AF53" s="3076"/>
      <c r="AG53" s="3076"/>
      <c r="AH53" s="3076"/>
      <c r="AI53" s="3076"/>
      <c r="AJ53" s="3076"/>
      <c r="AK53" s="3076"/>
      <c r="AL53" s="3076"/>
      <c r="AM53" s="3076"/>
      <c r="AN53" s="3076"/>
      <c r="AO53" s="3076"/>
      <c r="AP53" s="3088" t="s">
        <v>5161</v>
      </c>
      <c r="AQ53" s="3079" t="s">
        <v>5236</v>
      </c>
      <c r="AR53" s="3079" t="s">
        <v>5226</v>
      </c>
      <c r="AS53" s="3079" t="s">
        <v>5164</v>
      </c>
      <c r="AT53" s="3079" t="s">
        <v>5227</v>
      </c>
      <c r="AU53" s="3079" t="s">
        <v>5183</v>
      </c>
    </row>
    <row r="54" spans="2:47" ht="51.75" thickBot="1" x14ac:dyDescent="0.3">
      <c r="B54" s="5184"/>
      <c r="D54" s="3095" t="s">
        <v>5255</v>
      </c>
      <c r="E54" s="3074">
        <f>COUNTA(F54:AO54)</f>
        <v>8</v>
      </c>
      <c r="F54" s="3076"/>
      <c r="G54" s="3076"/>
      <c r="H54" s="3076"/>
      <c r="I54" s="3076"/>
      <c r="J54" s="3076"/>
      <c r="K54" s="3076"/>
      <c r="L54" s="3076"/>
      <c r="M54" s="3076"/>
      <c r="N54" s="3076"/>
      <c r="O54" s="3076"/>
      <c r="P54" s="3076"/>
      <c r="Q54" s="3076"/>
      <c r="R54" s="3076"/>
      <c r="S54" s="3076"/>
      <c r="T54" s="3076"/>
      <c r="U54" s="3076"/>
      <c r="V54" s="3076"/>
      <c r="W54" s="3076"/>
      <c r="X54" s="3076"/>
      <c r="Y54" s="3075"/>
      <c r="Z54" s="3075"/>
      <c r="AA54" s="3075"/>
      <c r="AB54" s="3075"/>
      <c r="AD54" s="3096" t="s">
        <v>3718</v>
      </c>
      <c r="AE54" s="3096" t="s">
        <v>3718</v>
      </c>
      <c r="AF54" s="3096" t="s">
        <v>3718</v>
      </c>
      <c r="AG54" s="3096" t="s">
        <v>3718</v>
      </c>
      <c r="AH54" s="3096" t="s">
        <v>3718</v>
      </c>
      <c r="AI54" s="3096" t="s">
        <v>3718</v>
      </c>
      <c r="AJ54" s="3096" t="s">
        <v>3718</v>
      </c>
      <c r="AK54" s="3096" t="s">
        <v>3718</v>
      </c>
      <c r="AL54" s="3076"/>
      <c r="AM54" s="3076"/>
      <c r="AN54" s="3076"/>
      <c r="AO54" s="3076"/>
      <c r="AP54" s="3088" t="s">
        <v>5167</v>
      </c>
      <c r="AQ54" s="3079" t="s">
        <v>5256</v>
      </c>
      <c r="AR54" s="3079" t="s">
        <v>5252</v>
      </c>
      <c r="AS54" s="3079" t="s">
        <v>5257</v>
      </c>
      <c r="AT54" s="3079" t="s">
        <v>5258</v>
      </c>
      <c r="AU54" s="3079" t="s">
        <v>5183</v>
      </c>
    </row>
    <row r="55" spans="2:47" s="213" customFormat="1" ht="13.5" thickBot="1" x14ac:dyDescent="0.3">
      <c r="D55" s="5181" t="s">
        <v>5259</v>
      </c>
      <c r="E55" s="5181"/>
      <c r="F55" s="5181"/>
      <c r="G55" s="5181"/>
      <c r="H55" s="5181"/>
      <c r="I55" s="5181"/>
      <c r="J55" s="5181"/>
      <c r="K55" s="5181"/>
      <c r="L55" s="5181"/>
      <c r="M55" s="5181"/>
      <c r="N55" s="5181"/>
      <c r="O55" s="5181"/>
      <c r="P55" s="5181"/>
      <c r="Q55" s="5181"/>
      <c r="R55" s="5181"/>
      <c r="S55" s="5181"/>
      <c r="T55" s="5181"/>
      <c r="U55" s="5181"/>
      <c r="V55" s="5181"/>
      <c r="W55" s="5181"/>
      <c r="X55" s="5181"/>
      <c r="Y55" s="5181"/>
      <c r="Z55" s="5181"/>
      <c r="AA55" s="5181"/>
      <c r="AB55" s="5181"/>
      <c r="AC55" s="5181"/>
      <c r="AD55" s="5181"/>
      <c r="AE55" s="5181"/>
      <c r="AF55" s="5181"/>
      <c r="AG55" s="5181"/>
      <c r="AH55" s="5181"/>
      <c r="AI55" s="5181"/>
      <c r="AJ55" s="5181"/>
      <c r="AK55" s="5181"/>
      <c r="AL55" s="5181"/>
      <c r="AM55" s="5181"/>
      <c r="AN55" s="5181"/>
      <c r="AO55" s="5181"/>
      <c r="AP55" s="5181"/>
      <c r="AQ55" s="5181"/>
      <c r="AR55" s="5181"/>
      <c r="AS55" s="5181"/>
      <c r="AT55" s="5181"/>
      <c r="AU55" s="5181"/>
    </row>
    <row r="56" spans="2:47" s="213" customFormat="1" ht="64.5" thickBot="1" x14ac:dyDescent="0.3">
      <c r="B56" s="5182">
        <v>8</v>
      </c>
      <c r="D56" s="3073" t="s">
        <v>5160</v>
      </c>
      <c r="E56" s="3074">
        <f>COUNTA(F56:AO56)</f>
        <v>1</v>
      </c>
      <c r="F56" s="3096" t="s">
        <v>3718</v>
      </c>
      <c r="G56" s="3076"/>
      <c r="H56" s="3076"/>
      <c r="I56" s="3076"/>
      <c r="J56" s="3076"/>
      <c r="K56" s="3076"/>
      <c r="L56" s="3076"/>
      <c r="M56" s="3076"/>
      <c r="N56" s="3076"/>
      <c r="O56" s="3076"/>
      <c r="P56" s="3076"/>
      <c r="Q56" s="3076"/>
      <c r="R56" s="3076"/>
      <c r="S56" s="3076"/>
      <c r="T56" s="3076"/>
      <c r="U56" s="3076"/>
      <c r="V56" s="3076"/>
      <c r="W56" s="3076"/>
      <c r="X56" s="3076"/>
      <c r="Y56" s="3076"/>
      <c r="Z56" s="3076"/>
      <c r="AA56" s="3076"/>
      <c r="AB56" s="3076"/>
      <c r="AC56" s="3076"/>
      <c r="AD56" s="3076"/>
      <c r="AE56" s="3076"/>
      <c r="AF56" s="3076"/>
      <c r="AG56" s="3076"/>
      <c r="AH56" s="3076"/>
      <c r="AI56" s="3076"/>
      <c r="AJ56" s="3076"/>
      <c r="AK56" s="3076"/>
      <c r="AL56" s="3076"/>
      <c r="AM56" s="3076"/>
      <c r="AN56" s="3076"/>
      <c r="AO56" s="3076"/>
      <c r="AP56" s="3075" t="s">
        <v>5161</v>
      </c>
      <c r="AQ56" s="3078" t="s">
        <v>5162</v>
      </c>
      <c r="AR56" s="3079" t="s">
        <v>5163</v>
      </c>
      <c r="AS56" s="3079" t="s">
        <v>5164</v>
      </c>
      <c r="AT56" s="3075" t="s">
        <v>5172</v>
      </c>
      <c r="AU56" s="3075" t="s">
        <v>5166</v>
      </c>
    </row>
    <row r="57" spans="2:47" s="213" customFormat="1" ht="64.5" thickBot="1" x14ac:dyDescent="0.3">
      <c r="B57" s="5183"/>
      <c r="D57" s="3080" t="s">
        <v>5260</v>
      </c>
      <c r="E57" s="3074">
        <f>COUNTA(F57:AO57)</f>
        <v>2</v>
      </c>
      <c r="F57" s="3076"/>
      <c r="G57" s="3096" t="s">
        <v>3718</v>
      </c>
      <c r="H57" s="3096" t="s">
        <v>3718</v>
      </c>
      <c r="I57" s="3076"/>
      <c r="J57" s="3076"/>
      <c r="K57" s="3076"/>
      <c r="L57" s="3076"/>
      <c r="M57" s="3076"/>
      <c r="N57" s="3076"/>
      <c r="O57" s="3076"/>
      <c r="P57" s="3076"/>
      <c r="Q57" s="3076"/>
      <c r="R57" s="3076"/>
      <c r="S57" s="3076"/>
      <c r="T57" s="3076"/>
      <c r="U57" s="3076"/>
      <c r="V57" s="3076"/>
      <c r="W57" s="3076"/>
      <c r="X57" s="3076"/>
      <c r="Y57" s="3076"/>
      <c r="Z57" s="3076"/>
      <c r="AA57" s="3076"/>
      <c r="AB57" s="3076"/>
      <c r="AC57" s="3076"/>
      <c r="AD57" s="3076"/>
      <c r="AE57" s="3076"/>
      <c r="AF57" s="3076"/>
      <c r="AG57" s="3076"/>
      <c r="AH57" s="3076"/>
      <c r="AI57" s="3076"/>
      <c r="AJ57" s="3076"/>
      <c r="AK57" s="3076"/>
      <c r="AL57" s="3076"/>
      <c r="AM57" s="3076"/>
      <c r="AN57" s="3076"/>
      <c r="AO57" s="3076"/>
      <c r="AP57" s="3075" t="s">
        <v>5161</v>
      </c>
      <c r="AQ57" s="3078" t="s">
        <v>5261</v>
      </c>
      <c r="AR57" s="3079" t="s">
        <v>5163</v>
      </c>
      <c r="AS57" s="3079" t="s">
        <v>5164</v>
      </c>
      <c r="AT57" s="3075" t="s">
        <v>5172</v>
      </c>
      <c r="AU57" s="3075" t="s">
        <v>5166</v>
      </c>
    </row>
    <row r="58" spans="2:47" s="213" customFormat="1" ht="51.75" thickBot="1" x14ac:dyDescent="0.3">
      <c r="B58" s="5183"/>
      <c r="D58" s="3073" t="s">
        <v>5262</v>
      </c>
      <c r="E58" s="3074">
        <f>COUNTA(F58:AO58)</f>
        <v>2</v>
      </c>
      <c r="F58" s="3075"/>
      <c r="G58" s="3075"/>
      <c r="I58" s="3096" t="s">
        <v>3718</v>
      </c>
      <c r="J58" s="3096" t="s">
        <v>3718</v>
      </c>
      <c r="K58" s="3076"/>
      <c r="L58" s="3076"/>
      <c r="M58" s="3076"/>
      <c r="N58" s="3076"/>
      <c r="O58" s="3076"/>
      <c r="P58" s="3076"/>
      <c r="Q58" s="3076"/>
      <c r="R58" s="3076"/>
      <c r="S58" s="3076"/>
      <c r="T58" s="3076"/>
      <c r="U58" s="3076"/>
      <c r="V58" s="3076"/>
      <c r="W58" s="3076"/>
      <c r="X58" s="3076"/>
      <c r="Y58" s="3076"/>
      <c r="Z58" s="3076"/>
      <c r="AA58" s="3076"/>
      <c r="AB58" s="3076"/>
      <c r="AC58" s="3076"/>
      <c r="AD58" s="3076"/>
      <c r="AE58" s="3076"/>
      <c r="AF58" s="3076"/>
      <c r="AG58" s="3076"/>
      <c r="AH58" s="3076"/>
      <c r="AI58" s="3076"/>
      <c r="AJ58" s="3076"/>
      <c r="AK58" s="3076"/>
      <c r="AL58" s="3076"/>
      <c r="AM58" s="3076"/>
      <c r="AN58" s="3076"/>
      <c r="AO58" s="3076"/>
      <c r="AP58" s="3075" t="s">
        <v>5161</v>
      </c>
      <c r="AQ58" s="3078" t="s">
        <v>5263</v>
      </c>
      <c r="AR58" s="3079" t="s">
        <v>5264</v>
      </c>
      <c r="AS58" s="3079" t="s">
        <v>5265</v>
      </c>
      <c r="AT58" s="3075" t="s">
        <v>5188</v>
      </c>
      <c r="AU58" s="3075" t="s">
        <v>5166</v>
      </c>
    </row>
    <row r="59" spans="2:47" ht="77.25" thickBot="1" x14ac:dyDescent="0.3">
      <c r="B59" s="5184"/>
      <c r="D59" s="3073" t="s">
        <v>5266</v>
      </c>
      <c r="E59" s="3074">
        <f>COUNTA(F59:AO59)</f>
        <v>1</v>
      </c>
      <c r="F59" s="3075"/>
      <c r="G59" s="3075"/>
      <c r="H59" s="3075"/>
      <c r="I59" s="3075"/>
      <c r="J59" s="3075"/>
      <c r="K59" s="3096" t="s">
        <v>3718</v>
      </c>
      <c r="L59" s="3075"/>
      <c r="M59" s="3093"/>
      <c r="N59" s="3076"/>
      <c r="O59" s="3076"/>
      <c r="P59" s="3076"/>
      <c r="Q59" s="3076"/>
      <c r="R59" s="3076"/>
      <c r="S59" s="3076"/>
      <c r="T59" s="3076"/>
      <c r="U59" s="3076"/>
      <c r="V59" s="3076"/>
      <c r="W59" s="3076"/>
      <c r="X59" s="3076"/>
      <c r="Y59" s="3076"/>
      <c r="Z59" s="3076"/>
      <c r="AA59" s="3076"/>
      <c r="AB59" s="3076"/>
      <c r="AC59" s="3076"/>
      <c r="AD59" s="3076"/>
      <c r="AE59" s="3076"/>
      <c r="AF59" s="3076"/>
      <c r="AG59" s="3076"/>
      <c r="AH59" s="3076"/>
      <c r="AI59" s="3076"/>
      <c r="AJ59" s="3076"/>
      <c r="AK59" s="3076"/>
      <c r="AL59" s="3076"/>
      <c r="AM59" s="3076"/>
      <c r="AN59" s="3076"/>
      <c r="AO59" s="3076"/>
      <c r="AP59" s="3075" t="s">
        <v>5161</v>
      </c>
      <c r="AQ59" s="3078" t="s">
        <v>5267</v>
      </c>
      <c r="AR59" s="3079" t="s">
        <v>5268</v>
      </c>
      <c r="AS59" s="3079" t="s">
        <v>5265</v>
      </c>
      <c r="AT59" s="3075" t="s">
        <v>5188</v>
      </c>
      <c r="AU59" s="3075" t="s">
        <v>5166</v>
      </c>
    </row>
    <row r="60" spans="2:47" ht="13.5" thickBot="1" x14ac:dyDescent="0.3">
      <c r="D60" s="5181" t="s">
        <v>5269</v>
      </c>
      <c r="E60" s="5181"/>
      <c r="F60" s="5181"/>
      <c r="G60" s="5181"/>
      <c r="H60" s="5181"/>
      <c r="I60" s="5181"/>
      <c r="J60" s="5181"/>
      <c r="K60" s="5181"/>
      <c r="L60" s="5181"/>
      <c r="M60" s="5181"/>
      <c r="N60" s="5181"/>
      <c r="O60" s="5181"/>
      <c r="P60" s="5181"/>
      <c r="Q60" s="5181"/>
      <c r="R60" s="5181"/>
      <c r="S60" s="5181"/>
      <c r="T60" s="5181"/>
      <c r="U60" s="5181"/>
      <c r="V60" s="5181"/>
      <c r="W60" s="5181"/>
      <c r="X60" s="5181"/>
      <c r="Y60" s="5181"/>
      <c r="Z60" s="5181"/>
      <c r="AA60" s="5181"/>
      <c r="AB60" s="5181"/>
      <c r="AC60" s="5181"/>
      <c r="AD60" s="5181"/>
      <c r="AE60" s="5181"/>
      <c r="AF60" s="5181"/>
      <c r="AG60" s="5181"/>
      <c r="AH60" s="5181"/>
      <c r="AI60" s="5181"/>
      <c r="AJ60" s="5181"/>
      <c r="AK60" s="5181"/>
      <c r="AL60" s="5181"/>
      <c r="AM60" s="5181"/>
      <c r="AN60" s="5181"/>
      <c r="AO60" s="5181"/>
      <c r="AP60" s="5181"/>
      <c r="AQ60" s="5181"/>
      <c r="AR60" s="5181"/>
      <c r="AS60" s="5181"/>
      <c r="AT60" s="5181"/>
      <c r="AU60" s="5181"/>
    </row>
    <row r="61" spans="2:47" ht="64.5" thickBot="1" x14ac:dyDescent="0.3">
      <c r="B61" s="5182">
        <v>9</v>
      </c>
      <c r="D61" s="3073" t="s">
        <v>5160</v>
      </c>
      <c r="E61" s="3074">
        <f>COUNTA(F61:AO61)</f>
        <v>1</v>
      </c>
      <c r="F61" s="3076"/>
      <c r="G61" s="3076"/>
      <c r="H61" s="3076"/>
      <c r="I61" s="3076"/>
      <c r="J61" s="3076"/>
      <c r="K61" s="3076"/>
      <c r="L61" s="3076"/>
      <c r="M61" s="3076"/>
      <c r="N61" s="3076"/>
      <c r="O61" s="3076"/>
      <c r="Q61" s="3096" t="s">
        <v>3718</v>
      </c>
      <c r="R61" s="3076"/>
      <c r="S61" s="3076"/>
      <c r="T61" s="3076"/>
      <c r="U61" s="3076"/>
      <c r="V61" s="3081"/>
      <c r="W61" s="3090"/>
      <c r="Y61" s="3076"/>
      <c r="Z61" s="3076"/>
      <c r="AA61" s="3076"/>
      <c r="AB61" s="3076"/>
      <c r="AC61" s="3076"/>
      <c r="AD61" s="3076"/>
      <c r="AE61" s="3076"/>
      <c r="AF61" s="3076"/>
      <c r="AG61" s="3076"/>
      <c r="AH61" s="3076"/>
      <c r="AI61" s="3076"/>
      <c r="AJ61" s="3076"/>
      <c r="AK61" s="3076"/>
      <c r="AL61" s="3076"/>
      <c r="AM61" s="3076"/>
      <c r="AN61" s="3076"/>
      <c r="AO61" s="3076"/>
      <c r="AP61" s="3077" t="s">
        <v>5161</v>
      </c>
      <c r="AQ61" s="3078" t="s">
        <v>5162</v>
      </c>
      <c r="AR61" s="3079" t="s">
        <v>5163</v>
      </c>
      <c r="AS61" s="3079" t="s">
        <v>5164</v>
      </c>
      <c r="AT61" s="3079" t="s">
        <v>5165</v>
      </c>
      <c r="AU61" s="3079" t="s">
        <v>5166</v>
      </c>
    </row>
    <row r="62" spans="2:47" ht="102.75" thickBot="1" x14ac:dyDescent="0.3">
      <c r="B62" s="5183"/>
      <c r="D62" s="3073" t="s">
        <v>5270</v>
      </c>
      <c r="E62" s="3074">
        <f>COUNTA(F62:AO62)</f>
        <v>2</v>
      </c>
      <c r="F62" s="3076"/>
      <c r="G62" s="3076"/>
      <c r="H62" s="3075"/>
      <c r="I62" s="3075"/>
      <c r="J62" s="3076"/>
      <c r="K62" s="3076"/>
      <c r="L62" s="3076"/>
      <c r="M62" s="3076"/>
      <c r="N62" s="3076"/>
      <c r="O62" s="3076"/>
      <c r="P62" s="3076"/>
      <c r="Q62" s="3076"/>
      <c r="R62" s="3096" t="s">
        <v>3718</v>
      </c>
      <c r="S62" s="3096" t="s">
        <v>3718</v>
      </c>
      <c r="T62" s="3076"/>
      <c r="U62" s="3076"/>
      <c r="V62" s="3076"/>
      <c r="W62" s="3076"/>
      <c r="X62" s="3081"/>
      <c r="Z62" s="3076"/>
      <c r="AA62" s="3076"/>
      <c r="AB62" s="3076"/>
      <c r="AC62" s="3076"/>
      <c r="AD62" s="3076"/>
      <c r="AE62" s="3076"/>
      <c r="AF62" s="3076"/>
      <c r="AG62" s="3076"/>
      <c r="AH62" s="3076"/>
      <c r="AI62" s="3076"/>
      <c r="AJ62" s="3076"/>
      <c r="AK62" s="3076"/>
      <c r="AL62" s="3076"/>
      <c r="AM62" s="3076"/>
      <c r="AN62" s="3076"/>
      <c r="AO62" s="3076"/>
      <c r="AP62" s="3077" t="s">
        <v>5167</v>
      </c>
      <c r="AQ62" s="3079" t="s">
        <v>5271</v>
      </c>
      <c r="AR62" s="3079" t="s">
        <v>5163</v>
      </c>
      <c r="AS62" s="3079" t="s">
        <v>5164</v>
      </c>
      <c r="AT62" s="3079" t="s">
        <v>5165</v>
      </c>
      <c r="AU62" s="3079" t="s">
        <v>5166</v>
      </c>
    </row>
    <row r="63" spans="2:47" ht="39" thickBot="1" x14ac:dyDescent="0.3">
      <c r="B63" s="5183"/>
      <c r="D63" s="3080" t="s">
        <v>5272</v>
      </c>
      <c r="E63" s="3074">
        <f>COUNTA(F63:AO63)</f>
        <v>12</v>
      </c>
      <c r="F63" s="3075"/>
      <c r="G63" s="3075"/>
      <c r="H63" s="3075"/>
      <c r="I63" s="3075"/>
      <c r="J63" s="3075"/>
      <c r="K63" s="3075"/>
      <c r="L63" s="3075"/>
      <c r="M63" s="3076"/>
      <c r="N63" s="3076"/>
      <c r="O63" s="3076"/>
      <c r="P63" s="3076"/>
      <c r="Q63" s="3076"/>
      <c r="R63" s="3076"/>
      <c r="S63" s="3081"/>
      <c r="T63" s="3096" t="s">
        <v>3718</v>
      </c>
      <c r="U63" s="3096" t="s">
        <v>3718</v>
      </c>
      <c r="V63" s="3096" t="s">
        <v>3718</v>
      </c>
      <c r="W63" s="3096" t="s">
        <v>3718</v>
      </c>
      <c r="X63" s="3096" t="s">
        <v>3718</v>
      </c>
      <c r="Y63" s="3096" t="s">
        <v>3718</v>
      </c>
      <c r="Z63" s="3096" t="s">
        <v>3718</v>
      </c>
      <c r="AA63" s="3096" t="s">
        <v>3718</v>
      </c>
      <c r="AB63" s="3096" t="s">
        <v>3718</v>
      </c>
      <c r="AC63" s="3096" t="s">
        <v>3718</v>
      </c>
      <c r="AD63" s="3096" t="s">
        <v>3718</v>
      </c>
      <c r="AE63" s="3096" t="s">
        <v>3718</v>
      </c>
      <c r="AF63" s="3081"/>
      <c r="AG63" s="3081"/>
      <c r="AH63" s="3081"/>
      <c r="AI63" s="3076"/>
      <c r="AJ63" s="3076"/>
      <c r="AK63" s="3076"/>
      <c r="AL63" s="3076"/>
      <c r="AM63" s="3076"/>
      <c r="AN63" s="3076"/>
      <c r="AO63" s="3076"/>
      <c r="AP63" s="3077" t="s">
        <v>5167</v>
      </c>
      <c r="AQ63" s="3079" t="s">
        <v>5193</v>
      </c>
      <c r="AR63" s="3079" t="s">
        <v>5204</v>
      </c>
      <c r="AS63" s="3079" t="s">
        <v>5204</v>
      </c>
      <c r="AT63" s="3079" t="s">
        <v>5273</v>
      </c>
      <c r="AU63" s="3079" t="s">
        <v>5166</v>
      </c>
    </row>
    <row r="64" spans="2:47" ht="64.5" thickBot="1" x14ac:dyDescent="0.3">
      <c r="B64" s="5184"/>
      <c r="D64" s="3080" t="s">
        <v>5274</v>
      </c>
      <c r="E64" s="3074">
        <f>COUNTA(F64:AO64)</f>
        <v>1</v>
      </c>
      <c r="F64" s="3075"/>
      <c r="G64" s="3075"/>
      <c r="H64" s="3075"/>
      <c r="I64" s="3075"/>
      <c r="J64" s="3075"/>
      <c r="K64" s="3075"/>
      <c r="L64" s="3075"/>
      <c r="M64" s="3076"/>
      <c r="N64" s="3076"/>
      <c r="O64" s="3076"/>
      <c r="P64" s="3076"/>
      <c r="Q64" s="3076"/>
      <c r="R64" s="3076"/>
      <c r="S64" s="3076"/>
      <c r="T64" s="3076"/>
      <c r="U64" s="3076"/>
      <c r="V64" s="3076"/>
      <c r="W64" s="3076"/>
      <c r="X64" s="3076"/>
      <c r="Y64" s="3076"/>
      <c r="Z64" s="3076"/>
      <c r="AA64" s="3076"/>
      <c r="AB64" s="3076"/>
      <c r="AC64" s="3076"/>
      <c r="AE64" s="3081"/>
      <c r="AF64" s="3096" t="s">
        <v>3718</v>
      </c>
      <c r="AG64" s="3076"/>
      <c r="AH64" s="3076"/>
      <c r="AI64" s="3076"/>
      <c r="AJ64" s="3076"/>
      <c r="AK64" s="3076"/>
      <c r="AL64" s="3076"/>
      <c r="AM64" s="3076"/>
      <c r="AN64" s="3076"/>
      <c r="AO64" s="3076"/>
      <c r="AP64" s="3077" t="s">
        <v>5161</v>
      </c>
      <c r="AQ64" s="3079" t="s">
        <v>5198</v>
      </c>
      <c r="AR64" s="3079" t="s">
        <v>5163</v>
      </c>
      <c r="AS64" s="3079" t="s">
        <v>5209</v>
      </c>
      <c r="AT64" s="3079" t="s">
        <v>5210</v>
      </c>
      <c r="AU64" s="3079" t="s">
        <v>5211</v>
      </c>
    </row>
    <row r="65" spans="2:47" ht="13.5" thickBot="1" x14ac:dyDescent="0.3">
      <c r="D65" s="5181" t="s">
        <v>5275</v>
      </c>
      <c r="E65" s="5181"/>
      <c r="F65" s="5181"/>
      <c r="G65" s="5181"/>
      <c r="H65" s="5181"/>
      <c r="I65" s="5181"/>
      <c r="J65" s="5181"/>
      <c r="K65" s="5181"/>
      <c r="L65" s="5181"/>
      <c r="M65" s="5181"/>
      <c r="N65" s="5181"/>
      <c r="O65" s="5181"/>
      <c r="P65" s="5181"/>
      <c r="Q65" s="5181"/>
      <c r="R65" s="5181"/>
      <c r="S65" s="5181"/>
      <c r="T65" s="5181"/>
      <c r="U65" s="5181"/>
      <c r="V65" s="5181"/>
      <c r="W65" s="5181"/>
      <c r="X65" s="5181"/>
      <c r="Y65" s="5181"/>
      <c r="Z65" s="5181"/>
      <c r="AA65" s="5181"/>
      <c r="AB65" s="5181"/>
      <c r="AC65" s="5181"/>
      <c r="AD65" s="5181"/>
      <c r="AE65" s="5181"/>
      <c r="AF65" s="5181"/>
      <c r="AG65" s="5181"/>
      <c r="AH65" s="5181"/>
      <c r="AI65" s="5181"/>
      <c r="AJ65" s="5181"/>
      <c r="AK65" s="5181"/>
      <c r="AL65" s="5181"/>
      <c r="AM65" s="5181"/>
      <c r="AN65" s="5181"/>
      <c r="AO65" s="5181"/>
      <c r="AP65" s="5181"/>
      <c r="AQ65" s="5181"/>
      <c r="AR65" s="5181"/>
      <c r="AS65" s="5181"/>
      <c r="AT65" s="5181"/>
      <c r="AU65" s="5181"/>
    </row>
    <row r="66" spans="2:47" ht="64.5" thickBot="1" x14ac:dyDescent="0.3">
      <c r="B66" s="5182">
        <v>10</v>
      </c>
      <c r="D66" s="3073" t="s">
        <v>5160</v>
      </c>
      <c r="E66" s="3074">
        <f>COUNTA(F66:AO66)</f>
        <v>1</v>
      </c>
      <c r="F66" s="3076"/>
      <c r="G66" s="3076"/>
      <c r="H66" s="3076"/>
      <c r="I66" s="3076"/>
      <c r="J66" s="3076"/>
      <c r="K66" s="3076"/>
      <c r="L66" s="3076"/>
      <c r="M66" s="3076"/>
      <c r="N66" s="3076"/>
      <c r="O66" s="3076"/>
      <c r="P66" s="3076"/>
      <c r="Q66" s="3076"/>
      <c r="R66" s="3076"/>
      <c r="S66" s="3076"/>
      <c r="T66" s="3076"/>
      <c r="U66" s="3076"/>
      <c r="V66" s="3076"/>
      <c r="W66" s="3076"/>
      <c r="X66" s="3076"/>
      <c r="Y66" s="3076"/>
      <c r="Z66" s="3076"/>
      <c r="AA66" s="3076"/>
      <c r="AB66" s="3076"/>
      <c r="AC66" s="3076"/>
      <c r="AE66" s="3076"/>
      <c r="AF66" s="3076"/>
      <c r="AH66" s="3076"/>
      <c r="AI66" s="3076"/>
      <c r="AJ66" s="3096" t="s">
        <v>3718</v>
      </c>
      <c r="AK66" s="3076"/>
      <c r="AL66" s="3076"/>
      <c r="AM66" s="3076"/>
      <c r="AN66" s="3076"/>
      <c r="AO66" s="3076"/>
      <c r="AP66" s="3077" t="s">
        <v>5161</v>
      </c>
      <c r="AQ66" s="3078" t="s">
        <v>5286</v>
      </c>
      <c r="AR66" s="3079" t="s">
        <v>5163</v>
      </c>
      <c r="AS66" s="3079" t="s">
        <v>5164</v>
      </c>
      <c r="AT66" s="3079" t="s">
        <v>5165</v>
      </c>
      <c r="AU66" s="3079" t="s">
        <v>5166</v>
      </c>
    </row>
    <row r="67" spans="2:47" ht="102.75" thickBot="1" x14ac:dyDescent="0.3">
      <c r="B67" s="5183"/>
      <c r="D67" s="3073" t="s">
        <v>5276</v>
      </c>
      <c r="E67" s="3074">
        <f>COUNTA(F67:AO67)</f>
        <v>1</v>
      </c>
      <c r="F67" s="3076"/>
      <c r="G67" s="3076"/>
      <c r="H67" s="3075"/>
      <c r="I67" s="3075"/>
      <c r="J67" s="3076"/>
      <c r="K67" s="3076"/>
      <c r="L67" s="3076"/>
      <c r="M67" s="3076"/>
      <c r="N67" s="3076"/>
      <c r="O67" s="3076"/>
      <c r="P67" s="3076"/>
      <c r="Q67" s="3076"/>
      <c r="R67" s="3076"/>
      <c r="S67" s="3076"/>
      <c r="T67" s="3076"/>
      <c r="U67" s="3076"/>
      <c r="V67" s="3076"/>
      <c r="W67" s="3076"/>
      <c r="X67" s="3076"/>
      <c r="Y67" s="3076"/>
      <c r="Z67" s="3076"/>
      <c r="AA67" s="3076"/>
      <c r="AB67" s="3076"/>
      <c r="AC67" s="3076"/>
      <c r="AD67" s="3076"/>
      <c r="AF67" s="3076"/>
      <c r="AG67" s="3076"/>
      <c r="AH67" s="3076"/>
      <c r="AI67" s="3076"/>
      <c r="AJ67" s="3076"/>
      <c r="AK67" s="3096" t="s">
        <v>3718</v>
      </c>
      <c r="AL67" s="3076"/>
      <c r="AM67" s="3076"/>
      <c r="AN67" s="3076"/>
      <c r="AO67" s="3076"/>
      <c r="AP67" s="3077" t="s">
        <v>5167</v>
      </c>
      <c r="AQ67" s="3079" t="s">
        <v>5271</v>
      </c>
      <c r="AR67" s="3079" t="s">
        <v>5163</v>
      </c>
      <c r="AS67" s="3079" t="s">
        <v>5164</v>
      </c>
      <c r="AT67" s="3079" t="s">
        <v>5165</v>
      </c>
      <c r="AU67" s="3079" t="s">
        <v>5166</v>
      </c>
    </row>
    <row r="68" spans="2:47" ht="39" thickBot="1" x14ac:dyDescent="0.3">
      <c r="B68" s="5183"/>
      <c r="D68" s="3080" t="s">
        <v>5277</v>
      </c>
      <c r="E68" s="3074">
        <f>COUNTA(F68:AO68)</f>
        <v>3</v>
      </c>
      <c r="F68" s="3075"/>
      <c r="G68" s="3075"/>
      <c r="H68" s="3075"/>
      <c r="I68" s="3075"/>
      <c r="J68" s="3075"/>
      <c r="K68" s="3075"/>
      <c r="L68" s="3075"/>
      <c r="M68" s="3076"/>
      <c r="N68" s="3076"/>
      <c r="O68" s="3076"/>
      <c r="P68" s="3076"/>
      <c r="Q68" s="3076"/>
      <c r="R68" s="3076"/>
      <c r="S68" s="3076"/>
      <c r="T68" s="3076"/>
      <c r="U68" s="3076"/>
      <c r="V68" s="3076"/>
      <c r="W68" s="3076"/>
      <c r="X68" s="3076"/>
      <c r="Y68" s="3076"/>
      <c r="Z68" s="3076"/>
      <c r="AA68" s="3076"/>
      <c r="AB68" s="3076"/>
      <c r="AC68" s="3076"/>
      <c r="AD68" s="3076"/>
      <c r="AE68" s="3076"/>
      <c r="AF68" s="3076"/>
      <c r="AG68" s="3076"/>
      <c r="AH68" s="3076"/>
      <c r="AI68" s="3076"/>
      <c r="AJ68" s="3076"/>
      <c r="AK68" s="3076"/>
      <c r="AL68" s="3096" t="s">
        <v>3718</v>
      </c>
      <c r="AM68" s="3096" t="s">
        <v>3718</v>
      </c>
      <c r="AN68" s="3096" t="s">
        <v>3718</v>
      </c>
      <c r="AO68" s="3076"/>
      <c r="AP68" s="3077" t="s">
        <v>5167</v>
      </c>
      <c r="AQ68" s="3079" t="s">
        <v>5193</v>
      </c>
      <c r="AR68" s="3079" t="s">
        <v>5204</v>
      </c>
      <c r="AS68" s="3079" t="s">
        <v>5204</v>
      </c>
      <c r="AT68" s="3079" t="s">
        <v>5273</v>
      </c>
      <c r="AU68" s="3079" t="s">
        <v>5166</v>
      </c>
    </row>
    <row r="69" spans="2:47" ht="64.5" thickBot="1" x14ac:dyDescent="0.3">
      <c r="B69" s="5184"/>
      <c r="D69" s="3080" t="s">
        <v>5278</v>
      </c>
      <c r="E69" s="3074">
        <f>COUNTA(F69:AO69)</f>
        <v>1</v>
      </c>
      <c r="F69" s="3075"/>
      <c r="G69" s="3075"/>
      <c r="H69" s="3075"/>
      <c r="I69" s="3075"/>
      <c r="J69" s="3075"/>
      <c r="K69" s="3075"/>
      <c r="L69" s="3075"/>
      <c r="M69" s="3076"/>
      <c r="N69" s="3076"/>
      <c r="O69" s="3076"/>
      <c r="P69" s="3076"/>
      <c r="Q69" s="3076"/>
      <c r="R69" s="3076"/>
      <c r="S69" s="3076"/>
      <c r="T69" s="3076"/>
      <c r="U69" s="3076"/>
      <c r="V69" s="3076"/>
      <c r="W69" s="3076"/>
      <c r="X69" s="3076"/>
      <c r="Y69" s="3076"/>
      <c r="Z69" s="3076"/>
      <c r="AA69" s="3076"/>
      <c r="AB69" s="3076"/>
      <c r="AC69" s="3076"/>
      <c r="AD69" s="3076"/>
      <c r="AE69" s="3076"/>
      <c r="AF69" s="3076"/>
      <c r="AG69" s="3076"/>
      <c r="AH69" s="3076"/>
      <c r="AI69" s="3076"/>
      <c r="AJ69" s="3076"/>
      <c r="AK69" s="3076"/>
      <c r="AL69" s="3076"/>
      <c r="AM69" s="3076"/>
      <c r="AN69" s="3076"/>
      <c r="AO69" s="3096" t="s">
        <v>3718</v>
      </c>
      <c r="AP69" s="3077" t="s">
        <v>5161</v>
      </c>
      <c r="AQ69" s="3079" t="s">
        <v>5198</v>
      </c>
      <c r="AR69" s="3079" t="s">
        <v>5163</v>
      </c>
      <c r="AS69" s="3079" t="s">
        <v>5209</v>
      </c>
      <c r="AT69" s="3079" t="s">
        <v>5279</v>
      </c>
      <c r="AU69" s="3079" t="s">
        <v>5211</v>
      </c>
    </row>
  </sheetData>
  <mergeCells count="32">
    <mergeCell ref="D3:AU3"/>
    <mergeCell ref="D4:D5"/>
    <mergeCell ref="E4:E5"/>
    <mergeCell ref="F4:Q4"/>
    <mergeCell ref="R4:AC4"/>
    <mergeCell ref="AD4:AO4"/>
    <mergeCell ref="AP4:AP5"/>
    <mergeCell ref="AQ4:AQ5"/>
    <mergeCell ref="AR4:AR5"/>
    <mergeCell ref="AS4:AS5"/>
    <mergeCell ref="B36:B41"/>
    <mergeCell ref="AT4:AT5"/>
    <mergeCell ref="AU4:AU5"/>
    <mergeCell ref="D6:AU6"/>
    <mergeCell ref="B7:B16"/>
    <mergeCell ref="D17:AU17"/>
    <mergeCell ref="B18:B21"/>
    <mergeCell ref="D22:AU22"/>
    <mergeCell ref="B23:B27"/>
    <mergeCell ref="D28:AU28"/>
    <mergeCell ref="D35:AU35"/>
    <mergeCell ref="B29:B34"/>
    <mergeCell ref="D60:AU60"/>
    <mergeCell ref="B61:B64"/>
    <mergeCell ref="D65:AU65"/>
    <mergeCell ref="B66:B69"/>
    <mergeCell ref="D42:AU42"/>
    <mergeCell ref="B43:B48"/>
    <mergeCell ref="D49:AU49"/>
    <mergeCell ref="B50:B54"/>
    <mergeCell ref="D55:AU55"/>
    <mergeCell ref="B56:B59"/>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99FF66"/>
  </sheetPr>
  <dimension ref="B2:P32"/>
  <sheetViews>
    <sheetView workbookViewId="0">
      <selection activeCell="J6" sqref="J6"/>
    </sheetView>
  </sheetViews>
  <sheetFormatPr baseColWidth="10" defaultColWidth="11.42578125" defaultRowHeight="12.75" x14ac:dyDescent="0.25"/>
  <cols>
    <col min="1" max="1" width="11.42578125" style="2423"/>
    <col min="2" max="2" width="2.85546875" style="2423" customWidth="1"/>
    <col min="3" max="3" width="5.28515625" style="2423" customWidth="1"/>
    <col min="4" max="4" width="26.42578125" style="2423" customWidth="1"/>
    <col min="5" max="5" width="22.28515625" style="2423" customWidth="1"/>
    <col min="6" max="6" width="16.5703125" style="2423" customWidth="1"/>
    <col min="7" max="7" width="32.140625" style="2423" customWidth="1"/>
    <col min="8" max="8" width="33.28515625" style="2423" customWidth="1"/>
    <col min="9" max="9" width="2.85546875" style="2423" customWidth="1"/>
    <col min="10" max="16384" width="11.42578125" style="2423"/>
  </cols>
  <sheetData>
    <row r="2" spans="2:16" x14ac:dyDescent="0.25">
      <c r="J2" s="2426"/>
    </row>
    <row r="3" spans="2:16" x14ac:dyDescent="0.25">
      <c r="B3" s="5208"/>
      <c r="C3" s="5208"/>
      <c r="D3" s="5208"/>
      <c r="E3" s="5208"/>
      <c r="F3" s="5208"/>
      <c r="G3" s="5208"/>
      <c r="H3" s="5208"/>
      <c r="I3" s="5208"/>
    </row>
    <row r="4" spans="2:16" ht="13.5" thickBot="1" x14ac:dyDescent="0.3">
      <c r="B4" s="3230"/>
      <c r="C4" s="5209" t="s">
        <v>5396</v>
      </c>
      <c r="D4" s="5209"/>
      <c r="E4" s="5209"/>
      <c r="F4" s="5209"/>
      <c r="G4" s="5209"/>
      <c r="H4" s="5209"/>
      <c r="I4" s="3230"/>
    </row>
    <row r="5" spans="2:16" ht="13.5" thickBot="1" x14ac:dyDescent="0.3">
      <c r="B5" s="3230"/>
      <c r="C5" s="3348"/>
      <c r="D5" s="3349" t="s">
        <v>5397</v>
      </c>
      <c r="E5" s="5210" t="s">
        <v>5398</v>
      </c>
      <c r="F5" s="5211"/>
      <c r="G5" s="3231" t="s">
        <v>5399</v>
      </c>
      <c r="H5" s="3233" t="s">
        <v>5400</v>
      </c>
      <c r="I5" s="3230"/>
    </row>
    <row r="6" spans="2:16" ht="77.25" thickBot="1" x14ac:dyDescent="0.3">
      <c r="B6" s="3230"/>
      <c r="C6" s="3346" t="s">
        <v>5401</v>
      </c>
      <c r="D6" s="3347" t="s">
        <v>5738</v>
      </c>
      <c r="E6" s="5212" t="s">
        <v>5971</v>
      </c>
      <c r="F6" s="5212"/>
      <c r="G6" s="3235" t="s">
        <v>5750</v>
      </c>
      <c r="H6" s="3235"/>
      <c r="I6" s="3230"/>
    </row>
    <row r="7" spans="2:16" ht="141" thickBot="1" x14ac:dyDescent="0.3">
      <c r="B7" s="3230"/>
      <c r="C7" s="3234" t="s">
        <v>5402</v>
      </c>
      <c r="D7" s="3235" t="s">
        <v>5972</v>
      </c>
      <c r="E7" s="5213" t="s">
        <v>5747</v>
      </c>
      <c r="F7" s="5214"/>
      <c r="G7" s="3236" t="s">
        <v>5403</v>
      </c>
      <c r="H7" s="3236" t="s">
        <v>5751</v>
      </c>
      <c r="I7" s="3230"/>
    </row>
    <row r="8" spans="2:16" ht="64.5" thickBot="1" x14ac:dyDescent="0.3">
      <c r="B8" s="3230"/>
      <c r="C8" s="5215" t="s">
        <v>5404</v>
      </c>
      <c r="D8" s="3235" t="s">
        <v>5739</v>
      </c>
      <c r="E8" s="5212" t="s">
        <v>5968</v>
      </c>
      <c r="F8" s="5212"/>
      <c r="G8" s="3237" t="s">
        <v>5405</v>
      </c>
      <c r="H8" s="5212" t="s">
        <v>5406</v>
      </c>
      <c r="I8" s="3230"/>
    </row>
    <row r="9" spans="2:16" ht="155.25" customHeight="1" thickBot="1" x14ac:dyDescent="0.3">
      <c r="B9" s="3230"/>
      <c r="C9" s="5215"/>
      <c r="D9" s="3235" t="s">
        <v>5740</v>
      </c>
      <c r="E9" s="5212" t="s">
        <v>5748</v>
      </c>
      <c r="F9" s="5212"/>
      <c r="G9" s="3237" t="s">
        <v>5407</v>
      </c>
      <c r="H9" s="5212"/>
      <c r="I9" s="3230"/>
    </row>
    <row r="10" spans="2:16" ht="92.25" customHeight="1" thickBot="1" x14ac:dyDescent="0.3">
      <c r="B10" s="3230"/>
      <c r="C10" s="5215"/>
      <c r="D10" s="3235" t="s">
        <v>5741</v>
      </c>
      <c r="E10" s="5212" t="s">
        <v>5752</v>
      </c>
      <c r="F10" s="5212"/>
      <c r="G10" s="3237" t="s">
        <v>5408</v>
      </c>
      <c r="H10" s="3237" t="s">
        <v>5409</v>
      </c>
      <c r="I10" s="3230"/>
    </row>
    <row r="11" spans="2:16" ht="51.75" thickBot="1" x14ac:dyDescent="0.3">
      <c r="B11" s="3230"/>
      <c r="C11" s="5215"/>
      <c r="D11" s="3238" t="s">
        <v>5742</v>
      </c>
      <c r="E11" s="5200" t="s">
        <v>5749</v>
      </c>
      <c r="F11" s="5200"/>
      <c r="G11" s="3237" t="s">
        <v>5410</v>
      </c>
      <c r="H11" s="3237" t="s">
        <v>5411</v>
      </c>
      <c r="I11" s="3230"/>
    </row>
    <row r="12" spans="2:16" ht="39" thickBot="1" x14ac:dyDescent="0.3">
      <c r="B12" s="3230"/>
      <c r="C12" s="5201" t="s">
        <v>5412</v>
      </c>
      <c r="D12" s="3239" t="s">
        <v>5743</v>
      </c>
      <c r="E12" s="3840" t="s">
        <v>5413</v>
      </c>
      <c r="F12" s="3841">
        <f>'28 Cronograma'!E39</f>
        <v>18408796.040203921</v>
      </c>
      <c r="G12" s="5203" t="s">
        <v>5414</v>
      </c>
      <c r="H12" s="5203" t="s">
        <v>5415</v>
      </c>
      <c r="I12" s="3230"/>
      <c r="K12" s="2425"/>
      <c r="M12" s="3230"/>
      <c r="N12" s="3230"/>
      <c r="O12" s="3230"/>
      <c r="P12" s="3230"/>
    </row>
    <row r="13" spans="2:16" ht="51.75" thickBot="1" x14ac:dyDescent="0.3">
      <c r="B13" s="3230"/>
      <c r="C13" s="5201"/>
      <c r="D13" s="3240" t="s">
        <v>5744</v>
      </c>
      <c r="E13" s="3842" t="s">
        <v>5416</v>
      </c>
      <c r="F13" s="3843">
        <f>'28 Cronograma'!E40</f>
        <v>8873479.1885000002</v>
      </c>
      <c r="G13" s="5204"/>
      <c r="H13" s="5204"/>
      <c r="I13" s="3230"/>
    </row>
    <row r="14" spans="2:16" ht="102.75" thickBot="1" x14ac:dyDescent="0.3">
      <c r="B14" s="3230"/>
      <c r="C14" s="5201"/>
      <c r="D14" s="3240" t="s">
        <v>5745</v>
      </c>
      <c r="E14" s="3842" t="s">
        <v>5417</v>
      </c>
      <c r="F14" s="3843">
        <f>'28 Cronograma'!E41</f>
        <v>84050</v>
      </c>
      <c r="G14" s="5204"/>
      <c r="H14" s="5204"/>
      <c r="I14" s="3230"/>
    </row>
    <row r="15" spans="2:16" ht="26.25" thickBot="1" x14ac:dyDescent="0.3">
      <c r="B15" s="3230"/>
      <c r="C15" s="5201"/>
      <c r="D15" s="5206" t="s">
        <v>5746</v>
      </c>
      <c r="E15" s="3842" t="s">
        <v>5418</v>
      </c>
      <c r="F15" s="3843">
        <f>'28 Cronograma'!E42</f>
        <v>30000</v>
      </c>
      <c r="G15" s="5204"/>
      <c r="H15" s="5204"/>
      <c r="I15" s="3230"/>
    </row>
    <row r="16" spans="2:16" ht="39" thickBot="1" x14ac:dyDescent="0.3">
      <c r="B16" s="3230"/>
      <c r="C16" s="5201"/>
      <c r="D16" s="5206"/>
      <c r="E16" s="3842" t="s">
        <v>5419</v>
      </c>
      <c r="F16" s="3843">
        <f>'28 Cronograma'!E36</f>
        <v>348304.02916666667</v>
      </c>
      <c r="G16" s="5204"/>
      <c r="H16" s="5204"/>
      <c r="I16" s="3230"/>
    </row>
    <row r="17" spans="2:11" ht="26.25" thickBot="1" x14ac:dyDescent="0.3">
      <c r="B17" s="3230"/>
      <c r="C17" s="5201"/>
      <c r="D17" s="5206"/>
      <c r="E17" s="3842" t="s">
        <v>5420</v>
      </c>
      <c r="F17" s="3843">
        <f>'28 Cronograma'!E37</f>
        <v>87808</v>
      </c>
      <c r="G17" s="5204"/>
      <c r="H17" s="5204"/>
      <c r="I17" s="3230"/>
    </row>
    <row r="18" spans="2:11" ht="26.25" thickBot="1" x14ac:dyDescent="0.3">
      <c r="B18" s="3230"/>
      <c r="C18" s="5201"/>
      <c r="D18" s="5206"/>
      <c r="E18" s="3842" t="s">
        <v>5421</v>
      </c>
      <c r="F18" s="3843">
        <f>'28 Cronograma'!E38</f>
        <v>17523</v>
      </c>
      <c r="G18" s="5204"/>
      <c r="H18" s="5204"/>
      <c r="I18" s="3230"/>
    </row>
    <row r="19" spans="2:11" ht="39" thickBot="1" x14ac:dyDescent="0.3">
      <c r="B19" s="3230"/>
      <c r="C19" s="5201"/>
      <c r="D19" s="5206"/>
      <c r="E19" s="3842" t="s">
        <v>5422</v>
      </c>
      <c r="F19" s="3843">
        <f>'28 Cronograma'!E43</f>
        <v>30000</v>
      </c>
      <c r="G19" s="5204"/>
      <c r="H19" s="5204"/>
      <c r="I19" s="3230"/>
    </row>
    <row r="20" spans="2:11" ht="13.5" thickBot="1" x14ac:dyDescent="0.3">
      <c r="B20" s="3230"/>
      <c r="C20" s="5201"/>
      <c r="D20" s="5206"/>
      <c r="E20" s="3842" t="s">
        <v>5969</v>
      </c>
      <c r="F20" s="3843">
        <f>'28 Cronograma'!E44</f>
        <v>659364.30000000005</v>
      </c>
      <c r="G20" s="5204"/>
      <c r="H20" s="5204"/>
      <c r="I20" s="3230"/>
    </row>
    <row r="21" spans="2:11" ht="13.5" thickBot="1" x14ac:dyDescent="0.3">
      <c r="B21" s="3230"/>
      <c r="C21" s="5201"/>
      <c r="D21" s="5206"/>
      <c r="E21" s="3842" t="s">
        <v>5970</v>
      </c>
      <c r="F21" s="3843">
        <f>'28 Cronograma'!E45</f>
        <v>47258.416666666672</v>
      </c>
      <c r="G21" s="5204"/>
      <c r="H21" s="5204"/>
      <c r="I21" s="3230"/>
    </row>
    <row r="22" spans="2:11" ht="13.5" thickBot="1" x14ac:dyDescent="0.3">
      <c r="B22" s="3230"/>
      <c r="C22" s="5202"/>
      <c r="D22" s="5207"/>
      <c r="E22" s="3844" t="s">
        <v>5423</v>
      </c>
      <c r="F22" s="3845">
        <f>SUM(F12:F21)</f>
        <v>28586582.974537257</v>
      </c>
      <c r="G22" s="5205"/>
      <c r="H22" s="5205"/>
      <c r="I22" s="3230"/>
    </row>
    <row r="23" spans="2:11" x14ac:dyDescent="0.25">
      <c r="B23" s="3230"/>
      <c r="C23" s="3230"/>
      <c r="D23" s="3230"/>
      <c r="E23" s="3230"/>
      <c r="F23" s="3241"/>
      <c r="G23" s="3230"/>
      <c r="H23" s="3230"/>
      <c r="I23" s="3230"/>
    </row>
    <row r="26" spans="2:11" x14ac:dyDescent="0.25">
      <c r="K26" s="3242"/>
    </row>
    <row r="27" spans="2:11" x14ac:dyDescent="0.25">
      <c r="D27" s="3243"/>
      <c r="E27" s="3243"/>
    </row>
    <row r="28" spans="2:11" x14ac:dyDescent="0.25">
      <c r="D28" s="5199"/>
      <c r="E28" s="5199"/>
      <c r="F28" s="2427"/>
    </row>
    <row r="29" spans="2:11" x14ac:dyDescent="0.25">
      <c r="D29" s="5199"/>
      <c r="E29" s="5199"/>
      <c r="F29" s="2427"/>
    </row>
    <row r="30" spans="2:11" x14ac:dyDescent="0.25">
      <c r="D30" s="5199"/>
      <c r="E30" s="5199"/>
      <c r="F30" s="2427"/>
    </row>
    <row r="31" spans="2:11" x14ac:dyDescent="0.25">
      <c r="D31" s="5199"/>
      <c r="E31" s="5199"/>
      <c r="F31" s="2427"/>
    </row>
    <row r="32" spans="2:11" x14ac:dyDescent="0.25">
      <c r="D32" s="3243"/>
      <c r="E32" s="3243"/>
    </row>
  </sheetData>
  <mergeCells count="18">
    <mergeCell ref="H12:H22"/>
    <mergeCell ref="D15:D22"/>
    <mergeCell ref="D28:E29"/>
    <mergeCell ref="B3:I3"/>
    <mergeCell ref="C4:H4"/>
    <mergeCell ref="E5:F5"/>
    <mergeCell ref="E6:F6"/>
    <mergeCell ref="E7:F7"/>
    <mergeCell ref="C8:C11"/>
    <mergeCell ref="E8:F8"/>
    <mergeCell ref="H8:H9"/>
    <mergeCell ref="E9:F9"/>
    <mergeCell ref="E10:F10"/>
    <mergeCell ref="D30:E30"/>
    <mergeCell ref="D31:E31"/>
    <mergeCell ref="E11:F11"/>
    <mergeCell ref="C12:C22"/>
    <mergeCell ref="G12:G22"/>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FF0000"/>
  </sheetPr>
  <dimension ref="B1:N112"/>
  <sheetViews>
    <sheetView topLeftCell="A73" zoomScale="55" zoomScaleNormal="55" workbookViewId="0">
      <selection activeCell="I125" sqref="I125"/>
    </sheetView>
  </sheetViews>
  <sheetFormatPr baseColWidth="10" defaultColWidth="11.5703125" defaultRowHeight="12.75" x14ac:dyDescent="0.25"/>
  <cols>
    <col min="1" max="1" width="11.5703125" style="3069"/>
    <col min="2" max="2" width="39.5703125" style="3069" customWidth="1"/>
    <col min="3" max="3" width="15" style="3069" customWidth="1"/>
    <col min="4" max="4" width="19.28515625" style="3069" customWidth="1"/>
    <col min="5" max="5" width="13.7109375" style="3069" customWidth="1"/>
    <col min="6" max="6" width="12.7109375" style="3069" customWidth="1"/>
    <col min="7" max="7" width="14.42578125" style="3069" customWidth="1"/>
    <col min="8" max="8" width="10.42578125" style="3069" customWidth="1"/>
    <col min="9" max="9" width="15.42578125" style="3069" customWidth="1"/>
    <col min="10" max="10" width="10.28515625" style="3069" customWidth="1"/>
    <col min="11" max="11" width="13.5703125" style="3069" customWidth="1"/>
    <col min="12" max="12" width="13.42578125" style="3069" customWidth="1"/>
    <col min="13" max="13" width="11.5703125" style="3069"/>
    <col min="14" max="14" width="14.28515625" style="3069" customWidth="1"/>
    <col min="15" max="16384" width="11.5703125" style="3069"/>
  </cols>
  <sheetData>
    <row r="1" spans="2:4" ht="13.5" thickBot="1" x14ac:dyDescent="0.3"/>
    <row r="2" spans="2:4" ht="13.5" thickBot="1" x14ac:dyDescent="0.3">
      <c r="B2" s="5217" t="s">
        <v>5753</v>
      </c>
      <c r="C2" s="5218"/>
      <c r="D2" s="5219"/>
    </row>
    <row r="3" spans="2:4" ht="13.5" thickBot="1" x14ac:dyDescent="0.3">
      <c r="B3" s="3384" t="s">
        <v>5754</v>
      </c>
      <c r="C3" s="5220" t="s">
        <v>5755</v>
      </c>
      <c r="D3" s="5221"/>
    </row>
    <row r="4" spans="2:4" ht="30" customHeight="1" thickBot="1" x14ac:dyDescent="0.3">
      <c r="B4" s="3358" t="s">
        <v>5756</v>
      </c>
      <c r="C4" s="5216" t="s">
        <v>5757</v>
      </c>
      <c r="D4" s="5216"/>
    </row>
    <row r="5" spans="2:4" ht="30" customHeight="1" thickBot="1" x14ac:dyDescent="0.3">
      <c r="B5" s="3358" t="s">
        <v>5758</v>
      </c>
      <c r="C5" s="5216" t="s">
        <v>5759</v>
      </c>
      <c r="D5" s="5216"/>
    </row>
    <row r="6" spans="2:4" ht="30" customHeight="1" thickBot="1" x14ac:dyDescent="0.3">
      <c r="B6" s="3358" t="s">
        <v>5760</v>
      </c>
      <c r="C6" s="5216" t="s">
        <v>5761</v>
      </c>
      <c r="D6" s="5216"/>
    </row>
    <row r="7" spans="2:4" ht="30" customHeight="1" thickBot="1" x14ac:dyDescent="0.3">
      <c r="B7" s="3358" t="s">
        <v>5762</v>
      </c>
      <c r="C7" s="5216" t="s">
        <v>5763</v>
      </c>
      <c r="D7" s="5216"/>
    </row>
    <row r="8" spans="2:4" ht="30" customHeight="1" thickBot="1" x14ac:dyDescent="0.3">
      <c r="B8" s="3358" t="s">
        <v>5764</v>
      </c>
      <c r="C8" s="5216" t="s">
        <v>5765</v>
      </c>
      <c r="D8" s="5216"/>
    </row>
    <row r="9" spans="2:4" ht="30" customHeight="1" thickBot="1" x14ac:dyDescent="0.3">
      <c r="B9" s="3358" t="s">
        <v>5766</v>
      </c>
      <c r="C9" s="5216" t="s">
        <v>5767</v>
      </c>
      <c r="D9" s="5216"/>
    </row>
    <row r="10" spans="2:4" ht="30" customHeight="1" thickBot="1" x14ac:dyDescent="0.3">
      <c r="B10" s="3358" t="s">
        <v>5768</v>
      </c>
      <c r="C10" s="5216" t="s">
        <v>5769</v>
      </c>
      <c r="D10" s="5216"/>
    </row>
    <row r="11" spans="2:4" ht="30" customHeight="1" thickBot="1" x14ac:dyDescent="0.3">
      <c r="B11" s="3358" t="s">
        <v>5770</v>
      </c>
      <c r="C11" s="5216" t="s">
        <v>5771</v>
      </c>
      <c r="D11" s="5216"/>
    </row>
    <row r="12" spans="2:4" ht="30" customHeight="1" thickBot="1" x14ac:dyDescent="0.3">
      <c r="B12" s="3358" t="s">
        <v>5772</v>
      </c>
      <c r="C12" s="5216" t="s">
        <v>5773</v>
      </c>
      <c r="D12" s="5216"/>
    </row>
    <row r="13" spans="2:4" ht="30" customHeight="1" thickBot="1" x14ac:dyDescent="0.3">
      <c r="B13" s="3358" t="s">
        <v>5774</v>
      </c>
      <c r="C13" s="5216" t="s">
        <v>5775</v>
      </c>
      <c r="D13" s="5216"/>
    </row>
    <row r="14" spans="2:4" ht="30" customHeight="1" thickBot="1" x14ac:dyDescent="0.3">
      <c r="B14" s="3358" t="s">
        <v>5776</v>
      </c>
      <c r="C14" s="5216" t="s">
        <v>5777</v>
      </c>
      <c r="D14" s="5216"/>
    </row>
    <row r="15" spans="2:4" ht="30" customHeight="1" thickBot="1" x14ac:dyDescent="0.3">
      <c r="B15" s="3358" t="s">
        <v>5778</v>
      </c>
      <c r="C15" s="5216" t="s">
        <v>5779</v>
      </c>
      <c r="D15" s="5216"/>
    </row>
    <row r="16" spans="2:4" ht="30" customHeight="1" thickBot="1" x14ac:dyDescent="0.3">
      <c r="B16" s="3358" t="s">
        <v>5780</v>
      </c>
      <c r="C16" s="5216" t="s">
        <v>5781</v>
      </c>
      <c r="D16" s="5216"/>
    </row>
    <row r="17" spans="2:10" ht="30" customHeight="1" thickBot="1" x14ac:dyDescent="0.3">
      <c r="B17" s="3358" t="s">
        <v>5782</v>
      </c>
      <c r="C17" s="5216" t="s">
        <v>5783</v>
      </c>
      <c r="D17" s="5216"/>
    </row>
    <row r="18" spans="2:10" ht="30" customHeight="1" thickBot="1" x14ac:dyDescent="0.3">
      <c r="B18" s="3358" t="s">
        <v>5784</v>
      </c>
      <c r="C18" s="5216" t="s">
        <v>5785</v>
      </c>
      <c r="D18" s="5216"/>
    </row>
    <row r="19" spans="2:10" ht="30" customHeight="1" thickBot="1" x14ac:dyDescent="0.3">
      <c r="B19" s="3358" t="s">
        <v>5786</v>
      </c>
      <c r="C19" s="5216" t="s">
        <v>5787</v>
      </c>
      <c r="D19" s="5216"/>
    </row>
    <row r="20" spans="2:10" ht="30" customHeight="1" thickBot="1" x14ac:dyDescent="0.3">
      <c r="B20" s="3358" t="s">
        <v>5788</v>
      </c>
      <c r="C20" s="5216" t="s">
        <v>5789</v>
      </c>
      <c r="D20" s="5216"/>
      <c r="J20" s="3069">
        <f ca="1">J19:M20</f>
        <v>0</v>
      </c>
    </row>
    <row r="21" spans="2:10" ht="30" customHeight="1" thickBot="1" x14ac:dyDescent="0.3">
      <c r="B21" s="3358" t="s">
        <v>5790</v>
      </c>
      <c r="C21" s="5216" t="s">
        <v>5791</v>
      </c>
      <c r="D21" s="5216"/>
    </row>
    <row r="22" spans="2:10" ht="30" customHeight="1" thickBot="1" x14ac:dyDescent="0.3">
      <c r="B22" s="3358" t="s">
        <v>5792</v>
      </c>
      <c r="C22" s="5216" t="s">
        <v>5793</v>
      </c>
      <c r="D22" s="5216"/>
    </row>
    <row r="23" spans="2:10" ht="30" customHeight="1" thickBot="1" x14ac:dyDescent="0.3">
      <c r="B23" s="3358" t="s">
        <v>5794</v>
      </c>
      <c r="C23" s="5222" t="s">
        <v>5795</v>
      </c>
      <c r="D23" s="5222"/>
    </row>
    <row r="24" spans="2:10" ht="46.5" customHeight="1" thickBot="1" x14ac:dyDescent="0.3">
      <c r="B24" s="3358" t="s">
        <v>5796</v>
      </c>
      <c r="C24" s="5216" t="s">
        <v>5797</v>
      </c>
      <c r="D24" s="5216"/>
    </row>
    <row r="25" spans="2:10" ht="30" customHeight="1" thickBot="1" x14ac:dyDescent="0.3">
      <c r="B25" s="3358" t="s">
        <v>5798</v>
      </c>
      <c r="C25" s="5216" t="s">
        <v>5799</v>
      </c>
      <c r="D25" s="5216"/>
    </row>
    <row r="26" spans="2:10" ht="30" customHeight="1" thickBot="1" x14ac:dyDescent="0.3">
      <c r="B26" s="3358" t="s">
        <v>5800</v>
      </c>
      <c r="C26" s="5216" t="s">
        <v>5801</v>
      </c>
      <c r="D26" s="5216"/>
    </row>
    <row r="27" spans="2:10" ht="30" customHeight="1" thickBot="1" x14ac:dyDescent="0.3">
      <c r="B27" s="3358" t="s">
        <v>5802</v>
      </c>
      <c r="C27" s="5216" t="s">
        <v>5803</v>
      </c>
      <c r="D27" s="5216"/>
    </row>
    <row r="28" spans="2:10" ht="30" customHeight="1" thickBot="1" x14ac:dyDescent="0.3">
      <c r="B28" s="3358" t="s">
        <v>5804</v>
      </c>
      <c r="C28" s="5216" t="s">
        <v>5805</v>
      </c>
      <c r="D28" s="5216"/>
    </row>
    <row r="29" spans="2:10" ht="30" customHeight="1" thickBot="1" x14ac:dyDescent="0.3">
      <c r="B29" s="3358" t="s">
        <v>5806</v>
      </c>
      <c r="C29" s="5216" t="s">
        <v>5807</v>
      </c>
      <c r="D29" s="5216"/>
    </row>
    <row r="30" spans="2:10" ht="30" customHeight="1" thickBot="1" x14ac:dyDescent="0.3">
      <c r="B30" s="3358" t="s">
        <v>5808</v>
      </c>
      <c r="C30" s="5216" t="s">
        <v>5809</v>
      </c>
      <c r="D30" s="5216"/>
    </row>
    <row r="31" spans="2:10" ht="30" customHeight="1" thickBot="1" x14ac:dyDescent="0.3">
      <c r="B31" s="3358" t="s">
        <v>5810</v>
      </c>
      <c r="C31" s="5216" t="s">
        <v>5811</v>
      </c>
      <c r="D31" s="5216"/>
    </row>
    <row r="33" spans="2:14" ht="26.25" customHeight="1" thickBot="1" x14ac:dyDescent="0.3">
      <c r="B33" s="5227" t="s">
        <v>5812</v>
      </c>
      <c r="C33" s="5227"/>
      <c r="D33" s="5227"/>
      <c r="E33" s="5227"/>
      <c r="F33" s="5227"/>
      <c r="G33" s="5227"/>
      <c r="H33" s="5227"/>
      <c r="I33" s="5227"/>
      <c r="J33" s="5227"/>
      <c r="K33" s="5227"/>
      <c r="L33" s="5227"/>
    </row>
    <row r="34" spans="2:14" ht="20.45" customHeight="1" thickBot="1" x14ac:dyDescent="0.3">
      <c r="B34" s="3378" t="s">
        <v>3825</v>
      </c>
      <c r="C34" s="5223">
        <v>2014</v>
      </c>
      <c r="D34" s="5224"/>
      <c r="E34" s="5223">
        <v>2015</v>
      </c>
      <c r="F34" s="5224">
        <v>2015</v>
      </c>
      <c r="G34" s="5223">
        <v>2016</v>
      </c>
      <c r="H34" s="5224"/>
      <c r="I34" s="5223">
        <v>2017</v>
      </c>
      <c r="J34" s="5224">
        <v>2016</v>
      </c>
      <c r="K34" s="5223">
        <v>2018</v>
      </c>
      <c r="L34" s="5225">
        <v>2016</v>
      </c>
    </row>
    <row r="35" spans="2:14" ht="13.5" thickBot="1" x14ac:dyDescent="0.3">
      <c r="B35" s="3359" t="s">
        <v>5813</v>
      </c>
      <c r="C35" s="5226">
        <v>655670470</v>
      </c>
      <c r="D35" s="5226"/>
      <c r="E35" s="5226">
        <v>679028569</v>
      </c>
      <c r="F35" s="5226"/>
      <c r="G35" s="5226">
        <v>615506922</v>
      </c>
      <c r="H35" s="5226"/>
      <c r="I35" s="5226">
        <v>658824559</v>
      </c>
      <c r="J35" s="5226"/>
      <c r="K35" s="5226">
        <v>769256840</v>
      </c>
      <c r="L35" s="5226"/>
    </row>
    <row r="36" spans="2:14" ht="13.5" thickBot="1" x14ac:dyDescent="0.3">
      <c r="B36" s="3359" t="s">
        <v>5814</v>
      </c>
      <c r="C36" s="3360">
        <f t="shared" ref="C36:L36" si="0">+SUM(C37:C46)</f>
        <v>118518551</v>
      </c>
      <c r="D36" s="3361">
        <f t="shared" si="0"/>
        <v>1</v>
      </c>
      <c r="E36" s="3360">
        <f t="shared" si="0"/>
        <v>132549681</v>
      </c>
      <c r="F36" s="3361">
        <f t="shared" si="0"/>
        <v>1.0000000000000002</v>
      </c>
      <c r="G36" s="3360">
        <f t="shared" si="0"/>
        <v>144215594</v>
      </c>
      <c r="H36" s="3361">
        <f t="shared" si="0"/>
        <v>0.99999999999999989</v>
      </c>
      <c r="I36" s="3360">
        <f t="shared" si="0"/>
        <v>167923961</v>
      </c>
      <c r="J36" s="3361">
        <f t="shared" si="0"/>
        <v>0.99999999999999989</v>
      </c>
      <c r="K36" s="3360">
        <f t="shared" si="0"/>
        <v>181381976</v>
      </c>
      <c r="L36" s="3361">
        <f t="shared" si="0"/>
        <v>1</v>
      </c>
      <c r="N36" s="3353">
        <f>SUM(C36,E36,G36,I36,K36)</f>
        <v>744589763</v>
      </c>
    </row>
    <row r="37" spans="2:14" ht="13.5" thickBot="1" x14ac:dyDescent="0.3">
      <c r="B37" s="3362" t="s">
        <v>5793</v>
      </c>
      <c r="C37" s="3363">
        <v>21777232</v>
      </c>
      <c r="D37" s="3364">
        <f>C37/C36</f>
        <v>0.18374534464229147</v>
      </c>
      <c r="E37" s="3363">
        <v>17669294</v>
      </c>
      <c r="F37" s="3364">
        <f>E37/E36</f>
        <v>0.13330318011101061</v>
      </c>
      <c r="G37" s="3363">
        <v>17606224</v>
      </c>
      <c r="H37" s="3364">
        <f>G37/G36</f>
        <v>0.12208266465275593</v>
      </c>
      <c r="I37" s="3363">
        <v>17629917</v>
      </c>
      <c r="J37" s="3364">
        <f>I37/I36</f>
        <v>0.10498750086058296</v>
      </c>
      <c r="K37" s="3385">
        <v>18664291</v>
      </c>
      <c r="L37" s="3364">
        <f>K37/K36</f>
        <v>0.1029004723159483</v>
      </c>
      <c r="M37" s="3354"/>
    </row>
    <row r="38" spans="2:14" ht="13.5" thickBot="1" x14ac:dyDescent="0.3">
      <c r="B38" s="3362" t="s">
        <v>5795</v>
      </c>
      <c r="C38" s="3363">
        <v>26106354</v>
      </c>
      <c r="D38" s="3364">
        <f>C38/C36</f>
        <v>0.22027230150662236</v>
      </c>
      <c r="E38" s="3363">
        <v>27003255</v>
      </c>
      <c r="F38" s="3364">
        <f>E38/E36</f>
        <v>0.20372176527531591</v>
      </c>
      <c r="G38" s="3363">
        <v>30355843</v>
      </c>
      <c r="H38" s="3364">
        <f>G38/G36</f>
        <v>0.21048932475360466</v>
      </c>
      <c r="I38" s="3363">
        <v>34839606</v>
      </c>
      <c r="J38" s="3364">
        <f>I38/I36</f>
        <v>0.20747251191865346</v>
      </c>
      <c r="K38" s="3385">
        <v>37385473</v>
      </c>
      <c r="L38" s="3364">
        <f>K38/K36</f>
        <v>0.20611459762683365</v>
      </c>
    </row>
    <row r="39" spans="2:14" ht="35.25" customHeight="1" thickBot="1" x14ac:dyDescent="0.3">
      <c r="B39" s="3362" t="s">
        <v>5815</v>
      </c>
      <c r="C39" s="3363">
        <v>18516722</v>
      </c>
      <c r="D39" s="3364">
        <f>C39/C36</f>
        <v>0.15623479905690038</v>
      </c>
      <c r="E39" s="3363">
        <v>21432361</v>
      </c>
      <c r="F39" s="3364">
        <f>E39/E36</f>
        <v>0.1616930409662774</v>
      </c>
      <c r="G39" s="3363">
        <v>23523473</v>
      </c>
      <c r="H39" s="3364">
        <f>G39/G36</f>
        <v>0.16311324141548797</v>
      </c>
      <c r="I39" s="3363">
        <v>25681863</v>
      </c>
      <c r="J39" s="3364">
        <f>I39/I36</f>
        <v>0.15293745363712569</v>
      </c>
      <c r="K39" s="3385">
        <v>27045790</v>
      </c>
      <c r="L39" s="3364">
        <f>K39/K36</f>
        <v>0.14910957856143325</v>
      </c>
    </row>
    <row r="40" spans="2:14" ht="35.25" customHeight="1" thickBot="1" x14ac:dyDescent="0.3">
      <c r="B40" s="3362" t="s">
        <v>5799</v>
      </c>
      <c r="C40" s="3363">
        <v>19519525</v>
      </c>
      <c r="D40" s="3364">
        <f>C40/C36</f>
        <v>0.16469594705051702</v>
      </c>
      <c r="E40" s="3363">
        <v>22974878</v>
      </c>
      <c r="F40" s="3364">
        <f>E40/E36</f>
        <v>0.17333031529513829</v>
      </c>
      <c r="G40" s="3363">
        <v>23332118</v>
      </c>
      <c r="H40" s="3364">
        <f>G40/G36</f>
        <v>0.16178637380920124</v>
      </c>
      <c r="I40" s="3363">
        <v>25244070</v>
      </c>
      <c r="J40" s="3364">
        <f>I40/I36</f>
        <v>0.15033036291944066</v>
      </c>
      <c r="K40" s="3385">
        <v>25591834</v>
      </c>
      <c r="L40" s="3364">
        <f>K40/K36</f>
        <v>0.14109358914471193</v>
      </c>
    </row>
    <row r="41" spans="2:14" ht="35.25" customHeight="1" thickBot="1" x14ac:dyDescent="0.3">
      <c r="B41" s="3362" t="s">
        <v>5801</v>
      </c>
      <c r="C41" s="3363">
        <v>5867308</v>
      </c>
      <c r="D41" s="3364">
        <f>C41/C36</f>
        <v>4.9505397682426948E-2</v>
      </c>
      <c r="E41" s="3363">
        <v>7643658</v>
      </c>
      <c r="F41" s="3364">
        <f>E41/E36</f>
        <v>5.7666362848508103E-2</v>
      </c>
      <c r="G41" s="3363">
        <v>9179651</v>
      </c>
      <c r="H41" s="3364">
        <f>G41/G36</f>
        <v>6.3652277436793692E-2</v>
      </c>
      <c r="I41" s="3363">
        <v>12447243</v>
      </c>
      <c r="J41" s="3364">
        <f>I41/I36</f>
        <v>7.4124281763458408E-2</v>
      </c>
      <c r="K41" s="3385">
        <v>14865511</v>
      </c>
      <c r="L41" s="3364">
        <f>K41/K36</f>
        <v>8.1956936007798256E-2</v>
      </c>
    </row>
    <row r="42" spans="2:14" s="3355" customFormat="1" ht="35.25" customHeight="1" thickBot="1" x14ac:dyDescent="0.3">
      <c r="B42" s="3366" t="s">
        <v>5803</v>
      </c>
      <c r="C42" s="3367">
        <v>10954566</v>
      </c>
      <c r="D42" s="3368">
        <f>C42/C36</f>
        <v>9.2429125293642847E-2</v>
      </c>
      <c r="E42" s="3367">
        <v>16311926</v>
      </c>
      <c r="F42" s="3368">
        <f>E42/E36</f>
        <v>0.1230627329838689</v>
      </c>
      <c r="G42" s="3367">
        <v>18240431</v>
      </c>
      <c r="H42" s="3368">
        <f>G42/G36</f>
        <v>0.12648029588256593</v>
      </c>
      <c r="I42" s="3367">
        <v>23410395</v>
      </c>
      <c r="J42" s="3368">
        <f>I42/I36</f>
        <v>0.13941068838889525</v>
      </c>
      <c r="K42" s="3386">
        <v>27045521</v>
      </c>
      <c r="L42" s="3368">
        <f>K42/K36</f>
        <v>0.14910809550338122</v>
      </c>
    </row>
    <row r="43" spans="2:14" ht="35.25" customHeight="1" thickBot="1" x14ac:dyDescent="0.3">
      <c r="B43" s="3362" t="s">
        <v>5805</v>
      </c>
      <c r="C43" s="3363">
        <v>3958409</v>
      </c>
      <c r="D43" s="3364">
        <f>C43/C36</f>
        <v>3.339906678406826E-2</v>
      </c>
      <c r="E43" s="3363">
        <v>5135338</v>
      </c>
      <c r="F43" s="3364">
        <f>E43/E36</f>
        <v>3.8742741297129187E-2</v>
      </c>
      <c r="G43" s="3363">
        <v>5681960</v>
      </c>
      <c r="H43" s="3364">
        <f>G43/G36</f>
        <v>3.9399068036983571E-2</v>
      </c>
      <c r="I43" s="3363">
        <v>7095184</v>
      </c>
      <c r="J43" s="3364">
        <f>I43/I36</f>
        <v>4.2252362067614638E-2</v>
      </c>
      <c r="K43" s="3385">
        <v>7708029</v>
      </c>
      <c r="L43" s="3364">
        <f>K43/K36</f>
        <v>4.2496113285258291E-2</v>
      </c>
    </row>
    <row r="44" spans="2:14" ht="35.25" customHeight="1" thickBot="1" x14ac:dyDescent="0.3">
      <c r="B44" s="3362" t="s">
        <v>5807</v>
      </c>
      <c r="C44" s="3363">
        <v>5503876</v>
      </c>
      <c r="D44" s="3364">
        <f>C44/C36</f>
        <v>4.6438941022827723E-2</v>
      </c>
      <c r="E44" s="3363">
        <v>6705420</v>
      </c>
      <c r="F44" s="3364">
        <f>E44/E36</f>
        <v>5.0587975387130509E-2</v>
      </c>
      <c r="G44" s="3363">
        <v>7511336</v>
      </c>
      <c r="H44" s="3364">
        <f>G44/G36</f>
        <v>5.2084076289281168E-2</v>
      </c>
      <c r="I44" s="3363">
        <v>10032085</v>
      </c>
      <c r="J44" s="3364">
        <f>I44/I36</f>
        <v>5.9741831601983236E-2</v>
      </c>
      <c r="K44" s="3385">
        <v>11250993</v>
      </c>
      <c r="L44" s="3364">
        <f>K44/K36</f>
        <v>6.2029277925608223E-2</v>
      </c>
    </row>
    <row r="45" spans="2:14" ht="35.25" customHeight="1" thickBot="1" x14ac:dyDescent="0.3">
      <c r="B45" s="3362" t="s">
        <v>5809</v>
      </c>
      <c r="C45" s="3363">
        <v>2297145</v>
      </c>
      <c r="D45" s="3364">
        <f>C45/C36</f>
        <v>1.9382155625577973E-2</v>
      </c>
      <c r="E45" s="3363">
        <v>2770667</v>
      </c>
      <c r="F45" s="3364">
        <f>E45/E36</f>
        <v>2.0902856793748148E-2</v>
      </c>
      <c r="G45" s="3363">
        <v>3320238</v>
      </c>
      <c r="H45" s="3364">
        <f>G45/G36</f>
        <v>2.3022739135963342E-2</v>
      </c>
      <c r="I45" s="3363">
        <v>4025671</v>
      </c>
      <c r="J45" s="3364">
        <f>I45/I36</f>
        <v>2.397317795522939E-2</v>
      </c>
      <c r="K45" s="3385">
        <v>4133446</v>
      </c>
      <c r="L45" s="3364">
        <f>K45/K36</f>
        <v>2.2788625921684742E-2</v>
      </c>
    </row>
    <row r="46" spans="2:14" ht="35.25" customHeight="1" thickBot="1" x14ac:dyDescent="0.3">
      <c r="B46" s="3362" t="s">
        <v>5811</v>
      </c>
      <c r="C46" s="3363">
        <v>4017414</v>
      </c>
      <c r="D46" s="3364">
        <f>C46/C36</f>
        <v>3.3896921335124994E-2</v>
      </c>
      <c r="E46" s="3363">
        <v>4902884</v>
      </c>
      <c r="F46" s="3364">
        <f>E46/E36</f>
        <v>3.6989029041872984E-2</v>
      </c>
      <c r="G46" s="3363">
        <v>5464320</v>
      </c>
      <c r="H46" s="3364">
        <f>G46/G36</f>
        <v>3.7889938587362476E-2</v>
      </c>
      <c r="I46" s="3363">
        <v>7517927</v>
      </c>
      <c r="J46" s="3364">
        <f>I46/I36</f>
        <v>4.4769828887016305E-2</v>
      </c>
      <c r="K46" s="3385">
        <v>7691088</v>
      </c>
      <c r="L46" s="3364">
        <f>K46/K36</f>
        <v>4.2402713707342124E-2</v>
      </c>
    </row>
    <row r="48" spans="2:14" ht="13.5" thickBot="1" x14ac:dyDescent="0.3">
      <c r="K48" s="3353"/>
    </row>
    <row r="49" spans="2:12" ht="13.5" thickBot="1" x14ac:dyDescent="0.3">
      <c r="B49" s="3381" t="s">
        <v>3825</v>
      </c>
      <c r="C49" s="3382">
        <v>2014</v>
      </c>
      <c r="D49" s="3382">
        <v>2015</v>
      </c>
      <c r="E49" s="3382">
        <v>2016</v>
      </c>
      <c r="F49" s="3382">
        <v>2017</v>
      </c>
      <c r="G49" s="3383">
        <v>2018</v>
      </c>
      <c r="H49" s="3356"/>
      <c r="I49" s="3356"/>
      <c r="J49" s="3356"/>
      <c r="K49" s="3356"/>
    </row>
    <row r="50" spans="2:12" ht="13.5" thickBot="1" x14ac:dyDescent="0.3">
      <c r="B50" s="3369" t="s">
        <v>5813</v>
      </c>
      <c r="C50" s="3363">
        <v>655670470</v>
      </c>
      <c r="D50" s="3363">
        <v>679028569</v>
      </c>
      <c r="E50" s="3363">
        <v>615506922</v>
      </c>
      <c r="F50" s="3363">
        <v>658824559</v>
      </c>
      <c r="G50" s="3363">
        <v>769256840</v>
      </c>
      <c r="H50" s="3351"/>
      <c r="I50" s="3356"/>
      <c r="J50" s="3356"/>
      <c r="K50" s="3356"/>
    </row>
    <row r="51" spans="2:12" ht="13.5" thickBot="1" x14ac:dyDescent="0.3">
      <c r="B51" s="3369" t="s">
        <v>5814</v>
      </c>
      <c r="C51" s="3370">
        <v>118518551</v>
      </c>
      <c r="D51" s="3370">
        <v>132549681</v>
      </c>
      <c r="E51" s="3370">
        <v>144215594</v>
      </c>
      <c r="F51" s="3370">
        <v>167923961</v>
      </c>
      <c r="G51" s="3370">
        <v>181381976</v>
      </c>
      <c r="H51" s="3356"/>
      <c r="I51" s="3356"/>
      <c r="J51" s="3356"/>
      <c r="K51" s="3356"/>
    </row>
    <row r="52" spans="2:12" x14ac:dyDescent="0.25">
      <c r="B52" s="3356"/>
      <c r="C52" s="3356"/>
      <c r="D52" s="3356"/>
      <c r="E52" s="3356"/>
      <c r="F52" s="3356"/>
      <c r="G52" s="3356"/>
      <c r="H52" s="3356"/>
      <c r="I52" s="3356"/>
      <c r="J52" s="3356"/>
      <c r="K52" s="3356"/>
      <c r="L52" s="3356"/>
    </row>
    <row r="53" spans="2:12" x14ac:dyDescent="0.25">
      <c r="C53" s="3353"/>
    </row>
    <row r="60" spans="2:12" ht="13.5" thickBot="1" x14ac:dyDescent="0.3">
      <c r="C60" s="1890" t="s">
        <v>5816</v>
      </c>
    </row>
    <row r="61" spans="2:12" ht="13.5" thickBot="1" x14ac:dyDescent="0.3">
      <c r="B61" s="3378" t="s">
        <v>5817</v>
      </c>
      <c r="C61" s="3379">
        <v>2014</v>
      </c>
      <c r="D61" s="3379">
        <v>2015</v>
      </c>
      <c r="E61" s="3379">
        <v>2016</v>
      </c>
      <c r="F61" s="3379">
        <v>2017</v>
      </c>
      <c r="G61" s="3380">
        <v>2018</v>
      </c>
    </row>
    <row r="62" spans="2:12" ht="36.75" customHeight="1" thickBot="1" x14ac:dyDescent="0.3">
      <c r="B62" s="3362" t="s">
        <v>5425</v>
      </c>
      <c r="C62" s="3363">
        <v>21777232</v>
      </c>
      <c r="D62" s="3363">
        <v>17669294</v>
      </c>
      <c r="E62" s="3363">
        <v>17606224</v>
      </c>
      <c r="F62" s="3363">
        <v>17629917</v>
      </c>
      <c r="G62" s="3365">
        <v>18664291</v>
      </c>
      <c r="I62" s="3352"/>
    </row>
    <row r="63" spans="2:12" ht="36.75" customHeight="1" thickBot="1" x14ac:dyDescent="0.3">
      <c r="B63" s="3362" t="s">
        <v>5431</v>
      </c>
      <c r="C63" s="3363">
        <v>26106354</v>
      </c>
      <c r="D63" s="3363">
        <v>27003255</v>
      </c>
      <c r="E63" s="3363">
        <v>30355843</v>
      </c>
      <c r="F63" s="3363">
        <v>34839606</v>
      </c>
      <c r="G63" s="3365">
        <v>37385473</v>
      </c>
    </row>
    <row r="64" spans="2:12" ht="36.75" customHeight="1" thickBot="1" x14ac:dyDescent="0.3">
      <c r="B64" s="3362" t="s">
        <v>5433</v>
      </c>
      <c r="C64" s="3363">
        <v>18516722</v>
      </c>
      <c r="D64" s="3363">
        <v>21432361</v>
      </c>
      <c r="E64" s="3363">
        <v>23523473</v>
      </c>
      <c r="F64" s="3363">
        <v>25681863</v>
      </c>
      <c r="G64" s="3365">
        <v>27045790</v>
      </c>
    </row>
    <row r="65" spans="2:14" ht="36.75" customHeight="1" thickBot="1" x14ac:dyDescent="0.3">
      <c r="B65" s="3362" t="s">
        <v>5434</v>
      </c>
      <c r="C65" s="3363">
        <v>19519525</v>
      </c>
      <c r="D65" s="3363">
        <v>22974878</v>
      </c>
      <c r="E65" s="3363">
        <v>23332118</v>
      </c>
      <c r="F65" s="3363">
        <v>25244070</v>
      </c>
      <c r="G65" s="3365">
        <v>25591834</v>
      </c>
    </row>
    <row r="66" spans="2:14" ht="36.75" customHeight="1" thickBot="1" x14ac:dyDescent="0.3">
      <c r="B66" s="3362" t="s">
        <v>5435</v>
      </c>
      <c r="C66" s="3363">
        <v>5867308</v>
      </c>
      <c r="D66" s="3363">
        <v>7643658</v>
      </c>
      <c r="E66" s="3363">
        <v>9179651</v>
      </c>
      <c r="F66" s="3363">
        <v>12447243</v>
      </c>
      <c r="G66" s="3365">
        <v>14865511</v>
      </c>
    </row>
    <row r="67" spans="2:14" ht="36.75" customHeight="1" thickBot="1" x14ac:dyDescent="0.3">
      <c r="B67" s="3362" t="s">
        <v>5436</v>
      </c>
      <c r="C67" s="3363">
        <v>10954566</v>
      </c>
      <c r="D67" s="3363">
        <v>16311926</v>
      </c>
      <c r="E67" s="3363">
        <v>18240431</v>
      </c>
      <c r="F67" s="3363">
        <v>23410395</v>
      </c>
      <c r="G67" s="3365">
        <v>27045521</v>
      </c>
    </row>
    <row r="68" spans="2:14" ht="36.75" customHeight="1" thickBot="1" x14ac:dyDescent="0.3">
      <c r="B68" s="3362" t="s">
        <v>5437</v>
      </c>
      <c r="C68" s="3363">
        <v>3958409</v>
      </c>
      <c r="D68" s="3363">
        <v>5135338</v>
      </c>
      <c r="E68" s="3363">
        <v>5681960</v>
      </c>
      <c r="F68" s="3363">
        <v>7095184</v>
      </c>
      <c r="G68" s="3365">
        <v>7708029</v>
      </c>
    </row>
    <row r="69" spans="2:14" ht="36.75" customHeight="1" thickBot="1" x14ac:dyDescent="0.3">
      <c r="B69" s="3362" t="s">
        <v>5438</v>
      </c>
      <c r="C69" s="3363">
        <v>5503876</v>
      </c>
      <c r="D69" s="3363">
        <v>6705420</v>
      </c>
      <c r="E69" s="3363">
        <v>7511336</v>
      </c>
      <c r="F69" s="3363">
        <v>10032085</v>
      </c>
      <c r="G69" s="3365">
        <v>11250993</v>
      </c>
    </row>
    <row r="70" spans="2:14" ht="36.75" customHeight="1" thickBot="1" x14ac:dyDescent="0.3">
      <c r="B70" s="3362" t="s">
        <v>5439</v>
      </c>
      <c r="C70" s="3363">
        <v>2297145</v>
      </c>
      <c r="D70" s="3363">
        <v>2770667</v>
      </c>
      <c r="E70" s="3363">
        <v>3320238</v>
      </c>
      <c r="F70" s="3363">
        <v>4025671</v>
      </c>
      <c r="G70" s="3365">
        <v>4133446</v>
      </c>
    </row>
    <row r="71" spans="2:14" ht="36.75" customHeight="1" thickBot="1" x14ac:dyDescent="0.3">
      <c r="B71" s="3362" t="s">
        <v>5440</v>
      </c>
      <c r="C71" s="3363">
        <v>4017414</v>
      </c>
      <c r="D71" s="3363">
        <v>4902884</v>
      </c>
      <c r="E71" s="3363">
        <v>5464320</v>
      </c>
      <c r="F71" s="3363">
        <v>7517927</v>
      </c>
      <c r="G71" s="3365">
        <v>7691088</v>
      </c>
    </row>
    <row r="73" spans="2:14" ht="55.5" customHeight="1" x14ac:dyDescent="0.25"/>
    <row r="74" spans="2:14" ht="38.25" customHeight="1" x14ac:dyDescent="0.25">
      <c r="B74" s="5228" t="s">
        <v>5818</v>
      </c>
      <c r="C74" s="5228"/>
      <c r="D74" s="5228"/>
      <c r="E74" s="5228"/>
      <c r="F74" s="5228"/>
      <c r="G74" s="5228"/>
      <c r="H74" s="5228"/>
      <c r="I74" s="5228"/>
      <c r="J74" s="5228"/>
      <c r="K74" s="5228"/>
      <c r="L74" s="5228"/>
    </row>
    <row r="75" spans="2:14" ht="13.5" thickBot="1" x14ac:dyDescent="0.3">
      <c r="B75" s="5229" t="s">
        <v>5819</v>
      </c>
      <c r="C75" s="5230"/>
      <c r="D75" s="5230"/>
    </row>
    <row r="76" spans="2:14" ht="13.5" thickBot="1" x14ac:dyDescent="0.3">
      <c r="B76" s="3381" t="s">
        <v>3825</v>
      </c>
      <c r="C76" s="5223">
        <v>2014</v>
      </c>
      <c r="D76" s="5223"/>
      <c r="E76" s="5223">
        <v>2015</v>
      </c>
      <c r="F76" s="5224">
        <v>2015</v>
      </c>
      <c r="G76" s="5223">
        <v>2016</v>
      </c>
      <c r="H76" s="5224"/>
      <c r="I76" s="5223">
        <v>2017</v>
      </c>
      <c r="J76" s="5224">
        <v>2016</v>
      </c>
      <c r="K76" s="5223">
        <v>2018</v>
      </c>
      <c r="L76" s="5225">
        <v>2016</v>
      </c>
    </row>
    <row r="77" spans="2:14" ht="13.5" thickBot="1" x14ac:dyDescent="0.3">
      <c r="B77" s="3359" t="s">
        <v>5813</v>
      </c>
      <c r="C77" s="5226">
        <v>826239205</v>
      </c>
      <c r="D77" s="5226"/>
      <c r="E77" s="5226">
        <v>902054748</v>
      </c>
      <c r="F77" s="5226"/>
      <c r="G77" s="5226">
        <v>893038795</v>
      </c>
      <c r="H77" s="5226"/>
      <c r="I77" s="5226">
        <v>989437816</v>
      </c>
      <c r="J77" s="5226"/>
      <c r="K77" s="5226">
        <v>1146950315</v>
      </c>
      <c r="L77" s="5226"/>
    </row>
    <row r="78" spans="2:14" ht="13.5" thickBot="1" x14ac:dyDescent="0.3">
      <c r="B78" s="3359" t="s">
        <v>5814</v>
      </c>
      <c r="C78" s="3360">
        <f t="shared" ref="C78:J78" si="1">+SUM(C79:C88)</f>
        <v>187985464</v>
      </c>
      <c r="D78" s="3371">
        <f t="shared" si="1"/>
        <v>1</v>
      </c>
      <c r="E78" s="3360">
        <f t="shared" si="1"/>
        <v>208030998</v>
      </c>
      <c r="F78" s="3371">
        <f t="shared" si="1"/>
        <v>1</v>
      </c>
      <c r="G78" s="3360">
        <f t="shared" si="1"/>
        <v>216063400</v>
      </c>
      <c r="H78" s="3371">
        <f t="shared" si="1"/>
        <v>1</v>
      </c>
      <c r="I78" s="3360">
        <f t="shared" si="1"/>
        <v>237003937</v>
      </c>
      <c r="J78" s="3371">
        <f t="shared" si="1"/>
        <v>1</v>
      </c>
      <c r="K78" s="3360">
        <f>+SUM(K79:K88)</f>
        <v>265066499</v>
      </c>
      <c r="L78" s="3371">
        <f>+SUM(L79:L88)</f>
        <v>1</v>
      </c>
      <c r="N78" s="3353"/>
    </row>
    <row r="79" spans="2:14" ht="13.5" thickBot="1" x14ac:dyDescent="0.3">
      <c r="B79" s="3362" t="s">
        <v>5793</v>
      </c>
      <c r="C79" s="3372">
        <v>22198906</v>
      </c>
      <c r="D79" s="3373">
        <f>C79/C78</f>
        <v>0.11808841773000066</v>
      </c>
      <c r="E79" s="3372">
        <v>23299794</v>
      </c>
      <c r="F79" s="3373">
        <f>E79/E78</f>
        <v>0.11200154892301195</v>
      </c>
      <c r="G79" s="3372">
        <v>24086109</v>
      </c>
      <c r="H79" s="3373">
        <f>G79/G78</f>
        <v>0.11147704331228704</v>
      </c>
      <c r="I79" s="3372">
        <v>24753490</v>
      </c>
      <c r="J79" s="3373">
        <f>I79/I78</f>
        <v>0.1044433704913518</v>
      </c>
      <c r="K79" s="3372">
        <v>26473570</v>
      </c>
      <c r="L79" s="3373">
        <f>K79/K78</f>
        <v>9.9875201505566349E-2</v>
      </c>
    </row>
    <row r="80" spans="2:14" ht="13.5" thickBot="1" x14ac:dyDescent="0.3">
      <c r="B80" s="3362" t="s">
        <v>5795</v>
      </c>
      <c r="C80" s="3372">
        <v>40732119</v>
      </c>
      <c r="D80" s="3373">
        <f>C80/C78</f>
        <v>0.21667696072500583</v>
      </c>
      <c r="E80" s="3372">
        <v>43325194</v>
      </c>
      <c r="F80" s="3373">
        <f>E80/E78</f>
        <v>0.20826316470394474</v>
      </c>
      <c r="G80" s="3372">
        <v>44339878</v>
      </c>
      <c r="H80" s="3373">
        <f>G80/G78</f>
        <v>0.20521697797961155</v>
      </c>
      <c r="I80" s="3372">
        <v>44899243</v>
      </c>
      <c r="J80" s="3373">
        <f>I80/I78</f>
        <v>0.18944513567299939</v>
      </c>
      <c r="K80" s="3372">
        <v>50832741</v>
      </c>
      <c r="L80" s="3373">
        <f>K80/K78</f>
        <v>0.19177354057103987</v>
      </c>
    </row>
    <row r="81" spans="2:12" ht="26.25" thickBot="1" x14ac:dyDescent="0.3">
      <c r="B81" s="3362" t="s">
        <v>5815</v>
      </c>
      <c r="C81" s="3372">
        <v>30994606</v>
      </c>
      <c r="D81" s="3373">
        <f>C81/C78</f>
        <v>0.16487767373332654</v>
      </c>
      <c r="E81" s="3372">
        <v>33357342</v>
      </c>
      <c r="F81" s="3373">
        <f>E81/E78</f>
        <v>0.16034794006996977</v>
      </c>
      <c r="G81" s="3372">
        <v>31112529</v>
      </c>
      <c r="H81" s="3373">
        <f>G81/G78</f>
        <v>0.1439972202603495</v>
      </c>
      <c r="I81" s="3372">
        <v>38849579</v>
      </c>
      <c r="J81" s="3373">
        <f>I81/I78</f>
        <v>0.16391955126045016</v>
      </c>
      <c r="K81" s="3372">
        <v>40787052</v>
      </c>
      <c r="L81" s="3373">
        <f>K81/K78</f>
        <v>0.15387479049172487</v>
      </c>
    </row>
    <row r="82" spans="2:12" ht="26.25" thickBot="1" x14ac:dyDescent="0.3">
      <c r="B82" s="3362" t="s">
        <v>5799</v>
      </c>
      <c r="C82" s="3372">
        <v>29122365</v>
      </c>
      <c r="D82" s="3373">
        <f>C82/C78</f>
        <v>0.15491817494995253</v>
      </c>
      <c r="E82" s="3372">
        <v>34332370</v>
      </c>
      <c r="F82" s="3373">
        <f>E82/E78</f>
        <v>0.16503487619667143</v>
      </c>
      <c r="G82" s="3372">
        <v>32937108</v>
      </c>
      <c r="H82" s="3373">
        <f>G82/G78</f>
        <v>0.1524418666002664</v>
      </c>
      <c r="I82" s="3372">
        <v>36723639</v>
      </c>
      <c r="J82" s="3373">
        <f>I82/I78</f>
        <v>0.15494948929899</v>
      </c>
      <c r="K82" s="3372">
        <v>43906019</v>
      </c>
      <c r="L82" s="3373">
        <f>K82/K78</f>
        <v>0.16564152454437481</v>
      </c>
    </row>
    <row r="83" spans="2:12" ht="26.25" thickBot="1" x14ac:dyDescent="0.3">
      <c r="B83" s="3362" t="s">
        <v>5801</v>
      </c>
      <c r="C83" s="3372">
        <v>12426749</v>
      </c>
      <c r="D83" s="3373">
        <f>C83/C78</f>
        <v>6.6104839893365366E-2</v>
      </c>
      <c r="E83" s="3372">
        <v>14566023</v>
      </c>
      <c r="F83" s="3373">
        <f>E83/E78</f>
        <v>7.0018521951233439E-2</v>
      </c>
      <c r="G83" s="3372">
        <v>18097995</v>
      </c>
      <c r="H83" s="3373">
        <f>G83/G78</f>
        <v>8.3762428065095706E-2</v>
      </c>
      <c r="I83" s="3372">
        <v>19429717</v>
      </c>
      <c r="J83" s="3373">
        <f>I83/I78</f>
        <v>8.1980566424092779E-2</v>
      </c>
      <c r="K83" s="3372">
        <v>20794976</v>
      </c>
      <c r="L83" s="3373">
        <f>K83/K78</f>
        <v>7.8451920851755771E-2</v>
      </c>
    </row>
    <row r="84" spans="2:12" s="3355" customFormat="1" ht="13.5" thickBot="1" x14ac:dyDescent="0.3">
      <c r="B84" s="3366" t="s">
        <v>5803</v>
      </c>
      <c r="C84" s="3374">
        <v>22726225</v>
      </c>
      <c r="D84" s="3375">
        <f>C84/C78</f>
        <v>0.12089352291621867</v>
      </c>
      <c r="E84" s="3374">
        <v>25587056</v>
      </c>
      <c r="F84" s="3375">
        <f>E84/E78</f>
        <v>0.12299636230173736</v>
      </c>
      <c r="G84" s="3374">
        <v>29048137</v>
      </c>
      <c r="H84" s="3375">
        <f>G84/G78</f>
        <v>0.13444265433201552</v>
      </c>
      <c r="I84" s="3374">
        <v>30734233</v>
      </c>
      <c r="J84" s="3375">
        <f>I84/I78</f>
        <v>0.12967815382746153</v>
      </c>
      <c r="K84" s="3374">
        <v>34700254</v>
      </c>
      <c r="L84" s="3375">
        <f>K84/K78</f>
        <v>0.13091150383360969</v>
      </c>
    </row>
    <row r="85" spans="2:12" ht="13.5" thickBot="1" x14ac:dyDescent="0.3">
      <c r="B85" s="3362" t="s">
        <v>5805</v>
      </c>
      <c r="C85" s="3372">
        <v>6916983</v>
      </c>
      <c r="D85" s="3373">
        <f>C85/C78</f>
        <v>3.6795307747837354E-2</v>
      </c>
      <c r="E85" s="3372">
        <v>8286263</v>
      </c>
      <c r="F85" s="3373">
        <f>E85/E78</f>
        <v>3.9831866787467897E-2</v>
      </c>
      <c r="G85" s="3372">
        <v>8699100</v>
      </c>
      <c r="H85" s="3373">
        <f>G85/G78</f>
        <v>4.0261793529121542E-2</v>
      </c>
      <c r="I85" s="3372">
        <v>10085518</v>
      </c>
      <c r="J85" s="3373">
        <f>I85/I78</f>
        <v>4.2554221367217204E-2</v>
      </c>
      <c r="K85" s="3372">
        <v>11360992</v>
      </c>
      <c r="L85" s="3373">
        <f>K85/K78</f>
        <v>4.2860912423338719E-2</v>
      </c>
    </row>
    <row r="86" spans="2:12" ht="26.25" thickBot="1" x14ac:dyDescent="0.3">
      <c r="B86" s="3362" t="s">
        <v>5807</v>
      </c>
      <c r="C86" s="3372">
        <v>11154263</v>
      </c>
      <c r="D86" s="3373">
        <f>C86/C78</f>
        <v>5.933577396175696E-2</v>
      </c>
      <c r="E86" s="3372">
        <v>12395191</v>
      </c>
      <c r="F86" s="3373">
        <f>E86/E78</f>
        <v>5.9583384779993219E-2</v>
      </c>
      <c r="G86" s="3372">
        <v>13256389</v>
      </c>
      <c r="H86" s="3373">
        <f>G86/G78</f>
        <v>6.1354162713351729E-2</v>
      </c>
      <c r="I86" s="3372">
        <v>14135385</v>
      </c>
      <c r="J86" s="3373">
        <f>I86/I78</f>
        <v>5.9641983921980168E-2</v>
      </c>
      <c r="K86" s="3372">
        <v>16389368</v>
      </c>
      <c r="L86" s="3373">
        <f>K86/K78</f>
        <v>6.1831155811206455E-2</v>
      </c>
    </row>
    <row r="87" spans="2:12" ht="26.25" thickBot="1" x14ac:dyDescent="0.3">
      <c r="B87" s="3362" t="s">
        <v>5809</v>
      </c>
      <c r="C87" s="3372">
        <v>3885862</v>
      </c>
      <c r="D87" s="3373">
        <f>C87/C78</f>
        <v>2.0671076993484985E-2</v>
      </c>
      <c r="E87" s="3372">
        <v>4482478</v>
      </c>
      <c r="F87" s="3373">
        <f>E87/E78</f>
        <v>2.1547163851033394E-2</v>
      </c>
      <c r="G87" s="3372">
        <v>5134762</v>
      </c>
      <c r="H87" s="3373">
        <f>G87/G78</f>
        <v>2.3765070807920268E-2</v>
      </c>
      <c r="I87" s="3372">
        <v>6483327</v>
      </c>
      <c r="J87" s="3373">
        <f>I87/I78</f>
        <v>2.7355355704491945E-2</v>
      </c>
      <c r="K87" s="3372">
        <v>7626325</v>
      </c>
      <c r="L87" s="3373">
        <f>K87/K78</f>
        <v>2.8771365030176823E-2</v>
      </c>
    </row>
    <row r="88" spans="2:12" ht="26.25" thickBot="1" x14ac:dyDescent="0.3">
      <c r="B88" s="3362" t="s">
        <v>5811</v>
      </c>
      <c r="C88" s="3372">
        <v>7827386</v>
      </c>
      <c r="D88" s="3373">
        <f>C88/C78</f>
        <v>4.1638251349051116E-2</v>
      </c>
      <c r="E88" s="3372">
        <v>8399287</v>
      </c>
      <c r="F88" s="3373">
        <f>E88/E78</f>
        <v>4.0375170434936818E-2</v>
      </c>
      <c r="G88" s="3372">
        <v>9351393</v>
      </c>
      <c r="H88" s="3373">
        <f>G88/G78</f>
        <v>4.3280782399980747E-2</v>
      </c>
      <c r="I88" s="3372">
        <v>10909806</v>
      </c>
      <c r="J88" s="3373">
        <f>I88/I78</f>
        <v>4.6032172030965039E-2</v>
      </c>
      <c r="K88" s="3372">
        <v>12195202</v>
      </c>
      <c r="L88" s="3373">
        <f>K88/K78</f>
        <v>4.6008084937206643E-2</v>
      </c>
    </row>
    <row r="90" spans="2:12" ht="13.5" thickBot="1" x14ac:dyDescent="0.3">
      <c r="I90" s="3353"/>
      <c r="J90" s="3357"/>
      <c r="K90" s="3353"/>
      <c r="L90" s="3357"/>
    </row>
    <row r="91" spans="2:12" ht="13.5" thickBot="1" x14ac:dyDescent="0.3">
      <c r="B91" s="3381" t="s">
        <v>3825</v>
      </c>
      <c r="C91" s="3382">
        <v>2014</v>
      </c>
      <c r="D91" s="3382">
        <v>2015</v>
      </c>
      <c r="E91" s="3382">
        <v>2016</v>
      </c>
      <c r="F91" s="3382">
        <v>2017</v>
      </c>
      <c r="G91" s="3383">
        <v>2018</v>
      </c>
    </row>
    <row r="92" spans="2:12" ht="13.5" thickBot="1" x14ac:dyDescent="0.3">
      <c r="B92" s="3369" t="s">
        <v>5813</v>
      </c>
      <c r="C92" s="3376">
        <v>826239205</v>
      </c>
      <c r="D92" s="3376">
        <v>902054748</v>
      </c>
      <c r="E92" s="3376">
        <v>893038795</v>
      </c>
      <c r="F92" s="3376">
        <v>989437816</v>
      </c>
      <c r="G92" s="3376">
        <v>1146950315</v>
      </c>
      <c r="H92" s="3351"/>
    </row>
    <row r="93" spans="2:12" ht="13.5" thickBot="1" x14ac:dyDescent="0.3">
      <c r="B93" s="3369" t="s">
        <v>5814</v>
      </c>
      <c r="C93" s="3377">
        <v>187985464</v>
      </c>
      <c r="D93" s="3377">
        <v>208030998</v>
      </c>
      <c r="E93" s="3377">
        <v>216063400</v>
      </c>
      <c r="F93" s="3377">
        <v>237003937</v>
      </c>
      <c r="G93" s="3377">
        <v>265066499</v>
      </c>
    </row>
    <row r="94" spans="2:12" x14ac:dyDescent="0.25">
      <c r="I94" s="3353"/>
    </row>
    <row r="100" spans="2:7" x14ac:dyDescent="0.25">
      <c r="B100" s="1890" t="s">
        <v>5820</v>
      </c>
    </row>
    <row r="101" spans="2:7" ht="13.5" thickBot="1" x14ac:dyDescent="0.3"/>
    <row r="102" spans="2:7" ht="13.5" thickBot="1" x14ac:dyDescent="0.3">
      <c r="B102" s="3378" t="s">
        <v>3825</v>
      </c>
      <c r="C102" s="3379">
        <v>2014</v>
      </c>
      <c r="D102" s="3379">
        <v>2015</v>
      </c>
      <c r="E102" s="3379">
        <v>2016</v>
      </c>
      <c r="F102" s="3379">
        <v>2017</v>
      </c>
      <c r="G102" s="3380">
        <v>2018</v>
      </c>
    </row>
    <row r="103" spans="2:7" ht="25.5" customHeight="1" thickBot="1" x14ac:dyDescent="0.3">
      <c r="B103" s="3362" t="s">
        <v>5425</v>
      </c>
      <c r="C103" s="3363">
        <v>22198906</v>
      </c>
      <c r="D103" s="3363">
        <v>23299794</v>
      </c>
      <c r="E103" s="3363">
        <v>24086109</v>
      </c>
      <c r="F103" s="3363">
        <v>24753490</v>
      </c>
      <c r="G103" s="3363">
        <v>26473570</v>
      </c>
    </row>
    <row r="104" spans="2:7" ht="25.5" customHeight="1" thickBot="1" x14ac:dyDescent="0.3">
      <c r="B104" s="3362" t="s">
        <v>5431</v>
      </c>
      <c r="C104" s="3363">
        <v>40732119</v>
      </c>
      <c r="D104" s="3363">
        <v>43325194</v>
      </c>
      <c r="E104" s="3363">
        <v>44339878</v>
      </c>
      <c r="F104" s="3363">
        <v>44899243</v>
      </c>
      <c r="G104" s="3363">
        <v>50832741</v>
      </c>
    </row>
    <row r="105" spans="2:7" ht="25.5" customHeight="1" thickBot="1" x14ac:dyDescent="0.3">
      <c r="B105" s="3362" t="s">
        <v>5433</v>
      </c>
      <c r="C105" s="3363">
        <v>30994606</v>
      </c>
      <c r="D105" s="3363">
        <v>33357342</v>
      </c>
      <c r="E105" s="3363">
        <v>31112529</v>
      </c>
      <c r="F105" s="3363">
        <v>38849579</v>
      </c>
      <c r="G105" s="3363">
        <v>40787052</v>
      </c>
    </row>
    <row r="106" spans="2:7" ht="25.5" customHeight="1" thickBot="1" x14ac:dyDescent="0.3">
      <c r="B106" s="3362" t="s">
        <v>5434</v>
      </c>
      <c r="C106" s="3363">
        <v>29122365</v>
      </c>
      <c r="D106" s="3363">
        <v>34332370</v>
      </c>
      <c r="E106" s="3363">
        <v>32937108</v>
      </c>
      <c r="F106" s="3363">
        <v>36723639</v>
      </c>
      <c r="G106" s="3363">
        <v>43906019</v>
      </c>
    </row>
    <row r="107" spans="2:7" ht="25.5" customHeight="1" thickBot="1" x14ac:dyDescent="0.3">
      <c r="B107" s="3362" t="s">
        <v>5435</v>
      </c>
      <c r="C107" s="3363">
        <v>12426749</v>
      </c>
      <c r="D107" s="3363">
        <v>14566023</v>
      </c>
      <c r="E107" s="3363">
        <v>18097995</v>
      </c>
      <c r="F107" s="3363">
        <v>19429717</v>
      </c>
      <c r="G107" s="3363">
        <v>20794976</v>
      </c>
    </row>
    <row r="108" spans="2:7" ht="25.5" customHeight="1" thickBot="1" x14ac:dyDescent="0.3">
      <c r="B108" s="3362" t="s">
        <v>5436</v>
      </c>
      <c r="C108" s="3363">
        <v>22726225</v>
      </c>
      <c r="D108" s="3363">
        <v>25587056</v>
      </c>
      <c r="E108" s="3363">
        <v>29048137</v>
      </c>
      <c r="F108" s="3363">
        <v>30734233</v>
      </c>
      <c r="G108" s="3363">
        <v>34700254</v>
      </c>
    </row>
    <row r="109" spans="2:7" ht="25.5" customHeight="1" thickBot="1" x14ac:dyDescent="0.3">
      <c r="B109" s="3362" t="s">
        <v>5437</v>
      </c>
      <c r="C109" s="3363">
        <v>6916983</v>
      </c>
      <c r="D109" s="3363">
        <v>8286263</v>
      </c>
      <c r="E109" s="3363">
        <v>8699100</v>
      </c>
      <c r="F109" s="3363">
        <v>10085518</v>
      </c>
      <c r="G109" s="3363">
        <v>11360992</v>
      </c>
    </row>
    <row r="110" spans="2:7" ht="25.5" customHeight="1" thickBot="1" x14ac:dyDescent="0.3">
      <c r="B110" s="3362" t="s">
        <v>5438</v>
      </c>
      <c r="C110" s="3363">
        <v>11154263</v>
      </c>
      <c r="D110" s="3363">
        <v>12395191</v>
      </c>
      <c r="E110" s="3363">
        <v>13256389</v>
      </c>
      <c r="F110" s="3363">
        <v>14135385</v>
      </c>
      <c r="G110" s="3363">
        <v>16389368</v>
      </c>
    </row>
    <row r="111" spans="2:7" ht="25.5" customHeight="1" thickBot="1" x14ac:dyDescent="0.3">
      <c r="B111" s="3362" t="s">
        <v>5439</v>
      </c>
      <c r="C111" s="3363">
        <v>3885862</v>
      </c>
      <c r="D111" s="3363">
        <v>4482478</v>
      </c>
      <c r="E111" s="3363">
        <v>5134762</v>
      </c>
      <c r="F111" s="3363">
        <v>6483327</v>
      </c>
      <c r="G111" s="3363">
        <v>7626325</v>
      </c>
    </row>
    <row r="112" spans="2:7" ht="25.5" customHeight="1" thickBot="1" x14ac:dyDescent="0.3">
      <c r="B112" s="3362" t="s">
        <v>5440</v>
      </c>
      <c r="C112" s="3363">
        <v>7827386</v>
      </c>
      <c r="D112" s="3363">
        <v>8399287</v>
      </c>
      <c r="E112" s="3363">
        <v>9351393</v>
      </c>
      <c r="F112" s="3363">
        <v>10909806</v>
      </c>
      <c r="G112" s="3363">
        <v>12195202</v>
      </c>
    </row>
  </sheetData>
  <mergeCells count="53">
    <mergeCell ref="B33:L33"/>
    <mergeCell ref="C77:D77"/>
    <mergeCell ref="E77:F77"/>
    <mergeCell ref="G77:H77"/>
    <mergeCell ref="I77:J77"/>
    <mergeCell ref="K77:L77"/>
    <mergeCell ref="B74:L74"/>
    <mergeCell ref="B75:D75"/>
    <mergeCell ref="C76:D76"/>
    <mergeCell ref="E76:F76"/>
    <mergeCell ref="G76:H76"/>
    <mergeCell ref="I76:J76"/>
    <mergeCell ref="K76:L76"/>
    <mergeCell ref="C34:D34"/>
    <mergeCell ref="E34:F34"/>
    <mergeCell ref="G34:H34"/>
    <mergeCell ref="I34:J34"/>
    <mergeCell ref="K34:L34"/>
    <mergeCell ref="C35:D35"/>
    <mergeCell ref="E35:F35"/>
    <mergeCell ref="G35:H35"/>
    <mergeCell ref="I35:J35"/>
    <mergeCell ref="K35:L35"/>
    <mergeCell ref="C31:D31"/>
    <mergeCell ref="C20:D20"/>
    <mergeCell ref="C21:D21"/>
    <mergeCell ref="C22:D22"/>
    <mergeCell ref="C23:D23"/>
    <mergeCell ref="C24:D24"/>
    <mergeCell ref="C25:D25"/>
    <mergeCell ref="C26:D26"/>
    <mergeCell ref="C27:D27"/>
    <mergeCell ref="C28:D28"/>
    <mergeCell ref="C29:D29"/>
    <mergeCell ref="C30:D30"/>
    <mergeCell ref="C19:D19"/>
    <mergeCell ref="C8:D8"/>
    <mergeCell ref="C9:D9"/>
    <mergeCell ref="C10:D10"/>
    <mergeCell ref="C11:D11"/>
    <mergeCell ref="C12:D12"/>
    <mergeCell ref="C13:D13"/>
    <mergeCell ref="C14:D14"/>
    <mergeCell ref="C15:D15"/>
    <mergeCell ref="C16:D16"/>
    <mergeCell ref="C17:D17"/>
    <mergeCell ref="C18:D18"/>
    <mergeCell ref="C7:D7"/>
    <mergeCell ref="B2:D2"/>
    <mergeCell ref="C3:D3"/>
    <mergeCell ref="C4:D4"/>
    <mergeCell ref="C5:D5"/>
    <mergeCell ref="C6:D6"/>
  </mergeCells>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009900"/>
  </sheetPr>
  <dimension ref="A1:P184"/>
  <sheetViews>
    <sheetView topLeftCell="A130" zoomScale="85" zoomScaleNormal="85" workbookViewId="0">
      <selection activeCell="D143" sqref="D143"/>
    </sheetView>
  </sheetViews>
  <sheetFormatPr baseColWidth="10" defaultColWidth="11.42578125" defaultRowHeight="16.5" x14ac:dyDescent="0.25"/>
  <cols>
    <col min="1" max="1" width="4.5703125" style="711" customWidth="1"/>
    <col min="2" max="2" width="41.85546875" style="21" customWidth="1"/>
    <col min="3" max="4" width="10.7109375" style="2171" customWidth="1"/>
    <col min="5" max="5" width="11.5703125" style="2171" customWidth="1"/>
    <col min="6" max="7" width="10.7109375" style="2171" customWidth="1"/>
    <col min="8" max="14" width="10.7109375" style="21" customWidth="1"/>
    <col min="15" max="16384" width="11.42578125" style="21"/>
  </cols>
  <sheetData>
    <row r="1" spans="1:8" x14ac:dyDescent="0.25">
      <c r="A1" s="2590" t="s">
        <v>4007</v>
      </c>
    </row>
    <row r="2" spans="1:8" x14ac:dyDescent="0.25">
      <c r="B2" s="5239" t="s">
        <v>5424</v>
      </c>
      <c r="C2" s="5239"/>
      <c r="D2" s="5239"/>
      <c r="E2" s="5239"/>
      <c r="F2" s="5239"/>
      <c r="G2" s="5239"/>
    </row>
    <row r="4" spans="1:8" ht="17.25" thickBot="1" x14ac:dyDescent="0.3">
      <c r="B4" s="5235" t="s">
        <v>5425</v>
      </c>
      <c r="C4" s="5236"/>
      <c r="D4" s="5236"/>
      <c r="E4" s="5236"/>
    </row>
    <row r="5" spans="1:8" ht="17.25" thickBot="1" x14ac:dyDescent="0.3">
      <c r="B5" s="3387" t="s">
        <v>1898</v>
      </c>
      <c r="C5" s="3388">
        <v>2014</v>
      </c>
      <c r="D5" s="3388">
        <v>2015</v>
      </c>
      <c r="E5" s="3379">
        <v>2016</v>
      </c>
      <c r="F5" s="3379">
        <v>2017</v>
      </c>
      <c r="G5" s="3380">
        <v>2018</v>
      </c>
    </row>
    <row r="6" spans="1:8" ht="28.5" customHeight="1" thickBot="1" x14ac:dyDescent="0.3">
      <c r="B6" s="3442" t="s">
        <v>5425</v>
      </c>
      <c r="C6" s="3443">
        <f>SUM(C11,C10,C9,C8,C7)</f>
        <v>19531786</v>
      </c>
      <c r="D6" s="3443">
        <f>SUM(D11,D10,D9,D8,D7)</f>
        <v>21760254</v>
      </c>
      <c r="E6" s="3443">
        <f>SUM(E11,E10,E9,E8,E7)</f>
        <v>23148935</v>
      </c>
      <c r="F6" s="3443">
        <f>SUM(F11,F10,F9,F8,F7)</f>
        <v>23776880</v>
      </c>
      <c r="G6" s="3443">
        <f>SUM(G11,G10,G9,G8,G7)</f>
        <v>23918058</v>
      </c>
    </row>
    <row r="7" spans="1:8" ht="17.25" thickBot="1" x14ac:dyDescent="0.3">
      <c r="B7" s="3389" t="s">
        <v>5426</v>
      </c>
      <c r="C7" s="3390">
        <v>9341512</v>
      </c>
      <c r="D7" s="3390">
        <v>8533921</v>
      </c>
      <c r="E7" s="3390">
        <v>8523458</v>
      </c>
      <c r="F7" s="3390">
        <v>9338691</v>
      </c>
      <c r="G7" s="3410">
        <v>10390658</v>
      </c>
    </row>
    <row r="8" spans="1:8" ht="17.25" thickBot="1" x14ac:dyDescent="0.3">
      <c r="B8" s="3389" t="s">
        <v>5427</v>
      </c>
      <c r="C8" s="3391">
        <v>1915735</v>
      </c>
      <c r="D8" s="3391">
        <v>1850293</v>
      </c>
      <c r="E8" s="3391">
        <v>1813316</v>
      </c>
      <c r="F8" s="3391">
        <v>1846313</v>
      </c>
      <c r="G8" s="3411">
        <v>1873252</v>
      </c>
    </row>
    <row r="9" spans="1:8" ht="17.25" thickBot="1" x14ac:dyDescent="0.3">
      <c r="B9" s="3389" t="s">
        <v>5428</v>
      </c>
      <c r="C9" s="3391">
        <v>7795335</v>
      </c>
      <c r="D9" s="3391">
        <v>10713858</v>
      </c>
      <c r="E9" s="3391">
        <v>10105803</v>
      </c>
      <c r="F9" s="3391">
        <v>11753625</v>
      </c>
      <c r="G9" s="3411">
        <v>11158643</v>
      </c>
    </row>
    <row r="10" spans="1:8" ht="17.25" thickBot="1" x14ac:dyDescent="0.3">
      <c r="B10" s="3389" t="s">
        <v>5429</v>
      </c>
      <c r="C10" s="3391">
        <v>275038</v>
      </c>
      <c r="D10" s="3392"/>
      <c r="E10" s="3391">
        <v>2496545</v>
      </c>
      <c r="F10" s="3391">
        <v>539735</v>
      </c>
      <c r="G10" s="3411">
        <v>411589</v>
      </c>
    </row>
    <row r="11" spans="1:8" ht="17.25" thickBot="1" x14ac:dyDescent="0.3">
      <c r="B11" s="3389" t="s">
        <v>5430</v>
      </c>
      <c r="C11" s="3391">
        <v>204166</v>
      </c>
      <c r="D11" s="3391">
        <v>662182</v>
      </c>
      <c r="E11" s="3391">
        <v>209813</v>
      </c>
      <c r="F11" s="3391">
        <v>298516</v>
      </c>
      <c r="G11" s="3411">
        <v>83916</v>
      </c>
      <c r="H11" s="1449"/>
    </row>
    <row r="12" spans="1:8" x14ac:dyDescent="0.25">
      <c r="B12" s="3393"/>
      <c r="C12" s="2172"/>
      <c r="D12" s="2172"/>
      <c r="E12" s="2172"/>
      <c r="F12" s="2174"/>
      <c r="G12" s="2174"/>
    </row>
    <row r="13" spans="1:8" ht="17.25" thickBot="1" x14ac:dyDescent="0.3">
      <c r="B13" s="5235" t="s">
        <v>5431</v>
      </c>
      <c r="C13" s="5236"/>
      <c r="D13" s="5236"/>
      <c r="E13" s="5236"/>
    </row>
    <row r="14" spans="1:8" ht="17.25" thickBot="1" x14ac:dyDescent="0.3">
      <c r="B14" s="3387" t="s">
        <v>1898</v>
      </c>
      <c r="C14" s="3394">
        <v>2014</v>
      </c>
      <c r="D14" s="3394">
        <v>2015</v>
      </c>
      <c r="E14" s="3232">
        <v>2016</v>
      </c>
      <c r="F14" s="3232">
        <v>2017</v>
      </c>
      <c r="G14" s="3233">
        <v>2018</v>
      </c>
    </row>
    <row r="15" spans="1:8" ht="17.25" thickBot="1" x14ac:dyDescent="0.3">
      <c r="B15" s="3442" t="s">
        <v>5431</v>
      </c>
      <c r="C15" s="3443">
        <f>SUM(C20,C19,C18,C17,C16)</f>
        <v>36670871</v>
      </c>
      <c r="D15" s="3443">
        <f>SUM(D20,D19,D18,D17,D16)</f>
        <v>40235717</v>
      </c>
      <c r="E15" s="3443">
        <f>SUM(E20,E19,E18,E17,E16)</f>
        <v>42676421</v>
      </c>
      <c r="F15" s="3443">
        <f>SUM(F20,F19,F18,F17,F16)</f>
        <v>43953916</v>
      </c>
      <c r="G15" s="3443">
        <f>SUM(G20,G19,G18,G17,G16)</f>
        <v>49863684</v>
      </c>
    </row>
    <row r="16" spans="1:8" ht="17.25" thickBot="1" x14ac:dyDescent="0.3">
      <c r="B16" s="3389" t="s">
        <v>5426</v>
      </c>
      <c r="C16" s="3390">
        <v>16180328</v>
      </c>
      <c r="D16" s="3390">
        <v>19419965</v>
      </c>
      <c r="E16" s="3390">
        <v>23243119</v>
      </c>
      <c r="F16" s="3390">
        <v>27970061</v>
      </c>
      <c r="G16" s="3410">
        <v>33252557</v>
      </c>
    </row>
    <row r="17" spans="2:14" ht="17.25" thickBot="1" x14ac:dyDescent="0.3">
      <c r="B17" s="3389" t="s">
        <v>5427</v>
      </c>
      <c r="C17" s="3391">
        <v>663024</v>
      </c>
      <c r="D17" s="3391">
        <v>1000194</v>
      </c>
      <c r="E17" s="3391">
        <v>591323</v>
      </c>
      <c r="F17" s="3391">
        <v>603240</v>
      </c>
      <c r="G17" s="3411">
        <v>643881</v>
      </c>
    </row>
    <row r="18" spans="2:14" ht="17.25" thickBot="1" x14ac:dyDescent="0.3">
      <c r="B18" s="3389" t="s">
        <v>5428</v>
      </c>
      <c r="C18" s="3391">
        <v>17667450</v>
      </c>
      <c r="D18" s="3391">
        <v>18639451</v>
      </c>
      <c r="E18" s="3391">
        <v>16918515</v>
      </c>
      <c r="F18" s="3391">
        <v>13563943</v>
      </c>
      <c r="G18" s="3411">
        <v>14240676</v>
      </c>
    </row>
    <row r="19" spans="2:14" ht="17.25" thickBot="1" x14ac:dyDescent="0.3">
      <c r="B19" s="3389" t="s">
        <v>5432</v>
      </c>
      <c r="C19" s="3391">
        <v>1014110</v>
      </c>
      <c r="D19" s="3391">
        <v>634873</v>
      </c>
      <c r="E19" s="3391">
        <v>792906</v>
      </c>
      <c r="F19" s="3391">
        <v>648451</v>
      </c>
      <c r="G19" s="3411">
        <v>876508</v>
      </c>
    </row>
    <row r="20" spans="2:14" ht="17.25" thickBot="1" x14ac:dyDescent="0.3">
      <c r="B20" s="3389" t="s">
        <v>5430</v>
      </c>
      <c r="C20" s="3391">
        <v>1145959</v>
      </c>
      <c r="D20" s="3391">
        <v>541234</v>
      </c>
      <c r="E20" s="3391">
        <v>1130558</v>
      </c>
      <c r="F20" s="3391">
        <v>1168221</v>
      </c>
      <c r="G20" s="3411">
        <v>850062</v>
      </c>
    </row>
    <row r="21" spans="2:14" x14ac:dyDescent="0.25">
      <c r="B21" s="3393"/>
      <c r="C21" s="1429"/>
      <c r="D21" s="1429"/>
      <c r="E21" s="1429"/>
      <c r="G21" s="3395"/>
    </row>
    <row r="22" spans="2:14" ht="17.25" customHeight="1" thickBot="1" x14ac:dyDescent="0.3">
      <c r="B22" s="5235" t="s">
        <v>5433</v>
      </c>
      <c r="C22" s="5235"/>
      <c r="D22" s="5235"/>
      <c r="E22" s="5235"/>
      <c r="F22" s="5235"/>
      <c r="G22" s="5235"/>
    </row>
    <row r="23" spans="2:14" ht="17.25" thickBot="1" x14ac:dyDescent="0.3">
      <c r="B23" s="3387" t="s">
        <v>1898</v>
      </c>
      <c r="C23" s="3394">
        <v>2014</v>
      </c>
      <c r="D23" s="3394">
        <v>2015</v>
      </c>
      <c r="E23" s="3394">
        <v>2016</v>
      </c>
      <c r="F23" s="3232">
        <v>2017</v>
      </c>
      <c r="G23" s="3233">
        <v>2018</v>
      </c>
      <c r="J23" s="3396"/>
      <c r="K23" s="3396"/>
      <c r="L23" s="3396"/>
      <c r="M23" s="3396"/>
      <c r="N23" s="3396"/>
    </row>
    <row r="24" spans="2:14" ht="26.25" thickBot="1" x14ac:dyDescent="0.3">
      <c r="B24" s="3442" t="s">
        <v>5433</v>
      </c>
      <c r="C24" s="3443">
        <f>SUM(C29,C28,C27,C26,C25)</f>
        <v>29830840</v>
      </c>
      <c r="D24" s="3443">
        <f>SUM(D29,D28,D27,D26,D25)</f>
        <v>32545414</v>
      </c>
      <c r="E24" s="3443">
        <f>SUM(E29,E28,E27,E26,E25)</f>
        <v>30474452</v>
      </c>
      <c r="F24" s="3443">
        <f>SUM(F29,F28,F27,F26,F25)</f>
        <v>36996407</v>
      </c>
      <c r="G24" s="3443">
        <f>SUM(G29,G28,G27,G26,G25)</f>
        <v>39983195</v>
      </c>
      <c r="J24" s="3350"/>
      <c r="K24" s="3350"/>
      <c r="L24" s="3350"/>
      <c r="M24" s="3350"/>
      <c r="N24" s="3350"/>
    </row>
    <row r="25" spans="2:14" ht="17.25" thickBot="1" x14ac:dyDescent="0.3">
      <c r="B25" s="3389" t="s">
        <v>5426</v>
      </c>
      <c r="C25" s="3390">
        <v>15527161</v>
      </c>
      <c r="D25" s="3390">
        <v>16765570</v>
      </c>
      <c r="E25" s="3390">
        <v>17859874</v>
      </c>
      <c r="F25" s="3390">
        <v>19400775</v>
      </c>
      <c r="G25" s="3410">
        <v>20783896</v>
      </c>
      <c r="J25" s="3350"/>
      <c r="K25" s="3350"/>
      <c r="L25" s="3350"/>
      <c r="M25" s="3350"/>
      <c r="N25" s="3350"/>
    </row>
    <row r="26" spans="2:14" ht="17.25" thickBot="1" x14ac:dyDescent="0.3">
      <c r="B26" s="3389" t="s">
        <v>5427</v>
      </c>
      <c r="C26" s="3391">
        <v>72609</v>
      </c>
      <c r="D26" s="3391">
        <v>124360</v>
      </c>
      <c r="E26" s="3391">
        <v>70826</v>
      </c>
      <c r="F26" s="3391">
        <v>180710</v>
      </c>
      <c r="G26" s="3411">
        <v>153131</v>
      </c>
      <c r="J26" s="3397"/>
      <c r="K26" s="3397"/>
      <c r="L26" s="3350"/>
      <c r="M26" s="3350"/>
      <c r="N26" s="3229"/>
    </row>
    <row r="27" spans="2:14" ht="17.25" thickBot="1" x14ac:dyDescent="0.3">
      <c r="B27" s="3389" t="s">
        <v>5428</v>
      </c>
      <c r="C27" s="3391">
        <v>12039479</v>
      </c>
      <c r="D27" s="3391">
        <v>12705429</v>
      </c>
      <c r="E27" s="3391">
        <v>12126483</v>
      </c>
      <c r="F27" s="3391">
        <v>15133951</v>
      </c>
      <c r="G27" s="3411">
        <v>14896435</v>
      </c>
      <c r="J27" s="3350"/>
      <c r="K27" s="3350"/>
      <c r="L27" s="3350"/>
      <c r="M27" s="3350"/>
      <c r="N27" s="3350"/>
    </row>
    <row r="28" spans="2:14" ht="17.25" thickBot="1" x14ac:dyDescent="0.3">
      <c r="B28" s="3389" t="s">
        <v>5432</v>
      </c>
      <c r="C28" s="3391">
        <v>24848</v>
      </c>
      <c r="D28" s="3391">
        <v>8664</v>
      </c>
      <c r="E28" s="3392"/>
      <c r="F28" s="3391">
        <v>8240</v>
      </c>
      <c r="G28" s="3411">
        <v>1229143</v>
      </c>
      <c r="J28" s="3398"/>
      <c r="K28" s="3398"/>
      <c r="L28" s="3398"/>
      <c r="M28" s="3398"/>
      <c r="N28" s="3398"/>
    </row>
    <row r="29" spans="2:14" ht="15.75" customHeight="1" thickBot="1" x14ac:dyDescent="0.3">
      <c r="B29" s="3389" t="s">
        <v>5430</v>
      </c>
      <c r="C29" s="3391">
        <v>2166743</v>
      </c>
      <c r="D29" s="3391">
        <v>2941391</v>
      </c>
      <c r="E29" s="3391">
        <v>417269</v>
      </c>
      <c r="F29" s="3391">
        <v>2272731</v>
      </c>
      <c r="G29" s="3411">
        <v>2920590</v>
      </c>
    </row>
    <row r="30" spans="2:14" x14ac:dyDescent="0.25">
      <c r="B30" s="3393"/>
      <c r="C30" s="1429"/>
      <c r="D30" s="1429"/>
      <c r="E30" s="1429"/>
    </row>
    <row r="31" spans="2:14" ht="17.25" thickBot="1" x14ac:dyDescent="0.3">
      <c r="B31" s="5235" t="s">
        <v>5434</v>
      </c>
      <c r="C31" s="5236"/>
      <c r="D31" s="5236"/>
      <c r="E31" s="5236"/>
    </row>
    <row r="32" spans="2:14" ht="17.25" thickBot="1" x14ac:dyDescent="0.3">
      <c r="B32" s="3387" t="s">
        <v>1898</v>
      </c>
      <c r="C32" s="3394">
        <v>2014</v>
      </c>
      <c r="D32" s="3394">
        <v>2015</v>
      </c>
      <c r="E32" s="3232">
        <v>2016</v>
      </c>
      <c r="F32" s="3232">
        <v>2017</v>
      </c>
      <c r="G32" s="3233">
        <v>2018</v>
      </c>
    </row>
    <row r="33" spans="2:7" ht="26.25" thickBot="1" x14ac:dyDescent="0.3">
      <c r="B33" s="3442" t="s">
        <v>5434</v>
      </c>
      <c r="C33" s="3443">
        <f>SUM(C38,C37,C36,C35,C34)</f>
        <v>27109575</v>
      </c>
      <c r="D33" s="3443">
        <f>SUM(D38,D37,D36,D35,D34)</f>
        <v>32029419</v>
      </c>
      <c r="E33" s="3443">
        <f>SUM(E38,E37,E36,E35,E34)</f>
        <v>31747645</v>
      </c>
      <c r="F33" s="3443">
        <f>SUM(F38,F37,F36,F35,F34)</f>
        <v>33117681</v>
      </c>
      <c r="G33" s="3443">
        <f>SUM(G38,G37,G36,G35,G34)</f>
        <v>42868233</v>
      </c>
    </row>
    <row r="34" spans="2:7" ht="17.25" thickBot="1" x14ac:dyDescent="0.3">
      <c r="B34" s="3389" t="s">
        <v>5426</v>
      </c>
      <c r="C34" s="3390">
        <v>15790289</v>
      </c>
      <c r="D34" s="3390">
        <v>16440398</v>
      </c>
      <c r="E34" s="3390">
        <v>17508863</v>
      </c>
      <c r="F34" s="3390">
        <v>18848825</v>
      </c>
      <c r="G34" s="3410">
        <v>21610256</v>
      </c>
    </row>
    <row r="35" spans="2:7" ht="17.25" thickBot="1" x14ac:dyDescent="0.3">
      <c r="B35" s="3389" t="s">
        <v>5427</v>
      </c>
      <c r="C35" s="3391">
        <v>109112</v>
      </c>
      <c r="D35" s="3391">
        <v>108693</v>
      </c>
      <c r="E35" s="3391">
        <v>110061</v>
      </c>
      <c r="F35" s="3391">
        <v>111609</v>
      </c>
      <c r="G35" s="3411">
        <v>112653</v>
      </c>
    </row>
    <row r="36" spans="2:7" ht="17.25" thickBot="1" x14ac:dyDescent="0.3">
      <c r="B36" s="3389" t="s">
        <v>5428</v>
      </c>
      <c r="C36" s="3391">
        <v>9821456</v>
      </c>
      <c r="D36" s="3391">
        <v>11688403</v>
      </c>
      <c r="E36" s="3391">
        <v>11857829</v>
      </c>
      <c r="F36" s="3391">
        <v>11445444</v>
      </c>
      <c r="G36" s="3411">
        <v>14036816</v>
      </c>
    </row>
    <row r="37" spans="2:7" ht="17.25" thickBot="1" x14ac:dyDescent="0.3">
      <c r="B37" s="3389" t="s">
        <v>5432</v>
      </c>
      <c r="C37" s="3391">
        <v>124362</v>
      </c>
      <c r="D37" s="3392"/>
      <c r="E37" s="3391">
        <v>493582</v>
      </c>
      <c r="F37" s="3391">
        <v>1318148</v>
      </c>
      <c r="G37" s="3411">
        <v>6616357</v>
      </c>
    </row>
    <row r="38" spans="2:7" ht="17.25" thickBot="1" x14ac:dyDescent="0.3">
      <c r="B38" s="3389" t="s">
        <v>5430</v>
      </c>
      <c r="C38" s="3391">
        <v>1264356</v>
      </c>
      <c r="D38" s="3391">
        <v>3791925</v>
      </c>
      <c r="E38" s="3391">
        <v>1777310</v>
      </c>
      <c r="F38" s="3391">
        <v>1393655</v>
      </c>
      <c r="G38" s="3411">
        <v>492151</v>
      </c>
    </row>
    <row r="39" spans="2:7" x14ac:dyDescent="0.25">
      <c r="B39" s="3393"/>
      <c r="C39" s="1429"/>
      <c r="D39" s="1429"/>
      <c r="E39" s="1429"/>
    </row>
    <row r="40" spans="2:7" ht="17.25" thickBot="1" x14ac:dyDescent="0.3">
      <c r="B40" s="5235" t="s">
        <v>5435</v>
      </c>
      <c r="C40" s="5236"/>
      <c r="D40" s="5236"/>
      <c r="E40" s="5236"/>
    </row>
    <row r="41" spans="2:7" ht="17.25" thickBot="1" x14ac:dyDescent="0.3">
      <c r="B41" s="3387" t="s">
        <v>1898</v>
      </c>
      <c r="C41" s="3394">
        <v>2014</v>
      </c>
      <c r="D41" s="3394">
        <v>2015</v>
      </c>
      <c r="E41" s="3232">
        <v>2016</v>
      </c>
      <c r="F41" s="3232">
        <v>2017</v>
      </c>
      <c r="G41" s="3233">
        <v>2018</v>
      </c>
    </row>
    <row r="42" spans="2:7" ht="26.25" thickBot="1" x14ac:dyDescent="0.3">
      <c r="B42" s="3442" t="s">
        <v>5435</v>
      </c>
      <c r="C42" s="3443">
        <f>SUM(C47,C46,C45,C44,C43)</f>
        <v>12245991</v>
      </c>
      <c r="D42" s="3443">
        <f>SUM(D47,D46,D45,D44,D43)</f>
        <v>14512328</v>
      </c>
      <c r="E42" s="3443">
        <f>SUM(E47,E46,E45,E44,E43)</f>
        <v>17998482</v>
      </c>
      <c r="F42" s="3443">
        <f>SUM(F47,F46,F45,F44,F43)</f>
        <v>19288944</v>
      </c>
      <c r="G42" s="3443">
        <f>SUM(G47,G46,G45,G44,G43)</f>
        <v>20161825</v>
      </c>
    </row>
    <row r="43" spans="2:7" ht="17.25" thickBot="1" x14ac:dyDescent="0.3">
      <c r="B43" s="3389" t="s">
        <v>5426</v>
      </c>
      <c r="C43" s="3390">
        <v>4775281</v>
      </c>
      <c r="D43" s="3390">
        <v>6287547</v>
      </c>
      <c r="E43" s="3390">
        <v>8157863</v>
      </c>
      <c r="F43" s="3390">
        <v>10314312</v>
      </c>
      <c r="G43" s="3410">
        <v>12557292</v>
      </c>
    </row>
    <row r="44" spans="2:7" ht="17.25" thickBot="1" x14ac:dyDescent="0.3">
      <c r="B44" s="3389" t="s">
        <v>5427</v>
      </c>
      <c r="C44" s="3399">
        <v>0</v>
      </c>
      <c r="D44" s="3391">
        <v>5405</v>
      </c>
      <c r="E44" s="3391">
        <v>5405</v>
      </c>
      <c r="F44" s="3391">
        <v>100405</v>
      </c>
      <c r="G44" s="3411">
        <v>5405</v>
      </c>
    </row>
    <row r="45" spans="2:7" ht="17.25" thickBot="1" x14ac:dyDescent="0.3">
      <c r="B45" s="3389" t="s">
        <v>5428</v>
      </c>
      <c r="C45" s="3391">
        <v>6829107</v>
      </c>
      <c r="D45" s="3391">
        <v>7478118</v>
      </c>
      <c r="E45" s="3391">
        <v>7876132</v>
      </c>
      <c r="F45" s="3391">
        <v>7853115</v>
      </c>
      <c r="G45" s="3411">
        <v>7181814</v>
      </c>
    </row>
    <row r="46" spans="2:7" ht="17.25" thickBot="1" x14ac:dyDescent="0.3">
      <c r="B46" s="3389" t="s">
        <v>5432</v>
      </c>
      <c r="C46" s="3391">
        <v>231443</v>
      </c>
      <c r="D46" s="3391">
        <v>193672</v>
      </c>
      <c r="E46" s="3391">
        <v>197748</v>
      </c>
      <c r="F46" s="3391">
        <v>193672</v>
      </c>
      <c r="G46" s="3411">
        <v>157776</v>
      </c>
    </row>
    <row r="47" spans="2:7" ht="17.25" thickBot="1" x14ac:dyDescent="0.3">
      <c r="B47" s="3389" t="s">
        <v>5430</v>
      </c>
      <c r="C47" s="3391">
        <v>410160</v>
      </c>
      <c r="D47" s="3391">
        <v>547586</v>
      </c>
      <c r="E47" s="3391">
        <v>1761334</v>
      </c>
      <c r="F47" s="3391">
        <v>827440</v>
      </c>
      <c r="G47" s="3411">
        <v>259538</v>
      </c>
    </row>
    <row r="48" spans="2:7" x14ac:dyDescent="0.25">
      <c r="B48" s="3393"/>
      <c r="C48" s="1429"/>
      <c r="D48" s="1429"/>
      <c r="E48" s="1429"/>
    </row>
    <row r="49" spans="2:7" ht="17.25" thickBot="1" x14ac:dyDescent="0.3">
      <c r="B49" s="5235" t="s">
        <v>5436</v>
      </c>
      <c r="C49" s="5236"/>
      <c r="D49" s="5236"/>
      <c r="E49" s="5236"/>
    </row>
    <row r="50" spans="2:7" ht="17.25" thickBot="1" x14ac:dyDescent="0.3">
      <c r="B50" s="3387" t="s">
        <v>1898</v>
      </c>
      <c r="C50" s="3394">
        <v>2014</v>
      </c>
      <c r="D50" s="3394">
        <v>2015</v>
      </c>
      <c r="E50" s="3232">
        <v>2016</v>
      </c>
      <c r="F50" s="3232">
        <v>2017</v>
      </c>
      <c r="G50" s="3233">
        <v>2018</v>
      </c>
    </row>
    <row r="51" spans="2:7" ht="26.25" thickBot="1" x14ac:dyDescent="0.3">
      <c r="B51" s="3442" t="s">
        <v>5436</v>
      </c>
      <c r="C51" s="3443">
        <f>SUM(C56,C55,C54,C53,C52)</f>
        <v>22537250</v>
      </c>
      <c r="D51" s="3443">
        <f>SUM(D56,D55,D54,D53,D52)</f>
        <v>25004676</v>
      </c>
      <c r="E51" s="3443">
        <f>SUM(E56,E55,E54,E53,E52)</f>
        <v>28416348</v>
      </c>
      <c r="F51" s="3443">
        <f>SUM(F56,F55,F54,F53,F52)</f>
        <v>30291261</v>
      </c>
      <c r="G51" s="3443">
        <f>SUM(G56,G55,G54,G53,G52)</f>
        <v>34195948</v>
      </c>
    </row>
    <row r="52" spans="2:7" ht="17.25" thickBot="1" x14ac:dyDescent="0.3">
      <c r="B52" s="3389" t="s">
        <v>5426</v>
      </c>
      <c r="C52" s="3390">
        <v>12923737</v>
      </c>
      <c r="D52" s="3390">
        <v>15216424</v>
      </c>
      <c r="E52" s="3390">
        <v>18022110</v>
      </c>
      <c r="F52" s="3390">
        <v>20380763</v>
      </c>
      <c r="G52" s="3410">
        <v>24310894</v>
      </c>
    </row>
    <row r="53" spans="2:7" ht="17.25" thickBot="1" x14ac:dyDescent="0.3">
      <c r="B53" s="3389" t="s">
        <v>5427</v>
      </c>
      <c r="C53" s="3391">
        <v>57444</v>
      </c>
      <c r="D53" s="3391">
        <v>26875</v>
      </c>
      <c r="E53" s="3391">
        <v>56903</v>
      </c>
      <c r="F53" s="3391">
        <v>35405</v>
      </c>
      <c r="G53" s="3412">
        <v>0</v>
      </c>
    </row>
    <row r="54" spans="2:7" ht="17.25" thickBot="1" x14ac:dyDescent="0.3">
      <c r="B54" s="3389" t="s">
        <v>5428</v>
      </c>
      <c r="C54" s="3391">
        <v>7636609</v>
      </c>
      <c r="D54" s="3391">
        <v>7581163</v>
      </c>
      <c r="E54" s="3391">
        <v>8226219</v>
      </c>
      <c r="F54" s="3391">
        <v>7828064</v>
      </c>
      <c r="G54" s="3411">
        <v>8128244</v>
      </c>
    </row>
    <row r="55" spans="2:7" ht="17.25" thickBot="1" x14ac:dyDescent="0.3">
      <c r="B55" s="3389" t="s">
        <v>5432</v>
      </c>
      <c r="C55" s="3391">
        <v>1315871</v>
      </c>
      <c r="D55" s="3391">
        <v>1781973</v>
      </c>
      <c r="E55" s="3391">
        <v>1152304</v>
      </c>
      <c r="F55" s="3391">
        <v>1087962</v>
      </c>
      <c r="G55" s="3411">
        <v>735658</v>
      </c>
    </row>
    <row r="56" spans="2:7" ht="17.25" thickBot="1" x14ac:dyDescent="0.3">
      <c r="B56" s="3389" t="s">
        <v>5430</v>
      </c>
      <c r="C56" s="3391">
        <v>603589</v>
      </c>
      <c r="D56" s="3391">
        <v>398241</v>
      </c>
      <c r="E56" s="3391">
        <v>958812</v>
      </c>
      <c r="F56" s="3391">
        <v>959067</v>
      </c>
      <c r="G56" s="3411">
        <v>1021152</v>
      </c>
    </row>
    <row r="57" spans="2:7" x14ac:dyDescent="0.25">
      <c r="B57" s="3393"/>
      <c r="C57" s="2172"/>
      <c r="D57" s="2172"/>
      <c r="E57" s="2172"/>
      <c r="F57" s="2174"/>
      <c r="G57" s="2174"/>
    </row>
    <row r="58" spans="2:7" ht="17.25" thickBot="1" x14ac:dyDescent="0.3">
      <c r="B58" s="5235" t="s">
        <v>5437</v>
      </c>
      <c r="C58" s="5236"/>
      <c r="D58" s="5236"/>
      <c r="E58" s="5236"/>
      <c r="F58" s="2174"/>
      <c r="G58" s="2174"/>
    </row>
    <row r="59" spans="2:7" ht="17.25" thickBot="1" x14ac:dyDescent="0.3">
      <c r="B59" s="3387" t="s">
        <v>1898</v>
      </c>
      <c r="C59" s="3394">
        <v>2014</v>
      </c>
      <c r="D59" s="3394">
        <v>2015</v>
      </c>
      <c r="E59" s="3232">
        <v>2016</v>
      </c>
      <c r="F59" s="3232">
        <v>2017</v>
      </c>
      <c r="G59" s="3233">
        <v>2018</v>
      </c>
    </row>
    <row r="60" spans="2:7" ht="27" customHeight="1" thickBot="1" x14ac:dyDescent="0.3">
      <c r="B60" s="3442" t="s">
        <v>5437</v>
      </c>
      <c r="C60" s="3443">
        <f>SUM(,C64,C63,C62,C61)</f>
        <v>6828223</v>
      </c>
      <c r="D60" s="3443">
        <f>SUM(D64,D63,D62,D61)</f>
        <v>8162368</v>
      </c>
      <c r="E60" s="3443">
        <f>SUM(E64,E63,E62,E61)</f>
        <v>8538423</v>
      </c>
      <c r="F60" s="3443">
        <f>SUM(F64,F63,F62,F61)</f>
        <v>9882933</v>
      </c>
      <c r="G60" s="3443">
        <f>SUM(G64,G63,G62,G61)</f>
        <v>11206115</v>
      </c>
    </row>
    <row r="61" spans="2:7" ht="17.25" thickBot="1" x14ac:dyDescent="0.3">
      <c r="B61" s="3389" t="s">
        <v>5426</v>
      </c>
      <c r="C61" s="3390">
        <v>2665531</v>
      </c>
      <c r="D61" s="3390">
        <v>3528175</v>
      </c>
      <c r="E61" s="3390">
        <v>4433873</v>
      </c>
      <c r="F61" s="3390">
        <v>5273177</v>
      </c>
      <c r="G61" s="3410">
        <v>6831984</v>
      </c>
    </row>
    <row r="62" spans="2:7" ht="17.25" thickBot="1" x14ac:dyDescent="0.3">
      <c r="B62" s="3389" t="s">
        <v>5427</v>
      </c>
      <c r="C62" s="3391">
        <v>7444</v>
      </c>
      <c r="D62" s="3391">
        <v>32918</v>
      </c>
      <c r="E62" s="3391">
        <v>25875</v>
      </c>
      <c r="F62" s="3391">
        <v>19292</v>
      </c>
      <c r="G62" s="3411">
        <v>9000</v>
      </c>
    </row>
    <row r="63" spans="2:7" ht="17.25" thickBot="1" x14ac:dyDescent="0.3">
      <c r="B63" s="3389" t="s">
        <v>5428</v>
      </c>
      <c r="C63" s="3391">
        <v>3667162</v>
      </c>
      <c r="D63" s="3391">
        <v>4459978</v>
      </c>
      <c r="E63" s="3391">
        <v>3624314</v>
      </c>
      <c r="F63" s="3391">
        <v>3857432</v>
      </c>
      <c r="G63" s="3411">
        <v>4034538</v>
      </c>
    </row>
    <row r="64" spans="2:7" ht="17.25" thickBot="1" x14ac:dyDescent="0.3">
      <c r="B64" s="3389" t="s">
        <v>5430</v>
      </c>
      <c r="C64" s="3391">
        <v>488086</v>
      </c>
      <c r="D64" s="3391">
        <v>141297</v>
      </c>
      <c r="E64" s="3391">
        <v>454361</v>
      </c>
      <c r="F64" s="3391">
        <v>733032</v>
      </c>
      <c r="G64" s="3411">
        <v>330593</v>
      </c>
    </row>
    <row r="65" spans="2:7" x14ac:dyDescent="0.25">
      <c r="B65" s="3393"/>
      <c r="C65" s="1429"/>
      <c r="D65" s="1429"/>
      <c r="E65" s="1429"/>
      <c r="F65" s="2174"/>
      <c r="G65" s="2174"/>
    </row>
    <row r="66" spans="2:7" ht="15" customHeight="1" thickBot="1" x14ac:dyDescent="0.3">
      <c r="B66" s="5235" t="s">
        <v>5438</v>
      </c>
      <c r="C66" s="5235"/>
      <c r="D66" s="5235"/>
      <c r="E66" s="5235"/>
      <c r="F66" s="2174"/>
      <c r="G66" s="2174"/>
    </row>
    <row r="67" spans="2:7" ht="17.25" thickBot="1" x14ac:dyDescent="0.3">
      <c r="B67" s="3387" t="s">
        <v>1898</v>
      </c>
      <c r="C67" s="3394">
        <v>2014</v>
      </c>
      <c r="D67" s="3394">
        <v>2015</v>
      </c>
      <c r="E67" s="3232">
        <v>2016</v>
      </c>
      <c r="F67" s="3232">
        <v>2017</v>
      </c>
      <c r="G67" s="3233">
        <v>2018</v>
      </c>
    </row>
    <row r="68" spans="2:7" ht="26.25" thickBot="1" x14ac:dyDescent="0.3">
      <c r="B68" s="3442" t="s">
        <v>5438</v>
      </c>
      <c r="C68" s="3443">
        <f>SUM(C72,C71,C70,C69)</f>
        <v>11102771</v>
      </c>
      <c r="D68" s="3443">
        <f>SUM(D72,D71,D70,D69)</f>
        <v>12038670</v>
      </c>
      <c r="E68" s="3443">
        <f>SUM(E72,E71,E70,E69)</f>
        <v>12942104</v>
      </c>
      <c r="F68" s="3443">
        <f>SUM(F72,F71,F70,F69)</f>
        <v>13797472</v>
      </c>
      <c r="G68" s="3443">
        <f>SUM(G72,G71,G70,G69)</f>
        <v>15830860</v>
      </c>
    </row>
    <row r="69" spans="2:7" ht="17.25" thickBot="1" x14ac:dyDescent="0.3">
      <c r="B69" s="3389" t="s">
        <v>5426</v>
      </c>
      <c r="C69" s="3390">
        <v>3064716</v>
      </c>
      <c r="D69" s="3390">
        <v>4204920</v>
      </c>
      <c r="E69" s="3390">
        <v>5851521</v>
      </c>
      <c r="F69" s="3390">
        <v>7059277</v>
      </c>
      <c r="G69" s="3410">
        <v>9256409</v>
      </c>
    </row>
    <row r="70" spans="2:7" ht="17.25" thickBot="1" x14ac:dyDescent="0.3">
      <c r="B70" s="3389" t="s">
        <v>5427</v>
      </c>
      <c r="C70" s="3391">
        <v>5054</v>
      </c>
      <c r="D70" s="3399">
        <v>0</v>
      </c>
      <c r="E70" s="3391">
        <v>38800</v>
      </c>
      <c r="F70" s="3391">
        <v>73285</v>
      </c>
      <c r="G70" s="3411">
        <v>66200</v>
      </c>
    </row>
    <row r="71" spans="2:7" ht="17.25" thickBot="1" x14ac:dyDescent="0.3">
      <c r="B71" s="3389" t="s">
        <v>5428</v>
      </c>
      <c r="C71" s="3391">
        <v>7208495</v>
      </c>
      <c r="D71" s="3391">
        <v>7608792</v>
      </c>
      <c r="E71" s="3391">
        <v>6062874</v>
      </c>
      <c r="F71" s="3391">
        <v>5999476</v>
      </c>
      <c r="G71" s="3411">
        <v>6201798</v>
      </c>
    </row>
    <row r="72" spans="2:7" ht="17.25" thickBot="1" x14ac:dyDescent="0.3">
      <c r="B72" s="3389" t="s">
        <v>5430</v>
      </c>
      <c r="C72" s="3391">
        <v>824506</v>
      </c>
      <c r="D72" s="3391">
        <v>224958</v>
      </c>
      <c r="E72" s="3391">
        <v>988909</v>
      </c>
      <c r="F72" s="3391">
        <v>665434</v>
      </c>
      <c r="G72" s="3411">
        <v>306453</v>
      </c>
    </row>
    <row r="73" spans="2:7" x14ac:dyDescent="0.25">
      <c r="B73" s="3393"/>
      <c r="C73" s="1429"/>
      <c r="D73" s="1429"/>
      <c r="E73" s="1429"/>
      <c r="F73" s="2174"/>
      <c r="G73" s="2174"/>
    </row>
    <row r="74" spans="2:7" ht="15" customHeight="1" thickBot="1" x14ac:dyDescent="0.3">
      <c r="B74" s="5235" t="s">
        <v>5439</v>
      </c>
      <c r="C74" s="5235"/>
      <c r="D74" s="5235"/>
      <c r="E74" s="5235"/>
      <c r="F74" s="2174"/>
      <c r="G74" s="2174"/>
    </row>
    <row r="75" spans="2:7" ht="17.25" thickBot="1" x14ac:dyDescent="0.3">
      <c r="B75" s="3387" t="s">
        <v>1898</v>
      </c>
      <c r="C75" s="3394">
        <v>2014</v>
      </c>
      <c r="D75" s="3394">
        <v>2015</v>
      </c>
      <c r="E75" s="3232">
        <v>2016</v>
      </c>
      <c r="F75" s="3232">
        <v>2017</v>
      </c>
      <c r="G75" s="3233">
        <v>2018</v>
      </c>
    </row>
    <row r="76" spans="2:7" ht="26.25" thickBot="1" x14ac:dyDescent="0.3">
      <c r="B76" s="3442" t="s">
        <v>5439</v>
      </c>
      <c r="C76" s="3443">
        <f>SUM(C80,C79,C78,C77)</f>
        <v>3870564</v>
      </c>
      <c r="D76" s="3443">
        <f>SUM(D80,D79,D78,D77)</f>
        <v>4366106</v>
      </c>
      <c r="E76" s="3443">
        <f>SUM(E80,E79,E78,E77)</f>
        <v>4861879</v>
      </c>
      <c r="F76" s="3443">
        <f>SUM(F80,F79,F78,F77)</f>
        <v>6330711</v>
      </c>
      <c r="G76" s="3443">
        <f>SUM(G80,G79,G78,G77)</f>
        <v>7093433</v>
      </c>
    </row>
    <row r="77" spans="2:7" ht="17.25" thickBot="1" x14ac:dyDescent="0.3">
      <c r="B77" s="3389" t="s">
        <v>5426</v>
      </c>
      <c r="C77" s="3390">
        <v>1459236</v>
      </c>
      <c r="D77" s="3390">
        <v>2055138</v>
      </c>
      <c r="E77" s="3390">
        <v>2427482</v>
      </c>
      <c r="F77" s="3390">
        <v>3054159</v>
      </c>
      <c r="G77" s="3410">
        <v>3936618</v>
      </c>
    </row>
    <row r="78" spans="2:7" ht="17.25" thickBot="1" x14ac:dyDescent="0.3">
      <c r="B78" s="3389" t="s">
        <v>5427</v>
      </c>
      <c r="C78" s="3391">
        <v>7444</v>
      </c>
      <c r="D78" s="3391">
        <v>31993</v>
      </c>
      <c r="E78" s="3391">
        <v>5405</v>
      </c>
      <c r="F78" s="3391">
        <v>5405</v>
      </c>
      <c r="G78" s="3411">
        <v>17275</v>
      </c>
    </row>
    <row r="79" spans="2:7" ht="17.25" thickBot="1" x14ac:dyDescent="0.3">
      <c r="B79" s="3389" t="s">
        <v>5428</v>
      </c>
      <c r="C79" s="3391">
        <v>2183767</v>
      </c>
      <c r="D79" s="3391">
        <v>2278282</v>
      </c>
      <c r="E79" s="3391">
        <v>2100385</v>
      </c>
      <c r="F79" s="3391">
        <v>2506463</v>
      </c>
      <c r="G79" s="3411">
        <v>2299995</v>
      </c>
    </row>
    <row r="80" spans="2:7" ht="17.25" thickBot="1" x14ac:dyDescent="0.3">
      <c r="B80" s="3389" t="s">
        <v>5430</v>
      </c>
      <c r="C80" s="3391">
        <v>220117</v>
      </c>
      <c r="D80" s="3399">
        <v>693</v>
      </c>
      <c r="E80" s="3391">
        <v>328607</v>
      </c>
      <c r="F80" s="3391">
        <v>764684</v>
      </c>
      <c r="G80" s="3411">
        <v>839545</v>
      </c>
    </row>
    <row r="81" spans="2:7" x14ac:dyDescent="0.25">
      <c r="B81" s="3393"/>
      <c r="C81" s="2172"/>
      <c r="D81" s="2172"/>
      <c r="E81" s="2172"/>
      <c r="F81" s="2174"/>
      <c r="G81" s="2174"/>
    </row>
    <row r="82" spans="2:7" ht="15" customHeight="1" thickBot="1" x14ac:dyDescent="0.3">
      <c r="B82" s="5242" t="s">
        <v>5440</v>
      </c>
      <c r="C82" s="5242"/>
      <c r="D82" s="5242"/>
      <c r="E82" s="5242"/>
    </row>
    <row r="83" spans="2:7" ht="17.25" thickBot="1" x14ac:dyDescent="0.3">
      <c r="B83" s="3387" t="s">
        <v>1898</v>
      </c>
      <c r="C83" s="3394">
        <v>2014</v>
      </c>
      <c r="D83" s="3394">
        <v>2015</v>
      </c>
      <c r="E83" s="3232">
        <v>2016</v>
      </c>
      <c r="F83" s="3232">
        <v>2017</v>
      </c>
      <c r="G83" s="3233">
        <v>2018</v>
      </c>
    </row>
    <row r="84" spans="2:7" ht="26.25" thickBot="1" x14ac:dyDescent="0.3">
      <c r="B84" s="3442" t="s">
        <v>5440</v>
      </c>
      <c r="C84" s="3443">
        <f>SUM(C88,C87,C86,C85)</f>
        <v>7606275</v>
      </c>
      <c r="D84" s="3443">
        <f>SUM(D88,D87,D86,D85)</f>
        <v>8150213</v>
      </c>
      <c r="E84" s="3443">
        <f>SUM(E88,E87,E86,E85)</f>
        <v>9165949</v>
      </c>
      <c r="F84" s="3443">
        <f>SUM(F88,F87,F86,F85)</f>
        <v>9936809</v>
      </c>
      <c r="G84" s="3443">
        <f>SUM(G88,G87,G86,G85)</f>
        <v>12003716</v>
      </c>
    </row>
    <row r="85" spans="2:7" ht="17.25" thickBot="1" x14ac:dyDescent="0.3">
      <c r="B85" s="3389" t="s">
        <v>5426</v>
      </c>
      <c r="C85" s="3390">
        <v>3013766</v>
      </c>
      <c r="D85" s="3390">
        <v>3967395</v>
      </c>
      <c r="E85" s="3390">
        <v>4880324</v>
      </c>
      <c r="F85" s="3390">
        <v>5641912</v>
      </c>
      <c r="G85" s="3410">
        <v>7235588</v>
      </c>
    </row>
    <row r="86" spans="2:7" ht="17.25" thickBot="1" x14ac:dyDescent="0.3">
      <c r="B86" s="3389" t="s">
        <v>5427</v>
      </c>
      <c r="C86" s="3391">
        <v>11643</v>
      </c>
      <c r="D86" s="3391">
        <v>5404</v>
      </c>
      <c r="E86" s="3391">
        <v>5404</v>
      </c>
      <c r="F86" s="3391">
        <v>5404</v>
      </c>
      <c r="G86" s="3411">
        <v>5404</v>
      </c>
    </row>
    <row r="87" spans="2:7" ht="17.25" thickBot="1" x14ac:dyDescent="0.3">
      <c r="B87" s="3389" t="s">
        <v>5428</v>
      </c>
      <c r="C87" s="3391">
        <v>3525066</v>
      </c>
      <c r="D87" s="3391">
        <v>4144136</v>
      </c>
      <c r="E87" s="3391">
        <v>3813822</v>
      </c>
      <c r="F87" s="3391">
        <v>3811650</v>
      </c>
      <c r="G87" s="3411">
        <v>4546696</v>
      </c>
    </row>
    <row r="88" spans="2:7" ht="17.25" thickBot="1" x14ac:dyDescent="0.3">
      <c r="B88" s="3389" t="s">
        <v>5430</v>
      </c>
      <c r="C88" s="3391">
        <v>1055800</v>
      </c>
      <c r="D88" s="3391">
        <v>33278</v>
      </c>
      <c r="E88" s="3391">
        <v>466399</v>
      </c>
      <c r="F88" s="3391">
        <v>477843</v>
      </c>
      <c r="G88" s="3411">
        <v>216028</v>
      </c>
    </row>
    <row r="91" spans="2:7" ht="18.75" thickBot="1" x14ac:dyDescent="0.3">
      <c r="B91" s="3409" t="s">
        <v>5441</v>
      </c>
      <c r="C91" s="2174"/>
      <c r="D91" s="2174"/>
      <c r="E91" s="2174"/>
      <c r="F91" s="2174"/>
      <c r="G91" s="2174"/>
    </row>
    <row r="92" spans="2:7" ht="17.25" thickBot="1" x14ac:dyDescent="0.3">
      <c r="B92" s="3387" t="s">
        <v>1898</v>
      </c>
      <c r="C92" s="3394">
        <v>2014</v>
      </c>
      <c r="D92" s="3394">
        <v>2015</v>
      </c>
      <c r="E92" s="3232">
        <v>2016</v>
      </c>
      <c r="F92" s="3232">
        <v>2017</v>
      </c>
      <c r="G92" s="3233">
        <v>2018</v>
      </c>
    </row>
    <row r="93" spans="2:7" ht="17.25" thickBot="1" x14ac:dyDescent="0.3">
      <c r="B93" s="3389" t="s">
        <v>5426</v>
      </c>
      <c r="C93" s="3390">
        <f t="shared" ref="C93:F95" si="0">SUM(C7,C16,C25,C34,C43,C52,C61,C69,C77,C85)</f>
        <v>84741557</v>
      </c>
      <c r="D93" s="3390">
        <f t="shared" si="0"/>
        <v>96419453</v>
      </c>
      <c r="E93" s="3390">
        <f t="shared" si="0"/>
        <v>110908487</v>
      </c>
      <c r="F93" s="3390">
        <f>SUM(F7,F16,F25,F34,F43,F52,F61,F69,F77,F85)</f>
        <v>127281952</v>
      </c>
      <c r="G93" s="3390">
        <f>SUM(G7,G16,G25,G34,G43,G52,G61,G69,G77,G85)</f>
        <v>150166152</v>
      </c>
    </row>
    <row r="94" spans="2:7" ht="17.25" thickBot="1" x14ac:dyDescent="0.3">
      <c r="B94" s="3389" t="s">
        <v>5427</v>
      </c>
      <c r="C94" s="3391">
        <f t="shared" si="0"/>
        <v>2849509</v>
      </c>
      <c r="D94" s="3391">
        <f t="shared" si="0"/>
        <v>3186135</v>
      </c>
      <c r="E94" s="3391">
        <f t="shared" si="0"/>
        <v>2723318</v>
      </c>
      <c r="F94" s="3391">
        <f t="shared" si="0"/>
        <v>2981068</v>
      </c>
      <c r="G94" s="3391">
        <f>SUM(G8,G17,G26,G35,G44,G53,G62,G70,G78,G86)</f>
        <v>2886201</v>
      </c>
    </row>
    <row r="95" spans="2:7" ht="17.25" thickBot="1" x14ac:dyDescent="0.3">
      <c r="B95" s="3389" t="s">
        <v>5428</v>
      </c>
      <c r="C95" s="3391">
        <f t="shared" si="0"/>
        <v>78373926</v>
      </c>
      <c r="D95" s="3391">
        <f t="shared" si="0"/>
        <v>87297610</v>
      </c>
      <c r="E95" s="3391">
        <f t="shared" si="0"/>
        <v>82712376</v>
      </c>
      <c r="F95" s="3391">
        <f t="shared" si="0"/>
        <v>83753163</v>
      </c>
      <c r="G95" s="3391">
        <f>SUM(G9,G18,G27,G36,G45,G54,G63,G71,G79,G87)</f>
        <v>86725655</v>
      </c>
    </row>
    <row r="96" spans="2:7" ht="17.25" thickBot="1" x14ac:dyDescent="0.3">
      <c r="B96" s="3389" t="s">
        <v>5432</v>
      </c>
      <c r="C96" s="3391">
        <f>SUM(C10,C19,C28,C37,C46,C55)</f>
        <v>2985672</v>
      </c>
      <c r="D96" s="3391">
        <f>SUM(D10,D19,D28,D37,D46,D55)</f>
        <v>2619182</v>
      </c>
      <c r="E96" s="3391">
        <f>SUM(E10,E19,E28,E37,E46,E55)</f>
        <v>5133085</v>
      </c>
      <c r="F96" s="3391">
        <f>SUM(F10,F19,F28,F37,F46,F55)</f>
        <v>3796208</v>
      </c>
      <c r="G96" s="3391">
        <f>SUM(G10,G19,G28,G37,G46,G55)</f>
        <v>10027031</v>
      </c>
    </row>
    <row r="97" spans="2:12" ht="17.25" thickBot="1" x14ac:dyDescent="0.3">
      <c r="B97" s="3389" t="s">
        <v>5430</v>
      </c>
      <c r="C97" s="3391">
        <f>SUM(C11,C20,C29,C38,C47,C56,C64,C72,C80,C88)</f>
        <v>8383482</v>
      </c>
      <c r="D97" s="3391">
        <f>SUM(D11,D20,D29,D38,D47,D56,D64,D72,D80,D88)</f>
        <v>9282785</v>
      </c>
      <c r="E97" s="3391">
        <f>SUM(E11,E20,E29,E38,E47,E56,E64,E72,E80,E88)</f>
        <v>8493372</v>
      </c>
      <c r="F97" s="3391">
        <f>SUM(F11,F20,F29,F38,F47,F56,F64,F72,F80,F88)</f>
        <v>9560623</v>
      </c>
      <c r="G97" s="3391">
        <f>SUM(G11,G20,G29,G38,G47,G56,G64,G72,G80,G88)</f>
        <v>7320028</v>
      </c>
    </row>
    <row r="98" spans="2:12" ht="17.25" thickBot="1" x14ac:dyDescent="0.3">
      <c r="B98" s="3415" t="s">
        <v>0</v>
      </c>
      <c r="C98" s="3416">
        <f>SUM(C93:C97)</f>
        <v>177334146</v>
      </c>
      <c r="D98" s="3416">
        <f>SUM(D93:D97)</f>
        <v>198805165</v>
      </c>
      <c r="E98" s="3416">
        <f>SUM(E93:E97)</f>
        <v>209970638</v>
      </c>
      <c r="F98" s="3416">
        <f>SUM(F93:F97)</f>
        <v>227373014</v>
      </c>
      <c r="G98" s="3416">
        <f>SUM(G93:G97)</f>
        <v>257125067</v>
      </c>
    </row>
    <row r="101" spans="2:12" x14ac:dyDescent="0.25">
      <c r="B101" s="21" t="s">
        <v>5821</v>
      </c>
    </row>
    <row r="102" spans="2:12" x14ac:dyDescent="0.25">
      <c r="B102" s="21" t="s">
        <v>1639</v>
      </c>
      <c r="F102" s="2171" t="s">
        <v>1639</v>
      </c>
    </row>
    <row r="105" spans="2:12" ht="17.25" thickBot="1" x14ac:dyDescent="0.3"/>
    <row r="106" spans="2:12" ht="17.25" thickBot="1" x14ac:dyDescent="0.3">
      <c r="B106" s="3400" t="s">
        <v>5452</v>
      </c>
      <c r="C106" s="5233">
        <v>2014</v>
      </c>
      <c r="D106" s="5233"/>
      <c r="E106" s="5211">
        <v>2015</v>
      </c>
      <c r="F106" s="5211"/>
      <c r="G106" s="5211">
        <v>2016</v>
      </c>
      <c r="H106" s="5211"/>
      <c r="I106" s="5233">
        <v>2017</v>
      </c>
      <c r="J106" s="5233"/>
      <c r="K106" s="5211">
        <v>2018</v>
      </c>
      <c r="L106" s="5234"/>
    </row>
    <row r="107" spans="2:12" ht="17.25" thickBot="1" x14ac:dyDescent="0.3">
      <c r="B107" s="3389" t="s">
        <v>5442</v>
      </c>
      <c r="C107" s="5231">
        <f>'[14]PIA-PIM'!$C$36</f>
        <v>118518551</v>
      </c>
      <c r="D107" s="5232"/>
      <c r="E107" s="5231">
        <f>'[14]PIA-PIM'!$E$36</f>
        <v>132549681</v>
      </c>
      <c r="F107" s="5231"/>
      <c r="G107" s="5231">
        <f>'[14]PIA-PIM'!$G$36</f>
        <v>144215594</v>
      </c>
      <c r="H107" s="5232"/>
      <c r="I107" s="5231">
        <f>'[14]PIA-PIM'!$I$36</f>
        <v>167923961</v>
      </c>
      <c r="J107" s="5232"/>
      <c r="K107" s="5231">
        <f>'[14]PIA-PIM'!$K$36</f>
        <v>181381976</v>
      </c>
      <c r="L107" s="5232"/>
    </row>
    <row r="108" spans="2:12" ht="17.25" thickBot="1" x14ac:dyDescent="0.3">
      <c r="B108" s="3389" t="s">
        <v>5443</v>
      </c>
      <c r="C108" s="5231">
        <f>'[14]PIA-PIM'!$C$78</f>
        <v>187985464</v>
      </c>
      <c r="D108" s="5232"/>
      <c r="E108" s="5231">
        <f>'[14]PIA-PIM'!$E$78</f>
        <v>208030998</v>
      </c>
      <c r="F108" s="5232"/>
      <c r="G108" s="5231">
        <f>'[14]PIA-PIM'!$G$78</f>
        <v>216063400</v>
      </c>
      <c r="H108" s="5232"/>
      <c r="I108" s="5231">
        <f>'[14]PIA-PIM'!$I$78</f>
        <v>237003937</v>
      </c>
      <c r="J108" s="5232"/>
      <c r="K108" s="5231">
        <f>'[14]PIA-PIM'!$K$78</f>
        <v>265066499</v>
      </c>
      <c r="L108" s="5232"/>
    </row>
    <row r="109" spans="2:12" ht="26.25" thickBot="1" x14ac:dyDescent="0.3">
      <c r="B109" s="3389" t="s">
        <v>5444</v>
      </c>
      <c r="C109" s="5231">
        <f>$C$98</f>
        <v>177334146</v>
      </c>
      <c r="D109" s="3420">
        <f>C109/C107</f>
        <v>1.4962564468072175</v>
      </c>
      <c r="E109" s="5231">
        <f>$D$98</f>
        <v>198805165</v>
      </c>
      <c r="F109" s="3420">
        <f>E109/E107</f>
        <v>1.4998539679623974</v>
      </c>
      <c r="G109" s="5231">
        <f>$E$98</f>
        <v>209970638</v>
      </c>
      <c r="H109" s="3420">
        <f>G109/G107</f>
        <v>1.455949611107936</v>
      </c>
      <c r="I109" s="5231">
        <f>$F$98</f>
        <v>227373014</v>
      </c>
      <c r="J109" s="3420">
        <f>I109/I107</f>
        <v>1.3540236464526942</v>
      </c>
      <c r="K109" s="5231">
        <f>$G$98</f>
        <v>257125067</v>
      </c>
      <c r="L109" s="3420">
        <f>K109/K107</f>
        <v>1.4175888512759394</v>
      </c>
    </row>
    <row r="110" spans="2:12" ht="26.25" thickBot="1" x14ac:dyDescent="0.3">
      <c r="B110" s="3389" t="s">
        <v>5445</v>
      </c>
      <c r="C110" s="5232"/>
      <c r="D110" s="3420">
        <f>C109/C108</f>
        <v>0.94333967226317028</v>
      </c>
      <c r="E110" s="5232"/>
      <c r="F110" s="3420">
        <f>E109/E108</f>
        <v>0.95565164283834281</v>
      </c>
      <c r="G110" s="5232"/>
      <c r="H110" s="3420">
        <f>G109/G108</f>
        <v>0.97180104543388657</v>
      </c>
      <c r="I110" s="5232"/>
      <c r="J110" s="3420">
        <f>I109/I108</f>
        <v>0.95936386913268867</v>
      </c>
      <c r="K110" s="5232"/>
      <c r="L110" s="3420">
        <f>K109/K108</f>
        <v>0.97003985026414075</v>
      </c>
    </row>
    <row r="111" spans="2:12" ht="17.25" thickBot="1" x14ac:dyDescent="0.3">
      <c r="B111" s="3389" t="s">
        <v>5446</v>
      </c>
      <c r="C111" s="3391">
        <f>(C107-C109)</f>
        <v>-58815595</v>
      </c>
      <c r="D111" s="3391"/>
      <c r="E111" s="3391">
        <f>(E107-E109)</f>
        <v>-66255484</v>
      </c>
      <c r="F111" s="3421"/>
      <c r="G111" s="3391">
        <f>(G107-G109)</f>
        <v>-65755044</v>
      </c>
      <c r="H111" s="3421"/>
      <c r="I111" s="3391">
        <f>(I107-I109)</f>
        <v>-59449053</v>
      </c>
      <c r="J111" s="3421"/>
      <c r="K111" s="3391">
        <f>(K107-K109)</f>
        <v>-75743091</v>
      </c>
      <c r="L111" s="3421"/>
    </row>
    <row r="112" spans="2:12" ht="17.25" thickBot="1" x14ac:dyDescent="0.3">
      <c r="B112" s="3389" t="s">
        <v>5447</v>
      </c>
      <c r="C112" s="3391">
        <f>(C108-C109)</f>
        <v>10651318</v>
      </c>
      <c r="D112" s="3391"/>
      <c r="E112" s="3391">
        <f>(E108-E109)</f>
        <v>9225833</v>
      </c>
      <c r="F112" s="3421"/>
      <c r="G112" s="3391">
        <f>(G108-G109)</f>
        <v>6092762</v>
      </c>
      <c r="H112" s="3421"/>
      <c r="I112" s="3391">
        <f>(I108-I109)</f>
        <v>9630923</v>
      </c>
      <c r="J112" s="3421"/>
      <c r="K112" s="3391">
        <f>(K108-K109)</f>
        <v>7941432</v>
      </c>
      <c r="L112" s="3421"/>
    </row>
    <row r="114" spans="2:12" ht="17.25" thickBot="1" x14ac:dyDescent="0.3">
      <c r="B114" s="3413"/>
      <c r="C114" s="3401"/>
      <c r="D114" s="3401"/>
      <c r="E114" s="3401"/>
      <c r="F114" s="3401"/>
      <c r="G114" s="3401"/>
      <c r="H114" s="3413"/>
      <c r="I114" s="3413"/>
      <c r="J114" s="3413"/>
      <c r="K114" s="3413"/>
      <c r="L114" s="3413"/>
    </row>
    <row r="115" spans="2:12" ht="17.25" thickBot="1" x14ac:dyDescent="0.3">
      <c r="B115" s="3400" t="s">
        <v>5452</v>
      </c>
      <c r="C115" s="3394">
        <v>2014</v>
      </c>
      <c r="D115" s="3394">
        <v>2015</v>
      </c>
      <c r="E115" s="3394">
        <v>2016</v>
      </c>
      <c r="F115" s="3394">
        <v>2017</v>
      </c>
      <c r="G115" s="3436">
        <v>2018</v>
      </c>
    </row>
    <row r="116" spans="2:12" ht="17.25" thickBot="1" x14ac:dyDescent="0.3">
      <c r="B116" s="3422" t="s">
        <v>5442</v>
      </c>
      <c r="C116" s="3391">
        <f>'[14]PIA-PIM'!$C$36</f>
        <v>118518551</v>
      </c>
      <c r="D116" s="3391">
        <f>'[14]PIA-PIM'!$E$36</f>
        <v>132549681</v>
      </c>
      <c r="E116" s="3391">
        <f>'[14]PIA-PIM'!$G$36</f>
        <v>144215594</v>
      </c>
      <c r="F116" s="3391">
        <f>'[14]PIA-PIM'!$I$36</f>
        <v>167923961</v>
      </c>
      <c r="G116" s="3391">
        <f>'[14]PIA-PIM'!$K$36</f>
        <v>181381976</v>
      </c>
    </row>
    <row r="117" spans="2:12" ht="17.25" thickBot="1" x14ac:dyDescent="0.3">
      <c r="B117" s="3422" t="s">
        <v>5448</v>
      </c>
      <c r="C117" s="3391">
        <f>$C$98</f>
        <v>177334146</v>
      </c>
      <c r="D117" s="3391">
        <f>$D$98</f>
        <v>198805165</v>
      </c>
      <c r="E117" s="3391">
        <f>$E$98</f>
        <v>209970638</v>
      </c>
      <c r="F117" s="3391">
        <f>$F$98</f>
        <v>227373014</v>
      </c>
      <c r="G117" s="3391">
        <f>$G$98</f>
        <v>257125067</v>
      </c>
    </row>
    <row r="118" spans="2:12" x14ac:dyDescent="0.25">
      <c r="B118" s="3413"/>
      <c r="C118" s="2173"/>
      <c r="D118" s="2173"/>
      <c r="E118" s="2173"/>
      <c r="F118" s="2173"/>
      <c r="G118" s="2173"/>
    </row>
    <row r="119" spans="2:12" ht="17.25" thickBot="1" x14ac:dyDescent="0.3">
      <c r="B119" s="3413"/>
      <c r="C119" s="3401"/>
      <c r="D119" s="3401"/>
      <c r="E119" s="3413"/>
      <c r="F119" s="3413"/>
      <c r="G119" s="21"/>
    </row>
    <row r="120" spans="2:12" ht="17.25" thickBot="1" x14ac:dyDescent="0.3">
      <c r="B120" s="3400" t="s">
        <v>5452</v>
      </c>
      <c r="C120" s="3394">
        <v>2014</v>
      </c>
      <c r="D120" s="3394">
        <v>2015</v>
      </c>
      <c r="E120" s="3394">
        <v>2016</v>
      </c>
      <c r="F120" s="3394">
        <v>2017</v>
      </c>
      <c r="G120" s="3436">
        <v>2018</v>
      </c>
    </row>
    <row r="121" spans="2:12" ht="17.25" thickBot="1" x14ac:dyDescent="0.3">
      <c r="B121" s="3422" t="s">
        <v>5443</v>
      </c>
      <c r="C121" s="3391">
        <f>'[14]PIA-PIM'!$C$78</f>
        <v>187985464</v>
      </c>
      <c r="D121" s="3391">
        <f>'[14]PIA-PIM'!$E$78</f>
        <v>208030998</v>
      </c>
      <c r="E121" s="3391">
        <f>'[14]PIA-PIM'!$G$78</f>
        <v>216063400</v>
      </c>
      <c r="F121" s="3391">
        <f>'[14]PIA-PIM'!$I$78</f>
        <v>237003937</v>
      </c>
      <c r="G121" s="3391">
        <f>'[14]PIA-PIM'!$K$78</f>
        <v>265066499</v>
      </c>
    </row>
    <row r="122" spans="2:12" ht="17.25" thickBot="1" x14ac:dyDescent="0.3">
      <c r="B122" s="3422" t="s">
        <v>5448</v>
      </c>
      <c r="C122" s="3391">
        <f>$C$98</f>
        <v>177334146</v>
      </c>
      <c r="D122" s="3391">
        <f>$D$98</f>
        <v>198805165</v>
      </c>
      <c r="E122" s="3391">
        <f>$E$98</f>
        <v>209970638</v>
      </c>
      <c r="F122" s="3391">
        <f>$F$98</f>
        <v>227373014</v>
      </c>
      <c r="G122" s="3391">
        <f>$G$98</f>
        <v>257125067</v>
      </c>
    </row>
    <row r="123" spans="2:12" x14ac:dyDescent="0.25">
      <c r="C123" s="2173"/>
      <c r="D123" s="2173"/>
      <c r="E123" s="2173"/>
      <c r="F123" s="2173"/>
      <c r="G123" s="2173"/>
    </row>
    <row r="144" spans="2:16" ht="17.25" thickBot="1" x14ac:dyDescent="0.3">
      <c r="B144" s="5237" t="s">
        <v>5822</v>
      </c>
      <c r="C144" s="5238"/>
      <c r="D144" s="5238"/>
      <c r="E144" s="5238"/>
      <c r="K144" s="3402"/>
      <c r="L144" s="3402"/>
      <c r="M144" s="3402"/>
      <c r="N144" s="3402"/>
      <c r="O144" s="3403"/>
      <c r="P144" s="3403"/>
    </row>
    <row r="145" spans="1:15" s="2423" customFormat="1" ht="13.5" thickBot="1" x14ac:dyDescent="0.3">
      <c r="A145" s="3230"/>
      <c r="B145" s="3400" t="s">
        <v>5449</v>
      </c>
      <c r="C145" s="3394">
        <v>2014</v>
      </c>
      <c r="D145" s="3394">
        <v>2015</v>
      </c>
      <c r="E145" s="3394">
        <v>2016</v>
      </c>
      <c r="F145" s="3394">
        <v>2017</v>
      </c>
      <c r="G145" s="3436">
        <v>2018</v>
      </c>
      <c r="I145" s="3393"/>
      <c r="J145" s="3396"/>
      <c r="K145" s="3396"/>
      <c r="L145" s="3396"/>
      <c r="M145" s="3396"/>
      <c r="N145" s="3396"/>
      <c r="O145" s="3404"/>
    </row>
    <row r="146" spans="1:15" s="2423" customFormat="1" ht="13.5" thickBot="1" x14ac:dyDescent="0.3">
      <c r="A146" s="3230"/>
      <c r="B146" s="3389" t="s">
        <v>5426</v>
      </c>
      <c r="C146" s="3390">
        <v>12923737</v>
      </c>
      <c r="D146" s="3390">
        <v>15216414</v>
      </c>
      <c r="E146" s="3390">
        <v>18021624</v>
      </c>
      <c r="F146" s="3390">
        <v>20380763</v>
      </c>
      <c r="G146" s="3390">
        <v>24310894</v>
      </c>
      <c r="I146" s="3396"/>
      <c r="J146" s="3396"/>
      <c r="K146" s="3396"/>
      <c r="L146" s="3396"/>
      <c r="M146" s="3396"/>
      <c r="N146" s="3350"/>
      <c r="O146" s="3396"/>
    </row>
    <row r="147" spans="1:15" s="2423" customFormat="1" ht="13.5" thickBot="1" x14ac:dyDescent="0.3">
      <c r="A147" s="3230"/>
      <c r="B147" s="3389" t="s">
        <v>5427</v>
      </c>
      <c r="C147" s="3399">
        <v>57444</v>
      </c>
      <c r="D147" s="3391">
        <v>26875</v>
      </c>
      <c r="E147" s="3391">
        <v>56903</v>
      </c>
      <c r="F147" s="3391">
        <v>35405</v>
      </c>
      <c r="G147" s="3391">
        <v>0</v>
      </c>
      <c r="I147" s="3229"/>
      <c r="J147" s="3397"/>
      <c r="K147" s="3350"/>
      <c r="L147" s="3350"/>
      <c r="M147" s="3350"/>
      <c r="N147" s="3350"/>
      <c r="O147" s="3350"/>
    </row>
    <row r="148" spans="1:15" s="2423" customFormat="1" ht="13.5" thickBot="1" x14ac:dyDescent="0.3">
      <c r="A148" s="3230"/>
      <c r="B148" s="3389" t="s">
        <v>5428</v>
      </c>
      <c r="C148" s="3391">
        <v>7636429</v>
      </c>
      <c r="D148" s="3391">
        <v>7567977</v>
      </c>
      <c r="E148" s="3391">
        <v>8209341</v>
      </c>
      <c r="F148" s="3391">
        <v>7824144</v>
      </c>
      <c r="G148" s="3391">
        <v>8128244</v>
      </c>
      <c r="I148" s="3350"/>
      <c r="J148" s="3350"/>
      <c r="K148" s="3350"/>
      <c r="L148" s="3350"/>
      <c r="M148" s="3350"/>
      <c r="N148" s="3350"/>
      <c r="O148" s="3350"/>
    </row>
    <row r="149" spans="1:15" s="2423" customFormat="1" ht="13.5" thickBot="1" x14ac:dyDescent="0.3">
      <c r="A149" s="3230"/>
      <c r="B149" s="3389" t="s">
        <v>5432</v>
      </c>
      <c r="C149" s="3391">
        <v>1315871</v>
      </c>
      <c r="D149" s="3391">
        <v>1781973</v>
      </c>
      <c r="E149" s="3391">
        <v>1152304</v>
      </c>
      <c r="F149" s="3391">
        <v>1087562</v>
      </c>
      <c r="G149" s="3391">
        <v>735658</v>
      </c>
      <c r="I149" s="3350"/>
      <c r="J149" s="3350"/>
      <c r="K149" s="3350"/>
      <c r="L149" s="3350"/>
      <c r="M149" s="3350"/>
      <c r="N149" s="3350"/>
      <c r="O149" s="3350"/>
    </row>
    <row r="150" spans="1:15" s="2423" customFormat="1" ht="13.5" thickBot="1" x14ac:dyDescent="0.3">
      <c r="A150" s="3230"/>
      <c r="B150" s="3389" t="s">
        <v>5430</v>
      </c>
      <c r="C150" s="3391">
        <v>603589</v>
      </c>
      <c r="D150" s="3391">
        <v>398241</v>
      </c>
      <c r="E150" s="3391">
        <v>958812</v>
      </c>
      <c r="F150" s="3391">
        <v>959067</v>
      </c>
      <c r="G150" s="3391">
        <v>1021152</v>
      </c>
      <c r="I150" s="3350"/>
      <c r="J150" s="3350"/>
      <c r="K150" s="3350"/>
      <c r="L150" s="3350"/>
      <c r="M150" s="3350"/>
      <c r="N150" s="3350"/>
      <c r="O150" s="3350"/>
    </row>
    <row r="151" spans="1:15" s="2423" customFormat="1" ht="13.5" thickBot="1" x14ac:dyDescent="0.3">
      <c r="A151" s="3230"/>
      <c r="B151" s="3455" t="s">
        <v>5450</v>
      </c>
      <c r="C151" s="3456">
        <f>SUM(C146:C150)</f>
        <v>22537070</v>
      </c>
      <c r="D151" s="3456">
        <f t="shared" ref="D151:G151" si="1">SUM(D146:D150)</f>
        <v>24991480</v>
      </c>
      <c r="E151" s="3456">
        <f t="shared" si="1"/>
        <v>28398984</v>
      </c>
      <c r="F151" s="3456">
        <f t="shared" si="1"/>
        <v>30286941</v>
      </c>
      <c r="G151" s="3456">
        <f t="shared" si="1"/>
        <v>34195948</v>
      </c>
    </row>
    <row r="152" spans="1:15" x14ac:dyDescent="0.25">
      <c r="G152" s="21"/>
    </row>
    <row r="153" spans="1:15" ht="17.25" thickBot="1" x14ac:dyDescent="0.3">
      <c r="B153" s="2" t="s">
        <v>5451</v>
      </c>
      <c r="G153" s="21"/>
    </row>
    <row r="154" spans="1:15" s="2423" customFormat="1" ht="13.5" thickBot="1" x14ac:dyDescent="0.3">
      <c r="A154" s="3230"/>
      <c r="B154" s="3400" t="s">
        <v>5452</v>
      </c>
      <c r="C154" s="3394">
        <v>2014</v>
      </c>
      <c r="D154" s="3394">
        <v>2015</v>
      </c>
      <c r="E154" s="3394">
        <v>2016</v>
      </c>
      <c r="F154" s="3394">
        <v>2017</v>
      </c>
      <c r="G154" s="3436">
        <v>2018</v>
      </c>
    </row>
    <row r="155" spans="1:15" s="2423" customFormat="1" ht="13.5" thickBot="1" x14ac:dyDescent="0.3">
      <c r="A155" s="3230"/>
      <c r="B155" s="3423" t="s">
        <v>5453</v>
      </c>
      <c r="C155" s="3410">
        <v>22537070</v>
      </c>
      <c r="D155" s="3410">
        <v>25000915</v>
      </c>
      <c r="E155" s="3410">
        <v>28416166</v>
      </c>
      <c r="F155" s="3410">
        <v>30288679</v>
      </c>
      <c r="G155" s="3410">
        <v>34195947</v>
      </c>
      <c r="I155" s="3405"/>
    </row>
    <row r="156" spans="1:15" s="2423" customFormat="1" ht="26.25" thickBot="1" x14ac:dyDescent="0.3">
      <c r="A156" s="3230"/>
      <c r="B156" s="3442" t="s">
        <v>5436</v>
      </c>
      <c r="C156" s="3452">
        <v>10954566</v>
      </c>
      <c r="D156" s="3452">
        <v>16311926</v>
      </c>
      <c r="E156" s="3452">
        <v>18240431</v>
      </c>
      <c r="F156" s="3452">
        <v>23410395</v>
      </c>
      <c r="G156" s="3453">
        <v>27045521</v>
      </c>
      <c r="J156" s="3397"/>
      <c r="K156" s="3350"/>
      <c r="L156" s="3350"/>
      <c r="M156" s="3350"/>
      <c r="N156" s="3350"/>
    </row>
    <row r="157" spans="1:15" s="2423" customFormat="1" ht="13.5" thickBot="1" x14ac:dyDescent="0.3">
      <c r="A157" s="3230"/>
      <c r="B157" s="3423" t="s">
        <v>5454</v>
      </c>
      <c r="C157" s="3424">
        <v>0</v>
      </c>
      <c r="D157" s="3424">
        <f>D155/D156</f>
        <v>1.5326770732039858</v>
      </c>
      <c r="E157" s="3424">
        <f>E155/E156</f>
        <v>1.5578670262780523</v>
      </c>
      <c r="F157" s="3424">
        <f>F155/F156</f>
        <v>1.2938132398022331</v>
      </c>
      <c r="G157" s="3424">
        <f>G155/G156</f>
        <v>1.2643848495283194</v>
      </c>
    </row>
    <row r="158" spans="1:15" ht="17.25" thickBot="1" x14ac:dyDescent="0.3">
      <c r="B158" s="2" t="s">
        <v>5455</v>
      </c>
      <c r="G158" s="21"/>
    </row>
    <row r="159" spans="1:15" s="2423" customFormat="1" ht="13.5" thickBot="1" x14ac:dyDescent="0.3">
      <c r="A159" s="3230"/>
      <c r="B159" s="3400" t="s">
        <v>5452</v>
      </c>
      <c r="C159" s="3394">
        <v>2014</v>
      </c>
      <c r="D159" s="3394">
        <v>2015</v>
      </c>
      <c r="E159" s="3394">
        <v>2016</v>
      </c>
      <c r="F159" s="3394">
        <v>2017</v>
      </c>
      <c r="G159" s="3436">
        <v>2018</v>
      </c>
    </row>
    <row r="160" spans="1:15" s="2423" customFormat="1" ht="13.5" thickBot="1" x14ac:dyDescent="0.3">
      <c r="A160" s="3230"/>
      <c r="B160" s="3423" t="s">
        <v>5453</v>
      </c>
      <c r="C160" s="3425">
        <v>22537070</v>
      </c>
      <c r="D160" s="3425">
        <v>25000915</v>
      </c>
      <c r="E160" s="3425">
        <v>28416166</v>
      </c>
      <c r="F160" s="3425">
        <v>30288679</v>
      </c>
      <c r="G160" s="3425">
        <v>34195947</v>
      </c>
    </row>
    <row r="161" spans="1:16" s="2423" customFormat="1" ht="26.25" thickBot="1" x14ac:dyDescent="0.3">
      <c r="A161" s="3230"/>
      <c r="B161" s="3442" t="s">
        <v>5436</v>
      </c>
      <c r="C161" s="3454">
        <v>22726225</v>
      </c>
      <c r="D161" s="3454">
        <v>25587056</v>
      </c>
      <c r="E161" s="3454">
        <v>29048137</v>
      </c>
      <c r="F161" s="3454">
        <v>30734233</v>
      </c>
      <c r="G161" s="3454">
        <v>34700254</v>
      </c>
    </row>
    <row r="162" spans="1:16" s="2423" customFormat="1" ht="13.5" thickBot="1" x14ac:dyDescent="0.3">
      <c r="A162" s="3230"/>
      <c r="B162" s="3423" t="s">
        <v>5456</v>
      </c>
      <c r="C162" s="3426">
        <f>C160/C161</f>
        <v>0.99167679630030947</v>
      </c>
      <c r="D162" s="3426">
        <f>D160/D161</f>
        <v>0.97709228447383711</v>
      </c>
      <c r="E162" s="3426">
        <f>E160/E161</f>
        <v>0.9782440092457565</v>
      </c>
      <c r="F162" s="3426">
        <f>F160/F161</f>
        <v>0.98550300572003868</v>
      </c>
      <c r="G162" s="3426">
        <f>G160/G161</f>
        <v>0.98546676344213502</v>
      </c>
    </row>
    <row r="163" spans="1:16" x14ac:dyDescent="0.25">
      <c r="D163" s="3406">
        <f>D162-C162</f>
        <v>-1.4584511826472357E-2</v>
      </c>
      <c r="E163" s="3406">
        <f t="shared" ref="E163:G163" si="2">E162-D162</f>
        <v>1.1517247719193824E-3</v>
      </c>
      <c r="F163" s="3406">
        <f t="shared" si="2"/>
        <v>7.2589964742821866E-3</v>
      </c>
      <c r="G163" s="3406">
        <f t="shared" si="2"/>
        <v>-3.6242277903664188E-5</v>
      </c>
      <c r="H163" s="3414">
        <f>AVERAGE(D163:G163)</f>
        <v>-1.5525082145436131E-3</v>
      </c>
    </row>
    <row r="165" spans="1:16" ht="17.25" thickBot="1" x14ac:dyDescent="0.3">
      <c r="B165" s="21" t="s">
        <v>5457</v>
      </c>
    </row>
    <row r="166" spans="1:16" ht="17.25" thickBot="1" x14ac:dyDescent="0.3">
      <c r="B166" s="5240" t="s">
        <v>1898</v>
      </c>
      <c r="C166" s="2175">
        <v>2023</v>
      </c>
      <c r="D166" s="2175">
        <f>C166+1</f>
        <v>2024</v>
      </c>
      <c r="E166" s="2175">
        <f t="shared" ref="E166:N167" si="3">D166+1</f>
        <v>2025</v>
      </c>
      <c r="F166" s="2175">
        <f t="shared" si="3"/>
        <v>2026</v>
      </c>
      <c r="G166" s="2175">
        <f>F166+1</f>
        <v>2027</v>
      </c>
      <c r="H166" s="2175">
        <f t="shared" si="3"/>
        <v>2028</v>
      </c>
      <c r="I166" s="2175">
        <f t="shared" si="3"/>
        <v>2029</v>
      </c>
      <c r="J166" s="2175">
        <f t="shared" si="3"/>
        <v>2030</v>
      </c>
      <c r="K166" s="2175">
        <f t="shared" si="3"/>
        <v>2031</v>
      </c>
      <c r="L166" s="2175">
        <f t="shared" si="3"/>
        <v>2032</v>
      </c>
      <c r="M166" s="2175">
        <f t="shared" si="3"/>
        <v>2033</v>
      </c>
      <c r="N166" s="3444">
        <f t="shared" si="3"/>
        <v>2034</v>
      </c>
    </row>
    <row r="167" spans="1:16" ht="17.25" thickBot="1" x14ac:dyDescent="0.3">
      <c r="B167" s="5241"/>
      <c r="C167" s="3445">
        <v>4</v>
      </c>
      <c r="D167" s="3445">
        <f>C167+1</f>
        <v>5</v>
      </c>
      <c r="E167" s="3445">
        <f t="shared" si="3"/>
        <v>6</v>
      </c>
      <c r="F167" s="3445">
        <f t="shared" si="3"/>
        <v>7</v>
      </c>
      <c r="G167" s="3445">
        <f>F167+1</f>
        <v>8</v>
      </c>
      <c r="H167" s="3445">
        <f t="shared" si="3"/>
        <v>9</v>
      </c>
      <c r="I167" s="3445">
        <f t="shared" si="3"/>
        <v>10</v>
      </c>
      <c r="J167" s="3445">
        <f t="shared" si="3"/>
        <v>11</v>
      </c>
      <c r="K167" s="3445">
        <f t="shared" si="3"/>
        <v>12</v>
      </c>
      <c r="L167" s="3445">
        <f t="shared" si="3"/>
        <v>13</v>
      </c>
      <c r="M167" s="3445">
        <f t="shared" si="3"/>
        <v>14</v>
      </c>
      <c r="N167" s="3446">
        <f t="shared" si="3"/>
        <v>15</v>
      </c>
      <c r="P167" s="21" t="s">
        <v>5458</v>
      </c>
    </row>
    <row r="168" spans="1:16" ht="17.25" thickBot="1" x14ac:dyDescent="0.3">
      <c r="B168" s="3427" t="s">
        <v>5823</v>
      </c>
      <c r="C168" s="3428" t="e">
        <f>'26.1 Insumos CP'!I15</f>
        <v>#DIV/0!</v>
      </c>
      <c r="D168" s="3428" t="e">
        <f>'26.1 Insumos CP'!J15</f>
        <v>#DIV/0!</v>
      </c>
      <c r="E168" s="3428" t="e">
        <f>'26.1 Insumos CP'!K15</f>
        <v>#DIV/0!</v>
      </c>
      <c r="F168" s="3428" t="e">
        <f>'26.1 Insumos CP'!L15</f>
        <v>#DIV/0!</v>
      </c>
      <c r="G168" s="3428" t="e">
        <f>'26.1 Insumos CP'!M15</f>
        <v>#DIV/0!</v>
      </c>
      <c r="H168" s="3428" t="e">
        <f>'26.1 Insumos CP'!N15</f>
        <v>#DIV/0!</v>
      </c>
      <c r="I168" s="3428" t="e">
        <f>'26.1 Insumos CP'!O15</f>
        <v>#DIV/0!</v>
      </c>
      <c r="J168" s="3428" t="e">
        <f>'26.1 Insumos CP'!P15</f>
        <v>#DIV/0!</v>
      </c>
      <c r="K168" s="3428" t="e">
        <f>'26.1 Insumos CP'!Q15</f>
        <v>#DIV/0!</v>
      </c>
      <c r="L168" s="3428" t="e">
        <f>'26.1 Insumos CP'!R15</f>
        <v>#DIV/0!</v>
      </c>
      <c r="M168" s="3428" t="e">
        <f>'26.1 Insumos CP'!S15</f>
        <v>#DIV/0!</v>
      </c>
      <c r="N168" s="3428" t="e">
        <f>'26.1 Insumos CP'!T15</f>
        <v>#DIV/0!</v>
      </c>
      <c r="P168" s="3407">
        <v>26.1</v>
      </c>
    </row>
    <row r="169" spans="1:16" ht="17.25" thickBot="1" x14ac:dyDescent="0.3">
      <c r="B169" s="3427" t="s">
        <v>5824</v>
      </c>
      <c r="C169" s="3428" t="e">
        <f>SUM(C170:C171)</f>
        <v>#DIV/0!</v>
      </c>
      <c r="D169" s="3428" t="e">
        <f t="shared" ref="D169:N169" si="4">SUM(D170:D171)</f>
        <v>#DIV/0!</v>
      </c>
      <c r="E169" s="3428" t="e">
        <f t="shared" si="4"/>
        <v>#DIV/0!</v>
      </c>
      <c r="F169" s="3428" t="e">
        <f t="shared" si="4"/>
        <v>#DIV/0!</v>
      </c>
      <c r="G169" s="3428" t="e">
        <f t="shared" si="4"/>
        <v>#DIV/0!</v>
      </c>
      <c r="H169" s="3428" t="e">
        <f t="shared" si="4"/>
        <v>#DIV/0!</v>
      </c>
      <c r="I169" s="3428" t="e">
        <f t="shared" si="4"/>
        <v>#DIV/0!</v>
      </c>
      <c r="J169" s="3428" t="e">
        <f t="shared" si="4"/>
        <v>#DIV/0!</v>
      </c>
      <c r="K169" s="3428" t="e">
        <f t="shared" si="4"/>
        <v>#DIV/0!</v>
      </c>
      <c r="L169" s="3428" t="e">
        <f t="shared" si="4"/>
        <v>#DIV/0!</v>
      </c>
      <c r="M169" s="3428" t="e">
        <f t="shared" si="4"/>
        <v>#DIV/0!</v>
      </c>
      <c r="N169" s="3428" t="e">
        <f t="shared" si="4"/>
        <v>#DIV/0!</v>
      </c>
    </row>
    <row r="170" spans="1:16" ht="17.25" thickBot="1" x14ac:dyDescent="0.3">
      <c r="B170" s="3429" t="s">
        <v>5459</v>
      </c>
      <c r="C170" s="3430" t="e">
        <f>'26 Costos OyM CP'!H15</f>
        <v>#DIV/0!</v>
      </c>
      <c r="D170" s="3430" t="e">
        <f>'26 Costos OyM CP'!I15</f>
        <v>#DIV/0!</v>
      </c>
      <c r="E170" s="3430" t="e">
        <f>'26 Costos OyM CP'!J15</f>
        <v>#DIV/0!</v>
      </c>
      <c r="F170" s="3430" t="e">
        <f>'26 Costos OyM CP'!K15</f>
        <v>#DIV/0!</v>
      </c>
      <c r="G170" s="3430" t="e">
        <f>'26 Costos OyM CP'!L15</f>
        <v>#DIV/0!</v>
      </c>
      <c r="H170" s="3430" t="e">
        <f>'26 Costos OyM CP'!M15</f>
        <v>#DIV/0!</v>
      </c>
      <c r="I170" s="3430" t="e">
        <f>'26 Costos OyM CP'!N15</f>
        <v>#DIV/0!</v>
      </c>
      <c r="J170" s="3430" t="e">
        <f>'26 Costos OyM CP'!O15</f>
        <v>#DIV/0!</v>
      </c>
      <c r="K170" s="3430" t="e">
        <f>'26 Costos OyM CP'!P15</f>
        <v>#DIV/0!</v>
      </c>
      <c r="L170" s="3430" t="e">
        <f>'26 Costos OyM CP'!Q15</f>
        <v>#DIV/0!</v>
      </c>
      <c r="M170" s="3430" t="e">
        <f>'26 Costos OyM CP'!R15</f>
        <v>#DIV/0!</v>
      </c>
      <c r="N170" s="3430" t="e">
        <f>'26 Costos OyM CP'!S15</f>
        <v>#DIV/0!</v>
      </c>
    </row>
    <row r="171" spans="1:16" ht="17.25" thickBot="1" x14ac:dyDescent="0.3">
      <c r="B171" s="3429" t="s">
        <v>5460</v>
      </c>
      <c r="C171" s="3430">
        <f>'26 Costos OyM CP'!H28</f>
        <v>568711.46011099999</v>
      </c>
      <c r="D171" s="3430">
        <f>'26 Costos OyM CP'!I28</f>
        <v>804212.26686833333</v>
      </c>
      <c r="E171" s="3430">
        <f>'26 Costos OyM CP'!J28</f>
        <v>816759.37563599995</v>
      </c>
      <c r="F171" s="3430">
        <f>'26 Costos OyM CP'!K28</f>
        <v>808845.16563599999</v>
      </c>
      <c r="G171" s="3430">
        <f>'26 Costos OyM CP'!L28</f>
        <v>848633.45896933333</v>
      </c>
      <c r="H171" s="3430">
        <f>'26 Costos OyM CP'!M28</f>
        <v>786085.44713600003</v>
      </c>
      <c r="I171" s="3430">
        <f>'26 Costos OyM CP'!N28</f>
        <v>811225.16788499989</v>
      </c>
      <c r="J171" s="3430">
        <f>'26 Costos OyM CP'!O28</f>
        <v>804228.45896933333</v>
      </c>
      <c r="K171" s="3430">
        <f>'26 Costos OyM CP'!P28</f>
        <v>812640.48563600006</v>
      </c>
      <c r="L171" s="3430">
        <f>'26 Costos OyM CP'!Q28</f>
        <v>957485.305636</v>
      </c>
      <c r="M171" s="3430">
        <f>'26 Costos OyM CP'!R28</f>
        <v>649707.44984433334</v>
      </c>
      <c r="N171" s="3430">
        <f>'26 Costos OyM CP'!S28</f>
        <v>798375.85983500001</v>
      </c>
    </row>
    <row r="172" spans="1:16" ht="17.25" thickBot="1" x14ac:dyDescent="0.3">
      <c r="B172" s="3447" t="s">
        <v>5461</v>
      </c>
      <c r="C172" s="3448" t="e">
        <f>C168-C169</f>
        <v>#DIV/0!</v>
      </c>
      <c r="D172" s="3448" t="e">
        <f t="shared" ref="D172:N172" si="5">D168-D169</f>
        <v>#DIV/0!</v>
      </c>
      <c r="E172" s="3448" t="e">
        <f t="shared" si="5"/>
        <v>#DIV/0!</v>
      </c>
      <c r="F172" s="3448" t="e">
        <f t="shared" si="5"/>
        <v>#DIV/0!</v>
      </c>
      <c r="G172" s="3448" t="e">
        <f t="shared" si="5"/>
        <v>#DIV/0!</v>
      </c>
      <c r="H172" s="3448" t="e">
        <f t="shared" si="5"/>
        <v>#DIV/0!</v>
      </c>
      <c r="I172" s="3448" t="e">
        <f t="shared" si="5"/>
        <v>#DIV/0!</v>
      </c>
      <c r="J172" s="3448" t="e">
        <f t="shared" si="5"/>
        <v>#DIV/0!</v>
      </c>
      <c r="K172" s="3448" t="e">
        <f t="shared" si="5"/>
        <v>#DIV/0!</v>
      </c>
      <c r="L172" s="3448" t="e">
        <f t="shared" si="5"/>
        <v>#DIV/0!</v>
      </c>
      <c r="M172" s="3448" t="e">
        <f t="shared" si="5"/>
        <v>#DIV/0!</v>
      </c>
      <c r="N172" s="3448" t="e">
        <f t="shared" si="5"/>
        <v>#DIV/0!</v>
      </c>
    </row>
    <row r="173" spans="1:16" ht="17.25" thickBot="1" x14ac:dyDescent="0.3">
      <c r="B173" s="3429" t="s">
        <v>5462</v>
      </c>
      <c r="C173" s="3432" t="e">
        <f>C168/C169</f>
        <v>#DIV/0!</v>
      </c>
      <c r="D173" s="3432" t="e">
        <f t="shared" ref="D173:N173" si="6">D168/D169</f>
        <v>#DIV/0!</v>
      </c>
      <c r="E173" s="3432" t="e">
        <f t="shared" si="6"/>
        <v>#DIV/0!</v>
      </c>
      <c r="F173" s="3432" t="e">
        <f t="shared" si="6"/>
        <v>#DIV/0!</v>
      </c>
      <c r="G173" s="3432" t="e">
        <f t="shared" si="6"/>
        <v>#DIV/0!</v>
      </c>
      <c r="H173" s="3432" t="e">
        <f t="shared" si="6"/>
        <v>#DIV/0!</v>
      </c>
      <c r="I173" s="3432" t="e">
        <f t="shared" si="6"/>
        <v>#DIV/0!</v>
      </c>
      <c r="J173" s="3432" t="e">
        <f t="shared" si="6"/>
        <v>#DIV/0!</v>
      </c>
      <c r="K173" s="3432" t="e">
        <f>K168/K169</f>
        <v>#DIV/0!</v>
      </c>
      <c r="L173" s="3432" t="e">
        <f t="shared" si="6"/>
        <v>#DIV/0!</v>
      </c>
      <c r="M173" s="3432" t="e">
        <f t="shared" si="6"/>
        <v>#DIV/0!</v>
      </c>
      <c r="N173" s="3432" t="e">
        <f t="shared" si="6"/>
        <v>#DIV/0!</v>
      </c>
    </row>
    <row r="174" spans="1:16" ht="17.25" thickBot="1" x14ac:dyDescent="0.3">
      <c r="B174" s="3431" t="s">
        <v>5463</v>
      </c>
      <c r="C174" s="3432" t="e">
        <f>AVERAGE(C173:N173)</f>
        <v>#DIV/0!</v>
      </c>
      <c r="D174" s="3428"/>
      <c r="E174" s="3428"/>
      <c r="F174" s="3428"/>
      <c r="G174" s="3428"/>
      <c r="H174" s="3428"/>
      <c r="I174" s="3428"/>
      <c r="J174" s="3428"/>
      <c r="K174" s="3428"/>
      <c r="L174" s="3428"/>
      <c r="M174" s="3428"/>
      <c r="N174" s="3428"/>
    </row>
    <row r="175" spans="1:16" ht="26.25" thickBot="1" x14ac:dyDescent="0.3">
      <c r="B175" s="3449" t="s">
        <v>5464</v>
      </c>
      <c r="C175" s="3450">
        <f>K112</f>
        <v>7941432</v>
      </c>
      <c r="D175" s="3450">
        <f>C175</f>
        <v>7941432</v>
      </c>
      <c r="E175" s="3450">
        <f t="shared" ref="E175:N175" si="7">D175</f>
        <v>7941432</v>
      </c>
      <c r="F175" s="3450">
        <f t="shared" si="7"/>
        <v>7941432</v>
      </c>
      <c r="G175" s="3450">
        <f>F175</f>
        <v>7941432</v>
      </c>
      <c r="H175" s="3450">
        <f t="shared" si="7"/>
        <v>7941432</v>
      </c>
      <c r="I175" s="3450">
        <f t="shared" si="7"/>
        <v>7941432</v>
      </c>
      <c r="J175" s="3450">
        <f t="shared" si="7"/>
        <v>7941432</v>
      </c>
      <c r="K175" s="3450">
        <f t="shared" si="7"/>
        <v>7941432</v>
      </c>
      <c r="L175" s="3450">
        <f t="shared" si="7"/>
        <v>7941432</v>
      </c>
      <c r="M175" s="3450">
        <f t="shared" si="7"/>
        <v>7941432</v>
      </c>
      <c r="N175" s="3450">
        <f t="shared" si="7"/>
        <v>7941432</v>
      </c>
    </row>
    <row r="176" spans="1:16" ht="17.25" thickBot="1" x14ac:dyDescent="0.3">
      <c r="B176" s="3434" t="s">
        <v>5465</v>
      </c>
      <c r="C176" s="3433">
        <f>G161-G160</f>
        <v>504307</v>
      </c>
      <c r="D176" s="3433">
        <f>C176*(1+$H163)</f>
        <v>503524.05923984817</v>
      </c>
      <c r="E176" s="3433">
        <f>D176*(1+$H163)</f>
        <v>502742.33400165796</v>
      </c>
      <c r="F176" s="3433">
        <f>E176*(1+$H163)</f>
        <v>501961.82239832159</v>
      </c>
      <c r="G176" s="3433">
        <f>F176*(1+$H163)</f>
        <v>501182.52254566096</v>
      </c>
      <c r="H176" s="3433">
        <f t="shared" ref="H176:N176" si="8">G176*(1+$H163)</f>
        <v>500404.43256242317</v>
      </c>
      <c r="I176" s="3433">
        <f t="shared" si="8"/>
        <v>499627.55057027598</v>
      </c>
      <c r="J176" s="3433">
        <f t="shared" si="8"/>
        <v>498851.87469380337</v>
      </c>
      <c r="K176" s="3433">
        <f>J176*(1+$H163)</f>
        <v>498077.4030605008</v>
      </c>
      <c r="L176" s="3433">
        <f t="shared" si="8"/>
        <v>497304.13380077085</v>
      </c>
      <c r="M176" s="3433">
        <f t="shared" si="8"/>
        <v>496532.0650479187</v>
      </c>
      <c r="N176" s="3433">
        <f t="shared" si="8"/>
        <v>495761.19493814756</v>
      </c>
    </row>
    <row r="177" spans="2:14" ht="17.25" thickBot="1" x14ac:dyDescent="0.3">
      <c r="B177" s="3451" t="s">
        <v>5466</v>
      </c>
      <c r="C177" s="3450" t="e">
        <f>C169-C178</f>
        <v>#DIV/0!</v>
      </c>
      <c r="D177" s="3450" t="e">
        <f t="shared" ref="D177:N177" si="9">D169-D178</f>
        <v>#DIV/0!</v>
      </c>
      <c r="E177" s="3450" t="e">
        <f t="shared" si="9"/>
        <v>#DIV/0!</v>
      </c>
      <c r="F177" s="3450" t="e">
        <f t="shared" si="9"/>
        <v>#DIV/0!</v>
      </c>
      <c r="G177" s="3450" t="e">
        <f t="shared" si="9"/>
        <v>#DIV/0!</v>
      </c>
      <c r="H177" s="3450" t="e">
        <f t="shared" si="9"/>
        <v>#DIV/0!</v>
      </c>
      <c r="I177" s="3450" t="e">
        <f t="shared" si="9"/>
        <v>#DIV/0!</v>
      </c>
      <c r="J177" s="3450" t="e">
        <f t="shared" si="9"/>
        <v>#DIV/0!</v>
      </c>
      <c r="K177" s="3450" t="e">
        <f t="shared" si="9"/>
        <v>#DIV/0!</v>
      </c>
      <c r="L177" s="3450" t="e">
        <f t="shared" si="9"/>
        <v>#DIV/0!</v>
      </c>
      <c r="M177" s="3450" t="e">
        <f t="shared" si="9"/>
        <v>#DIV/0!</v>
      </c>
      <c r="N177" s="3450" t="e">
        <f t="shared" si="9"/>
        <v>#DIV/0!</v>
      </c>
    </row>
    <row r="178" spans="2:14" ht="17.25" thickBot="1" x14ac:dyDescent="0.3">
      <c r="B178" s="1767" t="s">
        <v>5467</v>
      </c>
      <c r="C178" s="3058" t="e">
        <f>(C172*-1)-C176</f>
        <v>#DIV/0!</v>
      </c>
      <c r="D178" s="3058" t="e">
        <f t="shared" ref="D178:N178" si="10">(D172*-1)-D176</f>
        <v>#DIV/0!</v>
      </c>
      <c r="E178" s="3058" t="e">
        <f t="shared" si="10"/>
        <v>#DIV/0!</v>
      </c>
      <c r="F178" s="3058" t="e">
        <f t="shared" si="10"/>
        <v>#DIV/0!</v>
      </c>
      <c r="G178" s="3058" t="e">
        <f t="shared" si="10"/>
        <v>#DIV/0!</v>
      </c>
      <c r="H178" s="3058" t="e">
        <f t="shared" si="10"/>
        <v>#DIV/0!</v>
      </c>
      <c r="I178" s="3058" t="e">
        <f t="shared" si="10"/>
        <v>#DIV/0!</v>
      </c>
      <c r="J178" s="3058" t="e">
        <f t="shared" si="10"/>
        <v>#DIV/0!</v>
      </c>
      <c r="K178" s="3058" t="e">
        <f t="shared" si="10"/>
        <v>#DIV/0!</v>
      </c>
      <c r="L178" s="3058" t="e">
        <f t="shared" si="10"/>
        <v>#DIV/0!</v>
      </c>
      <c r="M178" s="3058" t="e">
        <f t="shared" si="10"/>
        <v>#DIV/0!</v>
      </c>
      <c r="N178" s="3058" t="e">
        <f t="shared" si="10"/>
        <v>#DIV/0!</v>
      </c>
    </row>
    <row r="179" spans="2:14" ht="17.25" thickBot="1" x14ac:dyDescent="0.3">
      <c r="B179" s="3434" t="s">
        <v>5468</v>
      </c>
      <c r="C179" s="3435">
        <f>C176/C175</f>
        <v>6.3503282531412464E-2</v>
      </c>
      <c r="D179" s="3435">
        <f>D176/D175</f>
        <v>6.3404693163631967E-2</v>
      </c>
      <c r="E179" s="3435">
        <f t="shared" ref="E179:N179" si="11">E176/E175</f>
        <v>6.3306256856654822E-2</v>
      </c>
      <c r="F179" s="3435">
        <f>F176/F175</f>
        <v>6.320797337285286E-2</v>
      </c>
      <c r="G179" s="3435">
        <f t="shared" si="11"/>
        <v>6.3109842474966857E-2</v>
      </c>
      <c r="H179" s="3435">
        <f t="shared" si="11"/>
        <v>6.3011863926105915E-2</v>
      </c>
      <c r="I179" s="3435">
        <f t="shared" si="11"/>
        <v>6.291403748974693E-2</v>
      </c>
      <c r="J179" s="3435">
        <f t="shared" si="11"/>
        <v>6.2816362929733999E-2</v>
      </c>
      <c r="K179" s="3435">
        <f t="shared" si="11"/>
        <v>6.2718840010277846E-2</v>
      </c>
      <c r="L179" s="3435">
        <f t="shared" si="11"/>
        <v>6.2621468495955249E-2</v>
      </c>
      <c r="M179" s="3435">
        <f t="shared" si="11"/>
        <v>6.2524248151708497E-2</v>
      </c>
      <c r="N179" s="3435">
        <f t="shared" si="11"/>
        <v>6.2427178742844813E-2</v>
      </c>
    </row>
    <row r="180" spans="2:14" hidden="1" x14ac:dyDescent="0.25">
      <c r="B180" s="3417" t="s">
        <v>5469</v>
      </c>
      <c r="C180" s="3418">
        <f>AVERAGE(C179:O179)</f>
        <v>6.2963837345491033E-2</v>
      </c>
      <c r="D180" s="3419"/>
      <c r="E180" s="3419"/>
      <c r="F180" s="3419"/>
      <c r="G180" s="3419"/>
      <c r="H180" s="3419"/>
      <c r="I180" s="3419"/>
      <c r="J180" s="3419"/>
      <c r="K180" s="3419"/>
      <c r="L180" s="3419"/>
      <c r="M180" s="3419"/>
      <c r="N180" s="3419"/>
    </row>
    <row r="182" spans="2:14" x14ac:dyDescent="0.25">
      <c r="C182" s="2171">
        <v>1</v>
      </c>
      <c r="D182" s="2171">
        <v>2</v>
      </c>
      <c r="E182" s="2171">
        <v>3</v>
      </c>
      <c r="F182" s="2171">
        <v>4</v>
      </c>
      <c r="G182" s="2171">
        <v>5</v>
      </c>
      <c r="H182" s="2171">
        <v>6</v>
      </c>
      <c r="I182" s="2171">
        <v>7</v>
      </c>
      <c r="J182" s="2171">
        <v>8</v>
      </c>
      <c r="K182" s="2171">
        <v>9</v>
      </c>
      <c r="L182" s="2171">
        <v>10</v>
      </c>
      <c r="M182" s="2171">
        <v>11</v>
      </c>
      <c r="N182" s="2171">
        <v>12</v>
      </c>
    </row>
    <row r="183" spans="2:14" x14ac:dyDescent="0.25">
      <c r="C183" s="3408"/>
      <c r="D183" s="3408"/>
      <c r="E183" s="3408"/>
      <c r="F183" s="3408"/>
      <c r="G183" s="3408"/>
      <c r="H183" s="3408"/>
      <c r="I183" s="3408"/>
      <c r="J183" s="3408"/>
      <c r="K183" s="3408"/>
      <c r="L183" s="3408"/>
      <c r="M183" s="3408"/>
      <c r="N183" s="3408"/>
    </row>
    <row r="184" spans="2:14" x14ac:dyDescent="0.25">
      <c r="C184" s="3408"/>
    </row>
  </sheetData>
  <mergeCells count="33">
    <mergeCell ref="B49:E49"/>
    <mergeCell ref="B144:E144"/>
    <mergeCell ref="B2:G2"/>
    <mergeCell ref="B22:G22"/>
    <mergeCell ref="B166:B167"/>
    <mergeCell ref="B4:E4"/>
    <mergeCell ref="B13:E13"/>
    <mergeCell ref="B31:E31"/>
    <mergeCell ref="B40:E40"/>
    <mergeCell ref="B58:E58"/>
    <mergeCell ref="B66:E66"/>
    <mergeCell ref="B74:E74"/>
    <mergeCell ref="B82:E82"/>
    <mergeCell ref="I106:J106"/>
    <mergeCell ref="K106:L106"/>
    <mergeCell ref="C107:D107"/>
    <mergeCell ref="E107:F107"/>
    <mergeCell ref="G107:H107"/>
    <mergeCell ref="I107:J107"/>
    <mergeCell ref="K107:L107"/>
    <mergeCell ref="C106:D106"/>
    <mergeCell ref="E106:F106"/>
    <mergeCell ref="G106:H106"/>
    <mergeCell ref="K108:L108"/>
    <mergeCell ref="C109:C110"/>
    <mergeCell ref="E109:E110"/>
    <mergeCell ref="G109:G110"/>
    <mergeCell ref="I109:I110"/>
    <mergeCell ref="K109:K110"/>
    <mergeCell ref="C108:D108"/>
    <mergeCell ref="E108:F108"/>
    <mergeCell ref="G108:H108"/>
    <mergeCell ref="I108:J108"/>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00B0F0"/>
  </sheetPr>
  <dimension ref="A3:M42"/>
  <sheetViews>
    <sheetView zoomScale="85" zoomScaleNormal="85" workbookViewId="0">
      <selection activeCell="F21" sqref="F21"/>
    </sheetView>
  </sheetViews>
  <sheetFormatPr baseColWidth="10" defaultColWidth="11.42578125" defaultRowHeight="13.5" x14ac:dyDescent="0.25"/>
  <cols>
    <col min="1" max="1" width="8.7109375" style="691" customWidth="1"/>
    <col min="2" max="2" width="14" style="691" customWidth="1"/>
    <col min="3" max="3" width="16.140625" style="691" customWidth="1"/>
    <col min="4" max="4" width="13.5703125" style="691" customWidth="1"/>
    <col min="5" max="5" width="11.42578125" style="691"/>
    <col min="6" max="6" width="18" style="691" customWidth="1"/>
    <col min="7" max="7" width="14.28515625" style="691" customWidth="1"/>
    <col min="8" max="8" width="11.42578125" style="691"/>
    <col min="9" max="9" width="17.85546875" style="691" customWidth="1"/>
    <col min="10" max="10" width="11.42578125" style="691"/>
    <col min="11" max="11" width="31.42578125" style="691" customWidth="1"/>
    <col min="12" max="13" width="11.42578125" style="691"/>
    <col min="14" max="14" width="16.5703125" style="691" customWidth="1"/>
    <col min="15" max="15" width="11.42578125" style="691"/>
    <col min="16" max="16" width="29.28515625" style="691" customWidth="1"/>
    <col min="17" max="16384" width="11.42578125" style="691"/>
  </cols>
  <sheetData>
    <row r="3" spans="1:13" ht="14.25" thickBot="1" x14ac:dyDescent="0.3">
      <c r="B3" s="5243" t="s">
        <v>4162</v>
      </c>
      <c r="C3" s="5243"/>
      <c r="D3" s="5243"/>
      <c r="E3" s="5243"/>
      <c r="F3" s="5243"/>
      <c r="G3" s="5243"/>
    </row>
    <row r="4" spans="1:13" ht="54.75" thickBot="1" x14ac:dyDescent="0.3">
      <c r="A4" s="3245"/>
      <c r="B4" s="1035" t="s">
        <v>3825</v>
      </c>
      <c r="C4" s="2479" t="s">
        <v>4010</v>
      </c>
      <c r="D4" s="2479" t="s">
        <v>4011</v>
      </c>
      <c r="E4" s="2479" t="s">
        <v>4012</v>
      </c>
      <c r="F4" s="2479" t="s">
        <v>4013</v>
      </c>
      <c r="G4" s="1036" t="s">
        <v>0</v>
      </c>
      <c r="J4" s="1035" t="s">
        <v>4010</v>
      </c>
      <c r="K4" s="2479" t="s">
        <v>4011</v>
      </c>
      <c r="L4" s="2479" t="s">
        <v>4012</v>
      </c>
      <c r="M4" s="1036" t="s">
        <v>4013</v>
      </c>
    </row>
    <row r="5" spans="1:13" ht="14.25" thickBot="1" x14ac:dyDescent="0.3">
      <c r="A5" s="3246"/>
      <c r="B5" s="2462">
        <v>2014</v>
      </c>
      <c r="C5" s="2463">
        <f>G25</f>
        <v>93212.03</v>
      </c>
      <c r="D5" s="2463">
        <v>99038.25</v>
      </c>
      <c r="E5" s="2463">
        <v>13004</v>
      </c>
      <c r="F5" s="2463">
        <v>0</v>
      </c>
      <c r="G5" s="2463">
        <f t="shared" ref="G5:G11" si="0">SUM(C5:F5)</f>
        <v>205254.28</v>
      </c>
      <c r="J5" s="3250">
        <f t="shared" ref="J5:M5" si="1">C11</f>
        <v>0.52253694850021559</v>
      </c>
      <c r="K5" s="3250">
        <f t="shared" si="1"/>
        <v>0.39650985034618036</v>
      </c>
      <c r="L5" s="3250">
        <f t="shared" si="1"/>
        <v>5.6624700007841526E-2</v>
      </c>
      <c r="M5" s="3250">
        <f t="shared" si="1"/>
        <v>2.4328501145762627E-2</v>
      </c>
    </row>
    <row r="6" spans="1:13" ht="14.25" thickBot="1" x14ac:dyDescent="0.3">
      <c r="A6" s="3246"/>
      <c r="B6" s="2462">
        <v>2015</v>
      </c>
      <c r="C6" s="2463">
        <f>G26</f>
        <v>98030.180000000022</v>
      </c>
      <c r="D6" s="3249">
        <v>164796.44</v>
      </c>
      <c r="E6" s="2463">
        <v>12527.6</v>
      </c>
      <c r="F6" s="3249">
        <v>11143.44</v>
      </c>
      <c r="G6" s="2463">
        <f t="shared" si="0"/>
        <v>286497.65999999997</v>
      </c>
    </row>
    <row r="7" spans="1:13" ht="14.25" thickBot="1" x14ac:dyDescent="0.3">
      <c r="A7" s="3246"/>
      <c r="B7" s="2462">
        <v>2016</v>
      </c>
      <c r="C7" s="2463">
        <f>G27</f>
        <v>111297.40000000001</v>
      </c>
      <c r="D7" s="2463">
        <v>77683</v>
      </c>
      <c r="E7" s="2463">
        <v>13580</v>
      </c>
      <c r="F7" s="2463">
        <v>15044.95</v>
      </c>
      <c r="G7" s="2463">
        <f t="shared" si="0"/>
        <v>217605.35000000003</v>
      </c>
    </row>
    <row r="8" spans="1:13" ht="14.25" thickBot="1" x14ac:dyDescent="0.3">
      <c r="A8" s="3246"/>
      <c r="B8" s="2462">
        <v>2017</v>
      </c>
      <c r="C8" s="2463">
        <f>G28</f>
        <v>122012.32</v>
      </c>
      <c r="D8" s="2463">
        <v>44787.59</v>
      </c>
      <c r="E8" s="2463">
        <v>12335</v>
      </c>
      <c r="F8" s="2463">
        <v>0</v>
      </c>
      <c r="G8" s="2463">
        <f t="shared" si="0"/>
        <v>179134.91</v>
      </c>
    </row>
    <row r="9" spans="1:13" ht="14.25" thickBot="1" x14ac:dyDescent="0.3">
      <c r="A9" s="3246"/>
      <c r="B9" s="2462">
        <v>2018</v>
      </c>
      <c r="C9" s="2463">
        <f t="shared" ref="C9" si="2">G29</f>
        <v>137932.43</v>
      </c>
      <c r="D9" s="2463">
        <v>40517.339999999997</v>
      </c>
      <c r="E9" s="2463">
        <v>9507</v>
      </c>
      <c r="F9" s="2463">
        <v>0</v>
      </c>
      <c r="G9" s="2463">
        <f t="shared" si="0"/>
        <v>187956.77</v>
      </c>
    </row>
    <row r="10" spans="1:13" ht="15.75" customHeight="1" thickBot="1" x14ac:dyDescent="0.3">
      <c r="A10" s="3247"/>
      <c r="B10" s="3253" t="s">
        <v>3949</v>
      </c>
      <c r="C10" s="3254">
        <f>G30</f>
        <v>562484.3600000001</v>
      </c>
      <c r="D10" s="3254">
        <f>SUM(D5:D9)</f>
        <v>426822.62</v>
      </c>
      <c r="E10" s="3254">
        <f>SUM(E5:E9)</f>
        <v>60953.599999999999</v>
      </c>
      <c r="F10" s="3254">
        <f>SUM(F5:F9)</f>
        <v>26188.39</v>
      </c>
      <c r="G10" s="3254">
        <f t="shared" si="0"/>
        <v>1076448.97</v>
      </c>
    </row>
    <row r="11" spans="1:13" ht="30.75" customHeight="1" thickBot="1" x14ac:dyDescent="0.3">
      <c r="B11" s="2574" t="s">
        <v>4023</v>
      </c>
      <c r="C11" s="3252">
        <f>C10/G10</f>
        <v>0.52253694850021559</v>
      </c>
      <c r="D11" s="3252">
        <f>D10/G10</f>
        <v>0.39650985034618036</v>
      </c>
      <c r="E11" s="3252">
        <f>E10/G10</f>
        <v>5.6624700007841526E-2</v>
      </c>
      <c r="F11" s="3252">
        <f>F10/G10</f>
        <v>2.4328501145762627E-2</v>
      </c>
      <c r="G11" s="3252">
        <f t="shared" si="0"/>
        <v>1</v>
      </c>
    </row>
    <row r="12" spans="1:13" x14ac:dyDescent="0.25">
      <c r="E12" s="3248"/>
    </row>
    <row r="13" spans="1:13" ht="14.25" thickBot="1" x14ac:dyDescent="0.3">
      <c r="B13" s="5244" t="s">
        <v>4163</v>
      </c>
      <c r="C13" s="5244"/>
      <c r="D13" s="5244"/>
      <c r="E13" s="5244"/>
      <c r="F13" s="5244"/>
      <c r="G13" s="5244"/>
    </row>
    <row r="14" spans="1:13" ht="41.25" thickBot="1" x14ac:dyDescent="0.3">
      <c r="B14" s="1035" t="s">
        <v>3825</v>
      </c>
      <c r="C14" s="2479" t="s">
        <v>4010</v>
      </c>
      <c r="D14" s="2479" t="s">
        <v>4011</v>
      </c>
      <c r="E14" s="2479" t="s">
        <v>4012</v>
      </c>
      <c r="F14" s="2479" t="s">
        <v>4013</v>
      </c>
      <c r="G14" s="1036" t="s">
        <v>0</v>
      </c>
    </row>
    <row r="15" spans="1:13" ht="14.25" thickBot="1" x14ac:dyDescent="0.3">
      <c r="B15" s="2462">
        <v>2014</v>
      </c>
      <c r="C15" s="2463">
        <f>G36</f>
        <v>93212.03</v>
      </c>
      <c r="D15" s="2463">
        <v>99038.29</v>
      </c>
      <c r="E15" s="2463">
        <v>12860.9</v>
      </c>
      <c r="F15" s="2463">
        <v>0</v>
      </c>
      <c r="G15" s="2463">
        <f t="shared" ref="G15:G21" si="3">SUM(C15:F15)</f>
        <v>205111.22</v>
      </c>
    </row>
    <row r="16" spans="1:13" ht="14.25" thickBot="1" x14ac:dyDescent="0.3">
      <c r="B16" s="2462">
        <v>2015</v>
      </c>
      <c r="C16" s="2463">
        <f>G37</f>
        <v>98030.18</v>
      </c>
      <c r="D16" s="3251">
        <v>152145.44</v>
      </c>
      <c r="E16" s="2463">
        <v>11955.3</v>
      </c>
      <c r="F16" s="3249">
        <v>11143.44</v>
      </c>
      <c r="G16" s="2463">
        <f>SUM(C16:F16)</f>
        <v>273274.36</v>
      </c>
    </row>
    <row r="17" spans="2:13" ht="14.25" thickBot="1" x14ac:dyDescent="0.3">
      <c r="B17" s="2462">
        <v>2016</v>
      </c>
      <c r="C17" s="2463">
        <f t="shared" ref="C17:C20" si="4">G38</f>
        <v>111297.40000000001</v>
      </c>
      <c r="D17" s="2463">
        <v>75982</v>
      </c>
      <c r="E17" s="2463">
        <v>13580</v>
      </c>
      <c r="F17" s="2463">
        <v>15044.95</v>
      </c>
      <c r="G17" s="2463">
        <f t="shared" si="3"/>
        <v>215904.35000000003</v>
      </c>
    </row>
    <row r="18" spans="2:13" ht="14.25" thickBot="1" x14ac:dyDescent="0.3">
      <c r="B18" s="2462">
        <v>2017</v>
      </c>
      <c r="C18" s="2463">
        <f t="shared" si="4"/>
        <v>122012.32</v>
      </c>
      <c r="D18" s="2463">
        <v>44787.59</v>
      </c>
      <c r="E18" s="2463">
        <v>11671.15</v>
      </c>
      <c r="F18" s="2463">
        <v>0</v>
      </c>
      <c r="G18" s="2463">
        <f t="shared" si="3"/>
        <v>178471.06</v>
      </c>
    </row>
    <row r="19" spans="2:13" ht="14.25" thickBot="1" x14ac:dyDescent="0.3">
      <c r="B19" s="2462">
        <v>2018</v>
      </c>
      <c r="C19" s="2463">
        <f t="shared" si="4"/>
        <v>137932.43</v>
      </c>
      <c r="D19" s="2463">
        <v>40517.339999999997</v>
      </c>
      <c r="E19" s="2463">
        <v>9250</v>
      </c>
      <c r="F19" s="2463">
        <v>0</v>
      </c>
      <c r="G19" s="2463">
        <f t="shared" si="3"/>
        <v>187699.77</v>
      </c>
    </row>
    <row r="20" spans="2:13" ht="14.25" thickBot="1" x14ac:dyDescent="0.3">
      <c r="B20" s="3253" t="s">
        <v>3949</v>
      </c>
      <c r="C20" s="3254">
        <f t="shared" si="4"/>
        <v>562484.3600000001</v>
      </c>
      <c r="D20" s="3254">
        <f>SUM(D15:D19)</f>
        <v>412470.65999999992</v>
      </c>
      <c r="E20" s="3254">
        <f>SUM(E15:E19)</f>
        <v>59317.35</v>
      </c>
      <c r="F20" s="3254">
        <f>SUM(F15:F19)</f>
        <v>26188.39</v>
      </c>
      <c r="G20" s="3254">
        <f t="shared" si="3"/>
        <v>1060460.76</v>
      </c>
    </row>
    <row r="21" spans="2:13" ht="31.5" customHeight="1" thickBot="1" x14ac:dyDescent="0.3">
      <c r="B21" s="2574" t="s">
        <v>4023</v>
      </c>
      <c r="C21" s="3252">
        <f>C20/G20</f>
        <v>0.53041506222257584</v>
      </c>
      <c r="D21" s="3252">
        <f>D20/G20</f>
        <v>0.38895419383551721</v>
      </c>
      <c r="E21" s="3252">
        <f>E20/G20</f>
        <v>5.5935450171678204E-2</v>
      </c>
      <c r="F21" s="3252">
        <f>F20/G20</f>
        <v>2.4695293770228707E-2</v>
      </c>
      <c r="G21" s="3252">
        <f t="shared" si="3"/>
        <v>1</v>
      </c>
    </row>
    <row r="22" spans="2:13" ht="54.75" thickBot="1" x14ac:dyDescent="0.3">
      <c r="B22" s="3244"/>
      <c r="C22" s="3244"/>
      <c r="D22" s="3244"/>
      <c r="E22" s="3244"/>
      <c r="F22" s="3244"/>
      <c r="G22" s="3244"/>
      <c r="J22" s="1035" t="s">
        <v>4010</v>
      </c>
      <c r="K22" s="2479" t="s">
        <v>4011</v>
      </c>
      <c r="L22" s="2479" t="s">
        <v>4012</v>
      </c>
      <c r="M22" s="1036" t="s">
        <v>4013</v>
      </c>
    </row>
    <row r="23" spans="2:13" ht="14.25" thickBot="1" x14ac:dyDescent="0.3">
      <c r="B23" s="5244" t="s">
        <v>5470</v>
      </c>
      <c r="C23" s="5244"/>
      <c r="D23" s="5244"/>
      <c r="E23" s="5244"/>
      <c r="F23" s="5244"/>
      <c r="G23" s="5244"/>
      <c r="J23" s="3250">
        <f t="shared" ref="J23:M23" si="5">C21</f>
        <v>0.53041506222257584</v>
      </c>
      <c r="K23" s="3250">
        <f t="shared" si="5"/>
        <v>0.38895419383551721</v>
      </c>
      <c r="L23" s="3250">
        <f t="shared" si="5"/>
        <v>5.5935450171678204E-2</v>
      </c>
      <c r="M23" s="3250">
        <f t="shared" si="5"/>
        <v>2.4695293770228707E-2</v>
      </c>
    </row>
    <row r="24" spans="2:13" ht="58.5" customHeight="1" thickBot="1" x14ac:dyDescent="0.3">
      <c r="B24" s="1035" t="s">
        <v>3825</v>
      </c>
      <c r="C24" s="2479" t="s">
        <v>5471</v>
      </c>
      <c r="D24" s="2479" t="s">
        <v>256</v>
      </c>
      <c r="E24" s="2479" t="s">
        <v>5472</v>
      </c>
      <c r="F24" s="2479" t="s">
        <v>5473</v>
      </c>
      <c r="G24" s="1036" t="s">
        <v>0</v>
      </c>
    </row>
    <row r="25" spans="2:13" ht="14.25" thickBot="1" x14ac:dyDescent="0.3">
      <c r="B25" s="2462">
        <v>2014</v>
      </c>
      <c r="C25" s="2463">
        <v>53262.03</v>
      </c>
      <c r="D25" s="2463">
        <v>25800</v>
      </c>
      <c r="E25" s="2463">
        <v>14150</v>
      </c>
      <c r="F25" s="2462">
        <v>0</v>
      </c>
      <c r="G25" s="2463">
        <f t="shared" ref="G25:G31" si="6">SUM(C25:F25)</f>
        <v>93212.03</v>
      </c>
      <c r="J25" s="1035" t="s">
        <v>3825</v>
      </c>
      <c r="K25" s="2479" t="s">
        <v>5474</v>
      </c>
      <c r="L25" s="1036" t="s">
        <v>5475</v>
      </c>
    </row>
    <row r="26" spans="2:13" ht="14.25" thickBot="1" x14ac:dyDescent="0.3">
      <c r="B26" s="2462">
        <v>2015</v>
      </c>
      <c r="C26" s="2463">
        <v>63885.890000000014</v>
      </c>
      <c r="D26" s="2463">
        <v>19514.29</v>
      </c>
      <c r="E26" s="2463">
        <v>14630</v>
      </c>
      <c r="F26" s="2462">
        <v>0</v>
      </c>
      <c r="G26" s="2463">
        <f t="shared" si="6"/>
        <v>98030.180000000022</v>
      </c>
      <c r="J26" s="2462">
        <v>2014</v>
      </c>
      <c r="K26" s="2463">
        <f>G5</f>
        <v>205254.28</v>
      </c>
      <c r="L26" s="2463">
        <f t="shared" ref="L26:L30" si="7">G15</f>
        <v>205111.22</v>
      </c>
    </row>
    <row r="27" spans="2:13" ht="14.25" thickBot="1" x14ac:dyDescent="0.3">
      <c r="B27" s="2462">
        <v>2016</v>
      </c>
      <c r="C27" s="2463">
        <v>82437.400000000009</v>
      </c>
      <c r="D27" s="2463">
        <v>13600</v>
      </c>
      <c r="E27" s="2463">
        <v>15260</v>
      </c>
      <c r="F27" s="2462">
        <v>0</v>
      </c>
      <c r="G27" s="2463">
        <f t="shared" si="6"/>
        <v>111297.40000000001</v>
      </c>
      <c r="J27" s="2462">
        <v>2015</v>
      </c>
      <c r="K27" s="2463">
        <f>G6</f>
        <v>286497.65999999997</v>
      </c>
      <c r="L27" s="2463">
        <f t="shared" si="7"/>
        <v>273274.36</v>
      </c>
    </row>
    <row r="28" spans="2:13" ht="14.25" thickBot="1" x14ac:dyDescent="0.3">
      <c r="B28" s="2462">
        <v>2017</v>
      </c>
      <c r="C28" s="2463">
        <v>89762.32</v>
      </c>
      <c r="D28" s="2463">
        <v>16400</v>
      </c>
      <c r="E28" s="2463">
        <v>15850</v>
      </c>
      <c r="F28" s="2462">
        <v>0</v>
      </c>
      <c r="G28" s="2463">
        <f t="shared" si="6"/>
        <v>122012.32</v>
      </c>
      <c r="J28" s="2462">
        <v>2016</v>
      </c>
      <c r="K28" s="2463">
        <f t="shared" ref="K28:K30" si="8">G7</f>
        <v>217605.35000000003</v>
      </c>
      <c r="L28" s="2463">
        <f t="shared" si="7"/>
        <v>215904.35000000003</v>
      </c>
    </row>
    <row r="29" spans="2:13" ht="14.25" thickBot="1" x14ac:dyDescent="0.3">
      <c r="B29" s="2462">
        <v>2018</v>
      </c>
      <c r="C29" s="2463">
        <v>117262.5</v>
      </c>
      <c r="D29" s="2463">
        <v>4400</v>
      </c>
      <c r="E29" s="2463">
        <v>16269.93</v>
      </c>
      <c r="F29" s="2462">
        <v>0</v>
      </c>
      <c r="G29" s="2463">
        <f t="shared" si="6"/>
        <v>137932.43</v>
      </c>
      <c r="J29" s="2462">
        <v>2017</v>
      </c>
      <c r="K29" s="2463">
        <f t="shared" si="8"/>
        <v>179134.91</v>
      </c>
      <c r="L29" s="2463">
        <f t="shared" si="7"/>
        <v>178471.06</v>
      </c>
    </row>
    <row r="30" spans="2:13" ht="14.25" thickBot="1" x14ac:dyDescent="0.3">
      <c r="B30" s="3253" t="s">
        <v>0</v>
      </c>
      <c r="C30" s="3254">
        <f>SUM(C25:C29)</f>
        <v>406610.14</v>
      </c>
      <c r="D30" s="3254">
        <f>SUM(D25:D29)</f>
        <v>79714.290000000008</v>
      </c>
      <c r="E30" s="3254">
        <f>SUM(E25:E29)</f>
        <v>76159.929999999993</v>
      </c>
      <c r="F30" s="3254">
        <f>SUM(F25:F29)</f>
        <v>0</v>
      </c>
      <c r="G30" s="3254">
        <f t="shared" si="6"/>
        <v>562484.3600000001</v>
      </c>
      <c r="J30" s="2462">
        <v>2018</v>
      </c>
      <c r="K30" s="2463">
        <f t="shared" si="8"/>
        <v>187956.77</v>
      </c>
      <c r="L30" s="2463">
        <f t="shared" si="7"/>
        <v>187699.77</v>
      </c>
    </row>
    <row r="31" spans="2:13" ht="30" customHeight="1" thickBot="1" x14ac:dyDescent="0.3">
      <c r="B31" s="2574" t="s">
        <v>4023</v>
      </c>
      <c r="C31" s="3252">
        <f>C30/G30</f>
        <v>0.7228825704593812</v>
      </c>
      <c r="D31" s="3252">
        <f>D30/G30</f>
        <v>0.14171823373008985</v>
      </c>
      <c r="E31" s="3252">
        <f>E30/G30</f>
        <v>0.13539919581052881</v>
      </c>
      <c r="F31" s="3252">
        <f>F30/G30</f>
        <v>0</v>
      </c>
      <c r="G31" s="3252">
        <f t="shared" si="6"/>
        <v>0.99999999999999989</v>
      </c>
      <c r="J31" s="3253" t="s">
        <v>0</v>
      </c>
      <c r="K31" s="3254">
        <f>G10</f>
        <v>1076448.97</v>
      </c>
      <c r="L31" s="3254">
        <f>G20</f>
        <v>1060460.76</v>
      </c>
    </row>
    <row r="34" spans="2:7" ht="14.25" thickBot="1" x14ac:dyDescent="0.3">
      <c r="B34" s="5244" t="s">
        <v>5476</v>
      </c>
      <c r="C34" s="5244"/>
      <c r="D34" s="5244"/>
      <c r="E34" s="5244"/>
      <c r="F34" s="5244"/>
      <c r="G34" s="5244"/>
    </row>
    <row r="35" spans="2:7" ht="41.25" thickBot="1" x14ac:dyDescent="0.3">
      <c r="B35" s="1035" t="s">
        <v>3825</v>
      </c>
      <c r="C35" s="2479" t="s">
        <v>5471</v>
      </c>
      <c r="D35" s="2479" t="s">
        <v>256</v>
      </c>
      <c r="E35" s="2479" t="s">
        <v>5472</v>
      </c>
      <c r="F35" s="2479" t="s">
        <v>5473</v>
      </c>
      <c r="G35" s="1036" t="s">
        <v>0</v>
      </c>
    </row>
    <row r="36" spans="2:7" ht="14.25" thickBot="1" x14ac:dyDescent="0.3">
      <c r="B36" s="2462">
        <v>2014</v>
      </c>
      <c r="C36" s="2463">
        <v>53262.03</v>
      </c>
      <c r="D36" s="2463">
        <v>25800</v>
      </c>
      <c r="E36" s="2463">
        <v>14150</v>
      </c>
      <c r="F36" s="2462">
        <v>0</v>
      </c>
      <c r="G36" s="2463">
        <f t="shared" ref="G36:G42" si="9">SUM(C36:F36)</f>
        <v>93212.03</v>
      </c>
    </row>
    <row r="37" spans="2:7" ht="14.25" thickBot="1" x14ac:dyDescent="0.3">
      <c r="B37" s="2462">
        <v>2015</v>
      </c>
      <c r="C37" s="2463">
        <v>63885.89</v>
      </c>
      <c r="D37" s="2463">
        <v>19514.29</v>
      </c>
      <c r="E37" s="2463">
        <v>14630</v>
      </c>
      <c r="F37" s="2462">
        <v>0</v>
      </c>
      <c r="G37" s="2463">
        <f t="shared" si="9"/>
        <v>98030.18</v>
      </c>
    </row>
    <row r="38" spans="2:7" ht="14.25" thickBot="1" x14ac:dyDescent="0.3">
      <c r="B38" s="2462">
        <v>2016</v>
      </c>
      <c r="C38" s="2463">
        <v>82437.400000000009</v>
      </c>
      <c r="D38" s="2463">
        <v>13600</v>
      </c>
      <c r="E38" s="2463">
        <v>15260</v>
      </c>
      <c r="F38" s="2462">
        <v>0</v>
      </c>
      <c r="G38" s="2463">
        <f t="shared" si="9"/>
        <v>111297.40000000001</v>
      </c>
    </row>
    <row r="39" spans="2:7" ht="14.25" thickBot="1" x14ac:dyDescent="0.3">
      <c r="B39" s="2462">
        <v>2017</v>
      </c>
      <c r="C39" s="2463">
        <v>89762.32</v>
      </c>
      <c r="D39" s="2463">
        <v>16400</v>
      </c>
      <c r="E39" s="2463">
        <v>15850</v>
      </c>
      <c r="F39" s="2462">
        <v>0</v>
      </c>
      <c r="G39" s="2463">
        <f t="shared" si="9"/>
        <v>122012.32</v>
      </c>
    </row>
    <row r="40" spans="2:7" ht="14.25" thickBot="1" x14ac:dyDescent="0.3">
      <c r="B40" s="2462">
        <v>2018</v>
      </c>
      <c r="C40" s="2463">
        <v>117262.5</v>
      </c>
      <c r="D40" s="2463">
        <v>4400</v>
      </c>
      <c r="E40" s="2463">
        <v>16269.93</v>
      </c>
      <c r="F40" s="2462">
        <v>0</v>
      </c>
      <c r="G40" s="2463">
        <f t="shared" si="9"/>
        <v>137932.43</v>
      </c>
    </row>
    <row r="41" spans="2:7" ht="14.25" thickBot="1" x14ac:dyDescent="0.3">
      <c r="B41" s="3253" t="s">
        <v>3949</v>
      </c>
      <c r="C41" s="3254">
        <f>SUM(C36:C40)</f>
        <v>406610.14</v>
      </c>
      <c r="D41" s="3254">
        <f>SUM(D36:D40)</f>
        <v>79714.290000000008</v>
      </c>
      <c r="E41" s="3254">
        <f>SUM(E36:E40)</f>
        <v>76159.929999999993</v>
      </c>
      <c r="F41" s="3254">
        <f>SUM(F36:F40)</f>
        <v>0</v>
      </c>
      <c r="G41" s="3254">
        <f t="shared" si="9"/>
        <v>562484.3600000001</v>
      </c>
    </row>
    <row r="42" spans="2:7" ht="28.5" customHeight="1" thickBot="1" x14ac:dyDescent="0.3">
      <c r="B42" s="2574" t="s">
        <v>4023</v>
      </c>
      <c r="C42" s="3252">
        <f>C41/G41</f>
        <v>0.7228825704593812</v>
      </c>
      <c r="D42" s="3252">
        <f>D41/G41</f>
        <v>0.14171823373008985</v>
      </c>
      <c r="E42" s="3252">
        <f>E41/G41</f>
        <v>0.13539919581052881</v>
      </c>
      <c r="F42" s="3252">
        <f>F41/G41</f>
        <v>0</v>
      </c>
      <c r="G42" s="3252">
        <f t="shared" si="9"/>
        <v>0.99999999999999989</v>
      </c>
    </row>
  </sheetData>
  <mergeCells count="4">
    <mergeCell ref="B3:G3"/>
    <mergeCell ref="B13:G13"/>
    <mergeCell ref="B23:G23"/>
    <mergeCell ref="B34:G34"/>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99FF66"/>
  </sheetPr>
  <dimension ref="A1:AZ25"/>
  <sheetViews>
    <sheetView zoomScale="55" zoomScaleNormal="55" workbookViewId="0">
      <selection activeCell="BA25" sqref="BA25"/>
    </sheetView>
  </sheetViews>
  <sheetFormatPr baseColWidth="10" defaultRowHeight="16.5" x14ac:dyDescent="0.25"/>
  <cols>
    <col min="1" max="1" width="8.28515625" style="1344" customWidth="1"/>
    <col min="2" max="2" width="11.140625" style="1344" customWidth="1"/>
    <col min="3" max="3" width="43.28515625" style="1344" customWidth="1"/>
    <col min="4" max="4" width="15.7109375" style="1344" customWidth="1"/>
    <col min="5" max="10" width="4" style="1344" customWidth="1"/>
    <col min="11" max="12" width="6" style="1344" customWidth="1"/>
    <col min="13" max="29" width="4" style="1344" customWidth="1"/>
    <col min="30" max="40" width="3.85546875" style="1344" customWidth="1"/>
    <col min="41" max="52" width="5.42578125" style="1344" customWidth="1"/>
    <col min="53" max="237" width="11.42578125" style="1344"/>
    <col min="238" max="238" width="8.28515625" style="1344" customWidth="1"/>
    <col min="239" max="239" width="5.7109375" style="1344" customWidth="1"/>
    <col min="240" max="240" width="2.85546875" style="1344" customWidth="1"/>
    <col min="241" max="241" width="36.7109375" style="1344" customWidth="1"/>
    <col min="242" max="242" width="5.5703125" style="1344" customWidth="1"/>
    <col min="243" max="243" width="8.28515625" style="1344" customWidth="1"/>
    <col min="244" max="250" width="12.85546875" style="1344" customWidth="1"/>
    <col min="251" max="262" width="16.85546875" style="1344" customWidth="1"/>
    <col min="263" max="264" width="11.140625" style="1344" customWidth="1"/>
    <col min="265" max="279" width="6.5703125" style="1344" customWidth="1"/>
    <col min="280" max="493" width="11.42578125" style="1344"/>
    <col min="494" max="494" width="8.28515625" style="1344" customWidth="1"/>
    <col min="495" max="495" width="5.7109375" style="1344" customWidth="1"/>
    <col min="496" max="496" width="2.85546875" style="1344" customWidth="1"/>
    <col min="497" max="497" width="36.7109375" style="1344" customWidth="1"/>
    <col min="498" max="498" width="5.5703125" style="1344" customWidth="1"/>
    <col min="499" max="499" width="8.28515625" style="1344" customWidth="1"/>
    <col min="500" max="506" width="12.85546875" style="1344" customWidth="1"/>
    <col min="507" max="518" width="16.85546875" style="1344" customWidth="1"/>
    <col min="519" max="520" width="11.140625" style="1344" customWidth="1"/>
    <col min="521" max="535" width="6.5703125" style="1344" customWidth="1"/>
    <col min="536" max="749" width="11.42578125" style="1344"/>
    <col min="750" max="750" width="8.28515625" style="1344" customWidth="1"/>
    <col min="751" max="751" width="5.7109375" style="1344" customWidth="1"/>
    <col min="752" max="752" width="2.85546875" style="1344" customWidth="1"/>
    <col min="753" max="753" width="36.7109375" style="1344" customWidth="1"/>
    <col min="754" max="754" width="5.5703125" style="1344" customWidth="1"/>
    <col min="755" max="755" width="8.28515625" style="1344" customWidth="1"/>
    <col min="756" max="762" width="12.85546875" style="1344" customWidth="1"/>
    <col min="763" max="774" width="16.85546875" style="1344" customWidth="1"/>
    <col min="775" max="776" width="11.140625" style="1344" customWidth="1"/>
    <col min="777" max="791" width="6.5703125" style="1344" customWidth="1"/>
    <col min="792" max="1005" width="11.42578125" style="1344"/>
    <col min="1006" max="1006" width="8.28515625" style="1344" customWidth="1"/>
    <col min="1007" max="1007" width="5.7109375" style="1344" customWidth="1"/>
    <col min="1008" max="1008" width="2.85546875" style="1344" customWidth="1"/>
    <col min="1009" max="1009" width="36.7109375" style="1344" customWidth="1"/>
    <col min="1010" max="1010" width="5.5703125" style="1344" customWidth="1"/>
    <col min="1011" max="1011" width="8.28515625" style="1344" customWidth="1"/>
    <col min="1012" max="1018" width="12.85546875" style="1344" customWidth="1"/>
    <col min="1019" max="1030" width="16.85546875" style="1344" customWidth="1"/>
    <col min="1031" max="1032" width="11.140625" style="1344" customWidth="1"/>
    <col min="1033" max="1047" width="6.5703125" style="1344" customWidth="1"/>
    <col min="1048" max="1261" width="11.42578125" style="1344"/>
    <col min="1262" max="1262" width="8.28515625" style="1344" customWidth="1"/>
    <col min="1263" max="1263" width="5.7109375" style="1344" customWidth="1"/>
    <col min="1264" max="1264" width="2.85546875" style="1344" customWidth="1"/>
    <col min="1265" max="1265" width="36.7109375" style="1344" customWidth="1"/>
    <col min="1266" max="1266" width="5.5703125" style="1344" customWidth="1"/>
    <col min="1267" max="1267" width="8.28515625" style="1344" customWidth="1"/>
    <col min="1268" max="1274" width="12.85546875" style="1344" customWidth="1"/>
    <col min="1275" max="1286" width="16.85546875" style="1344" customWidth="1"/>
    <col min="1287" max="1288" width="11.140625" style="1344" customWidth="1"/>
    <col min="1289" max="1303" width="6.5703125" style="1344" customWidth="1"/>
    <col min="1304" max="1517" width="11.42578125" style="1344"/>
    <col min="1518" max="1518" width="8.28515625" style="1344" customWidth="1"/>
    <col min="1519" max="1519" width="5.7109375" style="1344" customWidth="1"/>
    <col min="1520" max="1520" width="2.85546875" style="1344" customWidth="1"/>
    <col min="1521" max="1521" width="36.7109375" style="1344" customWidth="1"/>
    <col min="1522" max="1522" width="5.5703125" style="1344" customWidth="1"/>
    <col min="1523" max="1523" width="8.28515625" style="1344" customWidth="1"/>
    <col min="1524" max="1530" width="12.85546875" style="1344" customWidth="1"/>
    <col min="1531" max="1542" width="16.85546875" style="1344" customWidth="1"/>
    <col min="1543" max="1544" width="11.140625" style="1344" customWidth="1"/>
    <col min="1545" max="1559" width="6.5703125" style="1344" customWidth="1"/>
    <col min="1560" max="1773" width="11.42578125" style="1344"/>
    <col min="1774" max="1774" width="8.28515625" style="1344" customWidth="1"/>
    <col min="1775" max="1775" width="5.7109375" style="1344" customWidth="1"/>
    <col min="1776" max="1776" width="2.85546875" style="1344" customWidth="1"/>
    <col min="1777" max="1777" width="36.7109375" style="1344" customWidth="1"/>
    <col min="1778" max="1778" width="5.5703125" style="1344" customWidth="1"/>
    <col min="1779" max="1779" width="8.28515625" style="1344" customWidth="1"/>
    <col min="1780" max="1786" width="12.85546875" style="1344" customWidth="1"/>
    <col min="1787" max="1798" width="16.85546875" style="1344" customWidth="1"/>
    <col min="1799" max="1800" width="11.140625" style="1344" customWidth="1"/>
    <col min="1801" max="1815" width="6.5703125" style="1344" customWidth="1"/>
    <col min="1816" max="2029" width="11.42578125" style="1344"/>
    <col min="2030" max="2030" width="8.28515625" style="1344" customWidth="1"/>
    <col min="2031" max="2031" width="5.7109375" style="1344" customWidth="1"/>
    <col min="2032" max="2032" width="2.85546875" style="1344" customWidth="1"/>
    <col min="2033" max="2033" width="36.7109375" style="1344" customWidth="1"/>
    <col min="2034" max="2034" width="5.5703125" style="1344" customWidth="1"/>
    <col min="2035" max="2035" width="8.28515625" style="1344" customWidth="1"/>
    <col min="2036" max="2042" width="12.85546875" style="1344" customWidth="1"/>
    <col min="2043" max="2054" width="16.85546875" style="1344" customWidth="1"/>
    <col min="2055" max="2056" width="11.140625" style="1344" customWidth="1"/>
    <col min="2057" max="2071" width="6.5703125" style="1344" customWidth="1"/>
    <col min="2072" max="2285" width="11.42578125" style="1344"/>
    <col min="2286" max="2286" width="8.28515625" style="1344" customWidth="1"/>
    <col min="2287" max="2287" width="5.7109375" style="1344" customWidth="1"/>
    <col min="2288" max="2288" width="2.85546875" style="1344" customWidth="1"/>
    <col min="2289" max="2289" width="36.7109375" style="1344" customWidth="1"/>
    <col min="2290" max="2290" width="5.5703125" style="1344" customWidth="1"/>
    <col min="2291" max="2291" width="8.28515625" style="1344" customWidth="1"/>
    <col min="2292" max="2298" width="12.85546875" style="1344" customWidth="1"/>
    <col min="2299" max="2310" width="16.85546875" style="1344" customWidth="1"/>
    <col min="2311" max="2312" width="11.140625" style="1344" customWidth="1"/>
    <col min="2313" max="2327" width="6.5703125" style="1344" customWidth="1"/>
    <col min="2328" max="2541" width="11.42578125" style="1344"/>
    <col min="2542" max="2542" width="8.28515625" style="1344" customWidth="1"/>
    <col min="2543" max="2543" width="5.7109375" style="1344" customWidth="1"/>
    <col min="2544" max="2544" width="2.85546875" style="1344" customWidth="1"/>
    <col min="2545" max="2545" width="36.7109375" style="1344" customWidth="1"/>
    <col min="2546" max="2546" width="5.5703125" style="1344" customWidth="1"/>
    <col min="2547" max="2547" width="8.28515625" style="1344" customWidth="1"/>
    <col min="2548" max="2554" width="12.85546875" style="1344" customWidth="1"/>
    <col min="2555" max="2566" width="16.85546875" style="1344" customWidth="1"/>
    <col min="2567" max="2568" width="11.140625" style="1344" customWidth="1"/>
    <col min="2569" max="2583" width="6.5703125" style="1344" customWidth="1"/>
    <col min="2584" max="2797" width="11.42578125" style="1344"/>
    <col min="2798" max="2798" width="8.28515625" style="1344" customWidth="1"/>
    <col min="2799" max="2799" width="5.7109375" style="1344" customWidth="1"/>
    <col min="2800" max="2800" width="2.85546875" style="1344" customWidth="1"/>
    <col min="2801" max="2801" width="36.7109375" style="1344" customWidth="1"/>
    <col min="2802" max="2802" width="5.5703125" style="1344" customWidth="1"/>
    <col min="2803" max="2803" width="8.28515625" style="1344" customWidth="1"/>
    <col min="2804" max="2810" width="12.85546875" style="1344" customWidth="1"/>
    <col min="2811" max="2822" width="16.85546875" style="1344" customWidth="1"/>
    <col min="2823" max="2824" width="11.140625" style="1344" customWidth="1"/>
    <col min="2825" max="2839" width="6.5703125" style="1344" customWidth="1"/>
    <col min="2840" max="3053" width="11.42578125" style="1344"/>
    <col min="3054" max="3054" width="8.28515625" style="1344" customWidth="1"/>
    <col min="3055" max="3055" width="5.7109375" style="1344" customWidth="1"/>
    <col min="3056" max="3056" width="2.85546875" style="1344" customWidth="1"/>
    <col min="3057" max="3057" width="36.7109375" style="1344" customWidth="1"/>
    <col min="3058" max="3058" width="5.5703125" style="1344" customWidth="1"/>
    <col min="3059" max="3059" width="8.28515625" style="1344" customWidth="1"/>
    <col min="3060" max="3066" width="12.85546875" style="1344" customWidth="1"/>
    <col min="3067" max="3078" width="16.85546875" style="1344" customWidth="1"/>
    <col min="3079" max="3080" width="11.140625" style="1344" customWidth="1"/>
    <col min="3081" max="3095" width="6.5703125" style="1344" customWidth="1"/>
    <col min="3096" max="3309" width="11.42578125" style="1344"/>
    <col min="3310" max="3310" width="8.28515625" style="1344" customWidth="1"/>
    <col min="3311" max="3311" width="5.7109375" style="1344" customWidth="1"/>
    <col min="3312" max="3312" width="2.85546875" style="1344" customWidth="1"/>
    <col min="3313" max="3313" width="36.7109375" style="1344" customWidth="1"/>
    <col min="3314" max="3314" width="5.5703125" style="1344" customWidth="1"/>
    <col min="3315" max="3315" width="8.28515625" style="1344" customWidth="1"/>
    <col min="3316" max="3322" width="12.85546875" style="1344" customWidth="1"/>
    <col min="3323" max="3334" width="16.85546875" style="1344" customWidth="1"/>
    <col min="3335" max="3336" width="11.140625" style="1344" customWidth="1"/>
    <col min="3337" max="3351" width="6.5703125" style="1344" customWidth="1"/>
    <col min="3352" max="3565" width="11.42578125" style="1344"/>
    <col min="3566" max="3566" width="8.28515625" style="1344" customWidth="1"/>
    <col min="3567" max="3567" width="5.7109375" style="1344" customWidth="1"/>
    <col min="3568" max="3568" width="2.85546875" style="1344" customWidth="1"/>
    <col min="3569" max="3569" width="36.7109375" style="1344" customWidth="1"/>
    <col min="3570" max="3570" width="5.5703125" style="1344" customWidth="1"/>
    <col min="3571" max="3571" width="8.28515625" style="1344" customWidth="1"/>
    <col min="3572" max="3578" width="12.85546875" style="1344" customWidth="1"/>
    <col min="3579" max="3590" width="16.85546875" style="1344" customWidth="1"/>
    <col min="3591" max="3592" width="11.140625" style="1344" customWidth="1"/>
    <col min="3593" max="3607" width="6.5703125" style="1344" customWidth="1"/>
    <col min="3608" max="3821" width="11.42578125" style="1344"/>
    <col min="3822" max="3822" width="8.28515625" style="1344" customWidth="1"/>
    <col min="3823" max="3823" width="5.7109375" style="1344" customWidth="1"/>
    <col min="3824" max="3824" width="2.85546875" style="1344" customWidth="1"/>
    <col min="3825" max="3825" width="36.7109375" style="1344" customWidth="1"/>
    <col min="3826" max="3826" width="5.5703125" style="1344" customWidth="1"/>
    <col min="3827" max="3827" width="8.28515625" style="1344" customWidth="1"/>
    <col min="3828" max="3834" width="12.85546875" style="1344" customWidth="1"/>
    <col min="3835" max="3846" width="16.85546875" style="1344" customWidth="1"/>
    <col min="3847" max="3848" width="11.140625" style="1344" customWidth="1"/>
    <col min="3849" max="3863" width="6.5703125" style="1344" customWidth="1"/>
    <col min="3864" max="4077" width="11.42578125" style="1344"/>
    <col min="4078" max="4078" width="8.28515625" style="1344" customWidth="1"/>
    <col min="4079" max="4079" width="5.7109375" style="1344" customWidth="1"/>
    <col min="4080" max="4080" width="2.85546875" style="1344" customWidth="1"/>
    <col min="4081" max="4081" width="36.7109375" style="1344" customWidth="1"/>
    <col min="4082" max="4082" width="5.5703125" style="1344" customWidth="1"/>
    <col min="4083" max="4083" width="8.28515625" style="1344" customWidth="1"/>
    <col min="4084" max="4090" width="12.85546875" style="1344" customWidth="1"/>
    <col min="4091" max="4102" width="16.85546875" style="1344" customWidth="1"/>
    <col min="4103" max="4104" width="11.140625" style="1344" customWidth="1"/>
    <col min="4105" max="4119" width="6.5703125" style="1344" customWidth="1"/>
    <col min="4120" max="4333" width="11.42578125" style="1344"/>
    <col min="4334" max="4334" width="8.28515625" style="1344" customWidth="1"/>
    <col min="4335" max="4335" width="5.7109375" style="1344" customWidth="1"/>
    <col min="4336" max="4336" width="2.85546875" style="1344" customWidth="1"/>
    <col min="4337" max="4337" width="36.7109375" style="1344" customWidth="1"/>
    <col min="4338" max="4338" width="5.5703125" style="1344" customWidth="1"/>
    <col min="4339" max="4339" width="8.28515625" style="1344" customWidth="1"/>
    <col min="4340" max="4346" width="12.85546875" style="1344" customWidth="1"/>
    <col min="4347" max="4358" width="16.85546875" style="1344" customWidth="1"/>
    <col min="4359" max="4360" width="11.140625" style="1344" customWidth="1"/>
    <col min="4361" max="4375" width="6.5703125" style="1344" customWidth="1"/>
    <col min="4376" max="4589" width="11.42578125" style="1344"/>
    <col min="4590" max="4590" width="8.28515625" style="1344" customWidth="1"/>
    <col min="4591" max="4591" width="5.7109375" style="1344" customWidth="1"/>
    <col min="4592" max="4592" width="2.85546875" style="1344" customWidth="1"/>
    <col min="4593" max="4593" width="36.7109375" style="1344" customWidth="1"/>
    <col min="4594" max="4594" width="5.5703125" style="1344" customWidth="1"/>
    <col min="4595" max="4595" width="8.28515625" style="1344" customWidth="1"/>
    <col min="4596" max="4602" width="12.85546875" style="1344" customWidth="1"/>
    <col min="4603" max="4614" width="16.85546875" style="1344" customWidth="1"/>
    <col min="4615" max="4616" width="11.140625" style="1344" customWidth="1"/>
    <col min="4617" max="4631" width="6.5703125" style="1344" customWidth="1"/>
    <col min="4632" max="4845" width="11.42578125" style="1344"/>
    <col min="4846" max="4846" width="8.28515625" style="1344" customWidth="1"/>
    <col min="4847" max="4847" width="5.7109375" style="1344" customWidth="1"/>
    <col min="4848" max="4848" width="2.85546875" style="1344" customWidth="1"/>
    <col min="4849" max="4849" width="36.7109375" style="1344" customWidth="1"/>
    <col min="4850" max="4850" width="5.5703125" style="1344" customWidth="1"/>
    <col min="4851" max="4851" width="8.28515625" style="1344" customWidth="1"/>
    <col min="4852" max="4858" width="12.85546875" style="1344" customWidth="1"/>
    <col min="4859" max="4870" width="16.85546875" style="1344" customWidth="1"/>
    <col min="4871" max="4872" width="11.140625" style="1344" customWidth="1"/>
    <col min="4873" max="4887" width="6.5703125" style="1344" customWidth="1"/>
    <col min="4888" max="5101" width="11.42578125" style="1344"/>
    <col min="5102" max="5102" width="8.28515625" style="1344" customWidth="1"/>
    <col min="5103" max="5103" width="5.7109375" style="1344" customWidth="1"/>
    <col min="5104" max="5104" width="2.85546875" style="1344" customWidth="1"/>
    <col min="5105" max="5105" width="36.7109375" style="1344" customWidth="1"/>
    <col min="5106" max="5106" width="5.5703125" style="1344" customWidth="1"/>
    <col min="5107" max="5107" width="8.28515625" style="1344" customWidth="1"/>
    <col min="5108" max="5114" width="12.85546875" style="1344" customWidth="1"/>
    <col min="5115" max="5126" width="16.85546875" style="1344" customWidth="1"/>
    <col min="5127" max="5128" width="11.140625" style="1344" customWidth="1"/>
    <col min="5129" max="5143" width="6.5703125" style="1344" customWidth="1"/>
    <col min="5144" max="5357" width="11.42578125" style="1344"/>
    <col min="5358" max="5358" width="8.28515625" style="1344" customWidth="1"/>
    <col min="5359" max="5359" width="5.7109375" style="1344" customWidth="1"/>
    <col min="5360" max="5360" width="2.85546875" style="1344" customWidth="1"/>
    <col min="5361" max="5361" width="36.7109375" style="1344" customWidth="1"/>
    <col min="5362" max="5362" width="5.5703125" style="1344" customWidth="1"/>
    <col min="5363" max="5363" width="8.28515625" style="1344" customWidth="1"/>
    <col min="5364" max="5370" width="12.85546875" style="1344" customWidth="1"/>
    <col min="5371" max="5382" width="16.85546875" style="1344" customWidth="1"/>
    <col min="5383" max="5384" width="11.140625" style="1344" customWidth="1"/>
    <col min="5385" max="5399" width="6.5703125" style="1344" customWidth="1"/>
    <col min="5400" max="5613" width="11.42578125" style="1344"/>
    <col min="5614" max="5614" width="8.28515625" style="1344" customWidth="1"/>
    <col min="5615" max="5615" width="5.7109375" style="1344" customWidth="1"/>
    <col min="5616" max="5616" width="2.85546875" style="1344" customWidth="1"/>
    <col min="5617" max="5617" width="36.7109375" style="1344" customWidth="1"/>
    <col min="5618" max="5618" width="5.5703125" style="1344" customWidth="1"/>
    <col min="5619" max="5619" width="8.28515625" style="1344" customWidth="1"/>
    <col min="5620" max="5626" width="12.85546875" style="1344" customWidth="1"/>
    <col min="5627" max="5638" width="16.85546875" style="1344" customWidth="1"/>
    <col min="5639" max="5640" width="11.140625" style="1344" customWidth="1"/>
    <col min="5641" max="5655" width="6.5703125" style="1344" customWidth="1"/>
    <col min="5656" max="5869" width="11.42578125" style="1344"/>
    <col min="5870" max="5870" width="8.28515625" style="1344" customWidth="1"/>
    <col min="5871" max="5871" width="5.7109375" style="1344" customWidth="1"/>
    <col min="5872" max="5872" width="2.85546875" style="1344" customWidth="1"/>
    <col min="5873" max="5873" width="36.7109375" style="1344" customWidth="1"/>
    <col min="5874" max="5874" width="5.5703125" style="1344" customWidth="1"/>
    <col min="5875" max="5875" width="8.28515625" style="1344" customWidth="1"/>
    <col min="5876" max="5882" width="12.85546875" style="1344" customWidth="1"/>
    <col min="5883" max="5894" width="16.85546875" style="1344" customWidth="1"/>
    <col min="5895" max="5896" width="11.140625" style="1344" customWidth="1"/>
    <col min="5897" max="5911" width="6.5703125" style="1344" customWidth="1"/>
    <col min="5912" max="6125" width="11.42578125" style="1344"/>
    <col min="6126" max="6126" width="8.28515625" style="1344" customWidth="1"/>
    <col min="6127" max="6127" width="5.7109375" style="1344" customWidth="1"/>
    <col min="6128" max="6128" width="2.85546875" style="1344" customWidth="1"/>
    <col min="6129" max="6129" width="36.7109375" style="1344" customWidth="1"/>
    <col min="6130" max="6130" width="5.5703125" style="1344" customWidth="1"/>
    <col min="6131" max="6131" width="8.28515625" style="1344" customWidth="1"/>
    <col min="6132" max="6138" width="12.85546875" style="1344" customWidth="1"/>
    <col min="6139" max="6150" width="16.85546875" style="1344" customWidth="1"/>
    <col min="6151" max="6152" width="11.140625" style="1344" customWidth="1"/>
    <col min="6153" max="6167" width="6.5703125" style="1344" customWidth="1"/>
    <col min="6168" max="6381" width="11.42578125" style="1344"/>
    <col min="6382" max="6382" width="8.28515625" style="1344" customWidth="1"/>
    <col min="6383" max="6383" width="5.7109375" style="1344" customWidth="1"/>
    <col min="6384" max="6384" width="2.85546875" style="1344" customWidth="1"/>
    <col min="6385" max="6385" width="36.7109375" style="1344" customWidth="1"/>
    <col min="6386" max="6386" width="5.5703125" style="1344" customWidth="1"/>
    <col min="6387" max="6387" width="8.28515625" style="1344" customWidth="1"/>
    <col min="6388" max="6394" width="12.85546875" style="1344" customWidth="1"/>
    <col min="6395" max="6406" width="16.85546875" style="1344" customWidth="1"/>
    <col min="6407" max="6408" width="11.140625" style="1344" customWidth="1"/>
    <col min="6409" max="6423" width="6.5703125" style="1344" customWidth="1"/>
    <col min="6424" max="6637" width="11.42578125" style="1344"/>
    <col min="6638" max="6638" width="8.28515625" style="1344" customWidth="1"/>
    <col min="6639" max="6639" width="5.7109375" style="1344" customWidth="1"/>
    <col min="6640" max="6640" width="2.85546875" style="1344" customWidth="1"/>
    <col min="6641" max="6641" width="36.7109375" style="1344" customWidth="1"/>
    <col min="6642" max="6642" width="5.5703125" style="1344" customWidth="1"/>
    <col min="6643" max="6643" width="8.28515625" style="1344" customWidth="1"/>
    <col min="6644" max="6650" width="12.85546875" style="1344" customWidth="1"/>
    <col min="6651" max="6662" width="16.85546875" style="1344" customWidth="1"/>
    <col min="6663" max="6664" width="11.140625" style="1344" customWidth="1"/>
    <col min="6665" max="6679" width="6.5703125" style="1344" customWidth="1"/>
    <col min="6680" max="6893" width="11.42578125" style="1344"/>
    <col min="6894" max="6894" width="8.28515625" style="1344" customWidth="1"/>
    <col min="6895" max="6895" width="5.7109375" style="1344" customWidth="1"/>
    <col min="6896" max="6896" width="2.85546875" style="1344" customWidth="1"/>
    <col min="6897" max="6897" width="36.7109375" style="1344" customWidth="1"/>
    <col min="6898" max="6898" width="5.5703125" style="1344" customWidth="1"/>
    <col min="6899" max="6899" width="8.28515625" style="1344" customWidth="1"/>
    <col min="6900" max="6906" width="12.85546875" style="1344" customWidth="1"/>
    <col min="6907" max="6918" width="16.85546875" style="1344" customWidth="1"/>
    <col min="6919" max="6920" width="11.140625" style="1344" customWidth="1"/>
    <col min="6921" max="6935" width="6.5703125" style="1344" customWidth="1"/>
    <col min="6936" max="7149" width="11.42578125" style="1344"/>
    <col min="7150" max="7150" width="8.28515625" style="1344" customWidth="1"/>
    <col min="7151" max="7151" width="5.7109375" style="1344" customWidth="1"/>
    <col min="7152" max="7152" width="2.85546875" style="1344" customWidth="1"/>
    <col min="7153" max="7153" width="36.7109375" style="1344" customWidth="1"/>
    <col min="7154" max="7154" width="5.5703125" style="1344" customWidth="1"/>
    <col min="7155" max="7155" width="8.28515625" style="1344" customWidth="1"/>
    <col min="7156" max="7162" width="12.85546875" style="1344" customWidth="1"/>
    <col min="7163" max="7174" width="16.85546875" style="1344" customWidth="1"/>
    <col min="7175" max="7176" width="11.140625" style="1344" customWidth="1"/>
    <col min="7177" max="7191" width="6.5703125" style="1344" customWidth="1"/>
    <col min="7192" max="7405" width="11.42578125" style="1344"/>
    <col min="7406" max="7406" width="8.28515625" style="1344" customWidth="1"/>
    <col min="7407" max="7407" width="5.7109375" style="1344" customWidth="1"/>
    <col min="7408" max="7408" width="2.85546875" style="1344" customWidth="1"/>
    <col min="7409" max="7409" width="36.7109375" style="1344" customWidth="1"/>
    <col min="7410" max="7410" width="5.5703125" style="1344" customWidth="1"/>
    <col min="7411" max="7411" width="8.28515625" style="1344" customWidth="1"/>
    <col min="7412" max="7418" width="12.85546875" style="1344" customWidth="1"/>
    <col min="7419" max="7430" width="16.85546875" style="1344" customWidth="1"/>
    <col min="7431" max="7432" width="11.140625" style="1344" customWidth="1"/>
    <col min="7433" max="7447" width="6.5703125" style="1344" customWidth="1"/>
    <col min="7448" max="7661" width="11.42578125" style="1344"/>
    <col min="7662" max="7662" width="8.28515625" style="1344" customWidth="1"/>
    <col min="7663" max="7663" width="5.7109375" style="1344" customWidth="1"/>
    <col min="7664" max="7664" width="2.85546875" style="1344" customWidth="1"/>
    <col min="7665" max="7665" width="36.7109375" style="1344" customWidth="1"/>
    <col min="7666" max="7666" width="5.5703125" style="1344" customWidth="1"/>
    <col min="7667" max="7667" width="8.28515625" style="1344" customWidth="1"/>
    <col min="7668" max="7674" width="12.85546875" style="1344" customWidth="1"/>
    <col min="7675" max="7686" width="16.85546875" style="1344" customWidth="1"/>
    <col min="7687" max="7688" width="11.140625" style="1344" customWidth="1"/>
    <col min="7689" max="7703" width="6.5703125" style="1344" customWidth="1"/>
    <col min="7704" max="7917" width="11.42578125" style="1344"/>
    <col min="7918" max="7918" width="8.28515625" style="1344" customWidth="1"/>
    <col min="7919" max="7919" width="5.7109375" style="1344" customWidth="1"/>
    <col min="7920" max="7920" width="2.85546875" style="1344" customWidth="1"/>
    <col min="7921" max="7921" width="36.7109375" style="1344" customWidth="1"/>
    <col min="7922" max="7922" width="5.5703125" style="1344" customWidth="1"/>
    <col min="7923" max="7923" width="8.28515625" style="1344" customWidth="1"/>
    <col min="7924" max="7930" width="12.85546875" style="1344" customWidth="1"/>
    <col min="7931" max="7942" width="16.85546875" style="1344" customWidth="1"/>
    <col min="7943" max="7944" width="11.140625" style="1344" customWidth="1"/>
    <col min="7945" max="7959" width="6.5703125" style="1344" customWidth="1"/>
    <col min="7960" max="8173" width="11.42578125" style="1344"/>
    <col min="8174" max="8174" width="8.28515625" style="1344" customWidth="1"/>
    <col min="8175" max="8175" width="5.7109375" style="1344" customWidth="1"/>
    <col min="8176" max="8176" width="2.85546875" style="1344" customWidth="1"/>
    <col min="8177" max="8177" width="36.7109375" style="1344" customWidth="1"/>
    <col min="8178" max="8178" width="5.5703125" style="1344" customWidth="1"/>
    <col min="8179" max="8179" width="8.28515625" style="1344" customWidth="1"/>
    <col min="8180" max="8186" width="12.85546875" style="1344" customWidth="1"/>
    <col min="8187" max="8198" width="16.85546875" style="1344" customWidth="1"/>
    <col min="8199" max="8200" width="11.140625" style="1344" customWidth="1"/>
    <col min="8201" max="8215" width="6.5703125" style="1344" customWidth="1"/>
    <col min="8216" max="8429" width="11.42578125" style="1344"/>
    <col min="8430" max="8430" width="8.28515625" style="1344" customWidth="1"/>
    <col min="8431" max="8431" width="5.7109375" style="1344" customWidth="1"/>
    <col min="8432" max="8432" width="2.85546875" style="1344" customWidth="1"/>
    <col min="8433" max="8433" width="36.7109375" style="1344" customWidth="1"/>
    <col min="8434" max="8434" width="5.5703125" style="1344" customWidth="1"/>
    <col min="8435" max="8435" width="8.28515625" style="1344" customWidth="1"/>
    <col min="8436" max="8442" width="12.85546875" style="1344" customWidth="1"/>
    <col min="8443" max="8454" width="16.85546875" style="1344" customWidth="1"/>
    <col min="8455" max="8456" width="11.140625" style="1344" customWidth="1"/>
    <col min="8457" max="8471" width="6.5703125" style="1344" customWidth="1"/>
    <col min="8472" max="8685" width="11.42578125" style="1344"/>
    <col min="8686" max="8686" width="8.28515625" style="1344" customWidth="1"/>
    <col min="8687" max="8687" width="5.7109375" style="1344" customWidth="1"/>
    <col min="8688" max="8688" width="2.85546875" style="1344" customWidth="1"/>
    <col min="8689" max="8689" width="36.7109375" style="1344" customWidth="1"/>
    <col min="8690" max="8690" width="5.5703125" style="1344" customWidth="1"/>
    <col min="8691" max="8691" width="8.28515625" style="1344" customWidth="1"/>
    <col min="8692" max="8698" width="12.85546875" style="1344" customWidth="1"/>
    <col min="8699" max="8710" width="16.85546875" style="1344" customWidth="1"/>
    <col min="8711" max="8712" width="11.140625" style="1344" customWidth="1"/>
    <col min="8713" max="8727" width="6.5703125" style="1344" customWidth="1"/>
    <col min="8728" max="8941" width="11.42578125" style="1344"/>
    <col min="8942" max="8942" width="8.28515625" style="1344" customWidth="1"/>
    <col min="8943" max="8943" width="5.7109375" style="1344" customWidth="1"/>
    <col min="8944" max="8944" width="2.85546875" style="1344" customWidth="1"/>
    <col min="8945" max="8945" width="36.7109375" style="1344" customWidth="1"/>
    <col min="8946" max="8946" width="5.5703125" style="1344" customWidth="1"/>
    <col min="8947" max="8947" width="8.28515625" style="1344" customWidth="1"/>
    <col min="8948" max="8954" width="12.85546875" style="1344" customWidth="1"/>
    <col min="8955" max="8966" width="16.85546875" style="1344" customWidth="1"/>
    <col min="8967" max="8968" width="11.140625" style="1344" customWidth="1"/>
    <col min="8969" max="8983" width="6.5703125" style="1344" customWidth="1"/>
    <col min="8984" max="9197" width="11.42578125" style="1344"/>
    <col min="9198" max="9198" width="8.28515625" style="1344" customWidth="1"/>
    <col min="9199" max="9199" width="5.7109375" style="1344" customWidth="1"/>
    <col min="9200" max="9200" width="2.85546875" style="1344" customWidth="1"/>
    <col min="9201" max="9201" width="36.7109375" style="1344" customWidth="1"/>
    <col min="9202" max="9202" width="5.5703125" style="1344" customWidth="1"/>
    <col min="9203" max="9203" width="8.28515625" style="1344" customWidth="1"/>
    <col min="9204" max="9210" width="12.85546875" style="1344" customWidth="1"/>
    <col min="9211" max="9222" width="16.85546875" style="1344" customWidth="1"/>
    <col min="9223" max="9224" width="11.140625" style="1344" customWidth="1"/>
    <col min="9225" max="9239" width="6.5703125" style="1344" customWidth="1"/>
    <col min="9240" max="9453" width="11.42578125" style="1344"/>
    <col min="9454" max="9454" width="8.28515625" style="1344" customWidth="1"/>
    <col min="9455" max="9455" width="5.7109375" style="1344" customWidth="1"/>
    <col min="9456" max="9456" width="2.85546875" style="1344" customWidth="1"/>
    <col min="9457" max="9457" width="36.7109375" style="1344" customWidth="1"/>
    <col min="9458" max="9458" width="5.5703125" style="1344" customWidth="1"/>
    <col min="9459" max="9459" width="8.28515625" style="1344" customWidth="1"/>
    <col min="9460" max="9466" width="12.85546875" style="1344" customWidth="1"/>
    <col min="9467" max="9478" width="16.85546875" style="1344" customWidth="1"/>
    <col min="9479" max="9480" width="11.140625" style="1344" customWidth="1"/>
    <col min="9481" max="9495" width="6.5703125" style="1344" customWidth="1"/>
    <col min="9496" max="9709" width="11.42578125" style="1344"/>
    <col min="9710" max="9710" width="8.28515625" style="1344" customWidth="1"/>
    <col min="9711" max="9711" width="5.7109375" style="1344" customWidth="1"/>
    <col min="9712" max="9712" width="2.85546875" style="1344" customWidth="1"/>
    <col min="9713" max="9713" width="36.7109375" style="1344" customWidth="1"/>
    <col min="9714" max="9714" width="5.5703125" style="1344" customWidth="1"/>
    <col min="9715" max="9715" width="8.28515625" style="1344" customWidth="1"/>
    <col min="9716" max="9722" width="12.85546875" style="1344" customWidth="1"/>
    <col min="9723" max="9734" width="16.85546875" style="1344" customWidth="1"/>
    <col min="9735" max="9736" width="11.140625" style="1344" customWidth="1"/>
    <col min="9737" max="9751" width="6.5703125" style="1344" customWidth="1"/>
    <col min="9752" max="9965" width="11.42578125" style="1344"/>
    <col min="9966" max="9966" width="8.28515625" style="1344" customWidth="1"/>
    <col min="9967" max="9967" width="5.7109375" style="1344" customWidth="1"/>
    <col min="9968" max="9968" width="2.85546875" style="1344" customWidth="1"/>
    <col min="9969" max="9969" width="36.7109375" style="1344" customWidth="1"/>
    <col min="9970" max="9970" width="5.5703125" style="1344" customWidth="1"/>
    <col min="9971" max="9971" width="8.28515625" style="1344" customWidth="1"/>
    <col min="9972" max="9978" width="12.85546875" style="1344" customWidth="1"/>
    <col min="9979" max="9990" width="16.85546875" style="1344" customWidth="1"/>
    <col min="9991" max="9992" width="11.140625" style="1344" customWidth="1"/>
    <col min="9993" max="10007" width="6.5703125" style="1344" customWidth="1"/>
    <col min="10008" max="10221" width="11.42578125" style="1344"/>
    <col min="10222" max="10222" width="8.28515625" style="1344" customWidth="1"/>
    <col min="10223" max="10223" width="5.7109375" style="1344" customWidth="1"/>
    <col min="10224" max="10224" width="2.85546875" style="1344" customWidth="1"/>
    <col min="10225" max="10225" width="36.7109375" style="1344" customWidth="1"/>
    <col min="10226" max="10226" width="5.5703125" style="1344" customWidth="1"/>
    <col min="10227" max="10227" width="8.28515625" style="1344" customWidth="1"/>
    <col min="10228" max="10234" width="12.85546875" style="1344" customWidth="1"/>
    <col min="10235" max="10246" width="16.85546875" style="1344" customWidth="1"/>
    <col min="10247" max="10248" width="11.140625" style="1344" customWidth="1"/>
    <col min="10249" max="10263" width="6.5703125" style="1344" customWidth="1"/>
    <col min="10264" max="10477" width="11.42578125" style="1344"/>
    <col min="10478" max="10478" width="8.28515625" style="1344" customWidth="1"/>
    <col min="10479" max="10479" width="5.7109375" style="1344" customWidth="1"/>
    <col min="10480" max="10480" width="2.85546875" style="1344" customWidth="1"/>
    <col min="10481" max="10481" width="36.7109375" style="1344" customWidth="1"/>
    <col min="10482" max="10482" width="5.5703125" style="1344" customWidth="1"/>
    <col min="10483" max="10483" width="8.28515625" style="1344" customWidth="1"/>
    <col min="10484" max="10490" width="12.85546875" style="1344" customWidth="1"/>
    <col min="10491" max="10502" width="16.85546875" style="1344" customWidth="1"/>
    <col min="10503" max="10504" width="11.140625" style="1344" customWidth="1"/>
    <col min="10505" max="10519" width="6.5703125" style="1344" customWidth="1"/>
    <col min="10520" max="10733" width="11.42578125" style="1344"/>
    <col min="10734" max="10734" width="8.28515625" style="1344" customWidth="1"/>
    <col min="10735" max="10735" width="5.7109375" style="1344" customWidth="1"/>
    <col min="10736" max="10736" width="2.85546875" style="1344" customWidth="1"/>
    <col min="10737" max="10737" width="36.7109375" style="1344" customWidth="1"/>
    <col min="10738" max="10738" width="5.5703125" style="1344" customWidth="1"/>
    <col min="10739" max="10739" width="8.28515625" style="1344" customWidth="1"/>
    <col min="10740" max="10746" width="12.85546875" style="1344" customWidth="1"/>
    <col min="10747" max="10758" width="16.85546875" style="1344" customWidth="1"/>
    <col min="10759" max="10760" width="11.140625" style="1344" customWidth="1"/>
    <col min="10761" max="10775" width="6.5703125" style="1344" customWidth="1"/>
    <col min="10776" max="10989" width="11.42578125" style="1344"/>
    <col min="10990" max="10990" width="8.28515625" style="1344" customWidth="1"/>
    <col min="10991" max="10991" width="5.7109375" style="1344" customWidth="1"/>
    <col min="10992" max="10992" width="2.85546875" style="1344" customWidth="1"/>
    <col min="10993" max="10993" width="36.7109375" style="1344" customWidth="1"/>
    <col min="10994" max="10994" width="5.5703125" style="1344" customWidth="1"/>
    <col min="10995" max="10995" width="8.28515625" style="1344" customWidth="1"/>
    <col min="10996" max="11002" width="12.85546875" style="1344" customWidth="1"/>
    <col min="11003" max="11014" width="16.85546875" style="1344" customWidth="1"/>
    <col min="11015" max="11016" width="11.140625" style="1344" customWidth="1"/>
    <col min="11017" max="11031" width="6.5703125" style="1344" customWidth="1"/>
    <col min="11032" max="11245" width="11.42578125" style="1344"/>
    <col min="11246" max="11246" width="8.28515625" style="1344" customWidth="1"/>
    <col min="11247" max="11247" width="5.7109375" style="1344" customWidth="1"/>
    <col min="11248" max="11248" width="2.85546875" style="1344" customWidth="1"/>
    <col min="11249" max="11249" width="36.7109375" style="1344" customWidth="1"/>
    <col min="11250" max="11250" width="5.5703125" style="1344" customWidth="1"/>
    <col min="11251" max="11251" width="8.28515625" style="1344" customWidth="1"/>
    <col min="11252" max="11258" width="12.85546875" style="1344" customWidth="1"/>
    <col min="11259" max="11270" width="16.85546875" style="1344" customWidth="1"/>
    <col min="11271" max="11272" width="11.140625" style="1344" customWidth="1"/>
    <col min="11273" max="11287" width="6.5703125" style="1344" customWidth="1"/>
    <col min="11288" max="11501" width="11.42578125" style="1344"/>
    <col min="11502" max="11502" width="8.28515625" style="1344" customWidth="1"/>
    <col min="11503" max="11503" width="5.7109375" style="1344" customWidth="1"/>
    <col min="11504" max="11504" width="2.85546875" style="1344" customWidth="1"/>
    <col min="11505" max="11505" width="36.7109375" style="1344" customWidth="1"/>
    <col min="11506" max="11506" width="5.5703125" style="1344" customWidth="1"/>
    <col min="11507" max="11507" width="8.28515625" style="1344" customWidth="1"/>
    <col min="11508" max="11514" width="12.85546875" style="1344" customWidth="1"/>
    <col min="11515" max="11526" width="16.85546875" style="1344" customWidth="1"/>
    <col min="11527" max="11528" width="11.140625" style="1344" customWidth="1"/>
    <col min="11529" max="11543" width="6.5703125" style="1344" customWidth="1"/>
    <col min="11544" max="11757" width="11.42578125" style="1344"/>
    <col min="11758" max="11758" width="8.28515625" style="1344" customWidth="1"/>
    <col min="11759" max="11759" width="5.7109375" style="1344" customWidth="1"/>
    <col min="11760" max="11760" width="2.85546875" style="1344" customWidth="1"/>
    <col min="11761" max="11761" width="36.7109375" style="1344" customWidth="1"/>
    <col min="11762" max="11762" width="5.5703125" style="1344" customWidth="1"/>
    <col min="11763" max="11763" width="8.28515625" style="1344" customWidth="1"/>
    <col min="11764" max="11770" width="12.85546875" style="1344" customWidth="1"/>
    <col min="11771" max="11782" width="16.85546875" style="1344" customWidth="1"/>
    <col min="11783" max="11784" width="11.140625" style="1344" customWidth="1"/>
    <col min="11785" max="11799" width="6.5703125" style="1344" customWidth="1"/>
    <col min="11800" max="12013" width="11.42578125" style="1344"/>
    <col min="12014" max="12014" width="8.28515625" style="1344" customWidth="1"/>
    <col min="12015" max="12015" width="5.7109375" style="1344" customWidth="1"/>
    <col min="12016" max="12016" width="2.85546875" style="1344" customWidth="1"/>
    <col min="12017" max="12017" width="36.7109375" style="1344" customWidth="1"/>
    <col min="12018" max="12018" width="5.5703125" style="1344" customWidth="1"/>
    <col min="12019" max="12019" width="8.28515625" style="1344" customWidth="1"/>
    <col min="12020" max="12026" width="12.85546875" style="1344" customWidth="1"/>
    <col min="12027" max="12038" width="16.85546875" style="1344" customWidth="1"/>
    <col min="12039" max="12040" width="11.140625" style="1344" customWidth="1"/>
    <col min="12041" max="12055" width="6.5703125" style="1344" customWidth="1"/>
    <col min="12056" max="12269" width="11.42578125" style="1344"/>
    <col min="12270" max="12270" width="8.28515625" style="1344" customWidth="1"/>
    <col min="12271" max="12271" width="5.7109375" style="1344" customWidth="1"/>
    <col min="12272" max="12272" width="2.85546875" style="1344" customWidth="1"/>
    <col min="12273" max="12273" width="36.7109375" style="1344" customWidth="1"/>
    <col min="12274" max="12274" width="5.5703125" style="1344" customWidth="1"/>
    <col min="12275" max="12275" width="8.28515625" style="1344" customWidth="1"/>
    <col min="12276" max="12282" width="12.85546875" style="1344" customWidth="1"/>
    <col min="12283" max="12294" width="16.85546875" style="1344" customWidth="1"/>
    <col min="12295" max="12296" width="11.140625" style="1344" customWidth="1"/>
    <col min="12297" max="12311" width="6.5703125" style="1344" customWidth="1"/>
    <col min="12312" max="12525" width="11.42578125" style="1344"/>
    <col min="12526" max="12526" width="8.28515625" style="1344" customWidth="1"/>
    <col min="12527" max="12527" width="5.7109375" style="1344" customWidth="1"/>
    <col min="12528" max="12528" width="2.85546875" style="1344" customWidth="1"/>
    <col min="12529" max="12529" width="36.7109375" style="1344" customWidth="1"/>
    <col min="12530" max="12530" width="5.5703125" style="1344" customWidth="1"/>
    <col min="12531" max="12531" width="8.28515625" style="1344" customWidth="1"/>
    <col min="12532" max="12538" width="12.85546875" style="1344" customWidth="1"/>
    <col min="12539" max="12550" width="16.85546875" style="1344" customWidth="1"/>
    <col min="12551" max="12552" width="11.140625" style="1344" customWidth="1"/>
    <col min="12553" max="12567" width="6.5703125" style="1344" customWidth="1"/>
    <col min="12568" max="12781" width="11.42578125" style="1344"/>
    <col min="12782" max="12782" width="8.28515625" style="1344" customWidth="1"/>
    <col min="12783" max="12783" width="5.7109375" style="1344" customWidth="1"/>
    <col min="12784" max="12784" width="2.85546875" style="1344" customWidth="1"/>
    <col min="12785" max="12785" width="36.7109375" style="1344" customWidth="1"/>
    <col min="12786" max="12786" width="5.5703125" style="1344" customWidth="1"/>
    <col min="12787" max="12787" width="8.28515625" style="1344" customWidth="1"/>
    <col min="12788" max="12794" width="12.85546875" style="1344" customWidth="1"/>
    <col min="12795" max="12806" width="16.85546875" style="1344" customWidth="1"/>
    <col min="12807" max="12808" width="11.140625" style="1344" customWidth="1"/>
    <col min="12809" max="12823" width="6.5703125" style="1344" customWidth="1"/>
    <col min="12824" max="13037" width="11.42578125" style="1344"/>
    <col min="13038" max="13038" width="8.28515625" style="1344" customWidth="1"/>
    <col min="13039" max="13039" width="5.7109375" style="1344" customWidth="1"/>
    <col min="13040" max="13040" width="2.85546875" style="1344" customWidth="1"/>
    <col min="13041" max="13041" width="36.7109375" style="1344" customWidth="1"/>
    <col min="13042" max="13042" width="5.5703125" style="1344" customWidth="1"/>
    <col min="13043" max="13043" width="8.28515625" style="1344" customWidth="1"/>
    <col min="13044" max="13050" width="12.85546875" style="1344" customWidth="1"/>
    <col min="13051" max="13062" width="16.85546875" style="1344" customWidth="1"/>
    <col min="13063" max="13064" width="11.140625" style="1344" customWidth="1"/>
    <col min="13065" max="13079" width="6.5703125" style="1344" customWidth="1"/>
    <col min="13080" max="13293" width="11.42578125" style="1344"/>
    <col min="13294" max="13294" width="8.28515625" style="1344" customWidth="1"/>
    <col min="13295" max="13295" width="5.7109375" style="1344" customWidth="1"/>
    <col min="13296" max="13296" width="2.85546875" style="1344" customWidth="1"/>
    <col min="13297" max="13297" width="36.7109375" style="1344" customWidth="1"/>
    <col min="13298" max="13298" width="5.5703125" style="1344" customWidth="1"/>
    <col min="13299" max="13299" width="8.28515625" style="1344" customWidth="1"/>
    <col min="13300" max="13306" width="12.85546875" style="1344" customWidth="1"/>
    <col min="13307" max="13318" width="16.85546875" style="1344" customWidth="1"/>
    <col min="13319" max="13320" width="11.140625" style="1344" customWidth="1"/>
    <col min="13321" max="13335" width="6.5703125" style="1344" customWidth="1"/>
    <col min="13336" max="13549" width="11.42578125" style="1344"/>
    <col min="13550" max="13550" width="8.28515625" style="1344" customWidth="1"/>
    <col min="13551" max="13551" width="5.7109375" style="1344" customWidth="1"/>
    <col min="13552" max="13552" width="2.85546875" style="1344" customWidth="1"/>
    <col min="13553" max="13553" width="36.7109375" style="1344" customWidth="1"/>
    <col min="13554" max="13554" width="5.5703125" style="1344" customWidth="1"/>
    <col min="13555" max="13555" width="8.28515625" style="1344" customWidth="1"/>
    <col min="13556" max="13562" width="12.85546875" style="1344" customWidth="1"/>
    <col min="13563" max="13574" width="16.85546875" style="1344" customWidth="1"/>
    <col min="13575" max="13576" width="11.140625" style="1344" customWidth="1"/>
    <col min="13577" max="13591" width="6.5703125" style="1344" customWidth="1"/>
    <col min="13592" max="13805" width="11.42578125" style="1344"/>
    <col min="13806" max="13806" width="8.28515625" style="1344" customWidth="1"/>
    <col min="13807" max="13807" width="5.7109375" style="1344" customWidth="1"/>
    <col min="13808" max="13808" width="2.85546875" style="1344" customWidth="1"/>
    <col min="13809" max="13809" width="36.7109375" style="1344" customWidth="1"/>
    <col min="13810" max="13810" width="5.5703125" style="1344" customWidth="1"/>
    <col min="13811" max="13811" width="8.28515625" style="1344" customWidth="1"/>
    <col min="13812" max="13818" width="12.85546875" style="1344" customWidth="1"/>
    <col min="13819" max="13830" width="16.85546875" style="1344" customWidth="1"/>
    <col min="13831" max="13832" width="11.140625" style="1344" customWidth="1"/>
    <col min="13833" max="13847" width="6.5703125" style="1344" customWidth="1"/>
    <col min="13848" max="14061" width="11.42578125" style="1344"/>
    <col min="14062" max="14062" width="8.28515625" style="1344" customWidth="1"/>
    <col min="14063" max="14063" width="5.7109375" style="1344" customWidth="1"/>
    <col min="14064" max="14064" width="2.85546875" style="1344" customWidth="1"/>
    <col min="14065" max="14065" width="36.7109375" style="1344" customWidth="1"/>
    <col min="14066" max="14066" width="5.5703125" style="1344" customWidth="1"/>
    <col min="14067" max="14067" width="8.28515625" style="1344" customWidth="1"/>
    <col min="14068" max="14074" width="12.85546875" style="1344" customWidth="1"/>
    <col min="14075" max="14086" width="16.85546875" style="1344" customWidth="1"/>
    <col min="14087" max="14088" width="11.140625" style="1344" customWidth="1"/>
    <col min="14089" max="14103" width="6.5703125" style="1344" customWidth="1"/>
    <col min="14104" max="14317" width="11.42578125" style="1344"/>
    <col min="14318" max="14318" width="8.28515625" style="1344" customWidth="1"/>
    <col min="14319" max="14319" width="5.7109375" style="1344" customWidth="1"/>
    <col min="14320" max="14320" width="2.85546875" style="1344" customWidth="1"/>
    <col min="14321" max="14321" width="36.7109375" style="1344" customWidth="1"/>
    <col min="14322" max="14322" width="5.5703125" style="1344" customWidth="1"/>
    <col min="14323" max="14323" width="8.28515625" style="1344" customWidth="1"/>
    <col min="14324" max="14330" width="12.85546875" style="1344" customWidth="1"/>
    <col min="14331" max="14342" width="16.85546875" style="1344" customWidth="1"/>
    <col min="14343" max="14344" width="11.140625" style="1344" customWidth="1"/>
    <col min="14345" max="14359" width="6.5703125" style="1344" customWidth="1"/>
    <col min="14360" max="14573" width="11.42578125" style="1344"/>
    <col min="14574" max="14574" width="8.28515625" style="1344" customWidth="1"/>
    <col min="14575" max="14575" width="5.7109375" style="1344" customWidth="1"/>
    <col min="14576" max="14576" width="2.85546875" style="1344" customWidth="1"/>
    <col min="14577" max="14577" width="36.7109375" style="1344" customWidth="1"/>
    <col min="14578" max="14578" width="5.5703125" style="1344" customWidth="1"/>
    <col min="14579" max="14579" width="8.28515625" style="1344" customWidth="1"/>
    <col min="14580" max="14586" width="12.85546875" style="1344" customWidth="1"/>
    <col min="14587" max="14598" width="16.85546875" style="1344" customWidth="1"/>
    <col min="14599" max="14600" width="11.140625" style="1344" customWidth="1"/>
    <col min="14601" max="14615" width="6.5703125" style="1344" customWidth="1"/>
    <col min="14616" max="14829" width="11.42578125" style="1344"/>
    <col min="14830" max="14830" width="8.28515625" style="1344" customWidth="1"/>
    <col min="14831" max="14831" width="5.7109375" style="1344" customWidth="1"/>
    <col min="14832" max="14832" width="2.85546875" style="1344" customWidth="1"/>
    <col min="14833" max="14833" width="36.7109375" style="1344" customWidth="1"/>
    <col min="14834" max="14834" width="5.5703125" style="1344" customWidth="1"/>
    <col min="14835" max="14835" width="8.28515625" style="1344" customWidth="1"/>
    <col min="14836" max="14842" width="12.85546875" style="1344" customWidth="1"/>
    <col min="14843" max="14854" width="16.85546875" style="1344" customWidth="1"/>
    <col min="14855" max="14856" width="11.140625" style="1344" customWidth="1"/>
    <col min="14857" max="14871" width="6.5703125" style="1344" customWidth="1"/>
    <col min="14872" max="15085" width="11.42578125" style="1344"/>
    <col min="15086" max="15086" width="8.28515625" style="1344" customWidth="1"/>
    <col min="15087" max="15087" width="5.7109375" style="1344" customWidth="1"/>
    <col min="15088" max="15088" width="2.85546875" style="1344" customWidth="1"/>
    <col min="15089" max="15089" width="36.7109375" style="1344" customWidth="1"/>
    <col min="15090" max="15090" width="5.5703125" style="1344" customWidth="1"/>
    <col min="15091" max="15091" width="8.28515625" style="1344" customWidth="1"/>
    <col min="15092" max="15098" width="12.85546875" style="1344" customWidth="1"/>
    <col min="15099" max="15110" width="16.85546875" style="1344" customWidth="1"/>
    <col min="15111" max="15112" width="11.140625" style="1344" customWidth="1"/>
    <col min="15113" max="15127" width="6.5703125" style="1344" customWidth="1"/>
    <col min="15128" max="15341" width="11.42578125" style="1344"/>
    <col min="15342" max="15342" width="8.28515625" style="1344" customWidth="1"/>
    <col min="15343" max="15343" width="5.7109375" style="1344" customWidth="1"/>
    <col min="15344" max="15344" width="2.85546875" style="1344" customWidth="1"/>
    <col min="15345" max="15345" width="36.7109375" style="1344" customWidth="1"/>
    <col min="15346" max="15346" width="5.5703125" style="1344" customWidth="1"/>
    <col min="15347" max="15347" width="8.28515625" style="1344" customWidth="1"/>
    <col min="15348" max="15354" width="12.85546875" style="1344" customWidth="1"/>
    <col min="15355" max="15366" width="16.85546875" style="1344" customWidth="1"/>
    <col min="15367" max="15368" width="11.140625" style="1344" customWidth="1"/>
    <col min="15369" max="15383" width="6.5703125" style="1344" customWidth="1"/>
    <col min="15384" max="15597" width="11.42578125" style="1344"/>
    <col min="15598" max="15598" width="8.28515625" style="1344" customWidth="1"/>
    <col min="15599" max="15599" width="5.7109375" style="1344" customWidth="1"/>
    <col min="15600" max="15600" width="2.85546875" style="1344" customWidth="1"/>
    <col min="15601" max="15601" width="36.7109375" style="1344" customWidth="1"/>
    <col min="15602" max="15602" width="5.5703125" style="1344" customWidth="1"/>
    <col min="15603" max="15603" width="8.28515625" style="1344" customWidth="1"/>
    <col min="15604" max="15610" width="12.85546875" style="1344" customWidth="1"/>
    <col min="15611" max="15622" width="16.85546875" style="1344" customWidth="1"/>
    <col min="15623" max="15624" width="11.140625" style="1344" customWidth="1"/>
    <col min="15625" max="15639" width="6.5703125" style="1344" customWidth="1"/>
    <col min="15640" max="15853" width="11.42578125" style="1344"/>
    <col min="15854" max="15854" width="8.28515625" style="1344" customWidth="1"/>
    <col min="15855" max="15855" width="5.7109375" style="1344" customWidth="1"/>
    <col min="15856" max="15856" width="2.85546875" style="1344" customWidth="1"/>
    <col min="15857" max="15857" width="36.7109375" style="1344" customWidth="1"/>
    <col min="15858" max="15858" width="5.5703125" style="1344" customWidth="1"/>
    <col min="15859" max="15859" width="8.28515625" style="1344" customWidth="1"/>
    <col min="15860" max="15866" width="12.85546875" style="1344" customWidth="1"/>
    <col min="15867" max="15878" width="16.85546875" style="1344" customWidth="1"/>
    <col min="15879" max="15880" width="11.140625" style="1344" customWidth="1"/>
    <col min="15881" max="15895" width="6.5703125" style="1344" customWidth="1"/>
    <col min="15896" max="16109" width="11.42578125" style="1344"/>
    <col min="16110" max="16110" width="8.28515625" style="1344" customWidth="1"/>
    <col min="16111" max="16111" width="5.7109375" style="1344" customWidth="1"/>
    <col min="16112" max="16112" width="2.85546875" style="1344" customWidth="1"/>
    <col min="16113" max="16113" width="36.7109375" style="1344" customWidth="1"/>
    <col min="16114" max="16114" width="5.5703125" style="1344" customWidth="1"/>
    <col min="16115" max="16115" width="8.28515625" style="1344" customWidth="1"/>
    <col min="16116" max="16122" width="12.85546875" style="1344" customWidth="1"/>
    <col min="16123" max="16134" width="16.85546875" style="1344" customWidth="1"/>
    <col min="16135" max="16136" width="11.140625" style="1344" customWidth="1"/>
    <col min="16137" max="16151" width="6.5703125" style="1344" customWidth="1"/>
    <col min="16152" max="16384" width="11.42578125" style="1344"/>
  </cols>
  <sheetData>
    <row r="1" spans="1:52" ht="17.25" thickBot="1" x14ac:dyDescent="0.3">
      <c r="A1" s="3098"/>
      <c r="B1" s="3098"/>
      <c r="C1" s="3098"/>
      <c r="D1" s="3098"/>
      <c r="E1" s="3098"/>
      <c r="F1" s="3098"/>
      <c r="G1" s="3098"/>
      <c r="H1" s="3098"/>
      <c r="I1" s="3098"/>
      <c r="J1" s="3098"/>
      <c r="K1" s="3098"/>
      <c r="L1" s="3098"/>
      <c r="M1" s="3098"/>
      <c r="N1" s="3098"/>
      <c r="O1" s="3098"/>
      <c r="P1" s="3098"/>
      <c r="Q1" s="3098"/>
      <c r="R1" s="3098"/>
      <c r="S1" s="3098"/>
      <c r="T1" s="3098"/>
      <c r="U1" s="3098"/>
      <c r="V1" s="3098"/>
      <c r="W1" s="3098"/>
      <c r="X1" s="3098"/>
      <c r="Y1" s="3098"/>
    </row>
    <row r="2" spans="1:52" ht="18" x14ac:dyDescent="0.25">
      <c r="B2" s="5047" t="s">
        <v>5825</v>
      </c>
      <c r="C2" s="5048"/>
      <c r="D2" s="5048"/>
      <c r="E2" s="5048"/>
      <c r="F2" s="5048"/>
      <c r="G2" s="5048"/>
      <c r="H2" s="5048"/>
      <c r="I2" s="5048"/>
      <c r="J2" s="5048"/>
      <c r="K2" s="5048"/>
      <c r="L2" s="5048"/>
      <c r="M2" s="5048"/>
      <c r="N2" s="5048"/>
      <c r="O2" s="5048"/>
      <c r="P2" s="5048"/>
      <c r="Q2" s="5048"/>
      <c r="R2" s="5048"/>
      <c r="S2" s="5048"/>
      <c r="T2" s="5048"/>
      <c r="U2" s="5048"/>
      <c r="V2" s="5048"/>
      <c r="W2" s="5048"/>
      <c r="X2" s="5048"/>
      <c r="Y2" s="5048"/>
      <c r="Z2" s="5048"/>
      <c r="AA2" s="5048"/>
      <c r="AB2" s="5048"/>
      <c r="AC2" s="5048"/>
      <c r="AD2" s="5048"/>
      <c r="AE2" s="5048"/>
      <c r="AF2" s="5048"/>
      <c r="AG2" s="5048"/>
      <c r="AH2" s="5048"/>
      <c r="AI2" s="5048"/>
      <c r="AJ2" s="5048"/>
      <c r="AK2" s="5048"/>
      <c r="AL2" s="5048"/>
      <c r="AM2" s="5048"/>
      <c r="AN2" s="5048"/>
      <c r="AO2" s="5048"/>
      <c r="AP2" s="5048"/>
      <c r="AQ2" s="5048"/>
      <c r="AR2" s="5048"/>
      <c r="AS2" s="5048"/>
      <c r="AT2" s="5048"/>
      <c r="AU2" s="5048"/>
      <c r="AV2" s="5048"/>
      <c r="AW2" s="5048"/>
      <c r="AX2" s="5048"/>
      <c r="AY2" s="5048"/>
      <c r="AZ2" s="5049"/>
    </row>
    <row r="3" spans="1:52" x14ac:dyDescent="0.25">
      <c r="A3" s="3098"/>
      <c r="B3" s="3153"/>
      <c r="C3" s="3151"/>
      <c r="D3" s="3151"/>
      <c r="E3" s="3151"/>
      <c r="F3" s="3152"/>
      <c r="G3" s="3152"/>
      <c r="H3" s="3152"/>
      <c r="I3" s="3152"/>
      <c r="J3" s="3152"/>
      <c r="K3" s="3152"/>
      <c r="L3" s="3152"/>
      <c r="M3" s="3152"/>
      <c r="N3" s="3152"/>
      <c r="O3" s="3152"/>
      <c r="P3" s="3152"/>
      <c r="Q3" s="3152"/>
      <c r="R3" s="3152"/>
      <c r="S3" s="3152"/>
      <c r="T3" s="3152"/>
      <c r="U3" s="3152"/>
      <c r="V3" s="3152"/>
      <c r="W3" s="3152"/>
      <c r="X3" s="3152"/>
      <c r="Y3" s="3152"/>
      <c r="Z3" s="706"/>
      <c r="AA3" s="706"/>
      <c r="AB3" s="706"/>
      <c r="AC3" s="706"/>
      <c r="AD3" s="706"/>
      <c r="AE3" s="706"/>
      <c r="AF3" s="706"/>
      <c r="AG3" s="706"/>
      <c r="AH3" s="706"/>
      <c r="AI3" s="706"/>
      <c r="AJ3" s="706"/>
      <c r="AK3" s="706"/>
      <c r="AL3" s="706"/>
      <c r="AM3" s="706"/>
      <c r="AN3" s="706"/>
      <c r="AO3" s="706"/>
      <c r="AP3" s="706"/>
      <c r="AQ3" s="706"/>
      <c r="AR3" s="706"/>
      <c r="AS3" s="706"/>
      <c r="AT3" s="706"/>
      <c r="AU3" s="706"/>
      <c r="AV3" s="706"/>
      <c r="AW3" s="706"/>
      <c r="AX3" s="706"/>
      <c r="AY3" s="706"/>
      <c r="AZ3" s="735"/>
    </row>
    <row r="4" spans="1:52" ht="16.5" customHeight="1" x14ac:dyDescent="0.25">
      <c r="B4" s="3154" t="s">
        <v>5843</v>
      </c>
      <c r="C4" s="5050" t="s">
        <v>5848</v>
      </c>
      <c r="D4" s="5050"/>
      <c r="E4" s="5050"/>
      <c r="F4" s="5050"/>
      <c r="G4" s="5050"/>
      <c r="H4" s="5050"/>
      <c r="I4" s="5050"/>
      <c r="J4" s="5050"/>
      <c r="K4" s="5050"/>
      <c r="L4" s="5050"/>
      <c r="M4" s="5050"/>
      <c r="N4" s="5050"/>
      <c r="O4" s="5050"/>
      <c r="P4" s="5050"/>
      <c r="Q4" s="5050"/>
      <c r="R4" s="5050"/>
      <c r="S4" s="5050"/>
      <c r="T4" s="5050"/>
      <c r="U4" s="5050"/>
      <c r="V4" s="5050"/>
      <c r="W4" s="5050"/>
      <c r="X4" s="5050"/>
      <c r="Y4" s="5050"/>
      <c r="Z4" s="5050"/>
      <c r="AA4" s="5050"/>
      <c r="AB4" s="5050"/>
      <c r="AC4" s="5050"/>
      <c r="AD4" s="5050"/>
      <c r="AE4" s="5050"/>
      <c r="AF4" s="5050"/>
      <c r="AG4" s="5050"/>
      <c r="AH4" s="5050"/>
      <c r="AI4" s="5050"/>
      <c r="AJ4" s="5050"/>
      <c r="AK4" s="5050"/>
      <c r="AL4" s="5050"/>
      <c r="AM4" s="5050"/>
      <c r="AN4" s="5050"/>
      <c r="AO4" s="5050"/>
      <c r="AP4" s="5050"/>
      <c r="AQ4" s="5050"/>
      <c r="AR4" s="5050"/>
      <c r="AS4" s="5050"/>
      <c r="AT4" s="5050"/>
      <c r="AU4" s="5050"/>
      <c r="AV4" s="5050"/>
      <c r="AW4" s="5050"/>
      <c r="AX4" s="5050"/>
      <c r="AY4" s="5050"/>
      <c r="AZ4" s="5051"/>
    </row>
    <row r="5" spans="1:52" x14ac:dyDescent="0.25">
      <c r="B5" s="3154" t="s">
        <v>5844</v>
      </c>
      <c r="C5" s="3160" t="s">
        <v>5849</v>
      </c>
      <c r="D5" s="3776"/>
      <c r="E5" s="3776"/>
      <c r="F5" s="3776"/>
      <c r="G5" s="3776"/>
      <c r="H5" s="3776"/>
      <c r="I5" s="3776"/>
      <c r="J5" s="3776"/>
      <c r="K5" s="3776"/>
      <c r="L5" s="3776"/>
      <c r="M5" s="3776"/>
      <c r="N5" s="3776"/>
      <c r="O5" s="3776"/>
      <c r="P5" s="3776"/>
      <c r="Q5" s="3776"/>
      <c r="R5" s="3776"/>
      <c r="S5" s="3776"/>
      <c r="T5" s="3776"/>
      <c r="U5" s="3776"/>
      <c r="V5" s="3776"/>
      <c r="W5" s="3776"/>
      <c r="X5" s="3776"/>
      <c r="Y5" s="3776"/>
      <c r="Z5" s="706"/>
      <c r="AA5" s="706"/>
      <c r="AB5" s="706"/>
      <c r="AC5" s="706"/>
      <c r="AD5" s="706"/>
      <c r="AE5" s="706"/>
      <c r="AF5" s="706"/>
      <c r="AG5" s="706"/>
      <c r="AH5" s="706"/>
      <c r="AI5" s="706"/>
      <c r="AJ5" s="706"/>
      <c r="AK5" s="706"/>
      <c r="AL5" s="706"/>
      <c r="AM5" s="706"/>
      <c r="AN5" s="706"/>
      <c r="AO5" s="706"/>
      <c r="AP5" s="706"/>
      <c r="AQ5" s="706"/>
      <c r="AR5" s="706"/>
      <c r="AS5" s="706"/>
      <c r="AT5" s="706"/>
      <c r="AU5" s="706"/>
      <c r="AV5" s="706"/>
      <c r="AW5" s="706"/>
      <c r="AX5" s="706"/>
      <c r="AY5" s="706"/>
      <c r="AZ5" s="735"/>
    </row>
    <row r="6" spans="1:52" x14ac:dyDescent="0.25">
      <c r="B6" s="3183" t="s">
        <v>5845</v>
      </c>
      <c r="C6" s="3167" t="s">
        <v>5850</v>
      </c>
      <c r="D6" s="3167"/>
      <c r="E6" s="3168"/>
      <c r="F6" s="3168"/>
      <c r="G6" s="3168"/>
      <c r="H6" s="3168"/>
      <c r="I6" s="3168"/>
      <c r="J6" s="3168"/>
      <c r="K6" s="3168"/>
      <c r="L6" s="3168"/>
      <c r="M6" s="3168"/>
      <c r="N6" s="3168"/>
      <c r="O6" s="3168"/>
      <c r="P6" s="3168"/>
      <c r="Q6" s="3168"/>
      <c r="R6" s="3168"/>
      <c r="S6" s="3168"/>
      <c r="T6" s="3168"/>
      <c r="U6" s="3168"/>
      <c r="V6" s="3168"/>
      <c r="W6" s="3168"/>
      <c r="X6" s="3168"/>
      <c r="Y6" s="3168"/>
      <c r="Z6" s="706"/>
      <c r="AA6" s="706"/>
      <c r="AB6" s="706"/>
      <c r="AC6" s="706"/>
      <c r="AD6" s="706"/>
      <c r="AE6" s="706"/>
      <c r="AF6" s="706"/>
      <c r="AG6" s="706"/>
      <c r="AH6" s="706"/>
      <c r="AI6" s="706"/>
      <c r="AJ6" s="706"/>
      <c r="AK6" s="706"/>
      <c r="AL6" s="706"/>
      <c r="AM6" s="706"/>
      <c r="AN6" s="706"/>
      <c r="AO6" s="706"/>
      <c r="AP6" s="706"/>
      <c r="AQ6" s="706"/>
      <c r="AR6" s="706"/>
      <c r="AS6" s="706"/>
      <c r="AT6" s="706"/>
      <c r="AU6" s="706"/>
      <c r="AV6" s="706"/>
      <c r="AW6" s="706"/>
      <c r="AX6" s="706"/>
      <c r="AY6" s="706"/>
      <c r="AZ6" s="735"/>
    </row>
    <row r="7" spans="1:52" ht="27" x14ac:dyDescent="0.25">
      <c r="B7" s="3184" t="s">
        <v>5846</v>
      </c>
      <c r="C7" s="3169" t="s">
        <v>5851</v>
      </c>
      <c r="D7" s="3169"/>
      <c r="E7" s="3185"/>
      <c r="F7" s="3185"/>
      <c r="G7" s="3185"/>
      <c r="H7" s="3185"/>
      <c r="I7" s="3185"/>
      <c r="J7" s="3185"/>
      <c r="K7" s="3185"/>
      <c r="L7" s="3185"/>
      <c r="M7" s="3185"/>
      <c r="N7" s="3185"/>
      <c r="O7" s="3185"/>
      <c r="P7" s="3185"/>
      <c r="Q7" s="3185"/>
      <c r="R7" s="3185"/>
      <c r="S7" s="3185"/>
      <c r="T7" s="3185"/>
      <c r="U7" s="3185"/>
      <c r="V7" s="3185"/>
      <c r="W7" s="3185"/>
      <c r="X7" s="3185"/>
      <c r="Y7" s="3185"/>
      <c r="Z7" s="706"/>
      <c r="AA7" s="706"/>
      <c r="AB7" s="706"/>
      <c r="AC7" s="706"/>
      <c r="AD7" s="706"/>
      <c r="AE7" s="706"/>
      <c r="AF7" s="706"/>
      <c r="AG7" s="706"/>
      <c r="AH7" s="706"/>
      <c r="AI7" s="706"/>
      <c r="AJ7" s="706"/>
      <c r="AK7" s="706"/>
      <c r="AL7" s="706"/>
      <c r="AM7" s="706"/>
      <c r="AN7" s="706"/>
      <c r="AO7" s="706"/>
      <c r="AP7" s="706"/>
      <c r="AQ7" s="706"/>
      <c r="AR7" s="706"/>
      <c r="AS7" s="706"/>
      <c r="AT7" s="706"/>
      <c r="AU7" s="706"/>
      <c r="AV7" s="706"/>
      <c r="AW7" s="706"/>
      <c r="AX7" s="706"/>
      <c r="AY7" s="706"/>
      <c r="AZ7" s="735"/>
    </row>
    <row r="8" spans="1:52" ht="17.25" thickBot="1" x14ac:dyDescent="0.3">
      <c r="B8" s="3183" t="s">
        <v>5847</v>
      </c>
      <c r="C8" s="3686">
        <f>'28 Cronograma'!E46</f>
        <v>28586582.974537253</v>
      </c>
      <c r="D8" s="3170"/>
      <c r="E8" s="3185"/>
      <c r="F8" s="3185"/>
      <c r="G8" s="3185"/>
      <c r="H8" s="3185"/>
      <c r="I8" s="3185"/>
      <c r="J8" s="3185"/>
      <c r="K8" s="3185"/>
      <c r="L8" s="3185"/>
      <c r="M8" s="3185"/>
      <c r="N8" s="3185"/>
      <c r="O8" s="3185"/>
      <c r="P8" s="3185"/>
      <c r="Q8" s="3185"/>
      <c r="R8" s="3185"/>
      <c r="S8" s="3185"/>
      <c r="T8" s="3185"/>
      <c r="U8" s="3185"/>
      <c r="V8" s="3185"/>
      <c r="W8" s="3185"/>
      <c r="X8" s="3185"/>
      <c r="Y8" s="3185"/>
      <c r="Z8" s="706"/>
      <c r="AA8" s="706"/>
      <c r="AB8" s="706"/>
      <c r="AC8" s="706"/>
      <c r="AD8" s="706"/>
      <c r="AE8" s="706"/>
      <c r="AF8" s="706"/>
      <c r="AG8" s="706"/>
      <c r="AH8" s="706"/>
      <c r="AI8" s="706"/>
      <c r="AJ8" s="706"/>
      <c r="AK8" s="706"/>
      <c r="AL8" s="706"/>
      <c r="AM8" s="706"/>
      <c r="AN8" s="706"/>
      <c r="AO8" s="706"/>
      <c r="AP8" s="706"/>
      <c r="AQ8" s="706"/>
      <c r="AR8" s="706"/>
      <c r="AS8" s="706"/>
      <c r="AT8" s="706"/>
      <c r="AU8" s="706"/>
      <c r="AV8" s="706"/>
      <c r="AW8" s="706"/>
      <c r="AX8" s="706"/>
      <c r="AY8" s="706"/>
      <c r="AZ8" s="735"/>
    </row>
    <row r="9" spans="1:52" ht="17.25" customHeight="1" x14ac:dyDescent="0.25">
      <c r="A9" s="3098"/>
      <c r="B9" s="5245" t="s">
        <v>5826</v>
      </c>
      <c r="C9" s="5246"/>
      <c r="D9" s="5246"/>
      <c r="E9" s="5246"/>
      <c r="F9" s="5246"/>
      <c r="G9" s="5246"/>
      <c r="H9" s="5246"/>
      <c r="I9" s="5246"/>
      <c r="J9" s="5246"/>
      <c r="K9" s="5246"/>
      <c r="L9" s="5246"/>
      <c r="M9" s="5246"/>
      <c r="N9" s="5246"/>
      <c r="O9" s="5246"/>
      <c r="P9" s="5246"/>
      <c r="Q9" s="5246"/>
      <c r="R9" s="5246"/>
      <c r="S9" s="5246"/>
      <c r="T9" s="5246"/>
      <c r="U9" s="5246"/>
      <c r="V9" s="5246"/>
      <c r="W9" s="5246"/>
      <c r="X9" s="5246"/>
      <c r="Y9" s="5246"/>
      <c r="Z9" s="5246"/>
      <c r="AA9" s="5246"/>
      <c r="AB9" s="5246"/>
      <c r="AC9" s="5246"/>
      <c r="AD9" s="5246"/>
      <c r="AE9" s="5246"/>
      <c r="AF9" s="5246"/>
      <c r="AG9" s="5246"/>
      <c r="AH9" s="5246"/>
      <c r="AI9" s="5246"/>
      <c r="AJ9" s="5246"/>
      <c r="AK9" s="5246"/>
      <c r="AL9" s="5246"/>
      <c r="AM9" s="5246"/>
      <c r="AN9" s="5247"/>
      <c r="AO9" s="5249" t="s">
        <v>4302</v>
      </c>
      <c r="AP9" s="5250"/>
      <c r="AQ9" s="5250"/>
      <c r="AR9" s="5250"/>
      <c r="AS9" s="5250"/>
      <c r="AT9" s="5250"/>
      <c r="AU9" s="5250"/>
      <c r="AV9" s="5250"/>
      <c r="AW9" s="5250"/>
      <c r="AX9" s="5250"/>
      <c r="AY9" s="5250"/>
      <c r="AZ9" s="5251"/>
    </row>
    <row r="10" spans="1:52" ht="17.25" thickBot="1" x14ac:dyDescent="0.3">
      <c r="A10" s="3098"/>
      <c r="B10" s="5099"/>
      <c r="C10" s="5100"/>
      <c r="D10" s="5100"/>
      <c r="E10" s="5100"/>
      <c r="F10" s="5100"/>
      <c r="G10" s="5100"/>
      <c r="H10" s="5100"/>
      <c r="I10" s="5100"/>
      <c r="J10" s="5100"/>
      <c r="K10" s="5100"/>
      <c r="L10" s="5100"/>
      <c r="M10" s="5100"/>
      <c r="N10" s="5100"/>
      <c r="O10" s="5100"/>
      <c r="P10" s="5100"/>
      <c r="Q10" s="5100"/>
      <c r="R10" s="5100"/>
      <c r="S10" s="5100"/>
      <c r="T10" s="5100"/>
      <c r="U10" s="5100"/>
      <c r="V10" s="5100"/>
      <c r="W10" s="5100"/>
      <c r="X10" s="5100"/>
      <c r="Y10" s="5100"/>
      <c r="Z10" s="5100"/>
      <c r="AA10" s="5100"/>
      <c r="AB10" s="5100"/>
      <c r="AC10" s="5100"/>
      <c r="AD10" s="5100"/>
      <c r="AE10" s="5100"/>
      <c r="AF10" s="5100"/>
      <c r="AG10" s="5100"/>
      <c r="AH10" s="5100"/>
      <c r="AI10" s="5100"/>
      <c r="AJ10" s="5100"/>
      <c r="AK10" s="5100"/>
      <c r="AL10" s="5100"/>
      <c r="AM10" s="5100"/>
      <c r="AN10" s="5248"/>
      <c r="AO10" s="5252"/>
      <c r="AP10" s="5253"/>
      <c r="AQ10" s="5253"/>
      <c r="AR10" s="5253"/>
      <c r="AS10" s="5253"/>
      <c r="AT10" s="5253"/>
      <c r="AU10" s="5253"/>
      <c r="AV10" s="5253"/>
      <c r="AW10" s="5253"/>
      <c r="AX10" s="5253"/>
      <c r="AY10" s="5253"/>
      <c r="AZ10" s="5254"/>
    </row>
    <row r="11" spans="1:52" ht="17.25" thickBot="1" x14ac:dyDescent="0.3">
      <c r="A11" s="3098"/>
      <c r="B11" s="5064" t="s">
        <v>62</v>
      </c>
      <c r="C11" s="5066" t="s">
        <v>5306</v>
      </c>
      <c r="D11" s="5066" t="s">
        <v>5307</v>
      </c>
      <c r="E11" s="5032" t="s">
        <v>5308</v>
      </c>
      <c r="F11" s="5032"/>
      <c r="G11" s="5032"/>
      <c r="H11" s="5032"/>
      <c r="I11" s="5032"/>
      <c r="J11" s="5032"/>
      <c r="K11" s="5032"/>
      <c r="L11" s="5032"/>
      <c r="M11" s="5032"/>
      <c r="N11" s="5032"/>
      <c r="O11" s="5032"/>
      <c r="P11" s="5032"/>
      <c r="Q11" s="5032" t="s">
        <v>5309</v>
      </c>
      <c r="R11" s="5032"/>
      <c r="S11" s="5032"/>
      <c r="T11" s="5032"/>
      <c r="U11" s="5032"/>
      <c r="V11" s="5032"/>
      <c r="W11" s="5032"/>
      <c r="X11" s="5032"/>
      <c r="Y11" s="5032"/>
      <c r="Z11" s="5032"/>
      <c r="AA11" s="5032"/>
      <c r="AB11" s="5032"/>
      <c r="AC11" s="5032" t="s">
        <v>5310</v>
      </c>
      <c r="AD11" s="5032"/>
      <c r="AE11" s="5032"/>
      <c r="AF11" s="5032"/>
      <c r="AG11" s="5032"/>
      <c r="AH11" s="5032"/>
      <c r="AI11" s="5032"/>
      <c r="AJ11" s="5032"/>
      <c r="AK11" s="5032"/>
      <c r="AL11" s="5032"/>
      <c r="AM11" s="5032"/>
      <c r="AN11" s="5032"/>
      <c r="AO11" s="5255" t="s">
        <v>5827</v>
      </c>
      <c r="AP11" s="5255" t="s">
        <v>5828</v>
      </c>
      <c r="AQ11" s="5255" t="s">
        <v>5829</v>
      </c>
      <c r="AR11" s="5255" t="s">
        <v>5830</v>
      </c>
      <c r="AS11" s="5255" t="s">
        <v>5831</v>
      </c>
      <c r="AT11" s="5255" t="s">
        <v>5832</v>
      </c>
      <c r="AU11" s="5255" t="s">
        <v>5833</v>
      </c>
      <c r="AV11" s="5255" t="s">
        <v>5834</v>
      </c>
      <c r="AW11" s="5255" t="s">
        <v>5835</v>
      </c>
      <c r="AX11" s="5255" t="s">
        <v>5836</v>
      </c>
      <c r="AY11" s="5255" t="s">
        <v>5837</v>
      </c>
      <c r="AZ11" s="5276" t="s">
        <v>5838</v>
      </c>
    </row>
    <row r="12" spans="1:52" ht="17.25" thickBot="1" x14ac:dyDescent="0.3">
      <c r="A12" s="3098"/>
      <c r="B12" s="5064"/>
      <c r="C12" s="5066"/>
      <c r="D12" s="5066"/>
      <c r="E12" s="5032" t="s">
        <v>5311</v>
      </c>
      <c r="F12" s="5032"/>
      <c r="G12" s="5032"/>
      <c r="H12" s="5032"/>
      <c r="I12" s="5032"/>
      <c r="J12" s="5032"/>
      <c r="K12" s="5032"/>
      <c r="L12" s="5032"/>
      <c r="M12" s="5032"/>
      <c r="N12" s="5032"/>
      <c r="O12" s="5032"/>
      <c r="P12" s="5032"/>
      <c r="Q12" s="5032" t="s">
        <v>5312</v>
      </c>
      <c r="R12" s="5032"/>
      <c r="S12" s="5032"/>
      <c r="T12" s="5032"/>
      <c r="U12" s="5032"/>
      <c r="V12" s="5032"/>
      <c r="W12" s="5032"/>
      <c r="X12" s="5032"/>
      <c r="Y12" s="5032"/>
      <c r="Z12" s="5032"/>
      <c r="AA12" s="5032"/>
      <c r="AB12" s="5032"/>
      <c r="AC12" s="5034" t="s">
        <v>5313</v>
      </c>
      <c r="AD12" s="5034"/>
      <c r="AE12" s="5034"/>
      <c r="AF12" s="5034"/>
      <c r="AG12" s="5034"/>
      <c r="AH12" s="5034"/>
      <c r="AI12" s="5034"/>
      <c r="AJ12" s="5034"/>
      <c r="AK12" s="5034"/>
      <c r="AL12" s="5034"/>
      <c r="AM12" s="5034"/>
      <c r="AN12" s="5034"/>
      <c r="AO12" s="5256"/>
      <c r="AP12" s="5256"/>
      <c r="AQ12" s="5256"/>
      <c r="AR12" s="5256"/>
      <c r="AS12" s="5256"/>
      <c r="AT12" s="5256"/>
      <c r="AU12" s="5256"/>
      <c r="AV12" s="5256"/>
      <c r="AW12" s="5256"/>
      <c r="AX12" s="5256"/>
      <c r="AY12" s="5256"/>
      <c r="AZ12" s="5277"/>
    </row>
    <row r="13" spans="1:52" ht="17.25" thickBot="1" x14ac:dyDescent="0.3">
      <c r="A13" s="3098"/>
      <c r="B13" s="5064"/>
      <c r="C13" s="5066"/>
      <c r="D13" s="5066"/>
      <c r="E13" s="5034" t="s">
        <v>5343</v>
      </c>
      <c r="F13" s="5034"/>
      <c r="G13" s="5034"/>
      <c r="H13" s="5033" t="s">
        <v>5839</v>
      </c>
      <c r="I13" s="5033"/>
      <c r="J13" s="5033"/>
      <c r="K13" s="5034" t="s">
        <v>5840</v>
      </c>
      <c r="L13" s="5034"/>
      <c r="M13" s="5034"/>
      <c r="N13" s="5033" t="s">
        <v>5841</v>
      </c>
      <c r="O13" s="5033"/>
      <c r="P13" s="5033"/>
      <c r="Q13" s="5034" t="s">
        <v>5343</v>
      </c>
      <c r="R13" s="5034"/>
      <c r="S13" s="5034"/>
      <c r="T13" s="5033" t="s">
        <v>5839</v>
      </c>
      <c r="U13" s="5033"/>
      <c r="V13" s="5033"/>
      <c r="W13" s="5034" t="s">
        <v>5840</v>
      </c>
      <c r="X13" s="5034"/>
      <c r="Y13" s="5034"/>
      <c r="Z13" s="5033" t="s">
        <v>5841</v>
      </c>
      <c r="AA13" s="5033"/>
      <c r="AB13" s="5033"/>
      <c r="AC13" s="5034" t="s">
        <v>5343</v>
      </c>
      <c r="AD13" s="5034"/>
      <c r="AE13" s="5034"/>
      <c r="AF13" s="5033" t="s">
        <v>5839</v>
      </c>
      <c r="AG13" s="5033"/>
      <c r="AH13" s="5033"/>
      <c r="AI13" s="5034" t="s">
        <v>5840</v>
      </c>
      <c r="AJ13" s="5034"/>
      <c r="AK13" s="5034"/>
      <c r="AL13" s="5033" t="s">
        <v>5841</v>
      </c>
      <c r="AM13" s="5033"/>
      <c r="AN13" s="5033"/>
      <c r="AO13" s="5256"/>
      <c r="AP13" s="5256"/>
      <c r="AQ13" s="5256"/>
      <c r="AR13" s="5256"/>
      <c r="AS13" s="5256"/>
      <c r="AT13" s="5256"/>
      <c r="AU13" s="5256"/>
      <c r="AV13" s="5256"/>
      <c r="AW13" s="5256"/>
      <c r="AX13" s="5256"/>
      <c r="AY13" s="5256"/>
      <c r="AZ13" s="5277"/>
    </row>
    <row r="14" spans="1:52" ht="17.25" thickBot="1" x14ac:dyDescent="0.3">
      <c r="A14" s="3098"/>
      <c r="B14" s="5065"/>
      <c r="C14" s="5067"/>
      <c r="D14" s="3777" t="s">
        <v>407</v>
      </c>
      <c r="E14" s="3106">
        <v>1</v>
      </c>
      <c r="F14" s="3106">
        <v>2</v>
      </c>
      <c r="G14" s="3106">
        <v>3</v>
      </c>
      <c r="H14" s="3107">
        <v>4</v>
      </c>
      <c r="I14" s="3107">
        <v>5</v>
      </c>
      <c r="J14" s="3107">
        <v>6</v>
      </c>
      <c r="K14" s="3106">
        <v>7</v>
      </c>
      <c r="L14" s="3106">
        <v>8</v>
      </c>
      <c r="M14" s="3106">
        <v>9</v>
      </c>
      <c r="N14" s="3107">
        <v>10</v>
      </c>
      <c r="O14" s="3107">
        <v>11</v>
      </c>
      <c r="P14" s="3107">
        <v>12</v>
      </c>
      <c r="Q14" s="3106">
        <v>1</v>
      </c>
      <c r="R14" s="3106">
        <v>2</v>
      </c>
      <c r="S14" s="3106">
        <v>3</v>
      </c>
      <c r="T14" s="3107">
        <v>4</v>
      </c>
      <c r="U14" s="3107">
        <v>5</v>
      </c>
      <c r="V14" s="3107">
        <v>6</v>
      </c>
      <c r="W14" s="3106">
        <v>7</v>
      </c>
      <c r="X14" s="3106">
        <v>8</v>
      </c>
      <c r="Y14" s="3106">
        <v>9</v>
      </c>
      <c r="Z14" s="3107">
        <v>10</v>
      </c>
      <c r="AA14" s="3107">
        <v>11</v>
      </c>
      <c r="AB14" s="3107">
        <v>12</v>
      </c>
      <c r="AC14" s="3106">
        <v>1</v>
      </c>
      <c r="AD14" s="3106">
        <v>2</v>
      </c>
      <c r="AE14" s="3106">
        <v>3</v>
      </c>
      <c r="AF14" s="3107">
        <v>4</v>
      </c>
      <c r="AG14" s="3107">
        <v>5</v>
      </c>
      <c r="AH14" s="3107">
        <v>6</v>
      </c>
      <c r="AI14" s="3106">
        <v>7</v>
      </c>
      <c r="AJ14" s="3106">
        <v>8</v>
      </c>
      <c r="AK14" s="3106">
        <v>9</v>
      </c>
      <c r="AL14" s="3107">
        <v>10</v>
      </c>
      <c r="AM14" s="3107">
        <v>11</v>
      </c>
      <c r="AN14" s="3107">
        <v>12</v>
      </c>
      <c r="AO14" s="5257"/>
      <c r="AP14" s="5257"/>
      <c r="AQ14" s="5257"/>
      <c r="AR14" s="5257"/>
      <c r="AS14" s="5257"/>
      <c r="AT14" s="5257"/>
      <c r="AU14" s="5257"/>
      <c r="AV14" s="5257"/>
      <c r="AW14" s="5257"/>
      <c r="AX14" s="5257"/>
      <c r="AY14" s="5257"/>
      <c r="AZ14" s="5278"/>
    </row>
    <row r="15" spans="1:52" ht="39" customHeight="1" thickBot="1" x14ac:dyDescent="0.3">
      <c r="A15" s="3098"/>
      <c r="B15" s="3775" t="s">
        <v>5321</v>
      </c>
      <c r="C15" s="3115" t="s">
        <v>5926</v>
      </c>
      <c r="D15" s="3109">
        <f>'28 Cronograma'!E17</f>
        <v>6</v>
      </c>
      <c r="E15" s="3440"/>
      <c r="F15" s="3440"/>
      <c r="G15" s="3440"/>
      <c r="H15" s="5108" t="s">
        <v>5958</v>
      </c>
      <c r="I15" s="5109"/>
      <c r="J15" s="5109"/>
      <c r="K15" s="5109"/>
      <c r="L15" s="5109"/>
      <c r="M15" s="5110"/>
      <c r="N15" s="3437"/>
      <c r="O15" s="3437"/>
      <c r="P15" s="3437"/>
      <c r="Q15" s="3437"/>
      <c r="R15" s="3437"/>
      <c r="S15" s="3437"/>
      <c r="T15" s="3437"/>
      <c r="U15" s="3437"/>
      <c r="V15" s="3437"/>
      <c r="W15" s="3437"/>
      <c r="X15" s="3437"/>
      <c r="Y15" s="3437"/>
      <c r="Z15" s="3438"/>
      <c r="AA15" s="3438"/>
      <c r="AB15" s="3438"/>
      <c r="AC15" s="3439"/>
      <c r="AD15" s="3440"/>
      <c r="AE15" s="3440"/>
      <c r="AF15" s="3440"/>
      <c r="AG15" s="3440"/>
      <c r="AH15" s="3440"/>
      <c r="AI15" s="3440"/>
      <c r="AJ15" s="3440"/>
      <c r="AK15" s="3440"/>
      <c r="AL15" s="3440"/>
      <c r="AM15" s="3440"/>
      <c r="AN15" s="3440"/>
      <c r="AO15" s="5264" t="s">
        <v>5842</v>
      </c>
      <c r="AP15" s="5265"/>
      <c r="AQ15" s="5265"/>
      <c r="AR15" s="5265"/>
      <c r="AS15" s="5265"/>
      <c r="AT15" s="5265"/>
      <c r="AU15" s="5265"/>
      <c r="AV15" s="5265"/>
      <c r="AW15" s="5265"/>
      <c r="AX15" s="5265"/>
      <c r="AY15" s="5265"/>
      <c r="AZ15" s="5266"/>
    </row>
    <row r="16" spans="1:52" ht="39" customHeight="1" thickBot="1" x14ac:dyDescent="0.3">
      <c r="A16" s="3098"/>
      <c r="B16" s="3775" t="s">
        <v>5323</v>
      </c>
      <c r="C16" s="3115" t="s">
        <v>5927</v>
      </c>
      <c r="D16" s="3109">
        <f>'28 Cronograma'!E18</f>
        <v>6</v>
      </c>
      <c r="E16" s="3440"/>
      <c r="F16" s="3440"/>
      <c r="G16" s="3440"/>
      <c r="H16" s="5105" t="s">
        <v>5958</v>
      </c>
      <c r="I16" s="5106"/>
      <c r="J16" s="5106"/>
      <c r="K16" s="5106"/>
      <c r="L16" s="5106"/>
      <c r="M16" s="5107"/>
      <c r="N16" s="3437"/>
      <c r="O16" s="3437"/>
      <c r="P16" s="3437"/>
      <c r="Q16" s="3437"/>
      <c r="R16" s="3437"/>
      <c r="S16" s="3437"/>
      <c r="T16" s="3437"/>
      <c r="U16" s="3437"/>
      <c r="V16" s="3437"/>
      <c r="W16" s="3437"/>
      <c r="X16" s="3437"/>
      <c r="Y16" s="3437"/>
      <c r="Z16" s="3438"/>
      <c r="AA16" s="3438"/>
      <c r="AB16" s="3438"/>
      <c r="AC16" s="3439"/>
      <c r="AD16" s="3440"/>
      <c r="AE16" s="3440"/>
      <c r="AF16" s="3440"/>
      <c r="AG16" s="3440"/>
      <c r="AH16" s="3440"/>
      <c r="AI16" s="3440"/>
      <c r="AJ16" s="3440"/>
      <c r="AK16" s="3440"/>
      <c r="AL16" s="3440"/>
      <c r="AM16" s="3440"/>
      <c r="AN16" s="3440"/>
      <c r="AO16" s="5267"/>
      <c r="AP16" s="5268"/>
      <c r="AQ16" s="5268"/>
      <c r="AR16" s="5268"/>
      <c r="AS16" s="5268"/>
      <c r="AT16" s="5268"/>
      <c r="AU16" s="5268"/>
      <c r="AV16" s="5268"/>
      <c r="AW16" s="5268"/>
      <c r="AX16" s="5268"/>
      <c r="AY16" s="5268"/>
      <c r="AZ16" s="5269"/>
    </row>
    <row r="17" spans="1:52" ht="39" customHeight="1" thickBot="1" x14ac:dyDescent="0.3">
      <c r="A17" s="3098"/>
      <c r="B17" s="3775" t="s">
        <v>5324</v>
      </c>
      <c r="C17" s="3115" t="s">
        <v>5928</v>
      </c>
      <c r="D17" s="3109">
        <f>'28 Cronograma'!E19</f>
        <v>2</v>
      </c>
      <c r="E17" s="3440"/>
      <c r="F17" s="3440"/>
      <c r="G17" s="3440"/>
      <c r="H17" s="3110"/>
      <c r="I17" s="3110"/>
      <c r="J17" s="3110"/>
      <c r="K17" s="5274" t="s">
        <v>5325</v>
      </c>
      <c r="L17" s="5275"/>
      <c r="M17" s="3110"/>
      <c r="N17" s="3437"/>
      <c r="O17" s="3437"/>
      <c r="P17" s="3437"/>
      <c r="Q17" s="3437"/>
      <c r="R17" s="3437"/>
      <c r="S17" s="3437"/>
      <c r="T17" s="3437"/>
      <c r="U17" s="3437"/>
      <c r="V17" s="3437"/>
      <c r="W17" s="3437"/>
      <c r="X17" s="3438"/>
      <c r="Y17" s="3438"/>
      <c r="Z17" s="3438"/>
      <c r="AA17" s="3438"/>
      <c r="AB17" s="3438"/>
      <c r="AC17" s="3439"/>
      <c r="AD17" s="3440"/>
      <c r="AE17" s="3440"/>
      <c r="AF17" s="3440"/>
      <c r="AG17" s="3440"/>
      <c r="AH17" s="3440"/>
      <c r="AI17" s="3440"/>
      <c r="AJ17" s="3440"/>
      <c r="AK17" s="3440"/>
      <c r="AL17" s="3440"/>
      <c r="AM17" s="3440"/>
      <c r="AN17" s="3440"/>
      <c r="AO17" s="5267"/>
      <c r="AP17" s="5268"/>
      <c r="AQ17" s="5268"/>
      <c r="AR17" s="5268"/>
      <c r="AS17" s="5268"/>
      <c r="AT17" s="5268"/>
      <c r="AU17" s="5268"/>
      <c r="AV17" s="5268"/>
      <c r="AW17" s="5268"/>
      <c r="AX17" s="5268"/>
      <c r="AY17" s="5268"/>
      <c r="AZ17" s="5269"/>
    </row>
    <row r="18" spans="1:52" ht="17.25" thickBot="1" x14ac:dyDescent="0.3">
      <c r="A18" s="3098"/>
      <c r="B18" s="3775" t="s">
        <v>5326</v>
      </c>
      <c r="C18" s="3115" t="s">
        <v>5328</v>
      </c>
      <c r="D18" s="3109">
        <f>'28 Cronograma'!E20</f>
        <v>12</v>
      </c>
      <c r="E18" s="3437"/>
      <c r="F18" s="3437"/>
      <c r="G18" s="3437"/>
      <c r="H18" s="3437"/>
      <c r="I18" s="3437"/>
      <c r="J18" s="3437"/>
      <c r="K18" s="3441"/>
      <c r="L18" s="3441"/>
      <c r="M18" s="3441"/>
      <c r="N18" s="3441"/>
      <c r="O18" s="3441"/>
      <c r="P18" s="3441"/>
      <c r="Q18" s="3441"/>
      <c r="R18" s="3441"/>
      <c r="S18" s="5052" t="s">
        <v>5329</v>
      </c>
      <c r="T18" s="5053"/>
      <c r="U18" s="5053"/>
      <c r="V18" s="5053"/>
      <c r="W18" s="5053"/>
      <c r="X18" s="5053"/>
      <c r="Y18" s="5053"/>
      <c r="Z18" s="5053"/>
      <c r="AA18" s="5053"/>
      <c r="AB18" s="5053"/>
      <c r="AC18" s="5053"/>
      <c r="AD18" s="5054"/>
      <c r="AE18" s="3437"/>
      <c r="AF18" s="3437"/>
      <c r="AG18" s="3437"/>
      <c r="AH18" s="3437"/>
      <c r="AI18" s="3437"/>
      <c r="AJ18" s="3437"/>
      <c r="AK18" s="3437"/>
      <c r="AL18" s="3437"/>
      <c r="AM18" s="3437"/>
      <c r="AN18" s="3437"/>
      <c r="AO18" s="5267"/>
      <c r="AP18" s="5268"/>
      <c r="AQ18" s="5268"/>
      <c r="AR18" s="5268"/>
      <c r="AS18" s="5268"/>
      <c r="AT18" s="5268"/>
      <c r="AU18" s="5268"/>
      <c r="AV18" s="5268"/>
      <c r="AW18" s="5268"/>
      <c r="AX18" s="5268"/>
      <c r="AY18" s="5268"/>
      <c r="AZ18" s="5269"/>
    </row>
    <row r="19" spans="1:52" ht="17.25" thickBot="1" x14ac:dyDescent="0.3">
      <c r="A19" s="3098"/>
      <c r="B19" s="3775" t="s">
        <v>5327</v>
      </c>
      <c r="C19" s="3115" t="s">
        <v>5925</v>
      </c>
      <c r="D19" s="3109">
        <f>'28 Cronograma'!E21</f>
        <v>4</v>
      </c>
      <c r="E19" s="3437"/>
      <c r="F19" s="3437"/>
      <c r="G19" s="3437"/>
      <c r="H19" s="3437"/>
      <c r="I19" s="3437"/>
      <c r="J19" s="3437"/>
      <c r="K19" s="3441"/>
      <c r="L19" s="3440"/>
      <c r="M19" s="3440"/>
      <c r="N19" s="3440"/>
      <c r="O19" s="3440"/>
      <c r="P19" s="3440"/>
      <c r="Q19" s="3440"/>
      <c r="R19" s="3440"/>
      <c r="S19" s="3779"/>
      <c r="T19" s="3779"/>
      <c r="U19" s="3779"/>
      <c r="V19" s="3779"/>
      <c r="W19" s="3779"/>
      <c r="X19" s="3779"/>
      <c r="Y19" s="3114"/>
      <c r="Z19" s="3114"/>
      <c r="AA19" s="5111" t="s">
        <v>5322</v>
      </c>
      <c r="AB19" s="5112"/>
      <c r="AC19" s="5112"/>
      <c r="AD19" s="5113"/>
      <c r="AE19" s="3437"/>
      <c r="AF19" s="3437"/>
      <c r="AG19" s="3437"/>
      <c r="AH19" s="3437"/>
      <c r="AI19" s="3437"/>
      <c r="AJ19" s="3437"/>
      <c r="AK19" s="3437"/>
      <c r="AL19" s="3437"/>
      <c r="AM19" s="3437"/>
      <c r="AN19" s="3437"/>
      <c r="AO19" s="5267"/>
      <c r="AP19" s="5268"/>
      <c r="AQ19" s="5268"/>
      <c r="AR19" s="5268"/>
      <c r="AS19" s="5268"/>
      <c r="AT19" s="5268"/>
      <c r="AU19" s="5268"/>
      <c r="AV19" s="5268"/>
      <c r="AW19" s="5268"/>
      <c r="AX19" s="5268"/>
      <c r="AY19" s="5268"/>
      <c r="AZ19" s="5269"/>
    </row>
    <row r="20" spans="1:52" ht="39" customHeight="1" thickBot="1" x14ac:dyDescent="0.3">
      <c r="A20" s="3098"/>
      <c r="B20" s="3775" t="s">
        <v>5330</v>
      </c>
      <c r="C20" s="3115" t="s">
        <v>5929</v>
      </c>
      <c r="D20" s="3109">
        <f>'28 Cronograma'!E22</f>
        <v>4</v>
      </c>
      <c r="E20" s="3437"/>
      <c r="F20" s="3437"/>
      <c r="G20" s="3437"/>
      <c r="H20" s="3437"/>
      <c r="I20" s="3437"/>
      <c r="J20" s="3437"/>
      <c r="K20" s="3437"/>
      <c r="L20" s="3437"/>
      <c r="M20" s="3437"/>
      <c r="N20" s="3437"/>
      <c r="O20" s="3437"/>
      <c r="P20" s="3437"/>
      <c r="Q20" s="3437"/>
      <c r="R20" s="3437"/>
      <c r="S20" s="3437"/>
      <c r="T20" s="3437"/>
      <c r="U20" s="3437"/>
      <c r="V20" s="3437"/>
      <c r="W20" s="3437"/>
      <c r="X20" s="3437"/>
      <c r="Y20" s="3438"/>
      <c r="Z20" s="3438"/>
      <c r="AA20" s="3438"/>
      <c r="AB20" s="3438"/>
      <c r="AC20" s="5076" t="s">
        <v>5322</v>
      </c>
      <c r="AD20" s="5077"/>
      <c r="AE20" s="5077"/>
      <c r="AF20" s="5078"/>
      <c r="AG20" s="3437"/>
      <c r="AH20" s="3437"/>
      <c r="AI20" s="3437"/>
      <c r="AJ20" s="3437"/>
      <c r="AK20" s="3437"/>
      <c r="AL20" s="3437"/>
      <c r="AM20" s="3437"/>
      <c r="AN20" s="3437"/>
      <c r="AO20" s="5267"/>
      <c r="AP20" s="5268"/>
      <c r="AQ20" s="5268"/>
      <c r="AR20" s="5268"/>
      <c r="AS20" s="5268"/>
      <c r="AT20" s="5268"/>
      <c r="AU20" s="5268"/>
      <c r="AV20" s="5268"/>
      <c r="AW20" s="5268"/>
      <c r="AX20" s="5268"/>
      <c r="AY20" s="5268"/>
      <c r="AZ20" s="5269"/>
    </row>
    <row r="21" spans="1:52" ht="39" customHeight="1" thickBot="1" x14ac:dyDescent="0.3">
      <c r="A21" s="3098"/>
      <c r="B21" s="3775" t="s">
        <v>5331</v>
      </c>
      <c r="C21" s="3115" t="s">
        <v>5930</v>
      </c>
      <c r="D21" s="3109">
        <f>'28 Cronograma'!E23</f>
        <v>9</v>
      </c>
      <c r="E21" s="3437"/>
      <c r="F21" s="3437"/>
      <c r="G21" s="3437"/>
      <c r="H21" s="3437"/>
      <c r="I21" s="3437"/>
      <c r="J21" s="3437"/>
      <c r="K21" s="3441"/>
      <c r="L21" s="3441"/>
      <c r="M21" s="3437"/>
      <c r="N21" s="3437"/>
      <c r="O21" s="3437"/>
      <c r="P21" s="3437"/>
      <c r="Q21" s="3437"/>
      <c r="R21" s="3437"/>
      <c r="S21" s="3437"/>
      <c r="T21" s="3437"/>
      <c r="U21" s="3437"/>
      <c r="V21" s="3437"/>
      <c r="W21" s="3437"/>
      <c r="X21" s="3437"/>
      <c r="Y21" s="3438"/>
      <c r="Z21" s="3438"/>
      <c r="AA21" s="3438"/>
      <c r="AB21" s="5082" t="s">
        <v>5335</v>
      </c>
      <c r="AC21" s="5083"/>
      <c r="AD21" s="5083"/>
      <c r="AE21" s="5083"/>
      <c r="AF21" s="5083"/>
      <c r="AG21" s="5083"/>
      <c r="AH21" s="5083"/>
      <c r="AI21" s="5083"/>
      <c r="AJ21" s="5084"/>
      <c r="AK21" s="3437"/>
      <c r="AL21" s="3437"/>
      <c r="AM21" s="3437"/>
      <c r="AN21" s="3437"/>
      <c r="AO21" s="5267"/>
      <c r="AP21" s="5268"/>
      <c r="AQ21" s="5268"/>
      <c r="AR21" s="5268"/>
      <c r="AS21" s="5268"/>
      <c r="AT21" s="5268"/>
      <c r="AU21" s="5268"/>
      <c r="AV21" s="5268"/>
      <c r="AW21" s="5268"/>
      <c r="AX21" s="5268"/>
      <c r="AY21" s="5268"/>
      <c r="AZ21" s="5269"/>
    </row>
    <row r="22" spans="1:52" ht="17.25" thickBot="1" x14ac:dyDescent="0.3">
      <c r="A22" s="3098"/>
      <c r="B22" s="3775" t="s">
        <v>5332</v>
      </c>
      <c r="C22" s="3115" t="s">
        <v>5951</v>
      </c>
      <c r="D22" s="3109">
        <f>'28 Cronograma'!E24</f>
        <v>12</v>
      </c>
      <c r="E22" s="3437"/>
      <c r="F22" s="3437"/>
      <c r="G22" s="3437"/>
      <c r="H22" s="3437"/>
      <c r="I22" s="3437"/>
      <c r="J22" s="3437"/>
      <c r="K22" s="3441"/>
      <c r="L22" s="3437"/>
      <c r="M22" s="3437"/>
      <c r="N22" s="3437"/>
      <c r="O22" s="3437"/>
      <c r="P22" s="3437"/>
      <c r="Q22" s="3437"/>
      <c r="R22" s="3437"/>
      <c r="S22" s="5058" t="s">
        <v>5329</v>
      </c>
      <c r="T22" s="5059"/>
      <c r="U22" s="5059"/>
      <c r="V22" s="5059"/>
      <c r="W22" s="5059"/>
      <c r="X22" s="5059"/>
      <c r="Y22" s="5059"/>
      <c r="Z22" s="5059"/>
      <c r="AA22" s="5059"/>
      <c r="AB22" s="5059"/>
      <c r="AC22" s="5059"/>
      <c r="AD22" s="5060"/>
      <c r="AE22" s="3437"/>
      <c r="AF22" s="3437"/>
      <c r="AG22" s="3437"/>
      <c r="AH22" s="3437"/>
      <c r="AI22" s="3437"/>
      <c r="AJ22" s="3437"/>
      <c r="AK22" s="3437"/>
      <c r="AL22" s="3437"/>
      <c r="AM22" s="3437"/>
      <c r="AN22" s="3437"/>
      <c r="AO22" s="5267"/>
      <c r="AP22" s="5268"/>
      <c r="AQ22" s="5268"/>
      <c r="AR22" s="5268"/>
      <c r="AS22" s="5268"/>
      <c r="AT22" s="5268"/>
      <c r="AU22" s="5268"/>
      <c r="AV22" s="5268"/>
      <c r="AW22" s="5268"/>
      <c r="AX22" s="5268"/>
      <c r="AY22" s="5268"/>
      <c r="AZ22" s="5269"/>
    </row>
    <row r="23" spans="1:52" ht="17.25" thickBot="1" x14ac:dyDescent="0.3">
      <c r="A23" s="3098"/>
      <c r="B23" s="3775" t="s">
        <v>5333</v>
      </c>
      <c r="C23" s="3115" t="s">
        <v>5949</v>
      </c>
      <c r="D23" s="3109">
        <f>'28 Cronograma'!E25</f>
        <v>12</v>
      </c>
      <c r="E23" s="3437"/>
      <c r="F23" s="3437"/>
      <c r="G23" s="3437"/>
      <c r="H23" s="3437"/>
      <c r="I23" s="3437"/>
      <c r="J23" s="3437"/>
      <c r="K23" s="3441"/>
      <c r="L23" s="3441"/>
      <c r="M23" s="3441"/>
      <c r="N23" s="3441"/>
      <c r="O23" s="3441"/>
      <c r="P23" s="3441"/>
      <c r="Q23" s="3441"/>
      <c r="R23" s="3441"/>
      <c r="S23" s="5055" t="s">
        <v>5329</v>
      </c>
      <c r="T23" s="5056"/>
      <c r="U23" s="5056"/>
      <c r="V23" s="5056"/>
      <c r="W23" s="5056"/>
      <c r="X23" s="5056"/>
      <c r="Y23" s="5056"/>
      <c r="Z23" s="5056"/>
      <c r="AA23" s="5056"/>
      <c r="AB23" s="5056"/>
      <c r="AC23" s="5056"/>
      <c r="AD23" s="5057"/>
      <c r="AE23" s="3437"/>
      <c r="AF23" s="3437"/>
      <c r="AG23" s="3437"/>
      <c r="AH23" s="3437"/>
      <c r="AI23" s="3437"/>
      <c r="AJ23" s="3437"/>
      <c r="AK23" s="3437"/>
      <c r="AL23" s="3437"/>
      <c r="AM23" s="3437"/>
      <c r="AN23" s="3437"/>
      <c r="AO23" s="5267"/>
      <c r="AP23" s="5268"/>
      <c r="AQ23" s="5268"/>
      <c r="AR23" s="5268"/>
      <c r="AS23" s="5268"/>
      <c r="AT23" s="5268"/>
      <c r="AU23" s="5268"/>
      <c r="AV23" s="5268"/>
      <c r="AW23" s="5268"/>
      <c r="AX23" s="5268"/>
      <c r="AY23" s="5268"/>
      <c r="AZ23" s="5269"/>
    </row>
    <row r="24" spans="1:52" ht="17.25" thickBot="1" x14ac:dyDescent="0.3">
      <c r="A24" s="3098"/>
      <c r="B24" s="3775" t="s">
        <v>5334</v>
      </c>
      <c r="C24" s="3115" t="s">
        <v>5950</v>
      </c>
      <c r="D24" s="3109">
        <f>'28 Cronograma'!E26</f>
        <v>3</v>
      </c>
      <c r="E24" s="3437"/>
      <c r="F24" s="3437"/>
      <c r="G24" s="3437"/>
      <c r="H24" s="3437"/>
      <c r="I24" s="3437"/>
      <c r="J24" s="3437"/>
      <c r="K24" s="3437"/>
      <c r="L24" s="3437"/>
      <c r="M24" s="3437"/>
      <c r="N24" s="3437"/>
      <c r="O24" s="3437"/>
      <c r="P24" s="3437"/>
      <c r="Q24" s="3437"/>
      <c r="R24" s="3437"/>
      <c r="S24" s="3437"/>
      <c r="T24" s="3437"/>
      <c r="U24" s="3437"/>
      <c r="V24" s="3437"/>
      <c r="W24" s="3437"/>
      <c r="X24" s="3438"/>
      <c r="Y24" s="3438"/>
      <c r="Z24" s="3438"/>
      <c r="AA24" s="3438"/>
      <c r="AB24" s="3438"/>
      <c r="AC24" s="3438"/>
      <c r="AD24" s="3438"/>
      <c r="AE24" s="3437"/>
      <c r="AF24" s="3437"/>
      <c r="AG24" s="3437"/>
      <c r="AH24" s="3437"/>
      <c r="AI24" s="3437"/>
      <c r="AJ24" s="3437"/>
      <c r="AK24" s="5079" t="s">
        <v>5336</v>
      </c>
      <c r="AL24" s="5080"/>
      <c r="AM24" s="5081"/>
      <c r="AN24" s="3437"/>
      <c r="AO24" s="5270"/>
      <c r="AP24" s="5271"/>
      <c r="AQ24" s="5271"/>
      <c r="AR24" s="5271"/>
      <c r="AS24" s="5271"/>
      <c r="AT24" s="5271"/>
      <c r="AU24" s="5271"/>
      <c r="AV24" s="5271"/>
      <c r="AW24" s="5271"/>
      <c r="AX24" s="5271"/>
      <c r="AY24" s="5271"/>
      <c r="AZ24" s="5272"/>
    </row>
    <row r="25" spans="1:52" ht="17.25" thickBot="1" x14ac:dyDescent="0.3">
      <c r="A25" s="3098"/>
      <c r="B25" s="5273" t="s">
        <v>3949</v>
      </c>
      <c r="C25" s="5273"/>
      <c r="D25" s="3779" t="s">
        <v>5966</v>
      </c>
      <c r="E25" s="5258" t="s">
        <v>5966</v>
      </c>
      <c r="F25" s="5259"/>
      <c r="G25" s="5259"/>
      <c r="H25" s="5259"/>
      <c r="I25" s="5259"/>
      <c r="J25" s="5259"/>
      <c r="K25" s="5259"/>
      <c r="L25" s="5259"/>
      <c r="M25" s="5259"/>
      <c r="N25" s="5259"/>
      <c r="O25" s="5259"/>
      <c r="P25" s="5259"/>
      <c r="Q25" s="5259"/>
      <c r="R25" s="5259"/>
      <c r="S25" s="5259"/>
      <c r="T25" s="5259"/>
      <c r="U25" s="5259"/>
      <c r="V25" s="5259"/>
      <c r="W25" s="5259"/>
      <c r="X25" s="5259"/>
      <c r="Y25" s="5259"/>
      <c r="Z25" s="5259"/>
      <c r="AA25" s="5259"/>
      <c r="AB25" s="5259"/>
      <c r="AC25" s="5259"/>
      <c r="AD25" s="5259"/>
      <c r="AE25" s="5259"/>
      <c r="AF25" s="5259"/>
      <c r="AG25" s="5259"/>
      <c r="AH25" s="5259"/>
      <c r="AI25" s="5259"/>
      <c r="AJ25" s="5259"/>
      <c r="AK25" s="5259"/>
      <c r="AL25" s="5259"/>
      <c r="AM25" s="5259"/>
      <c r="AN25" s="5260"/>
      <c r="AO25" s="5261" t="s">
        <v>5967</v>
      </c>
      <c r="AP25" s="5262"/>
      <c r="AQ25" s="5262"/>
      <c r="AR25" s="5262"/>
      <c r="AS25" s="5262"/>
      <c r="AT25" s="5262"/>
      <c r="AU25" s="5262"/>
      <c r="AV25" s="5262"/>
      <c r="AW25" s="5262"/>
      <c r="AX25" s="5262"/>
      <c r="AY25" s="5262"/>
      <c r="AZ25" s="5263"/>
    </row>
  </sheetData>
  <mergeCells count="51">
    <mergeCell ref="E25:AN25"/>
    <mergeCell ref="AO25:AZ25"/>
    <mergeCell ref="C4:AZ4"/>
    <mergeCell ref="H15:M15"/>
    <mergeCell ref="H16:M16"/>
    <mergeCell ref="AO15:AZ24"/>
    <mergeCell ref="S18:AD18"/>
    <mergeCell ref="AC20:AF20"/>
    <mergeCell ref="AB21:AJ21"/>
    <mergeCell ref="S22:AD22"/>
    <mergeCell ref="S23:AD23"/>
    <mergeCell ref="AK24:AM24"/>
    <mergeCell ref="B25:C25"/>
    <mergeCell ref="K17:L17"/>
    <mergeCell ref="AA19:AD19"/>
    <mergeCell ref="AZ11:AZ14"/>
    <mergeCell ref="E12:P12"/>
    <mergeCell ref="Q12:AB12"/>
    <mergeCell ref="AC12:AN12"/>
    <mergeCell ref="E13:G13"/>
    <mergeCell ref="H13:J13"/>
    <mergeCell ref="K13:M13"/>
    <mergeCell ref="N13:P13"/>
    <mergeCell ref="Q13:S13"/>
    <mergeCell ref="T13:V13"/>
    <mergeCell ref="W13:Y13"/>
    <mergeCell ref="AL13:AN13"/>
    <mergeCell ref="AC13:AE13"/>
    <mergeCell ref="AF13:AH13"/>
    <mergeCell ref="AI13:AK13"/>
    <mergeCell ref="AW11:AW14"/>
    <mergeCell ref="AX11:AX14"/>
    <mergeCell ref="AT11:AT14"/>
    <mergeCell ref="AR11:AR14"/>
    <mergeCell ref="AS11:AS14"/>
    <mergeCell ref="B2:AZ2"/>
    <mergeCell ref="B9:AN10"/>
    <mergeCell ref="AO9:AZ10"/>
    <mergeCell ref="B11:B14"/>
    <mergeCell ref="C11:C14"/>
    <mergeCell ref="D11:D13"/>
    <mergeCell ref="E11:P11"/>
    <mergeCell ref="Q11:AB11"/>
    <mergeCell ref="Z13:AB13"/>
    <mergeCell ref="AY11:AY14"/>
    <mergeCell ref="AC11:AN11"/>
    <mergeCell ref="AO11:AO14"/>
    <mergeCell ref="AP11:AP14"/>
    <mergeCell ref="AU11:AU14"/>
    <mergeCell ref="AV11:AV14"/>
    <mergeCell ref="AQ11:AQ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64</vt:i4>
      </vt:variant>
      <vt:variant>
        <vt:lpstr>Rangos con nombre</vt:lpstr>
      </vt:variant>
      <vt:variant>
        <vt:i4>2</vt:i4>
      </vt:variant>
    </vt:vector>
  </HeadingPairs>
  <TitlesOfParts>
    <vt:vector size="66" baseType="lpstr">
      <vt:lpstr>1 Analisis del Ambito</vt:lpstr>
      <vt:lpstr>2 Distancias y Tiempos</vt:lpstr>
      <vt:lpstr>3 Pob x Edad y EESS P1 P2</vt:lpstr>
      <vt:lpstr>4 Estadis ESTRATEG Prod3</vt:lpstr>
      <vt:lpstr>5.2 Prod 1 ATD ATC ESTRAG</vt:lpstr>
      <vt:lpstr>5.1 Prod 2 MORBI ESTRAG</vt:lpstr>
      <vt:lpstr>5.3 PERFIL Epi 1 MR</vt:lpstr>
      <vt:lpstr>6 Estadist REFEREN</vt:lpstr>
      <vt:lpstr>7 Morb REFEREN</vt:lpstr>
      <vt:lpstr>8.1 Pob Urbana y Rural</vt:lpstr>
      <vt:lpstr>No busq ATC</vt:lpstr>
      <vt:lpstr>SIS</vt:lpstr>
      <vt:lpstr>8.2 Pob Ddte</vt:lpstr>
      <vt:lpstr>9 Dda Efect SS Salud P1</vt:lpstr>
      <vt:lpstr>10 Dda Efect SS Salud P2</vt:lpstr>
      <vt:lpstr>11 Dda SS Salud P3</vt:lpstr>
      <vt:lpstr>12 Dda SS Salud Apoy Diag</vt:lpstr>
      <vt:lpstr>13 Prod Historica</vt:lpstr>
      <vt:lpstr>14 Dda Consolidda</vt:lpstr>
      <vt:lpstr>15.1 Cond Lab RH 1</vt:lpstr>
      <vt:lpstr>15.2 Prog RH 2</vt:lpstr>
      <vt:lpstr>15.3 Consolddo y Ota Opt RH</vt:lpstr>
      <vt:lpstr>16.1 Areas Actuales</vt:lpstr>
      <vt:lpstr>16.2 Ota Opt INFRA</vt:lpstr>
      <vt:lpstr>17 Ota Opt EQUIP</vt:lpstr>
      <vt:lpstr>18 Ota Opt y 19 Brecha OD</vt:lpstr>
      <vt:lpstr>20 Plan de PROD</vt:lpstr>
      <vt:lpstr>21 PMF</vt:lpstr>
      <vt:lpstr>Programa RR.HH</vt:lpstr>
      <vt:lpstr>Momento I</vt:lpstr>
      <vt:lpstr>Paso 1.1</vt:lpstr>
      <vt:lpstr>Tiempos</vt:lpstr>
      <vt:lpstr>Paso 1.2</vt:lpstr>
      <vt:lpstr>Paso 1.2 Final</vt:lpstr>
      <vt:lpstr>Paso 1.3.1</vt:lpstr>
      <vt:lpstr>Paso 1.3.2</vt:lpstr>
      <vt:lpstr>Momento II</vt:lpstr>
      <vt:lpstr>Paso 2.1 - 2.2</vt:lpstr>
      <vt:lpstr>Momento III</vt:lpstr>
      <vt:lpstr>Paso 3.1</vt:lpstr>
      <vt:lpstr>Exp Tec Capacitacion</vt:lpstr>
      <vt:lpstr>22. PMA resultante</vt:lpstr>
      <vt:lpstr>23. Costos de Inversion</vt:lpstr>
      <vt:lpstr>24.1 Remun. RR.HH sin PI</vt:lpstr>
      <vt:lpstr>24.2 Remun. RR.HH con PI</vt:lpstr>
      <vt:lpstr>25 Costos OyM SP</vt:lpstr>
      <vt:lpstr>26 Costos OyM CP</vt:lpstr>
      <vt:lpstr>26.1 Insumos CP</vt:lpstr>
      <vt:lpstr>26.2 Bs y Ss</vt:lpstr>
      <vt:lpstr>26.3 Mantto y Repsc EQUIPO</vt:lpstr>
      <vt:lpstr>26.3a Costo PROGRAM de EQUIP</vt:lpstr>
      <vt:lpstr>26.3b Costo EQUI Recup</vt:lpstr>
      <vt:lpstr>26.4 Mantto INFRA</vt:lpstr>
      <vt:lpstr>27 Costos INCREM</vt:lpstr>
      <vt:lpstr>28 Cronograma</vt:lpstr>
      <vt:lpstr>28.1 Cronograma Valorizado</vt:lpstr>
      <vt:lpstr>29 Beneficios</vt:lpstr>
      <vt:lpstr>30 Sensibilidad</vt:lpstr>
      <vt:lpstr>Plan de Implement</vt:lpstr>
      <vt:lpstr>MML</vt:lpstr>
      <vt:lpstr>PIA-PIM</vt:lpstr>
      <vt:lpstr>Sostenibilidad</vt:lpstr>
      <vt:lpstr>Y_G CS Huancarama</vt:lpstr>
      <vt:lpstr>Horizonte</vt:lpstr>
      <vt:lpstr>'21 PMF'!Área_de_impresión</vt:lpstr>
      <vt:lpstr>'21 PMF'!Títulos_a_imprimir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Primo Ciriaco</dc:creator>
  <cp:lastModifiedBy>ORFEI-PC-02</cp:lastModifiedBy>
  <cp:lastPrinted>2019-06-24T20:59:40Z</cp:lastPrinted>
  <dcterms:created xsi:type="dcterms:W3CDTF">2015-07-16T17:27:58Z</dcterms:created>
  <dcterms:modified xsi:type="dcterms:W3CDTF">2020-02-28T16:53:16Z</dcterms:modified>
</cp:coreProperties>
</file>